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usepa-my.sharepoint.com/personal/stanfield_kelley_epa_gov/Documents/Desktop/12DCA FINAL DOCKET/"/>
    </mc:Choice>
  </mc:AlternateContent>
  <xr:revisionPtr revIDLastSave="11" documentId="8_{893B825A-EE8E-4B71-B413-8181F54C6E26}" xr6:coauthVersionLast="47" xr6:coauthVersionMax="47" xr10:uidLastSave="{5375C616-181B-45BE-A3E5-B0FD0429F2C8}"/>
  <bookViews>
    <workbookView xWindow="-120" yWindow="-120" windowWidth="29040" windowHeight="15720" firstSheet="2" activeTab="2" xr2:uid="{46F73A05-1325-4868-826B-1B56F78A4C5A}"/>
  </bookViews>
  <sheets>
    <sheet name="2020 CDR" sheetId="76" state="hidden" r:id="rId1"/>
    <sheet name="Logic Check" sheetId="67" state="hidden" r:id="rId2"/>
    <sheet name="Cover Page" sheetId="81" r:id="rId3"/>
    <sheet name="OES Summary" sheetId="78" r:id="rId4"/>
    <sheet name="ReadMe" sheetId="17" r:id="rId5"/>
    <sheet name="OES Summary (2021-2024)" sheetId="84" state="hidden" r:id="rId6"/>
    <sheet name="Overall Release Summary" sheetId="68" r:id="rId7"/>
    <sheet name="Facility Summary" sheetId="87" r:id="rId8"/>
    <sheet name="Discharge Summary" sheetId="48" r:id="rId9"/>
    <sheet name="Sheet1" sheetId="88" state="hidden" r:id="rId10"/>
    <sheet name="Raw Annual DMR Data" sheetId="80" r:id="rId11"/>
    <sheet name="Raw Annual DMR Data_2021-2024" sheetId="83" state="hidden" r:id="rId12"/>
    <sheet name="Non-Detect DMR Sites" sheetId="79" r:id="rId13"/>
    <sheet name="90%" sheetId="74" state="hidden" r:id="rId14"/>
    <sheet name="Compiled Data_Surface" sheetId="77" r:id="rId15"/>
    <sheet name="Compiled Data_Surface_2021-2024" sheetId="86" state="hidden" r:id="rId16"/>
    <sheet name="Raw Period DMR Data" sheetId="60" r:id="rId17"/>
    <sheet name="Raw TRI Data" sheetId="43" r:id="rId18"/>
    <sheet name="OES" sheetId="53" state="hidden" r:id="rId19"/>
    <sheet name="Generic Factors" sheetId="62" state="hidden" r:id="rId20"/>
    <sheet name="Statistics" sheetId="63" state="hidden" r:id="rId21"/>
    <sheet name="SIC &amp; NAICS Codes" sheetId="73" state="hidden" r:id="rId22"/>
    <sheet name="1,2-DCA_OES" sheetId="22" state="hidden" r:id="rId23"/>
    <sheet name="SIC to 2002 NAICS" sheetId="13" state="hidden" r:id="rId24"/>
    <sheet name="2002 to 2007 NAICS" sheetId="14" state="hidden" r:id="rId25"/>
    <sheet name="2007 to 2012 NAICS" sheetId="15" state="hidden" r:id="rId26"/>
    <sheet name="2012 to 2017 NAICS" sheetId="16" state="hidden" r:id="rId27"/>
    <sheet name="TRI NAICS Crosswalk" sheetId="18" state="hidden" r:id="rId28"/>
  </sheets>
  <definedNames>
    <definedName name="_2017NEI_Nonpoint_TSCA_Chem_List">#REF!</definedName>
    <definedName name="_2017NEI_tsca_chemicals_wSCCdetail_Query">#REF!</definedName>
    <definedName name="_56F9DC9755BA473782653E2940F9FormId">"qz9-oSON8kaH8z_Ot8agADF0xVdNR_hGjYcYI32gNnhUNVY0MkpNT1NXVUFPSU5SVVJKU0VCR1pLQiQlQCN0PWcu"</definedName>
    <definedName name="_56F9DC9755BA473782653E2940F9ResponseSheet">"Form1"</definedName>
    <definedName name="_56F9DC9755BA473782653E2940F9SourceDocId">"{576d7ffc-3a9a-4608-a5dc-08b2eb70b457}"</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definedName>
    <definedName name="_AtRisk_SimSetting_ConvergenceTolerance" hidden="1">0.01</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localSheetId="2" hidden="1">8</definedName>
    <definedName name="_AtRisk_SimSetting_MultipleCPUCount" hidden="1">8</definedName>
    <definedName name="_AtRisk_SimSetting_MultipleCPUManualCount" hidden="1">8</definedName>
    <definedName name="_AtRisk_SimSetting_MultipleCPUMode" localSheetId="2" hidden="1">2</definedName>
    <definedName name="_AtRisk_SimSetting_MultipleCPUMode" hidden="1">2</definedName>
    <definedName name="_AtRisk_SimSetting_MultipleCPUModeV8" localSheetId="2"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localSheetId="2" hidden="1">1</definedName>
    <definedName name="_AtRisk_SimSetting_StdRecalcWithoutRiskStatic" hidden="1">0</definedName>
    <definedName name="_AtRisk_SimSetting_StdRecalcWithoutRiskStaticPercentile" hidden="1">0.5</definedName>
    <definedName name="_xlnm._FilterDatabase" localSheetId="13" hidden="1">'90%'!$A$1:$J$598</definedName>
    <definedName name="_xlnm._FilterDatabase" localSheetId="14" hidden="1">'Compiled Data_Surface'!$A$1:$S$2537</definedName>
    <definedName name="_xlnm._FilterDatabase" localSheetId="15" hidden="1">'Compiled Data_Surface_2021-2024'!$A$1:$S$1007</definedName>
    <definedName name="_xlnm._FilterDatabase" localSheetId="8" hidden="1">'Discharge Summary'!$A$3:$AI$405</definedName>
    <definedName name="_xlnm._FilterDatabase" localSheetId="7" hidden="1">'Facility Summary'!$A$1:$T$520</definedName>
    <definedName name="_xlnm._FilterDatabase" localSheetId="10" hidden="1">'Raw Annual DMR Data'!$A$1:$AC$2420</definedName>
    <definedName name="_xlnm._FilterDatabase" localSheetId="11" hidden="1">'Raw Annual DMR Data_2021-2024'!$A$1:$AC$1007</definedName>
    <definedName name="_xlnm._FilterDatabase" localSheetId="16" hidden="1">'Raw Period DMR Data'!$A$3:$R$540</definedName>
    <definedName name="_xlnm._FilterDatabase" localSheetId="17" hidden="1">'Raw TRI Data'!$A$1:$AB$248</definedName>
    <definedName name="_xlnm._FilterDatabase" localSheetId="9" hidden="1">Sheet1!$A$1:$E$1</definedName>
    <definedName name="_xlnm._FilterDatabase" localSheetId="23" hidden="1">'SIC to 2002 NAICS'!$A$1:$D$2169</definedName>
    <definedName name="_xlnm._FilterDatabase" localSheetId="27" hidden="1">'TRI NAICS Crosswalk'!$A$1:$K$455</definedName>
    <definedName name="AT" localSheetId="2">#REF!</definedName>
    <definedName name="AT">#REF!</definedName>
    <definedName name="AT_50th_non_cancer" localSheetId="2">#REF!</definedName>
    <definedName name="AT_50th_non_cancer">#REF!</definedName>
    <definedName name="AT_50th_non_cancer_DC" localSheetId="2">#REF!</definedName>
    <definedName name="AT_50th_non_cancer_DC">#REF!</definedName>
    <definedName name="AT_95th_non_cancer" localSheetId="2">#REF!</definedName>
    <definedName name="AT_95th_non_cancer">#REF!</definedName>
    <definedName name="AT_95th_non_cancer_DC" localSheetId="2">#REF!</definedName>
    <definedName name="AT_95th_non_cancer_DC">#REF!</definedName>
    <definedName name="AT_AC" localSheetId="2">#REF!</definedName>
    <definedName name="AT_AC">#REF!</definedName>
    <definedName name="AT_AC_DC" localSheetId="2">#REF!</definedName>
    <definedName name="AT_AC_DC">#REF!</definedName>
    <definedName name="AT_ADC_high" localSheetId="2">#REF!</definedName>
    <definedName name="AT_ADC_high">#REF!</definedName>
    <definedName name="AT_ADC_mid" localSheetId="2">#REF!</definedName>
    <definedName name="AT_ADC_mid">#REF!</definedName>
    <definedName name="AT_cancer" localSheetId="2">#REF!</definedName>
    <definedName name="AT_cancer">#REF!</definedName>
    <definedName name="AT_cancer_DC" localSheetId="2">#REF!</definedName>
    <definedName name="AT_cancer_DC">#REF!</definedName>
    <definedName name="AT_LADC" localSheetId="2">#REF!</definedName>
    <definedName name="AT_LADC">#REF!</definedName>
    <definedName name="AWD" localSheetId="2">#REF!</definedName>
    <definedName name="AWD">#REF!</definedName>
    <definedName name="AWD_DC_50th" localSheetId="2">#REF!</definedName>
    <definedName name="AWD_DC_50th">#REF!</definedName>
    <definedName name="AWD_DC_95th" localSheetId="2">#REF!</definedName>
    <definedName name="AWD_DC_95th">#REF!</definedName>
    <definedName name="CASRN" localSheetId="2">#REF!</definedName>
    <definedName name="CASRN">#REF!</definedName>
    <definedName name="ED" localSheetId="2">#REF!</definedName>
    <definedName name="ED">#REF!</definedName>
    <definedName name="ED_AC" localSheetId="2">#REF!</definedName>
    <definedName name="ED_AC">#REF!</definedName>
    <definedName name="ED_AC_DC" localSheetId="2">#REF!</definedName>
    <definedName name="ED_AC_DC">#REF!</definedName>
    <definedName name="ED_chronic" localSheetId="2">#REF!</definedName>
    <definedName name="ED_chronic">#REF!</definedName>
    <definedName name="ED_chronic_DC" localSheetId="2">#REF!</definedName>
    <definedName name="ED_chronic_DC">#REF!</definedName>
    <definedName name="EF" localSheetId="2">#REF!</definedName>
    <definedName name="EF">#REF!</definedName>
    <definedName name="Pal_Workbook_GUID" hidden="1">"SK39RLEDQA2L46YW8H5SUKN3"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localSheetId="2" hidden="1">FALSE</definedName>
    <definedName name="RiskMultipleCPUSupportEnabled" hidden="1">FALSE</definedName>
    <definedName name="RiskNumIterations" hidden="1">100000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localSheetId="2" hidden="1">0</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localSheetId="2" hidden="1">FALSE</definedName>
    <definedName name="RiskUseMultipleCPUs" hidden="1">FALSE</definedName>
    <definedName name="WY_50th" localSheetId="2">#REF!</definedName>
    <definedName name="WY_50th">#REF!</definedName>
    <definedName name="WY_50th_DC" localSheetId="2">#REF!</definedName>
    <definedName name="WY_50th_DC">#REF!</definedName>
    <definedName name="WY_95th" localSheetId="2">#REF!</definedName>
    <definedName name="WY_95th">#REF!</definedName>
    <definedName name="WY_95th_DC" localSheetId="2">#REF!</definedName>
    <definedName name="WY_95th_DC">#REF!</definedName>
    <definedName name="WY_high" localSheetId="2">#REF!</definedName>
    <definedName name="WY_high">#REF!</definedName>
    <definedName name="WY_mid" localSheetId="2">#REF!</definedName>
    <definedName name="WY_mi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34" i="48" l="1"/>
  <c r="K322" i="48"/>
  <c r="R423" i="87"/>
  <c r="R428" i="87"/>
  <c r="K408" i="87"/>
  <c r="K409" i="87"/>
  <c r="K410" i="87"/>
  <c r="R410" i="87" s="1"/>
  <c r="K411" i="87"/>
  <c r="K412" i="87"/>
  <c r="K413" i="87"/>
  <c r="L1207" i="77" s="1"/>
  <c r="K414" i="87"/>
  <c r="L446" i="77" s="1"/>
  <c r="K415" i="87"/>
  <c r="L454" i="77" s="1"/>
  <c r="K416" i="87"/>
  <c r="K417" i="87"/>
  <c r="K418" i="87"/>
  <c r="L470" i="77" s="1"/>
  <c r="K419" i="87"/>
  <c r="K420" i="87"/>
  <c r="K421" i="87"/>
  <c r="K422" i="87"/>
  <c r="A157" i="48" s="1"/>
  <c r="K157" i="48" s="1"/>
  <c r="K424" i="87"/>
  <c r="R424" i="87" s="1"/>
  <c r="K425" i="87"/>
  <c r="R425" i="87" s="1"/>
  <c r="K426" i="87"/>
  <c r="R426" i="87" s="1"/>
  <c r="K427" i="87"/>
  <c r="R427" i="87" s="1"/>
  <c r="K428" i="87"/>
  <c r="K429" i="87"/>
  <c r="K430" i="87"/>
  <c r="R430" i="87" s="1"/>
  <c r="K431" i="87"/>
  <c r="R431" i="87" s="1"/>
  <c r="K432" i="87"/>
  <c r="L590" i="77" s="1"/>
  <c r="K433" i="87"/>
  <c r="K434" i="87"/>
  <c r="K435" i="87"/>
  <c r="A181" i="48" s="1"/>
  <c r="K181" i="48" s="1"/>
  <c r="K436" i="87"/>
  <c r="K437" i="87"/>
  <c r="K438" i="87"/>
  <c r="K439" i="87"/>
  <c r="R439" i="87" s="1"/>
  <c r="K440" i="87"/>
  <c r="L656" i="77" s="1"/>
  <c r="K441" i="87"/>
  <c r="K442" i="87"/>
  <c r="K443" i="87"/>
  <c r="R443" i="87" s="1"/>
  <c r="K444" i="87"/>
  <c r="K445" i="87"/>
  <c r="K446" i="87"/>
  <c r="K447" i="87"/>
  <c r="A221" i="48" s="1"/>
  <c r="K221" i="48" s="1"/>
  <c r="K448" i="87"/>
  <c r="L798" i="77" s="1"/>
  <c r="K449" i="87"/>
  <c r="K450" i="87"/>
  <c r="K451" i="87"/>
  <c r="R451" i="87" s="1"/>
  <c r="K452" i="87"/>
  <c r="K453" i="87"/>
  <c r="K454" i="87"/>
  <c r="L1461" i="77" s="1"/>
  <c r="K455" i="87"/>
  <c r="A239" i="48" s="1"/>
  <c r="K239" i="48" s="1"/>
  <c r="K456" i="87"/>
  <c r="R456" i="87" s="1"/>
  <c r="K457" i="87"/>
  <c r="K458" i="87"/>
  <c r="R458" i="87" s="1"/>
  <c r="K459" i="87"/>
  <c r="R459" i="87" s="1"/>
  <c r="K460" i="87"/>
  <c r="K461" i="87"/>
  <c r="K462" i="87"/>
  <c r="K463" i="87"/>
  <c r="R463" i="87" s="1"/>
  <c r="K464" i="87"/>
  <c r="L935" i="77" s="1"/>
  <c r="K465" i="87"/>
  <c r="K466" i="87"/>
  <c r="K467" i="87"/>
  <c r="L947" i="77" s="1"/>
  <c r="K468" i="87"/>
  <c r="K469" i="87"/>
  <c r="K470" i="87"/>
  <c r="L980" i="77" s="1"/>
  <c r="K471" i="87"/>
  <c r="L1481" i="77" s="1"/>
  <c r="K472" i="87"/>
  <c r="L1004" i="77" s="1"/>
  <c r="K473" i="87"/>
  <c r="K474" i="87"/>
  <c r="K475" i="87"/>
  <c r="A288" i="48" s="1"/>
  <c r="K288" i="48" s="1"/>
  <c r="K476" i="87"/>
  <c r="K477" i="87"/>
  <c r="K478" i="87"/>
  <c r="L1498" i="77" s="1"/>
  <c r="K479" i="87"/>
  <c r="K480" i="87"/>
  <c r="K481" i="87"/>
  <c r="K482" i="87"/>
  <c r="K483" i="87"/>
  <c r="R483" i="87" s="1"/>
  <c r="K484" i="87"/>
  <c r="K485" i="87"/>
  <c r="K486" i="87"/>
  <c r="K487" i="87"/>
  <c r="L1505" i="77" s="1"/>
  <c r="K488" i="87"/>
  <c r="K489" i="87"/>
  <c r="K490" i="87"/>
  <c r="K491" i="87"/>
  <c r="A336" i="48" s="1"/>
  <c r="K336" i="48" s="1"/>
  <c r="K492" i="87"/>
  <c r="K493" i="87"/>
  <c r="K494" i="87"/>
  <c r="L1222" i="77" s="1"/>
  <c r="K495" i="87"/>
  <c r="K496" i="87"/>
  <c r="R496" i="87" s="1"/>
  <c r="K497" i="87"/>
  <c r="K498" i="87"/>
  <c r="R498" i="87" s="1"/>
  <c r="K499" i="87"/>
  <c r="R499" i="87" s="1"/>
  <c r="K500" i="87"/>
  <c r="K501" i="87"/>
  <c r="K502" i="87"/>
  <c r="K503" i="87"/>
  <c r="R503" i="87" s="1"/>
  <c r="K504" i="87"/>
  <c r="L1526" i="77" s="1"/>
  <c r="K505" i="87"/>
  <c r="K506" i="87"/>
  <c r="K507" i="87"/>
  <c r="R507" i="87" s="1"/>
  <c r="K508" i="87"/>
  <c r="K509" i="87"/>
  <c r="K510" i="87"/>
  <c r="R510" i="87" s="1"/>
  <c r="K511" i="87"/>
  <c r="R511" i="87" s="1"/>
  <c r="K512" i="87"/>
  <c r="R512" i="87" s="1"/>
  <c r="K513" i="87"/>
  <c r="K514" i="87"/>
  <c r="K515" i="87"/>
  <c r="R515" i="87" s="1"/>
  <c r="K516" i="87"/>
  <c r="K517" i="87"/>
  <c r="K518" i="87"/>
  <c r="R518" i="87" s="1"/>
  <c r="K519" i="87"/>
  <c r="A404" i="48" s="1"/>
  <c r="K404" i="48" s="1"/>
  <c r="K520" i="87"/>
  <c r="K407" i="87"/>
  <c r="R150" i="87"/>
  <c r="R151" i="87"/>
  <c r="R42" i="87"/>
  <c r="T520" i="87"/>
  <c r="T3" i="87"/>
  <c r="T4" i="87"/>
  <c r="T5" i="87"/>
  <c r="T6" i="87"/>
  <c r="T7" i="87"/>
  <c r="T8" i="87"/>
  <c r="T9" i="87"/>
  <c r="T10" i="87"/>
  <c r="T11" i="87"/>
  <c r="S12" i="87"/>
  <c r="T12" i="87"/>
  <c r="T13" i="87"/>
  <c r="T14" i="87"/>
  <c r="S15" i="87"/>
  <c r="T15" i="87"/>
  <c r="S16" i="87"/>
  <c r="T16" i="87"/>
  <c r="T17" i="87"/>
  <c r="T18" i="87"/>
  <c r="T19" i="87"/>
  <c r="T20" i="87"/>
  <c r="T21" i="87"/>
  <c r="T22" i="87"/>
  <c r="T23" i="87"/>
  <c r="T24" i="87"/>
  <c r="T25" i="87"/>
  <c r="T26" i="87"/>
  <c r="T27" i="87"/>
  <c r="T28" i="87"/>
  <c r="T29" i="87"/>
  <c r="T30" i="87"/>
  <c r="T31" i="87"/>
  <c r="T32" i="87"/>
  <c r="S33" i="87"/>
  <c r="T33" i="87"/>
  <c r="T34" i="87"/>
  <c r="T35" i="87"/>
  <c r="T36" i="87"/>
  <c r="T37" i="87"/>
  <c r="T38" i="87"/>
  <c r="T39" i="87"/>
  <c r="T40" i="87"/>
  <c r="S41" i="87"/>
  <c r="T41" i="87"/>
  <c r="T42" i="87"/>
  <c r="T43" i="87"/>
  <c r="S44" i="87"/>
  <c r="T44" i="87"/>
  <c r="T45" i="87"/>
  <c r="T46" i="87"/>
  <c r="T47" i="87"/>
  <c r="T48" i="87"/>
  <c r="T49" i="87"/>
  <c r="T50" i="87"/>
  <c r="T51" i="87"/>
  <c r="T52" i="87"/>
  <c r="T53" i="87"/>
  <c r="T54" i="87"/>
  <c r="T55" i="87"/>
  <c r="T56" i="87"/>
  <c r="S57" i="87"/>
  <c r="T57" i="87"/>
  <c r="T58" i="87"/>
  <c r="T59" i="87"/>
  <c r="T60" i="87"/>
  <c r="T61" i="87"/>
  <c r="T62" i="87"/>
  <c r="T63" i="87"/>
  <c r="S64" i="87"/>
  <c r="T64" i="87"/>
  <c r="S65" i="87"/>
  <c r="T65" i="87"/>
  <c r="T66" i="87"/>
  <c r="T67" i="87"/>
  <c r="S68" i="87"/>
  <c r="T68" i="87"/>
  <c r="T69" i="87"/>
  <c r="T70" i="87"/>
  <c r="T71" i="87"/>
  <c r="T72" i="87"/>
  <c r="T73" i="87"/>
  <c r="S74" i="87"/>
  <c r="T74" i="87"/>
  <c r="T75" i="87"/>
  <c r="T76" i="87"/>
  <c r="T77" i="87"/>
  <c r="T78" i="87"/>
  <c r="T79" i="87"/>
  <c r="S80" i="87"/>
  <c r="T80" i="87"/>
  <c r="T81" i="87"/>
  <c r="T82" i="87"/>
  <c r="T83" i="87"/>
  <c r="S84" i="87"/>
  <c r="T84" i="87"/>
  <c r="T85" i="87"/>
  <c r="S86" i="87"/>
  <c r="T86" i="87"/>
  <c r="T87" i="87"/>
  <c r="S88" i="87"/>
  <c r="T88" i="87"/>
  <c r="T89" i="87"/>
  <c r="S90" i="87"/>
  <c r="T90" i="87"/>
  <c r="S91" i="87"/>
  <c r="T91" i="87"/>
  <c r="T92" i="87"/>
  <c r="T93" i="87"/>
  <c r="T94" i="87"/>
  <c r="T95" i="87"/>
  <c r="T96" i="87"/>
  <c r="T97" i="87"/>
  <c r="T98" i="87"/>
  <c r="T99" i="87"/>
  <c r="T100" i="87"/>
  <c r="T101" i="87"/>
  <c r="T102" i="87"/>
  <c r="T103" i="87"/>
  <c r="S104" i="87"/>
  <c r="T104" i="87"/>
  <c r="S105" i="87"/>
  <c r="T105" i="87"/>
  <c r="S106" i="87"/>
  <c r="T106" i="87"/>
  <c r="T107" i="87"/>
  <c r="T108" i="87"/>
  <c r="T109" i="87"/>
  <c r="T110" i="87"/>
  <c r="T111" i="87"/>
  <c r="T112" i="87"/>
  <c r="S113" i="87"/>
  <c r="T113" i="87"/>
  <c r="T114" i="87"/>
  <c r="T115" i="87"/>
  <c r="S116" i="87"/>
  <c r="T116" i="87"/>
  <c r="S117" i="87"/>
  <c r="T117" i="87"/>
  <c r="S118" i="87"/>
  <c r="T118" i="87"/>
  <c r="S119" i="87"/>
  <c r="T119" i="87"/>
  <c r="S120" i="87"/>
  <c r="T120" i="87"/>
  <c r="S121" i="87"/>
  <c r="T121" i="87"/>
  <c r="T122" i="87"/>
  <c r="T123" i="87"/>
  <c r="T124" i="87"/>
  <c r="T125" i="87"/>
  <c r="T126" i="87"/>
  <c r="T127" i="87"/>
  <c r="T128" i="87"/>
  <c r="T129" i="87"/>
  <c r="T130" i="87"/>
  <c r="T131" i="87"/>
  <c r="T132" i="87"/>
  <c r="T133" i="87"/>
  <c r="T134" i="87"/>
  <c r="T135" i="87"/>
  <c r="T136" i="87"/>
  <c r="T137" i="87"/>
  <c r="T138" i="87"/>
  <c r="T139" i="87"/>
  <c r="T140" i="87"/>
  <c r="T141" i="87"/>
  <c r="T142" i="87"/>
  <c r="T143" i="87"/>
  <c r="T144" i="87"/>
  <c r="T145" i="87"/>
  <c r="T146" i="87"/>
  <c r="T147" i="87"/>
  <c r="T148" i="87"/>
  <c r="T149" i="87"/>
  <c r="T150" i="87"/>
  <c r="T151" i="87"/>
  <c r="T152" i="87"/>
  <c r="T153" i="87"/>
  <c r="T154" i="87"/>
  <c r="T155" i="87"/>
  <c r="T156" i="87"/>
  <c r="T157" i="87"/>
  <c r="T158" i="87"/>
  <c r="T159" i="87"/>
  <c r="T160" i="87"/>
  <c r="T161" i="87"/>
  <c r="T162" i="87"/>
  <c r="T163" i="87"/>
  <c r="T164" i="87"/>
  <c r="T165" i="87"/>
  <c r="T166" i="87"/>
  <c r="T167" i="87"/>
  <c r="T168" i="87"/>
  <c r="T169" i="87"/>
  <c r="T170" i="87"/>
  <c r="T171" i="87"/>
  <c r="T172" i="87"/>
  <c r="T173" i="87"/>
  <c r="T174" i="87"/>
  <c r="T175" i="87"/>
  <c r="T176" i="87"/>
  <c r="T177" i="87"/>
  <c r="T178" i="87"/>
  <c r="T179" i="87"/>
  <c r="T180" i="87"/>
  <c r="T181" i="87"/>
  <c r="T182" i="87"/>
  <c r="T183" i="87"/>
  <c r="T184" i="87"/>
  <c r="T185" i="87"/>
  <c r="T186" i="87"/>
  <c r="T187" i="87"/>
  <c r="T188" i="87"/>
  <c r="T189" i="87"/>
  <c r="T190" i="87"/>
  <c r="T191" i="87"/>
  <c r="T192" i="87"/>
  <c r="T193" i="87"/>
  <c r="T194" i="87"/>
  <c r="T195" i="87"/>
  <c r="T196" i="87"/>
  <c r="T197" i="87"/>
  <c r="T198" i="87"/>
  <c r="T199" i="87"/>
  <c r="T200" i="87"/>
  <c r="T201" i="87"/>
  <c r="T202" i="87"/>
  <c r="T203" i="87"/>
  <c r="T204" i="87"/>
  <c r="T205" i="87"/>
  <c r="T206" i="87"/>
  <c r="T207" i="87"/>
  <c r="T208" i="87"/>
  <c r="T209" i="87"/>
  <c r="T210" i="87"/>
  <c r="T211" i="87"/>
  <c r="T212" i="87"/>
  <c r="T213" i="87"/>
  <c r="T214" i="87"/>
  <c r="T215" i="87"/>
  <c r="T216" i="87"/>
  <c r="T217" i="87"/>
  <c r="T218" i="87"/>
  <c r="T219" i="87"/>
  <c r="T220" i="87"/>
  <c r="T221" i="87"/>
  <c r="T222" i="87"/>
  <c r="T223" i="87"/>
  <c r="T224" i="87"/>
  <c r="T225" i="87"/>
  <c r="T226" i="87"/>
  <c r="T227" i="87"/>
  <c r="T228" i="87"/>
  <c r="T229" i="87"/>
  <c r="T230" i="87"/>
  <c r="T231" i="87"/>
  <c r="T232" i="87"/>
  <c r="T233" i="87"/>
  <c r="T234" i="87"/>
  <c r="T235" i="87"/>
  <c r="T236" i="87"/>
  <c r="T237" i="87"/>
  <c r="T238" i="87"/>
  <c r="T239" i="87"/>
  <c r="T240" i="87"/>
  <c r="T241" i="87"/>
  <c r="T242" i="87"/>
  <c r="T243" i="87"/>
  <c r="T244" i="87"/>
  <c r="T245" i="87"/>
  <c r="T246" i="87"/>
  <c r="T247" i="87"/>
  <c r="T248" i="87"/>
  <c r="T249" i="87"/>
  <c r="T250" i="87"/>
  <c r="T251" i="87"/>
  <c r="T252" i="87"/>
  <c r="T253" i="87"/>
  <c r="T254" i="87"/>
  <c r="T255" i="87"/>
  <c r="T256" i="87"/>
  <c r="T257" i="87"/>
  <c r="T258" i="87"/>
  <c r="T259" i="87"/>
  <c r="T260" i="87"/>
  <c r="T261" i="87"/>
  <c r="T262" i="87"/>
  <c r="T263" i="87"/>
  <c r="T264" i="87"/>
  <c r="T265" i="87"/>
  <c r="T266" i="87"/>
  <c r="T267" i="87"/>
  <c r="T268" i="87"/>
  <c r="T269" i="87"/>
  <c r="T270" i="87"/>
  <c r="T271" i="87"/>
  <c r="T272" i="87"/>
  <c r="T273" i="87"/>
  <c r="T274" i="87"/>
  <c r="T275" i="87"/>
  <c r="T276" i="87"/>
  <c r="T277" i="87"/>
  <c r="T278" i="87"/>
  <c r="T279" i="87"/>
  <c r="T280" i="87"/>
  <c r="T281" i="87"/>
  <c r="T282" i="87"/>
  <c r="T283" i="87"/>
  <c r="T284" i="87"/>
  <c r="T285" i="87"/>
  <c r="T286" i="87"/>
  <c r="T287" i="87"/>
  <c r="T288" i="87"/>
  <c r="T289" i="87"/>
  <c r="T290" i="87"/>
  <c r="T291" i="87"/>
  <c r="T292" i="87"/>
  <c r="T293" i="87"/>
  <c r="T294" i="87"/>
  <c r="T295" i="87"/>
  <c r="T296" i="87"/>
  <c r="T297" i="87"/>
  <c r="T298" i="87"/>
  <c r="T299" i="87"/>
  <c r="T300" i="87"/>
  <c r="T301" i="87"/>
  <c r="T302" i="87"/>
  <c r="T303" i="87"/>
  <c r="T304" i="87"/>
  <c r="T305" i="87"/>
  <c r="T306" i="87"/>
  <c r="T307" i="87"/>
  <c r="T308" i="87"/>
  <c r="T309" i="87"/>
  <c r="T310" i="87"/>
  <c r="T311" i="87"/>
  <c r="T312" i="87"/>
  <c r="T313" i="87"/>
  <c r="T314" i="87"/>
  <c r="T315" i="87"/>
  <c r="T316" i="87"/>
  <c r="T317" i="87"/>
  <c r="T318" i="87"/>
  <c r="T319" i="87"/>
  <c r="T320" i="87"/>
  <c r="T321" i="87"/>
  <c r="T322" i="87"/>
  <c r="T323" i="87"/>
  <c r="T324" i="87"/>
  <c r="T325" i="87"/>
  <c r="T326" i="87"/>
  <c r="T327" i="87"/>
  <c r="T328" i="87"/>
  <c r="T329" i="87"/>
  <c r="T330" i="87"/>
  <c r="T331" i="87"/>
  <c r="T332" i="87"/>
  <c r="T333" i="87"/>
  <c r="T334" i="87"/>
  <c r="T335" i="87"/>
  <c r="T336" i="87"/>
  <c r="T337" i="87"/>
  <c r="T338" i="87"/>
  <c r="T339" i="87"/>
  <c r="T340" i="87"/>
  <c r="T341" i="87"/>
  <c r="T342" i="87"/>
  <c r="T343" i="87"/>
  <c r="T344" i="87"/>
  <c r="T345" i="87"/>
  <c r="T346" i="87"/>
  <c r="T347" i="87"/>
  <c r="T348" i="87"/>
  <c r="T349" i="87"/>
  <c r="T350" i="87"/>
  <c r="T351" i="87"/>
  <c r="T352" i="87"/>
  <c r="T353" i="87"/>
  <c r="T354" i="87"/>
  <c r="T355" i="87"/>
  <c r="T356" i="87"/>
  <c r="T357" i="87"/>
  <c r="T358" i="87"/>
  <c r="T359" i="87"/>
  <c r="T360" i="87"/>
  <c r="T361" i="87"/>
  <c r="T362" i="87"/>
  <c r="T363" i="87"/>
  <c r="T364" i="87"/>
  <c r="T365" i="87"/>
  <c r="T366" i="87"/>
  <c r="T367" i="87"/>
  <c r="T368" i="87"/>
  <c r="T369" i="87"/>
  <c r="T370" i="87"/>
  <c r="T371" i="87"/>
  <c r="T372" i="87"/>
  <c r="T373" i="87"/>
  <c r="T374" i="87"/>
  <c r="T375" i="87"/>
  <c r="T376" i="87"/>
  <c r="T377" i="87"/>
  <c r="T378" i="87"/>
  <c r="T379" i="87"/>
  <c r="T380" i="87"/>
  <c r="T381" i="87"/>
  <c r="T382" i="87"/>
  <c r="T383" i="87"/>
  <c r="T384" i="87"/>
  <c r="T385" i="87"/>
  <c r="T386" i="87"/>
  <c r="T387" i="87"/>
  <c r="T388" i="87"/>
  <c r="T389" i="87"/>
  <c r="T390" i="87"/>
  <c r="T391" i="87"/>
  <c r="T392" i="87"/>
  <c r="T393" i="87"/>
  <c r="T394" i="87"/>
  <c r="T395" i="87"/>
  <c r="T396" i="87"/>
  <c r="T397" i="87"/>
  <c r="T398" i="87"/>
  <c r="T399" i="87"/>
  <c r="T400" i="87"/>
  <c r="T401" i="87"/>
  <c r="T402" i="87"/>
  <c r="S403" i="87"/>
  <c r="T403" i="87"/>
  <c r="S404" i="87"/>
  <c r="T404" i="87"/>
  <c r="S405" i="87"/>
  <c r="T405" i="87"/>
  <c r="S406" i="87"/>
  <c r="T406" i="87"/>
  <c r="T407" i="87"/>
  <c r="T408" i="87"/>
  <c r="T409" i="87"/>
  <c r="T410" i="87"/>
  <c r="T411" i="87"/>
  <c r="T412" i="87"/>
  <c r="T413" i="87"/>
  <c r="T414" i="87"/>
  <c r="T415" i="87"/>
  <c r="T416" i="87"/>
  <c r="T417" i="87"/>
  <c r="T418" i="87"/>
  <c r="T419" i="87"/>
  <c r="T420" i="87"/>
  <c r="T421" i="87"/>
  <c r="T422" i="87"/>
  <c r="T423" i="87"/>
  <c r="T424" i="87"/>
  <c r="T425" i="87"/>
  <c r="T426" i="87"/>
  <c r="T427" i="87"/>
  <c r="T428" i="87"/>
  <c r="T429" i="87"/>
  <c r="T430" i="87"/>
  <c r="T431" i="87"/>
  <c r="T432" i="87"/>
  <c r="T433" i="87"/>
  <c r="T434" i="87"/>
  <c r="T435" i="87"/>
  <c r="T436" i="87"/>
  <c r="T437" i="87"/>
  <c r="T438" i="87"/>
  <c r="T439" i="87"/>
  <c r="T440" i="87"/>
  <c r="T441" i="87"/>
  <c r="T442" i="87"/>
  <c r="T443" i="87"/>
  <c r="T444" i="87"/>
  <c r="T445" i="87"/>
  <c r="T446" i="87"/>
  <c r="T447" i="87"/>
  <c r="T448" i="87"/>
  <c r="T449" i="87"/>
  <c r="T450" i="87"/>
  <c r="T451" i="87"/>
  <c r="T452" i="87"/>
  <c r="T453" i="87"/>
  <c r="T454" i="87"/>
  <c r="T455" i="87"/>
  <c r="T456" i="87"/>
  <c r="T457" i="87"/>
  <c r="T458" i="87"/>
  <c r="T459" i="87"/>
  <c r="T460" i="87"/>
  <c r="T461" i="87"/>
  <c r="T462" i="87"/>
  <c r="T463" i="87"/>
  <c r="T464" i="87"/>
  <c r="T465" i="87"/>
  <c r="T466" i="87"/>
  <c r="T467" i="87"/>
  <c r="T468" i="87"/>
  <c r="T469" i="87"/>
  <c r="T470" i="87"/>
  <c r="T471" i="87"/>
  <c r="T472" i="87"/>
  <c r="T473" i="87"/>
  <c r="T474" i="87"/>
  <c r="T475" i="87"/>
  <c r="T476" i="87"/>
  <c r="T477" i="87"/>
  <c r="T478" i="87"/>
  <c r="T479" i="87"/>
  <c r="T480" i="87"/>
  <c r="T481" i="87"/>
  <c r="T482" i="87"/>
  <c r="T483" i="87"/>
  <c r="T484" i="87"/>
  <c r="T485" i="87"/>
  <c r="T486" i="87"/>
  <c r="T487" i="87"/>
  <c r="T488" i="87"/>
  <c r="T489" i="87"/>
  <c r="T490" i="87"/>
  <c r="T491" i="87"/>
  <c r="T492" i="87"/>
  <c r="T493" i="87"/>
  <c r="T494" i="87"/>
  <c r="T495" i="87"/>
  <c r="T496" i="87"/>
  <c r="T497" i="87"/>
  <c r="T498" i="87"/>
  <c r="T499" i="87"/>
  <c r="T500" i="87"/>
  <c r="T501" i="87"/>
  <c r="T502" i="87"/>
  <c r="T503" i="87"/>
  <c r="T504" i="87"/>
  <c r="T505" i="87"/>
  <c r="T506" i="87"/>
  <c r="T507" i="87"/>
  <c r="T508" i="87"/>
  <c r="T509" i="87"/>
  <c r="T510" i="87"/>
  <c r="T511" i="87"/>
  <c r="T512" i="87"/>
  <c r="T513" i="87"/>
  <c r="T514" i="87"/>
  <c r="T515" i="87"/>
  <c r="T516" i="87"/>
  <c r="T517" i="87"/>
  <c r="T518" i="87"/>
  <c r="T519" i="87"/>
  <c r="R3" i="87"/>
  <c r="R4" i="87"/>
  <c r="R5" i="87"/>
  <c r="R6" i="87"/>
  <c r="R7" i="87"/>
  <c r="R8" i="87"/>
  <c r="R9" i="87"/>
  <c r="R10" i="87"/>
  <c r="R11" i="87"/>
  <c r="R12" i="87"/>
  <c r="R13" i="87"/>
  <c r="R14" i="87"/>
  <c r="R15" i="87"/>
  <c r="R16" i="87"/>
  <c r="R17" i="87"/>
  <c r="R18" i="87"/>
  <c r="R19" i="87"/>
  <c r="R20" i="87"/>
  <c r="R21" i="87"/>
  <c r="R22" i="87"/>
  <c r="R23" i="87"/>
  <c r="R24" i="87"/>
  <c r="R25" i="87"/>
  <c r="R26" i="87"/>
  <c r="R27" i="87"/>
  <c r="R29" i="87"/>
  <c r="R30" i="87"/>
  <c r="R31" i="87"/>
  <c r="R32" i="87"/>
  <c r="R33" i="87"/>
  <c r="R34" i="87"/>
  <c r="R35" i="87"/>
  <c r="R38" i="87"/>
  <c r="R39" i="87"/>
  <c r="R40" i="87"/>
  <c r="R41" i="87"/>
  <c r="R43" i="87"/>
  <c r="R44" i="87"/>
  <c r="R45" i="87"/>
  <c r="R46" i="87"/>
  <c r="R47" i="87"/>
  <c r="R48" i="87"/>
  <c r="R49" i="87"/>
  <c r="R50" i="87"/>
  <c r="R51" i="87"/>
  <c r="R52" i="87"/>
  <c r="R53" i="87"/>
  <c r="R54" i="87"/>
  <c r="R55" i="87"/>
  <c r="R56" i="87"/>
  <c r="R57" i="87"/>
  <c r="R58" i="87"/>
  <c r="R59" i="87"/>
  <c r="R60" i="87"/>
  <c r="R61" i="87"/>
  <c r="R62" i="87"/>
  <c r="R63" i="87"/>
  <c r="R65" i="87"/>
  <c r="R66" i="87"/>
  <c r="R67" i="87"/>
  <c r="R68" i="87"/>
  <c r="R69" i="87"/>
  <c r="R70" i="87"/>
  <c r="R71" i="87"/>
  <c r="R72" i="87"/>
  <c r="R73" i="87"/>
  <c r="R74" i="87"/>
  <c r="R75" i="87"/>
  <c r="R76" i="87"/>
  <c r="R77" i="87"/>
  <c r="R78" i="87"/>
  <c r="R79" i="87"/>
  <c r="R80" i="87"/>
  <c r="R81" i="87"/>
  <c r="R82" i="87"/>
  <c r="R83" i="87"/>
  <c r="R84" i="87"/>
  <c r="R85" i="87"/>
  <c r="R86" i="87"/>
  <c r="R87" i="87"/>
  <c r="R88" i="87"/>
  <c r="R89" i="87"/>
  <c r="R90" i="87"/>
  <c r="R91" i="87"/>
  <c r="R92" i="87"/>
  <c r="R93" i="87"/>
  <c r="R94" i="87"/>
  <c r="R95" i="87"/>
  <c r="R96" i="87"/>
  <c r="R98" i="87"/>
  <c r="R99" i="87"/>
  <c r="R100" i="87"/>
  <c r="R101" i="87"/>
  <c r="R102" i="87"/>
  <c r="R103" i="87"/>
  <c r="R104" i="87"/>
  <c r="R105" i="87"/>
  <c r="R106" i="87"/>
  <c r="R107" i="87"/>
  <c r="R108" i="87"/>
  <c r="R109" i="87"/>
  <c r="R110" i="87"/>
  <c r="R111" i="87"/>
  <c r="R112" i="87"/>
  <c r="R113" i="87"/>
  <c r="R114" i="87"/>
  <c r="R115" i="87"/>
  <c r="R116" i="87"/>
  <c r="R117" i="87"/>
  <c r="R118" i="87"/>
  <c r="R119" i="87"/>
  <c r="R121" i="87"/>
  <c r="R122" i="87"/>
  <c r="R123" i="87"/>
  <c r="R124" i="87"/>
  <c r="R125" i="87"/>
  <c r="R126" i="87"/>
  <c r="R127" i="87"/>
  <c r="R128" i="87"/>
  <c r="R129" i="87"/>
  <c r="R130" i="87"/>
  <c r="R131" i="87"/>
  <c r="R132" i="87"/>
  <c r="R133" i="87"/>
  <c r="R134" i="87"/>
  <c r="R135" i="87"/>
  <c r="R136" i="87"/>
  <c r="R137" i="87"/>
  <c r="R138" i="87"/>
  <c r="R139" i="87"/>
  <c r="R140" i="87"/>
  <c r="R141" i="87"/>
  <c r="R142" i="87"/>
  <c r="R143" i="87"/>
  <c r="R144" i="87"/>
  <c r="R145" i="87"/>
  <c r="R146" i="87"/>
  <c r="R147" i="87"/>
  <c r="R148" i="87"/>
  <c r="R152" i="87"/>
  <c r="R153" i="87"/>
  <c r="R155" i="87"/>
  <c r="R156" i="87"/>
  <c r="R157" i="87"/>
  <c r="R158" i="87"/>
  <c r="R159" i="87"/>
  <c r="R160" i="87"/>
  <c r="R161" i="87"/>
  <c r="R162" i="87"/>
  <c r="R163" i="87"/>
  <c r="R164" i="87"/>
  <c r="R165" i="87"/>
  <c r="R166" i="87"/>
  <c r="R167" i="87"/>
  <c r="R168" i="87"/>
  <c r="R170" i="87"/>
  <c r="R171" i="87"/>
  <c r="R172" i="87"/>
  <c r="R173" i="87"/>
  <c r="R174" i="87"/>
  <c r="R175" i="87"/>
  <c r="R176" i="87"/>
  <c r="R177" i="87"/>
  <c r="R178" i="87"/>
  <c r="R180" i="87"/>
  <c r="R181" i="87"/>
  <c r="R182" i="87"/>
  <c r="R183" i="87"/>
  <c r="R184" i="87"/>
  <c r="R185" i="87"/>
  <c r="R186" i="87"/>
  <c r="R187" i="87"/>
  <c r="R188" i="87"/>
  <c r="R189" i="87"/>
  <c r="R190" i="87"/>
  <c r="R191" i="87"/>
  <c r="R192" i="87"/>
  <c r="R193" i="87"/>
  <c r="R194" i="87"/>
  <c r="R195" i="87"/>
  <c r="R196" i="87"/>
  <c r="R197" i="87"/>
  <c r="R198" i="87"/>
  <c r="R199" i="87"/>
  <c r="R200" i="87"/>
  <c r="R201" i="87"/>
  <c r="R202" i="87"/>
  <c r="R203" i="87"/>
  <c r="R204" i="87"/>
  <c r="R205" i="87"/>
  <c r="R206" i="87"/>
  <c r="R207" i="87"/>
  <c r="R208" i="87"/>
  <c r="R209" i="87"/>
  <c r="R210" i="87"/>
  <c r="R211" i="87"/>
  <c r="R212" i="87"/>
  <c r="R213" i="87"/>
  <c r="R214" i="87"/>
  <c r="R215" i="87"/>
  <c r="R216" i="87"/>
  <c r="R217" i="87"/>
  <c r="R218" i="87"/>
  <c r="R219" i="87"/>
  <c r="R220" i="87"/>
  <c r="R221" i="87"/>
  <c r="R222" i="87"/>
  <c r="R223" i="87"/>
  <c r="R224" i="87"/>
  <c r="R225" i="87"/>
  <c r="R226" i="87"/>
  <c r="R228" i="87"/>
  <c r="R229" i="87"/>
  <c r="R230" i="87"/>
  <c r="R231" i="87"/>
  <c r="R233" i="87"/>
  <c r="R234" i="87"/>
  <c r="R235" i="87"/>
  <c r="R236" i="87"/>
  <c r="R237" i="87"/>
  <c r="R238" i="87"/>
  <c r="R239" i="87"/>
  <c r="R240" i="87"/>
  <c r="R241" i="87"/>
  <c r="R242" i="87"/>
  <c r="R243" i="87"/>
  <c r="R244" i="87"/>
  <c r="R245" i="87"/>
  <c r="R246" i="87"/>
  <c r="R247" i="87"/>
  <c r="R248" i="87"/>
  <c r="R249" i="87"/>
  <c r="R250" i="87"/>
  <c r="R251" i="87"/>
  <c r="R252" i="87"/>
  <c r="R253" i="87"/>
  <c r="R254" i="87"/>
  <c r="R255" i="87"/>
  <c r="R256" i="87"/>
  <c r="R257" i="87"/>
  <c r="R258" i="87"/>
  <c r="R259" i="87"/>
  <c r="R260" i="87"/>
  <c r="R261" i="87"/>
  <c r="R262" i="87"/>
  <c r="R263" i="87"/>
  <c r="R264" i="87"/>
  <c r="R265" i="87"/>
  <c r="R266" i="87"/>
  <c r="R268" i="87"/>
  <c r="R269" i="87"/>
  <c r="R270" i="87"/>
  <c r="R271" i="87"/>
  <c r="R272" i="87"/>
  <c r="R273" i="87"/>
  <c r="R274" i="87"/>
  <c r="R275" i="87"/>
  <c r="R276" i="87"/>
  <c r="R277" i="87"/>
  <c r="R278" i="87"/>
  <c r="R279" i="87"/>
  <c r="R280" i="87"/>
  <c r="R281" i="87"/>
  <c r="R282" i="87"/>
  <c r="R283" i="87"/>
  <c r="R284" i="87"/>
  <c r="R285" i="87"/>
  <c r="R286" i="87"/>
  <c r="R287" i="87"/>
  <c r="R288" i="87"/>
  <c r="R289" i="87"/>
  <c r="R290" i="87"/>
  <c r="R291" i="87"/>
  <c r="R292" i="87"/>
  <c r="R293" i="87"/>
  <c r="R294" i="87"/>
  <c r="R295" i="87"/>
  <c r="R296" i="87"/>
  <c r="R297" i="87"/>
  <c r="R298" i="87"/>
  <c r="R299" i="87"/>
  <c r="R300" i="87"/>
  <c r="R301" i="87"/>
  <c r="R302" i="87"/>
  <c r="R304" i="87"/>
  <c r="R305" i="87"/>
  <c r="R307" i="87"/>
  <c r="R308" i="87"/>
  <c r="R309" i="87"/>
  <c r="R310" i="87"/>
  <c r="R311" i="87"/>
  <c r="R312" i="87"/>
  <c r="R313" i="87"/>
  <c r="R314" i="87"/>
  <c r="R315" i="87"/>
  <c r="R316" i="87"/>
  <c r="R317" i="87"/>
  <c r="R318" i="87"/>
  <c r="R319" i="87"/>
  <c r="R320" i="87"/>
  <c r="R321" i="87"/>
  <c r="R322" i="87"/>
  <c r="R323" i="87"/>
  <c r="R324" i="87"/>
  <c r="R325" i="87"/>
  <c r="R326" i="87"/>
  <c r="R327" i="87"/>
  <c r="R328" i="87"/>
  <c r="R329" i="87"/>
  <c r="R330" i="87"/>
  <c r="R331" i="87"/>
  <c r="R332" i="87"/>
  <c r="R333" i="87"/>
  <c r="R334" i="87"/>
  <c r="R336" i="87"/>
  <c r="R337" i="87"/>
  <c r="R338" i="87"/>
  <c r="R339" i="87"/>
  <c r="R340" i="87"/>
  <c r="R341" i="87"/>
  <c r="R342" i="87"/>
  <c r="R343" i="87"/>
  <c r="R344" i="87"/>
  <c r="R345" i="87"/>
  <c r="R346" i="87"/>
  <c r="R347" i="87"/>
  <c r="R348" i="87"/>
  <c r="R349" i="87"/>
  <c r="R350" i="87"/>
  <c r="R351" i="87"/>
  <c r="R352" i="87"/>
  <c r="R353" i="87"/>
  <c r="R354" i="87"/>
  <c r="R355" i="87"/>
  <c r="R356" i="87"/>
  <c r="R357" i="87"/>
  <c r="R358" i="87"/>
  <c r="R359" i="87"/>
  <c r="R360" i="87"/>
  <c r="R361" i="87"/>
  <c r="R362" i="87"/>
  <c r="R363" i="87"/>
  <c r="R364" i="87"/>
  <c r="R365" i="87"/>
  <c r="R366" i="87"/>
  <c r="R367" i="87"/>
  <c r="R368" i="87"/>
  <c r="R369" i="87"/>
  <c r="R370" i="87"/>
  <c r="R371" i="87"/>
  <c r="R372" i="87"/>
  <c r="R373" i="87"/>
  <c r="R374" i="87"/>
  <c r="R375" i="87"/>
  <c r="R376" i="87"/>
  <c r="R377" i="87"/>
  <c r="R378" i="87"/>
  <c r="R379" i="87"/>
  <c r="R380" i="87"/>
  <c r="R381" i="87"/>
  <c r="R382" i="87"/>
  <c r="R383" i="87"/>
  <c r="R384" i="87"/>
  <c r="R385" i="87"/>
  <c r="R386" i="87"/>
  <c r="R387" i="87"/>
  <c r="R388" i="87"/>
  <c r="R389" i="87"/>
  <c r="R390" i="87"/>
  <c r="R393" i="87"/>
  <c r="R394" i="87"/>
  <c r="R395" i="87"/>
  <c r="R396" i="87"/>
  <c r="R397" i="87"/>
  <c r="R398" i="87"/>
  <c r="R399" i="87"/>
  <c r="R400" i="87"/>
  <c r="R401" i="87"/>
  <c r="R402" i="87"/>
  <c r="R403" i="87"/>
  <c r="R404" i="87"/>
  <c r="R405" i="87"/>
  <c r="R406" i="87"/>
  <c r="R407" i="87"/>
  <c r="R408" i="87"/>
  <c r="R409" i="87"/>
  <c r="R411" i="87"/>
  <c r="R412" i="87"/>
  <c r="R413" i="87"/>
  <c r="R415" i="87"/>
  <c r="R416" i="87"/>
  <c r="R417" i="87"/>
  <c r="R418" i="87"/>
  <c r="R419" i="87"/>
  <c r="R420" i="87"/>
  <c r="R421" i="87"/>
  <c r="R429" i="87"/>
  <c r="R432" i="87"/>
  <c r="R434" i="87"/>
  <c r="R436" i="87"/>
  <c r="R437" i="87"/>
  <c r="R438" i="87"/>
  <c r="R444" i="87"/>
  <c r="R445" i="87"/>
  <c r="R446" i="87"/>
  <c r="R448" i="87"/>
  <c r="R449" i="87"/>
  <c r="R450" i="87"/>
  <c r="R452" i="87"/>
  <c r="R453" i="87"/>
  <c r="R454" i="87"/>
  <c r="R457" i="87"/>
  <c r="R460" i="87"/>
  <c r="R461" i="87"/>
  <c r="R462" i="87"/>
  <c r="R464" i="87"/>
  <c r="R465" i="87"/>
  <c r="R466" i="87"/>
  <c r="R467" i="87"/>
  <c r="R468" i="87"/>
  <c r="R470" i="87"/>
  <c r="R471" i="87"/>
  <c r="R472" i="87"/>
  <c r="R473" i="87"/>
  <c r="R474" i="87"/>
  <c r="R476" i="87"/>
  <c r="R477" i="87"/>
  <c r="R478" i="87"/>
  <c r="R479" i="87"/>
  <c r="R480" i="87"/>
  <c r="R481" i="87"/>
  <c r="R482" i="87"/>
  <c r="R484" i="87"/>
  <c r="R485" i="87"/>
  <c r="R486" i="87"/>
  <c r="R487" i="87"/>
  <c r="R488" i="87"/>
  <c r="R489" i="87"/>
  <c r="R490" i="87"/>
  <c r="R492" i="87"/>
  <c r="R493" i="87"/>
  <c r="R494" i="87"/>
  <c r="R495" i="87"/>
  <c r="R497" i="87"/>
  <c r="R500" i="87"/>
  <c r="R501" i="87"/>
  <c r="R504" i="87"/>
  <c r="R505" i="87"/>
  <c r="R506" i="87"/>
  <c r="R508" i="87"/>
  <c r="R509" i="87"/>
  <c r="R513" i="87"/>
  <c r="R514" i="87"/>
  <c r="R516" i="87"/>
  <c r="R517" i="87"/>
  <c r="R520" i="87"/>
  <c r="A130" i="48"/>
  <c r="K130" i="48" s="1"/>
  <c r="L499" i="77"/>
  <c r="L585" i="77"/>
  <c r="L1462" i="77"/>
  <c r="L1465" i="77"/>
  <c r="L1479" i="77"/>
  <c r="L290" i="77"/>
  <c r="L291" i="77"/>
  <c r="L292" i="77"/>
  <c r="L293" i="77"/>
  <c r="L294" i="77"/>
  <c r="L295" i="77"/>
  <c r="L296" i="77"/>
  <c r="L297" i="77"/>
  <c r="L298" i="77"/>
  <c r="L299" i="77"/>
  <c r="L300" i="77"/>
  <c r="L315" i="77"/>
  <c r="L316" i="77"/>
  <c r="L317" i="77"/>
  <c r="L23" i="77"/>
  <c r="L24" i="77"/>
  <c r="L318" i="77"/>
  <c r="L319" i="77"/>
  <c r="L9" i="77"/>
  <c r="L10" i="77"/>
  <c r="L11" i="77"/>
  <c r="L12" i="77"/>
  <c r="L13" i="77"/>
  <c r="L14" i="77"/>
  <c r="L33" i="77"/>
  <c r="L34" i="77"/>
  <c r="L35" i="77"/>
  <c r="L15" i="77"/>
  <c r="L16" i="77"/>
  <c r="L17" i="77"/>
  <c r="L18" i="77"/>
  <c r="L19" i="77"/>
  <c r="L41" i="77"/>
  <c r="L42" i="77"/>
  <c r="L43" i="77"/>
  <c r="L44" i="77"/>
  <c r="L45" i="77"/>
  <c r="L46" i="77"/>
  <c r="L47" i="77"/>
  <c r="L48" i="77"/>
  <c r="L49" i="77"/>
  <c r="L50" i="77"/>
  <c r="L51" i="77"/>
  <c r="L52" i="77"/>
  <c r="L53" i="77"/>
  <c r="L54" i="77"/>
  <c r="L55" i="77"/>
  <c r="L56" i="77"/>
  <c r="L57" i="77"/>
  <c r="L58" i="77"/>
  <c r="L59" i="77"/>
  <c r="L60" i="77"/>
  <c r="L61" i="77"/>
  <c r="L320" i="77"/>
  <c r="L63" i="77"/>
  <c r="L64" i="77"/>
  <c r="L65" i="77"/>
  <c r="L66" i="77"/>
  <c r="L67" i="77"/>
  <c r="L68" i="77"/>
  <c r="L69" i="77"/>
  <c r="L70" i="77"/>
  <c r="L71" i="77"/>
  <c r="L72" i="77"/>
  <c r="L73" i="77"/>
  <c r="L74" i="77"/>
  <c r="L323" i="77"/>
  <c r="L337" i="77"/>
  <c r="L338" i="77"/>
  <c r="L339" i="77"/>
  <c r="L340" i="77"/>
  <c r="L80" i="77"/>
  <c r="L81" i="77"/>
  <c r="L82" i="77"/>
  <c r="L83" i="77"/>
  <c r="L84" i="77"/>
  <c r="L85" i="77"/>
  <c r="L86" i="77"/>
  <c r="L87" i="77"/>
  <c r="L88" i="77"/>
  <c r="L89" i="77"/>
  <c r="L90" i="77"/>
  <c r="L341" i="77"/>
  <c r="L92" i="77"/>
  <c r="L93" i="77"/>
  <c r="L94" i="77"/>
  <c r="L95" i="77"/>
  <c r="L96" i="77"/>
  <c r="L97" i="77"/>
  <c r="L98" i="77"/>
  <c r="L99" i="77"/>
  <c r="L100" i="77"/>
  <c r="L101" i="77"/>
  <c r="L102" i="77"/>
  <c r="L103" i="77"/>
  <c r="L104" i="77"/>
  <c r="L105" i="77"/>
  <c r="L342" i="77"/>
  <c r="L343" i="77"/>
  <c r="L344" i="77"/>
  <c r="L345" i="77"/>
  <c r="L346" i="77"/>
  <c r="L111" i="77"/>
  <c r="L20" i="77"/>
  <c r="L21" i="77"/>
  <c r="L22" i="77"/>
  <c r="L25" i="77"/>
  <c r="L26" i="77"/>
  <c r="L27" i="77"/>
  <c r="L118" i="77"/>
  <c r="L119" i="77"/>
  <c r="L120" i="77"/>
  <c r="L121" i="77"/>
  <c r="L122" i="77"/>
  <c r="L123" i="77"/>
  <c r="L124" i="77"/>
  <c r="L125" i="77"/>
  <c r="L347" i="77"/>
  <c r="L348" i="77"/>
  <c r="L349" i="77"/>
  <c r="L350" i="77"/>
  <c r="L384" i="77"/>
  <c r="L385" i="77"/>
  <c r="L386" i="77"/>
  <c r="L387" i="77"/>
  <c r="L388" i="77"/>
  <c r="L389" i="77"/>
  <c r="L390" i="77"/>
  <c r="L391" i="77"/>
  <c r="L392" i="77"/>
  <c r="L393" i="77"/>
  <c r="L394" i="77"/>
  <c r="L395" i="77"/>
  <c r="L142" i="77"/>
  <c r="L143" i="77"/>
  <c r="L144" i="77"/>
  <c r="L145" i="77"/>
  <c r="L146" i="77"/>
  <c r="L147" i="77"/>
  <c r="L148" i="77"/>
  <c r="L149" i="77"/>
  <c r="L150" i="77"/>
  <c r="L151" i="77"/>
  <c r="L152" i="77"/>
  <c r="L153" i="77"/>
  <c r="L154" i="77"/>
  <c r="L155" i="77"/>
  <c r="L28" i="77"/>
  <c r="L29" i="77"/>
  <c r="L30" i="77"/>
  <c r="L31" i="77"/>
  <c r="L32" i="77"/>
  <c r="L36" i="77"/>
  <c r="L37" i="77"/>
  <c r="L38" i="77"/>
  <c r="L39" i="77"/>
  <c r="L40" i="77"/>
  <c r="L62" i="77"/>
  <c r="L167" i="77"/>
  <c r="L396" i="77"/>
  <c r="L397" i="77"/>
  <c r="L398" i="77"/>
  <c r="L399" i="77"/>
  <c r="L400" i="77"/>
  <c r="L401" i="77"/>
  <c r="L402" i="77"/>
  <c r="L403" i="77"/>
  <c r="L404" i="77"/>
  <c r="L405" i="77"/>
  <c r="L406" i="77"/>
  <c r="L407" i="77"/>
  <c r="L439" i="77"/>
  <c r="L181" i="77"/>
  <c r="L182" i="77"/>
  <c r="L183" i="77"/>
  <c r="L184" i="77"/>
  <c r="L185" i="77"/>
  <c r="L186" i="77"/>
  <c r="L187" i="77"/>
  <c r="L188" i="77"/>
  <c r="L189" i="77"/>
  <c r="L190" i="77"/>
  <c r="L191" i="77"/>
  <c r="L192" i="77"/>
  <c r="L193" i="77"/>
  <c r="L194" i="77"/>
  <c r="L195" i="77"/>
  <c r="L196" i="77"/>
  <c r="L197" i="77"/>
  <c r="L198" i="77"/>
  <c r="L199" i="77"/>
  <c r="L443" i="77"/>
  <c r="L444" i="77"/>
  <c r="L445" i="77"/>
  <c r="L469" i="77"/>
  <c r="L503" i="77"/>
  <c r="L504" i="77"/>
  <c r="L206" i="77"/>
  <c r="L207" i="77"/>
  <c r="L208" i="77"/>
  <c r="L209" i="77"/>
  <c r="L210" i="77"/>
  <c r="L211" i="77"/>
  <c r="L212" i="77"/>
  <c r="L213" i="77"/>
  <c r="L214" i="77"/>
  <c r="L215" i="77"/>
  <c r="L216" i="77"/>
  <c r="L217" i="77"/>
  <c r="L218" i="77"/>
  <c r="L219" i="77"/>
  <c r="L220" i="77"/>
  <c r="L505" i="77"/>
  <c r="L506" i="77"/>
  <c r="L223" i="77"/>
  <c r="L224" i="77"/>
  <c r="L225" i="77"/>
  <c r="L226" i="77"/>
  <c r="L227" i="77"/>
  <c r="L228" i="77"/>
  <c r="L229" i="77"/>
  <c r="L230" i="77"/>
  <c r="L231" i="77"/>
  <c r="L232" i="77"/>
  <c r="L233" i="77"/>
  <c r="L234" i="77"/>
  <c r="L507" i="77"/>
  <c r="L508" i="77"/>
  <c r="L509" i="77"/>
  <c r="L510" i="77"/>
  <c r="L548" i="77"/>
  <c r="L549" i="77"/>
  <c r="L550" i="77"/>
  <c r="L551" i="77"/>
  <c r="L599" i="77"/>
  <c r="L600" i="77"/>
  <c r="L601" i="77"/>
  <c r="L602" i="77"/>
  <c r="L247" i="77"/>
  <c r="L248" i="77"/>
  <c r="L249" i="77"/>
  <c r="L250" i="77"/>
  <c r="L251" i="77"/>
  <c r="L252" i="77"/>
  <c r="L253" i="77"/>
  <c r="L254" i="77"/>
  <c r="L255" i="77"/>
  <c r="L256" i="77"/>
  <c r="L257" i="77"/>
  <c r="L258" i="77"/>
  <c r="L259" i="77"/>
  <c r="L260" i="77"/>
  <c r="L261" i="77"/>
  <c r="L262" i="77"/>
  <c r="L263" i="77"/>
  <c r="L264" i="77"/>
  <c r="L603" i="77"/>
  <c r="L691" i="77"/>
  <c r="L767" i="77"/>
  <c r="L768" i="77"/>
  <c r="L769" i="77"/>
  <c r="L827" i="77"/>
  <c r="L843" i="77"/>
  <c r="L844" i="77"/>
  <c r="L75" i="77"/>
  <c r="L76" i="77"/>
  <c r="L77" i="77"/>
  <c r="L78" i="77"/>
  <c r="L79" i="77"/>
  <c r="L91" i="77"/>
  <c r="L279" i="77"/>
  <c r="L845" i="77"/>
  <c r="L849" i="77"/>
  <c r="L850" i="77"/>
  <c r="L851" i="77"/>
  <c r="L864" i="77"/>
  <c r="L865" i="77"/>
  <c r="L866" i="77"/>
  <c r="L894" i="77"/>
  <c r="L106" i="77"/>
  <c r="L107" i="77"/>
  <c r="L108" i="77"/>
  <c r="L109" i="77"/>
  <c r="L110" i="77"/>
  <c r="L112" i="77"/>
  <c r="L113" i="77"/>
  <c r="L114" i="77"/>
  <c r="L115" i="77"/>
  <c r="L116" i="77"/>
  <c r="L117" i="77"/>
  <c r="L126" i="77"/>
  <c r="L127" i="77"/>
  <c r="L301" i="77"/>
  <c r="L302" i="77"/>
  <c r="L303" i="77"/>
  <c r="L304" i="77"/>
  <c r="L305" i="77"/>
  <c r="L306" i="77"/>
  <c r="L307" i="77"/>
  <c r="L308" i="77"/>
  <c r="L309" i="77"/>
  <c r="L310" i="77"/>
  <c r="L311" i="77"/>
  <c r="L312" i="77"/>
  <c r="L313" i="77"/>
  <c r="L314" i="77"/>
  <c r="L128" i="77"/>
  <c r="L129" i="77"/>
  <c r="L130" i="77"/>
  <c r="L131" i="77"/>
  <c r="L132" i="77"/>
  <c r="L133" i="77"/>
  <c r="L321" i="77"/>
  <c r="L322" i="77"/>
  <c r="L904" i="77"/>
  <c r="L324" i="77"/>
  <c r="L325" i="77"/>
  <c r="L326" i="77"/>
  <c r="L327" i="77"/>
  <c r="L328" i="77"/>
  <c r="L329" i="77"/>
  <c r="L330" i="77"/>
  <c r="L331" i="77"/>
  <c r="L332" i="77"/>
  <c r="L333" i="77"/>
  <c r="L334" i="77"/>
  <c r="L335" i="77"/>
  <c r="L336" i="77"/>
  <c r="L905" i="77"/>
  <c r="L906" i="77"/>
  <c r="L907" i="77"/>
  <c r="L908" i="77"/>
  <c r="L909" i="77"/>
  <c r="L928" i="77"/>
  <c r="L929" i="77"/>
  <c r="L930" i="77"/>
  <c r="L996" i="77"/>
  <c r="L997" i="77"/>
  <c r="L1025" i="77"/>
  <c r="L1026" i="77"/>
  <c r="L1027" i="77"/>
  <c r="L1028" i="77"/>
  <c r="L351" i="77"/>
  <c r="L352" i="77"/>
  <c r="L353" i="77"/>
  <c r="L354" i="77"/>
  <c r="L355" i="77"/>
  <c r="L356" i="77"/>
  <c r="L357" i="77"/>
  <c r="L358" i="77"/>
  <c r="L359" i="77"/>
  <c r="L360" i="77"/>
  <c r="L361" i="77"/>
  <c r="L362" i="77"/>
  <c r="L363" i="77"/>
  <c r="L364" i="77"/>
  <c r="L365" i="77"/>
  <c r="L366" i="77"/>
  <c r="L367" i="77"/>
  <c r="L368" i="77"/>
  <c r="L369" i="77"/>
  <c r="L370" i="77"/>
  <c r="L371" i="77"/>
  <c r="L372" i="77"/>
  <c r="L373" i="77"/>
  <c r="L374" i="77"/>
  <c r="L375" i="77"/>
  <c r="L376" i="77"/>
  <c r="L377" i="77"/>
  <c r="L378" i="77"/>
  <c r="L379" i="77"/>
  <c r="L380" i="77"/>
  <c r="L381" i="77"/>
  <c r="L382" i="77"/>
  <c r="L383" i="77"/>
  <c r="L134" i="77"/>
  <c r="L135" i="77"/>
  <c r="L136" i="77"/>
  <c r="L137" i="77"/>
  <c r="L138" i="77"/>
  <c r="L139" i="77"/>
  <c r="L140" i="77"/>
  <c r="L141" i="77"/>
  <c r="L156" i="77"/>
  <c r="L157" i="77"/>
  <c r="L158" i="77"/>
  <c r="L159" i="77"/>
  <c r="L1031" i="77"/>
  <c r="L1032" i="77"/>
  <c r="L1033" i="77"/>
  <c r="L1034" i="77"/>
  <c r="L1035" i="77"/>
  <c r="L1036" i="77"/>
  <c r="L1040" i="77"/>
  <c r="L1041" i="77"/>
  <c r="L1043" i="77"/>
  <c r="L1136" i="77"/>
  <c r="L1137" i="77"/>
  <c r="L1204" i="77"/>
  <c r="L408" i="77"/>
  <c r="L409" i="77"/>
  <c r="L410" i="77"/>
  <c r="L411" i="77"/>
  <c r="L412" i="77"/>
  <c r="L413" i="77"/>
  <c r="L415" i="77"/>
  <c r="L416" i="77"/>
  <c r="L417" i="77"/>
  <c r="L418" i="77"/>
  <c r="L419" i="77"/>
  <c r="L420" i="77"/>
  <c r="L421" i="77"/>
  <c r="L422" i="77"/>
  <c r="L423" i="77"/>
  <c r="L424" i="77"/>
  <c r="L425" i="77"/>
  <c r="L426" i="77"/>
  <c r="L427" i="77"/>
  <c r="L428" i="77"/>
  <c r="L429" i="77"/>
  <c r="L430" i="77"/>
  <c r="L431" i="77"/>
  <c r="L432" i="77"/>
  <c r="L433" i="77"/>
  <c r="L434" i="77"/>
  <c r="L435" i="77"/>
  <c r="L436" i="77"/>
  <c r="L438" i="77"/>
  <c r="L1205" i="77"/>
  <c r="L440" i="77"/>
  <c r="L441" i="77"/>
  <c r="L442" i="77"/>
  <c r="L1206" i="77"/>
  <c r="L447" i="77"/>
  <c r="L448" i="77"/>
  <c r="L449" i="77"/>
  <c r="L450" i="77"/>
  <c r="L453" i="77"/>
  <c r="L455" i="77"/>
  <c r="L456" i="77"/>
  <c r="L457" i="77"/>
  <c r="L458" i="77"/>
  <c r="L459" i="77"/>
  <c r="L460" i="77"/>
  <c r="L461" i="77"/>
  <c r="L462" i="77"/>
  <c r="L463" i="77"/>
  <c r="L464" i="77"/>
  <c r="L465" i="77"/>
  <c r="L466" i="77"/>
  <c r="L467" i="77"/>
  <c r="L468" i="77"/>
  <c r="L472" i="77"/>
  <c r="L473" i="77"/>
  <c r="L474" i="77"/>
  <c r="L475" i="77"/>
  <c r="L476" i="77"/>
  <c r="L477" i="77"/>
  <c r="L478" i="77"/>
  <c r="L479" i="77"/>
  <c r="L481" i="77"/>
  <c r="L482" i="77"/>
  <c r="L483" i="77"/>
  <c r="L484" i="77"/>
  <c r="L485" i="77"/>
  <c r="L486" i="77"/>
  <c r="L487" i="77"/>
  <c r="L488" i="77"/>
  <c r="L489" i="77"/>
  <c r="L490" i="77"/>
  <c r="L491" i="77"/>
  <c r="L492" i="77"/>
  <c r="L493" i="77"/>
  <c r="L494" i="77"/>
  <c r="L495" i="77"/>
  <c r="L496" i="77"/>
  <c r="L497" i="77"/>
  <c r="L500" i="77"/>
  <c r="L501" i="77"/>
  <c r="L502" i="77"/>
  <c r="L1210" i="77"/>
  <c r="L1232" i="77"/>
  <c r="L1233" i="77"/>
  <c r="L1234" i="77"/>
  <c r="L1256" i="77"/>
  <c r="L1257" i="77"/>
  <c r="L1296" i="77"/>
  <c r="L1302" i="77"/>
  <c r="L511" i="77"/>
  <c r="L512" i="77"/>
  <c r="L513" i="77"/>
  <c r="L515" i="77"/>
  <c r="L516" i="77"/>
  <c r="L517" i="77"/>
  <c r="L518" i="77"/>
  <c r="L519" i="77"/>
  <c r="L520" i="77"/>
  <c r="L521" i="77"/>
  <c r="L522" i="77"/>
  <c r="L523" i="77"/>
  <c r="L524" i="77"/>
  <c r="L525" i="77"/>
  <c r="L526" i="77"/>
  <c r="L527" i="77"/>
  <c r="L528" i="77"/>
  <c r="L529" i="77"/>
  <c r="L530" i="77"/>
  <c r="L531" i="77"/>
  <c r="L532" i="77"/>
  <c r="L533" i="77"/>
  <c r="L534" i="77"/>
  <c r="L535" i="77"/>
  <c r="L536" i="77"/>
  <c r="L537" i="77"/>
  <c r="L538" i="77"/>
  <c r="L539" i="77"/>
  <c r="L540" i="77"/>
  <c r="L541" i="77"/>
  <c r="L542" i="77"/>
  <c r="L543" i="77"/>
  <c r="L544" i="77"/>
  <c r="L545" i="77"/>
  <c r="L546" i="77"/>
  <c r="L547" i="77"/>
  <c r="L1441" i="77"/>
  <c r="L552" i="77"/>
  <c r="L553" i="77"/>
  <c r="L554" i="77"/>
  <c r="L555" i="77"/>
  <c r="L556" i="77"/>
  <c r="L557" i="77"/>
  <c r="L558" i="77"/>
  <c r="L559" i="77"/>
  <c r="L560" i="77"/>
  <c r="L561" i="77"/>
  <c r="L562" i="77"/>
  <c r="L563" i="77"/>
  <c r="L564" i="77"/>
  <c r="L565" i="77"/>
  <c r="L566" i="77"/>
  <c r="L567" i="77"/>
  <c r="L568" i="77"/>
  <c r="L569" i="77"/>
  <c r="L570" i="77"/>
  <c r="L571" i="77"/>
  <c r="L572" i="77"/>
  <c r="L573" i="77"/>
  <c r="L574" i="77"/>
  <c r="L575" i="77"/>
  <c r="L576" i="77"/>
  <c r="L577" i="77"/>
  <c r="L578" i="77"/>
  <c r="L579" i="77"/>
  <c r="L580" i="77"/>
  <c r="L581" i="77"/>
  <c r="L582" i="77"/>
  <c r="L583" i="77"/>
  <c r="L584" i="77"/>
  <c r="L589" i="77"/>
  <c r="L591" i="77"/>
  <c r="L592" i="77"/>
  <c r="L593" i="77"/>
  <c r="L594" i="77"/>
  <c r="L595" i="77"/>
  <c r="L596" i="77"/>
  <c r="L1442" i="77"/>
  <c r="L1443" i="77"/>
  <c r="L1444" i="77"/>
  <c r="L1447" i="77"/>
  <c r="L1450" i="77"/>
  <c r="L604" i="77"/>
  <c r="L605" i="77"/>
  <c r="L606" i="77"/>
  <c r="L607" i="77"/>
  <c r="L608" i="77"/>
  <c r="L609" i="77"/>
  <c r="L610" i="77"/>
  <c r="L611" i="77"/>
  <c r="L612" i="77"/>
  <c r="L613" i="77"/>
  <c r="L614" i="77"/>
  <c r="L615" i="77"/>
  <c r="L616" i="77"/>
  <c r="L617" i="77"/>
  <c r="L618" i="77"/>
  <c r="L619" i="77"/>
  <c r="L620" i="77"/>
  <c r="L621" i="77"/>
  <c r="L622" i="77"/>
  <c r="L623" i="77"/>
  <c r="L624" i="77"/>
  <c r="L625" i="77"/>
  <c r="L626" i="77"/>
  <c r="L630" i="77"/>
  <c r="L632" i="77"/>
  <c r="L633" i="77"/>
  <c r="L634" i="77"/>
  <c r="L635" i="77"/>
  <c r="L636" i="77"/>
  <c r="L637" i="77"/>
  <c r="L638" i="77"/>
  <c r="L639" i="77"/>
  <c r="L640" i="77"/>
  <c r="L641" i="77"/>
  <c r="L642" i="77"/>
  <c r="L643" i="77"/>
  <c r="L644" i="77"/>
  <c r="L645" i="77"/>
  <c r="L646" i="77"/>
  <c r="L647" i="77"/>
  <c r="L648" i="77"/>
  <c r="L649" i="77"/>
  <c r="L650" i="77"/>
  <c r="L651" i="77"/>
  <c r="L652" i="77"/>
  <c r="L653" i="77"/>
  <c r="L654" i="77"/>
  <c r="L655" i="77"/>
  <c r="L657" i="77"/>
  <c r="L658" i="77"/>
  <c r="L659" i="77"/>
  <c r="L660" i="77"/>
  <c r="L661" i="77"/>
  <c r="L662" i="77"/>
  <c r="L663" i="77"/>
  <c r="L664" i="77"/>
  <c r="L665" i="77"/>
  <c r="L666" i="77"/>
  <c r="L667" i="77"/>
  <c r="L668" i="77"/>
  <c r="L669" i="77"/>
  <c r="L670" i="77"/>
  <c r="L671" i="77"/>
  <c r="L672" i="77"/>
  <c r="L673" i="77"/>
  <c r="L674" i="77"/>
  <c r="L677" i="77"/>
  <c r="L678" i="77"/>
  <c r="L679" i="77"/>
  <c r="L680" i="77"/>
  <c r="L681" i="77"/>
  <c r="L682" i="77"/>
  <c r="L683" i="77"/>
  <c r="L684" i="77"/>
  <c r="L685" i="77"/>
  <c r="L686" i="77"/>
  <c r="L687" i="77"/>
  <c r="L688" i="77"/>
  <c r="L689" i="77"/>
  <c r="L690" i="77"/>
  <c r="L1451" i="77"/>
  <c r="L692" i="77"/>
  <c r="L693" i="77"/>
  <c r="L694" i="77"/>
  <c r="L695" i="77"/>
  <c r="L696" i="77"/>
  <c r="L697" i="77"/>
  <c r="L698" i="77"/>
  <c r="L699" i="77"/>
  <c r="L700" i="77"/>
  <c r="L701" i="77"/>
  <c r="L702" i="77"/>
  <c r="L703" i="77"/>
  <c r="L704" i="77"/>
  <c r="L705" i="77"/>
  <c r="L706" i="77"/>
  <c r="L707" i="77"/>
  <c r="L708" i="77"/>
  <c r="L709" i="77"/>
  <c r="L710" i="77"/>
  <c r="L711" i="77"/>
  <c r="L712" i="77"/>
  <c r="L713" i="77"/>
  <c r="L714" i="77"/>
  <c r="L715" i="77"/>
  <c r="L716" i="77"/>
  <c r="L717" i="77"/>
  <c r="L718" i="77"/>
  <c r="L719" i="77"/>
  <c r="L720" i="77"/>
  <c r="L721" i="77"/>
  <c r="L722" i="77"/>
  <c r="L723" i="77"/>
  <c r="L724" i="77"/>
  <c r="L725" i="77"/>
  <c r="L726" i="77"/>
  <c r="L727" i="77"/>
  <c r="L728" i="77"/>
  <c r="L729" i="77"/>
  <c r="L730" i="77"/>
  <c r="L731" i="77"/>
  <c r="L732" i="77"/>
  <c r="L733" i="77"/>
  <c r="L734" i="77"/>
  <c r="L735" i="77"/>
  <c r="L736" i="77"/>
  <c r="L737" i="77"/>
  <c r="L738" i="77"/>
  <c r="L739" i="77"/>
  <c r="L740" i="77"/>
  <c r="L741" i="77"/>
  <c r="L742" i="77"/>
  <c r="L743" i="77"/>
  <c r="L744" i="77"/>
  <c r="L745" i="77"/>
  <c r="L746" i="77"/>
  <c r="L747" i="77"/>
  <c r="L748" i="77"/>
  <c r="L749" i="77"/>
  <c r="L750" i="77"/>
  <c r="L751" i="77"/>
  <c r="L752" i="77"/>
  <c r="L753" i="77"/>
  <c r="L754" i="77"/>
  <c r="L755" i="77"/>
  <c r="L756" i="77"/>
  <c r="L757" i="77"/>
  <c r="L758" i="77"/>
  <c r="L759" i="77"/>
  <c r="L760" i="77"/>
  <c r="L761" i="77"/>
  <c r="L762" i="77"/>
  <c r="L763" i="77"/>
  <c r="L764" i="77"/>
  <c r="L765" i="77"/>
  <c r="L766" i="77"/>
  <c r="L1452" i="77"/>
  <c r="L1453" i="77"/>
  <c r="L1455" i="77"/>
  <c r="L770" i="77"/>
  <c r="L771" i="77"/>
  <c r="L772" i="77"/>
  <c r="L773" i="77"/>
  <c r="L774" i="77"/>
  <c r="L779" i="77"/>
  <c r="L780" i="77"/>
  <c r="L781" i="77"/>
  <c r="L782" i="77"/>
  <c r="L783" i="77"/>
  <c r="L784" i="77"/>
  <c r="L787" i="77"/>
  <c r="L788" i="77"/>
  <c r="L789" i="77"/>
  <c r="L790" i="77"/>
  <c r="L791" i="77"/>
  <c r="L792" i="77"/>
  <c r="L793" i="77"/>
  <c r="L794" i="77"/>
  <c r="L796" i="77"/>
  <c r="L797" i="77"/>
  <c r="L799" i="77"/>
  <c r="L800" i="77"/>
  <c r="L801" i="77"/>
  <c r="L802" i="77"/>
  <c r="L803" i="77"/>
  <c r="L804" i="77"/>
  <c r="L805" i="77"/>
  <c r="L806" i="77"/>
  <c r="L807" i="77"/>
  <c r="L808" i="77"/>
  <c r="L809" i="77"/>
  <c r="L810" i="77"/>
  <c r="L811" i="77"/>
  <c r="L812" i="77"/>
  <c r="L813" i="77"/>
  <c r="L814" i="77"/>
  <c r="L815" i="77"/>
  <c r="L816" i="77"/>
  <c r="L817" i="77"/>
  <c r="L818" i="77"/>
  <c r="L819" i="77"/>
  <c r="L820" i="77"/>
  <c r="L821" i="77"/>
  <c r="L822" i="77"/>
  <c r="L823" i="77"/>
  <c r="L825" i="77"/>
  <c r="L826" i="77"/>
  <c r="L1457" i="77"/>
  <c r="L828" i="77"/>
  <c r="L829" i="77"/>
  <c r="L830" i="77"/>
  <c r="L831" i="77"/>
  <c r="L832" i="77"/>
  <c r="L837" i="77"/>
  <c r="L838" i="77"/>
  <c r="L839" i="77"/>
  <c r="L840" i="77"/>
  <c r="L841" i="77"/>
  <c r="L842" i="77"/>
  <c r="L1458" i="77"/>
  <c r="L1459" i="77"/>
  <c r="L1460" i="77"/>
  <c r="L846" i="77"/>
  <c r="L847" i="77"/>
  <c r="L848" i="77"/>
  <c r="L852" i="77"/>
  <c r="L853" i="77"/>
  <c r="L854" i="77"/>
  <c r="L855" i="77"/>
  <c r="L856" i="77"/>
  <c r="L857" i="77"/>
  <c r="L858" i="77"/>
  <c r="L859" i="77"/>
  <c r="L860" i="77"/>
  <c r="L861" i="77"/>
  <c r="L862" i="77"/>
  <c r="L863" i="77"/>
  <c r="L1464" i="77"/>
  <c r="L867" i="77"/>
  <c r="L868" i="77"/>
  <c r="L869" i="77"/>
  <c r="L870" i="77"/>
  <c r="L871" i="77"/>
  <c r="L872" i="77"/>
  <c r="L873" i="77"/>
  <c r="L874" i="77"/>
  <c r="L875" i="77"/>
  <c r="L876" i="77"/>
  <c r="L877" i="77"/>
  <c r="L878" i="77"/>
  <c r="L879" i="77"/>
  <c r="L880" i="77"/>
  <c r="L881" i="77"/>
  <c r="L883" i="77"/>
  <c r="L888" i="77"/>
  <c r="L889" i="77"/>
  <c r="L890" i="77"/>
  <c r="L891" i="77"/>
  <c r="L892" i="77"/>
  <c r="L893" i="77"/>
  <c r="L1467" i="77"/>
  <c r="L895" i="77"/>
  <c r="L896" i="77"/>
  <c r="L897" i="77"/>
  <c r="L898" i="77"/>
  <c r="L899" i="77"/>
  <c r="L900" i="77"/>
  <c r="L901" i="77"/>
  <c r="L902" i="77"/>
  <c r="L903" i="77"/>
  <c r="L1469" i="77"/>
  <c r="L1470" i="77"/>
  <c r="L1472" i="77"/>
  <c r="L1473" i="77"/>
  <c r="L1474" i="77"/>
  <c r="L1475" i="77"/>
  <c r="L910" i="77"/>
  <c r="L911" i="77"/>
  <c r="L912" i="77"/>
  <c r="L913" i="77"/>
  <c r="L914" i="77"/>
  <c r="L915" i="77"/>
  <c r="L916" i="77"/>
  <c r="L917" i="77"/>
  <c r="L918" i="77"/>
  <c r="L919" i="77"/>
  <c r="L920" i="77"/>
  <c r="L921" i="77"/>
  <c r="L922" i="77"/>
  <c r="L923" i="77"/>
  <c r="L924" i="77"/>
  <c r="L925" i="77"/>
  <c r="L926" i="77"/>
  <c r="L927" i="77"/>
  <c r="L1476" i="77"/>
  <c r="L933" i="77"/>
  <c r="L934" i="77"/>
  <c r="L936" i="77"/>
  <c r="L937" i="77"/>
  <c r="L938" i="77"/>
  <c r="L939" i="77"/>
  <c r="L940" i="77"/>
  <c r="L941" i="77"/>
  <c r="L942" i="77"/>
  <c r="L943" i="77"/>
  <c r="L944" i="77"/>
  <c r="L945" i="77"/>
  <c r="L946" i="77"/>
  <c r="L950" i="77"/>
  <c r="L951" i="77"/>
  <c r="L952" i="77"/>
  <c r="L953" i="77"/>
  <c r="L954" i="77"/>
  <c r="L955" i="77"/>
  <c r="L956" i="77"/>
  <c r="L957" i="77"/>
  <c r="L958" i="77"/>
  <c r="L959" i="77"/>
  <c r="L960" i="77"/>
  <c r="L961" i="77"/>
  <c r="L962" i="77"/>
  <c r="L963" i="77"/>
  <c r="L964" i="77"/>
  <c r="L965" i="77"/>
  <c r="L966" i="77"/>
  <c r="L967" i="77"/>
  <c r="L972" i="77"/>
  <c r="L973" i="77"/>
  <c r="L974" i="77"/>
  <c r="L975" i="77"/>
  <c r="L976" i="77"/>
  <c r="L977" i="77"/>
  <c r="L978" i="77"/>
  <c r="L979" i="77"/>
  <c r="L981" i="77"/>
  <c r="L982" i="77"/>
  <c r="L984" i="77"/>
  <c r="L985" i="77"/>
  <c r="L986" i="77"/>
  <c r="L987" i="77"/>
  <c r="L988" i="77"/>
  <c r="L989" i="77"/>
  <c r="L990" i="77"/>
  <c r="L991" i="77"/>
  <c r="L992" i="77"/>
  <c r="L993" i="77"/>
  <c r="L994" i="77"/>
  <c r="L995" i="77"/>
  <c r="L998" i="77"/>
  <c r="L999" i="77"/>
  <c r="L1000" i="77"/>
  <c r="L1001" i="77"/>
  <c r="L1002" i="77"/>
  <c r="L1003" i="77"/>
  <c r="L1005" i="77"/>
  <c r="L1006" i="77"/>
  <c r="L1007" i="77"/>
  <c r="L1008" i="77"/>
  <c r="L1009" i="77"/>
  <c r="L1010" i="77"/>
  <c r="L1011" i="77"/>
  <c r="L1012" i="77"/>
  <c r="L1013" i="77"/>
  <c r="L1014" i="77"/>
  <c r="L1015" i="77"/>
  <c r="L1016" i="77"/>
  <c r="L1017" i="77"/>
  <c r="L1018" i="77"/>
  <c r="L1019" i="77"/>
  <c r="L1024" i="77"/>
  <c r="L1483" i="77"/>
  <c r="L1487" i="77"/>
  <c r="L1489" i="77"/>
  <c r="L1490" i="77"/>
  <c r="L1029" i="77"/>
  <c r="L1030" i="77"/>
  <c r="L1493" i="77"/>
  <c r="L1494" i="77"/>
  <c r="L1495" i="77"/>
  <c r="L1496" i="77"/>
  <c r="L1497" i="77"/>
  <c r="L1037" i="77"/>
  <c r="L1038" i="77"/>
  <c r="L1039" i="77"/>
  <c r="L1042" i="77"/>
  <c r="L1044" i="77"/>
  <c r="L1045" i="77"/>
  <c r="L1046" i="77"/>
  <c r="L1047" i="77"/>
  <c r="L1048" i="77"/>
  <c r="L1049" i="77"/>
  <c r="L1050" i="77"/>
  <c r="L1051" i="77"/>
  <c r="L1052" i="77"/>
  <c r="L1053" i="77"/>
  <c r="L1054" i="77"/>
  <c r="L1055" i="77"/>
  <c r="L1056" i="77"/>
  <c r="L1057" i="77"/>
  <c r="L1058" i="77"/>
  <c r="L1059" i="77"/>
  <c r="L1060" i="77"/>
  <c r="L1061" i="77"/>
  <c r="L1062" i="77"/>
  <c r="L1063" i="77"/>
  <c r="L1064" i="77"/>
  <c r="L1065" i="77"/>
  <c r="L1066" i="77"/>
  <c r="L1067" i="77"/>
  <c r="L1068" i="77"/>
  <c r="L1069" i="77"/>
  <c r="L1070" i="77"/>
  <c r="L1071" i="77"/>
  <c r="L1072" i="77"/>
  <c r="L1073" i="77"/>
  <c r="L1074" i="77"/>
  <c r="L1075" i="77"/>
  <c r="L1076" i="77"/>
  <c r="L1077" i="77"/>
  <c r="L1078" i="77"/>
  <c r="L1079" i="77"/>
  <c r="L1080" i="77"/>
  <c r="L1081" i="77"/>
  <c r="L1082" i="77"/>
  <c r="L1083" i="77"/>
  <c r="L1084" i="77"/>
  <c r="L1085" i="77"/>
  <c r="L1086" i="77"/>
  <c r="L1087" i="77"/>
  <c r="L1088" i="77"/>
  <c r="L1089" i="77"/>
  <c r="L1090" i="77"/>
  <c r="L1091" i="77"/>
  <c r="L1092" i="77"/>
  <c r="L1093" i="77"/>
  <c r="L1094" i="77"/>
  <c r="L1095" i="77"/>
  <c r="L1096" i="77"/>
  <c r="L1097" i="77"/>
  <c r="L1098" i="77"/>
  <c r="L1099" i="77"/>
  <c r="L1100" i="77"/>
  <c r="L1101" i="77"/>
  <c r="L1102" i="77"/>
  <c r="L1103" i="77"/>
  <c r="L1104" i="77"/>
  <c r="L1105" i="77"/>
  <c r="L1106" i="77"/>
  <c r="L1107" i="77"/>
  <c r="L1108" i="77"/>
  <c r="L1109" i="77"/>
  <c r="L1110" i="77"/>
  <c r="L1111" i="77"/>
  <c r="L1112" i="77"/>
  <c r="L1113" i="77"/>
  <c r="L1114" i="77"/>
  <c r="L1115" i="77"/>
  <c r="L1116" i="77"/>
  <c r="L1117" i="77"/>
  <c r="L1118" i="77"/>
  <c r="L1119" i="77"/>
  <c r="L1120" i="77"/>
  <c r="L1121" i="77"/>
  <c r="L1122" i="77"/>
  <c r="L1123" i="77"/>
  <c r="L1124" i="77"/>
  <c r="L1125" i="77"/>
  <c r="L1126" i="77"/>
  <c r="L1127" i="77"/>
  <c r="L1128" i="77"/>
  <c r="L1129" i="77"/>
  <c r="L1130" i="77"/>
  <c r="L1131" i="77"/>
  <c r="L1503" i="77"/>
  <c r="L1138" i="77"/>
  <c r="L1139" i="77"/>
  <c r="L1140" i="77"/>
  <c r="L1141" i="77"/>
  <c r="L1142" i="77"/>
  <c r="L1143" i="77"/>
  <c r="L1146" i="77"/>
  <c r="L1147" i="77"/>
  <c r="L1148" i="77"/>
  <c r="L1149" i="77"/>
  <c r="L1150" i="77"/>
  <c r="L1151" i="77"/>
  <c r="L1152" i="77"/>
  <c r="L1153" i="77"/>
  <c r="L1154" i="77"/>
  <c r="L1155" i="77"/>
  <c r="L1156" i="77"/>
  <c r="L1157" i="77"/>
  <c r="L1158" i="77"/>
  <c r="L1159" i="77"/>
  <c r="L1160" i="77"/>
  <c r="L1161" i="77"/>
  <c r="L1162" i="77"/>
  <c r="L1163" i="77"/>
  <c r="L1164" i="77"/>
  <c r="L1165" i="77"/>
  <c r="L1166" i="77"/>
  <c r="L1167" i="77"/>
  <c r="L1168" i="77"/>
  <c r="L1169" i="77"/>
  <c r="L1170" i="77"/>
  <c r="L1171" i="77"/>
  <c r="L1172" i="77"/>
  <c r="L1173" i="77"/>
  <c r="L1174" i="77"/>
  <c r="L1175" i="77"/>
  <c r="L1176" i="77"/>
  <c r="L1177" i="77"/>
  <c r="L1178" i="77"/>
  <c r="L1179" i="77"/>
  <c r="L1180" i="77"/>
  <c r="L1181" i="77"/>
  <c r="L1182" i="77"/>
  <c r="L1183" i="77"/>
  <c r="L1184" i="77"/>
  <c r="L1185" i="77"/>
  <c r="L1186" i="77"/>
  <c r="L1187" i="77"/>
  <c r="L1188" i="77"/>
  <c r="L1189" i="77"/>
  <c r="L1190" i="77"/>
  <c r="L1191" i="77"/>
  <c r="L1192" i="77"/>
  <c r="L1193" i="77"/>
  <c r="L1194" i="77"/>
  <c r="L1195" i="77"/>
  <c r="L1196" i="77"/>
  <c r="L1197" i="77"/>
  <c r="L1198" i="77"/>
  <c r="L1199" i="77"/>
  <c r="L1200" i="77"/>
  <c r="L1201" i="77"/>
  <c r="L1202" i="77"/>
  <c r="L1203" i="77"/>
  <c r="L1506" i="77"/>
  <c r="L1507" i="77"/>
  <c r="L1509" i="77"/>
  <c r="L1512" i="77"/>
  <c r="L1211" i="77"/>
  <c r="L1212" i="77"/>
  <c r="L1213" i="77"/>
  <c r="L1214" i="77"/>
  <c r="L1215" i="77"/>
  <c r="L1216" i="77"/>
  <c r="L1217" i="77"/>
  <c r="L1218" i="77"/>
  <c r="L1219" i="77"/>
  <c r="L1220" i="77"/>
  <c r="L1221" i="77"/>
  <c r="L1223" i="77"/>
  <c r="L1224" i="77"/>
  <c r="L1225" i="77"/>
  <c r="L1226" i="77"/>
  <c r="L1227" i="77"/>
  <c r="L1228" i="77"/>
  <c r="L1229" i="77"/>
  <c r="L1230" i="77"/>
  <c r="L1231" i="77"/>
  <c r="L1235" i="77"/>
  <c r="L1236" i="77"/>
  <c r="L1237" i="77"/>
  <c r="L1238" i="77"/>
  <c r="L1239" i="77"/>
  <c r="L1240" i="77"/>
  <c r="L1241" i="77"/>
  <c r="L1242" i="77"/>
  <c r="L1243" i="77"/>
  <c r="L1244" i="77"/>
  <c r="L1245" i="77"/>
  <c r="L1246" i="77"/>
  <c r="L1247" i="77"/>
  <c r="L1248" i="77"/>
  <c r="L1249" i="77"/>
  <c r="L1250" i="77"/>
  <c r="L1251" i="77"/>
  <c r="L1252" i="77"/>
  <c r="L1253" i="77"/>
  <c r="L1254" i="77"/>
  <c r="L1255" i="77"/>
  <c r="L1523" i="77"/>
  <c r="L1524" i="77"/>
  <c r="L1259" i="77"/>
  <c r="L1260" i="77"/>
  <c r="L1261" i="77"/>
  <c r="L1262" i="77"/>
  <c r="L1263" i="77"/>
  <c r="L1264" i="77"/>
  <c r="L1265" i="77"/>
  <c r="L1266" i="77"/>
  <c r="L1267" i="77"/>
  <c r="L1268" i="77"/>
  <c r="L1269" i="77"/>
  <c r="L1270" i="77"/>
  <c r="L1271" i="77"/>
  <c r="L1272" i="77"/>
  <c r="L1273" i="77"/>
  <c r="L1274" i="77"/>
  <c r="L1275" i="77"/>
  <c r="L1276" i="77"/>
  <c r="L1277" i="77"/>
  <c r="L1278" i="77"/>
  <c r="L1279" i="77"/>
  <c r="L1280" i="77"/>
  <c r="L1281" i="77"/>
  <c r="L1282" i="77"/>
  <c r="L1283" i="77"/>
  <c r="L1284" i="77"/>
  <c r="L1285" i="77"/>
  <c r="L1286" i="77"/>
  <c r="L1287" i="77"/>
  <c r="L1288" i="77"/>
  <c r="L1289" i="77"/>
  <c r="L1290" i="77"/>
  <c r="L1291" i="77"/>
  <c r="L1292" i="77"/>
  <c r="L1293" i="77"/>
  <c r="L1294" i="77"/>
  <c r="L1295" i="77"/>
  <c r="L1525" i="77"/>
  <c r="L1297" i="77"/>
  <c r="L1298" i="77"/>
  <c r="L1299" i="77"/>
  <c r="L1300" i="77"/>
  <c r="L1301" i="77"/>
  <c r="L1303" i="77"/>
  <c r="L1304" i="77"/>
  <c r="L1305" i="77"/>
  <c r="L1306" i="77"/>
  <c r="L1307" i="77"/>
  <c r="L1308" i="77"/>
  <c r="L1309" i="77"/>
  <c r="L1310" i="77"/>
  <c r="L1311" i="77"/>
  <c r="L1312" i="77"/>
  <c r="L1313" i="77"/>
  <c r="L1314" i="77"/>
  <c r="L1315" i="77"/>
  <c r="L1316" i="77"/>
  <c r="L1317" i="77"/>
  <c r="L1318" i="77"/>
  <c r="L1319" i="77"/>
  <c r="L1320" i="77"/>
  <c r="L1321" i="77"/>
  <c r="L1322" i="77"/>
  <c r="L1323" i="77"/>
  <c r="L1324" i="77"/>
  <c r="L1325" i="77"/>
  <c r="L1326" i="77"/>
  <c r="L1327" i="77"/>
  <c r="L1329" i="77"/>
  <c r="L1330" i="77"/>
  <c r="L1331" i="77"/>
  <c r="L1332" i="77"/>
  <c r="L1333" i="77"/>
  <c r="L1334" i="77"/>
  <c r="L1335" i="77"/>
  <c r="L1336" i="77"/>
  <c r="L1337" i="77"/>
  <c r="L1338" i="77"/>
  <c r="L1339" i="77"/>
  <c r="L1340" i="77"/>
  <c r="L1341" i="77"/>
  <c r="L1343" i="77"/>
  <c r="L1344" i="77"/>
  <c r="L1345" i="77"/>
  <c r="L1346" i="77"/>
  <c r="L1347" i="77"/>
  <c r="L1348" i="77"/>
  <c r="L1349" i="77"/>
  <c r="L1350" i="77"/>
  <c r="L1351" i="77"/>
  <c r="L1352" i="77"/>
  <c r="L1353" i="77"/>
  <c r="L1354" i="77"/>
  <c r="L1355" i="77"/>
  <c r="L1356" i="77"/>
  <c r="L1357" i="77"/>
  <c r="L1358" i="77"/>
  <c r="L1359" i="77"/>
  <c r="L1360" i="77"/>
  <c r="L1361" i="77"/>
  <c r="L1362" i="77"/>
  <c r="L1363" i="77"/>
  <c r="L1364" i="77"/>
  <c r="L1365" i="77"/>
  <c r="L1366" i="77"/>
  <c r="L1367" i="77"/>
  <c r="L1368" i="77"/>
  <c r="L1375" i="77"/>
  <c r="L1376" i="77"/>
  <c r="L1377" i="77"/>
  <c r="L1378" i="77"/>
  <c r="L1379" i="77"/>
  <c r="L1380" i="77"/>
  <c r="L1381" i="77"/>
  <c r="L1382" i="77"/>
  <c r="L1383" i="77"/>
  <c r="L1384" i="77"/>
  <c r="L1385" i="77"/>
  <c r="L1386" i="77"/>
  <c r="L1388" i="77"/>
  <c r="L1389" i="77"/>
  <c r="L1390" i="77"/>
  <c r="L1391" i="77"/>
  <c r="L1392" i="77"/>
  <c r="L1393" i="77"/>
  <c r="L1394" i="77"/>
  <c r="L1395" i="77"/>
  <c r="L1396" i="77"/>
  <c r="L1397" i="77"/>
  <c r="L1398" i="77"/>
  <c r="L1399" i="77"/>
  <c r="L1400" i="77"/>
  <c r="L1401" i="77"/>
  <c r="L1402" i="77"/>
  <c r="L1403" i="77"/>
  <c r="L1404" i="77"/>
  <c r="L1405" i="77"/>
  <c r="L1406" i="77"/>
  <c r="L1407" i="77"/>
  <c r="L1408" i="77"/>
  <c r="L1412" i="77"/>
  <c r="L1413" i="77"/>
  <c r="L1414" i="77"/>
  <c r="L1415" i="77"/>
  <c r="L1416" i="77"/>
  <c r="L1417" i="77"/>
  <c r="L1418" i="77"/>
  <c r="L1419" i="77"/>
  <c r="L1420" i="77"/>
  <c r="L1421" i="77"/>
  <c r="L1422" i="77"/>
  <c r="L1423" i="77"/>
  <c r="L1424" i="77"/>
  <c r="L1425" i="77"/>
  <c r="L1426" i="77"/>
  <c r="L1427" i="77"/>
  <c r="L1428" i="77"/>
  <c r="L1429" i="77"/>
  <c r="L1430" i="77"/>
  <c r="L1431" i="77"/>
  <c r="L1432" i="77"/>
  <c r="L1433" i="77"/>
  <c r="L1434" i="77"/>
  <c r="L1435" i="77"/>
  <c r="L1436" i="77"/>
  <c r="L1437" i="77"/>
  <c r="L1438" i="77"/>
  <c r="L1439" i="77"/>
  <c r="L1440" i="77"/>
  <c r="L1531" i="77"/>
  <c r="L160" i="77"/>
  <c r="L161" i="77"/>
  <c r="L1445" i="77"/>
  <c r="L1446" i="77"/>
  <c r="L162" i="77"/>
  <c r="L1448" i="77"/>
  <c r="L1449" i="77"/>
  <c r="L163" i="77"/>
  <c r="L164" i="77"/>
  <c r="L165" i="77"/>
  <c r="L166" i="77"/>
  <c r="L1454" i="77"/>
  <c r="L168" i="77"/>
  <c r="L1456" i="77"/>
  <c r="L169" i="77"/>
  <c r="L170" i="77"/>
  <c r="L171" i="77"/>
  <c r="L172" i="77"/>
  <c r="L173" i="77"/>
  <c r="L174" i="77"/>
  <c r="L175" i="77"/>
  <c r="L176" i="77"/>
  <c r="L177" i="77"/>
  <c r="L178" i="77"/>
  <c r="L179" i="77"/>
  <c r="L1468" i="77"/>
  <c r="L180" i="77"/>
  <c r="L200" i="77"/>
  <c r="L1471" i="77"/>
  <c r="L201" i="77"/>
  <c r="L202" i="77"/>
  <c r="L203" i="77"/>
  <c r="L204" i="77"/>
  <c r="L205" i="77"/>
  <c r="L221" i="77"/>
  <c r="L222" i="77"/>
  <c r="L235" i="77"/>
  <c r="L1480" i="77"/>
  <c r="L236" i="77"/>
  <c r="L1482" i="77"/>
  <c r="L237" i="77"/>
  <c r="L1484" i="77"/>
  <c r="L1485" i="77"/>
  <c r="L1486" i="77"/>
  <c r="L238" i="77"/>
  <c r="L1488" i="77"/>
  <c r="L239" i="77"/>
  <c r="L240" i="77"/>
  <c r="L241" i="77"/>
  <c r="L1492" i="77"/>
  <c r="L242" i="77"/>
  <c r="L243" i="77"/>
  <c r="L244" i="77"/>
  <c r="L245" i="77"/>
  <c r="L246" i="77"/>
  <c r="L265" i="77"/>
  <c r="L266" i="77"/>
  <c r="L1500" i="77"/>
  <c r="L1501" i="77"/>
  <c r="L267" i="77"/>
  <c r="L268" i="77"/>
  <c r="L1504" i="77"/>
  <c r="L269" i="77"/>
  <c r="L270" i="77"/>
  <c r="L271" i="77"/>
  <c r="L1508" i="77"/>
  <c r="L272" i="77"/>
  <c r="L1510" i="77"/>
  <c r="L1511" i="77"/>
  <c r="L273" i="77"/>
  <c r="L1513" i="77"/>
  <c r="L1514" i="77"/>
  <c r="L274" i="77"/>
  <c r="L275" i="77"/>
  <c r="L276" i="77"/>
  <c r="L1518" i="77"/>
  <c r="L277" i="77"/>
  <c r="L1520" i="77"/>
  <c r="L278" i="77"/>
  <c r="L280" i="77"/>
  <c r="L281" i="77"/>
  <c r="L282" i="77"/>
  <c r="L283" i="77"/>
  <c r="L284" i="77"/>
  <c r="L285" i="77"/>
  <c r="L286" i="77"/>
  <c r="L287" i="77"/>
  <c r="L288" i="77"/>
  <c r="L289" i="77"/>
  <c r="L1532" i="77"/>
  <c r="L1533" i="77"/>
  <c r="L1534" i="77"/>
  <c r="L1535" i="77"/>
  <c r="L1536" i="77"/>
  <c r="L1537" i="77"/>
  <c r="L1538" i="77"/>
  <c r="L1539" i="77"/>
  <c r="L1540" i="77"/>
  <c r="L1541" i="77"/>
  <c r="L1542" i="77"/>
  <c r="L1543" i="77"/>
  <c r="L1544" i="77"/>
  <c r="L1545" i="77"/>
  <c r="L1546" i="77"/>
  <c r="L1547" i="77"/>
  <c r="L1548" i="77"/>
  <c r="L1549" i="77"/>
  <c r="L1550" i="77"/>
  <c r="L1551" i="77"/>
  <c r="L1552" i="77"/>
  <c r="L1553" i="77"/>
  <c r="L1554" i="77"/>
  <c r="L1555" i="77"/>
  <c r="L1556" i="77"/>
  <c r="L1557" i="77"/>
  <c r="L1558" i="77"/>
  <c r="L1559" i="77"/>
  <c r="L1560" i="77"/>
  <c r="L1561" i="77"/>
  <c r="L1562" i="77"/>
  <c r="L1563" i="77"/>
  <c r="L1564" i="77"/>
  <c r="L1565" i="77"/>
  <c r="L1566" i="77"/>
  <c r="L1567" i="77"/>
  <c r="L1568" i="77"/>
  <c r="L1569" i="77"/>
  <c r="L1570" i="77"/>
  <c r="L1571" i="77"/>
  <c r="L1572" i="77"/>
  <c r="L1573" i="77"/>
  <c r="L1574" i="77"/>
  <c r="L1575" i="77"/>
  <c r="L1576" i="77"/>
  <c r="L1577" i="77"/>
  <c r="L1578" i="77"/>
  <c r="L1579" i="77"/>
  <c r="L1580" i="77"/>
  <c r="L1581" i="77"/>
  <c r="L1582" i="77"/>
  <c r="L1583" i="77"/>
  <c r="L1584" i="77"/>
  <c r="L1585" i="77"/>
  <c r="L1586" i="77"/>
  <c r="L1587" i="77"/>
  <c r="L1588" i="77"/>
  <c r="L1589" i="77"/>
  <c r="L1590" i="77"/>
  <c r="L1591" i="77"/>
  <c r="L1592" i="77"/>
  <c r="L1593" i="77"/>
  <c r="L1594" i="77"/>
  <c r="L1595" i="77"/>
  <c r="L1596" i="77"/>
  <c r="L1597" i="77"/>
  <c r="L1598" i="77"/>
  <c r="L1599" i="77"/>
  <c r="L1600" i="77"/>
  <c r="L1601" i="77"/>
  <c r="L1602" i="77"/>
  <c r="L1603" i="77"/>
  <c r="L1604" i="77"/>
  <c r="L1605" i="77"/>
  <c r="L1606" i="77"/>
  <c r="L1607" i="77"/>
  <c r="L1608" i="77"/>
  <c r="L1609" i="77"/>
  <c r="L1610" i="77"/>
  <c r="L1611" i="77"/>
  <c r="L1612" i="77"/>
  <c r="L1613" i="77"/>
  <c r="L1614" i="77"/>
  <c r="L1615" i="77"/>
  <c r="L1616" i="77"/>
  <c r="L1617" i="77"/>
  <c r="L1618" i="77"/>
  <c r="L1619" i="77"/>
  <c r="L1620" i="77"/>
  <c r="L1621" i="77"/>
  <c r="L1622" i="77"/>
  <c r="L1623" i="77"/>
  <c r="L1624" i="77"/>
  <c r="L1625" i="77"/>
  <c r="L1626" i="77"/>
  <c r="L1627" i="77"/>
  <c r="L1628" i="77"/>
  <c r="L1629" i="77"/>
  <c r="L1630" i="77"/>
  <c r="L1631" i="77"/>
  <c r="L1632" i="77"/>
  <c r="L1633" i="77"/>
  <c r="L1634" i="77"/>
  <c r="L1635" i="77"/>
  <c r="L1636" i="77"/>
  <c r="L1637" i="77"/>
  <c r="L1638" i="77"/>
  <c r="L1639" i="77"/>
  <c r="L1640" i="77"/>
  <c r="L1641" i="77"/>
  <c r="L1642" i="77"/>
  <c r="L1643" i="77"/>
  <c r="L1644" i="77"/>
  <c r="L1645" i="77"/>
  <c r="L1646" i="77"/>
  <c r="L1647" i="77"/>
  <c r="L1648" i="77"/>
  <c r="L1649" i="77"/>
  <c r="L1650" i="77"/>
  <c r="L1651" i="77"/>
  <c r="L1652" i="77"/>
  <c r="L1653" i="77"/>
  <c r="L1654" i="77"/>
  <c r="L1655" i="77"/>
  <c r="L1656" i="77"/>
  <c r="L1657" i="77"/>
  <c r="L1658" i="77"/>
  <c r="L1659" i="77"/>
  <c r="L1660" i="77"/>
  <c r="L1661" i="77"/>
  <c r="L1662" i="77"/>
  <c r="L1663" i="77"/>
  <c r="L1664" i="77"/>
  <c r="L1665" i="77"/>
  <c r="L1666" i="77"/>
  <c r="L1667" i="77"/>
  <c r="L1668" i="77"/>
  <c r="L1669" i="77"/>
  <c r="L1670" i="77"/>
  <c r="L1671" i="77"/>
  <c r="L1672" i="77"/>
  <c r="L1673" i="77"/>
  <c r="L1674" i="77"/>
  <c r="L1675" i="77"/>
  <c r="L1676" i="77"/>
  <c r="L1677" i="77"/>
  <c r="L1678" i="77"/>
  <c r="L1679" i="77"/>
  <c r="L1680" i="77"/>
  <c r="L1681" i="77"/>
  <c r="L1682" i="77"/>
  <c r="L1683" i="77"/>
  <c r="L1684" i="77"/>
  <c r="L1685" i="77"/>
  <c r="L1686" i="77"/>
  <c r="L1687" i="77"/>
  <c r="L1688" i="77"/>
  <c r="L1689" i="77"/>
  <c r="L1690" i="77"/>
  <c r="L1691" i="77"/>
  <c r="L1692" i="77"/>
  <c r="L1693" i="77"/>
  <c r="L1694" i="77"/>
  <c r="L1695" i="77"/>
  <c r="L1696" i="77"/>
  <c r="L1697" i="77"/>
  <c r="L1698" i="77"/>
  <c r="L1699" i="77"/>
  <c r="L1700" i="77"/>
  <c r="L1701" i="77"/>
  <c r="L1702" i="77"/>
  <c r="L1703" i="77"/>
  <c r="L1704" i="77"/>
  <c r="L1705" i="77"/>
  <c r="L1706" i="77"/>
  <c r="L1707" i="77"/>
  <c r="L1708" i="77"/>
  <c r="L1709" i="77"/>
  <c r="L1710" i="77"/>
  <c r="L1711" i="77"/>
  <c r="L1712" i="77"/>
  <c r="L1713" i="77"/>
  <c r="L1714" i="77"/>
  <c r="L1715" i="77"/>
  <c r="L1716" i="77"/>
  <c r="L1717" i="77"/>
  <c r="L1718" i="77"/>
  <c r="L1719" i="77"/>
  <c r="L1720" i="77"/>
  <c r="L1721" i="77"/>
  <c r="L1722" i="77"/>
  <c r="L1723" i="77"/>
  <c r="L1724" i="77"/>
  <c r="L1725" i="77"/>
  <c r="L1726" i="77"/>
  <c r="L1727" i="77"/>
  <c r="L1728" i="77"/>
  <c r="L1729" i="77"/>
  <c r="L1730" i="77"/>
  <c r="L1731" i="77"/>
  <c r="L1732" i="77"/>
  <c r="L1733" i="77"/>
  <c r="L1734" i="77"/>
  <c r="L1735" i="77"/>
  <c r="L1736" i="77"/>
  <c r="L1737" i="77"/>
  <c r="L1738" i="77"/>
  <c r="L1739" i="77"/>
  <c r="L1740" i="77"/>
  <c r="L1741" i="77"/>
  <c r="L1742" i="77"/>
  <c r="L1743" i="77"/>
  <c r="L1744" i="77"/>
  <c r="L1745" i="77"/>
  <c r="L1746" i="77"/>
  <c r="L1747" i="77"/>
  <c r="L1748" i="77"/>
  <c r="L1749" i="77"/>
  <c r="L1750" i="77"/>
  <c r="L1751" i="77"/>
  <c r="L1752" i="77"/>
  <c r="L1753" i="77"/>
  <c r="L1754" i="77"/>
  <c r="L1755" i="77"/>
  <c r="L1756" i="77"/>
  <c r="L1757" i="77"/>
  <c r="L1758" i="77"/>
  <c r="L1759" i="77"/>
  <c r="L1760" i="77"/>
  <c r="L1761" i="77"/>
  <c r="L1762" i="77"/>
  <c r="L1763" i="77"/>
  <c r="L1764" i="77"/>
  <c r="L1765" i="77"/>
  <c r="L1766" i="77"/>
  <c r="L1767" i="77"/>
  <c r="L1768" i="77"/>
  <c r="L1769" i="77"/>
  <c r="L1770" i="77"/>
  <c r="L1771" i="77"/>
  <c r="L1772" i="77"/>
  <c r="L1773" i="77"/>
  <c r="L1774" i="77"/>
  <c r="L1775" i="77"/>
  <c r="L1776" i="77"/>
  <c r="L1777" i="77"/>
  <c r="L1778" i="77"/>
  <c r="L1779" i="77"/>
  <c r="L1780" i="77"/>
  <c r="L1781" i="77"/>
  <c r="L1782" i="77"/>
  <c r="L1783" i="77"/>
  <c r="L1784" i="77"/>
  <c r="L1785" i="77"/>
  <c r="L1786" i="77"/>
  <c r="L1787" i="77"/>
  <c r="L1788" i="77"/>
  <c r="L1789" i="77"/>
  <c r="L1790" i="77"/>
  <c r="L1791" i="77"/>
  <c r="L1792" i="77"/>
  <c r="L1793" i="77"/>
  <c r="L1794" i="77"/>
  <c r="L1795" i="77"/>
  <c r="L1796" i="77"/>
  <c r="L1797" i="77"/>
  <c r="L1798" i="77"/>
  <c r="L1799" i="77"/>
  <c r="L1800" i="77"/>
  <c r="L1801" i="77"/>
  <c r="L1802" i="77"/>
  <c r="L1803" i="77"/>
  <c r="L1804" i="77"/>
  <c r="L1805" i="77"/>
  <c r="L1806" i="77"/>
  <c r="L1807" i="77"/>
  <c r="L1808" i="77"/>
  <c r="L1809" i="77"/>
  <c r="L1810" i="77"/>
  <c r="L1811" i="77"/>
  <c r="L1812" i="77"/>
  <c r="L1813" i="77"/>
  <c r="L1814" i="77"/>
  <c r="L1815" i="77"/>
  <c r="L1816" i="77"/>
  <c r="L1817" i="77"/>
  <c r="L1818" i="77"/>
  <c r="L1819" i="77"/>
  <c r="L1820" i="77"/>
  <c r="L1821" i="77"/>
  <c r="L1822" i="77"/>
  <c r="L1823" i="77"/>
  <c r="L1824" i="77"/>
  <c r="L1825" i="77"/>
  <c r="L1826" i="77"/>
  <c r="L1827" i="77"/>
  <c r="L1828" i="77"/>
  <c r="L1829" i="77"/>
  <c r="L1830" i="77"/>
  <c r="L1831" i="77"/>
  <c r="L1832" i="77"/>
  <c r="L1833" i="77"/>
  <c r="L1834" i="77"/>
  <c r="L1835" i="77"/>
  <c r="L1836" i="77"/>
  <c r="L1837" i="77"/>
  <c r="L1838" i="77"/>
  <c r="L1839" i="77"/>
  <c r="L1840" i="77"/>
  <c r="L1841" i="77"/>
  <c r="L1842" i="77"/>
  <c r="L1843" i="77"/>
  <c r="L1844" i="77"/>
  <c r="L1845" i="77"/>
  <c r="L1846" i="77"/>
  <c r="L1847" i="77"/>
  <c r="L1848" i="77"/>
  <c r="L1849" i="77"/>
  <c r="L1850" i="77"/>
  <c r="L1851" i="77"/>
  <c r="L1852" i="77"/>
  <c r="L1853" i="77"/>
  <c r="L1854" i="77"/>
  <c r="L1855" i="77"/>
  <c r="L1856" i="77"/>
  <c r="L1857" i="77"/>
  <c r="L1858" i="77"/>
  <c r="L1859" i="77"/>
  <c r="L1860" i="77"/>
  <c r="L1861" i="77"/>
  <c r="L1862" i="77"/>
  <c r="L1863" i="77"/>
  <c r="L1864" i="77"/>
  <c r="L1865" i="77"/>
  <c r="L1866" i="77"/>
  <c r="L1867" i="77"/>
  <c r="L1868" i="77"/>
  <c r="L1869" i="77"/>
  <c r="L1870" i="77"/>
  <c r="L1871" i="77"/>
  <c r="L1872" i="77"/>
  <c r="L1873" i="77"/>
  <c r="L1874" i="77"/>
  <c r="L1875" i="77"/>
  <c r="L1876" i="77"/>
  <c r="L1877" i="77"/>
  <c r="L1878" i="77"/>
  <c r="L1879" i="77"/>
  <c r="L1880" i="77"/>
  <c r="L1881" i="77"/>
  <c r="L1882" i="77"/>
  <c r="L1883" i="77"/>
  <c r="L1884" i="77"/>
  <c r="L1885" i="77"/>
  <c r="L1886" i="77"/>
  <c r="L1887" i="77"/>
  <c r="L1888" i="77"/>
  <c r="L1889" i="77"/>
  <c r="L1890" i="77"/>
  <c r="L1891" i="77"/>
  <c r="L1892" i="77"/>
  <c r="L1893" i="77"/>
  <c r="L1894" i="77"/>
  <c r="L1895" i="77"/>
  <c r="L1896" i="77"/>
  <c r="L1897" i="77"/>
  <c r="L1898" i="77"/>
  <c r="L1899" i="77"/>
  <c r="L1900" i="77"/>
  <c r="L1901" i="77"/>
  <c r="L1902" i="77"/>
  <c r="L1903" i="77"/>
  <c r="L1904" i="77"/>
  <c r="L1905" i="77"/>
  <c r="L1906" i="77"/>
  <c r="L1907" i="77"/>
  <c r="L1908" i="77"/>
  <c r="L1909" i="77"/>
  <c r="L1910" i="77"/>
  <c r="L1911" i="77"/>
  <c r="L1912" i="77"/>
  <c r="L1913" i="77"/>
  <c r="L1914" i="77"/>
  <c r="L1915" i="77"/>
  <c r="L1916" i="77"/>
  <c r="L1917" i="77"/>
  <c r="L1918" i="77"/>
  <c r="L1919" i="77"/>
  <c r="L1920" i="77"/>
  <c r="L1921" i="77"/>
  <c r="L1922" i="77"/>
  <c r="L1923" i="77"/>
  <c r="L1924" i="77"/>
  <c r="L1925" i="77"/>
  <c r="L1926" i="77"/>
  <c r="L1927" i="77"/>
  <c r="L1928" i="77"/>
  <c r="L1929" i="77"/>
  <c r="L1930" i="77"/>
  <c r="L1931" i="77"/>
  <c r="L1932" i="77"/>
  <c r="L1933" i="77"/>
  <c r="L1934" i="77"/>
  <c r="L1935" i="77"/>
  <c r="L1936" i="77"/>
  <c r="L1937" i="77"/>
  <c r="L1938" i="77"/>
  <c r="L1939" i="77"/>
  <c r="L1940" i="77"/>
  <c r="L1941" i="77"/>
  <c r="L1942" i="77"/>
  <c r="L1943" i="77"/>
  <c r="L1944" i="77"/>
  <c r="L1945" i="77"/>
  <c r="L1946" i="77"/>
  <c r="L1947" i="77"/>
  <c r="L1948" i="77"/>
  <c r="L1949" i="77"/>
  <c r="L1950" i="77"/>
  <c r="L1951" i="77"/>
  <c r="L1952" i="77"/>
  <c r="L1953" i="77"/>
  <c r="L1954" i="77"/>
  <c r="L1955" i="77"/>
  <c r="L1956" i="77"/>
  <c r="L1957" i="77"/>
  <c r="L1958" i="77"/>
  <c r="L1959" i="77"/>
  <c r="L1960" i="77"/>
  <c r="L1961" i="77"/>
  <c r="L1962" i="77"/>
  <c r="L1963" i="77"/>
  <c r="L1964" i="77"/>
  <c r="L1965" i="77"/>
  <c r="L1966" i="77"/>
  <c r="L1967" i="77"/>
  <c r="L1968" i="77"/>
  <c r="L1969" i="77"/>
  <c r="L1970" i="77"/>
  <c r="L1971" i="77"/>
  <c r="L1972" i="77"/>
  <c r="L1973" i="77"/>
  <c r="L1974" i="77"/>
  <c r="L1975" i="77"/>
  <c r="L1976" i="77"/>
  <c r="L1977" i="77"/>
  <c r="L1978" i="77"/>
  <c r="L1979" i="77"/>
  <c r="L1980" i="77"/>
  <c r="L1981" i="77"/>
  <c r="L1982" i="77"/>
  <c r="L1983" i="77"/>
  <c r="L1984" i="77"/>
  <c r="L1985" i="77"/>
  <c r="L1986" i="77"/>
  <c r="L1987" i="77"/>
  <c r="L1988" i="77"/>
  <c r="L1989" i="77"/>
  <c r="L1990" i="77"/>
  <c r="L1991" i="77"/>
  <c r="L1992" i="77"/>
  <c r="L1993" i="77"/>
  <c r="L1994" i="77"/>
  <c r="L1995" i="77"/>
  <c r="L1996" i="77"/>
  <c r="L1997" i="77"/>
  <c r="L1998" i="77"/>
  <c r="L1999" i="77"/>
  <c r="L2000" i="77"/>
  <c r="L2001" i="77"/>
  <c r="L2002" i="77"/>
  <c r="L2003" i="77"/>
  <c r="L2004" i="77"/>
  <c r="L2005" i="77"/>
  <c r="L2006" i="77"/>
  <c r="L2007" i="77"/>
  <c r="L2008" i="77"/>
  <c r="L2009" i="77"/>
  <c r="L2010" i="77"/>
  <c r="L2011" i="77"/>
  <c r="L2012" i="77"/>
  <c r="L2013" i="77"/>
  <c r="L2014" i="77"/>
  <c r="L2015" i="77"/>
  <c r="L2016" i="77"/>
  <c r="L2017" i="77"/>
  <c r="L2018" i="77"/>
  <c r="L2019" i="77"/>
  <c r="L2020" i="77"/>
  <c r="L2021" i="77"/>
  <c r="L2022" i="77"/>
  <c r="L2023" i="77"/>
  <c r="L2024" i="77"/>
  <c r="L2025" i="77"/>
  <c r="L2026" i="77"/>
  <c r="L2027" i="77"/>
  <c r="L2028" i="77"/>
  <c r="L2029" i="77"/>
  <c r="L2030" i="77"/>
  <c r="L2031" i="77"/>
  <c r="L2032" i="77"/>
  <c r="L2033" i="77"/>
  <c r="L2034" i="77"/>
  <c r="L2035" i="77"/>
  <c r="L2036" i="77"/>
  <c r="L2037" i="77"/>
  <c r="L2038" i="77"/>
  <c r="L2039" i="77"/>
  <c r="L2040" i="77"/>
  <c r="L2041" i="77"/>
  <c r="L2042" i="77"/>
  <c r="L2043" i="77"/>
  <c r="L2044" i="77"/>
  <c r="L2045" i="77"/>
  <c r="L2046" i="77"/>
  <c r="L2047" i="77"/>
  <c r="L2048" i="77"/>
  <c r="L2049" i="77"/>
  <c r="L2050" i="77"/>
  <c r="L2051" i="77"/>
  <c r="L2052" i="77"/>
  <c r="L2053" i="77"/>
  <c r="L2054" i="77"/>
  <c r="L2055" i="77"/>
  <c r="L2056" i="77"/>
  <c r="L2057" i="77"/>
  <c r="L2058" i="77"/>
  <c r="L2059" i="77"/>
  <c r="L2060" i="77"/>
  <c r="L2061" i="77"/>
  <c r="L2062" i="77"/>
  <c r="L2063" i="77"/>
  <c r="L2064" i="77"/>
  <c r="L2065" i="77"/>
  <c r="L2066" i="77"/>
  <c r="L2067" i="77"/>
  <c r="L2068" i="77"/>
  <c r="L2069" i="77"/>
  <c r="L2070" i="77"/>
  <c r="L2071" i="77"/>
  <c r="L2072" i="77"/>
  <c r="L2073" i="77"/>
  <c r="L2074" i="77"/>
  <c r="L2075" i="77"/>
  <c r="L2076" i="77"/>
  <c r="L2077" i="77"/>
  <c r="L2078" i="77"/>
  <c r="L2079" i="77"/>
  <c r="L2080" i="77"/>
  <c r="L2081" i="77"/>
  <c r="L2082" i="77"/>
  <c r="L2083" i="77"/>
  <c r="L2084" i="77"/>
  <c r="L2085" i="77"/>
  <c r="L2086" i="77"/>
  <c r="L2087" i="77"/>
  <c r="L2088" i="77"/>
  <c r="L2089" i="77"/>
  <c r="L2090" i="77"/>
  <c r="L2091" i="77"/>
  <c r="L2092" i="77"/>
  <c r="L2093" i="77"/>
  <c r="L2094" i="77"/>
  <c r="L2095" i="77"/>
  <c r="L2096" i="77"/>
  <c r="L2097" i="77"/>
  <c r="L2098" i="77"/>
  <c r="L2099" i="77"/>
  <c r="L2100" i="77"/>
  <c r="L2101" i="77"/>
  <c r="L2102" i="77"/>
  <c r="L2103" i="77"/>
  <c r="L2104" i="77"/>
  <c r="L2105" i="77"/>
  <c r="L2106" i="77"/>
  <c r="L2107" i="77"/>
  <c r="L2108" i="77"/>
  <c r="L2109" i="77"/>
  <c r="L2110" i="77"/>
  <c r="L2111" i="77"/>
  <c r="L2112" i="77"/>
  <c r="L2113" i="77"/>
  <c r="L2114" i="77"/>
  <c r="L2115" i="77"/>
  <c r="L2116" i="77"/>
  <c r="L2117" i="77"/>
  <c r="L2118" i="77"/>
  <c r="L2119" i="77"/>
  <c r="L2120" i="77"/>
  <c r="L2121" i="77"/>
  <c r="L2122" i="77"/>
  <c r="L2123" i="77"/>
  <c r="L2124" i="77"/>
  <c r="L2125" i="77"/>
  <c r="L2126" i="77"/>
  <c r="L2127" i="77"/>
  <c r="L2128" i="77"/>
  <c r="L2129" i="77"/>
  <c r="L2130" i="77"/>
  <c r="L2131" i="77"/>
  <c r="L2132" i="77"/>
  <c r="L2133" i="77"/>
  <c r="L2134" i="77"/>
  <c r="L2135" i="77"/>
  <c r="L2136" i="77"/>
  <c r="L2137" i="77"/>
  <c r="L2138" i="77"/>
  <c r="L2139" i="77"/>
  <c r="L2140" i="77"/>
  <c r="L2141" i="77"/>
  <c r="L2142" i="77"/>
  <c r="L2143" i="77"/>
  <c r="L2144" i="77"/>
  <c r="L2145" i="77"/>
  <c r="L2146" i="77"/>
  <c r="L2147" i="77"/>
  <c r="L2148" i="77"/>
  <c r="L2149" i="77"/>
  <c r="L2150" i="77"/>
  <c r="L2151" i="77"/>
  <c r="L2152" i="77"/>
  <c r="L2153" i="77"/>
  <c r="L2154" i="77"/>
  <c r="L2155" i="77"/>
  <c r="L2156" i="77"/>
  <c r="L2157" i="77"/>
  <c r="L2158" i="77"/>
  <c r="L2159" i="77"/>
  <c r="L2160" i="77"/>
  <c r="L2161" i="77"/>
  <c r="L2162" i="77"/>
  <c r="L2163" i="77"/>
  <c r="L2164" i="77"/>
  <c r="L2165" i="77"/>
  <c r="L2166" i="77"/>
  <c r="L2167" i="77"/>
  <c r="L2168" i="77"/>
  <c r="L2169" i="77"/>
  <c r="L2170" i="77"/>
  <c r="L2171" i="77"/>
  <c r="L2172" i="77"/>
  <c r="L2173" i="77"/>
  <c r="L2174" i="77"/>
  <c r="L2175" i="77"/>
  <c r="L2176" i="77"/>
  <c r="L2177" i="77"/>
  <c r="L2178" i="77"/>
  <c r="L2179" i="77"/>
  <c r="L2180" i="77"/>
  <c r="L2181" i="77"/>
  <c r="L2182" i="77"/>
  <c r="L2183" i="77"/>
  <c r="L2184" i="77"/>
  <c r="L2185" i="77"/>
  <c r="L2186" i="77"/>
  <c r="L2187" i="77"/>
  <c r="L2188" i="77"/>
  <c r="L2189" i="77"/>
  <c r="L2190" i="77"/>
  <c r="L2191" i="77"/>
  <c r="L2192" i="77"/>
  <c r="L2193" i="77"/>
  <c r="L2194" i="77"/>
  <c r="L2195" i="77"/>
  <c r="L2196" i="77"/>
  <c r="L2197" i="77"/>
  <c r="L2198" i="77"/>
  <c r="L2199" i="77"/>
  <c r="L2200" i="77"/>
  <c r="L2201" i="77"/>
  <c r="L2202" i="77"/>
  <c r="L2203" i="77"/>
  <c r="L2204" i="77"/>
  <c r="L2205" i="77"/>
  <c r="L2206" i="77"/>
  <c r="L2207" i="77"/>
  <c r="L2208" i="77"/>
  <c r="L2209" i="77"/>
  <c r="L2210" i="77"/>
  <c r="L2211" i="77"/>
  <c r="L2212" i="77"/>
  <c r="L2213" i="77"/>
  <c r="L2214" i="77"/>
  <c r="L2215" i="77"/>
  <c r="L2216" i="77"/>
  <c r="L2217" i="77"/>
  <c r="L2218" i="77"/>
  <c r="L2219" i="77"/>
  <c r="L2220" i="77"/>
  <c r="L2221" i="77"/>
  <c r="L2222" i="77"/>
  <c r="L2223" i="77"/>
  <c r="L2224" i="77"/>
  <c r="L2225" i="77"/>
  <c r="L2226" i="77"/>
  <c r="L2227" i="77"/>
  <c r="L2228" i="77"/>
  <c r="L2229" i="77"/>
  <c r="L2230" i="77"/>
  <c r="L2231" i="77"/>
  <c r="L2232" i="77"/>
  <c r="L2233" i="77"/>
  <c r="L2234" i="77"/>
  <c r="L2235" i="77"/>
  <c r="L2236" i="77"/>
  <c r="L2237" i="77"/>
  <c r="L2238" i="77"/>
  <c r="L2239" i="77"/>
  <c r="L2240" i="77"/>
  <c r="L2241" i="77"/>
  <c r="L2242" i="77"/>
  <c r="L2243" i="77"/>
  <c r="L2244" i="77"/>
  <c r="L2245" i="77"/>
  <c r="L2246" i="77"/>
  <c r="L2247" i="77"/>
  <c r="L2248" i="77"/>
  <c r="L2249" i="77"/>
  <c r="L2250" i="77"/>
  <c r="L2251" i="77"/>
  <c r="L2252" i="77"/>
  <c r="L2253" i="77"/>
  <c r="L2254" i="77"/>
  <c r="L2255" i="77"/>
  <c r="L2256" i="77"/>
  <c r="L2257" i="77"/>
  <c r="L2258" i="77"/>
  <c r="L2259" i="77"/>
  <c r="L2260" i="77"/>
  <c r="L2261" i="77"/>
  <c r="L2262" i="77"/>
  <c r="L2263" i="77"/>
  <c r="L2264" i="77"/>
  <c r="L2265" i="77"/>
  <c r="L2266" i="77"/>
  <c r="L2267" i="77"/>
  <c r="L2268" i="77"/>
  <c r="L2269" i="77"/>
  <c r="L2270" i="77"/>
  <c r="L2271" i="77"/>
  <c r="L2272" i="77"/>
  <c r="L2273" i="77"/>
  <c r="L2274" i="77"/>
  <c r="L2275" i="77"/>
  <c r="L2276" i="77"/>
  <c r="L2277" i="77"/>
  <c r="L2278" i="77"/>
  <c r="L2279" i="77"/>
  <c r="L2280" i="77"/>
  <c r="L2281" i="77"/>
  <c r="L2282" i="77"/>
  <c r="L2283" i="77"/>
  <c r="L2284" i="77"/>
  <c r="L2285" i="77"/>
  <c r="L2286" i="77"/>
  <c r="L2287" i="77"/>
  <c r="L2288" i="77"/>
  <c r="L2289" i="77"/>
  <c r="L2290" i="77"/>
  <c r="L2291" i="77"/>
  <c r="L2292" i="77"/>
  <c r="L2293" i="77"/>
  <c r="L2294" i="77"/>
  <c r="L2295" i="77"/>
  <c r="L2296" i="77"/>
  <c r="L2297" i="77"/>
  <c r="L2298" i="77"/>
  <c r="L2299" i="77"/>
  <c r="L2300" i="77"/>
  <c r="L2301" i="77"/>
  <c r="L2302" i="77"/>
  <c r="L2303" i="77"/>
  <c r="L2304" i="77"/>
  <c r="L2305" i="77"/>
  <c r="L2306" i="77"/>
  <c r="L2307" i="77"/>
  <c r="L2308" i="77"/>
  <c r="L2309" i="77"/>
  <c r="L2310" i="77"/>
  <c r="L2311" i="77"/>
  <c r="L2312" i="77"/>
  <c r="L2313" i="77"/>
  <c r="L2314" i="77"/>
  <c r="L2315" i="77"/>
  <c r="L2316" i="77"/>
  <c r="L2317" i="77"/>
  <c r="L2318" i="77"/>
  <c r="L2319" i="77"/>
  <c r="L2320" i="77"/>
  <c r="L2321" i="77"/>
  <c r="L2322" i="77"/>
  <c r="L2323" i="77"/>
  <c r="L2324" i="77"/>
  <c r="L2325" i="77"/>
  <c r="L2326" i="77"/>
  <c r="L2327" i="77"/>
  <c r="L2328" i="77"/>
  <c r="L2329" i="77"/>
  <c r="L2330" i="77"/>
  <c r="L2331" i="77"/>
  <c r="L2332" i="77"/>
  <c r="L2333" i="77"/>
  <c r="L2334" i="77"/>
  <c r="L2335" i="77"/>
  <c r="L2336" i="77"/>
  <c r="L2337" i="77"/>
  <c r="L2338" i="77"/>
  <c r="L2339" i="77"/>
  <c r="L2340" i="77"/>
  <c r="L2341" i="77"/>
  <c r="L2342" i="77"/>
  <c r="L2343" i="77"/>
  <c r="L2344" i="77"/>
  <c r="L2345" i="77"/>
  <c r="L2346" i="77"/>
  <c r="L2347" i="77"/>
  <c r="L2348" i="77"/>
  <c r="L2349" i="77"/>
  <c r="L2350" i="77"/>
  <c r="L2351" i="77"/>
  <c r="L2352" i="77"/>
  <c r="L2353" i="77"/>
  <c r="L2354" i="77"/>
  <c r="L2355" i="77"/>
  <c r="L2356" i="77"/>
  <c r="L2357" i="77"/>
  <c r="L2358" i="77"/>
  <c r="L2359" i="77"/>
  <c r="L2360" i="77"/>
  <c r="L2361" i="77"/>
  <c r="L2362" i="77"/>
  <c r="L2363" i="77"/>
  <c r="L2364" i="77"/>
  <c r="L2365" i="77"/>
  <c r="L2366" i="77"/>
  <c r="L2367" i="77"/>
  <c r="L2368" i="77"/>
  <c r="L2369" i="77"/>
  <c r="L2370" i="77"/>
  <c r="L2371" i="77"/>
  <c r="L2372" i="77"/>
  <c r="L2373" i="77"/>
  <c r="L2374" i="77"/>
  <c r="L2375" i="77"/>
  <c r="L2376" i="77"/>
  <c r="L2377" i="77"/>
  <c r="L2378" i="77"/>
  <c r="L2379" i="77"/>
  <c r="L2380" i="77"/>
  <c r="L2381" i="77"/>
  <c r="L2382" i="77"/>
  <c r="L2383" i="77"/>
  <c r="L2384" i="77"/>
  <c r="L2385" i="77"/>
  <c r="L2386" i="77"/>
  <c r="L2387" i="77"/>
  <c r="L2388" i="77"/>
  <c r="L2389" i="77"/>
  <c r="L2390" i="77"/>
  <c r="L2391" i="77"/>
  <c r="L2392" i="77"/>
  <c r="L2393" i="77"/>
  <c r="L2394" i="77"/>
  <c r="L2395" i="77"/>
  <c r="L2396" i="77"/>
  <c r="L2397" i="77"/>
  <c r="L2398" i="77"/>
  <c r="L2399" i="77"/>
  <c r="L2400" i="77"/>
  <c r="L2401" i="77"/>
  <c r="L2402" i="77"/>
  <c r="L2403" i="77"/>
  <c r="L2404" i="77"/>
  <c r="L2405" i="77"/>
  <c r="L2406" i="77"/>
  <c r="L2407" i="77"/>
  <c r="L2408" i="77"/>
  <c r="L2409" i="77"/>
  <c r="L2410" i="77"/>
  <c r="L2411" i="77"/>
  <c r="L2412" i="77"/>
  <c r="L2413" i="77"/>
  <c r="L2414" i="77"/>
  <c r="L2415" i="77"/>
  <c r="L2416" i="77"/>
  <c r="L2417" i="77"/>
  <c r="L2418" i="77"/>
  <c r="L2419" i="77"/>
  <c r="L2420" i="77"/>
  <c r="L2421" i="77"/>
  <c r="L2422" i="77"/>
  <c r="L2423" i="77"/>
  <c r="L2424" i="77"/>
  <c r="L2425" i="77"/>
  <c r="L2426" i="77"/>
  <c r="L2427" i="77"/>
  <c r="L2428" i="77"/>
  <c r="L2429" i="77"/>
  <c r="L2430" i="77"/>
  <c r="L2431" i="77"/>
  <c r="L2432" i="77"/>
  <c r="L2433" i="77"/>
  <c r="L2434" i="77"/>
  <c r="L2435" i="77"/>
  <c r="L2436" i="77"/>
  <c r="L2437" i="77"/>
  <c r="L2438" i="77"/>
  <c r="L2439" i="77"/>
  <c r="L2440" i="77"/>
  <c r="L2441" i="77"/>
  <c r="L2442" i="77"/>
  <c r="L2443" i="77"/>
  <c r="L2444" i="77"/>
  <c r="L2445" i="77"/>
  <c r="L2446" i="77"/>
  <c r="L2447" i="77"/>
  <c r="L2448" i="77"/>
  <c r="L2449" i="77"/>
  <c r="L2450" i="77"/>
  <c r="L2451" i="77"/>
  <c r="L2452" i="77"/>
  <c r="L2453" i="77"/>
  <c r="L2454" i="77"/>
  <c r="L2455" i="77"/>
  <c r="L2456" i="77"/>
  <c r="L2457" i="77"/>
  <c r="L2458" i="77"/>
  <c r="L2459" i="77"/>
  <c r="L2460" i="77"/>
  <c r="L2461" i="77"/>
  <c r="L2462" i="77"/>
  <c r="L2463" i="77"/>
  <c r="L2464" i="77"/>
  <c r="L2465" i="77"/>
  <c r="L2466" i="77"/>
  <c r="L2467" i="77"/>
  <c r="L2468" i="77"/>
  <c r="L2469" i="77"/>
  <c r="L2470" i="77"/>
  <c r="L2471" i="77"/>
  <c r="L2472" i="77"/>
  <c r="L2473" i="77"/>
  <c r="L2474" i="77"/>
  <c r="L2475" i="77"/>
  <c r="L2476" i="77"/>
  <c r="L2477" i="77"/>
  <c r="L2478" i="77"/>
  <c r="L2479" i="77"/>
  <c r="L2480" i="77"/>
  <c r="L2481" i="77"/>
  <c r="L2482" i="77"/>
  <c r="L2483" i="77"/>
  <c r="L2484" i="77"/>
  <c r="L2485" i="77"/>
  <c r="L2486" i="77"/>
  <c r="L2487" i="77"/>
  <c r="L2488" i="77"/>
  <c r="L2489" i="77"/>
  <c r="L2490" i="77"/>
  <c r="L2491" i="77"/>
  <c r="L2492" i="77"/>
  <c r="L2493" i="77"/>
  <c r="L2494" i="77"/>
  <c r="L2495" i="77"/>
  <c r="L2496" i="77"/>
  <c r="L2497" i="77"/>
  <c r="L2498" i="77"/>
  <c r="L2499" i="77"/>
  <c r="L2500" i="77"/>
  <c r="L2501" i="77"/>
  <c r="L2502" i="77"/>
  <c r="L2503" i="77"/>
  <c r="L2504" i="77"/>
  <c r="L2505" i="77"/>
  <c r="L2506" i="77"/>
  <c r="L2507" i="77"/>
  <c r="L2508" i="77"/>
  <c r="L2509" i="77"/>
  <c r="L2510" i="77"/>
  <c r="L2511" i="77"/>
  <c r="L2512" i="77"/>
  <c r="L2513" i="77"/>
  <c r="L2514" i="77"/>
  <c r="L2515" i="77"/>
  <c r="L2516" i="77"/>
  <c r="L2517" i="77"/>
  <c r="L2518" i="77"/>
  <c r="L2519" i="77"/>
  <c r="L2520" i="77"/>
  <c r="L2521" i="77"/>
  <c r="L2522" i="77"/>
  <c r="L2523" i="77"/>
  <c r="L2524" i="77"/>
  <c r="L2525" i="77"/>
  <c r="L2526" i="77"/>
  <c r="L2527" i="77"/>
  <c r="L2528" i="77"/>
  <c r="L2529" i="77"/>
  <c r="L2530" i="77"/>
  <c r="L2531" i="77"/>
  <c r="L2532" i="77"/>
  <c r="L2533" i="77"/>
  <c r="L2534" i="77"/>
  <c r="L2535" i="77"/>
  <c r="L2536" i="77"/>
  <c r="L2537" i="77"/>
  <c r="L414" i="77"/>
  <c r="L3" i="77"/>
  <c r="L4" i="77"/>
  <c r="L5" i="77"/>
  <c r="L6" i="77"/>
  <c r="L7" i="77"/>
  <c r="L8" i="77"/>
  <c r="D3" i="84" a="1"/>
  <c r="D3" i="84" s="1"/>
  <c r="V1423" i="80" a="1"/>
  <c r="V1423" i="80" s="1"/>
  <c r="V1421" i="80" a="1"/>
  <c r="V1421" i="80" s="1"/>
  <c r="V1415" i="80" a="1"/>
  <c r="V1415" i="80" s="1"/>
  <c r="C1415" i="80"/>
  <c r="O1415" i="80"/>
  <c r="T1415" i="80"/>
  <c r="U1415" i="80"/>
  <c r="C1416" i="80"/>
  <c r="O1416" i="80"/>
  <c r="T1416" i="80"/>
  <c r="U1416" i="80"/>
  <c r="V1416" i="80" s="1" a="1"/>
  <c r="V1416" i="80" s="1"/>
  <c r="C1417" i="80"/>
  <c r="O1417" i="80"/>
  <c r="T1417" i="80"/>
  <c r="U1417" i="80"/>
  <c r="V1417" i="80" s="1" a="1"/>
  <c r="V1417" i="80" s="1"/>
  <c r="C1418" i="80"/>
  <c r="O1418" i="80"/>
  <c r="T1418" i="80"/>
  <c r="U1418" i="80"/>
  <c r="V1418" i="80" s="1" a="1"/>
  <c r="V1418" i="80" s="1"/>
  <c r="C1419" i="80"/>
  <c r="O1419" i="80"/>
  <c r="T1419" i="80"/>
  <c r="U1419" i="80"/>
  <c r="V1419" i="80" s="1" a="1"/>
  <c r="V1419" i="80" s="1"/>
  <c r="C1420" i="80"/>
  <c r="O1420" i="80"/>
  <c r="T1420" i="80"/>
  <c r="U1420" i="80"/>
  <c r="V1420" i="80" s="1" a="1"/>
  <c r="V1420" i="80" s="1"/>
  <c r="C1421" i="80"/>
  <c r="O1421" i="80"/>
  <c r="T1421" i="80"/>
  <c r="U1421" i="80"/>
  <c r="C1422" i="80"/>
  <c r="O1422" i="80"/>
  <c r="T1422" i="80"/>
  <c r="U1422" i="80"/>
  <c r="V1422" i="80" s="1" a="1"/>
  <c r="V1422" i="80" s="1"/>
  <c r="C1423" i="80"/>
  <c r="O1423" i="80"/>
  <c r="T1423" i="80"/>
  <c r="U1423" i="80"/>
  <c r="C1424" i="80"/>
  <c r="O1424" i="80"/>
  <c r="T1424" i="80"/>
  <c r="U1424" i="80"/>
  <c r="V1424" i="80" s="1" a="1"/>
  <c r="V1424" i="80" s="1"/>
  <c r="C1425" i="80"/>
  <c r="O1425" i="80"/>
  <c r="T1425" i="80"/>
  <c r="U1425" i="80"/>
  <c r="V1425" i="80" s="1" a="1"/>
  <c r="V1425" i="80" s="1"/>
  <c r="C1426" i="80"/>
  <c r="O1426" i="80"/>
  <c r="T1426" i="80"/>
  <c r="U1426" i="80"/>
  <c r="V1426" i="80" s="1" a="1"/>
  <c r="V1426" i="80" s="1"/>
  <c r="C1427" i="80"/>
  <c r="O1427" i="80"/>
  <c r="T1427" i="80"/>
  <c r="U1427" i="80"/>
  <c r="V1427" i="80" s="1" a="1"/>
  <c r="V1427" i="80" s="1"/>
  <c r="C1428" i="80"/>
  <c r="O1428" i="80"/>
  <c r="T1428" i="80"/>
  <c r="U1428" i="80"/>
  <c r="V1428" i="80" s="1" a="1"/>
  <c r="V1428" i="80" s="1"/>
  <c r="C1429" i="80"/>
  <c r="O1429" i="80"/>
  <c r="T1429" i="80"/>
  <c r="U1429" i="80"/>
  <c r="V1429" i="80" s="1" a="1"/>
  <c r="V1429" i="80" s="1"/>
  <c r="C1430" i="80"/>
  <c r="O1430" i="80"/>
  <c r="T1430" i="80"/>
  <c r="U1430" i="80"/>
  <c r="V1430" i="80" s="1" a="1"/>
  <c r="V1430" i="80" s="1"/>
  <c r="C1431" i="80"/>
  <c r="O1431" i="80"/>
  <c r="T1431" i="80"/>
  <c r="U1431" i="80"/>
  <c r="V1431" i="80" s="1" a="1"/>
  <c r="V1431" i="80" s="1"/>
  <c r="C1432" i="80"/>
  <c r="O1432" i="80"/>
  <c r="T1432" i="80"/>
  <c r="U1432" i="80"/>
  <c r="V1432" i="80" s="1" a="1"/>
  <c r="V1432" i="80" s="1"/>
  <c r="C1433" i="80"/>
  <c r="O1433" i="80"/>
  <c r="T1433" i="80"/>
  <c r="U1433" i="80"/>
  <c r="V1433" i="80" s="1" a="1"/>
  <c r="V1433" i="80" s="1"/>
  <c r="C1434" i="80"/>
  <c r="O1434" i="80"/>
  <c r="T1434" i="80"/>
  <c r="U1434" i="80"/>
  <c r="V1434" i="80" s="1" a="1"/>
  <c r="V1434" i="80" s="1"/>
  <c r="C1435" i="80"/>
  <c r="O1435" i="80"/>
  <c r="T1435" i="80"/>
  <c r="U1435" i="80"/>
  <c r="V1435" i="80" s="1" a="1"/>
  <c r="V1435" i="80" s="1"/>
  <c r="C1436" i="80"/>
  <c r="O1436" i="80"/>
  <c r="T1436" i="80"/>
  <c r="U1436" i="80"/>
  <c r="V1436" i="80" s="1" a="1"/>
  <c r="V1436" i="80" s="1"/>
  <c r="C1437" i="80"/>
  <c r="O1437" i="80"/>
  <c r="T1437" i="80"/>
  <c r="U1437" i="80"/>
  <c r="V1437" i="80" s="1" a="1"/>
  <c r="V1437" i="80" s="1"/>
  <c r="C1438" i="80"/>
  <c r="O1438" i="80"/>
  <c r="T1438" i="80"/>
  <c r="U1438" i="80"/>
  <c r="V1438" i="80" s="1" a="1"/>
  <c r="V1438" i="80" s="1"/>
  <c r="C1439" i="80"/>
  <c r="O1439" i="80"/>
  <c r="T1439" i="80"/>
  <c r="U1439" i="80"/>
  <c r="V1439" i="80" s="1" a="1"/>
  <c r="V1439" i="80" s="1"/>
  <c r="C1440" i="80"/>
  <c r="O1440" i="80"/>
  <c r="T1440" i="80"/>
  <c r="U1440" i="80"/>
  <c r="V1440" i="80" s="1" a="1"/>
  <c r="V1440" i="80" s="1"/>
  <c r="C1441" i="80"/>
  <c r="O1441" i="80"/>
  <c r="T1441" i="80"/>
  <c r="U1441" i="80"/>
  <c r="V1441" i="80" s="1" a="1"/>
  <c r="V1441" i="80" s="1"/>
  <c r="C1442" i="80"/>
  <c r="O1442" i="80"/>
  <c r="T1442" i="80"/>
  <c r="U1442" i="80"/>
  <c r="V1442" i="80" s="1" a="1"/>
  <c r="V1442" i="80" s="1"/>
  <c r="C1443" i="80"/>
  <c r="O1443" i="80"/>
  <c r="T1443" i="80"/>
  <c r="U1443" i="80"/>
  <c r="V1443" i="80" s="1" a="1"/>
  <c r="V1443" i="80" s="1"/>
  <c r="C1444" i="80"/>
  <c r="O1444" i="80"/>
  <c r="T1444" i="80"/>
  <c r="U1444" i="80"/>
  <c r="V1444" i="80" s="1" a="1"/>
  <c r="V1444" i="80" s="1"/>
  <c r="C1445" i="80"/>
  <c r="O1445" i="80"/>
  <c r="T1445" i="80"/>
  <c r="U1445" i="80"/>
  <c r="V1445" i="80" s="1" a="1"/>
  <c r="V1445" i="80" s="1"/>
  <c r="C1446" i="80"/>
  <c r="O1446" i="80"/>
  <c r="T1446" i="80"/>
  <c r="U1446" i="80"/>
  <c r="V1446" i="80" s="1" a="1"/>
  <c r="V1446" i="80" s="1"/>
  <c r="C1447" i="80"/>
  <c r="O1447" i="80"/>
  <c r="T1447" i="80"/>
  <c r="U1447" i="80"/>
  <c r="V1447" i="80" s="1" a="1"/>
  <c r="V1447" i="80" s="1"/>
  <c r="C1448" i="80"/>
  <c r="O1448" i="80"/>
  <c r="T1448" i="80"/>
  <c r="U1448" i="80"/>
  <c r="V1448" i="80" s="1" a="1"/>
  <c r="V1448" i="80" s="1"/>
  <c r="C1449" i="80"/>
  <c r="O1449" i="80"/>
  <c r="T1449" i="80"/>
  <c r="U1449" i="80"/>
  <c r="V1449" i="80" s="1" a="1"/>
  <c r="V1449" i="80" s="1"/>
  <c r="C1450" i="80"/>
  <c r="O1450" i="80"/>
  <c r="T1450" i="80"/>
  <c r="U1450" i="80"/>
  <c r="V1450" i="80" s="1" a="1"/>
  <c r="V1450" i="80" s="1"/>
  <c r="C1451" i="80"/>
  <c r="O1451" i="80"/>
  <c r="T1451" i="80"/>
  <c r="U1451" i="80"/>
  <c r="V1451" i="80" s="1" a="1"/>
  <c r="V1451" i="80" s="1"/>
  <c r="C1452" i="80"/>
  <c r="O1452" i="80"/>
  <c r="T1452" i="80"/>
  <c r="U1452" i="80"/>
  <c r="V1452" i="80" s="1" a="1"/>
  <c r="V1452" i="80" s="1"/>
  <c r="C1453" i="80"/>
  <c r="O1453" i="80"/>
  <c r="T1453" i="80"/>
  <c r="U1453" i="80"/>
  <c r="V1453" i="80" s="1" a="1"/>
  <c r="V1453" i="80" s="1"/>
  <c r="C1454" i="80"/>
  <c r="O1454" i="80"/>
  <c r="T1454" i="80"/>
  <c r="U1454" i="80"/>
  <c r="V1454" i="80" s="1" a="1"/>
  <c r="V1454" i="80" s="1"/>
  <c r="C1455" i="80"/>
  <c r="O1455" i="80"/>
  <c r="T1455" i="80"/>
  <c r="U1455" i="80"/>
  <c r="V1455" i="80" s="1" a="1"/>
  <c r="V1455" i="80" s="1"/>
  <c r="C1456" i="80"/>
  <c r="O1456" i="80"/>
  <c r="T1456" i="80"/>
  <c r="U1456" i="80"/>
  <c r="V1456" i="80" s="1" a="1"/>
  <c r="V1456" i="80" s="1"/>
  <c r="C1457" i="80"/>
  <c r="O1457" i="80"/>
  <c r="T1457" i="80"/>
  <c r="U1457" i="80"/>
  <c r="V1457" i="80" s="1" a="1"/>
  <c r="V1457" i="80" s="1"/>
  <c r="C1458" i="80"/>
  <c r="O1458" i="80"/>
  <c r="T1458" i="80"/>
  <c r="U1458" i="80"/>
  <c r="V1458" i="80" s="1" a="1"/>
  <c r="V1458" i="80" s="1"/>
  <c r="C1459" i="80"/>
  <c r="O1459" i="80"/>
  <c r="T1459" i="80"/>
  <c r="U1459" i="80"/>
  <c r="V1459" i="80" s="1" a="1"/>
  <c r="V1459" i="80" s="1"/>
  <c r="C1460" i="80"/>
  <c r="O1460" i="80"/>
  <c r="T1460" i="80"/>
  <c r="U1460" i="80"/>
  <c r="V1460" i="80" s="1" a="1"/>
  <c r="V1460" i="80" s="1"/>
  <c r="C1461" i="80"/>
  <c r="O1461" i="80"/>
  <c r="T1461" i="80"/>
  <c r="U1461" i="80"/>
  <c r="V1461" i="80" s="1" a="1"/>
  <c r="V1461" i="80" s="1"/>
  <c r="C1462" i="80"/>
  <c r="O1462" i="80"/>
  <c r="T1462" i="80"/>
  <c r="U1462" i="80"/>
  <c r="V1462" i="80" s="1" a="1"/>
  <c r="V1462" i="80" s="1"/>
  <c r="C1463" i="80"/>
  <c r="O1463" i="80"/>
  <c r="T1463" i="80"/>
  <c r="U1463" i="80"/>
  <c r="V1463" i="80" s="1" a="1"/>
  <c r="V1463" i="80" s="1"/>
  <c r="C1464" i="80"/>
  <c r="O1464" i="80"/>
  <c r="T1464" i="80"/>
  <c r="U1464" i="80"/>
  <c r="V1464" i="80" s="1" a="1"/>
  <c r="V1464" i="80" s="1"/>
  <c r="C1465" i="80"/>
  <c r="O1465" i="80"/>
  <c r="T1465" i="80"/>
  <c r="U1465" i="80"/>
  <c r="V1465" i="80" s="1" a="1"/>
  <c r="V1465" i="80" s="1"/>
  <c r="C1466" i="80"/>
  <c r="O1466" i="80"/>
  <c r="T1466" i="80"/>
  <c r="U1466" i="80"/>
  <c r="V1466" i="80" s="1" a="1"/>
  <c r="V1466" i="80" s="1"/>
  <c r="C1467" i="80"/>
  <c r="O1467" i="80"/>
  <c r="T1467" i="80"/>
  <c r="U1467" i="80"/>
  <c r="V1467" i="80" s="1" a="1"/>
  <c r="V1467" i="80" s="1"/>
  <c r="C1468" i="80"/>
  <c r="O1468" i="80"/>
  <c r="T1468" i="80"/>
  <c r="U1468" i="80"/>
  <c r="V1468" i="80" s="1" a="1"/>
  <c r="V1468" i="80" s="1"/>
  <c r="C1469" i="80"/>
  <c r="O1469" i="80"/>
  <c r="T1469" i="80"/>
  <c r="U1469" i="80"/>
  <c r="V1469" i="80" s="1" a="1"/>
  <c r="V1469" i="80" s="1"/>
  <c r="C1470" i="80"/>
  <c r="O1470" i="80"/>
  <c r="T1470" i="80"/>
  <c r="U1470" i="80"/>
  <c r="V1470" i="80" s="1" a="1"/>
  <c r="V1470" i="80" s="1"/>
  <c r="C1471" i="80"/>
  <c r="O1471" i="80"/>
  <c r="T1471" i="80"/>
  <c r="U1471" i="80"/>
  <c r="V1471" i="80" s="1" a="1"/>
  <c r="V1471" i="80" s="1"/>
  <c r="C1472" i="80"/>
  <c r="O1472" i="80"/>
  <c r="T1472" i="80"/>
  <c r="U1472" i="80"/>
  <c r="V1472" i="80" s="1" a="1"/>
  <c r="V1472" i="80" s="1"/>
  <c r="C1473" i="80"/>
  <c r="O1473" i="80"/>
  <c r="T1473" i="80"/>
  <c r="U1473" i="80"/>
  <c r="V1473" i="80" s="1" a="1"/>
  <c r="V1473" i="80" s="1"/>
  <c r="C1474" i="80"/>
  <c r="O1474" i="80"/>
  <c r="T1474" i="80"/>
  <c r="U1474" i="80"/>
  <c r="V1474" i="80" s="1" a="1"/>
  <c r="V1474" i="80" s="1"/>
  <c r="C1475" i="80"/>
  <c r="O1475" i="80"/>
  <c r="T1475" i="80"/>
  <c r="U1475" i="80"/>
  <c r="V1475" i="80" s="1" a="1"/>
  <c r="V1475" i="80" s="1"/>
  <c r="C1476" i="80"/>
  <c r="O1476" i="80"/>
  <c r="T1476" i="80"/>
  <c r="U1476" i="80"/>
  <c r="V1476" i="80" s="1" a="1"/>
  <c r="V1476" i="80" s="1"/>
  <c r="C1477" i="80"/>
  <c r="O1477" i="80"/>
  <c r="T1477" i="80"/>
  <c r="U1477" i="80"/>
  <c r="V1477" i="80" s="1" a="1"/>
  <c r="V1477" i="80" s="1"/>
  <c r="C1478" i="80"/>
  <c r="O1478" i="80"/>
  <c r="T1478" i="80"/>
  <c r="U1478" i="80"/>
  <c r="V1478" i="80" s="1" a="1"/>
  <c r="V1478" i="80" s="1"/>
  <c r="C1479" i="80"/>
  <c r="O1479" i="80"/>
  <c r="T1479" i="80"/>
  <c r="U1479" i="80"/>
  <c r="V1479" i="80" s="1" a="1"/>
  <c r="V1479" i="80" s="1"/>
  <c r="C1480" i="80"/>
  <c r="O1480" i="80"/>
  <c r="T1480" i="80"/>
  <c r="U1480" i="80"/>
  <c r="V1480" i="80" s="1" a="1"/>
  <c r="V1480" i="80" s="1"/>
  <c r="C1481" i="80"/>
  <c r="O1481" i="80"/>
  <c r="T1481" i="80"/>
  <c r="U1481" i="80"/>
  <c r="V1481" i="80" s="1" a="1"/>
  <c r="V1481" i="80" s="1"/>
  <c r="C1482" i="80"/>
  <c r="O1482" i="80"/>
  <c r="T1482" i="80"/>
  <c r="U1482" i="80"/>
  <c r="V1482" i="80" s="1" a="1"/>
  <c r="V1482" i="80" s="1"/>
  <c r="C1483" i="80"/>
  <c r="O1483" i="80"/>
  <c r="T1483" i="80"/>
  <c r="U1483" i="80"/>
  <c r="V1483" i="80" s="1" a="1"/>
  <c r="V1483" i="80" s="1"/>
  <c r="C1484" i="80"/>
  <c r="O1484" i="80"/>
  <c r="T1484" i="80"/>
  <c r="U1484" i="80"/>
  <c r="V1484" i="80" s="1" a="1"/>
  <c r="V1484" i="80" s="1"/>
  <c r="C1485" i="80"/>
  <c r="O1485" i="80"/>
  <c r="T1485" i="80"/>
  <c r="U1485" i="80"/>
  <c r="V1485" i="80" s="1" a="1"/>
  <c r="V1485" i="80" s="1"/>
  <c r="C1486" i="80"/>
  <c r="O1486" i="80"/>
  <c r="T1486" i="80"/>
  <c r="U1486" i="80"/>
  <c r="V1486" i="80" s="1" a="1"/>
  <c r="V1486" i="80" s="1"/>
  <c r="C1487" i="80"/>
  <c r="O1487" i="80"/>
  <c r="T1487" i="80"/>
  <c r="U1487" i="80"/>
  <c r="V1487" i="80" s="1" a="1"/>
  <c r="V1487" i="80" s="1"/>
  <c r="C1488" i="80"/>
  <c r="O1488" i="80"/>
  <c r="T1488" i="80"/>
  <c r="U1488" i="80"/>
  <c r="V1488" i="80" s="1" a="1"/>
  <c r="V1488" i="80" s="1"/>
  <c r="C1489" i="80"/>
  <c r="O1489" i="80"/>
  <c r="T1489" i="80"/>
  <c r="U1489" i="80"/>
  <c r="V1489" i="80" s="1" a="1"/>
  <c r="V1489" i="80" s="1"/>
  <c r="C1490" i="80"/>
  <c r="O1490" i="80"/>
  <c r="T1490" i="80"/>
  <c r="U1490" i="80"/>
  <c r="V1490" i="80" s="1" a="1"/>
  <c r="V1490" i="80" s="1"/>
  <c r="C1491" i="80"/>
  <c r="O1491" i="80"/>
  <c r="T1491" i="80"/>
  <c r="U1491" i="80"/>
  <c r="V1491" i="80" s="1" a="1"/>
  <c r="V1491" i="80" s="1"/>
  <c r="C1492" i="80"/>
  <c r="O1492" i="80"/>
  <c r="T1492" i="80"/>
  <c r="U1492" i="80"/>
  <c r="V1492" i="80" s="1" a="1"/>
  <c r="V1492" i="80" s="1"/>
  <c r="C1493" i="80"/>
  <c r="O1493" i="80"/>
  <c r="T1493" i="80"/>
  <c r="U1493" i="80"/>
  <c r="V1493" i="80" s="1" a="1"/>
  <c r="V1493" i="80" s="1"/>
  <c r="C1494" i="80"/>
  <c r="O1494" i="80"/>
  <c r="T1494" i="80"/>
  <c r="U1494" i="80"/>
  <c r="V1494" i="80" s="1" a="1"/>
  <c r="V1494" i="80" s="1"/>
  <c r="C1495" i="80"/>
  <c r="O1495" i="80"/>
  <c r="T1495" i="80"/>
  <c r="U1495" i="80"/>
  <c r="V1495" i="80" s="1" a="1"/>
  <c r="V1495" i="80" s="1"/>
  <c r="C1496" i="80"/>
  <c r="O1496" i="80"/>
  <c r="T1496" i="80"/>
  <c r="U1496" i="80"/>
  <c r="V1496" i="80" s="1" a="1"/>
  <c r="V1496" i="80" s="1"/>
  <c r="C1497" i="80"/>
  <c r="O1497" i="80"/>
  <c r="T1497" i="80"/>
  <c r="U1497" i="80"/>
  <c r="V1497" i="80" s="1" a="1"/>
  <c r="V1497" i="80" s="1"/>
  <c r="C1498" i="80"/>
  <c r="O1498" i="80"/>
  <c r="T1498" i="80"/>
  <c r="U1498" i="80"/>
  <c r="V1498" i="80" s="1" a="1"/>
  <c r="V1498" i="80" s="1"/>
  <c r="C1499" i="80"/>
  <c r="O1499" i="80"/>
  <c r="T1499" i="80"/>
  <c r="U1499" i="80"/>
  <c r="V1499" i="80" s="1" a="1"/>
  <c r="V1499" i="80" s="1"/>
  <c r="C1500" i="80"/>
  <c r="O1500" i="80"/>
  <c r="T1500" i="80"/>
  <c r="U1500" i="80"/>
  <c r="V1500" i="80" s="1" a="1"/>
  <c r="V1500" i="80" s="1"/>
  <c r="C1501" i="80"/>
  <c r="O1501" i="80"/>
  <c r="T1501" i="80"/>
  <c r="U1501" i="80"/>
  <c r="V1501" i="80" s="1" a="1"/>
  <c r="V1501" i="80" s="1"/>
  <c r="C1502" i="80"/>
  <c r="O1502" i="80"/>
  <c r="T1502" i="80"/>
  <c r="U1502" i="80"/>
  <c r="V1502" i="80" s="1" a="1"/>
  <c r="V1502" i="80" s="1"/>
  <c r="C1503" i="80"/>
  <c r="O1503" i="80"/>
  <c r="T1503" i="80"/>
  <c r="U1503" i="80"/>
  <c r="V1503" i="80" s="1" a="1"/>
  <c r="V1503" i="80" s="1"/>
  <c r="C1504" i="80"/>
  <c r="O1504" i="80"/>
  <c r="T1504" i="80"/>
  <c r="U1504" i="80"/>
  <c r="V1504" i="80" s="1" a="1"/>
  <c r="V1504" i="80" s="1"/>
  <c r="C1505" i="80"/>
  <c r="O1505" i="80"/>
  <c r="T1505" i="80"/>
  <c r="U1505" i="80"/>
  <c r="V1505" i="80" s="1" a="1"/>
  <c r="V1505" i="80" s="1"/>
  <c r="C1506" i="80"/>
  <c r="O1506" i="80"/>
  <c r="T1506" i="80"/>
  <c r="U1506" i="80"/>
  <c r="V1506" i="80" s="1" a="1"/>
  <c r="V1506" i="80" s="1"/>
  <c r="C1507" i="80"/>
  <c r="O1507" i="80"/>
  <c r="T1507" i="80"/>
  <c r="U1507" i="80"/>
  <c r="V1507" i="80" s="1" a="1"/>
  <c r="V1507" i="80" s="1"/>
  <c r="C1508" i="80"/>
  <c r="O1508" i="80"/>
  <c r="T1508" i="80"/>
  <c r="U1508" i="80"/>
  <c r="V1508" i="80" s="1" a="1"/>
  <c r="V1508" i="80" s="1"/>
  <c r="C1509" i="80"/>
  <c r="O1509" i="80"/>
  <c r="T1509" i="80"/>
  <c r="U1509" i="80"/>
  <c r="V1509" i="80" s="1" a="1"/>
  <c r="V1509" i="80" s="1"/>
  <c r="C1510" i="80"/>
  <c r="O1510" i="80"/>
  <c r="T1510" i="80"/>
  <c r="U1510" i="80"/>
  <c r="V1510" i="80" s="1" a="1"/>
  <c r="V1510" i="80" s="1"/>
  <c r="C1511" i="80"/>
  <c r="O1511" i="80"/>
  <c r="T1511" i="80"/>
  <c r="U1511" i="80"/>
  <c r="V1511" i="80" s="1" a="1"/>
  <c r="V1511" i="80" s="1"/>
  <c r="C1512" i="80"/>
  <c r="O1512" i="80"/>
  <c r="T1512" i="80"/>
  <c r="U1512" i="80"/>
  <c r="V1512" i="80" s="1" a="1"/>
  <c r="V1512" i="80" s="1"/>
  <c r="C1513" i="80"/>
  <c r="O1513" i="80"/>
  <c r="T1513" i="80"/>
  <c r="U1513" i="80"/>
  <c r="V1513" i="80" s="1" a="1"/>
  <c r="V1513" i="80" s="1"/>
  <c r="C1514" i="80"/>
  <c r="O1514" i="80"/>
  <c r="T1514" i="80"/>
  <c r="U1514" i="80"/>
  <c r="V1514" i="80" s="1" a="1"/>
  <c r="V1514" i="80" s="1"/>
  <c r="C1515" i="80"/>
  <c r="O1515" i="80"/>
  <c r="T1515" i="80"/>
  <c r="U1515" i="80"/>
  <c r="V1515" i="80" s="1" a="1"/>
  <c r="V1515" i="80" s="1"/>
  <c r="C1516" i="80"/>
  <c r="O1516" i="80"/>
  <c r="T1516" i="80"/>
  <c r="U1516" i="80"/>
  <c r="V1516" i="80" s="1" a="1"/>
  <c r="V1516" i="80" s="1"/>
  <c r="C1517" i="80"/>
  <c r="O1517" i="80"/>
  <c r="T1517" i="80"/>
  <c r="U1517" i="80"/>
  <c r="V1517" i="80" s="1" a="1"/>
  <c r="V1517" i="80" s="1"/>
  <c r="C1518" i="80"/>
  <c r="O1518" i="80"/>
  <c r="T1518" i="80"/>
  <c r="U1518" i="80"/>
  <c r="V1518" i="80" s="1" a="1"/>
  <c r="V1518" i="80" s="1"/>
  <c r="C1519" i="80"/>
  <c r="O1519" i="80"/>
  <c r="T1519" i="80"/>
  <c r="U1519" i="80"/>
  <c r="V1519" i="80" s="1" a="1"/>
  <c r="V1519" i="80" s="1"/>
  <c r="C1520" i="80"/>
  <c r="O1520" i="80"/>
  <c r="T1520" i="80"/>
  <c r="U1520" i="80"/>
  <c r="V1520" i="80" s="1" a="1"/>
  <c r="V1520" i="80" s="1"/>
  <c r="C1521" i="80"/>
  <c r="O1521" i="80"/>
  <c r="T1521" i="80"/>
  <c r="U1521" i="80"/>
  <c r="V1521" i="80" s="1" a="1"/>
  <c r="V1521" i="80" s="1"/>
  <c r="C1522" i="80"/>
  <c r="O1522" i="80"/>
  <c r="T1522" i="80"/>
  <c r="U1522" i="80"/>
  <c r="V1522" i="80" s="1" a="1"/>
  <c r="V1522" i="80" s="1"/>
  <c r="C1523" i="80"/>
  <c r="O1523" i="80"/>
  <c r="T1523" i="80"/>
  <c r="U1523" i="80"/>
  <c r="V1523" i="80" s="1" a="1"/>
  <c r="V1523" i="80" s="1"/>
  <c r="C1524" i="80"/>
  <c r="O1524" i="80"/>
  <c r="T1524" i="80"/>
  <c r="U1524" i="80"/>
  <c r="V1524" i="80" s="1" a="1"/>
  <c r="V1524" i="80" s="1"/>
  <c r="C1525" i="80"/>
  <c r="O1525" i="80"/>
  <c r="T1525" i="80"/>
  <c r="U1525" i="80"/>
  <c r="V1525" i="80" s="1" a="1"/>
  <c r="V1525" i="80" s="1"/>
  <c r="C1526" i="80"/>
  <c r="O1526" i="80"/>
  <c r="T1526" i="80"/>
  <c r="U1526" i="80"/>
  <c r="V1526" i="80" s="1" a="1"/>
  <c r="V1526" i="80" s="1"/>
  <c r="C1527" i="80"/>
  <c r="O1527" i="80"/>
  <c r="T1527" i="80"/>
  <c r="U1527" i="80"/>
  <c r="V1527" i="80" s="1" a="1"/>
  <c r="V1527" i="80" s="1"/>
  <c r="C1528" i="80"/>
  <c r="O1528" i="80"/>
  <c r="T1528" i="80"/>
  <c r="U1528" i="80"/>
  <c r="V1528" i="80" s="1" a="1"/>
  <c r="V1528" i="80" s="1"/>
  <c r="C1529" i="80"/>
  <c r="O1529" i="80"/>
  <c r="T1529" i="80"/>
  <c r="U1529" i="80"/>
  <c r="V1529" i="80" s="1" a="1"/>
  <c r="V1529" i="80" s="1"/>
  <c r="C1530" i="80"/>
  <c r="O1530" i="80"/>
  <c r="T1530" i="80"/>
  <c r="U1530" i="80"/>
  <c r="V1530" i="80" s="1" a="1"/>
  <c r="V1530" i="80" s="1"/>
  <c r="C1531" i="80"/>
  <c r="O1531" i="80"/>
  <c r="T1531" i="80"/>
  <c r="U1531" i="80"/>
  <c r="V1531" i="80" s="1" a="1"/>
  <c r="V1531" i="80" s="1"/>
  <c r="C1532" i="80"/>
  <c r="O1532" i="80"/>
  <c r="T1532" i="80"/>
  <c r="U1532" i="80"/>
  <c r="V1532" i="80" s="1" a="1"/>
  <c r="V1532" i="80" s="1"/>
  <c r="C1533" i="80"/>
  <c r="O1533" i="80"/>
  <c r="T1533" i="80"/>
  <c r="U1533" i="80"/>
  <c r="V1533" i="80" s="1" a="1"/>
  <c r="V1533" i="80" s="1"/>
  <c r="C1534" i="80"/>
  <c r="O1534" i="80"/>
  <c r="T1534" i="80"/>
  <c r="U1534" i="80"/>
  <c r="V1534" i="80" s="1" a="1"/>
  <c r="V1534" i="80" s="1"/>
  <c r="C1535" i="80"/>
  <c r="O1535" i="80"/>
  <c r="T1535" i="80"/>
  <c r="U1535" i="80"/>
  <c r="V1535" i="80" s="1" a="1"/>
  <c r="V1535" i="80" s="1"/>
  <c r="C1536" i="80"/>
  <c r="O1536" i="80"/>
  <c r="T1536" i="80"/>
  <c r="U1536" i="80"/>
  <c r="V1536" i="80" s="1" a="1"/>
  <c r="V1536" i="80" s="1"/>
  <c r="C1537" i="80"/>
  <c r="O1537" i="80"/>
  <c r="T1537" i="80"/>
  <c r="U1537" i="80"/>
  <c r="V1537" i="80" s="1" a="1"/>
  <c r="V1537" i="80" s="1"/>
  <c r="C1538" i="80"/>
  <c r="O1538" i="80"/>
  <c r="T1538" i="80"/>
  <c r="U1538" i="80"/>
  <c r="V1538" i="80" s="1" a="1"/>
  <c r="V1538" i="80" s="1"/>
  <c r="C1539" i="80"/>
  <c r="O1539" i="80"/>
  <c r="T1539" i="80"/>
  <c r="U1539" i="80"/>
  <c r="V1539" i="80" s="1" a="1"/>
  <c r="V1539" i="80" s="1"/>
  <c r="C1540" i="80"/>
  <c r="O1540" i="80"/>
  <c r="T1540" i="80"/>
  <c r="U1540" i="80"/>
  <c r="V1540" i="80" s="1" a="1"/>
  <c r="V1540" i="80" s="1"/>
  <c r="C1541" i="80"/>
  <c r="O1541" i="80"/>
  <c r="T1541" i="80"/>
  <c r="U1541" i="80"/>
  <c r="V1541" i="80" s="1" a="1"/>
  <c r="V1541" i="80" s="1"/>
  <c r="C1542" i="80"/>
  <c r="O1542" i="80"/>
  <c r="T1542" i="80"/>
  <c r="U1542" i="80"/>
  <c r="V1542" i="80" s="1" a="1"/>
  <c r="V1542" i="80" s="1"/>
  <c r="C1543" i="80"/>
  <c r="O1543" i="80"/>
  <c r="T1543" i="80"/>
  <c r="U1543" i="80"/>
  <c r="V1543" i="80" s="1" a="1"/>
  <c r="V1543" i="80" s="1"/>
  <c r="C1544" i="80"/>
  <c r="O1544" i="80"/>
  <c r="T1544" i="80"/>
  <c r="U1544" i="80"/>
  <c r="V1544" i="80" s="1" a="1"/>
  <c r="V1544" i="80" s="1"/>
  <c r="C1545" i="80"/>
  <c r="O1545" i="80"/>
  <c r="T1545" i="80"/>
  <c r="U1545" i="80"/>
  <c r="V1545" i="80" s="1" a="1"/>
  <c r="V1545" i="80" s="1"/>
  <c r="C1546" i="80"/>
  <c r="O1546" i="80"/>
  <c r="T1546" i="80"/>
  <c r="U1546" i="80"/>
  <c r="V1546" i="80" s="1" a="1"/>
  <c r="V1546" i="80" s="1"/>
  <c r="C1547" i="80"/>
  <c r="O1547" i="80"/>
  <c r="T1547" i="80"/>
  <c r="U1547" i="80"/>
  <c r="V1547" i="80" s="1" a="1"/>
  <c r="V1547" i="80" s="1"/>
  <c r="C1548" i="80"/>
  <c r="O1548" i="80"/>
  <c r="T1548" i="80"/>
  <c r="U1548" i="80"/>
  <c r="V1548" i="80" s="1" a="1"/>
  <c r="V1548" i="80" s="1"/>
  <c r="C1549" i="80"/>
  <c r="O1549" i="80"/>
  <c r="T1549" i="80"/>
  <c r="U1549" i="80"/>
  <c r="V1549" i="80" s="1" a="1"/>
  <c r="V1549" i="80" s="1"/>
  <c r="C1550" i="80"/>
  <c r="O1550" i="80"/>
  <c r="T1550" i="80"/>
  <c r="U1550" i="80"/>
  <c r="V1550" i="80" s="1" a="1"/>
  <c r="V1550" i="80" s="1"/>
  <c r="C1551" i="80"/>
  <c r="O1551" i="80"/>
  <c r="T1551" i="80"/>
  <c r="U1551" i="80"/>
  <c r="V1551" i="80" s="1" a="1"/>
  <c r="V1551" i="80" s="1"/>
  <c r="C1552" i="80"/>
  <c r="O1552" i="80"/>
  <c r="T1552" i="80"/>
  <c r="U1552" i="80"/>
  <c r="V1552" i="80" s="1" a="1"/>
  <c r="V1552" i="80" s="1"/>
  <c r="C1553" i="80"/>
  <c r="O1553" i="80"/>
  <c r="T1553" i="80"/>
  <c r="U1553" i="80"/>
  <c r="V1553" i="80" s="1" a="1"/>
  <c r="V1553" i="80" s="1"/>
  <c r="C1554" i="80"/>
  <c r="O1554" i="80"/>
  <c r="T1554" i="80"/>
  <c r="U1554" i="80"/>
  <c r="V1554" i="80" s="1" a="1"/>
  <c r="V1554" i="80" s="1"/>
  <c r="C1555" i="80"/>
  <c r="O1555" i="80"/>
  <c r="T1555" i="80"/>
  <c r="U1555" i="80"/>
  <c r="V1555" i="80" s="1" a="1"/>
  <c r="V1555" i="80" s="1"/>
  <c r="C1556" i="80"/>
  <c r="O1556" i="80"/>
  <c r="T1556" i="80"/>
  <c r="U1556" i="80"/>
  <c r="V1556" i="80" s="1" a="1"/>
  <c r="V1556" i="80" s="1"/>
  <c r="C1557" i="80"/>
  <c r="O1557" i="80"/>
  <c r="T1557" i="80"/>
  <c r="U1557" i="80"/>
  <c r="V1557" i="80" s="1" a="1"/>
  <c r="V1557" i="80" s="1"/>
  <c r="C1558" i="80"/>
  <c r="O1558" i="80"/>
  <c r="T1558" i="80"/>
  <c r="U1558" i="80"/>
  <c r="V1558" i="80" s="1" a="1"/>
  <c r="V1558" i="80" s="1"/>
  <c r="C1559" i="80"/>
  <c r="O1559" i="80"/>
  <c r="T1559" i="80"/>
  <c r="U1559" i="80"/>
  <c r="V1559" i="80" s="1" a="1"/>
  <c r="V1559" i="80" s="1"/>
  <c r="C1560" i="80"/>
  <c r="O1560" i="80"/>
  <c r="T1560" i="80"/>
  <c r="U1560" i="80"/>
  <c r="V1560" i="80" s="1" a="1"/>
  <c r="V1560" i="80" s="1"/>
  <c r="C1561" i="80"/>
  <c r="O1561" i="80"/>
  <c r="T1561" i="80"/>
  <c r="U1561" i="80"/>
  <c r="V1561" i="80" s="1" a="1"/>
  <c r="V1561" i="80" s="1"/>
  <c r="C1562" i="80"/>
  <c r="O1562" i="80"/>
  <c r="T1562" i="80"/>
  <c r="U1562" i="80"/>
  <c r="V1562" i="80" s="1" a="1"/>
  <c r="V1562" i="80" s="1"/>
  <c r="C1563" i="80"/>
  <c r="O1563" i="80"/>
  <c r="T1563" i="80"/>
  <c r="U1563" i="80"/>
  <c r="V1563" i="80" s="1" a="1"/>
  <c r="V1563" i="80" s="1"/>
  <c r="C1564" i="80"/>
  <c r="O1564" i="80"/>
  <c r="T1564" i="80"/>
  <c r="U1564" i="80"/>
  <c r="V1564" i="80" s="1" a="1"/>
  <c r="V1564" i="80" s="1"/>
  <c r="C1565" i="80"/>
  <c r="O1565" i="80"/>
  <c r="T1565" i="80"/>
  <c r="U1565" i="80"/>
  <c r="V1565" i="80" s="1" a="1"/>
  <c r="V1565" i="80" s="1"/>
  <c r="C1566" i="80"/>
  <c r="O1566" i="80"/>
  <c r="T1566" i="80"/>
  <c r="U1566" i="80"/>
  <c r="V1566" i="80" s="1" a="1"/>
  <c r="V1566" i="80" s="1"/>
  <c r="C1567" i="80"/>
  <c r="O1567" i="80"/>
  <c r="T1567" i="80"/>
  <c r="U1567" i="80"/>
  <c r="V1567" i="80" s="1" a="1"/>
  <c r="V1567" i="80" s="1"/>
  <c r="C1568" i="80"/>
  <c r="O1568" i="80"/>
  <c r="T1568" i="80"/>
  <c r="U1568" i="80"/>
  <c r="V1568" i="80" s="1" a="1"/>
  <c r="V1568" i="80" s="1"/>
  <c r="C1569" i="80"/>
  <c r="O1569" i="80"/>
  <c r="T1569" i="80"/>
  <c r="U1569" i="80"/>
  <c r="V1569" i="80" s="1" a="1"/>
  <c r="V1569" i="80" s="1"/>
  <c r="C1570" i="80"/>
  <c r="O1570" i="80"/>
  <c r="T1570" i="80"/>
  <c r="U1570" i="80"/>
  <c r="V1570" i="80" s="1" a="1"/>
  <c r="V1570" i="80" s="1"/>
  <c r="C1571" i="80"/>
  <c r="O1571" i="80"/>
  <c r="T1571" i="80"/>
  <c r="U1571" i="80"/>
  <c r="V1571" i="80" s="1" a="1"/>
  <c r="V1571" i="80" s="1"/>
  <c r="C1572" i="80"/>
  <c r="O1572" i="80"/>
  <c r="T1572" i="80"/>
  <c r="U1572" i="80"/>
  <c r="V1572" i="80" s="1" a="1"/>
  <c r="V1572" i="80" s="1"/>
  <c r="C1573" i="80"/>
  <c r="O1573" i="80"/>
  <c r="T1573" i="80"/>
  <c r="U1573" i="80"/>
  <c r="V1573" i="80" s="1" a="1"/>
  <c r="V1573" i="80" s="1"/>
  <c r="C1574" i="80"/>
  <c r="O1574" i="80"/>
  <c r="T1574" i="80"/>
  <c r="U1574" i="80"/>
  <c r="V1574" i="80" s="1" a="1"/>
  <c r="V1574" i="80" s="1"/>
  <c r="C1575" i="80"/>
  <c r="O1575" i="80"/>
  <c r="T1575" i="80"/>
  <c r="U1575" i="80"/>
  <c r="V1575" i="80" s="1" a="1"/>
  <c r="V1575" i="80" s="1"/>
  <c r="C1576" i="80"/>
  <c r="O1576" i="80"/>
  <c r="T1576" i="80"/>
  <c r="U1576" i="80"/>
  <c r="V1576" i="80" s="1" a="1"/>
  <c r="V1576" i="80" s="1"/>
  <c r="C1577" i="80"/>
  <c r="O1577" i="80"/>
  <c r="T1577" i="80"/>
  <c r="U1577" i="80"/>
  <c r="V1577" i="80" s="1" a="1"/>
  <c r="V1577" i="80" s="1"/>
  <c r="C1578" i="80"/>
  <c r="O1578" i="80"/>
  <c r="T1578" i="80"/>
  <c r="U1578" i="80"/>
  <c r="V1578" i="80" s="1" a="1"/>
  <c r="V1578" i="80" s="1"/>
  <c r="C1579" i="80"/>
  <c r="O1579" i="80"/>
  <c r="T1579" i="80"/>
  <c r="U1579" i="80"/>
  <c r="V1579" i="80" s="1" a="1"/>
  <c r="V1579" i="80" s="1"/>
  <c r="C1580" i="80"/>
  <c r="O1580" i="80"/>
  <c r="T1580" i="80"/>
  <c r="U1580" i="80"/>
  <c r="V1580" i="80" s="1" a="1"/>
  <c r="V1580" i="80" s="1"/>
  <c r="C1581" i="80"/>
  <c r="O1581" i="80"/>
  <c r="T1581" i="80"/>
  <c r="U1581" i="80"/>
  <c r="V1581" i="80" s="1" a="1"/>
  <c r="V1581" i="80" s="1"/>
  <c r="C1582" i="80"/>
  <c r="O1582" i="80"/>
  <c r="T1582" i="80"/>
  <c r="U1582" i="80"/>
  <c r="V1582" i="80" s="1" a="1"/>
  <c r="V1582" i="80" s="1"/>
  <c r="C1583" i="80"/>
  <c r="O1583" i="80"/>
  <c r="T1583" i="80"/>
  <c r="U1583" i="80"/>
  <c r="V1583" i="80" s="1" a="1"/>
  <c r="V1583" i="80" s="1"/>
  <c r="C1584" i="80"/>
  <c r="O1584" i="80"/>
  <c r="T1584" i="80"/>
  <c r="U1584" i="80"/>
  <c r="V1584" i="80" s="1" a="1"/>
  <c r="V1584" i="80" s="1"/>
  <c r="C1585" i="80"/>
  <c r="O1585" i="80"/>
  <c r="T1585" i="80"/>
  <c r="U1585" i="80"/>
  <c r="V1585" i="80" s="1" a="1"/>
  <c r="V1585" i="80" s="1"/>
  <c r="C1586" i="80"/>
  <c r="O1586" i="80"/>
  <c r="T1586" i="80"/>
  <c r="U1586" i="80"/>
  <c r="V1586" i="80" s="1" a="1"/>
  <c r="V1586" i="80" s="1"/>
  <c r="C1587" i="80"/>
  <c r="O1587" i="80"/>
  <c r="T1587" i="80"/>
  <c r="U1587" i="80"/>
  <c r="V1587" i="80" s="1" a="1"/>
  <c r="V1587" i="80" s="1"/>
  <c r="C1588" i="80"/>
  <c r="O1588" i="80"/>
  <c r="T1588" i="80"/>
  <c r="U1588" i="80"/>
  <c r="V1588" i="80" s="1" a="1"/>
  <c r="V1588" i="80" s="1"/>
  <c r="C1589" i="80"/>
  <c r="O1589" i="80"/>
  <c r="T1589" i="80"/>
  <c r="U1589" i="80"/>
  <c r="V1589" i="80" s="1" a="1"/>
  <c r="V1589" i="80" s="1"/>
  <c r="C1590" i="80"/>
  <c r="O1590" i="80"/>
  <c r="T1590" i="80"/>
  <c r="U1590" i="80"/>
  <c r="V1590" i="80" s="1" a="1"/>
  <c r="V1590" i="80" s="1"/>
  <c r="C1591" i="80"/>
  <c r="O1591" i="80"/>
  <c r="T1591" i="80"/>
  <c r="U1591" i="80"/>
  <c r="V1591" i="80" s="1" a="1"/>
  <c r="V1591" i="80" s="1"/>
  <c r="C1592" i="80"/>
  <c r="O1592" i="80"/>
  <c r="T1592" i="80"/>
  <c r="U1592" i="80"/>
  <c r="V1592" i="80" s="1" a="1"/>
  <c r="V1592" i="80" s="1"/>
  <c r="C1593" i="80"/>
  <c r="O1593" i="80"/>
  <c r="T1593" i="80"/>
  <c r="U1593" i="80"/>
  <c r="V1593" i="80" s="1" a="1"/>
  <c r="V1593" i="80" s="1"/>
  <c r="C1594" i="80"/>
  <c r="O1594" i="80"/>
  <c r="T1594" i="80"/>
  <c r="U1594" i="80"/>
  <c r="V1594" i="80" s="1" a="1"/>
  <c r="V1594" i="80" s="1"/>
  <c r="C1595" i="80"/>
  <c r="O1595" i="80"/>
  <c r="T1595" i="80"/>
  <c r="U1595" i="80"/>
  <c r="V1595" i="80" s="1" a="1"/>
  <c r="V1595" i="80" s="1"/>
  <c r="C1596" i="80"/>
  <c r="O1596" i="80"/>
  <c r="T1596" i="80"/>
  <c r="U1596" i="80"/>
  <c r="V1596" i="80" s="1" a="1"/>
  <c r="V1596" i="80" s="1"/>
  <c r="C1597" i="80"/>
  <c r="O1597" i="80"/>
  <c r="T1597" i="80"/>
  <c r="U1597" i="80"/>
  <c r="V1597" i="80" s="1" a="1"/>
  <c r="V1597" i="80" s="1"/>
  <c r="C1598" i="80"/>
  <c r="O1598" i="80"/>
  <c r="T1598" i="80"/>
  <c r="U1598" i="80"/>
  <c r="V1598" i="80" s="1" a="1"/>
  <c r="V1598" i="80" s="1"/>
  <c r="C1599" i="80"/>
  <c r="O1599" i="80"/>
  <c r="T1599" i="80"/>
  <c r="U1599" i="80"/>
  <c r="V1599" i="80" s="1" a="1"/>
  <c r="V1599" i="80" s="1"/>
  <c r="C1600" i="80"/>
  <c r="O1600" i="80"/>
  <c r="T1600" i="80"/>
  <c r="U1600" i="80"/>
  <c r="V1600" i="80" s="1" a="1"/>
  <c r="V1600" i="80" s="1"/>
  <c r="C1601" i="80"/>
  <c r="O1601" i="80"/>
  <c r="T1601" i="80"/>
  <c r="U1601" i="80"/>
  <c r="V1601" i="80" s="1" a="1"/>
  <c r="V1601" i="80" s="1"/>
  <c r="C1602" i="80"/>
  <c r="O1602" i="80"/>
  <c r="T1602" i="80"/>
  <c r="U1602" i="80"/>
  <c r="V1602" i="80" s="1" a="1"/>
  <c r="V1602" i="80" s="1"/>
  <c r="C1603" i="80"/>
  <c r="O1603" i="80"/>
  <c r="T1603" i="80"/>
  <c r="U1603" i="80"/>
  <c r="V1603" i="80" s="1" a="1"/>
  <c r="V1603" i="80" s="1"/>
  <c r="C1604" i="80"/>
  <c r="O1604" i="80"/>
  <c r="T1604" i="80"/>
  <c r="U1604" i="80"/>
  <c r="V1604" i="80" s="1" a="1"/>
  <c r="V1604" i="80" s="1"/>
  <c r="C1605" i="80"/>
  <c r="O1605" i="80"/>
  <c r="T1605" i="80"/>
  <c r="U1605" i="80"/>
  <c r="V1605" i="80" s="1" a="1"/>
  <c r="V1605" i="80" s="1"/>
  <c r="C1606" i="80"/>
  <c r="O1606" i="80"/>
  <c r="T1606" i="80"/>
  <c r="U1606" i="80"/>
  <c r="V1606" i="80" s="1" a="1"/>
  <c r="V1606" i="80" s="1"/>
  <c r="C1607" i="80"/>
  <c r="O1607" i="80"/>
  <c r="T1607" i="80"/>
  <c r="U1607" i="80"/>
  <c r="V1607" i="80" s="1" a="1"/>
  <c r="V1607" i="80" s="1"/>
  <c r="C1608" i="80"/>
  <c r="O1608" i="80"/>
  <c r="T1608" i="80"/>
  <c r="U1608" i="80"/>
  <c r="V1608" i="80" s="1" a="1"/>
  <c r="V1608" i="80" s="1"/>
  <c r="C1609" i="80"/>
  <c r="O1609" i="80"/>
  <c r="T1609" i="80"/>
  <c r="U1609" i="80"/>
  <c r="V1609" i="80" s="1" a="1"/>
  <c r="V1609" i="80" s="1"/>
  <c r="C1610" i="80"/>
  <c r="O1610" i="80"/>
  <c r="T1610" i="80"/>
  <c r="U1610" i="80"/>
  <c r="V1610" i="80" s="1" a="1"/>
  <c r="V1610" i="80" s="1"/>
  <c r="C1611" i="80"/>
  <c r="O1611" i="80"/>
  <c r="T1611" i="80"/>
  <c r="U1611" i="80"/>
  <c r="V1611" i="80" s="1" a="1"/>
  <c r="V1611" i="80" s="1"/>
  <c r="C1612" i="80"/>
  <c r="O1612" i="80"/>
  <c r="T1612" i="80"/>
  <c r="U1612" i="80"/>
  <c r="V1612" i="80" s="1" a="1"/>
  <c r="V1612" i="80" s="1"/>
  <c r="C1613" i="80"/>
  <c r="O1613" i="80"/>
  <c r="T1613" i="80"/>
  <c r="U1613" i="80"/>
  <c r="V1613" i="80" s="1" a="1"/>
  <c r="V1613" i="80" s="1"/>
  <c r="C1614" i="80"/>
  <c r="O1614" i="80"/>
  <c r="T1614" i="80"/>
  <c r="U1614" i="80"/>
  <c r="V1614" i="80" s="1" a="1"/>
  <c r="V1614" i="80" s="1"/>
  <c r="C1615" i="80"/>
  <c r="O1615" i="80"/>
  <c r="T1615" i="80"/>
  <c r="U1615" i="80"/>
  <c r="V1615" i="80" s="1" a="1"/>
  <c r="V1615" i="80" s="1"/>
  <c r="C1616" i="80"/>
  <c r="O1616" i="80"/>
  <c r="T1616" i="80"/>
  <c r="U1616" i="80"/>
  <c r="V1616" i="80" s="1" a="1"/>
  <c r="V1616" i="80" s="1"/>
  <c r="C1617" i="80"/>
  <c r="O1617" i="80"/>
  <c r="T1617" i="80"/>
  <c r="U1617" i="80"/>
  <c r="V1617" i="80" s="1" a="1"/>
  <c r="V1617" i="80" s="1"/>
  <c r="C1618" i="80"/>
  <c r="O1618" i="80"/>
  <c r="T1618" i="80"/>
  <c r="U1618" i="80"/>
  <c r="V1618" i="80" s="1" a="1"/>
  <c r="V1618" i="80" s="1"/>
  <c r="C1619" i="80"/>
  <c r="O1619" i="80"/>
  <c r="T1619" i="80"/>
  <c r="U1619" i="80"/>
  <c r="V1619" i="80" s="1" a="1"/>
  <c r="V1619" i="80" s="1"/>
  <c r="C1620" i="80"/>
  <c r="O1620" i="80"/>
  <c r="T1620" i="80"/>
  <c r="U1620" i="80"/>
  <c r="V1620" i="80" s="1" a="1"/>
  <c r="V1620" i="80" s="1"/>
  <c r="C1621" i="80"/>
  <c r="O1621" i="80"/>
  <c r="T1621" i="80"/>
  <c r="U1621" i="80"/>
  <c r="V1621" i="80" s="1" a="1"/>
  <c r="V1621" i="80" s="1"/>
  <c r="C1622" i="80"/>
  <c r="O1622" i="80"/>
  <c r="T1622" i="80"/>
  <c r="U1622" i="80"/>
  <c r="V1622" i="80" s="1" a="1"/>
  <c r="V1622" i="80" s="1"/>
  <c r="C1623" i="80"/>
  <c r="O1623" i="80"/>
  <c r="T1623" i="80"/>
  <c r="U1623" i="80"/>
  <c r="V1623" i="80" s="1" a="1"/>
  <c r="V1623" i="80" s="1"/>
  <c r="C1624" i="80"/>
  <c r="O1624" i="80"/>
  <c r="T1624" i="80"/>
  <c r="U1624" i="80"/>
  <c r="V1624" i="80" s="1" a="1"/>
  <c r="V1624" i="80" s="1"/>
  <c r="C1625" i="80"/>
  <c r="O1625" i="80"/>
  <c r="T1625" i="80"/>
  <c r="U1625" i="80"/>
  <c r="V1625" i="80" s="1" a="1"/>
  <c r="V1625" i="80" s="1"/>
  <c r="C1626" i="80"/>
  <c r="O1626" i="80"/>
  <c r="T1626" i="80"/>
  <c r="U1626" i="80"/>
  <c r="V1626" i="80" s="1" a="1"/>
  <c r="V1626" i="80" s="1"/>
  <c r="C1627" i="80"/>
  <c r="O1627" i="80"/>
  <c r="T1627" i="80"/>
  <c r="U1627" i="80"/>
  <c r="V1627" i="80" s="1" a="1"/>
  <c r="V1627" i="80" s="1"/>
  <c r="C1628" i="80"/>
  <c r="O1628" i="80"/>
  <c r="T1628" i="80"/>
  <c r="U1628" i="80"/>
  <c r="V1628" i="80" s="1" a="1"/>
  <c r="V1628" i="80" s="1"/>
  <c r="C1629" i="80"/>
  <c r="O1629" i="80"/>
  <c r="T1629" i="80"/>
  <c r="U1629" i="80"/>
  <c r="V1629" i="80" s="1" a="1"/>
  <c r="V1629" i="80" s="1"/>
  <c r="C1630" i="80"/>
  <c r="O1630" i="80"/>
  <c r="T1630" i="80"/>
  <c r="U1630" i="80"/>
  <c r="V1630" i="80" s="1" a="1"/>
  <c r="V1630" i="80" s="1"/>
  <c r="C1631" i="80"/>
  <c r="O1631" i="80"/>
  <c r="T1631" i="80"/>
  <c r="U1631" i="80"/>
  <c r="V1631" i="80" s="1" a="1"/>
  <c r="V1631" i="80" s="1"/>
  <c r="C1632" i="80"/>
  <c r="O1632" i="80"/>
  <c r="T1632" i="80"/>
  <c r="U1632" i="80"/>
  <c r="V1632" i="80" s="1" a="1"/>
  <c r="V1632" i="80" s="1"/>
  <c r="C1633" i="80"/>
  <c r="O1633" i="80"/>
  <c r="T1633" i="80"/>
  <c r="U1633" i="80"/>
  <c r="V1633" i="80" s="1" a="1"/>
  <c r="V1633" i="80" s="1"/>
  <c r="C1634" i="80"/>
  <c r="O1634" i="80"/>
  <c r="T1634" i="80"/>
  <c r="U1634" i="80"/>
  <c r="V1634" i="80" s="1" a="1"/>
  <c r="V1634" i="80" s="1"/>
  <c r="C1635" i="80"/>
  <c r="O1635" i="80"/>
  <c r="T1635" i="80"/>
  <c r="U1635" i="80"/>
  <c r="V1635" i="80" s="1" a="1"/>
  <c r="V1635" i="80" s="1"/>
  <c r="C1636" i="80"/>
  <c r="O1636" i="80"/>
  <c r="T1636" i="80"/>
  <c r="U1636" i="80"/>
  <c r="V1636" i="80" s="1" a="1"/>
  <c r="V1636" i="80" s="1"/>
  <c r="C1637" i="80"/>
  <c r="O1637" i="80"/>
  <c r="T1637" i="80"/>
  <c r="U1637" i="80"/>
  <c r="V1637" i="80" s="1" a="1"/>
  <c r="V1637" i="80" s="1"/>
  <c r="C1638" i="80"/>
  <c r="O1638" i="80"/>
  <c r="T1638" i="80"/>
  <c r="U1638" i="80"/>
  <c r="V1638" i="80" s="1" a="1"/>
  <c r="V1638" i="80" s="1"/>
  <c r="C1639" i="80"/>
  <c r="O1639" i="80"/>
  <c r="T1639" i="80"/>
  <c r="U1639" i="80"/>
  <c r="V1639" i="80" s="1" a="1"/>
  <c r="V1639" i="80" s="1"/>
  <c r="C1640" i="80"/>
  <c r="O1640" i="80"/>
  <c r="T1640" i="80"/>
  <c r="U1640" i="80"/>
  <c r="V1640" i="80" s="1" a="1"/>
  <c r="V1640" i="80" s="1"/>
  <c r="C1641" i="80"/>
  <c r="O1641" i="80"/>
  <c r="T1641" i="80"/>
  <c r="U1641" i="80"/>
  <c r="V1641" i="80" s="1" a="1"/>
  <c r="V1641" i="80" s="1"/>
  <c r="C1642" i="80"/>
  <c r="O1642" i="80"/>
  <c r="T1642" i="80"/>
  <c r="U1642" i="80"/>
  <c r="V1642" i="80" s="1" a="1"/>
  <c r="V1642" i="80" s="1"/>
  <c r="C1643" i="80"/>
  <c r="O1643" i="80"/>
  <c r="T1643" i="80"/>
  <c r="U1643" i="80"/>
  <c r="V1643" i="80" s="1" a="1"/>
  <c r="V1643" i="80" s="1"/>
  <c r="C1644" i="80"/>
  <c r="O1644" i="80"/>
  <c r="T1644" i="80"/>
  <c r="U1644" i="80"/>
  <c r="V1644" i="80" s="1" a="1"/>
  <c r="V1644" i="80" s="1"/>
  <c r="C1645" i="80"/>
  <c r="O1645" i="80"/>
  <c r="T1645" i="80"/>
  <c r="U1645" i="80"/>
  <c r="V1645" i="80" s="1" a="1"/>
  <c r="V1645" i="80" s="1"/>
  <c r="C1646" i="80"/>
  <c r="O1646" i="80"/>
  <c r="T1646" i="80"/>
  <c r="U1646" i="80"/>
  <c r="V1646" i="80" s="1" a="1"/>
  <c r="V1646" i="80" s="1"/>
  <c r="C1647" i="80"/>
  <c r="O1647" i="80"/>
  <c r="T1647" i="80"/>
  <c r="U1647" i="80"/>
  <c r="V1647" i="80" s="1" a="1"/>
  <c r="V1647" i="80" s="1"/>
  <c r="C1648" i="80"/>
  <c r="O1648" i="80"/>
  <c r="T1648" i="80"/>
  <c r="U1648" i="80"/>
  <c r="V1648" i="80" s="1" a="1"/>
  <c r="V1648" i="80" s="1"/>
  <c r="C1649" i="80"/>
  <c r="O1649" i="80"/>
  <c r="T1649" i="80"/>
  <c r="U1649" i="80"/>
  <c r="V1649" i="80" s="1" a="1"/>
  <c r="V1649" i="80" s="1"/>
  <c r="C1650" i="80"/>
  <c r="O1650" i="80"/>
  <c r="T1650" i="80"/>
  <c r="U1650" i="80"/>
  <c r="V1650" i="80" s="1" a="1"/>
  <c r="V1650" i="80" s="1"/>
  <c r="C1651" i="80"/>
  <c r="O1651" i="80"/>
  <c r="T1651" i="80"/>
  <c r="U1651" i="80"/>
  <c r="V1651" i="80" s="1" a="1"/>
  <c r="V1651" i="80" s="1"/>
  <c r="C1652" i="80"/>
  <c r="O1652" i="80"/>
  <c r="T1652" i="80"/>
  <c r="U1652" i="80"/>
  <c r="V1652" i="80" s="1" a="1"/>
  <c r="V1652" i="80" s="1"/>
  <c r="C1653" i="80"/>
  <c r="O1653" i="80"/>
  <c r="T1653" i="80"/>
  <c r="U1653" i="80"/>
  <c r="V1653" i="80" s="1" a="1"/>
  <c r="V1653" i="80" s="1"/>
  <c r="C1654" i="80"/>
  <c r="O1654" i="80"/>
  <c r="T1654" i="80"/>
  <c r="U1654" i="80"/>
  <c r="V1654" i="80" s="1" a="1"/>
  <c r="V1654" i="80" s="1"/>
  <c r="C1655" i="80"/>
  <c r="O1655" i="80"/>
  <c r="T1655" i="80"/>
  <c r="U1655" i="80"/>
  <c r="V1655" i="80" s="1" a="1"/>
  <c r="V1655" i="80" s="1"/>
  <c r="C1656" i="80"/>
  <c r="O1656" i="80"/>
  <c r="T1656" i="80"/>
  <c r="U1656" i="80"/>
  <c r="V1656" i="80" s="1" a="1"/>
  <c r="V1656" i="80" s="1"/>
  <c r="C1657" i="80"/>
  <c r="O1657" i="80"/>
  <c r="T1657" i="80"/>
  <c r="U1657" i="80"/>
  <c r="V1657" i="80" s="1" a="1"/>
  <c r="V1657" i="80" s="1"/>
  <c r="C1658" i="80"/>
  <c r="O1658" i="80"/>
  <c r="T1658" i="80"/>
  <c r="U1658" i="80"/>
  <c r="V1658" i="80" s="1" a="1"/>
  <c r="V1658" i="80" s="1"/>
  <c r="C1659" i="80"/>
  <c r="O1659" i="80"/>
  <c r="T1659" i="80"/>
  <c r="U1659" i="80"/>
  <c r="V1659" i="80" s="1" a="1"/>
  <c r="V1659" i="80" s="1"/>
  <c r="C1660" i="80"/>
  <c r="O1660" i="80"/>
  <c r="T1660" i="80"/>
  <c r="U1660" i="80"/>
  <c r="V1660" i="80" s="1" a="1"/>
  <c r="V1660" i="80" s="1"/>
  <c r="C1661" i="80"/>
  <c r="O1661" i="80"/>
  <c r="T1661" i="80"/>
  <c r="U1661" i="80"/>
  <c r="V1661" i="80" s="1" a="1"/>
  <c r="V1661" i="80" s="1"/>
  <c r="C1662" i="80"/>
  <c r="O1662" i="80"/>
  <c r="T1662" i="80"/>
  <c r="U1662" i="80"/>
  <c r="V1662" i="80" s="1" a="1"/>
  <c r="V1662" i="80" s="1"/>
  <c r="C1663" i="80"/>
  <c r="O1663" i="80"/>
  <c r="T1663" i="80"/>
  <c r="U1663" i="80"/>
  <c r="V1663" i="80" s="1" a="1"/>
  <c r="V1663" i="80" s="1"/>
  <c r="C1664" i="80"/>
  <c r="O1664" i="80"/>
  <c r="T1664" i="80"/>
  <c r="U1664" i="80"/>
  <c r="V1664" i="80" s="1" a="1"/>
  <c r="V1664" i="80" s="1"/>
  <c r="C1665" i="80"/>
  <c r="O1665" i="80"/>
  <c r="T1665" i="80"/>
  <c r="U1665" i="80"/>
  <c r="V1665" i="80" s="1" a="1"/>
  <c r="V1665" i="80" s="1"/>
  <c r="C1666" i="80"/>
  <c r="O1666" i="80"/>
  <c r="T1666" i="80"/>
  <c r="U1666" i="80"/>
  <c r="V1666" i="80" s="1" a="1"/>
  <c r="V1666" i="80" s="1"/>
  <c r="C1667" i="80"/>
  <c r="O1667" i="80"/>
  <c r="T1667" i="80"/>
  <c r="U1667" i="80"/>
  <c r="V1667" i="80" s="1" a="1"/>
  <c r="V1667" i="80" s="1"/>
  <c r="C1668" i="80"/>
  <c r="O1668" i="80"/>
  <c r="T1668" i="80"/>
  <c r="U1668" i="80"/>
  <c r="V1668" i="80" s="1" a="1"/>
  <c r="V1668" i="80" s="1"/>
  <c r="C1669" i="80"/>
  <c r="O1669" i="80"/>
  <c r="T1669" i="80"/>
  <c r="U1669" i="80"/>
  <c r="V1669" i="80" s="1" a="1"/>
  <c r="V1669" i="80" s="1"/>
  <c r="C1670" i="80"/>
  <c r="O1670" i="80"/>
  <c r="T1670" i="80"/>
  <c r="U1670" i="80"/>
  <c r="V1670" i="80" s="1" a="1"/>
  <c r="V1670" i="80" s="1"/>
  <c r="C1671" i="80"/>
  <c r="O1671" i="80"/>
  <c r="T1671" i="80"/>
  <c r="U1671" i="80"/>
  <c r="V1671" i="80" s="1" a="1"/>
  <c r="V1671" i="80" s="1"/>
  <c r="C1672" i="80"/>
  <c r="O1672" i="80"/>
  <c r="T1672" i="80"/>
  <c r="U1672" i="80"/>
  <c r="V1672" i="80" s="1" a="1"/>
  <c r="V1672" i="80" s="1"/>
  <c r="C1673" i="80"/>
  <c r="O1673" i="80"/>
  <c r="T1673" i="80"/>
  <c r="U1673" i="80"/>
  <c r="V1673" i="80" s="1" a="1"/>
  <c r="V1673" i="80" s="1"/>
  <c r="C1674" i="80"/>
  <c r="O1674" i="80"/>
  <c r="T1674" i="80"/>
  <c r="U1674" i="80"/>
  <c r="V1674" i="80" s="1" a="1"/>
  <c r="V1674" i="80" s="1"/>
  <c r="C1675" i="80"/>
  <c r="O1675" i="80"/>
  <c r="T1675" i="80"/>
  <c r="U1675" i="80"/>
  <c r="V1675" i="80" s="1" a="1"/>
  <c r="V1675" i="80" s="1"/>
  <c r="C1676" i="80"/>
  <c r="O1676" i="80"/>
  <c r="T1676" i="80"/>
  <c r="U1676" i="80"/>
  <c r="V1676" i="80" s="1" a="1"/>
  <c r="V1676" i="80" s="1"/>
  <c r="C1677" i="80"/>
  <c r="O1677" i="80"/>
  <c r="T1677" i="80"/>
  <c r="U1677" i="80"/>
  <c r="V1677" i="80" s="1" a="1"/>
  <c r="V1677" i="80" s="1"/>
  <c r="C1678" i="80"/>
  <c r="O1678" i="80"/>
  <c r="T1678" i="80"/>
  <c r="U1678" i="80"/>
  <c r="V1678" i="80" s="1" a="1"/>
  <c r="V1678" i="80" s="1"/>
  <c r="C1679" i="80"/>
  <c r="O1679" i="80"/>
  <c r="T1679" i="80"/>
  <c r="U1679" i="80"/>
  <c r="V1679" i="80" s="1" a="1"/>
  <c r="V1679" i="80" s="1"/>
  <c r="C1680" i="80"/>
  <c r="O1680" i="80"/>
  <c r="T1680" i="80"/>
  <c r="U1680" i="80"/>
  <c r="V1680" i="80" s="1" a="1"/>
  <c r="V1680" i="80" s="1"/>
  <c r="C1681" i="80"/>
  <c r="O1681" i="80"/>
  <c r="T1681" i="80"/>
  <c r="U1681" i="80"/>
  <c r="V1681" i="80" s="1" a="1"/>
  <c r="V1681" i="80" s="1"/>
  <c r="C1682" i="80"/>
  <c r="O1682" i="80"/>
  <c r="T1682" i="80"/>
  <c r="U1682" i="80"/>
  <c r="V1682" i="80" s="1" a="1"/>
  <c r="V1682" i="80" s="1"/>
  <c r="C1683" i="80"/>
  <c r="O1683" i="80"/>
  <c r="T1683" i="80"/>
  <c r="U1683" i="80"/>
  <c r="V1683" i="80" s="1" a="1"/>
  <c r="V1683" i="80" s="1"/>
  <c r="C1684" i="80"/>
  <c r="O1684" i="80"/>
  <c r="T1684" i="80"/>
  <c r="U1684" i="80"/>
  <c r="V1684" i="80" s="1" a="1"/>
  <c r="V1684" i="80" s="1"/>
  <c r="C1685" i="80"/>
  <c r="O1685" i="80"/>
  <c r="T1685" i="80"/>
  <c r="U1685" i="80"/>
  <c r="V1685" i="80" s="1" a="1"/>
  <c r="V1685" i="80" s="1"/>
  <c r="C1686" i="80"/>
  <c r="O1686" i="80"/>
  <c r="T1686" i="80"/>
  <c r="U1686" i="80"/>
  <c r="V1686" i="80" s="1" a="1"/>
  <c r="V1686" i="80" s="1"/>
  <c r="C1687" i="80"/>
  <c r="O1687" i="80"/>
  <c r="T1687" i="80"/>
  <c r="U1687" i="80"/>
  <c r="V1687" i="80" s="1" a="1"/>
  <c r="V1687" i="80" s="1"/>
  <c r="C1688" i="80"/>
  <c r="O1688" i="80"/>
  <c r="T1688" i="80"/>
  <c r="U1688" i="80"/>
  <c r="V1688" i="80" s="1" a="1"/>
  <c r="V1688" i="80" s="1"/>
  <c r="C1689" i="80"/>
  <c r="O1689" i="80"/>
  <c r="T1689" i="80"/>
  <c r="U1689" i="80"/>
  <c r="V1689" i="80" s="1" a="1"/>
  <c r="V1689" i="80" s="1"/>
  <c r="C1690" i="80"/>
  <c r="O1690" i="80"/>
  <c r="T1690" i="80"/>
  <c r="U1690" i="80"/>
  <c r="V1690" i="80" s="1" a="1"/>
  <c r="V1690" i="80" s="1"/>
  <c r="C1691" i="80"/>
  <c r="O1691" i="80"/>
  <c r="T1691" i="80"/>
  <c r="U1691" i="80"/>
  <c r="V1691" i="80" s="1" a="1"/>
  <c r="V1691" i="80" s="1"/>
  <c r="C1692" i="80"/>
  <c r="O1692" i="80"/>
  <c r="T1692" i="80"/>
  <c r="U1692" i="80"/>
  <c r="V1692" i="80" s="1" a="1"/>
  <c r="V1692" i="80" s="1"/>
  <c r="C1693" i="80"/>
  <c r="O1693" i="80"/>
  <c r="T1693" i="80"/>
  <c r="U1693" i="80"/>
  <c r="V1693" i="80" s="1" a="1"/>
  <c r="V1693" i="80" s="1"/>
  <c r="C1694" i="80"/>
  <c r="O1694" i="80"/>
  <c r="T1694" i="80"/>
  <c r="U1694" i="80"/>
  <c r="V1694" i="80" s="1" a="1"/>
  <c r="V1694" i="80" s="1"/>
  <c r="C1695" i="80"/>
  <c r="O1695" i="80"/>
  <c r="T1695" i="80"/>
  <c r="U1695" i="80"/>
  <c r="V1695" i="80" s="1" a="1"/>
  <c r="V1695" i="80" s="1"/>
  <c r="C1696" i="80"/>
  <c r="O1696" i="80"/>
  <c r="T1696" i="80"/>
  <c r="U1696" i="80"/>
  <c r="V1696" i="80" s="1" a="1"/>
  <c r="V1696" i="80" s="1"/>
  <c r="C1697" i="80"/>
  <c r="O1697" i="80"/>
  <c r="T1697" i="80"/>
  <c r="U1697" i="80"/>
  <c r="V1697" i="80" s="1" a="1"/>
  <c r="V1697" i="80" s="1"/>
  <c r="C1698" i="80"/>
  <c r="O1698" i="80"/>
  <c r="T1698" i="80"/>
  <c r="U1698" i="80"/>
  <c r="V1698" i="80" s="1" a="1"/>
  <c r="V1698" i="80" s="1"/>
  <c r="C1699" i="80"/>
  <c r="O1699" i="80"/>
  <c r="T1699" i="80"/>
  <c r="U1699" i="80"/>
  <c r="V1699" i="80" s="1" a="1"/>
  <c r="V1699" i="80" s="1"/>
  <c r="C1700" i="80"/>
  <c r="O1700" i="80"/>
  <c r="T1700" i="80"/>
  <c r="U1700" i="80"/>
  <c r="V1700" i="80" s="1" a="1"/>
  <c r="V1700" i="80" s="1"/>
  <c r="C1701" i="80"/>
  <c r="O1701" i="80"/>
  <c r="T1701" i="80"/>
  <c r="U1701" i="80"/>
  <c r="V1701" i="80" s="1" a="1"/>
  <c r="V1701" i="80" s="1"/>
  <c r="C1702" i="80"/>
  <c r="O1702" i="80"/>
  <c r="T1702" i="80"/>
  <c r="U1702" i="80"/>
  <c r="V1702" i="80" s="1" a="1"/>
  <c r="V1702" i="80" s="1"/>
  <c r="C1703" i="80"/>
  <c r="O1703" i="80"/>
  <c r="T1703" i="80"/>
  <c r="U1703" i="80"/>
  <c r="V1703" i="80" s="1" a="1"/>
  <c r="V1703" i="80" s="1"/>
  <c r="C1704" i="80"/>
  <c r="O1704" i="80"/>
  <c r="T1704" i="80"/>
  <c r="U1704" i="80"/>
  <c r="V1704" i="80" s="1" a="1"/>
  <c r="V1704" i="80" s="1"/>
  <c r="C1705" i="80"/>
  <c r="O1705" i="80"/>
  <c r="T1705" i="80"/>
  <c r="U1705" i="80"/>
  <c r="V1705" i="80" s="1" a="1"/>
  <c r="V1705" i="80" s="1"/>
  <c r="C1706" i="80"/>
  <c r="O1706" i="80"/>
  <c r="T1706" i="80"/>
  <c r="U1706" i="80"/>
  <c r="V1706" i="80" s="1" a="1"/>
  <c r="V1706" i="80" s="1"/>
  <c r="C1707" i="80"/>
  <c r="O1707" i="80"/>
  <c r="T1707" i="80"/>
  <c r="U1707" i="80"/>
  <c r="V1707" i="80" s="1" a="1"/>
  <c r="V1707" i="80" s="1"/>
  <c r="C1708" i="80"/>
  <c r="O1708" i="80"/>
  <c r="T1708" i="80"/>
  <c r="U1708" i="80"/>
  <c r="V1708" i="80" s="1" a="1"/>
  <c r="V1708" i="80" s="1"/>
  <c r="C1709" i="80"/>
  <c r="O1709" i="80"/>
  <c r="T1709" i="80"/>
  <c r="U1709" i="80"/>
  <c r="V1709" i="80" s="1" a="1"/>
  <c r="V1709" i="80" s="1"/>
  <c r="C1710" i="80"/>
  <c r="O1710" i="80"/>
  <c r="T1710" i="80"/>
  <c r="U1710" i="80"/>
  <c r="V1710" i="80" s="1" a="1"/>
  <c r="V1710" i="80" s="1"/>
  <c r="C1711" i="80"/>
  <c r="O1711" i="80"/>
  <c r="T1711" i="80"/>
  <c r="U1711" i="80"/>
  <c r="V1711" i="80" s="1" a="1"/>
  <c r="V1711" i="80" s="1"/>
  <c r="C1712" i="80"/>
  <c r="O1712" i="80"/>
  <c r="T1712" i="80"/>
  <c r="U1712" i="80"/>
  <c r="V1712" i="80" s="1" a="1"/>
  <c r="V1712" i="80" s="1"/>
  <c r="C1713" i="80"/>
  <c r="O1713" i="80"/>
  <c r="T1713" i="80"/>
  <c r="U1713" i="80"/>
  <c r="V1713" i="80" s="1" a="1"/>
  <c r="V1713" i="80" s="1"/>
  <c r="C1714" i="80"/>
  <c r="O1714" i="80"/>
  <c r="T1714" i="80"/>
  <c r="U1714" i="80"/>
  <c r="V1714" i="80" s="1" a="1"/>
  <c r="V1714" i="80" s="1"/>
  <c r="C1715" i="80"/>
  <c r="O1715" i="80"/>
  <c r="T1715" i="80"/>
  <c r="U1715" i="80"/>
  <c r="V1715" i="80" s="1" a="1"/>
  <c r="V1715" i="80" s="1"/>
  <c r="C1716" i="80"/>
  <c r="O1716" i="80"/>
  <c r="T1716" i="80"/>
  <c r="U1716" i="80"/>
  <c r="V1716" i="80" s="1" a="1"/>
  <c r="V1716" i="80" s="1"/>
  <c r="C1717" i="80"/>
  <c r="O1717" i="80"/>
  <c r="T1717" i="80"/>
  <c r="U1717" i="80"/>
  <c r="V1717" i="80" s="1" a="1"/>
  <c r="V1717" i="80" s="1"/>
  <c r="C1718" i="80"/>
  <c r="O1718" i="80"/>
  <c r="T1718" i="80"/>
  <c r="U1718" i="80"/>
  <c r="V1718" i="80" s="1" a="1"/>
  <c r="V1718" i="80" s="1"/>
  <c r="C1719" i="80"/>
  <c r="O1719" i="80"/>
  <c r="T1719" i="80"/>
  <c r="U1719" i="80"/>
  <c r="V1719" i="80" s="1" a="1"/>
  <c r="V1719" i="80" s="1"/>
  <c r="C1720" i="80"/>
  <c r="O1720" i="80"/>
  <c r="T1720" i="80"/>
  <c r="U1720" i="80"/>
  <c r="V1720" i="80" s="1" a="1"/>
  <c r="V1720" i="80" s="1"/>
  <c r="C1721" i="80"/>
  <c r="O1721" i="80"/>
  <c r="T1721" i="80"/>
  <c r="U1721" i="80"/>
  <c r="V1721" i="80" s="1" a="1"/>
  <c r="V1721" i="80" s="1"/>
  <c r="C1722" i="80"/>
  <c r="O1722" i="80"/>
  <c r="T1722" i="80"/>
  <c r="U1722" i="80"/>
  <c r="V1722" i="80" s="1" a="1"/>
  <c r="V1722" i="80" s="1"/>
  <c r="C1723" i="80"/>
  <c r="O1723" i="80"/>
  <c r="T1723" i="80"/>
  <c r="U1723" i="80"/>
  <c r="V1723" i="80" s="1" a="1"/>
  <c r="V1723" i="80" s="1"/>
  <c r="C1724" i="80"/>
  <c r="O1724" i="80"/>
  <c r="T1724" i="80"/>
  <c r="U1724" i="80"/>
  <c r="V1724" i="80" s="1" a="1"/>
  <c r="V1724" i="80" s="1"/>
  <c r="C1725" i="80"/>
  <c r="O1725" i="80"/>
  <c r="T1725" i="80"/>
  <c r="U1725" i="80"/>
  <c r="V1725" i="80" s="1" a="1"/>
  <c r="V1725" i="80" s="1"/>
  <c r="C1726" i="80"/>
  <c r="O1726" i="80"/>
  <c r="T1726" i="80"/>
  <c r="U1726" i="80"/>
  <c r="V1726" i="80" s="1" a="1"/>
  <c r="V1726" i="80" s="1"/>
  <c r="C1727" i="80"/>
  <c r="O1727" i="80"/>
  <c r="T1727" i="80"/>
  <c r="U1727" i="80"/>
  <c r="V1727" i="80" s="1" a="1"/>
  <c r="V1727" i="80" s="1"/>
  <c r="C1728" i="80"/>
  <c r="O1728" i="80"/>
  <c r="T1728" i="80"/>
  <c r="U1728" i="80"/>
  <c r="V1728" i="80" s="1" a="1"/>
  <c r="V1728" i="80" s="1"/>
  <c r="C1729" i="80"/>
  <c r="O1729" i="80"/>
  <c r="T1729" i="80"/>
  <c r="U1729" i="80"/>
  <c r="V1729" i="80" s="1" a="1"/>
  <c r="V1729" i="80" s="1"/>
  <c r="C1730" i="80"/>
  <c r="O1730" i="80"/>
  <c r="T1730" i="80"/>
  <c r="U1730" i="80"/>
  <c r="V1730" i="80" s="1" a="1"/>
  <c r="V1730" i="80" s="1"/>
  <c r="C1731" i="80"/>
  <c r="O1731" i="80"/>
  <c r="T1731" i="80"/>
  <c r="U1731" i="80"/>
  <c r="V1731" i="80" s="1" a="1"/>
  <c r="V1731" i="80" s="1"/>
  <c r="C1732" i="80"/>
  <c r="O1732" i="80"/>
  <c r="T1732" i="80"/>
  <c r="U1732" i="80"/>
  <c r="V1732" i="80" s="1" a="1"/>
  <c r="V1732" i="80" s="1"/>
  <c r="C1733" i="80"/>
  <c r="O1733" i="80"/>
  <c r="T1733" i="80"/>
  <c r="U1733" i="80"/>
  <c r="V1733" i="80" s="1" a="1"/>
  <c r="V1733" i="80" s="1"/>
  <c r="C1734" i="80"/>
  <c r="O1734" i="80"/>
  <c r="T1734" i="80"/>
  <c r="U1734" i="80"/>
  <c r="V1734" i="80" s="1" a="1"/>
  <c r="V1734" i="80" s="1"/>
  <c r="C1735" i="80"/>
  <c r="O1735" i="80"/>
  <c r="T1735" i="80"/>
  <c r="U1735" i="80"/>
  <c r="V1735" i="80" s="1" a="1"/>
  <c r="V1735" i="80" s="1"/>
  <c r="C1736" i="80"/>
  <c r="O1736" i="80"/>
  <c r="T1736" i="80"/>
  <c r="U1736" i="80"/>
  <c r="V1736" i="80" s="1" a="1"/>
  <c r="V1736" i="80" s="1"/>
  <c r="C1737" i="80"/>
  <c r="O1737" i="80"/>
  <c r="T1737" i="80"/>
  <c r="U1737" i="80"/>
  <c r="V1737" i="80" s="1" a="1"/>
  <c r="V1737" i="80" s="1"/>
  <c r="C1738" i="80"/>
  <c r="O1738" i="80"/>
  <c r="T1738" i="80"/>
  <c r="U1738" i="80"/>
  <c r="V1738" i="80" s="1" a="1"/>
  <c r="V1738" i="80" s="1"/>
  <c r="C1739" i="80"/>
  <c r="O1739" i="80"/>
  <c r="T1739" i="80"/>
  <c r="U1739" i="80"/>
  <c r="V1739" i="80" s="1" a="1"/>
  <c r="V1739" i="80" s="1"/>
  <c r="C1740" i="80"/>
  <c r="O1740" i="80"/>
  <c r="T1740" i="80"/>
  <c r="U1740" i="80"/>
  <c r="V1740" i="80" s="1" a="1"/>
  <c r="V1740" i="80" s="1"/>
  <c r="C1741" i="80"/>
  <c r="O1741" i="80"/>
  <c r="T1741" i="80"/>
  <c r="U1741" i="80"/>
  <c r="V1741" i="80" s="1" a="1"/>
  <c r="V1741" i="80" s="1"/>
  <c r="C1742" i="80"/>
  <c r="O1742" i="80"/>
  <c r="T1742" i="80"/>
  <c r="U1742" i="80"/>
  <c r="V1742" i="80" s="1" a="1"/>
  <c r="V1742" i="80" s="1"/>
  <c r="C1743" i="80"/>
  <c r="O1743" i="80"/>
  <c r="T1743" i="80"/>
  <c r="U1743" i="80"/>
  <c r="V1743" i="80" s="1" a="1"/>
  <c r="V1743" i="80" s="1"/>
  <c r="C1744" i="80"/>
  <c r="O1744" i="80"/>
  <c r="T1744" i="80"/>
  <c r="U1744" i="80"/>
  <c r="V1744" i="80" s="1" a="1"/>
  <c r="V1744" i="80" s="1"/>
  <c r="C1745" i="80"/>
  <c r="O1745" i="80"/>
  <c r="T1745" i="80"/>
  <c r="U1745" i="80"/>
  <c r="V1745" i="80" s="1" a="1"/>
  <c r="V1745" i="80" s="1"/>
  <c r="C1746" i="80"/>
  <c r="O1746" i="80"/>
  <c r="T1746" i="80"/>
  <c r="U1746" i="80"/>
  <c r="V1746" i="80" s="1" a="1"/>
  <c r="V1746" i="80" s="1"/>
  <c r="C1747" i="80"/>
  <c r="O1747" i="80"/>
  <c r="T1747" i="80"/>
  <c r="U1747" i="80"/>
  <c r="V1747" i="80" s="1" a="1"/>
  <c r="V1747" i="80" s="1"/>
  <c r="C1748" i="80"/>
  <c r="O1748" i="80"/>
  <c r="T1748" i="80"/>
  <c r="U1748" i="80"/>
  <c r="V1748" i="80" s="1" a="1"/>
  <c r="V1748" i="80" s="1"/>
  <c r="C1749" i="80"/>
  <c r="O1749" i="80"/>
  <c r="T1749" i="80"/>
  <c r="U1749" i="80"/>
  <c r="V1749" i="80" s="1" a="1"/>
  <c r="V1749" i="80" s="1"/>
  <c r="C1750" i="80"/>
  <c r="O1750" i="80"/>
  <c r="T1750" i="80"/>
  <c r="U1750" i="80"/>
  <c r="V1750" i="80" s="1" a="1"/>
  <c r="V1750" i="80" s="1"/>
  <c r="C1751" i="80"/>
  <c r="O1751" i="80"/>
  <c r="T1751" i="80"/>
  <c r="U1751" i="80"/>
  <c r="V1751" i="80" s="1" a="1"/>
  <c r="V1751" i="80" s="1"/>
  <c r="C1752" i="80"/>
  <c r="O1752" i="80"/>
  <c r="T1752" i="80"/>
  <c r="U1752" i="80"/>
  <c r="V1752" i="80" s="1" a="1"/>
  <c r="V1752" i="80" s="1"/>
  <c r="C1753" i="80"/>
  <c r="O1753" i="80"/>
  <c r="T1753" i="80"/>
  <c r="U1753" i="80"/>
  <c r="V1753" i="80" s="1" a="1"/>
  <c r="V1753" i="80" s="1"/>
  <c r="C1754" i="80"/>
  <c r="O1754" i="80"/>
  <c r="T1754" i="80"/>
  <c r="U1754" i="80"/>
  <c r="V1754" i="80" s="1" a="1"/>
  <c r="V1754" i="80" s="1"/>
  <c r="C1755" i="80"/>
  <c r="O1755" i="80"/>
  <c r="T1755" i="80"/>
  <c r="U1755" i="80"/>
  <c r="V1755" i="80" s="1" a="1"/>
  <c r="V1755" i="80" s="1"/>
  <c r="C1756" i="80"/>
  <c r="O1756" i="80"/>
  <c r="T1756" i="80"/>
  <c r="U1756" i="80"/>
  <c r="V1756" i="80" s="1" a="1"/>
  <c r="V1756" i="80" s="1"/>
  <c r="C1757" i="80"/>
  <c r="O1757" i="80"/>
  <c r="T1757" i="80"/>
  <c r="U1757" i="80"/>
  <c r="V1757" i="80" s="1" a="1"/>
  <c r="V1757" i="80" s="1"/>
  <c r="C1758" i="80"/>
  <c r="O1758" i="80"/>
  <c r="T1758" i="80"/>
  <c r="U1758" i="80"/>
  <c r="V1758" i="80" s="1" a="1"/>
  <c r="V1758" i="80" s="1"/>
  <c r="C1759" i="80"/>
  <c r="O1759" i="80"/>
  <c r="T1759" i="80"/>
  <c r="U1759" i="80"/>
  <c r="V1759" i="80" s="1" a="1"/>
  <c r="V1759" i="80" s="1"/>
  <c r="C1760" i="80"/>
  <c r="O1760" i="80"/>
  <c r="T1760" i="80"/>
  <c r="U1760" i="80"/>
  <c r="V1760" i="80" s="1" a="1"/>
  <c r="V1760" i="80" s="1"/>
  <c r="C1761" i="80"/>
  <c r="O1761" i="80"/>
  <c r="T1761" i="80"/>
  <c r="U1761" i="80"/>
  <c r="V1761" i="80" s="1" a="1"/>
  <c r="V1761" i="80" s="1"/>
  <c r="C1762" i="80"/>
  <c r="O1762" i="80"/>
  <c r="T1762" i="80"/>
  <c r="U1762" i="80"/>
  <c r="V1762" i="80" s="1" a="1"/>
  <c r="V1762" i="80" s="1"/>
  <c r="C1763" i="80"/>
  <c r="O1763" i="80"/>
  <c r="T1763" i="80"/>
  <c r="U1763" i="80"/>
  <c r="V1763" i="80" s="1" a="1"/>
  <c r="V1763" i="80" s="1"/>
  <c r="C1764" i="80"/>
  <c r="O1764" i="80"/>
  <c r="T1764" i="80"/>
  <c r="U1764" i="80"/>
  <c r="V1764" i="80" s="1" a="1"/>
  <c r="V1764" i="80" s="1"/>
  <c r="C1765" i="80"/>
  <c r="O1765" i="80"/>
  <c r="T1765" i="80"/>
  <c r="U1765" i="80"/>
  <c r="V1765" i="80" s="1" a="1"/>
  <c r="V1765" i="80" s="1"/>
  <c r="C1766" i="80"/>
  <c r="O1766" i="80"/>
  <c r="T1766" i="80"/>
  <c r="U1766" i="80"/>
  <c r="V1766" i="80" s="1" a="1"/>
  <c r="V1766" i="80" s="1"/>
  <c r="C1767" i="80"/>
  <c r="O1767" i="80"/>
  <c r="T1767" i="80"/>
  <c r="U1767" i="80"/>
  <c r="V1767" i="80" s="1" a="1"/>
  <c r="V1767" i="80" s="1"/>
  <c r="C1768" i="80"/>
  <c r="O1768" i="80"/>
  <c r="T1768" i="80"/>
  <c r="U1768" i="80"/>
  <c r="V1768" i="80" s="1" a="1"/>
  <c r="V1768" i="80" s="1"/>
  <c r="C1769" i="80"/>
  <c r="O1769" i="80"/>
  <c r="T1769" i="80"/>
  <c r="U1769" i="80"/>
  <c r="V1769" i="80" s="1" a="1"/>
  <c r="V1769" i="80" s="1"/>
  <c r="C1770" i="80"/>
  <c r="O1770" i="80"/>
  <c r="T1770" i="80"/>
  <c r="U1770" i="80"/>
  <c r="V1770" i="80" s="1" a="1"/>
  <c r="V1770" i="80" s="1"/>
  <c r="C1771" i="80"/>
  <c r="O1771" i="80"/>
  <c r="T1771" i="80"/>
  <c r="U1771" i="80"/>
  <c r="V1771" i="80" s="1" a="1"/>
  <c r="V1771" i="80" s="1"/>
  <c r="C1772" i="80"/>
  <c r="O1772" i="80"/>
  <c r="T1772" i="80"/>
  <c r="U1772" i="80"/>
  <c r="V1772" i="80" s="1" a="1"/>
  <c r="V1772" i="80" s="1"/>
  <c r="C1773" i="80"/>
  <c r="O1773" i="80"/>
  <c r="T1773" i="80"/>
  <c r="U1773" i="80"/>
  <c r="V1773" i="80" s="1" a="1"/>
  <c r="V1773" i="80" s="1"/>
  <c r="C1774" i="80"/>
  <c r="O1774" i="80"/>
  <c r="T1774" i="80"/>
  <c r="U1774" i="80"/>
  <c r="V1774" i="80" s="1" a="1"/>
  <c r="V1774" i="80" s="1"/>
  <c r="C1775" i="80"/>
  <c r="O1775" i="80"/>
  <c r="T1775" i="80"/>
  <c r="U1775" i="80"/>
  <c r="V1775" i="80" s="1" a="1"/>
  <c r="V1775" i="80" s="1"/>
  <c r="C1776" i="80"/>
  <c r="O1776" i="80"/>
  <c r="T1776" i="80"/>
  <c r="U1776" i="80"/>
  <c r="V1776" i="80" s="1" a="1"/>
  <c r="V1776" i="80" s="1"/>
  <c r="C1777" i="80"/>
  <c r="O1777" i="80"/>
  <c r="T1777" i="80"/>
  <c r="U1777" i="80"/>
  <c r="V1777" i="80" s="1" a="1"/>
  <c r="V1777" i="80" s="1"/>
  <c r="C1778" i="80"/>
  <c r="O1778" i="80"/>
  <c r="T1778" i="80"/>
  <c r="U1778" i="80"/>
  <c r="V1778" i="80" s="1" a="1"/>
  <c r="V1778" i="80" s="1"/>
  <c r="C1779" i="80"/>
  <c r="O1779" i="80"/>
  <c r="T1779" i="80"/>
  <c r="U1779" i="80"/>
  <c r="V1779" i="80" s="1" a="1"/>
  <c r="V1779" i="80" s="1"/>
  <c r="C1780" i="80"/>
  <c r="O1780" i="80"/>
  <c r="T1780" i="80"/>
  <c r="U1780" i="80"/>
  <c r="V1780" i="80" s="1" a="1"/>
  <c r="V1780" i="80" s="1"/>
  <c r="C1781" i="80"/>
  <c r="O1781" i="80"/>
  <c r="T1781" i="80"/>
  <c r="U1781" i="80"/>
  <c r="V1781" i="80" s="1" a="1"/>
  <c r="V1781" i="80" s="1"/>
  <c r="C1782" i="80"/>
  <c r="O1782" i="80"/>
  <c r="T1782" i="80"/>
  <c r="U1782" i="80"/>
  <c r="V1782" i="80" s="1" a="1"/>
  <c r="V1782" i="80" s="1"/>
  <c r="C1783" i="80"/>
  <c r="O1783" i="80"/>
  <c r="T1783" i="80"/>
  <c r="U1783" i="80"/>
  <c r="V1783" i="80" s="1" a="1"/>
  <c r="V1783" i="80" s="1"/>
  <c r="C1784" i="80"/>
  <c r="O1784" i="80"/>
  <c r="T1784" i="80"/>
  <c r="U1784" i="80"/>
  <c r="V1784" i="80" s="1" a="1"/>
  <c r="V1784" i="80" s="1"/>
  <c r="C1785" i="80"/>
  <c r="O1785" i="80"/>
  <c r="T1785" i="80"/>
  <c r="U1785" i="80"/>
  <c r="V1785" i="80" s="1" a="1"/>
  <c r="V1785" i="80" s="1"/>
  <c r="C1786" i="80"/>
  <c r="O1786" i="80"/>
  <c r="T1786" i="80"/>
  <c r="U1786" i="80"/>
  <c r="V1786" i="80" s="1" a="1"/>
  <c r="V1786" i="80" s="1"/>
  <c r="C1787" i="80"/>
  <c r="O1787" i="80"/>
  <c r="T1787" i="80"/>
  <c r="U1787" i="80"/>
  <c r="V1787" i="80" s="1" a="1"/>
  <c r="V1787" i="80" s="1"/>
  <c r="C1788" i="80"/>
  <c r="O1788" i="80"/>
  <c r="T1788" i="80"/>
  <c r="U1788" i="80"/>
  <c r="V1788" i="80" s="1" a="1"/>
  <c r="V1788" i="80" s="1"/>
  <c r="C1789" i="80"/>
  <c r="O1789" i="80"/>
  <c r="T1789" i="80"/>
  <c r="U1789" i="80"/>
  <c r="V1789" i="80" s="1" a="1"/>
  <c r="V1789" i="80" s="1"/>
  <c r="C1790" i="80"/>
  <c r="O1790" i="80"/>
  <c r="T1790" i="80"/>
  <c r="U1790" i="80"/>
  <c r="V1790" i="80" s="1" a="1"/>
  <c r="V1790" i="80" s="1"/>
  <c r="C1791" i="80"/>
  <c r="O1791" i="80"/>
  <c r="T1791" i="80"/>
  <c r="U1791" i="80"/>
  <c r="V1791" i="80" s="1" a="1"/>
  <c r="V1791" i="80" s="1"/>
  <c r="C1792" i="80"/>
  <c r="O1792" i="80"/>
  <c r="T1792" i="80"/>
  <c r="U1792" i="80"/>
  <c r="V1792" i="80" s="1" a="1"/>
  <c r="V1792" i="80" s="1"/>
  <c r="C1793" i="80"/>
  <c r="O1793" i="80"/>
  <c r="T1793" i="80"/>
  <c r="U1793" i="80"/>
  <c r="V1793" i="80" s="1" a="1"/>
  <c r="V1793" i="80" s="1"/>
  <c r="C1794" i="80"/>
  <c r="O1794" i="80"/>
  <c r="T1794" i="80"/>
  <c r="U1794" i="80"/>
  <c r="V1794" i="80" s="1" a="1"/>
  <c r="V1794" i="80" s="1"/>
  <c r="C1795" i="80"/>
  <c r="O1795" i="80"/>
  <c r="T1795" i="80"/>
  <c r="U1795" i="80"/>
  <c r="V1795" i="80" s="1" a="1"/>
  <c r="V1795" i="80" s="1"/>
  <c r="C1796" i="80"/>
  <c r="O1796" i="80"/>
  <c r="T1796" i="80"/>
  <c r="U1796" i="80"/>
  <c r="V1796" i="80" s="1" a="1"/>
  <c r="V1796" i="80" s="1"/>
  <c r="C1797" i="80"/>
  <c r="O1797" i="80"/>
  <c r="T1797" i="80"/>
  <c r="U1797" i="80"/>
  <c r="V1797" i="80" s="1" a="1"/>
  <c r="V1797" i="80" s="1"/>
  <c r="C1798" i="80"/>
  <c r="O1798" i="80"/>
  <c r="T1798" i="80"/>
  <c r="U1798" i="80"/>
  <c r="V1798" i="80" s="1" a="1"/>
  <c r="V1798" i="80" s="1"/>
  <c r="C1799" i="80"/>
  <c r="O1799" i="80"/>
  <c r="T1799" i="80"/>
  <c r="U1799" i="80"/>
  <c r="V1799" i="80" s="1" a="1"/>
  <c r="V1799" i="80" s="1"/>
  <c r="C1800" i="80"/>
  <c r="O1800" i="80"/>
  <c r="T1800" i="80"/>
  <c r="U1800" i="80"/>
  <c r="V1800" i="80" s="1" a="1"/>
  <c r="V1800" i="80" s="1"/>
  <c r="C1801" i="80"/>
  <c r="O1801" i="80"/>
  <c r="T1801" i="80"/>
  <c r="U1801" i="80"/>
  <c r="V1801" i="80" s="1" a="1"/>
  <c r="V1801" i="80" s="1"/>
  <c r="C1802" i="80"/>
  <c r="O1802" i="80"/>
  <c r="T1802" i="80"/>
  <c r="U1802" i="80"/>
  <c r="V1802" i="80" s="1" a="1"/>
  <c r="V1802" i="80" s="1"/>
  <c r="C1803" i="80"/>
  <c r="O1803" i="80"/>
  <c r="T1803" i="80"/>
  <c r="U1803" i="80"/>
  <c r="V1803" i="80" s="1" a="1"/>
  <c r="V1803" i="80" s="1"/>
  <c r="C1804" i="80"/>
  <c r="O1804" i="80"/>
  <c r="T1804" i="80"/>
  <c r="U1804" i="80"/>
  <c r="V1804" i="80" s="1" a="1"/>
  <c r="V1804" i="80" s="1"/>
  <c r="C1805" i="80"/>
  <c r="O1805" i="80"/>
  <c r="T1805" i="80"/>
  <c r="U1805" i="80"/>
  <c r="V1805" i="80" s="1" a="1"/>
  <c r="V1805" i="80" s="1"/>
  <c r="C1806" i="80"/>
  <c r="O1806" i="80"/>
  <c r="T1806" i="80"/>
  <c r="U1806" i="80"/>
  <c r="V1806" i="80" s="1" a="1"/>
  <c r="V1806" i="80" s="1"/>
  <c r="C1807" i="80"/>
  <c r="O1807" i="80"/>
  <c r="T1807" i="80"/>
  <c r="U1807" i="80"/>
  <c r="V1807" i="80" s="1" a="1"/>
  <c r="V1807" i="80" s="1"/>
  <c r="C1808" i="80"/>
  <c r="O1808" i="80"/>
  <c r="T1808" i="80"/>
  <c r="U1808" i="80"/>
  <c r="V1808" i="80" s="1" a="1"/>
  <c r="V1808" i="80" s="1"/>
  <c r="C1809" i="80"/>
  <c r="O1809" i="80"/>
  <c r="T1809" i="80"/>
  <c r="U1809" i="80"/>
  <c r="V1809" i="80" s="1" a="1"/>
  <c r="V1809" i="80" s="1"/>
  <c r="C1810" i="80"/>
  <c r="O1810" i="80"/>
  <c r="T1810" i="80"/>
  <c r="U1810" i="80"/>
  <c r="V1810" i="80" s="1" a="1"/>
  <c r="V1810" i="80" s="1"/>
  <c r="C1811" i="80"/>
  <c r="O1811" i="80"/>
  <c r="T1811" i="80"/>
  <c r="U1811" i="80"/>
  <c r="V1811" i="80" s="1" a="1"/>
  <c r="V1811" i="80" s="1"/>
  <c r="C1812" i="80"/>
  <c r="O1812" i="80"/>
  <c r="T1812" i="80"/>
  <c r="U1812" i="80"/>
  <c r="V1812" i="80" s="1" a="1"/>
  <c r="V1812" i="80" s="1"/>
  <c r="C1813" i="80"/>
  <c r="O1813" i="80"/>
  <c r="T1813" i="80"/>
  <c r="U1813" i="80"/>
  <c r="V1813" i="80" s="1" a="1"/>
  <c r="V1813" i="80" s="1"/>
  <c r="C1814" i="80"/>
  <c r="O1814" i="80"/>
  <c r="T1814" i="80"/>
  <c r="U1814" i="80"/>
  <c r="V1814" i="80" s="1" a="1"/>
  <c r="V1814" i="80" s="1"/>
  <c r="C1815" i="80"/>
  <c r="O1815" i="80"/>
  <c r="T1815" i="80"/>
  <c r="U1815" i="80"/>
  <c r="V1815" i="80" s="1" a="1"/>
  <c r="V1815" i="80" s="1"/>
  <c r="C1816" i="80"/>
  <c r="O1816" i="80"/>
  <c r="T1816" i="80"/>
  <c r="U1816" i="80"/>
  <c r="V1816" i="80" s="1" a="1"/>
  <c r="V1816" i="80" s="1"/>
  <c r="C1817" i="80"/>
  <c r="O1817" i="80"/>
  <c r="T1817" i="80"/>
  <c r="U1817" i="80"/>
  <c r="V1817" i="80" s="1" a="1"/>
  <c r="V1817" i="80" s="1"/>
  <c r="C1818" i="80"/>
  <c r="O1818" i="80"/>
  <c r="T1818" i="80"/>
  <c r="U1818" i="80"/>
  <c r="V1818" i="80" s="1" a="1"/>
  <c r="V1818" i="80" s="1"/>
  <c r="C1819" i="80"/>
  <c r="O1819" i="80"/>
  <c r="T1819" i="80"/>
  <c r="U1819" i="80"/>
  <c r="V1819" i="80" s="1" a="1"/>
  <c r="V1819" i="80" s="1"/>
  <c r="C1820" i="80"/>
  <c r="O1820" i="80"/>
  <c r="T1820" i="80"/>
  <c r="U1820" i="80"/>
  <c r="V1820" i="80" s="1" a="1"/>
  <c r="V1820" i="80" s="1"/>
  <c r="C1821" i="80"/>
  <c r="O1821" i="80"/>
  <c r="T1821" i="80"/>
  <c r="U1821" i="80"/>
  <c r="V1821" i="80" s="1" a="1"/>
  <c r="V1821" i="80" s="1"/>
  <c r="C1822" i="80"/>
  <c r="O1822" i="80"/>
  <c r="T1822" i="80"/>
  <c r="U1822" i="80"/>
  <c r="V1822" i="80" s="1" a="1"/>
  <c r="V1822" i="80" s="1"/>
  <c r="C1823" i="80"/>
  <c r="O1823" i="80"/>
  <c r="T1823" i="80"/>
  <c r="U1823" i="80"/>
  <c r="V1823" i="80" s="1" a="1"/>
  <c r="V1823" i="80" s="1"/>
  <c r="C1824" i="80"/>
  <c r="O1824" i="80"/>
  <c r="T1824" i="80"/>
  <c r="U1824" i="80"/>
  <c r="V1824" i="80" s="1" a="1"/>
  <c r="V1824" i="80" s="1"/>
  <c r="C1825" i="80"/>
  <c r="O1825" i="80"/>
  <c r="T1825" i="80"/>
  <c r="U1825" i="80"/>
  <c r="V1825" i="80" s="1" a="1"/>
  <c r="V1825" i="80" s="1"/>
  <c r="C1826" i="80"/>
  <c r="O1826" i="80"/>
  <c r="T1826" i="80"/>
  <c r="U1826" i="80"/>
  <c r="V1826" i="80" s="1" a="1"/>
  <c r="V1826" i="80" s="1"/>
  <c r="C1827" i="80"/>
  <c r="O1827" i="80"/>
  <c r="T1827" i="80"/>
  <c r="U1827" i="80"/>
  <c r="V1827" i="80" s="1" a="1"/>
  <c r="V1827" i="80" s="1"/>
  <c r="C1828" i="80"/>
  <c r="O1828" i="80"/>
  <c r="T1828" i="80"/>
  <c r="U1828" i="80"/>
  <c r="V1828" i="80" s="1" a="1"/>
  <c r="V1828" i="80" s="1"/>
  <c r="C1829" i="80"/>
  <c r="O1829" i="80"/>
  <c r="T1829" i="80"/>
  <c r="U1829" i="80"/>
  <c r="V1829" i="80" s="1" a="1"/>
  <c r="V1829" i="80" s="1"/>
  <c r="C1830" i="80"/>
  <c r="O1830" i="80"/>
  <c r="T1830" i="80"/>
  <c r="U1830" i="80"/>
  <c r="V1830" i="80" s="1" a="1"/>
  <c r="V1830" i="80" s="1"/>
  <c r="C1831" i="80"/>
  <c r="O1831" i="80"/>
  <c r="T1831" i="80"/>
  <c r="U1831" i="80"/>
  <c r="V1831" i="80" s="1" a="1"/>
  <c r="V1831" i="80" s="1"/>
  <c r="C1832" i="80"/>
  <c r="O1832" i="80"/>
  <c r="T1832" i="80"/>
  <c r="U1832" i="80"/>
  <c r="V1832" i="80" s="1" a="1"/>
  <c r="V1832" i="80" s="1"/>
  <c r="C1833" i="80"/>
  <c r="O1833" i="80"/>
  <c r="T1833" i="80"/>
  <c r="U1833" i="80"/>
  <c r="V1833" i="80" s="1" a="1"/>
  <c r="V1833" i="80" s="1"/>
  <c r="C1834" i="80"/>
  <c r="O1834" i="80"/>
  <c r="T1834" i="80"/>
  <c r="U1834" i="80"/>
  <c r="V1834" i="80" s="1" a="1"/>
  <c r="V1834" i="80" s="1"/>
  <c r="C1835" i="80"/>
  <c r="O1835" i="80"/>
  <c r="T1835" i="80"/>
  <c r="U1835" i="80"/>
  <c r="V1835" i="80" s="1" a="1"/>
  <c r="V1835" i="80" s="1"/>
  <c r="C1836" i="80"/>
  <c r="O1836" i="80"/>
  <c r="T1836" i="80"/>
  <c r="U1836" i="80"/>
  <c r="V1836" i="80" s="1" a="1"/>
  <c r="V1836" i="80" s="1"/>
  <c r="C1837" i="80"/>
  <c r="O1837" i="80"/>
  <c r="T1837" i="80"/>
  <c r="U1837" i="80"/>
  <c r="V1837" i="80" s="1" a="1"/>
  <c r="V1837" i="80" s="1"/>
  <c r="C1838" i="80"/>
  <c r="O1838" i="80"/>
  <c r="T1838" i="80"/>
  <c r="U1838" i="80"/>
  <c r="V1838" i="80" s="1" a="1"/>
  <c r="V1838" i="80" s="1"/>
  <c r="C1839" i="80"/>
  <c r="O1839" i="80"/>
  <c r="T1839" i="80"/>
  <c r="U1839" i="80"/>
  <c r="V1839" i="80" s="1" a="1"/>
  <c r="V1839" i="80" s="1"/>
  <c r="C1840" i="80"/>
  <c r="O1840" i="80"/>
  <c r="T1840" i="80"/>
  <c r="U1840" i="80"/>
  <c r="V1840" i="80" s="1" a="1"/>
  <c r="V1840" i="80" s="1"/>
  <c r="C1841" i="80"/>
  <c r="O1841" i="80"/>
  <c r="T1841" i="80"/>
  <c r="U1841" i="80"/>
  <c r="V1841" i="80" s="1" a="1"/>
  <c r="V1841" i="80" s="1"/>
  <c r="C1842" i="80"/>
  <c r="O1842" i="80"/>
  <c r="T1842" i="80"/>
  <c r="U1842" i="80"/>
  <c r="V1842" i="80" s="1" a="1"/>
  <c r="V1842" i="80" s="1"/>
  <c r="C1843" i="80"/>
  <c r="O1843" i="80"/>
  <c r="T1843" i="80"/>
  <c r="U1843" i="80"/>
  <c r="V1843" i="80" s="1" a="1"/>
  <c r="V1843" i="80" s="1"/>
  <c r="C1844" i="80"/>
  <c r="O1844" i="80"/>
  <c r="T1844" i="80"/>
  <c r="U1844" i="80"/>
  <c r="V1844" i="80" s="1" a="1"/>
  <c r="V1844" i="80" s="1"/>
  <c r="C1845" i="80"/>
  <c r="O1845" i="80"/>
  <c r="T1845" i="80"/>
  <c r="U1845" i="80"/>
  <c r="V1845" i="80" s="1" a="1"/>
  <c r="V1845" i="80" s="1"/>
  <c r="C1846" i="80"/>
  <c r="O1846" i="80"/>
  <c r="T1846" i="80"/>
  <c r="U1846" i="80"/>
  <c r="V1846" i="80" s="1" a="1"/>
  <c r="V1846" i="80" s="1"/>
  <c r="C1847" i="80"/>
  <c r="O1847" i="80"/>
  <c r="T1847" i="80"/>
  <c r="U1847" i="80"/>
  <c r="V1847" i="80" s="1" a="1"/>
  <c r="V1847" i="80" s="1"/>
  <c r="C1848" i="80"/>
  <c r="O1848" i="80"/>
  <c r="T1848" i="80"/>
  <c r="U1848" i="80"/>
  <c r="V1848" i="80" s="1" a="1"/>
  <c r="V1848" i="80" s="1"/>
  <c r="C1849" i="80"/>
  <c r="O1849" i="80"/>
  <c r="T1849" i="80"/>
  <c r="U1849" i="80"/>
  <c r="V1849" i="80" s="1" a="1"/>
  <c r="V1849" i="80" s="1"/>
  <c r="C1850" i="80"/>
  <c r="O1850" i="80"/>
  <c r="T1850" i="80"/>
  <c r="U1850" i="80"/>
  <c r="V1850" i="80" s="1" a="1"/>
  <c r="V1850" i="80" s="1"/>
  <c r="C1851" i="80"/>
  <c r="O1851" i="80"/>
  <c r="T1851" i="80"/>
  <c r="U1851" i="80"/>
  <c r="V1851" i="80" s="1" a="1"/>
  <c r="V1851" i="80" s="1"/>
  <c r="C1852" i="80"/>
  <c r="O1852" i="80"/>
  <c r="T1852" i="80"/>
  <c r="U1852" i="80"/>
  <c r="V1852" i="80" s="1" a="1"/>
  <c r="V1852" i="80" s="1"/>
  <c r="C1853" i="80"/>
  <c r="O1853" i="80"/>
  <c r="T1853" i="80"/>
  <c r="U1853" i="80"/>
  <c r="V1853" i="80" s="1" a="1"/>
  <c r="V1853" i="80" s="1"/>
  <c r="C1854" i="80"/>
  <c r="O1854" i="80"/>
  <c r="T1854" i="80"/>
  <c r="U1854" i="80"/>
  <c r="V1854" i="80" s="1" a="1"/>
  <c r="V1854" i="80" s="1"/>
  <c r="C1855" i="80"/>
  <c r="O1855" i="80"/>
  <c r="T1855" i="80"/>
  <c r="U1855" i="80"/>
  <c r="V1855" i="80" s="1" a="1"/>
  <c r="V1855" i="80" s="1"/>
  <c r="C1856" i="80"/>
  <c r="O1856" i="80"/>
  <c r="T1856" i="80"/>
  <c r="U1856" i="80"/>
  <c r="V1856" i="80" s="1" a="1"/>
  <c r="V1856" i="80" s="1"/>
  <c r="C1857" i="80"/>
  <c r="O1857" i="80"/>
  <c r="T1857" i="80"/>
  <c r="U1857" i="80"/>
  <c r="V1857" i="80" s="1" a="1"/>
  <c r="V1857" i="80" s="1"/>
  <c r="C1858" i="80"/>
  <c r="O1858" i="80"/>
  <c r="T1858" i="80"/>
  <c r="U1858" i="80"/>
  <c r="V1858" i="80" s="1" a="1"/>
  <c r="V1858" i="80" s="1"/>
  <c r="C1859" i="80"/>
  <c r="O1859" i="80"/>
  <c r="T1859" i="80"/>
  <c r="U1859" i="80"/>
  <c r="V1859" i="80" s="1" a="1"/>
  <c r="V1859" i="80" s="1"/>
  <c r="C1860" i="80"/>
  <c r="O1860" i="80"/>
  <c r="T1860" i="80"/>
  <c r="U1860" i="80"/>
  <c r="V1860" i="80" s="1" a="1"/>
  <c r="V1860" i="80" s="1"/>
  <c r="C1861" i="80"/>
  <c r="O1861" i="80"/>
  <c r="T1861" i="80"/>
  <c r="U1861" i="80"/>
  <c r="V1861" i="80" s="1" a="1"/>
  <c r="V1861" i="80" s="1"/>
  <c r="C1862" i="80"/>
  <c r="O1862" i="80"/>
  <c r="T1862" i="80"/>
  <c r="U1862" i="80"/>
  <c r="V1862" i="80" s="1" a="1"/>
  <c r="V1862" i="80" s="1"/>
  <c r="C1863" i="80"/>
  <c r="O1863" i="80"/>
  <c r="T1863" i="80"/>
  <c r="U1863" i="80"/>
  <c r="V1863" i="80" s="1" a="1"/>
  <c r="V1863" i="80" s="1"/>
  <c r="C1864" i="80"/>
  <c r="O1864" i="80"/>
  <c r="T1864" i="80"/>
  <c r="U1864" i="80"/>
  <c r="V1864" i="80" s="1" a="1"/>
  <c r="V1864" i="80" s="1"/>
  <c r="C1865" i="80"/>
  <c r="O1865" i="80"/>
  <c r="T1865" i="80"/>
  <c r="U1865" i="80"/>
  <c r="V1865" i="80" s="1" a="1"/>
  <c r="V1865" i="80" s="1"/>
  <c r="C1866" i="80"/>
  <c r="O1866" i="80"/>
  <c r="T1866" i="80"/>
  <c r="U1866" i="80"/>
  <c r="V1866" i="80" s="1" a="1"/>
  <c r="V1866" i="80" s="1"/>
  <c r="C1867" i="80"/>
  <c r="O1867" i="80"/>
  <c r="T1867" i="80"/>
  <c r="U1867" i="80"/>
  <c r="V1867" i="80" s="1" a="1"/>
  <c r="V1867" i="80" s="1"/>
  <c r="C1868" i="80"/>
  <c r="O1868" i="80"/>
  <c r="T1868" i="80"/>
  <c r="U1868" i="80"/>
  <c r="V1868" i="80" s="1" a="1"/>
  <c r="V1868" i="80" s="1"/>
  <c r="C1869" i="80"/>
  <c r="O1869" i="80"/>
  <c r="T1869" i="80"/>
  <c r="U1869" i="80"/>
  <c r="V1869" i="80" s="1" a="1"/>
  <c r="V1869" i="80" s="1"/>
  <c r="C1870" i="80"/>
  <c r="O1870" i="80"/>
  <c r="T1870" i="80"/>
  <c r="U1870" i="80"/>
  <c r="V1870" i="80" s="1" a="1"/>
  <c r="V1870" i="80" s="1"/>
  <c r="C1871" i="80"/>
  <c r="O1871" i="80"/>
  <c r="T1871" i="80"/>
  <c r="U1871" i="80"/>
  <c r="V1871" i="80" s="1" a="1"/>
  <c r="V1871" i="80" s="1"/>
  <c r="C1872" i="80"/>
  <c r="O1872" i="80"/>
  <c r="T1872" i="80"/>
  <c r="U1872" i="80"/>
  <c r="V1872" i="80" s="1" a="1"/>
  <c r="V1872" i="80" s="1"/>
  <c r="C1873" i="80"/>
  <c r="O1873" i="80"/>
  <c r="T1873" i="80"/>
  <c r="U1873" i="80"/>
  <c r="V1873" i="80" s="1" a="1"/>
  <c r="V1873" i="80" s="1"/>
  <c r="C1874" i="80"/>
  <c r="O1874" i="80"/>
  <c r="T1874" i="80"/>
  <c r="U1874" i="80"/>
  <c r="V1874" i="80" s="1" a="1"/>
  <c r="V1874" i="80" s="1"/>
  <c r="C1875" i="80"/>
  <c r="O1875" i="80"/>
  <c r="T1875" i="80"/>
  <c r="U1875" i="80"/>
  <c r="V1875" i="80" s="1" a="1"/>
  <c r="V1875" i="80" s="1"/>
  <c r="C1876" i="80"/>
  <c r="O1876" i="80"/>
  <c r="T1876" i="80"/>
  <c r="U1876" i="80"/>
  <c r="V1876" i="80" s="1" a="1"/>
  <c r="V1876" i="80" s="1"/>
  <c r="C1877" i="80"/>
  <c r="O1877" i="80"/>
  <c r="T1877" i="80"/>
  <c r="U1877" i="80"/>
  <c r="V1877" i="80" s="1" a="1"/>
  <c r="V1877" i="80" s="1"/>
  <c r="C1878" i="80"/>
  <c r="O1878" i="80"/>
  <c r="T1878" i="80"/>
  <c r="U1878" i="80"/>
  <c r="V1878" i="80" s="1" a="1"/>
  <c r="V1878" i="80" s="1"/>
  <c r="C1879" i="80"/>
  <c r="O1879" i="80"/>
  <c r="T1879" i="80"/>
  <c r="U1879" i="80"/>
  <c r="V1879" i="80" s="1" a="1"/>
  <c r="V1879" i="80" s="1"/>
  <c r="C1880" i="80"/>
  <c r="O1880" i="80"/>
  <c r="T1880" i="80"/>
  <c r="U1880" i="80"/>
  <c r="V1880" i="80" s="1" a="1"/>
  <c r="V1880" i="80" s="1"/>
  <c r="C1881" i="80"/>
  <c r="O1881" i="80"/>
  <c r="T1881" i="80"/>
  <c r="U1881" i="80"/>
  <c r="V1881" i="80" s="1" a="1"/>
  <c r="V1881" i="80" s="1"/>
  <c r="C1882" i="80"/>
  <c r="O1882" i="80"/>
  <c r="T1882" i="80"/>
  <c r="U1882" i="80"/>
  <c r="V1882" i="80" s="1" a="1"/>
  <c r="V1882" i="80" s="1"/>
  <c r="C1883" i="80"/>
  <c r="O1883" i="80"/>
  <c r="T1883" i="80"/>
  <c r="U1883" i="80"/>
  <c r="V1883" i="80" s="1" a="1"/>
  <c r="V1883" i="80" s="1"/>
  <c r="C1884" i="80"/>
  <c r="O1884" i="80"/>
  <c r="T1884" i="80"/>
  <c r="U1884" i="80"/>
  <c r="V1884" i="80" s="1" a="1"/>
  <c r="V1884" i="80" s="1"/>
  <c r="C1885" i="80"/>
  <c r="O1885" i="80"/>
  <c r="T1885" i="80"/>
  <c r="U1885" i="80"/>
  <c r="V1885" i="80" s="1" a="1"/>
  <c r="V1885" i="80" s="1"/>
  <c r="C1886" i="80"/>
  <c r="O1886" i="80"/>
  <c r="T1886" i="80"/>
  <c r="U1886" i="80"/>
  <c r="V1886" i="80" s="1" a="1"/>
  <c r="V1886" i="80" s="1"/>
  <c r="C1887" i="80"/>
  <c r="O1887" i="80"/>
  <c r="T1887" i="80"/>
  <c r="U1887" i="80"/>
  <c r="V1887" i="80" s="1" a="1"/>
  <c r="V1887" i="80" s="1"/>
  <c r="C1888" i="80"/>
  <c r="O1888" i="80"/>
  <c r="T1888" i="80"/>
  <c r="U1888" i="80"/>
  <c r="V1888" i="80" s="1" a="1"/>
  <c r="V1888" i="80" s="1"/>
  <c r="C1889" i="80"/>
  <c r="O1889" i="80"/>
  <c r="T1889" i="80"/>
  <c r="U1889" i="80"/>
  <c r="V1889" i="80" s="1" a="1"/>
  <c r="V1889" i="80" s="1"/>
  <c r="C1890" i="80"/>
  <c r="O1890" i="80"/>
  <c r="T1890" i="80"/>
  <c r="U1890" i="80"/>
  <c r="V1890" i="80" s="1" a="1"/>
  <c r="V1890" i="80" s="1"/>
  <c r="C1891" i="80"/>
  <c r="O1891" i="80"/>
  <c r="T1891" i="80"/>
  <c r="U1891" i="80"/>
  <c r="V1891" i="80" s="1" a="1"/>
  <c r="V1891" i="80" s="1"/>
  <c r="C1892" i="80"/>
  <c r="O1892" i="80"/>
  <c r="T1892" i="80"/>
  <c r="U1892" i="80"/>
  <c r="V1892" i="80" s="1" a="1"/>
  <c r="V1892" i="80" s="1"/>
  <c r="C1893" i="80"/>
  <c r="O1893" i="80"/>
  <c r="T1893" i="80"/>
  <c r="U1893" i="80"/>
  <c r="V1893" i="80" s="1" a="1"/>
  <c r="V1893" i="80" s="1"/>
  <c r="C1894" i="80"/>
  <c r="O1894" i="80"/>
  <c r="T1894" i="80"/>
  <c r="U1894" i="80"/>
  <c r="V1894" i="80" s="1" a="1"/>
  <c r="V1894" i="80" s="1"/>
  <c r="C1895" i="80"/>
  <c r="O1895" i="80"/>
  <c r="T1895" i="80"/>
  <c r="U1895" i="80"/>
  <c r="V1895" i="80" s="1" a="1"/>
  <c r="V1895" i="80" s="1"/>
  <c r="C1896" i="80"/>
  <c r="O1896" i="80"/>
  <c r="T1896" i="80"/>
  <c r="U1896" i="80"/>
  <c r="V1896" i="80" s="1" a="1"/>
  <c r="V1896" i="80" s="1"/>
  <c r="C1897" i="80"/>
  <c r="O1897" i="80"/>
  <c r="T1897" i="80"/>
  <c r="U1897" i="80"/>
  <c r="V1897" i="80" s="1" a="1"/>
  <c r="V1897" i="80" s="1"/>
  <c r="C1898" i="80"/>
  <c r="O1898" i="80"/>
  <c r="T1898" i="80"/>
  <c r="U1898" i="80"/>
  <c r="V1898" i="80" s="1" a="1"/>
  <c r="V1898" i="80" s="1"/>
  <c r="C1899" i="80"/>
  <c r="O1899" i="80"/>
  <c r="T1899" i="80"/>
  <c r="U1899" i="80"/>
  <c r="V1899" i="80" s="1" a="1"/>
  <c r="V1899" i="80" s="1"/>
  <c r="C1900" i="80"/>
  <c r="O1900" i="80"/>
  <c r="T1900" i="80"/>
  <c r="U1900" i="80"/>
  <c r="V1900" i="80" s="1" a="1"/>
  <c r="V1900" i="80" s="1"/>
  <c r="C1901" i="80"/>
  <c r="O1901" i="80"/>
  <c r="T1901" i="80"/>
  <c r="U1901" i="80"/>
  <c r="V1901" i="80" s="1" a="1"/>
  <c r="V1901" i="80" s="1"/>
  <c r="C1902" i="80"/>
  <c r="O1902" i="80"/>
  <c r="T1902" i="80"/>
  <c r="U1902" i="80"/>
  <c r="V1902" i="80" s="1" a="1"/>
  <c r="V1902" i="80" s="1"/>
  <c r="C1903" i="80"/>
  <c r="O1903" i="80"/>
  <c r="T1903" i="80"/>
  <c r="U1903" i="80"/>
  <c r="V1903" i="80" s="1" a="1"/>
  <c r="V1903" i="80" s="1"/>
  <c r="C1904" i="80"/>
  <c r="O1904" i="80"/>
  <c r="T1904" i="80"/>
  <c r="U1904" i="80"/>
  <c r="V1904" i="80" s="1" a="1"/>
  <c r="V1904" i="80" s="1"/>
  <c r="C1905" i="80"/>
  <c r="O1905" i="80"/>
  <c r="T1905" i="80"/>
  <c r="U1905" i="80"/>
  <c r="V1905" i="80" s="1" a="1"/>
  <c r="V1905" i="80" s="1"/>
  <c r="C1906" i="80"/>
  <c r="O1906" i="80"/>
  <c r="T1906" i="80"/>
  <c r="U1906" i="80"/>
  <c r="V1906" i="80" s="1" a="1"/>
  <c r="V1906" i="80" s="1"/>
  <c r="C1907" i="80"/>
  <c r="O1907" i="80"/>
  <c r="T1907" i="80"/>
  <c r="U1907" i="80"/>
  <c r="V1907" i="80" s="1" a="1"/>
  <c r="V1907" i="80" s="1"/>
  <c r="C1908" i="80"/>
  <c r="O1908" i="80"/>
  <c r="T1908" i="80"/>
  <c r="U1908" i="80"/>
  <c r="V1908" i="80" s="1" a="1"/>
  <c r="V1908" i="80" s="1"/>
  <c r="C1909" i="80"/>
  <c r="O1909" i="80"/>
  <c r="T1909" i="80"/>
  <c r="U1909" i="80"/>
  <c r="V1909" i="80" s="1" a="1"/>
  <c r="V1909" i="80" s="1"/>
  <c r="C1910" i="80"/>
  <c r="O1910" i="80"/>
  <c r="T1910" i="80"/>
  <c r="U1910" i="80"/>
  <c r="V1910" i="80" s="1" a="1"/>
  <c r="V1910" i="80" s="1"/>
  <c r="C1911" i="80"/>
  <c r="O1911" i="80"/>
  <c r="T1911" i="80"/>
  <c r="U1911" i="80"/>
  <c r="V1911" i="80" s="1" a="1"/>
  <c r="V1911" i="80" s="1"/>
  <c r="C1912" i="80"/>
  <c r="O1912" i="80"/>
  <c r="T1912" i="80"/>
  <c r="U1912" i="80"/>
  <c r="V1912" i="80" s="1" a="1"/>
  <c r="V1912" i="80" s="1"/>
  <c r="C1913" i="80"/>
  <c r="O1913" i="80"/>
  <c r="T1913" i="80"/>
  <c r="U1913" i="80"/>
  <c r="V1913" i="80" s="1" a="1"/>
  <c r="V1913" i="80" s="1"/>
  <c r="C1914" i="80"/>
  <c r="O1914" i="80"/>
  <c r="T1914" i="80"/>
  <c r="U1914" i="80"/>
  <c r="V1914" i="80" s="1" a="1"/>
  <c r="V1914" i="80" s="1"/>
  <c r="C1915" i="80"/>
  <c r="O1915" i="80"/>
  <c r="T1915" i="80"/>
  <c r="U1915" i="80"/>
  <c r="V1915" i="80" s="1" a="1"/>
  <c r="V1915" i="80" s="1"/>
  <c r="C1916" i="80"/>
  <c r="O1916" i="80"/>
  <c r="T1916" i="80"/>
  <c r="U1916" i="80"/>
  <c r="V1916" i="80" s="1" a="1"/>
  <c r="V1916" i="80" s="1"/>
  <c r="C1917" i="80"/>
  <c r="O1917" i="80"/>
  <c r="T1917" i="80"/>
  <c r="U1917" i="80"/>
  <c r="V1917" i="80" s="1" a="1"/>
  <c r="V1917" i="80" s="1"/>
  <c r="C1918" i="80"/>
  <c r="O1918" i="80"/>
  <c r="T1918" i="80"/>
  <c r="U1918" i="80"/>
  <c r="V1918" i="80" s="1" a="1"/>
  <c r="V1918" i="80" s="1"/>
  <c r="C1919" i="80"/>
  <c r="O1919" i="80"/>
  <c r="T1919" i="80"/>
  <c r="U1919" i="80"/>
  <c r="V1919" i="80" s="1" a="1"/>
  <c r="V1919" i="80" s="1"/>
  <c r="C1920" i="80"/>
  <c r="O1920" i="80"/>
  <c r="T1920" i="80"/>
  <c r="U1920" i="80"/>
  <c r="V1920" i="80" s="1" a="1"/>
  <c r="V1920" i="80" s="1"/>
  <c r="C1921" i="80"/>
  <c r="O1921" i="80"/>
  <c r="T1921" i="80"/>
  <c r="U1921" i="80"/>
  <c r="V1921" i="80" s="1" a="1"/>
  <c r="V1921" i="80" s="1"/>
  <c r="C1922" i="80"/>
  <c r="O1922" i="80"/>
  <c r="T1922" i="80"/>
  <c r="U1922" i="80"/>
  <c r="V1922" i="80" s="1" a="1"/>
  <c r="V1922" i="80" s="1"/>
  <c r="C1923" i="80"/>
  <c r="O1923" i="80"/>
  <c r="T1923" i="80"/>
  <c r="U1923" i="80"/>
  <c r="V1923" i="80" s="1" a="1"/>
  <c r="V1923" i="80" s="1"/>
  <c r="C1924" i="80"/>
  <c r="O1924" i="80"/>
  <c r="T1924" i="80"/>
  <c r="U1924" i="80"/>
  <c r="V1924" i="80" s="1" a="1"/>
  <c r="V1924" i="80" s="1"/>
  <c r="C1925" i="80"/>
  <c r="O1925" i="80"/>
  <c r="T1925" i="80"/>
  <c r="U1925" i="80"/>
  <c r="V1925" i="80" s="1" a="1"/>
  <c r="V1925" i="80" s="1"/>
  <c r="C1926" i="80"/>
  <c r="O1926" i="80"/>
  <c r="T1926" i="80"/>
  <c r="U1926" i="80"/>
  <c r="V1926" i="80" s="1" a="1"/>
  <c r="V1926" i="80" s="1"/>
  <c r="C1927" i="80"/>
  <c r="O1927" i="80"/>
  <c r="T1927" i="80"/>
  <c r="U1927" i="80"/>
  <c r="V1927" i="80" s="1" a="1"/>
  <c r="V1927" i="80" s="1"/>
  <c r="C1928" i="80"/>
  <c r="O1928" i="80"/>
  <c r="T1928" i="80"/>
  <c r="U1928" i="80"/>
  <c r="V1928" i="80" s="1" a="1"/>
  <c r="V1928" i="80" s="1"/>
  <c r="C1929" i="80"/>
  <c r="O1929" i="80"/>
  <c r="T1929" i="80"/>
  <c r="U1929" i="80"/>
  <c r="V1929" i="80" s="1" a="1"/>
  <c r="V1929" i="80" s="1"/>
  <c r="C1930" i="80"/>
  <c r="O1930" i="80"/>
  <c r="T1930" i="80"/>
  <c r="U1930" i="80"/>
  <c r="V1930" i="80" s="1" a="1"/>
  <c r="V1930" i="80" s="1"/>
  <c r="C1931" i="80"/>
  <c r="O1931" i="80"/>
  <c r="T1931" i="80"/>
  <c r="U1931" i="80"/>
  <c r="V1931" i="80" s="1" a="1"/>
  <c r="V1931" i="80" s="1"/>
  <c r="C1932" i="80"/>
  <c r="O1932" i="80"/>
  <c r="T1932" i="80"/>
  <c r="U1932" i="80"/>
  <c r="V1932" i="80" s="1" a="1"/>
  <c r="V1932" i="80" s="1"/>
  <c r="C1933" i="80"/>
  <c r="O1933" i="80"/>
  <c r="T1933" i="80"/>
  <c r="U1933" i="80"/>
  <c r="V1933" i="80" s="1" a="1"/>
  <c r="V1933" i="80" s="1"/>
  <c r="C1934" i="80"/>
  <c r="O1934" i="80"/>
  <c r="T1934" i="80"/>
  <c r="U1934" i="80"/>
  <c r="V1934" i="80" s="1" a="1"/>
  <c r="V1934" i="80" s="1"/>
  <c r="C1935" i="80"/>
  <c r="O1935" i="80"/>
  <c r="T1935" i="80"/>
  <c r="U1935" i="80"/>
  <c r="V1935" i="80" s="1" a="1"/>
  <c r="V1935" i="80" s="1"/>
  <c r="C1936" i="80"/>
  <c r="O1936" i="80"/>
  <c r="T1936" i="80"/>
  <c r="U1936" i="80"/>
  <c r="V1936" i="80" s="1" a="1"/>
  <c r="V1936" i="80" s="1"/>
  <c r="C1937" i="80"/>
  <c r="O1937" i="80"/>
  <c r="T1937" i="80"/>
  <c r="U1937" i="80"/>
  <c r="V1937" i="80" s="1" a="1"/>
  <c r="V1937" i="80" s="1"/>
  <c r="C1938" i="80"/>
  <c r="O1938" i="80"/>
  <c r="T1938" i="80"/>
  <c r="U1938" i="80"/>
  <c r="V1938" i="80" s="1" a="1"/>
  <c r="V1938" i="80" s="1"/>
  <c r="C1939" i="80"/>
  <c r="O1939" i="80"/>
  <c r="T1939" i="80"/>
  <c r="U1939" i="80"/>
  <c r="V1939" i="80" s="1" a="1"/>
  <c r="V1939" i="80" s="1"/>
  <c r="C1940" i="80"/>
  <c r="O1940" i="80"/>
  <c r="T1940" i="80"/>
  <c r="U1940" i="80"/>
  <c r="V1940" i="80" s="1" a="1"/>
  <c r="V1940" i="80" s="1"/>
  <c r="C1941" i="80"/>
  <c r="O1941" i="80"/>
  <c r="T1941" i="80"/>
  <c r="U1941" i="80"/>
  <c r="V1941" i="80" s="1" a="1"/>
  <c r="V1941" i="80" s="1"/>
  <c r="C1942" i="80"/>
  <c r="O1942" i="80"/>
  <c r="T1942" i="80"/>
  <c r="U1942" i="80"/>
  <c r="V1942" i="80" s="1" a="1"/>
  <c r="V1942" i="80" s="1"/>
  <c r="C1943" i="80"/>
  <c r="O1943" i="80"/>
  <c r="T1943" i="80"/>
  <c r="U1943" i="80"/>
  <c r="V1943" i="80" s="1" a="1"/>
  <c r="V1943" i="80" s="1"/>
  <c r="C1944" i="80"/>
  <c r="O1944" i="80"/>
  <c r="T1944" i="80"/>
  <c r="U1944" i="80"/>
  <c r="V1944" i="80" s="1" a="1"/>
  <c r="V1944" i="80" s="1"/>
  <c r="C1945" i="80"/>
  <c r="O1945" i="80"/>
  <c r="T1945" i="80"/>
  <c r="U1945" i="80"/>
  <c r="V1945" i="80" s="1" a="1"/>
  <c r="V1945" i="80" s="1"/>
  <c r="C1946" i="80"/>
  <c r="O1946" i="80"/>
  <c r="T1946" i="80"/>
  <c r="U1946" i="80"/>
  <c r="V1946" i="80" s="1" a="1"/>
  <c r="V1946" i="80" s="1"/>
  <c r="C1947" i="80"/>
  <c r="O1947" i="80"/>
  <c r="T1947" i="80"/>
  <c r="U1947" i="80"/>
  <c r="V1947" i="80" s="1" a="1"/>
  <c r="V1947" i="80" s="1"/>
  <c r="C1948" i="80"/>
  <c r="O1948" i="80"/>
  <c r="T1948" i="80"/>
  <c r="U1948" i="80"/>
  <c r="V1948" i="80" s="1" a="1"/>
  <c r="V1948" i="80" s="1"/>
  <c r="C1949" i="80"/>
  <c r="O1949" i="80"/>
  <c r="T1949" i="80"/>
  <c r="U1949" i="80"/>
  <c r="V1949" i="80" s="1" a="1"/>
  <c r="V1949" i="80" s="1"/>
  <c r="C1950" i="80"/>
  <c r="O1950" i="80"/>
  <c r="T1950" i="80"/>
  <c r="U1950" i="80"/>
  <c r="V1950" i="80" s="1" a="1"/>
  <c r="V1950" i="80" s="1"/>
  <c r="C1951" i="80"/>
  <c r="O1951" i="80"/>
  <c r="T1951" i="80"/>
  <c r="U1951" i="80"/>
  <c r="V1951" i="80" s="1" a="1"/>
  <c r="V1951" i="80" s="1"/>
  <c r="C1952" i="80"/>
  <c r="O1952" i="80"/>
  <c r="T1952" i="80"/>
  <c r="U1952" i="80"/>
  <c r="V1952" i="80" s="1" a="1"/>
  <c r="V1952" i="80" s="1"/>
  <c r="C1953" i="80"/>
  <c r="O1953" i="80"/>
  <c r="T1953" i="80"/>
  <c r="U1953" i="80"/>
  <c r="V1953" i="80" s="1" a="1"/>
  <c r="V1953" i="80" s="1"/>
  <c r="C1954" i="80"/>
  <c r="O1954" i="80"/>
  <c r="T1954" i="80"/>
  <c r="U1954" i="80"/>
  <c r="V1954" i="80" s="1" a="1"/>
  <c r="V1954" i="80" s="1"/>
  <c r="C1955" i="80"/>
  <c r="O1955" i="80"/>
  <c r="T1955" i="80"/>
  <c r="U1955" i="80"/>
  <c r="V1955" i="80" s="1" a="1"/>
  <c r="V1955" i="80" s="1"/>
  <c r="C1956" i="80"/>
  <c r="O1956" i="80"/>
  <c r="T1956" i="80"/>
  <c r="U1956" i="80"/>
  <c r="V1956" i="80" s="1" a="1"/>
  <c r="V1956" i="80" s="1"/>
  <c r="C1957" i="80"/>
  <c r="O1957" i="80"/>
  <c r="T1957" i="80"/>
  <c r="U1957" i="80"/>
  <c r="V1957" i="80" s="1" a="1"/>
  <c r="V1957" i="80" s="1"/>
  <c r="C1958" i="80"/>
  <c r="O1958" i="80"/>
  <c r="T1958" i="80"/>
  <c r="U1958" i="80"/>
  <c r="V1958" i="80" s="1" a="1"/>
  <c r="V1958" i="80" s="1"/>
  <c r="C1959" i="80"/>
  <c r="O1959" i="80"/>
  <c r="T1959" i="80"/>
  <c r="U1959" i="80"/>
  <c r="V1959" i="80" s="1" a="1"/>
  <c r="V1959" i="80" s="1"/>
  <c r="C1960" i="80"/>
  <c r="O1960" i="80"/>
  <c r="T1960" i="80"/>
  <c r="U1960" i="80"/>
  <c r="V1960" i="80" s="1" a="1"/>
  <c r="V1960" i="80" s="1"/>
  <c r="C1961" i="80"/>
  <c r="O1961" i="80"/>
  <c r="T1961" i="80"/>
  <c r="U1961" i="80"/>
  <c r="V1961" i="80" s="1" a="1"/>
  <c r="V1961" i="80" s="1"/>
  <c r="C1962" i="80"/>
  <c r="O1962" i="80"/>
  <c r="T1962" i="80"/>
  <c r="U1962" i="80"/>
  <c r="V1962" i="80" s="1" a="1"/>
  <c r="V1962" i="80" s="1"/>
  <c r="C1963" i="80"/>
  <c r="O1963" i="80"/>
  <c r="T1963" i="80"/>
  <c r="U1963" i="80"/>
  <c r="V1963" i="80" s="1" a="1"/>
  <c r="V1963" i="80" s="1"/>
  <c r="C1964" i="80"/>
  <c r="O1964" i="80"/>
  <c r="T1964" i="80"/>
  <c r="U1964" i="80"/>
  <c r="V1964" i="80" s="1" a="1"/>
  <c r="V1964" i="80" s="1"/>
  <c r="C1965" i="80"/>
  <c r="O1965" i="80"/>
  <c r="T1965" i="80"/>
  <c r="U1965" i="80"/>
  <c r="V1965" i="80" s="1" a="1"/>
  <c r="V1965" i="80" s="1"/>
  <c r="C1966" i="80"/>
  <c r="O1966" i="80"/>
  <c r="T1966" i="80"/>
  <c r="U1966" i="80"/>
  <c r="V1966" i="80" s="1" a="1"/>
  <c r="V1966" i="80" s="1"/>
  <c r="C1967" i="80"/>
  <c r="O1967" i="80"/>
  <c r="T1967" i="80"/>
  <c r="U1967" i="80"/>
  <c r="V1967" i="80" s="1" a="1"/>
  <c r="V1967" i="80" s="1"/>
  <c r="C1968" i="80"/>
  <c r="O1968" i="80"/>
  <c r="T1968" i="80"/>
  <c r="U1968" i="80"/>
  <c r="V1968" i="80" s="1" a="1"/>
  <c r="V1968" i="80" s="1"/>
  <c r="C1969" i="80"/>
  <c r="O1969" i="80"/>
  <c r="T1969" i="80"/>
  <c r="U1969" i="80"/>
  <c r="V1969" i="80" s="1" a="1"/>
  <c r="V1969" i="80" s="1"/>
  <c r="C1970" i="80"/>
  <c r="O1970" i="80"/>
  <c r="T1970" i="80"/>
  <c r="U1970" i="80"/>
  <c r="V1970" i="80" s="1" a="1"/>
  <c r="V1970" i="80" s="1"/>
  <c r="C1971" i="80"/>
  <c r="O1971" i="80"/>
  <c r="T1971" i="80"/>
  <c r="U1971" i="80"/>
  <c r="V1971" i="80" s="1" a="1"/>
  <c r="V1971" i="80" s="1"/>
  <c r="C1972" i="80"/>
  <c r="O1972" i="80"/>
  <c r="T1972" i="80"/>
  <c r="U1972" i="80"/>
  <c r="V1972" i="80" s="1" a="1"/>
  <c r="V1972" i="80" s="1"/>
  <c r="C1973" i="80"/>
  <c r="O1973" i="80"/>
  <c r="T1973" i="80"/>
  <c r="U1973" i="80"/>
  <c r="V1973" i="80" s="1" a="1"/>
  <c r="V1973" i="80" s="1"/>
  <c r="C1974" i="80"/>
  <c r="O1974" i="80"/>
  <c r="T1974" i="80"/>
  <c r="U1974" i="80"/>
  <c r="V1974" i="80" s="1" a="1"/>
  <c r="V1974" i="80" s="1"/>
  <c r="C1975" i="80"/>
  <c r="O1975" i="80"/>
  <c r="T1975" i="80"/>
  <c r="U1975" i="80"/>
  <c r="V1975" i="80" s="1" a="1"/>
  <c r="V1975" i="80" s="1"/>
  <c r="C1976" i="80"/>
  <c r="O1976" i="80"/>
  <c r="T1976" i="80"/>
  <c r="U1976" i="80"/>
  <c r="V1976" i="80" s="1" a="1"/>
  <c r="V1976" i="80" s="1"/>
  <c r="C1977" i="80"/>
  <c r="O1977" i="80"/>
  <c r="T1977" i="80"/>
  <c r="U1977" i="80"/>
  <c r="V1977" i="80" s="1" a="1"/>
  <c r="V1977" i="80" s="1"/>
  <c r="C1978" i="80"/>
  <c r="O1978" i="80"/>
  <c r="T1978" i="80"/>
  <c r="U1978" i="80"/>
  <c r="V1978" i="80" s="1" a="1"/>
  <c r="V1978" i="80" s="1"/>
  <c r="C1979" i="80"/>
  <c r="O1979" i="80"/>
  <c r="T1979" i="80"/>
  <c r="U1979" i="80"/>
  <c r="V1979" i="80" s="1" a="1"/>
  <c r="V1979" i="80" s="1"/>
  <c r="C1980" i="80"/>
  <c r="O1980" i="80"/>
  <c r="T1980" i="80"/>
  <c r="U1980" i="80"/>
  <c r="V1980" i="80" s="1" a="1"/>
  <c r="V1980" i="80" s="1"/>
  <c r="C1981" i="80"/>
  <c r="O1981" i="80"/>
  <c r="T1981" i="80"/>
  <c r="U1981" i="80"/>
  <c r="V1981" i="80" s="1" a="1"/>
  <c r="V1981" i="80" s="1"/>
  <c r="C1982" i="80"/>
  <c r="O1982" i="80"/>
  <c r="T1982" i="80"/>
  <c r="U1982" i="80"/>
  <c r="V1982" i="80" s="1" a="1"/>
  <c r="V1982" i="80" s="1"/>
  <c r="C1983" i="80"/>
  <c r="O1983" i="80"/>
  <c r="T1983" i="80"/>
  <c r="U1983" i="80"/>
  <c r="V1983" i="80" s="1" a="1"/>
  <c r="V1983" i="80" s="1"/>
  <c r="C1984" i="80"/>
  <c r="O1984" i="80"/>
  <c r="T1984" i="80"/>
  <c r="U1984" i="80"/>
  <c r="V1984" i="80" s="1" a="1"/>
  <c r="V1984" i="80" s="1"/>
  <c r="C1985" i="80"/>
  <c r="O1985" i="80"/>
  <c r="T1985" i="80"/>
  <c r="U1985" i="80"/>
  <c r="V1985" i="80" s="1" a="1"/>
  <c r="V1985" i="80" s="1"/>
  <c r="C1986" i="80"/>
  <c r="O1986" i="80"/>
  <c r="T1986" i="80"/>
  <c r="U1986" i="80"/>
  <c r="V1986" i="80" s="1" a="1"/>
  <c r="V1986" i="80" s="1"/>
  <c r="C1987" i="80"/>
  <c r="O1987" i="80"/>
  <c r="T1987" i="80"/>
  <c r="U1987" i="80"/>
  <c r="V1987" i="80" s="1" a="1"/>
  <c r="V1987" i="80" s="1"/>
  <c r="C1988" i="80"/>
  <c r="O1988" i="80"/>
  <c r="T1988" i="80"/>
  <c r="U1988" i="80"/>
  <c r="V1988" i="80" s="1" a="1"/>
  <c r="V1988" i="80" s="1"/>
  <c r="C1989" i="80"/>
  <c r="O1989" i="80"/>
  <c r="T1989" i="80"/>
  <c r="U1989" i="80"/>
  <c r="V1989" i="80" s="1" a="1"/>
  <c r="V1989" i="80" s="1"/>
  <c r="C1990" i="80"/>
  <c r="O1990" i="80"/>
  <c r="T1990" i="80"/>
  <c r="U1990" i="80"/>
  <c r="V1990" i="80" s="1" a="1"/>
  <c r="V1990" i="80" s="1"/>
  <c r="C1991" i="80"/>
  <c r="O1991" i="80"/>
  <c r="T1991" i="80"/>
  <c r="U1991" i="80"/>
  <c r="V1991" i="80" s="1" a="1"/>
  <c r="V1991" i="80" s="1"/>
  <c r="C1992" i="80"/>
  <c r="O1992" i="80"/>
  <c r="T1992" i="80"/>
  <c r="U1992" i="80"/>
  <c r="V1992" i="80" s="1" a="1"/>
  <c r="V1992" i="80" s="1"/>
  <c r="C1993" i="80"/>
  <c r="O1993" i="80"/>
  <c r="T1993" i="80"/>
  <c r="U1993" i="80"/>
  <c r="V1993" i="80" s="1" a="1"/>
  <c r="V1993" i="80" s="1"/>
  <c r="C1994" i="80"/>
  <c r="O1994" i="80"/>
  <c r="T1994" i="80"/>
  <c r="U1994" i="80"/>
  <c r="V1994" i="80" s="1" a="1"/>
  <c r="V1994" i="80" s="1"/>
  <c r="C1995" i="80"/>
  <c r="O1995" i="80"/>
  <c r="T1995" i="80"/>
  <c r="U1995" i="80"/>
  <c r="V1995" i="80" s="1" a="1"/>
  <c r="V1995" i="80" s="1"/>
  <c r="C1996" i="80"/>
  <c r="O1996" i="80"/>
  <c r="T1996" i="80"/>
  <c r="U1996" i="80"/>
  <c r="V1996" i="80" s="1" a="1"/>
  <c r="V1996" i="80" s="1"/>
  <c r="C1997" i="80"/>
  <c r="O1997" i="80"/>
  <c r="T1997" i="80"/>
  <c r="U1997" i="80"/>
  <c r="V1997" i="80" s="1" a="1"/>
  <c r="V1997" i="80" s="1"/>
  <c r="C1998" i="80"/>
  <c r="O1998" i="80"/>
  <c r="T1998" i="80"/>
  <c r="U1998" i="80"/>
  <c r="V1998" i="80" s="1" a="1"/>
  <c r="V1998" i="80" s="1"/>
  <c r="C1999" i="80"/>
  <c r="O1999" i="80"/>
  <c r="T1999" i="80"/>
  <c r="U1999" i="80"/>
  <c r="V1999" i="80" s="1" a="1"/>
  <c r="V1999" i="80" s="1"/>
  <c r="C2000" i="80"/>
  <c r="O2000" i="80"/>
  <c r="T2000" i="80"/>
  <c r="U2000" i="80"/>
  <c r="V2000" i="80" s="1" a="1"/>
  <c r="V2000" i="80" s="1"/>
  <c r="C2001" i="80"/>
  <c r="O2001" i="80"/>
  <c r="T2001" i="80"/>
  <c r="U2001" i="80"/>
  <c r="V2001" i="80" s="1" a="1"/>
  <c r="V2001" i="80" s="1"/>
  <c r="C2002" i="80"/>
  <c r="O2002" i="80"/>
  <c r="T2002" i="80"/>
  <c r="U2002" i="80"/>
  <c r="V2002" i="80" s="1" a="1"/>
  <c r="V2002" i="80" s="1"/>
  <c r="C2003" i="80"/>
  <c r="O2003" i="80"/>
  <c r="T2003" i="80"/>
  <c r="U2003" i="80"/>
  <c r="V2003" i="80" s="1" a="1"/>
  <c r="V2003" i="80" s="1"/>
  <c r="C2004" i="80"/>
  <c r="O2004" i="80"/>
  <c r="T2004" i="80"/>
  <c r="U2004" i="80"/>
  <c r="V2004" i="80" s="1" a="1"/>
  <c r="V2004" i="80" s="1"/>
  <c r="C2005" i="80"/>
  <c r="O2005" i="80"/>
  <c r="T2005" i="80"/>
  <c r="U2005" i="80"/>
  <c r="V2005" i="80" s="1" a="1"/>
  <c r="V2005" i="80" s="1"/>
  <c r="C2006" i="80"/>
  <c r="O2006" i="80"/>
  <c r="T2006" i="80"/>
  <c r="U2006" i="80"/>
  <c r="V2006" i="80" s="1" a="1"/>
  <c r="V2006" i="80" s="1"/>
  <c r="C2007" i="80"/>
  <c r="O2007" i="80"/>
  <c r="T2007" i="80"/>
  <c r="U2007" i="80"/>
  <c r="V2007" i="80" s="1" a="1"/>
  <c r="V2007" i="80" s="1"/>
  <c r="C2008" i="80"/>
  <c r="O2008" i="80"/>
  <c r="T2008" i="80"/>
  <c r="U2008" i="80"/>
  <c r="V2008" i="80" s="1" a="1"/>
  <c r="V2008" i="80" s="1"/>
  <c r="C2009" i="80"/>
  <c r="O2009" i="80"/>
  <c r="T2009" i="80"/>
  <c r="U2009" i="80"/>
  <c r="V2009" i="80" s="1" a="1"/>
  <c r="V2009" i="80" s="1"/>
  <c r="C2010" i="80"/>
  <c r="O2010" i="80"/>
  <c r="T2010" i="80"/>
  <c r="U2010" i="80"/>
  <c r="V2010" i="80" s="1" a="1"/>
  <c r="V2010" i="80" s="1"/>
  <c r="C2011" i="80"/>
  <c r="O2011" i="80"/>
  <c r="T2011" i="80"/>
  <c r="U2011" i="80"/>
  <c r="V2011" i="80" s="1" a="1"/>
  <c r="V2011" i="80" s="1"/>
  <c r="C2012" i="80"/>
  <c r="O2012" i="80"/>
  <c r="T2012" i="80"/>
  <c r="U2012" i="80"/>
  <c r="V2012" i="80" s="1" a="1"/>
  <c r="V2012" i="80" s="1"/>
  <c r="C2013" i="80"/>
  <c r="O2013" i="80"/>
  <c r="T2013" i="80"/>
  <c r="U2013" i="80"/>
  <c r="V2013" i="80" s="1" a="1"/>
  <c r="V2013" i="80" s="1"/>
  <c r="C2014" i="80"/>
  <c r="O2014" i="80"/>
  <c r="T2014" i="80"/>
  <c r="U2014" i="80"/>
  <c r="V2014" i="80" s="1" a="1"/>
  <c r="V2014" i="80" s="1"/>
  <c r="C2015" i="80"/>
  <c r="O2015" i="80"/>
  <c r="T2015" i="80"/>
  <c r="U2015" i="80"/>
  <c r="V2015" i="80" s="1" a="1"/>
  <c r="V2015" i="80" s="1"/>
  <c r="C2016" i="80"/>
  <c r="O2016" i="80"/>
  <c r="T2016" i="80"/>
  <c r="U2016" i="80"/>
  <c r="V2016" i="80" s="1" a="1"/>
  <c r="V2016" i="80" s="1"/>
  <c r="C2017" i="80"/>
  <c r="O2017" i="80"/>
  <c r="T2017" i="80"/>
  <c r="U2017" i="80"/>
  <c r="V2017" i="80" s="1" a="1"/>
  <c r="V2017" i="80" s="1"/>
  <c r="C2018" i="80"/>
  <c r="O2018" i="80"/>
  <c r="T2018" i="80"/>
  <c r="U2018" i="80"/>
  <c r="V2018" i="80" s="1" a="1"/>
  <c r="V2018" i="80" s="1"/>
  <c r="C2019" i="80"/>
  <c r="O2019" i="80"/>
  <c r="T2019" i="80"/>
  <c r="U2019" i="80"/>
  <c r="V2019" i="80" s="1" a="1"/>
  <c r="V2019" i="80" s="1"/>
  <c r="C2020" i="80"/>
  <c r="O2020" i="80"/>
  <c r="T2020" i="80"/>
  <c r="U2020" i="80"/>
  <c r="V2020" i="80" s="1" a="1"/>
  <c r="V2020" i="80" s="1"/>
  <c r="C2021" i="80"/>
  <c r="O2021" i="80"/>
  <c r="T2021" i="80"/>
  <c r="U2021" i="80"/>
  <c r="V2021" i="80" s="1" a="1"/>
  <c r="V2021" i="80" s="1"/>
  <c r="C2022" i="80"/>
  <c r="O2022" i="80"/>
  <c r="T2022" i="80"/>
  <c r="U2022" i="80"/>
  <c r="V2022" i="80" s="1" a="1"/>
  <c r="V2022" i="80" s="1"/>
  <c r="C2023" i="80"/>
  <c r="O2023" i="80"/>
  <c r="T2023" i="80"/>
  <c r="U2023" i="80"/>
  <c r="V2023" i="80" s="1" a="1"/>
  <c r="V2023" i="80" s="1"/>
  <c r="C2024" i="80"/>
  <c r="O2024" i="80"/>
  <c r="T2024" i="80"/>
  <c r="U2024" i="80"/>
  <c r="V2024" i="80" s="1" a="1"/>
  <c r="V2024" i="80" s="1"/>
  <c r="C2025" i="80"/>
  <c r="O2025" i="80"/>
  <c r="T2025" i="80"/>
  <c r="U2025" i="80"/>
  <c r="V2025" i="80" s="1" a="1"/>
  <c r="V2025" i="80" s="1"/>
  <c r="C2026" i="80"/>
  <c r="O2026" i="80"/>
  <c r="T2026" i="80"/>
  <c r="U2026" i="80"/>
  <c r="V2026" i="80" s="1" a="1"/>
  <c r="V2026" i="80" s="1"/>
  <c r="C2027" i="80"/>
  <c r="O2027" i="80"/>
  <c r="T2027" i="80"/>
  <c r="U2027" i="80"/>
  <c r="V2027" i="80" s="1" a="1"/>
  <c r="V2027" i="80" s="1"/>
  <c r="C2028" i="80"/>
  <c r="O2028" i="80"/>
  <c r="T2028" i="80"/>
  <c r="U2028" i="80"/>
  <c r="V2028" i="80" s="1" a="1"/>
  <c r="V2028" i="80" s="1"/>
  <c r="C2029" i="80"/>
  <c r="O2029" i="80"/>
  <c r="T2029" i="80"/>
  <c r="U2029" i="80"/>
  <c r="V2029" i="80" s="1" a="1"/>
  <c r="V2029" i="80" s="1"/>
  <c r="C2030" i="80"/>
  <c r="O2030" i="80"/>
  <c r="T2030" i="80"/>
  <c r="U2030" i="80"/>
  <c r="V2030" i="80" s="1" a="1"/>
  <c r="V2030" i="80" s="1"/>
  <c r="C2031" i="80"/>
  <c r="O2031" i="80"/>
  <c r="T2031" i="80"/>
  <c r="U2031" i="80"/>
  <c r="V2031" i="80" s="1" a="1"/>
  <c r="V2031" i="80" s="1"/>
  <c r="C2032" i="80"/>
  <c r="O2032" i="80"/>
  <c r="T2032" i="80"/>
  <c r="U2032" i="80"/>
  <c r="V2032" i="80" s="1" a="1"/>
  <c r="V2032" i="80" s="1"/>
  <c r="C2033" i="80"/>
  <c r="O2033" i="80"/>
  <c r="T2033" i="80"/>
  <c r="U2033" i="80"/>
  <c r="V2033" i="80" s="1" a="1"/>
  <c r="V2033" i="80" s="1"/>
  <c r="C2034" i="80"/>
  <c r="O2034" i="80"/>
  <c r="T2034" i="80"/>
  <c r="U2034" i="80"/>
  <c r="V2034" i="80" s="1" a="1"/>
  <c r="V2034" i="80" s="1"/>
  <c r="C2035" i="80"/>
  <c r="O2035" i="80"/>
  <c r="T2035" i="80"/>
  <c r="U2035" i="80"/>
  <c r="V2035" i="80" s="1" a="1"/>
  <c r="V2035" i="80" s="1"/>
  <c r="C2036" i="80"/>
  <c r="O2036" i="80"/>
  <c r="T2036" i="80"/>
  <c r="U2036" i="80"/>
  <c r="V2036" i="80" s="1" a="1"/>
  <c r="V2036" i="80" s="1"/>
  <c r="C2037" i="80"/>
  <c r="O2037" i="80"/>
  <c r="T2037" i="80"/>
  <c r="U2037" i="80"/>
  <c r="V2037" i="80" s="1" a="1"/>
  <c r="V2037" i="80" s="1"/>
  <c r="C2038" i="80"/>
  <c r="O2038" i="80"/>
  <c r="T2038" i="80"/>
  <c r="U2038" i="80"/>
  <c r="V2038" i="80" s="1" a="1"/>
  <c r="V2038" i="80" s="1"/>
  <c r="C2039" i="80"/>
  <c r="O2039" i="80"/>
  <c r="T2039" i="80"/>
  <c r="U2039" i="80"/>
  <c r="V2039" i="80" s="1" a="1"/>
  <c r="V2039" i="80" s="1"/>
  <c r="C2040" i="80"/>
  <c r="O2040" i="80"/>
  <c r="T2040" i="80"/>
  <c r="U2040" i="80"/>
  <c r="V2040" i="80" s="1" a="1"/>
  <c r="V2040" i="80" s="1"/>
  <c r="C2041" i="80"/>
  <c r="O2041" i="80"/>
  <c r="T2041" i="80"/>
  <c r="U2041" i="80"/>
  <c r="V2041" i="80" s="1" a="1"/>
  <c r="V2041" i="80" s="1"/>
  <c r="C2042" i="80"/>
  <c r="O2042" i="80"/>
  <c r="T2042" i="80"/>
  <c r="U2042" i="80"/>
  <c r="V2042" i="80" s="1" a="1"/>
  <c r="V2042" i="80" s="1"/>
  <c r="C2043" i="80"/>
  <c r="O2043" i="80"/>
  <c r="T2043" i="80"/>
  <c r="U2043" i="80"/>
  <c r="V2043" i="80" s="1" a="1"/>
  <c r="V2043" i="80" s="1"/>
  <c r="C2044" i="80"/>
  <c r="O2044" i="80"/>
  <c r="T2044" i="80"/>
  <c r="U2044" i="80"/>
  <c r="V2044" i="80" s="1" a="1"/>
  <c r="V2044" i="80" s="1"/>
  <c r="C2045" i="80"/>
  <c r="O2045" i="80"/>
  <c r="T2045" i="80"/>
  <c r="U2045" i="80"/>
  <c r="V2045" i="80" s="1" a="1"/>
  <c r="V2045" i="80" s="1"/>
  <c r="C2046" i="80"/>
  <c r="O2046" i="80"/>
  <c r="T2046" i="80"/>
  <c r="U2046" i="80"/>
  <c r="V2046" i="80" s="1" a="1"/>
  <c r="V2046" i="80" s="1"/>
  <c r="C2047" i="80"/>
  <c r="O2047" i="80"/>
  <c r="T2047" i="80"/>
  <c r="U2047" i="80"/>
  <c r="V2047" i="80" s="1" a="1"/>
  <c r="V2047" i="80" s="1"/>
  <c r="C2048" i="80"/>
  <c r="O2048" i="80"/>
  <c r="T2048" i="80"/>
  <c r="U2048" i="80"/>
  <c r="V2048" i="80" s="1" a="1"/>
  <c r="V2048" i="80" s="1"/>
  <c r="C2049" i="80"/>
  <c r="O2049" i="80"/>
  <c r="T2049" i="80"/>
  <c r="U2049" i="80"/>
  <c r="V2049" i="80" s="1" a="1"/>
  <c r="V2049" i="80" s="1"/>
  <c r="C2050" i="80"/>
  <c r="O2050" i="80"/>
  <c r="T2050" i="80"/>
  <c r="U2050" i="80"/>
  <c r="V2050" i="80" s="1" a="1"/>
  <c r="V2050" i="80" s="1"/>
  <c r="C2051" i="80"/>
  <c r="O2051" i="80"/>
  <c r="T2051" i="80"/>
  <c r="U2051" i="80"/>
  <c r="V2051" i="80" s="1" a="1"/>
  <c r="V2051" i="80" s="1"/>
  <c r="C2052" i="80"/>
  <c r="O2052" i="80"/>
  <c r="T2052" i="80"/>
  <c r="U2052" i="80"/>
  <c r="V2052" i="80" s="1" a="1"/>
  <c r="V2052" i="80" s="1"/>
  <c r="C2053" i="80"/>
  <c r="O2053" i="80"/>
  <c r="T2053" i="80"/>
  <c r="U2053" i="80"/>
  <c r="V2053" i="80" s="1" a="1"/>
  <c r="V2053" i="80" s="1"/>
  <c r="C2054" i="80"/>
  <c r="O2054" i="80"/>
  <c r="T2054" i="80"/>
  <c r="U2054" i="80"/>
  <c r="V2054" i="80" s="1" a="1"/>
  <c r="V2054" i="80" s="1"/>
  <c r="C2055" i="80"/>
  <c r="O2055" i="80"/>
  <c r="T2055" i="80"/>
  <c r="U2055" i="80"/>
  <c r="V2055" i="80" s="1" a="1"/>
  <c r="V2055" i="80" s="1"/>
  <c r="C2056" i="80"/>
  <c r="O2056" i="80"/>
  <c r="T2056" i="80"/>
  <c r="U2056" i="80"/>
  <c r="V2056" i="80" s="1" a="1"/>
  <c r="V2056" i="80" s="1"/>
  <c r="C2057" i="80"/>
  <c r="O2057" i="80"/>
  <c r="T2057" i="80"/>
  <c r="U2057" i="80"/>
  <c r="V2057" i="80" s="1" a="1"/>
  <c r="V2057" i="80" s="1"/>
  <c r="C2058" i="80"/>
  <c r="O2058" i="80"/>
  <c r="T2058" i="80"/>
  <c r="U2058" i="80"/>
  <c r="V2058" i="80" s="1" a="1"/>
  <c r="V2058" i="80" s="1"/>
  <c r="C2059" i="80"/>
  <c r="O2059" i="80"/>
  <c r="T2059" i="80"/>
  <c r="U2059" i="80"/>
  <c r="V2059" i="80" s="1" a="1"/>
  <c r="V2059" i="80" s="1"/>
  <c r="C2060" i="80"/>
  <c r="O2060" i="80"/>
  <c r="T2060" i="80"/>
  <c r="U2060" i="80"/>
  <c r="V2060" i="80" s="1" a="1"/>
  <c r="V2060" i="80" s="1"/>
  <c r="C2061" i="80"/>
  <c r="O2061" i="80"/>
  <c r="T2061" i="80"/>
  <c r="U2061" i="80"/>
  <c r="V2061" i="80" s="1" a="1"/>
  <c r="V2061" i="80" s="1"/>
  <c r="C2062" i="80"/>
  <c r="O2062" i="80"/>
  <c r="T2062" i="80"/>
  <c r="U2062" i="80"/>
  <c r="V2062" i="80" s="1" a="1"/>
  <c r="V2062" i="80" s="1"/>
  <c r="C2063" i="80"/>
  <c r="O2063" i="80"/>
  <c r="T2063" i="80"/>
  <c r="U2063" i="80"/>
  <c r="V2063" i="80" s="1" a="1"/>
  <c r="V2063" i="80" s="1"/>
  <c r="C2064" i="80"/>
  <c r="O2064" i="80"/>
  <c r="T2064" i="80"/>
  <c r="U2064" i="80"/>
  <c r="V2064" i="80" s="1" a="1"/>
  <c r="V2064" i="80" s="1"/>
  <c r="C2065" i="80"/>
  <c r="O2065" i="80"/>
  <c r="T2065" i="80"/>
  <c r="U2065" i="80"/>
  <c r="V2065" i="80" s="1" a="1"/>
  <c r="V2065" i="80" s="1"/>
  <c r="C2066" i="80"/>
  <c r="O2066" i="80"/>
  <c r="T2066" i="80"/>
  <c r="U2066" i="80"/>
  <c r="V2066" i="80" s="1" a="1"/>
  <c r="V2066" i="80" s="1"/>
  <c r="C2067" i="80"/>
  <c r="O2067" i="80"/>
  <c r="T2067" i="80"/>
  <c r="U2067" i="80"/>
  <c r="V2067" i="80" s="1" a="1"/>
  <c r="V2067" i="80" s="1"/>
  <c r="C2068" i="80"/>
  <c r="O2068" i="80"/>
  <c r="T2068" i="80"/>
  <c r="U2068" i="80"/>
  <c r="V2068" i="80" s="1" a="1"/>
  <c r="V2068" i="80" s="1"/>
  <c r="C2069" i="80"/>
  <c r="O2069" i="80"/>
  <c r="T2069" i="80"/>
  <c r="U2069" i="80"/>
  <c r="V2069" i="80" s="1" a="1"/>
  <c r="V2069" i="80" s="1"/>
  <c r="C2070" i="80"/>
  <c r="O2070" i="80"/>
  <c r="T2070" i="80"/>
  <c r="U2070" i="80"/>
  <c r="V2070" i="80" s="1" a="1"/>
  <c r="V2070" i="80" s="1"/>
  <c r="C2071" i="80"/>
  <c r="O2071" i="80"/>
  <c r="T2071" i="80"/>
  <c r="U2071" i="80"/>
  <c r="V2071" i="80" s="1" a="1"/>
  <c r="V2071" i="80" s="1"/>
  <c r="C2072" i="80"/>
  <c r="O2072" i="80"/>
  <c r="T2072" i="80"/>
  <c r="U2072" i="80"/>
  <c r="V2072" i="80" s="1" a="1"/>
  <c r="V2072" i="80" s="1"/>
  <c r="C2073" i="80"/>
  <c r="O2073" i="80"/>
  <c r="T2073" i="80"/>
  <c r="U2073" i="80"/>
  <c r="V2073" i="80" s="1" a="1"/>
  <c r="V2073" i="80" s="1"/>
  <c r="C2074" i="80"/>
  <c r="O2074" i="80"/>
  <c r="T2074" i="80"/>
  <c r="U2074" i="80"/>
  <c r="V2074" i="80" s="1" a="1"/>
  <c r="V2074" i="80" s="1"/>
  <c r="C2075" i="80"/>
  <c r="O2075" i="80"/>
  <c r="T2075" i="80"/>
  <c r="U2075" i="80"/>
  <c r="V2075" i="80" s="1" a="1"/>
  <c r="V2075" i="80" s="1"/>
  <c r="C2076" i="80"/>
  <c r="O2076" i="80"/>
  <c r="T2076" i="80"/>
  <c r="U2076" i="80"/>
  <c r="V2076" i="80" s="1" a="1"/>
  <c r="V2076" i="80" s="1"/>
  <c r="C2077" i="80"/>
  <c r="O2077" i="80"/>
  <c r="T2077" i="80"/>
  <c r="U2077" i="80"/>
  <c r="V2077" i="80" s="1" a="1"/>
  <c r="V2077" i="80" s="1"/>
  <c r="C2078" i="80"/>
  <c r="O2078" i="80"/>
  <c r="T2078" i="80"/>
  <c r="U2078" i="80"/>
  <c r="V2078" i="80" s="1" a="1"/>
  <c r="V2078" i="80" s="1"/>
  <c r="C2079" i="80"/>
  <c r="O2079" i="80"/>
  <c r="T2079" i="80"/>
  <c r="U2079" i="80"/>
  <c r="V2079" i="80" s="1" a="1"/>
  <c r="V2079" i="80" s="1"/>
  <c r="C2080" i="80"/>
  <c r="O2080" i="80"/>
  <c r="T2080" i="80"/>
  <c r="U2080" i="80"/>
  <c r="V2080" i="80" s="1" a="1"/>
  <c r="V2080" i="80" s="1"/>
  <c r="C2081" i="80"/>
  <c r="O2081" i="80"/>
  <c r="T2081" i="80"/>
  <c r="U2081" i="80"/>
  <c r="V2081" i="80" s="1" a="1"/>
  <c r="V2081" i="80" s="1"/>
  <c r="C2082" i="80"/>
  <c r="O2082" i="80"/>
  <c r="T2082" i="80"/>
  <c r="U2082" i="80"/>
  <c r="V2082" i="80" s="1" a="1"/>
  <c r="V2082" i="80" s="1"/>
  <c r="C2083" i="80"/>
  <c r="O2083" i="80"/>
  <c r="T2083" i="80"/>
  <c r="U2083" i="80"/>
  <c r="V2083" i="80" s="1" a="1"/>
  <c r="V2083" i="80" s="1"/>
  <c r="C2084" i="80"/>
  <c r="O2084" i="80"/>
  <c r="T2084" i="80"/>
  <c r="U2084" i="80"/>
  <c r="V2084" i="80" s="1" a="1"/>
  <c r="V2084" i="80" s="1"/>
  <c r="C2085" i="80"/>
  <c r="O2085" i="80"/>
  <c r="T2085" i="80"/>
  <c r="U2085" i="80"/>
  <c r="V2085" i="80" s="1" a="1"/>
  <c r="V2085" i="80" s="1"/>
  <c r="C2086" i="80"/>
  <c r="O2086" i="80"/>
  <c r="T2086" i="80"/>
  <c r="U2086" i="80"/>
  <c r="V2086" i="80" s="1" a="1"/>
  <c r="V2086" i="80" s="1"/>
  <c r="C2087" i="80"/>
  <c r="O2087" i="80"/>
  <c r="T2087" i="80"/>
  <c r="U2087" i="80"/>
  <c r="V2087" i="80" s="1" a="1"/>
  <c r="V2087" i="80" s="1"/>
  <c r="C2088" i="80"/>
  <c r="O2088" i="80"/>
  <c r="T2088" i="80"/>
  <c r="U2088" i="80"/>
  <c r="V2088" i="80" s="1" a="1"/>
  <c r="V2088" i="80" s="1"/>
  <c r="C2089" i="80"/>
  <c r="O2089" i="80"/>
  <c r="T2089" i="80"/>
  <c r="U2089" i="80"/>
  <c r="V2089" i="80" s="1" a="1"/>
  <c r="V2089" i="80" s="1"/>
  <c r="C2090" i="80"/>
  <c r="O2090" i="80"/>
  <c r="T2090" i="80"/>
  <c r="U2090" i="80"/>
  <c r="V2090" i="80" s="1" a="1"/>
  <c r="V2090" i="80" s="1"/>
  <c r="C2091" i="80"/>
  <c r="O2091" i="80"/>
  <c r="T2091" i="80"/>
  <c r="U2091" i="80"/>
  <c r="V2091" i="80" s="1" a="1"/>
  <c r="V2091" i="80" s="1"/>
  <c r="C2092" i="80"/>
  <c r="O2092" i="80"/>
  <c r="T2092" i="80"/>
  <c r="U2092" i="80"/>
  <c r="V2092" i="80" s="1" a="1"/>
  <c r="V2092" i="80" s="1"/>
  <c r="C2093" i="80"/>
  <c r="O2093" i="80"/>
  <c r="T2093" i="80"/>
  <c r="U2093" i="80"/>
  <c r="V2093" i="80" s="1" a="1"/>
  <c r="V2093" i="80" s="1"/>
  <c r="C2094" i="80"/>
  <c r="O2094" i="80"/>
  <c r="T2094" i="80"/>
  <c r="U2094" i="80"/>
  <c r="V2094" i="80" s="1" a="1"/>
  <c r="V2094" i="80" s="1"/>
  <c r="C2095" i="80"/>
  <c r="O2095" i="80"/>
  <c r="T2095" i="80"/>
  <c r="U2095" i="80"/>
  <c r="V2095" i="80" s="1" a="1"/>
  <c r="V2095" i="80" s="1"/>
  <c r="C2096" i="80"/>
  <c r="O2096" i="80"/>
  <c r="T2096" i="80"/>
  <c r="U2096" i="80"/>
  <c r="V2096" i="80" s="1" a="1"/>
  <c r="V2096" i="80" s="1"/>
  <c r="C2097" i="80"/>
  <c r="O2097" i="80"/>
  <c r="T2097" i="80"/>
  <c r="U2097" i="80"/>
  <c r="V2097" i="80" s="1" a="1"/>
  <c r="V2097" i="80" s="1"/>
  <c r="C2098" i="80"/>
  <c r="O2098" i="80"/>
  <c r="T2098" i="80"/>
  <c r="U2098" i="80"/>
  <c r="V2098" i="80" s="1" a="1"/>
  <c r="V2098" i="80" s="1"/>
  <c r="C2099" i="80"/>
  <c r="O2099" i="80"/>
  <c r="T2099" i="80"/>
  <c r="U2099" i="80"/>
  <c r="V2099" i="80" s="1" a="1"/>
  <c r="V2099" i="80" s="1"/>
  <c r="C2100" i="80"/>
  <c r="O2100" i="80"/>
  <c r="T2100" i="80"/>
  <c r="U2100" i="80"/>
  <c r="V2100" i="80" s="1" a="1"/>
  <c r="V2100" i="80" s="1"/>
  <c r="C2101" i="80"/>
  <c r="O2101" i="80"/>
  <c r="T2101" i="80"/>
  <c r="U2101" i="80"/>
  <c r="V2101" i="80" s="1" a="1"/>
  <c r="V2101" i="80" s="1"/>
  <c r="C2102" i="80"/>
  <c r="O2102" i="80"/>
  <c r="T2102" i="80"/>
  <c r="U2102" i="80"/>
  <c r="V2102" i="80" s="1" a="1"/>
  <c r="V2102" i="80" s="1"/>
  <c r="C2103" i="80"/>
  <c r="O2103" i="80"/>
  <c r="T2103" i="80"/>
  <c r="U2103" i="80"/>
  <c r="V2103" i="80" s="1" a="1"/>
  <c r="V2103" i="80" s="1"/>
  <c r="C2104" i="80"/>
  <c r="O2104" i="80"/>
  <c r="T2104" i="80"/>
  <c r="U2104" i="80"/>
  <c r="V2104" i="80" s="1" a="1"/>
  <c r="V2104" i="80" s="1"/>
  <c r="C2105" i="80"/>
  <c r="O2105" i="80"/>
  <c r="T2105" i="80"/>
  <c r="U2105" i="80"/>
  <c r="V2105" i="80" s="1" a="1"/>
  <c r="V2105" i="80" s="1"/>
  <c r="C2106" i="80"/>
  <c r="O2106" i="80"/>
  <c r="T2106" i="80"/>
  <c r="U2106" i="80"/>
  <c r="V2106" i="80" s="1" a="1"/>
  <c r="V2106" i="80" s="1"/>
  <c r="C2107" i="80"/>
  <c r="O2107" i="80"/>
  <c r="T2107" i="80"/>
  <c r="U2107" i="80"/>
  <c r="V2107" i="80" s="1" a="1"/>
  <c r="V2107" i="80" s="1"/>
  <c r="C2108" i="80"/>
  <c r="O2108" i="80"/>
  <c r="T2108" i="80"/>
  <c r="U2108" i="80"/>
  <c r="V2108" i="80" s="1" a="1"/>
  <c r="V2108" i="80" s="1"/>
  <c r="C2109" i="80"/>
  <c r="O2109" i="80"/>
  <c r="T2109" i="80"/>
  <c r="U2109" i="80"/>
  <c r="V2109" i="80" s="1" a="1"/>
  <c r="V2109" i="80" s="1"/>
  <c r="C2110" i="80"/>
  <c r="O2110" i="80"/>
  <c r="T2110" i="80"/>
  <c r="U2110" i="80"/>
  <c r="V2110" i="80" s="1" a="1"/>
  <c r="V2110" i="80" s="1"/>
  <c r="C2111" i="80"/>
  <c r="O2111" i="80"/>
  <c r="T2111" i="80"/>
  <c r="U2111" i="80"/>
  <c r="V2111" i="80" s="1" a="1"/>
  <c r="V2111" i="80" s="1"/>
  <c r="C2112" i="80"/>
  <c r="O2112" i="80"/>
  <c r="T2112" i="80"/>
  <c r="U2112" i="80"/>
  <c r="V2112" i="80" s="1" a="1"/>
  <c r="V2112" i="80" s="1"/>
  <c r="C2113" i="80"/>
  <c r="O2113" i="80"/>
  <c r="T2113" i="80"/>
  <c r="U2113" i="80"/>
  <c r="V2113" i="80" s="1" a="1"/>
  <c r="V2113" i="80" s="1"/>
  <c r="C2114" i="80"/>
  <c r="O2114" i="80"/>
  <c r="T2114" i="80"/>
  <c r="U2114" i="80"/>
  <c r="V2114" i="80" s="1" a="1"/>
  <c r="V2114" i="80" s="1"/>
  <c r="C2115" i="80"/>
  <c r="O2115" i="80"/>
  <c r="T2115" i="80"/>
  <c r="U2115" i="80"/>
  <c r="V2115" i="80" s="1" a="1"/>
  <c r="V2115" i="80" s="1"/>
  <c r="C2116" i="80"/>
  <c r="O2116" i="80"/>
  <c r="T2116" i="80"/>
  <c r="U2116" i="80"/>
  <c r="V2116" i="80" s="1" a="1"/>
  <c r="V2116" i="80" s="1"/>
  <c r="C2117" i="80"/>
  <c r="O2117" i="80"/>
  <c r="T2117" i="80"/>
  <c r="U2117" i="80"/>
  <c r="V2117" i="80" s="1" a="1"/>
  <c r="V2117" i="80" s="1"/>
  <c r="C2118" i="80"/>
  <c r="O2118" i="80"/>
  <c r="T2118" i="80"/>
  <c r="U2118" i="80"/>
  <c r="V2118" i="80" s="1" a="1"/>
  <c r="V2118" i="80" s="1"/>
  <c r="C2119" i="80"/>
  <c r="O2119" i="80"/>
  <c r="T2119" i="80"/>
  <c r="U2119" i="80"/>
  <c r="V2119" i="80" s="1" a="1"/>
  <c r="V2119" i="80" s="1"/>
  <c r="C2120" i="80"/>
  <c r="O2120" i="80"/>
  <c r="T2120" i="80"/>
  <c r="U2120" i="80"/>
  <c r="V2120" i="80" s="1" a="1"/>
  <c r="V2120" i="80" s="1"/>
  <c r="C2121" i="80"/>
  <c r="O2121" i="80"/>
  <c r="T2121" i="80"/>
  <c r="U2121" i="80"/>
  <c r="V2121" i="80" s="1" a="1"/>
  <c r="V2121" i="80" s="1"/>
  <c r="C2122" i="80"/>
  <c r="O2122" i="80"/>
  <c r="T2122" i="80"/>
  <c r="U2122" i="80"/>
  <c r="V2122" i="80" s="1" a="1"/>
  <c r="V2122" i="80" s="1"/>
  <c r="C2123" i="80"/>
  <c r="O2123" i="80"/>
  <c r="T2123" i="80"/>
  <c r="U2123" i="80"/>
  <c r="V2123" i="80" s="1" a="1"/>
  <c r="V2123" i="80" s="1"/>
  <c r="C2124" i="80"/>
  <c r="O2124" i="80"/>
  <c r="T2124" i="80"/>
  <c r="U2124" i="80"/>
  <c r="V2124" i="80" s="1" a="1"/>
  <c r="V2124" i="80" s="1"/>
  <c r="C2125" i="80"/>
  <c r="O2125" i="80"/>
  <c r="T2125" i="80"/>
  <c r="U2125" i="80"/>
  <c r="V2125" i="80" s="1" a="1"/>
  <c r="V2125" i="80" s="1"/>
  <c r="C2126" i="80"/>
  <c r="O2126" i="80"/>
  <c r="T2126" i="80"/>
  <c r="U2126" i="80"/>
  <c r="V2126" i="80" s="1" a="1"/>
  <c r="V2126" i="80" s="1"/>
  <c r="C2127" i="80"/>
  <c r="O2127" i="80"/>
  <c r="T2127" i="80"/>
  <c r="U2127" i="80"/>
  <c r="V2127" i="80" s="1" a="1"/>
  <c r="V2127" i="80" s="1"/>
  <c r="C2128" i="80"/>
  <c r="O2128" i="80"/>
  <c r="T2128" i="80"/>
  <c r="U2128" i="80"/>
  <c r="V2128" i="80" s="1" a="1"/>
  <c r="V2128" i="80" s="1"/>
  <c r="C2129" i="80"/>
  <c r="O2129" i="80"/>
  <c r="T2129" i="80"/>
  <c r="U2129" i="80"/>
  <c r="V2129" i="80" s="1" a="1"/>
  <c r="V2129" i="80" s="1"/>
  <c r="C2130" i="80"/>
  <c r="O2130" i="80"/>
  <c r="T2130" i="80"/>
  <c r="U2130" i="80"/>
  <c r="V2130" i="80" s="1" a="1"/>
  <c r="V2130" i="80" s="1"/>
  <c r="C2131" i="80"/>
  <c r="O2131" i="80"/>
  <c r="T2131" i="80"/>
  <c r="U2131" i="80"/>
  <c r="V2131" i="80" s="1" a="1"/>
  <c r="V2131" i="80" s="1"/>
  <c r="C2132" i="80"/>
  <c r="O2132" i="80"/>
  <c r="T2132" i="80"/>
  <c r="U2132" i="80"/>
  <c r="V2132" i="80" s="1" a="1"/>
  <c r="V2132" i="80" s="1"/>
  <c r="C2133" i="80"/>
  <c r="O2133" i="80"/>
  <c r="T2133" i="80"/>
  <c r="U2133" i="80"/>
  <c r="V2133" i="80" s="1" a="1"/>
  <c r="V2133" i="80" s="1"/>
  <c r="C2134" i="80"/>
  <c r="O2134" i="80"/>
  <c r="T2134" i="80"/>
  <c r="U2134" i="80"/>
  <c r="V2134" i="80" s="1" a="1"/>
  <c r="V2134" i="80" s="1"/>
  <c r="C2135" i="80"/>
  <c r="O2135" i="80"/>
  <c r="T2135" i="80"/>
  <c r="U2135" i="80"/>
  <c r="V2135" i="80" s="1" a="1"/>
  <c r="V2135" i="80" s="1"/>
  <c r="C2136" i="80"/>
  <c r="O2136" i="80"/>
  <c r="T2136" i="80"/>
  <c r="U2136" i="80"/>
  <c r="V2136" i="80" s="1" a="1"/>
  <c r="V2136" i="80" s="1"/>
  <c r="C2137" i="80"/>
  <c r="O2137" i="80"/>
  <c r="T2137" i="80"/>
  <c r="U2137" i="80"/>
  <c r="V2137" i="80" s="1" a="1"/>
  <c r="V2137" i="80" s="1"/>
  <c r="C2138" i="80"/>
  <c r="O2138" i="80"/>
  <c r="T2138" i="80"/>
  <c r="U2138" i="80"/>
  <c r="V2138" i="80" s="1" a="1"/>
  <c r="V2138" i="80" s="1"/>
  <c r="C2139" i="80"/>
  <c r="O2139" i="80"/>
  <c r="T2139" i="80"/>
  <c r="U2139" i="80"/>
  <c r="V2139" i="80" s="1" a="1"/>
  <c r="V2139" i="80" s="1"/>
  <c r="C2140" i="80"/>
  <c r="O2140" i="80"/>
  <c r="T2140" i="80"/>
  <c r="U2140" i="80"/>
  <c r="V2140" i="80" s="1" a="1"/>
  <c r="V2140" i="80" s="1"/>
  <c r="C2141" i="80"/>
  <c r="O2141" i="80"/>
  <c r="T2141" i="80"/>
  <c r="U2141" i="80"/>
  <c r="V2141" i="80" s="1" a="1"/>
  <c r="V2141" i="80" s="1"/>
  <c r="C2142" i="80"/>
  <c r="O2142" i="80"/>
  <c r="T2142" i="80"/>
  <c r="U2142" i="80"/>
  <c r="V2142" i="80" s="1" a="1"/>
  <c r="V2142" i="80" s="1"/>
  <c r="C2143" i="80"/>
  <c r="O2143" i="80"/>
  <c r="T2143" i="80"/>
  <c r="U2143" i="80"/>
  <c r="V2143" i="80" s="1" a="1"/>
  <c r="V2143" i="80" s="1"/>
  <c r="C2144" i="80"/>
  <c r="O2144" i="80"/>
  <c r="T2144" i="80"/>
  <c r="U2144" i="80"/>
  <c r="V2144" i="80" s="1" a="1"/>
  <c r="V2144" i="80" s="1"/>
  <c r="C2145" i="80"/>
  <c r="O2145" i="80"/>
  <c r="T2145" i="80"/>
  <c r="U2145" i="80"/>
  <c r="V2145" i="80" s="1" a="1"/>
  <c r="V2145" i="80" s="1"/>
  <c r="C2146" i="80"/>
  <c r="O2146" i="80"/>
  <c r="T2146" i="80"/>
  <c r="U2146" i="80"/>
  <c r="V2146" i="80" s="1" a="1"/>
  <c r="V2146" i="80" s="1"/>
  <c r="C2147" i="80"/>
  <c r="O2147" i="80"/>
  <c r="T2147" i="80"/>
  <c r="U2147" i="80"/>
  <c r="V2147" i="80" s="1" a="1"/>
  <c r="V2147" i="80" s="1"/>
  <c r="C2148" i="80"/>
  <c r="O2148" i="80"/>
  <c r="T2148" i="80"/>
  <c r="U2148" i="80"/>
  <c r="V2148" i="80" s="1" a="1"/>
  <c r="V2148" i="80" s="1"/>
  <c r="C2149" i="80"/>
  <c r="O2149" i="80"/>
  <c r="T2149" i="80"/>
  <c r="U2149" i="80"/>
  <c r="V2149" i="80" s="1" a="1"/>
  <c r="V2149" i="80" s="1"/>
  <c r="C2150" i="80"/>
  <c r="O2150" i="80"/>
  <c r="T2150" i="80"/>
  <c r="U2150" i="80"/>
  <c r="V2150" i="80" s="1" a="1"/>
  <c r="V2150" i="80" s="1"/>
  <c r="C2151" i="80"/>
  <c r="O2151" i="80"/>
  <c r="T2151" i="80"/>
  <c r="U2151" i="80"/>
  <c r="V2151" i="80" s="1" a="1"/>
  <c r="V2151" i="80" s="1"/>
  <c r="C2152" i="80"/>
  <c r="O2152" i="80"/>
  <c r="T2152" i="80"/>
  <c r="U2152" i="80"/>
  <c r="V2152" i="80" s="1" a="1"/>
  <c r="V2152" i="80" s="1"/>
  <c r="C2153" i="80"/>
  <c r="O2153" i="80"/>
  <c r="T2153" i="80"/>
  <c r="U2153" i="80"/>
  <c r="V2153" i="80" s="1" a="1"/>
  <c r="V2153" i="80" s="1"/>
  <c r="C2154" i="80"/>
  <c r="O2154" i="80"/>
  <c r="T2154" i="80"/>
  <c r="U2154" i="80"/>
  <c r="V2154" i="80" s="1" a="1"/>
  <c r="V2154" i="80" s="1"/>
  <c r="C2155" i="80"/>
  <c r="O2155" i="80"/>
  <c r="T2155" i="80"/>
  <c r="U2155" i="80"/>
  <c r="V2155" i="80" s="1" a="1"/>
  <c r="V2155" i="80" s="1"/>
  <c r="C2156" i="80"/>
  <c r="O2156" i="80"/>
  <c r="T2156" i="80"/>
  <c r="U2156" i="80"/>
  <c r="V2156" i="80" s="1" a="1"/>
  <c r="V2156" i="80" s="1"/>
  <c r="C2157" i="80"/>
  <c r="O2157" i="80"/>
  <c r="T2157" i="80"/>
  <c r="U2157" i="80"/>
  <c r="V2157" i="80" s="1" a="1"/>
  <c r="V2157" i="80" s="1"/>
  <c r="C2158" i="80"/>
  <c r="O2158" i="80"/>
  <c r="T2158" i="80"/>
  <c r="U2158" i="80"/>
  <c r="V2158" i="80" s="1" a="1"/>
  <c r="V2158" i="80" s="1"/>
  <c r="C2159" i="80"/>
  <c r="O2159" i="80"/>
  <c r="T2159" i="80"/>
  <c r="U2159" i="80"/>
  <c r="V2159" i="80" s="1" a="1"/>
  <c r="V2159" i="80" s="1"/>
  <c r="C2160" i="80"/>
  <c r="O2160" i="80"/>
  <c r="T2160" i="80"/>
  <c r="U2160" i="80"/>
  <c r="V2160" i="80" s="1" a="1"/>
  <c r="V2160" i="80" s="1"/>
  <c r="C2161" i="80"/>
  <c r="O2161" i="80"/>
  <c r="T2161" i="80"/>
  <c r="U2161" i="80"/>
  <c r="V2161" i="80" s="1" a="1"/>
  <c r="V2161" i="80" s="1"/>
  <c r="C2162" i="80"/>
  <c r="O2162" i="80"/>
  <c r="T2162" i="80"/>
  <c r="U2162" i="80"/>
  <c r="V2162" i="80" s="1" a="1"/>
  <c r="V2162" i="80" s="1"/>
  <c r="C2163" i="80"/>
  <c r="O2163" i="80"/>
  <c r="T2163" i="80"/>
  <c r="U2163" i="80"/>
  <c r="V2163" i="80" s="1" a="1"/>
  <c r="V2163" i="80" s="1"/>
  <c r="C2164" i="80"/>
  <c r="O2164" i="80"/>
  <c r="T2164" i="80"/>
  <c r="U2164" i="80"/>
  <c r="V2164" i="80" s="1" a="1"/>
  <c r="V2164" i="80" s="1"/>
  <c r="C2165" i="80"/>
  <c r="O2165" i="80"/>
  <c r="T2165" i="80"/>
  <c r="U2165" i="80"/>
  <c r="V2165" i="80" s="1" a="1"/>
  <c r="V2165" i="80" s="1"/>
  <c r="C2166" i="80"/>
  <c r="O2166" i="80"/>
  <c r="T2166" i="80"/>
  <c r="U2166" i="80"/>
  <c r="V2166" i="80" s="1" a="1"/>
  <c r="V2166" i="80" s="1"/>
  <c r="C2167" i="80"/>
  <c r="O2167" i="80"/>
  <c r="T2167" i="80"/>
  <c r="U2167" i="80"/>
  <c r="V2167" i="80" s="1" a="1"/>
  <c r="V2167" i="80" s="1"/>
  <c r="C2168" i="80"/>
  <c r="O2168" i="80"/>
  <c r="T2168" i="80"/>
  <c r="U2168" i="80"/>
  <c r="V2168" i="80" s="1" a="1"/>
  <c r="V2168" i="80" s="1"/>
  <c r="C2169" i="80"/>
  <c r="O2169" i="80"/>
  <c r="T2169" i="80"/>
  <c r="U2169" i="80"/>
  <c r="V2169" i="80" s="1" a="1"/>
  <c r="V2169" i="80" s="1"/>
  <c r="C2170" i="80"/>
  <c r="O2170" i="80"/>
  <c r="T2170" i="80"/>
  <c r="U2170" i="80"/>
  <c r="V2170" i="80" s="1" a="1"/>
  <c r="V2170" i="80" s="1"/>
  <c r="C2171" i="80"/>
  <c r="O2171" i="80"/>
  <c r="T2171" i="80"/>
  <c r="U2171" i="80"/>
  <c r="V2171" i="80" s="1" a="1"/>
  <c r="V2171" i="80" s="1"/>
  <c r="C2172" i="80"/>
  <c r="O2172" i="80"/>
  <c r="T2172" i="80"/>
  <c r="U2172" i="80"/>
  <c r="V2172" i="80" s="1" a="1"/>
  <c r="V2172" i="80" s="1"/>
  <c r="C2173" i="80"/>
  <c r="O2173" i="80"/>
  <c r="T2173" i="80"/>
  <c r="U2173" i="80"/>
  <c r="V2173" i="80" s="1" a="1"/>
  <c r="V2173" i="80" s="1"/>
  <c r="C2174" i="80"/>
  <c r="O2174" i="80"/>
  <c r="T2174" i="80"/>
  <c r="U2174" i="80"/>
  <c r="V2174" i="80" s="1" a="1"/>
  <c r="V2174" i="80" s="1"/>
  <c r="C2175" i="80"/>
  <c r="O2175" i="80"/>
  <c r="T2175" i="80"/>
  <c r="U2175" i="80"/>
  <c r="V2175" i="80" s="1" a="1"/>
  <c r="V2175" i="80" s="1"/>
  <c r="C2176" i="80"/>
  <c r="O2176" i="80"/>
  <c r="T2176" i="80"/>
  <c r="U2176" i="80"/>
  <c r="V2176" i="80" s="1" a="1"/>
  <c r="V2176" i="80" s="1"/>
  <c r="C2177" i="80"/>
  <c r="O2177" i="80"/>
  <c r="T2177" i="80"/>
  <c r="U2177" i="80"/>
  <c r="V2177" i="80" s="1" a="1"/>
  <c r="V2177" i="80" s="1"/>
  <c r="C2178" i="80"/>
  <c r="O2178" i="80"/>
  <c r="T2178" i="80"/>
  <c r="U2178" i="80"/>
  <c r="V2178" i="80" s="1" a="1"/>
  <c r="V2178" i="80" s="1"/>
  <c r="C2179" i="80"/>
  <c r="O2179" i="80"/>
  <c r="T2179" i="80"/>
  <c r="U2179" i="80"/>
  <c r="V2179" i="80" s="1" a="1"/>
  <c r="V2179" i="80" s="1"/>
  <c r="C2180" i="80"/>
  <c r="O2180" i="80"/>
  <c r="T2180" i="80"/>
  <c r="U2180" i="80"/>
  <c r="V2180" i="80" s="1" a="1"/>
  <c r="V2180" i="80" s="1"/>
  <c r="C2181" i="80"/>
  <c r="O2181" i="80"/>
  <c r="T2181" i="80"/>
  <c r="U2181" i="80"/>
  <c r="V2181" i="80" s="1" a="1"/>
  <c r="V2181" i="80" s="1"/>
  <c r="C2182" i="80"/>
  <c r="O2182" i="80"/>
  <c r="T2182" i="80"/>
  <c r="U2182" i="80"/>
  <c r="V2182" i="80" s="1" a="1"/>
  <c r="V2182" i="80" s="1"/>
  <c r="C2183" i="80"/>
  <c r="O2183" i="80"/>
  <c r="T2183" i="80"/>
  <c r="U2183" i="80"/>
  <c r="V2183" i="80" s="1" a="1"/>
  <c r="V2183" i="80" s="1"/>
  <c r="C2184" i="80"/>
  <c r="O2184" i="80"/>
  <c r="T2184" i="80"/>
  <c r="U2184" i="80"/>
  <c r="V2184" i="80" s="1" a="1"/>
  <c r="V2184" i="80" s="1"/>
  <c r="C2185" i="80"/>
  <c r="O2185" i="80"/>
  <c r="T2185" i="80"/>
  <c r="U2185" i="80"/>
  <c r="V2185" i="80" s="1" a="1"/>
  <c r="V2185" i="80" s="1"/>
  <c r="C2186" i="80"/>
  <c r="O2186" i="80"/>
  <c r="T2186" i="80"/>
  <c r="U2186" i="80"/>
  <c r="V2186" i="80" s="1" a="1"/>
  <c r="V2186" i="80" s="1"/>
  <c r="C2187" i="80"/>
  <c r="O2187" i="80"/>
  <c r="T2187" i="80"/>
  <c r="U2187" i="80"/>
  <c r="V2187" i="80" s="1" a="1"/>
  <c r="V2187" i="80" s="1"/>
  <c r="C2188" i="80"/>
  <c r="O2188" i="80"/>
  <c r="T2188" i="80"/>
  <c r="U2188" i="80"/>
  <c r="V2188" i="80" s="1" a="1"/>
  <c r="V2188" i="80" s="1"/>
  <c r="C2189" i="80"/>
  <c r="O2189" i="80"/>
  <c r="T2189" i="80"/>
  <c r="U2189" i="80"/>
  <c r="V2189" i="80" s="1" a="1"/>
  <c r="V2189" i="80" s="1"/>
  <c r="C2190" i="80"/>
  <c r="O2190" i="80"/>
  <c r="T2190" i="80"/>
  <c r="U2190" i="80"/>
  <c r="V2190" i="80" s="1" a="1"/>
  <c r="V2190" i="80" s="1"/>
  <c r="C2191" i="80"/>
  <c r="O2191" i="80"/>
  <c r="T2191" i="80"/>
  <c r="U2191" i="80"/>
  <c r="V2191" i="80" s="1" a="1"/>
  <c r="V2191" i="80" s="1"/>
  <c r="C2192" i="80"/>
  <c r="O2192" i="80"/>
  <c r="T2192" i="80"/>
  <c r="U2192" i="80"/>
  <c r="V2192" i="80" s="1" a="1"/>
  <c r="V2192" i="80" s="1"/>
  <c r="C2193" i="80"/>
  <c r="O2193" i="80"/>
  <c r="T2193" i="80"/>
  <c r="U2193" i="80"/>
  <c r="V2193" i="80" s="1" a="1"/>
  <c r="V2193" i="80" s="1"/>
  <c r="C2194" i="80"/>
  <c r="O2194" i="80"/>
  <c r="T2194" i="80"/>
  <c r="U2194" i="80"/>
  <c r="V2194" i="80" s="1" a="1"/>
  <c r="V2194" i="80" s="1"/>
  <c r="C2195" i="80"/>
  <c r="O2195" i="80"/>
  <c r="T2195" i="80"/>
  <c r="U2195" i="80"/>
  <c r="V2195" i="80" s="1" a="1"/>
  <c r="V2195" i="80" s="1"/>
  <c r="C2196" i="80"/>
  <c r="O2196" i="80"/>
  <c r="T2196" i="80"/>
  <c r="U2196" i="80"/>
  <c r="V2196" i="80" s="1" a="1"/>
  <c r="V2196" i="80" s="1"/>
  <c r="C2197" i="80"/>
  <c r="O2197" i="80"/>
  <c r="T2197" i="80"/>
  <c r="U2197" i="80"/>
  <c r="V2197" i="80" s="1" a="1"/>
  <c r="V2197" i="80" s="1"/>
  <c r="C2198" i="80"/>
  <c r="O2198" i="80"/>
  <c r="T2198" i="80"/>
  <c r="U2198" i="80"/>
  <c r="V2198" i="80" s="1" a="1"/>
  <c r="V2198" i="80" s="1"/>
  <c r="C2199" i="80"/>
  <c r="O2199" i="80"/>
  <c r="T2199" i="80"/>
  <c r="U2199" i="80"/>
  <c r="V2199" i="80" s="1" a="1"/>
  <c r="V2199" i="80" s="1"/>
  <c r="C2200" i="80"/>
  <c r="O2200" i="80"/>
  <c r="T2200" i="80"/>
  <c r="U2200" i="80"/>
  <c r="V2200" i="80" s="1" a="1"/>
  <c r="V2200" i="80" s="1"/>
  <c r="C2201" i="80"/>
  <c r="O2201" i="80"/>
  <c r="T2201" i="80"/>
  <c r="U2201" i="80"/>
  <c r="V2201" i="80" s="1" a="1"/>
  <c r="V2201" i="80" s="1"/>
  <c r="C2202" i="80"/>
  <c r="O2202" i="80"/>
  <c r="T2202" i="80"/>
  <c r="U2202" i="80"/>
  <c r="V2202" i="80" s="1" a="1"/>
  <c r="V2202" i="80" s="1"/>
  <c r="C2203" i="80"/>
  <c r="O2203" i="80"/>
  <c r="T2203" i="80"/>
  <c r="U2203" i="80"/>
  <c r="V2203" i="80" s="1" a="1"/>
  <c r="V2203" i="80" s="1"/>
  <c r="C2204" i="80"/>
  <c r="O2204" i="80"/>
  <c r="T2204" i="80"/>
  <c r="U2204" i="80"/>
  <c r="V2204" i="80" s="1" a="1"/>
  <c r="V2204" i="80" s="1"/>
  <c r="C2205" i="80"/>
  <c r="O2205" i="80"/>
  <c r="T2205" i="80"/>
  <c r="U2205" i="80"/>
  <c r="V2205" i="80" s="1" a="1"/>
  <c r="V2205" i="80" s="1"/>
  <c r="C2206" i="80"/>
  <c r="O2206" i="80"/>
  <c r="T2206" i="80"/>
  <c r="U2206" i="80"/>
  <c r="V2206" i="80" s="1" a="1"/>
  <c r="V2206" i="80" s="1"/>
  <c r="C2207" i="80"/>
  <c r="O2207" i="80"/>
  <c r="T2207" i="80"/>
  <c r="U2207" i="80"/>
  <c r="V2207" i="80" s="1" a="1"/>
  <c r="V2207" i="80" s="1"/>
  <c r="C2208" i="80"/>
  <c r="O2208" i="80"/>
  <c r="T2208" i="80"/>
  <c r="U2208" i="80"/>
  <c r="V2208" i="80" s="1" a="1"/>
  <c r="V2208" i="80" s="1"/>
  <c r="C2209" i="80"/>
  <c r="O2209" i="80"/>
  <c r="T2209" i="80"/>
  <c r="U2209" i="80"/>
  <c r="V2209" i="80" s="1" a="1"/>
  <c r="V2209" i="80" s="1"/>
  <c r="C2210" i="80"/>
  <c r="O2210" i="80"/>
  <c r="T2210" i="80"/>
  <c r="U2210" i="80"/>
  <c r="V2210" i="80" s="1" a="1"/>
  <c r="V2210" i="80" s="1"/>
  <c r="C2211" i="80"/>
  <c r="O2211" i="80"/>
  <c r="T2211" i="80"/>
  <c r="U2211" i="80"/>
  <c r="V2211" i="80" s="1" a="1"/>
  <c r="V2211" i="80" s="1"/>
  <c r="C2212" i="80"/>
  <c r="O2212" i="80"/>
  <c r="T2212" i="80"/>
  <c r="U2212" i="80"/>
  <c r="V2212" i="80" s="1" a="1"/>
  <c r="V2212" i="80" s="1"/>
  <c r="C2213" i="80"/>
  <c r="O2213" i="80"/>
  <c r="T2213" i="80"/>
  <c r="U2213" i="80"/>
  <c r="V2213" i="80" s="1" a="1"/>
  <c r="V2213" i="80" s="1"/>
  <c r="C2214" i="80"/>
  <c r="O2214" i="80"/>
  <c r="T2214" i="80"/>
  <c r="U2214" i="80"/>
  <c r="V2214" i="80" s="1" a="1"/>
  <c r="V2214" i="80" s="1"/>
  <c r="C2215" i="80"/>
  <c r="O2215" i="80"/>
  <c r="T2215" i="80"/>
  <c r="U2215" i="80"/>
  <c r="V2215" i="80" s="1" a="1"/>
  <c r="V2215" i="80" s="1"/>
  <c r="C2216" i="80"/>
  <c r="O2216" i="80"/>
  <c r="T2216" i="80"/>
  <c r="U2216" i="80"/>
  <c r="V2216" i="80" s="1" a="1"/>
  <c r="V2216" i="80" s="1"/>
  <c r="C2217" i="80"/>
  <c r="O2217" i="80"/>
  <c r="T2217" i="80"/>
  <c r="U2217" i="80"/>
  <c r="V2217" i="80" s="1" a="1"/>
  <c r="V2217" i="80" s="1"/>
  <c r="C2218" i="80"/>
  <c r="O2218" i="80"/>
  <c r="T2218" i="80"/>
  <c r="U2218" i="80"/>
  <c r="V2218" i="80" s="1" a="1"/>
  <c r="V2218" i="80" s="1"/>
  <c r="C2219" i="80"/>
  <c r="O2219" i="80"/>
  <c r="T2219" i="80"/>
  <c r="U2219" i="80"/>
  <c r="V2219" i="80" s="1" a="1"/>
  <c r="V2219" i="80" s="1"/>
  <c r="C2220" i="80"/>
  <c r="O2220" i="80"/>
  <c r="T2220" i="80"/>
  <c r="U2220" i="80"/>
  <c r="V2220" i="80" s="1" a="1"/>
  <c r="V2220" i="80" s="1"/>
  <c r="C2221" i="80"/>
  <c r="O2221" i="80"/>
  <c r="T2221" i="80"/>
  <c r="U2221" i="80"/>
  <c r="V2221" i="80" s="1" a="1"/>
  <c r="V2221" i="80" s="1"/>
  <c r="C2222" i="80"/>
  <c r="O2222" i="80"/>
  <c r="T2222" i="80"/>
  <c r="U2222" i="80"/>
  <c r="V2222" i="80" s="1" a="1"/>
  <c r="V2222" i="80" s="1"/>
  <c r="C2223" i="80"/>
  <c r="O2223" i="80"/>
  <c r="T2223" i="80"/>
  <c r="U2223" i="80"/>
  <c r="V2223" i="80" s="1" a="1"/>
  <c r="V2223" i="80" s="1"/>
  <c r="C2224" i="80"/>
  <c r="O2224" i="80"/>
  <c r="T2224" i="80"/>
  <c r="U2224" i="80"/>
  <c r="V2224" i="80" s="1" a="1"/>
  <c r="V2224" i="80" s="1"/>
  <c r="C2225" i="80"/>
  <c r="O2225" i="80"/>
  <c r="T2225" i="80"/>
  <c r="U2225" i="80"/>
  <c r="V2225" i="80" s="1" a="1"/>
  <c r="V2225" i="80" s="1"/>
  <c r="C2226" i="80"/>
  <c r="O2226" i="80"/>
  <c r="T2226" i="80"/>
  <c r="U2226" i="80"/>
  <c r="V2226" i="80" s="1" a="1"/>
  <c r="V2226" i="80" s="1"/>
  <c r="C2227" i="80"/>
  <c r="O2227" i="80"/>
  <c r="T2227" i="80"/>
  <c r="U2227" i="80"/>
  <c r="V2227" i="80" s="1" a="1"/>
  <c r="V2227" i="80" s="1"/>
  <c r="C2228" i="80"/>
  <c r="O2228" i="80"/>
  <c r="T2228" i="80"/>
  <c r="U2228" i="80"/>
  <c r="V2228" i="80" s="1" a="1"/>
  <c r="V2228" i="80" s="1"/>
  <c r="C2229" i="80"/>
  <c r="O2229" i="80"/>
  <c r="T2229" i="80"/>
  <c r="U2229" i="80"/>
  <c r="V2229" i="80" s="1" a="1"/>
  <c r="V2229" i="80" s="1"/>
  <c r="C2230" i="80"/>
  <c r="O2230" i="80"/>
  <c r="T2230" i="80"/>
  <c r="U2230" i="80"/>
  <c r="V2230" i="80" s="1" a="1"/>
  <c r="V2230" i="80" s="1"/>
  <c r="C2231" i="80"/>
  <c r="O2231" i="80"/>
  <c r="T2231" i="80"/>
  <c r="U2231" i="80"/>
  <c r="V2231" i="80" s="1" a="1"/>
  <c r="V2231" i="80" s="1"/>
  <c r="C2232" i="80"/>
  <c r="O2232" i="80"/>
  <c r="T2232" i="80"/>
  <c r="U2232" i="80"/>
  <c r="V2232" i="80" s="1" a="1"/>
  <c r="V2232" i="80" s="1"/>
  <c r="C2233" i="80"/>
  <c r="O2233" i="80"/>
  <c r="T2233" i="80"/>
  <c r="U2233" i="80"/>
  <c r="V2233" i="80" s="1" a="1"/>
  <c r="V2233" i="80" s="1"/>
  <c r="C2234" i="80"/>
  <c r="O2234" i="80"/>
  <c r="T2234" i="80"/>
  <c r="U2234" i="80"/>
  <c r="V2234" i="80" s="1" a="1"/>
  <c r="V2234" i="80" s="1"/>
  <c r="C2235" i="80"/>
  <c r="O2235" i="80"/>
  <c r="T2235" i="80"/>
  <c r="U2235" i="80"/>
  <c r="V2235" i="80" s="1" a="1"/>
  <c r="V2235" i="80" s="1"/>
  <c r="C2236" i="80"/>
  <c r="O2236" i="80"/>
  <c r="T2236" i="80"/>
  <c r="U2236" i="80"/>
  <c r="V2236" i="80" s="1" a="1"/>
  <c r="V2236" i="80" s="1"/>
  <c r="C2237" i="80"/>
  <c r="O2237" i="80"/>
  <c r="T2237" i="80"/>
  <c r="U2237" i="80"/>
  <c r="V2237" i="80" s="1" a="1"/>
  <c r="V2237" i="80" s="1"/>
  <c r="C2238" i="80"/>
  <c r="O2238" i="80"/>
  <c r="T2238" i="80"/>
  <c r="U2238" i="80"/>
  <c r="V2238" i="80" s="1" a="1"/>
  <c r="V2238" i="80" s="1"/>
  <c r="C2239" i="80"/>
  <c r="O2239" i="80"/>
  <c r="T2239" i="80"/>
  <c r="U2239" i="80"/>
  <c r="V2239" i="80" s="1" a="1"/>
  <c r="V2239" i="80" s="1"/>
  <c r="C2240" i="80"/>
  <c r="O2240" i="80"/>
  <c r="T2240" i="80"/>
  <c r="U2240" i="80"/>
  <c r="V2240" i="80" s="1" a="1"/>
  <c r="V2240" i="80" s="1"/>
  <c r="C2241" i="80"/>
  <c r="O2241" i="80"/>
  <c r="T2241" i="80"/>
  <c r="U2241" i="80"/>
  <c r="V2241" i="80" s="1" a="1"/>
  <c r="V2241" i="80" s="1"/>
  <c r="C2242" i="80"/>
  <c r="O2242" i="80"/>
  <c r="T2242" i="80"/>
  <c r="U2242" i="80"/>
  <c r="V2242" i="80" s="1" a="1"/>
  <c r="V2242" i="80" s="1"/>
  <c r="C2243" i="80"/>
  <c r="O2243" i="80"/>
  <c r="T2243" i="80"/>
  <c r="U2243" i="80"/>
  <c r="V2243" i="80" s="1" a="1"/>
  <c r="V2243" i="80" s="1"/>
  <c r="C2244" i="80"/>
  <c r="O2244" i="80"/>
  <c r="T2244" i="80"/>
  <c r="U2244" i="80"/>
  <c r="V2244" i="80" s="1" a="1"/>
  <c r="V2244" i="80" s="1"/>
  <c r="C2245" i="80"/>
  <c r="O2245" i="80"/>
  <c r="T2245" i="80"/>
  <c r="U2245" i="80"/>
  <c r="V2245" i="80" s="1" a="1"/>
  <c r="V2245" i="80" s="1"/>
  <c r="C2246" i="80"/>
  <c r="O2246" i="80"/>
  <c r="T2246" i="80"/>
  <c r="U2246" i="80"/>
  <c r="V2246" i="80" s="1" a="1"/>
  <c r="V2246" i="80" s="1"/>
  <c r="C2247" i="80"/>
  <c r="O2247" i="80"/>
  <c r="T2247" i="80"/>
  <c r="U2247" i="80"/>
  <c r="V2247" i="80" s="1" a="1"/>
  <c r="V2247" i="80" s="1"/>
  <c r="C2248" i="80"/>
  <c r="O2248" i="80"/>
  <c r="T2248" i="80"/>
  <c r="U2248" i="80"/>
  <c r="V2248" i="80" s="1" a="1"/>
  <c r="V2248" i="80" s="1"/>
  <c r="C2249" i="80"/>
  <c r="O2249" i="80"/>
  <c r="T2249" i="80"/>
  <c r="U2249" i="80"/>
  <c r="V2249" i="80" s="1" a="1"/>
  <c r="V2249" i="80" s="1"/>
  <c r="C2250" i="80"/>
  <c r="O2250" i="80"/>
  <c r="T2250" i="80"/>
  <c r="U2250" i="80"/>
  <c r="V2250" i="80" s="1" a="1"/>
  <c r="V2250" i="80" s="1"/>
  <c r="C2251" i="80"/>
  <c r="O2251" i="80"/>
  <c r="T2251" i="80"/>
  <c r="U2251" i="80"/>
  <c r="V2251" i="80" s="1" a="1"/>
  <c r="V2251" i="80" s="1"/>
  <c r="C2252" i="80"/>
  <c r="O2252" i="80"/>
  <c r="T2252" i="80"/>
  <c r="U2252" i="80"/>
  <c r="V2252" i="80" s="1" a="1"/>
  <c r="V2252" i="80" s="1"/>
  <c r="C2253" i="80"/>
  <c r="O2253" i="80"/>
  <c r="T2253" i="80"/>
  <c r="U2253" i="80"/>
  <c r="V2253" i="80" s="1" a="1"/>
  <c r="V2253" i="80" s="1"/>
  <c r="C2254" i="80"/>
  <c r="O2254" i="80"/>
  <c r="T2254" i="80"/>
  <c r="U2254" i="80"/>
  <c r="V2254" i="80" s="1" a="1"/>
  <c r="V2254" i="80" s="1"/>
  <c r="C2255" i="80"/>
  <c r="O2255" i="80"/>
  <c r="T2255" i="80"/>
  <c r="U2255" i="80"/>
  <c r="V2255" i="80" s="1" a="1"/>
  <c r="V2255" i="80" s="1"/>
  <c r="C2256" i="80"/>
  <c r="O2256" i="80"/>
  <c r="T2256" i="80"/>
  <c r="U2256" i="80"/>
  <c r="V2256" i="80" s="1" a="1"/>
  <c r="V2256" i="80" s="1"/>
  <c r="C2257" i="80"/>
  <c r="O2257" i="80"/>
  <c r="T2257" i="80"/>
  <c r="U2257" i="80"/>
  <c r="V2257" i="80" s="1" a="1"/>
  <c r="V2257" i="80" s="1"/>
  <c r="C2258" i="80"/>
  <c r="O2258" i="80"/>
  <c r="T2258" i="80"/>
  <c r="U2258" i="80"/>
  <c r="V2258" i="80" s="1" a="1"/>
  <c r="V2258" i="80" s="1"/>
  <c r="C2259" i="80"/>
  <c r="O2259" i="80"/>
  <c r="T2259" i="80"/>
  <c r="U2259" i="80"/>
  <c r="V2259" i="80" s="1" a="1"/>
  <c r="V2259" i="80" s="1"/>
  <c r="C2260" i="80"/>
  <c r="O2260" i="80"/>
  <c r="T2260" i="80"/>
  <c r="U2260" i="80"/>
  <c r="V2260" i="80" s="1" a="1"/>
  <c r="V2260" i="80" s="1"/>
  <c r="C2261" i="80"/>
  <c r="O2261" i="80"/>
  <c r="T2261" i="80"/>
  <c r="U2261" i="80"/>
  <c r="V2261" i="80" s="1" a="1"/>
  <c r="V2261" i="80" s="1"/>
  <c r="C2262" i="80"/>
  <c r="O2262" i="80"/>
  <c r="T2262" i="80"/>
  <c r="U2262" i="80"/>
  <c r="V2262" i="80" s="1" a="1"/>
  <c r="V2262" i="80" s="1"/>
  <c r="C2263" i="80"/>
  <c r="O2263" i="80"/>
  <c r="T2263" i="80"/>
  <c r="U2263" i="80"/>
  <c r="V2263" i="80" s="1" a="1"/>
  <c r="V2263" i="80" s="1"/>
  <c r="C2264" i="80"/>
  <c r="O2264" i="80"/>
  <c r="T2264" i="80"/>
  <c r="U2264" i="80"/>
  <c r="V2264" i="80" s="1" a="1"/>
  <c r="V2264" i="80" s="1"/>
  <c r="C2265" i="80"/>
  <c r="O2265" i="80"/>
  <c r="T2265" i="80"/>
  <c r="U2265" i="80"/>
  <c r="V2265" i="80" s="1" a="1"/>
  <c r="V2265" i="80" s="1"/>
  <c r="C2266" i="80"/>
  <c r="O2266" i="80"/>
  <c r="T2266" i="80"/>
  <c r="U2266" i="80"/>
  <c r="V2266" i="80" s="1" a="1"/>
  <c r="V2266" i="80" s="1"/>
  <c r="C2267" i="80"/>
  <c r="O2267" i="80"/>
  <c r="T2267" i="80"/>
  <c r="U2267" i="80"/>
  <c r="V2267" i="80" s="1" a="1"/>
  <c r="V2267" i="80" s="1"/>
  <c r="C2268" i="80"/>
  <c r="O2268" i="80"/>
  <c r="T2268" i="80"/>
  <c r="U2268" i="80"/>
  <c r="V2268" i="80" s="1" a="1"/>
  <c r="V2268" i="80" s="1"/>
  <c r="C2269" i="80"/>
  <c r="O2269" i="80"/>
  <c r="T2269" i="80"/>
  <c r="U2269" i="80"/>
  <c r="V2269" i="80" s="1" a="1"/>
  <c r="V2269" i="80" s="1"/>
  <c r="C2270" i="80"/>
  <c r="O2270" i="80"/>
  <c r="T2270" i="80"/>
  <c r="U2270" i="80"/>
  <c r="V2270" i="80" s="1" a="1"/>
  <c r="V2270" i="80" s="1"/>
  <c r="C2271" i="80"/>
  <c r="O2271" i="80"/>
  <c r="T2271" i="80"/>
  <c r="U2271" i="80"/>
  <c r="V2271" i="80" s="1" a="1"/>
  <c r="V2271" i="80" s="1"/>
  <c r="C2272" i="80"/>
  <c r="O2272" i="80"/>
  <c r="T2272" i="80"/>
  <c r="U2272" i="80"/>
  <c r="V2272" i="80" s="1" a="1"/>
  <c r="V2272" i="80" s="1"/>
  <c r="C2273" i="80"/>
  <c r="O2273" i="80"/>
  <c r="T2273" i="80"/>
  <c r="U2273" i="80"/>
  <c r="V2273" i="80" s="1" a="1"/>
  <c r="V2273" i="80" s="1"/>
  <c r="C2274" i="80"/>
  <c r="O2274" i="80"/>
  <c r="T2274" i="80"/>
  <c r="U2274" i="80"/>
  <c r="V2274" i="80" s="1" a="1"/>
  <c r="V2274" i="80" s="1"/>
  <c r="C2275" i="80"/>
  <c r="O2275" i="80"/>
  <c r="T2275" i="80"/>
  <c r="U2275" i="80"/>
  <c r="V2275" i="80" s="1" a="1"/>
  <c r="V2275" i="80" s="1"/>
  <c r="C2276" i="80"/>
  <c r="O2276" i="80"/>
  <c r="T2276" i="80"/>
  <c r="U2276" i="80"/>
  <c r="V2276" i="80" s="1" a="1"/>
  <c r="V2276" i="80" s="1"/>
  <c r="C2277" i="80"/>
  <c r="O2277" i="80"/>
  <c r="T2277" i="80"/>
  <c r="U2277" i="80"/>
  <c r="V2277" i="80" s="1" a="1"/>
  <c r="V2277" i="80" s="1"/>
  <c r="C2278" i="80"/>
  <c r="O2278" i="80"/>
  <c r="T2278" i="80"/>
  <c r="U2278" i="80"/>
  <c r="V2278" i="80" s="1" a="1"/>
  <c r="V2278" i="80" s="1"/>
  <c r="C2279" i="80"/>
  <c r="O2279" i="80"/>
  <c r="T2279" i="80"/>
  <c r="U2279" i="80"/>
  <c r="V2279" i="80" s="1" a="1"/>
  <c r="V2279" i="80" s="1"/>
  <c r="C2280" i="80"/>
  <c r="O2280" i="80"/>
  <c r="T2280" i="80"/>
  <c r="U2280" i="80"/>
  <c r="V2280" i="80" s="1" a="1"/>
  <c r="V2280" i="80" s="1"/>
  <c r="C2281" i="80"/>
  <c r="O2281" i="80"/>
  <c r="T2281" i="80"/>
  <c r="U2281" i="80"/>
  <c r="V2281" i="80" s="1" a="1"/>
  <c r="V2281" i="80" s="1"/>
  <c r="C2282" i="80"/>
  <c r="O2282" i="80"/>
  <c r="T2282" i="80"/>
  <c r="U2282" i="80"/>
  <c r="V2282" i="80" s="1" a="1"/>
  <c r="V2282" i="80" s="1"/>
  <c r="C2283" i="80"/>
  <c r="O2283" i="80"/>
  <c r="T2283" i="80"/>
  <c r="U2283" i="80"/>
  <c r="V2283" i="80" s="1" a="1"/>
  <c r="V2283" i="80" s="1"/>
  <c r="C2284" i="80"/>
  <c r="O2284" i="80"/>
  <c r="T2284" i="80"/>
  <c r="U2284" i="80"/>
  <c r="V2284" i="80" s="1" a="1"/>
  <c r="V2284" i="80" s="1"/>
  <c r="C2285" i="80"/>
  <c r="O2285" i="80"/>
  <c r="T2285" i="80"/>
  <c r="U2285" i="80"/>
  <c r="V2285" i="80" s="1" a="1"/>
  <c r="V2285" i="80" s="1"/>
  <c r="C2286" i="80"/>
  <c r="O2286" i="80"/>
  <c r="T2286" i="80"/>
  <c r="U2286" i="80"/>
  <c r="V2286" i="80" s="1" a="1"/>
  <c r="V2286" i="80" s="1"/>
  <c r="C2287" i="80"/>
  <c r="O2287" i="80"/>
  <c r="T2287" i="80"/>
  <c r="U2287" i="80"/>
  <c r="V2287" i="80" s="1" a="1"/>
  <c r="V2287" i="80" s="1"/>
  <c r="C2288" i="80"/>
  <c r="O2288" i="80"/>
  <c r="T2288" i="80"/>
  <c r="U2288" i="80"/>
  <c r="V2288" i="80" s="1" a="1"/>
  <c r="V2288" i="80" s="1"/>
  <c r="C2289" i="80"/>
  <c r="O2289" i="80"/>
  <c r="T2289" i="80"/>
  <c r="U2289" i="80"/>
  <c r="V2289" i="80" s="1" a="1"/>
  <c r="V2289" i="80" s="1"/>
  <c r="C2290" i="80"/>
  <c r="O2290" i="80"/>
  <c r="T2290" i="80"/>
  <c r="U2290" i="80"/>
  <c r="V2290" i="80" s="1" a="1"/>
  <c r="V2290" i="80" s="1"/>
  <c r="C2291" i="80"/>
  <c r="O2291" i="80"/>
  <c r="T2291" i="80"/>
  <c r="U2291" i="80"/>
  <c r="V2291" i="80" s="1" a="1"/>
  <c r="V2291" i="80" s="1"/>
  <c r="C2292" i="80"/>
  <c r="O2292" i="80"/>
  <c r="T2292" i="80"/>
  <c r="U2292" i="80"/>
  <c r="V2292" i="80" s="1" a="1"/>
  <c r="V2292" i="80" s="1"/>
  <c r="C2293" i="80"/>
  <c r="O2293" i="80"/>
  <c r="T2293" i="80"/>
  <c r="U2293" i="80"/>
  <c r="V2293" i="80" s="1" a="1"/>
  <c r="V2293" i="80" s="1"/>
  <c r="C2294" i="80"/>
  <c r="O2294" i="80"/>
  <c r="T2294" i="80"/>
  <c r="U2294" i="80"/>
  <c r="V2294" i="80" s="1" a="1"/>
  <c r="V2294" i="80" s="1"/>
  <c r="C2295" i="80"/>
  <c r="O2295" i="80"/>
  <c r="T2295" i="80"/>
  <c r="U2295" i="80"/>
  <c r="V2295" i="80" s="1" a="1"/>
  <c r="V2295" i="80" s="1"/>
  <c r="C2296" i="80"/>
  <c r="O2296" i="80"/>
  <c r="T2296" i="80"/>
  <c r="U2296" i="80"/>
  <c r="V2296" i="80" s="1" a="1"/>
  <c r="V2296" i="80" s="1"/>
  <c r="C2297" i="80"/>
  <c r="O2297" i="80"/>
  <c r="T2297" i="80"/>
  <c r="U2297" i="80"/>
  <c r="V2297" i="80" s="1" a="1"/>
  <c r="V2297" i="80" s="1"/>
  <c r="C2298" i="80"/>
  <c r="O2298" i="80"/>
  <c r="T2298" i="80"/>
  <c r="U2298" i="80"/>
  <c r="V2298" i="80" s="1" a="1"/>
  <c r="V2298" i="80" s="1"/>
  <c r="C2299" i="80"/>
  <c r="O2299" i="80"/>
  <c r="T2299" i="80"/>
  <c r="U2299" i="80"/>
  <c r="V2299" i="80" s="1" a="1"/>
  <c r="V2299" i="80" s="1"/>
  <c r="C2300" i="80"/>
  <c r="O2300" i="80"/>
  <c r="T2300" i="80"/>
  <c r="U2300" i="80"/>
  <c r="V2300" i="80" s="1" a="1"/>
  <c r="V2300" i="80" s="1"/>
  <c r="C2301" i="80"/>
  <c r="O2301" i="80"/>
  <c r="T2301" i="80"/>
  <c r="U2301" i="80"/>
  <c r="V2301" i="80" s="1" a="1"/>
  <c r="V2301" i="80" s="1"/>
  <c r="C2302" i="80"/>
  <c r="O2302" i="80"/>
  <c r="T2302" i="80"/>
  <c r="U2302" i="80"/>
  <c r="V2302" i="80" s="1" a="1"/>
  <c r="V2302" i="80" s="1"/>
  <c r="C2303" i="80"/>
  <c r="O2303" i="80"/>
  <c r="T2303" i="80"/>
  <c r="U2303" i="80"/>
  <c r="V2303" i="80" s="1" a="1"/>
  <c r="V2303" i="80" s="1"/>
  <c r="C2304" i="80"/>
  <c r="O2304" i="80"/>
  <c r="T2304" i="80"/>
  <c r="U2304" i="80"/>
  <c r="V2304" i="80" s="1" a="1"/>
  <c r="V2304" i="80" s="1"/>
  <c r="C2305" i="80"/>
  <c r="O2305" i="80"/>
  <c r="T2305" i="80"/>
  <c r="U2305" i="80"/>
  <c r="V2305" i="80" s="1" a="1"/>
  <c r="V2305" i="80" s="1"/>
  <c r="C2306" i="80"/>
  <c r="O2306" i="80"/>
  <c r="T2306" i="80"/>
  <c r="U2306" i="80"/>
  <c r="V2306" i="80" s="1" a="1"/>
  <c r="V2306" i="80" s="1"/>
  <c r="C2307" i="80"/>
  <c r="O2307" i="80"/>
  <c r="T2307" i="80"/>
  <c r="U2307" i="80"/>
  <c r="V2307" i="80" s="1" a="1"/>
  <c r="V2307" i="80" s="1"/>
  <c r="C2308" i="80"/>
  <c r="O2308" i="80"/>
  <c r="T2308" i="80"/>
  <c r="U2308" i="80"/>
  <c r="V2308" i="80" s="1" a="1"/>
  <c r="V2308" i="80" s="1"/>
  <c r="C2309" i="80"/>
  <c r="O2309" i="80"/>
  <c r="T2309" i="80"/>
  <c r="U2309" i="80"/>
  <c r="V2309" i="80" s="1" a="1"/>
  <c r="V2309" i="80" s="1"/>
  <c r="C2310" i="80"/>
  <c r="O2310" i="80"/>
  <c r="T2310" i="80"/>
  <c r="U2310" i="80"/>
  <c r="V2310" i="80" s="1" a="1"/>
  <c r="V2310" i="80" s="1"/>
  <c r="C2311" i="80"/>
  <c r="O2311" i="80"/>
  <c r="T2311" i="80"/>
  <c r="U2311" i="80"/>
  <c r="V2311" i="80" s="1" a="1"/>
  <c r="V2311" i="80" s="1"/>
  <c r="C2312" i="80"/>
  <c r="O2312" i="80"/>
  <c r="T2312" i="80"/>
  <c r="U2312" i="80"/>
  <c r="V2312" i="80" s="1" a="1"/>
  <c r="V2312" i="80" s="1"/>
  <c r="C2313" i="80"/>
  <c r="O2313" i="80"/>
  <c r="T2313" i="80"/>
  <c r="U2313" i="80"/>
  <c r="V2313" i="80" s="1" a="1"/>
  <c r="V2313" i="80" s="1"/>
  <c r="C2314" i="80"/>
  <c r="O2314" i="80"/>
  <c r="T2314" i="80"/>
  <c r="U2314" i="80"/>
  <c r="V2314" i="80" s="1" a="1"/>
  <c r="V2314" i="80" s="1"/>
  <c r="C2315" i="80"/>
  <c r="O2315" i="80"/>
  <c r="T2315" i="80"/>
  <c r="U2315" i="80"/>
  <c r="V2315" i="80" s="1" a="1"/>
  <c r="V2315" i="80" s="1"/>
  <c r="C2316" i="80"/>
  <c r="O2316" i="80"/>
  <c r="T2316" i="80"/>
  <c r="U2316" i="80"/>
  <c r="V2316" i="80" s="1" a="1"/>
  <c r="V2316" i="80" s="1"/>
  <c r="C2317" i="80"/>
  <c r="O2317" i="80"/>
  <c r="T2317" i="80"/>
  <c r="U2317" i="80"/>
  <c r="V2317" i="80" s="1" a="1"/>
  <c r="V2317" i="80" s="1"/>
  <c r="C2318" i="80"/>
  <c r="O2318" i="80"/>
  <c r="T2318" i="80"/>
  <c r="U2318" i="80"/>
  <c r="V2318" i="80" s="1" a="1"/>
  <c r="V2318" i="80" s="1"/>
  <c r="C2319" i="80"/>
  <c r="O2319" i="80"/>
  <c r="T2319" i="80"/>
  <c r="U2319" i="80"/>
  <c r="V2319" i="80" s="1" a="1"/>
  <c r="V2319" i="80" s="1"/>
  <c r="C2320" i="80"/>
  <c r="O2320" i="80"/>
  <c r="T2320" i="80"/>
  <c r="U2320" i="80"/>
  <c r="V2320" i="80" s="1" a="1"/>
  <c r="V2320" i="80" s="1"/>
  <c r="C2321" i="80"/>
  <c r="O2321" i="80"/>
  <c r="T2321" i="80"/>
  <c r="U2321" i="80"/>
  <c r="V2321" i="80" s="1" a="1"/>
  <c r="V2321" i="80" s="1"/>
  <c r="C2322" i="80"/>
  <c r="O2322" i="80"/>
  <c r="T2322" i="80"/>
  <c r="U2322" i="80"/>
  <c r="V2322" i="80" s="1" a="1"/>
  <c r="V2322" i="80" s="1"/>
  <c r="C2323" i="80"/>
  <c r="O2323" i="80"/>
  <c r="T2323" i="80"/>
  <c r="U2323" i="80"/>
  <c r="V2323" i="80" s="1" a="1"/>
  <c r="V2323" i="80" s="1"/>
  <c r="C2324" i="80"/>
  <c r="O2324" i="80"/>
  <c r="T2324" i="80"/>
  <c r="U2324" i="80"/>
  <c r="V2324" i="80" s="1" a="1"/>
  <c r="V2324" i="80" s="1"/>
  <c r="C2325" i="80"/>
  <c r="O2325" i="80"/>
  <c r="T2325" i="80"/>
  <c r="U2325" i="80"/>
  <c r="V2325" i="80" s="1" a="1"/>
  <c r="V2325" i="80" s="1"/>
  <c r="C2326" i="80"/>
  <c r="O2326" i="80"/>
  <c r="T2326" i="80"/>
  <c r="U2326" i="80"/>
  <c r="V2326" i="80" s="1" a="1"/>
  <c r="V2326" i="80" s="1"/>
  <c r="C2327" i="80"/>
  <c r="O2327" i="80"/>
  <c r="T2327" i="80"/>
  <c r="U2327" i="80"/>
  <c r="V2327" i="80" s="1" a="1"/>
  <c r="V2327" i="80" s="1"/>
  <c r="C2328" i="80"/>
  <c r="O2328" i="80"/>
  <c r="T2328" i="80"/>
  <c r="U2328" i="80"/>
  <c r="V2328" i="80" s="1" a="1"/>
  <c r="V2328" i="80" s="1"/>
  <c r="C2329" i="80"/>
  <c r="O2329" i="80"/>
  <c r="T2329" i="80"/>
  <c r="U2329" i="80"/>
  <c r="V2329" i="80" s="1" a="1"/>
  <c r="V2329" i="80" s="1"/>
  <c r="C2330" i="80"/>
  <c r="O2330" i="80"/>
  <c r="T2330" i="80"/>
  <c r="U2330" i="80"/>
  <c r="V2330" i="80" s="1" a="1"/>
  <c r="V2330" i="80" s="1"/>
  <c r="C2331" i="80"/>
  <c r="O2331" i="80"/>
  <c r="T2331" i="80"/>
  <c r="U2331" i="80"/>
  <c r="V2331" i="80" s="1" a="1"/>
  <c r="V2331" i="80" s="1"/>
  <c r="C2332" i="80"/>
  <c r="O2332" i="80"/>
  <c r="T2332" i="80"/>
  <c r="U2332" i="80"/>
  <c r="V2332" i="80" s="1" a="1"/>
  <c r="V2332" i="80" s="1"/>
  <c r="C2333" i="80"/>
  <c r="O2333" i="80"/>
  <c r="T2333" i="80"/>
  <c r="U2333" i="80"/>
  <c r="V2333" i="80" s="1" a="1"/>
  <c r="V2333" i="80" s="1"/>
  <c r="C2334" i="80"/>
  <c r="O2334" i="80"/>
  <c r="T2334" i="80"/>
  <c r="U2334" i="80"/>
  <c r="V2334" i="80" s="1" a="1"/>
  <c r="V2334" i="80" s="1"/>
  <c r="C2335" i="80"/>
  <c r="O2335" i="80"/>
  <c r="T2335" i="80"/>
  <c r="U2335" i="80"/>
  <c r="V2335" i="80" s="1" a="1"/>
  <c r="V2335" i="80" s="1"/>
  <c r="C2336" i="80"/>
  <c r="O2336" i="80"/>
  <c r="T2336" i="80"/>
  <c r="U2336" i="80"/>
  <c r="V2336" i="80" s="1" a="1"/>
  <c r="V2336" i="80" s="1"/>
  <c r="C2337" i="80"/>
  <c r="O2337" i="80"/>
  <c r="T2337" i="80"/>
  <c r="U2337" i="80"/>
  <c r="V2337" i="80" s="1" a="1"/>
  <c r="V2337" i="80" s="1"/>
  <c r="C2338" i="80"/>
  <c r="O2338" i="80"/>
  <c r="T2338" i="80"/>
  <c r="U2338" i="80"/>
  <c r="V2338" i="80" s="1" a="1"/>
  <c r="V2338" i="80" s="1"/>
  <c r="C2339" i="80"/>
  <c r="O2339" i="80"/>
  <c r="T2339" i="80"/>
  <c r="U2339" i="80"/>
  <c r="V2339" i="80" s="1" a="1"/>
  <c r="V2339" i="80" s="1"/>
  <c r="C2340" i="80"/>
  <c r="O2340" i="80"/>
  <c r="T2340" i="80"/>
  <c r="U2340" i="80"/>
  <c r="V2340" i="80" s="1" a="1"/>
  <c r="V2340" i="80" s="1"/>
  <c r="C2341" i="80"/>
  <c r="O2341" i="80"/>
  <c r="T2341" i="80"/>
  <c r="U2341" i="80"/>
  <c r="V2341" i="80" s="1" a="1"/>
  <c r="V2341" i="80" s="1"/>
  <c r="C2342" i="80"/>
  <c r="O2342" i="80"/>
  <c r="T2342" i="80"/>
  <c r="U2342" i="80"/>
  <c r="V2342" i="80" s="1" a="1"/>
  <c r="V2342" i="80" s="1"/>
  <c r="C2343" i="80"/>
  <c r="O2343" i="80"/>
  <c r="T2343" i="80"/>
  <c r="U2343" i="80"/>
  <c r="V2343" i="80" s="1" a="1"/>
  <c r="V2343" i="80" s="1"/>
  <c r="C2344" i="80"/>
  <c r="O2344" i="80"/>
  <c r="T2344" i="80"/>
  <c r="U2344" i="80"/>
  <c r="V2344" i="80" s="1" a="1"/>
  <c r="V2344" i="80" s="1"/>
  <c r="C2345" i="80"/>
  <c r="O2345" i="80"/>
  <c r="T2345" i="80"/>
  <c r="U2345" i="80"/>
  <c r="V2345" i="80" s="1" a="1"/>
  <c r="V2345" i="80" s="1"/>
  <c r="C2346" i="80"/>
  <c r="O2346" i="80"/>
  <c r="T2346" i="80"/>
  <c r="U2346" i="80"/>
  <c r="V2346" i="80" s="1" a="1"/>
  <c r="V2346" i="80" s="1"/>
  <c r="C2347" i="80"/>
  <c r="O2347" i="80"/>
  <c r="T2347" i="80"/>
  <c r="U2347" i="80"/>
  <c r="V2347" i="80" s="1" a="1"/>
  <c r="V2347" i="80" s="1"/>
  <c r="C2348" i="80"/>
  <c r="O2348" i="80"/>
  <c r="T2348" i="80"/>
  <c r="U2348" i="80"/>
  <c r="V2348" i="80" s="1" a="1"/>
  <c r="V2348" i="80" s="1"/>
  <c r="C2349" i="80"/>
  <c r="O2349" i="80"/>
  <c r="T2349" i="80"/>
  <c r="U2349" i="80"/>
  <c r="V2349" i="80" s="1" a="1"/>
  <c r="V2349" i="80" s="1"/>
  <c r="C2350" i="80"/>
  <c r="O2350" i="80"/>
  <c r="T2350" i="80"/>
  <c r="U2350" i="80"/>
  <c r="V2350" i="80" s="1" a="1"/>
  <c r="V2350" i="80" s="1"/>
  <c r="C2351" i="80"/>
  <c r="O2351" i="80"/>
  <c r="T2351" i="80"/>
  <c r="U2351" i="80"/>
  <c r="V2351" i="80" s="1" a="1"/>
  <c r="V2351" i="80" s="1"/>
  <c r="C2352" i="80"/>
  <c r="O2352" i="80"/>
  <c r="T2352" i="80"/>
  <c r="U2352" i="80"/>
  <c r="V2352" i="80" s="1" a="1"/>
  <c r="V2352" i="80" s="1"/>
  <c r="C2353" i="80"/>
  <c r="O2353" i="80"/>
  <c r="T2353" i="80"/>
  <c r="U2353" i="80"/>
  <c r="V2353" i="80" s="1" a="1"/>
  <c r="V2353" i="80" s="1"/>
  <c r="C2354" i="80"/>
  <c r="O2354" i="80"/>
  <c r="T2354" i="80"/>
  <c r="U2354" i="80"/>
  <c r="V2354" i="80" s="1" a="1"/>
  <c r="V2354" i="80" s="1"/>
  <c r="C2355" i="80"/>
  <c r="O2355" i="80"/>
  <c r="T2355" i="80"/>
  <c r="U2355" i="80"/>
  <c r="V2355" i="80" s="1" a="1"/>
  <c r="V2355" i="80" s="1"/>
  <c r="C2356" i="80"/>
  <c r="O2356" i="80"/>
  <c r="T2356" i="80"/>
  <c r="U2356" i="80"/>
  <c r="V2356" i="80" s="1" a="1"/>
  <c r="V2356" i="80" s="1"/>
  <c r="C2357" i="80"/>
  <c r="O2357" i="80"/>
  <c r="T2357" i="80"/>
  <c r="U2357" i="80"/>
  <c r="V2357" i="80" s="1" a="1"/>
  <c r="V2357" i="80" s="1"/>
  <c r="C2358" i="80"/>
  <c r="O2358" i="80"/>
  <c r="T2358" i="80"/>
  <c r="U2358" i="80"/>
  <c r="V2358" i="80" s="1" a="1"/>
  <c r="V2358" i="80" s="1"/>
  <c r="C2359" i="80"/>
  <c r="O2359" i="80"/>
  <c r="T2359" i="80"/>
  <c r="U2359" i="80"/>
  <c r="V2359" i="80" s="1" a="1"/>
  <c r="V2359" i="80" s="1"/>
  <c r="C2360" i="80"/>
  <c r="O2360" i="80"/>
  <c r="T2360" i="80"/>
  <c r="U2360" i="80"/>
  <c r="V2360" i="80" s="1" a="1"/>
  <c r="V2360" i="80" s="1"/>
  <c r="C2361" i="80"/>
  <c r="O2361" i="80"/>
  <c r="T2361" i="80"/>
  <c r="U2361" i="80"/>
  <c r="V2361" i="80" s="1" a="1"/>
  <c r="V2361" i="80" s="1"/>
  <c r="C2362" i="80"/>
  <c r="O2362" i="80"/>
  <c r="T2362" i="80"/>
  <c r="U2362" i="80"/>
  <c r="V2362" i="80" s="1" a="1"/>
  <c r="V2362" i="80" s="1"/>
  <c r="C2363" i="80"/>
  <c r="O2363" i="80"/>
  <c r="T2363" i="80"/>
  <c r="U2363" i="80"/>
  <c r="V2363" i="80" s="1" a="1"/>
  <c r="V2363" i="80" s="1"/>
  <c r="C2364" i="80"/>
  <c r="O2364" i="80"/>
  <c r="T2364" i="80"/>
  <c r="U2364" i="80"/>
  <c r="V2364" i="80" s="1" a="1"/>
  <c r="V2364" i="80" s="1"/>
  <c r="C2365" i="80"/>
  <c r="O2365" i="80"/>
  <c r="T2365" i="80"/>
  <c r="U2365" i="80"/>
  <c r="V2365" i="80" s="1" a="1"/>
  <c r="V2365" i="80" s="1"/>
  <c r="C2366" i="80"/>
  <c r="O2366" i="80"/>
  <c r="T2366" i="80"/>
  <c r="U2366" i="80"/>
  <c r="V2366" i="80" s="1" a="1"/>
  <c r="V2366" i="80" s="1"/>
  <c r="C2367" i="80"/>
  <c r="O2367" i="80"/>
  <c r="T2367" i="80"/>
  <c r="U2367" i="80"/>
  <c r="V2367" i="80" s="1" a="1"/>
  <c r="V2367" i="80" s="1"/>
  <c r="C2368" i="80"/>
  <c r="O2368" i="80"/>
  <c r="T2368" i="80"/>
  <c r="U2368" i="80"/>
  <c r="V2368" i="80" s="1" a="1"/>
  <c r="V2368" i="80" s="1"/>
  <c r="C2369" i="80"/>
  <c r="O2369" i="80"/>
  <c r="T2369" i="80"/>
  <c r="U2369" i="80"/>
  <c r="V2369" i="80" s="1" a="1"/>
  <c r="V2369" i="80" s="1"/>
  <c r="C2370" i="80"/>
  <c r="O2370" i="80"/>
  <c r="T2370" i="80"/>
  <c r="U2370" i="80"/>
  <c r="V2370" i="80" s="1" a="1"/>
  <c r="V2370" i="80" s="1"/>
  <c r="C2371" i="80"/>
  <c r="O2371" i="80"/>
  <c r="T2371" i="80"/>
  <c r="U2371" i="80"/>
  <c r="V2371" i="80" s="1" a="1"/>
  <c r="V2371" i="80" s="1"/>
  <c r="C2372" i="80"/>
  <c r="O2372" i="80"/>
  <c r="T2372" i="80"/>
  <c r="U2372" i="80"/>
  <c r="V2372" i="80" s="1" a="1"/>
  <c r="V2372" i="80" s="1"/>
  <c r="C2373" i="80"/>
  <c r="O2373" i="80"/>
  <c r="T2373" i="80"/>
  <c r="U2373" i="80"/>
  <c r="V2373" i="80" s="1" a="1"/>
  <c r="V2373" i="80" s="1"/>
  <c r="C2374" i="80"/>
  <c r="O2374" i="80"/>
  <c r="T2374" i="80"/>
  <c r="U2374" i="80"/>
  <c r="V2374" i="80" s="1" a="1"/>
  <c r="V2374" i="80" s="1"/>
  <c r="C2375" i="80"/>
  <c r="O2375" i="80"/>
  <c r="T2375" i="80"/>
  <c r="U2375" i="80"/>
  <c r="V2375" i="80" s="1" a="1"/>
  <c r="V2375" i="80" s="1"/>
  <c r="C2376" i="80"/>
  <c r="O2376" i="80"/>
  <c r="T2376" i="80"/>
  <c r="U2376" i="80"/>
  <c r="V2376" i="80" s="1" a="1"/>
  <c r="V2376" i="80" s="1"/>
  <c r="C2377" i="80"/>
  <c r="O2377" i="80"/>
  <c r="T2377" i="80"/>
  <c r="U2377" i="80"/>
  <c r="V2377" i="80" s="1" a="1"/>
  <c r="V2377" i="80" s="1"/>
  <c r="C2378" i="80"/>
  <c r="O2378" i="80"/>
  <c r="T2378" i="80"/>
  <c r="U2378" i="80"/>
  <c r="V2378" i="80" s="1" a="1"/>
  <c r="V2378" i="80" s="1"/>
  <c r="C2379" i="80"/>
  <c r="O2379" i="80"/>
  <c r="T2379" i="80"/>
  <c r="U2379" i="80"/>
  <c r="V2379" i="80" s="1" a="1"/>
  <c r="V2379" i="80" s="1"/>
  <c r="C2380" i="80"/>
  <c r="O2380" i="80"/>
  <c r="T2380" i="80"/>
  <c r="U2380" i="80"/>
  <c r="V2380" i="80" s="1" a="1"/>
  <c r="V2380" i="80" s="1"/>
  <c r="C2381" i="80"/>
  <c r="O2381" i="80"/>
  <c r="T2381" i="80"/>
  <c r="U2381" i="80"/>
  <c r="V2381" i="80" s="1" a="1"/>
  <c r="V2381" i="80" s="1"/>
  <c r="C2382" i="80"/>
  <c r="O2382" i="80"/>
  <c r="T2382" i="80"/>
  <c r="U2382" i="80"/>
  <c r="V2382" i="80" s="1" a="1"/>
  <c r="V2382" i="80" s="1"/>
  <c r="C2383" i="80"/>
  <c r="O2383" i="80"/>
  <c r="T2383" i="80"/>
  <c r="U2383" i="80"/>
  <c r="V2383" i="80" s="1" a="1"/>
  <c r="V2383" i="80" s="1"/>
  <c r="C2384" i="80"/>
  <c r="O2384" i="80"/>
  <c r="T2384" i="80"/>
  <c r="U2384" i="80"/>
  <c r="V2384" i="80" s="1" a="1"/>
  <c r="V2384" i="80" s="1"/>
  <c r="C2385" i="80"/>
  <c r="O2385" i="80"/>
  <c r="T2385" i="80"/>
  <c r="U2385" i="80"/>
  <c r="V2385" i="80" s="1" a="1"/>
  <c r="V2385" i="80" s="1"/>
  <c r="C2386" i="80"/>
  <c r="O2386" i="80"/>
  <c r="T2386" i="80"/>
  <c r="U2386" i="80"/>
  <c r="V2386" i="80" s="1" a="1"/>
  <c r="V2386" i="80" s="1"/>
  <c r="C2387" i="80"/>
  <c r="O2387" i="80"/>
  <c r="T2387" i="80"/>
  <c r="U2387" i="80"/>
  <c r="V2387" i="80" s="1" a="1"/>
  <c r="V2387" i="80" s="1"/>
  <c r="C2388" i="80"/>
  <c r="O2388" i="80"/>
  <c r="T2388" i="80"/>
  <c r="U2388" i="80"/>
  <c r="V2388" i="80" s="1" a="1"/>
  <c r="V2388" i="80" s="1"/>
  <c r="C2389" i="80"/>
  <c r="O2389" i="80"/>
  <c r="T2389" i="80"/>
  <c r="U2389" i="80"/>
  <c r="V2389" i="80" s="1" a="1"/>
  <c r="V2389" i="80" s="1"/>
  <c r="C2390" i="80"/>
  <c r="O2390" i="80"/>
  <c r="T2390" i="80"/>
  <c r="U2390" i="80"/>
  <c r="V2390" i="80" s="1" a="1"/>
  <c r="V2390" i="80" s="1"/>
  <c r="C2391" i="80"/>
  <c r="O2391" i="80"/>
  <c r="T2391" i="80"/>
  <c r="U2391" i="80"/>
  <c r="V2391" i="80" s="1" a="1"/>
  <c r="V2391" i="80" s="1"/>
  <c r="C2392" i="80"/>
  <c r="O2392" i="80"/>
  <c r="T2392" i="80"/>
  <c r="U2392" i="80"/>
  <c r="V2392" i="80" s="1" a="1"/>
  <c r="V2392" i="80" s="1"/>
  <c r="C2393" i="80"/>
  <c r="O2393" i="80"/>
  <c r="T2393" i="80"/>
  <c r="U2393" i="80"/>
  <c r="V2393" i="80" s="1" a="1"/>
  <c r="V2393" i="80" s="1"/>
  <c r="C2394" i="80"/>
  <c r="O2394" i="80"/>
  <c r="T2394" i="80"/>
  <c r="U2394" i="80"/>
  <c r="V2394" i="80" s="1" a="1"/>
  <c r="V2394" i="80" s="1"/>
  <c r="C2395" i="80"/>
  <c r="O2395" i="80"/>
  <c r="T2395" i="80"/>
  <c r="U2395" i="80"/>
  <c r="V2395" i="80" s="1" a="1"/>
  <c r="V2395" i="80" s="1"/>
  <c r="C2396" i="80"/>
  <c r="O2396" i="80"/>
  <c r="T2396" i="80"/>
  <c r="U2396" i="80"/>
  <c r="V2396" i="80" s="1" a="1"/>
  <c r="V2396" i="80" s="1"/>
  <c r="C2397" i="80"/>
  <c r="O2397" i="80"/>
  <c r="T2397" i="80"/>
  <c r="U2397" i="80"/>
  <c r="V2397" i="80" s="1" a="1"/>
  <c r="V2397" i="80" s="1"/>
  <c r="C2398" i="80"/>
  <c r="O2398" i="80"/>
  <c r="T2398" i="80"/>
  <c r="U2398" i="80"/>
  <c r="V2398" i="80" s="1" a="1"/>
  <c r="V2398" i="80" s="1"/>
  <c r="C2399" i="80"/>
  <c r="O2399" i="80"/>
  <c r="T2399" i="80"/>
  <c r="U2399" i="80"/>
  <c r="V2399" i="80" s="1" a="1"/>
  <c r="V2399" i="80" s="1"/>
  <c r="C2400" i="80"/>
  <c r="O2400" i="80"/>
  <c r="T2400" i="80"/>
  <c r="U2400" i="80"/>
  <c r="V2400" i="80" s="1" a="1"/>
  <c r="V2400" i="80" s="1"/>
  <c r="C2401" i="80"/>
  <c r="O2401" i="80"/>
  <c r="T2401" i="80"/>
  <c r="U2401" i="80"/>
  <c r="V2401" i="80" s="1" a="1"/>
  <c r="V2401" i="80" s="1"/>
  <c r="C2402" i="80"/>
  <c r="O2402" i="80"/>
  <c r="T2402" i="80"/>
  <c r="U2402" i="80"/>
  <c r="V2402" i="80" s="1" a="1"/>
  <c r="V2402" i="80" s="1"/>
  <c r="C2403" i="80"/>
  <c r="O2403" i="80"/>
  <c r="T2403" i="80"/>
  <c r="U2403" i="80"/>
  <c r="V2403" i="80" s="1" a="1"/>
  <c r="V2403" i="80" s="1"/>
  <c r="C2404" i="80"/>
  <c r="O2404" i="80"/>
  <c r="T2404" i="80"/>
  <c r="U2404" i="80"/>
  <c r="V2404" i="80" s="1" a="1"/>
  <c r="V2404" i="80" s="1"/>
  <c r="C2405" i="80"/>
  <c r="O2405" i="80"/>
  <c r="T2405" i="80"/>
  <c r="U2405" i="80"/>
  <c r="V2405" i="80" s="1" a="1"/>
  <c r="V2405" i="80" s="1"/>
  <c r="C2406" i="80"/>
  <c r="O2406" i="80"/>
  <c r="T2406" i="80"/>
  <c r="U2406" i="80"/>
  <c r="V2406" i="80" s="1" a="1"/>
  <c r="V2406" i="80" s="1"/>
  <c r="C2407" i="80"/>
  <c r="O2407" i="80"/>
  <c r="T2407" i="80"/>
  <c r="U2407" i="80"/>
  <c r="V2407" i="80" s="1" a="1"/>
  <c r="V2407" i="80" s="1"/>
  <c r="C2408" i="80"/>
  <c r="O2408" i="80"/>
  <c r="T2408" i="80"/>
  <c r="U2408" i="80"/>
  <c r="V2408" i="80" s="1" a="1"/>
  <c r="V2408" i="80" s="1"/>
  <c r="C2409" i="80"/>
  <c r="O2409" i="80"/>
  <c r="T2409" i="80"/>
  <c r="U2409" i="80"/>
  <c r="V2409" i="80" s="1" a="1"/>
  <c r="V2409" i="80" s="1"/>
  <c r="C2410" i="80"/>
  <c r="O2410" i="80"/>
  <c r="T2410" i="80"/>
  <c r="U2410" i="80"/>
  <c r="V2410" i="80" s="1" a="1"/>
  <c r="V2410" i="80" s="1"/>
  <c r="C2411" i="80"/>
  <c r="O2411" i="80"/>
  <c r="T2411" i="80"/>
  <c r="U2411" i="80"/>
  <c r="V2411" i="80" s="1" a="1"/>
  <c r="V2411" i="80" s="1"/>
  <c r="C2412" i="80"/>
  <c r="O2412" i="80"/>
  <c r="T2412" i="80"/>
  <c r="U2412" i="80"/>
  <c r="V2412" i="80" s="1" a="1"/>
  <c r="V2412" i="80" s="1"/>
  <c r="C2413" i="80"/>
  <c r="O2413" i="80"/>
  <c r="T2413" i="80"/>
  <c r="U2413" i="80"/>
  <c r="V2413" i="80" s="1" a="1"/>
  <c r="V2413" i="80" s="1"/>
  <c r="C2414" i="80"/>
  <c r="O2414" i="80"/>
  <c r="T2414" i="80"/>
  <c r="U2414" i="80"/>
  <c r="V2414" i="80" s="1" a="1"/>
  <c r="V2414" i="80" s="1"/>
  <c r="C2415" i="80"/>
  <c r="O2415" i="80"/>
  <c r="T2415" i="80"/>
  <c r="U2415" i="80"/>
  <c r="V2415" i="80" s="1" a="1"/>
  <c r="V2415" i="80" s="1"/>
  <c r="C2416" i="80"/>
  <c r="O2416" i="80"/>
  <c r="T2416" i="80"/>
  <c r="U2416" i="80"/>
  <c r="V2416" i="80" s="1" a="1"/>
  <c r="V2416" i="80" s="1"/>
  <c r="C2417" i="80"/>
  <c r="O2417" i="80"/>
  <c r="T2417" i="80"/>
  <c r="U2417" i="80"/>
  <c r="V2417" i="80" s="1" a="1"/>
  <c r="V2417" i="80" s="1"/>
  <c r="C2418" i="80"/>
  <c r="O2418" i="80"/>
  <c r="T2418" i="80"/>
  <c r="U2418" i="80"/>
  <c r="V2418" i="80" s="1" a="1"/>
  <c r="V2418" i="80" s="1"/>
  <c r="C2419" i="80"/>
  <c r="O2419" i="80"/>
  <c r="T2419" i="80"/>
  <c r="U2419" i="80"/>
  <c r="V2419" i="80" s="1" a="1"/>
  <c r="V2419" i="80" s="1"/>
  <c r="C2420" i="80"/>
  <c r="O2420" i="80"/>
  <c r="T2420" i="80"/>
  <c r="U2420" i="80"/>
  <c r="V2420" i="80" s="1" a="1"/>
  <c r="V2420" i="80" s="1"/>
  <c r="B8" i="68"/>
  <c r="C8" i="68"/>
  <c r="D8" i="68"/>
  <c r="E8" i="68"/>
  <c r="B20" i="78"/>
  <c r="B19" i="78"/>
  <c r="R1532" i="77"/>
  <c r="R1533" i="77"/>
  <c r="R1534" i="77"/>
  <c r="R1535" i="77"/>
  <c r="R1536" i="77"/>
  <c r="R1537" i="77"/>
  <c r="R1538" i="77"/>
  <c r="R1539" i="77"/>
  <c r="R1540" i="77"/>
  <c r="R1541" i="77"/>
  <c r="R1542" i="77"/>
  <c r="R1543" i="77"/>
  <c r="R1544" i="77"/>
  <c r="R1545" i="77"/>
  <c r="R1546" i="77"/>
  <c r="R1547" i="77"/>
  <c r="R1548" i="77"/>
  <c r="R1549" i="77"/>
  <c r="R1550" i="77"/>
  <c r="R1551" i="77"/>
  <c r="R1552" i="77"/>
  <c r="R1553" i="77"/>
  <c r="R1554" i="77"/>
  <c r="R1555" i="77"/>
  <c r="R1556" i="77"/>
  <c r="R1557" i="77"/>
  <c r="R1558" i="77"/>
  <c r="R1559" i="77"/>
  <c r="R1560" i="77"/>
  <c r="R1561" i="77"/>
  <c r="R1562" i="77"/>
  <c r="R1563" i="77"/>
  <c r="R1564" i="77"/>
  <c r="R1565" i="77"/>
  <c r="R1566" i="77"/>
  <c r="R1567" i="77"/>
  <c r="R1568" i="77"/>
  <c r="R1569" i="77"/>
  <c r="R1570" i="77"/>
  <c r="R1571" i="77"/>
  <c r="R1572" i="77"/>
  <c r="R1573" i="77"/>
  <c r="R1574" i="77"/>
  <c r="R1575" i="77"/>
  <c r="R1576" i="77"/>
  <c r="R1577" i="77"/>
  <c r="R1578" i="77"/>
  <c r="R1579" i="77"/>
  <c r="R1580" i="77"/>
  <c r="R1581" i="77"/>
  <c r="R1582" i="77"/>
  <c r="R1583" i="77"/>
  <c r="R1584" i="77"/>
  <c r="R1585" i="77"/>
  <c r="R1586" i="77"/>
  <c r="R1587" i="77"/>
  <c r="R1588" i="77"/>
  <c r="R1589" i="77"/>
  <c r="R1590" i="77"/>
  <c r="R1591" i="77"/>
  <c r="R1592" i="77"/>
  <c r="R1593" i="77"/>
  <c r="R1594" i="77"/>
  <c r="R1595" i="77"/>
  <c r="R1596" i="77"/>
  <c r="R1597" i="77"/>
  <c r="R1598" i="77"/>
  <c r="R1599" i="77"/>
  <c r="R1600" i="77"/>
  <c r="R1601" i="77"/>
  <c r="R1602" i="77"/>
  <c r="R1603" i="77"/>
  <c r="R1604" i="77"/>
  <c r="R1605" i="77"/>
  <c r="R1606" i="77"/>
  <c r="R1607" i="77"/>
  <c r="R1608" i="77"/>
  <c r="R1609" i="77"/>
  <c r="R1610" i="77"/>
  <c r="R1611" i="77"/>
  <c r="R1612" i="77"/>
  <c r="R1613" i="77"/>
  <c r="R1614" i="77"/>
  <c r="R1615" i="77"/>
  <c r="R1616" i="77"/>
  <c r="R1617" i="77"/>
  <c r="R1618" i="77"/>
  <c r="R1619" i="77"/>
  <c r="R1620" i="77"/>
  <c r="R1621" i="77"/>
  <c r="R1622" i="77"/>
  <c r="R1623" i="77"/>
  <c r="R1624" i="77"/>
  <c r="R1625" i="77"/>
  <c r="R1626" i="77"/>
  <c r="R1627" i="77"/>
  <c r="R1628" i="77"/>
  <c r="R1629" i="77"/>
  <c r="R1630" i="77"/>
  <c r="R1631" i="77"/>
  <c r="R1632" i="77"/>
  <c r="R1633" i="77"/>
  <c r="R1634" i="77"/>
  <c r="R1635" i="77"/>
  <c r="R1636" i="77"/>
  <c r="R1637" i="77"/>
  <c r="R1638" i="77"/>
  <c r="R1639" i="77"/>
  <c r="R1640" i="77"/>
  <c r="R1641" i="77"/>
  <c r="R1642" i="77"/>
  <c r="R1643" i="77"/>
  <c r="R1644" i="77"/>
  <c r="R1645" i="77"/>
  <c r="R1646" i="77"/>
  <c r="R1647" i="77"/>
  <c r="R1648" i="77"/>
  <c r="R1649" i="77"/>
  <c r="R1650" i="77"/>
  <c r="R1651" i="77"/>
  <c r="R1652" i="77"/>
  <c r="R1653" i="77"/>
  <c r="R1654" i="77"/>
  <c r="R1655" i="77"/>
  <c r="R1656" i="77"/>
  <c r="R1657" i="77"/>
  <c r="R1658" i="77"/>
  <c r="R1659" i="77"/>
  <c r="R1660" i="77"/>
  <c r="R1661" i="77"/>
  <c r="R1662" i="77"/>
  <c r="R1663" i="77"/>
  <c r="R1664" i="77"/>
  <c r="R1665" i="77"/>
  <c r="R1666" i="77"/>
  <c r="R1667" i="77"/>
  <c r="R1668" i="77"/>
  <c r="R1669" i="77"/>
  <c r="R1670" i="77"/>
  <c r="R1671" i="77"/>
  <c r="R1672" i="77"/>
  <c r="R1673" i="77"/>
  <c r="R1674" i="77"/>
  <c r="R1675" i="77"/>
  <c r="R1676" i="77"/>
  <c r="R1677" i="77"/>
  <c r="R1678" i="77"/>
  <c r="R1679" i="77"/>
  <c r="R1680" i="77"/>
  <c r="R1681" i="77"/>
  <c r="R1682" i="77"/>
  <c r="R1683" i="77"/>
  <c r="R1684" i="77"/>
  <c r="R1685" i="77"/>
  <c r="R1686" i="77"/>
  <c r="R1687" i="77"/>
  <c r="R1688" i="77"/>
  <c r="R1689" i="77"/>
  <c r="R1690" i="77"/>
  <c r="R1691" i="77"/>
  <c r="R1692" i="77"/>
  <c r="R1693" i="77"/>
  <c r="R1694" i="77"/>
  <c r="R1695" i="77"/>
  <c r="R1696" i="77"/>
  <c r="R1697" i="77"/>
  <c r="R1698" i="77"/>
  <c r="R1699" i="77"/>
  <c r="R1700" i="77"/>
  <c r="R1701" i="77"/>
  <c r="R1702" i="77"/>
  <c r="R1703" i="77"/>
  <c r="R1704" i="77"/>
  <c r="R1705" i="77"/>
  <c r="R1706" i="77"/>
  <c r="R1707" i="77"/>
  <c r="R1708" i="77"/>
  <c r="R1709" i="77"/>
  <c r="R1710" i="77"/>
  <c r="R1711" i="77"/>
  <c r="R1712" i="77"/>
  <c r="R1713" i="77"/>
  <c r="R1714" i="77"/>
  <c r="R1715" i="77"/>
  <c r="R1716" i="77"/>
  <c r="R1717" i="77"/>
  <c r="R1718" i="77"/>
  <c r="R1719" i="77"/>
  <c r="R1720" i="77"/>
  <c r="R1721" i="77"/>
  <c r="R1722" i="77"/>
  <c r="R1723" i="77"/>
  <c r="R1724" i="77"/>
  <c r="R1725" i="77"/>
  <c r="R1726" i="77"/>
  <c r="R1727" i="77"/>
  <c r="R1728" i="77"/>
  <c r="R1729" i="77"/>
  <c r="R1730" i="77"/>
  <c r="R1731" i="77"/>
  <c r="R1732" i="77"/>
  <c r="R1733" i="77"/>
  <c r="R1734" i="77"/>
  <c r="R1735" i="77"/>
  <c r="R1736" i="77"/>
  <c r="R1737" i="77"/>
  <c r="R1738" i="77"/>
  <c r="R1739" i="77"/>
  <c r="R1740" i="77"/>
  <c r="R1741" i="77"/>
  <c r="R1742" i="77"/>
  <c r="R1743" i="77"/>
  <c r="R1744" i="77"/>
  <c r="R1745" i="77"/>
  <c r="R1746" i="77"/>
  <c r="R1747" i="77"/>
  <c r="R1748" i="77"/>
  <c r="R1749" i="77"/>
  <c r="R1750" i="77"/>
  <c r="R1751" i="77"/>
  <c r="R1752" i="77"/>
  <c r="R1753" i="77"/>
  <c r="R1754" i="77"/>
  <c r="R1755" i="77"/>
  <c r="R1756" i="77"/>
  <c r="R1757" i="77"/>
  <c r="R1758" i="77"/>
  <c r="R1759" i="77"/>
  <c r="R1760" i="77"/>
  <c r="R1761" i="77"/>
  <c r="R1762" i="77"/>
  <c r="R1763" i="77"/>
  <c r="R1764" i="77"/>
  <c r="R1765" i="77"/>
  <c r="R1766" i="77"/>
  <c r="R1767" i="77"/>
  <c r="R1768" i="77"/>
  <c r="R1769" i="77"/>
  <c r="R1770" i="77"/>
  <c r="R1771" i="77"/>
  <c r="R1772" i="77"/>
  <c r="R1773" i="77"/>
  <c r="R1774" i="77"/>
  <c r="R1775" i="77"/>
  <c r="R1776" i="77"/>
  <c r="R1777" i="77"/>
  <c r="R1778" i="77"/>
  <c r="R1779" i="77"/>
  <c r="R1780" i="77"/>
  <c r="R1781" i="77"/>
  <c r="R1782" i="77"/>
  <c r="R1783" i="77"/>
  <c r="R1784" i="77"/>
  <c r="R1785" i="77"/>
  <c r="R1786" i="77"/>
  <c r="R1787" i="77"/>
  <c r="R1788" i="77"/>
  <c r="R1789" i="77"/>
  <c r="R1790" i="77"/>
  <c r="R1791" i="77"/>
  <c r="R1792" i="77"/>
  <c r="R1793" i="77"/>
  <c r="R1794" i="77"/>
  <c r="R1795" i="77"/>
  <c r="R1796" i="77"/>
  <c r="R1797" i="77"/>
  <c r="R1798" i="77"/>
  <c r="R1799" i="77"/>
  <c r="R1800" i="77"/>
  <c r="R1801" i="77"/>
  <c r="R1802" i="77"/>
  <c r="R1803" i="77"/>
  <c r="R1804" i="77"/>
  <c r="R1805" i="77"/>
  <c r="R1806" i="77"/>
  <c r="R1807" i="77"/>
  <c r="R1808" i="77"/>
  <c r="R1809" i="77"/>
  <c r="R1810" i="77"/>
  <c r="R1811" i="77"/>
  <c r="R1812" i="77"/>
  <c r="R1813" i="77"/>
  <c r="R1814" i="77"/>
  <c r="R1815" i="77"/>
  <c r="R1816" i="77"/>
  <c r="R1817" i="77"/>
  <c r="R1818" i="77"/>
  <c r="R1819" i="77"/>
  <c r="R1820" i="77"/>
  <c r="R1821" i="77"/>
  <c r="R1822" i="77"/>
  <c r="R1823" i="77"/>
  <c r="R1824" i="77"/>
  <c r="R1825" i="77"/>
  <c r="R1826" i="77"/>
  <c r="R1827" i="77"/>
  <c r="R1828" i="77"/>
  <c r="R1829" i="77"/>
  <c r="R1830" i="77"/>
  <c r="R1831" i="77"/>
  <c r="R1832" i="77"/>
  <c r="R1833" i="77"/>
  <c r="R1834" i="77"/>
  <c r="R1835" i="77"/>
  <c r="R1836" i="77"/>
  <c r="R1837" i="77"/>
  <c r="R1838" i="77"/>
  <c r="R1839" i="77"/>
  <c r="R1840" i="77"/>
  <c r="R1841" i="77"/>
  <c r="R1842" i="77"/>
  <c r="R1843" i="77"/>
  <c r="R1844" i="77"/>
  <c r="R1845" i="77"/>
  <c r="R1846" i="77"/>
  <c r="R1847" i="77"/>
  <c r="R1848" i="77"/>
  <c r="R1849" i="77"/>
  <c r="R1850" i="77"/>
  <c r="R1851" i="77"/>
  <c r="R1852" i="77"/>
  <c r="R1853" i="77"/>
  <c r="R1854" i="77"/>
  <c r="R1855" i="77"/>
  <c r="R1856" i="77"/>
  <c r="R1857" i="77"/>
  <c r="R1858" i="77"/>
  <c r="R1859" i="77"/>
  <c r="R1860" i="77"/>
  <c r="R1861" i="77"/>
  <c r="R1862" i="77"/>
  <c r="R1863" i="77"/>
  <c r="R1864" i="77"/>
  <c r="R1865" i="77"/>
  <c r="R1866" i="77"/>
  <c r="R1867" i="77"/>
  <c r="R1868" i="77"/>
  <c r="R1869" i="77"/>
  <c r="R1870" i="77"/>
  <c r="R1871" i="77"/>
  <c r="R1872" i="77"/>
  <c r="R1873" i="77"/>
  <c r="R1874" i="77"/>
  <c r="R1875" i="77"/>
  <c r="R1876" i="77"/>
  <c r="R1877" i="77"/>
  <c r="R1878" i="77"/>
  <c r="R1879" i="77"/>
  <c r="R1880" i="77"/>
  <c r="R1881" i="77"/>
  <c r="R1882" i="77"/>
  <c r="R1883" i="77"/>
  <c r="R1884" i="77"/>
  <c r="R1885" i="77"/>
  <c r="R1886" i="77"/>
  <c r="R1887" i="77"/>
  <c r="R1888" i="77"/>
  <c r="R1889" i="77"/>
  <c r="R1890" i="77"/>
  <c r="R1891" i="77"/>
  <c r="R1892" i="77"/>
  <c r="R1893" i="77"/>
  <c r="R1894" i="77"/>
  <c r="R1895" i="77"/>
  <c r="R1896" i="77"/>
  <c r="R1897" i="77"/>
  <c r="R1898" i="77"/>
  <c r="R1899" i="77"/>
  <c r="R1900" i="77"/>
  <c r="R1901" i="77"/>
  <c r="R1902" i="77"/>
  <c r="R1903" i="77"/>
  <c r="R1904" i="77"/>
  <c r="R1905" i="77"/>
  <c r="R1906" i="77"/>
  <c r="R1907" i="77"/>
  <c r="R1908" i="77"/>
  <c r="R1909" i="77"/>
  <c r="R1910" i="77"/>
  <c r="R1911" i="77"/>
  <c r="R1912" i="77"/>
  <c r="R1913" i="77"/>
  <c r="R1914" i="77"/>
  <c r="R1915" i="77"/>
  <c r="R1916" i="77"/>
  <c r="R1917" i="77"/>
  <c r="R1918" i="77"/>
  <c r="R1919" i="77"/>
  <c r="R1920" i="77"/>
  <c r="R1921" i="77"/>
  <c r="R1922" i="77"/>
  <c r="R1923" i="77"/>
  <c r="R1924" i="77"/>
  <c r="R1925" i="77"/>
  <c r="R1926" i="77"/>
  <c r="R1927" i="77"/>
  <c r="R1928" i="77"/>
  <c r="R1929" i="77"/>
  <c r="R1930" i="77"/>
  <c r="R1931" i="77"/>
  <c r="R1932" i="77"/>
  <c r="R1933" i="77"/>
  <c r="R1934" i="77"/>
  <c r="R1935" i="77"/>
  <c r="R1936" i="77"/>
  <c r="R1937" i="77"/>
  <c r="R1938" i="77"/>
  <c r="R1939" i="77"/>
  <c r="R1940" i="77"/>
  <c r="R1941" i="77"/>
  <c r="R1942" i="77"/>
  <c r="R1943" i="77"/>
  <c r="R1944" i="77"/>
  <c r="R1945" i="77"/>
  <c r="R1946" i="77"/>
  <c r="R1947" i="77"/>
  <c r="R1948" i="77"/>
  <c r="R1949" i="77"/>
  <c r="R1950" i="77"/>
  <c r="R1951" i="77"/>
  <c r="R1952" i="77"/>
  <c r="R1953" i="77"/>
  <c r="R1954" i="77"/>
  <c r="R1955" i="77"/>
  <c r="R1956" i="77"/>
  <c r="R1957" i="77"/>
  <c r="R1958" i="77"/>
  <c r="R1959" i="77"/>
  <c r="R1960" i="77"/>
  <c r="R1961" i="77"/>
  <c r="R1962" i="77"/>
  <c r="R1963" i="77"/>
  <c r="R1964" i="77"/>
  <c r="R1965" i="77"/>
  <c r="R1966" i="77"/>
  <c r="R1967" i="77"/>
  <c r="R1968" i="77"/>
  <c r="R1969" i="77"/>
  <c r="R1970" i="77"/>
  <c r="R1971" i="77"/>
  <c r="R1972" i="77"/>
  <c r="R1973" i="77"/>
  <c r="R1974" i="77"/>
  <c r="R1975" i="77"/>
  <c r="R1976" i="77"/>
  <c r="R1977" i="77"/>
  <c r="R1978" i="77"/>
  <c r="R1979" i="77"/>
  <c r="R1980" i="77"/>
  <c r="R1981" i="77"/>
  <c r="R1982" i="77"/>
  <c r="R1983" i="77"/>
  <c r="R1984" i="77"/>
  <c r="R1985" i="77"/>
  <c r="R1986" i="77"/>
  <c r="R1987" i="77"/>
  <c r="R1988" i="77"/>
  <c r="R1989" i="77"/>
  <c r="R1990" i="77"/>
  <c r="R1991" i="77"/>
  <c r="R1992" i="77"/>
  <c r="R1993" i="77"/>
  <c r="R1994" i="77"/>
  <c r="R1995" i="77"/>
  <c r="R1996" i="77"/>
  <c r="R1997" i="77"/>
  <c r="R1998" i="77"/>
  <c r="R1999" i="77"/>
  <c r="R2000" i="77"/>
  <c r="R2001" i="77"/>
  <c r="R2002" i="77"/>
  <c r="R2003" i="77"/>
  <c r="R2004" i="77"/>
  <c r="R2005" i="77"/>
  <c r="R2006" i="77"/>
  <c r="R2007" i="77"/>
  <c r="R2008" i="77"/>
  <c r="R2009" i="77"/>
  <c r="R2010" i="77"/>
  <c r="R2011" i="77"/>
  <c r="R2012" i="77"/>
  <c r="R2013" i="77"/>
  <c r="R2014" i="77"/>
  <c r="R2015" i="77"/>
  <c r="R2016" i="77"/>
  <c r="R2017" i="77"/>
  <c r="R2018" i="77"/>
  <c r="R2019" i="77"/>
  <c r="R2020" i="77"/>
  <c r="R2021" i="77"/>
  <c r="R2022" i="77"/>
  <c r="R2023" i="77"/>
  <c r="R2024" i="77"/>
  <c r="R2025" i="77"/>
  <c r="R2026" i="77"/>
  <c r="R2027" i="77"/>
  <c r="R2028" i="77"/>
  <c r="R2029" i="77"/>
  <c r="R2030" i="77"/>
  <c r="R2031" i="77"/>
  <c r="R2032" i="77"/>
  <c r="R2033" i="77"/>
  <c r="R2034" i="77"/>
  <c r="R2035" i="77"/>
  <c r="R2036" i="77"/>
  <c r="R2037" i="77"/>
  <c r="R2038" i="77"/>
  <c r="R2039" i="77"/>
  <c r="R2040" i="77"/>
  <c r="R2041" i="77"/>
  <c r="R2042" i="77"/>
  <c r="R2043" i="77"/>
  <c r="R2044" i="77"/>
  <c r="R2045" i="77"/>
  <c r="R2046" i="77"/>
  <c r="R2047" i="77"/>
  <c r="R2048" i="77"/>
  <c r="R2049" i="77"/>
  <c r="R2050" i="77"/>
  <c r="R2051" i="77"/>
  <c r="R2052" i="77"/>
  <c r="R2053" i="77"/>
  <c r="R2054" i="77"/>
  <c r="R2055" i="77"/>
  <c r="R2056" i="77"/>
  <c r="R2057" i="77"/>
  <c r="R2058" i="77"/>
  <c r="R2059" i="77"/>
  <c r="R2060" i="77"/>
  <c r="R2061" i="77"/>
  <c r="R2062" i="77"/>
  <c r="R2063" i="77"/>
  <c r="R2064" i="77"/>
  <c r="R2065" i="77"/>
  <c r="R2066" i="77"/>
  <c r="R2067" i="77"/>
  <c r="R2068" i="77"/>
  <c r="R2069" i="77"/>
  <c r="R2070" i="77"/>
  <c r="R2071" i="77"/>
  <c r="R2072" i="77"/>
  <c r="R2073" i="77"/>
  <c r="R2074" i="77"/>
  <c r="R2075" i="77"/>
  <c r="R2076" i="77"/>
  <c r="R2077" i="77"/>
  <c r="R2078" i="77"/>
  <c r="R2079" i="77"/>
  <c r="R2080" i="77"/>
  <c r="R2081" i="77"/>
  <c r="R2082" i="77"/>
  <c r="R2083" i="77"/>
  <c r="R2084" i="77"/>
  <c r="R2085" i="77"/>
  <c r="R2086" i="77"/>
  <c r="R2087" i="77"/>
  <c r="R2088" i="77"/>
  <c r="R2089" i="77"/>
  <c r="R2090" i="77"/>
  <c r="R2091" i="77"/>
  <c r="R2092" i="77"/>
  <c r="R2093" i="77"/>
  <c r="R2094" i="77"/>
  <c r="R2095" i="77"/>
  <c r="R2096" i="77"/>
  <c r="R2097" i="77"/>
  <c r="R2098" i="77"/>
  <c r="R2099" i="77"/>
  <c r="R2100" i="77"/>
  <c r="R2101" i="77"/>
  <c r="R2102" i="77"/>
  <c r="R2103" i="77"/>
  <c r="R2104" i="77"/>
  <c r="R2105" i="77"/>
  <c r="R2106" i="77"/>
  <c r="R2107" i="77"/>
  <c r="R2108" i="77"/>
  <c r="R2109" i="77"/>
  <c r="R2110" i="77"/>
  <c r="R2111" i="77"/>
  <c r="R2112" i="77"/>
  <c r="R2113" i="77"/>
  <c r="R2114" i="77"/>
  <c r="R2115" i="77"/>
  <c r="R2116" i="77"/>
  <c r="R2117" i="77"/>
  <c r="R2118" i="77"/>
  <c r="R2119" i="77"/>
  <c r="R2120" i="77"/>
  <c r="R2121" i="77"/>
  <c r="R2122" i="77"/>
  <c r="R2123" i="77"/>
  <c r="R2124" i="77"/>
  <c r="R2125" i="77"/>
  <c r="R2126" i="77"/>
  <c r="R2127" i="77"/>
  <c r="R2128" i="77"/>
  <c r="R2129" i="77"/>
  <c r="R2130" i="77"/>
  <c r="R2131" i="77"/>
  <c r="R2132" i="77"/>
  <c r="R2133" i="77"/>
  <c r="R2134" i="77"/>
  <c r="R2135" i="77"/>
  <c r="R2136" i="77"/>
  <c r="R2137" i="77"/>
  <c r="R2138" i="77"/>
  <c r="R2139" i="77"/>
  <c r="R2140" i="77"/>
  <c r="R2141" i="77"/>
  <c r="R2142" i="77"/>
  <c r="R2143" i="77"/>
  <c r="R2144" i="77"/>
  <c r="R2145" i="77"/>
  <c r="R2146" i="77"/>
  <c r="R2147" i="77"/>
  <c r="R2148" i="77"/>
  <c r="R2149" i="77"/>
  <c r="R2150" i="77"/>
  <c r="R2151" i="77"/>
  <c r="R2152" i="77"/>
  <c r="R2153" i="77"/>
  <c r="R2154" i="77"/>
  <c r="R2155" i="77"/>
  <c r="R2156" i="77"/>
  <c r="R2157" i="77"/>
  <c r="R2158" i="77"/>
  <c r="R2159" i="77"/>
  <c r="R2160" i="77"/>
  <c r="R2161" i="77"/>
  <c r="R2162" i="77"/>
  <c r="R2163" i="77"/>
  <c r="R2164" i="77"/>
  <c r="R2165" i="77"/>
  <c r="R2166" i="77"/>
  <c r="R2167" i="77"/>
  <c r="R2168" i="77"/>
  <c r="R2169" i="77"/>
  <c r="R2170" i="77"/>
  <c r="R2171" i="77"/>
  <c r="R2172" i="77"/>
  <c r="R2173" i="77"/>
  <c r="R2174" i="77"/>
  <c r="R2175" i="77"/>
  <c r="R2176" i="77"/>
  <c r="R2177" i="77"/>
  <c r="R2178" i="77"/>
  <c r="R2179" i="77"/>
  <c r="R2180" i="77"/>
  <c r="R2181" i="77"/>
  <c r="R2182" i="77"/>
  <c r="R2183" i="77"/>
  <c r="R2184" i="77"/>
  <c r="R2185" i="77"/>
  <c r="R2186" i="77"/>
  <c r="R2187" i="77"/>
  <c r="R2188" i="77"/>
  <c r="R2189" i="77"/>
  <c r="R2190" i="77"/>
  <c r="R2191" i="77"/>
  <c r="R2192" i="77"/>
  <c r="R2193" i="77"/>
  <c r="R2194" i="77"/>
  <c r="R2195" i="77"/>
  <c r="R2196" i="77"/>
  <c r="R2197" i="77"/>
  <c r="R2198" i="77"/>
  <c r="R2199" i="77"/>
  <c r="R2200" i="77"/>
  <c r="R2201" i="77"/>
  <c r="R2202" i="77"/>
  <c r="R2203" i="77"/>
  <c r="R2204" i="77"/>
  <c r="R2205" i="77"/>
  <c r="R2206" i="77"/>
  <c r="R2207" i="77"/>
  <c r="R2208" i="77"/>
  <c r="R2209" i="77"/>
  <c r="R2210" i="77"/>
  <c r="R2211" i="77"/>
  <c r="R2212" i="77"/>
  <c r="R2213" i="77"/>
  <c r="R2214" i="77"/>
  <c r="R2215" i="77"/>
  <c r="R2216" i="77"/>
  <c r="R2217" i="77"/>
  <c r="R2218" i="77"/>
  <c r="R2219" i="77"/>
  <c r="R2220" i="77"/>
  <c r="R2221" i="77"/>
  <c r="R2222" i="77"/>
  <c r="R2223" i="77"/>
  <c r="R2224" i="77"/>
  <c r="R2225" i="77"/>
  <c r="R2226" i="77"/>
  <c r="R2227" i="77"/>
  <c r="R2228" i="77"/>
  <c r="R2229" i="77"/>
  <c r="R2230" i="77"/>
  <c r="R2231" i="77"/>
  <c r="R2232" i="77"/>
  <c r="R2233" i="77"/>
  <c r="R2234" i="77"/>
  <c r="R2235" i="77"/>
  <c r="R2236" i="77"/>
  <c r="R2237" i="77"/>
  <c r="R2238" i="77"/>
  <c r="R2239" i="77"/>
  <c r="R2240" i="77"/>
  <c r="R2241" i="77"/>
  <c r="R2242" i="77"/>
  <c r="R2243" i="77"/>
  <c r="R2244" i="77"/>
  <c r="R2245" i="77"/>
  <c r="R2246" i="77"/>
  <c r="R2247" i="77"/>
  <c r="R2248" i="77"/>
  <c r="R2249" i="77"/>
  <c r="R2250" i="77"/>
  <c r="R2251" i="77"/>
  <c r="R2252" i="77"/>
  <c r="R2253" i="77"/>
  <c r="R2254" i="77"/>
  <c r="R2255" i="77"/>
  <c r="R2256" i="77"/>
  <c r="R2257" i="77"/>
  <c r="R2258" i="77"/>
  <c r="R2259" i="77"/>
  <c r="R2260" i="77"/>
  <c r="R2261" i="77"/>
  <c r="R2262" i="77"/>
  <c r="R2263" i="77"/>
  <c r="R2264" i="77"/>
  <c r="R2265" i="77"/>
  <c r="R2266" i="77"/>
  <c r="R2267" i="77"/>
  <c r="R2268" i="77"/>
  <c r="R2269" i="77"/>
  <c r="R2270" i="77"/>
  <c r="R2271" i="77"/>
  <c r="R2272" i="77"/>
  <c r="R2273" i="77"/>
  <c r="R2274" i="77"/>
  <c r="R2275" i="77"/>
  <c r="R2276" i="77"/>
  <c r="R2277" i="77"/>
  <c r="R2278" i="77"/>
  <c r="R2279" i="77"/>
  <c r="R2280" i="77"/>
  <c r="R2281" i="77"/>
  <c r="R2282" i="77"/>
  <c r="R2283" i="77"/>
  <c r="R2284" i="77"/>
  <c r="R2285" i="77"/>
  <c r="R2286" i="77"/>
  <c r="R2287" i="77"/>
  <c r="R2288" i="77"/>
  <c r="R2289" i="77"/>
  <c r="R2290" i="77"/>
  <c r="R2291" i="77"/>
  <c r="R2292" i="77"/>
  <c r="R2293" i="77"/>
  <c r="R2294" i="77"/>
  <c r="R2295" i="77"/>
  <c r="R2296" i="77"/>
  <c r="R2297" i="77"/>
  <c r="R2298" i="77"/>
  <c r="R2299" i="77"/>
  <c r="R2300" i="77"/>
  <c r="R2301" i="77"/>
  <c r="R2302" i="77"/>
  <c r="R2303" i="77"/>
  <c r="R2304" i="77"/>
  <c r="R2305" i="77"/>
  <c r="R2306" i="77"/>
  <c r="R2307" i="77"/>
  <c r="R2308" i="77"/>
  <c r="R2309" i="77"/>
  <c r="R2310" i="77"/>
  <c r="R2311" i="77"/>
  <c r="R2312" i="77"/>
  <c r="R2313" i="77"/>
  <c r="R2314" i="77"/>
  <c r="R2315" i="77"/>
  <c r="R2316" i="77"/>
  <c r="R2317" i="77"/>
  <c r="R2318" i="77"/>
  <c r="R2319" i="77"/>
  <c r="R2320" i="77"/>
  <c r="R2321" i="77"/>
  <c r="R2322" i="77"/>
  <c r="R2323" i="77"/>
  <c r="R2324" i="77"/>
  <c r="R2325" i="77"/>
  <c r="R2326" i="77"/>
  <c r="R2327" i="77"/>
  <c r="R2328" i="77"/>
  <c r="R2329" i="77"/>
  <c r="R2330" i="77"/>
  <c r="R2331" i="77"/>
  <c r="R2332" i="77"/>
  <c r="R2333" i="77"/>
  <c r="R2334" i="77"/>
  <c r="R2335" i="77"/>
  <c r="R2336" i="77"/>
  <c r="R2337" i="77"/>
  <c r="R2338" i="77"/>
  <c r="R2339" i="77"/>
  <c r="R2340" i="77"/>
  <c r="R2341" i="77"/>
  <c r="R2342" i="77"/>
  <c r="R2343" i="77"/>
  <c r="R2344" i="77"/>
  <c r="R2345" i="77"/>
  <c r="R2346" i="77"/>
  <c r="R2347" i="77"/>
  <c r="R2348" i="77"/>
  <c r="R2349" i="77"/>
  <c r="R2350" i="77"/>
  <c r="R2351" i="77"/>
  <c r="R2352" i="77"/>
  <c r="R2353" i="77"/>
  <c r="R2354" i="77"/>
  <c r="R2355" i="77"/>
  <c r="R2356" i="77"/>
  <c r="R2357" i="77"/>
  <c r="R2358" i="77"/>
  <c r="R2359" i="77"/>
  <c r="R2360" i="77"/>
  <c r="R2361" i="77"/>
  <c r="R2362" i="77"/>
  <c r="R2363" i="77"/>
  <c r="R2364" i="77"/>
  <c r="R2365" i="77"/>
  <c r="R2366" i="77"/>
  <c r="R2367" i="77"/>
  <c r="R2368" i="77"/>
  <c r="R2369" i="77"/>
  <c r="R2370" i="77"/>
  <c r="R2371" i="77"/>
  <c r="R2372" i="77"/>
  <c r="R2373" i="77"/>
  <c r="R2374" i="77"/>
  <c r="R2375" i="77"/>
  <c r="R2376" i="77"/>
  <c r="R2377" i="77"/>
  <c r="R2378" i="77"/>
  <c r="R2379" i="77"/>
  <c r="R2380" i="77"/>
  <c r="R2381" i="77"/>
  <c r="R2382" i="77"/>
  <c r="R2383" i="77"/>
  <c r="R2384" i="77"/>
  <c r="R2385" i="77"/>
  <c r="R2386" i="77"/>
  <c r="R2387" i="77"/>
  <c r="R2388" i="77"/>
  <c r="R2389" i="77"/>
  <c r="R2390" i="77"/>
  <c r="R2391" i="77"/>
  <c r="R2392" i="77"/>
  <c r="R2393" i="77"/>
  <c r="R2394" i="77"/>
  <c r="R2395" i="77"/>
  <c r="R2396" i="77"/>
  <c r="R2397" i="77"/>
  <c r="R2398" i="77"/>
  <c r="R2399" i="77"/>
  <c r="R2400" i="77"/>
  <c r="R2401" i="77"/>
  <c r="R2402" i="77"/>
  <c r="R2403" i="77"/>
  <c r="R2404" i="77"/>
  <c r="R2405" i="77"/>
  <c r="R2406" i="77"/>
  <c r="R2407" i="77"/>
  <c r="R2408" i="77"/>
  <c r="R2409" i="77"/>
  <c r="R2410" i="77"/>
  <c r="R2411" i="77"/>
  <c r="R2412" i="77"/>
  <c r="R2413" i="77"/>
  <c r="R2414" i="77"/>
  <c r="R2415" i="77"/>
  <c r="R2416" i="77"/>
  <c r="R2417" i="77"/>
  <c r="R2418" i="77"/>
  <c r="R2419" i="77"/>
  <c r="R2420" i="77"/>
  <c r="R2421" i="77"/>
  <c r="R2422" i="77"/>
  <c r="R2423" i="77"/>
  <c r="R2424" i="77"/>
  <c r="R2425" i="77"/>
  <c r="R2426" i="77"/>
  <c r="R2427" i="77"/>
  <c r="R2428" i="77"/>
  <c r="R2429" i="77"/>
  <c r="R2430" i="77"/>
  <c r="R2431" i="77"/>
  <c r="R2432" i="77"/>
  <c r="R2433" i="77"/>
  <c r="R2434" i="77"/>
  <c r="R2435" i="77"/>
  <c r="R2436" i="77"/>
  <c r="R2437" i="77"/>
  <c r="R2438" i="77"/>
  <c r="R2439" i="77"/>
  <c r="R2440" i="77"/>
  <c r="R2441" i="77"/>
  <c r="R2442" i="77"/>
  <c r="R2443" i="77"/>
  <c r="R2444" i="77"/>
  <c r="R2445" i="77"/>
  <c r="R2446" i="77"/>
  <c r="R2447" i="77"/>
  <c r="R2448" i="77"/>
  <c r="R2449" i="77"/>
  <c r="R2450" i="77"/>
  <c r="R2451" i="77"/>
  <c r="R2452" i="77"/>
  <c r="R2453" i="77"/>
  <c r="R2454" i="77"/>
  <c r="R2455" i="77"/>
  <c r="R2456" i="77"/>
  <c r="R2457" i="77"/>
  <c r="R2458" i="77"/>
  <c r="R2459" i="77"/>
  <c r="R2460" i="77"/>
  <c r="R2461" i="77"/>
  <c r="R2462" i="77"/>
  <c r="R2463" i="77"/>
  <c r="R2464" i="77"/>
  <c r="R2465" i="77"/>
  <c r="R2466" i="77"/>
  <c r="R2467" i="77"/>
  <c r="R2468" i="77"/>
  <c r="R2469" i="77"/>
  <c r="R2470" i="77"/>
  <c r="R2471" i="77"/>
  <c r="R2472" i="77"/>
  <c r="R2473" i="77"/>
  <c r="R2474" i="77"/>
  <c r="R2475" i="77"/>
  <c r="R2476" i="77"/>
  <c r="R2477" i="77"/>
  <c r="R2478" i="77"/>
  <c r="R2479" i="77"/>
  <c r="R2480" i="77"/>
  <c r="R2481" i="77"/>
  <c r="R2482" i="77"/>
  <c r="R2483" i="77"/>
  <c r="R2484" i="77"/>
  <c r="R2485" i="77"/>
  <c r="R2486" i="77"/>
  <c r="R2487" i="77"/>
  <c r="R2488" i="77"/>
  <c r="R2489" i="77"/>
  <c r="R2490" i="77"/>
  <c r="R2491" i="77"/>
  <c r="R2492" i="77"/>
  <c r="R2493" i="77"/>
  <c r="R2494" i="77"/>
  <c r="R2495" i="77"/>
  <c r="R2496" i="77"/>
  <c r="R2497" i="77"/>
  <c r="R2498" i="77"/>
  <c r="R2499" i="77"/>
  <c r="R2500" i="77"/>
  <c r="R2501" i="77"/>
  <c r="R2502" i="77"/>
  <c r="R2503" i="77"/>
  <c r="R2504" i="77"/>
  <c r="R2505" i="77"/>
  <c r="R2506" i="77"/>
  <c r="R2507" i="77"/>
  <c r="R2508" i="77"/>
  <c r="R2509" i="77"/>
  <c r="R2510" i="77"/>
  <c r="R2511" i="77"/>
  <c r="R2512" i="77"/>
  <c r="R2513" i="77"/>
  <c r="R2514" i="77"/>
  <c r="R2515" i="77"/>
  <c r="R2516" i="77"/>
  <c r="R2517" i="77"/>
  <c r="R2518" i="77"/>
  <c r="R2519" i="77"/>
  <c r="R2520" i="77"/>
  <c r="R2521" i="77"/>
  <c r="R2522" i="77"/>
  <c r="R2523" i="77"/>
  <c r="R2524" i="77"/>
  <c r="R2525" i="77"/>
  <c r="R2526" i="77"/>
  <c r="R2527" i="77"/>
  <c r="R2528" i="77"/>
  <c r="R2529" i="77"/>
  <c r="R2530" i="77"/>
  <c r="R2531" i="77"/>
  <c r="R2532" i="77"/>
  <c r="R2533" i="77"/>
  <c r="R2534" i="77"/>
  <c r="R2535" i="77"/>
  <c r="R2536" i="77"/>
  <c r="R2537" i="77"/>
  <c r="S160" i="77"/>
  <c r="S161" i="77"/>
  <c r="S1445" i="77"/>
  <c r="S1446" i="77"/>
  <c r="S162" i="77"/>
  <c r="S1448" i="77"/>
  <c r="S1449" i="77"/>
  <c r="S163" i="77"/>
  <c r="S164" i="77"/>
  <c r="S165" i="77"/>
  <c r="S166" i="77"/>
  <c r="S1454" i="77"/>
  <c r="S168" i="77"/>
  <c r="S1456" i="77"/>
  <c r="S169" i="77"/>
  <c r="S170" i="77"/>
  <c r="S171" i="77"/>
  <c r="S172" i="77"/>
  <c r="S173" i="77"/>
  <c r="S174" i="77"/>
  <c r="S175" i="77"/>
  <c r="S176" i="77"/>
  <c r="S177" i="77"/>
  <c r="S178" i="77"/>
  <c r="S179" i="77"/>
  <c r="S1468" i="77"/>
  <c r="S180" i="77"/>
  <c r="S200" i="77"/>
  <c r="S1471" i="77"/>
  <c r="S201" i="77"/>
  <c r="S202" i="77"/>
  <c r="S203" i="77"/>
  <c r="S204" i="77"/>
  <c r="S205" i="77"/>
  <c r="S221" i="77"/>
  <c r="S222" i="77"/>
  <c r="S235" i="77"/>
  <c r="S1480" i="77"/>
  <c r="S236" i="77"/>
  <c r="S1482" i="77"/>
  <c r="S237" i="77"/>
  <c r="S1484" i="77"/>
  <c r="S1485" i="77"/>
  <c r="S1486" i="77"/>
  <c r="S238" i="77"/>
  <c r="S1488" i="77"/>
  <c r="S239" i="77"/>
  <c r="S240" i="77"/>
  <c r="S241" i="77"/>
  <c r="S1492" i="77"/>
  <c r="S242" i="77"/>
  <c r="S243" i="77"/>
  <c r="S244" i="77"/>
  <c r="S245" i="77"/>
  <c r="S246" i="77"/>
  <c r="S265" i="77"/>
  <c r="S266" i="77"/>
  <c r="S1500" i="77"/>
  <c r="S1501" i="77"/>
  <c r="S267" i="77"/>
  <c r="S268" i="77"/>
  <c r="S1504" i="77"/>
  <c r="S269" i="77"/>
  <c r="S270" i="77"/>
  <c r="S271" i="77"/>
  <c r="S1508" i="77"/>
  <c r="S272" i="77"/>
  <c r="S1510" i="77"/>
  <c r="S1511" i="77"/>
  <c r="S273" i="77"/>
  <c r="S1513" i="77"/>
  <c r="S1514" i="77"/>
  <c r="S274" i="77"/>
  <c r="S275" i="77"/>
  <c r="S276" i="77"/>
  <c r="S1518" i="77"/>
  <c r="S277" i="77"/>
  <c r="S1520" i="77"/>
  <c r="S278" i="77"/>
  <c r="S280" i="77"/>
  <c r="S281" i="77"/>
  <c r="S282" i="77"/>
  <c r="S283" i="77"/>
  <c r="S284" i="77"/>
  <c r="S285" i="77"/>
  <c r="S286" i="77"/>
  <c r="S287" i="77"/>
  <c r="S288" i="77"/>
  <c r="S289" i="77"/>
  <c r="N160" i="77"/>
  <c r="N161" i="77"/>
  <c r="N1445" i="77"/>
  <c r="N1446" i="77"/>
  <c r="N162" i="77"/>
  <c r="N1448" i="77"/>
  <c r="N1449" i="77"/>
  <c r="N163" i="77"/>
  <c r="N164" i="77"/>
  <c r="N165" i="77"/>
  <c r="N166" i="77"/>
  <c r="N1454" i="77"/>
  <c r="N168" i="77"/>
  <c r="N1456" i="77"/>
  <c r="N169" i="77"/>
  <c r="N170" i="77"/>
  <c r="N171" i="77"/>
  <c r="N172" i="77"/>
  <c r="N173" i="77"/>
  <c r="N174" i="77"/>
  <c r="N175" i="77"/>
  <c r="N176" i="77"/>
  <c r="N177" i="77"/>
  <c r="N178" i="77"/>
  <c r="N179" i="77"/>
  <c r="N1468" i="77"/>
  <c r="N180" i="77"/>
  <c r="N200" i="77"/>
  <c r="N1471" i="77"/>
  <c r="N201" i="77"/>
  <c r="N202" i="77"/>
  <c r="N203" i="77"/>
  <c r="N204" i="77"/>
  <c r="N205" i="77"/>
  <c r="N221" i="77"/>
  <c r="N222" i="77"/>
  <c r="N235" i="77"/>
  <c r="N1480" i="77"/>
  <c r="N236" i="77"/>
  <c r="N1482" i="77"/>
  <c r="N237" i="77"/>
  <c r="N1484" i="77"/>
  <c r="N1485" i="77"/>
  <c r="N1486" i="77"/>
  <c r="N238" i="77"/>
  <c r="N1488" i="77"/>
  <c r="N239" i="77"/>
  <c r="N240" i="77"/>
  <c r="N241" i="77"/>
  <c r="N1492" i="77"/>
  <c r="N242" i="77"/>
  <c r="N243" i="77"/>
  <c r="N244" i="77"/>
  <c r="N245" i="77"/>
  <c r="N246" i="77"/>
  <c r="N265" i="77"/>
  <c r="N266" i="77"/>
  <c r="N1500" i="77"/>
  <c r="N1501" i="77"/>
  <c r="N267" i="77"/>
  <c r="N268" i="77"/>
  <c r="N1504" i="77"/>
  <c r="N269" i="77"/>
  <c r="N270" i="77"/>
  <c r="N271" i="77"/>
  <c r="N1508" i="77"/>
  <c r="N272" i="77"/>
  <c r="N1510" i="77"/>
  <c r="N1511" i="77"/>
  <c r="N273" i="77"/>
  <c r="N1513" i="77"/>
  <c r="N1514" i="77"/>
  <c r="N274" i="77"/>
  <c r="N275" i="77"/>
  <c r="N276" i="77"/>
  <c r="N1518" i="77"/>
  <c r="N277" i="77"/>
  <c r="N1520" i="77"/>
  <c r="N278" i="77"/>
  <c r="N280" i="77"/>
  <c r="N281" i="77"/>
  <c r="N282" i="77"/>
  <c r="N283" i="77"/>
  <c r="N284" i="77"/>
  <c r="N285" i="77"/>
  <c r="N286" i="77"/>
  <c r="N287" i="77"/>
  <c r="N288" i="77"/>
  <c r="N289" i="77"/>
  <c r="L2" i="77"/>
  <c r="L83" i="43"/>
  <c r="L3" i="43"/>
  <c r="L32" i="43"/>
  <c r="L56" i="43"/>
  <c r="L84" i="43"/>
  <c r="L110" i="43"/>
  <c r="L136" i="43"/>
  <c r="L4" i="43"/>
  <c r="L57" i="43"/>
  <c r="L85" i="43"/>
  <c r="L111" i="43"/>
  <c r="L137" i="43"/>
  <c r="L5" i="43"/>
  <c r="L33" i="43"/>
  <c r="L58" i="43"/>
  <c r="L86" i="43"/>
  <c r="L112" i="43"/>
  <c r="L138" i="43"/>
  <c r="L6" i="43"/>
  <c r="L34" i="43"/>
  <c r="L59" i="43"/>
  <c r="L87" i="43"/>
  <c r="L113" i="43"/>
  <c r="L139" i="43"/>
  <c r="L114" i="43"/>
  <c r="L140" i="43"/>
  <c r="L88" i="43"/>
  <c r="L115" i="43"/>
  <c r="L7" i="43"/>
  <c r="L35" i="43"/>
  <c r="L60" i="43"/>
  <c r="L116" i="43"/>
  <c r="L141" i="43"/>
  <c r="L8" i="43"/>
  <c r="L36" i="43"/>
  <c r="L61" i="43"/>
  <c r="L89" i="43"/>
  <c r="L117" i="43"/>
  <c r="L142" i="43"/>
  <c r="L9" i="43"/>
  <c r="L37" i="43"/>
  <c r="L62" i="43"/>
  <c r="L90" i="43"/>
  <c r="L118" i="43"/>
  <c r="L143" i="43"/>
  <c r="L10" i="43"/>
  <c r="L63" i="43"/>
  <c r="L91" i="43"/>
  <c r="L119" i="43"/>
  <c r="L144" i="43"/>
  <c r="L11" i="43"/>
  <c r="L38" i="43"/>
  <c r="L64" i="43"/>
  <c r="L92" i="43"/>
  <c r="L120" i="43"/>
  <c r="L145" i="43"/>
  <c r="L146" i="43"/>
  <c r="L12" i="43"/>
  <c r="L39" i="43"/>
  <c r="L13" i="43"/>
  <c r="L14" i="43"/>
  <c r="L40" i="43"/>
  <c r="L65" i="43"/>
  <c r="L93" i="43"/>
  <c r="L15" i="43"/>
  <c r="L41" i="43"/>
  <c r="L66" i="43"/>
  <c r="L94" i="43"/>
  <c r="L121" i="43"/>
  <c r="L16" i="43"/>
  <c r="L42" i="43"/>
  <c r="L67" i="43"/>
  <c r="L95" i="43"/>
  <c r="L122" i="43"/>
  <c r="L147" i="43"/>
  <c r="L17" i="43"/>
  <c r="L43" i="43"/>
  <c r="L68" i="43"/>
  <c r="L96" i="43"/>
  <c r="L123" i="43"/>
  <c r="L148" i="43"/>
  <c r="L18" i="43"/>
  <c r="L44" i="43"/>
  <c r="L69" i="43"/>
  <c r="L97" i="43"/>
  <c r="L124" i="43"/>
  <c r="L149" i="43"/>
  <c r="L19" i="43"/>
  <c r="L45" i="43"/>
  <c r="L70" i="43"/>
  <c r="L98" i="43"/>
  <c r="L125" i="43"/>
  <c r="L150" i="43"/>
  <c r="L20" i="43"/>
  <c r="L46" i="43"/>
  <c r="L71" i="43"/>
  <c r="L99" i="43"/>
  <c r="L126" i="43"/>
  <c r="L151" i="43"/>
  <c r="L21" i="43"/>
  <c r="L47" i="43"/>
  <c r="L72" i="43"/>
  <c r="L100" i="43"/>
  <c r="L127" i="43"/>
  <c r="L152" i="43"/>
  <c r="L48" i="43"/>
  <c r="L73" i="43"/>
  <c r="L22" i="43"/>
  <c r="L101" i="43"/>
  <c r="L128" i="43"/>
  <c r="L23" i="43"/>
  <c r="L49" i="43"/>
  <c r="L74" i="43"/>
  <c r="L102" i="43"/>
  <c r="L129" i="43"/>
  <c r="L153" i="43"/>
  <c r="L24" i="43"/>
  <c r="L75" i="43"/>
  <c r="L103" i="43"/>
  <c r="L130" i="43"/>
  <c r="L154" i="43"/>
  <c r="L25" i="43"/>
  <c r="L50" i="43"/>
  <c r="L76" i="43"/>
  <c r="L104" i="43"/>
  <c r="L131" i="43"/>
  <c r="L155" i="43"/>
  <c r="L156" i="43"/>
  <c r="L26" i="43"/>
  <c r="L27" i="43"/>
  <c r="L51" i="43"/>
  <c r="L77" i="43"/>
  <c r="L105" i="43"/>
  <c r="L78" i="43"/>
  <c r="L28" i="43"/>
  <c r="L52" i="43"/>
  <c r="L79" i="43"/>
  <c r="L106" i="43"/>
  <c r="L132" i="43"/>
  <c r="L29" i="43"/>
  <c r="L53" i="43"/>
  <c r="L80" i="43"/>
  <c r="L107" i="43"/>
  <c r="L133" i="43"/>
  <c r="L157" i="43"/>
  <c r="L30" i="43"/>
  <c r="L54" i="43"/>
  <c r="L81" i="43"/>
  <c r="L108" i="43"/>
  <c r="L134" i="43"/>
  <c r="L158" i="43"/>
  <c r="L31" i="43"/>
  <c r="L55" i="43"/>
  <c r="L82" i="43"/>
  <c r="L109" i="43"/>
  <c r="L135" i="43"/>
  <c r="L159" i="43"/>
  <c r="L160" i="43"/>
  <c r="L161" i="43"/>
  <c r="Y161" i="43" s="1"/>
  <c r="L162" i="43"/>
  <c r="Y162" i="43" s="1"/>
  <c r="Z162" i="43" s="1"/>
  <c r="L163" i="43"/>
  <c r="Y163" i="43" s="1"/>
  <c r="Z163" i="43" s="1"/>
  <c r="L164" i="43"/>
  <c r="L165" i="43"/>
  <c r="Y165" i="43" s="1"/>
  <c r="AB165" i="43" s="1"/>
  <c r="L166" i="43"/>
  <c r="Y166" i="43" s="1"/>
  <c r="AB166" i="43" s="1"/>
  <c r="L167" i="43"/>
  <c r="L168" i="43"/>
  <c r="L169" i="43"/>
  <c r="L170" i="43"/>
  <c r="Y170" i="43" s="1"/>
  <c r="AA170" i="43" s="1"/>
  <c r="L171" i="43"/>
  <c r="Y171" i="43" s="1"/>
  <c r="L172" i="43"/>
  <c r="Y172" i="43" s="1"/>
  <c r="L173" i="43"/>
  <c r="Y173" i="43" s="1"/>
  <c r="Z173" i="43" s="1"/>
  <c r="L174" i="43"/>
  <c r="L175" i="43"/>
  <c r="Y175" i="43" s="1"/>
  <c r="Z175" i="43" s="1"/>
  <c r="L176" i="43"/>
  <c r="L177" i="43"/>
  <c r="Y177" i="43" s="1"/>
  <c r="L178" i="43"/>
  <c r="Y178" i="43" s="1"/>
  <c r="Z178" i="43" s="1"/>
  <c r="L179" i="43"/>
  <c r="Y179" i="43" s="1"/>
  <c r="Z179" i="43" s="1"/>
  <c r="L180" i="43"/>
  <c r="L181" i="43"/>
  <c r="L182" i="43"/>
  <c r="Y182" i="43" s="1"/>
  <c r="Z182" i="43" s="1"/>
  <c r="L183" i="43"/>
  <c r="Y183" i="43" s="1"/>
  <c r="Z183" i="43" s="1"/>
  <c r="L184" i="43"/>
  <c r="Y184" i="43" s="1"/>
  <c r="AA184" i="43" s="1"/>
  <c r="L185" i="43"/>
  <c r="Y185" i="43" s="1"/>
  <c r="AA185" i="43" s="1"/>
  <c r="L186" i="43"/>
  <c r="L187" i="43"/>
  <c r="L188" i="43"/>
  <c r="Y188" i="43" s="1"/>
  <c r="Z188" i="43" s="1"/>
  <c r="L189" i="43"/>
  <c r="Y189" i="43" s="1"/>
  <c r="AB189" i="43" s="1"/>
  <c r="L190" i="43"/>
  <c r="L191" i="43"/>
  <c r="L192" i="43"/>
  <c r="L193" i="43"/>
  <c r="Y193" i="43" s="1"/>
  <c r="Z193" i="43" s="1"/>
  <c r="L194" i="43"/>
  <c r="L195" i="43"/>
  <c r="Y195" i="43" s="1"/>
  <c r="Z195" i="43" s="1"/>
  <c r="L196" i="43"/>
  <c r="L197" i="43"/>
  <c r="Y197" i="43" s="1"/>
  <c r="Z197" i="43" s="1"/>
  <c r="L198" i="43"/>
  <c r="L199" i="43"/>
  <c r="Y199" i="43" s="1"/>
  <c r="AA199" i="43" s="1"/>
  <c r="L200" i="43"/>
  <c r="L201" i="43"/>
  <c r="Y201" i="43" s="1"/>
  <c r="L202" i="43"/>
  <c r="Y202" i="43" s="1"/>
  <c r="AB202" i="43" s="1"/>
  <c r="L203" i="43"/>
  <c r="Y203" i="43" s="1"/>
  <c r="Z203" i="43" s="1"/>
  <c r="L204" i="43"/>
  <c r="L205" i="43"/>
  <c r="Y205" i="43" s="1"/>
  <c r="Z205" i="43" s="1"/>
  <c r="L206" i="43"/>
  <c r="Y206" i="43" s="1"/>
  <c r="AB206" i="43" s="1"/>
  <c r="L207" i="43"/>
  <c r="L208" i="43"/>
  <c r="L209" i="43"/>
  <c r="Y209" i="43" s="1"/>
  <c r="AB209" i="43" s="1"/>
  <c r="L210" i="43"/>
  <c r="Y210" i="43" s="1"/>
  <c r="Z210" i="43" s="1"/>
  <c r="L211" i="43"/>
  <c r="Y211" i="43" s="1"/>
  <c r="AA211" i="43" s="1"/>
  <c r="L212" i="43"/>
  <c r="L213" i="43"/>
  <c r="Y213" i="43" s="1"/>
  <c r="AB213" i="43" s="1"/>
  <c r="L214" i="43"/>
  <c r="Y214" i="43" s="1"/>
  <c r="AB214" i="43" s="1"/>
  <c r="L215" i="43"/>
  <c r="L216" i="43"/>
  <c r="L217" i="43"/>
  <c r="Y217" i="43" s="1"/>
  <c r="Z217" i="43" s="1"/>
  <c r="L218" i="43"/>
  <c r="Y218" i="43" s="1"/>
  <c r="AA218" i="43" s="1"/>
  <c r="L219" i="43"/>
  <c r="Y219" i="43" s="1"/>
  <c r="Z219" i="43" s="1"/>
  <c r="L220" i="43"/>
  <c r="Y220" i="43" s="1"/>
  <c r="AB220" i="43" s="1"/>
  <c r="L221" i="43"/>
  <c r="Y221" i="43" s="1"/>
  <c r="Z221" i="43" s="1"/>
  <c r="L222" i="43"/>
  <c r="L223" i="43"/>
  <c r="L224" i="43"/>
  <c r="L225" i="43"/>
  <c r="Y225" i="43" s="1"/>
  <c r="L226" i="43"/>
  <c r="L227" i="43"/>
  <c r="Y227" i="43" s="1"/>
  <c r="Z227" i="43" s="1"/>
  <c r="L228" i="43"/>
  <c r="Y228" i="43" s="1"/>
  <c r="AB228" i="43" s="1"/>
  <c r="L229" i="43"/>
  <c r="L230" i="43"/>
  <c r="Y230" i="43" s="1"/>
  <c r="Z230" i="43" s="1"/>
  <c r="L231" i="43"/>
  <c r="Y231" i="43" s="1"/>
  <c r="AA231" i="43" s="1"/>
  <c r="L232" i="43"/>
  <c r="L233" i="43"/>
  <c r="L234" i="43"/>
  <c r="Y234" i="43" s="1"/>
  <c r="Z234" i="43" s="1"/>
  <c r="L235" i="43"/>
  <c r="Y235" i="43" s="1"/>
  <c r="Z235" i="43" s="1"/>
  <c r="L236" i="43"/>
  <c r="Y236" i="43" s="1"/>
  <c r="Z236" i="43" s="1"/>
  <c r="L237" i="43"/>
  <c r="Y237" i="43" s="1"/>
  <c r="Z237" i="43" s="1"/>
  <c r="L238" i="43"/>
  <c r="L239" i="43"/>
  <c r="Y239" i="43" s="1"/>
  <c r="Z239" i="43" s="1"/>
  <c r="L240" i="43"/>
  <c r="L241" i="43"/>
  <c r="Y241" i="43" s="1"/>
  <c r="AB241" i="43" s="1"/>
  <c r="L242" i="43"/>
  <c r="Y242" i="43" s="1"/>
  <c r="Z242" i="43" s="1"/>
  <c r="L243" i="43"/>
  <c r="Y243" i="43" s="1"/>
  <c r="AB243" i="43" s="1"/>
  <c r="L244" i="43"/>
  <c r="Y244" i="43" s="1"/>
  <c r="AA244" i="43" s="1"/>
  <c r="L245" i="43"/>
  <c r="Y245" i="43" s="1"/>
  <c r="L246" i="43"/>
  <c r="L247" i="43"/>
  <c r="L248" i="43"/>
  <c r="L2" i="43"/>
  <c r="T2" i="87"/>
  <c r="R2" i="87"/>
  <c r="A5" i="48"/>
  <c r="K5" i="48" s="1"/>
  <c r="A6" i="48"/>
  <c r="K6" i="48" s="1"/>
  <c r="A7" i="48"/>
  <c r="K7" i="48" s="1"/>
  <c r="A8" i="48"/>
  <c r="K8" i="48" s="1"/>
  <c r="A9" i="48"/>
  <c r="K9" i="48" s="1"/>
  <c r="A10" i="48"/>
  <c r="K10" i="48" s="1"/>
  <c r="A11" i="48"/>
  <c r="K11" i="48" s="1"/>
  <c r="A12" i="48"/>
  <c r="K12" i="48" s="1"/>
  <c r="A13" i="48"/>
  <c r="K13" i="48" s="1"/>
  <c r="A14" i="48"/>
  <c r="K14" i="48" s="1"/>
  <c r="A15" i="48"/>
  <c r="K15" i="48" s="1"/>
  <c r="A16" i="48"/>
  <c r="K16" i="48" s="1"/>
  <c r="A17" i="48"/>
  <c r="K17" i="48" s="1"/>
  <c r="A18" i="48"/>
  <c r="K18" i="48" s="1"/>
  <c r="A19" i="48"/>
  <c r="K19" i="48" s="1"/>
  <c r="A20" i="48"/>
  <c r="K20" i="48" s="1"/>
  <c r="A21" i="48"/>
  <c r="K21" i="48" s="1"/>
  <c r="A22" i="48"/>
  <c r="K22" i="48" s="1"/>
  <c r="A23" i="48"/>
  <c r="K23" i="48" s="1"/>
  <c r="A24" i="48"/>
  <c r="K24" i="48" s="1"/>
  <c r="A25" i="48"/>
  <c r="K25" i="48" s="1"/>
  <c r="A26" i="48"/>
  <c r="K26" i="48" s="1"/>
  <c r="A27" i="48"/>
  <c r="K27" i="48" s="1"/>
  <c r="A28" i="48"/>
  <c r="K28" i="48" s="1"/>
  <c r="A29" i="48"/>
  <c r="K29" i="48" s="1"/>
  <c r="A30" i="48"/>
  <c r="K30" i="48" s="1"/>
  <c r="A31" i="48"/>
  <c r="K31" i="48" s="1"/>
  <c r="A32" i="48"/>
  <c r="K32" i="48" s="1"/>
  <c r="A33" i="48"/>
  <c r="K33" i="48" s="1"/>
  <c r="A34" i="48"/>
  <c r="K34" i="48" s="1"/>
  <c r="A35" i="48"/>
  <c r="K35" i="48" s="1"/>
  <c r="A36" i="48"/>
  <c r="K36" i="48" s="1"/>
  <c r="A37" i="48"/>
  <c r="K37" i="48" s="1"/>
  <c r="A38" i="48"/>
  <c r="K38" i="48" s="1"/>
  <c r="A39" i="48"/>
  <c r="K39" i="48" s="1"/>
  <c r="A40" i="48"/>
  <c r="K40" i="48" s="1"/>
  <c r="A41" i="48"/>
  <c r="K41" i="48" s="1"/>
  <c r="A42" i="48"/>
  <c r="K42" i="48" s="1"/>
  <c r="A43" i="48"/>
  <c r="K43" i="48" s="1"/>
  <c r="A44" i="48"/>
  <c r="K44" i="48" s="1"/>
  <c r="A45" i="48"/>
  <c r="K45" i="48" s="1"/>
  <c r="A46" i="48"/>
  <c r="K46" i="48" s="1"/>
  <c r="A47" i="48"/>
  <c r="K47" i="48" s="1"/>
  <c r="A48" i="48"/>
  <c r="K48" i="48" s="1"/>
  <c r="A49" i="48"/>
  <c r="K49" i="48" s="1"/>
  <c r="A50" i="48"/>
  <c r="K50" i="48" s="1"/>
  <c r="A51" i="48"/>
  <c r="K51" i="48" s="1"/>
  <c r="A52" i="48"/>
  <c r="K52" i="48" s="1"/>
  <c r="A53" i="48"/>
  <c r="K53" i="48" s="1"/>
  <c r="A54" i="48"/>
  <c r="K54" i="48" s="1"/>
  <c r="A55" i="48"/>
  <c r="K55" i="48" s="1"/>
  <c r="A56" i="48"/>
  <c r="K56" i="48" s="1"/>
  <c r="A57" i="48"/>
  <c r="K57" i="48" s="1"/>
  <c r="A58" i="48"/>
  <c r="K58" i="48" s="1"/>
  <c r="A59" i="48"/>
  <c r="K59" i="48" s="1"/>
  <c r="A60" i="48"/>
  <c r="K60" i="48" s="1"/>
  <c r="A61" i="48"/>
  <c r="K61" i="48" s="1"/>
  <c r="A62" i="48"/>
  <c r="K62" i="48" s="1"/>
  <c r="A63" i="48"/>
  <c r="K63" i="48" s="1"/>
  <c r="A64" i="48"/>
  <c r="K64" i="48" s="1"/>
  <c r="A65" i="48"/>
  <c r="K65" i="48" s="1"/>
  <c r="A66" i="48"/>
  <c r="K66" i="48" s="1"/>
  <c r="A67" i="48"/>
  <c r="K67" i="48" s="1"/>
  <c r="A68" i="48"/>
  <c r="K68" i="48" s="1"/>
  <c r="A69" i="48"/>
  <c r="K69" i="48" s="1"/>
  <c r="A70" i="48"/>
  <c r="K70" i="48" s="1"/>
  <c r="A71" i="48"/>
  <c r="K71" i="48" s="1"/>
  <c r="A72" i="48"/>
  <c r="K72" i="48" s="1"/>
  <c r="A73" i="48"/>
  <c r="K73" i="48" s="1"/>
  <c r="A74" i="48"/>
  <c r="K74" i="48" s="1"/>
  <c r="A75" i="48"/>
  <c r="K75" i="48" s="1"/>
  <c r="A76" i="48"/>
  <c r="K76" i="48" s="1"/>
  <c r="A77" i="48"/>
  <c r="K77" i="48" s="1"/>
  <c r="A78" i="48"/>
  <c r="K78" i="48" s="1"/>
  <c r="A79" i="48"/>
  <c r="K79" i="48" s="1"/>
  <c r="A80" i="48"/>
  <c r="K80" i="48" s="1"/>
  <c r="A81" i="48"/>
  <c r="K81" i="48" s="1"/>
  <c r="A82" i="48"/>
  <c r="K82" i="48" s="1"/>
  <c r="A83" i="48"/>
  <c r="K83" i="48" s="1"/>
  <c r="A84" i="48"/>
  <c r="K84" i="48" s="1"/>
  <c r="A85" i="48"/>
  <c r="K85" i="48" s="1"/>
  <c r="A86" i="48"/>
  <c r="K86" i="48" s="1"/>
  <c r="A87" i="48"/>
  <c r="K87" i="48" s="1"/>
  <c r="A88" i="48"/>
  <c r="K88" i="48" s="1"/>
  <c r="A89" i="48"/>
  <c r="K89" i="48" s="1"/>
  <c r="A90" i="48"/>
  <c r="K90" i="48" s="1"/>
  <c r="A91" i="48"/>
  <c r="K91" i="48" s="1"/>
  <c r="A92" i="48"/>
  <c r="K92" i="48" s="1"/>
  <c r="A93" i="48"/>
  <c r="K93" i="48" s="1"/>
  <c r="A94" i="48"/>
  <c r="K94" i="48" s="1"/>
  <c r="A95" i="48"/>
  <c r="K95" i="48" s="1"/>
  <c r="A96" i="48"/>
  <c r="K96" i="48" s="1"/>
  <c r="A97" i="48"/>
  <c r="K97" i="48" s="1"/>
  <c r="A98" i="48"/>
  <c r="K98" i="48" s="1"/>
  <c r="A99" i="48"/>
  <c r="K99" i="48" s="1"/>
  <c r="A100" i="48"/>
  <c r="K100" i="48" s="1"/>
  <c r="A101" i="48"/>
  <c r="K101" i="48" s="1"/>
  <c r="A102" i="48"/>
  <c r="K102" i="48" s="1"/>
  <c r="A103" i="48"/>
  <c r="K103" i="48" s="1"/>
  <c r="A104" i="48"/>
  <c r="K104" i="48" s="1"/>
  <c r="A105" i="48"/>
  <c r="K105" i="48" s="1"/>
  <c r="A106" i="48"/>
  <c r="K106" i="48" s="1"/>
  <c r="A107" i="48"/>
  <c r="K107" i="48" s="1"/>
  <c r="A108" i="48"/>
  <c r="K108" i="48" s="1"/>
  <c r="A109" i="48"/>
  <c r="K109" i="48" s="1"/>
  <c r="A110" i="48"/>
  <c r="K110" i="48" s="1"/>
  <c r="A111" i="48"/>
  <c r="K111" i="48" s="1"/>
  <c r="A112" i="48"/>
  <c r="K112" i="48" s="1"/>
  <c r="A113" i="48"/>
  <c r="K113" i="48" s="1"/>
  <c r="A114" i="48"/>
  <c r="K114" i="48" s="1"/>
  <c r="A115" i="48"/>
  <c r="K115" i="48" s="1"/>
  <c r="A116" i="48"/>
  <c r="K116" i="48" s="1"/>
  <c r="A117" i="48"/>
  <c r="K117" i="48" s="1"/>
  <c r="A118" i="48"/>
  <c r="K118" i="48" s="1"/>
  <c r="A119" i="48"/>
  <c r="K119" i="48" s="1"/>
  <c r="A120" i="48"/>
  <c r="K120" i="48" s="1"/>
  <c r="A121" i="48"/>
  <c r="K121" i="48" s="1"/>
  <c r="A122" i="48"/>
  <c r="K122" i="48" s="1"/>
  <c r="A123" i="48"/>
  <c r="K123" i="48" s="1"/>
  <c r="A124" i="48"/>
  <c r="K124" i="48" s="1"/>
  <c r="A125" i="48"/>
  <c r="K125" i="48" s="1"/>
  <c r="A126" i="48"/>
  <c r="K126" i="48" s="1"/>
  <c r="A127" i="48"/>
  <c r="K127" i="48" s="1"/>
  <c r="A128" i="48"/>
  <c r="K128" i="48" s="1"/>
  <c r="A129" i="48"/>
  <c r="K129" i="48" s="1"/>
  <c r="A131" i="48"/>
  <c r="K131" i="48" s="1"/>
  <c r="A132" i="48"/>
  <c r="K132" i="48" s="1"/>
  <c r="A133" i="48"/>
  <c r="K133" i="48" s="1"/>
  <c r="A135" i="48"/>
  <c r="K135" i="48" s="1"/>
  <c r="A136" i="48"/>
  <c r="K136" i="48" s="1"/>
  <c r="A137" i="48"/>
  <c r="K137" i="48" s="1"/>
  <c r="A139" i="48"/>
  <c r="K139" i="48" s="1"/>
  <c r="A140" i="48"/>
  <c r="K140" i="48" s="1"/>
  <c r="A141" i="48"/>
  <c r="K141" i="48" s="1"/>
  <c r="A142" i="48"/>
  <c r="K142" i="48" s="1"/>
  <c r="A143" i="48"/>
  <c r="K143" i="48" s="1"/>
  <c r="A145" i="48"/>
  <c r="K145" i="48" s="1"/>
  <c r="A146" i="48"/>
  <c r="K146" i="48" s="1"/>
  <c r="A147" i="48"/>
  <c r="K147" i="48" s="1"/>
  <c r="A149" i="48"/>
  <c r="K149" i="48" s="1"/>
  <c r="A150" i="48"/>
  <c r="K150" i="48" s="1"/>
  <c r="A151" i="48"/>
  <c r="K151" i="48" s="1"/>
  <c r="A152" i="48"/>
  <c r="K152" i="48" s="1"/>
  <c r="A153" i="48"/>
  <c r="K153" i="48" s="1"/>
  <c r="A154" i="48"/>
  <c r="K154" i="48" s="1"/>
  <c r="A155" i="48"/>
  <c r="K155" i="48" s="1"/>
  <c r="A158" i="48"/>
  <c r="K158" i="48" s="1"/>
  <c r="A159" i="48"/>
  <c r="K159" i="48" s="1"/>
  <c r="A160" i="48"/>
  <c r="K160" i="48" s="1"/>
  <c r="A161" i="48"/>
  <c r="K161" i="48" s="1"/>
  <c r="A162" i="48"/>
  <c r="K162" i="48" s="1"/>
  <c r="A163" i="48"/>
  <c r="K163" i="48" s="1"/>
  <c r="A164" i="48"/>
  <c r="K164" i="48" s="1"/>
  <c r="A165" i="48"/>
  <c r="K165" i="48" s="1"/>
  <c r="A166" i="48"/>
  <c r="K166" i="48" s="1"/>
  <c r="A167" i="48"/>
  <c r="K167" i="48" s="1"/>
  <c r="A168" i="48"/>
  <c r="K168" i="48" s="1"/>
  <c r="A170" i="48"/>
  <c r="K170" i="48" s="1"/>
  <c r="A171" i="48"/>
  <c r="K171" i="48" s="1"/>
  <c r="A172" i="48"/>
  <c r="K172" i="48" s="1"/>
  <c r="A173" i="48"/>
  <c r="K173" i="48" s="1"/>
  <c r="A174" i="48"/>
  <c r="K174" i="48" s="1"/>
  <c r="A175" i="48"/>
  <c r="K175" i="48" s="1"/>
  <c r="A176" i="48"/>
  <c r="K176" i="48" s="1"/>
  <c r="A177" i="48"/>
  <c r="K177" i="48" s="1"/>
  <c r="A178" i="48"/>
  <c r="K178" i="48" s="1"/>
  <c r="A179" i="48"/>
  <c r="K179" i="48" s="1"/>
  <c r="A180" i="48"/>
  <c r="K180" i="48" s="1"/>
  <c r="A182" i="48"/>
  <c r="K182" i="48" s="1"/>
  <c r="A183" i="48"/>
  <c r="K183" i="48" s="1"/>
  <c r="A184" i="48"/>
  <c r="K184" i="48" s="1"/>
  <c r="A185" i="48"/>
  <c r="K185" i="48" s="1"/>
  <c r="A186" i="48"/>
  <c r="K186" i="48" s="1"/>
  <c r="A187" i="48"/>
  <c r="K187" i="48" s="1"/>
  <c r="A188" i="48"/>
  <c r="K188" i="48" s="1"/>
  <c r="A189" i="48"/>
  <c r="K189" i="48" s="1"/>
  <c r="A191" i="48"/>
  <c r="K191" i="48" s="1"/>
  <c r="A192" i="48"/>
  <c r="K192" i="48" s="1"/>
  <c r="A193" i="48"/>
  <c r="K193" i="48" s="1"/>
  <c r="A194" i="48"/>
  <c r="K194" i="48" s="1"/>
  <c r="A195" i="48"/>
  <c r="K195" i="48" s="1"/>
  <c r="A196" i="48"/>
  <c r="K196" i="48" s="1"/>
  <c r="A197" i="48"/>
  <c r="K197" i="48" s="1"/>
  <c r="A198" i="48"/>
  <c r="K198" i="48" s="1"/>
  <c r="A199" i="48"/>
  <c r="K199" i="48" s="1"/>
  <c r="A200" i="48"/>
  <c r="K200" i="48" s="1"/>
  <c r="A201" i="48"/>
  <c r="K201" i="48" s="1"/>
  <c r="A203" i="48"/>
  <c r="K203" i="48" s="1"/>
  <c r="A204" i="48"/>
  <c r="K204" i="48" s="1"/>
  <c r="A205" i="48"/>
  <c r="K205" i="48" s="1"/>
  <c r="A206" i="48"/>
  <c r="K206" i="48" s="1"/>
  <c r="A207" i="48"/>
  <c r="K207" i="48" s="1"/>
  <c r="A208" i="48"/>
  <c r="K208" i="48" s="1"/>
  <c r="A209" i="48"/>
  <c r="K209" i="48" s="1"/>
  <c r="A210" i="48"/>
  <c r="K210" i="48" s="1"/>
  <c r="A211" i="48"/>
  <c r="K211" i="48" s="1"/>
  <c r="A212" i="48"/>
  <c r="K212" i="48" s="1"/>
  <c r="A213" i="48"/>
  <c r="K213" i="48" s="1"/>
  <c r="A214" i="48"/>
  <c r="K214" i="48" s="1"/>
  <c r="A215" i="48"/>
  <c r="K215" i="48" s="1"/>
  <c r="A216" i="48"/>
  <c r="K216" i="48" s="1"/>
  <c r="A217" i="48"/>
  <c r="K217" i="48" s="1"/>
  <c r="A219" i="48"/>
  <c r="K219" i="48" s="1"/>
  <c r="A220" i="48"/>
  <c r="K220" i="48" s="1"/>
  <c r="A222" i="48"/>
  <c r="K222" i="48" s="1"/>
  <c r="A223" i="48"/>
  <c r="K223" i="48" s="1"/>
  <c r="A224" i="48"/>
  <c r="K224" i="48" s="1"/>
  <c r="A225" i="48"/>
  <c r="K225" i="48" s="1"/>
  <c r="A227" i="48"/>
  <c r="K227" i="48" s="1"/>
  <c r="A228" i="48"/>
  <c r="K228" i="48" s="1"/>
  <c r="A229" i="48"/>
  <c r="K229" i="48" s="1"/>
  <c r="A231" i="48"/>
  <c r="K231" i="48" s="1"/>
  <c r="A232" i="48"/>
  <c r="K232" i="48" s="1"/>
  <c r="A233" i="48"/>
  <c r="K233" i="48" s="1"/>
  <c r="A234" i="48"/>
  <c r="A235" i="48"/>
  <c r="K235" i="48" s="1"/>
  <c r="A236" i="48"/>
  <c r="K236" i="48" s="1"/>
  <c r="A237" i="48"/>
  <c r="K237" i="48" s="1"/>
  <c r="A238" i="48"/>
  <c r="K238" i="48" s="1"/>
  <c r="A240" i="48"/>
  <c r="K240" i="48" s="1"/>
  <c r="A241" i="48"/>
  <c r="K241" i="48" s="1"/>
  <c r="A242" i="48"/>
  <c r="K242" i="48" s="1"/>
  <c r="A243" i="48"/>
  <c r="K243" i="48" s="1"/>
  <c r="A244" i="48"/>
  <c r="K244" i="48" s="1"/>
  <c r="A245" i="48"/>
  <c r="K245" i="48" s="1"/>
  <c r="A246" i="48"/>
  <c r="K246" i="48" s="1"/>
  <c r="A248" i="48"/>
  <c r="K248" i="48" s="1"/>
  <c r="A249" i="48"/>
  <c r="K249" i="48" s="1"/>
  <c r="A250" i="48"/>
  <c r="K250" i="48" s="1"/>
  <c r="A251" i="48"/>
  <c r="K251" i="48" s="1"/>
  <c r="A252" i="48"/>
  <c r="K252" i="48" s="1"/>
  <c r="A253" i="48"/>
  <c r="K253" i="48" s="1"/>
  <c r="A254" i="48"/>
  <c r="K254" i="48" s="1"/>
  <c r="A255" i="48"/>
  <c r="K255" i="48" s="1"/>
  <c r="A256" i="48"/>
  <c r="K256" i="48" s="1"/>
  <c r="A257" i="48"/>
  <c r="K257" i="48" s="1"/>
  <c r="A258" i="48"/>
  <c r="K258" i="48" s="1"/>
  <c r="A260" i="48"/>
  <c r="K260" i="48" s="1"/>
  <c r="A261" i="48"/>
  <c r="K261" i="48" s="1"/>
  <c r="A262" i="48"/>
  <c r="K262" i="48" s="1"/>
  <c r="A263" i="48"/>
  <c r="K263" i="48" s="1"/>
  <c r="A264" i="48"/>
  <c r="K264" i="48" s="1"/>
  <c r="A265" i="48"/>
  <c r="K265" i="48" s="1"/>
  <c r="A266" i="48"/>
  <c r="K266" i="48" s="1"/>
  <c r="A267" i="48"/>
  <c r="K267" i="48" s="1"/>
  <c r="A268" i="48"/>
  <c r="K268" i="48" s="1"/>
  <c r="A269" i="48"/>
  <c r="K269" i="48" s="1"/>
  <c r="A270" i="48"/>
  <c r="K270" i="48" s="1"/>
  <c r="A271" i="48"/>
  <c r="K271" i="48" s="1"/>
  <c r="A273" i="48"/>
  <c r="K273" i="48" s="1"/>
  <c r="A274" i="48"/>
  <c r="K274" i="48" s="1"/>
  <c r="A275" i="48"/>
  <c r="K275" i="48" s="1"/>
  <c r="A276" i="48"/>
  <c r="K276" i="48" s="1"/>
  <c r="A277" i="48"/>
  <c r="K277" i="48" s="1"/>
  <c r="A278" i="48"/>
  <c r="K278" i="48" s="1"/>
  <c r="A279" i="48"/>
  <c r="K279" i="48" s="1"/>
  <c r="A280" i="48"/>
  <c r="K280" i="48" s="1"/>
  <c r="A281" i="48"/>
  <c r="K281" i="48" s="1"/>
  <c r="A282" i="48"/>
  <c r="K282" i="48" s="1"/>
  <c r="A283" i="48"/>
  <c r="K283" i="48" s="1"/>
  <c r="A285" i="48"/>
  <c r="K285" i="48" s="1"/>
  <c r="A286" i="48"/>
  <c r="K286" i="48" s="1"/>
  <c r="A287" i="48"/>
  <c r="K287" i="48" s="1"/>
  <c r="A289" i="48"/>
  <c r="K289" i="48" s="1"/>
  <c r="A290" i="48"/>
  <c r="K290" i="48" s="1"/>
  <c r="A291" i="48"/>
  <c r="K291" i="48" s="1"/>
  <c r="A292" i="48"/>
  <c r="K292" i="48" s="1"/>
  <c r="A293" i="48"/>
  <c r="K293" i="48" s="1"/>
  <c r="A295" i="48"/>
  <c r="K295" i="48" s="1"/>
  <c r="A296" i="48"/>
  <c r="K296" i="48" s="1"/>
  <c r="A297" i="48"/>
  <c r="K297" i="48" s="1"/>
  <c r="A298" i="48"/>
  <c r="K298" i="48" s="1"/>
  <c r="A299" i="48"/>
  <c r="K299" i="48" s="1"/>
  <c r="A300" i="48"/>
  <c r="K300" i="48" s="1"/>
  <c r="A301" i="48"/>
  <c r="K301" i="48" s="1"/>
  <c r="A302" i="48"/>
  <c r="K302" i="48" s="1"/>
  <c r="A303" i="48"/>
  <c r="K303" i="48" s="1"/>
  <c r="A304" i="48"/>
  <c r="K304" i="48" s="1"/>
  <c r="A305" i="48"/>
  <c r="K305" i="48" s="1"/>
  <c r="A306" i="48"/>
  <c r="K306" i="48" s="1"/>
  <c r="A307" i="48"/>
  <c r="K307" i="48" s="1"/>
  <c r="A308" i="48"/>
  <c r="K308" i="48" s="1"/>
  <c r="A309" i="48"/>
  <c r="K309" i="48" s="1"/>
  <c r="A310" i="48"/>
  <c r="K310" i="48" s="1"/>
  <c r="A311" i="48"/>
  <c r="K311" i="48" s="1"/>
  <c r="A312" i="48"/>
  <c r="K312" i="48" s="1"/>
  <c r="A313" i="48"/>
  <c r="K313" i="48" s="1"/>
  <c r="A314" i="48"/>
  <c r="K314" i="48" s="1"/>
  <c r="A315" i="48"/>
  <c r="K315" i="48" s="1"/>
  <c r="A316" i="48"/>
  <c r="K316" i="48" s="1"/>
  <c r="A318" i="48"/>
  <c r="K318" i="48" s="1"/>
  <c r="A319" i="48"/>
  <c r="K319" i="48" s="1"/>
  <c r="A320" i="48"/>
  <c r="K320" i="48" s="1"/>
  <c r="A321" i="48"/>
  <c r="K321" i="48" s="1"/>
  <c r="A322" i="48"/>
  <c r="A324" i="48"/>
  <c r="K324" i="48" s="1"/>
  <c r="A325" i="48"/>
  <c r="K325" i="48" s="1"/>
  <c r="A326" i="48"/>
  <c r="K326" i="48" s="1"/>
  <c r="A327" i="48"/>
  <c r="K327" i="48" s="1"/>
  <c r="A328" i="48"/>
  <c r="K328" i="48" s="1"/>
  <c r="A329" i="48"/>
  <c r="K329" i="48" s="1"/>
  <c r="A330" i="48"/>
  <c r="K330" i="48" s="1"/>
  <c r="A331" i="48"/>
  <c r="K331" i="48" s="1"/>
  <c r="A332" i="48"/>
  <c r="K332" i="48" s="1"/>
  <c r="A333" i="48"/>
  <c r="K333" i="48" s="1"/>
  <c r="A334" i="48"/>
  <c r="K334" i="48" s="1"/>
  <c r="A335" i="48"/>
  <c r="K335" i="48" s="1"/>
  <c r="A337" i="48"/>
  <c r="K337" i="48" s="1"/>
  <c r="A339" i="48"/>
  <c r="K339" i="48" s="1"/>
  <c r="A340" i="48"/>
  <c r="K340" i="48" s="1"/>
  <c r="A341" i="48"/>
  <c r="K341" i="48" s="1"/>
  <c r="A342" i="48"/>
  <c r="K342" i="48" s="1"/>
  <c r="A343" i="48"/>
  <c r="K343" i="48" s="1"/>
  <c r="A346" i="48"/>
  <c r="K346" i="48" s="1"/>
  <c r="A347" i="48"/>
  <c r="K347" i="48" s="1"/>
  <c r="A348" i="48"/>
  <c r="K348" i="48" s="1"/>
  <c r="A349" i="48"/>
  <c r="K349" i="48" s="1"/>
  <c r="A350" i="48"/>
  <c r="K350" i="48" s="1"/>
  <c r="A351" i="48"/>
  <c r="K351" i="48" s="1"/>
  <c r="A352" i="48"/>
  <c r="A354" i="48"/>
  <c r="K354" i="48" s="1"/>
  <c r="A355" i="48"/>
  <c r="K355" i="48" s="1"/>
  <c r="A356" i="48"/>
  <c r="K356" i="48" s="1"/>
  <c r="A357" i="48"/>
  <c r="K357" i="48" s="1"/>
  <c r="A358" i="48"/>
  <c r="K358" i="48" s="1"/>
  <c r="A359" i="48"/>
  <c r="K359" i="48" s="1"/>
  <c r="A360" i="48"/>
  <c r="K360" i="48" s="1"/>
  <c r="A361" i="48"/>
  <c r="K361" i="48" s="1"/>
  <c r="A362" i="48"/>
  <c r="K362" i="48" s="1"/>
  <c r="A363" i="48"/>
  <c r="K363" i="48" s="1"/>
  <c r="A364" i="48"/>
  <c r="K364" i="48" s="1"/>
  <c r="A365" i="48"/>
  <c r="K365" i="48" s="1"/>
  <c r="A366" i="48"/>
  <c r="K366" i="48" s="1"/>
  <c r="A367" i="48"/>
  <c r="K367" i="48" s="1"/>
  <c r="A368" i="48"/>
  <c r="K368" i="48" s="1"/>
  <c r="A369" i="48"/>
  <c r="K369" i="48" s="1"/>
  <c r="A370" i="48"/>
  <c r="K370" i="48" s="1"/>
  <c r="A371" i="48"/>
  <c r="K371" i="48" s="1"/>
  <c r="A372" i="48"/>
  <c r="K372" i="48" s="1"/>
  <c r="A373" i="48"/>
  <c r="K373" i="48" s="1"/>
  <c r="A375" i="48"/>
  <c r="K375" i="48" s="1"/>
  <c r="A376" i="48"/>
  <c r="K376" i="48" s="1"/>
  <c r="A377" i="48"/>
  <c r="K377" i="48" s="1"/>
  <c r="A378" i="48"/>
  <c r="K378" i="48" s="1"/>
  <c r="A379" i="48"/>
  <c r="K379" i="48" s="1"/>
  <c r="A381" i="48"/>
  <c r="K381" i="48" s="1"/>
  <c r="A384" i="48"/>
  <c r="K384" i="48" s="1"/>
  <c r="A385" i="48"/>
  <c r="K385" i="48" s="1"/>
  <c r="A386" i="48"/>
  <c r="K386" i="48" s="1"/>
  <c r="A387" i="48"/>
  <c r="K387" i="48" s="1"/>
  <c r="A388" i="48"/>
  <c r="K388" i="48" s="1"/>
  <c r="A389" i="48"/>
  <c r="K389" i="48" s="1"/>
  <c r="A390" i="48"/>
  <c r="K390" i="48" s="1"/>
  <c r="A391" i="48"/>
  <c r="K391" i="48" s="1"/>
  <c r="A392" i="48"/>
  <c r="K392" i="48" s="1"/>
  <c r="A393" i="48"/>
  <c r="K393" i="48" s="1"/>
  <c r="A394" i="48"/>
  <c r="K394" i="48" s="1"/>
  <c r="A395" i="48"/>
  <c r="K395" i="48" s="1"/>
  <c r="A396" i="48"/>
  <c r="K396" i="48" s="1"/>
  <c r="A398" i="48"/>
  <c r="K398" i="48" s="1"/>
  <c r="A399" i="48"/>
  <c r="K399" i="48" s="1"/>
  <c r="A400" i="48"/>
  <c r="K400" i="48" s="1"/>
  <c r="A401" i="48"/>
  <c r="K401" i="48" s="1"/>
  <c r="A402" i="48"/>
  <c r="K402" i="48" s="1"/>
  <c r="A403" i="48"/>
  <c r="K403" i="48" s="1"/>
  <c r="A405" i="48"/>
  <c r="K405" i="48" s="1"/>
  <c r="A4" i="48"/>
  <c r="K4" i="48" s="1"/>
  <c r="A3" i="87"/>
  <c r="A4" i="87" s="1"/>
  <c r="A5" i="87" s="1"/>
  <c r="A6" i="87" s="1"/>
  <c r="A7" i="87" s="1"/>
  <c r="A8" i="87" s="1"/>
  <c r="A9" i="87" s="1"/>
  <c r="A10" i="87" s="1"/>
  <c r="A11" i="87" s="1"/>
  <c r="A12" i="87" s="1"/>
  <c r="A13" i="87" s="1"/>
  <c r="A14" i="87" s="1"/>
  <c r="A15" i="87" s="1"/>
  <c r="A16" i="87" s="1"/>
  <c r="A17" i="87" s="1"/>
  <c r="A18" i="87" s="1"/>
  <c r="A19" i="87" s="1"/>
  <c r="A20" i="87" s="1"/>
  <c r="A21" i="87" s="1"/>
  <c r="A22" i="87" s="1"/>
  <c r="A23" i="87" s="1"/>
  <c r="A24" i="87" s="1"/>
  <c r="A25" i="87" s="1"/>
  <c r="A26" i="87" s="1"/>
  <c r="A27" i="87" s="1"/>
  <c r="A28" i="87" s="1"/>
  <c r="A29" i="87" s="1"/>
  <c r="A30" i="87" s="1"/>
  <c r="A31" i="87" s="1"/>
  <c r="A32" i="87" s="1"/>
  <c r="A33" i="87" s="1"/>
  <c r="A34" i="87" s="1"/>
  <c r="A35" i="87" s="1"/>
  <c r="A36" i="87" s="1"/>
  <c r="A37" i="87" s="1"/>
  <c r="A38" i="87" s="1"/>
  <c r="A39" i="87" s="1"/>
  <c r="A40" i="87" s="1"/>
  <c r="A41" i="87" s="1"/>
  <c r="A42" i="87" s="1"/>
  <c r="A43" i="87" s="1"/>
  <c r="A44" i="87" s="1"/>
  <c r="A45" i="87" s="1"/>
  <c r="A46" i="87" s="1"/>
  <c r="A47" i="87" s="1"/>
  <c r="A48" i="87" s="1"/>
  <c r="A49" i="87" s="1"/>
  <c r="A50" i="87" s="1"/>
  <c r="A51" i="87" s="1"/>
  <c r="A52" i="87" s="1"/>
  <c r="A53" i="87" s="1"/>
  <c r="A54" i="87" s="1"/>
  <c r="A55" i="87" s="1"/>
  <c r="A56" i="87" s="1"/>
  <c r="A57" i="87" s="1"/>
  <c r="A58" i="87" s="1"/>
  <c r="A59" i="87" s="1"/>
  <c r="A60" i="87" s="1"/>
  <c r="A61" i="87" s="1"/>
  <c r="A62" i="87" s="1"/>
  <c r="A63" i="87" s="1"/>
  <c r="A64" i="87" s="1"/>
  <c r="A65" i="87" s="1"/>
  <c r="A66" i="87" s="1"/>
  <c r="A67" i="87" s="1"/>
  <c r="A68" i="87" s="1"/>
  <c r="A69" i="87" s="1"/>
  <c r="A70" i="87" s="1"/>
  <c r="A71" i="87" s="1"/>
  <c r="A72" i="87" s="1"/>
  <c r="A73" i="87" s="1"/>
  <c r="A74" i="87" s="1"/>
  <c r="A75" i="87" s="1"/>
  <c r="A76" i="87" s="1"/>
  <c r="A77" i="87" s="1"/>
  <c r="A78" i="87" s="1"/>
  <c r="A79" i="87" s="1"/>
  <c r="A80" i="87" s="1"/>
  <c r="A81" i="87" s="1"/>
  <c r="A82" i="87" s="1"/>
  <c r="A83" i="87" s="1"/>
  <c r="A84" i="87" s="1"/>
  <c r="A85" i="87" s="1"/>
  <c r="A86" i="87" s="1"/>
  <c r="A87" i="87" s="1"/>
  <c r="A88" i="87" s="1"/>
  <c r="A89" i="87" s="1"/>
  <c r="A90" i="87" s="1"/>
  <c r="A91" i="87" s="1"/>
  <c r="A92" i="87" s="1"/>
  <c r="A93" i="87" s="1"/>
  <c r="A94" i="87" s="1"/>
  <c r="A95" i="87" s="1"/>
  <c r="A96" i="87" s="1"/>
  <c r="A97" i="87" s="1"/>
  <c r="A98" i="87" s="1"/>
  <c r="A99" i="87" s="1"/>
  <c r="A100" i="87" s="1"/>
  <c r="A101" i="87" s="1"/>
  <c r="A102" i="87" s="1"/>
  <c r="A103" i="87" s="1"/>
  <c r="A104" i="87" s="1"/>
  <c r="A105" i="87" s="1"/>
  <c r="A106" i="87" s="1"/>
  <c r="A107" i="87" s="1"/>
  <c r="A108" i="87" s="1"/>
  <c r="A109" i="87" s="1"/>
  <c r="A110" i="87" s="1"/>
  <c r="A111" i="87" s="1"/>
  <c r="A112" i="87" s="1"/>
  <c r="A113" i="87" s="1"/>
  <c r="A114" i="87" s="1"/>
  <c r="A115" i="87" s="1"/>
  <c r="A116" i="87" s="1"/>
  <c r="A117" i="87" s="1"/>
  <c r="A118" i="87" s="1"/>
  <c r="A119" i="87" s="1"/>
  <c r="A120" i="87" s="1"/>
  <c r="A121" i="87" s="1"/>
  <c r="A122" i="87" s="1"/>
  <c r="A123" i="87" s="1"/>
  <c r="A124" i="87" s="1"/>
  <c r="A125" i="87" s="1"/>
  <c r="A126" i="87" s="1"/>
  <c r="A127" i="87" s="1"/>
  <c r="A128" i="87" s="1"/>
  <c r="A129" i="87" s="1"/>
  <c r="A130" i="87" s="1"/>
  <c r="A131" i="87" s="1"/>
  <c r="A132" i="87" s="1"/>
  <c r="A133" i="87" s="1"/>
  <c r="A134" i="87" s="1"/>
  <c r="A135" i="87" s="1"/>
  <c r="A136" i="87" s="1"/>
  <c r="A137" i="87" s="1"/>
  <c r="A138" i="87" s="1"/>
  <c r="A139" i="87" s="1"/>
  <c r="A140" i="87" s="1"/>
  <c r="A141" i="87" s="1"/>
  <c r="A142" i="87" s="1"/>
  <c r="A143" i="87" s="1"/>
  <c r="A144" i="87" s="1"/>
  <c r="A145" i="87" s="1"/>
  <c r="A146" i="87" s="1"/>
  <c r="A147" i="87" s="1"/>
  <c r="A148" i="87" s="1"/>
  <c r="A149" i="87" s="1"/>
  <c r="A150" i="87" s="1"/>
  <c r="A151" i="87" s="1"/>
  <c r="A152" i="87" s="1"/>
  <c r="A153" i="87" s="1"/>
  <c r="A154" i="87" s="1"/>
  <c r="A155" i="87" s="1"/>
  <c r="A156" i="87" s="1"/>
  <c r="A157" i="87" s="1"/>
  <c r="A158" i="87" s="1"/>
  <c r="A159" i="87" s="1"/>
  <c r="A160" i="87" s="1"/>
  <c r="A161" i="87" s="1"/>
  <c r="A162" i="87" s="1"/>
  <c r="A163" i="87" s="1"/>
  <c r="A164" i="87" s="1"/>
  <c r="A165" i="87" s="1"/>
  <c r="A166" i="87" s="1"/>
  <c r="A167" i="87" s="1"/>
  <c r="A168" i="87" s="1"/>
  <c r="A169" i="87" s="1"/>
  <c r="A170" i="87" s="1"/>
  <c r="A171" i="87" s="1"/>
  <c r="A172" i="87" s="1"/>
  <c r="A173" i="87" s="1"/>
  <c r="A174" i="87" s="1"/>
  <c r="A175" i="87" s="1"/>
  <c r="A176" i="87" s="1"/>
  <c r="A177" i="87" s="1"/>
  <c r="A178" i="87" s="1"/>
  <c r="A179" i="87" s="1"/>
  <c r="A180" i="87" s="1"/>
  <c r="A181" i="87" s="1"/>
  <c r="A182" i="87" s="1"/>
  <c r="A183" i="87" s="1"/>
  <c r="A184" i="87" s="1"/>
  <c r="A185" i="87" s="1"/>
  <c r="A186" i="87" s="1"/>
  <c r="A187" i="87" s="1"/>
  <c r="A188" i="87" s="1"/>
  <c r="A189" i="87" s="1"/>
  <c r="A190" i="87" s="1"/>
  <c r="A191" i="87" s="1"/>
  <c r="A192" i="87" s="1"/>
  <c r="A193" i="87" s="1"/>
  <c r="A194" i="87" s="1"/>
  <c r="A195" i="87" s="1"/>
  <c r="A196" i="87" s="1"/>
  <c r="A197" i="87" s="1"/>
  <c r="A198" i="87" s="1"/>
  <c r="A199" i="87" s="1"/>
  <c r="A200" i="87" s="1"/>
  <c r="A201" i="87" s="1"/>
  <c r="A202" i="87" s="1"/>
  <c r="A203" i="87" s="1"/>
  <c r="A204" i="87" s="1"/>
  <c r="A205" i="87" s="1"/>
  <c r="A206" i="87" s="1"/>
  <c r="A207" i="87" s="1"/>
  <c r="A208" i="87" s="1"/>
  <c r="A209" i="87" s="1"/>
  <c r="A210" i="87" s="1"/>
  <c r="A211" i="87" s="1"/>
  <c r="A212" i="87" s="1"/>
  <c r="A213" i="87" s="1"/>
  <c r="A214" i="87" s="1"/>
  <c r="A215" i="87" s="1"/>
  <c r="A216" i="87" s="1"/>
  <c r="A217" i="87" s="1"/>
  <c r="A218" i="87" s="1"/>
  <c r="A219" i="87" s="1"/>
  <c r="A220" i="87" s="1"/>
  <c r="A221" i="87" s="1"/>
  <c r="A222" i="87" s="1"/>
  <c r="A223" i="87" s="1"/>
  <c r="A224" i="87" s="1"/>
  <c r="A225" i="87" s="1"/>
  <c r="A226" i="87" s="1"/>
  <c r="A227" i="87" s="1"/>
  <c r="A228" i="87" s="1"/>
  <c r="A229" i="87" s="1"/>
  <c r="A230" i="87" s="1"/>
  <c r="A231" i="87" s="1"/>
  <c r="A232" i="87" s="1"/>
  <c r="A233" i="87" s="1"/>
  <c r="A234" i="87" s="1"/>
  <c r="A235" i="87" s="1"/>
  <c r="A236" i="87" s="1"/>
  <c r="A237" i="87" s="1"/>
  <c r="A238" i="87" s="1"/>
  <c r="A239" i="87" s="1"/>
  <c r="A240" i="87" s="1"/>
  <c r="A241" i="87" s="1"/>
  <c r="A242" i="87" s="1"/>
  <c r="A243" i="87" s="1"/>
  <c r="A244" i="87" s="1"/>
  <c r="A245" i="87" s="1"/>
  <c r="A246" i="87" s="1"/>
  <c r="A247" i="87" s="1"/>
  <c r="A248" i="87" s="1"/>
  <c r="A249" i="87" s="1"/>
  <c r="A250" i="87" s="1"/>
  <c r="A251" i="87" s="1"/>
  <c r="A252" i="87" s="1"/>
  <c r="A253" i="87" s="1"/>
  <c r="A254" i="87" s="1"/>
  <c r="A255" i="87" s="1"/>
  <c r="A256" i="87" s="1"/>
  <c r="A257" i="87" s="1"/>
  <c r="A258" i="87" s="1"/>
  <c r="A259" i="87" s="1"/>
  <c r="A260" i="87" s="1"/>
  <c r="A261" i="87" s="1"/>
  <c r="A262" i="87" s="1"/>
  <c r="A263" i="87" s="1"/>
  <c r="A264" i="87" s="1"/>
  <c r="A265" i="87" s="1"/>
  <c r="A266" i="87" s="1"/>
  <c r="A267" i="87" s="1"/>
  <c r="A268" i="87" s="1"/>
  <c r="A269" i="87" s="1"/>
  <c r="A270" i="87" s="1"/>
  <c r="A271" i="87" s="1"/>
  <c r="A272" i="87" s="1"/>
  <c r="A273" i="87" s="1"/>
  <c r="A274" i="87" s="1"/>
  <c r="A275" i="87" s="1"/>
  <c r="A276" i="87" s="1"/>
  <c r="A277" i="87" s="1"/>
  <c r="A278" i="87" s="1"/>
  <c r="A279" i="87" s="1"/>
  <c r="A280" i="87" s="1"/>
  <c r="A281" i="87" s="1"/>
  <c r="A282" i="87" s="1"/>
  <c r="A283" i="87" s="1"/>
  <c r="A284" i="87" s="1"/>
  <c r="A285" i="87" s="1"/>
  <c r="A286" i="87" s="1"/>
  <c r="A287" i="87" s="1"/>
  <c r="A288" i="87" s="1"/>
  <c r="A289" i="87" s="1"/>
  <c r="A290" i="87" s="1"/>
  <c r="A291" i="87" s="1"/>
  <c r="A292" i="87" s="1"/>
  <c r="A293" i="87" s="1"/>
  <c r="A294" i="87" s="1"/>
  <c r="A295" i="87" s="1"/>
  <c r="A296" i="87" s="1"/>
  <c r="A297" i="87" s="1"/>
  <c r="A298" i="87" s="1"/>
  <c r="A299" i="87" s="1"/>
  <c r="A300" i="87" s="1"/>
  <c r="A301" i="87" s="1"/>
  <c r="A302" i="87" s="1"/>
  <c r="A303" i="87" s="1"/>
  <c r="A304" i="87" s="1"/>
  <c r="A305" i="87" s="1"/>
  <c r="A306" i="87" s="1"/>
  <c r="A307" i="87" s="1"/>
  <c r="A308" i="87" s="1"/>
  <c r="A309" i="87" s="1"/>
  <c r="A310" i="87" s="1"/>
  <c r="A311" i="87" s="1"/>
  <c r="A312" i="87" s="1"/>
  <c r="A313" i="87" s="1"/>
  <c r="A314" i="87" s="1"/>
  <c r="A315" i="87" s="1"/>
  <c r="A316" i="87" s="1"/>
  <c r="A317" i="87" s="1"/>
  <c r="A318" i="87" s="1"/>
  <c r="A319" i="87" s="1"/>
  <c r="A320" i="87" s="1"/>
  <c r="A321" i="87" s="1"/>
  <c r="A322" i="87" s="1"/>
  <c r="A323" i="87" s="1"/>
  <c r="A324" i="87" s="1"/>
  <c r="A325" i="87" s="1"/>
  <c r="A326" i="87" s="1"/>
  <c r="A327" i="87" s="1"/>
  <c r="A328" i="87" s="1"/>
  <c r="A329" i="87" s="1"/>
  <c r="A330" i="87" s="1"/>
  <c r="A331" i="87" s="1"/>
  <c r="A332" i="87" s="1"/>
  <c r="A333" i="87" s="1"/>
  <c r="A334" i="87" s="1"/>
  <c r="A335" i="87" s="1"/>
  <c r="A336" i="87" s="1"/>
  <c r="A337" i="87" s="1"/>
  <c r="A338" i="87" s="1"/>
  <c r="A339" i="87" s="1"/>
  <c r="A340" i="87" s="1"/>
  <c r="A341" i="87" s="1"/>
  <c r="A342" i="87" s="1"/>
  <c r="A343" i="87" s="1"/>
  <c r="A344" i="87" s="1"/>
  <c r="A345" i="87" s="1"/>
  <c r="A346" i="87" s="1"/>
  <c r="A347" i="87" s="1"/>
  <c r="A348" i="87" s="1"/>
  <c r="A349" i="87" s="1"/>
  <c r="A350" i="87" s="1"/>
  <c r="A351" i="87" s="1"/>
  <c r="A352" i="87" s="1"/>
  <c r="A353" i="87" s="1"/>
  <c r="A354" i="87" s="1"/>
  <c r="A355" i="87" s="1"/>
  <c r="A356" i="87" s="1"/>
  <c r="A357" i="87" s="1"/>
  <c r="A358" i="87" s="1"/>
  <c r="A359" i="87" s="1"/>
  <c r="A360" i="87" s="1"/>
  <c r="A361" i="87" s="1"/>
  <c r="A362" i="87" s="1"/>
  <c r="A363" i="87" s="1"/>
  <c r="A364" i="87" s="1"/>
  <c r="A365" i="87" s="1"/>
  <c r="A366" i="87" s="1"/>
  <c r="A367" i="87" s="1"/>
  <c r="A368" i="87" s="1"/>
  <c r="A369" i="87" s="1"/>
  <c r="A370" i="87" s="1"/>
  <c r="A371" i="87" s="1"/>
  <c r="A372" i="87" s="1"/>
  <c r="A373" i="87" s="1"/>
  <c r="A374" i="87" s="1"/>
  <c r="A375" i="87" s="1"/>
  <c r="A376" i="87" s="1"/>
  <c r="A377" i="87" s="1"/>
  <c r="A378" i="87" s="1"/>
  <c r="A379" i="87" s="1"/>
  <c r="A380" i="87" s="1"/>
  <c r="A381" i="87" s="1"/>
  <c r="A382" i="87" s="1"/>
  <c r="A383" i="87" s="1"/>
  <c r="A384" i="87" s="1"/>
  <c r="A385" i="87" s="1"/>
  <c r="A386" i="87" s="1"/>
  <c r="A387" i="87" s="1"/>
  <c r="A388" i="87" s="1"/>
  <c r="A389" i="87" s="1"/>
  <c r="A390" i="87" s="1"/>
  <c r="A391" i="87" s="1"/>
  <c r="A392" i="87" s="1"/>
  <c r="A393" i="87" s="1"/>
  <c r="A394" i="87" s="1"/>
  <c r="A395" i="87" s="1"/>
  <c r="A396" i="87" s="1"/>
  <c r="A397" i="87" s="1"/>
  <c r="A398" i="87" s="1"/>
  <c r="A399" i="87" s="1"/>
  <c r="A400" i="87" s="1"/>
  <c r="A401" i="87" s="1"/>
  <c r="A402" i="87" s="1"/>
  <c r="A403" i="87" s="1"/>
  <c r="A404" i="87" s="1"/>
  <c r="A405" i="87" s="1"/>
  <c r="A406" i="87" s="1"/>
  <c r="A407" i="87" s="1"/>
  <c r="A408" i="87" s="1"/>
  <c r="A409" i="87" s="1"/>
  <c r="A410" i="87" s="1"/>
  <c r="A411" i="87" s="1"/>
  <c r="A412" i="87" s="1"/>
  <c r="A413" i="87" s="1"/>
  <c r="A414" i="87" s="1"/>
  <c r="A415" i="87" s="1"/>
  <c r="A416" i="87" s="1"/>
  <c r="A417" i="87" s="1"/>
  <c r="A418" i="87" s="1"/>
  <c r="A419" i="87" s="1"/>
  <c r="A420" i="87" s="1"/>
  <c r="A421" i="87" s="1"/>
  <c r="A422" i="87" s="1"/>
  <c r="A423" i="87" s="1"/>
  <c r="A424" i="87" s="1"/>
  <c r="A425" i="87" s="1"/>
  <c r="A426" i="87" s="1"/>
  <c r="A427" i="87" s="1"/>
  <c r="A428" i="87" s="1"/>
  <c r="A429" i="87" s="1"/>
  <c r="A430" i="87" s="1"/>
  <c r="A431" i="87" s="1"/>
  <c r="A432" i="87" s="1"/>
  <c r="A433" i="87" s="1"/>
  <c r="A434" i="87" s="1"/>
  <c r="A435" i="87" s="1"/>
  <c r="A436" i="87" s="1"/>
  <c r="A437" i="87" s="1"/>
  <c r="A438" i="87" s="1"/>
  <c r="A439" i="87" s="1"/>
  <c r="A440" i="87" s="1"/>
  <c r="A441" i="87" s="1"/>
  <c r="A442" i="87" s="1"/>
  <c r="A443" i="87" s="1"/>
  <c r="A444" i="87" s="1"/>
  <c r="A445" i="87" s="1"/>
  <c r="A446" i="87" s="1"/>
  <c r="A447" i="87" s="1"/>
  <c r="A448" i="87" s="1"/>
  <c r="A449" i="87" s="1"/>
  <c r="A450" i="87" s="1"/>
  <c r="A451" i="87" s="1"/>
  <c r="A452" i="87" s="1"/>
  <c r="A453" i="87" s="1"/>
  <c r="A454" i="87" s="1"/>
  <c r="A455" i="87" s="1"/>
  <c r="A456" i="87" s="1"/>
  <c r="A457" i="87" s="1"/>
  <c r="A458" i="87" s="1"/>
  <c r="A459" i="87" s="1"/>
  <c r="A460" i="87" s="1"/>
  <c r="A461" i="87" s="1"/>
  <c r="A462" i="87" s="1"/>
  <c r="A463" i="87" s="1"/>
  <c r="A464" i="87" s="1"/>
  <c r="A465" i="87" s="1"/>
  <c r="A466" i="87" s="1"/>
  <c r="A467" i="87" s="1"/>
  <c r="A468" i="87" s="1"/>
  <c r="A469" i="87" s="1"/>
  <c r="A470" i="87" s="1"/>
  <c r="A471" i="87" s="1"/>
  <c r="A472" i="87" s="1"/>
  <c r="A473" i="87" s="1"/>
  <c r="A474" i="87" s="1"/>
  <c r="A475" i="87" s="1"/>
  <c r="A476" i="87" s="1"/>
  <c r="A477" i="87" s="1"/>
  <c r="A478" i="87" s="1"/>
  <c r="A479" i="87" s="1"/>
  <c r="A480" i="87" s="1"/>
  <c r="A481" i="87" s="1"/>
  <c r="A482" i="87" s="1"/>
  <c r="A483" i="87" s="1"/>
  <c r="A484" i="87" s="1"/>
  <c r="A485" i="87" s="1"/>
  <c r="A486" i="87" s="1"/>
  <c r="A487" i="87" s="1"/>
  <c r="A488" i="87" s="1"/>
  <c r="A489" i="87" s="1"/>
  <c r="A490" i="87" s="1"/>
  <c r="A491" i="87" s="1"/>
  <c r="A492" i="87" s="1"/>
  <c r="A493" i="87" s="1"/>
  <c r="A494" i="87" s="1"/>
  <c r="A495" i="87" s="1"/>
  <c r="A496" i="87" s="1"/>
  <c r="A497" i="87" s="1"/>
  <c r="A498" i="87" s="1"/>
  <c r="A499" i="87" s="1"/>
  <c r="A500" i="87" s="1"/>
  <c r="A501" i="87" s="1"/>
  <c r="A502" i="87" s="1"/>
  <c r="A503" i="87" s="1"/>
  <c r="A504" i="87" s="1"/>
  <c r="A505" i="87" s="1"/>
  <c r="A506" i="87" s="1"/>
  <c r="A507" i="87" s="1"/>
  <c r="A508" i="87" s="1"/>
  <c r="A509" i="87" s="1"/>
  <c r="A510" i="87" s="1"/>
  <c r="A511" i="87" s="1"/>
  <c r="A512" i="87" s="1"/>
  <c r="A513" i="87" s="1"/>
  <c r="A514" i="87" s="1"/>
  <c r="A515" i="87" s="1"/>
  <c r="A516" i="87" s="1"/>
  <c r="A517" i="87" s="1"/>
  <c r="A518" i="87" s="1"/>
  <c r="A519" i="87" s="1"/>
  <c r="A520" i="87" s="1"/>
  <c r="Y226" i="43"/>
  <c r="Y229" i="43"/>
  <c r="Y232" i="43"/>
  <c r="Y233" i="43"/>
  <c r="Y238" i="43"/>
  <c r="Y240" i="43"/>
  <c r="Y246" i="43"/>
  <c r="Y247" i="43"/>
  <c r="Y248" i="43"/>
  <c r="W225" i="43"/>
  <c r="W226" i="43"/>
  <c r="W227" i="43"/>
  <c r="W228" i="43"/>
  <c r="W229" i="43"/>
  <c r="W230" i="43"/>
  <c r="W231" i="43"/>
  <c r="W232" i="43"/>
  <c r="W233" i="43"/>
  <c r="W234" i="43"/>
  <c r="W235" i="43"/>
  <c r="W236" i="43"/>
  <c r="W237" i="43"/>
  <c r="W238" i="43"/>
  <c r="W239" i="43"/>
  <c r="W240" i="43"/>
  <c r="W241" i="43"/>
  <c r="W242" i="43"/>
  <c r="W243" i="43"/>
  <c r="W244" i="43"/>
  <c r="W245" i="43"/>
  <c r="W246" i="43"/>
  <c r="W247" i="43"/>
  <c r="W248" i="43"/>
  <c r="U225" i="43"/>
  <c r="U226" i="43"/>
  <c r="U227" i="43"/>
  <c r="U228" i="43"/>
  <c r="U229" i="43"/>
  <c r="U230" i="43"/>
  <c r="U231" i="43"/>
  <c r="U232" i="43"/>
  <c r="U233" i="43"/>
  <c r="U234" i="43"/>
  <c r="U235" i="43"/>
  <c r="U236" i="43"/>
  <c r="U237" i="43"/>
  <c r="U238" i="43"/>
  <c r="U239" i="43"/>
  <c r="U240" i="43"/>
  <c r="U241" i="43"/>
  <c r="U242" i="43"/>
  <c r="U243" i="43"/>
  <c r="U244" i="43"/>
  <c r="U245" i="43"/>
  <c r="U246" i="43"/>
  <c r="U247" i="43"/>
  <c r="U248" i="43"/>
  <c r="S225" i="43"/>
  <c r="S226" i="43"/>
  <c r="S227" i="43"/>
  <c r="S228" i="43"/>
  <c r="S229" i="43"/>
  <c r="S230" i="43"/>
  <c r="S231" i="43"/>
  <c r="S232" i="43"/>
  <c r="S233" i="43"/>
  <c r="S234" i="43"/>
  <c r="S235" i="43"/>
  <c r="S236" i="43"/>
  <c r="S237" i="43"/>
  <c r="S238" i="43"/>
  <c r="S239" i="43"/>
  <c r="S240" i="43"/>
  <c r="S241" i="43"/>
  <c r="S242" i="43"/>
  <c r="S243" i="43"/>
  <c r="S244" i="43"/>
  <c r="S245" i="43"/>
  <c r="S246" i="43"/>
  <c r="S247" i="43"/>
  <c r="S248" i="43"/>
  <c r="N225" i="43"/>
  <c r="N226" i="43"/>
  <c r="N227" i="43"/>
  <c r="N228" i="43"/>
  <c r="N229" i="43"/>
  <c r="N230" i="43"/>
  <c r="N231" i="43"/>
  <c r="N232" i="43"/>
  <c r="N233" i="43"/>
  <c r="N234" i="43"/>
  <c r="N235" i="43"/>
  <c r="N236" i="43"/>
  <c r="N237" i="43"/>
  <c r="N238" i="43"/>
  <c r="N239" i="43"/>
  <c r="N240" i="43"/>
  <c r="N241" i="43"/>
  <c r="N242" i="43"/>
  <c r="N243" i="43"/>
  <c r="N244" i="43"/>
  <c r="N245" i="43"/>
  <c r="N246" i="43"/>
  <c r="N247" i="43"/>
  <c r="N248" i="43"/>
  <c r="Y204" i="43"/>
  <c r="Y207" i="43"/>
  <c r="Y208" i="43"/>
  <c r="Y212" i="43"/>
  <c r="Y215" i="43"/>
  <c r="Y216" i="43"/>
  <c r="Y222" i="43"/>
  <c r="Y223" i="43"/>
  <c r="Y224" i="43"/>
  <c r="W203" i="43"/>
  <c r="W204" i="43"/>
  <c r="W205" i="43"/>
  <c r="W206" i="43"/>
  <c r="W207" i="43"/>
  <c r="W208" i="43"/>
  <c r="W209" i="43"/>
  <c r="W210" i="43"/>
  <c r="W211" i="43"/>
  <c r="W212" i="43"/>
  <c r="W213" i="43"/>
  <c r="W214" i="43"/>
  <c r="W215" i="43"/>
  <c r="W216" i="43"/>
  <c r="W217" i="43"/>
  <c r="W218" i="43"/>
  <c r="W219" i="43"/>
  <c r="W220" i="43"/>
  <c r="W221" i="43"/>
  <c r="W222" i="43"/>
  <c r="W223" i="43"/>
  <c r="W224" i="43"/>
  <c r="U203" i="43"/>
  <c r="U204" i="43"/>
  <c r="U205" i="43"/>
  <c r="U206" i="43"/>
  <c r="U207" i="43"/>
  <c r="U208" i="43"/>
  <c r="U209" i="43"/>
  <c r="U210" i="43"/>
  <c r="U211" i="43"/>
  <c r="U212" i="43"/>
  <c r="U213" i="43"/>
  <c r="U214" i="43"/>
  <c r="U215" i="43"/>
  <c r="U216" i="43"/>
  <c r="U217" i="43"/>
  <c r="U218" i="43"/>
  <c r="U219" i="43"/>
  <c r="U220" i="43"/>
  <c r="U221" i="43"/>
  <c r="U222" i="43"/>
  <c r="U223" i="43"/>
  <c r="U224" i="43"/>
  <c r="S203" i="43"/>
  <c r="S204" i="43"/>
  <c r="S205" i="43"/>
  <c r="S206" i="43"/>
  <c r="S207" i="43"/>
  <c r="S208" i="43"/>
  <c r="S209" i="43"/>
  <c r="S210" i="43"/>
  <c r="S211" i="43"/>
  <c r="S212" i="43"/>
  <c r="S213" i="43"/>
  <c r="S214" i="43"/>
  <c r="S215" i="43"/>
  <c r="S216" i="43"/>
  <c r="S217" i="43"/>
  <c r="S218" i="43"/>
  <c r="S219" i="43"/>
  <c r="S220" i="43"/>
  <c r="S221" i="43"/>
  <c r="S222" i="43"/>
  <c r="S223" i="43"/>
  <c r="S224" i="43"/>
  <c r="N203" i="43"/>
  <c r="N204" i="43"/>
  <c r="N205" i="43"/>
  <c r="N206" i="43"/>
  <c r="N207" i="43"/>
  <c r="N208" i="43"/>
  <c r="N209" i="43"/>
  <c r="N210" i="43"/>
  <c r="N211" i="43"/>
  <c r="N212" i="43"/>
  <c r="N213" i="43"/>
  <c r="N214" i="43"/>
  <c r="N215" i="43"/>
  <c r="N216" i="43"/>
  <c r="N217" i="43"/>
  <c r="N218" i="43"/>
  <c r="N219" i="43"/>
  <c r="N220" i="43"/>
  <c r="N221" i="43"/>
  <c r="N222" i="43"/>
  <c r="N223" i="43"/>
  <c r="N224" i="43"/>
  <c r="Y186" i="43"/>
  <c r="Y187" i="43"/>
  <c r="Y190" i="43"/>
  <c r="Y191" i="43"/>
  <c r="Y192" i="43"/>
  <c r="Y194" i="43"/>
  <c r="Y196" i="43"/>
  <c r="Y198" i="43"/>
  <c r="Y200" i="43"/>
  <c r="W182" i="43"/>
  <c r="W183" i="43"/>
  <c r="W184" i="43"/>
  <c r="W185" i="43"/>
  <c r="W186" i="43"/>
  <c r="W187" i="43"/>
  <c r="W188" i="43"/>
  <c r="W189" i="43"/>
  <c r="W190" i="43"/>
  <c r="W191" i="43"/>
  <c r="W192" i="43"/>
  <c r="W193" i="43"/>
  <c r="W194" i="43"/>
  <c r="W195" i="43"/>
  <c r="W196" i="43"/>
  <c r="W197" i="43"/>
  <c r="W198" i="43"/>
  <c r="W199" i="43"/>
  <c r="W200" i="43"/>
  <c r="W201" i="43"/>
  <c r="W202" i="43"/>
  <c r="U182" i="43"/>
  <c r="U183" i="43"/>
  <c r="U184" i="43"/>
  <c r="U185" i="43"/>
  <c r="U186" i="43"/>
  <c r="U187" i="43"/>
  <c r="U188" i="43"/>
  <c r="U189" i="43"/>
  <c r="U190" i="43"/>
  <c r="U191" i="43"/>
  <c r="U192" i="43"/>
  <c r="U193" i="43"/>
  <c r="U194" i="43"/>
  <c r="U195" i="43"/>
  <c r="U196" i="43"/>
  <c r="U197" i="43"/>
  <c r="U198" i="43"/>
  <c r="U199" i="43"/>
  <c r="U200" i="43"/>
  <c r="U201" i="43"/>
  <c r="U202" i="43"/>
  <c r="S182" i="43"/>
  <c r="S183" i="43"/>
  <c r="S184" i="43"/>
  <c r="S185" i="43"/>
  <c r="S186" i="43"/>
  <c r="S187" i="43"/>
  <c r="S188" i="43"/>
  <c r="S189" i="43"/>
  <c r="S190" i="43"/>
  <c r="S191" i="43"/>
  <c r="S192" i="43"/>
  <c r="S193" i="43"/>
  <c r="S194" i="43"/>
  <c r="S195" i="43"/>
  <c r="S196" i="43"/>
  <c r="S197" i="43"/>
  <c r="S198" i="43"/>
  <c r="S199" i="43"/>
  <c r="S200" i="43"/>
  <c r="S201" i="43"/>
  <c r="S202" i="43"/>
  <c r="N182" i="43"/>
  <c r="N183" i="43"/>
  <c r="N184" i="43"/>
  <c r="N185" i="43"/>
  <c r="N186" i="43"/>
  <c r="N187" i="43"/>
  <c r="N188" i="43"/>
  <c r="N189" i="43"/>
  <c r="N190" i="43"/>
  <c r="N191" i="43"/>
  <c r="N192" i="43"/>
  <c r="N193" i="43"/>
  <c r="N194" i="43"/>
  <c r="N195" i="43"/>
  <c r="N196" i="43"/>
  <c r="N197" i="43"/>
  <c r="N198" i="43"/>
  <c r="N199" i="43"/>
  <c r="N200" i="43"/>
  <c r="N201" i="43"/>
  <c r="N202" i="43"/>
  <c r="Y160" i="43"/>
  <c r="Y164" i="43"/>
  <c r="Y167" i="43"/>
  <c r="Y168" i="43"/>
  <c r="Y169" i="43"/>
  <c r="Y174" i="43"/>
  <c r="Y176" i="43"/>
  <c r="Y180" i="43"/>
  <c r="Y181" i="43"/>
  <c r="W160" i="43"/>
  <c r="W161" i="43"/>
  <c r="W162" i="43"/>
  <c r="W163" i="43"/>
  <c r="W164" i="43"/>
  <c r="W165" i="43"/>
  <c r="W166" i="43"/>
  <c r="W167" i="43"/>
  <c r="W168" i="43"/>
  <c r="W169" i="43"/>
  <c r="W170" i="43"/>
  <c r="W171" i="43"/>
  <c r="W172" i="43"/>
  <c r="W173" i="43"/>
  <c r="W174" i="43"/>
  <c r="W175" i="43"/>
  <c r="W176" i="43"/>
  <c r="W177" i="43"/>
  <c r="W178" i="43"/>
  <c r="W179" i="43"/>
  <c r="W180" i="43"/>
  <c r="W181" i="43"/>
  <c r="U160" i="43"/>
  <c r="U161" i="43"/>
  <c r="U162" i="43"/>
  <c r="U163" i="43"/>
  <c r="U164" i="43"/>
  <c r="U165" i="43"/>
  <c r="U166" i="43"/>
  <c r="U167" i="43"/>
  <c r="U168" i="43"/>
  <c r="U169" i="43"/>
  <c r="U170" i="43"/>
  <c r="U171" i="43"/>
  <c r="U172" i="43"/>
  <c r="U173" i="43"/>
  <c r="U174" i="43"/>
  <c r="U175" i="43"/>
  <c r="U176" i="43"/>
  <c r="U177" i="43"/>
  <c r="U178" i="43"/>
  <c r="U179" i="43"/>
  <c r="U180" i="43"/>
  <c r="U181" i="43"/>
  <c r="S160" i="43"/>
  <c r="S161" i="43"/>
  <c r="S162" i="43"/>
  <c r="S163" i="43"/>
  <c r="S164" i="43"/>
  <c r="S165" i="43"/>
  <c r="S166" i="43"/>
  <c r="S167" i="43"/>
  <c r="S168" i="43"/>
  <c r="S169" i="43"/>
  <c r="S170" i="43"/>
  <c r="S171" i="43"/>
  <c r="S172" i="43"/>
  <c r="S173" i="43"/>
  <c r="S174" i="43"/>
  <c r="S175" i="43"/>
  <c r="S176" i="43"/>
  <c r="S177" i="43"/>
  <c r="S178" i="43"/>
  <c r="S179" i="43"/>
  <c r="S180" i="43"/>
  <c r="S181" i="43"/>
  <c r="N160" i="43"/>
  <c r="N161" i="43"/>
  <c r="N162" i="43"/>
  <c r="N163" i="43"/>
  <c r="N164" i="43"/>
  <c r="N165" i="43"/>
  <c r="N166" i="43"/>
  <c r="N167" i="43"/>
  <c r="N168" i="43"/>
  <c r="N169" i="43"/>
  <c r="N170" i="43"/>
  <c r="N171" i="43"/>
  <c r="N172" i="43"/>
  <c r="N173" i="43"/>
  <c r="N174" i="43"/>
  <c r="N175" i="43"/>
  <c r="N176" i="43"/>
  <c r="N177" i="43"/>
  <c r="N178" i="43"/>
  <c r="N179" i="43"/>
  <c r="N180" i="43"/>
  <c r="N181" i="43"/>
  <c r="G4" i="84" a="1"/>
  <c r="G4" i="84" s="1"/>
  <c r="G5" i="84" a="1"/>
  <c r="G5" i="84" s="1"/>
  <c r="G6" i="84" a="1"/>
  <c r="G6" i="84" s="1"/>
  <c r="G7" i="84" a="1"/>
  <c r="G7" i="84" s="1"/>
  <c r="G8" i="84" a="1"/>
  <c r="G8" i="84" s="1"/>
  <c r="G9" i="84" a="1"/>
  <c r="G9" i="84" s="1"/>
  <c r="G10" i="84" a="1"/>
  <c r="G10" i="84" s="1"/>
  <c r="G11" i="84" a="1"/>
  <c r="G11" i="84" s="1"/>
  <c r="G12" i="84" a="1"/>
  <c r="G12" i="84" s="1"/>
  <c r="G13" i="84" a="1"/>
  <c r="G13" i="84" s="1"/>
  <c r="G14" i="84" a="1"/>
  <c r="G14" i="84" s="1"/>
  <c r="G3" i="84" a="1"/>
  <c r="G3" i="84" s="1"/>
  <c r="F4" i="84" a="1"/>
  <c r="F4" i="84" s="1"/>
  <c r="F5" i="84" a="1"/>
  <c r="F5" i="84" s="1"/>
  <c r="F6" i="84" a="1"/>
  <c r="F6" i="84" s="1"/>
  <c r="F7" i="84" a="1"/>
  <c r="F7" i="84" s="1"/>
  <c r="F8" i="84" a="1"/>
  <c r="F8" i="84" s="1"/>
  <c r="F9" i="84" a="1"/>
  <c r="F9" i="84" s="1"/>
  <c r="F10" i="84" a="1"/>
  <c r="F10" i="84" s="1"/>
  <c r="F11" i="84" a="1"/>
  <c r="F11" i="84" s="1"/>
  <c r="F12" i="84" a="1"/>
  <c r="F12" i="84" s="1"/>
  <c r="F13" i="84" a="1"/>
  <c r="F13" i="84" s="1"/>
  <c r="F14" i="84" a="1"/>
  <c r="F14" i="84" s="1"/>
  <c r="F3" i="84" a="1"/>
  <c r="F3" i="84" s="1"/>
  <c r="E12" i="84" a="1"/>
  <c r="E12" i="84" s="1"/>
  <c r="E13" i="84" a="1"/>
  <c r="E13" i="84" s="1"/>
  <c r="E14" i="84" a="1"/>
  <c r="E14" i="84" s="1"/>
  <c r="E4" i="84" a="1"/>
  <c r="E4" i="84" s="1"/>
  <c r="E5" i="84" a="1"/>
  <c r="E5" i="84" s="1"/>
  <c r="E6" i="84" a="1"/>
  <c r="E6" i="84" s="1"/>
  <c r="E7" i="84" a="1"/>
  <c r="E7" i="84" s="1"/>
  <c r="E8" i="84" a="1"/>
  <c r="E8" i="84" s="1"/>
  <c r="E9" i="84" a="1"/>
  <c r="E9" i="84" s="1"/>
  <c r="E10" i="84" a="1"/>
  <c r="E10" i="84" s="1"/>
  <c r="E11" i="84" a="1"/>
  <c r="E11" i="84" s="1"/>
  <c r="E3" i="84" a="1"/>
  <c r="E3" i="84" s="1"/>
  <c r="D4" i="84" a="1"/>
  <c r="D4" i="84" s="1"/>
  <c r="D5" i="84" a="1"/>
  <c r="D5" i="84" s="1"/>
  <c r="D6" i="84" a="1"/>
  <c r="D6" i="84" s="1"/>
  <c r="D7" i="84" a="1"/>
  <c r="D7" i="84" s="1"/>
  <c r="D8" i="84" a="1"/>
  <c r="D8" i="84" s="1"/>
  <c r="D9" i="84" a="1"/>
  <c r="D9" i="84" s="1"/>
  <c r="D10" i="84" a="1"/>
  <c r="D10" i="84" s="1"/>
  <c r="D11" i="84" a="1"/>
  <c r="D11" i="84" s="1"/>
  <c r="D12" i="84" a="1"/>
  <c r="D12" i="84" s="1"/>
  <c r="D13" i="84" a="1"/>
  <c r="D13" i="84" s="1"/>
  <c r="D14" i="84" a="1"/>
  <c r="D14" i="84" s="1"/>
  <c r="R3" i="86"/>
  <c r="R4" i="86"/>
  <c r="R5" i="86"/>
  <c r="R6" i="86"/>
  <c r="R7" i="86"/>
  <c r="R8" i="86"/>
  <c r="R9" i="86"/>
  <c r="R10" i="86"/>
  <c r="R11" i="86"/>
  <c r="R12" i="86"/>
  <c r="R13" i="86"/>
  <c r="R14" i="86"/>
  <c r="R15" i="86"/>
  <c r="R16" i="86"/>
  <c r="R17" i="86"/>
  <c r="R18" i="86"/>
  <c r="R19" i="86"/>
  <c r="R20" i="86"/>
  <c r="R21" i="86"/>
  <c r="R22" i="86"/>
  <c r="R23" i="86"/>
  <c r="R24" i="86"/>
  <c r="R25" i="86"/>
  <c r="R26" i="86"/>
  <c r="R27" i="86"/>
  <c r="R28" i="86"/>
  <c r="R29" i="86"/>
  <c r="R30" i="86"/>
  <c r="R31" i="86"/>
  <c r="R32" i="86"/>
  <c r="R33" i="86"/>
  <c r="R34" i="86"/>
  <c r="R35" i="86"/>
  <c r="R36" i="86"/>
  <c r="R37" i="86"/>
  <c r="R38" i="86"/>
  <c r="R39" i="86"/>
  <c r="R40" i="86"/>
  <c r="R41" i="86"/>
  <c r="R42" i="86"/>
  <c r="R43" i="86"/>
  <c r="R44" i="86"/>
  <c r="R45" i="86"/>
  <c r="R46" i="86"/>
  <c r="R47" i="86"/>
  <c r="R48" i="86"/>
  <c r="R49" i="86"/>
  <c r="R50" i="86"/>
  <c r="R51" i="86"/>
  <c r="R52" i="86"/>
  <c r="R53" i="86"/>
  <c r="R54" i="86"/>
  <c r="R55" i="86"/>
  <c r="R56" i="86"/>
  <c r="R57" i="86"/>
  <c r="R58" i="86"/>
  <c r="R59" i="86"/>
  <c r="R60" i="86"/>
  <c r="R61" i="86"/>
  <c r="R62" i="86"/>
  <c r="R63" i="86"/>
  <c r="R64" i="86"/>
  <c r="R65" i="86"/>
  <c r="R66" i="86"/>
  <c r="R67" i="86"/>
  <c r="R68" i="86"/>
  <c r="R69" i="86"/>
  <c r="R70" i="86"/>
  <c r="R71" i="86"/>
  <c r="R72" i="86"/>
  <c r="R73" i="86"/>
  <c r="R74" i="86"/>
  <c r="R75" i="86"/>
  <c r="R76" i="86"/>
  <c r="R77" i="86"/>
  <c r="R78" i="86"/>
  <c r="R79" i="86"/>
  <c r="R80" i="86"/>
  <c r="R81" i="86"/>
  <c r="R82" i="86"/>
  <c r="R83" i="86"/>
  <c r="R84" i="86"/>
  <c r="R85" i="86"/>
  <c r="R86" i="86"/>
  <c r="R87" i="86"/>
  <c r="R88" i="86"/>
  <c r="R89" i="86"/>
  <c r="R90" i="86"/>
  <c r="R91" i="86"/>
  <c r="R92" i="86"/>
  <c r="R93" i="86"/>
  <c r="R94" i="86"/>
  <c r="R95" i="86"/>
  <c r="R96" i="86"/>
  <c r="R97" i="86"/>
  <c r="R98" i="86"/>
  <c r="R99" i="86"/>
  <c r="R100" i="86"/>
  <c r="R101" i="86"/>
  <c r="R102" i="86"/>
  <c r="R103" i="86"/>
  <c r="R104" i="86"/>
  <c r="R105" i="86"/>
  <c r="R106" i="86"/>
  <c r="R107" i="86"/>
  <c r="R108" i="86"/>
  <c r="R109" i="86"/>
  <c r="R110" i="86"/>
  <c r="R111" i="86"/>
  <c r="R112" i="86"/>
  <c r="R113" i="86"/>
  <c r="R114" i="86"/>
  <c r="R115" i="86"/>
  <c r="R116" i="86"/>
  <c r="R117" i="86"/>
  <c r="R118" i="86"/>
  <c r="R119" i="86"/>
  <c r="R120" i="86"/>
  <c r="R121" i="86"/>
  <c r="R122" i="86"/>
  <c r="R123" i="86"/>
  <c r="R124" i="86"/>
  <c r="R125" i="86"/>
  <c r="R126" i="86"/>
  <c r="R127" i="86"/>
  <c r="R128" i="86"/>
  <c r="R129" i="86"/>
  <c r="R130" i="86"/>
  <c r="R131" i="86"/>
  <c r="R132" i="86"/>
  <c r="R133" i="86"/>
  <c r="R134" i="86"/>
  <c r="R135" i="86"/>
  <c r="R136" i="86"/>
  <c r="R137" i="86"/>
  <c r="R138" i="86"/>
  <c r="R139" i="86"/>
  <c r="R140" i="86"/>
  <c r="R141" i="86"/>
  <c r="R142" i="86"/>
  <c r="R143" i="86"/>
  <c r="R144" i="86"/>
  <c r="R145" i="86"/>
  <c r="R146" i="86"/>
  <c r="R147" i="86"/>
  <c r="R148" i="86"/>
  <c r="R149" i="86"/>
  <c r="R150" i="86"/>
  <c r="R151" i="86"/>
  <c r="R152" i="86"/>
  <c r="R153" i="86"/>
  <c r="R154" i="86"/>
  <c r="R155" i="86"/>
  <c r="R156" i="86"/>
  <c r="R157" i="86"/>
  <c r="R158" i="86"/>
  <c r="R159" i="86"/>
  <c r="R160" i="86"/>
  <c r="R161" i="86"/>
  <c r="R162" i="86"/>
  <c r="R163" i="86"/>
  <c r="R164" i="86"/>
  <c r="R165" i="86"/>
  <c r="R166" i="86"/>
  <c r="R167" i="86"/>
  <c r="R168" i="86"/>
  <c r="R169" i="86"/>
  <c r="R170" i="86"/>
  <c r="R171" i="86"/>
  <c r="R172" i="86"/>
  <c r="R173" i="86"/>
  <c r="R174" i="86"/>
  <c r="R175" i="86"/>
  <c r="R176" i="86"/>
  <c r="R177" i="86"/>
  <c r="R178" i="86"/>
  <c r="R179" i="86"/>
  <c r="R180" i="86"/>
  <c r="R181" i="86"/>
  <c r="R182" i="86"/>
  <c r="R183" i="86"/>
  <c r="R184" i="86"/>
  <c r="R185" i="86"/>
  <c r="R186" i="86"/>
  <c r="R187" i="86"/>
  <c r="R188" i="86"/>
  <c r="R189" i="86"/>
  <c r="R190" i="86"/>
  <c r="R191" i="86"/>
  <c r="R192" i="86"/>
  <c r="R193" i="86"/>
  <c r="R194" i="86"/>
  <c r="R195" i="86"/>
  <c r="R196" i="86"/>
  <c r="R197" i="86"/>
  <c r="R198" i="86"/>
  <c r="R199" i="86"/>
  <c r="R200" i="86"/>
  <c r="R201" i="86"/>
  <c r="R202" i="86"/>
  <c r="R203" i="86"/>
  <c r="R204" i="86"/>
  <c r="R205" i="86"/>
  <c r="R206" i="86"/>
  <c r="R207" i="86"/>
  <c r="R208" i="86"/>
  <c r="R209" i="86"/>
  <c r="R210" i="86"/>
  <c r="R211" i="86"/>
  <c r="R212" i="86"/>
  <c r="R213" i="86"/>
  <c r="R214" i="86"/>
  <c r="R215" i="86"/>
  <c r="R216" i="86"/>
  <c r="R217" i="86"/>
  <c r="R218" i="86"/>
  <c r="R219" i="86"/>
  <c r="R220" i="86"/>
  <c r="R221" i="86"/>
  <c r="R222" i="86"/>
  <c r="R223" i="86"/>
  <c r="R224" i="86"/>
  <c r="R225" i="86"/>
  <c r="R226" i="86"/>
  <c r="R227" i="86"/>
  <c r="R228" i="86"/>
  <c r="R229" i="86"/>
  <c r="R230" i="86"/>
  <c r="R231" i="86"/>
  <c r="R232" i="86"/>
  <c r="R233" i="86"/>
  <c r="R234" i="86"/>
  <c r="R235" i="86"/>
  <c r="R236" i="86"/>
  <c r="R237" i="86"/>
  <c r="R238" i="86"/>
  <c r="R239" i="86"/>
  <c r="R240" i="86"/>
  <c r="R241" i="86"/>
  <c r="R242" i="86"/>
  <c r="R243" i="86"/>
  <c r="R244" i="86"/>
  <c r="R245" i="86"/>
  <c r="R246" i="86"/>
  <c r="R247" i="86"/>
  <c r="R248" i="86"/>
  <c r="R249" i="86"/>
  <c r="R250" i="86"/>
  <c r="R251" i="86"/>
  <c r="R252" i="86"/>
  <c r="R253" i="86"/>
  <c r="R254" i="86"/>
  <c r="R255" i="86"/>
  <c r="R256" i="86"/>
  <c r="R257" i="86"/>
  <c r="R258" i="86"/>
  <c r="R259" i="86"/>
  <c r="R260" i="86"/>
  <c r="R261" i="86"/>
  <c r="R262" i="86"/>
  <c r="R263" i="86"/>
  <c r="R264" i="86"/>
  <c r="R265" i="86"/>
  <c r="R266" i="86"/>
  <c r="R267" i="86"/>
  <c r="R268" i="86"/>
  <c r="R269" i="86"/>
  <c r="R270" i="86"/>
  <c r="R271" i="86"/>
  <c r="R272" i="86"/>
  <c r="R273" i="86"/>
  <c r="R274" i="86"/>
  <c r="R275" i="86"/>
  <c r="R276" i="86"/>
  <c r="R277" i="86"/>
  <c r="R278" i="86"/>
  <c r="R279" i="86"/>
  <c r="R280" i="86"/>
  <c r="R281" i="86"/>
  <c r="R282" i="86"/>
  <c r="R283" i="86"/>
  <c r="R284" i="86"/>
  <c r="R285" i="86"/>
  <c r="R286" i="86"/>
  <c r="R287" i="86"/>
  <c r="R288" i="86"/>
  <c r="R289" i="86"/>
  <c r="R290" i="86"/>
  <c r="R291" i="86"/>
  <c r="R292" i="86"/>
  <c r="R293" i="86"/>
  <c r="R294" i="86"/>
  <c r="R295" i="86"/>
  <c r="R296" i="86"/>
  <c r="R297" i="86"/>
  <c r="R298" i="86"/>
  <c r="R299" i="86"/>
  <c r="R300" i="86"/>
  <c r="R301" i="86"/>
  <c r="R302" i="86"/>
  <c r="R303" i="86"/>
  <c r="R304" i="86"/>
  <c r="R305" i="86"/>
  <c r="R306" i="86"/>
  <c r="R307" i="86"/>
  <c r="R308" i="86"/>
  <c r="R309" i="86"/>
  <c r="R310" i="86"/>
  <c r="R311" i="86"/>
  <c r="R312" i="86"/>
  <c r="R313" i="86"/>
  <c r="R314" i="86"/>
  <c r="R315" i="86"/>
  <c r="R316" i="86"/>
  <c r="R317" i="86"/>
  <c r="R318" i="86"/>
  <c r="R319" i="86"/>
  <c r="R320" i="86"/>
  <c r="R321" i="86"/>
  <c r="R322" i="86"/>
  <c r="R323" i="86"/>
  <c r="R324" i="86"/>
  <c r="R325" i="86"/>
  <c r="R326" i="86"/>
  <c r="R327" i="86"/>
  <c r="R328" i="86"/>
  <c r="R329" i="86"/>
  <c r="R330" i="86"/>
  <c r="R331" i="86"/>
  <c r="R332" i="86"/>
  <c r="R333" i="86"/>
  <c r="R334" i="86"/>
  <c r="R335" i="86"/>
  <c r="R336" i="86"/>
  <c r="R337" i="86"/>
  <c r="R338" i="86"/>
  <c r="R339" i="86"/>
  <c r="R340" i="86"/>
  <c r="R341" i="86"/>
  <c r="R342" i="86"/>
  <c r="R343" i="86"/>
  <c r="R344" i="86"/>
  <c r="R345" i="86"/>
  <c r="R346" i="86"/>
  <c r="R347" i="86"/>
  <c r="R348" i="86"/>
  <c r="R349" i="86"/>
  <c r="R350" i="86"/>
  <c r="R351" i="86"/>
  <c r="R352" i="86"/>
  <c r="R353" i="86"/>
  <c r="R354" i="86"/>
  <c r="R355" i="86"/>
  <c r="R356" i="86"/>
  <c r="R357" i="86"/>
  <c r="R358" i="86"/>
  <c r="R359" i="86"/>
  <c r="R360" i="86"/>
  <c r="R361" i="86"/>
  <c r="R362" i="86"/>
  <c r="R363" i="86"/>
  <c r="R364" i="86"/>
  <c r="R365" i="86"/>
  <c r="R366" i="86"/>
  <c r="R367" i="86"/>
  <c r="R368" i="86"/>
  <c r="R369" i="86"/>
  <c r="R370" i="86"/>
  <c r="R371" i="86"/>
  <c r="R372" i="86"/>
  <c r="R373" i="86"/>
  <c r="R374" i="86"/>
  <c r="R375" i="86"/>
  <c r="R376" i="86"/>
  <c r="R377" i="86"/>
  <c r="R378" i="86"/>
  <c r="R379" i="86"/>
  <c r="R380" i="86"/>
  <c r="R381" i="86"/>
  <c r="R382" i="86"/>
  <c r="R383" i="86"/>
  <c r="R384" i="86"/>
  <c r="R385" i="86"/>
  <c r="R386" i="86"/>
  <c r="R387" i="86"/>
  <c r="R388" i="86"/>
  <c r="R389" i="86"/>
  <c r="R390" i="86"/>
  <c r="R391" i="86"/>
  <c r="R392" i="86"/>
  <c r="R393" i="86"/>
  <c r="R394" i="86"/>
  <c r="R395" i="86"/>
  <c r="R396" i="86"/>
  <c r="R397" i="86"/>
  <c r="R398" i="86"/>
  <c r="R399" i="86"/>
  <c r="R400" i="86"/>
  <c r="R401" i="86"/>
  <c r="R402" i="86"/>
  <c r="R403" i="86"/>
  <c r="R404" i="86"/>
  <c r="R405" i="86"/>
  <c r="R406" i="86"/>
  <c r="R407" i="86"/>
  <c r="R408" i="86"/>
  <c r="R409" i="86"/>
  <c r="R410" i="86"/>
  <c r="R411" i="86"/>
  <c r="R412" i="86"/>
  <c r="R413" i="86"/>
  <c r="R414" i="86"/>
  <c r="R415" i="86"/>
  <c r="R416" i="86"/>
  <c r="R417" i="86"/>
  <c r="R418" i="86"/>
  <c r="R419" i="86"/>
  <c r="R420" i="86"/>
  <c r="R421" i="86"/>
  <c r="R422" i="86"/>
  <c r="R423" i="86"/>
  <c r="R424" i="86"/>
  <c r="R425" i="86"/>
  <c r="R426" i="86"/>
  <c r="R427" i="86"/>
  <c r="R428" i="86"/>
  <c r="R429" i="86"/>
  <c r="R430" i="86"/>
  <c r="R431" i="86"/>
  <c r="R432" i="86"/>
  <c r="R433" i="86"/>
  <c r="R434" i="86"/>
  <c r="R435" i="86"/>
  <c r="R436" i="86"/>
  <c r="R437" i="86"/>
  <c r="R438" i="86"/>
  <c r="R439" i="86"/>
  <c r="R440" i="86"/>
  <c r="R441" i="86"/>
  <c r="R442" i="86"/>
  <c r="R443" i="86"/>
  <c r="R444" i="86"/>
  <c r="R445" i="86"/>
  <c r="R446" i="86"/>
  <c r="R447" i="86"/>
  <c r="R448" i="86"/>
  <c r="R449" i="86"/>
  <c r="R450" i="86"/>
  <c r="R451" i="86"/>
  <c r="R452" i="86"/>
  <c r="R453" i="86"/>
  <c r="R454" i="86"/>
  <c r="R455" i="86"/>
  <c r="R456" i="86"/>
  <c r="R457" i="86"/>
  <c r="R458" i="86"/>
  <c r="R459" i="86"/>
  <c r="R460" i="86"/>
  <c r="R461" i="86"/>
  <c r="R462" i="86"/>
  <c r="R463" i="86"/>
  <c r="R464" i="86"/>
  <c r="R465" i="86"/>
  <c r="R466" i="86"/>
  <c r="R467" i="86"/>
  <c r="R468" i="86"/>
  <c r="R469" i="86"/>
  <c r="R470" i="86"/>
  <c r="R471" i="86"/>
  <c r="R472" i="86"/>
  <c r="R473" i="86"/>
  <c r="R474" i="86"/>
  <c r="R475" i="86"/>
  <c r="R476" i="86"/>
  <c r="R477" i="86"/>
  <c r="R478" i="86"/>
  <c r="R479" i="86"/>
  <c r="R480" i="86"/>
  <c r="R481" i="86"/>
  <c r="R482" i="86"/>
  <c r="R483" i="86"/>
  <c r="R484" i="86"/>
  <c r="R485" i="86"/>
  <c r="R486" i="86"/>
  <c r="R487" i="86"/>
  <c r="R488" i="86"/>
  <c r="R489" i="86"/>
  <c r="R490" i="86"/>
  <c r="R491" i="86"/>
  <c r="R492" i="86"/>
  <c r="R493" i="86"/>
  <c r="R494" i="86"/>
  <c r="R495" i="86"/>
  <c r="R496" i="86"/>
  <c r="R497" i="86"/>
  <c r="R498" i="86"/>
  <c r="R499" i="86"/>
  <c r="R500" i="86"/>
  <c r="R501" i="86"/>
  <c r="R502" i="86"/>
  <c r="R503" i="86"/>
  <c r="R504" i="86"/>
  <c r="R505" i="86"/>
  <c r="R506" i="86"/>
  <c r="R507" i="86"/>
  <c r="R508" i="86"/>
  <c r="R509" i="86"/>
  <c r="R510" i="86"/>
  <c r="R511" i="86"/>
  <c r="R512" i="86"/>
  <c r="R513" i="86"/>
  <c r="R514" i="86"/>
  <c r="R515" i="86"/>
  <c r="R516" i="86"/>
  <c r="R517" i="86"/>
  <c r="R518" i="86"/>
  <c r="R519" i="86"/>
  <c r="R520" i="86"/>
  <c r="R521" i="86"/>
  <c r="R522" i="86"/>
  <c r="R523" i="86"/>
  <c r="R524" i="86"/>
  <c r="R525" i="86"/>
  <c r="R526" i="86"/>
  <c r="R527" i="86"/>
  <c r="R528" i="86"/>
  <c r="R529" i="86"/>
  <c r="R530" i="86"/>
  <c r="R531" i="86"/>
  <c r="R532" i="86"/>
  <c r="R533" i="86"/>
  <c r="R534" i="86"/>
  <c r="R535" i="86"/>
  <c r="R536" i="86"/>
  <c r="R537" i="86"/>
  <c r="R538" i="86"/>
  <c r="R539" i="86"/>
  <c r="R540" i="86"/>
  <c r="R541" i="86"/>
  <c r="R542" i="86"/>
  <c r="R543" i="86"/>
  <c r="R544" i="86"/>
  <c r="R545" i="86"/>
  <c r="R546" i="86"/>
  <c r="R547" i="86"/>
  <c r="R548" i="86"/>
  <c r="R549" i="86"/>
  <c r="R550" i="86"/>
  <c r="R551" i="86"/>
  <c r="R552" i="86"/>
  <c r="R553" i="86"/>
  <c r="R554" i="86"/>
  <c r="R555" i="86"/>
  <c r="R556" i="86"/>
  <c r="R557" i="86"/>
  <c r="R558" i="86"/>
  <c r="R559" i="86"/>
  <c r="R560" i="86"/>
  <c r="R561" i="86"/>
  <c r="R562" i="86"/>
  <c r="R563" i="86"/>
  <c r="R564" i="86"/>
  <c r="R565" i="86"/>
  <c r="R566" i="86"/>
  <c r="R567" i="86"/>
  <c r="R568" i="86"/>
  <c r="R569" i="86"/>
  <c r="R570" i="86"/>
  <c r="R571" i="86"/>
  <c r="R572" i="86"/>
  <c r="R573" i="86"/>
  <c r="R574" i="86"/>
  <c r="R575" i="86"/>
  <c r="R576" i="86"/>
  <c r="R577" i="86"/>
  <c r="R578" i="86"/>
  <c r="R579" i="86"/>
  <c r="R580" i="86"/>
  <c r="R581" i="86"/>
  <c r="R582" i="86"/>
  <c r="R583" i="86"/>
  <c r="R584" i="86"/>
  <c r="R585" i="86"/>
  <c r="R586" i="86"/>
  <c r="R587" i="86"/>
  <c r="R588" i="86"/>
  <c r="R589" i="86"/>
  <c r="R590" i="86"/>
  <c r="R591" i="86"/>
  <c r="R592" i="86"/>
  <c r="R593" i="86"/>
  <c r="R594" i="86"/>
  <c r="R595" i="86"/>
  <c r="R596" i="86"/>
  <c r="R597" i="86"/>
  <c r="R598" i="86"/>
  <c r="R599" i="86"/>
  <c r="R600" i="86"/>
  <c r="R601" i="86"/>
  <c r="R602" i="86"/>
  <c r="R603" i="86"/>
  <c r="R604" i="86"/>
  <c r="R605" i="86"/>
  <c r="R606" i="86"/>
  <c r="R607" i="86"/>
  <c r="R608" i="86"/>
  <c r="R609" i="86"/>
  <c r="R610" i="86"/>
  <c r="R611" i="86"/>
  <c r="R612" i="86"/>
  <c r="R613" i="86"/>
  <c r="R614" i="86"/>
  <c r="R615" i="86"/>
  <c r="R616" i="86"/>
  <c r="R617" i="86"/>
  <c r="R618" i="86"/>
  <c r="R619" i="86"/>
  <c r="R620" i="86"/>
  <c r="R621" i="86"/>
  <c r="R622" i="86"/>
  <c r="R623" i="86"/>
  <c r="R624" i="86"/>
  <c r="R625" i="86"/>
  <c r="R626" i="86"/>
  <c r="R627" i="86"/>
  <c r="R628" i="86"/>
  <c r="R629" i="86"/>
  <c r="R630" i="86"/>
  <c r="R631" i="86"/>
  <c r="R632" i="86"/>
  <c r="R633" i="86"/>
  <c r="R634" i="86"/>
  <c r="R635" i="86"/>
  <c r="R636" i="86"/>
  <c r="R637" i="86"/>
  <c r="R638" i="86"/>
  <c r="R639" i="86"/>
  <c r="R640" i="86"/>
  <c r="R641" i="86"/>
  <c r="R642" i="86"/>
  <c r="R643" i="86"/>
  <c r="R644" i="86"/>
  <c r="R645" i="86"/>
  <c r="R646" i="86"/>
  <c r="R647" i="86"/>
  <c r="R648" i="86"/>
  <c r="R649" i="86"/>
  <c r="R650" i="86"/>
  <c r="R651" i="86"/>
  <c r="R652" i="86"/>
  <c r="R653" i="86"/>
  <c r="R654" i="86"/>
  <c r="R655" i="86"/>
  <c r="R656" i="86"/>
  <c r="R657" i="86"/>
  <c r="R658" i="86"/>
  <c r="R659" i="86"/>
  <c r="R660" i="86"/>
  <c r="R661" i="86"/>
  <c r="R662" i="86"/>
  <c r="R663" i="86"/>
  <c r="R664" i="86"/>
  <c r="R665" i="86"/>
  <c r="R666" i="86"/>
  <c r="R667" i="86"/>
  <c r="R668" i="86"/>
  <c r="R669" i="86"/>
  <c r="R670" i="86"/>
  <c r="R671" i="86"/>
  <c r="R672" i="86"/>
  <c r="R673" i="86"/>
  <c r="R674" i="86"/>
  <c r="R675" i="86"/>
  <c r="R676" i="86"/>
  <c r="R677" i="86"/>
  <c r="R678" i="86"/>
  <c r="R679" i="86"/>
  <c r="R680" i="86"/>
  <c r="R681" i="86"/>
  <c r="R682" i="86"/>
  <c r="R683" i="86"/>
  <c r="R684" i="86"/>
  <c r="R685" i="86"/>
  <c r="R686" i="86"/>
  <c r="R687" i="86"/>
  <c r="R688" i="86"/>
  <c r="R689" i="86"/>
  <c r="R690" i="86"/>
  <c r="R691" i="86"/>
  <c r="R692" i="86"/>
  <c r="R693" i="86"/>
  <c r="R694" i="86"/>
  <c r="R695" i="86"/>
  <c r="R696" i="86"/>
  <c r="R697" i="86"/>
  <c r="R698" i="86"/>
  <c r="R699" i="86"/>
  <c r="R700" i="86"/>
  <c r="R701" i="86"/>
  <c r="R702" i="86"/>
  <c r="R703" i="86"/>
  <c r="R704" i="86"/>
  <c r="R705" i="86"/>
  <c r="R706" i="86"/>
  <c r="R707" i="86"/>
  <c r="R708" i="86"/>
  <c r="R709" i="86"/>
  <c r="R710" i="86"/>
  <c r="R711" i="86"/>
  <c r="R712" i="86"/>
  <c r="R713" i="86"/>
  <c r="R714" i="86"/>
  <c r="R715" i="86"/>
  <c r="R716" i="86"/>
  <c r="R717" i="86"/>
  <c r="R718" i="86"/>
  <c r="R719" i="86"/>
  <c r="R720" i="86"/>
  <c r="R721" i="86"/>
  <c r="R722" i="86"/>
  <c r="R723" i="86"/>
  <c r="R724" i="86"/>
  <c r="R725" i="86"/>
  <c r="R726" i="86"/>
  <c r="R727" i="86"/>
  <c r="R728" i="86"/>
  <c r="R729" i="86"/>
  <c r="R730" i="86"/>
  <c r="R731" i="86"/>
  <c r="R732" i="86"/>
  <c r="R733" i="86"/>
  <c r="R734" i="86"/>
  <c r="R735" i="86"/>
  <c r="R736" i="86"/>
  <c r="R737" i="86"/>
  <c r="R738" i="86"/>
  <c r="R739" i="86"/>
  <c r="R740" i="86"/>
  <c r="R741" i="86"/>
  <c r="R742" i="86"/>
  <c r="R743" i="86"/>
  <c r="R744" i="86"/>
  <c r="R745" i="86"/>
  <c r="R746" i="86"/>
  <c r="R747" i="86"/>
  <c r="R748" i="86"/>
  <c r="R749" i="86"/>
  <c r="R750" i="86"/>
  <c r="R751" i="86"/>
  <c r="R752" i="86"/>
  <c r="R753" i="86"/>
  <c r="R754" i="86"/>
  <c r="R755" i="86"/>
  <c r="R756" i="86"/>
  <c r="R757" i="86"/>
  <c r="R758" i="86"/>
  <c r="R759" i="86"/>
  <c r="R760" i="86"/>
  <c r="R761" i="86"/>
  <c r="R762" i="86"/>
  <c r="R763" i="86"/>
  <c r="R764" i="86"/>
  <c r="R765" i="86"/>
  <c r="R766" i="86"/>
  <c r="R767" i="86"/>
  <c r="R768" i="86"/>
  <c r="R769" i="86"/>
  <c r="R770" i="86"/>
  <c r="R771" i="86"/>
  <c r="R772" i="86"/>
  <c r="R773" i="86"/>
  <c r="R774" i="86"/>
  <c r="R775" i="86"/>
  <c r="R776" i="86"/>
  <c r="R777" i="86"/>
  <c r="R778" i="86"/>
  <c r="R779" i="86"/>
  <c r="R780" i="86"/>
  <c r="R781" i="86"/>
  <c r="R782" i="86"/>
  <c r="R783" i="86"/>
  <c r="R784" i="86"/>
  <c r="R785" i="86"/>
  <c r="R786" i="86"/>
  <c r="R787" i="86"/>
  <c r="R788" i="86"/>
  <c r="R789" i="86"/>
  <c r="R790" i="86"/>
  <c r="R791" i="86"/>
  <c r="R792" i="86"/>
  <c r="R793" i="86"/>
  <c r="R794" i="86"/>
  <c r="R795" i="86"/>
  <c r="R796" i="86"/>
  <c r="R797" i="86"/>
  <c r="R798" i="86"/>
  <c r="R799" i="86"/>
  <c r="R800" i="86"/>
  <c r="R801" i="86"/>
  <c r="R802" i="86"/>
  <c r="R803" i="86"/>
  <c r="R804" i="86"/>
  <c r="R805" i="86"/>
  <c r="R806" i="86"/>
  <c r="R807" i="86"/>
  <c r="R808" i="86"/>
  <c r="R809" i="86"/>
  <c r="R810" i="86"/>
  <c r="R811" i="86"/>
  <c r="R812" i="86"/>
  <c r="R813" i="86"/>
  <c r="R814" i="86"/>
  <c r="R815" i="86"/>
  <c r="R816" i="86"/>
  <c r="R817" i="86"/>
  <c r="R818" i="86"/>
  <c r="R819" i="86"/>
  <c r="R820" i="86"/>
  <c r="R821" i="86"/>
  <c r="R822" i="86"/>
  <c r="R823" i="86"/>
  <c r="R824" i="86"/>
  <c r="R825" i="86"/>
  <c r="R826" i="86"/>
  <c r="R827" i="86"/>
  <c r="R828" i="86"/>
  <c r="R829" i="86"/>
  <c r="R830" i="86"/>
  <c r="R831" i="86"/>
  <c r="R832" i="86"/>
  <c r="R833" i="86"/>
  <c r="R834" i="86"/>
  <c r="R835" i="86"/>
  <c r="R836" i="86"/>
  <c r="R837" i="86"/>
  <c r="R838" i="86"/>
  <c r="R839" i="86"/>
  <c r="R840" i="86"/>
  <c r="R841" i="86"/>
  <c r="R842" i="86"/>
  <c r="R843" i="86"/>
  <c r="R844" i="86"/>
  <c r="R845" i="86"/>
  <c r="R846" i="86"/>
  <c r="R847" i="86"/>
  <c r="R848" i="86"/>
  <c r="R849" i="86"/>
  <c r="R850" i="86"/>
  <c r="R851" i="86"/>
  <c r="R852" i="86"/>
  <c r="R853" i="86"/>
  <c r="R854" i="86"/>
  <c r="R855" i="86"/>
  <c r="R856" i="86"/>
  <c r="R857" i="86"/>
  <c r="R858" i="86"/>
  <c r="R859" i="86"/>
  <c r="R860" i="86"/>
  <c r="R861" i="86"/>
  <c r="R862" i="86"/>
  <c r="R863" i="86"/>
  <c r="R864" i="86"/>
  <c r="R865" i="86"/>
  <c r="R866" i="86"/>
  <c r="R867" i="86"/>
  <c r="R868" i="86"/>
  <c r="R869" i="86"/>
  <c r="R870" i="86"/>
  <c r="R871" i="86"/>
  <c r="R872" i="86"/>
  <c r="R873" i="86"/>
  <c r="R874" i="86"/>
  <c r="R875" i="86"/>
  <c r="R876" i="86"/>
  <c r="R877" i="86"/>
  <c r="R878" i="86"/>
  <c r="R879" i="86"/>
  <c r="R880" i="86"/>
  <c r="R881" i="86"/>
  <c r="R882" i="86"/>
  <c r="R883" i="86"/>
  <c r="R884" i="86"/>
  <c r="R885" i="86"/>
  <c r="R886" i="86"/>
  <c r="R887" i="86"/>
  <c r="R888" i="86"/>
  <c r="R889" i="86"/>
  <c r="R890" i="86"/>
  <c r="R891" i="86"/>
  <c r="R892" i="86"/>
  <c r="R893" i="86"/>
  <c r="R894" i="86"/>
  <c r="R895" i="86"/>
  <c r="R896" i="86"/>
  <c r="R897" i="86"/>
  <c r="R898" i="86"/>
  <c r="R899" i="86"/>
  <c r="R900" i="86"/>
  <c r="R901" i="86"/>
  <c r="R902" i="86"/>
  <c r="R903" i="86"/>
  <c r="R904" i="86"/>
  <c r="R905" i="86"/>
  <c r="R906" i="86"/>
  <c r="R907" i="86"/>
  <c r="R908" i="86"/>
  <c r="R909" i="86"/>
  <c r="R910" i="86"/>
  <c r="R911" i="86"/>
  <c r="R912" i="86"/>
  <c r="R913" i="86"/>
  <c r="R914" i="86"/>
  <c r="R915" i="86"/>
  <c r="R916" i="86"/>
  <c r="R917" i="86"/>
  <c r="R918" i="86"/>
  <c r="R919" i="86"/>
  <c r="R920" i="86"/>
  <c r="R921" i="86"/>
  <c r="R922" i="86"/>
  <c r="R923" i="86"/>
  <c r="R924" i="86"/>
  <c r="R925" i="86"/>
  <c r="R926" i="86"/>
  <c r="R927" i="86"/>
  <c r="R928" i="86"/>
  <c r="R929" i="86"/>
  <c r="R930" i="86"/>
  <c r="R931" i="86"/>
  <c r="R932" i="86"/>
  <c r="R933" i="86"/>
  <c r="R934" i="86"/>
  <c r="R935" i="86"/>
  <c r="R936" i="86"/>
  <c r="R937" i="86"/>
  <c r="R938" i="86"/>
  <c r="R939" i="86"/>
  <c r="R940" i="86"/>
  <c r="R941" i="86"/>
  <c r="R942" i="86"/>
  <c r="R943" i="86"/>
  <c r="R944" i="86"/>
  <c r="R945" i="86"/>
  <c r="R946" i="86"/>
  <c r="R947" i="86"/>
  <c r="R948" i="86"/>
  <c r="R949" i="86"/>
  <c r="R950" i="86"/>
  <c r="R951" i="86"/>
  <c r="R952" i="86"/>
  <c r="R953" i="86"/>
  <c r="R954" i="86"/>
  <c r="R955" i="86"/>
  <c r="R956" i="86"/>
  <c r="R957" i="86"/>
  <c r="R958" i="86"/>
  <c r="R959" i="86"/>
  <c r="R960" i="86"/>
  <c r="R961" i="86"/>
  <c r="R962" i="86"/>
  <c r="R963" i="86"/>
  <c r="R964" i="86"/>
  <c r="R965" i="86"/>
  <c r="R966" i="86"/>
  <c r="R967" i="86"/>
  <c r="R968" i="86"/>
  <c r="R969" i="86"/>
  <c r="R970" i="86"/>
  <c r="R971" i="86"/>
  <c r="R972" i="86"/>
  <c r="R973" i="86"/>
  <c r="R974" i="86"/>
  <c r="R975" i="86"/>
  <c r="R976" i="86"/>
  <c r="R977" i="86"/>
  <c r="R978" i="86"/>
  <c r="R979" i="86"/>
  <c r="R980" i="86"/>
  <c r="R981" i="86"/>
  <c r="R982" i="86"/>
  <c r="R983" i="86"/>
  <c r="R984" i="86"/>
  <c r="R985" i="86"/>
  <c r="R986" i="86"/>
  <c r="R987" i="86"/>
  <c r="R988" i="86"/>
  <c r="R989" i="86"/>
  <c r="R990" i="86"/>
  <c r="R991" i="86"/>
  <c r="R992" i="86"/>
  <c r="R993" i="86"/>
  <c r="R994" i="86"/>
  <c r="R995" i="86"/>
  <c r="R996" i="86"/>
  <c r="R997" i="86"/>
  <c r="R998" i="86"/>
  <c r="R999" i="86"/>
  <c r="R1000" i="86"/>
  <c r="R1001" i="86"/>
  <c r="R1002" i="86"/>
  <c r="R1003" i="86"/>
  <c r="R1004" i="86"/>
  <c r="R1005" i="86"/>
  <c r="R1006" i="86"/>
  <c r="R1007" i="86"/>
  <c r="R2" i="86"/>
  <c r="C12" i="84"/>
  <c r="C13" i="84"/>
  <c r="C14" i="84"/>
  <c r="C4" i="84"/>
  <c r="C5" i="84"/>
  <c r="C6" i="84"/>
  <c r="C7" i="84"/>
  <c r="C8" i="84"/>
  <c r="C9" i="84"/>
  <c r="C10" i="84"/>
  <c r="C11" i="84"/>
  <c r="C3" i="84"/>
  <c r="A353" i="48" l="1"/>
  <c r="K353" i="48" s="1"/>
  <c r="A134" i="48"/>
  <c r="K134" i="48" s="1"/>
  <c r="L1258" i="77"/>
  <c r="L949" i="77"/>
  <c r="L882" i="77"/>
  <c r="L1411" i="77"/>
  <c r="L437" i="77"/>
  <c r="R475" i="87"/>
  <c r="R435" i="87"/>
  <c r="A247" i="48"/>
  <c r="K247" i="48" s="1"/>
  <c r="A230" i="48"/>
  <c r="K230" i="48" s="1"/>
  <c r="L948" i="77"/>
  <c r="L932" i="77"/>
  <c r="L836" i="77"/>
  <c r="L795" i="77"/>
  <c r="L1410" i="77"/>
  <c r="L451" i="77"/>
  <c r="C3" i="78"/>
  <c r="A202" i="48"/>
  <c r="K202" i="48" s="1"/>
  <c r="A169" i="48"/>
  <c r="K169" i="48" s="1"/>
  <c r="L1328" i="77"/>
  <c r="L1491" i="77"/>
  <c r="L835" i="77"/>
  <c r="L676" i="77"/>
  <c r="L1409" i="77"/>
  <c r="A374" i="48"/>
  <c r="K374" i="48" s="1"/>
  <c r="L887" i="77"/>
  <c r="L834" i="77"/>
  <c r="L675" i="77"/>
  <c r="L886" i="77"/>
  <c r="L833" i="77"/>
  <c r="L598" i="77"/>
  <c r="L514" i="77"/>
  <c r="L471" i="77"/>
  <c r="R440" i="87"/>
  <c r="L597" i="77"/>
  <c r="R491" i="87"/>
  <c r="L885" i="77"/>
  <c r="L1387" i="77"/>
  <c r="L884" i="77"/>
  <c r="L983" i="77"/>
  <c r="L931" i="77"/>
  <c r="R455" i="87"/>
  <c r="R447" i="87"/>
  <c r="R422" i="87"/>
  <c r="R414" i="87"/>
  <c r="A138" i="48"/>
  <c r="K138" i="48" s="1"/>
  <c r="L1530" i="77"/>
  <c r="R519" i="87"/>
  <c r="C4" i="78"/>
  <c r="L1499" i="77"/>
  <c r="L1463" i="77"/>
  <c r="L1208" i="77"/>
  <c r="L785" i="77"/>
  <c r="L631" i="77"/>
  <c r="AB184" i="43"/>
  <c r="AA195" i="43"/>
  <c r="Z184" i="43"/>
  <c r="AB188" i="43"/>
  <c r="Z238" i="43"/>
  <c r="AB233" i="43"/>
  <c r="Z222" i="43"/>
  <c r="AB167" i="43"/>
  <c r="AB186" i="43"/>
  <c r="AB195" i="43"/>
  <c r="L1020" i="77"/>
  <c r="L1021" i="77"/>
  <c r="L1022" i="77"/>
  <c r="L1023" i="77"/>
  <c r="A284" i="48"/>
  <c r="K284" i="48" s="1"/>
  <c r="L1477" i="77"/>
  <c r="L1478" i="77"/>
  <c r="A259" i="48"/>
  <c r="K259" i="48" s="1"/>
  <c r="L1342" i="77"/>
  <c r="A380" i="48"/>
  <c r="K380" i="48" s="1"/>
  <c r="C7" i="78"/>
  <c r="C15" i="78"/>
  <c r="A144" i="48"/>
  <c r="K144" i="48" s="1"/>
  <c r="C8" i="78"/>
  <c r="C16" i="78"/>
  <c r="L1209" i="77"/>
  <c r="C9" i="78"/>
  <c r="C17" i="78"/>
  <c r="C10" i="78"/>
  <c r="C18" i="78"/>
  <c r="C11" i="78"/>
  <c r="C12" i="78"/>
  <c r="C5" i="78"/>
  <c r="C13" i="78"/>
  <c r="C6" i="78"/>
  <c r="C14" i="78"/>
  <c r="L1144" i="77"/>
  <c r="A323" i="48"/>
  <c r="K323" i="48" s="1"/>
  <c r="L1145" i="77"/>
  <c r="A218" i="48"/>
  <c r="K218" i="48" s="1"/>
  <c r="L775" i="77"/>
  <c r="L776" i="77"/>
  <c r="L777" i="77"/>
  <c r="L778" i="77"/>
  <c r="A338" i="48"/>
  <c r="K338" i="48" s="1"/>
  <c r="L1515" i="77"/>
  <c r="L1516" i="77"/>
  <c r="L1517" i="77"/>
  <c r="L1502" i="77"/>
  <c r="A294" i="48"/>
  <c r="K294" i="48" s="1"/>
  <c r="A344" i="48"/>
  <c r="K344" i="48" s="1"/>
  <c r="L1519" i="77"/>
  <c r="A148" i="48"/>
  <c r="K148" i="48" s="1"/>
  <c r="L480" i="77"/>
  <c r="L1133" i="77"/>
  <c r="L1134" i="77"/>
  <c r="L1135" i="77"/>
  <c r="A317" i="48"/>
  <c r="K317" i="48" s="1"/>
  <c r="L1132" i="77"/>
  <c r="L629" i="77"/>
  <c r="L627" i="77"/>
  <c r="A190" i="48"/>
  <c r="K190" i="48" s="1"/>
  <c r="L1374" i="77"/>
  <c r="A383" i="48"/>
  <c r="K383" i="48" s="1"/>
  <c r="L1370" i="77"/>
  <c r="L1372" i="77"/>
  <c r="L1371" i="77"/>
  <c r="L1373" i="77"/>
  <c r="L1527" i="77"/>
  <c r="L1528" i="77"/>
  <c r="L1529" i="77"/>
  <c r="A397" i="48"/>
  <c r="K397" i="48" s="1"/>
  <c r="L971" i="77"/>
  <c r="A272" i="48"/>
  <c r="K272" i="48" s="1"/>
  <c r="L968" i="77"/>
  <c r="L969" i="77"/>
  <c r="L970" i="77"/>
  <c r="A156" i="48"/>
  <c r="K156" i="48" s="1"/>
  <c r="L498" i="77"/>
  <c r="L1369" i="77"/>
  <c r="A382" i="48"/>
  <c r="K382" i="48" s="1"/>
  <c r="A345" i="48"/>
  <c r="K345" i="48" s="1"/>
  <c r="L1521" i="77"/>
  <c r="L1522" i="77"/>
  <c r="L824" i="77"/>
  <c r="A226" i="48"/>
  <c r="K226" i="48" s="1"/>
  <c r="L628" i="77"/>
  <c r="L588" i="77"/>
  <c r="L452" i="77"/>
  <c r="L587" i="77"/>
  <c r="L1466" i="77"/>
  <c r="L786" i="77"/>
  <c r="L586" i="77"/>
  <c r="AB182" i="43"/>
  <c r="AA206" i="43"/>
  <c r="AA173" i="43"/>
  <c r="Z206" i="43"/>
  <c r="AB173" i="43"/>
  <c r="AA197" i="43"/>
  <c r="Z189" i="43"/>
  <c r="AA221" i="43"/>
  <c r="AB221" i="43"/>
  <c r="AA189" i="43"/>
  <c r="Z244" i="43"/>
  <c r="AB164" i="43"/>
  <c r="Z194" i="43"/>
  <c r="Z204" i="43"/>
  <c r="Z215" i="43"/>
  <c r="Z247" i="43"/>
  <c r="AA224" i="43"/>
  <c r="AB223" i="43"/>
  <c r="E4" i="68"/>
  <c r="AA212" i="43"/>
  <c r="AB190" i="43"/>
  <c r="Z220" i="43"/>
  <c r="AB207" i="43"/>
  <c r="AB236" i="43"/>
  <c r="B5" i="68"/>
  <c r="AA176" i="43"/>
  <c r="AA187" i="43"/>
  <c r="Z160" i="43"/>
  <c r="D4" i="68"/>
  <c r="AA196" i="43"/>
  <c r="AB244" i="43"/>
  <c r="AA236" i="43"/>
  <c r="AA188" i="43"/>
  <c r="AB216" i="43"/>
  <c r="AB200" i="43"/>
  <c r="Z240" i="43"/>
  <c r="B4" i="68"/>
  <c r="AB198" i="43"/>
  <c r="AB191" i="43"/>
  <c r="AA220" i="43"/>
  <c r="AB208" i="43"/>
  <c r="Z246" i="43"/>
  <c r="AB237" i="43"/>
  <c r="AA229" i="43"/>
  <c r="Z170" i="43"/>
  <c r="Z187" i="43"/>
  <c r="Z198" i="43"/>
  <c r="Z211" i="43"/>
  <c r="AA200" i="43"/>
  <c r="Z200" i="43"/>
  <c r="AA210" i="43"/>
  <c r="Z218" i="43"/>
  <c r="Z186" i="43"/>
  <c r="AA208" i="43"/>
  <c r="Z196" i="43"/>
  <c r="AA186" i="43"/>
  <c r="Z229" i="43"/>
  <c r="Z212" i="43"/>
  <c r="AB224" i="43"/>
  <c r="AA223" i="43"/>
  <c r="AA240" i="43"/>
  <c r="AB170" i="43"/>
  <c r="Z199" i="43"/>
  <c r="Z223" i="43"/>
  <c r="AB218" i="43"/>
  <c r="AB210" i="43"/>
  <c r="AB178" i="43"/>
  <c r="AB162" i="43"/>
  <c r="Z208" i="43"/>
  <c r="AA222" i="43"/>
  <c r="AA238" i="43"/>
  <c r="AB234" i="43"/>
  <c r="AB240" i="43"/>
  <c r="AA178" i="43"/>
  <c r="AA162" i="43"/>
  <c r="Z191" i="43"/>
  <c r="AB242" i="43"/>
  <c r="AA234" i="43"/>
  <c r="AA242" i="43"/>
  <c r="AA160" i="43"/>
  <c r="AB235" i="43"/>
  <c r="AA235" i="43"/>
  <c r="AB231" i="43"/>
  <c r="AB160" i="43"/>
  <c r="AA198" i="43"/>
  <c r="AB197" i="43"/>
  <c r="Z231" i="43"/>
  <c r="AB183" i="43"/>
  <c r="AA237" i="43"/>
  <c r="AA183" i="43"/>
  <c r="AB222" i="43"/>
  <c r="AB212" i="43"/>
  <c r="Z226" i="43"/>
  <c r="AA226" i="43"/>
  <c r="AB226" i="43"/>
  <c r="AB175" i="43"/>
  <c r="AA175" i="43"/>
  <c r="Z224" i="43"/>
  <c r="Z207" i="43"/>
  <c r="Z233" i="43"/>
  <c r="AA233" i="43"/>
  <c r="AA166" i="43"/>
  <c r="Z167" i="43"/>
  <c r="AA216" i="43"/>
  <c r="Z216" i="43"/>
  <c r="AB204" i="43"/>
  <c r="AB238" i="43"/>
  <c r="AB246" i="43"/>
  <c r="AB239" i="43"/>
  <c r="AA164" i="43"/>
  <c r="AB199" i="43"/>
  <c r="AA204" i="43"/>
  <c r="AA246" i="43"/>
  <c r="AA239" i="43"/>
  <c r="AB229" i="43"/>
  <c r="Z248" i="43"/>
  <c r="Z232" i="43"/>
  <c r="AA248" i="43"/>
  <c r="AA232" i="43"/>
  <c r="AB248" i="43"/>
  <c r="AB232" i="43"/>
  <c r="Z169" i="43"/>
  <c r="AA167" i="43"/>
  <c r="AB169" i="43"/>
  <c r="AB163" i="43"/>
  <c r="AB211" i="43"/>
  <c r="AA207" i="43"/>
  <c r="AA191" i="43"/>
  <c r="AB187" i="43"/>
  <c r="AB225" i="43"/>
  <c r="Z225" i="43"/>
  <c r="AA225" i="43"/>
  <c r="AA161" i="43"/>
  <c r="Z161" i="43"/>
  <c r="AB161" i="43"/>
  <c r="AB179" i="43"/>
  <c r="Z192" i="43"/>
  <c r="AA192" i="43"/>
  <c r="AA245" i="43"/>
  <c r="AB245" i="43"/>
  <c r="AA179" i="43"/>
  <c r="Z166" i="43"/>
  <c r="AB215" i="43"/>
  <c r="AB227" i="43"/>
  <c r="AA202" i="43"/>
  <c r="AA215" i="43"/>
  <c r="AA209" i="43"/>
  <c r="AA227" i="43"/>
  <c r="Z202" i="43"/>
  <c r="AA194" i="43"/>
  <c r="AB194" i="43"/>
  <c r="AB185" i="43"/>
  <c r="C4" i="68"/>
  <c r="Z209" i="43"/>
  <c r="AA230" i="43"/>
  <c r="AB230" i="43"/>
  <c r="Z214" i="43"/>
  <c r="AA214" i="43"/>
  <c r="AA163" i="43"/>
  <c r="Z185" i="43"/>
  <c r="AA217" i="43"/>
  <c r="Z243" i="43"/>
  <c r="AA243" i="43"/>
  <c r="Z241" i="43"/>
  <c r="AA241" i="43"/>
  <c r="Z201" i="43"/>
  <c r="AA201" i="43"/>
  <c r="AA177" i="43"/>
  <c r="Z177" i="43"/>
  <c r="AB177" i="43"/>
  <c r="E6" i="68"/>
  <c r="Z172" i="43"/>
  <c r="AB172" i="43"/>
  <c r="D5" i="68"/>
  <c r="AB193" i="43"/>
  <c r="AB217" i="43"/>
  <c r="AA203" i="43"/>
  <c r="AB203" i="43"/>
  <c r="B6" i="68"/>
  <c r="Z171" i="43"/>
  <c r="AA171" i="43"/>
  <c r="AB201" i="43"/>
  <c r="AA193" i="43"/>
  <c r="Z181" i="43"/>
  <c r="AA169" i="43"/>
  <c r="AB181" i="43"/>
  <c r="AB176" i="43"/>
  <c r="AA172" i="43"/>
  <c r="D6" i="68"/>
  <c r="AB196" i="43"/>
  <c r="Z190" i="43"/>
  <c r="AA190" i="43"/>
  <c r="AA182" i="43"/>
  <c r="AB219" i="43"/>
  <c r="AA213" i="43"/>
  <c r="AA205" i="43"/>
  <c r="AB205" i="43"/>
  <c r="E5" i="68"/>
  <c r="Z180" i="43"/>
  <c r="AA180" i="43"/>
  <c r="AB180" i="43"/>
  <c r="Z168" i="43"/>
  <c r="AA168" i="43"/>
  <c r="AB168" i="43"/>
  <c r="AA181" i="43"/>
  <c r="Z176" i="43"/>
  <c r="AB171" i="43"/>
  <c r="AB192" i="43"/>
  <c r="AA219" i="43"/>
  <c r="Z213" i="43"/>
  <c r="Z245" i="43"/>
  <c r="Z165" i="43"/>
  <c r="AA165" i="43"/>
  <c r="Z228" i="43"/>
  <c r="AA228" i="43"/>
  <c r="C5" i="68"/>
  <c r="AA247" i="43"/>
  <c r="AB247" i="43"/>
  <c r="AB174" i="43"/>
  <c r="AA174" i="43"/>
  <c r="C6" i="68"/>
  <c r="Z164" i="43"/>
  <c r="Z174" i="43"/>
  <c r="D15" i="84"/>
  <c r="V76" i="83" a="1"/>
  <c r="V76" i="83" s="1"/>
  <c r="T75" i="83"/>
  <c r="U75" i="83"/>
  <c r="V75" i="83" s="1" a="1"/>
  <c r="V75" i="83" s="1"/>
  <c r="T575" i="83"/>
  <c r="U575" i="83"/>
  <c r="V575" i="83" s="1" a="1"/>
  <c r="V575" i="83" s="1"/>
  <c r="T76" i="83"/>
  <c r="U76" i="83"/>
  <c r="T82" i="83"/>
  <c r="U82" i="83"/>
  <c r="V82" i="83" s="1" a="1"/>
  <c r="V82" i="83" s="1"/>
  <c r="T837" i="83"/>
  <c r="U837" i="83"/>
  <c r="V837" i="83" s="1" a="1"/>
  <c r="V837" i="83" s="1"/>
  <c r="T674" i="83"/>
  <c r="U674" i="83"/>
  <c r="V674" i="83" s="1" a="1"/>
  <c r="V674" i="83" s="1"/>
  <c r="T1003" i="83"/>
  <c r="U1003" i="83"/>
  <c r="V1003" i="83" s="1" a="1"/>
  <c r="V1003" i="83" s="1"/>
  <c r="T238" i="83"/>
  <c r="U238" i="83"/>
  <c r="V238" i="83" s="1" a="1"/>
  <c r="V238" i="83" s="1"/>
  <c r="T83" i="83"/>
  <c r="U83" i="83"/>
  <c r="V83" i="83" s="1" a="1"/>
  <c r="V83" i="83" s="1"/>
  <c r="T77" i="83"/>
  <c r="U77" i="83"/>
  <c r="V77" i="83" s="1" a="1"/>
  <c r="V77" i="83" s="1"/>
  <c r="T239" i="83"/>
  <c r="U239" i="83"/>
  <c r="V239" i="83" s="1" a="1"/>
  <c r="V239" i="83" s="1"/>
  <c r="T240" i="83"/>
  <c r="U240" i="83"/>
  <c r="V240" i="83" s="1" a="1"/>
  <c r="V240" i="83" s="1"/>
  <c r="T210" i="83"/>
  <c r="U210" i="83"/>
  <c r="V210" i="83" s="1" a="1"/>
  <c r="V210" i="83" s="1"/>
  <c r="T211" i="83"/>
  <c r="U211" i="83"/>
  <c r="V211" i="83" s="1" a="1"/>
  <c r="V211" i="83" s="1"/>
  <c r="T212" i="83"/>
  <c r="U212" i="83"/>
  <c r="V212" i="83" s="1" a="1"/>
  <c r="V212" i="83" s="1"/>
  <c r="T241" i="83"/>
  <c r="U241" i="83"/>
  <c r="V241" i="83" s="1" a="1"/>
  <c r="V241" i="83" s="1"/>
  <c r="T213" i="83"/>
  <c r="U213" i="83"/>
  <c r="V213" i="83" s="1" a="1"/>
  <c r="V213" i="83" s="1"/>
  <c r="T1004" i="83"/>
  <c r="U1004" i="83"/>
  <c r="V1004" i="83" s="1" a="1"/>
  <c r="V1004" i="83" s="1"/>
  <c r="T84" i="83"/>
  <c r="U84" i="83"/>
  <c r="V84" i="83" s="1" a="1"/>
  <c r="V84" i="83" s="1"/>
  <c r="T146" i="83"/>
  <c r="U146" i="83"/>
  <c r="V146" i="83" s="1" a="1"/>
  <c r="V146" i="83" s="1"/>
  <c r="T277" i="83"/>
  <c r="U277" i="83"/>
  <c r="V277" i="83" s="1" a="1"/>
  <c r="V277" i="83" s="1"/>
  <c r="T25" i="83"/>
  <c r="U25" i="83"/>
  <c r="V25" i="83" s="1" a="1"/>
  <c r="V25" i="83" s="1"/>
  <c r="T278" i="83"/>
  <c r="U278" i="83"/>
  <c r="V278" i="83" s="1" a="1"/>
  <c r="V278" i="83" s="1"/>
  <c r="T279" i="83"/>
  <c r="U279" i="83"/>
  <c r="V279" i="83" s="1" a="1"/>
  <c r="V279" i="83" s="1"/>
  <c r="T147" i="83"/>
  <c r="U147" i="83"/>
  <c r="V147" i="83" s="1" a="1"/>
  <c r="V147" i="83" s="1"/>
  <c r="T280" i="83"/>
  <c r="U280" i="83"/>
  <c r="V280" i="83" s="1" a="1"/>
  <c r="V280" i="83" s="1"/>
  <c r="T148" i="83"/>
  <c r="U148" i="83"/>
  <c r="V148" i="83" s="1" a="1"/>
  <c r="V148" i="83" s="1"/>
  <c r="T63" i="83"/>
  <c r="U63" i="83"/>
  <c r="V63" i="83" s="1" a="1"/>
  <c r="V63" i="83" s="1"/>
  <c r="T149" i="83"/>
  <c r="U149" i="83"/>
  <c r="V149" i="83" s="1" a="1"/>
  <c r="V149" i="83" s="1"/>
  <c r="T85" i="83"/>
  <c r="U85" i="83"/>
  <c r="V85" i="83" s="1" a="1"/>
  <c r="V85" i="83" s="1"/>
  <c r="T374" i="83"/>
  <c r="U374" i="83"/>
  <c r="V374" i="83" s="1" a="1"/>
  <c r="V374" i="83" s="1"/>
  <c r="T26" i="83"/>
  <c r="U26" i="83"/>
  <c r="V26" i="83" s="1" a="1"/>
  <c r="V26" i="83" s="1"/>
  <c r="T86" i="83"/>
  <c r="U86" i="83"/>
  <c r="V86" i="83" s="1" a="1"/>
  <c r="V86" i="83" s="1"/>
  <c r="T87" i="83"/>
  <c r="U87" i="83"/>
  <c r="V87" i="83" s="1" a="1"/>
  <c r="V87" i="83" s="1"/>
  <c r="T23" i="83"/>
  <c r="U23" i="83"/>
  <c r="V23" i="83" s="1" a="1"/>
  <c r="V23" i="83" s="1"/>
  <c r="T310" i="83"/>
  <c r="U310" i="83"/>
  <c r="V310" i="83" s="1" a="1"/>
  <c r="V310" i="83" s="1"/>
  <c r="T331" i="83"/>
  <c r="U331" i="83"/>
  <c r="V331" i="83" s="1" a="1"/>
  <c r="V331" i="83" s="1"/>
  <c r="T332" i="83"/>
  <c r="U332" i="83"/>
  <c r="V332" i="83" s="1" a="1"/>
  <c r="V332" i="83" s="1"/>
  <c r="T34" i="83"/>
  <c r="U34" i="83"/>
  <c r="V34" i="83" s="1" a="1"/>
  <c r="V34" i="83" s="1"/>
  <c r="T35" i="83"/>
  <c r="U35" i="83"/>
  <c r="V35" i="83" s="1" a="1"/>
  <c r="V35" i="83" s="1"/>
  <c r="T838" i="83"/>
  <c r="U838" i="83"/>
  <c r="V838" i="83" s="1" a="1"/>
  <c r="V838" i="83" s="1"/>
  <c r="T24" i="83"/>
  <c r="U24" i="83"/>
  <c r="V24" i="83" s="1" a="1"/>
  <c r="V24" i="83" s="1"/>
  <c r="T27" i="83"/>
  <c r="U27" i="83"/>
  <c r="V27" i="83" s="1" a="1"/>
  <c r="V27" i="83" s="1"/>
  <c r="T333" i="83"/>
  <c r="U333" i="83"/>
  <c r="V333" i="83" s="1" a="1"/>
  <c r="V333" i="83" s="1"/>
  <c r="T28" i="83"/>
  <c r="U28" i="83"/>
  <c r="V28" i="83" s="1" a="1"/>
  <c r="V28" i="83" s="1"/>
  <c r="T266" i="83"/>
  <c r="U266" i="83"/>
  <c r="V266" i="83" s="1" a="1"/>
  <c r="V266" i="83" s="1"/>
  <c r="T254" i="83"/>
  <c r="U254" i="83"/>
  <c r="V254" i="83" s="1" a="1"/>
  <c r="V254" i="83" s="1"/>
  <c r="T78" i="83"/>
  <c r="U78" i="83"/>
  <c r="V78" i="83" s="1" a="1"/>
  <c r="V78" i="83" s="1"/>
  <c r="T262" i="83"/>
  <c r="U262" i="83"/>
  <c r="V262" i="83" s="1" a="1"/>
  <c r="V262" i="83" s="1"/>
  <c r="T88" i="83"/>
  <c r="U88" i="83"/>
  <c r="V88" i="83" s="1" a="1"/>
  <c r="V88" i="83" s="1"/>
  <c r="T255" i="83"/>
  <c r="U255" i="83"/>
  <c r="V255" i="83" s="1" a="1"/>
  <c r="V255" i="83" s="1"/>
  <c r="T287" i="83"/>
  <c r="U287" i="83"/>
  <c r="V287" i="83" s="1" a="1"/>
  <c r="V287" i="83" s="1"/>
  <c r="T29" i="83"/>
  <c r="U29" i="83"/>
  <c r="V29" i="83" s="1" a="1"/>
  <c r="V29" i="83" s="1"/>
  <c r="T139" i="83"/>
  <c r="U139" i="83"/>
  <c r="V139" i="83" s="1" a="1"/>
  <c r="V139" i="83" s="1"/>
  <c r="T89" i="83"/>
  <c r="U89" i="83"/>
  <c r="V89" i="83" s="1" a="1"/>
  <c r="V89" i="83" s="1"/>
  <c r="T118" i="83"/>
  <c r="U118" i="83"/>
  <c r="V118" i="83" s="1" a="1"/>
  <c r="V118" i="83" s="1"/>
  <c r="T288" i="83"/>
  <c r="U288" i="83"/>
  <c r="V288" i="83" s="1" a="1"/>
  <c r="V288" i="83" s="1"/>
  <c r="T151" i="83"/>
  <c r="U151" i="83"/>
  <c r="V151" i="83" s="1" a="1"/>
  <c r="V151" i="83" s="1"/>
  <c r="T119" i="83"/>
  <c r="U119" i="83"/>
  <c r="V119" i="83" s="1" a="1"/>
  <c r="V119" i="83" s="1"/>
  <c r="T163" i="83"/>
  <c r="U163" i="83"/>
  <c r="V163" i="83" s="1" a="1"/>
  <c r="V163" i="83" s="1"/>
  <c r="T140" i="83"/>
  <c r="U140" i="83"/>
  <c r="V140" i="83" s="1" a="1"/>
  <c r="V140" i="83" s="1"/>
  <c r="T120" i="83"/>
  <c r="U120" i="83"/>
  <c r="V120" i="83" s="1" a="1"/>
  <c r="V120" i="83" s="1"/>
  <c r="T289" i="83"/>
  <c r="U289" i="83"/>
  <c r="V289" i="83" s="1" a="1"/>
  <c r="V289" i="83" s="1"/>
  <c r="T344" i="83"/>
  <c r="U344" i="83"/>
  <c r="V344" i="83" s="1" a="1"/>
  <c r="V344" i="83" s="1"/>
  <c r="T186" i="83"/>
  <c r="U186" i="83"/>
  <c r="V186" i="83" s="1" a="1"/>
  <c r="V186" i="83" s="1"/>
  <c r="T201" i="83"/>
  <c r="U201" i="83"/>
  <c r="V201" i="83" s="1" a="1"/>
  <c r="V201" i="83" s="1"/>
  <c r="T172" i="83"/>
  <c r="U172" i="83"/>
  <c r="V172" i="83" s="1" a="1"/>
  <c r="V172" i="83" s="1"/>
  <c r="T121" i="83"/>
  <c r="U121" i="83"/>
  <c r="V121" i="83" s="1" a="1"/>
  <c r="V121" i="83" s="1"/>
  <c r="T159" i="83"/>
  <c r="U159" i="83"/>
  <c r="V159" i="83" s="1" a="1"/>
  <c r="V159" i="83" s="1"/>
  <c r="T30" i="83"/>
  <c r="U30" i="83"/>
  <c r="V30" i="83" s="1" a="1"/>
  <c r="V30" i="83" s="1"/>
  <c r="T36" i="83"/>
  <c r="U36" i="83"/>
  <c r="V36" i="83" s="1" a="1"/>
  <c r="V36" i="83" s="1"/>
  <c r="T141" i="83"/>
  <c r="U141" i="83"/>
  <c r="V141" i="83" s="1" a="1"/>
  <c r="V141" i="83" s="1"/>
  <c r="T31" i="83"/>
  <c r="U31" i="83"/>
  <c r="V31" i="83" s="1" a="1"/>
  <c r="V31" i="83" s="1"/>
  <c r="T187" i="83"/>
  <c r="U187" i="83"/>
  <c r="V187" i="83" s="1" a="1"/>
  <c r="V187" i="83" s="1"/>
  <c r="T160" i="83"/>
  <c r="U160" i="83"/>
  <c r="V160" i="83" s="1" a="1"/>
  <c r="V160" i="83" s="1"/>
  <c r="T173" i="83"/>
  <c r="U173" i="83"/>
  <c r="V173" i="83" s="1" a="1"/>
  <c r="V173" i="83" s="1"/>
  <c r="T225" i="83"/>
  <c r="U225" i="83"/>
  <c r="V225" i="83" s="1" a="1"/>
  <c r="V225" i="83" s="1"/>
  <c r="T352" i="83"/>
  <c r="U352" i="83"/>
  <c r="V352" i="83" s="1" a="1"/>
  <c r="V352" i="83" s="1"/>
  <c r="T164" i="83"/>
  <c r="U164" i="83"/>
  <c r="V164" i="83" s="1" a="1"/>
  <c r="V164" i="83" s="1"/>
  <c r="T37" i="83"/>
  <c r="U37" i="83"/>
  <c r="V37" i="83" s="1" a="1"/>
  <c r="V37" i="83" s="1"/>
  <c r="T90" i="83"/>
  <c r="U90" i="83"/>
  <c r="V90" i="83" s="1" a="1"/>
  <c r="V90" i="83" s="1"/>
  <c r="T353" i="83"/>
  <c r="U353" i="83"/>
  <c r="V353" i="83" s="1" a="1"/>
  <c r="V353" i="83" s="1"/>
  <c r="T354" i="83"/>
  <c r="U354" i="83"/>
  <c r="V354" i="83" s="1" a="1"/>
  <c r="V354" i="83" s="1"/>
  <c r="T573" i="83"/>
  <c r="U573" i="83"/>
  <c r="V573" i="83" s="1" a="1"/>
  <c r="V573" i="83" s="1"/>
  <c r="T161" i="83"/>
  <c r="U161" i="83"/>
  <c r="V161" i="83" s="1" a="1"/>
  <c r="V161" i="83" s="1"/>
  <c r="T79" i="83"/>
  <c r="U79" i="83"/>
  <c r="V79" i="83" s="1" a="1"/>
  <c r="V79" i="83" s="1"/>
  <c r="T80" i="83"/>
  <c r="U80" i="83"/>
  <c r="V80" i="83" s="1" a="1"/>
  <c r="V80" i="83" s="1"/>
  <c r="T355" i="83"/>
  <c r="U355" i="83"/>
  <c r="V355" i="83" s="1" a="1"/>
  <c r="V355" i="83" s="1"/>
  <c r="T356" i="83"/>
  <c r="U356" i="83"/>
  <c r="V356" i="83" s="1" a="1"/>
  <c r="V356" i="83" s="1"/>
  <c r="T357" i="83"/>
  <c r="U357" i="83"/>
  <c r="V357" i="83" s="1" a="1"/>
  <c r="V357" i="83" s="1"/>
  <c r="T972" i="83"/>
  <c r="U972" i="83"/>
  <c r="V972" i="83" s="1" a="1"/>
  <c r="V972" i="83" s="1"/>
  <c r="T162" i="83"/>
  <c r="U162" i="83"/>
  <c r="V162" i="83" s="1" a="1"/>
  <c r="V162" i="83" s="1"/>
  <c r="T165" i="83"/>
  <c r="U165" i="83"/>
  <c r="V165" i="83" s="1" a="1"/>
  <c r="V165" i="83" s="1"/>
  <c r="T358" i="83"/>
  <c r="U358" i="83"/>
  <c r="V358" i="83" s="1" a="1"/>
  <c r="V358" i="83" s="1"/>
  <c r="T359" i="83"/>
  <c r="U359" i="83"/>
  <c r="V359" i="83" s="1" a="1"/>
  <c r="V359" i="83" s="1"/>
  <c r="T19" i="83"/>
  <c r="U19" i="83"/>
  <c r="V19" i="83" s="1" a="1"/>
  <c r="V19" i="83" s="1"/>
  <c r="T973" i="83"/>
  <c r="U973" i="83"/>
  <c r="V973" i="83" s="1" a="1"/>
  <c r="V973" i="83" s="1"/>
  <c r="T32" i="83"/>
  <c r="U32" i="83"/>
  <c r="V32" i="83" s="1" a="1"/>
  <c r="V32" i="83" s="1"/>
  <c r="T271" i="83"/>
  <c r="U271" i="83"/>
  <c r="V271" i="83" s="1" a="1"/>
  <c r="V271" i="83" s="1"/>
  <c r="T489" i="83"/>
  <c r="U489" i="83"/>
  <c r="V489" i="83" s="1" a="1"/>
  <c r="V489" i="83" s="1"/>
  <c r="T529" i="83"/>
  <c r="U529" i="83"/>
  <c r="V529" i="83" s="1" a="1"/>
  <c r="V529" i="83" s="1"/>
  <c r="T345" i="83"/>
  <c r="U345" i="83"/>
  <c r="V345" i="83" s="1" a="1"/>
  <c r="V345" i="83" s="1"/>
  <c r="T20" i="83"/>
  <c r="U20" i="83"/>
  <c r="V20" i="83" s="1" a="1"/>
  <c r="V20" i="83" s="1"/>
  <c r="T263" i="83"/>
  <c r="U263" i="83"/>
  <c r="V263" i="83" s="1" a="1"/>
  <c r="V263" i="83" s="1"/>
  <c r="T21" i="83"/>
  <c r="U21" i="83"/>
  <c r="V21" i="83" s="1" a="1"/>
  <c r="V21" i="83" s="1"/>
  <c r="T248" i="83"/>
  <c r="U248" i="83"/>
  <c r="V248" i="83" s="1" a="1"/>
  <c r="V248" i="83" s="1"/>
  <c r="T166" i="83"/>
  <c r="U166" i="83"/>
  <c r="V166" i="83" s="1" a="1"/>
  <c r="V166" i="83" s="1"/>
  <c r="T22" i="83"/>
  <c r="U22" i="83"/>
  <c r="V22" i="83" s="1" a="1"/>
  <c r="V22" i="83" s="1"/>
  <c r="T311" i="83"/>
  <c r="U311" i="83"/>
  <c r="V311" i="83" s="1" a="1"/>
  <c r="V311" i="83" s="1"/>
  <c r="T167" i="83"/>
  <c r="U167" i="83"/>
  <c r="V167" i="83" s="1" a="1"/>
  <c r="V167" i="83" s="1"/>
  <c r="T334" i="83"/>
  <c r="U334" i="83"/>
  <c r="V334" i="83" s="1" a="1"/>
  <c r="V334" i="83" s="1"/>
  <c r="T346" i="83"/>
  <c r="U346" i="83"/>
  <c r="V346" i="83" s="1" a="1"/>
  <c r="V346" i="83" s="1"/>
  <c r="T586" i="83"/>
  <c r="U586" i="83"/>
  <c r="V586" i="83" s="1" a="1"/>
  <c r="V586" i="83" s="1"/>
  <c r="T587" i="83"/>
  <c r="U587" i="83"/>
  <c r="V587" i="83" s="1" a="1"/>
  <c r="V587" i="83" s="1"/>
  <c r="T860" i="83"/>
  <c r="U860" i="83"/>
  <c r="V860" i="83" s="1" a="1"/>
  <c r="V860" i="83" s="1"/>
  <c r="T250" i="83"/>
  <c r="U250" i="83"/>
  <c r="V250" i="83" s="1" a="1"/>
  <c r="V250" i="83" s="1"/>
  <c r="T360" i="83"/>
  <c r="U360" i="83"/>
  <c r="V360" i="83" s="1" a="1"/>
  <c r="V360" i="83" s="1"/>
  <c r="T207" i="83"/>
  <c r="U207" i="83"/>
  <c r="V207" i="83" s="1" a="1"/>
  <c r="V207" i="83" s="1"/>
  <c r="T256" i="83"/>
  <c r="U256" i="83"/>
  <c r="V256" i="83" s="1" a="1"/>
  <c r="V256" i="83" s="1"/>
  <c r="T470" i="83"/>
  <c r="U470" i="83"/>
  <c r="V470" i="83" s="1" a="1"/>
  <c r="V470" i="83" s="1"/>
  <c r="T335" i="83"/>
  <c r="U335" i="83"/>
  <c r="V335" i="83" s="1" a="1"/>
  <c r="V335" i="83" s="1"/>
  <c r="T202" i="83"/>
  <c r="U202" i="83"/>
  <c r="V202" i="83" s="1" a="1"/>
  <c r="V202" i="83" s="1"/>
  <c r="T197" i="83"/>
  <c r="U197" i="83"/>
  <c r="V197" i="83" s="1" a="1"/>
  <c r="V197" i="83" s="1"/>
  <c r="T205" i="83"/>
  <c r="U205" i="83"/>
  <c r="V205" i="83" s="1" a="1"/>
  <c r="V205" i="83" s="1"/>
  <c r="T264" i="83"/>
  <c r="U264" i="83"/>
  <c r="V264" i="83" s="1" a="1"/>
  <c r="V264" i="83" s="1"/>
  <c r="T229" i="83"/>
  <c r="U229" i="83"/>
  <c r="V229" i="83" s="1" a="1"/>
  <c r="V229" i="83" s="1"/>
  <c r="T230" i="83"/>
  <c r="U230" i="83"/>
  <c r="V230" i="83" s="1" a="1"/>
  <c r="V230" i="83" s="1"/>
  <c r="T91" i="83"/>
  <c r="U91" i="83"/>
  <c r="V91" i="83" s="1" a="1"/>
  <c r="V91" i="83" s="1"/>
  <c r="T643" i="83"/>
  <c r="U643" i="83"/>
  <c r="V643" i="83" s="1" a="1"/>
  <c r="V643" i="83" s="1"/>
  <c r="T111" i="83"/>
  <c r="U111" i="83"/>
  <c r="V111" i="83" s="1" a="1"/>
  <c r="V111" i="83" s="1"/>
  <c r="T189" i="83"/>
  <c r="U189" i="83"/>
  <c r="V189" i="83" s="1" a="1"/>
  <c r="V189" i="83" s="1"/>
  <c r="T530" i="83"/>
  <c r="U530" i="83"/>
  <c r="V530" i="83" s="1" a="1"/>
  <c r="V530" i="83" s="1"/>
  <c r="T320" i="83"/>
  <c r="U320" i="83"/>
  <c r="V320" i="83" s="1" a="1"/>
  <c r="V320" i="83" s="1"/>
  <c r="T81" i="83"/>
  <c r="U81" i="83"/>
  <c r="V81" i="83" s="1" a="1"/>
  <c r="V81" i="83" s="1"/>
  <c r="T321" i="83"/>
  <c r="U321" i="83"/>
  <c r="V321" i="83" s="1" a="1"/>
  <c r="V321" i="83" s="1"/>
  <c r="T519" i="83"/>
  <c r="U519" i="83"/>
  <c r="V519" i="83" s="1" a="1"/>
  <c r="V519" i="83" s="1"/>
  <c r="T226" i="83"/>
  <c r="U226" i="83"/>
  <c r="V226" i="83" s="1" a="1"/>
  <c r="V226" i="83" s="1"/>
  <c r="T92" i="83"/>
  <c r="U92" i="83"/>
  <c r="V92" i="83" s="1" a="1"/>
  <c r="V92" i="83" s="1"/>
  <c r="T168" i="83"/>
  <c r="U168" i="83"/>
  <c r="V168" i="83" s="1" a="1"/>
  <c r="V168" i="83" s="1"/>
  <c r="T644" i="83"/>
  <c r="U644" i="83"/>
  <c r="V644" i="83" s="1" a="1"/>
  <c r="V644" i="83" s="1"/>
  <c r="T169" i="83"/>
  <c r="U169" i="83"/>
  <c r="V169" i="83" s="1" a="1"/>
  <c r="V169" i="83" s="1"/>
  <c r="T296" i="83"/>
  <c r="U296" i="83"/>
  <c r="V296" i="83" s="1" a="1"/>
  <c r="V296" i="83" s="1"/>
  <c r="T336" i="83"/>
  <c r="U336" i="83"/>
  <c r="V336" i="83" s="1" a="1"/>
  <c r="V336" i="83" s="1"/>
  <c r="T190" i="83"/>
  <c r="U190" i="83"/>
  <c r="V190" i="83" s="1" a="1"/>
  <c r="V190" i="83" s="1"/>
  <c r="T170" i="83"/>
  <c r="U170" i="83"/>
  <c r="V170" i="83" s="1" a="1"/>
  <c r="V170" i="83" s="1"/>
  <c r="T706" i="83"/>
  <c r="U706" i="83"/>
  <c r="V706" i="83" s="1" a="1"/>
  <c r="V706" i="83" s="1"/>
  <c r="T97" i="83"/>
  <c r="U97" i="83"/>
  <c r="V97" i="83" s="1" a="1"/>
  <c r="V97" i="83" s="1"/>
  <c r="T375" i="83"/>
  <c r="U375" i="83"/>
  <c r="V375" i="83" s="1" a="1"/>
  <c r="V375" i="83" s="1"/>
  <c r="T41" i="83"/>
  <c r="U41" i="83"/>
  <c r="V41" i="83" s="1" a="1"/>
  <c r="V41" i="83" s="1"/>
  <c r="T182" i="83"/>
  <c r="U182" i="83"/>
  <c r="V182" i="83" s="1" a="1"/>
  <c r="V182" i="83" s="1"/>
  <c r="T38" i="83"/>
  <c r="U38" i="83"/>
  <c r="V38" i="83" s="1" a="1"/>
  <c r="V38" i="83" s="1"/>
  <c r="T249" i="83"/>
  <c r="U249" i="83"/>
  <c r="V249" i="83" s="1" a="1"/>
  <c r="V249" i="83" s="1"/>
  <c r="T39" i="83"/>
  <c r="U39" i="83"/>
  <c r="V39" i="83" s="1" a="1"/>
  <c r="V39" i="83" s="1"/>
  <c r="T645" i="83"/>
  <c r="U645" i="83"/>
  <c r="V645" i="83" s="1" a="1"/>
  <c r="V645" i="83" s="1"/>
  <c r="T531" i="83"/>
  <c r="U531" i="83"/>
  <c r="V531" i="83" s="1" a="1"/>
  <c r="V531" i="83" s="1"/>
  <c r="T174" i="83"/>
  <c r="U174" i="83"/>
  <c r="V174" i="83" s="1" a="1"/>
  <c r="V174" i="83" s="1"/>
  <c r="T171" i="83"/>
  <c r="U171" i="83"/>
  <c r="V171" i="83" s="1" a="1"/>
  <c r="V171" i="83" s="1"/>
  <c r="T156" i="83"/>
  <c r="U156" i="83"/>
  <c r="V156" i="83" s="1" a="1"/>
  <c r="V156" i="83" s="1"/>
  <c r="T206" i="83"/>
  <c r="U206" i="83"/>
  <c r="V206" i="83" s="1" a="1"/>
  <c r="V206" i="83" s="1"/>
  <c r="T33" i="83"/>
  <c r="U33" i="83"/>
  <c r="V33" i="83" s="1" a="1"/>
  <c r="V33" i="83" s="1"/>
  <c r="T98" i="83"/>
  <c r="U98" i="83"/>
  <c r="V98" i="83" s="1" a="1"/>
  <c r="V98" i="83" s="1"/>
  <c r="T715" i="83"/>
  <c r="U715" i="83"/>
  <c r="V715" i="83" s="1" a="1"/>
  <c r="V715" i="83" s="1"/>
  <c r="T337" i="83"/>
  <c r="U337" i="83"/>
  <c r="V337" i="83" s="1" a="1"/>
  <c r="V337" i="83" s="1"/>
  <c r="T298" i="83"/>
  <c r="U298" i="83"/>
  <c r="V298" i="83" s="1" a="1"/>
  <c r="V298" i="83" s="1"/>
  <c r="T290" i="83"/>
  <c r="U290" i="83"/>
  <c r="V290" i="83" s="1" a="1"/>
  <c r="V290" i="83" s="1"/>
  <c r="T646" i="83"/>
  <c r="U646" i="83"/>
  <c r="V646" i="83" s="1" a="1"/>
  <c r="V646" i="83" s="1"/>
  <c r="T196" i="83"/>
  <c r="U196" i="83"/>
  <c r="V196" i="83" s="1" a="1"/>
  <c r="V196" i="83" s="1"/>
  <c r="T361" i="83"/>
  <c r="U361" i="83"/>
  <c r="V361" i="83" s="1" a="1"/>
  <c r="V361" i="83" s="1"/>
  <c r="T839" i="83"/>
  <c r="U839" i="83"/>
  <c r="V839" i="83" s="1" a="1"/>
  <c r="V839" i="83" s="1"/>
  <c r="T295" i="83"/>
  <c r="U295" i="83"/>
  <c r="V295" i="83" s="1" a="1"/>
  <c r="V295" i="83" s="1"/>
  <c r="T135" i="83"/>
  <c r="U135" i="83"/>
  <c r="V135" i="83" s="1" a="1"/>
  <c r="V135" i="83" s="1"/>
  <c r="T136" i="83"/>
  <c r="U136" i="83"/>
  <c r="V136" i="83" s="1" a="1"/>
  <c r="V136" i="83" s="1"/>
  <c r="T227" i="83"/>
  <c r="U227" i="83"/>
  <c r="V227" i="83" s="1" a="1"/>
  <c r="V227" i="83" s="1"/>
  <c r="T603" i="83"/>
  <c r="U603" i="83"/>
  <c r="V603" i="83" s="1" a="1"/>
  <c r="V603" i="83" s="1"/>
  <c r="T275" i="83"/>
  <c r="U275" i="83"/>
  <c r="V275" i="83" s="1" a="1"/>
  <c r="V275" i="83" s="1"/>
  <c r="T322" i="83"/>
  <c r="U322" i="83"/>
  <c r="V322" i="83" s="1" a="1"/>
  <c r="V322" i="83" s="1"/>
  <c r="T499" i="83"/>
  <c r="U499" i="83"/>
  <c r="V499" i="83" s="1" a="1"/>
  <c r="V499" i="83" s="1"/>
  <c r="T203" i="83"/>
  <c r="U203" i="83"/>
  <c r="V203" i="83" s="1" a="1"/>
  <c r="V203" i="83" s="1"/>
  <c r="T861" i="83"/>
  <c r="U861" i="83"/>
  <c r="V861" i="83" s="1" a="1"/>
  <c r="V861" i="83" s="1"/>
  <c r="T218" i="83"/>
  <c r="U218" i="83"/>
  <c r="V218" i="83" s="1" a="1"/>
  <c r="V218" i="83" s="1"/>
  <c r="T99" i="83"/>
  <c r="U99" i="83"/>
  <c r="V99" i="83" s="1" a="1"/>
  <c r="V99" i="83" s="1"/>
  <c r="T137" i="83"/>
  <c r="U137" i="83"/>
  <c r="V137" i="83" s="1" a="1"/>
  <c r="V137" i="83" s="1"/>
  <c r="T112" i="83"/>
  <c r="U112" i="83"/>
  <c r="V112" i="83" s="1" a="1"/>
  <c r="V112" i="83" s="1"/>
  <c r="T660" i="83"/>
  <c r="U660" i="83"/>
  <c r="V660" i="83" s="1" a="1"/>
  <c r="V660" i="83" s="1"/>
  <c r="T131" i="83"/>
  <c r="U131" i="83"/>
  <c r="V131" i="83" s="1" a="1"/>
  <c r="V131" i="83" s="1"/>
  <c r="T194" i="83"/>
  <c r="U194" i="83"/>
  <c r="V194" i="83" s="1" a="1"/>
  <c r="V194" i="83" s="1"/>
  <c r="T794" i="83"/>
  <c r="U794" i="83"/>
  <c r="V794" i="83" s="1" a="1"/>
  <c r="V794" i="83" s="1"/>
  <c r="T805" i="83"/>
  <c r="U805" i="83"/>
  <c r="V805" i="83" s="1" a="1"/>
  <c r="V805" i="83" s="1"/>
  <c r="T312" i="83"/>
  <c r="U312" i="83"/>
  <c r="V312" i="83" s="1" a="1"/>
  <c r="V312" i="83" s="1"/>
  <c r="T251" i="83"/>
  <c r="U251" i="83"/>
  <c r="V251" i="83" s="1" a="1"/>
  <c r="V251" i="83" s="1"/>
  <c r="T183" i="83"/>
  <c r="U183" i="83"/>
  <c r="V183" i="83" s="1" a="1"/>
  <c r="V183" i="83" s="1"/>
  <c r="T252" i="83"/>
  <c r="U252" i="83"/>
  <c r="V252" i="83" s="1" a="1"/>
  <c r="V252" i="83" s="1"/>
  <c r="T153" i="83"/>
  <c r="U153" i="83"/>
  <c r="V153" i="83" s="1" a="1"/>
  <c r="V153" i="83" s="1"/>
  <c r="T219" i="83"/>
  <c r="U219" i="83"/>
  <c r="V219" i="83" s="1" a="1"/>
  <c r="V219" i="83" s="1"/>
  <c r="T184" i="83"/>
  <c r="U184" i="83"/>
  <c r="V184" i="83" s="1" a="1"/>
  <c r="V184" i="83" s="1"/>
  <c r="T795" i="83"/>
  <c r="U795" i="83"/>
  <c r="V795" i="83" s="1" a="1"/>
  <c r="V795" i="83" s="1"/>
  <c r="T297" i="83"/>
  <c r="U297" i="83"/>
  <c r="V297" i="83" s="1" a="1"/>
  <c r="V297" i="83" s="1"/>
  <c r="T185" i="83"/>
  <c r="U185" i="83"/>
  <c r="V185" i="83" s="1" a="1"/>
  <c r="V185" i="83" s="1"/>
  <c r="T122" i="83"/>
  <c r="U122" i="83"/>
  <c r="V122" i="83" s="1" a="1"/>
  <c r="V122" i="83" s="1"/>
  <c r="T175" i="83"/>
  <c r="U175" i="83"/>
  <c r="V175" i="83" s="1" a="1"/>
  <c r="V175" i="83" s="1"/>
  <c r="T272" i="83"/>
  <c r="U272" i="83"/>
  <c r="V272" i="83" s="1" a="1"/>
  <c r="V272" i="83" s="1"/>
  <c r="T200" i="83"/>
  <c r="U200" i="83"/>
  <c r="V200" i="83" s="1" a="1"/>
  <c r="V200" i="83" s="1"/>
  <c r="T265" i="83"/>
  <c r="U265" i="83"/>
  <c r="V265" i="83" s="1" a="1"/>
  <c r="V265" i="83" s="1"/>
  <c r="T974" i="83"/>
  <c r="U974" i="83"/>
  <c r="V974" i="83" s="1" a="1"/>
  <c r="V974" i="83" s="1"/>
  <c r="T862" i="83"/>
  <c r="U862" i="83"/>
  <c r="V862" i="83" s="1" a="1"/>
  <c r="V862" i="83" s="1"/>
  <c r="T796" i="83"/>
  <c r="U796" i="83"/>
  <c r="V796" i="83" s="1" a="1"/>
  <c r="V796" i="83" s="1"/>
  <c r="T233" i="83"/>
  <c r="U233" i="83"/>
  <c r="V233" i="83" s="1" a="1"/>
  <c r="V233" i="83" s="1"/>
  <c r="T281" i="83"/>
  <c r="U281" i="83"/>
  <c r="V281" i="83" s="1" a="1"/>
  <c r="V281" i="83" s="1"/>
  <c r="T220" i="83"/>
  <c r="U220" i="83"/>
  <c r="V220" i="83" s="1" a="1"/>
  <c r="V220" i="83" s="1"/>
  <c r="T253" i="83"/>
  <c r="U253" i="83"/>
  <c r="V253" i="83" s="1" a="1"/>
  <c r="V253" i="83" s="1"/>
  <c r="T132" i="83"/>
  <c r="U132" i="83"/>
  <c r="V132" i="83" s="1" a="1"/>
  <c r="V132" i="83" s="1"/>
  <c r="T59" i="83"/>
  <c r="U59" i="83"/>
  <c r="V59" i="83" s="1" a="1"/>
  <c r="V59" i="83" s="1"/>
  <c r="T177" i="83"/>
  <c r="U177" i="83"/>
  <c r="V177" i="83" s="1" a="1"/>
  <c r="V177" i="83" s="1"/>
  <c r="T797" i="83"/>
  <c r="U797" i="83"/>
  <c r="V797" i="83" s="1" a="1"/>
  <c r="V797" i="83" s="1"/>
  <c r="T282" i="83"/>
  <c r="U282" i="83"/>
  <c r="V282" i="83" s="1" a="1"/>
  <c r="V282" i="83" s="1"/>
  <c r="T195" i="83"/>
  <c r="U195" i="83"/>
  <c r="V195" i="83" s="1" a="1"/>
  <c r="V195" i="83" s="1"/>
  <c r="T178" i="83"/>
  <c r="U178" i="83"/>
  <c r="V178" i="83" s="1" a="1"/>
  <c r="V178" i="83" s="1"/>
  <c r="T1000" i="83"/>
  <c r="U1000" i="83"/>
  <c r="V1000" i="83" s="1" a="1"/>
  <c r="V1000" i="83" s="1"/>
  <c r="T284" i="83"/>
  <c r="U284" i="83"/>
  <c r="V284" i="83" s="1" a="1"/>
  <c r="V284" i="83" s="1"/>
  <c r="T397" i="83"/>
  <c r="U397" i="83"/>
  <c r="V397" i="83" s="1" a="1"/>
  <c r="V397" i="83" s="1"/>
  <c r="T604" i="83"/>
  <c r="U604" i="83"/>
  <c r="V604" i="83" s="1" a="1"/>
  <c r="V604" i="83" s="1"/>
  <c r="T789" i="83"/>
  <c r="U789" i="83"/>
  <c r="V789" i="83" s="1" a="1"/>
  <c r="V789" i="83" s="1"/>
  <c r="T347" i="83"/>
  <c r="U347" i="83"/>
  <c r="V347" i="83" s="1" a="1"/>
  <c r="V347" i="83" s="1"/>
  <c r="T870" i="83"/>
  <c r="U870" i="83"/>
  <c r="V870" i="83" s="1" a="1"/>
  <c r="V870" i="83" s="1"/>
  <c r="T571" i="83"/>
  <c r="U571" i="83"/>
  <c r="V571" i="83" s="1" a="1"/>
  <c r="V571" i="83" s="1"/>
  <c r="T285" i="83"/>
  <c r="U285" i="83"/>
  <c r="V285" i="83" s="1" a="1"/>
  <c r="V285" i="83" s="1"/>
  <c r="T605" i="83"/>
  <c r="U605" i="83"/>
  <c r="V605" i="83" s="1" a="1"/>
  <c r="V605" i="83" s="1"/>
  <c r="T863" i="83"/>
  <c r="U863" i="83"/>
  <c r="V863" i="83" s="1" a="1"/>
  <c r="V863" i="83" s="1"/>
  <c r="T13" i="83"/>
  <c r="U13" i="83"/>
  <c r="V13" i="83" s="1" a="1"/>
  <c r="V13" i="83" s="1"/>
  <c r="T193" i="83"/>
  <c r="U193" i="83"/>
  <c r="V193" i="83" s="1" a="1"/>
  <c r="V193" i="83" s="1"/>
  <c r="T778" i="83"/>
  <c r="U778" i="83"/>
  <c r="V778" i="83" s="1" a="1"/>
  <c r="V778" i="83" s="1"/>
  <c r="T840" i="83"/>
  <c r="U840" i="83"/>
  <c r="V840" i="83" s="1" a="1"/>
  <c r="V840" i="83" s="1"/>
  <c r="T471" i="83"/>
  <c r="U471" i="83"/>
  <c r="V471" i="83" s="1" a="1"/>
  <c r="V471" i="83" s="1"/>
  <c r="T697" i="83"/>
  <c r="U697" i="83"/>
  <c r="V697" i="83" s="1" a="1"/>
  <c r="V697" i="83" s="1"/>
  <c r="T157" i="83"/>
  <c r="U157" i="83"/>
  <c r="V157" i="83" s="1" a="1"/>
  <c r="V157" i="83" s="1"/>
  <c r="T93" i="83"/>
  <c r="U93" i="83"/>
  <c r="V93" i="83" s="1" a="1"/>
  <c r="V93" i="83" s="1"/>
  <c r="T42" i="83"/>
  <c r="U42" i="83"/>
  <c r="V42" i="83" s="1" a="1"/>
  <c r="V42" i="83" s="1"/>
  <c r="T154" i="83"/>
  <c r="U154" i="83"/>
  <c r="V154" i="83" s="1" a="1"/>
  <c r="V154" i="83" s="1"/>
  <c r="T362" i="83"/>
  <c r="U362" i="83"/>
  <c r="V362" i="83" s="1" a="1"/>
  <c r="V362" i="83" s="1"/>
  <c r="T221" i="83"/>
  <c r="U221" i="83"/>
  <c r="V221" i="83" s="1" a="1"/>
  <c r="V221" i="83" s="1"/>
  <c r="T806" i="83"/>
  <c r="U806" i="83"/>
  <c r="V806" i="83" s="1" a="1"/>
  <c r="V806" i="83" s="1"/>
  <c r="T286" i="83"/>
  <c r="U286" i="83"/>
  <c r="V286" i="83" s="1" a="1"/>
  <c r="V286" i="83" s="1"/>
  <c r="T675" i="83"/>
  <c r="U675" i="83"/>
  <c r="V675" i="83" s="1" a="1"/>
  <c r="V675" i="83" s="1"/>
  <c r="T606" i="83"/>
  <c r="U606" i="83"/>
  <c r="V606" i="83" s="1" a="1"/>
  <c r="V606" i="83" s="1"/>
  <c r="T720" i="83"/>
  <c r="U720" i="83"/>
  <c r="V720" i="83" s="1" a="1"/>
  <c r="V720" i="83" s="1"/>
  <c r="T707" i="83"/>
  <c r="U707" i="83"/>
  <c r="V707" i="83" s="1" a="1"/>
  <c r="V707" i="83" s="1"/>
  <c r="T676" i="83"/>
  <c r="U676" i="83"/>
  <c r="V676" i="83" s="1" a="1"/>
  <c r="V676" i="83" s="1"/>
  <c r="T283" i="83"/>
  <c r="U283" i="83"/>
  <c r="V283" i="83" s="1" a="1"/>
  <c r="V283" i="83" s="1"/>
  <c r="T179" i="83"/>
  <c r="U179" i="83"/>
  <c r="V179" i="83" s="1" a="1"/>
  <c r="V179" i="83" s="1"/>
  <c r="T234" i="83"/>
  <c r="U234" i="83"/>
  <c r="V234" i="83" s="1" a="1"/>
  <c r="V234" i="83" s="1"/>
  <c r="T222" i="83"/>
  <c r="U222" i="83"/>
  <c r="V222" i="83" s="1" a="1"/>
  <c r="V222" i="83" s="1"/>
  <c r="T94" i="83"/>
  <c r="U94" i="83"/>
  <c r="V94" i="83" s="1" a="1"/>
  <c r="V94" i="83" s="1"/>
  <c r="T55" i="83"/>
  <c r="U55" i="83"/>
  <c r="V55" i="83" s="1" a="1"/>
  <c r="V55" i="83" s="1"/>
  <c r="T301" i="83"/>
  <c r="U301" i="83"/>
  <c r="V301" i="83" s="1" a="1"/>
  <c r="V301" i="83" s="1"/>
  <c r="T721" i="83"/>
  <c r="U721" i="83"/>
  <c r="V721" i="83" s="1" a="1"/>
  <c r="V721" i="83" s="1"/>
  <c r="T841" i="83"/>
  <c r="U841" i="83"/>
  <c r="V841" i="83" s="1" a="1"/>
  <c r="V841" i="83" s="1"/>
  <c r="T500" i="83"/>
  <c r="U500" i="83"/>
  <c r="V500" i="83" s="1" a="1"/>
  <c r="V500" i="83" s="1"/>
  <c r="T300" i="83"/>
  <c r="U300" i="83"/>
  <c r="V300" i="83" s="1" a="1"/>
  <c r="V300" i="83" s="1"/>
  <c r="T577" i="83"/>
  <c r="U577" i="83"/>
  <c r="V577" i="83" s="1" a="1"/>
  <c r="V577" i="83" s="1"/>
  <c r="T790" i="83"/>
  <c r="U790" i="83"/>
  <c r="V790" i="83" s="1" a="1"/>
  <c r="V790" i="83" s="1"/>
  <c r="T60" i="83"/>
  <c r="U60" i="83"/>
  <c r="V60" i="83" s="1" a="1"/>
  <c r="V60" i="83" s="1"/>
  <c r="T61" i="83"/>
  <c r="U61" i="83"/>
  <c r="V61" i="83" s="1" a="1"/>
  <c r="V61" i="83" s="1"/>
  <c r="T176" i="83"/>
  <c r="U176" i="83"/>
  <c r="V176" i="83" s="1" a="1"/>
  <c r="V176" i="83" s="1"/>
  <c r="T417" i="83"/>
  <c r="U417" i="83"/>
  <c r="V417" i="83" s="1" a="1"/>
  <c r="V417" i="83" s="1"/>
  <c r="T708" i="83"/>
  <c r="U708" i="83"/>
  <c r="V708" i="83" s="1" a="1"/>
  <c r="V708" i="83" s="1"/>
  <c r="T677" i="83"/>
  <c r="U677" i="83"/>
  <c r="V677" i="83" s="1" a="1"/>
  <c r="V677" i="83" s="1"/>
  <c r="T223" i="83"/>
  <c r="U223" i="83"/>
  <c r="V223" i="83" s="1" a="1"/>
  <c r="V223" i="83" s="1"/>
  <c r="T929" i="83"/>
  <c r="U929" i="83"/>
  <c r="V929" i="83" s="1" a="1"/>
  <c r="V929" i="83" s="1"/>
  <c r="T231" i="83"/>
  <c r="U231" i="83"/>
  <c r="V231" i="83" s="1" a="1"/>
  <c r="V231" i="83" s="1"/>
  <c r="T228" i="83"/>
  <c r="U228" i="83"/>
  <c r="V228" i="83" s="1" a="1"/>
  <c r="V228" i="83" s="1"/>
  <c r="T559" i="83"/>
  <c r="U559" i="83"/>
  <c r="V559" i="83" s="1" a="1"/>
  <c r="V559" i="83" s="1"/>
  <c r="T578" i="83"/>
  <c r="U578" i="83"/>
  <c r="V578" i="83" s="1" a="1"/>
  <c r="V578" i="83" s="1"/>
  <c r="T302" i="83"/>
  <c r="U302" i="83"/>
  <c r="V302" i="83" s="1" a="1"/>
  <c r="V302" i="83" s="1"/>
  <c r="T514" i="83"/>
  <c r="U514" i="83"/>
  <c r="V514" i="83" s="1" a="1"/>
  <c r="V514" i="83" s="1"/>
  <c r="T930" i="83"/>
  <c r="U930" i="83"/>
  <c r="V930" i="83" s="1" a="1"/>
  <c r="V930" i="83" s="1"/>
  <c r="T807" i="83"/>
  <c r="U807" i="83"/>
  <c r="V807" i="83" s="1" a="1"/>
  <c r="V807" i="83" s="1"/>
  <c r="T931" i="83"/>
  <c r="U931" i="83"/>
  <c r="V931" i="83" s="1" a="1"/>
  <c r="V931" i="83" s="1"/>
  <c r="T932" i="83"/>
  <c r="U932" i="83"/>
  <c r="V932" i="83" s="1" a="1"/>
  <c r="V932" i="83" s="1"/>
  <c r="T607" i="83"/>
  <c r="U607" i="83"/>
  <c r="V607" i="83" s="1" a="1"/>
  <c r="V607" i="83" s="1"/>
  <c r="T608" i="83"/>
  <c r="U608" i="83"/>
  <c r="V608" i="83" s="1" a="1"/>
  <c r="V608" i="83" s="1"/>
  <c r="T609" i="83"/>
  <c r="U609" i="83"/>
  <c r="V609" i="83" s="1" a="1"/>
  <c r="V609" i="83" s="1"/>
  <c r="T610" i="83"/>
  <c r="U610" i="83"/>
  <c r="V610" i="83" s="1" a="1"/>
  <c r="V610" i="83" s="1"/>
  <c r="T791" i="83"/>
  <c r="U791" i="83"/>
  <c r="V791" i="83" s="1" a="1"/>
  <c r="V791" i="83" s="1"/>
  <c r="T602" i="83"/>
  <c r="U602" i="83"/>
  <c r="V602" i="83" s="1" a="1"/>
  <c r="V602" i="83" s="1"/>
  <c r="T871" i="83"/>
  <c r="U871" i="83"/>
  <c r="V871" i="83" s="1" a="1"/>
  <c r="V871" i="83" s="1"/>
  <c r="T821" i="83"/>
  <c r="U821" i="83"/>
  <c r="V821" i="83" s="1" a="1"/>
  <c r="V821" i="83" s="1"/>
  <c r="T822" i="83"/>
  <c r="U822" i="83"/>
  <c r="V822" i="83" s="1" a="1"/>
  <c r="V822" i="83" s="1"/>
  <c r="T62" i="83"/>
  <c r="U62" i="83"/>
  <c r="V62" i="83" s="1" a="1"/>
  <c r="V62" i="83" s="1"/>
  <c r="T823" i="83"/>
  <c r="U823" i="83"/>
  <c r="V823" i="83" s="1" a="1"/>
  <c r="V823" i="83" s="1"/>
  <c r="T40" i="83"/>
  <c r="U40" i="83"/>
  <c r="V40" i="83" s="1" a="1"/>
  <c r="V40" i="83" s="1"/>
  <c r="T273" i="83"/>
  <c r="U273" i="83"/>
  <c r="V273" i="83" s="1" a="1"/>
  <c r="V273" i="83" s="1"/>
  <c r="T842" i="83"/>
  <c r="U842" i="83"/>
  <c r="V842" i="83" s="1" a="1"/>
  <c r="V842" i="83" s="1"/>
  <c r="T155" i="83"/>
  <c r="U155" i="83"/>
  <c r="V155" i="83" s="1" a="1"/>
  <c r="V155" i="83" s="1"/>
  <c r="T401" i="83"/>
  <c r="U401" i="83"/>
  <c r="V401" i="83" s="1" a="1"/>
  <c r="V401" i="83" s="1"/>
  <c r="T276" i="83"/>
  <c r="U276" i="83"/>
  <c r="V276" i="83" s="1" a="1"/>
  <c r="V276" i="83" s="1"/>
  <c r="T363" i="83"/>
  <c r="U363" i="83"/>
  <c r="V363" i="83" s="1" a="1"/>
  <c r="V363" i="83" s="1"/>
  <c r="T501" i="83"/>
  <c r="U501" i="83"/>
  <c r="V501" i="83" s="1" a="1"/>
  <c r="V501" i="83" s="1"/>
  <c r="T402" i="83"/>
  <c r="U402" i="83"/>
  <c r="V402" i="83" s="1" a="1"/>
  <c r="V402" i="83" s="1"/>
  <c r="T232" i="83"/>
  <c r="U232" i="83"/>
  <c r="V232" i="83" s="1" a="1"/>
  <c r="V232" i="83" s="1"/>
  <c r="T274" i="83"/>
  <c r="U274" i="83"/>
  <c r="V274" i="83" s="1" a="1"/>
  <c r="V274" i="83" s="1"/>
  <c r="T224" i="83"/>
  <c r="U224" i="83"/>
  <c r="V224" i="83" s="1" a="1"/>
  <c r="V224" i="83" s="1"/>
  <c r="T64" i="83"/>
  <c r="U64" i="83"/>
  <c r="V64" i="83" s="1" a="1"/>
  <c r="V64" i="83" s="1"/>
  <c r="T558" i="83"/>
  <c r="U558" i="83"/>
  <c r="V558" i="83" s="1" a="1"/>
  <c r="V558" i="83" s="1"/>
  <c r="T216" i="83"/>
  <c r="U216" i="83"/>
  <c r="V216" i="83" s="1" a="1"/>
  <c r="V216" i="83" s="1"/>
  <c r="T403" i="83"/>
  <c r="U403" i="83"/>
  <c r="V403" i="83" s="1" a="1"/>
  <c r="V403" i="83" s="1"/>
  <c r="T429" i="83"/>
  <c r="U429" i="83"/>
  <c r="V429" i="83" s="1" a="1"/>
  <c r="V429" i="83" s="1"/>
  <c r="T430" i="83"/>
  <c r="U430" i="83"/>
  <c r="V430" i="83" s="1" a="1"/>
  <c r="V430" i="83" s="1"/>
  <c r="T127" i="83"/>
  <c r="U127" i="83"/>
  <c r="V127" i="83" s="1" a="1"/>
  <c r="V127" i="83" s="1"/>
  <c r="T235" i="83"/>
  <c r="U235" i="83"/>
  <c r="V235" i="83" s="1" a="1"/>
  <c r="V235" i="83" s="1"/>
  <c r="T540" i="83"/>
  <c r="U540" i="83"/>
  <c r="V540" i="83" s="1" a="1"/>
  <c r="V540" i="83" s="1"/>
  <c r="T1002" i="83"/>
  <c r="U1002" i="83"/>
  <c r="V1002" i="83" s="1" a="1"/>
  <c r="V1002" i="83" s="1"/>
  <c r="T568" i="83"/>
  <c r="U568" i="83"/>
  <c r="V568" i="83" s="1" a="1"/>
  <c r="V568" i="83" s="1"/>
  <c r="T398" i="83"/>
  <c r="U398" i="83"/>
  <c r="V398" i="83" s="1" a="1"/>
  <c r="V398" i="83" s="1"/>
  <c r="T824" i="83"/>
  <c r="U824" i="83"/>
  <c r="V824" i="83" s="1" a="1"/>
  <c r="V824" i="83" s="1"/>
  <c r="T399" i="83"/>
  <c r="U399" i="83"/>
  <c r="V399" i="83" s="1" a="1"/>
  <c r="V399" i="83" s="1"/>
  <c r="T728" i="83"/>
  <c r="U728" i="83"/>
  <c r="V728" i="83" s="1" a="1"/>
  <c r="V728" i="83" s="1"/>
  <c r="T400" i="83"/>
  <c r="U400" i="83"/>
  <c r="V400" i="83" s="1" a="1"/>
  <c r="V400" i="83" s="1"/>
  <c r="T946" i="83"/>
  <c r="U946" i="83"/>
  <c r="V946" i="83" s="1" a="1"/>
  <c r="V946" i="83" s="1"/>
  <c r="T191" i="83"/>
  <c r="U191" i="83"/>
  <c r="V191" i="83" s="1" a="1"/>
  <c r="V191" i="83" s="1"/>
  <c r="T381" i="83"/>
  <c r="U381" i="83"/>
  <c r="V381" i="83" s="1" a="1"/>
  <c r="V381" i="83" s="1"/>
  <c r="T541" i="83"/>
  <c r="U541" i="83"/>
  <c r="V541" i="83" s="1" a="1"/>
  <c r="V541" i="83" s="1"/>
  <c r="T843" i="83"/>
  <c r="U843" i="83"/>
  <c r="V843" i="83" s="1" a="1"/>
  <c r="V843" i="83" s="1"/>
  <c r="T65" i="83"/>
  <c r="U65" i="83"/>
  <c r="V65" i="83" s="1" a="1"/>
  <c r="V65" i="83" s="1"/>
  <c r="T569" i="83"/>
  <c r="U569" i="83"/>
  <c r="V569" i="83" s="1" a="1"/>
  <c r="V569" i="83" s="1"/>
  <c r="T844" i="83"/>
  <c r="U844" i="83"/>
  <c r="V844" i="83" s="1" a="1"/>
  <c r="V844" i="83" s="1"/>
  <c r="T560" i="83"/>
  <c r="U560" i="83"/>
  <c r="V560" i="83" s="1" a="1"/>
  <c r="V560" i="83" s="1"/>
  <c r="T327" i="83"/>
  <c r="U327" i="83"/>
  <c r="V327" i="83" s="1" a="1"/>
  <c r="V327" i="83" s="1"/>
  <c r="T376" i="83"/>
  <c r="U376" i="83"/>
  <c r="V376" i="83" s="1" a="1"/>
  <c r="V376" i="83" s="1"/>
  <c r="T299" i="83"/>
  <c r="U299" i="83"/>
  <c r="V299" i="83" s="1" a="1"/>
  <c r="V299" i="83" s="1"/>
  <c r="T845" i="83"/>
  <c r="U845" i="83"/>
  <c r="V845" i="83" s="1" a="1"/>
  <c r="V845" i="83" s="1"/>
  <c r="T502" i="83"/>
  <c r="U502" i="83"/>
  <c r="V502" i="83" s="1" a="1"/>
  <c r="V502" i="83" s="1"/>
  <c r="T113" i="83"/>
  <c r="U113" i="83"/>
  <c r="V113" i="83" s="1" a="1"/>
  <c r="V113" i="83" s="1"/>
  <c r="T404" i="83"/>
  <c r="U404" i="83"/>
  <c r="V404" i="83" s="1" a="1"/>
  <c r="V404" i="83" s="1"/>
  <c r="T542" i="83"/>
  <c r="U542" i="83"/>
  <c r="V542" i="83" s="1" a="1"/>
  <c r="V542" i="83" s="1"/>
  <c r="T382" i="83"/>
  <c r="U382" i="83"/>
  <c r="V382" i="83" s="1" a="1"/>
  <c r="V382" i="83" s="1"/>
  <c r="T709" i="83"/>
  <c r="U709" i="83"/>
  <c r="V709" i="83" s="1" a="1"/>
  <c r="V709" i="83" s="1"/>
  <c r="T543" i="83"/>
  <c r="U543" i="83"/>
  <c r="V543" i="83" s="1" a="1"/>
  <c r="V543" i="83" s="1"/>
  <c r="T128" i="83"/>
  <c r="U128" i="83"/>
  <c r="V128" i="83" s="1" a="1"/>
  <c r="V128" i="83" s="1"/>
  <c r="T978" i="83"/>
  <c r="U978" i="83"/>
  <c r="V978" i="83" s="1" a="1"/>
  <c r="V978" i="83" s="1"/>
  <c r="T1005" i="83"/>
  <c r="U1005" i="83"/>
  <c r="V1005" i="83" s="1" a="1"/>
  <c r="V1005" i="83" s="1"/>
  <c r="T304" i="83"/>
  <c r="U304" i="83"/>
  <c r="V304" i="83" s="1" a="1"/>
  <c r="V304" i="83" s="1"/>
  <c r="T303" i="83"/>
  <c r="U303" i="83"/>
  <c r="V303" i="83" s="1" a="1"/>
  <c r="V303" i="83" s="1"/>
  <c r="T787" i="83"/>
  <c r="U787" i="83"/>
  <c r="V787" i="83" s="1" a="1"/>
  <c r="V787" i="83" s="1"/>
  <c r="T425" i="83"/>
  <c r="U425" i="83"/>
  <c r="V425" i="83" s="1" a="1"/>
  <c r="V425" i="83" s="1"/>
  <c r="T257" i="83"/>
  <c r="U257" i="83"/>
  <c r="V257" i="83" s="1" a="1"/>
  <c r="V257" i="83" s="1"/>
  <c r="T722" i="83"/>
  <c r="U722" i="83"/>
  <c r="V722" i="83" s="1" a="1"/>
  <c r="V722" i="83" s="1"/>
  <c r="T366" i="83"/>
  <c r="U366" i="83"/>
  <c r="V366" i="83" s="1" a="1"/>
  <c r="V366" i="83" s="1"/>
  <c r="T45" i="83"/>
  <c r="U45" i="83"/>
  <c r="V45" i="83" s="1" a="1"/>
  <c r="V45" i="83" s="1"/>
  <c r="T570" i="83"/>
  <c r="U570" i="83"/>
  <c r="V570" i="83" s="1" a="1"/>
  <c r="V570" i="83" s="1"/>
  <c r="T754" i="83"/>
  <c r="U754" i="83"/>
  <c r="V754" i="83" s="1" a="1"/>
  <c r="V754" i="83" s="1"/>
  <c r="T873" i="83"/>
  <c r="U873" i="83"/>
  <c r="V873" i="83" s="1" a="1"/>
  <c r="V873" i="83" s="1"/>
  <c r="T874" i="83"/>
  <c r="U874" i="83"/>
  <c r="V874" i="83" s="1" a="1"/>
  <c r="V874" i="83" s="1"/>
  <c r="T383" i="83"/>
  <c r="U383" i="83"/>
  <c r="V383" i="83" s="1" a="1"/>
  <c r="V383" i="83" s="1"/>
  <c r="T152" i="83"/>
  <c r="U152" i="83"/>
  <c r="V152" i="83" s="1" a="1"/>
  <c r="V152" i="83" s="1"/>
  <c r="T817" i="83"/>
  <c r="U817" i="83"/>
  <c r="V817" i="83" s="1" a="1"/>
  <c r="V817" i="83" s="1"/>
  <c r="T490" i="83"/>
  <c r="U490" i="83"/>
  <c r="V490" i="83" s="1" a="1"/>
  <c r="V490" i="83" s="1"/>
  <c r="T505" i="83"/>
  <c r="U505" i="83"/>
  <c r="V505" i="83" s="1" a="1"/>
  <c r="V505" i="83" s="1"/>
  <c r="T56" i="83"/>
  <c r="U56" i="83"/>
  <c r="V56" i="83" s="1" a="1"/>
  <c r="V56" i="83" s="1"/>
  <c r="T1006" i="83"/>
  <c r="U1006" i="83"/>
  <c r="V1006" i="83" s="1" a="1"/>
  <c r="V1006" i="83" s="1"/>
  <c r="T818" i="83"/>
  <c r="U818" i="83"/>
  <c r="V818" i="83" s="1" a="1"/>
  <c r="V818" i="83" s="1"/>
  <c r="T588" i="83"/>
  <c r="U588" i="83"/>
  <c r="V588" i="83" s="1" a="1"/>
  <c r="V588" i="83" s="1"/>
  <c r="T217" i="83"/>
  <c r="U217" i="83"/>
  <c r="V217" i="83" s="1" a="1"/>
  <c r="V217" i="83" s="1"/>
  <c r="T819" i="83"/>
  <c r="U819" i="83"/>
  <c r="V819" i="83" s="1" a="1"/>
  <c r="V819" i="83" s="1"/>
  <c r="T100" i="83"/>
  <c r="U100" i="83"/>
  <c r="V100" i="83" s="1" a="1"/>
  <c r="V100" i="83" s="1"/>
  <c r="T979" i="83"/>
  <c r="U979" i="83"/>
  <c r="V979" i="83" s="1" a="1"/>
  <c r="V979" i="83" s="1"/>
  <c r="T686" i="83"/>
  <c r="U686" i="83"/>
  <c r="V686" i="83" s="1" a="1"/>
  <c r="V686" i="83" s="1"/>
  <c r="T767" i="83"/>
  <c r="U767" i="83"/>
  <c r="V767" i="83" s="1" a="1"/>
  <c r="V767" i="83" s="1"/>
  <c r="T554" i="83"/>
  <c r="U554" i="83"/>
  <c r="V554" i="83" s="1" a="1"/>
  <c r="V554" i="83" s="1"/>
  <c r="T555" i="83"/>
  <c r="U555" i="83"/>
  <c r="V555" i="83" s="1" a="1"/>
  <c r="V555" i="83" s="1"/>
  <c r="T556" i="83"/>
  <c r="U556" i="83"/>
  <c r="V556" i="83" s="1" a="1"/>
  <c r="V556" i="83" s="1"/>
  <c r="T384" i="83"/>
  <c r="U384" i="83"/>
  <c r="V384" i="83" s="1" a="1"/>
  <c r="V384" i="83" s="1"/>
  <c r="T431" i="83"/>
  <c r="U431" i="83"/>
  <c r="V431" i="83" s="1" a="1"/>
  <c r="V431" i="83" s="1"/>
  <c r="T820" i="83"/>
  <c r="U820" i="83"/>
  <c r="V820" i="83" s="1" a="1"/>
  <c r="V820" i="83" s="1"/>
  <c r="T67" i="83"/>
  <c r="U67" i="83"/>
  <c r="V67" i="83" s="1" a="1"/>
  <c r="V67" i="83" s="1"/>
  <c r="T701" i="83"/>
  <c r="U701" i="83"/>
  <c r="V701" i="83" s="1" a="1"/>
  <c r="V701" i="83" s="1"/>
  <c r="T101" i="83"/>
  <c r="U101" i="83"/>
  <c r="V101" i="83" s="1" a="1"/>
  <c r="V101" i="83" s="1"/>
  <c r="T980" i="83"/>
  <c r="U980" i="83"/>
  <c r="V980" i="83" s="1" a="1"/>
  <c r="V980" i="83" s="1"/>
  <c r="T491" i="83"/>
  <c r="U491" i="83"/>
  <c r="V491" i="83" s="1" a="1"/>
  <c r="V491" i="83" s="1"/>
  <c r="T158" i="83"/>
  <c r="U158" i="83"/>
  <c r="V158" i="83" s="1" a="1"/>
  <c r="V158" i="83" s="1"/>
  <c r="T305" i="83"/>
  <c r="U305" i="83"/>
  <c r="V305" i="83" s="1" a="1"/>
  <c r="V305" i="83" s="1"/>
  <c r="T579" i="83"/>
  <c r="U579" i="83"/>
  <c r="V579" i="83" s="1" a="1"/>
  <c r="V579" i="83" s="1"/>
  <c r="T846" i="83"/>
  <c r="U846" i="83"/>
  <c r="V846" i="83" s="1" a="1"/>
  <c r="V846" i="83" s="1"/>
  <c r="T792" i="83"/>
  <c r="U792" i="83"/>
  <c r="V792" i="83" s="1" a="1"/>
  <c r="V792" i="83" s="1"/>
  <c r="T129" i="83"/>
  <c r="U129" i="83"/>
  <c r="V129" i="83" s="1" a="1"/>
  <c r="V129" i="83" s="1"/>
  <c r="T204" i="83"/>
  <c r="U204" i="83"/>
  <c r="V204" i="83" s="1" a="1"/>
  <c r="V204" i="83" s="1"/>
  <c r="T291" i="83"/>
  <c r="U291" i="83"/>
  <c r="V291" i="83" s="1" a="1"/>
  <c r="V291" i="83" s="1"/>
  <c r="T947" i="83"/>
  <c r="U947" i="83"/>
  <c r="V947" i="83" s="1" a="1"/>
  <c r="V947" i="83" s="1"/>
  <c r="T102" i="83"/>
  <c r="U102" i="83"/>
  <c r="V102" i="83" s="1" a="1"/>
  <c r="V102" i="83" s="1"/>
  <c r="T729" i="83"/>
  <c r="U729" i="83"/>
  <c r="V729" i="83" s="1" a="1"/>
  <c r="V729" i="83" s="1"/>
  <c r="T515" i="83"/>
  <c r="U515" i="83"/>
  <c r="V515" i="83" s="1" a="1"/>
  <c r="V515" i="83" s="1"/>
  <c r="T513" i="83"/>
  <c r="U513" i="83"/>
  <c r="V513" i="83" s="1" a="1"/>
  <c r="V513" i="83" s="1"/>
  <c r="T872" i="83"/>
  <c r="U872" i="83"/>
  <c r="V872" i="83" s="1" a="1"/>
  <c r="V872" i="83" s="1"/>
  <c r="T348" i="83"/>
  <c r="U348" i="83"/>
  <c r="V348" i="83" s="1" a="1"/>
  <c r="V348" i="83" s="1"/>
  <c r="T766" i="83"/>
  <c r="U766" i="83"/>
  <c r="V766" i="83" s="1" a="1"/>
  <c r="V766" i="83" s="1"/>
  <c r="T937" i="83"/>
  <c r="U937" i="83"/>
  <c r="V937" i="83" s="1" a="1"/>
  <c r="V937" i="83" s="1"/>
  <c r="T759" i="83"/>
  <c r="U759" i="83"/>
  <c r="V759" i="83" s="1" a="1"/>
  <c r="V759" i="83" s="1"/>
  <c r="T981" i="83"/>
  <c r="U981" i="83"/>
  <c r="V981" i="83" s="1" a="1"/>
  <c r="V981" i="83" s="1"/>
  <c r="T388" i="83"/>
  <c r="U388" i="83"/>
  <c r="V388" i="83" s="1" a="1"/>
  <c r="V388" i="83" s="1"/>
  <c r="T130" i="83"/>
  <c r="U130" i="83"/>
  <c r="V130" i="83" s="1" a="1"/>
  <c r="V130" i="83" s="1"/>
  <c r="T472" i="83"/>
  <c r="U472" i="83"/>
  <c r="V472" i="83" s="1" a="1"/>
  <c r="V472" i="83" s="1"/>
  <c r="T948" i="83"/>
  <c r="U948" i="83"/>
  <c r="V948" i="83" s="1" a="1"/>
  <c r="V948" i="83" s="1"/>
  <c r="T449" i="83"/>
  <c r="U449" i="83"/>
  <c r="V449" i="83" s="1" a="1"/>
  <c r="V449" i="83" s="1"/>
  <c r="T950" i="83"/>
  <c r="U950" i="83"/>
  <c r="V950" i="83" s="1" a="1"/>
  <c r="V950" i="83" s="1"/>
  <c r="T367" i="83"/>
  <c r="U367" i="83"/>
  <c r="V367" i="83" s="1" a="1"/>
  <c r="V367" i="83" s="1"/>
  <c r="T793" i="83"/>
  <c r="U793" i="83"/>
  <c r="V793" i="83" s="1" a="1"/>
  <c r="V793" i="83" s="1"/>
  <c r="T43" i="83"/>
  <c r="U43" i="83"/>
  <c r="V43" i="83" s="1" a="1"/>
  <c r="V43" i="83" s="1"/>
  <c r="T825" i="83"/>
  <c r="U825" i="83"/>
  <c r="V825" i="83" s="1" a="1"/>
  <c r="V825" i="83" s="1"/>
  <c r="T589" i="83"/>
  <c r="U589" i="83"/>
  <c r="V589" i="83" s="1" a="1"/>
  <c r="V589" i="83" s="1"/>
  <c r="T687" i="83"/>
  <c r="U687" i="83"/>
  <c r="V687" i="83" s="1" a="1"/>
  <c r="V687" i="83" s="1"/>
  <c r="T57" i="83"/>
  <c r="U57" i="83"/>
  <c r="V57" i="83" s="1" a="1"/>
  <c r="V57" i="83" s="1"/>
  <c r="T580" i="83"/>
  <c r="U580" i="83"/>
  <c r="V580" i="83" s="1" a="1"/>
  <c r="V580" i="83" s="1"/>
  <c r="T785" i="83"/>
  <c r="U785" i="83"/>
  <c r="V785" i="83" s="1" a="1"/>
  <c r="V785" i="83" s="1"/>
  <c r="T368" i="83"/>
  <c r="U368" i="83"/>
  <c r="V368" i="83" s="1" a="1"/>
  <c r="V368" i="83" s="1"/>
  <c r="T786" i="83"/>
  <c r="U786" i="83"/>
  <c r="V786" i="83" s="1" a="1"/>
  <c r="V786" i="83" s="1"/>
  <c r="T520" i="83"/>
  <c r="U520" i="83"/>
  <c r="V520" i="83" s="1" a="1"/>
  <c r="V520" i="83" s="1"/>
  <c r="T369" i="83"/>
  <c r="U369" i="83"/>
  <c r="V369" i="83" s="1" a="1"/>
  <c r="V369" i="83" s="1"/>
  <c r="T143" i="83"/>
  <c r="U143" i="83"/>
  <c r="V143" i="83" s="1" a="1"/>
  <c r="V143" i="83" s="1"/>
  <c r="T466" i="83"/>
  <c r="U466" i="83"/>
  <c r="V466" i="83" s="1" a="1"/>
  <c r="V466" i="83" s="1"/>
  <c r="T103" i="83"/>
  <c r="U103" i="83"/>
  <c r="V103" i="83" s="1" a="1"/>
  <c r="V103" i="83" s="1"/>
  <c r="T663" i="83"/>
  <c r="U663" i="83"/>
  <c r="V663" i="83" s="1" a="1"/>
  <c r="V663" i="83" s="1"/>
  <c r="T46" i="83"/>
  <c r="U46" i="83"/>
  <c r="V46" i="83" s="1" a="1"/>
  <c r="V46" i="83" s="1"/>
  <c r="T104" i="83"/>
  <c r="U104" i="83"/>
  <c r="V104" i="83" s="1" a="1"/>
  <c r="V104" i="83" s="1"/>
  <c r="T68" i="83"/>
  <c r="U68" i="83"/>
  <c r="V68" i="83" s="1" a="1"/>
  <c r="V68" i="83" s="1"/>
  <c r="T133" i="83"/>
  <c r="U133" i="83"/>
  <c r="V133" i="83" s="1" a="1"/>
  <c r="V133" i="83" s="1"/>
  <c r="T1001" i="83"/>
  <c r="U1001" i="83"/>
  <c r="V1001" i="83" s="1" a="1"/>
  <c r="V1001" i="83" s="1"/>
  <c r="T432" i="83"/>
  <c r="U432" i="83"/>
  <c r="V432" i="83" s="1" a="1"/>
  <c r="V432" i="83" s="1"/>
  <c r="T95" i="83"/>
  <c r="U95" i="83"/>
  <c r="V95" i="83" s="1" a="1"/>
  <c r="V95" i="83" s="1"/>
  <c r="T770" i="83"/>
  <c r="U770" i="83"/>
  <c r="V770" i="83" s="1" a="1"/>
  <c r="V770" i="83" s="1"/>
  <c r="T516" i="83"/>
  <c r="U516" i="83"/>
  <c r="V516" i="83" s="1" a="1"/>
  <c r="V516" i="83" s="1"/>
  <c r="T574" i="83"/>
  <c r="U574" i="83"/>
  <c r="V574" i="83" s="1" a="1"/>
  <c r="V574" i="83" s="1"/>
  <c r="T714" i="83"/>
  <c r="U714" i="83"/>
  <c r="V714" i="83" s="1" a="1"/>
  <c r="V714" i="83" s="1"/>
  <c r="T58" i="83"/>
  <c r="U58" i="83"/>
  <c r="V58" i="83" s="1" a="1"/>
  <c r="V58" i="83" s="1"/>
  <c r="T717" i="83"/>
  <c r="U717" i="83"/>
  <c r="V717" i="83" s="1" a="1"/>
  <c r="V717" i="83" s="1"/>
  <c r="T557" i="83"/>
  <c r="U557" i="83"/>
  <c r="V557" i="83" s="1" a="1"/>
  <c r="V557" i="83" s="1"/>
  <c r="T517" i="83"/>
  <c r="U517" i="83"/>
  <c r="V517" i="83" s="1" a="1"/>
  <c r="V517" i="83" s="1"/>
  <c r="T418" i="83"/>
  <c r="U418" i="83"/>
  <c r="V418" i="83" s="1" a="1"/>
  <c r="V418" i="83" s="1"/>
  <c r="T292" i="83"/>
  <c r="U292" i="83"/>
  <c r="V292" i="83" s="1" a="1"/>
  <c r="V292" i="83" s="1"/>
  <c r="T951" i="83"/>
  <c r="U951" i="83"/>
  <c r="V951" i="83" s="1" a="1"/>
  <c r="V951" i="83" s="1"/>
  <c r="T985" i="83"/>
  <c r="U985" i="83"/>
  <c r="V985" i="83" s="1" a="1"/>
  <c r="V985" i="83" s="1"/>
  <c r="T389" i="83"/>
  <c r="U389" i="83"/>
  <c r="V389" i="83" s="1" a="1"/>
  <c r="V389" i="83" s="1"/>
  <c r="T884" i="83"/>
  <c r="U884" i="83"/>
  <c r="V884" i="83" s="1" a="1"/>
  <c r="V884" i="83" s="1"/>
  <c r="T521" i="83"/>
  <c r="U521" i="83"/>
  <c r="V521" i="83" s="1" a="1"/>
  <c r="V521" i="83" s="1"/>
  <c r="T96" i="83"/>
  <c r="U96" i="83"/>
  <c r="V96" i="83" s="1" a="1"/>
  <c r="V96" i="83" s="1"/>
  <c r="T647" i="83"/>
  <c r="U647" i="83"/>
  <c r="V647" i="83" s="1" a="1"/>
  <c r="V647" i="83" s="1"/>
  <c r="T467" i="83"/>
  <c r="U467" i="83"/>
  <c r="V467" i="83" s="1" a="1"/>
  <c r="V467" i="83" s="1"/>
  <c r="T648" i="83"/>
  <c r="U648" i="83"/>
  <c r="V648" i="83" s="1" a="1"/>
  <c r="V648" i="83" s="1"/>
  <c r="T144" i="83"/>
  <c r="U144" i="83"/>
  <c r="V144" i="83" s="1" a="1"/>
  <c r="V144" i="83" s="1"/>
  <c r="T433" i="83"/>
  <c r="U433" i="83"/>
  <c r="V433" i="83" s="1" a="1"/>
  <c r="V433" i="83" s="1"/>
  <c r="T760" i="83"/>
  <c r="U760" i="83"/>
  <c r="V760" i="83" s="1" a="1"/>
  <c r="V760" i="83" s="1"/>
  <c r="T145" i="83"/>
  <c r="U145" i="83"/>
  <c r="V145" i="83" s="1" a="1"/>
  <c r="V145" i="83" s="1"/>
  <c r="T105" i="83"/>
  <c r="U105" i="83"/>
  <c r="V105" i="83" s="1" a="1"/>
  <c r="V105" i="83" s="1"/>
  <c r="T188" i="83"/>
  <c r="U188" i="83"/>
  <c r="V188" i="83" s="1" a="1"/>
  <c r="V188" i="83" s="1"/>
  <c r="T649" i="83"/>
  <c r="U649" i="83"/>
  <c r="V649" i="83" s="1" a="1"/>
  <c r="V649" i="83" s="1"/>
  <c r="T106" i="83"/>
  <c r="U106" i="83"/>
  <c r="V106" i="83" s="1" a="1"/>
  <c r="V106" i="83" s="1"/>
  <c r="T650" i="83"/>
  <c r="U650" i="83"/>
  <c r="V650" i="83" s="1" a="1"/>
  <c r="V650" i="83" s="1"/>
  <c r="T942" i="83"/>
  <c r="U942" i="83"/>
  <c r="V942" i="83" s="1" a="1"/>
  <c r="V942" i="83" s="1"/>
  <c r="T952" i="83"/>
  <c r="U952" i="83"/>
  <c r="V952" i="83" s="1" a="1"/>
  <c r="V952" i="83" s="1"/>
  <c r="T426" i="83"/>
  <c r="U426" i="83"/>
  <c r="V426" i="83" s="1" a="1"/>
  <c r="V426" i="83" s="1"/>
  <c r="T44" i="83"/>
  <c r="U44" i="83"/>
  <c r="V44" i="83" s="1" a="1"/>
  <c r="V44" i="83" s="1"/>
  <c r="T826" i="83"/>
  <c r="U826" i="83"/>
  <c r="V826" i="83" s="1" a="1"/>
  <c r="V826" i="83" s="1"/>
  <c r="T827" i="83"/>
  <c r="U827" i="83"/>
  <c r="V827" i="83" s="1" a="1"/>
  <c r="V827" i="83" s="1"/>
  <c r="T882" i="83"/>
  <c r="U882" i="83"/>
  <c r="V882" i="83" s="1" a="1"/>
  <c r="V882" i="83" s="1"/>
  <c r="T450" i="83"/>
  <c r="U450" i="83"/>
  <c r="V450" i="83" s="1" a="1"/>
  <c r="V450" i="83" s="1"/>
  <c r="T779" i="83"/>
  <c r="U779" i="83"/>
  <c r="V779" i="83" s="1" a="1"/>
  <c r="V779" i="83" s="1"/>
  <c r="T801" i="83"/>
  <c r="U801" i="83"/>
  <c r="V801" i="83" s="1" a="1"/>
  <c r="V801" i="83" s="1"/>
  <c r="T802" i="83"/>
  <c r="U802" i="83"/>
  <c r="V802" i="83" s="1" a="1"/>
  <c r="V802" i="83" s="1"/>
  <c r="T761" i="83"/>
  <c r="U761" i="83"/>
  <c r="V761" i="83" s="1" a="1"/>
  <c r="V761" i="83" s="1"/>
  <c r="T982" i="83"/>
  <c r="U982" i="83"/>
  <c r="V982" i="83" s="1" a="1"/>
  <c r="V982" i="83" s="1"/>
  <c r="T953" i="83"/>
  <c r="U953" i="83"/>
  <c r="V953" i="83" s="1" a="1"/>
  <c r="V953" i="83" s="1"/>
  <c r="T954" i="83"/>
  <c r="U954" i="83"/>
  <c r="V954" i="83" s="1" a="1"/>
  <c r="V954" i="83" s="1"/>
  <c r="T390" i="83"/>
  <c r="U390" i="83"/>
  <c r="V390" i="83" s="1" a="1"/>
  <c r="V390" i="83" s="1"/>
  <c r="T214" i="83"/>
  <c r="U214" i="83"/>
  <c r="V214" i="83" s="1" a="1"/>
  <c r="V214" i="83" s="1"/>
  <c r="T634" i="83"/>
  <c r="U634" i="83"/>
  <c r="V634" i="83" s="1" a="1"/>
  <c r="V634" i="83" s="1"/>
  <c r="T561" i="83"/>
  <c r="U561" i="83"/>
  <c r="V561" i="83" s="1" a="1"/>
  <c r="V561" i="83" s="1"/>
  <c r="T651" i="83"/>
  <c r="U651" i="83"/>
  <c r="V651" i="83" s="1" a="1"/>
  <c r="V651" i="83" s="1"/>
  <c r="T451" i="83"/>
  <c r="U451" i="83"/>
  <c r="V451" i="83" s="1" a="1"/>
  <c r="V451" i="83" s="1"/>
  <c r="T688" i="83"/>
  <c r="U688" i="83"/>
  <c r="V688" i="83" s="1" a="1"/>
  <c r="V688" i="83" s="1"/>
  <c r="T267" i="83"/>
  <c r="U267" i="83"/>
  <c r="V267" i="83" s="1" a="1"/>
  <c r="V267" i="83" s="1"/>
  <c r="T427" i="83"/>
  <c r="U427" i="83"/>
  <c r="V427" i="83" s="1" a="1"/>
  <c r="V427" i="83" s="1"/>
  <c r="T955" i="83"/>
  <c r="U955" i="83"/>
  <c r="V955" i="83" s="1" a="1"/>
  <c r="V955" i="83" s="1"/>
  <c r="T956" i="83"/>
  <c r="U956" i="83"/>
  <c r="V956" i="83" s="1" a="1"/>
  <c r="V956" i="83" s="1"/>
  <c r="T678" i="83"/>
  <c r="U678" i="83"/>
  <c r="V678" i="83" s="1" a="1"/>
  <c r="V678" i="83" s="1"/>
  <c r="T349" i="83"/>
  <c r="U349" i="83"/>
  <c r="V349" i="83" s="1" a="1"/>
  <c r="V349" i="83" s="1"/>
  <c r="T957" i="83"/>
  <c r="U957" i="83"/>
  <c r="V957" i="83" s="1" a="1"/>
  <c r="V957" i="83" s="1"/>
  <c r="T679" i="83"/>
  <c r="U679" i="83"/>
  <c r="V679" i="83" s="1" a="1"/>
  <c r="V679" i="83" s="1"/>
  <c r="T492" i="83"/>
  <c r="U492" i="83"/>
  <c r="V492" i="83" s="1" a="1"/>
  <c r="V492" i="83" s="1"/>
  <c r="T943" i="83"/>
  <c r="U943" i="83"/>
  <c r="V943" i="83" s="1" a="1"/>
  <c r="V943" i="83" s="1"/>
  <c r="T680" i="83"/>
  <c r="U680" i="83"/>
  <c r="V680" i="83" s="1" a="1"/>
  <c r="V680" i="83" s="1"/>
  <c r="T268" i="83"/>
  <c r="U268" i="83"/>
  <c r="V268" i="83" s="1" a="1"/>
  <c r="V268" i="83" s="1"/>
  <c r="T681" i="83"/>
  <c r="U681" i="83"/>
  <c r="V681" i="83" s="1" a="1"/>
  <c r="V681" i="83" s="1"/>
  <c r="T428" i="83"/>
  <c r="U428" i="83"/>
  <c r="V428" i="83" s="1" a="1"/>
  <c r="V428" i="83" s="1"/>
  <c r="T419" i="83"/>
  <c r="U419" i="83"/>
  <c r="V419" i="83" s="1" a="1"/>
  <c r="V419" i="83" s="1"/>
  <c r="T958" i="83"/>
  <c r="U958" i="83"/>
  <c r="V958" i="83" s="1" a="1"/>
  <c r="V958" i="83" s="1"/>
  <c r="T652" i="83"/>
  <c r="U652" i="83"/>
  <c r="V652" i="83" s="1" a="1"/>
  <c r="V652" i="83" s="1"/>
  <c r="T746" i="83"/>
  <c r="U746" i="83"/>
  <c r="V746" i="83" s="1" a="1"/>
  <c r="V746" i="83" s="1"/>
  <c r="T653" i="83"/>
  <c r="U653" i="83"/>
  <c r="V653" i="83" s="1" a="1"/>
  <c r="V653" i="83" s="1"/>
  <c r="T350" i="83"/>
  <c r="U350" i="83"/>
  <c r="V350" i="83" s="1" a="1"/>
  <c r="V350" i="83" s="1"/>
  <c r="T689" i="83"/>
  <c r="U689" i="83"/>
  <c r="V689" i="83" s="1" a="1"/>
  <c r="V689" i="83" s="1"/>
  <c r="T434" i="83"/>
  <c r="U434" i="83"/>
  <c r="V434" i="83" s="1" a="1"/>
  <c r="V434" i="83" s="1"/>
  <c r="T192" i="83"/>
  <c r="U192" i="83"/>
  <c r="V192" i="83" s="1" a="1"/>
  <c r="V192" i="83" s="1"/>
  <c r="T857" i="83"/>
  <c r="U857" i="83"/>
  <c r="V857" i="83" s="1" a="1"/>
  <c r="V857" i="83" s="1"/>
  <c r="T269" i="83"/>
  <c r="U269" i="83"/>
  <c r="V269" i="83" s="1" a="1"/>
  <c r="V269" i="83" s="1"/>
  <c r="T328" i="83"/>
  <c r="U328" i="83"/>
  <c r="V328" i="83" s="1" a="1"/>
  <c r="V328" i="83" s="1"/>
  <c r="T828" i="83"/>
  <c r="U828" i="83"/>
  <c r="V828" i="83" s="1" a="1"/>
  <c r="V828" i="83" s="1"/>
  <c r="T771" i="83"/>
  <c r="U771" i="83"/>
  <c r="V771" i="83" s="1" a="1"/>
  <c r="V771" i="83" s="1"/>
  <c r="T772" i="83"/>
  <c r="U772" i="83"/>
  <c r="V772" i="83" s="1" a="1"/>
  <c r="V772" i="83" s="1"/>
  <c r="T773" i="83"/>
  <c r="U773" i="83"/>
  <c r="V773" i="83" s="1" a="1"/>
  <c r="V773" i="83" s="1"/>
  <c r="T453" i="83"/>
  <c r="U453" i="83"/>
  <c r="V453" i="83" s="1" a="1"/>
  <c r="V453" i="83" s="1"/>
  <c r="T983" i="83"/>
  <c r="U983" i="83"/>
  <c r="V983" i="83" s="1" a="1"/>
  <c r="V983" i="83" s="1"/>
  <c r="T682" i="83"/>
  <c r="U682" i="83"/>
  <c r="V682" i="83" s="1" a="1"/>
  <c r="V682" i="83" s="1"/>
  <c r="T69" i="83"/>
  <c r="U69" i="83"/>
  <c r="V69" i="83" s="1" a="1"/>
  <c r="V69" i="83" s="1"/>
  <c r="T338" i="83"/>
  <c r="U338" i="83"/>
  <c r="V338" i="83" s="1" a="1"/>
  <c r="V338" i="83" s="1"/>
  <c r="T938" i="83"/>
  <c r="U938" i="83"/>
  <c r="V938" i="83" s="1" a="1"/>
  <c r="V938" i="83" s="1"/>
  <c r="T724" i="83"/>
  <c r="U724" i="83"/>
  <c r="V724" i="83" s="1" a="1"/>
  <c r="V724" i="83" s="1"/>
  <c r="T949" i="83"/>
  <c r="U949" i="83"/>
  <c r="V949" i="83" s="1" a="1"/>
  <c r="V949" i="83" s="1"/>
  <c r="T959" i="83"/>
  <c r="U959" i="83"/>
  <c r="V959" i="83" s="1" a="1"/>
  <c r="V959" i="83" s="1"/>
  <c r="T142" i="83"/>
  <c r="U142" i="83"/>
  <c r="V142" i="83" s="1" a="1"/>
  <c r="V142" i="83" s="1"/>
  <c r="T409" i="83"/>
  <c r="U409" i="83"/>
  <c r="V409" i="83" s="1" a="1"/>
  <c r="V409" i="83" s="1"/>
  <c r="T198" i="83"/>
  <c r="U198" i="83"/>
  <c r="V198" i="83" s="1" a="1"/>
  <c r="V198" i="83" s="1"/>
  <c r="T150" i="83"/>
  <c r="U150" i="83"/>
  <c r="V150" i="83" s="1" a="1"/>
  <c r="V150" i="83" s="1"/>
  <c r="T435" i="83"/>
  <c r="U435" i="83"/>
  <c r="V435" i="83" s="1" a="1"/>
  <c r="V435" i="83" s="1"/>
  <c r="T180" i="83"/>
  <c r="U180" i="83"/>
  <c r="V180" i="83" s="1" a="1"/>
  <c r="V180" i="83" s="1"/>
  <c r="T960" i="83"/>
  <c r="U960" i="83"/>
  <c r="V960" i="83" s="1" a="1"/>
  <c r="V960" i="83" s="1"/>
  <c r="T66" i="83"/>
  <c r="U66" i="83"/>
  <c r="V66" i="83" s="1" a="1"/>
  <c r="V66" i="83" s="1"/>
  <c r="T495" i="83"/>
  <c r="U495" i="83"/>
  <c r="V495" i="83" s="1" a="1"/>
  <c r="V495" i="83" s="1"/>
  <c r="T683" i="83"/>
  <c r="U683" i="83"/>
  <c r="V683" i="83" s="1" a="1"/>
  <c r="V683" i="83" s="1"/>
  <c r="T684" i="83"/>
  <c r="U684" i="83"/>
  <c r="V684" i="83" s="1" a="1"/>
  <c r="V684" i="83" s="1"/>
  <c r="T329" i="83"/>
  <c r="U329" i="83"/>
  <c r="V329" i="83" s="1" a="1"/>
  <c r="V329" i="83" s="1"/>
  <c r="T480" i="83"/>
  <c r="U480" i="83"/>
  <c r="V480" i="83" s="1" a="1"/>
  <c r="V480" i="83" s="1"/>
  <c r="T342" i="83"/>
  <c r="U342" i="83"/>
  <c r="V342" i="83" s="1" a="1"/>
  <c r="V342" i="83" s="1"/>
  <c r="T635" i="83"/>
  <c r="U635" i="83"/>
  <c r="V635" i="83" s="1" a="1"/>
  <c r="V635" i="83" s="1"/>
  <c r="T685" i="83"/>
  <c r="U685" i="83"/>
  <c r="V685" i="83" s="1" a="1"/>
  <c r="V685" i="83" s="1"/>
  <c r="T70" i="83"/>
  <c r="U70" i="83"/>
  <c r="V70" i="83" s="1" a="1"/>
  <c r="V70" i="83" s="1"/>
  <c r="T620" i="83"/>
  <c r="U620" i="83"/>
  <c r="V620" i="83" s="1" a="1"/>
  <c r="V620" i="83" s="1"/>
  <c r="T330" i="83"/>
  <c r="U330" i="83"/>
  <c r="V330" i="83" s="1" a="1"/>
  <c r="V330" i="83" s="1"/>
  <c r="T71" i="83"/>
  <c r="U71" i="83"/>
  <c r="V71" i="83" s="1" a="1"/>
  <c r="V71" i="83" s="1"/>
  <c r="T72" i="83"/>
  <c r="U72" i="83"/>
  <c r="V72" i="83" s="1" a="1"/>
  <c r="V72" i="83" s="1"/>
  <c r="T585" i="83"/>
  <c r="U585" i="83"/>
  <c r="V585" i="83" s="1" a="1"/>
  <c r="V585" i="83" s="1"/>
  <c r="T808" i="83"/>
  <c r="U808" i="83"/>
  <c r="V808" i="83" s="1" a="1"/>
  <c r="V808" i="83" s="1"/>
  <c r="T391" i="83"/>
  <c r="U391" i="83"/>
  <c r="V391" i="83" s="1" a="1"/>
  <c r="V391" i="83" s="1"/>
  <c r="T590" i="83"/>
  <c r="U590" i="83"/>
  <c r="V590" i="83" s="1" a="1"/>
  <c r="V590" i="83" s="1"/>
  <c r="T544" i="83"/>
  <c r="U544" i="83"/>
  <c r="V544" i="83" s="1" a="1"/>
  <c r="V544" i="83" s="1"/>
  <c r="T784" i="83"/>
  <c r="U784" i="83"/>
  <c r="V784" i="83" s="1" a="1"/>
  <c r="V784" i="83" s="1"/>
  <c r="T124" i="83"/>
  <c r="U124" i="83"/>
  <c r="V124" i="83" s="1" a="1"/>
  <c r="V124" i="83" s="1"/>
  <c r="T396" i="83"/>
  <c r="U396" i="83"/>
  <c r="V396" i="83" s="1" a="1"/>
  <c r="V396" i="83" s="1"/>
  <c r="T351" i="83"/>
  <c r="U351" i="83"/>
  <c r="V351" i="83" s="1" a="1"/>
  <c r="V351" i="83" s="1"/>
  <c r="T996" i="83"/>
  <c r="U996" i="83"/>
  <c r="V996" i="83" s="1" a="1"/>
  <c r="V996" i="83" s="1"/>
  <c r="T988" i="83"/>
  <c r="U988" i="83"/>
  <c r="V988" i="83" s="1" a="1"/>
  <c r="V988" i="83" s="1"/>
  <c r="T576" i="83"/>
  <c r="U576" i="83"/>
  <c r="V576" i="83" s="1" a="1"/>
  <c r="V576" i="83" s="1"/>
  <c r="T545" i="83"/>
  <c r="U545" i="83"/>
  <c r="V545" i="83" s="1" a="1"/>
  <c r="V545" i="83" s="1"/>
  <c r="T625" i="83"/>
  <c r="U625" i="83"/>
  <c r="V625" i="83" s="1" a="1"/>
  <c r="V625" i="83" s="1"/>
  <c r="T621" i="83"/>
  <c r="U621" i="83"/>
  <c r="V621" i="83" s="1" a="1"/>
  <c r="V621" i="83" s="1"/>
  <c r="T626" i="83"/>
  <c r="U626" i="83"/>
  <c r="V626" i="83" s="1" a="1"/>
  <c r="V626" i="83" s="1"/>
  <c r="T989" i="83"/>
  <c r="U989" i="83"/>
  <c r="V989" i="83" s="1" a="1"/>
  <c r="V989" i="83" s="1"/>
  <c r="T865" i="83"/>
  <c r="U865" i="83"/>
  <c r="V865" i="83" s="1" a="1"/>
  <c r="V865" i="83" s="1"/>
  <c r="T725" i="83"/>
  <c r="U725" i="83"/>
  <c r="V725" i="83" s="1" a="1"/>
  <c r="V725" i="83" s="1"/>
  <c r="T411" i="83"/>
  <c r="U411" i="83"/>
  <c r="V411" i="83" s="1" a="1"/>
  <c r="V411" i="83" s="1"/>
  <c r="T436" i="83"/>
  <c r="U436" i="83"/>
  <c r="V436" i="83" s="1" a="1"/>
  <c r="V436" i="83" s="1"/>
  <c r="T392" i="83"/>
  <c r="U392" i="83"/>
  <c r="V392" i="83" s="1" a="1"/>
  <c r="V392" i="83" s="1"/>
  <c r="T726" i="83"/>
  <c r="U726" i="83"/>
  <c r="V726" i="83" s="1" a="1"/>
  <c r="V726" i="83" s="1"/>
  <c r="T961" i="83"/>
  <c r="U961" i="83"/>
  <c r="V961" i="83" s="1" a="1"/>
  <c r="V961" i="83" s="1"/>
  <c r="T627" i="83"/>
  <c r="U627" i="83"/>
  <c r="V627" i="83" s="1" a="1"/>
  <c r="V627" i="83" s="1"/>
  <c r="T114" i="83"/>
  <c r="U114" i="83"/>
  <c r="V114" i="83" s="1" a="1"/>
  <c r="V114" i="83" s="1"/>
  <c r="T412" i="83"/>
  <c r="U412" i="83"/>
  <c r="V412" i="83" s="1" a="1"/>
  <c r="V412" i="83" s="1"/>
  <c r="T393" i="83"/>
  <c r="U393" i="83"/>
  <c r="V393" i="83" s="1" a="1"/>
  <c r="V393" i="83" s="1"/>
  <c r="T496" i="83"/>
  <c r="U496" i="83"/>
  <c r="V496" i="83" s="1" a="1"/>
  <c r="V496" i="83" s="1"/>
  <c r="T452" i="83"/>
  <c r="U452" i="83"/>
  <c r="V452" i="83" s="1" a="1"/>
  <c r="V452" i="83" s="1"/>
  <c r="T293" i="83"/>
  <c r="U293" i="83"/>
  <c r="V293" i="83" s="1" a="1"/>
  <c r="V293" i="83" s="1"/>
  <c r="T115" i="83"/>
  <c r="U115" i="83"/>
  <c r="V115" i="83" s="1" a="1"/>
  <c r="V115" i="83" s="1"/>
  <c r="T497" i="83"/>
  <c r="U497" i="83"/>
  <c r="V497" i="83" s="1" a="1"/>
  <c r="V497" i="83" s="1"/>
  <c r="T394" i="83"/>
  <c r="U394" i="83"/>
  <c r="V394" i="83" s="1" a="1"/>
  <c r="V394" i="83" s="1"/>
  <c r="T488" i="83"/>
  <c r="U488" i="83"/>
  <c r="V488" i="83" s="1" a="1"/>
  <c r="V488" i="83" s="1"/>
  <c r="T498" i="83"/>
  <c r="U498" i="83"/>
  <c r="V498" i="83" s="1" a="1"/>
  <c r="V498" i="83" s="1"/>
  <c r="T437" i="83"/>
  <c r="U437" i="83"/>
  <c r="V437" i="83" s="1" a="1"/>
  <c r="V437" i="83" s="1"/>
  <c r="T636" i="83"/>
  <c r="U636" i="83"/>
  <c r="V636" i="83" s="1" a="1"/>
  <c r="V636" i="83" s="1"/>
  <c r="T762" i="83"/>
  <c r="U762" i="83"/>
  <c r="V762" i="83" s="1" a="1"/>
  <c r="V762" i="83" s="1"/>
  <c r="T370" i="83"/>
  <c r="U370" i="83"/>
  <c r="V370" i="83" s="1" a="1"/>
  <c r="V370" i="83" s="1"/>
  <c r="T458" i="83"/>
  <c r="U458" i="83"/>
  <c r="V458" i="83" s="1" a="1"/>
  <c r="V458" i="83" s="1"/>
  <c r="T459" i="83"/>
  <c r="U459" i="83"/>
  <c r="V459" i="83" s="1" a="1"/>
  <c r="V459" i="83" s="1"/>
  <c r="T413" i="83"/>
  <c r="U413" i="83"/>
  <c r="V413" i="83" s="1" a="1"/>
  <c r="V413" i="83" s="1"/>
  <c r="T997" i="83"/>
  <c r="U997" i="83"/>
  <c r="V997" i="83" s="1" a="1"/>
  <c r="V997" i="83" s="1"/>
  <c r="T750" i="83"/>
  <c r="U750" i="83"/>
  <c r="V750" i="83" s="1" a="1"/>
  <c r="V750" i="83" s="1"/>
  <c r="T799" i="83"/>
  <c r="U799" i="83"/>
  <c r="V799" i="83" s="1" a="1"/>
  <c r="V799" i="83" s="1"/>
  <c r="T747" i="83"/>
  <c r="U747" i="83"/>
  <c r="V747" i="83" s="1" a="1"/>
  <c r="V747" i="83" s="1"/>
  <c r="T727" i="83"/>
  <c r="U727" i="83"/>
  <c r="V727" i="83" s="1" a="1"/>
  <c r="V727" i="83" s="1"/>
  <c r="T748" i="83"/>
  <c r="U748" i="83"/>
  <c r="V748" i="83" s="1" a="1"/>
  <c r="V748" i="83" s="1"/>
  <c r="T339" i="83"/>
  <c r="U339" i="83"/>
  <c r="V339" i="83" s="1" a="1"/>
  <c r="V339" i="83" s="1"/>
  <c r="T460" i="83"/>
  <c r="U460" i="83"/>
  <c r="V460" i="83" s="1" a="1"/>
  <c r="V460" i="83" s="1"/>
  <c r="T73" i="83"/>
  <c r="U73" i="83"/>
  <c r="V73" i="83" s="1" a="1"/>
  <c r="V73" i="83" s="1"/>
  <c r="T294" i="83"/>
  <c r="U294" i="83"/>
  <c r="V294" i="83" s="1" a="1"/>
  <c r="V294" i="83" s="1"/>
  <c r="T209" i="83"/>
  <c r="U209" i="83"/>
  <c r="V209" i="83" s="1" a="1"/>
  <c r="V209" i="83" s="1"/>
  <c r="T749" i="83"/>
  <c r="U749" i="83"/>
  <c r="V749" i="83" s="1" a="1"/>
  <c r="V749" i="83" s="1"/>
  <c r="T998" i="83"/>
  <c r="U998" i="83"/>
  <c r="V998" i="83" s="1" a="1"/>
  <c r="V998" i="83" s="1"/>
  <c r="T522" i="83"/>
  <c r="U522" i="83"/>
  <c r="V522" i="83" s="1" a="1"/>
  <c r="V522" i="83" s="1"/>
  <c r="T671" i="83"/>
  <c r="U671" i="83"/>
  <c r="V671" i="83" s="1" a="1"/>
  <c r="V671" i="83" s="1"/>
  <c r="T116" i="83"/>
  <c r="U116" i="83"/>
  <c r="V116" i="83" s="1" a="1"/>
  <c r="V116" i="83" s="1"/>
  <c r="T572" i="83"/>
  <c r="U572" i="83"/>
  <c r="V572" i="83" s="1" a="1"/>
  <c r="V572" i="83" s="1"/>
  <c r="T125" i="83"/>
  <c r="U125" i="83"/>
  <c r="V125" i="83" s="1" a="1"/>
  <c r="V125" i="83" s="1"/>
  <c r="T763" i="83"/>
  <c r="U763" i="83"/>
  <c r="V763" i="83" s="1" a="1"/>
  <c r="V763" i="83" s="1"/>
  <c r="T936" i="83"/>
  <c r="U936" i="83"/>
  <c r="V936" i="83" s="1" a="1"/>
  <c r="V936" i="83" s="1"/>
  <c r="T622" i="83"/>
  <c r="U622" i="83"/>
  <c r="V622" i="83" s="1" a="1"/>
  <c r="V622" i="83" s="1"/>
  <c r="T532" i="83"/>
  <c r="U532" i="83"/>
  <c r="V532" i="83" s="1" a="1"/>
  <c r="V532" i="83" s="1"/>
  <c r="T628" i="83"/>
  <c r="U628" i="83"/>
  <c r="V628" i="83" s="1" a="1"/>
  <c r="V628" i="83" s="1"/>
  <c r="T851" i="83"/>
  <c r="U851" i="83"/>
  <c r="V851" i="83" s="1" a="1"/>
  <c r="V851" i="83" s="1"/>
  <c r="T14" i="83"/>
  <c r="U14" i="83"/>
  <c r="V14" i="83" s="1" a="1"/>
  <c r="V14" i="83" s="1"/>
  <c r="T764" i="83"/>
  <c r="U764" i="83"/>
  <c r="V764" i="83" s="1" a="1"/>
  <c r="V764" i="83" s="1"/>
  <c r="T616" i="83"/>
  <c r="U616" i="83"/>
  <c r="V616" i="83" s="1" a="1"/>
  <c r="V616" i="83" s="1"/>
  <c r="T591" i="83"/>
  <c r="U591" i="83"/>
  <c r="V591" i="83" s="1" a="1"/>
  <c r="V591" i="83" s="1"/>
  <c r="T800" i="83"/>
  <c r="U800" i="83"/>
  <c r="V800" i="83" s="1" a="1"/>
  <c r="V800" i="83" s="1"/>
  <c r="T672" i="83"/>
  <c r="U672" i="83"/>
  <c r="V672" i="83" s="1" a="1"/>
  <c r="V672" i="83" s="1"/>
  <c r="T999" i="83"/>
  <c r="U999" i="83"/>
  <c r="V999" i="83" s="1" a="1"/>
  <c r="V999" i="83" s="1"/>
  <c r="T598" i="83"/>
  <c r="U598" i="83"/>
  <c r="V598" i="83" s="1" a="1"/>
  <c r="V598" i="83" s="1"/>
  <c r="T673" i="83"/>
  <c r="U673" i="83"/>
  <c r="V673" i="83" s="1" a="1"/>
  <c r="V673" i="83" s="1"/>
  <c r="T654" i="83"/>
  <c r="U654" i="83"/>
  <c r="V654" i="83" s="1" a="1"/>
  <c r="V654" i="83" s="1"/>
  <c r="T371" i="83"/>
  <c r="U371" i="83"/>
  <c r="V371" i="83" s="1" a="1"/>
  <c r="V371" i="83" s="1"/>
  <c r="T633" i="83"/>
  <c r="U633" i="83"/>
  <c r="V633" i="83" s="1" a="1"/>
  <c r="V633" i="83" s="1"/>
  <c r="T461" i="83"/>
  <c r="U461" i="83"/>
  <c r="V461" i="83" s="1" a="1"/>
  <c r="V461" i="83" s="1"/>
  <c r="T624" i="83"/>
  <c r="U624" i="83"/>
  <c r="V624" i="83" s="1" a="1"/>
  <c r="V624" i="83" s="1"/>
  <c r="T664" i="83"/>
  <c r="U664" i="83"/>
  <c r="V664" i="83" s="1" a="1"/>
  <c r="V664" i="83" s="1"/>
  <c r="T546" i="83"/>
  <c r="U546" i="83"/>
  <c r="V546" i="83" s="1" a="1"/>
  <c r="V546" i="83" s="1"/>
  <c r="T74" i="83"/>
  <c r="U74" i="83"/>
  <c r="V74" i="83" s="1" a="1"/>
  <c r="V74" i="83" s="1"/>
  <c r="T340" i="83"/>
  <c r="U340" i="83"/>
  <c r="V340" i="83" s="1" a="1"/>
  <c r="V340" i="83" s="1"/>
  <c r="T372" i="83"/>
  <c r="U372" i="83"/>
  <c r="V372" i="83" s="1" a="1"/>
  <c r="V372" i="83" s="1"/>
  <c r="T798" i="83"/>
  <c r="U798" i="83"/>
  <c r="V798" i="83" s="1" a="1"/>
  <c r="V798" i="83" s="1"/>
  <c r="T244" i="83"/>
  <c r="U244" i="83"/>
  <c r="V244" i="83" s="1" a="1"/>
  <c r="V244" i="83" s="1"/>
  <c r="T117" i="83"/>
  <c r="U117" i="83"/>
  <c r="V117" i="83" s="1" a="1"/>
  <c r="V117" i="83" s="1"/>
  <c r="T410" i="83"/>
  <c r="U410" i="83"/>
  <c r="V410" i="83" s="1" a="1"/>
  <c r="V410" i="83" s="1"/>
  <c r="T533" i="83"/>
  <c r="U533" i="83"/>
  <c r="V533" i="83" s="1" a="1"/>
  <c r="V533" i="83" s="1"/>
  <c r="T181" i="83"/>
  <c r="U181" i="83"/>
  <c r="V181" i="83" s="1" a="1"/>
  <c r="V181" i="83" s="1"/>
  <c r="T341" i="83"/>
  <c r="U341" i="83"/>
  <c r="V341" i="83" s="1" a="1"/>
  <c r="V341" i="83" s="1"/>
  <c r="T765" i="83"/>
  <c r="U765" i="83"/>
  <c r="V765" i="83" s="1" a="1"/>
  <c r="V765" i="83" s="1"/>
  <c r="T438" i="83"/>
  <c r="U438" i="83"/>
  <c r="V438" i="83" s="1" a="1"/>
  <c r="V438" i="83" s="1"/>
  <c r="T623" i="83"/>
  <c r="U623" i="83"/>
  <c r="V623" i="83" s="1" a="1"/>
  <c r="V623" i="83" s="1"/>
  <c r="T462" i="83"/>
  <c r="U462" i="83"/>
  <c r="V462" i="83" s="1" a="1"/>
  <c r="V462" i="83" s="1"/>
  <c r="T473" i="83"/>
  <c r="U473" i="83"/>
  <c r="V473" i="83" s="1" a="1"/>
  <c r="V473" i="83" s="1"/>
  <c r="T944" i="83"/>
  <c r="U944" i="83"/>
  <c r="V944" i="83" s="1" a="1"/>
  <c r="V944" i="83" s="1"/>
  <c r="T986" i="83"/>
  <c r="U986" i="83"/>
  <c r="V986" i="83" s="1" a="1"/>
  <c r="V986" i="83" s="1"/>
  <c r="T547" i="83"/>
  <c r="U547" i="83"/>
  <c r="V547" i="83" s="1" a="1"/>
  <c r="V547" i="83" s="1"/>
  <c r="T199" i="83"/>
  <c r="U199" i="83"/>
  <c r="V199" i="83" s="1" a="1"/>
  <c r="V199" i="83" s="1"/>
  <c r="T454" i="83"/>
  <c r="U454" i="83"/>
  <c r="V454" i="83" s="1" a="1"/>
  <c r="V454" i="83" s="1"/>
  <c r="T439" i="83"/>
  <c r="U439" i="83"/>
  <c r="V439" i="83" s="1" a="1"/>
  <c r="V439" i="83" s="1"/>
  <c r="T599" i="83"/>
  <c r="U599" i="83"/>
  <c r="V599" i="83" s="1" a="1"/>
  <c r="V599" i="83" s="1"/>
  <c r="T455" i="83"/>
  <c r="U455" i="83"/>
  <c r="V455" i="83" s="1" a="1"/>
  <c r="V455" i="83" s="1"/>
  <c r="T440" i="83"/>
  <c r="U440" i="83"/>
  <c r="V440" i="83" s="1" a="1"/>
  <c r="V440" i="83" s="1"/>
  <c r="T617" i="83"/>
  <c r="U617" i="83"/>
  <c r="V617" i="83" s="1" a="1"/>
  <c r="V617" i="83" s="1"/>
  <c r="T945" i="83"/>
  <c r="U945" i="83"/>
  <c r="V945" i="83" s="1" a="1"/>
  <c r="V945" i="83" s="1"/>
  <c r="T463" i="83"/>
  <c r="U463" i="83"/>
  <c r="V463" i="83" s="1" a="1"/>
  <c r="V463" i="83" s="1"/>
  <c r="T441" i="83"/>
  <c r="U441" i="83"/>
  <c r="V441" i="83" s="1" a="1"/>
  <c r="V441" i="83" s="1"/>
  <c r="T829" i="83"/>
  <c r="U829" i="83"/>
  <c r="V829" i="83" s="1" a="1"/>
  <c r="V829" i="83" s="1"/>
  <c r="T830" i="83"/>
  <c r="U830" i="83"/>
  <c r="V830" i="83" s="1" a="1"/>
  <c r="V830" i="83" s="1"/>
  <c r="T3" i="83"/>
  <c r="U3" i="83"/>
  <c r="V3" i="83" s="1" a="1"/>
  <c r="V3" i="83" s="1"/>
  <c r="T592" i="83"/>
  <c r="U592" i="83"/>
  <c r="V592" i="83" s="1" a="1"/>
  <c r="V592" i="83" s="1"/>
  <c r="T486" i="83"/>
  <c r="U486" i="83"/>
  <c r="V486" i="83" s="1" a="1"/>
  <c r="V486" i="83" s="1"/>
  <c r="T134" i="83"/>
  <c r="U134" i="83"/>
  <c r="V134" i="83" s="1" a="1"/>
  <c r="V134" i="83" s="1"/>
  <c r="T637" i="83"/>
  <c r="U637" i="83"/>
  <c r="V637" i="83" s="1" a="1"/>
  <c r="V637" i="83" s="1"/>
  <c r="T420" i="83"/>
  <c r="U420" i="83"/>
  <c r="V420" i="83" s="1" a="1"/>
  <c r="V420" i="83" s="1"/>
  <c r="T442" i="83"/>
  <c r="U442" i="83"/>
  <c r="V442" i="83" s="1" a="1"/>
  <c r="V442" i="83" s="1"/>
  <c r="T665" i="83"/>
  <c r="U665" i="83"/>
  <c r="V665" i="83" s="1" a="1"/>
  <c r="V665" i="83" s="1"/>
  <c r="T924" i="83"/>
  <c r="U924" i="83"/>
  <c r="V924" i="83" s="1" a="1"/>
  <c r="V924" i="83" s="1"/>
  <c r="T990" i="83"/>
  <c r="U990" i="83"/>
  <c r="V990" i="83" s="1" a="1"/>
  <c r="V990" i="83" s="1"/>
  <c r="T373" i="83"/>
  <c r="U373" i="83"/>
  <c r="V373" i="83" s="1" a="1"/>
  <c r="V373" i="83" s="1"/>
  <c r="T215" i="83"/>
  <c r="U215" i="83"/>
  <c r="V215" i="83" s="1" a="1"/>
  <c r="V215" i="83" s="1"/>
  <c r="T484" i="83"/>
  <c r="U484" i="83"/>
  <c r="V484" i="83" s="1" a="1"/>
  <c r="V484" i="83" s="1"/>
  <c r="T456" i="83"/>
  <c r="U456" i="83"/>
  <c r="V456" i="83" s="1" a="1"/>
  <c r="V456" i="83" s="1"/>
  <c r="T464" i="83"/>
  <c r="U464" i="83"/>
  <c r="V464" i="83" s="1" a="1"/>
  <c r="V464" i="83" s="1"/>
  <c r="T527" i="83"/>
  <c r="U527" i="83"/>
  <c r="V527" i="83" s="1" a="1"/>
  <c r="V527" i="83" s="1"/>
  <c r="T788" i="83"/>
  <c r="U788" i="83"/>
  <c r="V788" i="83" s="1" a="1"/>
  <c r="V788" i="83" s="1"/>
  <c r="T831" i="83"/>
  <c r="U831" i="83"/>
  <c r="V831" i="83" s="1" a="1"/>
  <c r="V831" i="83" s="1"/>
  <c r="T15" i="83"/>
  <c r="U15" i="83"/>
  <c r="V15" i="83" s="1" a="1"/>
  <c r="V15" i="83" s="1"/>
  <c r="T465" i="83"/>
  <c r="U465" i="83"/>
  <c r="V465" i="83" s="1" a="1"/>
  <c r="V465" i="83" s="1"/>
  <c r="T443" i="83"/>
  <c r="U443" i="83"/>
  <c r="V443" i="83" s="1" a="1"/>
  <c r="V443" i="83" s="1"/>
  <c r="T395" i="83"/>
  <c r="U395" i="83"/>
  <c r="V395" i="83" s="1" a="1"/>
  <c r="V395" i="83" s="1"/>
  <c r="T47" i="83"/>
  <c r="U47" i="83"/>
  <c r="V47" i="83" s="1" a="1"/>
  <c r="V47" i="83" s="1"/>
  <c r="T48" i="83"/>
  <c r="U48" i="83"/>
  <c r="V48" i="83" s="1" a="1"/>
  <c r="V48" i="83" s="1"/>
  <c r="T49" i="83"/>
  <c r="U49" i="83"/>
  <c r="V49" i="83" s="1" a="1"/>
  <c r="V49" i="83" s="1"/>
  <c r="T50" i="83"/>
  <c r="U50" i="83"/>
  <c r="V50" i="83" s="1" a="1"/>
  <c r="V50" i="83" s="1"/>
  <c r="T51" i="83"/>
  <c r="U51" i="83"/>
  <c r="V51" i="83" s="1" a="1"/>
  <c r="V51" i="83" s="1"/>
  <c r="T52" i="83"/>
  <c r="U52" i="83"/>
  <c r="V52" i="83" s="1" a="1"/>
  <c r="V52" i="83" s="1"/>
  <c r="T53" i="83"/>
  <c r="U53" i="83"/>
  <c r="V53" i="83" s="1" a="1"/>
  <c r="V53" i="83" s="1"/>
  <c r="T54" i="83"/>
  <c r="U54" i="83"/>
  <c r="V54" i="83" s="1" a="1"/>
  <c r="V54" i="83" s="1"/>
  <c r="T552" i="83"/>
  <c r="U552" i="83"/>
  <c r="V552" i="83" s="1" a="1"/>
  <c r="V552" i="83" s="1"/>
  <c r="T485" i="83"/>
  <c r="U485" i="83"/>
  <c r="V485" i="83" s="1" a="1"/>
  <c r="V485" i="83" s="1"/>
  <c r="T553" i="83"/>
  <c r="U553" i="83"/>
  <c r="V553" i="83" s="1" a="1"/>
  <c r="V553" i="83" s="1"/>
  <c r="T925" i="83"/>
  <c r="U925" i="83"/>
  <c r="V925" i="83" s="1" a="1"/>
  <c r="V925" i="83" s="1"/>
  <c r="T987" i="83"/>
  <c r="U987" i="83"/>
  <c r="V987" i="83" s="1" a="1"/>
  <c r="V987" i="83" s="1"/>
  <c r="T926" i="83"/>
  <c r="U926" i="83"/>
  <c r="V926" i="83" s="1" a="1"/>
  <c r="V926" i="83" s="1"/>
  <c r="T698" i="83"/>
  <c r="U698" i="83"/>
  <c r="V698" i="83" s="1" a="1"/>
  <c r="V698" i="83" s="1"/>
  <c r="T975" i="83"/>
  <c r="U975" i="83"/>
  <c r="V975" i="83" s="1" a="1"/>
  <c r="V975" i="83" s="1"/>
  <c r="T562" i="83"/>
  <c r="U562" i="83"/>
  <c r="V562" i="83" s="1" a="1"/>
  <c r="V562" i="83" s="1"/>
  <c r="T920" i="83"/>
  <c r="U920" i="83"/>
  <c r="V920" i="83" s="1" a="1"/>
  <c r="V920" i="83" s="1"/>
  <c r="T852" i="83"/>
  <c r="U852" i="83"/>
  <c r="V852" i="83" s="1" a="1"/>
  <c r="V852" i="83" s="1"/>
  <c r="T853" i="83"/>
  <c r="U853" i="83"/>
  <c r="V853" i="83" s="1" a="1"/>
  <c r="V853" i="83" s="1"/>
  <c r="T306" i="83"/>
  <c r="U306" i="83"/>
  <c r="V306" i="83" s="1" a="1"/>
  <c r="V306" i="83" s="1"/>
  <c r="T483" i="83"/>
  <c r="U483" i="83"/>
  <c r="V483" i="83" s="1" a="1"/>
  <c r="V483" i="83" s="1"/>
  <c r="T927" i="83"/>
  <c r="U927" i="83"/>
  <c r="V927" i="83" s="1" a="1"/>
  <c r="V927" i="83" s="1"/>
  <c r="T832" i="83"/>
  <c r="U832" i="83"/>
  <c r="V832" i="83" s="1" a="1"/>
  <c r="V832" i="83" s="1"/>
  <c r="T866" i="83"/>
  <c r="U866" i="83"/>
  <c r="V866" i="83" s="1" a="1"/>
  <c r="V866" i="83" s="1"/>
  <c r="T534" i="83"/>
  <c r="U534" i="83"/>
  <c r="V534" i="83" s="1" a="1"/>
  <c r="V534" i="83" s="1"/>
  <c r="T535" i="83"/>
  <c r="U535" i="83"/>
  <c r="V535" i="83" s="1" a="1"/>
  <c r="V535" i="83" s="1"/>
  <c r="T718" i="83"/>
  <c r="U718" i="83"/>
  <c r="V718" i="83" s="1" a="1"/>
  <c r="V718" i="83" s="1"/>
  <c r="T719" i="83"/>
  <c r="U719" i="83"/>
  <c r="V719" i="83" s="1" a="1"/>
  <c r="V719" i="83" s="1"/>
  <c r="T343" i="83"/>
  <c r="U343" i="83"/>
  <c r="V343" i="83" s="1" a="1"/>
  <c r="V343" i="83" s="1"/>
  <c r="T313" i="83"/>
  <c r="U313" i="83"/>
  <c r="V313" i="83" s="1" a="1"/>
  <c r="V313" i="83" s="1"/>
  <c r="T742" i="83"/>
  <c r="U742" i="83"/>
  <c r="V742" i="83" s="1" a="1"/>
  <c r="V742" i="83" s="1"/>
  <c r="T889" i="83"/>
  <c r="U889" i="83"/>
  <c r="V889" i="83" s="1" a="1"/>
  <c r="V889" i="83" s="1"/>
  <c r="T976" i="83"/>
  <c r="U976" i="83"/>
  <c r="V976" i="83" s="1" a="1"/>
  <c r="V976" i="83" s="1"/>
  <c r="T1007" i="83"/>
  <c r="U1007" i="83"/>
  <c r="V1007" i="83" s="1" a="1"/>
  <c r="V1007" i="83" s="1"/>
  <c r="T4" i="83"/>
  <c r="U4" i="83"/>
  <c r="V4" i="83" s="1" a="1"/>
  <c r="V4" i="83" s="1"/>
  <c r="T699" i="83"/>
  <c r="U699" i="83"/>
  <c r="V699" i="83" s="1" a="1"/>
  <c r="V699" i="83" s="1"/>
  <c r="T523" i="83"/>
  <c r="U523" i="83"/>
  <c r="V523" i="83" s="1" a="1"/>
  <c r="V523" i="83" s="1"/>
  <c r="T524" i="83"/>
  <c r="U524" i="83"/>
  <c r="V524" i="83" s="1" a="1"/>
  <c r="V524" i="83" s="1"/>
  <c r="T16" i="83"/>
  <c r="U16" i="83"/>
  <c r="V16" i="83" s="1" a="1"/>
  <c r="V16" i="83" s="1"/>
  <c r="T270" i="83"/>
  <c r="U270" i="83"/>
  <c r="V270" i="83" s="1" a="1"/>
  <c r="V270" i="83" s="1"/>
  <c r="T833" i="83"/>
  <c r="U833" i="83"/>
  <c r="V833" i="83" s="1" a="1"/>
  <c r="V833" i="83" s="1"/>
  <c r="T921" i="83"/>
  <c r="U921" i="83"/>
  <c r="V921" i="83" s="1" a="1"/>
  <c r="V921" i="83" s="1"/>
  <c r="T892" i="83"/>
  <c r="U892" i="83"/>
  <c r="V892" i="83" s="1" a="1"/>
  <c r="V892" i="83" s="1"/>
  <c r="T5" i="83"/>
  <c r="U5" i="83"/>
  <c r="V5" i="83" s="1" a="1"/>
  <c r="V5" i="83" s="1"/>
  <c r="T593" i="83"/>
  <c r="U593" i="83"/>
  <c r="V593" i="83" s="1" a="1"/>
  <c r="V593" i="83" s="1"/>
  <c r="T618" i="83"/>
  <c r="U618" i="83"/>
  <c r="V618" i="83" s="1" a="1"/>
  <c r="V618" i="83" s="1"/>
  <c r="T922" i="83"/>
  <c r="U922" i="83"/>
  <c r="V922" i="83" s="1" a="1"/>
  <c r="V922" i="83" s="1"/>
  <c r="T245" i="83"/>
  <c r="U245" i="83"/>
  <c r="V245" i="83" s="1" a="1"/>
  <c r="V245" i="83" s="1"/>
  <c r="T594" i="83"/>
  <c r="U594" i="83"/>
  <c r="V594" i="83" s="1" a="1"/>
  <c r="V594" i="83" s="1"/>
  <c r="T548" i="83"/>
  <c r="U548" i="83"/>
  <c r="V548" i="83" s="1" a="1"/>
  <c r="V548" i="83" s="1"/>
  <c r="T923" i="83"/>
  <c r="U923" i="83"/>
  <c r="V923" i="83" s="1" a="1"/>
  <c r="V923" i="83" s="1"/>
  <c r="T595" i="83"/>
  <c r="U595" i="83"/>
  <c r="V595" i="83" s="1" a="1"/>
  <c r="V595" i="83" s="1"/>
  <c r="T977" i="83"/>
  <c r="U977" i="83"/>
  <c r="V977" i="83" s="1" a="1"/>
  <c r="V977" i="83" s="1"/>
  <c r="T700" i="83"/>
  <c r="U700" i="83"/>
  <c r="V700" i="83" s="1" a="1"/>
  <c r="V700" i="83" s="1"/>
  <c r="T710" i="83"/>
  <c r="U710" i="83"/>
  <c r="V710" i="83" s="1" a="1"/>
  <c r="V710" i="83" s="1"/>
  <c r="T567" i="83"/>
  <c r="U567" i="83"/>
  <c r="V567" i="83" s="1" a="1"/>
  <c r="V567" i="83" s="1"/>
  <c r="T992" i="83"/>
  <c r="U992" i="83"/>
  <c r="V992" i="83" s="1" a="1"/>
  <c r="V992" i="83" s="1"/>
  <c r="T596" i="83"/>
  <c r="U596" i="83"/>
  <c r="V596" i="83" s="1" a="1"/>
  <c r="V596" i="83" s="1"/>
  <c r="T17" i="83"/>
  <c r="U17" i="83"/>
  <c r="V17" i="83" s="1" a="1"/>
  <c r="V17" i="83" s="1"/>
  <c r="T711" i="83"/>
  <c r="U711" i="83"/>
  <c r="V711" i="83" s="1" a="1"/>
  <c r="V711" i="83" s="1"/>
  <c r="T421" i="83"/>
  <c r="U421" i="83"/>
  <c r="V421" i="83" s="1" a="1"/>
  <c r="V421" i="83" s="1"/>
  <c r="T777" i="83"/>
  <c r="U777" i="83"/>
  <c r="V777" i="83" s="1" a="1"/>
  <c r="V777" i="83" s="1"/>
  <c r="T563" i="83"/>
  <c r="U563" i="83"/>
  <c r="V563" i="83" s="1" a="1"/>
  <c r="V563" i="83" s="1"/>
  <c r="T564" i="83"/>
  <c r="U564" i="83"/>
  <c r="V564" i="83" s="1" a="1"/>
  <c r="V564" i="83" s="1"/>
  <c r="T208" i="83"/>
  <c r="U208" i="83"/>
  <c r="V208" i="83" s="1" a="1"/>
  <c r="V208" i="83" s="1"/>
  <c r="T867" i="83"/>
  <c r="U867" i="83"/>
  <c r="V867" i="83" s="1" a="1"/>
  <c r="V867" i="83" s="1"/>
  <c r="T307" i="83"/>
  <c r="U307" i="83"/>
  <c r="V307" i="83" s="1" a="1"/>
  <c r="V307" i="83" s="1"/>
  <c r="T538" i="83"/>
  <c r="U538" i="83"/>
  <c r="V538" i="83" s="1" a="1"/>
  <c r="V538" i="83" s="1"/>
  <c r="T6" i="83"/>
  <c r="U6" i="83"/>
  <c r="V6" i="83" s="1" a="1"/>
  <c r="V6" i="83" s="1"/>
  <c r="T405" i="83"/>
  <c r="U405" i="83"/>
  <c r="V405" i="83" s="1" a="1"/>
  <c r="V405" i="83" s="1"/>
  <c r="T406" i="83"/>
  <c r="U406" i="83"/>
  <c r="V406" i="83" s="1" a="1"/>
  <c r="V406" i="83" s="1"/>
  <c r="T887" i="83"/>
  <c r="U887" i="83"/>
  <c r="V887" i="83" s="1" a="1"/>
  <c r="V887" i="83" s="1"/>
  <c r="T888" i="83"/>
  <c r="U888" i="83"/>
  <c r="V888" i="83" s="1" a="1"/>
  <c r="V888" i="83" s="1"/>
  <c r="T743" i="83"/>
  <c r="U743" i="83"/>
  <c r="V743" i="83" s="1" a="1"/>
  <c r="V743" i="83" s="1"/>
  <c r="T308" i="83"/>
  <c r="U308" i="83"/>
  <c r="V308" i="83" s="1" a="1"/>
  <c r="V308" i="83" s="1"/>
  <c r="T581" i="83"/>
  <c r="U581" i="83"/>
  <c r="V581" i="83" s="1" a="1"/>
  <c r="V581" i="83" s="1"/>
  <c r="T444" i="83"/>
  <c r="U444" i="83"/>
  <c r="V444" i="83" s="1" a="1"/>
  <c r="V444" i="83" s="1"/>
  <c r="T993" i="83"/>
  <c r="U993" i="83"/>
  <c r="V993" i="83" s="1" a="1"/>
  <c r="V993" i="83" s="1"/>
  <c r="T582" i="83"/>
  <c r="U582" i="83"/>
  <c r="V582" i="83" s="1" a="1"/>
  <c r="V582" i="83" s="1"/>
  <c r="T445" i="83"/>
  <c r="U445" i="83"/>
  <c r="V445" i="83" s="1" a="1"/>
  <c r="V445" i="83" s="1"/>
  <c r="T597" i="83"/>
  <c r="U597" i="83"/>
  <c r="V597" i="83" s="1" a="1"/>
  <c r="V597" i="83" s="1"/>
  <c r="T732" i="83"/>
  <c r="U732" i="83"/>
  <c r="V732" i="83" s="1" a="1"/>
  <c r="V732" i="83" s="1"/>
  <c r="T364" i="83"/>
  <c r="U364" i="83"/>
  <c r="V364" i="83" s="1" a="1"/>
  <c r="V364" i="83" s="1"/>
  <c r="T319" i="83"/>
  <c r="U319" i="83"/>
  <c r="V319" i="83" s="1" a="1"/>
  <c r="V319" i="83" s="1"/>
  <c r="T539" i="83"/>
  <c r="U539" i="83"/>
  <c r="V539" i="83" s="1" a="1"/>
  <c r="V539" i="83" s="1"/>
  <c r="T915" i="83"/>
  <c r="U915" i="83"/>
  <c r="V915" i="83" s="1" a="1"/>
  <c r="V915" i="83" s="1"/>
  <c r="T690" i="83"/>
  <c r="U690" i="83"/>
  <c r="V690" i="83" s="1" a="1"/>
  <c r="V690" i="83" s="1"/>
  <c r="T525" i="83"/>
  <c r="U525" i="83"/>
  <c r="V525" i="83" s="1" a="1"/>
  <c r="V525" i="83" s="1"/>
  <c r="T909" i="83"/>
  <c r="U909" i="83"/>
  <c r="V909" i="83" s="1" a="1"/>
  <c r="V909" i="83" s="1"/>
  <c r="T834" i="83"/>
  <c r="U834" i="83"/>
  <c r="V834" i="83" s="1" a="1"/>
  <c r="V834" i="83" s="1"/>
  <c r="T385" i="83"/>
  <c r="U385" i="83"/>
  <c r="V385" i="83" s="1" a="1"/>
  <c r="V385" i="83" s="1"/>
  <c r="T868" i="83"/>
  <c r="U868" i="83"/>
  <c r="V868" i="83" s="1" a="1"/>
  <c r="V868" i="83" s="1"/>
  <c r="T910" i="83"/>
  <c r="U910" i="83"/>
  <c r="V910" i="83" s="1" a="1"/>
  <c r="V910" i="83" s="1"/>
  <c r="T414" i="83"/>
  <c r="U414" i="83"/>
  <c r="V414" i="83" s="1" a="1"/>
  <c r="V414" i="83" s="1"/>
  <c r="T507" i="83"/>
  <c r="U507" i="83"/>
  <c r="V507" i="83" s="1" a="1"/>
  <c r="V507" i="83" s="1"/>
  <c r="T511" i="83"/>
  <c r="U511" i="83"/>
  <c r="V511" i="83" s="1" a="1"/>
  <c r="V511" i="83" s="1"/>
  <c r="T583" i="83"/>
  <c r="U583" i="83"/>
  <c r="V583" i="83" s="1" a="1"/>
  <c r="V583" i="83" s="1"/>
  <c r="T691" i="83"/>
  <c r="U691" i="83"/>
  <c r="V691" i="83" s="1" a="1"/>
  <c r="V691" i="83" s="1"/>
  <c r="T237" i="83"/>
  <c r="U237" i="83"/>
  <c r="V237" i="83" s="1" a="1"/>
  <c r="V237" i="83" s="1"/>
  <c r="T415" i="83"/>
  <c r="U415" i="83"/>
  <c r="V415" i="83" s="1" a="1"/>
  <c r="V415" i="83" s="1"/>
  <c r="T526" i="83"/>
  <c r="U526" i="83"/>
  <c r="V526" i="83" s="1" a="1"/>
  <c r="V526" i="83" s="1"/>
  <c r="T655" i="83"/>
  <c r="U655" i="83"/>
  <c r="V655" i="83" s="1" a="1"/>
  <c r="V655" i="83" s="1"/>
  <c r="T629" i="83"/>
  <c r="U629" i="83"/>
  <c r="V629" i="83" s="1" a="1"/>
  <c r="V629" i="83" s="1"/>
  <c r="T965" i="83"/>
  <c r="U965" i="83"/>
  <c r="V965" i="83" s="1" a="1"/>
  <c r="V965" i="83" s="1"/>
  <c r="T755" i="83"/>
  <c r="U755" i="83"/>
  <c r="V755" i="83" s="1" a="1"/>
  <c r="V755" i="83" s="1"/>
  <c r="T756" i="83"/>
  <c r="U756" i="83"/>
  <c r="V756" i="83" s="1" a="1"/>
  <c r="V756" i="83" s="1"/>
  <c r="T919" i="83"/>
  <c r="U919" i="83"/>
  <c r="V919" i="83" s="1" a="1"/>
  <c r="V919" i="83" s="1"/>
  <c r="T757" i="83"/>
  <c r="U757" i="83"/>
  <c r="V757" i="83" s="1" a="1"/>
  <c r="V757" i="83" s="1"/>
  <c r="T656" i="83"/>
  <c r="U656" i="83"/>
  <c r="V656" i="83" s="1" a="1"/>
  <c r="V656" i="83" s="1"/>
  <c r="T730" i="83"/>
  <c r="U730" i="83"/>
  <c r="V730" i="83" s="1" a="1"/>
  <c r="V730" i="83" s="1"/>
  <c r="T966" i="83"/>
  <c r="U966" i="83"/>
  <c r="V966" i="83" s="1" a="1"/>
  <c r="V966" i="83" s="1"/>
  <c r="T584" i="83"/>
  <c r="U584" i="83"/>
  <c r="V584" i="83" s="1" a="1"/>
  <c r="V584" i="83" s="1"/>
  <c r="T733" i="83"/>
  <c r="U733" i="83"/>
  <c r="V733" i="83" s="1" a="1"/>
  <c r="V733" i="83" s="1"/>
  <c r="T565" i="83"/>
  <c r="U565" i="83"/>
  <c r="V565" i="83" s="1" a="1"/>
  <c r="V565" i="83" s="1"/>
  <c r="T758" i="83"/>
  <c r="U758" i="83"/>
  <c r="V758" i="83" s="1" a="1"/>
  <c r="V758" i="83" s="1"/>
  <c r="T933" i="83"/>
  <c r="U933" i="83"/>
  <c r="V933" i="83" s="1" a="1"/>
  <c r="V933" i="83" s="1"/>
  <c r="T916" i="83"/>
  <c r="U916" i="83"/>
  <c r="V916" i="83" s="1" a="1"/>
  <c r="V916" i="83" s="1"/>
  <c r="T422" i="83"/>
  <c r="U422" i="83"/>
  <c r="V422" i="83" s="1" a="1"/>
  <c r="V422" i="83" s="1"/>
  <c r="T935" i="83"/>
  <c r="U935" i="83"/>
  <c r="V935" i="83" s="1" a="1"/>
  <c r="V935" i="83" s="1"/>
  <c r="T702" i="83"/>
  <c r="U702" i="83"/>
  <c r="V702" i="83" s="1" a="1"/>
  <c r="V702" i="83" s="1"/>
  <c r="T309" i="83"/>
  <c r="U309" i="83"/>
  <c r="V309" i="83" s="1" a="1"/>
  <c r="V309" i="83" s="1"/>
  <c r="T638" i="83"/>
  <c r="U638" i="83"/>
  <c r="V638" i="83" s="1" a="1"/>
  <c r="V638" i="83" s="1"/>
  <c r="T703" i="83"/>
  <c r="U703" i="83"/>
  <c r="V703" i="83" s="1" a="1"/>
  <c r="V703" i="83" s="1"/>
  <c r="T508" i="83"/>
  <c r="U508" i="83"/>
  <c r="V508" i="83" s="1" a="1"/>
  <c r="V508" i="83" s="1"/>
  <c r="T639" i="83"/>
  <c r="U639" i="83"/>
  <c r="V639" i="83" s="1" a="1"/>
  <c r="V639" i="83" s="1"/>
  <c r="T917" i="83"/>
  <c r="U917" i="83"/>
  <c r="V917" i="83" s="1" a="1"/>
  <c r="V917" i="83" s="1"/>
  <c r="T493" i="83"/>
  <c r="U493" i="83"/>
  <c r="V493" i="83" s="1" a="1"/>
  <c r="V493" i="83" s="1"/>
  <c r="T494" i="83"/>
  <c r="U494" i="83"/>
  <c r="V494" i="83" s="1" a="1"/>
  <c r="V494" i="83" s="1"/>
  <c r="T407" i="83"/>
  <c r="U407" i="83"/>
  <c r="V407" i="83" s="1" a="1"/>
  <c r="V407" i="83" s="1"/>
  <c r="T640" i="83"/>
  <c r="U640" i="83"/>
  <c r="V640" i="83" s="1" a="1"/>
  <c r="V640" i="83" s="1"/>
  <c r="T509" i="83"/>
  <c r="U509" i="83"/>
  <c r="V509" i="83" s="1" a="1"/>
  <c r="V509" i="83" s="1"/>
  <c r="T704" i="83"/>
  <c r="U704" i="83"/>
  <c r="V704" i="83" s="1" a="1"/>
  <c r="V704" i="83" s="1"/>
  <c r="T365" i="83"/>
  <c r="U365" i="83"/>
  <c r="V365" i="83" s="1" a="1"/>
  <c r="V365" i="83" s="1"/>
  <c r="T734" i="83"/>
  <c r="U734" i="83"/>
  <c r="V734" i="83" s="1" a="1"/>
  <c r="V734" i="83" s="1"/>
  <c r="T751" i="83"/>
  <c r="U751" i="83"/>
  <c r="V751" i="83" s="1" a="1"/>
  <c r="V751" i="83" s="1"/>
  <c r="T705" i="83"/>
  <c r="U705" i="83"/>
  <c r="V705" i="83" s="1" a="1"/>
  <c r="V705" i="83" s="1"/>
  <c r="T107" i="83"/>
  <c r="U107" i="83"/>
  <c r="V107" i="83" s="1" a="1"/>
  <c r="V107" i="83" s="1"/>
  <c r="T735" i="83"/>
  <c r="U735" i="83"/>
  <c r="V735" i="83" s="1" a="1"/>
  <c r="V735" i="83" s="1"/>
  <c r="T10" i="83"/>
  <c r="U10" i="83"/>
  <c r="V10" i="83" s="1" a="1"/>
  <c r="V10" i="83" s="1"/>
  <c r="T258" i="83"/>
  <c r="U258" i="83"/>
  <c r="V258" i="83" s="1" a="1"/>
  <c r="V258" i="83" s="1"/>
  <c r="T108" i="83"/>
  <c r="U108" i="83"/>
  <c r="V108" i="83" s="1" a="1"/>
  <c r="V108" i="83" s="1"/>
  <c r="T657" i="83"/>
  <c r="U657" i="83"/>
  <c r="V657" i="83" s="1" a="1"/>
  <c r="V657" i="83" s="1"/>
  <c r="T109" i="83"/>
  <c r="U109" i="83"/>
  <c r="V109" i="83" s="1" a="1"/>
  <c r="V109" i="83" s="1"/>
  <c r="T736" i="83"/>
  <c r="U736" i="83"/>
  <c r="V736" i="83" s="1" a="1"/>
  <c r="V736" i="83" s="1"/>
  <c r="T474" i="83"/>
  <c r="U474" i="83"/>
  <c r="V474" i="83" s="1" a="1"/>
  <c r="V474" i="83" s="1"/>
  <c r="T737" i="83"/>
  <c r="U737" i="83"/>
  <c r="V737" i="83" s="1" a="1"/>
  <c r="V737" i="83" s="1"/>
  <c r="T110" i="83"/>
  <c r="U110" i="83"/>
  <c r="V110" i="83" s="1" a="1"/>
  <c r="V110" i="83" s="1"/>
  <c r="T967" i="83"/>
  <c r="U967" i="83"/>
  <c r="V967" i="83" s="1" a="1"/>
  <c r="V967" i="83" s="1"/>
  <c r="T314" i="83"/>
  <c r="U314" i="83"/>
  <c r="V314" i="83" s="1" a="1"/>
  <c r="V314" i="83" s="1"/>
  <c r="T752" i="83"/>
  <c r="U752" i="83"/>
  <c r="V752" i="83" s="1" a="1"/>
  <c r="V752" i="83" s="1"/>
  <c r="T7" i="83"/>
  <c r="U7" i="83"/>
  <c r="V7" i="83" s="1" a="1"/>
  <c r="V7" i="83" s="1"/>
  <c r="T659" i="83"/>
  <c r="U659" i="83"/>
  <c r="V659" i="83" s="1" a="1"/>
  <c r="V659" i="83" s="1"/>
  <c r="T446" i="83"/>
  <c r="U446" i="83"/>
  <c r="V446" i="83" s="1" a="1"/>
  <c r="V446" i="83" s="1"/>
  <c r="T641" i="83"/>
  <c r="U641" i="83"/>
  <c r="V641" i="83" s="1" a="1"/>
  <c r="V641" i="83" s="1"/>
  <c r="T905" i="83"/>
  <c r="U905" i="83"/>
  <c r="V905" i="83" s="1" a="1"/>
  <c r="V905" i="83" s="1"/>
  <c r="T549" i="83"/>
  <c r="U549" i="83"/>
  <c r="V549" i="83" s="1" a="1"/>
  <c r="V549" i="83" s="1"/>
  <c r="T723" i="83"/>
  <c r="U723" i="83"/>
  <c r="V723" i="83" s="1" a="1"/>
  <c r="V723" i="83" s="1"/>
  <c r="T918" i="83"/>
  <c r="U918" i="83"/>
  <c r="V918" i="83" s="1" a="1"/>
  <c r="V918" i="83" s="1"/>
  <c r="T619" i="83"/>
  <c r="U619" i="83"/>
  <c r="V619" i="83" s="1" a="1"/>
  <c r="V619" i="83" s="1"/>
  <c r="T744" i="83"/>
  <c r="U744" i="83"/>
  <c r="V744" i="83" s="1" a="1"/>
  <c r="V744" i="83" s="1"/>
  <c r="T753" i="83"/>
  <c r="U753" i="83"/>
  <c r="V753" i="83" s="1" a="1"/>
  <c r="V753" i="83" s="1"/>
  <c r="T566" i="83"/>
  <c r="U566" i="83"/>
  <c r="V566" i="83" s="1" a="1"/>
  <c r="V566" i="83" s="1"/>
  <c r="T642" i="83"/>
  <c r="U642" i="83"/>
  <c r="V642" i="83" s="1" a="1"/>
  <c r="V642" i="83" s="1"/>
  <c r="T883" i="83"/>
  <c r="U883" i="83"/>
  <c r="V883" i="83" s="1" a="1"/>
  <c r="V883" i="83" s="1"/>
  <c r="T476" i="83"/>
  <c r="U476" i="83"/>
  <c r="V476" i="83" s="1" a="1"/>
  <c r="V476" i="83" s="1"/>
  <c r="T447" i="83"/>
  <c r="U447" i="83"/>
  <c r="V447" i="83" s="1" a="1"/>
  <c r="V447" i="83" s="1"/>
  <c r="T477" i="83"/>
  <c r="U477" i="83"/>
  <c r="V477" i="83" s="1" a="1"/>
  <c r="V477" i="83" s="1"/>
  <c r="T745" i="83"/>
  <c r="U745" i="83"/>
  <c r="V745" i="83" s="1" a="1"/>
  <c r="V745" i="83" s="1"/>
  <c r="T934" i="83"/>
  <c r="U934" i="83"/>
  <c r="V934" i="83" s="1" a="1"/>
  <c r="V934" i="83" s="1"/>
  <c r="T835" i="83"/>
  <c r="U835" i="83"/>
  <c r="V835" i="83" s="1" a="1"/>
  <c r="V835" i="83" s="1"/>
  <c r="T408" i="83"/>
  <c r="U408" i="83"/>
  <c r="V408" i="83" s="1" a="1"/>
  <c r="V408" i="83" s="1"/>
  <c r="T661" i="83"/>
  <c r="U661" i="83"/>
  <c r="V661" i="83" s="1" a="1"/>
  <c r="V661" i="83" s="1"/>
  <c r="T246" i="83"/>
  <c r="U246" i="83"/>
  <c r="V246" i="83" s="1" a="1"/>
  <c r="V246" i="83" s="1"/>
  <c r="T693" i="83"/>
  <c r="U693" i="83"/>
  <c r="V693" i="83" s="1" a="1"/>
  <c r="V693" i="83" s="1"/>
  <c r="T738" i="83"/>
  <c r="U738" i="83"/>
  <c r="V738" i="83" s="1" a="1"/>
  <c r="V738" i="83" s="1"/>
  <c r="T478" i="83"/>
  <c r="U478" i="83"/>
  <c r="V478" i="83" s="1" a="1"/>
  <c r="V478" i="83" s="1"/>
  <c r="T658" i="83"/>
  <c r="U658" i="83"/>
  <c r="V658" i="83" s="1" a="1"/>
  <c r="V658" i="83" s="1"/>
  <c r="T768" i="83"/>
  <c r="U768" i="83"/>
  <c r="V768" i="83" s="1" a="1"/>
  <c r="V768" i="83" s="1"/>
  <c r="T769" i="83"/>
  <c r="U769" i="83"/>
  <c r="V769" i="83" s="1" a="1"/>
  <c r="V769" i="83" s="1"/>
  <c r="T782" i="83"/>
  <c r="U782" i="83"/>
  <c r="V782" i="83" s="1" a="1"/>
  <c r="V782" i="83" s="1"/>
  <c r="T666" i="83"/>
  <c r="U666" i="83"/>
  <c r="V666" i="83" s="1" a="1"/>
  <c r="V666" i="83" s="1"/>
  <c r="T475" i="83"/>
  <c r="U475" i="83"/>
  <c r="V475" i="83" s="1" a="1"/>
  <c r="V475" i="83" s="1"/>
  <c r="T739" i="83"/>
  <c r="U739" i="83"/>
  <c r="V739" i="83" s="1" a="1"/>
  <c r="V739" i="83" s="1"/>
  <c r="T423" i="83"/>
  <c r="U423" i="83"/>
  <c r="V423" i="83" s="1" a="1"/>
  <c r="V423" i="83" s="1"/>
  <c r="T906" i="83"/>
  <c r="U906" i="83"/>
  <c r="V906" i="83" s="1" a="1"/>
  <c r="V906" i="83" s="1"/>
  <c r="T481" i="83"/>
  <c r="U481" i="83"/>
  <c r="V481" i="83" s="1" a="1"/>
  <c r="V481" i="83" s="1"/>
  <c r="T969" i="83"/>
  <c r="U969" i="83"/>
  <c r="V969" i="83" s="1" a="1"/>
  <c r="V969" i="83" s="1"/>
  <c r="T984" i="83"/>
  <c r="U984" i="83"/>
  <c r="V984" i="83" s="1" a="1"/>
  <c r="V984" i="83" s="1"/>
  <c r="T783" i="83"/>
  <c r="U783" i="83"/>
  <c r="V783" i="83" s="1" a="1"/>
  <c r="V783" i="83" s="1"/>
  <c r="T611" i="83"/>
  <c r="U611" i="83"/>
  <c r="V611" i="83" s="1" a="1"/>
  <c r="V611" i="83" s="1"/>
  <c r="T18" i="83"/>
  <c r="U18" i="83"/>
  <c r="V18" i="83" s="1" a="1"/>
  <c r="V18" i="83" s="1"/>
  <c r="T600" i="83"/>
  <c r="U600" i="83"/>
  <c r="V600" i="83" s="1" a="1"/>
  <c r="V600" i="83" s="1"/>
  <c r="T694" i="83"/>
  <c r="U694" i="83"/>
  <c r="V694" i="83" s="1" a="1"/>
  <c r="V694" i="83" s="1"/>
  <c r="T907" i="83"/>
  <c r="U907" i="83"/>
  <c r="V907" i="83" s="1" a="1"/>
  <c r="V907" i="83" s="1"/>
  <c r="T836" i="83"/>
  <c r="U836" i="83"/>
  <c r="V836" i="83" s="1" a="1"/>
  <c r="V836" i="83" s="1"/>
  <c r="T994" i="83"/>
  <c r="U994" i="83"/>
  <c r="V994" i="83" s="1" a="1"/>
  <c r="V994" i="83" s="1"/>
  <c r="T377" i="83"/>
  <c r="U377" i="83"/>
  <c r="V377" i="83" s="1" a="1"/>
  <c r="V377" i="83" s="1"/>
  <c r="T774" i="83"/>
  <c r="U774" i="83"/>
  <c r="V774" i="83" s="1" a="1"/>
  <c r="V774" i="83" s="1"/>
  <c r="T740" i="83"/>
  <c r="U740" i="83"/>
  <c r="V740" i="83" s="1" a="1"/>
  <c r="V740" i="83" s="1"/>
  <c r="T731" i="83"/>
  <c r="U731" i="83"/>
  <c r="V731" i="83" s="1" a="1"/>
  <c r="V731" i="83" s="1"/>
  <c r="T479" i="83"/>
  <c r="U479" i="83"/>
  <c r="V479" i="83" s="1" a="1"/>
  <c r="V479" i="83" s="1"/>
  <c r="T242" i="83"/>
  <c r="U242" i="83"/>
  <c r="V242" i="83" s="1" a="1"/>
  <c r="V242" i="83" s="1"/>
  <c r="T695" i="83"/>
  <c r="U695" i="83"/>
  <c r="V695" i="83" s="1" a="1"/>
  <c r="V695" i="83" s="1"/>
  <c r="T911" i="83"/>
  <c r="U911" i="83"/>
  <c r="V911" i="83" s="1" a="1"/>
  <c r="V911" i="83" s="1"/>
  <c r="T716" i="83"/>
  <c r="U716" i="83"/>
  <c r="V716" i="83" s="1" a="1"/>
  <c r="V716" i="83" s="1"/>
  <c r="T504" i="83"/>
  <c r="U504" i="83"/>
  <c r="V504" i="83" s="1" a="1"/>
  <c r="V504" i="83" s="1"/>
  <c r="T378" i="83"/>
  <c r="U378" i="83"/>
  <c r="V378" i="83" s="1" a="1"/>
  <c r="V378" i="83" s="1"/>
  <c r="T890" i="83"/>
  <c r="U890" i="83"/>
  <c r="V890" i="83" s="1" a="1"/>
  <c r="V890" i="83" s="1"/>
  <c r="T243" i="83"/>
  <c r="U243" i="83"/>
  <c r="V243" i="83" s="1" a="1"/>
  <c r="V243" i="83" s="1"/>
  <c r="T259" i="83"/>
  <c r="U259" i="83"/>
  <c r="V259" i="83" s="1" a="1"/>
  <c r="V259" i="83" s="1"/>
  <c r="T991" i="83"/>
  <c r="U991" i="83"/>
  <c r="V991" i="83" s="1" a="1"/>
  <c r="V991" i="83" s="1"/>
  <c r="T780" i="83"/>
  <c r="U780" i="83"/>
  <c r="V780" i="83" s="1" a="1"/>
  <c r="V780" i="83" s="1"/>
  <c r="T601" i="83"/>
  <c r="U601" i="83"/>
  <c r="V601" i="83" s="1" a="1"/>
  <c r="V601" i="83" s="1"/>
  <c r="T962" i="83"/>
  <c r="U962" i="83"/>
  <c r="V962" i="83" s="1" a="1"/>
  <c r="V962" i="83" s="1"/>
  <c r="T809" i="83"/>
  <c r="U809" i="83"/>
  <c r="V809" i="83" s="1" a="1"/>
  <c r="V809" i="83" s="1"/>
  <c r="T810" i="83"/>
  <c r="U810" i="83"/>
  <c r="V810" i="83" s="1" a="1"/>
  <c r="V810" i="83" s="1"/>
  <c r="T893" i="83"/>
  <c r="U893" i="83"/>
  <c r="V893" i="83" s="1" a="1"/>
  <c r="V893" i="83" s="1"/>
  <c r="T781" i="83"/>
  <c r="U781" i="83"/>
  <c r="V781" i="83" s="1" a="1"/>
  <c r="V781" i="83" s="1"/>
  <c r="T811" i="83"/>
  <c r="U811" i="83"/>
  <c r="V811" i="83" s="1" a="1"/>
  <c r="V811" i="83" s="1"/>
  <c r="T812" i="83"/>
  <c r="U812" i="83"/>
  <c r="V812" i="83" s="1" a="1"/>
  <c r="V812" i="83" s="1"/>
  <c r="T503" i="83"/>
  <c r="U503" i="83"/>
  <c r="V503" i="83" s="1" a="1"/>
  <c r="V503" i="83" s="1"/>
  <c r="T510" i="83"/>
  <c r="U510" i="83"/>
  <c r="V510" i="83" s="1" a="1"/>
  <c r="V510" i="83" s="1"/>
  <c r="T858" i="83"/>
  <c r="U858" i="83"/>
  <c r="V858" i="83" s="1" a="1"/>
  <c r="V858" i="83" s="1"/>
  <c r="T813" i="83"/>
  <c r="U813" i="83"/>
  <c r="V813" i="83" s="1" a="1"/>
  <c r="V813" i="83" s="1"/>
  <c r="T814" i="83"/>
  <c r="U814" i="83"/>
  <c r="V814" i="83" s="1" a="1"/>
  <c r="V814" i="83" s="1"/>
  <c r="T912" i="83"/>
  <c r="U912" i="83"/>
  <c r="V912" i="83" s="1" a="1"/>
  <c r="V912" i="83" s="1"/>
  <c r="T9" i="83"/>
  <c r="U9" i="83"/>
  <c r="V9" i="83" s="1" a="1"/>
  <c r="V9" i="83" s="1"/>
  <c r="T236" i="83"/>
  <c r="U236" i="83"/>
  <c r="V236" i="83" s="1" a="1"/>
  <c r="V236" i="83" s="1"/>
  <c r="T741" i="83"/>
  <c r="U741" i="83"/>
  <c r="V741" i="83" s="1" a="1"/>
  <c r="V741" i="83" s="1"/>
  <c r="T968" i="83"/>
  <c r="U968" i="83"/>
  <c r="V968" i="83" s="1" a="1"/>
  <c r="V968" i="83" s="1"/>
  <c r="T260" i="83"/>
  <c r="U260" i="83"/>
  <c r="V260" i="83" s="1" a="1"/>
  <c r="V260" i="83" s="1"/>
  <c r="T913" i="83"/>
  <c r="U913" i="83"/>
  <c r="V913" i="83" s="1" a="1"/>
  <c r="V913" i="83" s="1"/>
  <c r="T126" i="83"/>
  <c r="U126" i="83"/>
  <c r="V126" i="83" s="1" a="1"/>
  <c r="V126" i="83" s="1"/>
  <c r="T815" i="83"/>
  <c r="U815" i="83"/>
  <c r="V815" i="83" s="1" a="1"/>
  <c r="V815" i="83" s="1"/>
  <c r="T816" i="83"/>
  <c r="U816" i="83"/>
  <c r="V816" i="83" s="1" a="1"/>
  <c r="V816" i="83" s="1"/>
  <c r="T864" i="83"/>
  <c r="U864" i="83"/>
  <c r="V864" i="83" s="1" a="1"/>
  <c r="V864" i="83" s="1"/>
  <c r="T914" i="83"/>
  <c r="U914" i="83"/>
  <c r="V914" i="83" s="1" a="1"/>
  <c r="V914" i="83" s="1"/>
  <c r="T315" i="83"/>
  <c r="U315" i="83"/>
  <c r="V315" i="83" s="1" a="1"/>
  <c r="V315" i="83" s="1"/>
  <c r="T379" i="83"/>
  <c r="U379" i="83"/>
  <c r="V379" i="83" s="1" a="1"/>
  <c r="V379" i="83" s="1"/>
  <c r="T536" i="83"/>
  <c r="U536" i="83"/>
  <c r="V536" i="83" s="1" a="1"/>
  <c r="V536" i="83" s="1"/>
  <c r="T894" i="83"/>
  <c r="U894" i="83"/>
  <c r="V894" i="83" s="1" a="1"/>
  <c r="V894" i="83" s="1"/>
  <c r="T895" i="83"/>
  <c r="U895" i="83"/>
  <c r="V895" i="83" s="1" a="1"/>
  <c r="V895" i="83" s="1"/>
  <c r="T537" i="83"/>
  <c r="U537" i="83"/>
  <c r="V537" i="83" s="1" a="1"/>
  <c r="V537" i="83" s="1"/>
  <c r="T891" i="83"/>
  <c r="U891" i="83"/>
  <c r="V891" i="83" s="1" a="1"/>
  <c r="V891" i="83" s="1"/>
  <c r="T11" i="83"/>
  <c r="U11" i="83"/>
  <c r="V11" i="83" s="1" a="1"/>
  <c r="V11" i="83" s="1"/>
  <c r="T667" i="83"/>
  <c r="U667" i="83"/>
  <c r="V667" i="83" s="1" a="1"/>
  <c r="V667" i="83" s="1"/>
  <c r="T963" i="83"/>
  <c r="U963" i="83"/>
  <c r="V963" i="83" s="1" a="1"/>
  <c r="V963" i="83" s="1"/>
  <c r="T247" i="83"/>
  <c r="U247" i="83"/>
  <c r="V247" i="83" s="1" a="1"/>
  <c r="V247" i="83" s="1"/>
  <c r="T612" i="83"/>
  <c r="U612" i="83"/>
  <c r="V612" i="83" s="1" a="1"/>
  <c r="V612" i="83" s="1"/>
  <c r="T123" i="83"/>
  <c r="U123" i="83"/>
  <c r="V123" i="83" s="1" a="1"/>
  <c r="V123" i="83" s="1"/>
  <c r="T448" i="83"/>
  <c r="U448" i="83"/>
  <c r="V448" i="83" s="1" a="1"/>
  <c r="V448" i="83" s="1"/>
  <c r="T964" i="83"/>
  <c r="U964" i="83"/>
  <c r="V964" i="83" s="1" a="1"/>
  <c r="V964" i="83" s="1"/>
  <c r="T995" i="83"/>
  <c r="U995" i="83"/>
  <c r="V995" i="83" s="1" a="1"/>
  <c r="V995" i="83" s="1"/>
  <c r="T424" i="83"/>
  <c r="U424" i="83"/>
  <c r="V424" i="83" s="1" a="1"/>
  <c r="V424" i="83" s="1"/>
  <c r="T970" i="83"/>
  <c r="U970" i="83"/>
  <c r="V970" i="83" s="1" a="1"/>
  <c r="V970" i="83" s="1"/>
  <c r="T550" i="83"/>
  <c r="U550" i="83"/>
  <c r="V550" i="83" s="1" a="1"/>
  <c r="V550" i="83" s="1"/>
  <c r="T261" i="83"/>
  <c r="U261" i="83"/>
  <c r="V261" i="83" s="1" a="1"/>
  <c r="V261" i="83" s="1"/>
  <c r="T8" i="83"/>
  <c r="U8" i="83"/>
  <c r="V8" i="83" s="1" a="1"/>
  <c r="V8" i="83" s="1"/>
  <c r="T386" i="83"/>
  <c r="U386" i="83"/>
  <c r="V386" i="83" s="1" a="1"/>
  <c r="V386" i="83" s="1"/>
  <c r="T551" i="83"/>
  <c r="U551" i="83"/>
  <c r="V551" i="83" s="1" a="1"/>
  <c r="V551" i="83" s="1"/>
  <c r="T896" i="83"/>
  <c r="U896" i="83"/>
  <c r="V896" i="83" s="1" a="1"/>
  <c r="V896" i="83" s="1"/>
  <c r="T387" i="83"/>
  <c r="U387" i="83"/>
  <c r="V387" i="83" s="1" a="1"/>
  <c r="V387" i="83" s="1"/>
  <c r="T879" i="83"/>
  <c r="U879" i="83"/>
  <c r="V879" i="83" s="1" a="1"/>
  <c r="V879" i="83" s="1"/>
  <c r="T859" i="83"/>
  <c r="U859" i="83"/>
  <c r="V859" i="83" s="1" a="1"/>
  <c r="V859" i="83" s="1"/>
  <c r="T880" i="83"/>
  <c r="U880" i="83"/>
  <c r="V880" i="83" s="1" a="1"/>
  <c r="V880" i="83" s="1"/>
  <c r="T897" i="83"/>
  <c r="U897" i="83"/>
  <c r="V897" i="83" s="1" a="1"/>
  <c r="V897" i="83" s="1"/>
  <c r="T316" i="83"/>
  <c r="U316" i="83"/>
  <c r="V316" i="83" s="1" a="1"/>
  <c r="V316" i="83" s="1"/>
  <c r="T630" i="83"/>
  <c r="U630" i="83"/>
  <c r="V630" i="83" s="1" a="1"/>
  <c r="V630" i="83" s="1"/>
  <c r="T885" i="83"/>
  <c r="U885" i="83"/>
  <c r="V885" i="83" s="1" a="1"/>
  <c r="V885" i="83" s="1"/>
  <c r="T898" i="83"/>
  <c r="U898" i="83"/>
  <c r="V898" i="83" s="1" a="1"/>
  <c r="V898" i="83" s="1"/>
  <c r="T138" i="83"/>
  <c r="U138" i="83"/>
  <c r="V138" i="83" s="1" a="1"/>
  <c r="V138" i="83" s="1"/>
  <c r="T631" i="83"/>
  <c r="U631" i="83"/>
  <c r="V631" i="83" s="1" a="1"/>
  <c r="V631" i="83" s="1"/>
  <c r="T613" i="83"/>
  <c r="U613" i="83"/>
  <c r="V613" i="83" s="1" a="1"/>
  <c r="V613" i="83" s="1"/>
  <c r="T712" i="83"/>
  <c r="U712" i="83"/>
  <c r="V712" i="83" s="1" a="1"/>
  <c r="V712" i="83" s="1"/>
  <c r="T869" i="83"/>
  <c r="U869" i="83"/>
  <c r="V869" i="83" s="1" a="1"/>
  <c r="V869" i="83" s="1"/>
  <c r="T713" i="83"/>
  <c r="U713" i="83"/>
  <c r="V713" i="83" s="1" a="1"/>
  <c r="V713" i="83" s="1"/>
  <c r="T692" i="83"/>
  <c r="U692" i="83"/>
  <c r="V692" i="83" s="1" a="1"/>
  <c r="V692" i="83" s="1"/>
  <c r="T847" i="83"/>
  <c r="U847" i="83"/>
  <c r="V847" i="83" s="1" a="1"/>
  <c r="V847" i="83" s="1"/>
  <c r="T803" i="83"/>
  <c r="U803" i="83"/>
  <c r="V803" i="83" s="1" a="1"/>
  <c r="V803" i="83" s="1"/>
  <c r="T804" i="83"/>
  <c r="U804" i="83"/>
  <c r="V804" i="83" s="1" a="1"/>
  <c r="V804" i="83" s="1"/>
  <c r="T512" i="83"/>
  <c r="U512" i="83"/>
  <c r="V512" i="83" s="1" a="1"/>
  <c r="V512" i="83" s="1"/>
  <c r="T881" i="83"/>
  <c r="U881" i="83"/>
  <c r="V881" i="83" s="1" a="1"/>
  <c r="V881" i="83" s="1"/>
  <c r="T899" i="83"/>
  <c r="U899" i="83"/>
  <c r="V899" i="83" s="1" a="1"/>
  <c r="V899" i="83" s="1"/>
  <c r="T457" i="83"/>
  <c r="U457" i="83"/>
  <c r="V457" i="83" s="1" a="1"/>
  <c r="V457" i="83" s="1"/>
  <c r="T854" i="83"/>
  <c r="U854" i="83"/>
  <c r="V854" i="83" s="1" a="1"/>
  <c r="V854" i="83" s="1"/>
  <c r="T900" i="83"/>
  <c r="U900" i="83"/>
  <c r="V900" i="83" s="1" a="1"/>
  <c r="V900" i="83" s="1"/>
  <c r="T528" i="83"/>
  <c r="U528" i="83"/>
  <c r="V528" i="83" s="1" a="1"/>
  <c r="V528" i="83" s="1"/>
  <c r="T668" i="83"/>
  <c r="U668" i="83"/>
  <c r="V668" i="83" s="1" a="1"/>
  <c r="V668" i="83" s="1"/>
  <c r="T775" i="83"/>
  <c r="U775" i="83"/>
  <c r="V775" i="83" s="1" a="1"/>
  <c r="V775" i="83" s="1"/>
  <c r="T482" i="83"/>
  <c r="U482" i="83"/>
  <c r="V482" i="83" s="1" a="1"/>
  <c r="V482" i="83" s="1"/>
  <c r="T886" i="83"/>
  <c r="U886" i="83"/>
  <c r="V886" i="83" s="1" a="1"/>
  <c r="V886" i="83" s="1"/>
  <c r="T487" i="83"/>
  <c r="U487" i="83"/>
  <c r="V487" i="83" s="1" a="1"/>
  <c r="V487" i="83" s="1"/>
  <c r="T928" i="83"/>
  <c r="U928" i="83"/>
  <c r="V928" i="83" s="1" a="1"/>
  <c r="V928" i="83" s="1"/>
  <c r="T12" i="83"/>
  <c r="U12" i="83"/>
  <c r="V12" i="83" s="1" a="1"/>
  <c r="V12" i="83" s="1"/>
  <c r="T901" i="83"/>
  <c r="U901" i="83"/>
  <c r="V901" i="83" s="1" a="1"/>
  <c r="V901" i="83" s="1"/>
  <c r="T875" i="83"/>
  <c r="U875" i="83"/>
  <c r="V875" i="83" s="1" a="1"/>
  <c r="V875" i="83" s="1"/>
  <c r="T876" i="83"/>
  <c r="U876" i="83"/>
  <c r="V876" i="83" s="1" a="1"/>
  <c r="V876" i="83" s="1"/>
  <c r="T380" i="83"/>
  <c r="U380" i="83"/>
  <c r="V380" i="83" s="1" a="1"/>
  <c r="V380" i="83" s="1"/>
  <c r="T848" i="83"/>
  <c r="U848" i="83"/>
  <c r="V848" i="83" s="1" a="1"/>
  <c r="V848" i="83" s="1"/>
  <c r="T877" i="83"/>
  <c r="U877" i="83"/>
  <c r="V877" i="83" s="1" a="1"/>
  <c r="V877" i="83" s="1"/>
  <c r="T317" i="83"/>
  <c r="U317" i="83"/>
  <c r="V317" i="83" s="1" a="1"/>
  <c r="V317" i="83" s="1"/>
  <c r="T696" i="83"/>
  <c r="U696" i="83"/>
  <c r="V696" i="83" s="1" a="1"/>
  <c r="V696" i="83" s="1"/>
  <c r="T849" i="83"/>
  <c r="U849" i="83"/>
  <c r="V849" i="83" s="1" a="1"/>
  <c r="V849" i="83" s="1"/>
  <c r="T614" i="83"/>
  <c r="U614" i="83"/>
  <c r="V614" i="83" s="1" a="1"/>
  <c r="V614" i="83" s="1"/>
  <c r="T850" i="83"/>
  <c r="U850" i="83"/>
  <c r="V850" i="83" s="1" a="1"/>
  <c r="V850" i="83" s="1"/>
  <c r="T902" i="83"/>
  <c r="U902" i="83"/>
  <c r="V902" i="83" s="1" a="1"/>
  <c r="V902" i="83" s="1"/>
  <c r="T615" i="83"/>
  <c r="U615" i="83"/>
  <c r="V615" i="83" s="1" a="1"/>
  <c r="V615" i="83" s="1"/>
  <c r="T323" i="83"/>
  <c r="U323" i="83"/>
  <c r="V323" i="83" s="1" a="1"/>
  <c r="V323" i="83" s="1"/>
  <c r="T971" i="83"/>
  <c r="U971" i="83"/>
  <c r="V971" i="83" s="1" a="1"/>
  <c r="V971" i="83" s="1"/>
  <c r="T939" i="83"/>
  <c r="U939" i="83"/>
  <c r="V939" i="83" s="1" a="1"/>
  <c r="V939" i="83" s="1"/>
  <c r="T903" i="83"/>
  <c r="U903" i="83"/>
  <c r="V903" i="83" s="1" a="1"/>
  <c r="V903" i="83" s="1"/>
  <c r="T324" i="83"/>
  <c r="U324" i="83"/>
  <c r="V324" i="83" s="1" a="1"/>
  <c r="V324" i="83" s="1"/>
  <c r="T878" i="83"/>
  <c r="U878" i="83"/>
  <c r="V878" i="83" s="1" a="1"/>
  <c r="V878" i="83" s="1"/>
  <c r="T904" i="83"/>
  <c r="U904" i="83"/>
  <c r="V904" i="83" s="1" a="1"/>
  <c r="V904" i="83" s="1"/>
  <c r="T855" i="83"/>
  <c r="U855" i="83"/>
  <c r="V855" i="83" s="1" a="1"/>
  <c r="V855" i="83" s="1"/>
  <c r="T2" i="83"/>
  <c r="U2" i="83"/>
  <c r="V2" i="83" s="1" a="1"/>
  <c r="V2" i="83" s="1"/>
  <c r="T856" i="83"/>
  <c r="U856" i="83"/>
  <c r="V856" i="83" s="1" a="1"/>
  <c r="V856" i="83" s="1"/>
  <c r="T325" i="83"/>
  <c r="U325" i="83"/>
  <c r="V325" i="83" s="1" a="1"/>
  <c r="V325" i="83" s="1"/>
  <c r="T416" i="83"/>
  <c r="U416" i="83"/>
  <c r="V416" i="83" s="1" a="1"/>
  <c r="V416" i="83" s="1"/>
  <c r="T632" i="83"/>
  <c r="U632" i="83"/>
  <c r="V632" i="83" s="1" a="1"/>
  <c r="V632" i="83" s="1"/>
  <c r="T318" i="83"/>
  <c r="U318" i="83"/>
  <c r="V318" i="83" s="1" a="1"/>
  <c r="V318" i="83" s="1"/>
  <c r="T468" i="83"/>
  <c r="U468" i="83"/>
  <c r="V468" i="83" s="1" a="1"/>
  <c r="V468" i="83" s="1"/>
  <c r="T326" i="83"/>
  <c r="U326" i="83"/>
  <c r="V326" i="83" s="1" a="1"/>
  <c r="V326" i="83" s="1"/>
  <c r="T776" i="83"/>
  <c r="U776" i="83"/>
  <c r="V776" i="83" s="1" a="1"/>
  <c r="V776" i="83" s="1"/>
  <c r="T469" i="83"/>
  <c r="U469" i="83"/>
  <c r="V469" i="83" s="1" a="1"/>
  <c r="V469" i="83" s="1"/>
  <c r="T662" i="83"/>
  <c r="U662" i="83"/>
  <c r="V662" i="83" s="1" a="1"/>
  <c r="V662" i="83" s="1"/>
  <c r="T940" i="83"/>
  <c r="U940" i="83"/>
  <c r="V940" i="83" s="1" a="1"/>
  <c r="V940" i="83" s="1"/>
  <c r="T941" i="83"/>
  <c r="U941" i="83"/>
  <c r="V941" i="83" s="1" a="1"/>
  <c r="V941" i="83" s="1"/>
  <c r="T669" i="83"/>
  <c r="U669" i="83"/>
  <c r="V669" i="83" s="1" a="1"/>
  <c r="V669" i="83" s="1"/>
  <c r="T518" i="83"/>
  <c r="U518" i="83"/>
  <c r="V518" i="83" s="1" a="1"/>
  <c r="V518" i="83" s="1"/>
  <c r="T670" i="83"/>
  <c r="U670" i="83"/>
  <c r="V670" i="83" s="1" a="1"/>
  <c r="V670" i="83" s="1"/>
  <c r="T506" i="83"/>
  <c r="U506" i="83"/>
  <c r="V506" i="83" s="1" a="1"/>
  <c r="V506" i="83" s="1"/>
  <c r="T908" i="83"/>
  <c r="U908" i="83"/>
  <c r="V908" i="83" s="1" a="1"/>
  <c r="V908" i="83" s="1"/>
  <c r="O192" i="83"/>
  <c r="O526" i="83"/>
  <c r="O901" i="83"/>
  <c r="O275" i="83"/>
  <c r="O203" i="83"/>
  <c r="O885" i="83"/>
  <c r="O2" i="83"/>
  <c r="O977" i="83"/>
  <c r="O477" i="83"/>
  <c r="O957" i="83"/>
  <c r="O691" i="83"/>
  <c r="O818" i="83"/>
  <c r="O770" i="83"/>
  <c r="O721" i="83"/>
  <c r="O207" i="83"/>
  <c r="O174" i="83"/>
  <c r="O988" i="83"/>
  <c r="O68" i="83"/>
  <c r="O683" i="83"/>
  <c r="O985" i="83"/>
  <c r="O534" i="83"/>
  <c r="O402" i="83"/>
  <c r="O560" i="83"/>
  <c r="O799" i="83"/>
  <c r="O549" i="83"/>
  <c r="O757" i="83"/>
  <c r="O751" i="83"/>
  <c r="O128" i="83"/>
  <c r="O397" i="83"/>
  <c r="O676" i="83"/>
  <c r="O246" i="83"/>
  <c r="O566" i="83"/>
  <c r="O378" i="83"/>
  <c r="O856" i="83"/>
  <c r="O809" i="83"/>
  <c r="O982" i="83"/>
  <c r="O140" i="83"/>
  <c r="O306" i="83"/>
  <c r="O541" i="83"/>
  <c r="O72" i="83"/>
  <c r="O76" i="83"/>
  <c r="O737" i="83"/>
  <c r="O960" i="83"/>
  <c r="O979" i="83"/>
  <c r="O908" i="83"/>
  <c r="O865" i="83"/>
  <c r="O787" i="83"/>
  <c r="O581" i="83"/>
  <c r="O766" i="83"/>
  <c r="O705" i="83"/>
  <c r="O938" i="83"/>
  <c r="O591" i="83"/>
  <c r="O629" i="83"/>
  <c r="O622" i="83"/>
  <c r="O49" i="83"/>
  <c r="O343" i="83"/>
  <c r="O148" i="83"/>
  <c r="O593" i="83"/>
  <c r="O673" i="83"/>
  <c r="O8" i="83"/>
  <c r="O949" i="83"/>
  <c r="O291" i="83"/>
  <c r="O516" i="83"/>
  <c r="O820" i="83"/>
  <c r="O469" i="83"/>
  <c r="O768" i="83"/>
  <c r="O232" i="83"/>
  <c r="O120" i="83"/>
  <c r="O616" i="83"/>
  <c r="O281" i="83"/>
  <c r="O369" i="83"/>
  <c r="O204" i="83"/>
  <c r="O318" i="83"/>
  <c r="O1004" i="83"/>
  <c r="O539" i="83"/>
  <c r="O512" i="83"/>
  <c r="O489" i="83"/>
  <c r="O252" i="83"/>
  <c r="O746" i="83"/>
  <c r="O625" i="83"/>
  <c r="O659" i="83"/>
  <c r="O727" i="83"/>
  <c r="O828" i="83"/>
  <c r="O325" i="83"/>
  <c r="O177" i="83"/>
  <c r="O687" i="83"/>
  <c r="O574" i="83"/>
  <c r="O238" i="83"/>
  <c r="O546" i="83"/>
  <c r="O872" i="83"/>
  <c r="O707" i="83"/>
  <c r="O321" i="83"/>
  <c r="O493" i="83"/>
  <c r="O483" i="83"/>
  <c r="O844" i="83"/>
  <c r="O509" i="83"/>
  <c r="O431" i="83"/>
  <c r="O712" i="83"/>
  <c r="O106" i="83"/>
  <c r="O228" i="83"/>
  <c r="O428" i="83"/>
  <c r="O765" i="83"/>
  <c r="O482" i="83"/>
  <c r="O569" i="83"/>
  <c r="O166" i="83"/>
  <c r="O347" i="83"/>
  <c r="O841" i="83"/>
  <c r="O63" i="83"/>
  <c r="O822" i="83"/>
  <c r="O37" i="83"/>
  <c r="O295" i="83"/>
  <c r="O286" i="83"/>
  <c r="O160" i="83"/>
  <c r="O98" i="83"/>
  <c r="O394" i="83"/>
  <c r="O465" i="83"/>
  <c r="O23" i="83"/>
  <c r="O65" i="83"/>
  <c r="O211" i="83"/>
  <c r="O839" i="83"/>
  <c r="O355" i="83"/>
  <c r="O695" i="83"/>
  <c r="O771" i="83"/>
  <c r="O19" i="83"/>
  <c r="O43" i="83"/>
  <c r="O80" i="83"/>
  <c r="O830" i="83"/>
  <c r="O653" i="83"/>
  <c r="O87" i="83"/>
  <c r="O455" i="83"/>
  <c r="O989" i="83"/>
  <c r="O175" i="83"/>
  <c r="O651" i="83"/>
  <c r="O846" i="83"/>
  <c r="O803" i="83"/>
  <c r="O301" i="83"/>
  <c r="O381" i="83"/>
  <c r="O914" i="83"/>
  <c r="O30" i="83"/>
  <c r="O499" i="83"/>
  <c r="O849" i="83"/>
  <c r="O335" i="83"/>
  <c r="O289" i="83"/>
  <c r="O433" i="83"/>
  <c r="O898" i="83"/>
  <c r="O739" i="83"/>
  <c r="O698" i="83"/>
  <c r="O417" i="83"/>
  <c r="O921" i="83"/>
  <c r="O452" i="83"/>
  <c r="O578" i="83"/>
  <c r="O92" i="83"/>
  <c r="O941" i="83"/>
  <c r="O743" i="83"/>
  <c r="O951" i="83"/>
  <c r="O612" i="83"/>
  <c r="O916" i="83"/>
  <c r="O910" i="83"/>
  <c r="O596" i="83"/>
  <c r="O504" i="83"/>
  <c r="O615" i="83"/>
  <c r="O74" i="83"/>
  <c r="O478" i="83"/>
  <c r="O188" i="83"/>
  <c r="O997" i="83"/>
  <c r="O206" i="83"/>
  <c r="O265" i="83"/>
  <c r="O154" i="83"/>
  <c r="O792" i="83"/>
  <c r="O637" i="83"/>
  <c r="O714" i="83"/>
  <c r="O435" i="83"/>
  <c r="O137" i="83"/>
  <c r="O358" i="83"/>
  <c r="O462" i="83"/>
  <c r="O328" i="83"/>
  <c r="O686" i="83"/>
  <c r="O925" i="83"/>
  <c r="O609" i="83"/>
  <c r="O218" i="83"/>
  <c r="O18" i="83"/>
  <c r="O575" i="83"/>
  <c r="O475" i="83"/>
  <c r="O235" i="83"/>
  <c r="O874" i="83"/>
  <c r="O552" i="83"/>
  <c r="O310" i="83"/>
  <c r="O434" i="83"/>
  <c r="O525" i="83"/>
  <c r="O181" i="83"/>
  <c r="O932" i="83"/>
  <c r="O663" i="83"/>
  <c r="O835" i="83"/>
  <c r="O716" i="83"/>
  <c r="O528" i="83"/>
  <c r="O978" i="83"/>
  <c r="O198" i="83"/>
  <c r="O448" i="83"/>
  <c r="O785" i="83"/>
  <c r="O494" i="83"/>
  <c r="O680" i="83"/>
  <c r="O143" i="83"/>
  <c r="O994" i="83"/>
  <c r="O50" i="83"/>
  <c r="O632" i="83"/>
  <c r="O371" i="83"/>
  <c r="O1000" i="83"/>
  <c r="O643" i="83"/>
  <c r="O58" i="83"/>
  <c r="O360" i="83"/>
  <c r="O759" i="83"/>
  <c r="O796" i="83"/>
  <c r="O810" i="83"/>
  <c r="O15" i="83"/>
  <c r="O359" i="83"/>
  <c r="O485" i="83"/>
  <c r="O279" i="83"/>
  <c r="O341" i="83"/>
  <c r="O956" i="83"/>
  <c r="O658" i="83"/>
  <c r="O408" i="83"/>
  <c r="O131" i="83"/>
  <c r="O641" i="83"/>
  <c r="O863" i="83"/>
  <c r="O258" i="83"/>
  <c r="O731" i="83"/>
  <c r="O45" i="83"/>
  <c r="O722" i="83"/>
  <c r="O11" i="83"/>
  <c r="O610" i="83"/>
  <c r="O62" i="83"/>
  <c r="O109" i="83"/>
  <c r="O388" i="83"/>
  <c r="O254" i="83"/>
  <c r="O903" i="83"/>
  <c r="O842" i="83"/>
  <c r="O895" i="83"/>
  <c r="O182" i="83"/>
  <c r="O410" i="83"/>
  <c r="O519" i="83"/>
  <c r="O944" i="83"/>
  <c r="O350" i="83"/>
  <c r="O890" i="83"/>
  <c r="O202" i="83"/>
  <c r="O114" i="83"/>
  <c r="O84" i="83"/>
  <c r="O223" i="83"/>
  <c r="O845" i="83"/>
  <c r="O972" i="83"/>
  <c r="O498" i="83"/>
  <c r="O964" i="83"/>
  <c r="O305" i="83"/>
  <c r="O471" i="83"/>
  <c r="O555" i="83"/>
  <c r="O418" i="83"/>
  <c r="O804" i="83"/>
  <c r="O976" i="83"/>
  <c r="O101" i="83"/>
  <c r="O670" i="83"/>
  <c r="O241" i="83"/>
  <c r="O230" i="83"/>
  <c r="O337" i="83"/>
  <c r="O464" i="83"/>
  <c r="O500" i="83"/>
  <c r="O992" i="83"/>
  <c r="O71" i="83"/>
  <c r="O729" i="83"/>
  <c r="O923" i="83"/>
  <c r="O505" i="83"/>
  <c r="O442" i="83"/>
  <c r="O236" i="83"/>
  <c r="O986" i="83"/>
  <c r="O293" i="83"/>
  <c r="O382" i="83"/>
  <c r="O317" i="83"/>
  <c r="O572" i="83"/>
  <c r="O688" i="83"/>
  <c r="O811" i="83"/>
  <c r="O694" i="83"/>
  <c r="O869" i="83"/>
  <c r="O13" i="83"/>
  <c r="O912" i="83"/>
  <c r="O285" i="83"/>
  <c r="O83" i="83"/>
  <c r="O456" i="83"/>
  <c r="O879" i="83"/>
  <c r="O333" i="83"/>
  <c r="O950" i="83"/>
  <c r="O362" i="83"/>
  <c r="O170" i="83"/>
  <c r="O521" i="83"/>
  <c r="O781" i="83"/>
  <c r="O330" i="83"/>
  <c r="O761" i="83"/>
  <c r="O734" i="83"/>
  <c r="O940" i="83"/>
  <c r="O745" i="83"/>
  <c r="O51" i="83"/>
  <c r="O243" i="83"/>
  <c r="O426" i="83"/>
  <c r="O965" i="83"/>
  <c r="O108" i="83"/>
  <c r="O692" i="83"/>
  <c r="O299" i="83"/>
  <c r="O312" i="83"/>
  <c r="O536" i="83"/>
  <c r="O661" i="83"/>
  <c r="O530" i="83"/>
  <c r="O656" i="83"/>
  <c r="O385" i="83"/>
  <c r="O580" i="83"/>
  <c r="O59" i="83"/>
  <c r="O862" i="83"/>
  <c r="O22" i="83"/>
  <c r="O290" i="83"/>
  <c r="O149" i="83"/>
  <c r="O769" i="83"/>
  <c r="O827" i="83"/>
  <c r="O958" i="83"/>
  <c r="O479" i="83"/>
  <c r="O283" i="83"/>
  <c r="O836" i="83"/>
  <c r="O430" i="83"/>
  <c r="O990" i="83"/>
  <c r="O943" i="83"/>
  <c r="O699" i="83"/>
  <c r="O948" i="83"/>
  <c r="O867" i="83"/>
  <c r="O877" i="83"/>
  <c r="O635" i="83"/>
  <c r="O679" i="83"/>
  <c r="O172" i="83"/>
  <c r="O367" i="83"/>
  <c r="O351" i="83"/>
  <c r="O472" i="83"/>
  <c r="O817" i="83"/>
  <c r="O100" i="83"/>
  <c r="O412" i="83"/>
  <c r="O524" i="83"/>
  <c r="O906" i="83"/>
  <c r="O717" i="83"/>
  <c r="O141" i="83"/>
  <c r="O711" i="83"/>
  <c r="O213" i="83"/>
  <c r="O855" i="83"/>
  <c r="O511" i="83"/>
  <c r="O887" i="83"/>
  <c r="O121" i="83"/>
  <c r="O373" i="83"/>
  <c r="O69" i="83"/>
  <c r="O669" i="83"/>
  <c r="O724" i="83"/>
  <c r="O135" i="83"/>
  <c r="O127" i="83"/>
  <c r="O33" i="83"/>
  <c r="O81" i="83"/>
  <c r="O399" i="83"/>
  <c r="O52" i="83"/>
  <c r="O682" i="83"/>
  <c r="O535" i="83"/>
  <c r="O878" i="83"/>
  <c r="O162" i="83"/>
  <c r="O309" i="83"/>
  <c r="O406" i="83"/>
  <c r="O998" i="83"/>
  <c r="O209" i="83"/>
  <c r="O123" i="83"/>
  <c r="O365" i="83"/>
  <c r="O795" i="83"/>
  <c r="O377" i="83"/>
  <c r="O573" i="83"/>
  <c r="O132" i="83"/>
  <c r="O689" i="83"/>
  <c r="O606" i="83"/>
  <c r="O487" i="83"/>
  <c r="O303" i="83"/>
  <c r="O902" i="83"/>
  <c r="O1006" i="83"/>
  <c r="O642" i="83"/>
  <c r="O492" i="83"/>
  <c r="O55" i="83"/>
  <c r="O959" i="83"/>
  <c r="O278" i="83"/>
  <c r="O467" i="83"/>
  <c r="O791" i="83"/>
  <c r="O857" i="83"/>
  <c r="O831" i="83"/>
  <c r="O624" i="83"/>
  <c r="O764" i="83"/>
  <c r="O94" i="83"/>
  <c r="O556" i="83"/>
  <c r="O6" i="83"/>
  <c r="O633" i="83"/>
  <c r="O930" i="83"/>
  <c r="O36" i="83"/>
  <c r="O805" i="83"/>
  <c r="O390" i="83"/>
  <c r="O437" i="83"/>
  <c r="O604" i="83"/>
  <c r="O563" i="83"/>
  <c r="O709" i="83"/>
  <c r="O450" i="83"/>
  <c r="O974" i="83"/>
  <c r="O701" i="83"/>
  <c r="O639" i="83"/>
  <c r="O523" i="83"/>
  <c r="O116" i="83"/>
  <c r="O401" i="83"/>
  <c r="O413" i="83"/>
  <c r="O621" i="83"/>
  <c r="O323" i="83"/>
  <c r="O843" i="83"/>
  <c r="O762" i="83"/>
  <c r="O909" i="83"/>
  <c r="O594" i="83"/>
  <c r="O897" i="83"/>
  <c r="O666" i="83"/>
  <c r="O677" i="83"/>
  <c r="O619" i="83"/>
  <c r="O514" i="83"/>
  <c r="O586" i="83"/>
  <c r="O627" i="83"/>
  <c r="O962" i="83"/>
  <c r="O461" i="83"/>
  <c r="O550" i="83"/>
  <c r="O420" i="83"/>
  <c r="O273" i="83"/>
  <c r="O969" i="83"/>
  <c r="O134" i="83"/>
  <c r="O31" i="83"/>
  <c r="O144" i="83"/>
  <c r="O723" i="83"/>
  <c r="O245" i="83"/>
  <c r="O199" i="83"/>
  <c r="O164" i="83"/>
  <c r="O703" i="83"/>
  <c r="O376" i="83"/>
  <c r="O104" i="83"/>
  <c r="O561" i="83"/>
  <c r="O66" i="83"/>
  <c r="O568" i="83"/>
  <c r="O752" i="83"/>
  <c r="O57" i="83"/>
  <c r="O89" i="83"/>
  <c r="O755" i="83"/>
  <c r="O732" i="83"/>
  <c r="O644" i="83"/>
  <c r="O356" i="83"/>
  <c r="O261" i="83"/>
  <c r="O518" i="83"/>
  <c r="O900" i="83"/>
  <c r="O263" i="83"/>
  <c r="O589" i="83"/>
  <c r="O649" i="83"/>
  <c r="O543" i="83"/>
  <c r="O772" i="83"/>
  <c r="O850" i="83"/>
  <c r="O344" i="83"/>
  <c r="O157" i="83"/>
  <c r="O671" i="83"/>
  <c r="O782" i="83"/>
  <c r="O611" i="83"/>
  <c r="O495" i="83"/>
  <c r="O747" i="83"/>
  <c r="O185" i="83"/>
  <c r="O926" i="83"/>
  <c r="O339" i="83"/>
  <c r="O852" i="83"/>
  <c r="O438" i="83"/>
  <c r="O391" i="83"/>
  <c r="O155" i="83"/>
  <c r="O630" i="83"/>
  <c r="O582" i="83"/>
  <c r="O853" i="83"/>
  <c r="O545" i="83"/>
  <c r="O250" i="83"/>
  <c r="O503" i="83"/>
  <c r="O178" i="83"/>
  <c r="O226" i="83"/>
  <c r="O39" i="83"/>
  <c r="O507" i="83"/>
  <c r="O255" i="83"/>
  <c r="O167" i="83"/>
  <c r="O859" i="83"/>
  <c r="O601" i="83"/>
  <c r="O933" i="83"/>
  <c r="O195" i="83"/>
  <c r="O1001" i="83"/>
  <c r="O91" i="83"/>
  <c r="O224" i="83"/>
  <c r="O891" i="83"/>
  <c r="O267" i="83"/>
  <c r="O823" i="83"/>
  <c r="O10" i="83"/>
  <c r="O812" i="83"/>
  <c r="O880" i="83"/>
  <c r="O112" i="83"/>
  <c r="O357" i="83"/>
  <c r="O647" i="83"/>
  <c r="O423" i="83"/>
  <c r="O917" i="83"/>
  <c r="O110" i="83"/>
  <c r="O551" i="83"/>
  <c r="O634" i="83"/>
  <c r="O264" i="83"/>
  <c r="O557" i="83"/>
  <c r="O665" i="83"/>
  <c r="O824" i="83"/>
  <c r="O600" i="83"/>
  <c r="O96" i="83"/>
  <c r="O386" i="83"/>
  <c r="O425" i="83"/>
  <c r="O298" i="83"/>
  <c r="O501" i="83"/>
  <c r="O169" i="83"/>
  <c r="O415" i="83"/>
  <c r="O748" i="83"/>
  <c r="O892" i="83"/>
  <c r="O954" i="83"/>
  <c r="O118" i="83"/>
  <c r="O886" i="83"/>
  <c r="O124" i="83"/>
  <c r="O953" i="83"/>
  <c r="O440" i="83"/>
  <c r="O583" i="83"/>
  <c r="O793" i="83"/>
  <c r="O832" i="83"/>
  <c r="O146" i="83"/>
  <c r="O904" i="83"/>
  <c r="O379" i="83"/>
  <c r="O918" i="83"/>
  <c r="O564" i="83"/>
  <c r="O353" i="83"/>
  <c r="O955" i="83"/>
  <c r="O742" i="83"/>
  <c r="O446" i="83"/>
  <c r="O459" i="83"/>
  <c r="O256" i="83"/>
  <c r="O598" i="83"/>
  <c r="O947" i="83"/>
  <c r="O247" i="83"/>
  <c r="O270" i="83"/>
  <c r="O864" i="83"/>
  <c r="O53" i="83"/>
  <c r="O17" i="83"/>
  <c r="O383" i="83"/>
  <c r="O655" i="83"/>
  <c r="O999" i="83"/>
  <c r="O971" i="83"/>
  <c r="O620" i="83"/>
  <c r="O540" i="83"/>
  <c r="O825" i="83"/>
  <c r="O314" i="83"/>
  <c r="O508" i="83"/>
  <c r="O774" i="83"/>
  <c r="O529" i="83"/>
  <c r="O173" i="83"/>
  <c r="O760" i="83"/>
  <c r="O315" i="83"/>
  <c r="O215" i="83"/>
  <c r="O234" i="83"/>
  <c r="O754" i="83"/>
  <c r="O421" i="83"/>
  <c r="O881" i="83"/>
  <c r="O967" i="83"/>
  <c r="O993" i="83"/>
  <c r="O875" i="83"/>
  <c r="O756" i="83"/>
  <c r="O77" i="83"/>
  <c r="O324" i="83"/>
  <c r="O113" i="83"/>
  <c r="O929" i="83"/>
  <c r="O227" i="83"/>
  <c r="O217" i="83"/>
  <c r="O854" i="83"/>
  <c r="O374" i="83"/>
  <c r="O165" i="83"/>
  <c r="O520" i="83"/>
  <c r="O90" i="83"/>
  <c r="O219" i="83"/>
  <c r="O387" i="83"/>
  <c r="O346" i="83"/>
  <c r="O813" i="83"/>
  <c r="O221" i="83"/>
  <c r="O736" i="83"/>
  <c r="O117" i="83"/>
  <c r="O942" i="83"/>
  <c r="O307" i="83"/>
  <c r="O708" i="83"/>
  <c r="O244" i="83"/>
  <c r="O429" i="83"/>
  <c r="O678" i="83"/>
  <c r="O927" i="83"/>
  <c r="O60" i="83"/>
  <c r="O907" i="83"/>
  <c r="O447" i="83"/>
  <c r="O595" i="83"/>
  <c r="O851" i="83"/>
  <c r="O441" i="83"/>
  <c r="O896" i="83"/>
  <c r="O860" i="83"/>
  <c r="O645" i="83"/>
  <c r="O618" i="83"/>
  <c r="O313" i="83"/>
  <c r="O562" i="83"/>
  <c r="O186" i="83"/>
  <c r="O1005" i="83"/>
  <c r="O269" i="83"/>
  <c r="O834" i="83"/>
  <c r="O21" i="83"/>
  <c r="O271" i="83"/>
  <c r="O876" i="83"/>
  <c r="O287" i="83"/>
  <c r="O466" i="83"/>
  <c r="O702" i="83"/>
  <c r="O129" i="83"/>
  <c r="O322" i="83"/>
  <c r="O648" i="83"/>
  <c r="O870" i="83"/>
  <c r="O660" i="83"/>
  <c r="O497" i="83"/>
  <c r="O488" i="83"/>
  <c r="O419" i="83"/>
  <c r="O1002" i="83"/>
  <c r="O152" i="83"/>
  <c r="O327" i="83"/>
  <c r="O282" i="83"/>
  <c r="O576" i="83"/>
  <c r="O32" i="83"/>
  <c r="O73" i="83"/>
  <c r="O882" i="83"/>
  <c r="O866" i="83"/>
  <c r="O975" i="83"/>
  <c r="O240" i="83"/>
  <c r="O363" i="83"/>
  <c r="O40" i="83"/>
  <c r="O277" i="83"/>
  <c r="O808" i="83"/>
  <c r="O911" i="83"/>
  <c r="O939" i="83"/>
  <c r="O533" i="83"/>
  <c r="O798" i="83"/>
  <c r="O159" i="83"/>
  <c r="O229" i="83"/>
  <c r="O348" i="83"/>
  <c r="O579" i="83"/>
  <c r="O987" i="83"/>
  <c r="O726" i="83"/>
  <c r="O460" i="83"/>
  <c r="O789" i="83"/>
  <c r="O571" i="83"/>
  <c r="O364" i="83"/>
  <c r="O807" i="83"/>
  <c r="O776" i="83"/>
  <c r="O506" i="83"/>
  <c r="O640" i="83"/>
  <c r="O163" i="83"/>
  <c r="O476" i="83"/>
  <c r="O302" i="83"/>
  <c r="O449" i="83"/>
  <c r="O784" i="83"/>
  <c r="O733" i="83"/>
  <c r="O405" i="83"/>
  <c r="O840" i="83"/>
  <c r="O740" i="83"/>
  <c r="O274" i="83"/>
  <c r="O819" i="83"/>
  <c r="O773" i="83"/>
  <c r="O963" i="83"/>
  <c r="O34" i="83"/>
  <c r="O338" i="83"/>
  <c r="O368" i="83"/>
  <c r="O588" i="83"/>
  <c r="O544" i="83"/>
  <c r="O718" i="83"/>
  <c r="O197" i="83"/>
  <c r="O605" i="83"/>
  <c r="O85" i="83"/>
  <c r="O628" i="83"/>
  <c r="O242" i="83"/>
  <c r="O763" i="83"/>
  <c r="O693" i="83"/>
  <c r="O966" i="83"/>
  <c r="O710" i="83"/>
  <c r="O893" i="83"/>
  <c r="O779" i="83"/>
  <c r="O395" i="83"/>
  <c r="O728" i="83"/>
  <c r="O675" i="83"/>
  <c r="O991" i="83"/>
  <c r="O194" i="83"/>
  <c r="O697" i="83"/>
  <c r="O404" i="83"/>
  <c r="O700" i="83"/>
  <c r="O70" i="83"/>
  <c r="O183" i="83"/>
  <c r="O44" i="83"/>
  <c r="O783" i="83"/>
  <c r="O775" i="83"/>
  <c r="O370" i="83"/>
  <c r="O883" i="83"/>
  <c r="O920" i="83"/>
  <c r="O794" i="83"/>
  <c r="O190" i="83"/>
  <c r="O332" i="83"/>
  <c r="O294" i="83"/>
  <c r="O741" i="83"/>
  <c r="O453" i="83"/>
  <c r="O111" i="83"/>
  <c r="O486" i="83"/>
  <c r="O780" i="83"/>
  <c r="O847" i="83"/>
  <c r="O103" i="83"/>
  <c r="O4" i="83"/>
  <c r="O934" i="83"/>
  <c r="O138" i="83"/>
  <c r="O522" i="83"/>
  <c r="O585" i="83"/>
  <c r="O719" i="83"/>
  <c r="O662" i="83"/>
  <c r="O558" i="83"/>
  <c r="O54" i="83"/>
  <c r="O300" i="83"/>
  <c r="O888" i="83"/>
  <c r="O684" i="83"/>
  <c r="O400" i="83"/>
  <c r="O210" i="83"/>
  <c r="O668" i="83"/>
  <c r="O78" i="83"/>
  <c r="O266" i="83"/>
  <c r="O9" i="83"/>
  <c r="O490" i="83"/>
  <c r="O603" i="83"/>
  <c r="O858" i="83"/>
  <c r="O414" i="83"/>
  <c r="O336" i="83"/>
  <c r="O392" i="83"/>
  <c r="O354" i="83"/>
  <c r="O650" i="83"/>
  <c r="O537" i="83"/>
  <c r="O814" i="83"/>
  <c r="O253" i="83"/>
  <c r="O86" i="83"/>
  <c r="O970" i="83"/>
  <c r="O587" i="83"/>
  <c r="O517" i="83"/>
  <c r="O259" i="83"/>
  <c r="C216" i="83"/>
  <c r="C899" i="83"/>
  <c r="C12" i="83"/>
  <c r="C208" i="83"/>
  <c r="C158" i="83"/>
  <c r="C815" i="83"/>
  <c r="C681" i="83"/>
  <c r="C79" i="83"/>
  <c r="C735" i="83"/>
  <c r="C952" i="83"/>
  <c r="C848" i="83"/>
  <c r="C349" i="83"/>
  <c r="C97" i="83"/>
  <c r="C570" i="83"/>
  <c r="C184" i="83"/>
  <c r="C67" i="83"/>
  <c r="C239" i="83"/>
  <c r="C484" i="83"/>
  <c r="C631" i="83"/>
  <c r="C389" i="83"/>
  <c r="C366" i="83"/>
  <c r="C276" i="83"/>
  <c r="C968" i="83"/>
  <c r="C288" i="83"/>
  <c r="C884" i="83"/>
  <c r="C905" i="83"/>
  <c r="C753" i="83"/>
  <c r="C176" i="83"/>
  <c r="C105" i="83"/>
  <c r="C515" i="83"/>
  <c r="C342" i="83"/>
  <c r="C29" i="83"/>
  <c r="C179" i="83"/>
  <c r="C837" i="83"/>
  <c r="C411" i="83"/>
  <c r="C657" i="83"/>
  <c r="C584" i="83"/>
  <c r="C913" i="83"/>
  <c r="C139" i="83"/>
  <c r="C664" i="83"/>
  <c r="C980" i="83"/>
  <c r="C151" i="83"/>
  <c r="C225" i="83"/>
  <c r="C329" i="83"/>
  <c r="C422" i="83"/>
  <c r="C778" i="83"/>
  <c r="C672" i="83"/>
  <c r="C725" i="83"/>
  <c r="C14" i="83"/>
  <c r="C82" i="83"/>
  <c r="C532" i="83"/>
  <c r="C20" i="83"/>
  <c r="C27" i="83"/>
  <c r="C922" i="83"/>
  <c r="C193" i="83"/>
  <c r="C257" i="83"/>
  <c r="C984" i="83"/>
  <c r="C706" i="83"/>
  <c r="C468" i="83"/>
  <c r="C928" i="83"/>
  <c r="C393" i="83"/>
  <c r="C685" i="83"/>
  <c r="C961" i="83"/>
  <c r="C126" i="83"/>
  <c r="C308" i="83"/>
  <c r="C674" i="83"/>
  <c r="C200" i="83"/>
  <c r="C145" i="83"/>
  <c r="C749" i="83"/>
  <c r="C28" i="83"/>
  <c r="C527" i="83"/>
  <c r="C424" i="83"/>
  <c r="C750" i="83"/>
  <c r="C945" i="83"/>
  <c r="C788" i="83"/>
  <c r="C826" i="83"/>
  <c r="C319" i="83"/>
  <c r="C547" i="83"/>
  <c r="C380" i="83"/>
  <c r="C311" i="83"/>
  <c r="C24" i="83"/>
  <c r="C439" i="83"/>
  <c r="C191" i="83"/>
  <c r="C873" i="83"/>
  <c r="C161" i="83"/>
  <c r="C744" i="83"/>
  <c r="C451" i="83"/>
  <c r="C5" i="83"/>
  <c r="C613" i="83"/>
  <c r="C463" i="83"/>
  <c r="C375" i="83"/>
  <c r="C801" i="83"/>
  <c r="C403" i="83"/>
  <c r="C474" i="83"/>
  <c r="C981" i="83"/>
  <c r="C889" i="83"/>
  <c r="C280" i="83"/>
  <c r="C189" i="83"/>
  <c r="C800" i="83"/>
  <c r="C99" i="83"/>
  <c r="C861" i="83"/>
  <c r="C171" i="83"/>
  <c r="C936" i="83"/>
  <c r="C470" i="83"/>
  <c r="C297" i="83"/>
  <c r="C436" i="83"/>
  <c r="C597" i="83"/>
  <c r="C538" i="83"/>
  <c r="C331" i="83"/>
  <c r="C95" i="83"/>
  <c r="C272" i="83"/>
  <c r="C838" i="83"/>
  <c r="C602" i="83"/>
  <c r="C454" i="83"/>
  <c r="C720" i="83"/>
  <c r="C352" i="83"/>
  <c r="C924" i="83"/>
  <c r="C222" i="83"/>
  <c r="C473" i="83"/>
  <c r="C797" i="83"/>
  <c r="C548" i="83"/>
  <c r="C806" i="83"/>
  <c r="C396" i="83"/>
  <c r="C935" i="83"/>
  <c r="C542" i="83"/>
  <c r="C652" i="83"/>
  <c r="C946" i="83"/>
  <c r="C107" i="83"/>
  <c r="C696" i="83"/>
  <c r="C220" i="83"/>
  <c r="C231" i="83"/>
  <c r="C125" i="83"/>
  <c r="C510" i="83"/>
  <c r="C237" i="83"/>
  <c r="C147" i="83"/>
  <c r="C345" i="83"/>
  <c r="C212" i="83"/>
  <c r="C168" i="83"/>
  <c r="C690" i="83"/>
  <c r="C554" i="83"/>
  <c r="C47" i="83"/>
  <c r="C667" i="83"/>
  <c r="C42" i="83"/>
  <c r="C48" i="83"/>
  <c r="C384" i="83"/>
  <c r="C617" i="83"/>
  <c r="C334" i="83"/>
  <c r="C567" i="83"/>
  <c r="C738" i="83"/>
  <c r="C1007" i="83"/>
  <c r="C868" i="83"/>
  <c r="C268" i="83"/>
  <c r="C553" i="83"/>
  <c r="C233" i="83"/>
  <c r="C46" i="83"/>
  <c r="C75" i="83"/>
  <c r="C38" i="83"/>
  <c r="C833" i="83"/>
  <c r="C894" i="83"/>
  <c r="C407" i="83"/>
  <c r="C590" i="83"/>
  <c r="C284" i="83"/>
  <c r="C56" i="83"/>
  <c r="C614" i="83"/>
  <c r="C802" i="83"/>
  <c r="C502" i="83"/>
  <c r="C248" i="83"/>
  <c r="C513" i="83"/>
  <c r="C599" i="83"/>
  <c r="C316" i="83"/>
  <c r="C41" i="83"/>
  <c r="C577" i="83"/>
  <c r="C16" i="83"/>
  <c r="C715" i="83"/>
  <c r="C304" i="83"/>
  <c r="C398" i="83"/>
  <c r="C26" i="83"/>
  <c r="C35" i="83"/>
  <c r="C559" i="83"/>
  <c r="C416" i="83"/>
  <c r="C445" i="83"/>
  <c r="C156" i="83"/>
  <c r="C607" i="83"/>
  <c r="C491" i="83"/>
  <c r="C790" i="83"/>
  <c r="C320" i="83"/>
  <c r="C7" i="83"/>
  <c r="C64" i="83"/>
  <c r="C187" i="83"/>
  <c r="C777" i="83"/>
  <c r="C296" i="83"/>
  <c r="C995" i="83"/>
  <c r="C704" i="83"/>
  <c r="C180" i="83"/>
  <c r="C444" i="83"/>
  <c r="C3" i="83"/>
  <c r="C427" i="83"/>
  <c r="C251" i="83"/>
  <c r="C983" i="83"/>
  <c r="C996" i="83"/>
  <c r="C626" i="83"/>
  <c r="C88" i="83"/>
  <c r="C638" i="83"/>
  <c r="C937" i="83"/>
  <c r="C919" i="83"/>
  <c r="C409" i="83"/>
  <c r="C196" i="83"/>
  <c r="C931" i="83"/>
  <c r="C115" i="83"/>
  <c r="C136" i="83"/>
  <c r="C1003" i="83"/>
  <c r="C496" i="83"/>
  <c r="C816" i="83"/>
  <c r="C262" i="83"/>
  <c r="C340" i="83"/>
  <c r="C119" i="83"/>
  <c r="C260" i="83"/>
  <c r="C871" i="83"/>
  <c r="C730" i="83"/>
  <c r="C829" i="83"/>
  <c r="C481" i="83"/>
  <c r="C205" i="83"/>
  <c r="C973" i="83"/>
  <c r="C25" i="83"/>
  <c r="C249" i="83"/>
  <c r="C443" i="83"/>
  <c r="C153" i="83"/>
  <c r="C326" i="83"/>
  <c r="C821" i="83"/>
  <c r="C61" i="83"/>
  <c r="C432" i="83"/>
  <c r="C133" i="83"/>
  <c r="C361" i="83"/>
  <c r="C142" i="83"/>
  <c r="C592" i="83"/>
  <c r="C201" i="83"/>
  <c r="C623" i="83"/>
  <c r="C372" i="83"/>
  <c r="C458" i="83"/>
  <c r="C130" i="83"/>
  <c r="C93" i="83"/>
  <c r="C565" i="83"/>
  <c r="C457" i="83"/>
  <c r="C713" i="83"/>
  <c r="C646" i="83"/>
  <c r="C758" i="83"/>
  <c r="C531" i="83"/>
  <c r="C767" i="83"/>
  <c r="C214" i="83"/>
  <c r="C122" i="83"/>
  <c r="C786" i="83"/>
  <c r="C480" i="83"/>
  <c r="C102" i="83"/>
  <c r="C636" i="83"/>
  <c r="C654" i="83"/>
  <c r="C150" i="83"/>
  <c r="C292" i="83"/>
  <c r="C608" i="83"/>
  <c r="C192" i="83"/>
  <c r="C526" i="83"/>
  <c r="C901" i="83"/>
  <c r="C275" i="83"/>
  <c r="C203" i="83"/>
  <c r="C885" i="83"/>
  <c r="C2" i="83"/>
  <c r="C977" i="83"/>
  <c r="C477" i="83"/>
  <c r="C957" i="83"/>
  <c r="C691" i="83"/>
  <c r="C818" i="83"/>
  <c r="C770" i="83"/>
  <c r="C721" i="83"/>
  <c r="C207" i="83"/>
  <c r="C174" i="83"/>
  <c r="C988" i="83"/>
  <c r="C68" i="83"/>
  <c r="C683" i="83"/>
  <c r="C985" i="83"/>
  <c r="C534" i="83"/>
  <c r="C402" i="83"/>
  <c r="C560" i="83"/>
  <c r="C799" i="83"/>
  <c r="C549" i="83"/>
  <c r="C757" i="83"/>
  <c r="C751" i="83"/>
  <c r="C128" i="83"/>
  <c r="C397" i="83"/>
  <c r="C676" i="83"/>
  <c r="C246" i="83"/>
  <c r="C566" i="83"/>
  <c r="C378" i="83"/>
  <c r="C856" i="83"/>
  <c r="C809" i="83"/>
  <c r="C982" i="83"/>
  <c r="C140" i="83"/>
  <c r="C306" i="83"/>
  <c r="C541" i="83"/>
  <c r="C72" i="83"/>
  <c r="C76" i="83"/>
  <c r="C737" i="83"/>
  <c r="C960" i="83"/>
  <c r="C979" i="83"/>
  <c r="C908" i="83"/>
  <c r="C865" i="83"/>
  <c r="C787" i="83"/>
  <c r="C581" i="83"/>
  <c r="C766" i="83"/>
  <c r="C705" i="83"/>
  <c r="C938" i="83"/>
  <c r="C591" i="83"/>
  <c r="C629" i="83"/>
  <c r="C622" i="83"/>
  <c r="C49" i="83"/>
  <c r="C343" i="83"/>
  <c r="C148" i="83"/>
  <c r="C593" i="83"/>
  <c r="C673" i="83"/>
  <c r="C8" i="83"/>
  <c r="C949" i="83"/>
  <c r="C291" i="83"/>
  <c r="C516" i="83"/>
  <c r="C820" i="83"/>
  <c r="C469" i="83"/>
  <c r="C768" i="83"/>
  <c r="C232" i="83"/>
  <c r="C120" i="83"/>
  <c r="C616" i="83"/>
  <c r="C281" i="83"/>
  <c r="C369" i="83"/>
  <c r="C204" i="83"/>
  <c r="C318" i="83"/>
  <c r="C1004" i="83"/>
  <c r="C539" i="83"/>
  <c r="C512" i="83"/>
  <c r="C489" i="83"/>
  <c r="C252" i="83"/>
  <c r="C746" i="83"/>
  <c r="C625" i="83"/>
  <c r="C659" i="83"/>
  <c r="C727" i="83"/>
  <c r="C828" i="83"/>
  <c r="C325" i="83"/>
  <c r="C177" i="83"/>
  <c r="C687" i="83"/>
  <c r="C574" i="83"/>
  <c r="C238" i="83"/>
  <c r="C546" i="83"/>
  <c r="C872" i="83"/>
  <c r="C707" i="83"/>
  <c r="C321" i="83"/>
  <c r="C493" i="83"/>
  <c r="C483" i="83"/>
  <c r="C844" i="83"/>
  <c r="C509" i="83"/>
  <c r="C431" i="83"/>
  <c r="C712" i="83"/>
  <c r="C106" i="83"/>
  <c r="C228" i="83"/>
  <c r="C428" i="83"/>
  <c r="C765" i="83"/>
  <c r="C482" i="83"/>
  <c r="C569" i="83"/>
  <c r="C166" i="83"/>
  <c r="C347" i="83"/>
  <c r="C841" i="83"/>
  <c r="C63" i="83"/>
  <c r="C822" i="83"/>
  <c r="C37" i="83"/>
  <c r="C295" i="83"/>
  <c r="C286" i="83"/>
  <c r="C160" i="83"/>
  <c r="C98" i="83"/>
  <c r="C394" i="83"/>
  <c r="C465" i="83"/>
  <c r="C23" i="83"/>
  <c r="C65" i="83"/>
  <c r="C211" i="83"/>
  <c r="C839" i="83"/>
  <c r="C355" i="83"/>
  <c r="C695" i="83"/>
  <c r="C771" i="83"/>
  <c r="C19" i="83"/>
  <c r="C43" i="83"/>
  <c r="C80" i="83"/>
  <c r="C830" i="83"/>
  <c r="C653" i="83"/>
  <c r="C87" i="83"/>
  <c r="C455" i="83"/>
  <c r="C989" i="83"/>
  <c r="C175" i="83"/>
  <c r="C651" i="83"/>
  <c r="C846" i="83"/>
  <c r="C803" i="83"/>
  <c r="C301" i="83"/>
  <c r="C381" i="83"/>
  <c r="C914" i="83"/>
  <c r="C30" i="83"/>
  <c r="C499" i="83"/>
  <c r="C849" i="83"/>
  <c r="C335" i="83"/>
  <c r="C289" i="83"/>
  <c r="C433" i="83"/>
  <c r="C898" i="83"/>
  <c r="C739" i="83"/>
  <c r="C698" i="83"/>
  <c r="C417" i="83"/>
  <c r="C921" i="83"/>
  <c r="C452" i="83"/>
  <c r="C578" i="83"/>
  <c r="C92" i="83"/>
  <c r="C941" i="83"/>
  <c r="C743" i="83"/>
  <c r="C951" i="83"/>
  <c r="C612" i="83"/>
  <c r="C916" i="83"/>
  <c r="C910" i="83"/>
  <c r="C596" i="83"/>
  <c r="C504" i="83"/>
  <c r="C615" i="83"/>
  <c r="C74" i="83"/>
  <c r="C478" i="83"/>
  <c r="C188" i="83"/>
  <c r="C997" i="83"/>
  <c r="C206" i="83"/>
  <c r="C265" i="83"/>
  <c r="C154" i="83"/>
  <c r="C792" i="83"/>
  <c r="C637" i="83"/>
  <c r="C714" i="83"/>
  <c r="C435" i="83"/>
  <c r="C137" i="83"/>
  <c r="C358" i="83"/>
  <c r="C462" i="83"/>
  <c r="C328" i="83"/>
  <c r="C686" i="83"/>
  <c r="C925" i="83"/>
  <c r="C609" i="83"/>
  <c r="C218" i="83"/>
  <c r="C18" i="83"/>
  <c r="C575" i="83"/>
  <c r="C475" i="83"/>
  <c r="C235" i="83"/>
  <c r="C874" i="83"/>
  <c r="C552" i="83"/>
  <c r="C310" i="83"/>
  <c r="C434" i="83"/>
  <c r="C525" i="83"/>
  <c r="C181" i="83"/>
  <c r="C932" i="83"/>
  <c r="C663" i="83"/>
  <c r="C835" i="83"/>
  <c r="C716" i="83"/>
  <c r="C528" i="83"/>
  <c r="C978" i="83"/>
  <c r="C198" i="83"/>
  <c r="C448" i="83"/>
  <c r="C785" i="83"/>
  <c r="C494" i="83"/>
  <c r="C680" i="83"/>
  <c r="C143" i="83"/>
  <c r="C994" i="83"/>
  <c r="C50" i="83"/>
  <c r="C632" i="83"/>
  <c r="C371" i="83"/>
  <c r="C1000" i="83"/>
  <c r="C643" i="83"/>
  <c r="C58" i="83"/>
  <c r="C360" i="83"/>
  <c r="C759" i="83"/>
  <c r="C796" i="83"/>
  <c r="C810" i="83"/>
  <c r="C15" i="83"/>
  <c r="C359" i="83"/>
  <c r="C485" i="83"/>
  <c r="C279" i="83"/>
  <c r="C341" i="83"/>
  <c r="C956" i="83"/>
  <c r="C658" i="83"/>
  <c r="C408" i="83"/>
  <c r="C131" i="83"/>
  <c r="C641" i="83"/>
  <c r="C863" i="83"/>
  <c r="C258" i="83"/>
  <c r="C731" i="83"/>
  <c r="C45" i="83"/>
  <c r="C722" i="83"/>
  <c r="C11" i="83"/>
  <c r="C610" i="83"/>
  <c r="C62" i="83"/>
  <c r="C109" i="83"/>
  <c r="C388" i="83"/>
  <c r="C254" i="83"/>
  <c r="C903" i="83"/>
  <c r="C842" i="83"/>
  <c r="C895" i="83"/>
  <c r="C182" i="83"/>
  <c r="C410" i="83"/>
  <c r="C519" i="83"/>
  <c r="C944" i="83"/>
  <c r="C350" i="83"/>
  <c r="C890" i="83"/>
  <c r="C202" i="83"/>
  <c r="C114" i="83"/>
  <c r="C84" i="83"/>
  <c r="C223" i="83"/>
  <c r="C845" i="83"/>
  <c r="C972" i="83"/>
  <c r="C498" i="83"/>
  <c r="C964" i="83"/>
  <c r="C305" i="83"/>
  <c r="C471" i="83"/>
  <c r="C555" i="83"/>
  <c r="C418" i="83"/>
  <c r="C804" i="83"/>
  <c r="C976" i="83"/>
  <c r="C101" i="83"/>
  <c r="C670" i="83"/>
  <c r="C241" i="83"/>
  <c r="C230" i="83"/>
  <c r="C337" i="83"/>
  <c r="C464" i="83"/>
  <c r="C500" i="83"/>
  <c r="C992" i="83"/>
  <c r="C71" i="83"/>
  <c r="C729" i="83"/>
  <c r="C923" i="83"/>
  <c r="C505" i="83"/>
  <c r="C442" i="83"/>
  <c r="C236" i="83"/>
  <c r="C986" i="83"/>
  <c r="C293" i="83"/>
  <c r="C382" i="83"/>
  <c r="C317" i="83"/>
  <c r="C572" i="83"/>
  <c r="C688" i="83"/>
  <c r="C811" i="83"/>
  <c r="C694" i="83"/>
  <c r="C869" i="83"/>
  <c r="C13" i="83"/>
  <c r="C912" i="83"/>
  <c r="C285" i="83"/>
  <c r="C83" i="83"/>
  <c r="C456" i="83"/>
  <c r="C879" i="83"/>
  <c r="C333" i="83"/>
  <c r="C950" i="83"/>
  <c r="C362" i="83"/>
  <c r="C170" i="83"/>
  <c r="C521" i="83"/>
  <c r="C781" i="83"/>
  <c r="C330" i="83"/>
  <c r="C761" i="83"/>
  <c r="C734" i="83"/>
  <c r="C940" i="83"/>
  <c r="C745" i="83"/>
  <c r="C51" i="83"/>
  <c r="C243" i="83"/>
  <c r="C426" i="83"/>
  <c r="C965" i="83"/>
  <c r="C108" i="83"/>
  <c r="C692" i="83"/>
  <c r="C299" i="83"/>
  <c r="C312" i="83"/>
  <c r="C536" i="83"/>
  <c r="C661" i="83"/>
  <c r="C530" i="83"/>
  <c r="C656" i="83"/>
  <c r="C385" i="83"/>
  <c r="C580" i="83"/>
  <c r="C59" i="83"/>
  <c r="C862" i="83"/>
  <c r="C22" i="83"/>
  <c r="C290" i="83"/>
  <c r="C149" i="83"/>
  <c r="C769" i="83"/>
  <c r="C827" i="83"/>
  <c r="C958" i="83"/>
  <c r="C479" i="83"/>
  <c r="C283" i="83"/>
  <c r="C836" i="83"/>
  <c r="C430" i="83"/>
  <c r="C990" i="83"/>
  <c r="C943" i="83"/>
  <c r="C699" i="83"/>
  <c r="C948" i="83"/>
  <c r="C867" i="83"/>
  <c r="C877" i="83"/>
  <c r="C635" i="83"/>
  <c r="C679" i="83"/>
  <c r="C172" i="83"/>
  <c r="C367" i="83"/>
  <c r="C351" i="83"/>
  <c r="C472" i="83"/>
  <c r="C817" i="83"/>
  <c r="C100" i="83"/>
  <c r="C412" i="83"/>
  <c r="C524" i="83"/>
  <c r="C906" i="83"/>
  <c r="C717" i="83"/>
  <c r="C141" i="83"/>
  <c r="C711" i="83"/>
  <c r="C213" i="83"/>
  <c r="C855" i="83"/>
  <c r="C511" i="83"/>
  <c r="C887" i="83"/>
  <c r="C121" i="83"/>
  <c r="C373" i="83"/>
  <c r="C69" i="83"/>
  <c r="C669" i="83"/>
  <c r="C724" i="83"/>
  <c r="C135" i="83"/>
  <c r="C127" i="83"/>
  <c r="C33" i="83"/>
  <c r="C81" i="83"/>
  <c r="C399" i="83"/>
  <c r="C52" i="83"/>
  <c r="C682" i="83"/>
  <c r="C535" i="83"/>
  <c r="C878" i="83"/>
  <c r="C162" i="83"/>
  <c r="C309" i="83"/>
  <c r="C406" i="83"/>
  <c r="C998" i="83"/>
  <c r="C209" i="83"/>
  <c r="C123" i="83"/>
  <c r="C365" i="83"/>
  <c r="C795" i="83"/>
  <c r="C377" i="83"/>
  <c r="C573" i="83"/>
  <c r="C132" i="83"/>
  <c r="C689" i="83"/>
  <c r="C606" i="83"/>
  <c r="C487" i="83"/>
  <c r="C303" i="83"/>
  <c r="C902" i="83"/>
  <c r="C1006" i="83"/>
  <c r="C642" i="83"/>
  <c r="C492" i="83"/>
  <c r="C55" i="83"/>
  <c r="C959" i="83"/>
  <c r="C278" i="83"/>
  <c r="C467" i="83"/>
  <c r="C791" i="83"/>
  <c r="C857" i="83"/>
  <c r="C831" i="83"/>
  <c r="C624" i="83"/>
  <c r="C764" i="83"/>
  <c r="C94" i="83"/>
  <c r="C556" i="83"/>
  <c r="C6" i="83"/>
  <c r="C633" i="83"/>
  <c r="C930" i="83"/>
  <c r="C36" i="83"/>
  <c r="C805" i="83"/>
  <c r="C390" i="83"/>
  <c r="C437" i="83"/>
  <c r="C604" i="83"/>
  <c r="C563" i="83"/>
  <c r="C709" i="83"/>
  <c r="C450" i="83"/>
  <c r="C974" i="83"/>
  <c r="C701" i="83"/>
  <c r="C639" i="83"/>
  <c r="C523" i="83"/>
  <c r="C116" i="83"/>
  <c r="C401" i="83"/>
  <c r="C413" i="83"/>
  <c r="C621" i="83"/>
  <c r="C323" i="83"/>
  <c r="C843" i="83"/>
  <c r="C762" i="83"/>
  <c r="C909" i="83"/>
  <c r="C594" i="83"/>
  <c r="C897" i="83"/>
  <c r="C666" i="83"/>
  <c r="C677" i="83"/>
  <c r="C619" i="83"/>
  <c r="C514" i="83"/>
  <c r="C586" i="83"/>
  <c r="C627" i="83"/>
  <c r="C962" i="83"/>
  <c r="C461" i="83"/>
  <c r="C550" i="83"/>
  <c r="C420" i="83"/>
  <c r="C273" i="83"/>
  <c r="C969" i="83"/>
  <c r="C134" i="83"/>
  <c r="C31" i="83"/>
  <c r="C144" i="83"/>
  <c r="C723" i="83"/>
  <c r="C245" i="83"/>
  <c r="C199" i="83"/>
  <c r="C164" i="83"/>
  <c r="C703" i="83"/>
  <c r="C376" i="83"/>
  <c r="C104" i="83"/>
  <c r="C561" i="83"/>
  <c r="C66" i="83"/>
  <c r="C568" i="83"/>
  <c r="C752" i="83"/>
  <c r="C57" i="83"/>
  <c r="C89" i="83"/>
  <c r="C755" i="83"/>
  <c r="C732" i="83"/>
  <c r="C644" i="83"/>
  <c r="C356" i="83"/>
  <c r="C261" i="83"/>
  <c r="C518" i="83"/>
  <c r="C900" i="83"/>
  <c r="C263" i="83"/>
  <c r="C589" i="83"/>
  <c r="C649" i="83"/>
  <c r="C543" i="83"/>
  <c r="C772" i="83"/>
  <c r="C850" i="83"/>
  <c r="C344" i="83"/>
  <c r="C157" i="83"/>
  <c r="C671" i="83"/>
  <c r="C782" i="83"/>
  <c r="C611" i="83"/>
  <c r="C495" i="83"/>
  <c r="C747" i="83"/>
  <c r="C185" i="83"/>
  <c r="C926" i="83"/>
  <c r="C339" i="83"/>
  <c r="C852" i="83"/>
  <c r="C438" i="83"/>
  <c r="C391" i="83"/>
  <c r="C155" i="83"/>
  <c r="C630" i="83"/>
  <c r="C582" i="83"/>
  <c r="C853" i="83"/>
  <c r="C545" i="83"/>
  <c r="C250" i="83"/>
  <c r="C503" i="83"/>
  <c r="C178" i="83"/>
  <c r="C226" i="83"/>
  <c r="C39" i="83"/>
  <c r="C507" i="83"/>
  <c r="C255" i="83"/>
  <c r="C167" i="83"/>
  <c r="C859" i="83"/>
  <c r="C601" i="83"/>
  <c r="C933" i="83"/>
  <c r="C195" i="83"/>
  <c r="C1001" i="83"/>
  <c r="C91" i="83"/>
  <c r="C224" i="83"/>
  <c r="C891" i="83"/>
  <c r="C267" i="83"/>
  <c r="C823" i="83"/>
  <c r="C10" i="83"/>
  <c r="C812" i="83"/>
  <c r="C880" i="83"/>
  <c r="C112" i="83"/>
  <c r="C357" i="83"/>
  <c r="C647" i="83"/>
  <c r="C423" i="83"/>
  <c r="C917" i="83"/>
  <c r="C110" i="83"/>
  <c r="C551" i="83"/>
  <c r="C634" i="83"/>
  <c r="C264" i="83"/>
  <c r="C557" i="83"/>
  <c r="C665" i="83"/>
  <c r="C824" i="83"/>
  <c r="C600" i="83"/>
  <c r="C96" i="83"/>
  <c r="C386" i="83"/>
  <c r="C425" i="83"/>
  <c r="C298" i="83"/>
  <c r="C501" i="83"/>
  <c r="C169" i="83"/>
  <c r="C415" i="83"/>
  <c r="C748" i="83"/>
  <c r="C892" i="83"/>
  <c r="C954" i="83"/>
  <c r="C118" i="83"/>
  <c r="C886" i="83"/>
  <c r="C124" i="83"/>
  <c r="C953" i="83"/>
  <c r="C440" i="83"/>
  <c r="C583" i="83"/>
  <c r="C793" i="83"/>
  <c r="C832" i="83"/>
  <c r="C146" i="83"/>
  <c r="C904" i="83"/>
  <c r="C379" i="83"/>
  <c r="C918" i="83"/>
  <c r="C564" i="83"/>
  <c r="C353" i="83"/>
  <c r="C955" i="83"/>
  <c r="C742" i="83"/>
  <c r="C446" i="83"/>
  <c r="C459" i="83"/>
  <c r="C256" i="83"/>
  <c r="C598" i="83"/>
  <c r="C947" i="83"/>
  <c r="C247" i="83"/>
  <c r="C270" i="83"/>
  <c r="C864" i="83"/>
  <c r="C53" i="83"/>
  <c r="C17" i="83"/>
  <c r="C383" i="83"/>
  <c r="C655" i="83"/>
  <c r="C999" i="83"/>
  <c r="C971" i="83"/>
  <c r="C620" i="83"/>
  <c r="C540" i="83"/>
  <c r="C825" i="83"/>
  <c r="C314" i="83"/>
  <c r="C508" i="83"/>
  <c r="C774" i="83"/>
  <c r="C529" i="83"/>
  <c r="C173" i="83"/>
  <c r="C760" i="83"/>
  <c r="C315" i="83"/>
  <c r="C215" i="83"/>
  <c r="C234" i="83"/>
  <c r="C754" i="83"/>
  <c r="C421" i="83"/>
  <c r="C881" i="83"/>
  <c r="C967" i="83"/>
  <c r="C993" i="83"/>
  <c r="C875" i="83"/>
  <c r="C756" i="83"/>
  <c r="C77" i="83"/>
  <c r="C324" i="83"/>
  <c r="C113" i="83"/>
  <c r="C929" i="83"/>
  <c r="C227" i="83"/>
  <c r="C217" i="83"/>
  <c r="C854" i="83"/>
  <c r="C374" i="83"/>
  <c r="C165" i="83"/>
  <c r="C520" i="83"/>
  <c r="C90" i="83"/>
  <c r="C219" i="83"/>
  <c r="C387" i="83"/>
  <c r="C346" i="83"/>
  <c r="C813" i="83"/>
  <c r="C221" i="83"/>
  <c r="C736" i="83"/>
  <c r="C117" i="83"/>
  <c r="C942" i="83"/>
  <c r="C307" i="83"/>
  <c r="C708" i="83"/>
  <c r="C244" i="83"/>
  <c r="C429" i="83"/>
  <c r="C678" i="83"/>
  <c r="C927" i="83"/>
  <c r="C60" i="83"/>
  <c r="C907" i="83"/>
  <c r="C447" i="83"/>
  <c r="C595" i="83"/>
  <c r="C851" i="83"/>
  <c r="C441" i="83"/>
  <c r="C896" i="83"/>
  <c r="C860" i="83"/>
  <c r="C645" i="83"/>
  <c r="C618" i="83"/>
  <c r="C313" i="83"/>
  <c r="C562" i="83"/>
  <c r="C186" i="83"/>
  <c r="C1005" i="83"/>
  <c r="C269" i="83"/>
  <c r="C834" i="83"/>
  <c r="C21" i="83"/>
  <c r="C271" i="83"/>
  <c r="C876" i="83"/>
  <c r="C287" i="83"/>
  <c r="C466" i="83"/>
  <c r="C702" i="83"/>
  <c r="C129" i="83"/>
  <c r="C322" i="83"/>
  <c r="C648" i="83"/>
  <c r="C870" i="83"/>
  <c r="C660" i="83"/>
  <c r="C497" i="83"/>
  <c r="C488" i="83"/>
  <c r="C419" i="83"/>
  <c r="C1002" i="83"/>
  <c r="C152" i="83"/>
  <c r="C327" i="83"/>
  <c r="C282" i="83"/>
  <c r="C576" i="83"/>
  <c r="C32" i="83"/>
  <c r="C73" i="83"/>
  <c r="C882" i="83"/>
  <c r="C866" i="83"/>
  <c r="C975" i="83"/>
  <c r="C240" i="83"/>
  <c r="C363" i="83"/>
  <c r="C40" i="83"/>
  <c r="C277" i="83"/>
  <c r="C808" i="83"/>
  <c r="C911" i="83"/>
  <c r="C939" i="83"/>
  <c r="C533" i="83"/>
  <c r="C798" i="83"/>
  <c r="C159" i="83"/>
  <c r="C229" i="83"/>
  <c r="C348" i="83"/>
  <c r="C579" i="83"/>
  <c r="C987" i="83"/>
  <c r="C726" i="83"/>
  <c r="C460" i="83"/>
  <c r="C789" i="83"/>
  <c r="C571" i="83"/>
  <c r="C364" i="83"/>
  <c r="C807" i="83"/>
  <c r="C776" i="83"/>
  <c r="C506" i="83"/>
  <c r="C640" i="83"/>
  <c r="C163" i="83"/>
  <c r="C476" i="83"/>
  <c r="C302" i="83"/>
  <c r="C449" i="83"/>
  <c r="C784" i="83"/>
  <c r="C733" i="83"/>
  <c r="C405" i="83"/>
  <c r="C840" i="83"/>
  <c r="C740" i="83"/>
  <c r="C274" i="83"/>
  <c r="C819" i="83"/>
  <c r="C773" i="83"/>
  <c r="C963" i="83"/>
  <c r="C34" i="83"/>
  <c r="C338" i="83"/>
  <c r="C368" i="83"/>
  <c r="C588" i="83"/>
  <c r="C544" i="83"/>
  <c r="C718" i="83"/>
  <c r="C197" i="83"/>
  <c r="C605" i="83"/>
  <c r="C85" i="83"/>
  <c r="C628" i="83"/>
  <c r="C242" i="83"/>
  <c r="C763" i="83"/>
  <c r="C693" i="83"/>
  <c r="C966" i="83"/>
  <c r="C710" i="83"/>
  <c r="C893" i="83"/>
  <c r="C779" i="83"/>
  <c r="C395" i="83"/>
  <c r="C728" i="83"/>
  <c r="C675" i="83"/>
  <c r="C991" i="83"/>
  <c r="C194" i="83"/>
  <c r="C697" i="83"/>
  <c r="C404" i="83"/>
  <c r="C700" i="83"/>
  <c r="C70" i="83"/>
  <c r="C183" i="83"/>
  <c r="C44" i="83"/>
  <c r="C783" i="83"/>
  <c r="C775" i="83"/>
  <c r="C370" i="83"/>
  <c r="C883" i="83"/>
  <c r="C920" i="83"/>
  <c r="C794" i="83"/>
  <c r="C190" i="83"/>
  <c r="C332" i="83"/>
  <c r="C294" i="83"/>
  <c r="C741" i="83"/>
  <c r="C453" i="83"/>
  <c r="C111" i="83"/>
  <c r="C486" i="83"/>
  <c r="C780" i="83"/>
  <c r="C847" i="83"/>
  <c r="C103" i="83"/>
  <c r="C4" i="83"/>
  <c r="C934" i="83"/>
  <c r="C138" i="83"/>
  <c r="C522" i="83"/>
  <c r="C585" i="83"/>
  <c r="C719" i="83"/>
  <c r="C662" i="83"/>
  <c r="C558" i="83"/>
  <c r="C54" i="83"/>
  <c r="C300" i="83"/>
  <c r="C888" i="83"/>
  <c r="C684" i="83"/>
  <c r="C400" i="83"/>
  <c r="C210" i="83"/>
  <c r="C668" i="83"/>
  <c r="C78" i="83"/>
  <c r="C266" i="83"/>
  <c r="C9" i="83"/>
  <c r="C490" i="83"/>
  <c r="C603" i="83"/>
  <c r="C858" i="83"/>
  <c r="C414" i="83"/>
  <c r="C336" i="83"/>
  <c r="C392" i="83"/>
  <c r="C354" i="83"/>
  <c r="C650" i="83"/>
  <c r="C537" i="83"/>
  <c r="C814" i="83"/>
  <c r="C253" i="83"/>
  <c r="C86" i="83"/>
  <c r="C970" i="83"/>
  <c r="C587" i="83"/>
  <c r="C517" i="83"/>
  <c r="C259" i="83"/>
  <c r="C915" i="83"/>
  <c r="O915" i="83"/>
  <c r="O216" i="83"/>
  <c r="O899" i="83"/>
  <c r="O12" i="83"/>
  <c r="O208" i="83"/>
  <c r="O158" i="83"/>
  <c r="O815" i="83"/>
  <c r="O681" i="83"/>
  <c r="O79" i="83"/>
  <c r="O735" i="83"/>
  <c r="O952" i="83"/>
  <c r="O848" i="83"/>
  <c r="O349" i="83"/>
  <c r="O97" i="83"/>
  <c r="O570" i="83"/>
  <c r="O184" i="83"/>
  <c r="O67" i="83"/>
  <c r="O239" i="83"/>
  <c r="O484" i="83"/>
  <c r="O631" i="83"/>
  <c r="O389" i="83"/>
  <c r="O366" i="83"/>
  <c r="O276" i="83"/>
  <c r="O968" i="83"/>
  <c r="O288" i="83"/>
  <c r="O884" i="83"/>
  <c r="O905" i="83"/>
  <c r="O753" i="83"/>
  <c r="O176" i="83"/>
  <c r="O105" i="83"/>
  <c r="O515" i="83"/>
  <c r="O342" i="83"/>
  <c r="O29" i="83"/>
  <c r="O179" i="83"/>
  <c r="O837" i="83"/>
  <c r="O411" i="83"/>
  <c r="O657" i="83"/>
  <c r="O584" i="83"/>
  <c r="O913" i="83"/>
  <c r="O139" i="83"/>
  <c r="O664" i="83"/>
  <c r="O980" i="83"/>
  <c r="O151" i="83"/>
  <c r="O225" i="83"/>
  <c r="O329" i="83"/>
  <c r="O422" i="83"/>
  <c r="O778" i="83"/>
  <c r="O672" i="83"/>
  <c r="O725" i="83"/>
  <c r="O14" i="83"/>
  <c r="O82" i="83"/>
  <c r="O532" i="83"/>
  <c r="O20" i="83"/>
  <c r="O27" i="83"/>
  <c r="O922" i="83"/>
  <c r="O193" i="83"/>
  <c r="O257" i="83"/>
  <c r="O984" i="83"/>
  <c r="O706" i="83"/>
  <c r="O468" i="83"/>
  <c r="O928" i="83"/>
  <c r="O393" i="83"/>
  <c r="O685" i="83"/>
  <c r="O961" i="83"/>
  <c r="O126" i="83"/>
  <c r="O308" i="83"/>
  <c r="O674" i="83"/>
  <c r="O200" i="83"/>
  <c r="O145" i="83"/>
  <c r="O749" i="83"/>
  <c r="O28" i="83"/>
  <c r="O527" i="83"/>
  <c r="O424" i="83"/>
  <c r="O750" i="83"/>
  <c r="O945" i="83"/>
  <c r="O788" i="83"/>
  <c r="O826" i="83"/>
  <c r="O319" i="83"/>
  <c r="O547" i="83"/>
  <c r="O380" i="83"/>
  <c r="O311" i="83"/>
  <c r="O24" i="83"/>
  <c r="O439" i="83"/>
  <c r="O191" i="83"/>
  <c r="O873" i="83"/>
  <c r="O161" i="83"/>
  <c r="O744" i="83"/>
  <c r="O451" i="83"/>
  <c r="O5" i="83"/>
  <c r="O613" i="83"/>
  <c r="O463" i="83"/>
  <c r="O375" i="83"/>
  <c r="O801" i="83"/>
  <c r="O403" i="83"/>
  <c r="O474" i="83"/>
  <c r="O981" i="83"/>
  <c r="O889" i="83"/>
  <c r="O280" i="83"/>
  <c r="O189" i="83"/>
  <c r="O800" i="83"/>
  <c r="O99" i="83"/>
  <c r="O861" i="83"/>
  <c r="O171" i="83"/>
  <c r="O936" i="83"/>
  <c r="O470" i="83"/>
  <c r="O297" i="83"/>
  <c r="O436" i="83"/>
  <c r="O597" i="83"/>
  <c r="O538" i="83"/>
  <c r="O331" i="83"/>
  <c r="O95" i="83"/>
  <c r="O272" i="83"/>
  <c r="O838" i="83"/>
  <c r="O602" i="83"/>
  <c r="O454" i="83"/>
  <c r="O720" i="83"/>
  <c r="O352" i="83"/>
  <c r="O924" i="83"/>
  <c r="O222" i="83"/>
  <c r="O473" i="83"/>
  <c r="O797" i="83"/>
  <c r="O548" i="83"/>
  <c r="O806" i="83"/>
  <c r="O396" i="83"/>
  <c r="O935" i="83"/>
  <c r="O542" i="83"/>
  <c r="O652" i="83"/>
  <c r="O946" i="83"/>
  <c r="O107" i="83"/>
  <c r="O696" i="83"/>
  <c r="O220" i="83"/>
  <c r="O231" i="83"/>
  <c r="O125" i="83"/>
  <c r="O510" i="83"/>
  <c r="O237" i="83"/>
  <c r="O147" i="83"/>
  <c r="O345" i="83"/>
  <c r="O212" i="83"/>
  <c r="O168" i="83"/>
  <c r="O690" i="83"/>
  <c r="O554" i="83"/>
  <c r="O47" i="83"/>
  <c r="O667" i="83"/>
  <c r="O42" i="83"/>
  <c r="O48" i="83"/>
  <c r="O384" i="83"/>
  <c r="O617" i="83"/>
  <c r="O334" i="83"/>
  <c r="O567" i="83"/>
  <c r="O738" i="83"/>
  <c r="O1007" i="83"/>
  <c r="O868" i="83"/>
  <c r="O268" i="83"/>
  <c r="O553" i="83"/>
  <c r="O233" i="83"/>
  <c r="O46" i="83"/>
  <c r="O75" i="83"/>
  <c r="O38" i="83"/>
  <c r="O833" i="83"/>
  <c r="O894" i="83"/>
  <c r="O407" i="83"/>
  <c r="O590" i="83"/>
  <c r="O284" i="83"/>
  <c r="O56" i="83"/>
  <c r="O614" i="83"/>
  <c r="O802" i="83"/>
  <c r="O502" i="83"/>
  <c r="O248" i="83"/>
  <c r="O513" i="83"/>
  <c r="O599" i="83"/>
  <c r="O316" i="83"/>
  <c r="O41" i="83"/>
  <c r="O577" i="83"/>
  <c r="O16" i="83"/>
  <c r="O715" i="83"/>
  <c r="O304" i="83"/>
  <c r="O398" i="83"/>
  <c r="O26" i="83"/>
  <c r="O35" i="83"/>
  <c r="O559" i="83"/>
  <c r="O416" i="83"/>
  <c r="O445" i="83"/>
  <c r="O156" i="83"/>
  <c r="O607" i="83"/>
  <c r="O491" i="83"/>
  <c r="O790" i="83"/>
  <c r="O320" i="83"/>
  <c r="O7" i="83"/>
  <c r="O64" i="83"/>
  <c r="O187" i="83"/>
  <c r="O777" i="83"/>
  <c r="O296" i="83"/>
  <c r="O995" i="83"/>
  <c r="O704" i="83"/>
  <c r="O180" i="83"/>
  <c r="O444" i="83"/>
  <c r="O3" i="83"/>
  <c r="O427" i="83"/>
  <c r="O251" i="83"/>
  <c r="O983" i="83"/>
  <c r="O996" i="83"/>
  <c r="O626" i="83"/>
  <c r="O88" i="83"/>
  <c r="O638" i="83"/>
  <c r="O937" i="83"/>
  <c r="O919" i="83"/>
  <c r="O409" i="83"/>
  <c r="O196" i="83"/>
  <c r="O931" i="83"/>
  <c r="O115" i="83"/>
  <c r="O136" i="83"/>
  <c r="O1003" i="83"/>
  <c r="O496" i="83"/>
  <c r="O816" i="83"/>
  <c r="O262" i="83"/>
  <c r="O340" i="83"/>
  <c r="O119" i="83"/>
  <c r="O260" i="83"/>
  <c r="O871" i="83"/>
  <c r="O730" i="83"/>
  <c r="O829" i="83"/>
  <c r="O481" i="83"/>
  <c r="O205" i="83"/>
  <c r="O973" i="83"/>
  <c r="O25" i="83"/>
  <c r="O249" i="83"/>
  <c r="O443" i="83"/>
  <c r="O153" i="83"/>
  <c r="O326" i="83"/>
  <c r="O821" i="83"/>
  <c r="O61" i="83"/>
  <c r="O432" i="83"/>
  <c r="O133" i="83"/>
  <c r="O361" i="83"/>
  <c r="O142" i="83"/>
  <c r="O592" i="83"/>
  <c r="O201" i="83"/>
  <c r="O623" i="83"/>
  <c r="O372" i="83"/>
  <c r="O458" i="83"/>
  <c r="O130" i="83"/>
  <c r="O93" i="83"/>
  <c r="O565" i="83"/>
  <c r="O457" i="83"/>
  <c r="O713" i="83"/>
  <c r="O646" i="83"/>
  <c r="O758" i="83"/>
  <c r="O531" i="83"/>
  <c r="O767" i="83"/>
  <c r="O214" i="83"/>
  <c r="O122" i="83"/>
  <c r="O786" i="83"/>
  <c r="O480" i="83"/>
  <c r="O102" i="83"/>
  <c r="O636" i="83"/>
  <c r="O654" i="83"/>
  <c r="O150" i="83"/>
  <c r="O292" i="83"/>
  <c r="O608" i="83"/>
  <c r="Y84" i="43"/>
  <c r="Y136" i="43"/>
  <c r="Y88" i="43"/>
  <c r="Y7" i="43"/>
  <c r="Y35" i="43"/>
  <c r="Y60" i="43"/>
  <c r="Y90" i="43"/>
  <c r="Y143" i="43"/>
  <c r="Y38" i="43"/>
  <c r="Y64" i="43"/>
  <c r="Y92" i="43"/>
  <c r="Y39" i="43"/>
  <c r="Y13" i="43"/>
  <c r="Y14" i="43"/>
  <c r="Y40" i="43"/>
  <c r="Y65" i="43"/>
  <c r="Y19" i="43"/>
  <c r="Y45" i="43"/>
  <c r="Y70" i="43"/>
  <c r="Y98" i="43"/>
  <c r="Y81" i="43"/>
  <c r="Y134" i="43"/>
  <c r="Y135" i="43"/>
  <c r="Y159" i="43"/>
  <c r="C3" i="62"/>
  <c r="C4" i="62"/>
  <c r="C5" i="62"/>
  <c r="C6" i="62"/>
  <c r="D6" i="62" s="1"/>
  <c r="C7" i="62"/>
  <c r="D7" i="62" s="1"/>
  <c r="C8" i="62"/>
  <c r="D8" i="62" s="1"/>
  <c r="C9" i="62"/>
  <c r="D9" i="62" s="1"/>
  <c r="C10" i="62"/>
  <c r="D10" i="62" s="1"/>
  <c r="C11" i="62"/>
  <c r="D11" i="62" s="1"/>
  <c r="C12" i="62"/>
  <c r="D12" i="62" s="1"/>
  <c r="C13" i="62"/>
  <c r="D13" i="62" s="1"/>
  <c r="C14" i="62"/>
  <c r="D14" i="62" s="1"/>
  <c r="C15" i="62"/>
  <c r="D15" i="62" s="1"/>
  <c r="C16" i="62"/>
  <c r="D16" i="62" s="1"/>
  <c r="C17" i="62"/>
  <c r="D17" i="62" s="1"/>
  <c r="C18" i="62"/>
  <c r="D18" i="62" s="1"/>
  <c r="C19" i="62"/>
  <c r="C20" i="62"/>
  <c r="D20" i="62" s="1"/>
  <c r="C21" i="62"/>
  <c r="D21" i="62" s="1"/>
  <c r="C22" i="62"/>
  <c r="C23" i="62"/>
  <c r="C24" i="62"/>
  <c r="C25" i="62"/>
  <c r="C26" i="62"/>
  <c r="C27" i="62"/>
  <c r="C28" i="62"/>
  <c r="C29" i="62"/>
  <c r="D29" i="62" s="1"/>
  <c r="C30" i="62"/>
  <c r="D30" i="62" s="1"/>
  <c r="C31" i="62"/>
  <c r="D31" i="62" s="1"/>
  <c r="C32" i="62"/>
  <c r="D32" i="62" s="1"/>
  <c r="C33" i="62"/>
  <c r="D33" i="62" s="1"/>
  <c r="C34" i="62"/>
  <c r="D34" i="62" s="1"/>
  <c r="C35" i="62"/>
  <c r="D35" i="62" s="1"/>
  <c r="C36" i="62"/>
  <c r="D36" i="62" s="1"/>
  <c r="C37" i="62"/>
  <c r="D37" i="62" s="1"/>
  <c r="C38" i="62"/>
  <c r="D38" i="62" s="1"/>
  <c r="C39" i="62"/>
  <c r="D39" i="62" s="1"/>
  <c r="C40" i="62"/>
  <c r="D40" i="62" s="1"/>
  <c r="C41" i="62"/>
  <c r="D41" i="62" s="1"/>
  <c r="C42" i="62"/>
  <c r="C43" i="62"/>
  <c r="D43" i="62" s="1"/>
  <c r="C44" i="62"/>
  <c r="D44" i="62" s="1"/>
  <c r="C45" i="62"/>
  <c r="C46" i="62"/>
  <c r="C47" i="62"/>
  <c r="C48" i="62"/>
  <c r="C49" i="62"/>
  <c r="C50" i="62"/>
  <c r="C51" i="62"/>
  <c r="C52" i="62"/>
  <c r="D52" i="62" s="1"/>
  <c r="C53" i="62"/>
  <c r="D53" i="62" s="1"/>
  <c r="C54" i="62"/>
  <c r="D54" i="62" s="1"/>
  <c r="C55" i="62"/>
  <c r="D55" i="62" s="1"/>
  <c r="C56" i="62"/>
  <c r="D56" i="62" s="1"/>
  <c r="C57" i="62"/>
  <c r="D57" i="62" s="1"/>
  <c r="C58" i="62"/>
  <c r="D58" i="62" s="1"/>
  <c r="C59" i="62"/>
  <c r="D59" i="62" s="1"/>
  <c r="C60" i="62"/>
  <c r="C61" i="62"/>
  <c r="D61" i="62" s="1"/>
  <c r="C62" i="62"/>
  <c r="D62" i="62" s="1"/>
  <c r="C63" i="62"/>
  <c r="D63" i="62" s="1"/>
  <c r="C64" i="62"/>
  <c r="C65" i="62"/>
  <c r="C66" i="62"/>
  <c r="D66" i="62" s="1"/>
  <c r="C67" i="62"/>
  <c r="D67" i="62" s="1"/>
  <c r="C68" i="62"/>
  <c r="C69" i="62"/>
  <c r="C70" i="62"/>
  <c r="C71" i="62"/>
  <c r="C72" i="62"/>
  <c r="C73" i="62"/>
  <c r="C74" i="62"/>
  <c r="C75" i="62"/>
  <c r="D75" i="62" s="1"/>
  <c r="C76" i="62"/>
  <c r="D76" i="62" s="1"/>
  <c r="C77" i="62"/>
  <c r="D77" i="62" s="1"/>
  <c r="C78" i="62"/>
  <c r="D78" i="62" s="1"/>
  <c r="C79" i="62"/>
  <c r="D79" i="62" s="1"/>
  <c r="C80" i="62"/>
  <c r="D80" i="62" s="1"/>
  <c r="C81" i="62"/>
  <c r="D81" i="62" s="1"/>
  <c r="C82" i="62"/>
  <c r="D82" i="62" s="1"/>
  <c r="C83" i="62"/>
  <c r="C84" i="62"/>
  <c r="D84" i="62" s="1"/>
  <c r="C85" i="62"/>
  <c r="D85" i="62" s="1"/>
  <c r="C86" i="62"/>
  <c r="D86" i="62" s="1"/>
  <c r="C87" i="62"/>
  <c r="C88" i="62"/>
  <c r="C89" i="62"/>
  <c r="D89" i="62" s="1"/>
  <c r="C90" i="62"/>
  <c r="D90" i="62" s="1"/>
  <c r="C91" i="62"/>
  <c r="C92" i="62"/>
  <c r="C93" i="62"/>
  <c r="C94" i="62"/>
  <c r="C95" i="62"/>
  <c r="C96" i="62"/>
  <c r="C97" i="62"/>
  <c r="C98" i="62"/>
  <c r="D98" i="62" s="1"/>
  <c r="C99" i="62"/>
  <c r="D99" i="62" s="1"/>
  <c r="C100" i="62"/>
  <c r="D100" i="62" s="1"/>
  <c r="C101" i="62"/>
  <c r="D101" i="62" s="1"/>
  <c r="C102" i="62"/>
  <c r="D102" i="62" s="1"/>
  <c r="C103" i="62"/>
  <c r="D103" i="62" s="1"/>
  <c r="C104" i="62"/>
  <c r="D104" i="62" s="1"/>
  <c r="C105" i="62"/>
  <c r="D105" i="62" s="1"/>
  <c r="C106" i="62"/>
  <c r="C107" i="62"/>
  <c r="D107" i="62" s="1"/>
  <c r="C108" i="62"/>
  <c r="D108" i="62" s="1"/>
  <c r="C109" i="62"/>
  <c r="D109" i="62" s="1"/>
  <c r="C110" i="62"/>
  <c r="D110" i="62" s="1"/>
  <c r="C111" i="62"/>
  <c r="C112" i="62"/>
  <c r="D112" i="62" s="1"/>
  <c r="C113" i="62"/>
  <c r="D113" i="62" s="1"/>
  <c r="C114" i="62"/>
  <c r="C115" i="62"/>
  <c r="C116" i="62"/>
  <c r="C117" i="62"/>
  <c r="C118" i="62"/>
  <c r="C119" i="62"/>
  <c r="C120" i="62"/>
  <c r="C121" i="62"/>
  <c r="D121" i="62" s="1"/>
  <c r="C122" i="62"/>
  <c r="D122" i="62" s="1"/>
  <c r="C123" i="62"/>
  <c r="D123" i="62" s="1"/>
  <c r="C124" i="62"/>
  <c r="D124" i="62" s="1"/>
  <c r="C125" i="62"/>
  <c r="D125" i="62" s="1"/>
  <c r="C126" i="62"/>
  <c r="D126" i="62" s="1"/>
  <c r="C127" i="62"/>
  <c r="D127" i="62" s="1"/>
  <c r="C128" i="62"/>
  <c r="D128" i="62" s="1"/>
  <c r="C129" i="62"/>
  <c r="C130" i="62"/>
  <c r="D130" i="62" s="1"/>
  <c r="C131" i="62"/>
  <c r="D131" i="62" s="1"/>
  <c r="C132" i="62"/>
  <c r="D132" i="62" s="1"/>
  <c r="C133" i="62"/>
  <c r="D133" i="62" s="1"/>
  <c r="C134" i="62"/>
  <c r="C135" i="62"/>
  <c r="D135" i="62" s="1"/>
  <c r="C136" i="62"/>
  <c r="D136" i="62" s="1"/>
  <c r="C137" i="62"/>
  <c r="C138" i="62"/>
  <c r="C139" i="62"/>
  <c r="C2" i="62"/>
  <c r="D9" i="78" l="1" a="1"/>
  <c r="D9" i="78" s="1"/>
  <c r="D4" i="78" a="1"/>
  <c r="D4" i="78" s="1"/>
  <c r="D15" i="78" a="1"/>
  <c r="D15" i="78" s="1"/>
  <c r="D5" i="78" a="1"/>
  <c r="D5" i="78" s="1"/>
  <c r="D7" i="78" a="1"/>
  <c r="D7" i="78" s="1"/>
  <c r="D8" i="78" a="1"/>
  <c r="D8" i="78" s="1"/>
  <c r="E12" i="78" a="1"/>
  <c r="E12" i="78" s="1"/>
  <c r="D10" i="78" a="1"/>
  <c r="D10" i="78" s="1"/>
  <c r="F3" i="78" a="1"/>
  <c r="F3" i="78" s="1"/>
  <c r="D11" i="78" a="1"/>
  <c r="D11" i="78" s="1"/>
  <c r="D12" i="78" a="1"/>
  <c r="D12" i="78" s="1"/>
  <c r="D13" i="78" a="1"/>
  <c r="D13" i="78" s="1"/>
  <c r="D6" i="78" a="1"/>
  <c r="D6" i="78" s="1"/>
  <c r="D14" i="78" a="1"/>
  <c r="D14" i="78" s="1"/>
  <c r="E4" i="78" a="1"/>
  <c r="E4" i="78" s="1"/>
  <c r="D16" i="78" a="1"/>
  <c r="D16" i="78" s="1"/>
  <c r="D17" i="78" a="1"/>
  <c r="D17" i="78" s="1"/>
  <c r="D18" i="78" a="1"/>
  <c r="D18" i="78" s="1"/>
  <c r="E3" i="78" a="1"/>
  <c r="E3" i="78" s="1"/>
  <c r="E18" i="78" a="1"/>
  <c r="E18" i="78" s="1"/>
  <c r="E17" i="78" a="1"/>
  <c r="E17" i="78" s="1"/>
  <c r="F15" i="78" a="1"/>
  <c r="F15" i="78" s="1"/>
  <c r="F10" i="78" a="1"/>
  <c r="F10" i="78" s="1"/>
  <c r="E16" i="78" a="1"/>
  <c r="E16" i="78" s="1"/>
  <c r="E15" i="78" a="1"/>
  <c r="E15" i="78" s="1"/>
  <c r="E13" i="78" a="1"/>
  <c r="E13" i="78" s="1"/>
  <c r="E8" i="78" a="1"/>
  <c r="E8" i="78" s="1"/>
  <c r="E11" i="78" a="1"/>
  <c r="E11" i="78" s="1"/>
  <c r="E7" i="78" a="1"/>
  <c r="E7" i="78" s="1"/>
  <c r="F14" i="78" a="1"/>
  <c r="F14" i="78" s="1"/>
  <c r="E14" i="78" a="1"/>
  <c r="E14" i="78" s="1"/>
  <c r="E6" i="78" a="1"/>
  <c r="E6" i="78" s="1"/>
  <c r="F13" i="78" a="1"/>
  <c r="F13" i="78" s="1"/>
  <c r="E5" i="78" a="1"/>
  <c r="E5" i="78" s="1"/>
  <c r="F12" i="78" a="1"/>
  <c r="F12" i="78" s="1"/>
  <c r="F9" i="78" a="1"/>
  <c r="F9" i="78" s="1"/>
  <c r="F18" i="78" a="1"/>
  <c r="F18" i="78" s="1"/>
  <c r="F4" i="78" a="1"/>
  <c r="F4" i="78" s="1"/>
  <c r="E10" i="78" a="1"/>
  <c r="E10" i="78" s="1"/>
  <c r="F17" i="78" a="1"/>
  <c r="F17" i="78" s="1"/>
  <c r="E9" i="78" a="1"/>
  <c r="E9" i="78" s="1"/>
  <c r="F16" i="78" a="1"/>
  <c r="F16" i="78" s="1"/>
  <c r="F8" i="78" a="1"/>
  <c r="F8" i="78" s="1"/>
  <c r="F6" i="78" a="1"/>
  <c r="F6" i="78" s="1"/>
  <c r="F5" i="78" a="1"/>
  <c r="F5" i="78" s="1"/>
  <c r="F11" i="78" a="1"/>
  <c r="F11" i="78" s="1"/>
  <c r="F7" i="78" a="1"/>
  <c r="F7" i="78" s="1"/>
  <c r="G3" i="78" a="1"/>
  <c r="G3" i="78" s="1"/>
  <c r="G18" i="78" a="1"/>
  <c r="G18" i="78" s="1"/>
  <c r="G16" i="78" a="1"/>
  <c r="G16" i="78" s="1"/>
  <c r="G11" i="78" a="1"/>
  <c r="G11" i="78" s="1"/>
  <c r="G13" i="78" a="1"/>
  <c r="G13" i="78" s="1"/>
  <c r="G12" i="78" a="1"/>
  <c r="G12" i="78" s="1"/>
  <c r="D3" i="78" a="1"/>
  <c r="D3" i="78" s="1"/>
  <c r="G4" i="78" a="1"/>
  <c r="G4" i="78" s="1"/>
  <c r="G17" i="78" a="1"/>
  <c r="G17" i="78" s="1"/>
  <c r="G15" i="78" a="1"/>
  <c r="G15" i="78" s="1"/>
  <c r="G14" i="78" a="1"/>
  <c r="G14" i="78" s="1"/>
  <c r="G5" i="78" a="1"/>
  <c r="G5" i="78" s="1"/>
  <c r="G10" i="78" a="1"/>
  <c r="G10" i="78" s="1"/>
  <c r="G9" i="78" a="1"/>
  <c r="G9" i="78" s="1"/>
  <c r="G8" i="78" a="1"/>
  <c r="G8" i="78" s="1"/>
  <c r="G7" i="78" a="1"/>
  <c r="G7" i="78" s="1"/>
  <c r="G6" i="78" a="1"/>
  <c r="G6" i="78" s="1"/>
  <c r="C16" i="84"/>
  <c r="D16" i="84"/>
  <c r="E16" i="84"/>
  <c r="E15" i="84"/>
  <c r="F16" i="84"/>
  <c r="F15" i="84"/>
  <c r="G16" i="84"/>
  <c r="G15" i="84"/>
  <c r="C15" i="84"/>
  <c r="G8" i="68" l="1"/>
  <c r="H8" i="68"/>
  <c r="I8" i="68"/>
  <c r="J8" i="68"/>
  <c r="K8" i="68"/>
  <c r="F8" i="68"/>
  <c r="E3" i="53" a="1"/>
  <c r="E3" i="53" s="1"/>
  <c r="E4" i="53" a="1"/>
  <c r="E4" i="53" s="1"/>
  <c r="E5" i="53" a="1"/>
  <c r="E5" i="53" s="1"/>
  <c r="E6" i="53" a="1"/>
  <c r="E6" i="53" s="1"/>
  <c r="E7" i="53" a="1"/>
  <c r="E7" i="53" s="1"/>
  <c r="E8" i="53" a="1"/>
  <c r="E8" i="53" s="1"/>
  <c r="E9" i="53" a="1"/>
  <c r="E9" i="53" s="1"/>
  <c r="E10" i="53" a="1"/>
  <c r="E10" i="53" s="1"/>
  <c r="E11" i="53" a="1"/>
  <c r="E11" i="53" s="1"/>
  <c r="E12" i="53" a="1"/>
  <c r="E12" i="53" s="1"/>
  <c r="E13" i="53" a="1"/>
  <c r="E13" i="53" s="1"/>
  <c r="E14" i="53" a="1"/>
  <c r="E14" i="53" s="1"/>
  <c r="E15" i="53" a="1"/>
  <c r="E15" i="53" s="1"/>
  <c r="E16" i="53" a="1"/>
  <c r="E16" i="53" s="1"/>
  <c r="E2" i="53" a="1"/>
  <c r="E2" i="53" s="1"/>
  <c r="C18" i="53"/>
  <c r="C3" i="53"/>
  <c r="C4" i="53"/>
  <c r="C5" i="53"/>
  <c r="C6" i="53"/>
  <c r="C7" i="53"/>
  <c r="C8" i="53"/>
  <c r="C9" i="53"/>
  <c r="C10" i="53"/>
  <c r="C11" i="53"/>
  <c r="C12" i="53"/>
  <c r="C13" i="53"/>
  <c r="C14" i="53"/>
  <c r="C15" i="53"/>
  <c r="C16" i="53"/>
  <c r="C2" i="53"/>
  <c r="U3" i="80"/>
  <c r="U4" i="80"/>
  <c r="U5" i="80"/>
  <c r="U6" i="80"/>
  <c r="U7" i="80"/>
  <c r="U8" i="80"/>
  <c r="U9" i="80"/>
  <c r="U10" i="80"/>
  <c r="U11" i="80"/>
  <c r="U12" i="80"/>
  <c r="U13" i="80"/>
  <c r="U14" i="80"/>
  <c r="X5" i="48" s="1" a="1"/>
  <c r="X5" i="48" s="1"/>
  <c r="U15" i="80"/>
  <c r="U16" i="80"/>
  <c r="U17" i="80"/>
  <c r="U18" i="80"/>
  <c r="U19" i="80"/>
  <c r="U20" i="80"/>
  <c r="U21" i="80"/>
  <c r="U22" i="80"/>
  <c r="U23" i="80"/>
  <c r="U24" i="80"/>
  <c r="U25" i="80"/>
  <c r="U26" i="80"/>
  <c r="U27" i="80"/>
  <c r="X6" i="48" s="1" a="1"/>
  <c r="X6" i="48" s="1"/>
  <c r="U28" i="80"/>
  <c r="U29" i="80"/>
  <c r="V7" i="48" s="1" a="1"/>
  <c r="V7" i="48" s="1"/>
  <c r="U30" i="80"/>
  <c r="U31" i="80"/>
  <c r="U32" i="80"/>
  <c r="U33" i="80"/>
  <c r="U34" i="80"/>
  <c r="U35" i="80"/>
  <c r="U36" i="80"/>
  <c r="U37" i="80"/>
  <c r="U38" i="80"/>
  <c r="U39" i="80"/>
  <c r="U40" i="80"/>
  <c r="U41" i="80"/>
  <c r="U42" i="80"/>
  <c r="U43" i="80"/>
  <c r="U44" i="80"/>
  <c r="U45" i="80"/>
  <c r="U46" i="80"/>
  <c r="U47" i="80"/>
  <c r="U48" i="80"/>
  <c r="U49" i="80"/>
  <c r="U50" i="80"/>
  <c r="U51" i="80"/>
  <c r="X135" i="48" s="1" a="1"/>
  <c r="X135" i="48" s="1"/>
  <c r="U52" i="80"/>
  <c r="U53" i="80"/>
  <c r="U54" i="80"/>
  <c r="U55" i="80"/>
  <c r="U56" i="80"/>
  <c r="U57" i="80"/>
  <c r="U58" i="80"/>
  <c r="W138" i="48" s="1"/>
  <c r="U59" i="80"/>
  <c r="U60" i="80"/>
  <c r="U61" i="80"/>
  <c r="U62" i="80"/>
  <c r="U63" i="80"/>
  <c r="U64" i="80"/>
  <c r="U67" i="80"/>
  <c r="U68" i="80"/>
  <c r="U69" i="80"/>
  <c r="U70" i="80"/>
  <c r="U71" i="80"/>
  <c r="U72" i="80"/>
  <c r="U73" i="80"/>
  <c r="U74" i="80"/>
  <c r="U75" i="80"/>
  <c r="U76" i="80"/>
  <c r="U77" i="80"/>
  <c r="U78" i="80"/>
  <c r="U79" i="80"/>
  <c r="U80" i="80"/>
  <c r="U81" i="80"/>
  <c r="U82" i="80"/>
  <c r="U83" i="80"/>
  <c r="U84" i="80"/>
  <c r="U85" i="80"/>
  <c r="U86" i="80"/>
  <c r="U87" i="80"/>
  <c r="U88" i="80"/>
  <c r="U89" i="80"/>
  <c r="U90" i="80"/>
  <c r="U91" i="80"/>
  <c r="U92" i="80"/>
  <c r="U93" i="80"/>
  <c r="U94" i="80"/>
  <c r="U95" i="80"/>
  <c r="U96" i="80"/>
  <c r="U97" i="80"/>
  <c r="U98" i="80"/>
  <c r="U99" i="80"/>
  <c r="U100" i="80"/>
  <c r="U101" i="80"/>
  <c r="U102" i="80"/>
  <c r="U103" i="80"/>
  <c r="U104" i="80"/>
  <c r="Y16" i="48" s="1" a="1"/>
  <c r="Y16" i="48" s="1"/>
  <c r="U105" i="80"/>
  <c r="U106" i="80"/>
  <c r="U107" i="80"/>
  <c r="U108" i="80"/>
  <c r="U109" i="80"/>
  <c r="U110" i="80"/>
  <c r="U111" i="80"/>
  <c r="U112" i="80"/>
  <c r="U113" i="80"/>
  <c r="U114" i="80"/>
  <c r="V147" i="48" s="1" a="1"/>
  <c r="V147" i="48" s="1"/>
  <c r="U115" i="80"/>
  <c r="U116" i="80"/>
  <c r="U117" i="80"/>
  <c r="W148" i="48" s="1"/>
  <c r="U118" i="80"/>
  <c r="U119" i="80"/>
  <c r="U120" i="80"/>
  <c r="U121" i="80"/>
  <c r="X151" i="48" s="1" a="1"/>
  <c r="X151" i="48" s="1"/>
  <c r="U122" i="80"/>
  <c r="U123" i="80"/>
  <c r="U124" i="80"/>
  <c r="U125" i="80"/>
  <c r="U126" i="80"/>
  <c r="U127" i="80"/>
  <c r="U128" i="80"/>
  <c r="Y20" i="48" s="1" a="1"/>
  <c r="Y20" i="48" s="1"/>
  <c r="U129" i="80"/>
  <c r="U130" i="80"/>
  <c r="U131" i="80"/>
  <c r="U132" i="80"/>
  <c r="U133" i="80"/>
  <c r="U134" i="80"/>
  <c r="U135" i="80"/>
  <c r="U136" i="80"/>
  <c r="U137" i="80"/>
  <c r="U138" i="80"/>
  <c r="V21" i="48" s="1" a="1"/>
  <c r="V21" i="48" s="1"/>
  <c r="U139" i="80"/>
  <c r="V157" i="48" s="1" a="1"/>
  <c r="V157" i="48" s="1"/>
  <c r="U140" i="80"/>
  <c r="U141" i="80"/>
  <c r="U142" i="80"/>
  <c r="U143" i="80"/>
  <c r="X23" i="48" s="1" a="1"/>
  <c r="X23" i="48" s="1"/>
  <c r="U144" i="80"/>
  <c r="U145" i="80"/>
  <c r="U146" i="80"/>
  <c r="U147" i="80"/>
  <c r="U148" i="80"/>
  <c r="X159" i="48" s="1" a="1"/>
  <c r="X159" i="48" s="1"/>
  <c r="U149" i="80"/>
  <c r="U150" i="80"/>
  <c r="U151" i="80"/>
  <c r="U152" i="80"/>
  <c r="U153" i="80"/>
  <c r="U154" i="80"/>
  <c r="U155" i="80"/>
  <c r="U156" i="80"/>
  <c r="U157" i="80"/>
  <c r="U158" i="80"/>
  <c r="U159" i="80"/>
  <c r="U160" i="80"/>
  <c r="U161" i="80"/>
  <c r="U162" i="80"/>
  <c r="U163" i="80"/>
  <c r="W25" i="48" s="1"/>
  <c r="U164" i="80"/>
  <c r="U165" i="80"/>
  <c r="U166" i="80"/>
  <c r="U167" i="80"/>
  <c r="U168" i="80"/>
  <c r="U169" i="80"/>
  <c r="U170" i="80"/>
  <c r="U171" i="80"/>
  <c r="U172" i="80"/>
  <c r="U173" i="80"/>
  <c r="U174" i="80"/>
  <c r="U175" i="80"/>
  <c r="U176" i="80"/>
  <c r="U177" i="80"/>
  <c r="U178" i="80"/>
  <c r="U179" i="80"/>
  <c r="U180" i="80"/>
  <c r="U181" i="80"/>
  <c r="U182" i="80"/>
  <c r="U183" i="80"/>
  <c r="U184" i="80"/>
  <c r="W164" i="48" s="1"/>
  <c r="U185" i="80"/>
  <c r="U186" i="80"/>
  <c r="U187" i="80"/>
  <c r="U188" i="80"/>
  <c r="U189" i="80"/>
  <c r="U190" i="80"/>
  <c r="U191" i="80"/>
  <c r="U192" i="80"/>
  <c r="X166" i="48" s="1" a="1"/>
  <c r="X166" i="48" s="1"/>
  <c r="U193" i="80"/>
  <c r="U194" i="80"/>
  <c r="Y167" i="48" s="1" a="1"/>
  <c r="Y167" i="48" s="1"/>
  <c r="U195" i="80"/>
  <c r="U196" i="80"/>
  <c r="U197" i="80"/>
  <c r="U198" i="80"/>
  <c r="U199" i="80"/>
  <c r="U200" i="80"/>
  <c r="U201" i="80"/>
  <c r="U202" i="80"/>
  <c r="U203" i="80"/>
  <c r="U204" i="80"/>
  <c r="U205" i="80"/>
  <c r="U206" i="80"/>
  <c r="U207" i="80"/>
  <c r="U208" i="80"/>
  <c r="U209" i="80"/>
  <c r="U210" i="80"/>
  <c r="U211" i="80"/>
  <c r="U212" i="80"/>
  <c r="U213" i="80"/>
  <c r="U214" i="80"/>
  <c r="U215" i="80"/>
  <c r="U216" i="80"/>
  <c r="U217" i="80"/>
  <c r="U218" i="80"/>
  <c r="U219" i="80"/>
  <c r="U220" i="80"/>
  <c r="U221" i="80"/>
  <c r="U222" i="80"/>
  <c r="U223" i="80"/>
  <c r="U224" i="80"/>
  <c r="U225" i="80"/>
  <c r="U226" i="80"/>
  <c r="X30" i="48" s="1" a="1"/>
  <c r="X30" i="48" s="1"/>
  <c r="U227" i="80"/>
  <c r="V31" i="48" s="1" a="1"/>
  <c r="V31" i="48" s="1"/>
  <c r="U228" i="80"/>
  <c r="U229" i="80"/>
  <c r="U230" i="80"/>
  <c r="U231" i="80"/>
  <c r="U232" i="80"/>
  <c r="U233" i="80"/>
  <c r="U234" i="80"/>
  <c r="U235" i="80"/>
  <c r="U236" i="80"/>
  <c r="U237" i="80"/>
  <c r="U238" i="80"/>
  <c r="U239" i="80"/>
  <c r="U240" i="80"/>
  <c r="U241" i="80"/>
  <c r="U242" i="80"/>
  <c r="U243" i="80"/>
  <c r="U244" i="80"/>
  <c r="U245" i="80"/>
  <c r="U246" i="80"/>
  <c r="U247" i="80"/>
  <c r="U248" i="80"/>
  <c r="Y34" i="48" s="1" a="1"/>
  <c r="Y34" i="48" s="1"/>
  <c r="U249" i="80"/>
  <c r="U250" i="80"/>
  <c r="U251" i="80"/>
  <c r="U252" i="80"/>
  <c r="U253" i="80"/>
  <c r="U254" i="80"/>
  <c r="U255" i="80"/>
  <c r="U256" i="80"/>
  <c r="X178" i="48" s="1" a="1"/>
  <c r="X178" i="48" s="1"/>
  <c r="U257" i="80"/>
  <c r="U258" i="80"/>
  <c r="U259" i="80"/>
  <c r="U260" i="80"/>
  <c r="U261" i="80"/>
  <c r="U262" i="80"/>
  <c r="U263" i="80"/>
  <c r="U264" i="80"/>
  <c r="U265" i="80"/>
  <c r="V37" i="48" s="1" a="1"/>
  <c r="V37" i="48" s="1"/>
  <c r="U266" i="80"/>
  <c r="U267" i="80"/>
  <c r="U268" i="80"/>
  <c r="U269" i="80"/>
  <c r="U270" i="80"/>
  <c r="U271" i="80"/>
  <c r="U272" i="80"/>
  <c r="U273" i="80"/>
  <c r="U274" i="80"/>
  <c r="U275" i="80"/>
  <c r="U276" i="80"/>
  <c r="U277" i="80"/>
  <c r="U278" i="80"/>
  <c r="U279" i="80"/>
  <c r="U280" i="80"/>
  <c r="U281" i="80"/>
  <c r="U282" i="80"/>
  <c r="X38" i="48" s="1" a="1"/>
  <c r="X38" i="48" s="1"/>
  <c r="U284" i="80"/>
  <c r="U285" i="80"/>
  <c r="U286" i="80"/>
  <c r="U287" i="80"/>
  <c r="U288" i="80"/>
  <c r="Y40" i="48" s="1" a="1"/>
  <c r="Y40" i="48" s="1"/>
  <c r="U289" i="80"/>
  <c r="X41" i="48" s="1" a="1"/>
  <c r="X41" i="48" s="1"/>
  <c r="U290" i="80"/>
  <c r="U291" i="80"/>
  <c r="U292" i="80"/>
  <c r="U293" i="80"/>
  <c r="U294" i="80"/>
  <c r="W42" i="48" s="1"/>
  <c r="U295" i="80"/>
  <c r="U296" i="80"/>
  <c r="U297" i="80"/>
  <c r="U298" i="80"/>
  <c r="U299" i="80"/>
  <c r="U300" i="80"/>
  <c r="U301" i="80"/>
  <c r="U302" i="80"/>
  <c r="U303" i="80"/>
  <c r="Y189" i="48" s="1" a="1"/>
  <c r="Y189" i="48" s="1"/>
  <c r="U304" i="80"/>
  <c r="U305" i="80"/>
  <c r="U306" i="80"/>
  <c r="U307" i="80"/>
  <c r="U308" i="80"/>
  <c r="U309" i="80"/>
  <c r="V43" i="48" s="1" a="1"/>
  <c r="V43" i="48" s="1"/>
  <c r="U310" i="80"/>
  <c r="U311" i="80"/>
  <c r="W192" i="48" s="1"/>
  <c r="U312" i="80"/>
  <c r="V45" i="48" s="1" a="1"/>
  <c r="V45" i="48" s="1"/>
  <c r="U313" i="80"/>
  <c r="U314" i="80"/>
  <c r="U315" i="80"/>
  <c r="U316" i="80"/>
  <c r="U317" i="80"/>
  <c r="U318" i="80"/>
  <c r="U319" i="80"/>
  <c r="U320" i="80"/>
  <c r="U321" i="80"/>
  <c r="U322" i="80"/>
  <c r="U323" i="80"/>
  <c r="U324" i="80"/>
  <c r="U325" i="80"/>
  <c r="U326" i="80"/>
  <c r="U327" i="80"/>
  <c r="U328" i="80"/>
  <c r="U329" i="80"/>
  <c r="U330" i="80"/>
  <c r="U331" i="80"/>
  <c r="U332" i="80"/>
  <c r="U333" i="80"/>
  <c r="U334" i="80"/>
  <c r="U335" i="80"/>
  <c r="U336" i="80"/>
  <c r="U337" i="80"/>
  <c r="U338" i="80"/>
  <c r="U339" i="80"/>
  <c r="X46" i="48" s="1" a="1"/>
  <c r="X46" i="48" s="1"/>
  <c r="U340" i="80"/>
  <c r="U341" i="80"/>
  <c r="U342" i="80"/>
  <c r="U343" i="80"/>
  <c r="U344" i="80"/>
  <c r="U346" i="80"/>
  <c r="U350" i="80"/>
  <c r="U351" i="80"/>
  <c r="U352" i="80"/>
  <c r="U353" i="80"/>
  <c r="U354" i="80"/>
  <c r="U355" i="80"/>
  <c r="U356" i="80"/>
  <c r="U358" i="80"/>
  <c r="U359" i="80"/>
  <c r="U362" i="80"/>
  <c r="U363" i="80"/>
  <c r="U364" i="80"/>
  <c r="U365" i="80"/>
  <c r="U366" i="80"/>
  <c r="U367" i="80"/>
  <c r="U368" i="80"/>
  <c r="U369" i="80"/>
  <c r="U370" i="80"/>
  <c r="U371" i="80"/>
  <c r="U372" i="80"/>
  <c r="U373" i="80"/>
  <c r="U374" i="80"/>
  <c r="Y53" i="48" s="1" a="1"/>
  <c r="Y53" i="48" s="1"/>
  <c r="U375" i="80"/>
  <c r="U376" i="80"/>
  <c r="W53" i="48" s="1"/>
  <c r="U377" i="80"/>
  <c r="U378" i="80"/>
  <c r="U379" i="80"/>
  <c r="U380" i="80"/>
  <c r="V201" i="48" s="1" a="1"/>
  <c r="V201" i="48" s="1"/>
  <c r="U381" i="80"/>
  <c r="U382" i="80"/>
  <c r="U383" i="80"/>
  <c r="U384" i="80"/>
  <c r="U385" i="80"/>
  <c r="X54" i="48" s="1" a="1"/>
  <c r="X54" i="48" s="1"/>
  <c r="U386" i="80"/>
  <c r="U387" i="80"/>
  <c r="U388" i="80"/>
  <c r="U389" i="80"/>
  <c r="U390" i="80"/>
  <c r="U391" i="80"/>
  <c r="U392" i="80"/>
  <c r="U393" i="80"/>
  <c r="U394" i="80"/>
  <c r="U395" i="80"/>
  <c r="U396" i="80"/>
  <c r="U397" i="80"/>
  <c r="U398" i="80"/>
  <c r="U399" i="80"/>
  <c r="U400" i="80"/>
  <c r="U401" i="80"/>
  <c r="U402" i="80"/>
  <c r="X55" i="48" s="1" a="1"/>
  <c r="X55" i="48" s="1"/>
  <c r="U403" i="80"/>
  <c r="U404" i="80"/>
  <c r="U405" i="80"/>
  <c r="U406" i="80"/>
  <c r="U407" i="80"/>
  <c r="U408" i="80"/>
  <c r="U409" i="80"/>
  <c r="U410" i="80"/>
  <c r="U411" i="80"/>
  <c r="U412" i="80"/>
  <c r="U413" i="80"/>
  <c r="U414" i="80"/>
  <c r="U415" i="80"/>
  <c r="U416" i="80"/>
  <c r="U417" i="80"/>
  <c r="U418" i="80"/>
  <c r="U419" i="80"/>
  <c r="U420" i="80"/>
  <c r="U421" i="80"/>
  <c r="U422" i="80"/>
  <c r="U423" i="80"/>
  <c r="U424" i="80"/>
  <c r="U425" i="80"/>
  <c r="U426" i="80"/>
  <c r="U427" i="80"/>
  <c r="U428" i="80"/>
  <c r="U429" i="80"/>
  <c r="U430" i="80"/>
  <c r="U431" i="80"/>
  <c r="U432" i="80"/>
  <c r="U433" i="80"/>
  <c r="U434" i="80"/>
  <c r="U435" i="80"/>
  <c r="U436" i="80"/>
  <c r="U437" i="80"/>
  <c r="U438" i="80"/>
  <c r="U439" i="80"/>
  <c r="U440" i="80"/>
  <c r="U441" i="80"/>
  <c r="U442" i="80"/>
  <c r="U443" i="80"/>
  <c r="U444" i="80"/>
  <c r="U445" i="80"/>
  <c r="U446" i="80"/>
  <c r="U447" i="80"/>
  <c r="U448" i="80"/>
  <c r="U449" i="80"/>
  <c r="U450" i="80"/>
  <c r="U451" i="80"/>
  <c r="U452" i="80"/>
  <c r="U453" i="80"/>
  <c r="U454" i="80"/>
  <c r="U455" i="80"/>
  <c r="U456" i="80"/>
  <c r="U457" i="80"/>
  <c r="U458" i="80"/>
  <c r="U459" i="80"/>
  <c r="U460" i="80"/>
  <c r="U461" i="80"/>
  <c r="U462" i="80"/>
  <c r="U463" i="80"/>
  <c r="U464" i="80"/>
  <c r="U465" i="80"/>
  <c r="U466" i="80"/>
  <c r="U467" i="80"/>
  <c r="U468" i="80"/>
  <c r="U469" i="80"/>
  <c r="U470" i="80"/>
  <c r="U471" i="80"/>
  <c r="U472" i="80"/>
  <c r="U473" i="80"/>
  <c r="U474" i="80"/>
  <c r="U475" i="80"/>
  <c r="U476" i="80"/>
  <c r="U477" i="80"/>
  <c r="U478" i="80"/>
  <c r="U479" i="80"/>
  <c r="U480" i="80"/>
  <c r="U481" i="80"/>
  <c r="U482" i="80"/>
  <c r="U483" i="80"/>
  <c r="U484" i="80"/>
  <c r="U485" i="80"/>
  <c r="U486" i="80"/>
  <c r="U487" i="80"/>
  <c r="U488" i="80"/>
  <c r="U489" i="80"/>
  <c r="U490" i="80"/>
  <c r="U491" i="80"/>
  <c r="U492" i="80"/>
  <c r="U493" i="80"/>
  <c r="U494" i="80"/>
  <c r="U495" i="80"/>
  <c r="U496" i="80"/>
  <c r="U497" i="80"/>
  <c r="U498" i="80"/>
  <c r="U499" i="80"/>
  <c r="U500" i="80"/>
  <c r="U501" i="80"/>
  <c r="U502" i="80"/>
  <c r="U503" i="80"/>
  <c r="U504" i="80"/>
  <c r="U505" i="80"/>
  <c r="U506" i="80"/>
  <c r="U507" i="80"/>
  <c r="U508" i="80"/>
  <c r="U509" i="80"/>
  <c r="U510" i="80"/>
  <c r="U511" i="80"/>
  <c r="U512" i="80"/>
  <c r="U513" i="80"/>
  <c r="U514" i="80"/>
  <c r="U515" i="80"/>
  <c r="U516" i="80"/>
  <c r="U517" i="80"/>
  <c r="U518" i="80"/>
  <c r="U519" i="80"/>
  <c r="U520" i="80"/>
  <c r="U521" i="80"/>
  <c r="U522" i="80"/>
  <c r="U523" i="80"/>
  <c r="U524" i="80"/>
  <c r="U525" i="80"/>
  <c r="U526" i="80"/>
  <c r="U527" i="80"/>
  <c r="U528" i="80"/>
  <c r="U529" i="80"/>
  <c r="U532" i="80"/>
  <c r="U537" i="80"/>
  <c r="U539" i="80"/>
  <c r="U541" i="80"/>
  <c r="U542" i="80"/>
  <c r="U543" i="80"/>
  <c r="U544" i="80"/>
  <c r="U545" i="80"/>
  <c r="U546" i="80"/>
  <c r="U547" i="80"/>
  <c r="U548" i="80"/>
  <c r="U549" i="80"/>
  <c r="U550" i="80"/>
  <c r="U551" i="80"/>
  <c r="U552" i="80"/>
  <c r="U553" i="80"/>
  <c r="U554" i="80"/>
  <c r="U555" i="80"/>
  <c r="U556" i="80"/>
  <c r="U557" i="80"/>
  <c r="U558" i="80"/>
  <c r="U559" i="80"/>
  <c r="U560" i="80"/>
  <c r="U561" i="80"/>
  <c r="U562" i="80"/>
  <c r="U563" i="80"/>
  <c r="U564" i="80"/>
  <c r="U565" i="80"/>
  <c r="U566" i="80"/>
  <c r="U567" i="80"/>
  <c r="U568" i="80"/>
  <c r="U569" i="80"/>
  <c r="U570" i="80"/>
  <c r="U571" i="80"/>
  <c r="U572" i="80"/>
  <c r="U573" i="80"/>
  <c r="U574" i="80"/>
  <c r="U575" i="80"/>
  <c r="U576" i="80"/>
  <c r="U577" i="80"/>
  <c r="U578" i="80"/>
  <c r="U579" i="80"/>
  <c r="U580" i="80"/>
  <c r="U581" i="80"/>
  <c r="U582" i="80"/>
  <c r="U583" i="80"/>
  <c r="U584" i="80"/>
  <c r="U585" i="80"/>
  <c r="U586" i="80"/>
  <c r="U587" i="80"/>
  <c r="U588" i="80"/>
  <c r="U589" i="80"/>
  <c r="U590" i="80"/>
  <c r="U591" i="80"/>
  <c r="U592" i="80"/>
  <c r="U593" i="80"/>
  <c r="U594" i="80"/>
  <c r="U595" i="80"/>
  <c r="U596" i="80"/>
  <c r="U597" i="80"/>
  <c r="U598" i="80"/>
  <c r="U599" i="80"/>
  <c r="U600" i="80"/>
  <c r="U601" i="80"/>
  <c r="U602" i="80"/>
  <c r="U603" i="80"/>
  <c r="U604" i="80"/>
  <c r="U605" i="80"/>
  <c r="U606" i="80"/>
  <c r="U607" i="80"/>
  <c r="U608" i="80"/>
  <c r="V226" i="48" s="1" a="1"/>
  <c r="V226" i="48" s="1"/>
  <c r="U609" i="80"/>
  <c r="U610" i="80"/>
  <c r="U611" i="80"/>
  <c r="U612" i="80"/>
  <c r="U613" i="80"/>
  <c r="V227" i="48" s="1" a="1"/>
  <c r="V227" i="48" s="1"/>
  <c r="U614" i="80"/>
  <c r="Y228" i="48" s="1" a="1"/>
  <c r="Y228" i="48" s="1"/>
  <c r="U615" i="80"/>
  <c r="U616" i="80"/>
  <c r="U617" i="80"/>
  <c r="U618" i="80"/>
  <c r="U619" i="80"/>
  <c r="U620" i="80"/>
  <c r="U621" i="80"/>
  <c r="U622" i="80"/>
  <c r="U623" i="80"/>
  <c r="U624" i="80"/>
  <c r="U625" i="80"/>
  <c r="U626" i="80"/>
  <c r="U627" i="80"/>
  <c r="U628" i="80"/>
  <c r="U629" i="80"/>
  <c r="U630" i="80"/>
  <c r="U631" i="80"/>
  <c r="U632" i="80"/>
  <c r="X233" i="48" s="1" a="1"/>
  <c r="X233" i="48" s="1"/>
  <c r="U633" i="80"/>
  <c r="U634" i="80"/>
  <c r="V234" i="48" s="1" a="1"/>
  <c r="V234" i="48" s="1"/>
  <c r="U635" i="80"/>
  <c r="U636" i="80"/>
  <c r="U637" i="80"/>
  <c r="U638" i="80"/>
  <c r="U639" i="80"/>
  <c r="U640" i="80"/>
  <c r="U641" i="80"/>
  <c r="U642" i="80"/>
  <c r="U643" i="80"/>
  <c r="U644" i="80"/>
  <c r="U645" i="80"/>
  <c r="U646" i="80"/>
  <c r="U647" i="80"/>
  <c r="U648" i="80"/>
  <c r="W237" i="48" s="1"/>
  <c r="U649" i="80"/>
  <c r="X71" i="48" s="1" a="1"/>
  <c r="X71" i="48" s="1"/>
  <c r="U650" i="80"/>
  <c r="W71" i="48" s="1"/>
  <c r="U651" i="80"/>
  <c r="U652" i="80"/>
  <c r="U653" i="80"/>
  <c r="U654" i="80"/>
  <c r="U655" i="80"/>
  <c r="U656" i="80"/>
  <c r="U657" i="80"/>
  <c r="U658" i="80"/>
  <c r="U659" i="80"/>
  <c r="W240" i="48" s="1"/>
  <c r="U660" i="80"/>
  <c r="U661" i="80"/>
  <c r="U662" i="80"/>
  <c r="U663" i="80"/>
  <c r="U664" i="80"/>
  <c r="U665" i="80"/>
  <c r="U666" i="80"/>
  <c r="U667" i="80"/>
  <c r="U668" i="80"/>
  <c r="U669" i="80"/>
  <c r="U670" i="80"/>
  <c r="U671" i="80"/>
  <c r="U672" i="80"/>
  <c r="U673" i="80"/>
  <c r="U674" i="80"/>
  <c r="U675" i="80"/>
  <c r="U676" i="80"/>
  <c r="U677" i="80"/>
  <c r="U678" i="80"/>
  <c r="U679" i="80"/>
  <c r="U680" i="80"/>
  <c r="U681" i="80"/>
  <c r="U682" i="80"/>
  <c r="U683" i="80"/>
  <c r="U684" i="80"/>
  <c r="U685" i="80"/>
  <c r="U686" i="80"/>
  <c r="U687" i="80"/>
  <c r="U688" i="80"/>
  <c r="W244" i="48" s="1"/>
  <c r="U689" i="80"/>
  <c r="X245" i="48" s="1" a="1"/>
  <c r="X245" i="48" s="1"/>
  <c r="U690" i="80"/>
  <c r="V78" i="48" s="1" a="1"/>
  <c r="V78" i="48" s="1"/>
  <c r="U691" i="80"/>
  <c r="U692" i="80"/>
  <c r="U693" i="80"/>
  <c r="U694" i="80"/>
  <c r="U695" i="80"/>
  <c r="U696" i="80"/>
  <c r="U697" i="80"/>
  <c r="U698" i="80"/>
  <c r="U699" i="80"/>
  <c r="U700" i="80"/>
  <c r="U701" i="80"/>
  <c r="U702" i="80"/>
  <c r="U703" i="80"/>
  <c r="U704" i="80"/>
  <c r="U705" i="80"/>
  <c r="U706" i="80"/>
  <c r="W80" i="48" s="1"/>
  <c r="U707" i="80"/>
  <c r="U708" i="80"/>
  <c r="U709" i="80"/>
  <c r="U710" i="80"/>
  <c r="U711" i="80"/>
  <c r="U712" i="80"/>
  <c r="U713" i="80"/>
  <c r="U714" i="80"/>
  <c r="U715" i="80"/>
  <c r="U716" i="80"/>
  <c r="U717" i="80"/>
  <c r="U718" i="80"/>
  <c r="U719" i="80"/>
  <c r="U720" i="80"/>
  <c r="U721" i="80"/>
  <c r="U722" i="80"/>
  <c r="U723" i="80"/>
  <c r="U724" i="80"/>
  <c r="U725" i="80"/>
  <c r="Y250" i="48" s="1" a="1"/>
  <c r="Y250" i="48" s="1"/>
  <c r="U726" i="80"/>
  <c r="U727" i="80"/>
  <c r="U728" i="80"/>
  <c r="U729" i="80"/>
  <c r="U730" i="80"/>
  <c r="U731" i="80"/>
  <c r="U732" i="80"/>
  <c r="U733" i="80"/>
  <c r="U734" i="80"/>
  <c r="U735" i="80"/>
  <c r="U736" i="80"/>
  <c r="U737" i="80"/>
  <c r="U738" i="80"/>
  <c r="U739" i="80"/>
  <c r="U740" i="80"/>
  <c r="U741" i="80"/>
  <c r="U742" i="80"/>
  <c r="U743" i="80"/>
  <c r="U744" i="80"/>
  <c r="U745" i="80"/>
  <c r="U746" i="80"/>
  <c r="U747" i="80"/>
  <c r="U748" i="80"/>
  <c r="U749" i="80"/>
  <c r="U750" i="80"/>
  <c r="U751" i="80"/>
  <c r="X257" i="48" s="1" a="1"/>
  <c r="X257" i="48" s="1"/>
  <c r="U752" i="80"/>
  <c r="W258" i="48" s="1"/>
  <c r="U753" i="80"/>
  <c r="U754" i="80"/>
  <c r="U755" i="80"/>
  <c r="U756" i="80"/>
  <c r="U757" i="80"/>
  <c r="U758" i="80"/>
  <c r="U759" i="80"/>
  <c r="U760" i="80"/>
  <c r="U761" i="80"/>
  <c r="U762" i="80"/>
  <c r="U763" i="80"/>
  <c r="U764" i="80"/>
  <c r="W260" i="48" s="1"/>
  <c r="U765" i="80"/>
  <c r="U766" i="80"/>
  <c r="U767" i="80"/>
  <c r="U768" i="80"/>
  <c r="U769" i="80"/>
  <c r="U770" i="80"/>
  <c r="U771" i="80"/>
  <c r="U772" i="80"/>
  <c r="U773" i="80"/>
  <c r="W264" i="48" s="1"/>
  <c r="U774" i="80"/>
  <c r="U775" i="80"/>
  <c r="U776" i="80"/>
  <c r="U777" i="80"/>
  <c r="U778" i="80"/>
  <c r="U779" i="80"/>
  <c r="U780" i="80"/>
  <c r="U781" i="80"/>
  <c r="U782" i="80"/>
  <c r="U783" i="80"/>
  <c r="U784" i="80"/>
  <c r="U785" i="80"/>
  <c r="U786" i="80"/>
  <c r="U787" i="80"/>
  <c r="U788" i="80"/>
  <c r="U789" i="80"/>
  <c r="U790" i="80"/>
  <c r="U791" i="80"/>
  <c r="U792" i="80"/>
  <c r="U793" i="80"/>
  <c r="U794" i="80"/>
  <c r="U795" i="80"/>
  <c r="U796" i="80"/>
  <c r="U797" i="80"/>
  <c r="U798" i="80"/>
  <c r="U799" i="80"/>
  <c r="U800" i="80"/>
  <c r="U801" i="80"/>
  <c r="U802" i="80"/>
  <c r="Y85" i="48" s="1" a="1"/>
  <c r="Y85" i="48" s="1"/>
  <c r="U803" i="80"/>
  <c r="U804" i="80"/>
  <c r="U805" i="80"/>
  <c r="W269" i="48" s="1"/>
  <c r="U806" i="80"/>
  <c r="U807" i="80"/>
  <c r="U808" i="80"/>
  <c r="U809" i="80"/>
  <c r="V271" i="48" s="1" a="1"/>
  <c r="V271" i="48" s="1"/>
  <c r="U810" i="80"/>
  <c r="U811" i="80"/>
  <c r="U812" i="80"/>
  <c r="U813" i="80"/>
  <c r="U814" i="80"/>
  <c r="U815" i="80"/>
  <c r="U816" i="80"/>
  <c r="Y86" i="48" s="1" a="1"/>
  <c r="Y86" i="48" s="1"/>
  <c r="U817" i="80"/>
  <c r="U818" i="80"/>
  <c r="U819" i="80"/>
  <c r="U820" i="80"/>
  <c r="U821" i="80"/>
  <c r="U822" i="80"/>
  <c r="U823" i="80"/>
  <c r="U824" i="80"/>
  <c r="U825" i="80"/>
  <c r="U826" i="80"/>
  <c r="U827" i="80"/>
  <c r="U828" i="80"/>
  <c r="U829" i="80"/>
  <c r="U830" i="80"/>
  <c r="U831" i="80"/>
  <c r="U832" i="80"/>
  <c r="U833" i="80"/>
  <c r="U834" i="80"/>
  <c r="U835" i="80"/>
  <c r="U836" i="80"/>
  <c r="U837" i="80"/>
  <c r="U838" i="80"/>
  <c r="U839" i="80"/>
  <c r="U840" i="80"/>
  <c r="U841" i="80"/>
  <c r="U842" i="80"/>
  <c r="U843" i="80"/>
  <c r="U844" i="80"/>
  <c r="U845" i="80"/>
  <c r="U846" i="80"/>
  <c r="U847" i="80"/>
  <c r="U848" i="80"/>
  <c r="U849" i="80"/>
  <c r="U850" i="80"/>
  <c r="U851" i="80"/>
  <c r="U852" i="80"/>
  <c r="U853" i="80"/>
  <c r="U854" i="80"/>
  <c r="U855" i="80"/>
  <c r="U856" i="80"/>
  <c r="U857" i="80"/>
  <c r="Y281" i="48" s="1" a="1"/>
  <c r="Y281" i="48" s="1"/>
  <c r="U858" i="80"/>
  <c r="U859" i="80"/>
  <c r="U860" i="80"/>
  <c r="U861" i="80"/>
  <c r="U862" i="80"/>
  <c r="U863" i="80"/>
  <c r="U864" i="80"/>
  <c r="U865" i="80"/>
  <c r="U866" i="80"/>
  <c r="U867" i="80"/>
  <c r="U868" i="80"/>
  <c r="U869" i="80"/>
  <c r="U870" i="80"/>
  <c r="U871" i="80"/>
  <c r="U872" i="80"/>
  <c r="Y91" i="48" s="1" a="1"/>
  <c r="Y91" i="48" s="1"/>
  <c r="U873" i="80"/>
  <c r="U874" i="80"/>
  <c r="U875" i="80"/>
  <c r="U876" i="80"/>
  <c r="U877" i="80"/>
  <c r="W285" i="48" s="1"/>
  <c r="U878" i="80"/>
  <c r="U879" i="80"/>
  <c r="U880" i="80"/>
  <c r="U881" i="80"/>
  <c r="U882" i="80"/>
  <c r="U883" i="80"/>
  <c r="U884" i="80"/>
  <c r="V288" i="48" s="1" a="1"/>
  <c r="V288" i="48" s="1"/>
  <c r="U885" i="80"/>
  <c r="U886" i="80"/>
  <c r="U887" i="80"/>
  <c r="U888" i="80"/>
  <c r="U889" i="80"/>
  <c r="U890" i="80"/>
  <c r="U891" i="80"/>
  <c r="U892" i="80"/>
  <c r="U893" i="80"/>
  <c r="U894" i="80"/>
  <c r="U895" i="80"/>
  <c r="U896" i="80"/>
  <c r="U897" i="80"/>
  <c r="V289" i="48" s="1" a="1"/>
  <c r="V289" i="48" s="1"/>
  <c r="U898" i="80"/>
  <c r="W290" i="48" s="1"/>
  <c r="U899" i="80"/>
  <c r="U900" i="80"/>
  <c r="U901" i="80"/>
  <c r="U902" i="80"/>
  <c r="U903" i="80"/>
  <c r="U904" i="80"/>
  <c r="V295" i="48" s="1" a="1"/>
  <c r="V295" i="48" s="1"/>
  <c r="U905" i="80"/>
  <c r="U906" i="80"/>
  <c r="U907" i="80"/>
  <c r="U908" i="80"/>
  <c r="U909" i="80"/>
  <c r="U910" i="80"/>
  <c r="U911" i="80"/>
  <c r="U912" i="80"/>
  <c r="U913" i="80"/>
  <c r="U914" i="80"/>
  <c r="U915" i="80"/>
  <c r="U916" i="80"/>
  <c r="U917" i="80"/>
  <c r="U918" i="80"/>
  <c r="U919" i="80"/>
  <c r="U920" i="80"/>
  <c r="U921" i="80"/>
  <c r="U922" i="80"/>
  <c r="U923" i="80"/>
  <c r="U924" i="80"/>
  <c r="U925" i="80"/>
  <c r="U926" i="80"/>
  <c r="U927" i="80"/>
  <c r="X95" i="48" s="1" a="1"/>
  <c r="X95" i="48" s="1"/>
  <c r="U928" i="80"/>
  <c r="U929" i="80"/>
  <c r="U930" i="80"/>
  <c r="U931" i="80"/>
  <c r="U932" i="80"/>
  <c r="U936" i="80"/>
  <c r="W301" i="48" s="1"/>
  <c r="U937" i="80"/>
  <c r="U938" i="80"/>
  <c r="U939" i="80"/>
  <c r="U940" i="80"/>
  <c r="U941" i="80"/>
  <c r="U942" i="80"/>
  <c r="U943" i="80"/>
  <c r="U944" i="80"/>
  <c r="U945" i="80"/>
  <c r="U946" i="80"/>
  <c r="U947" i="80"/>
  <c r="U948" i="80"/>
  <c r="U949" i="80"/>
  <c r="U950" i="80"/>
  <c r="U951" i="80"/>
  <c r="U952" i="80"/>
  <c r="U953" i="80"/>
  <c r="U954" i="80"/>
  <c r="U955" i="80"/>
  <c r="U956" i="80"/>
  <c r="U957" i="80"/>
  <c r="U960" i="80"/>
  <c r="U961" i="80"/>
  <c r="U962" i="80"/>
  <c r="U966" i="80"/>
  <c r="Y306" i="48" s="1" a="1"/>
  <c r="Y306" i="48" s="1"/>
  <c r="U967" i="80"/>
  <c r="U968" i="80"/>
  <c r="U969" i="80"/>
  <c r="U970" i="80"/>
  <c r="U971" i="80"/>
  <c r="U972" i="80"/>
  <c r="U973" i="80"/>
  <c r="U974" i="80"/>
  <c r="U975" i="80"/>
  <c r="U976" i="80"/>
  <c r="U977" i="80"/>
  <c r="U978" i="80"/>
  <c r="U979" i="80"/>
  <c r="U980" i="80"/>
  <c r="U981" i="80"/>
  <c r="U982" i="80"/>
  <c r="U983" i="80"/>
  <c r="U984" i="80"/>
  <c r="U985" i="80"/>
  <c r="U986" i="80"/>
  <c r="U987" i="80"/>
  <c r="U988" i="80"/>
  <c r="U989" i="80"/>
  <c r="Y311" i="48" s="1" a="1"/>
  <c r="Y311" i="48" s="1"/>
  <c r="U990" i="80"/>
  <c r="V103" i="48" s="1" a="1"/>
  <c r="V103" i="48" s="1"/>
  <c r="U991" i="80"/>
  <c r="U992" i="80"/>
  <c r="U993" i="80"/>
  <c r="U994" i="80"/>
  <c r="U995" i="80"/>
  <c r="U996" i="80"/>
  <c r="U997" i="80"/>
  <c r="U998" i="80"/>
  <c r="U999" i="80"/>
  <c r="U1000" i="80"/>
  <c r="U1001" i="80"/>
  <c r="U1002" i="80"/>
  <c r="U1003" i="80"/>
  <c r="U1004" i="80"/>
  <c r="U1005" i="80"/>
  <c r="U1006" i="80"/>
  <c r="U1007" i="80"/>
  <c r="U1008" i="80"/>
  <c r="U1009" i="80"/>
  <c r="U1010" i="80"/>
  <c r="U1011" i="80"/>
  <c r="U1012" i="80"/>
  <c r="U1013" i="80"/>
  <c r="U1015" i="80"/>
  <c r="Y315" i="48" s="1" a="1"/>
  <c r="Y315" i="48" s="1"/>
  <c r="U1016" i="80"/>
  <c r="U1017" i="80"/>
  <c r="U1018" i="80"/>
  <c r="U1019" i="80"/>
  <c r="U1020" i="80"/>
  <c r="U1021" i="80"/>
  <c r="U1022" i="80"/>
  <c r="U1023" i="80"/>
  <c r="X318" i="48" s="1" a="1"/>
  <c r="X318" i="48" s="1"/>
  <c r="U1024" i="80"/>
  <c r="U1025" i="80"/>
  <c r="U1026" i="80"/>
  <c r="U1027" i="80"/>
  <c r="U1028" i="80"/>
  <c r="U1029" i="80"/>
  <c r="U1030" i="80"/>
  <c r="V322" i="48" s="1" a="1"/>
  <c r="V322" i="48" s="1"/>
  <c r="U1031" i="80"/>
  <c r="U1032" i="80"/>
  <c r="U1033" i="80"/>
  <c r="W324" i="48" s="1"/>
  <c r="U1034" i="80"/>
  <c r="U1035" i="80"/>
  <c r="U1036" i="80"/>
  <c r="U1037" i="80"/>
  <c r="U1038" i="80"/>
  <c r="U1039" i="80"/>
  <c r="U1040" i="80"/>
  <c r="U1041" i="80"/>
  <c r="U1042" i="80"/>
  <c r="U1043" i="80"/>
  <c r="U1044" i="80"/>
  <c r="U1045" i="80"/>
  <c r="U1046" i="80"/>
  <c r="U1047" i="80"/>
  <c r="U1048" i="80"/>
  <c r="U1049" i="80"/>
  <c r="U1050" i="80"/>
  <c r="U1051" i="80"/>
  <c r="U1052" i="80"/>
  <c r="U1053" i="80"/>
  <c r="U1054" i="80"/>
  <c r="U1055" i="80"/>
  <c r="U1056" i="80"/>
  <c r="U1057" i="80"/>
  <c r="U1058" i="80"/>
  <c r="U1059" i="80"/>
  <c r="U1060" i="80"/>
  <c r="U1061" i="80"/>
  <c r="U1062" i="80"/>
  <c r="U1063" i="80"/>
  <c r="U1064" i="80"/>
  <c r="U1065" i="80"/>
  <c r="U1066" i="80"/>
  <c r="U1067" i="80"/>
  <c r="U1068" i="80"/>
  <c r="U1069" i="80"/>
  <c r="U1070" i="80"/>
  <c r="U1071" i="80"/>
  <c r="U1072" i="80"/>
  <c r="U1073" i="80"/>
  <c r="U1074" i="80"/>
  <c r="U1075" i="80"/>
  <c r="U1076" i="80"/>
  <c r="U1077" i="80"/>
  <c r="U1078" i="80"/>
  <c r="U1079" i="80"/>
  <c r="U1080" i="80"/>
  <c r="U1081" i="80"/>
  <c r="U1082" i="80"/>
  <c r="U1083" i="80"/>
  <c r="U1084" i="80"/>
  <c r="U1085" i="80"/>
  <c r="U1086" i="80"/>
  <c r="U1087" i="80"/>
  <c r="U1088" i="80"/>
  <c r="U1089" i="80"/>
  <c r="U1090" i="80"/>
  <c r="U1091" i="80"/>
  <c r="U1092" i="80"/>
  <c r="U1093" i="80"/>
  <c r="U1094" i="80"/>
  <c r="W336" i="48" s="1"/>
  <c r="U1095" i="80"/>
  <c r="U1096" i="80"/>
  <c r="U1097" i="80"/>
  <c r="U1098" i="80"/>
  <c r="X107" i="48" s="1" a="1"/>
  <c r="X107" i="48" s="1"/>
  <c r="U1099" i="80"/>
  <c r="U1100" i="80"/>
  <c r="U1101" i="80"/>
  <c r="U1102" i="80"/>
  <c r="U1103" i="80"/>
  <c r="U1104" i="80"/>
  <c r="U1105" i="80"/>
  <c r="U1106" i="80"/>
  <c r="U1107" i="80"/>
  <c r="U1108" i="80"/>
  <c r="U1109" i="80"/>
  <c r="U1110" i="80"/>
  <c r="U1111" i="80"/>
  <c r="U1112" i="80"/>
  <c r="U1113" i="80"/>
  <c r="U1114" i="80"/>
  <c r="U1115" i="80"/>
  <c r="U1116" i="80"/>
  <c r="U1117" i="80"/>
  <c r="U1118" i="80"/>
  <c r="U1119" i="80"/>
  <c r="U1120" i="80"/>
  <c r="U1121" i="80"/>
  <c r="U1122" i="80"/>
  <c r="U1123" i="80"/>
  <c r="U1124" i="80"/>
  <c r="U1125" i="80"/>
  <c r="X344" i="48" s="1" a="1"/>
  <c r="X344" i="48" s="1"/>
  <c r="U1126" i="80"/>
  <c r="U1127" i="80"/>
  <c r="U1128" i="80"/>
  <c r="U1129" i="80"/>
  <c r="U1130" i="80"/>
  <c r="U1131" i="80"/>
  <c r="U1132" i="80"/>
  <c r="U1133" i="80"/>
  <c r="U1134" i="80"/>
  <c r="U1135" i="80"/>
  <c r="Y109" i="48" s="1" a="1"/>
  <c r="Y109" i="48" s="1"/>
  <c r="U1136" i="80"/>
  <c r="U1137" i="80"/>
  <c r="U1138" i="80"/>
  <c r="U1139" i="80"/>
  <c r="U1140" i="80"/>
  <c r="U1141" i="80"/>
  <c r="U1142" i="80"/>
  <c r="U1143" i="80"/>
  <c r="U1144" i="80"/>
  <c r="U1145" i="80"/>
  <c r="U1146" i="80"/>
  <c r="U1147" i="80"/>
  <c r="U1148" i="80"/>
  <c r="U1149" i="80"/>
  <c r="X348" i="48" s="1" a="1"/>
  <c r="X348" i="48" s="1"/>
  <c r="U1150" i="80"/>
  <c r="U1151" i="80"/>
  <c r="U1152" i="80"/>
  <c r="U1153" i="80"/>
  <c r="U1154" i="80"/>
  <c r="U1155" i="80"/>
  <c r="U1156" i="80"/>
  <c r="U1157" i="80"/>
  <c r="U1158" i="80"/>
  <c r="U1159" i="80"/>
  <c r="U1160" i="80"/>
  <c r="U1161" i="80"/>
  <c r="Y349" i="48" s="1" a="1"/>
  <c r="Y349" i="48" s="1"/>
  <c r="U1162" i="80"/>
  <c r="U1163" i="80"/>
  <c r="U1164" i="80"/>
  <c r="U1165" i="80"/>
  <c r="U1166" i="80"/>
  <c r="U1167" i="80"/>
  <c r="U1168" i="80"/>
  <c r="U1169" i="80"/>
  <c r="U1170" i="80"/>
  <c r="U1171" i="80"/>
  <c r="U1172" i="80"/>
  <c r="U1173" i="80"/>
  <c r="U1174" i="80"/>
  <c r="U1175" i="80"/>
  <c r="U1176" i="80"/>
  <c r="U1177" i="80"/>
  <c r="U1178" i="80"/>
  <c r="U1179" i="80"/>
  <c r="U1180" i="80"/>
  <c r="U1181" i="80"/>
  <c r="U1182" i="80"/>
  <c r="U1183" i="80"/>
  <c r="U1184" i="80"/>
  <c r="U1185" i="80"/>
  <c r="U1186" i="80"/>
  <c r="U1187" i="80"/>
  <c r="U1188" i="80"/>
  <c r="U1189" i="80"/>
  <c r="U1190" i="80"/>
  <c r="U1191" i="80"/>
  <c r="U1192" i="80"/>
  <c r="U1193" i="80"/>
  <c r="U1194" i="80"/>
  <c r="U1195" i="80"/>
  <c r="U1196" i="80"/>
  <c r="U1197" i="80"/>
  <c r="U1198" i="80"/>
  <c r="U1199" i="80"/>
  <c r="U1200" i="80"/>
  <c r="U1201" i="80"/>
  <c r="U1202" i="80"/>
  <c r="U1203" i="80"/>
  <c r="U1204" i="80"/>
  <c r="U1205" i="80"/>
  <c r="U1206" i="80"/>
  <c r="U1207" i="80"/>
  <c r="U1208" i="80"/>
  <c r="U1209" i="80"/>
  <c r="U1210" i="80"/>
  <c r="U1211" i="80"/>
  <c r="U1212" i="80"/>
  <c r="U1213" i="80"/>
  <c r="U1214" i="80"/>
  <c r="U1215" i="80"/>
  <c r="U1216" i="80"/>
  <c r="U1217" i="80"/>
  <c r="U1218" i="80"/>
  <c r="U1219" i="80"/>
  <c r="U1220" i="80"/>
  <c r="U1221" i="80"/>
  <c r="U1222" i="80"/>
  <c r="U1223" i="80"/>
  <c r="U1224" i="80"/>
  <c r="U1225" i="80"/>
  <c r="W119" i="48" s="1"/>
  <c r="U1226" i="80"/>
  <c r="U1227" i="80"/>
  <c r="U1228" i="80"/>
  <c r="U1229" i="80"/>
  <c r="U1230" i="80"/>
  <c r="U1231" i="80"/>
  <c r="U1232" i="80"/>
  <c r="U1233" i="80"/>
  <c r="U1234" i="80"/>
  <c r="U1235" i="80"/>
  <c r="U1236" i="80"/>
  <c r="U1237" i="80"/>
  <c r="U1238" i="80"/>
  <c r="U1239" i="80"/>
  <c r="U1240" i="80"/>
  <c r="U1241" i="80"/>
  <c r="U1242" i="80"/>
  <c r="U1243" i="80"/>
  <c r="U1244" i="80"/>
  <c r="U1245" i="80"/>
  <c r="U1246" i="80"/>
  <c r="W370" i="48" s="1"/>
  <c r="U1247" i="80"/>
  <c r="U1248" i="80"/>
  <c r="U1249" i="80"/>
  <c r="U1250" i="80"/>
  <c r="U1251" i="80"/>
  <c r="U1252" i="80"/>
  <c r="U1253" i="80"/>
  <c r="U1254" i="80"/>
  <c r="U1255" i="80"/>
  <c r="U1256" i="80"/>
  <c r="U1257" i="80"/>
  <c r="U1258" i="80"/>
  <c r="U1259" i="80"/>
  <c r="U1260" i="80"/>
  <c r="U1261" i="80"/>
  <c r="U1262" i="80"/>
  <c r="U1263" i="80"/>
  <c r="U1264" i="80"/>
  <c r="U1265" i="80"/>
  <c r="U1266" i="80"/>
  <c r="U1267" i="80"/>
  <c r="U1268" i="80"/>
  <c r="U1269" i="80"/>
  <c r="U1270" i="80"/>
  <c r="U1271" i="80"/>
  <c r="U1272" i="80"/>
  <c r="U1273" i="80"/>
  <c r="U1274" i="80"/>
  <c r="U1275" i="80"/>
  <c r="U1276" i="80"/>
  <c r="U1277" i="80"/>
  <c r="U1278" i="80"/>
  <c r="U1279" i="80"/>
  <c r="U1280" i="80"/>
  <c r="U1281" i="80"/>
  <c r="U1282" i="80"/>
  <c r="U1283" i="80"/>
  <c r="U1284" i="80"/>
  <c r="U1285" i="80"/>
  <c r="U1286" i="80"/>
  <c r="U1287" i="80"/>
  <c r="U1288" i="80"/>
  <c r="U1289" i="80"/>
  <c r="U1290" i="80"/>
  <c r="U1291" i="80"/>
  <c r="U1292" i="80"/>
  <c r="U1293" i="80"/>
  <c r="U1294" i="80"/>
  <c r="U1295" i="80"/>
  <c r="U1296" i="80"/>
  <c r="U1297" i="80"/>
  <c r="U1298" i="80"/>
  <c r="U1299" i="80"/>
  <c r="U1300" i="80"/>
  <c r="U1301" i="80"/>
  <c r="U1302" i="80"/>
  <c r="U1303" i="80"/>
  <c r="U1304" i="80"/>
  <c r="U1305" i="80"/>
  <c r="U1306" i="80"/>
  <c r="U1307" i="80"/>
  <c r="U1308" i="80"/>
  <c r="U1309" i="80"/>
  <c r="U1310" i="80"/>
  <c r="U1311" i="80"/>
  <c r="U1312" i="80"/>
  <c r="U1313" i="80"/>
  <c r="U1314" i="80"/>
  <c r="U1315" i="80"/>
  <c r="U1316" i="80"/>
  <c r="U1317" i="80"/>
  <c r="U1318" i="80"/>
  <c r="V387" i="48" s="1" a="1"/>
  <c r="V387" i="48" s="1"/>
  <c r="U1319" i="80"/>
  <c r="U1320" i="80"/>
  <c r="U1321" i="80"/>
  <c r="U1322" i="80"/>
  <c r="U1323" i="80"/>
  <c r="U1324" i="80"/>
  <c r="U1325" i="80"/>
  <c r="U1326" i="80"/>
  <c r="U1327" i="80"/>
  <c r="U1328" i="80"/>
  <c r="U1329" i="80"/>
  <c r="U1330" i="80"/>
  <c r="U1331" i="80"/>
  <c r="U1332" i="80"/>
  <c r="U1333" i="80"/>
  <c r="U1334" i="80"/>
  <c r="U1337" i="80"/>
  <c r="U1338" i="80"/>
  <c r="U1339" i="80"/>
  <c r="U1340" i="80"/>
  <c r="U1341" i="80"/>
  <c r="U1342" i="80"/>
  <c r="U1343" i="80"/>
  <c r="U1344" i="80"/>
  <c r="U1345" i="80"/>
  <c r="U1346" i="80"/>
  <c r="U1347" i="80"/>
  <c r="U1348" i="80"/>
  <c r="U1349" i="80"/>
  <c r="U1351" i="80"/>
  <c r="U1352" i="80"/>
  <c r="U1353" i="80"/>
  <c r="U1372" i="80"/>
  <c r="U1373" i="80"/>
  <c r="U1374" i="80"/>
  <c r="U1375" i="80"/>
  <c r="U1376" i="80"/>
  <c r="U1377" i="80"/>
  <c r="U1378" i="80"/>
  <c r="V399" i="48" s="1" a="1"/>
  <c r="V399" i="48" s="1"/>
  <c r="U1379" i="80"/>
  <c r="U1380" i="80"/>
  <c r="U1381" i="80"/>
  <c r="U1382" i="80"/>
  <c r="U1383" i="80"/>
  <c r="U1384" i="80"/>
  <c r="U1385" i="80"/>
  <c r="U1386" i="80"/>
  <c r="U1387" i="80"/>
  <c r="U1388" i="80"/>
  <c r="U1389" i="80"/>
  <c r="U1390" i="80"/>
  <c r="U1391" i="80"/>
  <c r="U1392" i="80"/>
  <c r="U1393" i="80"/>
  <c r="U1394" i="80"/>
  <c r="U1395" i="80"/>
  <c r="U1396" i="80"/>
  <c r="U1397" i="80"/>
  <c r="U1398" i="80"/>
  <c r="U1399" i="80"/>
  <c r="U1400" i="80"/>
  <c r="U1401" i="80"/>
  <c r="U1402" i="80"/>
  <c r="U1403" i="80"/>
  <c r="U1404" i="80"/>
  <c r="U1405" i="80"/>
  <c r="U1406" i="80"/>
  <c r="U1407" i="80"/>
  <c r="U1408" i="80"/>
  <c r="U1409" i="80"/>
  <c r="U1410" i="80"/>
  <c r="U1411" i="80"/>
  <c r="U1412" i="80"/>
  <c r="U1413" i="80"/>
  <c r="U1414" i="80"/>
  <c r="Y405" i="48" s="1" a="1"/>
  <c r="Y405" i="48" s="1"/>
  <c r="U2" i="80"/>
  <c r="T3" i="80"/>
  <c r="T4" i="80"/>
  <c r="T5" i="80"/>
  <c r="T6" i="80"/>
  <c r="T7" i="80"/>
  <c r="T8" i="80"/>
  <c r="T9" i="80"/>
  <c r="T10" i="80"/>
  <c r="T11" i="80"/>
  <c r="T12" i="80"/>
  <c r="T13" i="80"/>
  <c r="T14" i="80"/>
  <c r="T15" i="80"/>
  <c r="T16" i="80"/>
  <c r="T17" i="80"/>
  <c r="T18" i="80"/>
  <c r="T19" i="80"/>
  <c r="T20" i="80"/>
  <c r="T21" i="80"/>
  <c r="T22" i="80"/>
  <c r="T23" i="80"/>
  <c r="T24" i="80"/>
  <c r="T25" i="80"/>
  <c r="T26" i="80"/>
  <c r="T27" i="80"/>
  <c r="T28" i="80"/>
  <c r="T29" i="80"/>
  <c r="T30" i="80"/>
  <c r="T31" i="80"/>
  <c r="T32" i="80"/>
  <c r="T33" i="80"/>
  <c r="T34" i="80"/>
  <c r="T35" i="80"/>
  <c r="T36" i="80"/>
  <c r="T37" i="80"/>
  <c r="T38" i="80"/>
  <c r="T39" i="80"/>
  <c r="T40" i="80"/>
  <c r="T41" i="80"/>
  <c r="T42" i="80"/>
  <c r="T43" i="80"/>
  <c r="T44" i="80"/>
  <c r="T45" i="80"/>
  <c r="T46" i="80"/>
  <c r="T47" i="80"/>
  <c r="T48" i="80"/>
  <c r="T49" i="80"/>
  <c r="T50" i="80"/>
  <c r="T51" i="80"/>
  <c r="T52" i="80"/>
  <c r="T53" i="80"/>
  <c r="T54" i="80"/>
  <c r="T55" i="80"/>
  <c r="T56" i="80"/>
  <c r="T57" i="80"/>
  <c r="T58" i="80"/>
  <c r="T59" i="80"/>
  <c r="T60" i="80"/>
  <c r="T61" i="80"/>
  <c r="T62" i="80"/>
  <c r="T63" i="80"/>
  <c r="T64" i="80"/>
  <c r="T67" i="80"/>
  <c r="T68" i="80"/>
  <c r="T69" i="80"/>
  <c r="T70" i="80"/>
  <c r="T71" i="80"/>
  <c r="T72" i="80"/>
  <c r="T73" i="80"/>
  <c r="T74" i="80"/>
  <c r="T75" i="80"/>
  <c r="T76" i="80"/>
  <c r="T77" i="80"/>
  <c r="T78" i="80"/>
  <c r="T79" i="80"/>
  <c r="T80" i="80"/>
  <c r="T81" i="80"/>
  <c r="T82" i="80"/>
  <c r="T83" i="80"/>
  <c r="T84" i="80"/>
  <c r="T85" i="80"/>
  <c r="T86" i="80"/>
  <c r="T87" i="80"/>
  <c r="T88" i="80"/>
  <c r="T89" i="80"/>
  <c r="T90" i="80"/>
  <c r="T91" i="80"/>
  <c r="T92" i="80"/>
  <c r="T93" i="80"/>
  <c r="T94" i="80"/>
  <c r="T95" i="80"/>
  <c r="T96" i="80"/>
  <c r="T97" i="80"/>
  <c r="T98" i="80"/>
  <c r="T99" i="80"/>
  <c r="T100" i="80"/>
  <c r="T101" i="80"/>
  <c r="T102" i="80"/>
  <c r="T103" i="80"/>
  <c r="T104" i="80"/>
  <c r="T105" i="80"/>
  <c r="T106" i="80"/>
  <c r="T107" i="80"/>
  <c r="T108" i="80"/>
  <c r="T109" i="80"/>
  <c r="T110" i="80"/>
  <c r="T111" i="80"/>
  <c r="T112" i="80"/>
  <c r="T113" i="80"/>
  <c r="T114" i="80"/>
  <c r="T115" i="80"/>
  <c r="T116" i="80"/>
  <c r="T117" i="80"/>
  <c r="T118" i="80"/>
  <c r="T119" i="80"/>
  <c r="T120" i="80"/>
  <c r="T121" i="80"/>
  <c r="T122" i="80"/>
  <c r="T123" i="80"/>
  <c r="T124" i="80"/>
  <c r="T125" i="80"/>
  <c r="T126" i="80"/>
  <c r="T127" i="80"/>
  <c r="T128" i="80"/>
  <c r="T129" i="80"/>
  <c r="T130" i="80"/>
  <c r="T131" i="80"/>
  <c r="T132" i="80"/>
  <c r="T133" i="80"/>
  <c r="T134" i="80"/>
  <c r="T135" i="80"/>
  <c r="T136" i="80"/>
  <c r="T137" i="80"/>
  <c r="T138" i="80"/>
  <c r="T139" i="80"/>
  <c r="T140" i="80"/>
  <c r="T141" i="80"/>
  <c r="T142" i="80"/>
  <c r="T143" i="80"/>
  <c r="T144" i="80"/>
  <c r="T145" i="80"/>
  <c r="T146" i="80"/>
  <c r="T147" i="80"/>
  <c r="T148" i="80"/>
  <c r="T149" i="80"/>
  <c r="T150" i="80"/>
  <c r="T151" i="80"/>
  <c r="T152" i="80"/>
  <c r="T153" i="80"/>
  <c r="T154" i="80"/>
  <c r="T155" i="80"/>
  <c r="T156" i="80"/>
  <c r="T157" i="80"/>
  <c r="T158" i="80"/>
  <c r="T159" i="80"/>
  <c r="T160" i="80"/>
  <c r="T161" i="80"/>
  <c r="T162" i="80"/>
  <c r="T163" i="80"/>
  <c r="T164" i="80"/>
  <c r="T165" i="80"/>
  <c r="T166" i="80"/>
  <c r="T167" i="80"/>
  <c r="T168" i="80"/>
  <c r="T169" i="80"/>
  <c r="T170" i="80"/>
  <c r="T171" i="80"/>
  <c r="T172" i="80"/>
  <c r="T173" i="80"/>
  <c r="T174" i="80"/>
  <c r="T175" i="80"/>
  <c r="T176" i="80"/>
  <c r="T177" i="80"/>
  <c r="T178" i="80"/>
  <c r="T179" i="80"/>
  <c r="T180" i="80"/>
  <c r="T181" i="80"/>
  <c r="T182" i="80"/>
  <c r="T183" i="80"/>
  <c r="T184" i="80"/>
  <c r="T185" i="80"/>
  <c r="T186" i="80"/>
  <c r="T187" i="80"/>
  <c r="T188" i="80"/>
  <c r="T189" i="80"/>
  <c r="T190" i="80"/>
  <c r="T191" i="80"/>
  <c r="T192" i="80"/>
  <c r="T193" i="80"/>
  <c r="T194" i="80"/>
  <c r="T195" i="80"/>
  <c r="T196" i="80"/>
  <c r="T197" i="80"/>
  <c r="T198" i="80"/>
  <c r="T199" i="80"/>
  <c r="T200" i="80"/>
  <c r="T201" i="80"/>
  <c r="T202" i="80"/>
  <c r="T203" i="80"/>
  <c r="T204" i="80"/>
  <c r="T205" i="80"/>
  <c r="T206" i="80"/>
  <c r="T207" i="80"/>
  <c r="T208" i="80"/>
  <c r="T209" i="80"/>
  <c r="T210" i="80"/>
  <c r="T211" i="80"/>
  <c r="T212" i="80"/>
  <c r="T213" i="80"/>
  <c r="T214" i="80"/>
  <c r="T215" i="80"/>
  <c r="T216" i="80"/>
  <c r="T217" i="80"/>
  <c r="T218" i="80"/>
  <c r="T219" i="80"/>
  <c r="T220" i="80"/>
  <c r="T221" i="80"/>
  <c r="T222" i="80"/>
  <c r="T223" i="80"/>
  <c r="T224" i="80"/>
  <c r="T225" i="80"/>
  <c r="T226" i="80"/>
  <c r="T227" i="80"/>
  <c r="T228" i="80"/>
  <c r="T229" i="80"/>
  <c r="T230" i="80"/>
  <c r="T231" i="80"/>
  <c r="T232" i="80"/>
  <c r="T233" i="80"/>
  <c r="T234" i="80"/>
  <c r="T235" i="80"/>
  <c r="T236" i="80"/>
  <c r="T237" i="80"/>
  <c r="T238" i="80"/>
  <c r="T239" i="80"/>
  <c r="T240" i="80"/>
  <c r="T241" i="80"/>
  <c r="T242" i="80"/>
  <c r="T243" i="80"/>
  <c r="T244" i="80"/>
  <c r="T245" i="80"/>
  <c r="T246" i="80"/>
  <c r="T247" i="80"/>
  <c r="T248" i="80"/>
  <c r="T249" i="80"/>
  <c r="T250" i="80"/>
  <c r="T251" i="80"/>
  <c r="T252" i="80"/>
  <c r="T253" i="80"/>
  <c r="T254" i="80"/>
  <c r="T255" i="80"/>
  <c r="T256" i="80"/>
  <c r="T257" i="80"/>
  <c r="T258" i="80"/>
  <c r="T259" i="80"/>
  <c r="T260" i="80"/>
  <c r="T261" i="80"/>
  <c r="T262" i="80"/>
  <c r="T263" i="80"/>
  <c r="T264" i="80"/>
  <c r="T265" i="80"/>
  <c r="T266" i="80"/>
  <c r="T267" i="80"/>
  <c r="T268" i="80"/>
  <c r="T269" i="80"/>
  <c r="T270" i="80"/>
  <c r="T271" i="80"/>
  <c r="T272" i="80"/>
  <c r="T273" i="80"/>
  <c r="T274" i="80"/>
  <c r="T275" i="80"/>
  <c r="T276" i="80"/>
  <c r="T277" i="80"/>
  <c r="T278" i="80"/>
  <c r="T279" i="80"/>
  <c r="T280" i="80"/>
  <c r="T281" i="80"/>
  <c r="T282" i="80"/>
  <c r="T284" i="80"/>
  <c r="T285" i="80"/>
  <c r="T286" i="80"/>
  <c r="T287" i="80"/>
  <c r="T288" i="80"/>
  <c r="T289" i="80"/>
  <c r="T290" i="80"/>
  <c r="T291" i="80"/>
  <c r="T292" i="80"/>
  <c r="T293" i="80"/>
  <c r="T294" i="80"/>
  <c r="T295" i="80"/>
  <c r="T296" i="80"/>
  <c r="T297" i="80"/>
  <c r="T298" i="80"/>
  <c r="T299" i="80"/>
  <c r="T300" i="80"/>
  <c r="T301" i="80"/>
  <c r="T302" i="80"/>
  <c r="T303" i="80"/>
  <c r="T304" i="80"/>
  <c r="T305" i="80"/>
  <c r="T306" i="80"/>
  <c r="T307" i="80"/>
  <c r="T308" i="80"/>
  <c r="T309" i="80"/>
  <c r="T310" i="80"/>
  <c r="T311" i="80"/>
  <c r="T312" i="80"/>
  <c r="T313" i="80"/>
  <c r="T314" i="80"/>
  <c r="T315" i="80"/>
  <c r="T316" i="80"/>
  <c r="T317" i="80"/>
  <c r="T318" i="80"/>
  <c r="T319" i="80"/>
  <c r="T320" i="80"/>
  <c r="T321" i="80"/>
  <c r="T322" i="80"/>
  <c r="T323" i="80"/>
  <c r="T324" i="80"/>
  <c r="T325" i="80"/>
  <c r="T326" i="80"/>
  <c r="T327" i="80"/>
  <c r="T328" i="80"/>
  <c r="T329" i="80"/>
  <c r="T330" i="80"/>
  <c r="T331" i="80"/>
  <c r="T332" i="80"/>
  <c r="T333" i="80"/>
  <c r="T334" i="80"/>
  <c r="T335" i="80"/>
  <c r="T336" i="80"/>
  <c r="T337" i="80"/>
  <c r="T338" i="80"/>
  <c r="T339" i="80"/>
  <c r="T340" i="80"/>
  <c r="T341" i="80"/>
  <c r="T342" i="80"/>
  <c r="T343" i="80"/>
  <c r="T344" i="80"/>
  <c r="T346" i="80"/>
  <c r="T350" i="80"/>
  <c r="T351" i="80"/>
  <c r="T352" i="80"/>
  <c r="T353" i="80"/>
  <c r="T354" i="80"/>
  <c r="T355" i="80"/>
  <c r="T356" i="80"/>
  <c r="T358" i="80"/>
  <c r="T359" i="80"/>
  <c r="T362" i="80"/>
  <c r="T363" i="80"/>
  <c r="T364" i="80"/>
  <c r="T365" i="80"/>
  <c r="T366" i="80"/>
  <c r="T367" i="80"/>
  <c r="T368" i="80"/>
  <c r="T369" i="80"/>
  <c r="T370" i="80"/>
  <c r="T371" i="80"/>
  <c r="T372" i="80"/>
  <c r="T373" i="80"/>
  <c r="T374" i="80"/>
  <c r="T375" i="80"/>
  <c r="T376" i="80"/>
  <c r="T377" i="80"/>
  <c r="T378" i="80"/>
  <c r="T379" i="80"/>
  <c r="T380" i="80"/>
  <c r="T381" i="80"/>
  <c r="T382" i="80"/>
  <c r="T383" i="80"/>
  <c r="T384" i="80"/>
  <c r="T385" i="80"/>
  <c r="T386" i="80"/>
  <c r="T387" i="80"/>
  <c r="T388" i="80"/>
  <c r="T389" i="80"/>
  <c r="T390" i="80"/>
  <c r="T391" i="80"/>
  <c r="T392" i="80"/>
  <c r="T393" i="80"/>
  <c r="T394" i="80"/>
  <c r="T395" i="80"/>
  <c r="T396" i="80"/>
  <c r="T397" i="80"/>
  <c r="T398" i="80"/>
  <c r="T399" i="80"/>
  <c r="T400" i="80"/>
  <c r="T401" i="80"/>
  <c r="T402" i="80"/>
  <c r="T403" i="80"/>
  <c r="T404" i="80"/>
  <c r="T405" i="80"/>
  <c r="T406" i="80"/>
  <c r="T407" i="80"/>
  <c r="T408" i="80"/>
  <c r="T409" i="80"/>
  <c r="T410" i="80"/>
  <c r="T411" i="80"/>
  <c r="T412" i="80"/>
  <c r="T413" i="80"/>
  <c r="T414" i="80"/>
  <c r="T415" i="80"/>
  <c r="T416" i="80"/>
  <c r="T417" i="80"/>
  <c r="T418" i="80"/>
  <c r="T419" i="80"/>
  <c r="T420" i="80"/>
  <c r="T421" i="80"/>
  <c r="T422" i="80"/>
  <c r="T423" i="80"/>
  <c r="T424" i="80"/>
  <c r="T425" i="80"/>
  <c r="T426" i="80"/>
  <c r="T427" i="80"/>
  <c r="T428" i="80"/>
  <c r="T429" i="80"/>
  <c r="T430" i="80"/>
  <c r="T431" i="80"/>
  <c r="T432" i="80"/>
  <c r="T433" i="80"/>
  <c r="T434" i="80"/>
  <c r="T435" i="80"/>
  <c r="T436" i="80"/>
  <c r="T437" i="80"/>
  <c r="T438" i="80"/>
  <c r="T439" i="80"/>
  <c r="T440" i="80"/>
  <c r="T441" i="80"/>
  <c r="T442" i="80"/>
  <c r="T443" i="80"/>
  <c r="T444" i="80"/>
  <c r="T445" i="80"/>
  <c r="T446" i="80"/>
  <c r="T447" i="80"/>
  <c r="T448" i="80"/>
  <c r="T449" i="80"/>
  <c r="T450" i="80"/>
  <c r="T451" i="80"/>
  <c r="T452" i="80"/>
  <c r="T453" i="80"/>
  <c r="T454" i="80"/>
  <c r="T455" i="80"/>
  <c r="T456" i="80"/>
  <c r="T457" i="80"/>
  <c r="T458" i="80"/>
  <c r="T459" i="80"/>
  <c r="T460" i="80"/>
  <c r="T461" i="80"/>
  <c r="T462" i="80"/>
  <c r="T463" i="80"/>
  <c r="T464" i="80"/>
  <c r="T465" i="80"/>
  <c r="T466" i="80"/>
  <c r="T467" i="80"/>
  <c r="T468" i="80"/>
  <c r="T469" i="80"/>
  <c r="T470" i="80"/>
  <c r="T471" i="80"/>
  <c r="T472" i="80"/>
  <c r="T473" i="80"/>
  <c r="T474" i="80"/>
  <c r="T475" i="80"/>
  <c r="T476" i="80"/>
  <c r="T477" i="80"/>
  <c r="T478" i="80"/>
  <c r="T479" i="80"/>
  <c r="T480" i="80"/>
  <c r="T481" i="80"/>
  <c r="T482" i="80"/>
  <c r="T483" i="80"/>
  <c r="T484" i="80"/>
  <c r="T485" i="80"/>
  <c r="T486" i="80"/>
  <c r="T487" i="80"/>
  <c r="T488" i="80"/>
  <c r="T489" i="80"/>
  <c r="T490" i="80"/>
  <c r="T491" i="80"/>
  <c r="T492" i="80"/>
  <c r="T493" i="80"/>
  <c r="T494" i="80"/>
  <c r="T495" i="80"/>
  <c r="T496" i="80"/>
  <c r="T497" i="80"/>
  <c r="T498" i="80"/>
  <c r="T499" i="80"/>
  <c r="T500" i="80"/>
  <c r="T501" i="80"/>
  <c r="T502" i="80"/>
  <c r="T503" i="80"/>
  <c r="T504" i="80"/>
  <c r="T505" i="80"/>
  <c r="T506" i="80"/>
  <c r="T507" i="80"/>
  <c r="T508" i="80"/>
  <c r="T509" i="80"/>
  <c r="T510" i="80"/>
  <c r="T511" i="80"/>
  <c r="T512" i="80"/>
  <c r="T513" i="80"/>
  <c r="T514" i="80"/>
  <c r="T515" i="80"/>
  <c r="T516" i="80"/>
  <c r="T517" i="80"/>
  <c r="T518" i="80"/>
  <c r="T519" i="80"/>
  <c r="T520" i="80"/>
  <c r="T521" i="80"/>
  <c r="T522" i="80"/>
  <c r="T523" i="80"/>
  <c r="T524" i="80"/>
  <c r="T525" i="80"/>
  <c r="T526" i="80"/>
  <c r="T527" i="80"/>
  <c r="T528" i="80"/>
  <c r="T529" i="80"/>
  <c r="T532" i="80"/>
  <c r="T537" i="80"/>
  <c r="T539" i="80"/>
  <c r="T541" i="80"/>
  <c r="T542" i="80"/>
  <c r="T543" i="80"/>
  <c r="T544" i="80"/>
  <c r="T545" i="80"/>
  <c r="T546" i="80"/>
  <c r="T547" i="80"/>
  <c r="T548" i="80"/>
  <c r="T549" i="80"/>
  <c r="T550" i="80"/>
  <c r="T551" i="80"/>
  <c r="T552" i="80"/>
  <c r="T553" i="80"/>
  <c r="T554" i="80"/>
  <c r="T555" i="80"/>
  <c r="T556" i="80"/>
  <c r="T557" i="80"/>
  <c r="T558" i="80"/>
  <c r="T559" i="80"/>
  <c r="T560" i="80"/>
  <c r="T561" i="80"/>
  <c r="T562" i="80"/>
  <c r="T563" i="80"/>
  <c r="T564" i="80"/>
  <c r="T565" i="80"/>
  <c r="T566" i="80"/>
  <c r="T567" i="80"/>
  <c r="T568" i="80"/>
  <c r="T569" i="80"/>
  <c r="T570" i="80"/>
  <c r="T571" i="80"/>
  <c r="T572" i="80"/>
  <c r="T573" i="80"/>
  <c r="T574" i="80"/>
  <c r="T575" i="80"/>
  <c r="T576" i="80"/>
  <c r="T577" i="80"/>
  <c r="T578" i="80"/>
  <c r="T579" i="80"/>
  <c r="T580" i="80"/>
  <c r="T581" i="80"/>
  <c r="T582" i="80"/>
  <c r="T583" i="80"/>
  <c r="T584" i="80"/>
  <c r="T585" i="80"/>
  <c r="T586" i="80"/>
  <c r="T587" i="80"/>
  <c r="T588" i="80"/>
  <c r="T589" i="80"/>
  <c r="T590" i="80"/>
  <c r="T591" i="80"/>
  <c r="T592" i="80"/>
  <c r="D42" i="62" s="1"/>
  <c r="T593" i="80"/>
  <c r="T594" i="80"/>
  <c r="T595" i="80"/>
  <c r="T596" i="80"/>
  <c r="T597" i="80"/>
  <c r="T598" i="80"/>
  <c r="T599" i="80"/>
  <c r="T600" i="80"/>
  <c r="T601" i="80"/>
  <c r="T602" i="80"/>
  <c r="T603" i="80"/>
  <c r="T604" i="80"/>
  <c r="T605" i="80"/>
  <c r="T606" i="80"/>
  <c r="T607" i="80"/>
  <c r="T608" i="80"/>
  <c r="T609" i="80"/>
  <c r="T610" i="80"/>
  <c r="T611" i="80"/>
  <c r="T612" i="80"/>
  <c r="T613" i="80"/>
  <c r="T614" i="80"/>
  <c r="T615" i="80"/>
  <c r="T616" i="80"/>
  <c r="T617" i="80"/>
  <c r="T618" i="80"/>
  <c r="T619" i="80"/>
  <c r="T620" i="80"/>
  <c r="T621" i="80"/>
  <c r="T622" i="80"/>
  <c r="T623" i="80"/>
  <c r="T624" i="80"/>
  <c r="T625" i="80"/>
  <c r="T626" i="80"/>
  <c r="T627" i="80"/>
  <c r="T628" i="80"/>
  <c r="T629" i="80"/>
  <c r="T630" i="80"/>
  <c r="T631" i="80"/>
  <c r="T632" i="80"/>
  <c r="T633" i="80"/>
  <c r="T634" i="80"/>
  <c r="T635" i="80"/>
  <c r="T636" i="80"/>
  <c r="T637" i="80"/>
  <c r="T638" i="80"/>
  <c r="T639" i="80"/>
  <c r="T640" i="80"/>
  <c r="T641" i="80"/>
  <c r="T642" i="80"/>
  <c r="T643" i="80"/>
  <c r="T644" i="80"/>
  <c r="T645" i="80"/>
  <c r="T646" i="80"/>
  <c r="T647" i="80"/>
  <c r="T648" i="80"/>
  <c r="T649" i="80"/>
  <c r="T650" i="80"/>
  <c r="T651" i="80"/>
  <c r="T652" i="80"/>
  <c r="T653" i="80"/>
  <c r="T654" i="80"/>
  <c r="T655" i="80"/>
  <c r="T656" i="80"/>
  <c r="T657" i="80"/>
  <c r="T658" i="80"/>
  <c r="T659" i="80"/>
  <c r="T660" i="80"/>
  <c r="T661" i="80"/>
  <c r="T662" i="80"/>
  <c r="T663" i="80"/>
  <c r="T664" i="80"/>
  <c r="T665" i="80"/>
  <c r="T666" i="80"/>
  <c r="T667" i="80"/>
  <c r="T668" i="80"/>
  <c r="T669" i="80"/>
  <c r="T670" i="80"/>
  <c r="T671" i="80"/>
  <c r="T672" i="80"/>
  <c r="T673" i="80"/>
  <c r="T674" i="80"/>
  <c r="T675" i="80"/>
  <c r="T676" i="80"/>
  <c r="T677" i="80"/>
  <c r="T678" i="80"/>
  <c r="T679" i="80"/>
  <c r="T680" i="80"/>
  <c r="T681" i="80"/>
  <c r="T682" i="80"/>
  <c r="T683" i="80"/>
  <c r="T684" i="80"/>
  <c r="T685" i="80"/>
  <c r="T686" i="80"/>
  <c r="T687" i="80"/>
  <c r="T688" i="80"/>
  <c r="T689" i="80"/>
  <c r="T690" i="80"/>
  <c r="T691" i="80"/>
  <c r="T692" i="80"/>
  <c r="T693" i="80"/>
  <c r="T694" i="80"/>
  <c r="T695" i="80"/>
  <c r="T696" i="80"/>
  <c r="T697" i="80"/>
  <c r="T698" i="80"/>
  <c r="T699" i="80"/>
  <c r="T700" i="80"/>
  <c r="T701" i="80"/>
  <c r="T702" i="80"/>
  <c r="T703" i="80"/>
  <c r="T704" i="80"/>
  <c r="T705" i="80"/>
  <c r="T706" i="80"/>
  <c r="T707" i="80"/>
  <c r="T708" i="80"/>
  <c r="T709" i="80"/>
  <c r="T710" i="80"/>
  <c r="T711" i="80"/>
  <c r="T712" i="80"/>
  <c r="T713" i="80"/>
  <c r="T714" i="80"/>
  <c r="T715" i="80"/>
  <c r="T716" i="80"/>
  <c r="T717" i="80"/>
  <c r="T718" i="80"/>
  <c r="T719" i="80"/>
  <c r="T720" i="80"/>
  <c r="T721" i="80"/>
  <c r="T722" i="80"/>
  <c r="T723" i="80"/>
  <c r="T724" i="80"/>
  <c r="T725" i="80"/>
  <c r="T726" i="80"/>
  <c r="T727" i="80"/>
  <c r="T728" i="80"/>
  <c r="T729" i="80"/>
  <c r="T730" i="80"/>
  <c r="T731" i="80"/>
  <c r="T732" i="80"/>
  <c r="T733" i="80"/>
  <c r="T734" i="80"/>
  <c r="T735" i="80"/>
  <c r="T736" i="80"/>
  <c r="T737" i="80"/>
  <c r="T738" i="80"/>
  <c r="T739" i="80"/>
  <c r="T740" i="80"/>
  <c r="T741" i="80"/>
  <c r="T742" i="80"/>
  <c r="T743" i="80"/>
  <c r="T744" i="80"/>
  <c r="T745" i="80"/>
  <c r="T746" i="80"/>
  <c r="T747" i="80"/>
  <c r="T748" i="80"/>
  <c r="T749" i="80"/>
  <c r="T750" i="80"/>
  <c r="T751" i="80"/>
  <c r="T752" i="80"/>
  <c r="T753" i="80"/>
  <c r="T754" i="80"/>
  <c r="T755" i="80"/>
  <c r="T756" i="80"/>
  <c r="T757" i="80"/>
  <c r="T758" i="80"/>
  <c r="T759" i="80"/>
  <c r="T760" i="80"/>
  <c r="T761" i="80"/>
  <c r="T762" i="80"/>
  <c r="T763" i="80"/>
  <c r="T764" i="80"/>
  <c r="T765" i="80"/>
  <c r="T766" i="80"/>
  <c r="T767" i="80"/>
  <c r="T768" i="80"/>
  <c r="T769" i="80"/>
  <c r="T770" i="80"/>
  <c r="T771" i="80"/>
  <c r="T772" i="80"/>
  <c r="T773" i="80"/>
  <c r="T774" i="80"/>
  <c r="T775" i="80"/>
  <c r="T776" i="80"/>
  <c r="T777" i="80"/>
  <c r="T778" i="80"/>
  <c r="T779" i="80"/>
  <c r="T780" i="80"/>
  <c r="T781" i="80"/>
  <c r="T782" i="80"/>
  <c r="T783" i="80"/>
  <c r="T784" i="80"/>
  <c r="T785" i="80"/>
  <c r="T786" i="80"/>
  <c r="T787" i="80"/>
  <c r="T788" i="80"/>
  <c r="T789" i="80"/>
  <c r="T790" i="80"/>
  <c r="T791" i="80"/>
  <c r="T792" i="80"/>
  <c r="T793" i="80"/>
  <c r="T794" i="80"/>
  <c r="T795" i="80"/>
  <c r="T796" i="80"/>
  <c r="T797" i="80"/>
  <c r="T798" i="80"/>
  <c r="T799" i="80"/>
  <c r="T800" i="80"/>
  <c r="T801" i="80"/>
  <c r="T802" i="80"/>
  <c r="T803" i="80"/>
  <c r="T804" i="80"/>
  <c r="T805" i="80"/>
  <c r="T806" i="80"/>
  <c r="T807" i="80"/>
  <c r="T808" i="80"/>
  <c r="T809" i="80"/>
  <c r="T810" i="80"/>
  <c r="T811" i="80"/>
  <c r="T812" i="80"/>
  <c r="T813" i="80"/>
  <c r="T814" i="80"/>
  <c r="T815" i="80"/>
  <c r="T816" i="80"/>
  <c r="T817" i="80"/>
  <c r="T818" i="80"/>
  <c r="T819" i="80"/>
  <c r="T820" i="80"/>
  <c r="T821" i="80"/>
  <c r="T822" i="80"/>
  <c r="T823" i="80"/>
  <c r="T824" i="80"/>
  <c r="T825" i="80"/>
  <c r="T826" i="80"/>
  <c r="T827" i="80"/>
  <c r="T828" i="80"/>
  <c r="T829" i="80"/>
  <c r="T830" i="80"/>
  <c r="T831" i="80"/>
  <c r="T832" i="80"/>
  <c r="T833" i="80"/>
  <c r="T834" i="80"/>
  <c r="T835" i="80"/>
  <c r="T836" i="80"/>
  <c r="T837" i="80"/>
  <c r="T838" i="80"/>
  <c r="T839" i="80"/>
  <c r="T840" i="80"/>
  <c r="T841" i="80"/>
  <c r="T842" i="80"/>
  <c r="T843" i="80"/>
  <c r="T844" i="80"/>
  <c r="T845" i="80"/>
  <c r="T846" i="80"/>
  <c r="T847" i="80"/>
  <c r="T848" i="80"/>
  <c r="T849" i="80"/>
  <c r="T850" i="80"/>
  <c r="T851" i="80"/>
  <c r="T852" i="80"/>
  <c r="T853" i="80"/>
  <c r="T854" i="80"/>
  <c r="T855" i="80"/>
  <c r="T856" i="80"/>
  <c r="T857" i="80"/>
  <c r="T858" i="80"/>
  <c r="T859" i="80"/>
  <c r="T860" i="80"/>
  <c r="T861" i="80"/>
  <c r="T862" i="80"/>
  <c r="T863" i="80"/>
  <c r="T864" i="80"/>
  <c r="T865" i="80"/>
  <c r="T866" i="80"/>
  <c r="T867" i="80"/>
  <c r="T868" i="80"/>
  <c r="T869" i="80"/>
  <c r="T870" i="80"/>
  <c r="T871" i="80"/>
  <c r="T872" i="80"/>
  <c r="T873" i="80"/>
  <c r="T874" i="80"/>
  <c r="T875" i="80"/>
  <c r="T876" i="80"/>
  <c r="T877" i="80"/>
  <c r="T878" i="80"/>
  <c r="T879" i="80"/>
  <c r="T880" i="80"/>
  <c r="T881" i="80"/>
  <c r="T882" i="80"/>
  <c r="T883" i="80"/>
  <c r="T884" i="80"/>
  <c r="T885" i="80"/>
  <c r="T886" i="80"/>
  <c r="T887" i="80"/>
  <c r="T888" i="80"/>
  <c r="T889" i="80"/>
  <c r="T890" i="80"/>
  <c r="T891" i="80"/>
  <c r="T892" i="80"/>
  <c r="T893" i="80"/>
  <c r="T894" i="80"/>
  <c r="T895" i="80"/>
  <c r="T896" i="80"/>
  <c r="T897" i="80"/>
  <c r="T898" i="80"/>
  <c r="T899" i="80"/>
  <c r="T900" i="80"/>
  <c r="T901" i="80"/>
  <c r="T902" i="80"/>
  <c r="T903" i="80"/>
  <c r="T904" i="80"/>
  <c r="T905" i="80"/>
  <c r="T906" i="80"/>
  <c r="T907" i="80"/>
  <c r="T908" i="80"/>
  <c r="T909" i="80"/>
  <c r="T910" i="80"/>
  <c r="T911" i="80"/>
  <c r="T912" i="80"/>
  <c r="T913" i="80"/>
  <c r="T914" i="80"/>
  <c r="T915" i="80"/>
  <c r="T916" i="80"/>
  <c r="T917" i="80"/>
  <c r="T918" i="80"/>
  <c r="T919" i="80"/>
  <c r="T920" i="80"/>
  <c r="T921" i="80"/>
  <c r="T922" i="80"/>
  <c r="T923" i="80"/>
  <c r="T924" i="80"/>
  <c r="T925" i="80"/>
  <c r="T926" i="80"/>
  <c r="T927" i="80"/>
  <c r="T928" i="80"/>
  <c r="T929" i="80"/>
  <c r="T930" i="80"/>
  <c r="T931" i="80"/>
  <c r="T932" i="80"/>
  <c r="T936" i="80"/>
  <c r="T937" i="80"/>
  <c r="T938" i="80"/>
  <c r="T939" i="80"/>
  <c r="T940" i="80"/>
  <c r="T941" i="80"/>
  <c r="T942" i="80"/>
  <c r="T943" i="80"/>
  <c r="T944" i="80"/>
  <c r="T945" i="80"/>
  <c r="T946" i="80"/>
  <c r="T947" i="80"/>
  <c r="T948" i="80"/>
  <c r="T949" i="80"/>
  <c r="T950" i="80"/>
  <c r="T951" i="80"/>
  <c r="T952" i="80"/>
  <c r="T953" i="80"/>
  <c r="T954" i="80"/>
  <c r="T955" i="80"/>
  <c r="T956" i="80"/>
  <c r="T957" i="80"/>
  <c r="T960" i="80"/>
  <c r="T961" i="80"/>
  <c r="T962" i="80"/>
  <c r="T966" i="80"/>
  <c r="T967" i="80"/>
  <c r="T968" i="80"/>
  <c r="T969" i="80"/>
  <c r="T970" i="80"/>
  <c r="T971" i="80"/>
  <c r="T972" i="80"/>
  <c r="T973" i="80"/>
  <c r="T974" i="80"/>
  <c r="T975" i="80"/>
  <c r="T976" i="80"/>
  <c r="T977" i="80"/>
  <c r="T978" i="80"/>
  <c r="T979" i="80"/>
  <c r="T980" i="80"/>
  <c r="T981" i="80"/>
  <c r="T982" i="80"/>
  <c r="T983" i="80"/>
  <c r="T984" i="80"/>
  <c r="T985" i="80"/>
  <c r="T986" i="80"/>
  <c r="T987" i="80"/>
  <c r="T988" i="80"/>
  <c r="T989" i="80"/>
  <c r="T990" i="80"/>
  <c r="T991" i="80"/>
  <c r="T992" i="80"/>
  <c r="T993" i="80"/>
  <c r="T994" i="80"/>
  <c r="T995" i="80"/>
  <c r="T996" i="80"/>
  <c r="T997" i="80"/>
  <c r="T998" i="80"/>
  <c r="T999" i="80"/>
  <c r="T1000" i="80"/>
  <c r="T1001" i="80"/>
  <c r="T1002" i="80"/>
  <c r="T1003" i="80"/>
  <c r="T1004" i="80"/>
  <c r="T1005" i="80"/>
  <c r="T1006" i="80"/>
  <c r="T1007" i="80"/>
  <c r="T1008" i="80"/>
  <c r="T1009" i="80"/>
  <c r="T1010" i="80"/>
  <c r="T1011" i="80"/>
  <c r="T1012" i="80"/>
  <c r="T1013" i="80"/>
  <c r="T1015" i="80"/>
  <c r="T1016" i="80"/>
  <c r="T1017" i="80"/>
  <c r="T1018" i="80"/>
  <c r="T1019" i="80"/>
  <c r="T1020" i="80"/>
  <c r="T1021" i="80"/>
  <c r="T1022" i="80"/>
  <c r="T1023" i="80"/>
  <c r="T1024" i="80"/>
  <c r="T1025" i="80"/>
  <c r="T1026" i="80"/>
  <c r="T1027" i="80"/>
  <c r="T1028" i="80"/>
  <c r="T1029" i="80"/>
  <c r="T1030" i="80"/>
  <c r="T1031" i="80"/>
  <c r="T1032" i="80"/>
  <c r="T1033" i="80"/>
  <c r="T1034" i="80"/>
  <c r="T1035" i="80"/>
  <c r="T1036" i="80"/>
  <c r="T1037" i="80"/>
  <c r="T1038" i="80"/>
  <c r="T1039" i="80"/>
  <c r="T1040" i="80"/>
  <c r="T1041" i="80"/>
  <c r="T1042" i="80"/>
  <c r="T1043" i="80"/>
  <c r="T1044" i="80"/>
  <c r="T1045" i="80"/>
  <c r="T1046" i="80"/>
  <c r="T1047" i="80"/>
  <c r="T1048" i="80"/>
  <c r="T1049" i="80"/>
  <c r="T1050" i="80"/>
  <c r="T1051" i="80"/>
  <c r="T1052" i="80"/>
  <c r="T1053" i="80"/>
  <c r="T1054" i="80"/>
  <c r="T1055" i="80"/>
  <c r="T1056" i="80"/>
  <c r="T1057" i="80"/>
  <c r="T1058" i="80"/>
  <c r="T1059" i="80"/>
  <c r="T1060" i="80"/>
  <c r="T1061" i="80"/>
  <c r="T1062" i="80"/>
  <c r="T1063" i="80"/>
  <c r="T1064" i="80"/>
  <c r="T1065" i="80"/>
  <c r="T1066" i="80"/>
  <c r="T1067" i="80"/>
  <c r="T1068" i="80"/>
  <c r="T1069" i="80"/>
  <c r="T1070" i="80"/>
  <c r="T1071" i="80"/>
  <c r="T1072" i="80"/>
  <c r="T1073" i="80"/>
  <c r="T1074" i="80"/>
  <c r="T1075" i="80"/>
  <c r="T1076" i="80"/>
  <c r="T1077" i="80"/>
  <c r="T1078" i="80"/>
  <c r="T1079" i="80"/>
  <c r="T1080" i="80"/>
  <c r="T1081" i="80"/>
  <c r="T1082" i="80"/>
  <c r="T1083" i="80"/>
  <c r="T1084" i="80"/>
  <c r="T1085" i="80"/>
  <c r="T1086" i="80"/>
  <c r="T1087" i="80"/>
  <c r="T1088" i="80"/>
  <c r="T1089" i="80"/>
  <c r="T1090" i="80"/>
  <c r="T1091" i="80"/>
  <c r="T1092" i="80"/>
  <c r="T1093" i="80"/>
  <c r="T1094" i="80"/>
  <c r="T1095" i="80"/>
  <c r="T1096" i="80"/>
  <c r="T1097" i="80"/>
  <c r="T1098" i="80"/>
  <c r="T1099" i="80"/>
  <c r="T1100" i="80"/>
  <c r="T1101" i="80"/>
  <c r="T1102" i="80"/>
  <c r="T1103" i="80"/>
  <c r="T1104" i="80"/>
  <c r="T1105" i="80"/>
  <c r="T1106" i="80"/>
  <c r="T1107" i="80"/>
  <c r="T1108" i="80"/>
  <c r="T1109" i="80"/>
  <c r="T1110" i="80"/>
  <c r="T1111" i="80"/>
  <c r="T1112" i="80"/>
  <c r="T1113" i="80"/>
  <c r="T1114" i="80"/>
  <c r="T1115" i="80"/>
  <c r="T1116" i="80"/>
  <c r="T1117" i="80"/>
  <c r="T1118" i="80"/>
  <c r="T1119" i="80"/>
  <c r="T1120" i="80"/>
  <c r="T1121" i="80"/>
  <c r="T1122" i="80"/>
  <c r="T1123" i="80"/>
  <c r="T1124" i="80"/>
  <c r="T1125" i="80"/>
  <c r="T1126" i="80"/>
  <c r="T1127" i="80"/>
  <c r="T1128" i="80"/>
  <c r="T1129" i="80"/>
  <c r="T1130" i="80"/>
  <c r="T1131" i="80"/>
  <c r="T1132" i="80"/>
  <c r="T1133" i="80"/>
  <c r="T1134" i="80"/>
  <c r="T1135" i="80"/>
  <c r="T1136" i="80"/>
  <c r="T1137" i="80"/>
  <c r="T1138" i="80"/>
  <c r="T1139" i="80"/>
  <c r="T1140" i="80"/>
  <c r="T1141" i="80"/>
  <c r="T1142" i="80"/>
  <c r="T1143" i="80"/>
  <c r="T1144" i="80"/>
  <c r="T1145" i="80"/>
  <c r="T1146" i="80"/>
  <c r="T1147" i="80"/>
  <c r="T1148" i="80"/>
  <c r="T1149" i="80"/>
  <c r="T1150" i="80"/>
  <c r="T1151" i="80"/>
  <c r="T1152" i="80"/>
  <c r="T1153" i="80"/>
  <c r="T1154" i="80"/>
  <c r="T1155" i="80"/>
  <c r="T1156" i="80"/>
  <c r="T1157" i="80"/>
  <c r="T1158" i="80"/>
  <c r="T1159" i="80"/>
  <c r="T1160" i="80"/>
  <c r="T1161" i="80"/>
  <c r="T1162" i="80"/>
  <c r="T1163" i="80"/>
  <c r="T1164" i="80"/>
  <c r="T1165" i="80"/>
  <c r="T1166" i="80"/>
  <c r="T1167" i="80"/>
  <c r="T1168" i="80"/>
  <c r="T1169" i="80"/>
  <c r="D64" i="62" s="1"/>
  <c r="T1170" i="80"/>
  <c r="D87" i="62" s="1"/>
  <c r="T1171" i="80"/>
  <c r="T1172" i="80"/>
  <c r="T1173" i="80"/>
  <c r="T1174" i="80"/>
  <c r="T1175" i="80"/>
  <c r="T1176" i="80"/>
  <c r="T1177" i="80"/>
  <c r="T1178" i="80"/>
  <c r="T1179" i="80"/>
  <c r="T1180" i="80"/>
  <c r="T1181" i="80"/>
  <c r="T1182" i="80"/>
  <c r="T1183" i="80"/>
  <c r="T1184" i="80"/>
  <c r="T1185" i="80"/>
  <c r="T1186" i="80"/>
  <c r="T1187" i="80"/>
  <c r="T1188" i="80"/>
  <c r="T1189" i="80"/>
  <c r="T1190" i="80"/>
  <c r="T1191" i="80"/>
  <c r="T1192" i="80"/>
  <c r="T1193" i="80"/>
  <c r="T1194" i="80"/>
  <c r="T1195" i="80"/>
  <c r="T1196" i="80"/>
  <c r="T1197" i="80"/>
  <c r="T1198" i="80"/>
  <c r="T1199" i="80"/>
  <c r="T1200" i="80"/>
  <c r="T1201" i="80"/>
  <c r="T1202" i="80"/>
  <c r="T1203" i="80"/>
  <c r="T1204" i="80"/>
  <c r="T1205" i="80"/>
  <c r="T1206" i="80"/>
  <c r="T1207" i="80"/>
  <c r="T1208" i="80"/>
  <c r="T1209" i="80"/>
  <c r="T1210" i="80"/>
  <c r="T1211" i="80"/>
  <c r="T1212" i="80"/>
  <c r="T1213" i="80"/>
  <c r="T1214" i="80"/>
  <c r="T1215" i="80"/>
  <c r="T1216" i="80"/>
  <c r="T1217" i="80"/>
  <c r="T1218" i="80"/>
  <c r="T1219" i="80"/>
  <c r="T1220" i="80"/>
  <c r="T1221" i="80"/>
  <c r="T1222" i="80"/>
  <c r="T1223" i="80"/>
  <c r="T1224" i="80"/>
  <c r="T1225" i="80"/>
  <c r="T1226" i="80"/>
  <c r="T1227" i="80"/>
  <c r="T1228" i="80"/>
  <c r="T1229" i="80"/>
  <c r="T1230" i="80"/>
  <c r="T1231" i="80"/>
  <c r="T1232" i="80"/>
  <c r="T1233" i="80"/>
  <c r="T1234" i="80"/>
  <c r="T1235" i="80"/>
  <c r="T1236" i="80"/>
  <c r="T1237" i="80"/>
  <c r="T1238" i="80"/>
  <c r="T1239" i="80"/>
  <c r="T1240" i="80"/>
  <c r="T1241" i="80"/>
  <c r="T1242" i="80"/>
  <c r="T1243" i="80"/>
  <c r="T1244" i="80"/>
  <c r="T1245" i="80"/>
  <c r="T1246" i="80"/>
  <c r="T1247" i="80"/>
  <c r="T1248" i="80"/>
  <c r="T1249" i="80"/>
  <c r="T1250" i="80"/>
  <c r="T1251" i="80"/>
  <c r="T1252" i="80"/>
  <c r="T1253" i="80"/>
  <c r="T1254" i="80"/>
  <c r="T1255" i="80"/>
  <c r="T1256" i="80"/>
  <c r="T1257" i="80"/>
  <c r="T1258" i="80"/>
  <c r="T1259" i="80"/>
  <c r="T1260" i="80"/>
  <c r="T1261" i="80"/>
  <c r="T1262" i="80"/>
  <c r="T1263" i="80"/>
  <c r="T1264" i="80"/>
  <c r="T1265" i="80"/>
  <c r="T1266" i="80"/>
  <c r="T1267" i="80"/>
  <c r="T1268" i="80"/>
  <c r="T1269" i="80"/>
  <c r="T1270" i="80"/>
  <c r="T1271" i="80"/>
  <c r="T1272" i="80"/>
  <c r="T1273" i="80"/>
  <c r="T1274" i="80"/>
  <c r="T1275" i="80"/>
  <c r="T1276" i="80"/>
  <c r="T1277" i="80"/>
  <c r="T1278" i="80"/>
  <c r="T1279" i="80"/>
  <c r="T1280" i="80"/>
  <c r="T1281" i="80"/>
  <c r="T1282" i="80"/>
  <c r="T1283" i="80"/>
  <c r="T1284" i="80"/>
  <c r="T1285" i="80"/>
  <c r="T1286" i="80"/>
  <c r="T1287" i="80"/>
  <c r="T1288" i="80"/>
  <c r="T1289" i="80"/>
  <c r="T1290" i="80"/>
  <c r="T1291" i="80"/>
  <c r="T1292" i="80"/>
  <c r="T1293" i="80"/>
  <c r="T1294" i="80"/>
  <c r="T1295" i="80"/>
  <c r="T1296" i="80"/>
  <c r="T1297" i="80"/>
  <c r="T1298" i="80"/>
  <c r="T1299" i="80"/>
  <c r="T1300" i="80"/>
  <c r="T1301" i="80"/>
  <c r="T1302" i="80"/>
  <c r="T1303" i="80"/>
  <c r="T1304" i="80"/>
  <c r="T1305" i="80"/>
  <c r="T1306" i="80"/>
  <c r="T1307" i="80"/>
  <c r="T1308" i="80"/>
  <c r="T1309" i="80"/>
  <c r="T1310" i="80"/>
  <c r="T1311" i="80"/>
  <c r="T1312" i="80"/>
  <c r="T1313" i="80"/>
  <c r="T1314" i="80"/>
  <c r="T1315" i="80"/>
  <c r="T1316" i="80"/>
  <c r="T1317" i="80"/>
  <c r="T1318" i="80"/>
  <c r="T1319" i="80"/>
  <c r="T1320" i="80"/>
  <c r="T1321" i="80"/>
  <c r="T1322" i="80"/>
  <c r="T1323" i="80"/>
  <c r="T1324" i="80"/>
  <c r="T1325" i="80"/>
  <c r="T1326" i="80"/>
  <c r="T1327" i="80"/>
  <c r="T1328" i="80"/>
  <c r="T1329" i="80"/>
  <c r="T1330" i="80"/>
  <c r="T1331" i="80"/>
  <c r="T1332" i="80"/>
  <c r="T1333" i="80"/>
  <c r="T1334" i="80"/>
  <c r="T1337" i="80"/>
  <c r="T1338" i="80"/>
  <c r="T1339" i="80"/>
  <c r="T1340" i="80"/>
  <c r="T1341" i="80"/>
  <c r="T1342" i="80"/>
  <c r="T1343" i="80"/>
  <c r="T1344" i="80"/>
  <c r="T1345" i="80"/>
  <c r="T1346" i="80"/>
  <c r="T1347" i="80"/>
  <c r="T1348" i="80"/>
  <c r="T1349" i="80"/>
  <c r="T1351" i="80"/>
  <c r="T1352" i="80"/>
  <c r="T1353" i="80"/>
  <c r="T1372" i="80"/>
  <c r="T1373" i="80"/>
  <c r="T1374" i="80"/>
  <c r="T1375" i="80"/>
  <c r="T1376" i="80"/>
  <c r="T1377" i="80"/>
  <c r="T1378" i="80"/>
  <c r="T1379" i="80"/>
  <c r="T1380" i="80"/>
  <c r="T1381" i="80"/>
  <c r="T1382" i="80"/>
  <c r="T1383" i="80"/>
  <c r="T1384" i="80"/>
  <c r="T1385" i="80"/>
  <c r="T1386" i="80"/>
  <c r="T1387" i="80"/>
  <c r="T1388" i="80"/>
  <c r="T1389" i="80"/>
  <c r="T1390" i="80"/>
  <c r="T1391" i="80"/>
  <c r="T1392" i="80"/>
  <c r="T1393" i="80"/>
  <c r="T1394" i="80"/>
  <c r="T1395" i="80"/>
  <c r="T1396" i="80"/>
  <c r="T1397" i="80"/>
  <c r="T1398" i="80"/>
  <c r="T1399" i="80"/>
  <c r="T1400" i="80"/>
  <c r="T1401" i="80"/>
  <c r="T1402" i="80"/>
  <c r="T1403" i="80"/>
  <c r="T1404" i="80"/>
  <c r="T1405" i="80"/>
  <c r="T1406" i="80"/>
  <c r="T1407" i="80"/>
  <c r="T1408" i="80"/>
  <c r="T1409" i="80"/>
  <c r="T1410" i="80"/>
  <c r="T1411" i="80"/>
  <c r="T1412" i="80"/>
  <c r="T1413" i="80"/>
  <c r="T1414" i="80"/>
  <c r="T2" i="80"/>
  <c r="AD5" i="48" a="1"/>
  <c r="AD5" i="48" s="1"/>
  <c r="AE5" i="48"/>
  <c r="AF5" i="48" a="1"/>
  <c r="AF5" i="48" s="1"/>
  <c r="AD6" i="48" a="1"/>
  <c r="AD6" i="48" s="1"/>
  <c r="AE6" i="48"/>
  <c r="AF6" i="48" a="1"/>
  <c r="AF6" i="48" s="1"/>
  <c r="AD7" i="48" a="1"/>
  <c r="AD7" i="48" s="1"/>
  <c r="AE7" i="48"/>
  <c r="AF7" i="48" a="1"/>
  <c r="AF7" i="48" s="1"/>
  <c r="AD8" i="48" a="1"/>
  <c r="AD8" i="48" s="1"/>
  <c r="AE8" i="48"/>
  <c r="AF8" i="48" a="1"/>
  <c r="AF8" i="48" s="1"/>
  <c r="AD9" i="48" a="1"/>
  <c r="AD9" i="48" s="1"/>
  <c r="AE9" i="48"/>
  <c r="AF9" i="48" a="1"/>
  <c r="AF9" i="48" s="1"/>
  <c r="AD10" i="48" a="1"/>
  <c r="AD10" i="48" s="1"/>
  <c r="AE10" i="48"/>
  <c r="AF10" i="48" a="1"/>
  <c r="AF10" i="48" s="1"/>
  <c r="AD11" i="48" a="1"/>
  <c r="AD11" i="48" s="1"/>
  <c r="AE11" i="48"/>
  <c r="AF11" i="48" a="1"/>
  <c r="AF11" i="48" s="1"/>
  <c r="AD12" i="48" a="1"/>
  <c r="AD12" i="48" s="1"/>
  <c r="AE12" i="48"/>
  <c r="AF12" i="48" a="1"/>
  <c r="AF12" i="48" s="1"/>
  <c r="AD13" i="48" a="1"/>
  <c r="AD13" i="48" s="1"/>
  <c r="AE13" i="48"/>
  <c r="AF13" i="48" a="1"/>
  <c r="AF13" i="48" s="1"/>
  <c r="AD14" i="48" a="1"/>
  <c r="AD14" i="48" s="1"/>
  <c r="AE14" i="48"/>
  <c r="AF14" i="48" a="1"/>
  <c r="AF14" i="48" s="1"/>
  <c r="AD15" i="48" a="1"/>
  <c r="AD15" i="48" s="1"/>
  <c r="AE15" i="48"/>
  <c r="AF15" i="48" a="1"/>
  <c r="AF15" i="48" s="1"/>
  <c r="AD16" i="48" a="1"/>
  <c r="AD16" i="48" s="1"/>
  <c r="AE16" i="48"/>
  <c r="AF16" i="48" a="1"/>
  <c r="AF16" i="48" s="1"/>
  <c r="AD17" i="48" a="1"/>
  <c r="AD17" i="48" s="1"/>
  <c r="AE17" i="48"/>
  <c r="AF17" i="48" a="1"/>
  <c r="AF17" i="48" s="1"/>
  <c r="AD18" i="48" a="1"/>
  <c r="AD18" i="48" s="1"/>
  <c r="AE18" i="48"/>
  <c r="AF18" i="48" a="1"/>
  <c r="AF18" i="48" s="1"/>
  <c r="AD19" i="48" a="1"/>
  <c r="AD19" i="48" s="1"/>
  <c r="AE19" i="48"/>
  <c r="AF19" i="48" a="1"/>
  <c r="AF19" i="48" s="1"/>
  <c r="AD20" i="48" a="1"/>
  <c r="AD20" i="48" s="1"/>
  <c r="AE20" i="48"/>
  <c r="AF20" i="48" a="1"/>
  <c r="AF20" i="48" s="1"/>
  <c r="AD21" i="48" a="1"/>
  <c r="AD21" i="48" s="1"/>
  <c r="AE21" i="48"/>
  <c r="AF21" i="48" a="1"/>
  <c r="AF21" i="48" s="1"/>
  <c r="AD22" i="48" a="1"/>
  <c r="AD22" i="48" s="1"/>
  <c r="AE22" i="48"/>
  <c r="AF22" i="48" a="1"/>
  <c r="AF22" i="48" s="1"/>
  <c r="AD23" i="48" a="1"/>
  <c r="AD23" i="48" s="1"/>
  <c r="AE23" i="48"/>
  <c r="AF23" i="48" a="1"/>
  <c r="AF23" i="48" s="1"/>
  <c r="AD24" i="48" a="1"/>
  <c r="AD24" i="48" s="1"/>
  <c r="AE24" i="48"/>
  <c r="AF24" i="48" a="1"/>
  <c r="AF24" i="48" s="1"/>
  <c r="AD25" i="48" a="1"/>
  <c r="AD25" i="48" s="1"/>
  <c r="AE25" i="48"/>
  <c r="AF25" i="48" a="1"/>
  <c r="AF25" i="48" s="1"/>
  <c r="AD26" i="48" a="1"/>
  <c r="AD26" i="48" s="1"/>
  <c r="AE26" i="48"/>
  <c r="AF26" i="48" a="1"/>
  <c r="AF26" i="48" s="1"/>
  <c r="AD27" i="48" a="1"/>
  <c r="AD27" i="48" s="1"/>
  <c r="AE27" i="48"/>
  <c r="AF27" i="48" a="1"/>
  <c r="AF27" i="48" s="1"/>
  <c r="AD28" i="48" a="1"/>
  <c r="AD28" i="48" s="1"/>
  <c r="AE28" i="48"/>
  <c r="AF28" i="48" a="1"/>
  <c r="AF28" i="48" s="1"/>
  <c r="AD29" i="48" a="1"/>
  <c r="AD29" i="48" s="1"/>
  <c r="AE29" i="48"/>
  <c r="AF29" i="48" a="1"/>
  <c r="AF29" i="48" s="1"/>
  <c r="AD30" i="48" a="1"/>
  <c r="AD30" i="48" s="1"/>
  <c r="AE30" i="48"/>
  <c r="AF30" i="48" a="1"/>
  <c r="AF30" i="48" s="1"/>
  <c r="AD31" i="48" a="1"/>
  <c r="AD31" i="48" s="1"/>
  <c r="AE31" i="48"/>
  <c r="AF31" i="48" a="1"/>
  <c r="AF31" i="48" s="1"/>
  <c r="AD32" i="48" a="1"/>
  <c r="AD32" i="48" s="1"/>
  <c r="AE32" i="48"/>
  <c r="AF32" i="48" a="1"/>
  <c r="AF32" i="48" s="1"/>
  <c r="AD33" i="48" a="1"/>
  <c r="AD33" i="48" s="1"/>
  <c r="AE33" i="48"/>
  <c r="AF33" i="48" a="1"/>
  <c r="AF33" i="48" s="1"/>
  <c r="AD34" i="48" a="1"/>
  <c r="AD34" i="48" s="1"/>
  <c r="AE34" i="48"/>
  <c r="AF34" i="48" a="1"/>
  <c r="AF34" i="48" s="1"/>
  <c r="AD35" i="48" a="1"/>
  <c r="AD35" i="48" s="1"/>
  <c r="AE35" i="48"/>
  <c r="AF35" i="48" a="1"/>
  <c r="AF35" i="48" s="1"/>
  <c r="AD36" i="48" a="1"/>
  <c r="AD36" i="48" s="1"/>
  <c r="AE36" i="48"/>
  <c r="AF36" i="48" a="1"/>
  <c r="AF36" i="48" s="1"/>
  <c r="AD37" i="48" a="1"/>
  <c r="AD37" i="48" s="1"/>
  <c r="AE37" i="48"/>
  <c r="AF37" i="48" a="1"/>
  <c r="AF37" i="48" s="1"/>
  <c r="AD38" i="48" a="1"/>
  <c r="AD38" i="48" s="1"/>
  <c r="AE38" i="48"/>
  <c r="AF38" i="48" a="1"/>
  <c r="AF38" i="48" s="1"/>
  <c r="AD39" i="48" a="1"/>
  <c r="AD39" i="48" s="1"/>
  <c r="AE39" i="48"/>
  <c r="AF39" i="48" s="1" a="1"/>
  <c r="AF39" i="48" s="1"/>
  <c r="AD40" i="48" a="1"/>
  <c r="AD40" i="48" s="1"/>
  <c r="AE40" i="48"/>
  <c r="AF40" i="48" a="1"/>
  <c r="AF40" i="48" s="1"/>
  <c r="AD41" i="48" a="1"/>
  <c r="AD41" i="48" s="1"/>
  <c r="AE41" i="48"/>
  <c r="AF41" i="48" a="1"/>
  <c r="AF41" i="48" s="1"/>
  <c r="AD42" i="48" a="1"/>
  <c r="AD42" i="48" s="1"/>
  <c r="AE42" i="48"/>
  <c r="AF42" i="48" a="1"/>
  <c r="AF42" i="48" s="1"/>
  <c r="AD43" i="48" a="1"/>
  <c r="AD43" i="48" s="1"/>
  <c r="AE43" i="48"/>
  <c r="AF43" i="48" a="1"/>
  <c r="AF43" i="48" s="1"/>
  <c r="AD44" i="48" a="1"/>
  <c r="AD44" i="48" s="1"/>
  <c r="AE44" i="48"/>
  <c r="AF44" i="48" a="1"/>
  <c r="AF44" i="48" s="1"/>
  <c r="AD45" i="48" a="1"/>
  <c r="AD45" i="48" s="1"/>
  <c r="AE45" i="48"/>
  <c r="AF45" i="48" a="1"/>
  <c r="AF45" i="48" s="1"/>
  <c r="AD46" i="48" a="1"/>
  <c r="AD46" i="48" s="1"/>
  <c r="AE46" i="48"/>
  <c r="AF46" i="48" a="1"/>
  <c r="AF46" i="48" s="1"/>
  <c r="AD47" i="48" a="1"/>
  <c r="AD47" i="48" s="1"/>
  <c r="AE47" i="48"/>
  <c r="AF47" i="48" a="1"/>
  <c r="AF47" i="48" s="1"/>
  <c r="AD48" i="48" a="1"/>
  <c r="AD48" i="48" s="1"/>
  <c r="AE48" i="48"/>
  <c r="AF48" i="48" s="1" a="1"/>
  <c r="AF48" i="48" s="1"/>
  <c r="AD49" i="48" a="1"/>
  <c r="AD49" i="48" s="1"/>
  <c r="AE49" i="48"/>
  <c r="AF49" i="48" a="1"/>
  <c r="AF49" i="48" s="1"/>
  <c r="AD50" i="48" a="1"/>
  <c r="AD50" i="48" s="1"/>
  <c r="AE50" i="48"/>
  <c r="AF50" i="48" s="1" a="1"/>
  <c r="AF50" i="48" s="1"/>
  <c r="AD51" i="48" a="1"/>
  <c r="AD51" i="48" s="1"/>
  <c r="AE51" i="48"/>
  <c r="AF51" i="48" a="1"/>
  <c r="AF51" i="48" s="1"/>
  <c r="AD52" i="48" a="1"/>
  <c r="AD52" i="48" s="1"/>
  <c r="AE52" i="48"/>
  <c r="AF52" i="48" a="1"/>
  <c r="AF52" i="48" s="1"/>
  <c r="AD53" i="48" a="1"/>
  <c r="AD53" i="48" s="1"/>
  <c r="AE53" i="48"/>
  <c r="AF53" i="48" a="1"/>
  <c r="AF53" i="48" s="1"/>
  <c r="AD54" i="48" a="1"/>
  <c r="AD54" i="48" s="1"/>
  <c r="AE54" i="48"/>
  <c r="AF54" i="48" a="1"/>
  <c r="AF54" i="48" s="1"/>
  <c r="AD55" i="48" a="1"/>
  <c r="AD55" i="48" s="1"/>
  <c r="AE55" i="48"/>
  <c r="AF55" i="48" a="1"/>
  <c r="AF55" i="48" s="1"/>
  <c r="AD56" i="48" a="1"/>
  <c r="AD56" i="48" s="1"/>
  <c r="AE56" i="48"/>
  <c r="AF56" i="48" a="1"/>
  <c r="AF56" i="48" s="1"/>
  <c r="AD57" i="48" a="1"/>
  <c r="AD57" i="48" s="1"/>
  <c r="AE57" i="48"/>
  <c r="AF57" i="48" a="1"/>
  <c r="AF57" i="48" s="1"/>
  <c r="AD58" i="48" a="1"/>
  <c r="AD58" i="48" s="1"/>
  <c r="AE58" i="48"/>
  <c r="AF58" i="48" a="1"/>
  <c r="AF58" i="48" s="1"/>
  <c r="AD59" i="48" a="1"/>
  <c r="AD59" i="48" s="1"/>
  <c r="AE59" i="48"/>
  <c r="AF59" i="48" a="1"/>
  <c r="AF59" i="48" s="1"/>
  <c r="AD60" i="48" a="1"/>
  <c r="AD60" i="48" s="1"/>
  <c r="AE60" i="48"/>
  <c r="AF60" i="48" a="1"/>
  <c r="AF60" i="48" s="1"/>
  <c r="AD61" i="48" a="1"/>
  <c r="AD61" i="48" s="1"/>
  <c r="AE61" i="48"/>
  <c r="AF61" i="48" a="1"/>
  <c r="AF61" i="48" s="1"/>
  <c r="AD62" i="48" a="1"/>
  <c r="AD62" i="48" s="1"/>
  <c r="AE62" i="48"/>
  <c r="AF62" i="48" s="1" a="1"/>
  <c r="AF62" i="48" s="1"/>
  <c r="AD63" i="48" a="1"/>
  <c r="AD63" i="48" s="1"/>
  <c r="AE63" i="48"/>
  <c r="AF63" i="48" a="1"/>
  <c r="AF63" i="48" s="1"/>
  <c r="AD64" i="48" a="1"/>
  <c r="AD64" i="48" s="1"/>
  <c r="AE64" i="48"/>
  <c r="AF64" i="48" a="1"/>
  <c r="AF64" i="48" s="1"/>
  <c r="AD65" i="48" a="1"/>
  <c r="AD65" i="48" s="1"/>
  <c r="AE65" i="48"/>
  <c r="AF65" i="48" a="1"/>
  <c r="AF65" i="48" s="1"/>
  <c r="AD66" i="48" a="1"/>
  <c r="AD66" i="48" s="1"/>
  <c r="AE66" i="48"/>
  <c r="AF66" i="48" a="1"/>
  <c r="AF66" i="48" s="1"/>
  <c r="AD67" i="48" a="1"/>
  <c r="AD67" i="48" s="1"/>
  <c r="AE67" i="48"/>
  <c r="AF67" i="48" a="1"/>
  <c r="AF67" i="48" s="1"/>
  <c r="AD68" i="48" a="1"/>
  <c r="AD68" i="48" s="1"/>
  <c r="AE68" i="48"/>
  <c r="AF68" i="48" a="1"/>
  <c r="AF68" i="48" s="1"/>
  <c r="AD69" i="48" a="1"/>
  <c r="AD69" i="48" s="1"/>
  <c r="AE69" i="48"/>
  <c r="AF69" i="48" a="1"/>
  <c r="AF69" i="48" s="1"/>
  <c r="AD70" i="48" a="1"/>
  <c r="AD70" i="48" s="1"/>
  <c r="AE70" i="48"/>
  <c r="AF70" i="48" a="1"/>
  <c r="AF70" i="48" s="1"/>
  <c r="AD71" i="48" a="1"/>
  <c r="AD71" i="48" s="1"/>
  <c r="AE71" i="48"/>
  <c r="AF71" i="48" a="1"/>
  <c r="AF71" i="48" s="1"/>
  <c r="AD72" i="48" a="1"/>
  <c r="AD72" i="48" s="1"/>
  <c r="AE72" i="48"/>
  <c r="AF72" i="48" a="1"/>
  <c r="AF72" i="48" s="1"/>
  <c r="AD73" i="48" a="1"/>
  <c r="AD73" i="48" s="1"/>
  <c r="AE73" i="48"/>
  <c r="AF73" i="48" a="1"/>
  <c r="AF73" i="48" s="1"/>
  <c r="AD74" i="48" a="1"/>
  <c r="AD74" i="48" s="1"/>
  <c r="AE74" i="48"/>
  <c r="AF74" i="48" a="1"/>
  <c r="AF74" i="48" s="1"/>
  <c r="AD75" i="48" a="1"/>
  <c r="AD75" i="48" s="1"/>
  <c r="AE75" i="48"/>
  <c r="AF75" i="48" a="1"/>
  <c r="AF75" i="48" s="1"/>
  <c r="AD76" i="48" a="1"/>
  <c r="AD76" i="48" s="1"/>
  <c r="AE76" i="48"/>
  <c r="AF76" i="48" a="1"/>
  <c r="AF76" i="48" s="1"/>
  <c r="AD77" i="48" a="1"/>
  <c r="AD77" i="48" s="1"/>
  <c r="AE77" i="48"/>
  <c r="AF77" i="48" a="1"/>
  <c r="AF77" i="48" s="1"/>
  <c r="AD78" i="48" a="1"/>
  <c r="AD78" i="48" s="1"/>
  <c r="AE78" i="48"/>
  <c r="AF78" i="48" a="1"/>
  <c r="AF78" i="48" s="1"/>
  <c r="AD79" i="48" a="1"/>
  <c r="AD79" i="48" s="1"/>
  <c r="AE79" i="48"/>
  <c r="AF79" i="48" a="1"/>
  <c r="AF79" i="48" s="1"/>
  <c r="AD80" i="48" a="1"/>
  <c r="AD80" i="48" s="1"/>
  <c r="AE80" i="48"/>
  <c r="AF80" i="48" a="1"/>
  <c r="AF80" i="48" s="1"/>
  <c r="AD81" i="48" a="1"/>
  <c r="AD81" i="48" s="1"/>
  <c r="AE81" i="48"/>
  <c r="AF81" i="48" a="1"/>
  <c r="AF81" i="48" s="1"/>
  <c r="AD82" i="48" a="1"/>
  <c r="AD82" i="48" s="1"/>
  <c r="AE82" i="48"/>
  <c r="AF82" i="48" a="1"/>
  <c r="AF82" i="48" s="1"/>
  <c r="AD83" i="48" a="1"/>
  <c r="AD83" i="48" s="1"/>
  <c r="AE83" i="48"/>
  <c r="AF83" i="48" a="1"/>
  <c r="AF83" i="48" s="1"/>
  <c r="AD84" i="48" a="1"/>
  <c r="AD84" i="48" s="1"/>
  <c r="AE84" i="48"/>
  <c r="AF84" i="48" a="1"/>
  <c r="AF84" i="48" s="1"/>
  <c r="AD85" i="48" a="1"/>
  <c r="AD85" i="48" s="1"/>
  <c r="AE85" i="48"/>
  <c r="AF85" i="48" a="1"/>
  <c r="AF85" i="48" s="1"/>
  <c r="AD86" i="48" a="1"/>
  <c r="AD86" i="48" s="1"/>
  <c r="AE86" i="48"/>
  <c r="AF86" i="48" a="1"/>
  <c r="AF86" i="48" s="1"/>
  <c r="AD87" i="48" a="1"/>
  <c r="AD87" i="48" s="1"/>
  <c r="AE87" i="48"/>
  <c r="AF87" i="48" a="1"/>
  <c r="AF87" i="48" s="1"/>
  <c r="AD88" i="48" a="1"/>
  <c r="AD88" i="48" s="1"/>
  <c r="AE88" i="48"/>
  <c r="AF88" i="48" a="1"/>
  <c r="AF88" i="48" s="1"/>
  <c r="AD89" i="48" a="1"/>
  <c r="AD89" i="48" s="1"/>
  <c r="AE89" i="48"/>
  <c r="AF89" i="48" a="1"/>
  <c r="AF89" i="48" s="1"/>
  <c r="AD90" i="48" a="1"/>
  <c r="AD90" i="48" s="1"/>
  <c r="AE90" i="48"/>
  <c r="AF90" i="48" a="1"/>
  <c r="AF90" i="48" s="1"/>
  <c r="AD91" i="48" a="1"/>
  <c r="AD91" i="48" s="1"/>
  <c r="AE91" i="48"/>
  <c r="AF91" i="48" a="1"/>
  <c r="AF91" i="48" s="1"/>
  <c r="AD92" i="48" a="1"/>
  <c r="AD92" i="48" s="1"/>
  <c r="AE92" i="48"/>
  <c r="AF92" i="48" a="1"/>
  <c r="AF92" i="48" s="1"/>
  <c r="AD93" i="48" a="1"/>
  <c r="AD93" i="48" s="1"/>
  <c r="AE93" i="48"/>
  <c r="AF93" i="48" a="1"/>
  <c r="AF93" i="48" s="1"/>
  <c r="AD94" i="48" a="1"/>
  <c r="AD94" i="48" s="1"/>
  <c r="AE94" i="48"/>
  <c r="AF94" i="48" a="1"/>
  <c r="AF94" i="48" s="1"/>
  <c r="AD95" i="48" a="1"/>
  <c r="AD95" i="48" s="1"/>
  <c r="AE95" i="48"/>
  <c r="AF95" i="48" a="1"/>
  <c r="AF95" i="48" s="1"/>
  <c r="AD96" i="48" a="1"/>
  <c r="AD96" i="48" s="1"/>
  <c r="AE96" i="48"/>
  <c r="AF96" i="48" a="1"/>
  <c r="AF96" i="48" s="1"/>
  <c r="AD97" i="48" a="1"/>
  <c r="AD97" i="48" s="1"/>
  <c r="AE97" i="48"/>
  <c r="AF97" i="48" s="1" a="1"/>
  <c r="AF97" i="48" s="1"/>
  <c r="AD98" i="48" a="1"/>
  <c r="AD98" i="48" s="1"/>
  <c r="AE98" i="48"/>
  <c r="AF98" i="48" a="1"/>
  <c r="AF98" i="48" s="1"/>
  <c r="AD99" i="48" a="1"/>
  <c r="AD99" i="48" s="1"/>
  <c r="AE99" i="48"/>
  <c r="AF99" i="48" s="1" a="1"/>
  <c r="AF99" i="48" s="1"/>
  <c r="AD100" i="48" a="1"/>
  <c r="AD100" i="48" s="1"/>
  <c r="AE100" i="48"/>
  <c r="AF100" i="48" a="1"/>
  <c r="AF100" i="48" s="1"/>
  <c r="AD101" i="48" a="1"/>
  <c r="AD101" i="48" s="1"/>
  <c r="AE101" i="48"/>
  <c r="AF101" i="48" a="1"/>
  <c r="AF101" i="48" s="1"/>
  <c r="AD102" i="48" a="1"/>
  <c r="AD102" i="48" s="1"/>
  <c r="AE102" i="48"/>
  <c r="AF102" i="48" a="1"/>
  <c r="AF102" i="48" s="1"/>
  <c r="AD103" i="48" a="1"/>
  <c r="AD103" i="48" s="1"/>
  <c r="AE103" i="48"/>
  <c r="AF103" i="48" a="1"/>
  <c r="AF103" i="48" s="1"/>
  <c r="AD104" i="48" a="1"/>
  <c r="AD104" i="48" s="1"/>
  <c r="AE104" i="48"/>
  <c r="AF104" i="48" a="1"/>
  <c r="AF104" i="48" s="1"/>
  <c r="AD105" i="48" a="1"/>
  <c r="AD105" i="48" s="1"/>
  <c r="AE105" i="48"/>
  <c r="AF105" i="48" s="1" a="1"/>
  <c r="AF105" i="48" s="1"/>
  <c r="AD106" i="48" a="1"/>
  <c r="AD106" i="48" s="1"/>
  <c r="AE106" i="48"/>
  <c r="AF106" i="48" a="1"/>
  <c r="AF106" i="48" s="1"/>
  <c r="AD107" i="48" a="1"/>
  <c r="AD107" i="48" s="1"/>
  <c r="AE107" i="48"/>
  <c r="AF107" i="48" a="1"/>
  <c r="AF107" i="48" s="1"/>
  <c r="AD108" i="48" a="1"/>
  <c r="AD108" i="48" s="1"/>
  <c r="AE108" i="48"/>
  <c r="AF108" i="48" a="1"/>
  <c r="AF108" i="48" s="1"/>
  <c r="AD109" i="48" a="1"/>
  <c r="AD109" i="48" s="1"/>
  <c r="AE109" i="48"/>
  <c r="AF109" i="48" a="1"/>
  <c r="AF109" i="48" s="1"/>
  <c r="AD110" i="48" a="1"/>
  <c r="AD110" i="48" s="1"/>
  <c r="AE110" i="48"/>
  <c r="AF110" i="48" a="1"/>
  <c r="AF110" i="48" s="1"/>
  <c r="AD111" i="48" a="1"/>
  <c r="AD111" i="48" s="1"/>
  <c r="AE111" i="48"/>
  <c r="AF111" i="48" a="1"/>
  <c r="AF111" i="48" s="1"/>
  <c r="AD112" i="48" a="1"/>
  <c r="AD112" i="48" s="1"/>
  <c r="AE112" i="48"/>
  <c r="AF112" i="48" a="1"/>
  <c r="AF112" i="48" s="1"/>
  <c r="AD113" i="48" a="1"/>
  <c r="AD113" i="48" s="1"/>
  <c r="AE113" i="48"/>
  <c r="AF113" i="48" a="1"/>
  <c r="AF113" i="48" s="1"/>
  <c r="AD114" i="48" a="1"/>
  <c r="AD114" i="48" s="1"/>
  <c r="AE114" i="48"/>
  <c r="AF114" i="48" a="1"/>
  <c r="AF114" i="48" s="1"/>
  <c r="AD115" i="48" a="1"/>
  <c r="AD115" i="48" s="1"/>
  <c r="AE115" i="48"/>
  <c r="AF115" i="48" a="1"/>
  <c r="AF115" i="48" s="1"/>
  <c r="AD116" i="48" a="1"/>
  <c r="AD116" i="48" s="1"/>
  <c r="AE116" i="48"/>
  <c r="AF116" i="48" a="1"/>
  <c r="AF116" i="48" s="1"/>
  <c r="AD117" i="48" a="1"/>
  <c r="AD117" i="48" s="1"/>
  <c r="AE117" i="48"/>
  <c r="AF117" i="48" a="1"/>
  <c r="AF117" i="48" s="1"/>
  <c r="AD118" i="48" a="1"/>
  <c r="AD118" i="48" s="1"/>
  <c r="AE118" i="48"/>
  <c r="AF118" i="48" a="1"/>
  <c r="AF118" i="48" s="1"/>
  <c r="AD119" i="48" a="1"/>
  <c r="AD119" i="48" s="1"/>
  <c r="AE119" i="48"/>
  <c r="AF119" i="48" a="1"/>
  <c r="AF119" i="48" s="1"/>
  <c r="AD120" i="48" a="1"/>
  <c r="AD120" i="48" s="1"/>
  <c r="AE120" i="48"/>
  <c r="AF120" i="48" a="1"/>
  <c r="AF120" i="48" s="1"/>
  <c r="AD121" i="48" a="1"/>
  <c r="AD121" i="48" s="1"/>
  <c r="AE121" i="48"/>
  <c r="AF121" i="48" a="1"/>
  <c r="AF121" i="48" s="1"/>
  <c r="AD122" i="48" a="1"/>
  <c r="AD122" i="48" s="1"/>
  <c r="AE122" i="48"/>
  <c r="AF122" i="48" a="1"/>
  <c r="AF122" i="48" s="1"/>
  <c r="AD123" i="48" a="1"/>
  <c r="AD123" i="48" s="1"/>
  <c r="AE123" i="48"/>
  <c r="AF123" i="48" a="1"/>
  <c r="AF123" i="48" s="1"/>
  <c r="AD124" i="48" a="1"/>
  <c r="AD124" i="48" s="1"/>
  <c r="AE124" i="48"/>
  <c r="AF124" i="48" a="1"/>
  <c r="AF124" i="48" s="1"/>
  <c r="AD125" i="48" a="1"/>
  <c r="AD125" i="48" s="1"/>
  <c r="AE125" i="48"/>
  <c r="AF125" i="48" a="1"/>
  <c r="AF125" i="48" s="1"/>
  <c r="AD126" i="48" a="1"/>
  <c r="AD126" i="48" s="1"/>
  <c r="AE126" i="48"/>
  <c r="AF126" i="48" a="1"/>
  <c r="AF126" i="48" s="1"/>
  <c r="AD127" i="48" a="1"/>
  <c r="AD127" i="48" s="1"/>
  <c r="AE127" i="48"/>
  <c r="AF127" i="48" a="1"/>
  <c r="AF127" i="48" s="1"/>
  <c r="AD128" i="48" a="1"/>
  <c r="AD128" i="48" s="1"/>
  <c r="AE128" i="48"/>
  <c r="AF128" i="48" s="1" a="1"/>
  <c r="AF128" i="48" s="1"/>
  <c r="AD129" i="48" a="1"/>
  <c r="AD129" i="48" s="1"/>
  <c r="AE129" i="48"/>
  <c r="AF129" i="48" a="1"/>
  <c r="AF129" i="48" s="1"/>
  <c r="AD130" i="48" a="1"/>
  <c r="AD130" i="48" s="1"/>
  <c r="AE130" i="48"/>
  <c r="AF130" i="48" a="1"/>
  <c r="AF130" i="48" s="1"/>
  <c r="AD131" i="48" a="1"/>
  <c r="AD131" i="48" s="1"/>
  <c r="AE131" i="48"/>
  <c r="AF131" i="48" a="1"/>
  <c r="AF131" i="48" s="1"/>
  <c r="AD132" i="48" a="1"/>
  <c r="AD132" i="48" s="1"/>
  <c r="AE132" i="48"/>
  <c r="AF132" i="48" a="1"/>
  <c r="AF132" i="48" s="1"/>
  <c r="AD133" i="48" a="1"/>
  <c r="AD133" i="48" s="1"/>
  <c r="AE133" i="48"/>
  <c r="AF133" i="48" a="1"/>
  <c r="AF133" i="48" s="1"/>
  <c r="AD134" i="48" a="1"/>
  <c r="AD134" i="48" s="1"/>
  <c r="AE134" i="48"/>
  <c r="AF134" i="48" a="1"/>
  <c r="AF134" i="48" s="1"/>
  <c r="AD135" i="48" a="1"/>
  <c r="AD135" i="48" s="1"/>
  <c r="AE135" i="48"/>
  <c r="AF135" i="48" a="1"/>
  <c r="AF135" i="48" s="1"/>
  <c r="AD136" i="48" a="1"/>
  <c r="AD136" i="48" s="1"/>
  <c r="AE136" i="48"/>
  <c r="AF136" i="48" a="1"/>
  <c r="AF136" i="48" s="1"/>
  <c r="AD137" i="48" a="1"/>
  <c r="AD137" i="48" s="1"/>
  <c r="AE137" i="48"/>
  <c r="AF137" i="48" a="1"/>
  <c r="AF137" i="48" s="1"/>
  <c r="AD138" i="48" a="1"/>
  <c r="AD138" i="48" s="1"/>
  <c r="AE138" i="48"/>
  <c r="AF138" i="48" a="1"/>
  <c r="AF138" i="48" s="1"/>
  <c r="AD139" i="48" a="1"/>
  <c r="AD139" i="48" s="1"/>
  <c r="AE139" i="48"/>
  <c r="AF139" i="48" a="1"/>
  <c r="AF139" i="48" s="1"/>
  <c r="AD140" i="48" a="1"/>
  <c r="AD140" i="48" s="1"/>
  <c r="AE140" i="48"/>
  <c r="AF140" i="48" a="1"/>
  <c r="AF140" i="48" s="1"/>
  <c r="AD141" i="48" a="1"/>
  <c r="AD141" i="48" s="1"/>
  <c r="AE141" i="48"/>
  <c r="AF141" i="48" a="1"/>
  <c r="AF141" i="48" s="1"/>
  <c r="AD142" i="48" a="1"/>
  <c r="AD142" i="48" s="1"/>
  <c r="AE142" i="48"/>
  <c r="AF142" i="48" a="1"/>
  <c r="AF142" i="48" s="1"/>
  <c r="AD143" i="48" a="1"/>
  <c r="AD143" i="48" s="1"/>
  <c r="AE143" i="48"/>
  <c r="AF143" i="48" a="1"/>
  <c r="AF143" i="48" s="1"/>
  <c r="AD144" i="48" a="1"/>
  <c r="AD144" i="48" s="1"/>
  <c r="AE144" i="48"/>
  <c r="AF144" i="48" a="1"/>
  <c r="AF144" i="48" s="1"/>
  <c r="AD145" i="48" a="1"/>
  <c r="AD145" i="48" s="1"/>
  <c r="AE145" i="48"/>
  <c r="AF145" i="48" a="1"/>
  <c r="AF145" i="48" s="1"/>
  <c r="AD146" i="48" a="1"/>
  <c r="AD146" i="48" s="1"/>
  <c r="AE146" i="48"/>
  <c r="AF146" i="48" a="1"/>
  <c r="AF146" i="48" s="1"/>
  <c r="AD147" i="48" a="1"/>
  <c r="AD147" i="48" s="1"/>
  <c r="AE147" i="48"/>
  <c r="AF147" i="48" a="1"/>
  <c r="AF147" i="48" s="1"/>
  <c r="AD148" i="48" a="1"/>
  <c r="AD148" i="48" s="1"/>
  <c r="AE148" i="48"/>
  <c r="AF148" i="48" a="1"/>
  <c r="AF148" i="48" s="1"/>
  <c r="AD149" i="48" a="1"/>
  <c r="AD149" i="48" s="1"/>
  <c r="AE149" i="48"/>
  <c r="AF149" i="48" a="1"/>
  <c r="AF149" i="48" s="1"/>
  <c r="AD150" i="48" a="1"/>
  <c r="AD150" i="48" s="1"/>
  <c r="AE150" i="48"/>
  <c r="AF150" i="48" a="1"/>
  <c r="AF150" i="48" s="1"/>
  <c r="AD151" i="48" a="1"/>
  <c r="AD151" i="48" s="1"/>
  <c r="AE151" i="48"/>
  <c r="AF151" i="48" a="1"/>
  <c r="AF151" i="48" s="1"/>
  <c r="AD152" i="48" a="1"/>
  <c r="AD152" i="48" s="1"/>
  <c r="AE152" i="48"/>
  <c r="AF152" i="48" a="1"/>
  <c r="AF152" i="48" s="1"/>
  <c r="AD153" i="48" a="1"/>
  <c r="AD153" i="48" s="1"/>
  <c r="AE153" i="48"/>
  <c r="AF153" i="48" a="1"/>
  <c r="AF153" i="48" s="1"/>
  <c r="AD154" i="48" a="1"/>
  <c r="AD154" i="48" s="1"/>
  <c r="AE154" i="48"/>
  <c r="AF154" i="48" a="1"/>
  <c r="AF154" i="48" s="1"/>
  <c r="AD155" i="48" a="1"/>
  <c r="AD155" i="48" s="1"/>
  <c r="AE155" i="48"/>
  <c r="AF155" i="48" a="1"/>
  <c r="AF155" i="48" s="1"/>
  <c r="AD156" i="48" a="1"/>
  <c r="AD156" i="48" s="1"/>
  <c r="AE156" i="48"/>
  <c r="AF156" i="48" a="1"/>
  <c r="AF156" i="48" s="1"/>
  <c r="AD157" i="48" a="1"/>
  <c r="AD157" i="48" s="1"/>
  <c r="AE157" i="48"/>
  <c r="AF157" i="48" a="1"/>
  <c r="AF157" i="48" s="1"/>
  <c r="AD158" i="48" a="1"/>
  <c r="AD158" i="48" s="1"/>
  <c r="AE158" i="48"/>
  <c r="AF158" i="48" a="1"/>
  <c r="AF158" i="48" s="1"/>
  <c r="AD159" i="48" a="1"/>
  <c r="AD159" i="48" s="1"/>
  <c r="AE159" i="48"/>
  <c r="AF159" i="48" a="1"/>
  <c r="AF159" i="48" s="1"/>
  <c r="AD160" i="48" a="1"/>
  <c r="AD160" i="48" s="1"/>
  <c r="AE160" i="48"/>
  <c r="AF160" i="48" a="1"/>
  <c r="AF160" i="48" s="1"/>
  <c r="AD161" i="48" a="1"/>
  <c r="AD161" i="48" s="1"/>
  <c r="AE161" i="48"/>
  <c r="AF161" i="48" a="1"/>
  <c r="AF161" i="48" s="1"/>
  <c r="AD162" i="48" a="1"/>
  <c r="AD162" i="48" s="1"/>
  <c r="AE162" i="48"/>
  <c r="AF162" i="48" a="1"/>
  <c r="AF162" i="48" s="1"/>
  <c r="AD163" i="48" a="1"/>
  <c r="AD163" i="48" s="1"/>
  <c r="AE163" i="48"/>
  <c r="AF163" i="48" a="1"/>
  <c r="AF163" i="48" s="1"/>
  <c r="AD164" i="48" a="1"/>
  <c r="AD164" i="48" s="1"/>
  <c r="AE164" i="48"/>
  <c r="AF164" i="48" a="1"/>
  <c r="AF164" i="48" s="1"/>
  <c r="AD165" i="48" a="1"/>
  <c r="AD165" i="48" s="1"/>
  <c r="AE165" i="48"/>
  <c r="AF165" i="48" a="1"/>
  <c r="AF165" i="48" s="1"/>
  <c r="AD166" i="48" a="1"/>
  <c r="AD166" i="48" s="1"/>
  <c r="AE166" i="48"/>
  <c r="AF166" i="48" a="1"/>
  <c r="AF166" i="48" s="1"/>
  <c r="AD167" i="48" a="1"/>
  <c r="AD167" i="48" s="1"/>
  <c r="AE167" i="48"/>
  <c r="AF167" i="48" a="1"/>
  <c r="AF167" i="48" s="1"/>
  <c r="AD168" i="48" a="1"/>
  <c r="AD168" i="48" s="1"/>
  <c r="AE168" i="48"/>
  <c r="AF168" i="48" a="1"/>
  <c r="AF168" i="48" s="1"/>
  <c r="AD169" i="48" a="1"/>
  <c r="AD169" i="48" s="1"/>
  <c r="AE169" i="48"/>
  <c r="AF169" i="48" a="1"/>
  <c r="AF169" i="48" s="1"/>
  <c r="AD170" i="48" a="1"/>
  <c r="AD170" i="48" s="1"/>
  <c r="AE170" i="48"/>
  <c r="AF170" i="48" a="1"/>
  <c r="AF170" i="48" s="1"/>
  <c r="AD171" i="48" a="1"/>
  <c r="AD171" i="48" s="1"/>
  <c r="AE171" i="48"/>
  <c r="AF171" i="48" a="1"/>
  <c r="AF171" i="48" s="1"/>
  <c r="AD172" i="48" a="1"/>
  <c r="AD172" i="48" s="1"/>
  <c r="AE172" i="48"/>
  <c r="AF172" i="48" a="1"/>
  <c r="AF172" i="48" s="1"/>
  <c r="AD173" i="48" a="1"/>
  <c r="AD173" i="48" s="1"/>
  <c r="AE173" i="48"/>
  <c r="AF173" i="48" a="1"/>
  <c r="AF173" i="48" s="1"/>
  <c r="AD174" i="48" a="1"/>
  <c r="AD174" i="48" s="1"/>
  <c r="AE174" i="48"/>
  <c r="AF174" i="48" a="1"/>
  <c r="AF174" i="48" s="1"/>
  <c r="AD175" i="48" a="1"/>
  <c r="AD175" i="48" s="1"/>
  <c r="AE175" i="48"/>
  <c r="AF175" i="48" a="1"/>
  <c r="AF175" i="48" s="1"/>
  <c r="AD176" i="48" a="1"/>
  <c r="AD176" i="48" s="1"/>
  <c r="AE176" i="48"/>
  <c r="AF176" i="48" a="1"/>
  <c r="AF176" i="48" s="1"/>
  <c r="AD177" i="48" a="1"/>
  <c r="AD177" i="48" s="1"/>
  <c r="AE177" i="48"/>
  <c r="AF177" i="48" a="1"/>
  <c r="AF177" i="48" s="1"/>
  <c r="AD178" i="48" a="1"/>
  <c r="AD178" i="48" s="1"/>
  <c r="AE178" i="48"/>
  <c r="AF178" i="48" a="1"/>
  <c r="AF178" i="48" s="1"/>
  <c r="AD179" i="48" a="1"/>
  <c r="AD179" i="48" s="1"/>
  <c r="AE179" i="48"/>
  <c r="AF179" i="48" a="1"/>
  <c r="AF179" i="48" s="1"/>
  <c r="AD180" i="48" a="1"/>
  <c r="AD180" i="48" s="1"/>
  <c r="AE180" i="48"/>
  <c r="AF180" i="48" a="1"/>
  <c r="AF180" i="48" s="1"/>
  <c r="AD181" i="48" a="1"/>
  <c r="AD181" i="48" s="1"/>
  <c r="AE181" i="48"/>
  <c r="AF181" i="48" a="1"/>
  <c r="AF181" i="48" s="1"/>
  <c r="AD182" i="48" a="1"/>
  <c r="AD182" i="48" s="1"/>
  <c r="AE182" i="48"/>
  <c r="AF182" i="48" a="1"/>
  <c r="AF182" i="48" s="1"/>
  <c r="AD183" i="48" a="1"/>
  <c r="AD183" i="48" s="1"/>
  <c r="AE183" i="48"/>
  <c r="AF183" i="48" a="1"/>
  <c r="AF183" i="48" s="1"/>
  <c r="AD184" i="48" a="1"/>
  <c r="AD184" i="48" s="1"/>
  <c r="AE184" i="48"/>
  <c r="AF184" i="48" a="1"/>
  <c r="AF184" i="48" s="1"/>
  <c r="AD185" i="48" a="1"/>
  <c r="AD185" i="48" s="1"/>
  <c r="AE185" i="48"/>
  <c r="AF185" i="48" a="1"/>
  <c r="AF185" i="48" s="1"/>
  <c r="AD186" i="48" a="1"/>
  <c r="AD186" i="48" s="1"/>
  <c r="AE186" i="48"/>
  <c r="AF186" i="48" a="1"/>
  <c r="AF186" i="48" s="1"/>
  <c r="AD187" i="48" a="1"/>
  <c r="AD187" i="48" s="1"/>
  <c r="AE187" i="48"/>
  <c r="AF187" i="48" a="1"/>
  <c r="AF187" i="48" s="1"/>
  <c r="AD188" i="48" a="1"/>
  <c r="AD188" i="48" s="1"/>
  <c r="AE188" i="48"/>
  <c r="AF188" i="48" a="1"/>
  <c r="AF188" i="48" s="1"/>
  <c r="AD189" i="48" a="1"/>
  <c r="AD189" i="48" s="1"/>
  <c r="AE189" i="48"/>
  <c r="AF189" i="48" a="1"/>
  <c r="AF189" i="48" s="1"/>
  <c r="AD190" i="48" a="1"/>
  <c r="AD190" i="48" s="1"/>
  <c r="AE190" i="48"/>
  <c r="AF190" i="48" a="1"/>
  <c r="AF190" i="48" s="1"/>
  <c r="AD191" i="48" a="1"/>
  <c r="AD191" i="48" s="1"/>
  <c r="AE191" i="48"/>
  <c r="AF191" i="48" a="1"/>
  <c r="AF191" i="48" s="1"/>
  <c r="AD192" i="48" a="1"/>
  <c r="AD192" i="48" s="1"/>
  <c r="AE192" i="48"/>
  <c r="AF192" i="48" a="1"/>
  <c r="AF192" i="48" s="1"/>
  <c r="AD193" i="48" a="1"/>
  <c r="AD193" i="48" s="1"/>
  <c r="AE193" i="48"/>
  <c r="AF193" i="48" a="1"/>
  <c r="AF193" i="48" s="1"/>
  <c r="AD194" i="48" a="1"/>
  <c r="AD194" i="48" s="1"/>
  <c r="AE194" i="48"/>
  <c r="AF194" i="48" a="1"/>
  <c r="AF194" i="48" s="1"/>
  <c r="AD195" i="48" a="1"/>
  <c r="AD195" i="48" s="1"/>
  <c r="AE195" i="48"/>
  <c r="AF195" i="48" a="1"/>
  <c r="AF195" i="48" s="1"/>
  <c r="AD196" i="48" a="1"/>
  <c r="AD196" i="48" s="1"/>
  <c r="AE196" i="48"/>
  <c r="AF196" i="48" a="1"/>
  <c r="AF196" i="48" s="1"/>
  <c r="AD197" i="48" a="1"/>
  <c r="AD197" i="48" s="1"/>
  <c r="AE197" i="48"/>
  <c r="AF197" i="48" a="1"/>
  <c r="AF197" i="48" s="1"/>
  <c r="AD198" i="48" a="1"/>
  <c r="AD198" i="48" s="1"/>
  <c r="AE198" i="48"/>
  <c r="AF198" i="48" a="1"/>
  <c r="AF198" i="48" s="1"/>
  <c r="AD199" i="48" a="1"/>
  <c r="AD199" i="48" s="1"/>
  <c r="AE199" i="48"/>
  <c r="AF199" i="48" a="1"/>
  <c r="AF199" i="48" s="1"/>
  <c r="AD200" i="48" a="1"/>
  <c r="AD200" i="48" s="1"/>
  <c r="AE200" i="48"/>
  <c r="AF200" i="48" a="1"/>
  <c r="AF200" i="48" s="1"/>
  <c r="AD201" i="48" a="1"/>
  <c r="AD201" i="48" s="1"/>
  <c r="AE201" i="48"/>
  <c r="AF201" i="48" a="1"/>
  <c r="AF201" i="48" s="1"/>
  <c r="AD202" i="48" a="1"/>
  <c r="AD202" i="48" s="1"/>
  <c r="AE202" i="48"/>
  <c r="AF202" i="48" a="1"/>
  <c r="AF202" i="48" s="1"/>
  <c r="AD203" i="48" a="1"/>
  <c r="AD203" i="48" s="1"/>
  <c r="AE203" i="48"/>
  <c r="AF203" i="48" a="1"/>
  <c r="AF203" i="48" s="1"/>
  <c r="AD204" i="48" a="1"/>
  <c r="AD204" i="48" s="1"/>
  <c r="AE204" i="48"/>
  <c r="AF204" i="48" a="1"/>
  <c r="AF204" i="48" s="1"/>
  <c r="AD205" i="48" a="1"/>
  <c r="AD205" i="48" s="1"/>
  <c r="AE205" i="48"/>
  <c r="AF205" i="48" a="1"/>
  <c r="AF205" i="48" s="1"/>
  <c r="AD206" i="48" a="1"/>
  <c r="AD206" i="48" s="1"/>
  <c r="AE206" i="48"/>
  <c r="AF206" i="48" a="1"/>
  <c r="AF206" i="48" s="1"/>
  <c r="AD207" i="48" a="1"/>
  <c r="AD207" i="48" s="1"/>
  <c r="AE207" i="48"/>
  <c r="AF207" i="48" a="1"/>
  <c r="AF207" i="48" s="1"/>
  <c r="AD208" i="48" a="1"/>
  <c r="AD208" i="48" s="1"/>
  <c r="AE208" i="48"/>
  <c r="AF208" i="48" a="1"/>
  <c r="AF208" i="48" s="1"/>
  <c r="AD209" i="48" a="1"/>
  <c r="AD209" i="48" s="1"/>
  <c r="AE209" i="48"/>
  <c r="AF209" i="48" a="1"/>
  <c r="AF209" i="48" s="1"/>
  <c r="AD210" i="48" a="1"/>
  <c r="AD210" i="48" s="1"/>
  <c r="AE210" i="48"/>
  <c r="AF210" i="48" a="1"/>
  <c r="AF210" i="48" s="1"/>
  <c r="AD211" i="48" a="1"/>
  <c r="AD211" i="48" s="1"/>
  <c r="AE211" i="48"/>
  <c r="AF211" i="48" a="1"/>
  <c r="AF211" i="48" s="1"/>
  <c r="AD212" i="48" a="1"/>
  <c r="AD212" i="48" s="1"/>
  <c r="AE212" i="48"/>
  <c r="AF212" i="48" a="1"/>
  <c r="AF212" i="48" s="1"/>
  <c r="AD213" i="48" a="1"/>
  <c r="AD213" i="48" s="1"/>
  <c r="AE213" i="48"/>
  <c r="AF213" i="48" a="1"/>
  <c r="AF213" i="48" s="1"/>
  <c r="AD214" i="48" a="1"/>
  <c r="AD214" i="48" s="1"/>
  <c r="AE214" i="48"/>
  <c r="AF214" i="48" a="1"/>
  <c r="AF214" i="48" s="1"/>
  <c r="AD215" i="48" a="1"/>
  <c r="AD215" i="48" s="1"/>
  <c r="AE215" i="48"/>
  <c r="AF215" i="48" a="1"/>
  <c r="AF215" i="48" s="1"/>
  <c r="AD216" i="48" a="1"/>
  <c r="AD216" i="48" s="1"/>
  <c r="AE216" i="48"/>
  <c r="AF216" i="48" a="1"/>
  <c r="AF216" i="48" s="1"/>
  <c r="AD217" i="48" a="1"/>
  <c r="AD217" i="48" s="1"/>
  <c r="AE217" i="48"/>
  <c r="AF217" i="48" a="1"/>
  <c r="AF217" i="48" s="1"/>
  <c r="AD218" i="48" a="1"/>
  <c r="AD218" i="48" s="1"/>
  <c r="AE218" i="48"/>
  <c r="AF218" i="48" a="1"/>
  <c r="AF218" i="48" s="1"/>
  <c r="AD219" i="48" a="1"/>
  <c r="AD219" i="48" s="1"/>
  <c r="AE219" i="48"/>
  <c r="AF219" i="48" a="1"/>
  <c r="AF219" i="48" s="1"/>
  <c r="AD220" i="48" a="1"/>
  <c r="AD220" i="48" s="1"/>
  <c r="AE220" i="48"/>
  <c r="AF220" i="48" a="1"/>
  <c r="AF220" i="48" s="1"/>
  <c r="AD221" i="48" a="1"/>
  <c r="AD221" i="48" s="1"/>
  <c r="AE221" i="48"/>
  <c r="AF221" i="48" a="1"/>
  <c r="AF221" i="48" s="1"/>
  <c r="AD222" i="48" a="1"/>
  <c r="AD222" i="48" s="1"/>
  <c r="AE222" i="48"/>
  <c r="AF222" i="48" a="1"/>
  <c r="AF222" i="48" s="1"/>
  <c r="AD223" i="48" a="1"/>
  <c r="AD223" i="48" s="1"/>
  <c r="AE223" i="48"/>
  <c r="AF223" i="48" a="1"/>
  <c r="AF223" i="48" s="1"/>
  <c r="AD224" i="48" a="1"/>
  <c r="AD224" i="48" s="1"/>
  <c r="AE224" i="48"/>
  <c r="AF224" i="48" a="1"/>
  <c r="AF224" i="48" s="1"/>
  <c r="AD225" i="48" a="1"/>
  <c r="AD225" i="48" s="1"/>
  <c r="AE225" i="48"/>
  <c r="AF225" i="48" a="1"/>
  <c r="AF225" i="48" s="1"/>
  <c r="AD226" i="48" a="1"/>
  <c r="AD226" i="48" s="1"/>
  <c r="AE226" i="48"/>
  <c r="AF226" i="48" a="1"/>
  <c r="AF226" i="48" s="1"/>
  <c r="AD227" i="48" a="1"/>
  <c r="AD227" i="48" s="1"/>
  <c r="AE227" i="48"/>
  <c r="AF227" i="48" a="1"/>
  <c r="AF227" i="48" s="1"/>
  <c r="AD228" i="48" a="1"/>
  <c r="AD228" i="48" s="1"/>
  <c r="AE228" i="48"/>
  <c r="AF228" i="48" a="1"/>
  <c r="AF228" i="48" s="1"/>
  <c r="AD229" i="48" a="1"/>
  <c r="AD229" i="48" s="1"/>
  <c r="AE229" i="48"/>
  <c r="AF229" i="48" a="1"/>
  <c r="AF229" i="48" s="1"/>
  <c r="AD230" i="48" a="1"/>
  <c r="AD230" i="48" s="1"/>
  <c r="AE230" i="48"/>
  <c r="AF230" i="48" a="1"/>
  <c r="AF230" i="48" s="1"/>
  <c r="AD231" i="48" a="1"/>
  <c r="AD231" i="48" s="1"/>
  <c r="AE231" i="48"/>
  <c r="AF231" i="48" a="1"/>
  <c r="AF231" i="48" s="1"/>
  <c r="AD232" i="48" a="1"/>
  <c r="AD232" i="48" s="1"/>
  <c r="AE232" i="48"/>
  <c r="AF232" i="48" a="1"/>
  <c r="AF232" i="48" s="1"/>
  <c r="AD233" i="48" a="1"/>
  <c r="AD233" i="48" s="1"/>
  <c r="AE233" i="48"/>
  <c r="AF233" i="48" a="1"/>
  <c r="AF233" i="48" s="1"/>
  <c r="AD234" i="48" a="1"/>
  <c r="AD234" i="48" s="1"/>
  <c r="AE234" i="48"/>
  <c r="AF234" i="48" a="1"/>
  <c r="AF234" i="48" s="1"/>
  <c r="AD235" i="48" a="1"/>
  <c r="AD235" i="48" s="1"/>
  <c r="AE235" i="48"/>
  <c r="AF235" i="48" a="1"/>
  <c r="AF235" i="48" s="1"/>
  <c r="AD236" i="48" a="1"/>
  <c r="AD236" i="48" s="1"/>
  <c r="AE236" i="48"/>
  <c r="AF236" i="48" a="1"/>
  <c r="AF236" i="48" s="1"/>
  <c r="AD237" i="48" a="1"/>
  <c r="AD237" i="48" s="1"/>
  <c r="AE237" i="48"/>
  <c r="AF237" i="48" a="1"/>
  <c r="AF237" i="48" s="1"/>
  <c r="AD238" i="48" a="1"/>
  <c r="AD238" i="48" s="1"/>
  <c r="AE238" i="48"/>
  <c r="AF238" i="48" a="1"/>
  <c r="AF238" i="48" s="1"/>
  <c r="AD239" i="48" a="1"/>
  <c r="AD239" i="48" s="1"/>
  <c r="AE239" i="48"/>
  <c r="AF239" i="48" a="1"/>
  <c r="AF239" i="48" s="1"/>
  <c r="AD240" i="48" a="1"/>
  <c r="AD240" i="48" s="1"/>
  <c r="AE240" i="48"/>
  <c r="AF240" i="48" a="1"/>
  <c r="AF240" i="48" s="1"/>
  <c r="AD241" i="48" a="1"/>
  <c r="AD241" i="48" s="1"/>
  <c r="AE241" i="48"/>
  <c r="AF241" i="48" a="1"/>
  <c r="AF241" i="48" s="1"/>
  <c r="AD242" i="48" a="1"/>
  <c r="AD242" i="48" s="1"/>
  <c r="AE242" i="48"/>
  <c r="AF242" i="48" a="1"/>
  <c r="AF242" i="48" s="1"/>
  <c r="AD243" i="48" a="1"/>
  <c r="AD243" i="48" s="1"/>
  <c r="AE243" i="48"/>
  <c r="AF243" i="48" a="1"/>
  <c r="AF243" i="48" s="1"/>
  <c r="AD244" i="48" a="1"/>
  <c r="AD244" i="48" s="1"/>
  <c r="AE244" i="48"/>
  <c r="AF244" i="48" a="1"/>
  <c r="AF244" i="48" s="1"/>
  <c r="AD245" i="48" a="1"/>
  <c r="AD245" i="48" s="1"/>
  <c r="AE245" i="48"/>
  <c r="AF245" i="48" a="1"/>
  <c r="AF245" i="48" s="1"/>
  <c r="AD246" i="48" a="1"/>
  <c r="AD246" i="48" s="1"/>
  <c r="AE246" i="48"/>
  <c r="AF246" i="48" a="1"/>
  <c r="AF246" i="48" s="1"/>
  <c r="AD247" i="48" a="1"/>
  <c r="AD247" i="48" s="1"/>
  <c r="AE247" i="48"/>
  <c r="AF247" i="48" a="1"/>
  <c r="AF247" i="48" s="1"/>
  <c r="AD248" i="48" a="1"/>
  <c r="AD248" i="48" s="1"/>
  <c r="AE248" i="48"/>
  <c r="AF248" i="48" a="1"/>
  <c r="AF248" i="48" s="1"/>
  <c r="AD249" i="48" a="1"/>
  <c r="AD249" i="48" s="1"/>
  <c r="AE249" i="48"/>
  <c r="AF249" i="48" a="1"/>
  <c r="AF249" i="48" s="1"/>
  <c r="AD250" i="48" a="1"/>
  <c r="AD250" i="48" s="1"/>
  <c r="AE250" i="48"/>
  <c r="AF250" i="48" a="1"/>
  <c r="AF250" i="48" s="1"/>
  <c r="AD251" i="48" a="1"/>
  <c r="AD251" i="48" s="1"/>
  <c r="AE251" i="48"/>
  <c r="AF251" i="48" a="1"/>
  <c r="AF251" i="48" s="1"/>
  <c r="AD252" i="48" a="1"/>
  <c r="AD252" i="48" s="1"/>
  <c r="AE252" i="48"/>
  <c r="AF252" i="48" a="1"/>
  <c r="AF252" i="48" s="1"/>
  <c r="AD253" i="48" a="1"/>
  <c r="AD253" i="48" s="1"/>
  <c r="AE253" i="48"/>
  <c r="AF253" i="48" a="1"/>
  <c r="AF253" i="48" s="1"/>
  <c r="AD254" i="48" a="1"/>
  <c r="AD254" i="48" s="1"/>
  <c r="AE254" i="48"/>
  <c r="AF254" i="48" a="1"/>
  <c r="AF254" i="48" s="1"/>
  <c r="AD255" i="48" a="1"/>
  <c r="AD255" i="48" s="1"/>
  <c r="AE255" i="48"/>
  <c r="AF255" i="48" a="1"/>
  <c r="AF255" i="48" s="1"/>
  <c r="AD256" i="48" a="1"/>
  <c r="AD256" i="48" s="1"/>
  <c r="AE256" i="48"/>
  <c r="AF256" i="48" a="1"/>
  <c r="AF256" i="48" s="1"/>
  <c r="AD257" i="48" a="1"/>
  <c r="AD257" i="48" s="1"/>
  <c r="AE257" i="48"/>
  <c r="AF257" i="48" a="1"/>
  <c r="AF257" i="48" s="1"/>
  <c r="AD258" i="48" a="1"/>
  <c r="AD258" i="48" s="1"/>
  <c r="AE258" i="48"/>
  <c r="AF258" i="48" a="1"/>
  <c r="AF258" i="48" s="1"/>
  <c r="AD259" i="48" a="1"/>
  <c r="AD259" i="48" s="1"/>
  <c r="AE259" i="48"/>
  <c r="AF259" i="48" a="1"/>
  <c r="AF259" i="48" s="1"/>
  <c r="AD260" i="48" a="1"/>
  <c r="AD260" i="48" s="1"/>
  <c r="AE260" i="48"/>
  <c r="AF260" i="48" a="1"/>
  <c r="AF260" i="48" s="1"/>
  <c r="AD261" i="48" a="1"/>
  <c r="AD261" i="48" s="1"/>
  <c r="AE261" i="48"/>
  <c r="AF261" i="48" a="1"/>
  <c r="AF261" i="48" s="1"/>
  <c r="AD262" i="48" a="1"/>
  <c r="AD262" i="48" s="1"/>
  <c r="AE262" i="48"/>
  <c r="AF262" i="48" a="1"/>
  <c r="AF262" i="48" s="1"/>
  <c r="AD263" i="48" a="1"/>
  <c r="AD263" i="48" s="1"/>
  <c r="AE263" i="48"/>
  <c r="AF263" i="48" a="1"/>
  <c r="AF263" i="48" s="1"/>
  <c r="AD264" i="48" a="1"/>
  <c r="AD264" i="48" s="1"/>
  <c r="AE264" i="48"/>
  <c r="AF264" i="48" a="1"/>
  <c r="AF264" i="48" s="1"/>
  <c r="AD265" i="48" a="1"/>
  <c r="AD265" i="48" s="1"/>
  <c r="AE265" i="48"/>
  <c r="AF265" i="48" a="1"/>
  <c r="AF265" i="48" s="1"/>
  <c r="AD266" i="48" a="1"/>
  <c r="AD266" i="48" s="1"/>
  <c r="AE266" i="48"/>
  <c r="AF266" i="48" a="1"/>
  <c r="AF266" i="48" s="1"/>
  <c r="AD267" i="48" a="1"/>
  <c r="AD267" i="48" s="1"/>
  <c r="AE267" i="48"/>
  <c r="AF267" i="48" a="1"/>
  <c r="AF267" i="48" s="1"/>
  <c r="AD268" i="48" a="1"/>
  <c r="AD268" i="48" s="1"/>
  <c r="AE268" i="48"/>
  <c r="AF268" i="48" a="1"/>
  <c r="AF268" i="48" s="1"/>
  <c r="AD269" i="48" a="1"/>
  <c r="AD269" i="48" s="1"/>
  <c r="AE269" i="48"/>
  <c r="AF269" i="48" a="1"/>
  <c r="AF269" i="48" s="1"/>
  <c r="AD270" i="48" a="1"/>
  <c r="AD270" i="48" s="1"/>
  <c r="AE270" i="48"/>
  <c r="AF270" i="48" a="1"/>
  <c r="AF270" i="48" s="1"/>
  <c r="AD271" i="48" a="1"/>
  <c r="AD271" i="48" s="1"/>
  <c r="AE271" i="48"/>
  <c r="AF271" i="48" a="1"/>
  <c r="AF271" i="48" s="1"/>
  <c r="AD272" i="48" a="1"/>
  <c r="AD272" i="48" s="1"/>
  <c r="AE272" i="48"/>
  <c r="AF272" i="48" a="1"/>
  <c r="AF272" i="48" s="1"/>
  <c r="AD273" i="48" a="1"/>
  <c r="AD273" i="48" s="1"/>
  <c r="AE273" i="48"/>
  <c r="AF273" i="48" a="1"/>
  <c r="AF273" i="48" s="1"/>
  <c r="AD274" i="48" a="1"/>
  <c r="AD274" i="48" s="1"/>
  <c r="AE274" i="48"/>
  <c r="AF274" i="48" a="1"/>
  <c r="AF274" i="48" s="1"/>
  <c r="AD275" i="48" a="1"/>
  <c r="AD275" i="48" s="1"/>
  <c r="AE275" i="48"/>
  <c r="AF275" i="48" a="1"/>
  <c r="AF275" i="48" s="1"/>
  <c r="AD276" i="48" a="1"/>
  <c r="AD276" i="48" s="1"/>
  <c r="AE276" i="48"/>
  <c r="AF276" i="48" a="1"/>
  <c r="AF276" i="48" s="1"/>
  <c r="AD277" i="48" a="1"/>
  <c r="AD277" i="48" s="1"/>
  <c r="AE277" i="48"/>
  <c r="AF277" i="48" a="1"/>
  <c r="AF277" i="48" s="1"/>
  <c r="AD278" i="48" a="1"/>
  <c r="AD278" i="48" s="1"/>
  <c r="AE278" i="48"/>
  <c r="AF278" i="48" a="1"/>
  <c r="AF278" i="48" s="1"/>
  <c r="AD279" i="48" a="1"/>
  <c r="AD279" i="48" s="1"/>
  <c r="AE279" i="48"/>
  <c r="AF279" i="48" a="1"/>
  <c r="AF279" i="48" s="1"/>
  <c r="AD280" i="48" a="1"/>
  <c r="AD280" i="48" s="1"/>
  <c r="AE280" i="48"/>
  <c r="AF280" i="48" a="1"/>
  <c r="AF280" i="48" s="1"/>
  <c r="AD281" i="48" a="1"/>
  <c r="AD281" i="48" s="1"/>
  <c r="AE281" i="48"/>
  <c r="AF281" i="48" a="1"/>
  <c r="AF281" i="48" s="1"/>
  <c r="AD282" i="48" a="1"/>
  <c r="AD282" i="48" s="1"/>
  <c r="AE282" i="48"/>
  <c r="AF282" i="48" a="1"/>
  <c r="AF282" i="48" s="1"/>
  <c r="AD283" i="48" a="1"/>
  <c r="AD283" i="48" s="1"/>
  <c r="AE283" i="48"/>
  <c r="AF283" i="48" a="1"/>
  <c r="AF283" i="48" s="1"/>
  <c r="AD284" i="48" a="1"/>
  <c r="AD284" i="48" s="1"/>
  <c r="AE284" i="48"/>
  <c r="AF284" i="48" a="1"/>
  <c r="AF284" i="48" s="1"/>
  <c r="AD285" i="48" a="1"/>
  <c r="AD285" i="48" s="1"/>
  <c r="AE285" i="48"/>
  <c r="AF285" i="48" a="1"/>
  <c r="AF285" i="48" s="1"/>
  <c r="AD286" i="48" a="1"/>
  <c r="AD286" i="48" s="1"/>
  <c r="AE286" i="48"/>
  <c r="AF286" i="48" a="1"/>
  <c r="AF286" i="48" s="1"/>
  <c r="AD287" i="48" a="1"/>
  <c r="AD287" i="48" s="1"/>
  <c r="AE287" i="48"/>
  <c r="AF287" i="48" a="1"/>
  <c r="AF287" i="48" s="1"/>
  <c r="AD288" i="48" a="1"/>
  <c r="AD288" i="48" s="1"/>
  <c r="AE288" i="48"/>
  <c r="AF288" i="48" a="1"/>
  <c r="AF288" i="48" s="1"/>
  <c r="AD289" i="48" a="1"/>
  <c r="AD289" i="48" s="1"/>
  <c r="AE289" i="48"/>
  <c r="AF289" i="48" a="1"/>
  <c r="AF289" i="48" s="1"/>
  <c r="AD290" i="48" a="1"/>
  <c r="AD290" i="48" s="1"/>
  <c r="AE290" i="48"/>
  <c r="AF290" i="48" a="1"/>
  <c r="AF290" i="48" s="1"/>
  <c r="AD291" i="48" a="1"/>
  <c r="AD291" i="48" s="1"/>
  <c r="AE291" i="48"/>
  <c r="AF291" i="48" a="1"/>
  <c r="AF291" i="48" s="1"/>
  <c r="AD292" i="48" a="1"/>
  <c r="AD292" i="48" s="1"/>
  <c r="AE292" i="48"/>
  <c r="AF292" i="48" a="1"/>
  <c r="AF292" i="48" s="1"/>
  <c r="AD293" i="48" a="1"/>
  <c r="AD293" i="48" s="1"/>
  <c r="AE293" i="48"/>
  <c r="AF293" i="48" a="1"/>
  <c r="AF293" i="48" s="1"/>
  <c r="AD294" i="48" a="1"/>
  <c r="AD294" i="48" s="1"/>
  <c r="AE294" i="48"/>
  <c r="AF294" i="48" a="1"/>
  <c r="AF294" i="48" s="1"/>
  <c r="AD295" i="48" a="1"/>
  <c r="AD295" i="48" s="1"/>
  <c r="AE295" i="48"/>
  <c r="AF295" i="48" a="1"/>
  <c r="AF295" i="48" s="1"/>
  <c r="AD296" i="48" a="1"/>
  <c r="AD296" i="48" s="1"/>
  <c r="AE296" i="48"/>
  <c r="AF296" i="48" a="1"/>
  <c r="AF296" i="48" s="1"/>
  <c r="AD297" i="48" a="1"/>
  <c r="AD297" i="48" s="1"/>
  <c r="AE297" i="48"/>
  <c r="AF297" i="48" a="1"/>
  <c r="AF297" i="48" s="1"/>
  <c r="AD298" i="48" a="1"/>
  <c r="AD298" i="48" s="1"/>
  <c r="AE298" i="48"/>
  <c r="AF298" i="48" a="1"/>
  <c r="AF298" i="48" s="1"/>
  <c r="AD299" i="48" a="1"/>
  <c r="AD299" i="48" s="1"/>
  <c r="AE299" i="48"/>
  <c r="AF299" i="48" a="1"/>
  <c r="AF299" i="48" s="1"/>
  <c r="AD300" i="48" a="1"/>
  <c r="AD300" i="48" s="1"/>
  <c r="AE300" i="48"/>
  <c r="AF300" i="48" a="1"/>
  <c r="AF300" i="48" s="1"/>
  <c r="AD301" i="48" a="1"/>
  <c r="AD301" i="48" s="1"/>
  <c r="AE301" i="48"/>
  <c r="AF301" i="48" a="1"/>
  <c r="AF301" i="48" s="1"/>
  <c r="AD302" i="48" a="1"/>
  <c r="AD302" i="48" s="1"/>
  <c r="AE302" i="48"/>
  <c r="AF302" i="48" a="1"/>
  <c r="AF302" i="48" s="1"/>
  <c r="AD303" i="48" a="1"/>
  <c r="AD303" i="48" s="1"/>
  <c r="AE303" i="48"/>
  <c r="AF303" i="48" a="1"/>
  <c r="AF303" i="48" s="1"/>
  <c r="AD304" i="48" a="1"/>
  <c r="AD304" i="48" s="1"/>
  <c r="AE304" i="48"/>
  <c r="AF304" i="48" a="1"/>
  <c r="AF304" i="48" s="1"/>
  <c r="AD305" i="48" a="1"/>
  <c r="AD305" i="48" s="1"/>
  <c r="AE305" i="48"/>
  <c r="AF305" i="48" a="1"/>
  <c r="AF305" i="48" s="1"/>
  <c r="AD306" i="48" a="1"/>
  <c r="AD306" i="48" s="1"/>
  <c r="AE306" i="48"/>
  <c r="AF306" i="48" a="1"/>
  <c r="AF306" i="48" s="1"/>
  <c r="AD307" i="48" a="1"/>
  <c r="AD307" i="48" s="1"/>
  <c r="AE307" i="48"/>
  <c r="AF307" i="48" a="1"/>
  <c r="AF307" i="48" s="1"/>
  <c r="AD308" i="48" a="1"/>
  <c r="AD308" i="48" s="1"/>
  <c r="AE308" i="48"/>
  <c r="AF308" i="48" a="1"/>
  <c r="AF308" i="48" s="1"/>
  <c r="AD309" i="48" a="1"/>
  <c r="AD309" i="48" s="1"/>
  <c r="AE309" i="48"/>
  <c r="AF309" i="48" a="1"/>
  <c r="AF309" i="48" s="1"/>
  <c r="AD310" i="48" a="1"/>
  <c r="AD310" i="48" s="1"/>
  <c r="AE310" i="48"/>
  <c r="AF310" i="48" a="1"/>
  <c r="AF310" i="48" s="1"/>
  <c r="AD311" i="48" a="1"/>
  <c r="AD311" i="48" s="1"/>
  <c r="AE311" i="48"/>
  <c r="AF311" i="48" a="1"/>
  <c r="AF311" i="48" s="1"/>
  <c r="AD312" i="48" a="1"/>
  <c r="AD312" i="48" s="1"/>
  <c r="AE312" i="48"/>
  <c r="AF312" i="48" a="1"/>
  <c r="AF312" i="48" s="1"/>
  <c r="AD313" i="48" a="1"/>
  <c r="AD313" i="48" s="1"/>
  <c r="AE313" i="48"/>
  <c r="AF313" i="48" a="1"/>
  <c r="AF313" i="48" s="1"/>
  <c r="AD314" i="48" a="1"/>
  <c r="AD314" i="48" s="1"/>
  <c r="AE314" i="48"/>
  <c r="AF314" i="48" a="1"/>
  <c r="AF314" i="48" s="1"/>
  <c r="AD315" i="48" a="1"/>
  <c r="AD315" i="48" s="1"/>
  <c r="AE315" i="48"/>
  <c r="AF315" i="48" a="1"/>
  <c r="AF315" i="48" s="1"/>
  <c r="AD316" i="48" a="1"/>
  <c r="AD316" i="48" s="1"/>
  <c r="AE316" i="48"/>
  <c r="AF316" i="48" a="1"/>
  <c r="AF316" i="48" s="1"/>
  <c r="AD317" i="48" a="1"/>
  <c r="AD317" i="48" s="1"/>
  <c r="AE317" i="48"/>
  <c r="AF317" i="48" a="1"/>
  <c r="AF317" i="48" s="1"/>
  <c r="AD318" i="48" a="1"/>
  <c r="AD318" i="48" s="1"/>
  <c r="AE318" i="48"/>
  <c r="AF318" i="48" a="1"/>
  <c r="AF318" i="48" s="1"/>
  <c r="AD319" i="48" a="1"/>
  <c r="AD319" i="48" s="1"/>
  <c r="AE319" i="48"/>
  <c r="AF319" i="48" a="1"/>
  <c r="AF319" i="48" s="1"/>
  <c r="AD320" i="48" a="1"/>
  <c r="AD320" i="48" s="1"/>
  <c r="AE320" i="48"/>
  <c r="AF320" i="48" a="1"/>
  <c r="AF320" i="48" s="1"/>
  <c r="AD321" i="48" a="1"/>
  <c r="AD321" i="48" s="1"/>
  <c r="AE321" i="48"/>
  <c r="AF321" i="48" a="1"/>
  <c r="AF321" i="48" s="1"/>
  <c r="AD322" i="48" a="1"/>
  <c r="AD322" i="48" s="1"/>
  <c r="AE322" i="48"/>
  <c r="AF322" i="48" a="1"/>
  <c r="AF322" i="48" s="1"/>
  <c r="AD323" i="48" a="1"/>
  <c r="AD323" i="48" s="1"/>
  <c r="AE323" i="48"/>
  <c r="AF323" i="48" a="1"/>
  <c r="AF323" i="48" s="1"/>
  <c r="AD324" i="48" a="1"/>
  <c r="AD324" i="48" s="1"/>
  <c r="AE324" i="48"/>
  <c r="AF324" i="48" a="1"/>
  <c r="AF324" i="48" s="1"/>
  <c r="AD325" i="48" a="1"/>
  <c r="AD325" i="48" s="1"/>
  <c r="AE325" i="48"/>
  <c r="AF325" i="48" a="1"/>
  <c r="AF325" i="48" s="1"/>
  <c r="AD326" i="48" a="1"/>
  <c r="AD326" i="48" s="1"/>
  <c r="AE326" i="48"/>
  <c r="AF326" i="48" a="1"/>
  <c r="AF326" i="48" s="1"/>
  <c r="AD327" i="48" a="1"/>
  <c r="AD327" i="48" s="1"/>
  <c r="AE327" i="48"/>
  <c r="AF327" i="48" a="1"/>
  <c r="AF327" i="48" s="1"/>
  <c r="AD328" i="48" a="1"/>
  <c r="AD328" i="48" s="1"/>
  <c r="AE328" i="48"/>
  <c r="AF328" i="48" a="1"/>
  <c r="AF328" i="48" s="1"/>
  <c r="AD329" i="48" a="1"/>
  <c r="AD329" i="48" s="1"/>
  <c r="AE329" i="48"/>
  <c r="AF329" i="48" a="1"/>
  <c r="AF329" i="48" s="1"/>
  <c r="AD330" i="48" a="1"/>
  <c r="AD330" i="48" s="1"/>
  <c r="AE330" i="48"/>
  <c r="AF330" i="48" a="1"/>
  <c r="AF330" i="48" s="1"/>
  <c r="AD331" i="48" a="1"/>
  <c r="AD331" i="48" s="1"/>
  <c r="AE331" i="48"/>
  <c r="AF331" i="48" a="1"/>
  <c r="AF331" i="48" s="1"/>
  <c r="AD332" i="48" a="1"/>
  <c r="AD332" i="48" s="1"/>
  <c r="AE332" i="48"/>
  <c r="AF332" i="48" a="1"/>
  <c r="AF332" i="48" s="1"/>
  <c r="AD333" i="48" a="1"/>
  <c r="AD333" i="48" s="1"/>
  <c r="AE333" i="48"/>
  <c r="AF333" i="48" a="1"/>
  <c r="AF333" i="48" s="1"/>
  <c r="AD334" i="48" a="1"/>
  <c r="AD334" i="48" s="1"/>
  <c r="AE334" i="48"/>
  <c r="AF334" i="48" a="1"/>
  <c r="AF334" i="48" s="1"/>
  <c r="AD335" i="48" a="1"/>
  <c r="AD335" i="48" s="1"/>
  <c r="AE335" i="48"/>
  <c r="AF335" i="48" a="1"/>
  <c r="AF335" i="48" s="1"/>
  <c r="AD336" i="48" a="1"/>
  <c r="AD336" i="48" s="1"/>
  <c r="AE336" i="48"/>
  <c r="AF336" i="48" a="1"/>
  <c r="AF336" i="48" s="1"/>
  <c r="AD337" i="48" a="1"/>
  <c r="AD337" i="48" s="1"/>
  <c r="AE337" i="48"/>
  <c r="AF337" i="48" a="1"/>
  <c r="AF337" i="48" s="1"/>
  <c r="AD338" i="48" a="1"/>
  <c r="AD338" i="48" s="1"/>
  <c r="AE338" i="48"/>
  <c r="AF338" i="48" a="1"/>
  <c r="AF338" i="48" s="1"/>
  <c r="AD339" i="48" a="1"/>
  <c r="AD339" i="48" s="1"/>
  <c r="AE339" i="48"/>
  <c r="AF339" i="48" a="1"/>
  <c r="AF339" i="48" s="1"/>
  <c r="AD340" i="48" a="1"/>
  <c r="AD340" i="48" s="1"/>
  <c r="AE340" i="48"/>
  <c r="AF340" i="48" a="1"/>
  <c r="AF340" i="48" s="1"/>
  <c r="AD341" i="48" a="1"/>
  <c r="AD341" i="48" s="1"/>
  <c r="AE341" i="48"/>
  <c r="AF341" i="48" a="1"/>
  <c r="AF341" i="48" s="1"/>
  <c r="AD342" i="48" a="1"/>
  <c r="AD342" i="48" s="1"/>
  <c r="AE342" i="48"/>
  <c r="AF342" i="48" a="1"/>
  <c r="AF342" i="48" s="1"/>
  <c r="AD343" i="48" a="1"/>
  <c r="AD343" i="48" s="1"/>
  <c r="AE343" i="48"/>
  <c r="AF343" i="48" a="1"/>
  <c r="AF343" i="48" s="1"/>
  <c r="AD344" i="48" a="1"/>
  <c r="AD344" i="48" s="1"/>
  <c r="AE344" i="48"/>
  <c r="AF344" i="48" a="1"/>
  <c r="AF344" i="48" s="1"/>
  <c r="AD345" i="48" a="1"/>
  <c r="AD345" i="48" s="1"/>
  <c r="AE345" i="48"/>
  <c r="AF345" i="48" a="1"/>
  <c r="AF345" i="48" s="1"/>
  <c r="AD346" i="48" a="1"/>
  <c r="AD346" i="48" s="1"/>
  <c r="AE346" i="48"/>
  <c r="AF346" i="48" a="1"/>
  <c r="AF346" i="48" s="1"/>
  <c r="AD347" i="48" a="1"/>
  <c r="AD347" i="48" s="1"/>
  <c r="AE347" i="48"/>
  <c r="AF347" i="48" a="1"/>
  <c r="AF347" i="48" s="1"/>
  <c r="AD348" i="48" a="1"/>
  <c r="AD348" i="48" s="1"/>
  <c r="AE348" i="48"/>
  <c r="AF348" i="48" a="1"/>
  <c r="AF348" i="48" s="1"/>
  <c r="AD349" i="48" a="1"/>
  <c r="AD349" i="48" s="1"/>
  <c r="AE349" i="48"/>
  <c r="AF349" i="48" a="1"/>
  <c r="AF349" i="48" s="1"/>
  <c r="AD350" i="48" a="1"/>
  <c r="AD350" i="48" s="1"/>
  <c r="AE350" i="48"/>
  <c r="AF350" i="48" a="1"/>
  <c r="AF350" i="48" s="1"/>
  <c r="AD351" i="48" a="1"/>
  <c r="AD351" i="48" s="1"/>
  <c r="AE351" i="48"/>
  <c r="AF351" i="48" a="1"/>
  <c r="AF351" i="48" s="1"/>
  <c r="AD352" i="48" a="1"/>
  <c r="AD352" i="48" s="1"/>
  <c r="AE352" i="48"/>
  <c r="AF352" i="48" a="1"/>
  <c r="AF352" i="48" s="1"/>
  <c r="AD353" i="48" a="1"/>
  <c r="AD353" i="48" s="1"/>
  <c r="AE353" i="48"/>
  <c r="AF353" i="48" a="1"/>
  <c r="AF353" i="48" s="1"/>
  <c r="AD354" i="48" a="1"/>
  <c r="AD354" i="48" s="1"/>
  <c r="AE354" i="48"/>
  <c r="AF354" i="48" a="1"/>
  <c r="AF354" i="48" s="1"/>
  <c r="AD355" i="48" a="1"/>
  <c r="AD355" i="48" s="1"/>
  <c r="AE355" i="48"/>
  <c r="AF355" i="48" a="1"/>
  <c r="AF355" i="48" s="1"/>
  <c r="AD356" i="48" a="1"/>
  <c r="AD356" i="48" s="1"/>
  <c r="AE356" i="48"/>
  <c r="AF356" i="48" a="1"/>
  <c r="AF356" i="48" s="1"/>
  <c r="AD357" i="48" a="1"/>
  <c r="AD357" i="48" s="1"/>
  <c r="AE357" i="48"/>
  <c r="AF357" i="48" a="1"/>
  <c r="AF357" i="48" s="1"/>
  <c r="AD358" i="48" a="1"/>
  <c r="AD358" i="48" s="1"/>
  <c r="AE358" i="48"/>
  <c r="AF358" i="48" a="1"/>
  <c r="AF358" i="48" s="1"/>
  <c r="AD359" i="48" a="1"/>
  <c r="AD359" i="48" s="1"/>
  <c r="AE359" i="48"/>
  <c r="AF359" i="48" a="1"/>
  <c r="AF359" i="48" s="1"/>
  <c r="AD360" i="48" a="1"/>
  <c r="AD360" i="48" s="1"/>
  <c r="AE360" i="48"/>
  <c r="AF360" i="48" a="1"/>
  <c r="AF360" i="48" s="1"/>
  <c r="AD361" i="48" a="1"/>
  <c r="AD361" i="48" s="1"/>
  <c r="AE361" i="48"/>
  <c r="AF361" i="48" a="1"/>
  <c r="AF361" i="48" s="1"/>
  <c r="AD362" i="48" a="1"/>
  <c r="AD362" i="48" s="1"/>
  <c r="AE362" i="48"/>
  <c r="AF362" i="48" a="1"/>
  <c r="AF362" i="48" s="1"/>
  <c r="AD363" i="48" a="1"/>
  <c r="AD363" i="48" s="1"/>
  <c r="AE363" i="48"/>
  <c r="AF363" i="48" a="1"/>
  <c r="AF363" i="48" s="1"/>
  <c r="AD364" i="48" a="1"/>
  <c r="AD364" i="48" s="1"/>
  <c r="AE364" i="48"/>
  <c r="AF364" i="48" a="1"/>
  <c r="AF364" i="48" s="1"/>
  <c r="AD365" i="48" a="1"/>
  <c r="AD365" i="48" s="1"/>
  <c r="AE365" i="48"/>
  <c r="AF365" i="48" a="1"/>
  <c r="AF365" i="48" s="1"/>
  <c r="AD366" i="48" a="1"/>
  <c r="AD366" i="48" s="1"/>
  <c r="AE366" i="48"/>
  <c r="AF366" i="48" a="1"/>
  <c r="AF366" i="48" s="1"/>
  <c r="AD367" i="48" a="1"/>
  <c r="AD367" i="48" s="1"/>
  <c r="AE367" i="48"/>
  <c r="AF367" i="48" a="1"/>
  <c r="AF367" i="48" s="1"/>
  <c r="AD368" i="48" a="1"/>
  <c r="AD368" i="48" s="1"/>
  <c r="AE368" i="48"/>
  <c r="AF368" i="48" a="1"/>
  <c r="AF368" i="48" s="1"/>
  <c r="AD369" i="48" a="1"/>
  <c r="AD369" i="48" s="1"/>
  <c r="AE369" i="48"/>
  <c r="AF369" i="48" a="1"/>
  <c r="AF369" i="48" s="1"/>
  <c r="AD370" i="48" a="1"/>
  <c r="AD370" i="48" s="1"/>
  <c r="AE370" i="48"/>
  <c r="AF370" i="48" a="1"/>
  <c r="AF370" i="48" s="1"/>
  <c r="AD371" i="48" a="1"/>
  <c r="AD371" i="48" s="1"/>
  <c r="AE371" i="48"/>
  <c r="AF371" i="48" a="1"/>
  <c r="AF371" i="48" s="1"/>
  <c r="AD372" i="48" a="1"/>
  <c r="AD372" i="48" s="1"/>
  <c r="AE372" i="48"/>
  <c r="AF372" i="48" a="1"/>
  <c r="AF372" i="48" s="1"/>
  <c r="AD373" i="48" a="1"/>
  <c r="AD373" i="48" s="1"/>
  <c r="AE373" i="48"/>
  <c r="AF373" i="48" a="1"/>
  <c r="AF373" i="48" s="1"/>
  <c r="AD374" i="48" a="1"/>
  <c r="AD374" i="48" s="1"/>
  <c r="AE374" i="48"/>
  <c r="AF374" i="48" a="1"/>
  <c r="AF374" i="48" s="1"/>
  <c r="AD375" i="48" a="1"/>
  <c r="AD375" i="48" s="1"/>
  <c r="AE375" i="48"/>
  <c r="AF375" i="48" a="1"/>
  <c r="AF375" i="48" s="1"/>
  <c r="AD376" i="48" a="1"/>
  <c r="AD376" i="48" s="1"/>
  <c r="AE376" i="48"/>
  <c r="AF376" i="48" a="1"/>
  <c r="AF376" i="48" s="1"/>
  <c r="AD377" i="48" a="1"/>
  <c r="AD377" i="48" s="1"/>
  <c r="AE377" i="48"/>
  <c r="AF377" i="48" a="1"/>
  <c r="AF377" i="48" s="1"/>
  <c r="AD378" i="48" a="1"/>
  <c r="AD378" i="48" s="1"/>
  <c r="AE378" i="48"/>
  <c r="AF378" i="48" a="1"/>
  <c r="AF378" i="48" s="1"/>
  <c r="AD379" i="48" a="1"/>
  <c r="AD379" i="48" s="1"/>
  <c r="AE379" i="48"/>
  <c r="AF379" i="48" a="1"/>
  <c r="AF379" i="48" s="1"/>
  <c r="AD380" i="48" a="1"/>
  <c r="AD380" i="48" s="1"/>
  <c r="AE380" i="48"/>
  <c r="AF380" i="48" a="1"/>
  <c r="AF380" i="48" s="1"/>
  <c r="AD381" i="48" a="1"/>
  <c r="AD381" i="48" s="1"/>
  <c r="AE381" i="48"/>
  <c r="AF381" i="48" a="1"/>
  <c r="AF381" i="48" s="1"/>
  <c r="AD382" i="48" a="1"/>
  <c r="AD382" i="48" s="1"/>
  <c r="AE382" i="48"/>
  <c r="AF382" i="48" a="1"/>
  <c r="AF382" i="48" s="1"/>
  <c r="AD383" i="48" a="1"/>
  <c r="AD383" i="48" s="1"/>
  <c r="AE383" i="48"/>
  <c r="AF383" i="48" a="1"/>
  <c r="AF383" i="48" s="1"/>
  <c r="AD384" i="48" a="1"/>
  <c r="AD384" i="48" s="1"/>
  <c r="AE384" i="48"/>
  <c r="AF384" i="48" a="1"/>
  <c r="AF384" i="48" s="1"/>
  <c r="AD385" i="48" a="1"/>
  <c r="AD385" i="48" s="1"/>
  <c r="AE385" i="48"/>
  <c r="AF385" i="48" a="1"/>
  <c r="AF385" i="48" s="1"/>
  <c r="AD386" i="48" a="1"/>
  <c r="AD386" i="48" s="1"/>
  <c r="AE386" i="48"/>
  <c r="AF386" i="48" a="1"/>
  <c r="AF386" i="48" s="1"/>
  <c r="AD387" i="48" a="1"/>
  <c r="AD387" i="48" s="1"/>
  <c r="AE387" i="48"/>
  <c r="AF387" i="48" a="1"/>
  <c r="AF387" i="48" s="1"/>
  <c r="AD388" i="48" a="1"/>
  <c r="AD388" i="48" s="1"/>
  <c r="AE388" i="48"/>
  <c r="AF388" i="48" a="1"/>
  <c r="AF388" i="48" s="1"/>
  <c r="AD389" i="48" a="1"/>
  <c r="AD389" i="48" s="1"/>
  <c r="AE389" i="48"/>
  <c r="AF389" i="48" a="1"/>
  <c r="AF389" i="48" s="1"/>
  <c r="AD390" i="48" a="1"/>
  <c r="AD390" i="48" s="1"/>
  <c r="AE390" i="48"/>
  <c r="AF390" i="48" a="1"/>
  <c r="AF390" i="48" s="1"/>
  <c r="AD391" i="48" a="1"/>
  <c r="AD391" i="48" s="1"/>
  <c r="AE391" i="48"/>
  <c r="AF391" i="48" a="1"/>
  <c r="AF391" i="48" s="1"/>
  <c r="AD392" i="48" a="1"/>
  <c r="AD392" i="48" s="1"/>
  <c r="AE392" i="48"/>
  <c r="AF392" i="48" a="1"/>
  <c r="AF392" i="48" s="1"/>
  <c r="AD393" i="48" a="1"/>
  <c r="AD393" i="48" s="1"/>
  <c r="AE393" i="48"/>
  <c r="AF393" i="48" a="1"/>
  <c r="AF393" i="48" s="1"/>
  <c r="AD394" i="48" a="1"/>
  <c r="AD394" i="48" s="1"/>
  <c r="AE394" i="48"/>
  <c r="AF394" i="48" a="1"/>
  <c r="AF394" i="48" s="1"/>
  <c r="AD395" i="48" a="1"/>
  <c r="AD395" i="48" s="1"/>
  <c r="AE395" i="48"/>
  <c r="AF395" i="48" a="1"/>
  <c r="AF395" i="48" s="1"/>
  <c r="AD396" i="48" a="1"/>
  <c r="AD396" i="48" s="1"/>
  <c r="AE396" i="48"/>
  <c r="AF396" i="48" a="1"/>
  <c r="AF396" i="48" s="1"/>
  <c r="AD397" i="48" a="1"/>
  <c r="AD397" i="48" s="1"/>
  <c r="AE397" i="48"/>
  <c r="AF397" i="48" a="1"/>
  <c r="AF397" i="48" s="1"/>
  <c r="AD398" i="48" a="1"/>
  <c r="AD398" i="48" s="1"/>
  <c r="AE398" i="48"/>
  <c r="AF398" i="48" a="1"/>
  <c r="AF398" i="48" s="1"/>
  <c r="AD399" i="48" a="1"/>
  <c r="AD399" i="48" s="1"/>
  <c r="AE399" i="48"/>
  <c r="AF399" i="48" a="1"/>
  <c r="AF399" i="48" s="1"/>
  <c r="AD400" i="48" a="1"/>
  <c r="AD400" i="48" s="1"/>
  <c r="AE400" i="48"/>
  <c r="AF400" i="48" a="1"/>
  <c r="AF400" i="48" s="1"/>
  <c r="AD401" i="48" a="1"/>
  <c r="AD401" i="48" s="1"/>
  <c r="AE401" i="48"/>
  <c r="AF401" i="48" a="1"/>
  <c r="AF401" i="48" s="1"/>
  <c r="AD402" i="48" a="1"/>
  <c r="AD402" i="48" s="1"/>
  <c r="AE402" i="48"/>
  <c r="AF402" i="48" a="1"/>
  <c r="AF402" i="48" s="1"/>
  <c r="AD403" i="48" a="1"/>
  <c r="AD403" i="48" s="1"/>
  <c r="AE403" i="48"/>
  <c r="AF403" i="48" a="1"/>
  <c r="AF403" i="48" s="1"/>
  <c r="AD404" i="48" a="1"/>
  <c r="AD404" i="48" s="1"/>
  <c r="AE404" i="48"/>
  <c r="AF404" i="48" a="1"/>
  <c r="AF404" i="48" s="1"/>
  <c r="AD405" i="48" a="1"/>
  <c r="AD405" i="48" s="1"/>
  <c r="AE405" i="48"/>
  <c r="AF405" i="48" a="1"/>
  <c r="AF405" i="48" s="1"/>
  <c r="AF4" i="48" a="1"/>
  <c r="AF4" i="48" s="1"/>
  <c r="AE4" i="48"/>
  <c r="AD4" i="48" a="1"/>
  <c r="AD4" i="48" s="1"/>
  <c r="Z5" i="48" a="1"/>
  <c r="Z5" i="48" s="1"/>
  <c r="AA5" i="48"/>
  <c r="AB5" i="48" s="1"/>
  <c r="AC5" i="48" a="1"/>
  <c r="AC5" i="48" s="1"/>
  <c r="Z6" i="48" a="1"/>
  <c r="Z6" i="48" s="1"/>
  <c r="AA6" i="48"/>
  <c r="AB6" i="48" s="1"/>
  <c r="AC6" i="48" a="1"/>
  <c r="AC6" i="48" s="1"/>
  <c r="Z7" i="48" a="1"/>
  <c r="Z7" i="48" s="1"/>
  <c r="AA7" i="48"/>
  <c r="AB7" i="48" s="1"/>
  <c r="AC7" i="48" a="1"/>
  <c r="AC7" i="48" s="1"/>
  <c r="Z8" i="48" a="1"/>
  <c r="Z8" i="48" s="1"/>
  <c r="AA8" i="48"/>
  <c r="AB8" i="48" s="1"/>
  <c r="AC8" i="48" a="1"/>
  <c r="AC8" i="48" s="1"/>
  <c r="Z9" i="48" a="1"/>
  <c r="Z9" i="48" s="1"/>
  <c r="AA9" i="48"/>
  <c r="AB9" i="48" s="1"/>
  <c r="AC9" i="48" a="1"/>
  <c r="AC9" i="48" s="1"/>
  <c r="Z10" i="48" a="1"/>
  <c r="Z10" i="48" s="1"/>
  <c r="AA10" i="48"/>
  <c r="AB10" i="48" s="1"/>
  <c r="AC10" i="48" a="1"/>
  <c r="AC10" i="48" s="1"/>
  <c r="Z11" i="48" a="1"/>
  <c r="Z11" i="48" s="1"/>
  <c r="AA11" i="48"/>
  <c r="AB11" i="48" s="1"/>
  <c r="AC11" i="48" a="1"/>
  <c r="AC11" i="48" s="1"/>
  <c r="Z12" i="48" a="1"/>
  <c r="Z12" i="48" s="1"/>
  <c r="AA12" i="48"/>
  <c r="AB12" i="48" s="1"/>
  <c r="AC12" i="48" a="1"/>
  <c r="AC12" i="48" s="1"/>
  <c r="Z13" i="48" a="1"/>
  <c r="Z13" i="48" s="1"/>
  <c r="AA13" i="48"/>
  <c r="AB13" i="48" s="1"/>
  <c r="AC13" i="48" a="1"/>
  <c r="AC13" i="48" s="1"/>
  <c r="V14" i="48" a="1"/>
  <c r="V14" i="48" s="1"/>
  <c r="W14" i="48"/>
  <c r="X14" i="48" a="1"/>
  <c r="X14" i="48" s="1"/>
  <c r="Y14" i="48" a="1"/>
  <c r="Y14" i="48" s="1"/>
  <c r="Z15" i="48" a="1"/>
  <c r="Z15" i="48" s="1"/>
  <c r="AA15" i="48"/>
  <c r="AB15" i="48" s="1"/>
  <c r="AC15" i="48" a="1"/>
  <c r="AC15" i="48" s="1"/>
  <c r="V16" i="48" a="1"/>
  <c r="V16" i="48" s="1"/>
  <c r="Z16" i="48" a="1"/>
  <c r="Z16" i="48" s="1"/>
  <c r="AA16" i="48"/>
  <c r="AB16" i="48" s="1"/>
  <c r="AC16" i="48" a="1"/>
  <c r="AC16" i="48" s="1"/>
  <c r="V17" i="48" a="1"/>
  <c r="V17" i="48" s="1"/>
  <c r="W17" i="48"/>
  <c r="X17" i="48" a="1"/>
  <c r="X17" i="48" s="1"/>
  <c r="Y17" i="48" a="1"/>
  <c r="Y17" i="48" s="1"/>
  <c r="V18" i="48" a="1"/>
  <c r="V18" i="48" s="1"/>
  <c r="W18" i="48"/>
  <c r="X18" i="48" a="1"/>
  <c r="X18" i="48" s="1"/>
  <c r="Y18" i="48" a="1"/>
  <c r="Y18" i="48" s="1"/>
  <c r="Z19" i="48" a="1"/>
  <c r="Z19" i="48" s="1"/>
  <c r="AA19" i="48"/>
  <c r="AB19" i="48" s="1"/>
  <c r="AC19" i="48" a="1"/>
  <c r="AC19" i="48" s="1"/>
  <c r="Z20" i="48" a="1"/>
  <c r="Z20" i="48" s="1"/>
  <c r="AA20" i="48"/>
  <c r="AB20" i="48" s="1"/>
  <c r="AC20" i="48" a="1"/>
  <c r="AC20" i="48" s="1"/>
  <c r="W21" i="48"/>
  <c r="Y21" i="48" a="1"/>
  <c r="Y21" i="48" s="1"/>
  <c r="Z21" i="48" a="1"/>
  <c r="Z21" i="48" s="1"/>
  <c r="AA21" i="48"/>
  <c r="AB21" i="48" s="1"/>
  <c r="AC21" i="48" a="1"/>
  <c r="AC21" i="48" s="1"/>
  <c r="Z22" i="48" a="1"/>
  <c r="Z22" i="48" s="1"/>
  <c r="AA22" i="48"/>
  <c r="AB22" i="48" s="1"/>
  <c r="AC22" i="48" a="1"/>
  <c r="AC22" i="48" s="1"/>
  <c r="Z23" i="48" a="1"/>
  <c r="Z23" i="48" s="1"/>
  <c r="AA23" i="48"/>
  <c r="AB23" i="48" s="1"/>
  <c r="AC23" i="48" a="1"/>
  <c r="AC23" i="48" s="1"/>
  <c r="Z24" i="48" a="1"/>
  <c r="Z24" i="48" s="1"/>
  <c r="AA24" i="48"/>
  <c r="AB24" i="48" s="1"/>
  <c r="AC24" i="48" a="1"/>
  <c r="AC24" i="48" s="1"/>
  <c r="V25" i="48" a="1"/>
  <c r="V25" i="48" s="1"/>
  <c r="X25" i="48" a="1"/>
  <c r="X25" i="48" s="1"/>
  <c r="Y25" i="48" a="1"/>
  <c r="Y25" i="48" s="1"/>
  <c r="Z25" i="48" a="1"/>
  <c r="Z25" i="48" s="1"/>
  <c r="AA25" i="48"/>
  <c r="AB25" i="48" s="1"/>
  <c r="AC25" i="48" a="1"/>
  <c r="AC25" i="48" s="1"/>
  <c r="V26" i="48" a="1"/>
  <c r="V26" i="48" s="1"/>
  <c r="Y26" i="48" a="1"/>
  <c r="Y26" i="48" s="1"/>
  <c r="Z26" i="48" a="1"/>
  <c r="Z26" i="48" s="1"/>
  <c r="AA26" i="48"/>
  <c r="AB26" i="48" s="1"/>
  <c r="AC26" i="48" a="1"/>
  <c r="AC26" i="48" s="1"/>
  <c r="V27" i="48" a="1"/>
  <c r="V27" i="48" s="1"/>
  <c r="W27" i="48"/>
  <c r="Z27" i="48" a="1"/>
  <c r="Z27" i="48" s="1"/>
  <c r="AA27" i="48"/>
  <c r="AB27" i="48" s="1"/>
  <c r="AC27" i="48" a="1"/>
  <c r="AC27" i="48" s="1"/>
  <c r="V28" i="48" a="1"/>
  <c r="V28" i="48" s="1"/>
  <c r="W28" i="48"/>
  <c r="X28" i="48" a="1"/>
  <c r="X28" i="48" s="1"/>
  <c r="Y28" i="48" a="1"/>
  <c r="Y28" i="48" s="1"/>
  <c r="Z28" i="48" a="1"/>
  <c r="Z28" i="48" s="1"/>
  <c r="AA28" i="48"/>
  <c r="AB28" i="48" s="1"/>
  <c r="AC28" i="48" a="1"/>
  <c r="AC28" i="48" s="1"/>
  <c r="Z29" i="48" a="1"/>
  <c r="Z29" i="48" s="1"/>
  <c r="AA29" i="48"/>
  <c r="AB29" i="48" s="1"/>
  <c r="AC29" i="48" a="1"/>
  <c r="AC29" i="48" s="1"/>
  <c r="Y30" i="48" a="1"/>
  <c r="Y30" i="48" s="1"/>
  <c r="Z30" i="48" a="1"/>
  <c r="Z30" i="48" s="1"/>
  <c r="AA30" i="48"/>
  <c r="AB30" i="48" s="1"/>
  <c r="AC30" i="48" a="1"/>
  <c r="AC30" i="48" s="1"/>
  <c r="Z31" i="48" a="1"/>
  <c r="Z31" i="48" s="1"/>
  <c r="AA31" i="48"/>
  <c r="AB31" i="48" s="1"/>
  <c r="AC31" i="48" a="1"/>
  <c r="AC31" i="48" s="1"/>
  <c r="W32" i="48"/>
  <c r="Z32" i="48" a="1"/>
  <c r="Z32" i="48" s="1"/>
  <c r="AA32" i="48"/>
  <c r="AB32" i="48" s="1"/>
  <c r="AC32" i="48" a="1"/>
  <c r="AC32" i="48" s="1"/>
  <c r="X33" i="48" a="1"/>
  <c r="X33" i="48" s="1"/>
  <c r="Z33" i="48" a="1"/>
  <c r="Z33" i="48" s="1"/>
  <c r="AA33" i="48"/>
  <c r="AB33" i="48" s="1"/>
  <c r="AC33" i="48" a="1"/>
  <c r="AC33" i="48" s="1"/>
  <c r="W34" i="48"/>
  <c r="X34" i="48" a="1"/>
  <c r="X34" i="48" s="1"/>
  <c r="Z34" i="48" a="1"/>
  <c r="Z34" i="48" s="1"/>
  <c r="AA34" i="48"/>
  <c r="AB34" i="48" s="1"/>
  <c r="AC34" i="48" a="1"/>
  <c r="AC34" i="48" s="1"/>
  <c r="V35" i="48" a="1"/>
  <c r="V35" i="48" s="1"/>
  <c r="W35" i="48"/>
  <c r="X35" i="48" a="1"/>
  <c r="X35" i="48" s="1"/>
  <c r="Y35" i="48" a="1"/>
  <c r="Y35" i="48" s="1"/>
  <c r="Y36" i="48" a="1"/>
  <c r="Y36" i="48" s="1"/>
  <c r="Z36" i="48" a="1"/>
  <c r="Z36" i="48" s="1"/>
  <c r="AA36" i="48"/>
  <c r="AB36" i="48" s="1"/>
  <c r="AC36" i="48" a="1"/>
  <c r="AC36" i="48" s="1"/>
  <c r="W37" i="48"/>
  <c r="X37" i="48" a="1"/>
  <c r="X37" i="48" s="1"/>
  <c r="Y37" i="48" a="1"/>
  <c r="Y37" i="48" s="1"/>
  <c r="Z37" i="48" a="1"/>
  <c r="Z37" i="48" s="1"/>
  <c r="AA37" i="48"/>
  <c r="AB37" i="48" s="1"/>
  <c r="AC37" i="48" a="1"/>
  <c r="AC37" i="48" s="1"/>
  <c r="Z38" i="48" a="1"/>
  <c r="Z38" i="48" s="1"/>
  <c r="AA38" i="48"/>
  <c r="AB38" i="48" s="1"/>
  <c r="AC38" i="48" a="1"/>
  <c r="AC38" i="48" s="1"/>
  <c r="Z39" i="48" a="1"/>
  <c r="Z39" i="48" s="1"/>
  <c r="AA39" i="48"/>
  <c r="AB39" i="48" s="1"/>
  <c r="AC39" i="48" a="1"/>
  <c r="AC39" i="48" s="1"/>
  <c r="V40" i="48" a="1"/>
  <c r="V40" i="48" s="1"/>
  <c r="W40" i="48"/>
  <c r="Z40" i="48" a="1"/>
  <c r="Z40" i="48" s="1"/>
  <c r="AA40" i="48"/>
  <c r="AB40" i="48" s="1"/>
  <c r="AC40" i="48" a="1"/>
  <c r="AC40" i="48" s="1"/>
  <c r="V41" i="48" a="1"/>
  <c r="V41" i="48" s="1"/>
  <c r="W41" i="48"/>
  <c r="Y41" i="48" a="1"/>
  <c r="Y41" i="48" s="1"/>
  <c r="Z41" i="48" a="1"/>
  <c r="Z41" i="48" s="1"/>
  <c r="AA41" i="48"/>
  <c r="AB41" i="48" s="1"/>
  <c r="AC41" i="48" a="1"/>
  <c r="AC41" i="48" s="1"/>
  <c r="Z42" i="48" a="1"/>
  <c r="Z42" i="48" s="1"/>
  <c r="AA42" i="48"/>
  <c r="AB42" i="48" s="1"/>
  <c r="AC42" i="48" a="1"/>
  <c r="AC42" i="48" s="1"/>
  <c r="Z43" i="48" a="1"/>
  <c r="Z43" i="48" s="1"/>
  <c r="AA43" i="48"/>
  <c r="AB43" i="48" s="1"/>
  <c r="AC43" i="48" a="1"/>
  <c r="AC43" i="48" s="1"/>
  <c r="V44" i="48" a="1"/>
  <c r="V44" i="48" s="1"/>
  <c r="W44" i="48"/>
  <c r="X44" i="48" a="1"/>
  <c r="X44" i="48" s="1"/>
  <c r="Y44" i="48" a="1"/>
  <c r="Y44" i="48" s="1"/>
  <c r="Z45" i="48" a="1"/>
  <c r="Z45" i="48" s="1"/>
  <c r="AA45" i="48"/>
  <c r="AB45" i="48" s="1"/>
  <c r="AC45" i="48" a="1"/>
  <c r="AC45" i="48" s="1"/>
  <c r="W46" i="48"/>
  <c r="Z46" i="48" a="1"/>
  <c r="Z46" i="48" s="1"/>
  <c r="AA46" i="48"/>
  <c r="AB46" i="48" s="1"/>
  <c r="AC46" i="48" a="1"/>
  <c r="AC46" i="48" s="1"/>
  <c r="V47" i="48" a="1"/>
  <c r="V47" i="48" s="1"/>
  <c r="W47" i="48"/>
  <c r="X47" i="48" a="1"/>
  <c r="X47" i="48" s="1"/>
  <c r="Y47" i="48" a="1"/>
  <c r="Y47" i="48" s="1"/>
  <c r="Z48" i="48" a="1"/>
  <c r="Z48" i="48" s="1"/>
  <c r="AA48" i="48"/>
  <c r="AB48" i="48" s="1"/>
  <c r="AC48" i="48" a="1"/>
  <c r="AC48" i="48" s="1"/>
  <c r="Z49" i="48" a="1"/>
  <c r="Z49" i="48" s="1"/>
  <c r="AA49" i="48"/>
  <c r="AB49" i="48" s="1"/>
  <c r="AC49" i="48" a="1"/>
  <c r="AC49" i="48" s="1"/>
  <c r="Z50" i="48" a="1"/>
  <c r="Z50" i="48" s="1"/>
  <c r="AA50" i="48"/>
  <c r="AB50" i="48" s="1"/>
  <c r="AC50" i="48" a="1"/>
  <c r="AC50" i="48" s="1"/>
  <c r="W51" i="48"/>
  <c r="Z51" i="48" a="1"/>
  <c r="Z51" i="48" s="1"/>
  <c r="AA51" i="48"/>
  <c r="AB51" i="48" s="1"/>
  <c r="AC51" i="48" a="1"/>
  <c r="AC51" i="48" s="1"/>
  <c r="Y52" i="48" a="1"/>
  <c r="Y52" i="48" s="1"/>
  <c r="Z52" i="48" a="1"/>
  <c r="Z52" i="48" s="1"/>
  <c r="AA52" i="48"/>
  <c r="AB52" i="48" s="1"/>
  <c r="AC52" i="48" a="1"/>
  <c r="AC52" i="48" s="1"/>
  <c r="V53" i="48" a="1"/>
  <c r="V53" i="48" s="1"/>
  <c r="Z53" i="48" a="1"/>
  <c r="Z53" i="48" s="1"/>
  <c r="AA53" i="48"/>
  <c r="AB53" i="48" s="1"/>
  <c r="AC53" i="48" a="1"/>
  <c r="AC53" i="48" s="1"/>
  <c r="V54" i="48" a="1"/>
  <c r="V54" i="48" s="1"/>
  <c r="Z54" i="48" a="1"/>
  <c r="Z54" i="48" s="1"/>
  <c r="AA54" i="48"/>
  <c r="AB54" i="48" s="1"/>
  <c r="AC54" i="48" a="1"/>
  <c r="AC54" i="48" s="1"/>
  <c r="Z55" i="48" a="1"/>
  <c r="Z55" i="48" s="1"/>
  <c r="AA55" i="48"/>
  <c r="AB55" i="48" s="1"/>
  <c r="AC55" i="48" a="1"/>
  <c r="AC55" i="48" s="1"/>
  <c r="Z56" i="48" a="1"/>
  <c r="Z56" i="48" s="1"/>
  <c r="AA56" i="48"/>
  <c r="AB56" i="48" s="1"/>
  <c r="AC56" i="48" a="1"/>
  <c r="AC56" i="48" s="1"/>
  <c r="Z57" i="48" a="1"/>
  <c r="Z57" i="48" s="1"/>
  <c r="AA57" i="48"/>
  <c r="AB57" i="48" s="1"/>
  <c r="AC57" i="48" a="1"/>
  <c r="AC57" i="48" s="1"/>
  <c r="Z58" i="48" a="1"/>
  <c r="Z58" i="48" s="1"/>
  <c r="AA58" i="48"/>
  <c r="AB58" i="48" s="1"/>
  <c r="AC58" i="48" a="1"/>
  <c r="AC58" i="48" s="1"/>
  <c r="Z59" i="48" a="1"/>
  <c r="Z59" i="48" s="1"/>
  <c r="AA59" i="48"/>
  <c r="AB59" i="48" s="1"/>
  <c r="AC59" i="48" a="1"/>
  <c r="AC59" i="48" s="1"/>
  <c r="Z60" i="48" a="1"/>
  <c r="Z60" i="48" s="1"/>
  <c r="AA60" i="48"/>
  <c r="AB60" i="48" s="1"/>
  <c r="AC60" i="48" a="1"/>
  <c r="AC60" i="48" s="1"/>
  <c r="Z61" i="48" a="1"/>
  <c r="Z61" i="48" s="1"/>
  <c r="AA61" i="48"/>
  <c r="AB61" i="48" s="1"/>
  <c r="AC61" i="48" a="1"/>
  <c r="AC61" i="48" s="1"/>
  <c r="Z62" i="48" a="1"/>
  <c r="Z62" i="48" s="1"/>
  <c r="AA62" i="48"/>
  <c r="AB62" i="48" s="1"/>
  <c r="AC62" i="48" a="1"/>
  <c r="AC62" i="48" s="1"/>
  <c r="Z63" i="48" a="1"/>
  <c r="Z63" i="48" s="1"/>
  <c r="AA63" i="48"/>
  <c r="AB63" i="48" s="1"/>
  <c r="AC63" i="48" a="1"/>
  <c r="AC63" i="48" s="1"/>
  <c r="V64" i="48" a="1"/>
  <c r="V64" i="48" s="1"/>
  <c r="W64" i="48"/>
  <c r="X64" i="48" a="1"/>
  <c r="X64" i="48" s="1"/>
  <c r="Y64" i="48" a="1"/>
  <c r="Y64" i="48" s="1"/>
  <c r="Z65" i="48" a="1"/>
  <c r="Z65" i="48" s="1"/>
  <c r="AA65" i="48"/>
  <c r="AB65" i="48" s="1"/>
  <c r="AC65" i="48" a="1"/>
  <c r="AC65" i="48" s="1"/>
  <c r="Z66" i="48" a="1"/>
  <c r="Z66" i="48" s="1"/>
  <c r="AA66" i="48"/>
  <c r="AB66" i="48" s="1"/>
  <c r="AC66" i="48" a="1"/>
  <c r="AC66" i="48" s="1"/>
  <c r="Z67" i="48" a="1"/>
  <c r="Z67" i="48" s="1"/>
  <c r="AA67" i="48"/>
  <c r="AB67" i="48" s="1"/>
  <c r="AC67" i="48" a="1"/>
  <c r="AC67" i="48" s="1"/>
  <c r="Z68" i="48" a="1"/>
  <c r="Z68" i="48" s="1"/>
  <c r="AA68" i="48"/>
  <c r="AB68" i="48" s="1"/>
  <c r="AC68" i="48" a="1"/>
  <c r="AC68" i="48" s="1"/>
  <c r="W69" i="48"/>
  <c r="Z69" i="48" a="1"/>
  <c r="Z69" i="48" s="1"/>
  <c r="AA69" i="48"/>
  <c r="AB69" i="48" s="1"/>
  <c r="AC69" i="48" a="1"/>
  <c r="AC69" i="48" s="1"/>
  <c r="Z70" i="48" a="1"/>
  <c r="Z70" i="48" s="1"/>
  <c r="AA70" i="48"/>
  <c r="AB70" i="48" s="1"/>
  <c r="AC70" i="48" a="1"/>
  <c r="AC70" i="48" s="1"/>
  <c r="Z71" i="48" a="1"/>
  <c r="Z71" i="48" s="1"/>
  <c r="AA71" i="48"/>
  <c r="AB71" i="48" s="1"/>
  <c r="AC71" i="48" a="1"/>
  <c r="AC71" i="48" s="1"/>
  <c r="Z72" i="48" a="1"/>
  <c r="Z72" i="48" s="1"/>
  <c r="AA72" i="48"/>
  <c r="AB72" i="48" s="1"/>
  <c r="AC72" i="48" a="1"/>
  <c r="AC72" i="48" s="1"/>
  <c r="V73" i="48" a="1"/>
  <c r="V73" i="48" s="1"/>
  <c r="W73" i="48"/>
  <c r="X73" i="48" a="1"/>
  <c r="X73" i="48" s="1"/>
  <c r="Y73" i="48" a="1"/>
  <c r="Y73" i="48" s="1"/>
  <c r="Z74" i="48" a="1"/>
  <c r="Z74" i="48" s="1"/>
  <c r="AA74" i="48"/>
  <c r="AB74" i="48" s="1"/>
  <c r="AC74" i="48" a="1"/>
  <c r="AC74" i="48" s="1"/>
  <c r="Z75" i="48" a="1"/>
  <c r="Z75" i="48" s="1"/>
  <c r="AA75" i="48"/>
  <c r="AB75" i="48" s="1"/>
  <c r="AC75" i="48" a="1"/>
  <c r="AC75" i="48" s="1"/>
  <c r="Z76" i="48" a="1"/>
  <c r="Z76" i="48" s="1"/>
  <c r="AA76" i="48"/>
  <c r="AB76" i="48" s="1"/>
  <c r="AC76" i="48" a="1"/>
  <c r="AC76" i="48" s="1"/>
  <c r="V77" i="48" a="1"/>
  <c r="V77" i="48" s="1"/>
  <c r="W77" i="48"/>
  <c r="X77" i="48" a="1"/>
  <c r="X77" i="48" s="1"/>
  <c r="Y77" i="48" a="1"/>
  <c r="Y77" i="48" s="1"/>
  <c r="Z78" i="48" a="1"/>
  <c r="Z78" i="48" s="1"/>
  <c r="AA78" i="48"/>
  <c r="AB78" i="48" s="1"/>
  <c r="AC78" i="48" a="1"/>
  <c r="AC78" i="48" s="1"/>
  <c r="Z79" i="48" a="1"/>
  <c r="Z79" i="48" s="1"/>
  <c r="AA79" i="48"/>
  <c r="AB79" i="48" s="1"/>
  <c r="AC79" i="48" a="1"/>
  <c r="AC79" i="48" s="1"/>
  <c r="Y80" i="48" a="1"/>
  <c r="Y80" i="48" s="1"/>
  <c r="Z80" i="48" a="1"/>
  <c r="Z80" i="48" s="1"/>
  <c r="AA80" i="48"/>
  <c r="AB80" i="48" s="1"/>
  <c r="AC80" i="48" a="1"/>
  <c r="AC80" i="48" s="1"/>
  <c r="Z81" i="48" a="1"/>
  <c r="Z81" i="48" s="1"/>
  <c r="AA81" i="48"/>
  <c r="AB81" i="48" s="1"/>
  <c r="AC81" i="48" a="1"/>
  <c r="AC81" i="48" s="1"/>
  <c r="Z82" i="48" a="1"/>
  <c r="Z82" i="48" s="1"/>
  <c r="AA82" i="48"/>
  <c r="AB82" i="48" s="1"/>
  <c r="AC82" i="48" a="1"/>
  <c r="AC82" i="48" s="1"/>
  <c r="V83" i="48" a="1"/>
  <c r="V83" i="48" s="1"/>
  <c r="W83" i="48"/>
  <c r="X83" i="48" a="1"/>
  <c r="X83" i="48" s="1"/>
  <c r="Y83" i="48" a="1"/>
  <c r="Y83" i="48" s="1"/>
  <c r="Z84" i="48" a="1"/>
  <c r="Z84" i="48" s="1"/>
  <c r="AA84" i="48"/>
  <c r="AB84" i="48" s="1"/>
  <c r="AC84" i="48" a="1"/>
  <c r="AC84" i="48" s="1"/>
  <c r="V85" i="48" a="1"/>
  <c r="V85" i="48" s="1"/>
  <c r="Z85" i="48" a="1"/>
  <c r="Z85" i="48" s="1"/>
  <c r="AA85" i="48"/>
  <c r="AB85" i="48" s="1"/>
  <c r="AC85" i="48" a="1"/>
  <c r="AC85" i="48" s="1"/>
  <c r="Z86" i="48" a="1"/>
  <c r="Z86" i="48" s="1"/>
  <c r="AA86" i="48"/>
  <c r="AB86" i="48" s="1"/>
  <c r="AC86" i="48" a="1"/>
  <c r="AC86" i="48" s="1"/>
  <c r="V87" i="48" a="1"/>
  <c r="V87" i="48" s="1"/>
  <c r="Z87" i="48" a="1"/>
  <c r="Z87" i="48" s="1"/>
  <c r="AA87" i="48"/>
  <c r="AB87" i="48" s="1"/>
  <c r="AC87" i="48" a="1"/>
  <c r="AC87" i="48" s="1"/>
  <c r="Z88" i="48" a="1"/>
  <c r="Z88" i="48" s="1"/>
  <c r="AA88" i="48"/>
  <c r="AB88" i="48" s="1"/>
  <c r="AC88" i="48" a="1"/>
  <c r="AC88" i="48" s="1"/>
  <c r="Z89" i="48" a="1"/>
  <c r="Z89" i="48" s="1"/>
  <c r="AA89" i="48"/>
  <c r="AB89" i="48" s="1"/>
  <c r="AC89" i="48" a="1"/>
  <c r="AC89" i="48" s="1"/>
  <c r="V90" i="48" a="1"/>
  <c r="V90" i="48" s="1"/>
  <c r="W90" i="48"/>
  <c r="X90" i="48" a="1"/>
  <c r="X90" i="48" s="1"/>
  <c r="Y90" i="48" a="1"/>
  <c r="Y90" i="48" s="1"/>
  <c r="Z91" i="48" a="1"/>
  <c r="Z91" i="48" s="1"/>
  <c r="AA91" i="48"/>
  <c r="AB91" i="48" s="1"/>
  <c r="AC91" i="48" a="1"/>
  <c r="AC91" i="48" s="1"/>
  <c r="Z92" i="48" a="1"/>
  <c r="Z92" i="48" s="1"/>
  <c r="AA92" i="48"/>
  <c r="AB92" i="48" s="1"/>
  <c r="AC92" i="48" a="1"/>
  <c r="AC92" i="48" s="1"/>
  <c r="Z93" i="48" a="1"/>
  <c r="Z93" i="48" s="1"/>
  <c r="AA93" i="48"/>
  <c r="AB93" i="48" s="1"/>
  <c r="AC93" i="48" a="1"/>
  <c r="AC93" i="48" s="1"/>
  <c r="V94" i="48" a="1"/>
  <c r="V94" i="48" s="1"/>
  <c r="W94" i="48"/>
  <c r="X94" i="48" a="1"/>
  <c r="X94" i="48" s="1"/>
  <c r="Y94" i="48" a="1"/>
  <c r="Y94" i="48" s="1"/>
  <c r="V95" i="48" a="1"/>
  <c r="V95" i="48" s="1"/>
  <c r="W95" i="48"/>
  <c r="Y95" i="48" a="1"/>
  <c r="Y95" i="48" s="1"/>
  <c r="Z95" i="48" a="1"/>
  <c r="Z95" i="48" s="1"/>
  <c r="AA95" i="48"/>
  <c r="AB95" i="48" s="1"/>
  <c r="AC95" i="48" a="1"/>
  <c r="AC95" i="48" s="1"/>
  <c r="Z96" i="48" a="1"/>
  <c r="Z96" i="48" s="1"/>
  <c r="AA96" i="48"/>
  <c r="AB96" i="48" s="1"/>
  <c r="AC96" i="48" a="1"/>
  <c r="AC96" i="48" s="1"/>
  <c r="Z97" i="48" a="1"/>
  <c r="Z97" i="48" s="1"/>
  <c r="AA97" i="48"/>
  <c r="AB97" i="48" s="1"/>
  <c r="AC97" i="48" a="1"/>
  <c r="AC97" i="48" s="1"/>
  <c r="V98" i="48" a="1"/>
  <c r="V98" i="48" s="1"/>
  <c r="W98" i="48"/>
  <c r="X98" i="48" a="1"/>
  <c r="X98" i="48" s="1"/>
  <c r="Y98" i="48" a="1"/>
  <c r="Y98" i="48" s="1"/>
  <c r="Z99" i="48" a="1"/>
  <c r="Z99" i="48" s="1"/>
  <c r="AA99" i="48"/>
  <c r="AB99" i="48" s="1"/>
  <c r="AC99" i="48" a="1"/>
  <c r="AC99" i="48" s="1"/>
  <c r="V100" i="48" a="1"/>
  <c r="V100" i="48" s="1"/>
  <c r="W100" i="48"/>
  <c r="X100" i="48" a="1"/>
  <c r="X100" i="48" s="1"/>
  <c r="Y100" i="48" a="1"/>
  <c r="Y100" i="48" s="1"/>
  <c r="V101" i="48" a="1"/>
  <c r="V101" i="48" s="1"/>
  <c r="W101" i="48"/>
  <c r="X101" i="48" a="1"/>
  <c r="X101" i="48" s="1"/>
  <c r="Y101" i="48" a="1"/>
  <c r="Y101" i="48" s="1"/>
  <c r="Z102" i="48" a="1"/>
  <c r="Z102" i="48" s="1"/>
  <c r="AA102" i="48"/>
  <c r="AB102" i="48" s="1"/>
  <c r="AC102" i="48" a="1"/>
  <c r="AC102" i="48" s="1"/>
  <c r="W103" i="48"/>
  <c r="X103" i="48" a="1"/>
  <c r="X103" i="48" s="1"/>
  <c r="Y103" i="48" a="1"/>
  <c r="Y103" i="48" s="1"/>
  <c r="Z103" i="48" a="1"/>
  <c r="Z103" i="48" s="1"/>
  <c r="AA103" i="48"/>
  <c r="AB103" i="48" s="1"/>
  <c r="AC103" i="48" a="1"/>
  <c r="AC103" i="48" s="1"/>
  <c r="V104" i="48" a="1"/>
  <c r="V104" i="48" s="1"/>
  <c r="W104" i="48"/>
  <c r="X104" i="48" a="1"/>
  <c r="X104" i="48" s="1"/>
  <c r="Y104" i="48" a="1"/>
  <c r="Y104" i="48" s="1"/>
  <c r="Z104" i="48" a="1"/>
  <c r="Z104" i="48" s="1"/>
  <c r="AA104" i="48"/>
  <c r="AB104" i="48" s="1"/>
  <c r="AC104" i="48" a="1"/>
  <c r="AC104" i="48" s="1"/>
  <c r="Z105" i="48" a="1"/>
  <c r="Z105" i="48" s="1"/>
  <c r="AA105" i="48"/>
  <c r="AB105" i="48" s="1"/>
  <c r="AC105" i="48" a="1"/>
  <c r="AC105" i="48" s="1"/>
  <c r="Z106" i="48" a="1"/>
  <c r="Z106" i="48" s="1"/>
  <c r="AA106" i="48"/>
  <c r="AB106" i="48" s="1"/>
  <c r="AC106" i="48" a="1"/>
  <c r="AC106" i="48" s="1"/>
  <c r="W107" i="48"/>
  <c r="Z107" i="48" a="1"/>
  <c r="Z107" i="48" s="1"/>
  <c r="AA107" i="48"/>
  <c r="AB107" i="48" s="1"/>
  <c r="AC107" i="48" a="1"/>
  <c r="AC107" i="48" s="1"/>
  <c r="V108" i="48" a="1"/>
  <c r="V108" i="48" s="1"/>
  <c r="W108" i="48"/>
  <c r="Y108" i="48" a="1"/>
  <c r="Y108" i="48" s="1"/>
  <c r="Z108" i="48" a="1"/>
  <c r="Z108" i="48" s="1"/>
  <c r="AA108" i="48"/>
  <c r="AB108" i="48" s="1"/>
  <c r="AC108" i="48" a="1"/>
  <c r="AC108" i="48" s="1"/>
  <c r="W109" i="48"/>
  <c r="X109" i="48" a="1"/>
  <c r="X109" i="48" s="1"/>
  <c r="Z109" i="48" a="1"/>
  <c r="Z109" i="48" s="1"/>
  <c r="AA109" i="48"/>
  <c r="AB109" i="48" s="1"/>
  <c r="AC109" i="48" a="1"/>
  <c r="AC109" i="48" s="1"/>
  <c r="Z110" i="48" a="1"/>
  <c r="Z110" i="48" s="1"/>
  <c r="AA110" i="48"/>
  <c r="AB110" i="48" s="1"/>
  <c r="AC110" i="48" a="1"/>
  <c r="AC110" i="48" s="1"/>
  <c r="Z111" i="48" a="1"/>
  <c r="Z111" i="48" s="1"/>
  <c r="AA111" i="48"/>
  <c r="AB111" i="48" s="1"/>
  <c r="AC111" i="48" a="1"/>
  <c r="AC111" i="48" s="1"/>
  <c r="Z112" i="48" a="1"/>
  <c r="Z112" i="48" s="1"/>
  <c r="AA112" i="48"/>
  <c r="AB112" i="48" s="1"/>
  <c r="AC112" i="48" a="1"/>
  <c r="AC112" i="48" s="1"/>
  <c r="Z113" i="48" a="1"/>
  <c r="Z113" i="48" s="1"/>
  <c r="AA113" i="48"/>
  <c r="AB113" i="48" s="1"/>
  <c r="AC113" i="48" a="1"/>
  <c r="AC113" i="48" s="1"/>
  <c r="V114" i="48" a="1"/>
  <c r="V114" i="48" s="1"/>
  <c r="Z114" i="48" a="1"/>
  <c r="Z114" i="48" s="1"/>
  <c r="AA114" i="48"/>
  <c r="AB114" i="48" s="1"/>
  <c r="AC114" i="48" a="1"/>
  <c r="AC114" i="48" s="1"/>
  <c r="Z115" i="48" a="1"/>
  <c r="Z115" i="48" s="1"/>
  <c r="AA115" i="48"/>
  <c r="AB115" i="48" s="1"/>
  <c r="AC115" i="48" a="1"/>
  <c r="AC115" i="48" s="1"/>
  <c r="V116" i="48" a="1"/>
  <c r="V116" i="48" s="1"/>
  <c r="W116" i="48"/>
  <c r="X116" i="48" a="1"/>
  <c r="X116" i="48" s="1"/>
  <c r="Y116" i="48" a="1"/>
  <c r="Y116" i="48" s="1"/>
  <c r="V117" i="48" a="1"/>
  <c r="V117" i="48" s="1"/>
  <c r="W117" i="48"/>
  <c r="X117" i="48" a="1"/>
  <c r="X117" i="48" s="1"/>
  <c r="Y117" i="48" a="1"/>
  <c r="Y117" i="48" s="1"/>
  <c r="V118" i="48" a="1"/>
  <c r="V118" i="48" s="1"/>
  <c r="W118" i="48"/>
  <c r="X118" i="48" a="1"/>
  <c r="X118" i="48" s="1"/>
  <c r="Y118" i="48" a="1"/>
  <c r="Y118" i="48" s="1"/>
  <c r="V119" i="48" a="1"/>
  <c r="V119" i="48" s="1"/>
  <c r="X119" i="48" a="1"/>
  <c r="X119" i="48" s="1"/>
  <c r="Y119" i="48" a="1"/>
  <c r="Y119" i="48" s="1"/>
  <c r="Z119" i="48" a="1"/>
  <c r="Z119" i="48" s="1"/>
  <c r="AA119" i="48"/>
  <c r="AB119" i="48" s="1"/>
  <c r="AC119" i="48" a="1"/>
  <c r="AC119" i="48" s="1"/>
  <c r="Z120" i="48" a="1"/>
  <c r="Z120" i="48" s="1"/>
  <c r="AA120" i="48"/>
  <c r="AB120" i="48" s="1"/>
  <c r="AC120" i="48" a="1"/>
  <c r="AC120" i="48" s="1"/>
  <c r="Z121" i="48" a="1"/>
  <c r="Z121" i="48" s="1"/>
  <c r="AA121" i="48"/>
  <c r="AB121" i="48" s="1"/>
  <c r="AC121" i="48" a="1"/>
  <c r="AC121" i="48" s="1"/>
  <c r="V122" i="48" a="1"/>
  <c r="V122" i="48" s="1"/>
  <c r="W122" i="48"/>
  <c r="X122" i="48" a="1"/>
  <c r="X122" i="48" s="1"/>
  <c r="Y122" i="48" a="1"/>
  <c r="Y122" i="48" s="1"/>
  <c r="Z122" i="48" a="1"/>
  <c r="Z122" i="48" s="1"/>
  <c r="AA122" i="48"/>
  <c r="AB122" i="48" s="1"/>
  <c r="AC122" i="48" a="1"/>
  <c r="AC122" i="48" s="1"/>
  <c r="Z123" i="48" a="1"/>
  <c r="Z123" i="48" s="1"/>
  <c r="AA123" i="48"/>
  <c r="AB123" i="48" s="1"/>
  <c r="AC123" i="48" a="1"/>
  <c r="AC123" i="48" s="1"/>
  <c r="V124" i="48" a="1"/>
  <c r="V124" i="48" s="1"/>
  <c r="W124" i="48"/>
  <c r="X124" i="48" a="1"/>
  <c r="X124" i="48" s="1"/>
  <c r="Y124" i="48" a="1"/>
  <c r="Y124" i="48" s="1"/>
  <c r="Z124" i="48" a="1"/>
  <c r="Z124" i="48" s="1"/>
  <c r="AA124" i="48"/>
  <c r="AB124" i="48" s="1"/>
  <c r="AC124" i="48" a="1"/>
  <c r="AC124" i="48" s="1"/>
  <c r="Z125" i="48" a="1"/>
  <c r="Z125" i="48" s="1"/>
  <c r="AA125" i="48"/>
  <c r="AB125" i="48" s="1"/>
  <c r="AC125" i="48" a="1"/>
  <c r="AC125" i="48" s="1"/>
  <c r="V126" i="48" a="1"/>
  <c r="V126" i="48" s="1"/>
  <c r="W126" i="48"/>
  <c r="X126" i="48" a="1"/>
  <c r="X126" i="48" s="1"/>
  <c r="Y126" i="48" a="1"/>
  <c r="Y126" i="48" s="1"/>
  <c r="Z127" i="48" a="1"/>
  <c r="Z127" i="48" s="1"/>
  <c r="AA127" i="48"/>
  <c r="AB127" i="48" s="1"/>
  <c r="AC127" i="48" a="1"/>
  <c r="AC127" i="48" s="1"/>
  <c r="Z128" i="48" a="1"/>
  <c r="Z128" i="48" s="1"/>
  <c r="AA128" i="48"/>
  <c r="AB128" i="48" s="1"/>
  <c r="AC128" i="48" a="1"/>
  <c r="AC128" i="48" s="1"/>
  <c r="Z129" i="48" a="1"/>
  <c r="Z129" i="48" s="1"/>
  <c r="AA129" i="48"/>
  <c r="AB129" i="48" s="1"/>
  <c r="AC129" i="48" a="1"/>
  <c r="AC129" i="48" s="1"/>
  <c r="Z130" i="48" a="1"/>
  <c r="Z130" i="48" s="1"/>
  <c r="AA130" i="48"/>
  <c r="AB130" i="48" s="1"/>
  <c r="AC130" i="48" a="1"/>
  <c r="AC130" i="48" s="1"/>
  <c r="Z131" i="48" a="1"/>
  <c r="Z131" i="48" s="1"/>
  <c r="AA131" i="48"/>
  <c r="AB131" i="48" s="1"/>
  <c r="AC131" i="48" a="1"/>
  <c r="AC131" i="48" s="1"/>
  <c r="X132" i="48" a="1"/>
  <c r="X132" i="48" s="1"/>
  <c r="Y132" i="48" a="1"/>
  <c r="Y132" i="48" s="1"/>
  <c r="Z132" i="48" a="1"/>
  <c r="Z132" i="48" s="1"/>
  <c r="AA132" i="48"/>
  <c r="AB132" i="48" s="1"/>
  <c r="AC132" i="48" a="1"/>
  <c r="AC132" i="48" s="1"/>
  <c r="V133" i="48" a="1"/>
  <c r="V133" i="48" s="1"/>
  <c r="W133" i="48"/>
  <c r="X133" i="48" a="1"/>
  <c r="X133" i="48" s="1"/>
  <c r="Y133" i="48" a="1"/>
  <c r="Y133" i="48" s="1"/>
  <c r="Z133" i="48" a="1"/>
  <c r="Z133" i="48" s="1"/>
  <c r="AA133" i="48"/>
  <c r="AB133" i="48" s="1"/>
  <c r="AC133" i="48" a="1"/>
  <c r="AC133" i="48" s="1"/>
  <c r="Z134" i="48" a="1"/>
  <c r="Z134" i="48" s="1"/>
  <c r="AA134" i="48"/>
  <c r="AB134" i="48" s="1"/>
  <c r="AC134" i="48" a="1"/>
  <c r="AC134" i="48" s="1"/>
  <c r="Z135" i="48" a="1"/>
  <c r="Z135" i="48" s="1"/>
  <c r="AA135" i="48"/>
  <c r="AB135" i="48" s="1"/>
  <c r="AC135" i="48" a="1"/>
  <c r="AC135" i="48" s="1"/>
  <c r="V136" i="48" a="1"/>
  <c r="V136" i="48" s="1"/>
  <c r="W136" i="48"/>
  <c r="X136" i="48" a="1"/>
  <c r="X136" i="48" s="1"/>
  <c r="Z136" i="48" a="1"/>
  <c r="Z136" i="48" s="1"/>
  <c r="AA136" i="48"/>
  <c r="AB136" i="48" s="1"/>
  <c r="AC136" i="48" a="1"/>
  <c r="AC136" i="48" s="1"/>
  <c r="W137" i="48"/>
  <c r="Z137" i="48" a="1"/>
  <c r="Z137" i="48" s="1"/>
  <c r="AA137" i="48"/>
  <c r="AB137" i="48" s="1"/>
  <c r="AC137" i="48" a="1"/>
  <c r="AC137" i="48" s="1"/>
  <c r="Z138" i="48" a="1"/>
  <c r="Z138" i="48" s="1"/>
  <c r="AA138" i="48"/>
  <c r="AB138" i="48" s="1"/>
  <c r="AC138" i="48" a="1"/>
  <c r="AC138" i="48" s="1"/>
  <c r="V139" i="48" a="1"/>
  <c r="V139" i="48" s="1"/>
  <c r="W139" i="48"/>
  <c r="Y139" i="48" a="1"/>
  <c r="Y139" i="48" s="1"/>
  <c r="Z139" i="48" a="1"/>
  <c r="Z139" i="48" s="1"/>
  <c r="AA139" i="48"/>
  <c r="AB139" i="48" s="1"/>
  <c r="AC139" i="48" a="1"/>
  <c r="AC139" i="48" s="1"/>
  <c r="W140" i="48"/>
  <c r="X140" i="48" a="1"/>
  <c r="X140" i="48" s="1"/>
  <c r="Z140" i="48" a="1"/>
  <c r="Z140" i="48" s="1"/>
  <c r="AA140" i="48"/>
  <c r="AB140" i="48" s="1"/>
  <c r="AC140" i="48" a="1"/>
  <c r="AC140" i="48" s="1"/>
  <c r="Z141" i="48" a="1"/>
  <c r="Z141" i="48" s="1"/>
  <c r="AA141" i="48"/>
  <c r="AB141" i="48" s="1"/>
  <c r="AC141" i="48" a="1"/>
  <c r="AC141" i="48" s="1"/>
  <c r="V142" i="48" a="1"/>
  <c r="V142" i="48" s="1"/>
  <c r="X142" i="48" a="1"/>
  <c r="X142" i="48" s="1"/>
  <c r="Y142" i="48" a="1"/>
  <c r="Y142" i="48" s="1"/>
  <c r="Z142" i="48" a="1"/>
  <c r="Z142" i="48" s="1"/>
  <c r="AA142" i="48"/>
  <c r="AB142" i="48" s="1"/>
  <c r="AC142" i="48" a="1"/>
  <c r="AC142" i="48" s="1"/>
  <c r="Z143" i="48" a="1"/>
  <c r="Z143" i="48" s="1"/>
  <c r="AA143" i="48"/>
  <c r="AB143" i="48" s="1"/>
  <c r="AC143" i="48" a="1"/>
  <c r="AC143" i="48" s="1"/>
  <c r="V144" i="48" a="1"/>
  <c r="V144" i="48" s="1"/>
  <c r="W144" i="48"/>
  <c r="Z144" i="48" a="1"/>
  <c r="Z144" i="48" s="1"/>
  <c r="AA144" i="48"/>
  <c r="AB144" i="48" s="1"/>
  <c r="AC144" i="48" a="1"/>
  <c r="AC144" i="48" s="1"/>
  <c r="V145" i="48" a="1"/>
  <c r="V145" i="48" s="1"/>
  <c r="W145" i="48"/>
  <c r="X145" i="48" a="1"/>
  <c r="X145" i="48" s="1"/>
  <c r="Y145" i="48" a="1"/>
  <c r="Y145" i="48" s="1"/>
  <c r="Z145" i="48" a="1"/>
  <c r="Z145" i="48" s="1"/>
  <c r="AA145" i="48"/>
  <c r="AB145" i="48" s="1"/>
  <c r="AC145" i="48" a="1"/>
  <c r="AC145" i="48" s="1"/>
  <c r="Z146" i="48" a="1"/>
  <c r="Z146" i="48" s="1"/>
  <c r="AA146" i="48"/>
  <c r="AB146" i="48" s="1"/>
  <c r="AC146" i="48" a="1"/>
  <c r="AC146" i="48" s="1"/>
  <c r="X147" i="48" a="1"/>
  <c r="X147" i="48" s="1"/>
  <c r="Y147" i="48" a="1"/>
  <c r="Y147" i="48" s="1"/>
  <c r="Z147" i="48" a="1"/>
  <c r="Z147" i="48" s="1"/>
  <c r="AA147" i="48"/>
  <c r="AB147" i="48" s="1"/>
  <c r="AC147" i="48" a="1"/>
  <c r="AC147" i="48" s="1"/>
  <c r="Z148" i="48" a="1"/>
  <c r="Z148" i="48" s="1"/>
  <c r="AA148" i="48"/>
  <c r="AB148" i="48" s="1"/>
  <c r="AC148" i="48" a="1"/>
  <c r="AC148" i="48" s="1"/>
  <c r="V149" i="48" a="1"/>
  <c r="V149" i="48" s="1"/>
  <c r="X149" i="48" a="1"/>
  <c r="X149" i="48" s="1"/>
  <c r="Z149" i="48" a="1"/>
  <c r="Z149" i="48" s="1"/>
  <c r="AA149" i="48"/>
  <c r="AB149" i="48" s="1"/>
  <c r="AC149" i="48" a="1"/>
  <c r="AC149" i="48" s="1"/>
  <c r="V150" i="48" a="1"/>
  <c r="V150" i="48" s="1"/>
  <c r="Y150" i="48" a="1"/>
  <c r="Y150" i="48" s="1"/>
  <c r="Z150" i="48" a="1"/>
  <c r="Z150" i="48" s="1"/>
  <c r="AA150" i="48"/>
  <c r="AB150" i="48" s="1"/>
  <c r="AC150" i="48" a="1"/>
  <c r="AC150" i="48" s="1"/>
  <c r="V151" i="48" a="1"/>
  <c r="V151" i="48" s="1"/>
  <c r="W151" i="48"/>
  <c r="Y151" i="48" a="1"/>
  <c r="Y151" i="48" s="1"/>
  <c r="Z151" i="48" a="1"/>
  <c r="Z151" i="48" s="1"/>
  <c r="AA151" i="48"/>
  <c r="AB151" i="48" s="1"/>
  <c r="AC151" i="48" a="1"/>
  <c r="AC151" i="48" s="1"/>
  <c r="Z152" i="48" a="1"/>
  <c r="Z152" i="48" s="1"/>
  <c r="AA152" i="48"/>
  <c r="AB152" i="48" s="1"/>
  <c r="AC152" i="48" a="1"/>
  <c r="AC152" i="48" s="1"/>
  <c r="V153" i="48" a="1"/>
  <c r="V153" i="48" s="1"/>
  <c r="W153" i="48"/>
  <c r="X153" i="48" a="1"/>
  <c r="X153" i="48" s="1"/>
  <c r="Y153" i="48" a="1"/>
  <c r="Y153" i="48" s="1"/>
  <c r="Z153" i="48" a="1"/>
  <c r="Z153" i="48" s="1"/>
  <c r="AA153" i="48"/>
  <c r="AB153" i="48" s="1"/>
  <c r="AC153" i="48" a="1"/>
  <c r="AC153" i="48" s="1"/>
  <c r="Z154" i="48" a="1"/>
  <c r="Z154" i="48" s="1"/>
  <c r="AA154" i="48"/>
  <c r="AB154" i="48" s="1"/>
  <c r="AC154" i="48" a="1"/>
  <c r="AC154" i="48" s="1"/>
  <c r="X155" i="48" a="1"/>
  <c r="X155" i="48" s="1"/>
  <c r="Y155" i="48" a="1"/>
  <c r="Y155" i="48" s="1"/>
  <c r="Z155" i="48" a="1"/>
  <c r="Z155" i="48" s="1"/>
  <c r="AA155" i="48"/>
  <c r="AB155" i="48" s="1"/>
  <c r="AC155" i="48" a="1"/>
  <c r="AC155" i="48" s="1"/>
  <c r="V156" i="48" a="1"/>
  <c r="V156" i="48" s="1"/>
  <c r="W156" i="48"/>
  <c r="Z156" i="48" a="1"/>
  <c r="Z156" i="48" s="1"/>
  <c r="AA156" i="48"/>
  <c r="AB156" i="48" s="1"/>
  <c r="AC156" i="48" a="1"/>
  <c r="AC156" i="48" s="1"/>
  <c r="W157" i="48"/>
  <c r="X157" i="48" a="1"/>
  <c r="X157" i="48" s="1"/>
  <c r="Y157" i="48" a="1"/>
  <c r="Y157" i="48" s="1"/>
  <c r="Z157" i="48" a="1"/>
  <c r="Z157" i="48" s="1"/>
  <c r="AA157" i="48"/>
  <c r="AB157" i="48" s="1"/>
  <c r="AC157" i="48" a="1"/>
  <c r="AC157" i="48" s="1"/>
  <c r="V158" i="48" a="1"/>
  <c r="V158" i="48" s="1"/>
  <c r="X158" i="48" a="1"/>
  <c r="X158" i="48" s="1"/>
  <c r="Y158" i="48" a="1"/>
  <c r="Y158" i="48" s="1"/>
  <c r="Z158" i="48" a="1"/>
  <c r="Z158" i="48" s="1"/>
  <c r="AA158" i="48"/>
  <c r="AB158" i="48" s="1"/>
  <c r="AC158" i="48" a="1"/>
  <c r="AC158" i="48" s="1"/>
  <c r="V159" i="48" a="1"/>
  <c r="V159" i="48" s="1"/>
  <c r="W159" i="48"/>
  <c r="Z159" i="48" a="1"/>
  <c r="Z159" i="48" s="1"/>
  <c r="AA159" i="48"/>
  <c r="AB159" i="48" s="1"/>
  <c r="AC159" i="48" a="1"/>
  <c r="AC159" i="48" s="1"/>
  <c r="W160" i="48"/>
  <c r="Z160" i="48" a="1"/>
  <c r="Z160" i="48" s="1"/>
  <c r="AA160" i="48"/>
  <c r="AB160" i="48" s="1"/>
  <c r="AC160" i="48" a="1"/>
  <c r="AC160" i="48" s="1"/>
  <c r="V161" i="48" a="1"/>
  <c r="V161" i="48" s="1"/>
  <c r="W161" i="48"/>
  <c r="Y161" i="48" a="1"/>
  <c r="Y161" i="48" s="1"/>
  <c r="Z161" i="48" a="1"/>
  <c r="Z161" i="48" s="1"/>
  <c r="AA161" i="48"/>
  <c r="AB161" i="48" s="1"/>
  <c r="AC161" i="48" a="1"/>
  <c r="AC161" i="48" s="1"/>
  <c r="W162" i="48"/>
  <c r="Z162" i="48" a="1"/>
  <c r="Z162" i="48" s="1"/>
  <c r="AA162" i="48"/>
  <c r="AB162" i="48" s="1"/>
  <c r="AC162" i="48" a="1"/>
  <c r="AC162" i="48" s="1"/>
  <c r="Z163" i="48" a="1"/>
  <c r="Z163" i="48" s="1"/>
  <c r="AA163" i="48"/>
  <c r="AB163" i="48" s="1"/>
  <c r="AC163" i="48" a="1"/>
  <c r="AC163" i="48" s="1"/>
  <c r="V164" i="48" a="1"/>
  <c r="V164" i="48" s="1"/>
  <c r="Z164" i="48" a="1"/>
  <c r="Z164" i="48" s="1"/>
  <c r="AA164" i="48"/>
  <c r="AB164" i="48" s="1"/>
  <c r="AC164" i="48" a="1"/>
  <c r="AC164" i="48" s="1"/>
  <c r="Z165" i="48" a="1"/>
  <c r="Z165" i="48" s="1"/>
  <c r="AA165" i="48"/>
  <c r="AB165" i="48" s="1"/>
  <c r="AC165" i="48" a="1"/>
  <c r="AC165" i="48" s="1"/>
  <c r="V166" i="48" a="1"/>
  <c r="V166" i="48" s="1"/>
  <c r="W166" i="48"/>
  <c r="Z166" i="48" a="1"/>
  <c r="Z166" i="48" s="1"/>
  <c r="AA166" i="48"/>
  <c r="AB166" i="48" s="1"/>
  <c r="AC166" i="48" a="1"/>
  <c r="AC166" i="48" s="1"/>
  <c r="V167" i="48" a="1"/>
  <c r="V167" i="48" s="1"/>
  <c r="W167" i="48"/>
  <c r="X167" i="48" a="1"/>
  <c r="X167" i="48" s="1"/>
  <c r="Z167" i="48" a="1"/>
  <c r="Z167" i="48" s="1"/>
  <c r="AA167" i="48"/>
  <c r="AB167" i="48" s="1"/>
  <c r="AC167" i="48" a="1"/>
  <c r="AC167" i="48" s="1"/>
  <c r="Z168" i="48" a="1"/>
  <c r="Z168" i="48" s="1"/>
  <c r="AA168" i="48"/>
  <c r="AB168" i="48" s="1"/>
  <c r="AC168" i="48" a="1"/>
  <c r="AC168" i="48" s="1"/>
  <c r="V169" i="48" a="1"/>
  <c r="V169" i="48" s="1"/>
  <c r="X169" i="48" a="1"/>
  <c r="X169" i="48" s="1"/>
  <c r="Y169" i="48" a="1"/>
  <c r="Y169" i="48" s="1"/>
  <c r="Z169" i="48" a="1"/>
  <c r="Z169" i="48" s="1"/>
  <c r="AA169" i="48"/>
  <c r="AB169" i="48" s="1"/>
  <c r="AC169" i="48" a="1"/>
  <c r="AC169" i="48" s="1"/>
  <c r="W170" i="48"/>
  <c r="Z170" i="48" a="1"/>
  <c r="Z170" i="48" s="1"/>
  <c r="AA170" i="48"/>
  <c r="AB170" i="48" s="1"/>
  <c r="AC170" i="48" a="1"/>
  <c r="AC170" i="48" s="1"/>
  <c r="Z171" i="48" a="1"/>
  <c r="Z171" i="48" s="1"/>
  <c r="AA171" i="48"/>
  <c r="AB171" i="48" s="1"/>
  <c r="AC171" i="48" a="1"/>
  <c r="AC171" i="48" s="1"/>
  <c r="W172" i="48"/>
  <c r="X172" i="48" a="1"/>
  <c r="X172" i="48" s="1"/>
  <c r="Y172" i="48" a="1"/>
  <c r="Y172" i="48" s="1"/>
  <c r="Z172" i="48" a="1"/>
  <c r="Z172" i="48" s="1"/>
  <c r="AA172" i="48"/>
  <c r="AB172" i="48" s="1"/>
  <c r="AC172" i="48" a="1"/>
  <c r="AC172" i="48" s="1"/>
  <c r="Z173" i="48" a="1"/>
  <c r="Z173" i="48" s="1"/>
  <c r="AA173" i="48"/>
  <c r="AB173" i="48" s="1"/>
  <c r="AC173" i="48" a="1"/>
  <c r="AC173" i="48" s="1"/>
  <c r="Z174" i="48" a="1"/>
  <c r="Z174" i="48" s="1"/>
  <c r="AA174" i="48"/>
  <c r="AB174" i="48" s="1"/>
  <c r="AC174" i="48" a="1"/>
  <c r="AC174" i="48" s="1"/>
  <c r="Z175" i="48" a="1"/>
  <c r="Z175" i="48" s="1"/>
  <c r="AA175" i="48"/>
  <c r="AB175" i="48" s="1"/>
  <c r="AC175" i="48" a="1"/>
  <c r="AC175" i="48" s="1"/>
  <c r="V176" i="48" a="1"/>
  <c r="V176" i="48" s="1"/>
  <c r="W176" i="48"/>
  <c r="X176" i="48" a="1"/>
  <c r="X176" i="48" s="1"/>
  <c r="Z176" i="48" a="1"/>
  <c r="Z176" i="48" s="1"/>
  <c r="AA176" i="48"/>
  <c r="AB176" i="48" s="1"/>
  <c r="AC176" i="48" a="1"/>
  <c r="AC176" i="48" s="1"/>
  <c r="Z177" i="48" a="1"/>
  <c r="Z177" i="48" s="1"/>
  <c r="AA177" i="48"/>
  <c r="AB177" i="48" s="1"/>
  <c r="AC177" i="48" a="1"/>
  <c r="AC177" i="48" s="1"/>
  <c r="V178" i="48" a="1"/>
  <c r="V178" i="48" s="1"/>
  <c r="W178" i="48"/>
  <c r="Y178" i="48" a="1"/>
  <c r="Y178" i="48" s="1"/>
  <c r="Z178" i="48" a="1"/>
  <c r="Z178" i="48" s="1"/>
  <c r="AA178" i="48"/>
  <c r="AB178" i="48" s="1"/>
  <c r="AC178" i="48" a="1"/>
  <c r="AC178" i="48" s="1"/>
  <c r="V179" i="48" a="1"/>
  <c r="V179" i="48" s="1"/>
  <c r="W179" i="48"/>
  <c r="Y179" i="48" a="1"/>
  <c r="Y179" i="48" s="1"/>
  <c r="Z179" i="48" a="1"/>
  <c r="Z179" i="48" s="1"/>
  <c r="AA179" i="48"/>
  <c r="AB179" i="48" s="1"/>
  <c r="AC179" i="48" a="1"/>
  <c r="AC179" i="48" s="1"/>
  <c r="Z180" i="48" a="1"/>
  <c r="Z180" i="48" s="1"/>
  <c r="AA180" i="48"/>
  <c r="AB180" i="48" s="1"/>
  <c r="AC180" i="48" a="1"/>
  <c r="AC180" i="48" s="1"/>
  <c r="W181" i="48"/>
  <c r="X181" i="48" a="1"/>
  <c r="X181" i="48" s="1"/>
  <c r="Y181" i="48" a="1"/>
  <c r="Y181" i="48" s="1"/>
  <c r="Z181" i="48" a="1"/>
  <c r="Z181" i="48" s="1"/>
  <c r="AA181" i="48"/>
  <c r="AB181" i="48" s="1"/>
  <c r="AC181" i="48" a="1"/>
  <c r="AC181" i="48" s="1"/>
  <c r="Z182" i="48" a="1"/>
  <c r="Z182" i="48" s="1"/>
  <c r="AA182" i="48"/>
  <c r="AB182" i="48" s="1"/>
  <c r="AC182" i="48" a="1"/>
  <c r="AC182" i="48" s="1"/>
  <c r="W183" i="48"/>
  <c r="Y183" i="48" a="1"/>
  <c r="Y183" i="48" s="1"/>
  <c r="Z183" i="48" a="1"/>
  <c r="Z183" i="48" s="1"/>
  <c r="AA183" i="48"/>
  <c r="AB183" i="48" s="1"/>
  <c r="AC183" i="48" a="1"/>
  <c r="AC183" i="48" s="1"/>
  <c r="V184" i="48" a="1"/>
  <c r="V184" i="48" s="1"/>
  <c r="Z184" i="48" a="1"/>
  <c r="Z184" i="48" s="1"/>
  <c r="AA184" i="48"/>
  <c r="AB184" i="48" s="1"/>
  <c r="AC184" i="48" a="1"/>
  <c r="AC184" i="48" s="1"/>
  <c r="V185" i="48" a="1"/>
  <c r="V185" i="48" s="1"/>
  <c r="W185" i="48"/>
  <c r="X185" i="48" a="1"/>
  <c r="X185" i="48" s="1"/>
  <c r="Y185" i="48" a="1"/>
  <c r="Y185" i="48" s="1"/>
  <c r="Z185" i="48" a="1"/>
  <c r="Z185" i="48" s="1"/>
  <c r="AA185" i="48"/>
  <c r="AB185" i="48" s="1"/>
  <c r="AC185" i="48" a="1"/>
  <c r="AC185" i="48" s="1"/>
  <c r="Z186" i="48" a="1"/>
  <c r="Z186" i="48" s="1"/>
  <c r="AA186" i="48"/>
  <c r="AB186" i="48" s="1"/>
  <c r="AC186" i="48" a="1"/>
  <c r="AC186" i="48" s="1"/>
  <c r="V187" i="48" a="1"/>
  <c r="V187" i="48" s="1"/>
  <c r="W187" i="48"/>
  <c r="X187" i="48" a="1"/>
  <c r="X187" i="48" s="1"/>
  <c r="Y187" i="48" a="1"/>
  <c r="Y187" i="48" s="1"/>
  <c r="Z187" i="48" a="1"/>
  <c r="Z187" i="48" s="1"/>
  <c r="AA187" i="48"/>
  <c r="AB187" i="48" s="1"/>
  <c r="AC187" i="48" a="1"/>
  <c r="AC187" i="48" s="1"/>
  <c r="Z188" i="48" a="1"/>
  <c r="Z188" i="48" s="1"/>
  <c r="AA188" i="48"/>
  <c r="AB188" i="48" s="1"/>
  <c r="AC188" i="48" a="1"/>
  <c r="AC188" i="48" s="1"/>
  <c r="V189" i="48" a="1"/>
  <c r="V189" i="48" s="1"/>
  <c r="W189" i="48"/>
  <c r="X189" i="48" a="1"/>
  <c r="X189" i="48" s="1"/>
  <c r="Z189" i="48" a="1"/>
  <c r="Z189" i="48" s="1"/>
  <c r="AA189" i="48"/>
  <c r="AB189" i="48" s="1"/>
  <c r="AC189" i="48" a="1"/>
  <c r="AC189" i="48" s="1"/>
  <c r="V190" i="48" a="1"/>
  <c r="V190" i="48" s="1"/>
  <c r="Y190" i="48" a="1"/>
  <c r="Y190" i="48" s="1"/>
  <c r="Z190" i="48" a="1"/>
  <c r="Z190" i="48" s="1"/>
  <c r="AA190" i="48"/>
  <c r="AB190" i="48" s="1"/>
  <c r="AC190" i="48" a="1"/>
  <c r="AC190" i="48" s="1"/>
  <c r="V191" i="48" a="1"/>
  <c r="V191" i="48" s="1"/>
  <c r="W191" i="48"/>
  <c r="Y191" i="48" a="1"/>
  <c r="Y191" i="48" s="1"/>
  <c r="Z191" i="48" a="1"/>
  <c r="Z191" i="48" s="1"/>
  <c r="AA191" i="48"/>
  <c r="AB191" i="48" s="1"/>
  <c r="AC191" i="48" a="1"/>
  <c r="AC191" i="48" s="1"/>
  <c r="V192" i="48" a="1"/>
  <c r="V192" i="48" s="1"/>
  <c r="X192" i="48" a="1"/>
  <c r="X192" i="48" s="1"/>
  <c r="Y192" i="48" a="1"/>
  <c r="Y192" i="48" s="1"/>
  <c r="Z192" i="48" a="1"/>
  <c r="Z192" i="48" s="1"/>
  <c r="AA192" i="48"/>
  <c r="AB192" i="48" s="1"/>
  <c r="AC192" i="48" a="1"/>
  <c r="AC192" i="48" s="1"/>
  <c r="Z193" i="48" a="1"/>
  <c r="Z193" i="48" s="1"/>
  <c r="AA193" i="48"/>
  <c r="AB193" i="48" s="1"/>
  <c r="AC193" i="48" a="1"/>
  <c r="AC193" i="48" s="1"/>
  <c r="W194" i="48"/>
  <c r="Z194" i="48" a="1"/>
  <c r="Z194" i="48" s="1"/>
  <c r="AA194" i="48"/>
  <c r="AB194" i="48" s="1"/>
  <c r="AC194" i="48" a="1"/>
  <c r="AC194" i="48" s="1"/>
  <c r="W195" i="48"/>
  <c r="Y195" i="48" a="1"/>
  <c r="Y195" i="48" s="1"/>
  <c r="Z195" i="48" a="1"/>
  <c r="Z195" i="48" s="1"/>
  <c r="AA195" i="48"/>
  <c r="AB195" i="48" s="1"/>
  <c r="AC195" i="48" a="1"/>
  <c r="AC195" i="48" s="1"/>
  <c r="Z196" i="48" a="1"/>
  <c r="Z196" i="48" s="1"/>
  <c r="AA196" i="48"/>
  <c r="AB196" i="48" s="1"/>
  <c r="AC196" i="48" a="1"/>
  <c r="AC196" i="48" s="1"/>
  <c r="W197" i="48"/>
  <c r="X197" i="48" a="1"/>
  <c r="X197" i="48" s="1"/>
  <c r="Z197" i="48" a="1"/>
  <c r="Z197" i="48" s="1"/>
  <c r="AA197" i="48"/>
  <c r="AB197" i="48" s="1"/>
  <c r="AC197" i="48" a="1"/>
  <c r="AC197" i="48" s="1"/>
  <c r="V198" i="48" a="1"/>
  <c r="V198" i="48" s="1"/>
  <c r="X198" i="48" a="1"/>
  <c r="X198" i="48" s="1"/>
  <c r="Z198" i="48" a="1"/>
  <c r="Z198" i="48" s="1"/>
  <c r="AA198" i="48"/>
  <c r="AB198" i="48" s="1"/>
  <c r="AC198" i="48" a="1"/>
  <c r="AC198" i="48" s="1"/>
  <c r="Z199" i="48" a="1"/>
  <c r="Z199" i="48" s="1"/>
  <c r="AA199" i="48"/>
  <c r="AB199" i="48" s="1"/>
  <c r="AC199" i="48" a="1"/>
  <c r="AC199" i="48" s="1"/>
  <c r="Z200" i="48" a="1"/>
  <c r="Z200" i="48" s="1"/>
  <c r="AA200" i="48"/>
  <c r="AB200" i="48" s="1"/>
  <c r="AC200" i="48" a="1"/>
  <c r="AC200" i="48" s="1"/>
  <c r="X201" i="48" a="1"/>
  <c r="X201" i="48" s="1"/>
  <c r="Y201" i="48" a="1"/>
  <c r="Y201" i="48" s="1"/>
  <c r="Z201" i="48" a="1"/>
  <c r="Z201" i="48" s="1"/>
  <c r="AA201" i="48"/>
  <c r="AB201" i="48" s="1"/>
  <c r="AC201" i="48" a="1"/>
  <c r="AC201" i="48" s="1"/>
  <c r="Z202" i="48" a="1"/>
  <c r="Z202" i="48" s="1"/>
  <c r="AA202" i="48"/>
  <c r="AB202" i="48" s="1"/>
  <c r="AC202" i="48" a="1"/>
  <c r="AC202" i="48" s="1"/>
  <c r="Y203" i="48" a="1"/>
  <c r="Y203" i="48" s="1"/>
  <c r="Z203" i="48" a="1"/>
  <c r="Z203" i="48" s="1"/>
  <c r="AA203" i="48"/>
  <c r="AB203" i="48" s="1"/>
  <c r="AC203" i="48" a="1"/>
  <c r="AC203" i="48" s="1"/>
  <c r="Z204" i="48" a="1"/>
  <c r="Z204" i="48" s="1"/>
  <c r="AA204" i="48"/>
  <c r="AB204" i="48" s="1"/>
  <c r="AC204" i="48" a="1"/>
  <c r="AC204" i="48" s="1"/>
  <c r="W205" i="48"/>
  <c r="X205" i="48" a="1"/>
  <c r="X205" i="48" s="1"/>
  <c r="Y205" i="48" a="1"/>
  <c r="Y205" i="48" s="1"/>
  <c r="Z205" i="48" a="1"/>
  <c r="Z205" i="48" s="1"/>
  <c r="AA205" i="48"/>
  <c r="AB205" i="48" s="1"/>
  <c r="AC205" i="48" a="1"/>
  <c r="AC205" i="48" s="1"/>
  <c r="Z206" i="48" a="1"/>
  <c r="Z206" i="48" s="1"/>
  <c r="AA206" i="48"/>
  <c r="AB206" i="48" s="1"/>
  <c r="AC206" i="48" a="1"/>
  <c r="AC206" i="48" s="1"/>
  <c r="Z207" i="48" a="1"/>
  <c r="Z207" i="48" s="1"/>
  <c r="AA207" i="48"/>
  <c r="AB207" i="48" s="1"/>
  <c r="AC207" i="48" a="1"/>
  <c r="AC207" i="48" s="1"/>
  <c r="Z208" i="48" a="1"/>
  <c r="Z208" i="48" s="1"/>
  <c r="AA208" i="48"/>
  <c r="AB208" i="48" s="1"/>
  <c r="AC208" i="48" a="1"/>
  <c r="AC208" i="48" s="1"/>
  <c r="Z209" i="48" a="1"/>
  <c r="Z209" i="48" s="1"/>
  <c r="AA209" i="48"/>
  <c r="AB209" i="48" s="1"/>
  <c r="AC209" i="48" a="1"/>
  <c r="AC209" i="48" s="1"/>
  <c r="Z210" i="48" a="1"/>
  <c r="Z210" i="48" s="1"/>
  <c r="AA210" i="48"/>
  <c r="AB210" i="48" s="1"/>
  <c r="AC210" i="48" a="1"/>
  <c r="AC210" i="48" s="1"/>
  <c r="W211" i="48"/>
  <c r="Y211" i="48" a="1"/>
  <c r="Y211" i="48" s="1"/>
  <c r="Z211" i="48" a="1"/>
  <c r="Z211" i="48" s="1"/>
  <c r="AA211" i="48"/>
  <c r="AB211" i="48" s="1"/>
  <c r="AC211" i="48" a="1"/>
  <c r="AC211" i="48" s="1"/>
  <c r="Z212" i="48" a="1"/>
  <c r="Z212" i="48" s="1"/>
  <c r="AA212" i="48"/>
  <c r="AB212" i="48" s="1"/>
  <c r="AC212" i="48" a="1"/>
  <c r="AC212" i="48" s="1"/>
  <c r="W213" i="48"/>
  <c r="X213" i="48" a="1"/>
  <c r="X213" i="48" s="1"/>
  <c r="Z213" i="48" a="1"/>
  <c r="Z213" i="48" s="1"/>
  <c r="AA213" i="48"/>
  <c r="AB213" i="48" s="1"/>
  <c r="AC213" i="48" a="1"/>
  <c r="AC213" i="48" s="1"/>
  <c r="V214" i="48" a="1"/>
  <c r="V214" i="48" s="1"/>
  <c r="Z214" i="48" a="1"/>
  <c r="Z214" i="48" s="1"/>
  <c r="AA214" i="48"/>
  <c r="AB214" i="48" s="1"/>
  <c r="AC214" i="48" a="1"/>
  <c r="AC214" i="48" s="1"/>
  <c r="Z215" i="48" a="1"/>
  <c r="Z215" i="48" s="1"/>
  <c r="AA215" i="48"/>
  <c r="AB215" i="48" s="1"/>
  <c r="AC215" i="48" a="1"/>
  <c r="AC215" i="48" s="1"/>
  <c r="Z216" i="48" a="1"/>
  <c r="Z216" i="48" s="1"/>
  <c r="AA216" i="48"/>
  <c r="AB216" i="48" s="1"/>
  <c r="AC216" i="48" a="1"/>
  <c r="AC216" i="48" s="1"/>
  <c r="V217" i="48" a="1"/>
  <c r="V217" i="48" s="1"/>
  <c r="W217" i="48"/>
  <c r="Z217" i="48" a="1"/>
  <c r="Z217" i="48" s="1"/>
  <c r="AA217" i="48"/>
  <c r="AB217" i="48" s="1"/>
  <c r="AC217" i="48" a="1"/>
  <c r="AC217" i="48" s="1"/>
  <c r="Z218" i="48" a="1"/>
  <c r="Z218" i="48" s="1"/>
  <c r="AA218" i="48"/>
  <c r="AB218" i="48" s="1"/>
  <c r="AC218" i="48" a="1"/>
  <c r="AC218" i="48" s="1"/>
  <c r="V219" i="48" a="1"/>
  <c r="V219" i="48" s="1"/>
  <c r="W219" i="48"/>
  <c r="X219" i="48" a="1"/>
  <c r="X219" i="48" s="1"/>
  <c r="Y219" i="48" a="1"/>
  <c r="Y219" i="48" s="1"/>
  <c r="Z219" i="48" a="1"/>
  <c r="Z219" i="48" s="1"/>
  <c r="AA219" i="48"/>
  <c r="AB219" i="48" s="1"/>
  <c r="AC219" i="48" a="1"/>
  <c r="AC219" i="48" s="1"/>
  <c r="Z220" i="48" a="1"/>
  <c r="Z220" i="48" s="1"/>
  <c r="AA220" i="48"/>
  <c r="AB220" i="48" s="1"/>
  <c r="AC220" i="48" a="1"/>
  <c r="AC220" i="48" s="1"/>
  <c r="W221" i="48"/>
  <c r="X221" i="48" a="1"/>
  <c r="X221" i="48" s="1"/>
  <c r="Y221" i="48" a="1"/>
  <c r="Y221" i="48" s="1"/>
  <c r="Z221" i="48" a="1"/>
  <c r="Z221" i="48" s="1"/>
  <c r="AA221" i="48"/>
  <c r="AB221" i="48" s="1"/>
  <c r="AC221" i="48" a="1"/>
  <c r="AC221" i="48" s="1"/>
  <c r="X222" i="48" a="1"/>
  <c r="X222" i="48" s="1"/>
  <c r="Y222" i="48" a="1"/>
  <c r="Y222" i="48" s="1"/>
  <c r="Z222" i="48" a="1"/>
  <c r="Z222" i="48" s="1"/>
  <c r="AA222" i="48"/>
  <c r="AB222" i="48" s="1"/>
  <c r="AC222" i="48" a="1"/>
  <c r="AC222" i="48" s="1"/>
  <c r="Z223" i="48" a="1"/>
  <c r="Z223" i="48" s="1"/>
  <c r="AA223" i="48"/>
  <c r="AB223" i="48" s="1"/>
  <c r="AC223" i="48" a="1"/>
  <c r="AC223" i="48" s="1"/>
  <c r="V224" i="48" a="1"/>
  <c r="V224" i="48" s="1"/>
  <c r="Z224" i="48" a="1"/>
  <c r="Z224" i="48" s="1"/>
  <c r="AA224" i="48"/>
  <c r="AB224" i="48" s="1"/>
  <c r="AC224" i="48" a="1"/>
  <c r="AC224" i="48" s="1"/>
  <c r="V225" i="48" a="1"/>
  <c r="V225" i="48" s="1"/>
  <c r="W225" i="48"/>
  <c r="X225" i="48" a="1"/>
  <c r="X225" i="48" s="1"/>
  <c r="Y225" i="48" a="1"/>
  <c r="Y225" i="48" s="1"/>
  <c r="Z225" i="48" a="1"/>
  <c r="Z225" i="48" s="1"/>
  <c r="AA225" i="48"/>
  <c r="AB225" i="48" s="1"/>
  <c r="AC225" i="48" a="1"/>
  <c r="AC225" i="48" s="1"/>
  <c r="W226" i="48"/>
  <c r="X226" i="48" a="1"/>
  <c r="X226" i="48" s="1"/>
  <c r="Y226" i="48" a="1"/>
  <c r="Y226" i="48" s="1"/>
  <c r="Z226" i="48" a="1"/>
  <c r="Z226" i="48" s="1"/>
  <c r="AA226" i="48"/>
  <c r="AB226" i="48" s="1"/>
  <c r="AC226" i="48" a="1"/>
  <c r="AC226" i="48" s="1"/>
  <c r="Z227" i="48" a="1"/>
  <c r="Z227" i="48" s="1"/>
  <c r="AA227" i="48"/>
  <c r="AB227" i="48" s="1"/>
  <c r="AC227" i="48" a="1"/>
  <c r="AC227" i="48" s="1"/>
  <c r="V228" i="48" a="1"/>
  <c r="V228" i="48" s="1"/>
  <c r="W228" i="48"/>
  <c r="X228" i="48" a="1"/>
  <c r="X228" i="48" s="1"/>
  <c r="Z228" i="48" a="1"/>
  <c r="Z228" i="48" s="1"/>
  <c r="AA228" i="48"/>
  <c r="AB228" i="48" s="1"/>
  <c r="AC228" i="48" a="1"/>
  <c r="AC228" i="48" s="1"/>
  <c r="W229" i="48"/>
  <c r="X229" i="48" a="1"/>
  <c r="X229" i="48" s="1"/>
  <c r="Z229" i="48" a="1"/>
  <c r="Z229" i="48" s="1"/>
  <c r="AA229" i="48"/>
  <c r="AB229" i="48" s="1"/>
  <c r="AC229" i="48" a="1"/>
  <c r="AC229" i="48" s="1"/>
  <c r="Z230" i="48" a="1"/>
  <c r="Z230" i="48" s="1"/>
  <c r="AA230" i="48"/>
  <c r="AB230" i="48" s="1"/>
  <c r="AC230" i="48" a="1"/>
  <c r="AC230" i="48" s="1"/>
  <c r="Z231" i="48" a="1"/>
  <c r="Z231" i="48" s="1"/>
  <c r="AA231" i="48"/>
  <c r="AB231" i="48" s="1"/>
  <c r="AC231" i="48" a="1"/>
  <c r="AC231" i="48" s="1"/>
  <c r="Z232" i="48" a="1"/>
  <c r="Z232" i="48" s="1"/>
  <c r="AA232" i="48"/>
  <c r="AB232" i="48" s="1"/>
  <c r="AC232" i="48" a="1"/>
  <c r="AC232" i="48" s="1"/>
  <c r="V233" i="48" a="1"/>
  <c r="V233" i="48" s="1"/>
  <c r="W233" i="48"/>
  <c r="Y233" i="48" a="1"/>
  <c r="Y233" i="48" s="1"/>
  <c r="Z233" i="48" a="1"/>
  <c r="Z233" i="48" s="1"/>
  <c r="AA233" i="48"/>
  <c r="AB233" i="48" s="1"/>
  <c r="AC233" i="48" a="1"/>
  <c r="AC233" i="48" s="1"/>
  <c r="W234" i="48"/>
  <c r="X234" i="48" a="1"/>
  <c r="X234" i="48" s="1"/>
  <c r="Z234" i="48" a="1"/>
  <c r="Z234" i="48" s="1"/>
  <c r="AA234" i="48"/>
  <c r="AB234" i="48" s="1"/>
  <c r="AC234" i="48" a="1"/>
  <c r="AC234" i="48" s="1"/>
  <c r="Y235" i="48" a="1"/>
  <c r="Y235" i="48" s="1"/>
  <c r="Z235" i="48" a="1"/>
  <c r="Z235" i="48" s="1"/>
  <c r="AA235" i="48"/>
  <c r="AB235" i="48" s="1"/>
  <c r="AC235" i="48" a="1"/>
  <c r="AC235" i="48" s="1"/>
  <c r="Z236" i="48" a="1"/>
  <c r="Z236" i="48" s="1"/>
  <c r="AA236" i="48"/>
  <c r="AB236" i="48" s="1"/>
  <c r="AC236" i="48" a="1"/>
  <c r="AC236" i="48" s="1"/>
  <c r="Z237" i="48" a="1"/>
  <c r="Z237" i="48" s="1"/>
  <c r="AA237" i="48"/>
  <c r="AB237" i="48" s="1"/>
  <c r="AC237" i="48" a="1"/>
  <c r="AC237" i="48" s="1"/>
  <c r="V238" i="48" a="1"/>
  <c r="V238" i="48" s="1"/>
  <c r="W238" i="48"/>
  <c r="X238" i="48" a="1"/>
  <c r="X238" i="48" s="1"/>
  <c r="Y238" i="48" a="1"/>
  <c r="Y238" i="48" s="1"/>
  <c r="Z238" i="48" a="1"/>
  <c r="Z238" i="48" s="1"/>
  <c r="AA238" i="48"/>
  <c r="AB238" i="48" s="1"/>
  <c r="AC238" i="48" a="1"/>
  <c r="AC238" i="48" s="1"/>
  <c r="W239" i="48"/>
  <c r="X239" i="48" a="1"/>
  <c r="X239" i="48" s="1"/>
  <c r="Y239" i="48" a="1"/>
  <c r="Y239" i="48" s="1"/>
  <c r="Z239" i="48" a="1"/>
  <c r="Z239" i="48" s="1"/>
  <c r="AA239" i="48"/>
  <c r="AB239" i="48" s="1"/>
  <c r="AC239" i="48" a="1"/>
  <c r="AC239" i="48" s="1"/>
  <c r="V240" i="48" a="1"/>
  <c r="V240" i="48" s="1"/>
  <c r="X240" i="48" a="1"/>
  <c r="X240" i="48" s="1"/>
  <c r="Y240" i="48" a="1"/>
  <c r="Y240" i="48" s="1"/>
  <c r="Z240" i="48" a="1"/>
  <c r="Z240" i="48" s="1"/>
  <c r="AA240" i="48"/>
  <c r="AB240" i="48" s="1"/>
  <c r="AC240" i="48" a="1"/>
  <c r="AC240" i="48" s="1"/>
  <c r="W241" i="48"/>
  <c r="Z241" i="48" a="1"/>
  <c r="Z241" i="48" s="1"/>
  <c r="AA241" i="48"/>
  <c r="AB241" i="48" s="1"/>
  <c r="AC241" i="48" a="1"/>
  <c r="AC241" i="48" s="1"/>
  <c r="Z242" i="48" a="1"/>
  <c r="Z242" i="48" s="1"/>
  <c r="AA242" i="48"/>
  <c r="AB242" i="48" s="1"/>
  <c r="AC242" i="48" a="1"/>
  <c r="AC242" i="48" s="1"/>
  <c r="W243" i="48"/>
  <c r="X243" i="48" a="1"/>
  <c r="X243" i="48" s="1"/>
  <c r="Y243" i="48" a="1"/>
  <c r="Y243" i="48" s="1"/>
  <c r="Z243" i="48" a="1"/>
  <c r="Z243" i="48" s="1"/>
  <c r="AA243" i="48"/>
  <c r="AB243" i="48" s="1"/>
  <c r="AC243" i="48" a="1"/>
  <c r="AC243" i="48" s="1"/>
  <c r="V244" i="48" a="1"/>
  <c r="V244" i="48" s="1"/>
  <c r="X244" i="48" a="1"/>
  <c r="X244" i="48" s="1"/>
  <c r="Y244" i="48" a="1"/>
  <c r="Y244" i="48" s="1"/>
  <c r="Z244" i="48" a="1"/>
  <c r="Z244" i="48" s="1"/>
  <c r="AA244" i="48"/>
  <c r="AB244" i="48" s="1"/>
  <c r="AC244" i="48" a="1"/>
  <c r="AC244" i="48" s="1"/>
  <c r="V245" i="48" a="1"/>
  <c r="V245" i="48" s="1"/>
  <c r="W245" i="48"/>
  <c r="Y245" i="48" a="1"/>
  <c r="Y245" i="48" s="1"/>
  <c r="Z245" i="48" a="1"/>
  <c r="Z245" i="48" s="1"/>
  <c r="AA245" i="48"/>
  <c r="AB245" i="48" s="1"/>
  <c r="AC245" i="48" a="1"/>
  <c r="AC245" i="48" s="1"/>
  <c r="Z246" i="48" a="1"/>
  <c r="Z246" i="48" s="1"/>
  <c r="AA246" i="48"/>
  <c r="AB246" i="48" s="1"/>
  <c r="AC246" i="48" a="1"/>
  <c r="AC246" i="48" s="1"/>
  <c r="W247" i="48"/>
  <c r="X247" i="48" a="1"/>
  <c r="X247" i="48" s="1"/>
  <c r="Y247" i="48" a="1"/>
  <c r="Y247" i="48" s="1"/>
  <c r="Z247" i="48" a="1"/>
  <c r="Z247" i="48" s="1"/>
  <c r="AA247" i="48"/>
  <c r="AB247" i="48" s="1"/>
  <c r="AC247" i="48" a="1"/>
  <c r="AC247" i="48" s="1"/>
  <c r="Z248" i="48" a="1"/>
  <c r="Z248" i="48" s="1"/>
  <c r="AA248" i="48"/>
  <c r="AB248" i="48" s="1"/>
  <c r="AC248" i="48" a="1"/>
  <c r="AC248" i="48" s="1"/>
  <c r="V249" i="48" a="1"/>
  <c r="V249" i="48" s="1"/>
  <c r="Z249" i="48" a="1"/>
  <c r="Z249" i="48" s="1"/>
  <c r="AA249" i="48"/>
  <c r="AB249" i="48" s="1"/>
  <c r="AC249" i="48" a="1"/>
  <c r="AC249" i="48" s="1"/>
  <c r="Z250" i="48" a="1"/>
  <c r="Z250" i="48" s="1"/>
  <c r="AA250" i="48"/>
  <c r="AB250" i="48" s="1"/>
  <c r="AC250" i="48" a="1"/>
  <c r="AC250" i="48" s="1"/>
  <c r="V251" i="48" a="1"/>
  <c r="V251" i="48" s="1"/>
  <c r="W251" i="48"/>
  <c r="Y251" i="48" a="1"/>
  <c r="Y251" i="48" s="1"/>
  <c r="Z251" i="48" a="1"/>
  <c r="Z251" i="48" s="1"/>
  <c r="AA251" i="48"/>
  <c r="AB251" i="48" s="1"/>
  <c r="AC251" i="48" a="1"/>
  <c r="AC251" i="48" s="1"/>
  <c r="Z252" i="48" a="1"/>
  <c r="Z252" i="48" s="1"/>
  <c r="AA252" i="48"/>
  <c r="AB252" i="48" s="1"/>
  <c r="AC252" i="48" a="1"/>
  <c r="AC252" i="48" s="1"/>
  <c r="V253" i="48" a="1"/>
  <c r="V253" i="48" s="1"/>
  <c r="W253" i="48"/>
  <c r="X253" i="48" a="1"/>
  <c r="X253" i="48" s="1"/>
  <c r="Y253" i="48" a="1"/>
  <c r="Y253" i="48" s="1"/>
  <c r="Z253" i="48" a="1"/>
  <c r="Z253" i="48" s="1"/>
  <c r="AA253" i="48"/>
  <c r="AB253" i="48" s="1"/>
  <c r="AC253" i="48" a="1"/>
  <c r="AC253" i="48" s="1"/>
  <c r="Z254" i="48" a="1"/>
  <c r="Z254" i="48" s="1"/>
  <c r="AA254" i="48"/>
  <c r="AB254" i="48" s="1"/>
  <c r="AC254" i="48" a="1"/>
  <c r="AC254" i="48" s="1"/>
  <c r="W255" i="48"/>
  <c r="X255" i="48" a="1"/>
  <c r="X255" i="48" s="1"/>
  <c r="Z255" i="48" a="1"/>
  <c r="Z255" i="48" s="1"/>
  <c r="AA255" i="48"/>
  <c r="AB255" i="48" s="1"/>
  <c r="AC255" i="48" a="1"/>
  <c r="AC255" i="48" s="1"/>
  <c r="Z256" i="48" a="1"/>
  <c r="Z256" i="48" s="1"/>
  <c r="AA256" i="48"/>
  <c r="AB256" i="48" s="1"/>
  <c r="AC256" i="48" a="1"/>
  <c r="AC256" i="48" s="1"/>
  <c r="V257" i="48" a="1"/>
  <c r="V257" i="48" s="1"/>
  <c r="W257" i="48"/>
  <c r="Y257" i="48" a="1"/>
  <c r="Y257" i="48" s="1"/>
  <c r="Z257" i="48" a="1"/>
  <c r="Z257" i="48" s="1"/>
  <c r="AA257" i="48"/>
  <c r="AB257" i="48" s="1"/>
  <c r="AC257" i="48" a="1"/>
  <c r="AC257" i="48" s="1"/>
  <c r="V258" i="48" a="1"/>
  <c r="V258" i="48" s="1"/>
  <c r="X258" i="48" a="1"/>
  <c r="X258" i="48" s="1"/>
  <c r="Y258" i="48" a="1"/>
  <c r="Y258" i="48" s="1"/>
  <c r="Z258" i="48" a="1"/>
  <c r="Z258" i="48" s="1"/>
  <c r="AA258" i="48"/>
  <c r="AB258" i="48" s="1"/>
  <c r="AC258" i="48" a="1"/>
  <c r="AC258" i="48" s="1"/>
  <c r="V259" i="48" a="1"/>
  <c r="V259" i="48" s="1"/>
  <c r="W259" i="48"/>
  <c r="Y259" i="48" a="1"/>
  <c r="Y259" i="48" s="1"/>
  <c r="Z259" i="48" a="1"/>
  <c r="Z259" i="48" s="1"/>
  <c r="AA259" i="48"/>
  <c r="AB259" i="48" s="1"/>
  <c r="AC259" i="48" a="1"/>
  <c r="AC259" i="48" s="1"/>
  <c r="V260" i="48" a="1"/>
  <c r="V260" i="48" s="1"/>
  <c r="Z260" i="48" a="1"/>
  <c r="Z260" i="48" s="1"/>
  <c r="AA260" i="48"/>
  <c r="AB260" i="48" s="1"/>
  <c r="AC260" i="48" a="1"/>
  <c r="AC260" i="48" s="1"/>
  <c r="Z261" i="48" a="1"/>
  <c r="Z261" i="48" s="1"/>
  <c r="AA261" i="48"/>
  <c r="AB261" i="48" s="1"/>
  <c r="AC261" i="48" a="1"/>
  <c r="AC261" i="48" s="1"/>
  <c r="V262" i="48" a="1"/>
  <c r="V262" i="48" s="1"/>
  <c r="W262" i="48"/>
  <c r="X262" i="48" a="1"/>
  <c r="X262" i="48" s="1"/>
  <c r="Y262" i="48" a="1"/>
  <c r="Y262" i="48" s="1"/>
  <c r="Z262" i="48" a="1"/>
  <c r="Z262" i="48" s="1"/>
  <c r="AA262" i="48"/>
  <c r="AB262" i="48" s="1"/>
  <c r="AC262" i="48" a="1"/>
  <c r="AC262" i="48" s="1"/>
  <c r="Z263" i="48" a="1"/>
  <c r="Z263" i="48" s="1"/>
  <c r="AA263" i="48"/>
  <c r="AB263" i="48" s="1"/>
  <c r="AC263" i="48" a="1"/>
  <c r="AC263" i="48" s="1"/>
  <c r="X264" i="48" a="1"/>
  <c r="X264" i="48" s="1"/>
  <c r="Z264" i="48" a="1"/>
  <c r="Z264" i="48" s="1"/>
  <c r="AA264" i="48"/>
  <c r="AB264" i="48" s="1"/>
  <c r="AC264" i="48" a="1"/>
  <c r="AC264" i="48" s="1"/>
  <c r="V265" i="48" a="1"/>
  <c r="V265" i="48" s="1"/>
  <c r="W265" i="48"/>
  <c r="X265" i="48" a="1"/>
  <c r="X265" i="48" s="1"/>
  <c r="Y265" i="48" a="1"/>
  <c r="Y265" i="48" s="1"/>
  <c r="Z265" i="48" a="1"/>
  <c r="Z265" i="48" s="1"/>
  <c r="AA265" i="48"/>
  <c r="AB265" i="48" s="1"/>
  <c r="AC265" i="48" a="1"/>
  <c r="AC265" i="48" s="1"/>
  <c r="Z266" i="48" a="1"/>
  <c r="Z266" i="48" s="1"/>
  <c r="AA266" i="48"/>
  <c r="AB266" i="48" s="1"/>
  <c r="AC266" i="48" a="1"/>
  <c r="AC266" i="48" s="1"/>
  <c r="V267" i="48" a="1"/>
  <c r="V267" i="48" s="1"/>
  <c r="W267" i="48"/>
  <c r="X267" i="48" a="1"/>
  <c r="X267" i="48" s="1"/>
  <c r="Y267" i="48" a="1"/>
  <c r="Y267" i="48" s="1"/>
  <c r="Z267" i="48" a="1"/>
  <c r="Z267" i="48" s="1"/>
  <c r="AA267" i="48"/>
  <c r="AB267" i="48" s="1"/>
  <c r="AC267" i="48" a="1"/>
  <c r="AC267" i="48" s="1"/>
  <c r="Z268" i="48" a="1"/>
  <c r="Z268" i="48" s="1"/>
  <c r="AA268" i="48"/>
  <c r="AB268" i="48" s="1"/>
  <c r="AC268" i="48" a="1"/>
  <c r="AC268" i="48" s="1"/>
  <c r="Z269" i="48" a="1"/>
  <c r="Z269" i="48" s="1"/>
  <c r="AA269" i="48"/>
  <c r="AB269" i="48" s="1"/>
  <c r="AC269" i="48" a="1"/>
  <c r="AC269" i="48" s="1"/>
  <c r="V270" i="48" a="1"/>
  <c r="V270" i="48" s="1"/>
  <c r="W270" i="48"/>
  <c r="X270" i="48" a="1"/>
  <c r="X270" i="48" s="1"/>
  <c r="Y270" i="48" a="1"/>
  <c r="Y270" i="48" s="1"/>
  <c r="Z270" i="48" a="1"/>
  <c r="Z270" i="48" s="1"/>
  <c r="AA270" i="48"/>
  <c r="AB270" i="48" s="1"/>
  <c r="AC270" i="48" a="1"/>
  <c r="AC270" i="48" s="1"/>
  <c r="W271" i="48"/>
  <c r="X271" i="48" a="1"/>
  <c r="X271" i="48" s="1"/>
  <c r="Y271" i="48" a="1"/>
  <c r="Y271" i="48" s="1"/>
  <c r="Z271" i="48" a="1"/>
  <c r="Z271" i="48" s="1"/>
  <c r="AA271" i="48"/>
  <c r="AB271" i="48" s="1"/>
  <c r="AC271" i="48" a="1"/>
  <c r="AC271" i="48" s="1"/>
  <c r="Z272" i="48" a="1"/>
  <c r="Z272" i="48" s="1"/>
  <c r="AA272" i="48"/>
  <c r="AB272" i="48" s="1"/>
  <c r="AC272" i="48" a="1"/>
  <c r="AC272" i="48" s="1"/>
  <c r="V273" i="48" a="1"/>
  <c r="V273" i="48" s="1"/>
  <c r="W273" i="48"/>
  <c r="X273" i="48" a="1"/>
  <c r="X273" i="48" s="1"/>
  <c r="Z273" i="48" a="1"/>
  <c r="Z273" i="48" s="1"/>
  <c r="AA273" i="48"/>
  <c r="AB273" i="48" s="1"/>
  <c r="AC273" i="48" a="1"/>
  <c r="AC273" i="48" s="1"/>
  <c r="Z274" i="48" a="1"/>
  <c r="Z274" i="48" s="1"/>
  <c r="AA274" i="48"/>
  <c r="AB274" i="48" s="1"/>
  <c r="AC274" i="48" a="1"/>
  <c r="AC274" i="48" s="1"/>
  <c r="W275" i="48"/>
  <c r="X275" i="48" a="1"/>
  <c r="X275" i="48" s="1"/>
  <c r="Y275" i="48" a="1"/>
  <c r="Y275" i="48" s="1"/>
  <c r="Z275" i="48" a="1"/>
  <c r="Z275" i="48" s="1"/>
  <c r="AA275" i="48"/>
  <c r="AB275" i="48" s="1"/>
  <c r="AC275" i="48" a="1"/>
  <c r="AC275" i="48" s="1"/>
  <c r="Z276" i="48" a="1"/>
  <c r="Z276" i="48" s="1"/>
  <c r="AA276" i="48"/>
  <c r="AB276" i="48" s="1"/>
  <c r="AC276" i="48" a="1"/>
  <c r="AC276" i="48" s="1"/>
  <c r="V277" i="48" a="1"/>
  <c r="V277" i="48" s="1"/>
  <c r="W277" i="48"/>
  <c r="X277" i="48" a="1"/>
  <c r="X277" i="48" s="1"/>
  <c r="Y277" i="48" a="1"/>
  <c r="Y277" i="48" s="1"/>
  <c r="Z277" i="48" a="1"/>
  <c r="Z277" i="48" s="1"/>
  <c r="AA277" i="48"/>
  <c r="AB277" i="48" s="1"/>
  <c r="AC277" i="48" a="1"/>
  <c r="AC277" i="48" s="1"/>
  <c r="V278" i="48" a="1"/>
  <c r="V278" i="48" s="1"/>
  <c r="W278" i="48"/>
  <c r="X278" i="48" a="1"/>
  <c r="X278" i="48" s="1"/>
  <c r="Y278" i="48" a="1"/>
  <c r="Y278" i="48" s="1"/>
  <c r="Z278" i="48" a="1"/>
  <c r="Z278" i="48" s="1"/>
  <c r="AA278" i="48"/>
  <c r="AB278" i="48" s="1"/>
  <c r="AC278" i="48" a="1"/>
  <c r="AC278" i="48" s="1"/>
  <c r="Z279" i="48" a="1"/>
  <c r="Z279" i="48" s="1"/>
  <c r="AA279" i="48"/>
  <c r="AB279" i="48" s="1"/>
  <c r="AC279" i="48" a="1"/>
  <c r="AC279" i="48" s="1"/>
  <c r="V280" i="48" a="1"/>
  <c r="V280" i="48" s="1"/>
  <c r="W280" i="48"/>
  <c r="Y280" i="48" a="1"/>
  <c r="Y280" i="48" s="1"/>
  <c r="Z280" i="48" a="1"/>
  <c r="Z280" i="48" s="1"/>
  <c r="AA280" i="48"/>
  <c r="AB280" i="48" s="1"/>
  <c r="AC280" i="48" a="1"/>
  <c r="AC280" i="48" s="1"/>
  <c r="V281" i="48" a="1"/>
  <c r="V281" i="48" s="1"/>
  <c r="W281" i="48"/>
  <c r="X281" i="48" a="1"/>
  <c r="X281" i="48" s="1"/>
  <c r="Z281" i="48" a="1"/>
  <c r="Z281" i="48" s="1"/>
  <c r="AA281" i="48"/>
  <c r="AB281" i="48" s="1"/>
  <c r="AC281" i="48" a="1"/>
  <c r="AC281" i="48" s="1"/>
  <c r="V282" i="48" a="1"/>
  <c r="V282" i="48" s="1"/>
  <c r="W282" i="48"/>
  <c r="X282" i="48" a="1"/>
  <c r="X282" i="48" s="1"/>
  <c r="Y282" i="48" a="1"/>
  <c r="Y282" i="48" s="1"/>
  <c r="Z282" i="48" a="1"/>
  <c r="Z282" i="48" s="1"/>
  <c r="AA282" i="48"/>
  <c r="AB282" i="48" s="1"/>
  <c r="AC282" i="48" a="1"/>
  <c r="AC282" i="48" s="1"/>
  <c r="Z283" i="48" a="1"/>
  <c r="Z283" i="48" s="1"/>
  <c r="AA283" i="48"/>
  <c r="AB283" i="48" s="1"/>
  <c r="AC283" i="48" a="1"/>
  <c r="AC283" i="48" s="1"/>
  <c r="Z284" i="48" a="1"/>
  <c r="Z284" i="48" s="1"/>
  <c r="AA284" i="48"/>
  <c r="AB284" i="48" s="1"/>
  <c r="AC284" i="48" a="1"/>
  <c r="AC284" i="48" s="1"/>
  <c r="Z285" i="48" a="1"/>
  <c r="Z285" i="48" s="1"/>
  <c r="AA285" i="48"/>
  <c r="AB285" i="48" s="1"/>
  <c r="AC285" i="48" a="1"/>
  <c r="AC285" i="48" s="1"/>
  <c r="V286" i="48" a="1"/>
  <c r="V286" i="48" s="1"/>
  <c r="W286" i="48"/>
  <c r="X286" i="48" a="1"/>
  <c r="X286" i="48" s="1"/>
  <c r="Y286" i="48" a="1"/>
  <c r="Y286" i="48" s="1"/>
  <c r="Z286" i="48" a="1"/>
  <c r="Z286" i="48" s="1"/>
  <c r="AA286" i="48"/>
  <c r="AB286" i="48" s="1"/>
  <c r="AC286" i="48" a="1"/>
  <c r="AC286" i="48" s="1"/>
  <c r="V287" i="48" a="1"/>
  <c r="V287" i="48" s="1"/>
  <c r="W287" i="48"/>
  <c r="X287" i="48" a="1"/>
  <c r="X287" i="48" s="1"/>
  <c r="Y287" i="48" a="1"/>
  <c r="Y287" i="48" s="1"/>
  <c r="Z287" i="48" a="1"/>
  <c r="Z287" i="48" s="1"/>
  <c r="AA287" i="48"/>
  <c r="AB287" i="48" s="1"/>
  <c r="AC287" i="48" a="1"/>
  <c r="AC287" i="48" s="1"/>
  <c r="Z288" i="48" a="1"/>
  <c r="Z288" i="48" s="1"/>
  <c r="AA288" i="48"/>
  <c r="AB288" i="48" s="1"/>
  <c r="AC288" i="48" a="1"/>
  <c r="AC288" i="48" s="1"/>
  <c r="W289" i="48"/>
  <c r="X289" i="48" a="1"/>
  <c r="X289" i="48" s="1"/>
  <c r="Y289" i="48" a="1"/>
  <c r="Y289" i="48" s="1"/>
  <c r="Z289" i="48" a="1"/>
  <c r="Z289" i="48" s="1"/>
  <c r="AA289" i="48"/>
  <c r="AB289" i="48" s="1"/>
  <c r="AC289" i="48" a="1"/>
  <c r="AC289" i="48" s="1"/>
  <c r="V290" i="48" a="1"/>
  <c r="V290" i="48" s="1"/>
  <c r="X290" i="48" a="1"/>
  <c r="X290" i="48" s="1"/>
  <c r="Y290" i="48" a="1"/>
  <c r="Y290" i="48" s="1"/>
  <c r="Z290" i="48" a="1"/>
  <c r="Z290" i="48" s="1"/>
  <c r="AA290" i="48"/>
  <c r="AB290" i="48" s="1"/>
  <c r="AC290" i="48" a="1"/>
  <c r="AC290" i="48" s="1"/>
  <c r="V291" i="48" a="1"/>
  <c r="V291" i="48" s="1"/>
  <c r="W291" i="48"/>
  <c r="X291" i="48" a="1"/>
  <c r="X291" i="48" s="1"/>
  <c r="Y291" i="48" a="1"/>
  <c r="Y291" i="48" s="1"/>
  <c r="Z291" i="48" a="1"/>
  <c r="Z291" i="48" s="1"/>
  <c r="AA291" i="48"/>
  <c r="AB291" i="48" s="1"/>
  <c r="AC291" i="48" a="1"/>
  <c r="AC291" i="48" s="1"/>
  <c r="Z292" i="48" a="1"/>
  <c r="Z292" i="48" s="1"/>
  <c r="AA292" i="48"/>
  <c r="AB292" i="48" s="1"/>
  <c r="AC292" i="48" a="1"/>
  <c r="AC292" i="48" s="1"/>
  <c r="V293" i="48" a="1"/>
  <c r="V293" i="48" s="1"/>
  <c r="W293" i="48"/>
  <c r="X293" i="48" a="1"/>
  <c r="X293" i="48" s="1"/>
  <c r="Y293" i="48" a="1"/>
  <c r="Y293" i="48" s="1"/>
  <c r="Z293" i="48" a="1"/>
  <c r="Z293" i="48" s="1"/>
  <c r="AA293" i="48"/>
  <c r="AB293" i="48" s="1"/>
  <c r="AC293" i="48" a="1"/>
  <c r="AC293" i="48" s="1"/>
  <c r="V294" i="48" a="1"/>
  <c r="V294" i="48" s="1"/>
  <c r="W294" i="48"/>
  <c r="X294" i="48" a="1"/>
  <c r="X294" i="48" s="1"/>
  <c r="Y294" i="48" a="1"/>
  <c r="Y294" i="48" s="1"/>
  <c r="Z294" i="48" a="1"/>
  <c r="Z294" i="48" s="1"/>
  <c r="AA294" i="48"/>
  <c r="AB294" i="48" s="1"/>
  <c r="AC294" i="48" a="1"/>
  <c r="AC294" i="48" s="1"/>
  <c r="W295" i="48"/>
  <c r="X295" i="48" a="1"/>
  <c r="X295" i="48" s="1"/>
  <c r="Y295" i="48" a="1"/>
  <c r="Y295" i="48" s="1"/>
  <c r="Z295" i="48" a="1"/>
  <c r="Z295" i="48" s="1"/>
  <c r="AA295" i="48"/>
  <c r="AB295" i="48" s="1"/>
  <c r="AC295" i="48" a="1"/>
  <c r="AC295" i="48" s="1"/>
  <c r="Z296" i="48" a="1"/>
  <c r="Z296" i="48" s="1"/>
  <c r="AA296" i="48"/>
  <c r="AB296" i="48" s="1"/>
  <c r="AC296" i="48" a="1"/>
  <c r="AC296" i="48" s="1"/>
  <c r="V297" i="48" a="1"/>
  <c r="V297" i="48" s="1"/>
  <c r="W297" i="48"/>
  <c r="X297" i="48" a="1"/>
  <c r="X297" i="48" s="1"/>
  <c r="Y297" i="48" a="1"/>
  <c r="Y297" i="48" s="1"/>
  <c r="Z297" i="48" a="1"/>
  <c r="Z297" i="48" s="1"/>
  <c r="AA297" i="48"/>
  <c r="AB297" i="48" s="1"/>
  <c r="AC297" i="48" a="1"/>
  <c r="AC297" i="48" s="1"/>
  <c r="V298" i="48" a="1"/>
  <c r="V298" i="48" s="1"/>
  <c r="W298" i="48"/>
  <c r="X298" i="48" a="1"/>
  <c r="X298" i="48" s="1"/>
  <c r="Y298" i="48" a="1"/>
  <c r="Y298" i="48" s="1"/>
  <c r="Z298" i="48" a="1"/>
  <c r="Z298" i="48" s="1"/>
  <c r="AA298" i="48"/>
  <c r="AB298" i="48" s="1"/>
  <c r="AC298" i="48" a="1"/>
  <c r="AC298" i="48" s="1"/>
  <c r="Z299" i="48" a="1"/>
  <c r="Z299" i="48" s="1"/>
  <c r="AA299" i="48"/>
  <c r="AB299" i="48" s="1"/>
  <c r="AC299" i="48" a="1"/>
  <c r="AC299" i="48" s="1"/>
  <c r="Z300" i="48" a="1"/>
  <c r="Z300" i="48" s="1"/>
  <c r="AA300" i="48"/>
  <c r="AB300" i="48" s="1"/>
  <c r="AC300" i="48" a="1"/>
  <c r="AC300" i="48" s="1"/>
  <c r="Z301" i="48" a="1"/>
  <c r="Z301" i="48" s="1"/>
  <c r="AA301" i="48"/>
  <c r="AB301" i="48" s="1"/>
  <c r="AC301" i="48" a="1"/>
  <c r="AC301" i="48" s="1"/>
  <c r="V302" i="48" a="1"/>
  <c r="V302" i="48" s="1"/>
  <c r="W302" i="48"/>
  <c r="X302" i="48" a="1"/>
  <c r="X302" i="48" s="1"/>
  <c r="Y302" i="48" a="1"/>
  <c r="Y302" i="48" s="1"/>
  <c r="Z302" i="48" a="1"/>
  <c r="Z302" i="48" s="1"/>
  <c r="AA302" i="48"/>
  <c r="AB302" i="48" s="1"/>
  <c r="AC302" i="48" a="1"/>
  <c r="AC302" i="48" s="1"/>
  <c r="Z303" i="48" a="1"/>
  <c r="Z303" i="48" s="1"/>
  <c r="AA303" i="48"/>
  <c r="AB303" i="48" s="1"/>
  <c r="AC303" i="48" a="1"/>
  <c r="AC303" i="48" s="1"/>
  <c r="Z304" i="48" a="1"/>
  <c r="Z304" i="48" s="1"/>
  <c r="AA304" i="48"/>
  <c r="AB304" i="48" s="1"/>
  <c r="AC304" i="48" a="1"/>
  <c r="AC304" i="48" s="1"/>
  <c r="V305" i="48" a="1"/>
  <c r="V305" i="48" s="1"/>
  <c r="Z305" i="48" a="1"/>
  <c r="Z305" i="48" s="1"/>
  <c r="AA305" i="48"/>
  <c r="AB305" i="48" s="1"/>
  <c r="AC305" i="48" a="1"/>
  <c r="AC305" i="48" s="1"/>
  <c r="V306" i="48" a="1"/>
  <c r="V306" i="48" s="1"/>
  <c r="W306" i="48"/>
  <c r="X306" i="48" a="1"/>
  <c r="X306" i="48" s="1"/>
  <c r="Z306" i="48" a="1"/>
  <c r="Z306" i="48" s="1"/>
  <c r="AA306" i="48"/>
  <c r="AB306" i="48" s="1"/>
  <c r="AC306" i="48" a="1"/>
  <c r="AC306" i="48" s="1"/>
  <c r="V307" i="48" a="1"/>
  <c r="V307" i="48" s="1"/>
  <c r="W307" i="48"/>
  <c r="X307" i="48" a="1"/>
  <c r="X307" i="48" s="1"/>
  <c r="Y307" i="48" a="1"/>
  <c r="Y307" i="48" s="1"/>
  <c r="Z307" i="48" a="1"/>
  <c r="Z307" i="48" s="1"/>
  <c r="AA307" i="48"/>
  <c r="AB307" i="48" s="1"/>
  <c r="AC307" i="48" a="1"/>
  <c r="AC307" i="48" s="1"/>
  <c r="V308" i="48" a="1"/>
  <c r="V308" i="48" s="1"/>
  <c r="W308" i="48"/>
  <c r="X308" i="48" a="1"/>
  <c r="X308" i="48" s="1"/>
  <c r="Y308" i="48" a="1"/>
  <c r="Y308" i="48" s="1"/>
  <c r="Z308" i="48" a="1"/>
  <c r="Z308" i="48" s="1"/>
  <c r="AA308" i="48"/>
  <c r="AB308" i="48" s="1"/>
  <c r="AC308" i="48" a="1"/>
  <c r="AC308" i="48" s="1"/>
  <c r="Z309" i="48" a="1"/>
  <c r="Z309" i="48" s="1"/>
  <c r="AA309" i="48"/>
  <c r="AB309" i="48" s="1"/>
  <c r="AC309" i="48" a="1"/>
  <c r="AC309" i="48" s="1"/>
  <c r="Z310" i="48" a="1"/>
  <c r="Z310" i="48" s="1"/>
  <c r="AA310" i="48"/>
  <c r="AB310" i="48" s="1"/>
  <c r="AC310" i="48" a="1"/>
  <c r="AC310" i="48" s="1"/>
  <c r="Z311" i="48" a="1"/>
  <c r="Z311" i="48" s="1"/>
  <c r="AA311" i="48"/>
  <c r="AB311" i="48" s="1"/>
  <c r="AC311" i="48" a="1"/>
  <c r="AC311" i="48" s="1"/>
  <c r="W312" i="48"/>
  <c r="Z312" i="48" a="1"/>
  <c r="Z312" i="48" s="1"/>
  <c r="AA312" i="48"/>
  <c r="AB312" i="48" s="1"/>
  <c r="AC312" i="48" a="1"/>
  <c r="AC312" i="48" s="1"/>
  <c r="Z313" i="48" a="1"/>
  <c r="Z313" i="48" s="1"/>
  <c r="AA313" i="48"/>
  <c r="AB313" i="48" s="1"/>
  <c r="AC313" i="48" a="1"/>
  <c r="AC313" i="48" s="1"/>
  <c r="W314" i="48"/>
  <c r="Z314" i="48" a="1"/>
  <c r="Z314" i="48" s="1"/>
  <c r="AA314" i="48"/>
  <c r="AB314" i="48" s="1"/>
  <c r="AC314" i="48" a="1"/>
  <c r="AC314" i="48" s="1"/>
  <c r="V315" i="48" a="1"/>
  <c r="V315" i="48" s="1"/>
  <c r="W315" i="48"/>
  <c r="X315" i="48" a="1"/>
  <c r="X315" i="48" s="1"/>
  <c r="Z315" i="48" a="1"/>
  <c r="Z315" i="48" s="1"/>
  <c r="AA315" i="48"/>
  <c r="AB315" i="48" s="1"/>
  <c r="AC315" i="48" a="1"/>
  <c r="AC315" i="48" s="1"/>
  <c r="V316" i="48" a="1"/>
  <c r="V316" i="48" s="1"/>
  <c r="W316" i="48"/>
  <c r="X316" i="48" a="1"/>
  <c r="X316" i="48" s="1"/>
  <c r="Y316" i="48" a="1"/>
  <c r="Y316" i="48" s="1"/>
  <c r="Z316" i="48" a="1"/>
  <c r="Z316" i="48" s="1"/>
  <c r="AA316" i="48"/>
  <c r="AB316" i="48" s="1"/>
  <c r="AC316" i="48" a="1"/>
  <c r="AC316" i="48" s="1"/>
  <c r="Z317" i="48" a="1"/>
  <c r="Z317" i="48" s="1"/>
  <c r="AA317" i="48"/>
  <c r="AB317" i="48" s="1"/>
  <c r="AC317" i="48" a="1"/>
  <c r="AC317" i="48" s="1"/>
  <c r="V318" i="48" a="1"/>
  <c r="V318" i="48" s="1"/>
  <c r="W318" i="48"/>
  <c r="Y318" i="48" a="1"/>
  <c r="Y318" i="48" s="1"/>
  <c r="Z318" i="48" a="1"/>
  <c r="Z318" i="48" s="1"/>
  <c r="AA318" i="48"/>
  <c r="AB318" i="48" s="1"/>
  <c r="AC318" i="48" a="1"/>
  <c r="AC318" i="48" s="1"/>
  <c r="V319" i="48" a="1"/>
  <c r="V319" i="48" s="1"/>
  <c r="W319" i="48"/>
  <c r="X319" i="48" a="1"/>
  <c r="X319" i="48" s="1"/>
  <c r="Y319" i="48" a="1"/>
  <c r="Y319" i="48" s="1"/>
  <c r="Z319" i="48" a="1"/>
  <c r="Z319" i="48" s="1"/>
  <c r="AA319" i="48"/>
  <c r="AB319" i="48" s="1"/>
  <c r="AC319" i="48" a="1"/>
  <c r="AC319" i="48" s="1"/>
  <c r="V320" i="48" a="1"/>
  <c r="V320" i="48" s="1"/>
  <c r="W320" i="48"/>
  <c r="X320" i="48" a="1"/>
  <c r="X320" i="48" s="1"/>
  <c r="Y320" i="48" a="1"/>
  <c r="Y320" i="48" s="1"/>
  <c r="Z320" i="48" a="1"/>
  <c r="Z320" i="48" s="1"/>
  <c r="AA320" i="48"/>
  <c r="AB320" i="48" s="1"/>
  <c r="AC320" i="48" a="1"/>
  <c r="AC320" i="48" s="1"/>
  <c r="V321" i="48" a="1"/>
  <c r="V321" i="48" s="1"/>
  <c r="Z321" i="48" a="1"/>
  <c r="Z321" i="48" s="1"/>
  <c r="AA321" i="48"/>
  <c r="AB321" i="48" s="1"/>
  <c r="AC321" i="48" a="1"/>
  <c r="AC321" i="48" s="1"/>
  <c r="Y322" i="48" a="1"/>
  <c r="Y322" i="48" s="1"/>
  <c r="Z322" i="48" a="1"/>
  <c r="Z322" i="48" s="1"/>
  <c r="AA322" i="48"/>
  <c r="AB322" i="48" s="1"/>
  <c r="AC322" i="48" a="1"/>
  <c r="AC322" i="48" s="1"/>
  <c r="W323" i="48"/>
  <c r="X323" i="48" a="1"/>
  <c r="X323" i="48" s="1"/>
  <c r="Y323" i="48" a="1"/>
  <c r="Y323" i="48" s="1"/>
  <c r="Z323" i="48" a="1"/>
  <c r="Z323" i="48" s="1"/>
  <c r="AA323" i="48"/>
  <c r="AB323" i="48" s="1"/>
  <c r="AC323" i="48" a="1"/>
  <c r="AC323" i="48" s="1"/>
  <c r="V324" i="48" a="1"/>
  <c r="V324" i="48" s="1"/>
  <c r="X324" i="48" a="1"/>
  <c r="X324" i="48" s="1"/>
  <c r="Y324" i="48" a="1"/>
  <c r="Y324" i="48" s="1"/>
  <c r="Z324" i="48" a="1"/>
  <c r="Z324" i="48" s="1"/>
  <c r="AA324" i="48"/>
  <c r="AB324" i="48" s="1"/>
  <c r="AC324" i="48" a="1"/>
  <c r="AC324" i="48" s="1"/>
  <c r="V325" i="48" a="1"/>
  <c r="V325" i="48" s="1"/>
  <c r="Z325" i="48" a="1"/>
  <c r="Z325" i="48" s="1"/>
  <c r="AA325" i="48"/>
  <c r="AB325" i="48" s="1"/>
  <c r="AC325" i="48" a="1"/>
  <c r="AC325" i="48" s="1"/>
  <c r="Y326" i="48" a="1"/>
  <c r="Y326" i="48" s="1"/>
  <c r="Z326" i="48" a="1"/>
  <c r="Z326" i="48" s="1"/>
  <c r="AA326" i="48"/>
  <c r="AB326" i="48" s="1"/>
  <c r="AC326" i="48" a="1"/>
  <c r="AC326" i="48" s="1"/>
  <c r="Z327" i="48" a="1"/>
  <c r="Z327" i="48" s="1"/>
  <c r="AA327" i="48"/>
  <c r="AB327" i="48" s="1"/>
  <c r="AC327" i="48" a="1"/>
  <c r="AC327" i="48" s="1"/>
  <c r="V328" i="48" a="1"/>
  <c r="V328" i="48" s="1"/>
  <c r="W328" i="48"/>
  <c r="Y328" i="48" a="1"/>
  <c r="Y328" i="48" s="1"/>
  <c r="Z328" i="48" a="1"/>
  <c r="Z328" i="48" s="1"/>
  <c r="AA328" i="48"/>
  <c r="AB328" i="48" s="1"/>
  <c r="AC328" i="48" a="1"/>
  <c r="AC328" i="48" s="1"/>
  <c r="Z329" i="48" a="1"/>
  <c r="Z329" i="48" s="1"/>
  <c r="AA329" i="48"/>
  <c r="AB329" i="48" s="1"/>
  <c r="AC329" i="48" a="1"/>
  <c r="AC329" i="48" s="1"/>
  <c r="Z330" i="48" a="1"/>
  <c r="Z330" i="48" s="1"/>
  <c r="AA330" i="48"/>
  <c r="AB330" i="48" s="1"/>
  <c r="AC330" i="48" a="1"/>
  <c r="AC330" i="48" s="1"/>
  <c r="X331" i="48" a="1"/>
  <c r="X331" i="48" s="1"/>
  <c r="Z331" i="48" a="1"/>
  <c r="Z331" i="48" s="1"/>
  <c r="AA331" i="48"/>
  <c r="AB331" i="48" s="1"/>
  <c r="AC331" i="48" a="1"/>
  <c r="AC331" i="48" s="1"/>
  <c r="V332" i="48" a="1"/>
  <c r="V332" i="48" s="1"/>
  <c r="W332" i="48"/>
  <c r="Y332" i="48" a="1"/>
  <c r="Y332" i="48" s="1"/>
  <c r="Z332" i="48" a="1"/>
  <c r="Z332" i="48" s="1"/>
  <c r="AA332" i="48"/>
  <c r="AB332" i="48" s="1"/>
  <c r="AC332" i="48" a="1"/>
  <c r="AC332" i="48" s="1"/>
  <c r="Z333" i="48" a="1"/>
  <c r="Z333" i="48" s="1"/>
  <c r="AA333" i="48"/>
  <c r="AB333" i="48" s="1"/>
  <c r="AC333" i="48" a="1"/>
  <c r="AC333" i="48" s="1"/>
  <c r="Z334" i="48" a="1"/>
  <c r="Z334" i="48" s="1"/>
  <c r="AA334" i="48"/>
  <c r="AB334" i="48" s="1"/>
  <c r="AC334" i="48" a="1"/>
  <c r="AC334" i="48" s="1"/>
  <c r="Z335" i="48" a="1"/>
  <c r="Z335" i="48" s="1"/>
  <c r="AA335" i="48"/>
  <c r="AB335" i="48" s="1"/>
  <c r="AC335" i="48" a="1"/>
  <c r="AC335" i="48" s="1"/>
  <c r="Z336" i="48" a="1"/>
  <c r="Z336" i="48" s="1"/>
  <c r="AA336" i="48"/>
  <c r="AB336" i="48" s="1"/>
  <c r="AC336" i="48" a="1"/>
  <c r="AC336" i="48" s="1"/>
  <c r="V337" i="48" a="1"/>
  <c r="V337" i="48" s="1"/>
  <c r="W337" i="48"/>
  <c r="X337" i="48" a="1"/>
  <c r="X337" i="48" s="1"/>
  <c r="Y337" i="48" a="1"/>
  <c r="Y337" i="48" s="1"/>
  <c r="Z337" i="48" a="1"/>
  <c r="Z337" i="48" s="1"/>
  <c r="AA337" i="48"/>
  <c r="AB337" i="48" s="1"/>
  <c r="AC337" i="48" a="1"/>
  <c r="AC337" i="48" s="1"/>
  <c r="Z338" i="48" a="1"/>
  <c r="Z338" i="48" s="1"/>
  <c r="AA338" i="48"/>
  <c r="AB338" i="48" s="1"/>
  <c r="AC338" i="48" a="1"/>
  <c r="AC338" i="48" s="1"/>
  <c r="Y339" i="48" a="1"/>
  <c r="Y339" i="48" s="1"/>
  <c r="Z339" i="48" a="1"/>
  <c r="Z339" i="48" s="1"/>
  <c r="AA339" i="48"/>
  <c r="AB339" i="48" s="1"/>
  <c r="AC339" i="48" a="1"/>
  <c r="AC339" i="48" s="1"/>
  <c r="Z340" i="48" a="1"/>
  <c r="Z340" i="48" s="1"/>
  <c r="AA340" i="48"/>
  <c r="AB340" i="48" s="1"/>
  <c r="AC340" i="48" a="1"/>
  <c r="AC340" i="48" s="1"/>
  <c r="V341" i="48" a="1"/>
  <c r="V341" i="48" s="1"/>
  <c r="W341" i="48"/>
  <c r="X341" i="48" a="1"/>
  <c r="X341" i="48" s="1"/>
  <c r="Y341" i="48" a="1"/>
  <c r="Y341" i="48" s="1"/>
  <c r="Z341" i="48" a="1"/>
  <c r="Z341" i="48" s="1"/>
  <c r="AA341" i="48"/>
  <c r="AB341" i="48" s="1"/>
  <c r="AC341" i="48" a="1"/>
  <c r="AC341" i="48" s="1"/>
  <c r="Z342" i="48" a="1"/>
  <c r="Z342" i="48" s="1"/>
  <c r="AA342" i="48"/>
  <c r="AB342" i="48" s="1"/>
  <c r="AC342" i="48" a="1"/>
  <c r="AC342" i="48" s="1"/>
  <c r="X343" i="48" a="1"/>
  <c r="X343" i="48" s="1"/>
  <c r="Y343" i="48" a="1"/>
  <c r="Y343" i="48" s="1"/>
  <c r="Z343" i="48" a="1"/>
  <c r="Z343" i="48" s="1"/>
  <c r="AA343" i="48"/>
  <c r="AB343" i="48" s="1"/>
  <c r="AC343" i="48" a="1"/>
  <c r="AC343" i="48" s="1"/>
  <c r="V344" i="48" a="1"/>
  <c r="V344" i="48" s="1"/>
  <c r="Z344" i="48" a="1"/>
  <c r="Z344" i="48" s="1"/>
  <c r="AA344" i="48"/>
  <c r="AB344" i="48" s="1"/>
  <c r="AC344" i="48" a="1"/>
  <c r="AC344" i="48" s="1"/>
  <c r="Z345" i="48" a="1"/>
  <c r="Z345" i="48" s="1"/>
  <c r="AA345" i="48"/>
  <c r="AB345" i="48" s="1"/>
  <c r="AC345" i="48" a="1"/>
  <c r="AC345" i="48" s="1"/>
  <c r="V346" i="48" a="1"/>
  <c r="V346" i="48" s="1"/>
  <c r="W346" i="48"/>
  <c r="X346" i="48" a="1"/>
  <c r="X346" i="48" s="1"/>
  <c r="Y346" i="48" a="1"/>
  <c r="Y346" i="48" s="1"/>
  <c r="Z346" i="48" a="1"/>
  <c r="Z346" i="48" s="1"/>
  <c r="AA346" i="48"/>
  <c r="AB346" i="48" s="1"/>
  <c r="AC346" i="48" a="1"/>
  <c r="AC346" i="48" s="1"/>
  <c r="Z347" i="48" a="1"/>
  <c r="Z347" i="48" s="1"/>
  <c r="AA347" i="48"/>
  <c r="AB347" i="48" s="1"/>
  <c r="AC347" i="48" a="1"/>
  <c r="AC347" i="48" s="1"/>
  <c r="V348" i="48" a="1"/>
  <c r="V348" i="48" s="1"/>
  <c r="W348" i="48"/>
  <c r="Z348" i="48" a="1"/>
  <c r="Z348" i="48" s="1"/>
  <c r="AA348" i="48"/>
  <c r="AB348" i="48" s="1"/>
  <c r="AC348" i="48" a="1"/>
  <c r="AC348" i="48" s="1"/>
  <c r="W349" i="48"/>
  <c r="Z349" i="48" a="1"/>
  <c r="Z349" i="48" s="1"/>
  <c r="AA349" i="48"/>
  <c r="AB349" i="48" s="1"/>
  <c r="AC349" i="48" a="1"/>
  <c r="AC349" i="48" s="1"/>
  <c r="V350" i="48" a="1"/>
  <c r="V350" i="48" s="1"/>
  <c r="W350" i="48"/>
  <c r="X350" i="48" a="1"/>
  <c r="X350" i="48" s="1"/>
  <c r="Z350" i="48" a="1"/>
  <c r="Z350" i="48" s="1"/>
  <c r="AA350" i="48"/>
  <c r="AB350" i="48" s="1"/>
  <c r="AC350" i="48" a="1"/>
  <c r="AC350" i="48" s="1"/>
  <c r="Z351" i="48" a="1"/>
  <c r="Z351" i="48" s="1"/>
  <c r="AA351" i="48"/>
  <c r="AB351" i="48" s="1"/>
  <c r="AC351" i="48" a="1"/>
  <c r="AC351" i="48" s="1"/>
  <c r="V352" i="48" a="1"/>
  <c r="V352" i="48" s="1"/>
  <c r="W352" i="48"/>
  <c r="X352" i="48" a="1"/>
  <c r="X352" i="48" s="1"/>
  <c r="Y352" i="48" a="1"/>
  <c r="Y352" i="48" s="1"/>
  <c r="Z352" i="48" a="1"/>
  <c r="Z352" i="48" s="1"/>
  <c r="AA352" i="48"/>
  <c r="AB352" i="48" s="1"/>
  <c r="AC352" i="48" a="1"/>
  <c r="AC352" i="48" s="1"/>
  <c r="V353" i="48" a="1"/>
  <c r="V353" i="48" s="1"/>
  <c r="W353" i="48"/>
  <c r="X353" i="48" a="1"/>
  <c r="X353" i="48" s="1"/>
  <c r="Y353" i="48" a="1"/>
  <c r="Y353" i="48" s="1"/>
  <c r="Z353" i="48" a="1"/>
  <c r="Z353" i="48" s="1"/>
  <c r="AA353" i="48"/>
  <c r="AB353" i="48" s="1"/>
  <c r="AC353" i="48" a="1"/>
  <c r="AC353" i="48" s="1"/>
  <c r="V354" i="48" a="1"/>
  <c r="V354" i="48" s="1"/>
  <c r="X354" i="48" a="1"/>
  <c r="X354" i="48" s="1"/>
  <c r="Y354" i="48" a="1"/>
  <c r="Y354" i="48" s="1"/>
  <c r="Z354" i="48" a="1"/>
  <c r="Z354" i="48" s="1"/>
  <c r="AA354" i="48"/>
  <c r="AB354" i="48" s="1"/>
  <c r="AC354" i="48" a="1"/>
  <c r="AC354" i="48" s="1"/>
  <c r="Z355" i="48" a="1"/>
  <c r="Z355" i="48" s="1"/>
  <c r="AA355" i="48"/>
  <c r="AB355" i="48" s="1"/>
  <c r="AC355" i="48" a="1"/>
  <c r="AC355" i="48" s="1"/>
  <c r="X356" i="48" a="1"/>
  <c r="X356" i="48" s="1"/>
  <c r="Y356" i="48" a="1"/>
  <c r="Y356" i="48" s="1"/>
  <c r="Z356" i="48" a="1"/>
  <c r="Z356" i="48" s="1"/>
  <c r="AA356" i="48"/>
  <c r="AB356" i="48" s="1"/>
  <c r="AC356" i="48" a="1"/>
  <c r="AC356" i="48" s="1"/>
  <c r="Z357" i="48" a="1"/>
  <c r="Z357" i="48" s="1"/>
  <c r="AA357" i="48"/>
  <c r="AB357" i="48" s="1"/>
  <c r="AC357" i="48" a="1"/>
  <c r="AC357" i="48" s="1"/>
  <c r="V358" i="48" a="1"/>
  <c r="V358" i="48" s="1"/>
  <c r="W358" i="48"/>
  <c r="X358" i="48" a="1"/>
  <c r="X358" i="48" s="1"/>
  <c r="Y358" i="48" a="1"/>
  <c r="Y358" i="48" s="1"/>
  <c r="Z358" i="48" a="1"/>
  <c r="Z358" i="48" s="1"/>
  <c r="AA358" i="48"/>
  <c r="AB358" i="48" s="1"/>
  <c r="AC358" i="48" a="1"/>
  <c r="AC358" i="48" s="1"/>
  <c r="X359" i="48" a="1"/>
  <c r="X359" i="48" s="1"/>
  <c r="Z359" i="48" a="1"/>
  <c r="Z359" i="48" s="1"/>
  <c r="AA359" i="48"/>
  <c r="AB359" i="48" s="1"/>
  <c r="AC359" i="48" a="1"/>
  <c r="AC359" i="48" s="1"/>
  <c r="V360" i="48" a="1"/>
  <c r="V360" i="48" s="1"/>
  <c r="W360" i="48"/>
  <c r="X360" i="48" a="1"/>
  <c r="X360" i="48" s="1"/>
  <c r="Y360" i="48" a="1"/>
  <c r="Y360" i="48" s="1"/>
  <c r="Z360" i="48" a="1"/>
  <c r="Z360" i="48" s="1"/>
  <c r="AA360" i="48"/>
  <c r="AB360" i="48" s="1"/>
  <c r="AC360" i="48" a="1"/>
  <c r="AC360" i="48" s="1"/>
  <c r="V361" i="48" a="1"/>
  <c r="V361" i="48" s="1"/>
  <c r="W361" i="48"/>
  <c r="X361" i="48" a="1"/>
  <c r="X361" i="48" s="1"/>
  <c r="Z361" i="48" a="1"/>
  <c r="Z361" i="48" s="1"/>
  <c r="AA361" i="48"/>
  <c r="AB361" i="48" s="1"/>
  <c r="AC361" i="48" a="1"/>
  <c r="AC361" i="48" s="1"/>
  <c r="V362" i="48" a="1"/>
  <c r="V362" i="48" s="1"/>
  <c r="W362" i="48"/>
  <c r="X362" i="48" a="1"/>
  <c r="X362" i="48" s="1"/>
  <c r="Y362" i="48" a="1"/>
  <c r="Y362" i="48" s="1"/>
  <c r="Z362" i="48" a="1"/>
  <c r="Z362" i="48" s="1"/>
  <c r="AA362" i="48"/>
  <c r="AB362" i="48" s="1"/>
  <c r="AC362" i="48" a="1"/>
  <c r="AC362" i="48" s="1"/>
  <c r="V363" i="48" a="1"/>
  <c r="V363" i="48" s="1"/>
  <c r="Z363" i="48" a="1"/>
  <c r="Z363" i="48" s="1"/>
  <c r="AA363" i="48"/>
  <c r="AB363" i="48" s="1"/>
  <c r="AC363" i="48" a="1"/>
  <c r="AC363" i="48" s="1"/>
  <c r="V364" i="48" a="1"/>
  <c r="V364" i="48" s="1"/>
  <c r="W364" i="48"/>
  <c r="X364" i="48" a="1"/>
  <c r="X364" i="48" s="1"/>
  <c r="Y364" i="48" a="1"/>
  <c r="Y364" i="48" s="1"/>
  <c r="Z364" i="48" a="1"/>
  <c r="Z364" i="48" s="1"/>
  <c r="AA364" i="48"/>
  <c r="AB364" i="48" s="1"/>
  <c r="AC364" i="48" a="1"/>
  <c r="AC364" i="48" s="1"/>
  <c r="Z365" i="48" a="1"/>
  <c r="Z365" i="48" s="1"/>
  <c r="AA365" i="48"/>
  <c r="AB365" i="48" s="1"/>
  <c r="AC365" i="48" a="1"/>
  <c r="AC365" i="48" s="1"/>
  <c r="V366" i="48" a="1"/>
  <c r="V366" i="48" s="1"/>
  <c r="W366" i="48"/>
  <c r="X366" i="48" a="1"/>
  <c r="X366" i="48" s="1"/>
  <c r="Y366" i="48" a="1"/>
  <c r="Y366" i="48" s="1"/>
  <c r="Z366" i="48" a="1"/>
  <c r="Z366" i="48" s="1"/>
  <c r="AA366" i="48"/>
  <c r="AB366" i="48" s="1"/>
  <c r="AC366" i="48" a="1"/>
  <c r="AC366" i="48" s="1"/>
  <c r="V367" i="48" a="1"/>
  <c r="V367" i="48" s="1"/>
  <c r="W367" i="48"/>
  <c r="Z367" i="48" a="1"/>
  <c r="Z367" i="48" s="1"/>
  <c r="AA367" i="48"/>
  <c r="AB367" i="48" s="1"/>
  <c r="AC367" i="48" a="1"/>
  <c r="AC367" i="48" s="1"/>
  <c r="Z368" i="48" a="1"/>
  <c r="Z368" i="48" s="1"/>
  <c r="AA368" i="48"/>
  <c r="AB368" i="48" s="1"/>
  <c r="AC368" i="48" a="1"/>
  <c r="AC368" i="48" s="1"/>
  <c r="Z369" i="48" a="1"/>
  <c r="Z369" i="48" s="1"/>
  <c r="AA369" i="48"/>
  <c r="AB369" i="48" s="1"/>
  <c r="AC369" i="48" a="1"/>
  <c r="AC369" i="48" s="1"/>
  <c r="Z370" i="48" a="1"/>
  <c r="Z370" i="48" s="1"/>
  <c r="AA370" i="48"/>
  <c r="AB370" i="48" s="1"/>
  <c r="AC370" i="48" a="1"/>
  <c r="AC370" i="48" s="1"/>
  <c r="V371" i="48" a="1"/>
  <c r="V371" i="48" s="1"/>
  <c r="W371" i="48"/>
  <c r="X371" i="48" a="1"/>
  <c r="X371" i="48" s="1"/>
  <c r="Y371" i="48" a="1"/>
  <c r="Y371" i="48" s="1"/>
  <c r="Z371" i="48" a="1"/>
  <c r="Z371" i="48" s="1"/>
  <c r="AA371" i="48"/>
  <c r="AB371" i="48" s="1"/>
  <c r="AC371" i="48" a="1"/>
  <c r="AC371" i="48" s="1"/>
  <c r="Z372" i="48" a="1"/>
  <c r="Z372" i="48" s="1"/>
  <c r="AA372" i="48"/>
  <c r="AB372" i="48" s="1"/>
  <c r="AC372" i="48" a="1"/>
  <c r="AC372" i="48" s="1"/>
  <c r="V373" i="48" a="1"/>
  <c r="V373" i="48" s="1"/>
  <c r="W373" i="48"/>
  <c r="X373" i="48" a="1"/>
  <c r="X373" i="48" s="1"/>
  <c r="Y373" i="48" a="1"/>
  <c r="Y373" i="48" s="1"/>
  <c r="Z373" i="48" a="1"/>
  <c r="Z373" i="48" s="1"/>
  <c r="AA373" i="48"/>
  <c r="AB373" i="48" s="1"/>
  <c r="AC373" i="48" a="1"/>
  <c r="AC373" i="48" s="1"/>
  <c r="V374" i="48" a="1"/>
  <c r="V374" i="48" s="1"/>
  <c r="W374" i="48"/>
  <c r="X374" i="48" a="1"/>
  <c r="X374" i="48" s="1"/>
  <c r="Y374" i="48" a="1"/>
  <c r="Y374" i="48" s="1"/>
  <c r="Z374" i="48" a="1"/>
  <c r="Z374" i="48" s="1"/>
  <c r="AA374" i="48"/>
  <c r="AB374" i="48" s="1"/>
  <c r="AC374" i="48" a="1"/>
  <c r="AC374" i="48" s="1"/>
  <c r="V375" i="48" a="1"/>
  <c r="V375" i="48" s="1"/>
  <c r="W375" i="48"/>
  <c r="X375" i="48" a="1"/>
  <c r="X375" i="48" s="1"/>
  <c r="Y375" i="48" a="1"/>
  <c r="Y375" i="48" s="1"/>
  <c r="Z375" i="48" a="1"/>
  <c r="Z375" i="48" s="1"/>
  <c r="AA375" i="48"/>
  <c r="AB375" i="48" s="1"/>
  <c r="AC375" i="48" a="1"/>
  <c r="AC375" i="48" s="1"/>
  <c r="Z376" i="48" a="1"/>
  <c r="Z376" i="48" s="1"/>
  <c r="AA376" i="48"/>
  <c r="AB376" i="48" s="1"/>
  <c r="AC376" i="48" a="1"/>
  <c r="AC376" i="48" s="1"/>
  <c r="V377" i="48" a="1"/>
  <c r="V377" i="48" s="1"/>
  <c r="W377" i="48"/>
  <c r="X377" i="48" a="1"/>
  <c r="X377" i="48" s="1"/>
  <c r="Y377" i="48" a="1"/>
  <c r="Y377" i="48" s="1"/>
  <c r="Z377" i="48" a="1"/>
  <c r="Z377" i="48" s="1"/>
  <c r="AA377" i="48"/>
  <c r="AB377" i="48" s="1"/>
  <c r="AC377" i="48" a="1"/>
  <c r="AC377" i="48" s="1"/>
  <c r="V378" i="48" a="1"/>
  <c r="V378" i="48" s="1"/>
  <c r="W378" i="48"/>
  <c r="X378" i="48" a="1"/>
  <c r="X378" i="48" s="1"/>
  <c r="Y378" i="48" a="1"/>
  <c r="Y378" i="48" s="1"/>
  <c r="Z378" i="48" a="1"/>
  <c r="Z378" i="48" s="1"/>
  <c r="AA378" i="48"/>
  <c r="AB378" i="48" s="1"/>
  <c r="AC378" i="48" a="1"/>
  <c r="AC378" i="48" s="1"/>
  <c r="Z379" i="48" a="1"/>
  <c r="Z379" i="48" s="1"/>
  <c r="AA379" i="48"/>
  <c r="AB379" i="48" s="1"/>
  <c r="AC379" i="48" a="1"/>
  <c r="AC379" i="48" s="1"/>
  <c r="V380" i="48" a="1"/>
  <c r="V380" i="48" s="1"/>
  <c r="W380" i="48"/>
  <c r="X380" i="48" a="1"/>
  <c r="X380" i="48" s="1"/>
  <c r="Y380" i="48" a="1"/>
  <c r="Y380" i="48" s="1"/>
  <c r="Z380" i="48" a="1"/>
  <c r="Z380" i="48" s="1"/>
  <c r="AA380" i="48"/>
  <c r="AB380" i="48" s="1"/>
  <c r="AC380" i="48" a="1"/>
  <c r="AC380" i="48" s="1"/>
  <c r="Z381" i="48" a="1"/>
  <c r="Z381" i="48" s="1"/>
  <c r="AA381" i="48"/>
  <c r="AB381" i="48" s="1"/>
  <c r="AC381" i="48" a="1"/>
  <c r="AC381" i="48" s="1"/>
  <c r="V382" i="48" a="1"/>
  <c r="V382" i="48" s="1"/>
  <c r="W382" i="48"/>
  <c r="X382" i="48" a="1"/>
  <c r="X382" i="48" s="1"/>
  <c r="Y382" i="48" a="1"/>
  <c r="Y382" i="48" s="1"/>
  <c r="Z382" i="48" a="1"/>
  <c r="Z382" i="48" s="1"/>
  <c r="AA382" i="48"/>
  <c r="AB382" i="48" s="1"/>
  <c r="AC382" i="48" a="1"/>
  <c r="AC382" i="48" s="1"/>
  <c r="V383" i="48" a="1"/>
  <c r="V383" i="48" s="1"/>
  <c r="W383" i="48"/>
  <c r="Z383" i="48" a="1"/>
  <c r="Z383" i="48" s="1"/>
  <c r="AA383" i="48"/>
  <c r="AB383" i="48" s="1"/>
  <c r="AC383" i="48" a="1"/>
  <c r="AC383" i="48" s="1"/>
  <c r="Z384" i="48" a="1"/>
  <c r="Z384" i="48" s="1"/>
  <c r="AA384" i="48"/>
  <c r="AB384" i="48" s="1"/>
  <c r="AC384" i="48" a="1"/>
  <c r="AC384" i="48" s="1"/>
  <c r="V385" i="48" a="1"/>
  <c r="V385" i="48" s="1"/>
  <c r="W385" i="48"/>
  <c r="X385" i="48" a="1"/>
  <c r="X385" i="48" s="1"/>
  <c r="Y385" i="48" a="1"/>
  <c r="Y385" i="48" s="1"/>
  <c r="Z385" i="48" a="1"/>
  <c r="Z385" i="48" s="1"/>
  <c r="AA385" i="48"/>
  <c r="AB385" i="48" s="1"/>
  <c r="AC385" i="48" a="1"/>
  <c r="AC385" i="48" s="1"/>
  <c r="Z386" i="48" a="1"/>
  <c r="Z386" i="48" s="1"/>
  <c r="AA386" i="48"/>
  <c r="AB386" i="48" s="1"/>
  <c r="AC386" i="48" a="1"/>
  <c r="AC386" i="48" s="1"/>
  <c r="Z387" i="48" a="1"/>
  <c r="Z387" i="48" s="1"/>
  <c r="AA387" i="48"/>
  <c r="AB387" i="48" s="1"/>
  <c r="AC387" i="48" a="1"/>
  <c r="AC387" i="48" s="1"/>
  <c r="V388" i="48" a="1"/>
  <c r="V388" i="48" s="1"/>
  <c r="W388" i="48"/>
  <c r="X388" i="48" a="1"/>
  <c r="X388" i="48" s="1"/>
  <c r="Y388" i="48" a="1"/>
  <c r="Y388" i="48" s="1"/>
  <c r="Z388" i="48" a="1"/>
  <c r="Z388" i="48" s="1"/>
  <c r="AA388" i="48"/>
  <c r="AB388" i="48" s="1"/>
  <c r="AC388" i="48" a="1"/>
  <c r="AC388" i="48" s="1"/>
  <c r="V389" i="48" a="1"/>
  <c r="V389" i="48" s="1"/>
  <c r="W389" i="48"/>
  <c r="X389" i="48" a="1"/>
  <c r="X389" i="48" s="1"/>
  <c r="Y389" i="48" a="1"/>
  <c r="Y389" i="48" s="1"/>
  <c r="Z389" i="48" a="1"/>
  <c r="Z389" i="48" s="1"/>
  <c r="AA389" i="48"/>
  <c r="AB389" i="48" s="1"/>
  <c r="AC389" i="48" a="1"/>
  <c r="AC389" i="48" s="1"/>
  <c r="Z390" i="48" a="1"/>
  <c r="Z390" i="48" s="1"/>
  <c r="AA390" i="48"/>
  <c r="AB390" i="48" s="1"/>
  <c r="AC390" i="48" a="1"/>
  <c r="AC390" i="48" s="1"/>
  <c r="V391" i="48" a="1"/>
  <c r="V391" i="48" s="1"/>
  <c r="X391" i="48" a="1"/>
  <c r="X391" i="48" s="1"/>
  <c r="Y391" i="48" a="1"/>
  <c r="Y391" i="48" s="1"/>
  <c r="Z391" i="48" a="1"/>
  <c r="Z391" i="48" s="1"/>
  <c r="AA391" i="48"/>
  <c r="AB391" i="48" s="1"/>
  <c r="AC391" i="48" a="1"/>
  <c r="AC391" i="48" s="1"/>
  <c r="Z392" i="48" a="1"/>
  <c r="Z392" i="48" s="1"/>
  <c r="AA392" i="48"/>
  <c r="AB392" i="48" s="1"/>
  <c r="AC392" i="48" a="1"/>
  <c r="AC392" i="48" s="1"/>
  <c r="V393" i="48" a="1"/>
  <c r="V393" i="48" s="1"/>
  <c r="W393" i="48"/>
  <c r="X393" i="48" a="1"/>
  <c r="X393" i="48" s="1"/>
  <c r="Y393" i="48" a="1"/>
  <c r="Y393" i="48" s="1"/>
  <c r="Z393" i="48" a="1"/>
  <c r="Z393" i="48" s="1"/>
  <c r="AA393" i="48"/>
  <c r="AB393" i="48" s="1"/>
  <c r="AC393" i="48" a="1"/>
  <c r="AC393" i="48" s="1"/>
  <c r="V394" i="48" a="1"/>
  <c r="V394" i="48" s="1"/>
  <c r="W394" i="48"/>
  <c r="X394" i="48" a="1"/>
  <c r="X394" i="48" s="1"/>
  <c r="Y394" i="48" a="1"/>
  <c r="Y394" i="48" s="1"/>
  <c r="Z394" i="48" a="1"/>
  <c r="Z394" i="48" s="1"/>
  <c r="AA394" i="48"/>
  <c r="AB394" i="48" s="1"/>
  <c r="AC394" i="48" a="1"/>
  <c r="AC394" i="48" s="1"/>
  <c r="Z395" i="48" a="1"/>
  <c r="Z395" i="48" s="1"/>
  <c r="AA395" i="48"/>
  <c r="AB395" i="48" s="1"/>
  <c r="AC395" i="48" a="1"/>
  <c r="AC395" i="48" s="1"/>
  <c r="V396" i="48" a="1"/>
  <c r="V396" i="48" s="1"/>
  <c r="W396" i="48"/>
  <c r="X396" i="48" a="1"/>
  <c r="X396" i="48" s="1"/>
  <c r="Y396" i="48" a="1"/>
  <c r="Y396" i="48" s="1"/>
  <c r="Z396" i="48" a="1"/>
  <c r="Z396" i="48" s="1"/>
  <c r="AA396" i="48"/>
  <c r="AB396" i="48" s="1"/>
  <c r="AC396" i="48" a="1"/>
  <c r="AC396" i="48" s="1"/>
  <c r="V397" i="48" a="1"/>
  <c r="V397" i="48" s="1"/>
  <c r="W397" i="48"/>
  <c r="Y397" i="48" a="1"/>
  <c r="Y397" i="48" s="1"/>
  <c r="Z397" i="48" a="1"/>
  <c r="Z397" i="48" s="1"/>
  <c r="AA397" i="48"/>
  <c r="AB397" i="48" s="1"/>
  <c r="AC397" i="48" a="1"/>
  <c r="AC397" i="48" s="1"/>
  <c r="V398" i="48" a="1"/>
  <c r="V398" i="48" s="1"/>
  <c r="W398" i="48"/>
  <c r="X398" i="48" a="1"/>
  <c r="X398" i="48" s="1"/>
  <c r="Y398" i="48" a="1"/>
  <c r="Y398" i="48" s="1"/>
  <c r="Z398" i="48" a="1"/>
  <c r="Z398" i="48" s="1"/>
  <c r="AA398" i="48"/>
  <c r="AB398" i="48" s="1"/>
  <c r="AC398" i="48" a="1"/>
  <c r="AC398" i="48" s="1"/>
  <c r="X399" i="48" a="1"/>
  <c r="X399" i="48" s="1"/>
  <c r="Y399" i="48" a="1"/>
  <c r="Y399" i="48" s="1"/>
  <c r="Z399" i="48" a="1"/>
  <c r="Z399" i="48" s="1"/>
  <c r="AA399" i="48"/>
  <c r="AB399" i="48" s="1"/>
  <c r="AC399" i="48" a="1"/>
  <c r="AC399" i="48" s="1"/>
  <c r="Z400" i="48" a="1"/>
  <c r="Z400" i="48" s="1"/>
  <c r="AA400" i="48"/>
  <c r="AB400" i="48" s="1"/>
  <c r="AC400" i="48" a="1"/>
  <c r="AC400" i="48" s="1"/>
  <c r="V401" i="48" a="1"/>
  <c r="V401" i="48" s="1"/>
  <c r="W401" i="48"/>
  <c r="X401" i="48" a="1"/>
  <c r="X401" i="48" s="1"/>
  <c r="Y401" i="48" a="1"/>
  <c r="Y401" i="48" s="1"/>
  <c r="Z401" i="48" a="1"/>
  <c r="Z401" i="48" s="1"/>
  <c r="AA401" i="48"/>
  <c r="AB401" i="48" s="1"/>
  <c r="AC401" i="48" a="1"/>
  <c r="AC401" i="48" s="1"/>
  <c r="V402" i="48" a="1"/>
  <c r="V402" i="48" s="1"/>
  <c r="W402" i="48"/>
  <c r="X402" i="48" a="1"/>
  <c r="X402" i="48" s="1"/>
  <c r="Y402" i="48" a="1"/>
  <c r="Y402" i="48" s="1"/>
  <c r="Z402" i="48" a="1"/>
  <c r="Z402" i="48" s="1"/>
  <c r="AA402" i="48"/>
  <c r="AB402" i="48" s="1"/>
  <c r="AC402" i="48" a="1"/>
  <c r="AC402" i="48" s="1"/>
  <c r="Z403" i="48" a="1"/>
  <c r="Z403" i="48" s="1"/>
  <c r="AA403" i="48"/>
  <c r="AB403" i="48" s="1"/>
  <c r="AC403" i="48" a="1"/>
  <c r="AC403" i="48" s="1"/>
  <c r="V404" i="48" a="1"/>
  <c r="V404" i="48" s="1"/>
  <c r="W404" i="48"/>
  <c r="X404" i="48" a="1"/>
  <c r="X404" i="48" s="1"/>
  <c r="Y404" i="48" a="1"/>
  <c r="Y404" i="48" s="1"/>
  <c r="Z404" i="48" a="1"/>
  <c r="Z404" i="48" s="1"/>
  <c r="AA404" i="48"/>
  <c r="AB404" i="48" s="1"/>
  <c r="AC404" i="48" a="1"/>
  <c r="AC404" i="48" s="1"/>
  <c r="V405" i="48" a="1"/>
  <c r="V405" i="48" s="1"/>
  <c r="W405" i="48"/>
  <c r="X405" i="48" a="1"/>
  <c r="X405" i="48" s="1"/>
  <c r="Z405" i="48" a="1"/>
  <c r="Z405" i="48" s="1"/>
  <c r="AA405" i="48"/>
  <c r="AB405" i="48" s="1"/>
  <c r="AC405" i="48" a="1"/>
  <c r="AC405" i="48" s="1"/>
  <c r="AC4" i="48" a="1"/>
  <c r="AC4" i="48" s="1"/>
  <c r="AA4" i="48"/>
  <c r="Z4" i="48" a="1"/>
  <c r="Z4" i="48" s="1"/>
  <c r="Y4" i="48" a="1"/>
  <c r="Y4" i="48" s="1"/>
  <c r="X4" i="48" a="1"/>
  <c r="X4" i="48" s="1"/>
  <c r="W23" i="48" l="1"/>
  <c r="X20" i="48" a="1"/>
  <c r="X20" i="48" s="1"/>
  <c r="Y31" i="48" a="1"/>
  <c r="Y31" i="48" s="1"/>
  <c r="V23" i="48" a="1"/>
  <c r="V23" i="48" s="1"/>
  <c r="X164" i="48" a="1"/>
  <c r="X164" i="48" s="1"/>
  <c r="W147" i="48"/>
  <c r="Y138" i="48" a="1"/>
  <c r="Y138" i="48" s="1"/>
  <c r="W78" i="48"/>
  <c r="Y46" i="48" a="1"/>
  <c r="Y46" i="48" s="1"/>
  <c r="X31" i="48" a="1"/>
  <c r="X31" i="48" s="1"/>
  <c r="Y7" i="48" a="1"/>
  <c r="Y7" i="48" s="1"/>
  <c r="W31" i="48"/>
  <c r="W199" i="48"/>
  <c r="V172" i="48" a="1"/>
  <c r="V172" i="48" s="1"/>
  <c r="X347" i="48" a="1"/>
  <c r="X347" i="48" s="1"/>
  <c r="X96" i="48" a="1"/>
  <c r="X96" i="48" s="1"/>
  <c r="Y78" i="48" a="1"/>
  <c r="Y78" i="48" s="1"/>
  <c r="X137" i="48" a="1"/>
  <c r="X137" i="48" s="1"/>
  <c r="X91" i="48" a="1"/>
  <c r="X91" i="48" s="1"/>
  <c r="X80" i="48" a="1"/>
  <c r="X80" i="48" s="1"/>
  <c r="Y55" i="48" a="1"/>
  <c r="Y55" i="48" s="1"/>
  <c r="Y45" i="48" a="1"/>
  <c r="Y45" i="48" s="1"/>
  <c r="W30" i="48"/>
  <c r="V91" i="48" a="1"/>
  <c r="V91" i="48" s="1"/>
  <c r="X45" i="48" a="1"/>
  <c r="X45" i="48" s="1"/>
  <c r="W45" i="48"/>
  <c r="W38" i="48"/>
  <c r="V38" i="48" a="1"/>
  <c r="V38" i="48" s="1"/>
  <c r="V309" i="48" a="1"/>
  <c r="V309" i="48" s="1"/>
  <c r="V140" i="48" a="1"/>
  <c r="V140" i="48" s="1"/>
  <c r="W343" i="48"/>
  <c r="V246" i="48" a="1"/>
  <c r="V246" i="48" s="1"/>
  <c r="Y173" i="48" a="1"/>
  <c r="Y173" i="48" s="1"/>
  <c r="Y166" i="48" a="1"/>
  <c r="Y166" i="48" s="1"/>
  <c r="Y137" i="48" a="1"/>
  <c r="Y137" i="48" s="1"/>
  <c r="W96" i="48"/>
  <c r="Y38" i="48" a="1"/>
  <c r="Y38" i="48" s="1"/>
  <c r="V30" i="48" a="1"/>
  <c r="V30" i="48" s="1"/>
  <c r="V96" i="48" a="1"/>
  <c r="V96" i="48" s="1"/>
  <c r="X379" i="48" a="1"/>
  <c r="X379" i="48" s="1"/>
  <c r="W354" i="48"/>
  <c r="V392" i="48" a="1"/>
  <c r="V392" i="48" s="1"/>
  <c r="X390" i="48" a="1"/>
  <c r="X390" i="48" s="1"/>
  <c r="V386" i="48" a="1"/>
  <c r="V386" i="48" s="1"/>
  <c r="V369" i="48" a="1"/>
  <c r="V369" i="48" s="1"/>
  <c r="V356" i="48" a="1"/>
  <c r="V356" i="48" s="1"/>
  <c r="X87" i="48" a="1"/>
  <c r="X87" i="48" s="1"/>
  <c r="V263" i="48" a="1"/>
  <c r="V263" i="48" s="1"/>
  <c r="X214" i="48" a="1"/>
  <c r="X214" i="48" s="1"/>
  <c r="X200" i="48" a="1"/>
  <c r="X200" i="48" s="1"/>
  <c r="V19" i="48" a="1"/>
  <c r="V19" i="48" s="1"/>
  <c r="D65" i="62"/>
  <c r="Y32" i="48" a="1"/>
  <c r="Y32" i="48" s="1"/>
  <c r="D22" i="62"/>
  <c r="D26" i="62"/>
  <c r="Y52" i="43" s="1"/>
  <c r="X383" i="48" a="1"/>
  <c r="X383" i="48" s="1"/>
  <c r="Y367" i="48" a="1"/>
  <c r="Y367" i="48" s="1"/>
  <c r="V365" i="48" a="1"/>
  <c r="V365" i="48" s="1"/>
  <c r="Y363" i="48" a="1"/>
  <c r="Y363" i="48" s="1"/>
  <c r="W115" i="48"/>
  <c r="W351" i="48"/>
  <c r="V342" i="48" a="1"/>
  <c r="V342" i="48" s="1"/>
  <c r="W338" i="48"/>
  <c r="V335" i="48" a="1"/>
  <c r="V335" i="48" s="1"/>
  <c r="V334" i="48" a="1"/>
  <c r="V334" i="48" s="1"/>
  <c r="V330" i="48" a="1"/>
  <c r="V330" i="48" s="1"/>
  <c r="V329" i="48" a="1"/>
  <c r="V329" i="48" s="1"/>
  <c r="W327" i="48"/>
  <c r="V326" i="48" a="1"/>
  <c r="V326" i="48" s="1"/>
  <c r="X325" i="48" a="1"/>
  <c r="X325" i="48" s="1"/>
  <c r="W321" i="48"/>
  <c r="V312" i="48" a="1"/>
  <c r="V312" i="48" s="1"/>
  <c r="Y102" i="48" a="1"/>
  <c r="Y102" i="48" s="1"/>
  <c r="V310" i="48" a="1"/>
  <c r="V310" i="48" s="1"/>
  <c r="V304" i="48" a="1"/>
  <c r="V304" i="48" s="1"/>
  <c r="X284" i="48" a="1"/>
  <c r="X284" i="48" s="1"/>
  <c r="W272" i="48"/>
  <c r="V254" i="48" a="1"/>
  <c r="V254" i="48" s="1"/>
  <c r="W252" i="48"/>
  <c r="W74" i="48"/>
  <c r="V69" i="48" a="1"/>
  <c r="V69" i="48" s="1"/>
  <c r="W224" i="48"/>
  <c r="V194" i="48" a="1"/>
  <c r="V194" i="48" s="1"/>
  <c r="V186" i="48" a="1"/>
  <c r="V186" i="48" s="1"/>
  <c r="Y163" i="48" a="1"/>
  <c r="Y163" i="48" s="1"/>
  <c r="V12" i="48" a="1"/>
  <c r="V12" i="48" s="1"/>
  <c r="W132" i="48"/>
  <c r="W4" i="48"/>
  <c r="D3" i="62"/>
  <c r="D137" i="62"/>
  <c r="D93" i="62"/>
  <c r="D115" i="62"/>
  <c r="D129" i="62"/>
  <c r="D120" i="62"/>
  <c r="D95" i="62"/>
  <c r="Y132" i="43" s="1"/>
  <c r="D50" i="62"/>
  <c r="D97" i="62"/>
  <c r="D69" i="62"/>
  <c r="D27" i="62"/>
  <c r="D92" i="62"/>
  <c r="W403" i="48"/>
  <c r="V129" i="48" a="1"/>
  <c r="V129" i="48" s="1"/>
  <c r="V400" i="48" a="1"/>
  <c r="V400" i="48" s="1"/>
  <c r="X395" i="48" a="1"/>
  <c r="X395" i="48" s="1"/>
  <c r="X392" i="48" a="1"/>
  <c r="X392" i="48" s="1"/>
  <c r="V384" i="48" a="1"/>
  <c r="V384" i="48" s="1"/>
  <c r="W381" i="48"/>
  <c r="W123" i="48"/>
  <c r="Y379" i="48" a="1"/>
  <c r="Y379" i="48" s="1"/>
  <c r="X376" i="48" a="1"/>
  <c r="X376" i="48" s="1"/>
  <c r="V372" i="48" a="1"/>
  <c r="V372" i="48" s="1"/>
  <c r="X368" i="48" a="1"/>
  <c r="X368" i="48" s="1"/>
  <c r="X365" i="48" a="1"/>
  <c r="X365" i="48" s="1"/>
  <c r="D19" i="62"/>
  <c r="D72" i="62"/>
  <c r="D74" i="62"/>
  <c r="Y93" i="43" s="1"/>
  <c r="D46" i="62"/>
  <c r="D114" i="62"/>
  <c r="D24" i="62"/>
  <c r="D91" i="62"/>
  <c r="W303" i="48"/>
  <c r="X299" i="48" a="1"/>
  <c r="X299" i="48" s="1"/>
  <c r="Y283" i="48" a="1"/>
  <c r="Y283" i="48" s="1"/>
  <c r="W274" i="48"/>
  <c r="Y266" i="48" a="1"/>
  <c r="Y266" i="48" s="1"/>
  <c r="X256" i="48" a="1"/>
  <c r="X256" i="48" s="1"/>
  <c r="Y248" i="48" a="1"/>
  <c r="Y248" i="48" s="1"/>
  <c r="W236" i="48"/>
  <c r="Y231" i="48" a="1"/>
  <c r="Y231" i="48" s="1"/>
  <c r="V220" i="48" a="1"/>
  <c r="V220" i="48" s="1"/>
  <c r="V210" i="48" a="1"/>
  <c r="V210" i="48" s="1"/>
  <c r="V207" i="48" a="1"/>
  <c r="V207" i="48" s="1"/>
  <c r="X206" i="48" a="1"/>
  <c r="X206" i="48" s="1"/>
  <c r="X204" i="48" a="1"/>
  <c r="X204" i="48" s="1"/>
  <c r="W180" i="48"/>
  <c r="X171" i="48" a="1"/>
  <c r="X171" i="48" s="1"/>
  <c r="W165" i="48"/>
  <c r="X22" i="48" a="1"/>
  <c r="X22" i="48" s="1"/>
  <c r="X154" i="48" a="1"/>
  <c r="X154" i="48" s="1"/>
  <c r="X152" i="48" a="1"/>
  <c r="X152" i="48" s="1"/>
  <c r="V146" i="48" a="1"/>
  <c r="V146" i="48" s="1"/>
  <c r="Y143" i="48" a="1"/>
  <c r="Y143" i="48" s="1"/>
  <c r="X15" i="48" a="1"/>
  <c r="X15" i="48" s="1"/>
  <c r="W8" i="48"/>
  <c r="V131" i="48" a="1"/>
  <c r="V131" i="48" s="1"/>
  <c r="D49" i="62"/>
  <c r="Y79" i="43" s="1"/>
  <c r="D23" i="62"/>
  <c r="D70" i="62"/>
  <c r="D134" i="62"/>
  <c r="D28" i="62"/>
  <c r="D51" i="62"/>
  <c r="D47" i="62"/>
  <c r="D45" i="62"/>
  <c r="D106" i="62"/>
  <c r="D111" i="62"/>
  <c r="D139" i="62"/>
  <c r="D138" i="62"/>
  <c r="Y350" i="48" a="1"/>
  <c r="Y350" i="48" s="1"/>
  <c r="X332" i="48" a="1"/>
  <c r="X332" i="48" s="1"/>
  <c r="Y273" i="48" a="1"/>
  <c r="Y273" i="48" s="1"/>
  <c r="D83" i="62"/>
  <c r="D60" i="62"/>
  <c r="D88" i="62"/>
  <c r="D5" i="62"/>
  <c r="D116" i="62"/>
  <c r="V36" i="48" a="1"/>
  <c r="V36" i="48" s="1"/>
  <c r="W169" i="48"/>
  <c r="X160" i="48" a="1"/>
  <c r="X160" i="48" s="1"/>
  <c r="V155" i="48" a="1"/>
  <c r="V155" i="48" s="1"/>
  <c r="X363" i="48" a="1"/>
  <c r="X363" i="48" s="1"/>
  <c r="V359" i="48" a="1"/>
  <c r="V359" i="48" s="1"/>
  <c r="X357" i="48" a="1"/>
  <c r="X357" i="48" s="1"/>
  <c r="X355" i="48" a="1"/>
  <c r="X355" i="48" s="1"/>
  <c r="X114" i="48" a="1"/>
  <c r="X114" i="48" s="1"/>
  <c r="V113" i="48" a="1"/>
  <c r="V113" i="48" s="1"/>
  <c r="V351" i="48" a="1"/>
  <c r="V351" i="48" s="1"/>
  <c r="V111" i="48" a="1"/>
  <c r="V111" i="48" s="1"/>
  <c r="V347" i="48" a="1"/>
  <c r="V347" i="48" s="1"/>
  <c r="W345" i="48"/>
  <c r="Y342" i="48" a="1"/>
  <c r="Y342" i="48" s="1"/>
  <c r="W340" i="48"/>
  <c r="X339" i="48" a="1"/>
  <c r="X339" i="48" s="1"/>
  <c r="Y334" i="48" a="1"/>
  <c r="Y334" i="48" s="1"/>
  <c r="X333" i="48" a="1"/>
  <c r="X333" i="48" s="1"/>
  <c r="V331" i="48" a="1"/>
  <c r="V331" i="48" s="1"/>
  <c r="W329" i="48"/>
  <c r="X327" i="48" a="1"/>
  <c r="X327" i="48" s="1"/>
  <c r="V106" i="48" a="1"/>
  <c r="V106" i="48" s="1"/>
  <c r="Y314" i="48" a="1"/>
  <c r="Y314" i="48" s="1"/>
  <c r="Y313" i="48" a="1"/>
  <c r="Y313" i="48" s="1"/>
  <c r="X309" i="48" a="1"/>
  <c r="X309" i="48" s="1"/>
  <c r="W305" i="48"/>
  <c r="V303" i="48" a="1"/>
  <c r="V303" i="48" s="1"/>
  <c r="Y300" i="48" a="1"/>
  <c r="Y300" i="48" s="1"/>
  <c r="V299" i="48" a="1"/>
  <c r="V299" i="48" s="1"/>
  <c r="X296" i="48" a="1"/>
  <c r="X296" i="48" s="1"/>
  <c r="W292" i="48"/>
  <c r="V92" i="48" a="1"/>
  <c r="V92" i="48" s="1"/>
  <c r="V283" i="48" a="1"/>
  <c r="V283" i="48" s="1"/>
  <c r="V89" i="48" a="1"/>
  <c r="V89" i="48" s="1"/>
  <c r="V279" i="48" a="1"/>
  <c r="V279" i="48" s="1"/>
  <c r="W276" i="48"/>
  <c r="Y272" i="48" a="1"/>
  <c r="Y272" i="48" s="1"/>
  <c r="V84" i="48" a="1"/>
  <c r="V84" i="48" s="1"/>
  <c r="W266" i="48"/>
  <c r="V261" i="48" a="1"/>
  <c r="V261" i="48" s="1"/>
  <c r="X82" i="48" a="1"/>
  <c r="X82" i="48" s="1"/>
  <c r="V256" i="48" a="1"/>
  <c r="V256" i="48" s="1"/>
  <c r="X252" i="48" a="1"/>
  <c r="X252" i="48" s="1"/>
  <c r="Y79" i="48" a="1"/>
  <c r="Y79" i="48" s="1"/>
  <c r="W246" i="48"/>
  <c r="W242" i="48"/>
  <c r="V241" i="48" a="1"/>
  <c r="V241" i="48" s="1"/>
  <c r="X237" i="48" a="1"/>
  <c r="X237" i="48" s="1"/>
  <c r="V235" i="48" a="1"/>
  <c r="V235" i="48" s="1"/>
  <c r="X232" i="48" a="1"/>
  <c r="X232" i="48" s="1"/>
  <c r="V230" i="48" a="1"/>
  <c r="V230" i="48" s="1"/>
  <c r="X67" i="48" a="1"/>
  <c r="X67" i="48" s="1"/>
  <c r="V65" i="48" a="1"/>
  <c r="V65" i="48" s="1"/>
  <c r="W218" i="48"/>
  <c r="W61" i="48"/>
  <c r="W215" i="48"/>
  <c r="Y212" i="48" a="1"/>
  <c r="Y212" i="48" s="1"/>
  <c r="W210" i="48"/>
  <c r="Y209" i="48" a="1"/>
  <c r="Y209" i="48" s="1"/>
  <c r="V57" i="48" a="1"/>
  <c r="V57" i="48" s="1"/>
  <c r="W208" i="48"/>
  <c r="Y206" i="48" a="1"/>
  <c r="Y206" i="48" s="1"/>
  <c r="V204" i="48" a="1"/>
  <c r="V204" i="48" s="1"/>
  <c r="W202" i="48"/>
  <c r="Y199" i="48" a="1"/>
  <c r="Y199" i="48" s="1"/>
  <c r="Y196" i="48" a="1"/>
  <c r="Y196" i="48" s="1"/>
  <c r="W70" i="48"/>
  <c r="X193" i="48" a="1"/>
  <c r="X193" i="48" s="1"/>
  <c r="V120" i="48" a="1"/>
  <c r="V120" i="48" s="1"/>
  <c r="X188" i="48" a="1"/>
  <c r="X188" i="48" s="1"/>
  <c r="V180" i="48" a="1"/>
  <c r="V180" i="48" s="1"/>
  <c r="Y177" i="48" a="1"/>
  <c r="Y177" i="48" s="1"/>
  <c r="V175" i="48" a="1"/>
  <c r="V175" i="48" s="1"/>
  <c r="X173" i="48" a="1"/>
  <c r="X173" i="48" s="1"/>
  <c r="W171" i="48"/>
  <c r="V170" i="48" a="1"/>
  <c r="V170" i="48" s="1"/>
  <c r="X165" i="48" a="1"/>
  <c r="X165" i="48" s="1"/>
  <c r="X162" i="48" a="1"/>
  <c r="X162" i="48" s="1"/>
  <c r="V22" i="48" a="1"/>
  <c r="V22" i="48" s="1"/>
  <c r="V152" i="48" a="1"/>
  <c r="V152" i="48" s="1"/>
  <c r="W143" i="48"/>
  <c r="Y141" i="48" a="1"/>
  <c r="Y141" i="48" s="1"/>
  <c r="W13" i="48"/>
  <c r="X10" i="48" a="1"/>
  <c r="X10" i="48" s="1"/>
  <c r="V9" i="48" a="1"/>
  <c r="V9" i="48" s="1"/>
  <c r="V8" i="48" a="1"/>
  <c r="V8" i="48" s="1"/>
  <c r="Y5" i="48" a="1"/>
  <c r="Y5" i="48" s="1"/>
  <c r="W130" i="48"/>
  <c r="X285" i="48" a="1"/>
  <c r="X285" i="48" s="1"/>
  <c r="X261" i="48" a="1"/>
  <c r="X261" i="48" s="1"/>
  <c r="W399" i="48"/>
  <c r="X384" i="48" a="1"/>
  <c r="X384" i="48" s="1"/>
  <c r="Y369" i="48" a="1"/>
  <c r="Y369" i="48" s="1"/>
  <c r="W368" i="48"/>
  <c r="V345" i="48" a="1"/>
  <c r="V345" i="48" s="1"/>
  <c r="V336" i="48" a="1"/>
  <c r="V336" i="48" s="1"/>
  <c r="X329" i="48" a="1"/>
  <c r="X329" i="48" s="1"/>
  <c r="W326" i="48"/>
  <c r="Y310" i="48" a="1"/>
  <c r="Y310" i="48" s="1"/>
  <c r="Y252" i="48" a="1"/>
  <c r="Y252" i="48" s="1"/>
  <c r="V215" i="48" a="1"/>
  <c r="V215" i="48" s="1"/>
  <c r="W201" i="48"/>
  <c r="Y186" i="48" a="1"/>
  <c r="Y186" i="48" s="1"/>
  <c r="X180" i="48" a="1"/>
  <c r="X180" i="48" s="1"/>
  <c r="Y148" i="48" a="1"/>
  <c r="Y148" i="48" s="1"/>
  <c r="V138" i="48" a="1"/>
  <c r="V138" i="48" s="1"/>
  <c r="W135" i="48"/>
  <c r="Y115" i="48" a="1"/>
  <c r="Y115" i="48" s="1"/>
  <c r="X12" i="48" a="1"/>
  <c r="X12" i="48" s="1"/>
  <c r="W359" i="48"/>
  <c r="W322" i="48"/>
  <c r="V4" i="48" a="1"/>
  <c r="V4" i="48" s="1"/>
  <c r="W384" i="48"/>
  <c r="X369" i="48" a="1"/>
  <c r="X369" i="48" s="1"/>
  <c r="V368" i="48" a="1"/>
  <c r="V368" i="48" s="1"/>
  <c r="X186" i="48" a="1"/>
  <c r="X186" i="48" s="1"/>
  <c r="X148" i="48" a="1"/>
  <c r="X148" i="48" s="1"/>
  <c r="Y130" i="48" a="1"/>
  <c r="Y130" i="48" s="1"/>
  <c r="X115" i="48" a="1"/>
  <c r="X115" i="48" s="1"/>
  <c r="X74" i="48" a="1"/>
  <c r="X74" i="48" s="1"/>
  <c r="Y42" i="48" a="1"/>
  <c r="Y42" i="48" s="1"/>
  <c r="W12" i="48"/>
  <c r="W10" i="48"/>
  <c r="W6" i="48"/>
  <c r="V376" i="48" a="1"/>
  <c r="V376" i="48" s="1"/>
  <c r="W342" i="48"/>
  <c r="X400" i="48" a="1"/>
  <c r="X400" i="48" s="1"/>
  <c r="W392" i="48"/>
  <c r="Y381" i="48" a="1"/>
  <c r="Y381" i="48" s="1"/>
  <c r="Y370" i="48" a="1"/>
  <c r="Y370" i="48" s="1"/>
  <c r="W369" i="48"/>
  <c r="V357" i="48" a="1"/>
  <c r="V357" i="48" s="1"/>
  <c r="Y338" i="48" a="1"/>
  <c r="Y338" i="48" s="1"/>
  <c r="Y330" i="48" a="1"/>
  <c r="Y330" i="48" s="1"/>
  <c r="X313" i="48" a="1"/>
  <c r="X313" i="48" s="1"/>
  <c r="Y304" i="48" a="1"/>
  <c r="Y304" i="48" s="1"/>
  <c r="Y299" i="48" a="1"/>
  <c r="Y299" i="48" s="1"/>
  <c r="Y288" i="48" a="1"/>
  <c r="Y288" i="48" s="1"/>
  <c r="V202" i="48" a="1"/>
  <c r="V202" i="48" s="1"/>
  <c r="W186" i="48"/>
  <c r="V148" i="48" a="1"/>
  <c r="V148" i="48" s="1"/>
  <c r="X130" i="48" a="1"/>
  <c r="X130" i="48" s="1"/>
  <c r="W120" i="48"/>
  <c r="X70" i="48" a="1"/>
  <c r="X70" i="48" s="1"/>
  <c r="Y43" i="48" a="1"/>
  <c r="Y43" i="48" s="1"/>
  <c r="Y368" i="48" a="1"/>
  <c r="Y368" i="48" s="1"/>
  <c r="X345" i="48" a="1"/>
  <c r="X345" i="48" s="1"/>
  <c r="X386" i="48" a="1"/>
  <c r="X386" i="48" s="1"/>
  <c r="X370" i="48" a="1"/>
  <c r="X370" i="48" s="1"/>
  <c r="Y347" i="48" a="1"/>
  <c r="Y347" i="48" s="1"/>
  <c r="X338" i="48" a="1"/>
  <c r="X338" i="48" s="1"/>
  <c r="X330" i="48" a="1"/>
  <c r="X330" i="48" s="1"/>
  <c r="Y321" i="48" a="1"/>
  <c r="Y321" i="48" s="1"/>
  <c r="W313" i="48"/>
  <c r="X304" i="48" a="1"/>
  <c r="X304" i="48" s="1"/>
  <c r="V301" i="48" a="1"/>
  <c r="V301" i="48" s="1"/>
  <c r="X288" i="48" a="1"/>
  <c r="X288" i="48" s="1"/>
  <c r="Y284" i="48" a="1"/>
  <c r="Y284" i="48" s="1"/>
  <c r="Y263" i="48" a="1"/>
  <c r="Y263" i="48" s="1"/>
  <c r="Y260" i="48" a="1"/>
  <c r="Y260" i="48" s="1"/>
  <c r="V250" i="48" a="1"/>
  <c r="V250" i="48" s="1"/>
  <c r="W227" i="48"/>
  <c r="X218" i="48" a="1"/>
  <c r="X218" i="48" s="1"/>
  <c r="X43" i="48" a="1"/>
  <c r="X43" i="48" s="1"/>
  <c r="Y15" i="48" a="1"/>
  <c r="Y15" i="48" s="1"/>
  <c r="X349" i="48" a="1"/>
  <c r="X349" i="48" s="1"/>
  <c r="X280" i="48" a="1"/>
  <c r="X280" i="48" s="1"/>
  <c r="V275" i="48" a="1"/>
  <c r="V275" i="48" s="1"/>
  <c r="V243" i="48" a="1"/>
  <c r="V243" i="48" s="1"/>
  <c r="X387" i="48" a="1"/>
  <c r="X387" i="48" s="1"/>
  <c r="X212" i="48" a="1"/>
  <c r="X212" i="48" s="1"/>
  <c r="W386" i="48"/>
  <c r="V370" i="48" a="1"/>
  <c r="V370" i="48" s="1"/>
  <c r="Y355" i="48" a="1"/>
  <c r="Y355" i="48" s="1"/>
  <c r="W335" i="48"/>
  <c r="W311" i="48"/>
  <c r="W288" i="48"/>
  <c r="X260" i="48" a="1"/>
  <c r="X260" i="48" s="1"/>
  <c r="X224" i="48" a="1"/>
  <c r="X224" i="48" s="1"/>
  <c r="V218" i="48" a="1"/>
  <c r="V218" i="48" s="1"/>
  <c r="Y214" i="48" a="1"/>
  <c r="Y214" i="48" s="1"/>
  <c r="Y159" i="48" a="1"/>
  <c r="Y159" i="48" s="1"/>
  <c r="W146" i="48"/>
  <c r="Y131" i="48" a="1"/>
  <c r="Y131" i="48" s="1"/>
  <c r="Y87" i="48" a="1"/>
  <c r="Y87" i="48" s="1"/>
  <c r="W43" i="48"/>
  <c r="X13" i="48" a="1"/>
  <c r="X13" i="48" s="1"/>
  <c r="Y336" i="48" a="1"/>
  <c r="Y336" i="48" s="1"/>
  <c r="V264" i="48" a="1"/>
  <c r="V264" i="48" s="1"/>
  <c r="Y348" i="48" a="1"/>
  <c r="Y348" i="48" s="1"/>
  <c r="Y344" i="48" a="1"/>
  <c r="Y344" i="48" s="1"/>
  <c r="X321" i="48" a="1"/>
  <c r="X321" i="48" s="1"/>
  <c r="W344" i="48"/>
  <c r="Y305" i="48" a="1"/>
  <c r="Y305" i="48" s="1"/>
  <c r="Y264" i="48" a="1"/>
  <c r="Y264" i="48" s="1"/>
  <c r="Y237" i="48" a="1"/>
  <c r="Y237" i="48" s="1"/>
  <c r="X322" i="48" a="1"/>
  <c r="X322" i="48" s="1"/>
  <c r="X311" i="48" a="1"/>
  <c r="X311" i="48" s="1"/>
  <c r="X303" i="48" a="1"/>
  <c r="X303" i="48" s="1"/>
  <c r="V285" i="48" a="1"/>
  <c r="V285" i="48" s="1"/>
  <c r="W250" i="48"/>
  <c r="Y135" i="48" a="1"/>
  <c r="Y135" i="48" s="1"/>
  <c r="Y123" i="48" a="1"/>
  <c r="Y123" i="48" s="1"/>
  <c r="Y106" i="48" a="1"/>
  <c r="Y106" i="48" s="1"/>
  <c r="W400" i="48"/>
  <c r="Y395" i="48" a="1"/>
  <c r="Y395" i="48" s="1"/>
  <c r="X372" i="48" a="1"/>
  <c r="X372" i="48" s="1"/>
  <c r="Y340" i="48" a="1"/>
  <c r="Y340" i="48" s="1"/>
  <c r="X336" i="48" a="1"/>
  <c r="X336" i="48" s="1"/>
  <c r="V311" i="48" a="1"/>
  <c r="V311" i="48" s="1"/>
  <c r="Y292" i="48" a="1"/>
  <c r="Y292" i="48" s="1"/>
  <c r="X283" i="48" a="1"/>
  <c r="X283" i="48" s="1"/>
  <c r="X269" i="48" a="1"/>
  <c r="X269" i="48" s="1"/>
  <c r="X266" i="48" a="1"/>
  <c r="X266" i="48" s="1"/>
  <c r="X242" i="48" a="1"/>
  <c r="X242" i="48" s="1"/>
  <c r="X230" i="48" a="1"/>
  <c r="X230" i="48" s="1"/>
  <c r="Y227" i="48" a="1"/>
  <c r="Y227" i="48" s="1"/>
  <c r="Y215" i="48" a="1"/>
  <c r="Y215" i="48" s="1"/>
  <c r="X202" i="48" a="1"/>
  <c r="X202" i="48" s="1"/>
  <c r="V135" i="48" a="1"/>
  <c r="V135" i="48" s="1"/>
  <c r="X123" i="48" a="1"/>
  <c r="X123" i="48" s="1"/>
  <c r="W106" i="48"/>
  <c r="X42" i="48" a="1"/>
  <c r="X42" i="48" s="1"/>
  <c r="Y9" i="48" a="1"/>
  <c r="Y9" i="48" s="1"/>
  <c r="V6" i="48" a="1"/>
  <c r="V6" i="48" s="1"/>
  <c r="Y387" i="48" a="1"/>
  <c r="Y387" i="48" s="1"/>
  <c r="Y345" i="48" a="1"/>
  <c r="Y345" i="48" s="1"/>
  <c r="V269" i="48" a="1"/>
  <c r="V269" i="48" s="1"/>
  <c r="X227" i="48" a="1"/>
  <c r="X227" i="48" s="1"/>
  <c r="Y82" i="48" a="1"/>
  <c r="Y82" i="48" s="1"/>
  <c r="V42" i="48" a="1"/>
  <c r="V42" i="48" s="1"/>
  <c r="X89" i="48" a="1"/>
  <c r="X89" i="48" s="1"/>
  <c r="W387" i="48"/>
  <c r="X301" i="48" a="1"/>
  <c r="X301" i="48" s="1"/>
  <c r="Y111" i="48" a="1"/>
  <c r="Y111" i="48" s="1"/>
  <c r="W379" i="48"/>
  <c r="X246" i="48" a="1"/>
  <c r="X246" i="48" s="1"/>
  <c r="Y72" i="48" a="1"/>
  <c r="Y72" i="48" s="1"/>
  <c r="X108" i="48" a="1"/>
  <c r="X108" i="48" s="1"/>
  <c r="X272" i="48" a="1"/>
  <c r="X272" i="48" s="1"/>
  <c r="X78" i="48" a="1"/>
  <c r="X78" i="48" s="1"/>
  <c r="Y198" i="48" a="1"/>
  <c r="Y198" i="48" s="1"/>
  <c r="X259" i="48" a="1"/>
  <c r="X259" i="48" s="1"/>
  <c r="Y74" i="48" a="1"/>
  <c r="Y74" i="48" s="1"/>
  <c r="Y71" i="48" a="1"/>
  <c r="Y71" i="48" s="1"/>
  <c r="V55" i="48" a="1"/>
  <c r="V55" i="48" s="1"/>
  <c r="V52" i="48" a="1"/>
  <c r="V52" i="48" s="1"/>
  <c r="W188" i="48"/>
  <c r="Y110" i="48" a="1"/>
  <c r="Y110" i="48" s="1"/>
  <c r="X335" i="48" a="1"/>
  <c r="X335" i="48" s="1"/>
  <c r="X328" i="48" a="1"/>
  <c r="X328" i="48" s="1"/>
  <c r="W304" i="48"/>
  <c r="V236" i="48" a="1"/>
  <c r="V236" i="48" s="1"/>
  <c r="X211" i="48" a="1"/>
  <c r="X211" i="48" s="1"/>
  <c r="X195" i="48" a="1"/>
  <c r="X195" i="48" s="1"/>
  <c r="V33" i="48" a="1"/>
  <c r="V33" i="48" s="1"/>
  <c r="V20" i="48" a="1"/>
  <c r="V20" i="48" s="1"/>
  <c r="W114" i="48"/>
  <c r="V339" i="48" a="1"/>
  <c r="V339" i="48" s="1"/>
  <c r="V323" i="48" a="1"/>
  <c r="V323" i="48" s="1"/>
  <c r="W86" i="48"/>
  <c r="Y255" i="48" a="1"/>
  <c r="Y255" i="48" s="1"/>
  <c r="X251" i="48" a="1"/>
  <c r="X251" i="48" s="1"/>
  <c r="X248" i="48" a="1"/>
  <c r="X248" i="48" s="1"/>
  <c r="X79" i="48" a="1"/>
  <c r="X79" i="48" s="1"/>
  <c r="V68" i="48" a="1"/>
  <c r="V68" i="48" s="1"/>
  <c r="Y66" i="48" a="1"/>
  <c r="Y66" i="48" s="1"/>
  <c r="Y217" i="48" a="1"/>
  <c r="Y217" i="48" s="1"/>
  <c r="X59" i="48" a="1"/>
  <c r="X59" i="48" s="1"/>
  <c r="X51" i="48" a="1"/>
  <c r="X51" i="48" s="1"/>
  <c r="Y49" i="48" a="1"/>
  <c r="Y49" i="48" s="1"/>
  <c r="V70" i="48" a="1"/>
  <c r="V70" i="48" s="1"/>
  <c r="Y164" i="48" a="1"/>
  <c r="Y164" i="48" s="1"/>
  <c r="X121" i="48" a="1"/>
  <c r="X121" i="48" s="1"/>
  <c r="W113" i="48"/>
  <c r="X314" i="48" a="1"/>
  <c r="X314" i="48" s="1"/>
  <c r="V313" i="48" a="1"/>
  <c r="V313" i="48" s="1"/>
  <c r="W310" i="48"/>
  <c r="X305" i="48" a="1"/>
  <c r="X305" i="48" s="1"/>
  <c r="Y93" i="48" a="1"/>
  <c r="Y93" i="48" s="1"/>
  <c r="Y276" i="48" a="1"/>
  <c r="Y276" i="48" s="1"/>
  <c r="X65" i="48" a="1"/>
  <c r="X65" i="48" s="1"/>
  <c r="X24" i="48" a="1"/>
  <c r="X24" i="48" s="1"/>
  <c r="W149" i="48"/>
  <c r="Y149" i="48" a="1"/>
  <c r="Y149" i="48" s="1"/>
  <c r="W131" i="48"/>
  <c r="X131" i="48" a="1"/>
  <c r="X131" i="48" s="1"/>
  <c r="V130" i="48" a="1"/>
  <c r="V130" i="48" s="1"/>
  <c r="W91" i="48"/>
  <c r="W55" i="48"/>
  <c r="V34" i="48" a="1"/>
  <c r="V34" i="48" s="1"/>
  <c r="Y268" i="48" a="1"/>
  <c r="Y268" i="48" s="1"/>
  <c r="W81" i="48"/>
  <c r="W175" i="48"/>
  <c r="W152" i="48"/>
  <c r="Y107" i="48" a="1"/>
  <c r="Y107" i="48" s="1"/>
  <c r="V107" i="48" a="1"/>
  <c r="V107" i="48" s="1"/>
  <c r="W300" i="48"/>
  <c r="Y296" i="48" a="1"/>
  <c r="Y296" i="48" s="1"/>
  <c r="V61" i="48" a="1"/>
  <c r="V61" i="48" s="1"/>
  <c r="Y27" i="48" a="1"/>
  <c r="Y27" i="48" s="1"/>
  <c r="X27" i="48" a="1"/>
  <c r="X27" i="48" s="1"/>
  <c r="X156" i="48" a="1"/>
  <c r="X156" i="48" s="1"/>
  <c r="Y156" i="48" a="1"/>
  <c r="Y156" i="48" s="1"/>
  <c r="W16" i="48"/>
  <c r="X16" i="48" a="1"/>
  <c r="X16" i="48" s="1"/>
  <c r="X21" i="48" a="1"/>
  <c r="X21" i="48" s="1"/>
  <c r="X40" i="48" a="1"/>
  <c r="X40" i="48" s="1"/>
  <c r="X397" i="48" a="1"/>
  <c r="X397" i="48" s="1"/>
  <c r="W391" i="48"/>
  <c r="Y383" i="48" a="1"/>
  <c r="Y383" i="48" s="1"/>
  <c r="W376" i="48"/>
  <c r="Y372" i="48" a="1"/>
  <c r="Y372" i="48" s="1"/>
  <c r="Y361" i="48" a="1"/>
  <c r="Y361" i="48" s="1"/>
  <c r="V355" i="48" a="1"/>
  <c r="V355" i="48" s="1"/>
  <c r="V349" i="48" a="1"/>
  <c r="V349" i="48" s="1"/>
  <c r="V343" i="48" a="1"/>
  <c r="V343" i="48" s="1"/>
  <c r="Y335" i="48" a="1"/>
  <c r="Y335" i="48" s="1"/>
  <c r="W334" i="48"/>
  <c r="Y331" i="48" a="1"/>
  <c r="Y331" i="48" s="1"/>
  <c r="W330" i="48"/>
  <c r="X326" i="48" a="1"/>
  <c r="X326" i="48" s="1"/>
  <c r="X403" i="48" a="1"/>
  <c r="X403" i="48" s="1"/>
  <c r="W54" i="48"/>
  <c r="Y51" i="48" a="1"/>
  <c r="Y51" i="48" s="1"/>
  <c r="W36" i="48"/>
  <c r="Y33" i="48" a="1"/>
  <c r="Y33" i="48" s="1"/>
  <c r="V390" i="48" a="1"/>
  <c r="V390" i="48" s="1"/>
  <c r="Y386" i="48" a="1"/>
  <c r="Y386" i="48" s="1"/>
  <c r="X367" i="48" a="1"/>
  <c r="X367" i="48" s="1"/>
  <c r="W356" i="48"/>
  <c r="V115" i="48" a="1"/>
  <c r="V115" i="48" s="1"/>
  <c r="X351" i="48" a="1"/>
  <c r="X351" i="48" s="1"/>
  <c r="V338" i="48" a="1"/>
  <c r="V338" i="48" s="1"/>
  <c r="V333" i="48" a="1"/>
  <c r="V333" i="48" s="1"/>
  <c r="Y329" i="48" a="1"/>
  <c r="Y329" i="48" s="1"/>
  <c r="V317" i="48" a="1"/>
  <c r="V317" i="48" s="1"/>
  <c r="V296" i="48" a="1"/>
  <c r="V296" i="48" s="1"/>
  <c r="V284" i="48" a="1"/>
  <c r="V284" i="48" s="1"/>
  <c r="X274" i="48" a="1"/>
  <c r="X274" i="48" s="1"/>
  <c r="V272" i="48" a="1"/>
  <c r="V272" i="48" s="1"/>
  <c r="W268" i="48"/>
  <c r="W263" i="48"/>
  <c r="X254" i="48" a="1"/>
  <c r="X254" i="48" s="1"/>
  <c r="V74" i="48" a="1"/>
  <c r="V74" i="48" s="1"/>
  <c r="W235" i="48"/>
  <c r="X69" i="48" a="1"/>
  <c r="X69" i="48" s="1"/>
  <c r="X220" i="48" a="1"/>
  <c r="X220" i="48" s="1"/>
  <c r="W216" i="48"/>
  <c r="X210" i="48" a="1"/>
  <c r="X210" i="48" s="1"/>
  <c r="V209" i="48" a="1"/>
  <c r="V209" i="48" s="1"/>
  <c r="Y204" i="48" a="1"/>
  <c r="Y204" i="48" s="1"/>
  <c r="X194" i="48" a="1"/>
  <c r="X194" i="48" s="1"/>
  <c r="V188" i="48" a="1"/>
  <c r="V188" i="48" s="1"/>
  <c r="W184" i="48"/>
  <c r="Y175" i="48" a="1"/>
  <c r="Y175" i="48" s="1"/>
  <c r="Y29" i="48" a="1"/>
  <c r="Y29" i="48" s="1"/>
  <c r="V171" i="48" a="1"/>
  <c r="V171" i="48" s="1"/>
  <c r="W168" i="48"/>
  <c r="W22" i="48"/>
  <c r="Y154" i="48" a="1"/>
  <c r="Y154" i="48" s="1"/>
  <c r="W19" i="48"/>
  <c r="V134" i="48" a="1"/>
  <c r="V134" i="48" s="1"/>
  <c r="Y59" i="48" a="1"/>
  <c r="Y59" i="48" s="1"/>
  <c r="X57" i="48" a="1"/>
  <c r="X57" i="48" s="1"/>
  <c r="Y23" i="48" a="1"/>
  <c r="Y23" i="48" s="1"/>
  <c r="W395" i="48"/>
  <c r="V121" i="48" a="1"/>
  <c r="V121" i="48" s="1"/>
  <c r="V110" i="48" a="1"/>
  <c r="V110" i="48" s="1"/>
  <c r="V327" i="48" a="1"/>
  <c r="V327" i="48" s="1"/>
  <c r="X312" i="48" a="1"/>
  <c r="X312" i="48" s="1"/>
  <c r="V102" i="48" a="1"/>
  <c r="V102" i="48" s="1"/>
  <c r="W93" i="48"/>
  <c r="W279" i="48"/>
  <c r="W85" i="48"/>
  <c r="V82" i="48" a="1"/>
  <c r="V82" i="48" s="1"/>
  <c r="V252" i="48" a="1"/>
  <c r="V252" i="48" s="1"/>
  <c r="W249" i="48"/>
  <c r="Y75" i="48" a="1"/>
  <c r="Y75" i="48" s="1"/>
  <c r="Y241" i="48" a="1"/>
  <c r="Y241" i="48" s="1"/>
  <c r="X236" i="48" a="1"/>
  <c r="X236" i="48" s="1"/>
  <c r="V231" i="48" a="1"/>
  <c r="V231" i="48" s="1"/>
  <c r="V66" i="48" a="1"/>
  <c r="V66" i="48" s="1"/>
  <c r="V223" i="48" a="1"/>
  <c r="V223" i="48" s="1"/>
  <c r="V58" i="48" a="1"/>
  <c r="V58" i="48" s="1"/>
  <c r="W207" i="48"/>
  <c r="W203" i="48"/>
  <c r="V193" i="48" a="1"/>
  <c r="V193" i="48" s="1"/>
  <c r="Y24" i="48" a="1"/>
  <c r="Y24" i="48" s="1"/>
  <c r="X86" i="48" a="1"/>
  <c r="X86" i="48" s="1"/>
  <c r="Y403" i="48" a="1"/>
  <c r="Y403" i="48" s="1"/>
  <c r="W129" i="48"/>
  <c r="X317" i="48" a="1"/>
  <c r="X317" i="48" s="1"/>
  <c r="Y312" i="48" a="1"/>
  <c r="Y312" i="48" s="1"/>
  <c r="W296" i="48"/>
  <c r="W284" i="48"/>
  <c r="X279" i="48" a="1"/>
  <c r="X279" i="48" s="1"/>
  <c r="Y274" i="48" a="1"/>
  <c r="Y274" i="48" s="1"/>
  <c r="X263" i="48" a="1"/>
  <c r="X263" i="48" s="1"/>
  <c r="Y254" i="48" a="1"/>
  <c r="Y254" i="48" s="1"/>
  <c r="Y249" i="48" a="1"/>
  <c r="Y249" i="48" s="1"/>
  <c r="Y236" i="48" a="1"/>
  <c r="Y236" i="48" s="1"/>
  <c r="X235" i="48" a="1"/>
  <c r="X235" i="48" s="1"/>
  <c r="W231" i="48"/>
  <c r="W223" i="48"/>
  <c r="Y220" i="48" a="1"/>
  <c r="Y220" i="48" s="1"/>
  <c r="W209" i="48"/>
  <c r="X203" i="48" a="1"/>
  <c r="X203" i="48" s="1"/>
  <c r="Y194" i="48" a="1"/>
  <c r="Y194" i="48" s="1"/>
  <c r="W193" i="48"/>
  <c r="X138" i="48" a="1"/>
  <c r="X138" i="48" s="1"/>
  <c r="X134" i="48" a="1"/>
  <c r="X134" i="48" s="1"/>
  <c r="X129" i="48" a="1"/>
  <c r="X129" i="48" s="1"/>
  <c r="W121" i="48"/>
  <c r="X110" i="48" a="1"/>
  <c r="X110" i="48" s="1"/>
  <c r="W102" i="48"/>
  <c r="X93" i="48" a="1"/>
  <c r="X93" i="48" s="1"/>
  <c r="X85" i="48" a="1"/>
  <c r="X85" i="48" s="1"/>
  <c r="Y69" i="48" a="1"/>
  <c r="Y69" i="48" s="1"/>
  <c r="Y58" i="48" a="1"/>
  <c r="Y58" i="48" s="1"/>
  <c r="X19" i="48" a="1"/>
  <c r="X19" i="48" s="1"/>
  <c r="X75" i="48" a="1"/>
  <c r="X75" i="48" s="1"/>
  <c r="W58" i="48"/>
  <c r="V109" i="48" a="1"/>
  <c r="V109" i="48" s="1"/>
  <c r="V86" i="48" a="1"/>
  <c r="V86" i="48" s="1"/>
  <c r="V255" i="48" a="1"/>
  <c r="V255" i="48" s="1"/>
  <c r="V247" i="48" a="1"/>
  <c r="V247" i="48" s="1"/>
  <c r="V221" i="48" a="1"/>
  <c r="V221" i="48" s="1"/>
  <c r="X217" i="48" a="1"/>
  <c r="X217" i="48" s="1"/>
  <c r="V211" i="48" a="1"/>
  <c r="V211" i="48" s="1"/>
  <c r="V205" i="48" a="1"/>
  <c r="V205" i="48" s="1"/>
  <c r="Y54" i="48" a="1"/>
  <c r="Y54" i="48" s="1"/>
  <c r="X53" i="48" a="1"/>
  <c r="X53" i="48" s="1"/>
  <c r="V51" i="48" a="1"/>
  <c r="V51" i="48" s="1"/>
  <c r="V195" i="48" a="1"/>
  <c r="V195" i="48" s="1"/>
  <c r="X36" i="48" a="1"/>
  <c r="X36" i="48" s="1"/>
  <c r="W155" i="48"/>
  <c r="W142" i="48"/>
  <c r="X139" i="48" a="1"/>
  <c r="X139" i="48" s="1"/>
  <c r="Y136" i="48" a="1"/>
  <c r="Y136" i="48" s="1"/>
  <c r="V403" i="48" a="1"/>
  <c r="V403" i="48" s="1"/>
  <c r="Y129" i="48" a="1"/>
  <c r="Y129" i="48" s="1"/>
  <c r="Y400" i="48" a="1"/>
  <c r="Y400" i="48" s="1"/>
  <c r="V395" i="48" a="1"/>
  <c r="V395" i="48" s="1"/>
  <c r="Y392" i="48" a="1"/>
  <c r="Y392" i="48" s="1"/>
  <c r="W390" i="48"/>
  <c r="Y384" i="48" a="1"/>
  <c r="Y384" i="48" s="1"/>
  <c r="V381" i="48" a="1"/>
  <c r="V381" i="48" s="1"/>
  <c r="V379" i="48" a="1"/>
  <c r="V379" i="48" s="1"/>
  <c r="Y376" i="48" a="1"/>
  <c r="Y376" i="48" s="1"/>
  <c r="W372" i="48"/>
  <c r="Y121" i="48" a="1"/>
  <c r="Y121" i="48" s="1"/>
  <c r="W365" i="48"/>
  <c r="W363" i="48"/>
  <c r="Y359" i="48" a="1"/>
  <c r="Y359" i="48" s="1"/>
  <c r="W357" i="48"/>
  <c r="W355" i="48"/>
  <c r="Y114" i="48" a="1"/>
  <c r="Y114" i="48" s="1"/>
  <c r="X113" i="48" a="1"/>
  <c r="X113" i="48" s="1"/>
  <c r="Y351" i="48" a="1"/>
  <c r="Y351" i="48" s="1"/>
  <c r="V112" i="48" a="1"/>
  <c r="V112" i="48" s="1"/>
  <c r="W347" i="48"/>
  <c r="X342" i="48" a="1"/>
  <c r="X342" i="48" s="1"/>
  <c r="V340" i="48" a="1"/>
  <c r="V340" i="48" s="1"/>
  <c r="W339" i="48"/>
  <c r="W87" i="48"/>
  <c r="V80" i="48" a="1"/>
  <c r="V80" i="48" s="1"/>
  <c r="W214" i="48"/>
  <c r="W198" i="48"/>
  <c r="X191" i="48" a="1"/>
  <c r="X191" i="48" s="1"/>
  <c r="V181" i="48" a="1"/>
  <c r="V181" i="48" s="1"/>
  <c r="W158" i="48"/>
  <c r="Y19" i="48" a="1"/>
  <c r="Y19" i="48" s="1"/>
  <c r="Y96" i="48" a="1"/>
  <c r="Y96" i="48" s="1"/>
  <c r="V239" i="48" a="1"/>
  <c r="V239" i="48" s="1"/>
  <c r="V71" i="48" a="1"/>
  <c r="V71" i="48" s="1"/>
  <c r="Y234" i="48" a="1"/>
  <c r="Y234" i="48" s="1"/>
  <c r="Y224" i="48" a="1"/>
  <c r="Y224" i="48" s="1"/>
  <c r="V46" i="48" a="1"/>
  <c r="V46" i="48" s="1"/>
  <c r="X179" i="48" a="1"/>
  <c r="X179" i="48" s="1"/>
  <c r="Y176" i="48" a="1"/>
  <c r="Y176" i="48" s="1"/>
  <c r="W33" i="48"/>
  <c r="X161" i="48" a="1"/>
  <c r="X161" i="48" s="1"/>
  <c r="W20" i="48"/>
  <c r="Y140" i="48" a="1"/>
  <c r="Y140" i="48" s="1"/>
  <c r="Y12" i="48" a="1"/>
  <c r="Y12" i="48" s="1"/>
  <c r="V137" i="48" a="1"/>
  <c r="V137" i="48" s="1"/>
  <c r="V132" i="48" a="1"/>
  <c r="V132" i="48" s="1"/>
  <c r="X102" i="48" a="1"/>
  <c r="X102" i="48" s="1"/>
  <c r="X249" i="48" a="1"/>
  <c r="X249" i="48" s="1"/>
  <c r="X231" i="48" a="1"/>
  <c r="X231" i="48" s="1"/>
  <c r="X58" i="48" a="1"/>
  <c r="X58" i="48" s="1"/>
  <c r="X334" i="48" a="1"/>
  <c r="X334" i="48" s="1"/>
  <c r="W333" i="48"/>
  <c r="W331" i="48"/>
  <c r="Y327" i="48" a="1"/>
  <c r="Y327" i="48" s="1"/>
  <c r="X106" i="48" a="1"/>
  <c r="X106" i="48" s="1"/>
  <c r="W325" i="48"/>
  <c r="W317" i="48"/>
  <c r="V314" i="48" a="1"/>
  <c r="V314" i="48" s="1"/>
  <c r="X310" i="48" a="1"/>
  <c r="X310" i="48" s="1"/>
  <c r="W309" i="48"/>
  <c r="Y303" i="48" a="1"/>
  <c r="Y303" i="48" s="1"/>
  <c r="V300" i="48" a="1"/>
  <c r="V300" i="48" s="1"/>
  <c r="W299" i="48"/>
  <c r="V292" i="48" a="1"/>
  <c r="V292" i="48" s="1"/>
  <c r="Y92" i="48" a="1"/>
  <c r="Y92" i="48" s="1"/>
  <c r="W283" i="48"/>
  <c r="W89" i="48"/>
  <c r="W88" i="48"/>
  <c r="Y279" i="48" a="1"/>
  <c r="Y279" i="48" s="1"/>
  <c r="V276" i="48" a="1"/>
  <c r="V276" i="48" s="1"/>
  <c r="V274" i="48" a="1"/>
  <c r="V274" i="48" s="1"/>
  <c r="V268" i="48" a="1"/>
  <c r="V268" i="48" s="1"/>
  <c r="W84" i="48"/>
  <c r="V266" i="48" a="1"/>
  <c r="V266" i="48" s="1"/>
  <c r="W261" i="48"/>
  <c r="W256" i="48"/>
  <c r="W254" i="48"/>
  <c r="X81" i="48" a="1"/>
  <c r="X81" i="48" s="1"/>
  <c r="W248" i="48"/>
  <c r="V79" i="48" a="1"/>
  <c r="V79" i="48" s="1"/>
  <c r="Y246" i="48" a="1"/>
  <c r="Y246" i="48" s="1"/>
  <c r="V76" i="48" a="1"/>
  <c r="V76" i="48" s="1"/>
  <c r="Y242" i="48" a="1"/>
  <c r="Y242" i="48" s="1"/>
  <c r="V75" i="48" a="1"/>
  <c r="V75" i="48" s="1"/>
  <c r="X241" i="48" a="1"/>
  <c r="X241" i="48" s="1"/>
  <c r="W72" i="48"/>
  <c r="V237" i="48" a="1"/>
  <c r="V237" i="48" s="1"/>
  <c r="W232" i="48"/>
  <c r="Y230" i="48" a="1"/>
  <c r="Y230" i="48" s="1"/>
  <c r="W68" i="48"/>
  <c r="V67" i="48" a="1"/>
  <c r="V67" i="48" s="1"/>
  <c r="W65" i="48"/>
  <c r="W220" i="48"/>
  <c r="Y218" i="48" a="1"/>
  <c r="Y218" i="48" s="1"/>
  <c r="Y61" i="48" a="1"/>
  <c r="Y61" i="48" s="1"/>
  <c r="V60" i="48" a="1"/>
  <c r="V60" i="48" s="1"/>
  <c r="X216" i="48" a="1"/>
  <c r="X216" i="48" s="1"/>
  <c r="X215" i="48" a="1"/>
  <c r="X215" i="48" s="1"/>
  <c r="W212" i="48"/>
  <c r="Y210" i="48" a="1"/>
  <c r="Y210" i="48" s="1"/>
  <c r="X209" i="48" a="1"/>
  <c r="X209" i="48" s="1"/>
  <c r="Y57" i="48" a="1"/>
  <c r="Y57" i="48" s="1"/>
  <c r="W56" i="48"/>
  <c r="Y208" i="48" a="1"/>
  <c r="Y208" i="48" s="1"/>
  <c r="W204" i="48"/>
  <c r="V203" i="48" a="1"/>
  <c r="V203" i="48" s="1"/>
  <c r="Y202" i="48" a="1"/>
  <c r="Y202" i="48" s="1"/>
  <c r="W200" i="48"/>
  <c r="X199" i="48" a="1"/>
  <c r="X199" i="48" s="1"/>
  <c r="W49" i="48"/>
  <c r="W196" i="48"/>
  <c r="Y70" i="48" a="1"/>
  <c r="Y70" i="48" s="1"/>
  <c r="Y193" i="48" a="1"/>
  <c r="Y193" i="48" s="1"/>
  <c r="X120" i="48" a="1"/>
  <c r="X120" i="48" s="1"/>
  <c r="Y188" i="48" a="1"/>
  <c r="Y188" i="48" s="1"/>
  <c r="W182" i="48"/>
  <c r="Y180" i="48" a="1"/>
  <c r="Y180" i="48" s="1"/>
  <c r="W177" i="48"/>
  <c r="V174" i="48" a="1"/>
  <c r="V174" i="48" s="1"/>
  <c r="V29" i="48" a="1"/>
  <c r="V29" i="48" s="1"/>
  <c r="Y171" i="48" a="1"/>
  <c r="Y171" i="48" s="1"/>
  <c r="X170" i="48" a="1"/>
  <c r="X170" i="48" s="1"/>
  <c r="V168" i="48" a="1"/>
  <c r="V168" i="48" s="1"/>
  <c r="Y165" i="48" a="1"/>
  <c r="Y165" i="48" s="1"/>
  <c r="V163" i="48" a="1"/>
  <c r="V163" i="48" s="1"/>
  <c r="Y22" i="48" a="1"/>
  <c r="Y22" i="48" s="1"/>
  <c r="V154" i="48" a="1"/>
  <c r="V154" i="48" s="1"/>
  <c r="X146" i="48" a="1"/>
  <c r="X146" i="48" s="1"/>
  <c r="V15" i="48" a="1"/>
  <c r="V15" i="48" s="1"/>
  <c r="V141" i="48" a="1"/>
  <c r="V141" i="48" s="1"/>
  <c r="Y13" i="48" a="1"/>
  <c r="Y13" i="48" s="1"/>
  <c r="Y10" i="48" a="1"/>
  <c r="Y10" i="48" s="1"/>
  <c r="X9" i="48" a="1"/>
  <c r="X9" i="48" s="1"/>
  <c r="Y8" i="48" a="1"/>
  <c r="Y8" i="48" s="1"/>
  <c r="W5" i="48"/>
  <c r="C17" i="53"/>
  <c r="C19" i="53" s="1"/>
  <c r="V59" i="48" a="1"/>
  <c r="V59" i="48" s="1"/>
  <c r="Y162" i="48" a="1"/>
  <c r="Y162" i="48" s="1"/>
  <c r="V24" i="48" a="1"/>
  <c r="V24" i="48" s="1"/>
  <c r="Y390" i="48" a="1"/>
  <c r="Y390" i="48" s="1"/>
  <c r="X381" i="48" a="1"/>
  <c r="X381" i="48" s="1"/>
  <c r="Y365" i="48" a="1"/>
  <c r="Y365" i="48" s="1"/>
  <c r="Y357" i="48" a="1"/>
  <c r="Y357" i="48" s="1"/>
  <c r="X340" i="48" a="1"/>
  <c r="X340" i="48" s="1"/>
  <c r="Y333" i="48" a="1"/>
  <c r="Y333" i="48" s="1"/>
  <c r="Y325" i="48" a="1"/>
  <c r="Y325" i="48" s="1"/>
  <c r="Y317" i="48" a="1"/>
  <c r="Y317" i="48" s="1"/>
  <c r="Y309" i="48" a="1"/>
  <c r="Y309" i="48" s="1"/>
  <c r="Y301" i="48" a="1"/>
  <c r="Y301" i="48" s="1"/>
  <c r="X300" i="48" a="1"/>
  <c r="X300" i="48" s="1"/>
  <c r="X292" i="48" a="1"/>
  <c r="X292" i="48" s="1"/>
  <c r="Y285" i="48" a="1"/>
  <c r="Y285" i="48" s="1"/>
  <c r="X276" i="48" a="1"/>
  <c r="X276" i="48" s="1"/>
  <c r="Y269" i="48" a="1"/>
  <c r="Y269" i="48" s="1"/>
  <c r="X268" i="48" a="1"/>
  <c r="X268" i="48" s="1"/>
  <c r="Y261" i="48" a="1"/>
  <c r="Y261" i="48" s="1"/>
  <c r="V248" i="48" a="1"/>
  <c r="V248" i="48" s="1"/>
  <c r="V242" i="48" a="1"/>
  <c r="V242" i="48" s="1"/>
  <c r="V212" i="48" a="1"/>
  <c r="V212" i="48" s="1"/>
  <c r="X208" i="48" a="1"/>
  <c r="X208" i="48" s="1"/>
  <c r="V199" i="48" a="1"/>
  <c r="V199" i="48" s="1"/>
  <c r="X196" i="48" a="1"/>
  <c r="X196" i="48" s="1"/>
  <c r="Y182" i="48" a="1"/>
  <c r="Y182" i="48" s="1"/>
  <c r="X177" i="48" a="1"/>
  <c r="X177" i="48" s="1"/>
  <c r="X163" i="48" a="1"/>
  <c r="X163" i="48" s="1"/>
  <c r="V162" i="48" a="1"/>
  <c r="V162" i="48" s="1"/>
  <c r="W154" i="48"/>
  <c r="X141" i="48" a="1"/>
  <c r="X141" i="48" s="1"/>
  <c r="X112" i="48" a="1"/>
  <c r="X112" i="48" s="1"/>
  <c r="X88" i="48" a="1"/>
  <c r="X88" i="48" s="1"/>
  <c r="Y84" i="48" a="1"/>
  <c r="Y84" i="48" s="1"/>
  <c r="W79" i="48"/>
  <c r="Y76" i="48" a="1"/>
  <c r="Y76" i="48" s="1"/>
  <c r="W75" i="48"/>
  <c r="Y68" i="48" a="1"/>
  <c r="Y68" i="48" s="1"/>
  <c r="W67" i="48"/>
  <c r="Y60" i="48" a="1"/>
  <c r="Y60" i="48" s="1"/>
  <c r="W59" i="48"/>
  <c r="Y56" i="48" a="1"/>
  <c r="Y56" i="48" s="1"/>
  <c r="X29" i="48" a="1"/>
  <c r="X29" i="48" s="1"/>
  <c r="W24" i="48"/>
  <c r="V13" i="48" a="1"/>
  <c r="V13" i="48" s="1"/>
  <c r="V10" i="48" a="1"/>
  <c r="V10" i="48" s="1"/>
  <c r="V196" i="48" a="1"/>
  <c r="V196" i="48" s="1"/>
  <c r="X182" i="48" a="1"/>
  <c r="X182" i="48" s="1"/>
  <c r="X174" i="48" a="1"/>
  <c r="X174" i="48" s="1"/>
  <c r="Y170" i="48" a="1"/>
  <c r="Y170" i="48" s="1"/>
  <c r="W163" i="48"/>
  <c r="Y146" i="48" a="1"/>
  <c r="Y146" i="48" s="1"/>
  <c r="W141" i="48"/>
  <c r="Y120" i="48" a="1"/>
  <c r="Y120" i="48" s="1"/>
  <c r="Y113" i="48" a="1"/>
  <c r="Y113" i="48" s="1"/>
  <c r="W112" i="48"/>
  <c r="X92" i="48" a="1"/>
  <c r="X92" i="48" s="1"/>
  <c r="X84" i="48" a="1"/>
  <c r="X84" i="48" s="1"/>
  <c r="Y81" i="48" a="1"/>
  <c r="Y81" i="48" s="1"/>
  <c r="X76" i="48" a="1"/>
  <c r="X76" i="48" s="1"/>
  <c r="X68" i="48" a="1"/>
  <c r="X68" i="48" s="1"/>
  <c r="X60" i="48" a="1"/>
  <c r="X60" i="48" s="1"/>
  <c r="X56" i="48" a="1"/>
  <c r="X56" i="48" s="1"/>
  <c r="W29" i="48"/>
  <c r="V93" i="48" a="1"/>
  <c r="V93" i="48" s="1"/>
  <c r="W82" i="48"/>
  <c r="V81" i="48" a="1"/>
  <c r="V81" i="48" s="1"/>
  <c r="W76" i="48"/>
  <c r="W230" i="48"/>
  <c r="W57" i="48"/>
  <c r="V56" i="48" a="1"/>
  <c r="V56" i="48" s="1"/>
  <c r="V177" i="48" a="1"/>
  <c r="V177" i="48" s="1"/>
  <c r="X175" i="48" a="1"/>
  <c r="X175" i="48" s="1"/>
  <c r="V165" i="48" a="1"/>
  <c r="V165" i="48" s="1"/>
  <c r="Y152" i="48" a="1"/>
  <c r="Y152" i="48" s="1"/>
  <c r="Y256" i="48" a="1"/>
  <c r="Y256" i="48" s="1"/>
  <c r="X250" i="48" a="1"/>
  <c r="X250" i="48" s="1"/>
  <c r="V208" i="48" a="1"/>
  <c r="V208" i="48" s="1"/>
  <c r="V182" i="48" a="1"/>
  <c r="V182" i="48" s="1"/>
  <c r="W92" i="48"/>
  <c r="Y89" i="48" a="1"/>
  <c r="Y89" i="48" s="1"/>
  <c r="Y65" i="48" a="1"/>
  <c r="Y65" i="48" s="1"/>
  <c r="W110" i="48"/>
  <c r="X61" i="48" a="1"/>
  <c r="X61" i="48" s="1"/>
  <c r="W60" i="48"/>
  <c r="X8" i="48" a="1"/>
  <c r="X8" i="48" s="1"/>
  <c r="Y6" i="48" a="1"/>
  <c r="Y6" i="48" s="1"/>
  <c r="V5" i="48" a="1"/>
  <c r="V5" i="48" s="1"/>
  <c r="V123" i="48" a="1"/>
  <c r="V123" i="48" s="1"/>
  <c r="Y112" i="48" a="1"/>
  <c r="Y112" i="48" s="1"/>
  <c r="Y67" i="48" a="1"/>
  <c r="Y67" i="48" s="1"/>
  <c r="W15" i="48"/>
  <c r="X111" i="48" a="1"/>
  <c r="X111" i="48" s="1"/>
  <c r="W111" i="48"/>
  <c r="V88" i="48" a="1"/>
  <c r="V88" i="48" s="1"/>
  <c r="Y88" i="48" a="1"/>
  <c r="Y88" i="48" s="1"/>
  <c r="V72" i="48" a="1"/>
  <c r="V72" i="48" s="1"/>
  <c r="X72" i="48" a="1"/>
  <c r="X72" i="48" s="1"/>
  <c r="Y232" i="48" a="1"/>
  <c r="Y232" i="48" s="1"/>
  <c r="V232" i="48" a="1"/>
  <c r="V232" i="48" s="1"/>
  <c r="V229" i="48" a="1"/>
  <c r="V229" i="48" s="1"/>
  <c r="Y229" i="48" a="1"/>
  <c r="Y229" i="48" s="1"/>
  <c r="X66" i="48" a="1"/>
  <c r="X66" i="48" s="1"/>
  <c r="W66" i="48"/>
  <c r="X223" i="48" a="1"/>
  <c r="X223" i="48" s="1"/>
  <c r="Y223" i="48" a="1"/>
  <c r="Y223" i="48" s="1"/>
  <c r="W222" i="48"/>
  <c r="V222" i="48" a="1"/>
  <c r="V222" i="48" s="1"/>
  <c r="Y216" i="48" a="1"/>
  <c r="Y216" i="48" s="1"/>
  <c r="V216" i="48" a="1"/>
  <c r="V216" i="48" s="1"/>
  <c r="V213" i="48" a="1"/>
  <c r="V213" i="48" s="1"/>
  <c r="Y213" i="48" a="1"/>
  <c r="Y213" i="48" s="1"/>
  <c r="X207" i="48" a="1"/>
  <c r="X207" i="48" s="1"/>
  <c r="Y207" i="48" a="1"/>
  <c r="Y207" i="48" s="1"/>
  <c r="W206" i="48"/>
  <c r="V206" i="48" a="1"/>
  <c r="V206" i="48" s="1"/>
  <c r="Y200" i="48" a="1"/>
  <c r="Y200" i="48" s="1"/>
  <c r="V200" i="48" a="1"/>
  <c r="V200" i="48" s="1"/>
  <c r="W52" i="48"/>
  <c r="X52" i="48" a="1"/>
  <c r="X52" i="48" s="1"/>
  <c r="X49" i="48" a="1"/>
  <c r="X49" i="48" s="1"/>
  <c r="V49" i="48" a="1"/>
  <c r="V49" i="48" s="1"/>
  <c r="V197" i="48" a="1"/>
  <c r="V197" i="48" s="1"/>
  <c r="Y197" i="48" a="1"/>
  <c r="Y197" i="48" s="1"/>
  <c r="W190" i="48"/>
  <c r="X190" i="48" a="1"/>
  <c r="X190" i="48" s="1"/>
  <c r="Y184" i="48" a="1"/>
  <c r="Y184" i="48" s="1"/>
  <c r="X184" i="48" a="1"/>
  <c r="X184" i="48" s="1"/>
  <c r="X183" i="48" a="1"/>
  <c r="X183" i="48" s="1"/>
  <c r="V183" i="48" a="1"/>
  <c r="V183" i="48" s="1"/>
  <c r="W174" i="48"/>
  <c r="Y174" i="48" a="1"/>
  <c r="Y174" i="48" s="1"/>
  <c r="V32" i="48" a="1"/>
  <c r="V32" i="48" s="1"/>
  <c r="X32" i="48" a="1"/>
  <c r="X32" i="48" s="1"/>
  <c r="V173" i="48" a="1"/>
  <c r="V173" i="48" s="1"/>
  <c r="W173" i="48"/>
  <c r="Y168" i="48" a="1"/>
  <c r="Y168" i="48" s="1"/>
  <c r="X168" i="48" a="1"/>
  <c r="X168" i="48" s="1"/>
  <c r="X26" i="48" a="1"/>
  <c r="X26" i="48" s="1"/>
  <c r="W26" i="48"/>
  <c r="Y160" i="48" a="1"/>
  <c r="Y160" i="48" s="1"/>
  <c r="V160" i="48" a="1"/>
  <c r="V160" i="48" s="1"/>
  <c r="W150" i="48"/>
  <c r="X150" i="48" a="1"/>
  <c r="X150" i="48" s="1"/>
  <c r="Y144" i="48" a="1"/>
  <c r="Y144" i="48" s="1"/>
  <c r="X144" i="48" a="1"/>
  <c r="X144" i="48" s="1"/>
  <c r="X143" i="48" a="1"/>
  <c r="X143" i="48" s="1"/>
  <c r="V143" i="48" a="1"/>
  <c r="V143" i="48" s="1"/>
  <c r="W134" i="48"/>
  <c r="Y134" i="48" a="1"/>
  <c r="Y134" i="48" s="1"/>
  <c r="W7" i="48"/>
  <c r="X7" i="48" a="1"/>
  <c r="X7" i="48" s="1"/>
  <c r="E18" i="53"/>
  <c r="E17" i="53"/>
  <c r="W9" i="48"/>
  <c r="Y96" i="43" l="1"/>
  <c r="Y97" i="43"/>
  <c r="Y105" i="43"/>
  <c r="Y86" i="43"/>
  <c r="Y87" i="43"/>
  <c r="Y148" i="43"/>
  <c r="Y149" i="43"/>
  <c r="Y138" i="43"/>
  <c r="Y139" i="43"/>
  <c r="Y156" i="43"/>
  <c r="Y18" i="43"/>
  <c r="Y27" i="43"/>
  <c r="Y6" i="43"/>
  <c r="Y17" i="43"/>
  <c r="Y5" i="43"/>
  <c r="Y83" i="43"/>
  <c r="Y106" i="43"/>
  <c r="Y44" i="43"/>
  <c r="Y51" i="43"/>
  <c r="Y34" i="43"/>
  <c r="Y43" i="43"/>
  <c r="Y33" i="43"/>
  <c r="Y41" i="43"/>
  <c r="Y36" i="43"/>
  <c r="Y49" i="43"/>
  <c r="Y112" i="43"/>
  <c r="Y113" i="43"/>
  <c r="Y115" i="43"/>
  <c r="Y123" i="43"/>
  <c r="Y124" i="43"/>
  <c r="Y74" i="43"/>
  <c r="Y66" i="43"/>
  <c r="Y61" i="43"/>
  <c r="Y78" i="43"/>
  <c r="Y58" i="43"/>
  <c r="Y69" i="43"/>
  <c r="Y77" i="43"/>
  <c r="Y59" i="43"/>
  <c r="Y68" i="43"/>
  <c r="Y26" i="43"/>
  <c r="Y28" i="43"/>
  <c r="Y2" i="43"/>
  <c r="E19" i="53"/>
  <c r="Q405" i="48" a="1"/>
  <c r="Q405" i="48" s="1"/>
  <c r="S405" i="48"/>
  <c r="U405" i="48" a="1"/>
  <c r="U405" i="48" s="1"/>
  <c r="Q130" i="48" a="1"/>
  <c r="Q130" i="48" s="1"/>
  <c r="S130" i="48"/>
  <c r="U130" i="48" a="1"/>
  <c r="U130" i="48" s="1"/>
  <c r="Q131" i="48" a="1"/>
  <c r="Q131" i="48" s="1"/>
  <c r="S131" i="48"/>
  <c r="U131" i="48" a="1"/>
  <c r="U131" i="48" s="1"/>
  <c r="Q132" i="48" a="1"/>
  <c r="Q132" i="48" s="1"/>
  <c r="S132" i="48"/>
  <c r="U132" i="48" a="1"/>
  <c r="U132" i="48" s="1"/>
  <c r="Q133" i="48" a="1"/>
  <c r="Q133" i="48" s="1"/>
  <c r="S133" i="48"/>
  <c r="U133" i="48" a="1"/>
  <c r="U133" i="48" s="1"/>
  <c r="Q134" i="48" a="1"/>
  <c r="Q134" i="48" s="1"/>
  <c r="S134" i="48"/>
  <c r="U134" i="48" a="1"/>
  <c r="U134" i="48" s="1"/>
  <c r="Q135" i="48" a="1"/>
  <c r="Q135" i="48" s="1"/>
  <c r="S135" i="48"/>
  <c r="U135" i="48" a="1"/>
  <c r="U135" i="48" s="1"/>
  <c r="Q136" i="48" a="1"/>
  <c r="Q136" i="48" s="1"/>
  <c r="S136" i="48"/>
  <c r="U136" i="48" a="1"/>
  <c r="U136" i="48" s="1"/>
  <c r="Q137" i="48" a="1"/>
  <c r="Q137" i="48" s="1"/>
  <c r="S137" i="48"/>
  <c r="U137" i="48" a="1"/>
  <c r="U137" i="48" s="1"/>
  <c r="Q138" i="48" a="1"/>
  <c r="Q138" i="48" s="1"/>
  <c r="S138" i="48"/>
  <c r="U138" i="48" a="1"/>
  <c r="U138" i="48" s="1"/>
  <c r="Q139" i="48" a="1"/>
  <c r="Q139" i="48" s="1"/>
  <c r="S139" i="48"/>
  <c r="U139" i="48" a="1"/>
  <c r="U139" i="48" s="1"/>
  <c r="Q140" i="48" a="1"/>
  <c r="Q140" i="48" s="1"/>
  <c r="S140" i="48"/>
  <c r="U140" i="48" a="1"/>
  <c r="U140" i="48" s="1"/>
  <c r="Q141" i="48" a="1"/>
  <c r="Q141" i="48" s="1"/>
  <c r="S141" i="48"/>
  <c r="U141" i="48" a="1"/>
  <c r="U141" i="48" s="1"/>
  <c r="Q142" i="48" a="1"/>
  <c r="Q142" i="48" s="1"/>
  <c r="S142" i="48"/>
  <c r="U142" i="48" a="1"/>
  <c r="U142" i="48" s="1"/>
  <c r="Q143" i="48" a="1"/>
  <c r="Q143" i="48" s="1"/>
  <c r="S143" i="48"/>
  <c r="U143" i="48" a="1"/>
  <c r="U143" i="48" s="1"/>
  <c r="Q144" i="48" a="1"/>
  <c r="Q144" i="48" s="1"/>
  <c r="S144" i="48"/>
  <c r="U144" i="48" a="1"/>
  <c r="U144" i="48" s="1"/>
  <c r="Q145" i="48" a="1"/>
  <c r="Q145" i="48" s="1"/>
  <c r="S145" i="48"/>
  <c r="U145" i="48" a="1"/>
  <c r="U145" i="48" s="1"/>
  <c r="Q146" i="48" a="1"/>
  <c r="Q146" i="48" s="1"/>
  <c r="S146" i="48"/>
  <c r="U146" i="48" a="1"/>
  <c r="U146" i="48" s="1"/>
  <c r="Q147" i="48" a="1"/>
  <c r="Q147" i="48" s="1"/>
  <c r="S147" i="48"/>
  <c r="U147" i="48" a="1"/>
  <c r="U147" i="48" s="1"/>
  <c r="Q148" i="48" a="1"/>
  <c r="Q148" i="48" s="1"/>
  <c r="S148" i="48"/>
  <c r="U148" i="48" a="1"/>
  <c r="U148" i="48" s="1"/>
  <c r="Q149" i="48" a="1"/>
  <c r="Q149" i="48" s="1"/>
  <c r="S149" i="48"/>
  <c r="U149" i="48" a="1"/>
  <c r="U149" i="48" s="1"/>
  <c r="Q150" i="48" a="1"/>
  <c r="Q150" i="48" s="1"/>
  <c r="S150" i="48"/>
  <c r="U150" i="48" a="1"/>
  <c r="U150" i="48" s="1"/>
  <c r="Q151" i="48" a="1"/>
  <c r="Q151" i="48" s="1"/>
  <c r="S151" i="48"/>
  <c r="U151" i="48" a="1"/>
  <c r="U151" i="48" s="1"/>
  <c r="Q152" i="48" a="1"/>
  <c r="Q152" i="48" s="1"/>
  <c r="S152" i="48"/>
  <c r="U152" i="48" a="1"/>
  <c r="U152" i="48" s="1"/>
  <c r="Q153" i="48" a="1"/>
  <c r="Q153" i="48" s="1"/>
  <c r="S153" i="48"/>
  <c r="U153" i="48" a="1"/>
  <c r="U153" i="48" s="1"/>
  <c r="Q154" i="48" a="1"/>
  <c r="Q154" i="48" s="1"/>
  <c r="S154" i="48"/>
  <c r="U154" i="48" a="1"/>
  <c r="U154" i="48" s="1"/>
  <c r="Q155" i="48" a="1"/>
  <c r="Q155" i="48" s="1"/>
  <c r="S155" i="48"/>
  <c r="U155" i="48" a="1"/>
  <c r="U155" i="48" s="1"/>
  <c r="Q156" i="48" a="1"/>
  <c r="Q156" i="48" s="1"/>
  <c r="S156" i="48"/>
  <c r="U156" i="48" a="1"/>
  <c r="U156" i="48" s="1"/>
  <c r="Q157" i="48" a="1"/>
  <c r="Q157" i="48" s="1"/>
  <c r="S157" i="48"/>
  <c r="U157" i="48" a="1"/>
  <c r="U157" i="48" s="1"/>
  <c r="Q158" i="48" a="1"/>
  <c r="Q158" i="48" s="1"/>
  <c r="S158" i="48"/>
  <c r="U158" i="48" a="1"/>
  <c r="U158" i="48" s="1"/>
  <c r="Q159" i="48" a="1"/>
  <c r="Q159" i="48" s="1"/>
  <c r="S159" i="48"/>
  <c r="U159" i="48" a="1"/>
  <c r="U159" i="48" s="1"/>
  <c r="Q160" i="48" a="1"/>
  <c r="Q160" i="48" s="1"/>
  <c r="S160" i="48"/>
  <c r="U160" i="48" a="1"/>
  <c r="U160" i="48" s="1"/>
  <c r="Q161" i="48" a="1"/>
  <c r="Q161" i="48" s="1"/>
  <c r="S161" i="48"/>
  <c r="U161" i="48" a="1"/>
  <c r="U161" i="48" s="1"/>
  <c r="Q162" i="48" a="1"/>
  <c r="Q162" i="48" s="1"/>
  <c r="S162" i="48"/>
  <c r="U162" i="48" a="1"/>
  <c r="U162" i="48" s="1"/>
  <c r="Q163" i="48" a="1"/>
  <c r="Q163" i="48" s="1"/>
  <c r="S163" i="48"/>
  <c r="U163" i="48" a="1"/>
  <c r="U163" i="48" s="1"/>
  <c r="Q164" i="48" a="1"/>
  <c r="Q164" i="48" s="1"/>
  <c r="S164" i="48"/>
  <c r="U164" i="48" a="1"/>
  <c r="U164" i="48" s="1"/>
  <c r="Q165" i="48" a="1"/>
  <c r="Q165" i="48" s="1"/>
  <c r="S165" i="48"/>
  <c r="U165" i="48" a="1"/>
  <c r="U165" i="48" s="1"/>
  <c r="Q166" i="48" a="1"/>
  <c r="Q166" i="48" s="1"/>
  <c r="S166" i="48"/>
  <c r="U166" i="48" a="1"/>
  <c r="U166" i="48" s="1"/>
  <c r="Q167" i="48" a="1"/>
  <c r="Q167" i="48" s="1"/>
  <c r="S167" i="48"/>
  <c r="U167" i="48" a="1"/>
  <c r="U167" i="48" s="1"/>
  <c r="Q168" i="48" a="1"/>
  <c r="Q168" i="48" s="1"/>
  <c r="S168" i="48"/>
  <c r="U168" i="48" a="1"/>
  <c r="U168" i="48" s="1"/>
  <c r="Q169" i="48" a="1"/>
  <c r="Q169" i="48" s="1"/>
  <c r="S169" i="48"/>
  <c r="U169" i="48" a="1"/>
  <c r="U169" i="48" s="1"/>
  <c r="Q170" i="48" a="1"/>
  <c r="Q170" i="48" s="1"/>
  <c r="S170" i="48"/>
  <c r="U170" i="48" a="1"/>
  <c r="U170" i="48" s="1"/>
  <c r="Q171" i="48" a="1"/>
  <c r="Q171" i="48" s="1"/>
  <c r="S171" i="48"/>
  <c r="U171" i="48" a="1"/>
  <c r="U171" i="48" s="1"/>
  <c r="Q172" i="48" a="1"/>
  <c r="Q172" i="48" s="1"/>
  <c r="S172" i="48"/>
  <c r="U172" i="48" a="1"/>
  <c r="U172" i="48" s="1"/>
  <c r="Q173" i="48" a="1"/>
  <c r="Q173" i="48" s="1"/>
  <c r="S173" i="48"/>
  <c r="U173" i="48" a="1"/>
  <c r="U173" i="48" s="1"/>
  <c r="Q174" i="48" a="1"/>
  <c r="Q174" i="48" s="1"/>
  <c r="S174" i="48"/>
  <c r="U174" i="48" a="1"/>
  <c r="U174" i="48" s="1"/>
  <c r="Q175" i="48" a="1"/>
  <c r="Q175" i="48" s="1"/>
  <c r="S175" i="48"/>
  <c r="U175" i="48" a="1"/>
  <c r="U175" i="48" s="1"/>
  <c r="Q176" i="48" a="1"/>
  <c r="Q176" i="48" s="1"/>
  <c r="S176" i="48"/>
  <c r="U176" i="48" a="1"/>
  <c r="U176" i="48" s="1"/>
  <c r="Q177" i="48" a="1"/>
  <c r="Q177" i="48" s="1"/>
  <c r="S177" i="48"/>
  <c r="U177" i="48" a="1"/>
  <c r="U177" i="48" s="1"/>
  <c r="Q178" i="48" a="1"/>
  <c r="Q178" i="48" s="1"/>
  <c r="S178" i="48"/>
  <c r="U178" i="48" a="1"/>
  <c r="U178" i="48" s="1"/>
  <c r="Q179" i="48" a="1"/>
  <c r="Q179" i="48" s="1"/>
  <c r="S179" i="48"/>
  <c r="U179" i="48" a="1"/>
  <c r="U179" i="48" s="1"/>
  <c r="Q180" i="48" a="1"/>
  <c r="Q180" i="48" s="1"/>
  <c r="S180" i="48"/>
  <c r="U180" i="48" a="1"/>
  <c r="U180" i="48" s="1"/>
  <c r="Q181" i="48" a="1"/>
  <c r="Q181" i="48" s="1"/>
  <c r="S181" i="48"/>
  <c r="U181" i="48" a="1"/>
  <c r="U181" i="48" s="1"/>
  <c r="Q182" i="48" a="1"/>
  <c r="Q182" i="48" s="1"/>
  <c r="S182" i="48"/>
  <c r="U182" i="48" a="1"/>
  <c r="U182" i="48" s="1"/>
  <c r="Q183" i="48" a="1"/>
  <c r="Q183" i="48" s="1"/>
  <c r="S183" i="48"/>
  <c r="U183" i="48" a="1"/>
  <c r="U183" i="48" s="1"/>
  <c r="Q184" i="48" a="1"/>
  <c r="Q184" i="48" s="1"/>
  <c r="S184" i="48"/>
  <c r="U184" i="48" a="1"/>
  <c r="U184" i="48" s="1"/>
  <c r="Q185" i="48" a="1"/>
  <c r="Q185" i="48" s="1"/>
  <c r="S185" i="48"/>
  <c r="U185" i="48" a="1"/>
  <c r="U185" i="48" s="1"/>
  <c r="Q186" i="48" a="1"/>
  <c r="Q186" i="48" s="1"/>
  <c r="S186" i="48"/>
  <c r="U186" i="48" a="1"/>
  <c r="U186" i="48" s="1"/>
  <c r="Q187" i="48" a="1"/>
  <c r="Q187" i="48" s="1"/>
  <c r="S187" i="48"/>
  <c r="U187" i="48" a="1"/>
  <c r="U187" i="48" s="1"/>
  <c r="Q188" i="48" a="1"/>
  <c r="Q188" i="48" s="1"/>
  <c r="S188" i="48"/>
  <c r="U188" i="48" a="1"/>
  <c r="U188" i="48" s="1"/>
  <c r="Q189" i="48" a="1"/>
  <c r="Q189" i="48" s="1"/>
  <c r="S189" i="48"/>
  <c r="U189" i="48" a="1"/>
  <c r="U189" i="48" s="1"/>
  <c r="Q190" i="48" a="1"/>
  <c r="Q190" i="48" s="1"/>
  <c r="S190" i="48"/>
  <c r="U190" i="48" a="1"/>
  <c r="U190" i="48" s="1"/>
  <c r="Q191" i="48" a="1"/>
  <c r="Q191" i="48" s="1"/>
  <c r="S191" i="48"/>
  <c r="U191" i="48" a="1"/>
  <c r="U191" i="48" s="1"/>
  <c r="Q192" i="48" a="1"/>
  <c r="Q192" i="48" s="1"/>
  <c r="S192" i="48"/>
  <c r="U192" i="48" a="1"/>
  <c r="U192" i="48" s="1"/>
  <c r="Q193" i="48" a="1"/>
  <c r="Q193" i="48" s="1"/>
  <c r="S193" i="48"/>
  <c r="U193" i="48" a="1"/>
  <c r="U193" i="48" s="1"/>
  <c r="Q194" i="48" a="1"/>
  <c r="Q194" i="48" s="1"/>
  <c r="S194" i="48"/>
  <c r="U194" i="48" a="1"/>
  <c r="U194" i="48" s="1"/>
  <c r="Q195" i="48" a="1"/>
  <c r="Q195" i="48" s="1"/>
  <c r="S195" i="48"/>
  <c r="U195" i="48" a="1"/>
  <c r="U195" i="48" s="1"/>
  <c r="Q196" i="48" a="1"/>
  <c r="Q196" i="48" s="1"/>
  <c r="S196" i="48"/>
  <c r="U196" i="48" a="1"/>
  <c r="U196" i="48" s="1"/>
  <c r="Q197" i="48" a="1"/>
  <c r="Q197" i="48" s="1"/>
  <c r="S197" i="48"/>
  <c r="U197" i="48" a="1"/>
  <c r="U197" i="48" s="1"/>
  <c r="Q198" i="48" a="1"/>
  <c r="Q198" i="48" s="1"/>
  <c r="S198" i="48"/>
  <c r="U198" i="48" a="1"/>
  <c r="U198" i="48" s="1"/>
  <c r="Q199" i="48" a="1"/>
  <c r="Q199" i="48" s="1"/>
  <c r="S199" i="48"/>
  <c r="U199" i="48" a="1"/>
  <c r="U199" i="48" s="1"/>
  <c r="Q200" i="48" a="1"/>
  <c r="Q200" i="48" s="1"/>
  <c r="S200" i="48"/>
  <c r="U200" i="48" a="1"/>
  <c r="U200" i="48" s="1"/>
  <c r="Q201" i="48" a="1"/>
  <c r="Q201" i="48" s="1"/>
  <c r="S201" i="48"/>
  <c r="U201" i="48" a="1"/>
  <c r="U201" i="48" s="1"/>
  <c r="Q202" i="48" a="1"/>
  <c r="Q202" i="48" s="1"/>
  <c r="S202" i="48"/>
  <c r="U202" i="48" a="1"/>
  <c r="U202" i="48" s="1"/>
  <c r="Q203" i="48" a="1"/>
  <c r="Q203" i="48" s="1"/>
  <c r="S203" i="48"/>
  <c r="U203" i="48" a="1"/>
  <c r="U203" i="48" s="1"/>
  <c r="Q204" i="48" a="1"/>
  <c r="Q204" i="48" s="1"/>
  <c r="S204" i="48"/>
  <c r="U204" i="48" a="1"/>
  <c r="U204" i="48" s="1"/>
  <c r="Q205" i="48" a="1"/>
  <c r="Q205" i="48" s="1"/>
  <c r="S205" i="48"/>
  <c r="U205" i="48" a="1"/>
  <c r="U205" i="48" s="1"/>
  <c r="Q206" i="48" a="1"/>
  <c r="Q206" i="48" s="1"/>
  <c r="S206" i="48"/>
  <c r="U206" i="48" a="1"/>
  <c r="U206" i="48" s="1"/>
  <c r="Q207" i="48" a="1"/>
  <c r="Q207" i="48" s="1"/>
  <c r="S207" i="48"/>
  <c r="U207" i="48" a="1"/>
  <c r="U207" i="48" s="1"/>
  <c r="Q208" i="48" a="1"/>
  <c r="Q208" i="48" s="1"/>
  <c r="S208" i="48"/>
  <c r="U208" i="48" a="1"/>
  <c r="U208" i="48" s="1"/>
  <c r="Q209" i="48" a="1"/>
  <c r="Q209" i="48" s="1"/>
  <c r="S209" i="48"/>
  <c r="U209" i="48" a="1"/>
  <c r="U209" i="48" s="1"/>
  <c r="Q210" i="48" a="1"/>
  <c r="Q210" i="48" s="1"/>
  <c r="S210" i="48"/>
  <c r="U210" i="48" a="1"/>
  <c r="U210" i="48" s="1"/>
  <c r="Q211" i="48" a="1"/>
  <c r="Q211" i="48" s="1"/>
  <c r="S211" i="48"/>
  <c r="U211" i="48" a="1"/>
  <c r="U211" i="48" s="1"/>
  <c r="Q212" i="48" a="1"/>
  <c r="Q212" i="48" s="1"/>
  <c r="S212" i="48"/>
  <c r="U212" i="48" a="1"/>
  <c r="U212" i="48" s="1"/>
  <c r="Q213" i="48" a="1"/>
  <c r="Q213" i="48" s="1"/>
  <c r="S213" i="48"/>
  <c r="U213" i="48" a="1"/>
  <c r="U213" i="48" s="1"/>
  <c r="Q214" i="48" a="1"/>
  <c r="Q214" i="48" s="1"/>
  <c r="S214" i="48"/>
  <c r="U214" i="48" a="1"/>
  <c r="U214" i="48" s="1"/>
  <c r="Q215" i="48" a="1"/>
  <c r="Q215" i="48" s="1"/>
  <c r="S215" i="48"/>
  <c r="U215" i="48" a="1"/>
  <c r="U215" i="48" s="1"/>
  <c r="Q216" i="48" a="1"/>
  <c r="Q216" i="48" s="1"/>
  <c r="S216" i="48"/>
  <c r="U216" i="48" a="1"/>
  <c r="U216" i="48" s="1"/>
  <c r="Q217" i="48" a="1"/>
  <c r="Q217" i="48" s="1"/>
  <c r="S217" i="48"/>
  <c r="U217" i="48" a="1"/>
  <c r="U217" i="48" s="1"/>
  <c r="Q218" i="48" a="1"/>
  <c r="Q218" i="48" s="1"/>
  <c r="S218" i="48"/>
  <c r="U218" i="48" a="1"/>
  <c r="U218" i="48" s="1"/>
  <c r="Q219" i="48" a="1"/>
  <c r="Q219" i="48" s="1"/>
  <c r="S219" i="48"/>
  <c r="U219" i="48" a="1"/>
  <c r="U219" i="48" s="1"/>
  <c r="Q220" i="48" a="1"/>
  <c r="Q220" i="48" s="1"/>
  <c r="S220" i="48"/>
  <c r="U220" i="48" a="1"/>
  <c r="U220" i="48" s="1"/>
  <c r="Q221" i="48" a="1"/>
  <c r="Q221" i="48" s="1"/>
  <c r="S221" i="48"/>
  <c r="U221" i="48" a="1"/>
  <c r="U221" i="48" s="1"/>
  <c r="Q222" i="48" a="1"/>
  <c r="Q222" i="48" s="1"/>
  <c r="S222" i="48"/>
  <c r="U222" i="48" a="1"/>
  <c r="U222" i="48" s="1"/>
  <c r="Q223" i="48" a="1"/>
  <c r="Q223" i="48" s="1"/>
  <c r="S223" i="48"/>
  <c r="U223" i="48" a="1"/>
  <c r="U223" i="48" s="1"/>
  <c r="Q224" i="48" a="1"/>
  <c r="Q224" i="48" s="1"/>
  <c r="S224" i="48"/>
  <c r="U224" i="48" a="1"/>
  <c r="U224" i="48" s="1"/>
  <c r="Q225" i="48" a="1"/>
  <c r="Q225" i="48" s="1"/>
  <c r="S225" i="48"/>
  <c r="U225" i="48" a="1"/>
  <c r="U225" i="48" s="1"/>
  <c r="Q226" i="48" a="1"/>
  <c r="Q226" i="48" s="1"/>
  <c r="S226" i="48"/>
  <c r="U226" i="48" a="1"/>
  <c r="U226" i="48" s="1"/>
  <c r="Q227" i="48" a="1"/>
  <c r="Q227" i="48" s="1"/>
  <c r="S227" i="48"/>
  <c r="U227" i="48" a="1"/>
  <c r="U227" i="48" s="1"/>
  <c r="Q228" i="48" a="1"/>
  <c r="Q228" i="48" s="1"/>
  <c r="S228" i="48"/>
  <c r="U228" i="48" a="1"/>
  <c r="U228" i="48" s="1"/>
  <c r="Q229" i="48" a="1"/>
  <c r="Q229" i="48" s="1"/>
  <c r="S229" i="48"/>
  <c r="U229" i="48" a="1"/>
  <c r="U229" i="48" s="1"/>
  <c r="Q230" i="48" a="1"/>
  <c r="Q230" i="48" s="1"/>
  <c r="S230" i="48"/>
  <c r="U230" i="48" a="1"/>
  <c r="U230" i="48" s="1"/>
  <c r="Q231" i="48" a="1"/>
  <c r="Q231" i="48" s="1"/>
  <c r="S231" i="48"/>
  <c r="U231" i="48" a="1"/>
  <c r="U231" i="48" s="1"/>
  <c r="Q232" i="48" a="1"/>
  <c r="Q232" i="48" s="1"/>
  <c r="S232" i="48"/>
  <c r="U232" i="48" a="1"/>
  <c r="U232" i="48" s="1"/>
  <c r="Q233" i="48" a="1"/>
  <c r="Q233" i="48" s="1"/>
  <c r="S233" i="48"/>
  <c r="U233" i="48" a="1"/>
  <c r="U233" i="48" s="1"/>
  <c r="Q234" i="48" a="1"/>
  <c r="Q234" i="48" s="1"/>
  <c r="S234" i="48"/>
  <c r="U234" i="48" a="1"/>
  <c r="U234" i="48" s="1"/>
  <c r="Q235" i="48" a="1"/>
  <c r="Q235" i="48" s="1"/>
  <c r="S235" i="48"/>
  <c r="U235" i="48" a="1"/>
  <c r="U235" i="48" s="1"/>
  <c r="Q236" i="48" a="1"/>
  <c r="Q236" i="48" s="1"/>
  <c r="S236" i="48"/>
  <c r="U236" i="48" a="1"/>
  <c r="U236" i="48" s="1"/>
  <c r="Q237" i="48" a="1"/>
  <c r="Q237" i="48" s="1"/>
  <c r="S237" i="48"/>
  <c r="U237" i="48" a="1"/>
  <c r="U237" i="48" s="1"/>
  <c r="Q238" i="48" a="1"/>
  <c r="Q238" i="48" s="1"/>
  <c r="S238" i="48"/>
  <c r="U238" i="48" a="1"/>
  <c r="U238" i="48" s="1"/>
  <c r="Q239" i="48" a="1"/>
  <c r="Q239" i="48" s="1"/>
  <c r="S239" i="48"/>
  <c r="U239" i="48" a="1"/>
  <c r="U239" i="48" s="1"/>
  <c r="Q240" i="48" a="1"/>
  <c r="Q240" i="48" s="1"/>
  <c r="S240" i="48"/>
  <c r="U240" i="48" a="1"/>
  <c r="U240" i="48" s="1"/>
  <c r="Q241" i="48" a="1"/>
  <c r="Q241" i="48" s="1"/>
  <c r="S241" i="48"/>
  <c r="U241" i="48" a="1"/>
  <c r="U241" i="48" s="1"/>
  <c r="Q242" i="48" a="1"/>
  <c r="Q242" i="48" s="1"/>
  <c r="S242" i="48"/>
  <c r="U242" i="48" a="1"/>
  <c r="U242" i="48" s="1"/>
  <c r="Q243" i="48" a="1"/>
  <c r="Q243" i="48" s="1"/>
  <c r="S243" i="48"/>
  <c r="U243" i="48" a="1"/>
  <c r="U243" i="48" s="1"/>
  <c r="Q244" i="48" a="1"/>
  <c r="Q244" i="48" s="1"/>
  <c r="S244" i="48"/>
  <c r="U244" i="48" a="1"/>
  <c r="U244" i="48" s="1"/>
  <c r="Q245" i="48" a="1"/>
  <c r="Q245" i="48" s="1"/>
  <c r="S245" i="48"/>
  <c r="U245" i="48" a="1"/>
  <c r="U245" i="48" s="1"/>
  <c r="Q246" i="48" a="1"/>
  <c r="Q246" i="48" s="1"/>
  <c r="S246" i="48"/>
  <c r="U246" i="48" a="1"/>
  <c r="U246" i="48" s="1"/>
  <c r="Q247" i="48" a="1"/>
  <c r="Q247" i="48" s="1"/>
  <c r="S247" i="48"/>
  <c r="U247" i="48" a="1"/>
  <c r="U247" i="48" s="1"/>
  <c r="Q248" i="48" a="1"/>
  <c r="Q248" i="48" s="1"/>
  <c r="S248" i="48"/>
  <c r="U248" i="48" a="1"/>
  <c r="U248" i="48" s="1"/>
  <c r="Q249" i="48" a="1"/>
  <c r="Q249" i="48" s="1"/>
  <c r="S249" i="48"/>
  <c r="U249" i="48" a="1"/>
  <c r="U249" i="48" s="1"/>
  <c r="Q250" i="48" a="1"/>
  <c r="Q250" i="48" s="1"/>
  <c r="S250" i="48"/>
  <c r="U250" i="48" a="1"/>
  <c r="U250" i="48" s="1"/>
  <c r="Q251" i="48" a="1"/>
  <c r="Q251" i="48" s="1"/>
  <c r="S251" i="48"/>
  <c r="U251" i="48" a="1"/>
  <c r="U251" i="48" s="1"/>
  <c r="Q252" i="48" a="1"/>
  <c r="Q252" i="48" s="1"/>
  <c r="S252" i="48"/>
  <c r="U252" i="48" a="1"/>
  <c r="U252" i="48" s="1"/>
  <c r="Q253" i="48" a="1"/>
  <c r="Q253" i="48" s="1"/>
  <c r="S253" i="48"/>
  <c r="U253" i="48" a="1"/>
  <c r="U253" i="48" s="1"/>
  <c r="Q254" i="48" a="1"/>
  <c r="Q254" i="48" s="1"/>
  <c r="S254" i="48"/>
  <c r="U254" i="48" a="1"/>
  <c r="U254" i="48" s="1"/>
  <c r="Q255" i="48" a="1"/>
  <c r="Q255" i="48" s="1"/>
  <c r="S255" i="48"/>
  <c r="U255" i="48" a="1"/>
  <c r="U255" i="48" s="1"/>
  <c r="Q256" i="48" a="1"/>
  <c r="Q256" i="48" s="1"/>
  <c r="S256" i="48"/>
  <c r="U256" i="48" a="1"/>
  <c r="U256" i="48" s="1"/>
  <c r="Q257" i="48" a="1"/>
  <c r="Q257" i="48" s="1"/>
  <c r="S257" i="48"/>
  <c r="U257" i="48" a="1"/>
  <c r="U257" i="48" s="1"/>
  <c r="Q258" i="48" a="1"/>
  <c r="Q258" i="48" s="1"/>
  <c r="S258" i="48"/>
  <c r="U258" i="48" a="1"/>
  <c r="U258" i="48" s="1"/>
  <c r="Q259" i="48" a="1"/>
  <c r="Q259" i="48" s="1"/>
  <c r="S259" i="48"/>
  <c r="U259" i="48" a="1"/>
  <c r="U259" i="48" s="1"/>
  <c r="Q260" i="48" a="1"/>
  <c r="Q260" i="48" s="1"/>
  <c r="S260" i="48"/>
  <c r="U260" i="48" a="1"/>
  <c r="U260" i="48" s="1"/>
  <c r="Q261" i="48" a="1"/>
  <c r="Q261" i="48" s="1"/>
  <c r="S261" i="48"/>
  <c r="U261" i="48" a="1"/>
  <c r="U261" i="48" s="1"/>
  <c r="Q262" i="48" a="1"/>
  <c r="Q262" i="48" s="1"/>
  <c r="S262" i="48"/>
  <c r="U262" i="48" a="1"/>
  <c r="U262" i="48" s="1"/>
  <c r="Q263" i="48" a="1"/>
  <c r="Q263" i="48" s="1"/>
  <c r="S263" i="48"/>
  <c r="U263" i="48" a="1"/>
  <c r="U263" i="48" s="1"/>
  <c r="Q264" i="48" a="1"/>
  <c r="Q264" i="48" s="1"/>
  <c r="S264" i="48"/>
  <c r="U264" i="48" a="1"/>
  <c r="U264" i="48" s="1"/>
  <c r="Q265" i="48" a="1"/>
  <c r="Q265" i="48" s="1"/>
  <c r="S265" i="48"/>
  <c r="U265" i="48" a="1"/>
  <c r="U265" i="48" s="1"/>
  <c r="Q266" i="48" a="1"/>
  <c r="Q266" i="48" s="1"/>
  <c r="S266" i="48"/>
  <c r="U266" i="48" a="1"/>
  <c r="U266" i="48" s="1"/>
  <c r="Q267" i="48" a="1"/>
  <c r="Q267" i="48" s="1"/>
  <c r="S267" i="48"/>
  <c r="U267" i="48" a="1"/>
  <c r="U267" i="48" s="1"/>
  <c r="Q268" i="48" a="1"/>
  <c r="Q268" i="48" s="1"/>
  <c r="S268" i="48"/>
  <c r="U268" i="48" a="1"/>
  <c r="U268" i="48" s="1"/>
  <c r="Q269" i="48" a="1"/>
  <c r="Q269" i="48" s="1"/>
  <c r="S269" i="48"/>
  <c r="U269" i="48" a="1"/>
  <c r="U269" i="48" s="1"/>
  <c r="Q270" i="48" a="1"/>
  <c r="Q270" i="48" s="1"/>
  <c r="S270" i="48"/>
  <c r="U270" i="48" a="1"/>
  <c r="U270" i="48" s="1"/>
  <c r="Q271" i="48" a="1"/>
  <c r="Q271" i="48" s="1"/>
  <c r="S271" i="48"/>
  <c r="U271" i="48" a="1"/>
  <c r="U271" i="48" s="1"/>
  <c r="Q272" i="48" a="1"/>
  <c r="Q272" i="48" s="1"/>
  <c r="S272" i="48"/>
  <c r="U272" i="48" a="1"/>
  <c r="U272" i="48" s="1"/>
  <c r="Q273" i="48" a="1"/>
  <c r="Q273" i="48" s="1"/>
  <c r="S273" i="48"/>
  <c r="U273" i="48" a="1"/>
  <c r="U273" i="48" s="1"/>
  <c r="Q274" i="48" a="1"/>
  <c r="Q274" i="48" s="1"/>
  <c r="S274" i="48"/>
  <c r="U274" i="48" a="1"/>
  <c r="U274" i="48" s="1"/>
  <c r="Q275" i="48" a="1"/>
  <c r="Q275" i="48" s="1"/>
  <c r="S275" i="48"/>
  <c r="U275" i="48" a="1"/>
  <c r="U275" i="48" s="1"/>
  <c r="Q276" i="48" a="1"/>
  <c r="Q276" i="48" s="1"/>
  <c r="S276" i="48"/>
  <c r="U276" i="48" a="1"/>
  <c r="U276" i="48" s="1"/>
  <c r="Q277" i="48" a="1"/>
  <c r="Q277" i="48" s="1"/>
  <c r="S277" i="48"/>
  <c r="U277" i="48" a="1"/>
  <c r="U277" i="48" s="1"/>
  <c r="Q278" i="48" a="1"/>
  <c r="Q278" i="48" s="1"/>
  <c r="S278" i="48"/>
  <c r="U278" i="48" a="1"/>
  <c r="U278" i="48" s="1"/>
  <c r="Q279" i="48" a="1"/>
  <c r="Q279" i="48" s="1"/>
  <c r="S279" i="48"/>
  <c r="U279" i="48" a="1"/>
  <c r="U279" i="48" s="1"/>
  <c r="Q280" i="48" a="1"/>
  <c r="Q280" i="48" s="1"/>
  <c r="S280" i="48"/>
  <c r="U280" i="48" a="1"/>
  <c r="U280" i="48" s="1"/>
  <c r="Q281" i="48" a="1"/>
  <c r="Q281" i="48" s="1"/>
  <c r="S281" i="48"/>
  <c r="U281" i="48" a="1"/>
  <c r="U281" i="48" s="1"/>
  <c r="Q282" i="48" a="1"/>
  <c r="Q282" i="48" s="1"/>
  <c r="S282" i="48"/>
  <c r="U282" i="48" a="1"/>
  <c r="U282" i="48" s="1"/>
  <c r="Q283" i="48" a="1"/>
  <c r="Q283" i="48" s="1"/>
  <c r="S283" i="48"/>
  <c r="U283" i="48" a="1"/>
  <c r="U283" i="48" s="1"/>
  <c r="Q284" i="48" a="1"/>
  <c r="Q284" i="48" s="1"/>
  <c r="S284" i="48"/>
  <c r="U284" i="48" a="1"/>
  <c r="U284" i="48" s="1"/>
  <c r="Q285" i="48" a="1"/>
  <c r="Q285" i="48" s="1"/>
  <c r="S285" i="48"/>
  <c r="U285" i="48" a="1"/>
  <c r="U285" i="48" s="1"/>
  <c r="Q286" i="48" a="1"/>
  <c r="Q286" i="48" s="1"/>
  <c r="S286" i="48"/>
  <c r="U286" i="48" a="1"/>
  <c r="U286" i="48" s="1"/>
  <c r="Q287" i="48" a="1"/>
  <c r="Q287" i="48" s="1"/>
  <c r="S287" i="48"/>
  <c r="U287" i="48" a="1"/>
  <c r="U287" i="48" s="1"/>
  <c r="Q288" i="48" a="1"/>
  <c r="Q288" i="48" s="1"/>
  <c r="S288" i="48"/>
  <c r="U288" i="48" a="1"/>
  <c r="U288" i="48" s="1"/>
  <c r="Q289" i="48" a="1"/>
  <c r="Q289" i="48" s="1"/>
  <c r="S289" i="48"/>
  <c r="U289" i="48" a="1"/>
  <c r="U289" i="48" s="1"/>
  <c r="Q290" i="48" a="1"/>
  <c r="Q290" i="48" s="1"/>
  <c r="S290" i="48"/>
  <c r="U290" i="48" a="1"/>
  <c r="U290" i="48" s="1"/>
  <c r="Q291" i="48" a="1"/>
  <c r="Q291" i="48" s="1"/>
  <c r="S291" i="48"/>
  <c r="U291" i="48" a="1"/>
  <c r="U291" i="48" s="1"/>
  <c r="Q292" i="48" a="1"/>
  <c r="Q292" i="48" s="1"/>
  <c r="S292" i="48"/>
  <c r="U292" i="48" a="1"/>
  <c r="U292" i="48" s="1"/>
  <c r="Q293" i="48" a="1"/>
  <c r="Q293" i="48" s="1"/>
  <c r="S293" i="48"/>
  <c r="U293" i="48" a="1"/>
  <c r="U293" i="48" s="1"/>
  <c r="Q294" i="48" a="1"/>
  <c r="Q294" i="48" s="1"/>
  <c r="S294" i="48"/>
  <c r="U294" i="48" a="1"/>
  <c r="U294" i="48" s="1"/>
  <c r="Q295" i="48" a="1"/>
  <c r="Q295" i="48" s="1"/>
  <c r="S295" i="48"/>
  <c r="U295" i="48" a="1"/>
  <c r="U295" i="48" s="1"/>
  <c r="Q296" i="48" a="1"/>
  <c r="Q296" i="48" s="1"/>
  <c r="S296" i="48"/>
  <c r="U296" i="48" a="1"/>
  <c r="U296" i="48" s="1"/>
  <c r="Q297" i="48" a="1"/>
  <c r="Q297" i="48" s="1"/>
  <c r="S297" i="48"/>
  <c r="U297" i="48" a="1"/>
  <c r="U297" i="48" s="1"/>
  <c r="Q298" i="48" a="1"/>
  <c r="Q298" i="48" s="1"/>
  <c r="S298" i="48"/>
  <c r="U298" i="48" a="1"/>
  <c r="U298" i="48" s="1"/>
  <c r="Q299" i="48" a="1"/>
  <c r="Q299" i="48" s="1"/>
  <c r="S299" i="48"/>
  <c r="U299" i="48" a="1"/>
  <c r="U299" i="48" s="1"/>
  <c r="Q300" i="48" a="1"/>
  <c r="Q300" i="48" s="1"/>
  <c r="S300" i="48"/>
  <c r="U300" i="48" a="1"/>
  <c r="U300" i="48" s="1"/>
  <c r="Q301" i="48" a="1"/>
  <c r="Q301" i="48" s="1"/>
  <c r="S301" i="48"/>
  <c r="U301" i="48" a="1"/>
  <c r="U301" i="48" s="1"/>
  <c r="Q302" i="48" a="1"/>
  <c r="Q302" i="48" s="1"/>
  <c r="S302" i="48"/>
  <c r="U302" i="48" a="1"/>
  <c r="U302" i="48" s="1"/>
  <c r="Q303" i="48" a="1"/>
  <c r="Q303" i="48" s="1"/>
  <c r="S303" i="48"/>
  <c r="U303" i="48" a="1"/>
  <c r="U303" i="48" s="1"/>
  <c r="Q304" i="48" a="1"/>
  <c r="Q304" i="48" s="1"/>
  <c r="S304" i="48"/>
  <c r="U304" i="48" a="1"/>
  <c r="U304" i="48" s="1"/>
  <c r="Q305" i="48" a="1"/>
  <c r="Q305" i="48" s="1"/>
  <c r="S305" i="48"/>
  <c r="U305" i="48" a="1"/>
  <c r="U305" i="48" s="1"/>
  <c r="Q306" i="48" a="1"/>
  <c r="Q306" i="48" s="1"/>
  <c r="S306" i="48"/>
  <c r="U306" i="48" a="1"/>
  <c r="U306" i="48" s="1"/>
  <c r="Q307" i="48" a="1"/>
  <c r="Q307" i="48" s="1"/>
  <c r="S307" i="48"/>
  <c r="U307" i="48" a="1"/>
  <c r="U307" i="48" s="1"/>
  <c r="Q308" i="48" a="1"/>
  <c r="Q308" i="48" s="1"/>
  <c r="S308" i="48"/>
  <c r="U308" i="48" a="1"/>
  <c r="U308" i="48" s="1"/>
  <c r="Q309" i="48" a="1"/>
  <c r="Q309" i="48" s="1"/>
  <c r="S309" i="48"/>
  <c r="U309" i="48" a="1"/>
  <c r="U309" i="48" s="1"/>
  <c r="Q310" i="48" a="1"/>
  <c r="Q310" i="48" s="1"/>
  <c r="S310" i="48"/>
  <c r="U310" i="48" a="1"/>
  <c r="U310" i="48" s="1"/>
  <c r="Q311" i="48" a="1"/>
  <c r="Q311" i="48" s="1"/>
  <c r="S311" i="48"/>
  <c r="U311" i="48" a="1"/>
  <c r="U311" i="48" s="1"/>
  <c r="Q312" i="48" a="1"/>
  <c r="Q312" i="48" s="1"/>
  <c r="S312" i="48"/>
  <c r="U312" i="48" a="1"/>
  <c r="U312" i="48" s="1"/>
  <c r="Q313" i="48" a="1"/>
  <c r="Q313" i="48" s="1"/>
  <c r="S313" i="48"/>
  <c r="U313" i="48" a="1"/>
  <c r="U313" i="48" s="1"/>
  <c r="Q314" i="48" a="1"/>
  <c r="Q314" i="48" s="1"/>
  <c r="S314" i="48"/>
  <c r="U314" i="48" a="1"/>
  <c r="U314" i="48" s="1"/>
  <c r="Q315" i="48" a="1"/>
  <c r="Q315" i="48" s="1"/>
  <c r="S315" i="48"/>
  <c r="U315" i="48" a="1"/>
  <c r="U315" i="48" s="1"/>
  <c r="Q316" i="48" a="1"/>
  <c r="Q316" i="48" s="1"/>
  <c r="S316" i="48"/>
  <c r="U316" i="48" a="1"/>
  <c r="U316" i="48" s="1"/>
  <c r="Q317" i="48" a="1"/>
  <c r="Q317" i="48" s="1"/>
  <c r="S317" i="48"/>
  <c r="U317" i="48" a="1"/>
  <c r="U317" i="48" s="1"/>
  <c r="Q318" i="48" a="1"/>
  <c r="Q318" i="48" s="1"/>
  <c r="S318" i="48"/>
  <c r="U318" i="48" a="1"/>
  <c r="U318" i="48" s="1"/>
  <c r="Q319" i="48" a="1"/>
  <c r="Q319" i="48" s="1"/>
  <c r="S319" i="48"/>
  <c r="U319" i="48" a="1"/>
  <c r="U319" i="48" s="1"/>
  <c r="Q320" i="48" a="1"/>
  <c r="Q320" i="48" s="1"/>
  <c r="S320" i="48"/>
  <c r="U320" i="48" a="1"/>
  <c r="U320" i="48" s="1"/>
  <c r="Q321" i="48" a="1"/>
  <c r="Q321" i="48" s="1"/>
  <c r="S321" i="48"/>
  <c r="U321" i="48" a="1"/>
  <c r="U321" i="48" s="1"/>
  <c r="Q322" i="48" a="1"/>
  <c r="Q322" i="48" s="1"/>
  <c r="S322" i="48"/>
  <c r="U322" i="48" a="1"/>
  <c r="U322" i="48" s="1"/>
  <c r="Q323" i="48" a="1"/>
  <c r="Q323" i="48" s="1"/>
  <c r="S323" i="48"/>
  <c r="U323" i="48" a="1"/>
  <c r="U323" i="48" s="1"/>
  <c r="Q324" i="48" a="1"/>
  <c r="Q324" i="48" s="1"/>
  <c r="S324" i="48"/>
  <c r="U324" i="48" a="1"/>
  <c r="U324" i="48" s="1"/>
  <c r="Q325" i="48" a="1"/>
  <c r="Q325" i="48" s="1"/>
  <c r="S325" i="48"/>
  <c r="U325" i="48" a="1"/>
  <c r="U325" i="48" s="1"/>
  <c r="Q326" i="48" a="1"/>
  <c r="Q326" i="48" s="1"/>
  <c r="S326" i="48"/>
  <c r="U326" i="48" a="1"/>
  <c r="U326" i="48" s="1"/>
  <c r="Q327" i="48" a="1"/>
  <c r="Q327" i="48" s="1"/>
  <c r="S327" i="48"/>
  <c r="U327" i="48" a="1"/>
  <c r="U327" i="48" s="1"/>
  <c r="Q328" i="48" a="1"/>
  <c r="Q328" i="48" s="1"/>
  <c r="S328" i="48"/>
  <c r="U328" i="48" a="1"/>
  <c r="U328" i="48" s="1"/>
  <c r="Q329" i="48" a="1"/>
  <c r="Q329" i="48" s="1"/>
  <c r="S329" i="48"/>
  <c r="U329" i="48" a="1"/>
  <c r="U329" i="48" s="1"/>
  <c r="Q330" i="48" a="1"/>
  <c r="Q330" i="48" s="1"/>
  <c r="S330" i="48"/>
  <c r="U330" i="48" a="1"/>
  <c r="U330" i="48" s="1"/>
  <c r="Q331" i="48" a="1"/>
  <c r="Q331" i="48" s="1"/>
  <c r="S331" i="48"/>
  <c r="U331" i="48" a="1"/>
  <c r="U331" i="48" s="1"/>
  <c r="Q332" i="48" a="1"/>
  <c r="Q332" i="48" s="1"/>
  <c r="S332" i="48"/>
  <c r="U332" i="48" a="1"/>
  <c r="U332" i="48" s="1"/>
  <c r="Q333" i="48" a="1"/>
  <c r="Q333" i="48" s="1"/>
  <c r="S333" i="48"/>
  <c r="U333" i="48" a="1"/>
  <c r="U333" i="48" s="1"/>
  <c r="Q334" i="48" a="1"/>
  <c r="Q334" i="48" s="1"/>
  <c r="S334" i="48"/>
  <c r="U334" i="48" a="1"/>
  <c r="U334" i="48" s="1"/>
  <c r="Q335" i="48" a="1"/>
  <c r="Q335" i="48" s="1"/>
  <c r="S335" i="48"/>
  <c r="U335" i="48" a="1"/>
  <c r="U335" i="48" s="1"/>
  <c r="Q336" i="48" a="1"/>
  <c r="Q336" i="48" s="1"/>
  <c r="S336" i="48"/>
  <c r="U336" i="48" a="1"/>
  <c r="U336" i="48" s="1"/>
  <c r="Q337" i="48" a="1"/>
  <c r="Q337" i="48" s="1"/>
  <c r="S337" i="48"/>
  <c r="U337" i="48" a="1"/>
  <c r="U337" i="48" s="1"/>
  <c r="Q338" i="48" a="1"/>
  <c r="Q338" i="48" s="1"/>
  <c r="S338" i="48"/>
  <c r="U338" i="48" a="1"/>
  <c r="U338" i="48" s="1"/>
  <c r="Q339" i="48" a="1"/>
  <c r="Q339" i="48" s="1"/>
  <c r="S339" i="48"/>
  <c r="U339" i="48" a="1"/>
  <c r="U339" i="48" s="1"/>
  <c r="Q340" i="48" a="1"/>
  <c r="Q340" i="48" s="1"/>
  <c r="S340" i="48"/>
  <c r="U340" i="48" a="1"/>
  <c r="U340" i="48" s="1"/>
  <c r="Q341" i="48" a="1"/>
  <c r="Q341" i="48" s="1"/>
  <c r="S341" i="48"/>
  <c r="U341" i="48" a="1"/>
  <c r="U341" i="48" s="1"/>
  <c r="Q342" i="48" a="1"/>
  <c r="Q342" i="48" s="1"/>
  <c r="S342" i="48"/>
  <c r="U342" i="48" a="1"/>
  <c r="U342" i="48" s="1"/>
  <c r="Q343" i="48" a="1"/>
  <c r="Q343" i="48" s="1"/>
  <c r="S343" i="48"/>
  <c r="U343" i="48" a="1"/>
  <c r="U343" i="48" s="1"/>
  <c r="Q344" i="48" a="1"/>
  <c r="Q344" i="48" s="1"/>
  <c r="S344" i="48"/>
  <c r="U344" i="48" a="1"/>
  <c r="U344" i="48" s="1"/>
  <c r="Q345" i="48" a="1"/>
  <c r="Q345" i="48" s="1"/>
  <c r="S345" i="48"/>
  <c r="U345" i="48" a="1"/>
  <c r="U345" i="48" s="1"/>
  <c r="Q346" i="48" a="1"/>
  <c r="Q346" i="48" s="1"/>
  <c r="S346" i="48"/>
  <c r="U346" i="48" a="1"/>
  <c r="U346" i="48" s="1"/>
  <c r="Q347" i="48" a="1"/>
  <c r="Q347" i="48" s="1"/>
  <c r="S347" i="48"/>
  <c r="U347" i="48" a="1"/>
  <c r="U347" i="48" s="1"/>
  <c r="Q348" i="48" a="1"/>
  <c r="Q348" i="48" s="1"/>
  <c r="S348" i="48"/>
  <c r="U348" i="48" a="1"/>
  <c r="U348" i="48" s="1"/>
  <c r="Q349" i="48" a="1"/>
  <c r="Q349" i="48" s="1"/>
  <c r="S349" i="48"/>
  <c r="U349" i="48" a="1"/>
  <c r="U349" i="48" s="1"/>
  <c r="Q350" i="48" a="1"/>
  <c r="Q350" i="48" s="1"/>
  <c r="S350" i="48"/>
  <c r="U350" i="48" a="1"/>
  <c r="U350" i="48" s="1"/>
  <c r="Q351" i="48" a="1"/>
  <c r="Q351" i="48" s="1"/>
  <c r="S351" i="48"/>
  <c r="U351" i="48" a="1"/>
  <c r="U351" i="48" s="1"/>
  <c r="Q352" i="48" a="1"/>
  <c r="Q352" i="48" s="1"/>
  <c r="S352" i="48"/>
  <c r="U352" i="48" a="1"/>
  <c r="U352" i="48" s="1"/>
  <c r="Q353" i="48" a="1"/>
  <c r="Q353" i="48" s="1"/>
  <c r="S353" i="48"/>
  <c r="U353" i="48" a="1"/>
  <c r="U353" i="48" s="1"/>
  <c r="Q354" i="48" a="1"/>
  <c r="Q354" i="48" s="1"/>
  <c r="S354" i="48"/>
  <c r="U354" i="48" a="1"/>
  <c r="U354" i="48" s="1"/>
  <c r="Q355" i="48" a="1"/>
  <c r="Q355" i="48" s="1"/>
  <c r="S355" i="48"/>
  <c r="U355" i="48" a="1"/>
  <c r="U355" i="48" s="1"/>
  <c r="Q356" i="48" a="1"/>
  <c r="Q356" i="48" s="1"/>
  <c r="S356" i="48"/>
  <c r="U356" i="48" a="1"/>
  <c r="U356" i="48" s="1"/>
  <c r="Q357" i="48" a="1"/>
  <c r="Q357" i="48" s="1"/>
  <c r="S357" i="48"/>
  <c r="U357" i="48" a="1"/>
  <c r="U357" i="48" s="1"/>
  <c r="Q358" i="48" a="1"/>
  <c r="Q358" i="48" s="1"/>
  <c r="S358" i="48"/>
  <c r="U358" i="48" a="1"/>
  <c r="U358" i="48" s="1"/>
  <c r="Q359" i="48" a="1"/>
  <c r="Q359" i="48" s="1"/>
  <c r="S359" i="48"/>
  <c r="U359" i="48" a="1"/>
  <c r="U359" i="48" s="1"/>
  <c r="Q360" i="48" a="1"/>
  <c r="Q360" i="48" s="1"/>
  <c r="S360" i="48"/>
  <c r="U360" i="48" a="1"/>
  <c r="U360" i="48" s="1"/>
  <c r="Q361" i="48" a="1"/>
  <c r="Q361" i="48" s="1"/>
  <c r="S361" i="48"/>
  <c r="U361" i="48" a="1"/>
  <c r="U361" i="48" s="1"/>
  <c r="Q362" i="48" a="1"/>
  <c r="Q362" i="48" s="1"/>
  <c r="S362" i="48"/>
  <c r="U362" i="48" a="1"/>
  <c r="U362" i="48" s="1"/>
  <c r="Q363" i="48" a="1"/>
  <c r="Q363" i="48" s="1"/>
  <c r="S363" i="48"/>
  <c r="U363" i="48" a="1"/>
  <c r="U363" i="48" s="1"/>
  <c r="Q364" i="48" a="1"/>
  <c r="Q364" i="48" s="1"/>
  <c r="S364" i="48"/>
  <c r="U364" i="48" a="1"/>
  <c r="U364" i="48" s="1"/>
  <c r="Q365" i="48" a="1"/>
  <c r="Q365" i="48" s="1"/>
  <c r="S365" i="48"/>
  <c r="U365" i="48" a="1"/>
  <c r="U365" i="48" s="1"/>
  <c r="Q366" i="48" a="1"/>
  <c r="Q366" i="48" s="1"/>
  <c r="S366" i="48"/>
  <c r="U366" i="48" a="1"/>
  <c r="U366" i="48" s="1"/>
  <c r="Q367" i="48" a="1"/>
  <c r="Q367" i="48" s="1"/>
  <c r="S367" i="48"/>
  <c r="U367" i="48" a="1"/>
  <c r="U367" i="48" s="1"/>
  <c r="Q368" i="48" a="1"/>
  <c r="Q368" i="48" s="1"/>
  <c r="S368" i="48"/>
  <c r="U368" i="48" a="1"/>
  <c r="U368" i="48" s="1"/>
  <c r="Q369" i="48" a="1"/>
  <c r="Q369" i="48" s="1"/>
  <c r="S369" i="48"/>
  <c r="U369" i="48" a="1"/>
  <c r="U369" i="48" s="1"/>
  <c r="Q370" i="48" a="1"/>
  <c r="Q370" i="48" s="1"/>
  <c r="S370" i="48"/>
  <c r="U370" i="48" a="1"/>
  <c r="U370" i="48" s="1"/>
  <c r="Q371" i="48" a="1"/>
  <c r="Q371" i="48" s="1"/>
  <c r="S371" i="48"/>
  <c r="U371" i="48" a="1"/>
  <c r="U371" i="48" s="1"/>
  <c r="Q372" i="48" a="1"/>
  <c r="Q372" i="48" s="1"/>
  <c r="S372" i="48"/>
  <c r="U372" i="48" a="1"/>
  <c r="U372" i="48" s="1"/>
  <c r="Q373" i="48" a="1"/>
  <c r="Q373" i="48" s="1"/>
  <c r="S373" i="48"/>
  <c r="U373" i="48" a="1"/>
  <c r="U373" i="48" s="1"/>
  <c r="Q374" i="48" a="1"/>
  <c r="Q374" i="48" s="1"/>
  <c r="S374" i="48"/>
  <c r="U374" i="48" a="1"/>
  <c r="U374" i="48" s="1"/>
  <c r="Q375" i="48" a="1"/>
  <c r="Q375" i="48" s="1"/>
  <c r="S375" i="48"/>
  <c r="U375" i="48" a="1"/>
  <c r="U375" i="48" s="1"/>
  <c r="Q376" i="48" a="1"/>
  <c r="Q376" i="48" s="1"/>
  <c r="S376" i="48"/>
  <c r="U376" i="48" a="1"/>
  <c r="U376" i="48" s="1"/>
  <c r="Q377" i="48" a="1"/>
  <c r="Q377" i="48" s="1"/>
  <c r="S377" i="48"/>
  <c r="U377" i="48" a="1"/>
  <c r="U377" i="48" s="1"/>
  <c r="Q378" i="48" a="1"/>
  <c r="Q378" i="48" s="1"/>
  <c r="S378" i="48"/>
  <c r="U378" i="48" a="1"/>
  <c r="U378" i="48" s="1"/>
  <c r="Q379" i="48" a="1"/>
  <c r="Q379" i="48" s="1"/>
  <c r="S379" i="48"/>
  <c r="U379" i="48" a="1"/>
  <c r="U379" i="48" s="1"/>
  <c r="Q380" i="48" a="1"/>
  <c r="Q380" i="48" s="1"/>
  <c r="S380" i="48"/>
  <c r="U380" i="48" a="1"/>
  <c r="U380" i="48" s="1"/>
  <c r="Q381" i="48" a="1"/>
  <c r="Q381" i="48" s="1"/>
  <c r="S381" i="48"/>
  <c r="U381" i="48" a="1"/>
  <c r="U381" i="48" s="1"/>
  <c r="Q382" i="48" a="1"/>
  <c r="Q382" i="48" s="1"/>
  <c r="S382" i="48"/>
  <c r="U382" i="48" a="1"/>
  <c r="U382" i="48" s="1"/>
  <c r="Q383" i="48" a="1"/>
  <c r="Q383" i="48" s="1"/>
  <c r="S383" i="48"/>
  <c r="U383" i="48" a="1"/>
  <c r="U383" i="48" s="1"/>
  <c r="Q384" i="48" a="1"/>
  <c r="Q384" i="48" s="1"/>
  <c r="S384" i="48"/>
  <c r="U384" i="48" a="1"/>
  <c r="U384" i="48" s="1"/>
  <c r="Q385" i="48" a="1"/>
  <c r="Q385" i="48" s="1"/>
  <c r="S385" i="48"/>
  <c r="U385" i="48" a="1"/>
  <c r="U385" i="48" s="1"/>
  <c r="Q386" i="48" a="1"/>
  <c r="Q386" i="48" s="1"/>
  <c r="S386" i="48"/>
  <c r="U386" i="48" a="1"/>
  <c r="U386" i="48" s="1"/>
  <c r="Q387" i="48" a="1"/>
  <c r="Q387" i="48" s="1"/>
  <c r="S387" i="48"/>
  <c r="U387" i="48" a="1"/>
  <c r="U387" i="48" s="1"/>
  <c r="Q388" i="48" a="1"/>
  <c r="Q388" i="48" s="1"/>
  <c r="S388" i="48"/>
  <c r="U388" i="48" a="1"/>
  <c r="U388" i="48" s="1"/>
  <c r="Q389" i="48" a="1"/>
  <c r="Q389" i="48" s="1"/>
  <c r="S389" i="48"/>
  <c r="U389" i="48" a="1"/>
  <c r="U389" i="48" s="1"/>
  <c r="Q390" i="48" a="1"/>
  <c r="Q390" i="48" s="1"/>
  <c r="S390" i="48"/>
  <c r="U390" i="48" a="1"/>
  <c r="U390" i="48" s="1"/>
  <c r="Q391" i="48" a="1"/>
  <c r="Q391" i="48" s="1"/>
  <c r="S391" i="48"/>
  <c r="U391" i="48" a="1"/>
  <c r="U391" i="48" s="1"/>
  <c r="Q392" i="48" a="1"/>
  <c r="Q392" i="48" s="1"/>
  <c r="S392" i="48"/>
  <c r="U392" i="48" a="1"/>
  <c r="U392" i="48" s="1"/>
  <c r="Q393" i="48" a="1"/>
  <c r="Q393" i="48" s="1"/>
  <c r="S393" i="48"/>
  <c r="U393" i="48" a="1"/>
  <c r="U393" i="48" s="1"/>
  <c r="Q394" i="48" a="1"/>
  <c r="Q394" i="48" s="1"/>
  <c r="S394" i="48"/>
  <c r="U394" i="48" a="1"/>
  <c r="U394" i="48" s="1"/>
  <c r="Q395" i="48" a="1"/>
  <c r="Q395" i="48" s="1"/>
  <c r="S395" i="48"/>
  <c r="U395" i="48" a="1"/>
  <c r="U395" i="48" s="1"/>
  <c r="Q396" i="48" a="1"/>
  <c r="Q396" i="48" s="1"/>
  <c r="S396" i="48"/>
  <c r="U396" i="48" a="1"/>
  <c r="U396" i="48" s="1"/>
  <c r="Q397" i="48" a="1"/>
  <c r="Q397" i="48" s="1"/>
  <c r="S397" i="48"/>
  <c r="U397" i="48" a="1"/>
  <c r="U397" i="48" s="1"/>
  <c r="Q398" i="48" a="1"/>
  <c r="Q398" i="48" s="1"/>
  <c r="S398" i="48"/>
  <c r="U398" i="48" a="1"/>
  <c r="U398" i="48" s="1"/>
  <c r="Q399" i="48" a="1"/>
  <c r="Q399" i="48" s="1"/>
  <c r="S399" i="48"/>
  <c r="U399" i="48" a="1"/>
  <c r="U399" i="48" s="1"/>
  <c r="Q400" i="48" a="1"/>
  <c r="Q400" i="48" s="1"/>
  <c r="S400" i="48"/>
  <c r="U400" i="48" a="1"/>
  <c r="U400" i="48" s="1"/>
  <c r="Q401" i="48" a="1"/>
  <c r="Q401" i="48" s="1"/>
  <c r="S401" i="48"/>
  <c r="U401" i="48" a="1"/>
  <c r="U401" i="48" s="1"/>
  <c r="Q402" i="48" a="1"/>
  <c r="Q402" i="48" s="1"/>
  <c r="S402" i="48"/>
  <c r="U402" i="48" a="1"/>
  <c r="U402" i="48" s="1"/>
  <c r="Q403" i="48" a="1"/>
  <c r="Q403" i="48" s="1"/>
  <c r="S403" i="48"/>
  <c r="U403" i="48" a="1"/>
  <c r="U403" i="48" s="1"/>
  <c r="Q404" i="48" a="1"/>
  <c r="Q404" i="48" s="1"/>
  <c r="S404" i="48"/>
  <c r="U404" i="48" a="1"/>
  <c r="U404" i="48" s="1"/>
  <c r="N163" i="48"/>
  <c r="L5" i="48" a="1"/>
  <c r="L5" i="48" s="1"/>
  <c r="N5" i="48"/>
  <c r="P5" i="48" a="1"/>
  <c r="P5" i="48" s="1"/>
  <c r="L6" i="48" a="1"/>
  <c r="L6" i="48" s="1"/>
  <c r="N6" i="48"/>
  <c r="P6" i="48" a="1"/>
  <c r="P6" i="48" s="1"/>
  <c r="L7" i="48" a="1"/>
  <c r="L7" i="48" s="1"/>
  <c r="N7" i="48"/>
  <c r="P7" i="48" a="1"/>
  <c r="P7" i="48" s="1"/>
  <c r="L8" i="48" a="1"/>
  <c r="L8" i="48" s="1"/>
  <c r="N8" i="48"/>
  <c r="P8" i="48" s="1" a="1"/>
  <c r="P8" i="48" s="1"/>
  <c r="L9" i="48" a="1"/>
  <c r="L9" i="48" s="1"/>
  <c r="N9" i="48"/>
  <c r="P9" i="48" a="1"/>
  <c r="P9" i="48" s="1"/>
  <c r="L10" i="48" a="1"/>
  <c r="L10" i="48" s="1"/>
  <c r="N10" i="48"/>
  <c r="P10" i="48" a="1"/>
  <c r="P10" i="48" s="1"/>
  <c r="L11" i="48" a="1"/>
  <c r="L11" i="48" s="1"/>
  <c r="N11" i="48"/>
  <c r="P11" i="48" s="1" a="1"/>
  <c r="P11" i="48" s="1"/>
  <c r="L12" i="48" a="1"/>
  <c r="L12" i="48" s="1"/>
  <c r="N12" i="48"/>
  <c r="P12" i="48" s="1" a="1"/>
  <c r="P12" i="48" s="1"/>
  <c r="L13" i="48" a="1"/>
  <c r="L13" i="48" s="1"/>
  <c r="N13" i="48"/>
  <c r="P13" i="48" s="1" a="1"/>
  <c r="P13" i="48" s="1"/>
  <c r="L14" i="48" a="1"/>
  <c r="L14" i="48" s="1"/>
  <c r="N14" i="48"/>
  <c r="P14" i="48" a="1"/>
  <c r="P14" i="48" s="1"/>
  <c r="L15" i="48" a="1"/>
  <c r="L15" i="48" s="1"/>
  <c r="N15" i="48"/>
  <c r="P15" i="48" s="1" a="1"/>
  <c r="P15" i="48" s="1"/>
  <c r="L16" i="48" a="1"/>
  <c r="L16" i="48" s="1"/>
  <c r="N16" i="48"/>
  <c r="P16" i="48" s="1" a="1"/>
  <c r="P16" i="48" s="1"/>
  <c r="L17" i="48" a="1"/>
  <c r="L17" i="48" s="1"/>
  <c r="N17" i="48"/>
  <c r="P17" i="48" a="1"/>
  <c r="P17" i="48" s="1"/>
  <c r="L18" i="48" a="1"/>
  <c r="L18" i="48" s="1"/>
  <c r="N18" i="48"/>
  <c r="P18" i="48" a="1"/>
  <c r="P18" i="48" s="1"/>
  <c r="L19" i="48" a="1"/>
  <c r="L19" i="48" s="1"/>
  <c r="N19" i="48"/>
  <c r="P19" i="48" s="1" a="1"/>
  <c r="P19" i="48" s="1"/>
  <c r="L20" i="48" a="1"/>
  <c r="L20" i="48" s="1"/>
  <c r="N20" i="48"/>
  <c r="P20" i="48" s="1" a="1"/>
  <c r="P20" i="48" s="1"/>
  <c r="L21" i="48" a="1"/>
  <c r="L21" i="48" s="1"/>
  <c r="N21" i="48"/>
  <c r="P21" i="48" s="1" a="1"/>
  <c r="P21" i="48" s="1"/>
  <c r="L22" i="48" a="1"/>
  <c r="L22" i="48" s="1"/>
  <c r="N22" i="48"/>
  <c r="P22" i="48" s="1" a="1"/>
  <c r="P22" i="48" s="1"/>
  <c r="L23" i="48" a="1"/>
  <c r="L23" i="48" s="1"/>
  <c r="N23" i="48"/>
  <c r="P23" i="48" s="1" a="1"/>
  <c r="P23" i="48" s="1"/>
  <c r="L24" i="48" a="1"/>
  <c r="L24" i="48" s="1"/>
  <c r="N24" i="48"/>
  <c r="P24" i="48" s="1" a="1"/>
  <c r="P24" i="48" s="1"/>
  <c r="L25" i="48" a="1"/>
  <c r="L25" i="48" s="1"/>
  <c r="N25" i="48"/>
  <c r="P25" i="48" s="1" a="1"/>
  <c r="P25" i="48" s="1"/>
  <c r="L26" i="48" a="1"/>
  <c r="L26" i="48" s="1"/>
  <c r="N26" i="48"/>
  <c r="P26" i="48" s="1" a="1"/>
  <c r="P26" i="48" s="1"/>
  <c r="L27" i="48" a="1"/>
  <c r="L27" i="48" s="1"/>
  <c r="N27" i="48"/>
  <c r="P27" i="48" s="1" a="1"/>
  <c r="P27" i="48" s="1"/>
  <c r="L28" i="48" a="1"/>
  <c r="L28" i="48" s="1"/>
  <c r="N28" i="48"/>
  <c r="P28" i="48" s="1" a="1"/>
  <c r="P28" i="48" s="1"/>
  <c r="L29" i="48" a="1"/>
  <c r="L29" i="48" s="1"/>
  <c r="N29" i="48"/>
  <c r="P29" i="48" s="1" a="1"/>
  <c r="P29" i="48" s="1"/>
  <c r="L30" i="48" a="1"/>
  <c r="L30" i="48" s="1"/>
  <c r="N30" i="48"/>
  <c r="P30" i="48" s="1" a="1"/>
  <c r="P30" i="48" s="1"/>
  <c r="L31" i="48" a="1"/>
  <c r="L31" i="48" s="1"/>
  <c r="N31" i="48"/>
  <c r="P31" i="48" s="1" a="1"/>
  <c r="P31" i="48" s="1"/>
  <c r="L32" i="48" a="1"/>
  <c r="L32" i="48" s="1"/>
  <c r="N32" i="48"/>
  <c r="P32" i="48" s="1" a="1"/>
  <c r="P32" i="48" s="1"/>
  <c r="L33" i="48" a="1"/>
  <c r="L33" i="48" s="1"/>
  <c r="N33" i="48"/>
  <c r="P33" i="48" s="1" a="1"/>
  <c r="P33" i="48" s="1"/>
  <c r="L34" i="48" a="1"/>
  <c r="L34" i="48" s="1"/>
  <c r="N34" i="48"/>
  <c r="P34" i="48" s="1" a="1"/>
  <c r="P34" i="48" s="1"/>
  <c r="L35" i="48" a="1"/>
  <c r="L35" i="48" s="1"/>
  <c r="N35" i="48"/>
  <c r="P35" i="48" a="1"/>
  <c r="P35" i="48" s="1"/>
  <c r="L36" i="48" a="1"/>
  <c r="L36" i="48" s="1"/>
  <c r="N36" i="48"/>
  <c r="P36" i="48" s="1" a="1"/>
  <c r="P36" i="48" s="1"/>
  <c r="L37" i="48" a="1"/>
  <c r="L37" i="48" s="1"/>
  <c r="N37" i="48"/>
  <c r="P37" i="48" s="1" a="1"/>
  <c r="P37" i="48" s="1"/>
  <c r="L38" i="48" a="1"/>
  <c r="L38" i="48" s="1"/>
  <c r="N38" i="48"/>
  <c r="P38" i="48" s="1" a="1"/>
  <c r="P38" i="48" s="1"/>
  <c r="L39" i="48" a="1"/>
  <c r="L39" i="48" s="1"/>
  <c r="N39" i="48"/>
  <c r="P39" i="48" s="1" a="1"/>
  <c r="P39" i="48" s="1"/>
  <c r="L40" i="48" a="1"/>
  <c r="L40" i="48" s="1"/>
  <c r="N40" i="48"/>
  <c r="P40" i="48" s="1" a="1"/>
  <c r="P40" i="48" s="1"/>
  <c r="L41" i="48" a="1"/>
  <c r="L41" i="48" s="1"/>
  <c r="N41" i="48"/>
  <c r="P41" i="48" s="1" a="1"/>
  <c r="P41" i="48" s="1"/>
  <c r="L42" i="48" a="1"/>
  <c r="L42" i="48" s="1"/>
  <c r="N42" i="48"/>
  <c r="P42" i="48" s="1" a="1"/>
  <c r="P42" i="48" s="1"/>
  <c r="L43" i="48" a="1"/>
  <c r="L43" i="48" s="1"/>
  <c r="N43" i="48"/>
  <c r="P43" i="48" s="1" a="1"/>
  <c r="P43" i="48" s="1"/>
  <c r="L44" i="48" a="1"/>
  <c r="L44" i="48" s="1"/>
  <c r="N44" i="48"/>
  <c r="P44" i="48" a="1"/>
  <c r="P44" i="48" s="1"/>
  <c r="L45" i="48" a="1"/>
  <c r="L45" i="48" s="1"/>
  <c r="N45" i="48"/>
  <c r="P45" i="48" s="1" a="1"/>
  <c r="P45" i="48" s="1"/>
  <c r="L46" i="48" a="1"/>
  <c r="L46" i="48" s="1"/>
  <c r="N46" i="48"/>
  <c r="P46" i="48" s="1" a="1"/>
  <c r="P46" i="48" s="1"/>
  <c r="L47" i="48" a="1"/>
  <c r="L47" i="48" s="1"/>
  <c r="N47" i="48"/>
  <c r="P47" i="48" a="1"/>
  <c r="P47" i="48" s="1"/>
  <c r="L48" i="48" a="1"/>
  <c r="L48" i="48" s="1"/>
  <c r="N48" i="48"/>
  <c r="P48" i="48" s="1" a="1"/>
  <c r="P48" i="48" s="1"/>
  <c r="L49" i="48" a="1"/>
  <c r="L49" i="48" s="1"/>
  <c r="N49" i="48"/>
  <c r="P49" i="48" s="1" a="1"/>
  <c r="P49" i="48" s="1"/>
  <c r="L50" i="48" a="1"/>
  <c r="L50" i="48" s="1"/>
  <c r="N50" i="48"/>
  <c r="P50" i="48" s="1" a="1"/>
  <c r="P50" i="48" s="1"/>
  <c r="L51" i="48" a="1"/>
  <c r="L51" i="48" s="1"/>
  <c r="N51" i="48"/>
  <c r="P51" i="48" s="1" a="1"/>
  <c r="P51" i="48" s="1"/>
  <c r="L52" i="48" a="1"/>
  <c r="L52" i="48" s="1"/>
  <c r="N52" i="48"/>
  <c r="P52" i="48" s="1" a="1"/>
  <c r="P52" i="48" s="1"/>
  <c r="L53" i="48" a="1"/>
  <c r="L53" i="48" s="1"/>
  <c r="N53" i="48"/>
  <c r="P53" i="48" s="1" a="1"/>
  <c r="P53" i="48" s="1"/>
  <c r="L54" i="48" a="1"/>
  <c r="L54" i="48" s="1"/>
  <c r="N54" i="48"/>
  <c r="P54" i="48" s="1" a="1"/>
  <c r="P54" i="48" s="1"/>
  <c r="L55" i="48" a="1"/>
  <c r="L55" i="48" s="1"/>
  <c r="N55" i="48"/>
  <c r="P55" i="48" s="1" a="1"/>
  <c r="P55" i="48" s="1"/>
  <c r="L56" i="48" a="1"/>
  <c r="L56" i="48" s="1"/>
  <c r="N56" i="48"/>
  <c r="P56" i="48" s="1" a="1"/>
  <c r="P56" i="48" s="1"/>
  <c r="L57" i="48" a="1"/>
  <c r="L57" i="48" s="1"/>
  <c r="N57" i="48"/>
  <c r="P57" i="48" s="1" a="1"/>
  <c r="P57" i="48" s="1"/>
  <c r="L58" i="48" a="1"/>
  <c r="L58" i="48" s="1"/>
  <c r="N58" i="48"/>
  <c r="P58" i="48" s="1" a="1"/>
  <c r="P58" i="48" s="1"/>
  <c r="L59" i="48" a="1"/>
  <c r="L59" i="48" s="1"/>
  <c r="N59" i="48"/>
  <c r="P59" i="48" s="1" a="1"/>
  <c r="P59" i="48" s="1"/>
  <c r="L60" i="48" a="1"/>
  <c r="L60" i="48" s="1"/>
  <c r="N60" i="48"/>
  <c r="P60" i="48" s="1" a="1"/>
  <c r="P60" i="48" s="1"/>
  <c r="L61" i="48" a="1"/>
  <c r="L61" i="48" s="1"/>
  <c r="N61" i="48"/>
  <c r="P61" i="48" s="1" a="1"/>
  <c r="P61" i="48" s="1"/>
  <c r="L62" i="48" a="1"/>
  <c r="L62" i="48" s="1"/>
  <c r="N62" i="48"/>
  <c r="P62" i="48" s="1" a="1"/>
  <c r="P62" i="48" s="1"/>
  <c r="L63" i="48" a="1"/>
  <c r="L63" i="48" s="1"/>
  <c r="N63" i="48"/>
  <c r="P63" i="48" s="1" a="1"/>
  <c r="P63" i="48" s="1"/>
  <c r="L64" i="48" a="1"/>
  <c r="L64" i="48" s="1"/>
  <c r="N64" i="48"/>
  <c r="P64" i="48" a="1"/>
  <c r="P64" i="48" s="1"/>
  <c r="L65" i="48" a="1"/>
  <c r="L65" i="48" s="1"/>
  <c r="N65" i="48"/>
  <c r="P65" i="48" s="1" a="1"/>
  <c r="P65" i="48" s="1"/>
  <c r="L66" i="48" a="1"/>
  <c r="L66" i="48" s="1"/>
  <c r="N66" i="48"/>
  <c r="P66" i="48" s="1" a="1"/>
  <c r="P66" i="48" s="1"/>
  <c r="L67" i="48" a="1"/>
  <c r="L67" i="48" s="1"/>
  <c r="N67" i="48"/>
  <c r="P67" i="48" s="1" a="1"/>
  <c r="P67" i="48" s="1"/>
  <c r="L68" i="48" a="1"/>
  <c r="L68" i="48" s="1"/>
  <c r="N68" i="48"/>
  <c r="P68" i="48" s="1" a="1"/>
  <c r="P68" i="48" s="1"/>
  <c r="L69" i="48" a="1"/>
  <c r="L69" i="48" s="1"/>
  <c r="N69" i="48"/>
  <c r="P69" i="48" s="1" a="1"/>
  <c r="P69" i="48" s="1"/>
  <c r="L70" i="48" a="1"/>
  <c r="L70" i="48" s="1"/>
  <c r="N70" i="48"/>
  <c r="P70" i="48" s="1" a="1"/>
  <c r="P70" i="48" s="1"/>
  <c r="L71" i="48" a="1"/>
  <c r="L71" i="48" s="1"/>
  <c r="N71" i="48"/>
  <c r="P71" i="48" s="1" a="1"/>
  <c r="P71" i="48" s="1"/>
  <c r="L72" i="48" a="1"/>
  <c r="L72" i="48" s="1"/>
  <c r="N72" i="48"/>
  <c r="P72" i="48" s="1" a="1"/>
  <c r="P72" i="48" s="1"/>
  <c r="L73" i="48" a="1"/>
  <c r="L73" i="48" s="1"/>
  <c r="N73" i="48"/>
  <c r="P73" i="48" a="1"/>
  <c r="P73" i="48" s="1"/>
  <c r="L74" i="48" a="1"/>
  <c r="L74" i="48" s="1"/>
  <c r="N74" i="48"/>
  <c r="P74" i="48" s="1" a="1"/>
  <c r="P74" i="48" s="1"/>
  <c r="L75" i="48" a="1"/>
  <c r="L75" i="48" s="1"/>
  <c r="N75" i="48"/>
  <c r="P75" i="48" s="1" a="1"/>
  <c r="P75" i="48" s="1"/>
  <c r="L76" i="48" a="1"/>
  <c r="L76" i="48" s="1"/>
  <c r="N76" i="48"/>
  <c r="P76" i="48" s="1" a="1"/>
  <c r="P76" i="48" s="1"/>
  <c r="L77" i="48" a="1"/>
  <c r="L77" i="48" s="1"/>
  <c r="N77" i="48"/>
  <c r="P77" i="48" a="1"/>
  <c r="P77" i="48" s="1"/>
  <c r="L78" i="48" a="1"/>
  <c r="L78" i="48" s="1"/>
  <c r="N78" i="48"/>
  <c r="P78" i="48" s="1" a="1"/>
  <c r="P78" i="48" s="1"/>
  <c r="L79" i="48" a="1"/>
  <c r="L79" i="48" s="1"/>
  <c r="N79" i="48"/>
  <c r="P79" i="48" s="1" a="1"/>
  <c r="P79" i="48" s="1"/>
  <c r="L80" i="48" a="1"/>
  <c r="L80" i="48" s="1"/>
  <c r="N80" i="48"/>
  <c r="P80" i="48" s="1" a="1"/>
  <c r="P80" i="48" s="1"/>
  <c r="L81" i="48" a="1"/>
  <c r="L81" i="48" s="1"/>
  <c r="N81" i="48"/>
  <c r="P81" i="48" s="1" a="1"/>
  <c r="P81" i="48" s="1"/>
  <c r="L82" i="48" a="1"/>
  <c r="L82" i="48" s="1"/>
  <c r="N82" i="48"/>
  <c r="P82" i="48" s="1" a="1"/>
  <c r="P82" i="48" s="1"/>
  <c r="L83" i="48" a="1"/>
  <c r="L83" i="48" s="1"/>
  <c r="N83" i="48"/>
  <c r="P83" i="48" a="1"/>
  <c r="P83" i="48" s="1"/>
  <c r="L84" i="48" a="1"/>
  <c r="L84" i="48" s="1"/>
  <c r="N84" i="48"/>
  <c r="P84" i="48" s="1" a="1"/>
  <c r="P84" i="48" s="1"/>
  <c r="L85" i="48" a="1"/>
  <c r="L85" i="48" s="1"/>
  <c r="N85" i="48"/>
  <c r="P85" i="48" s="1" a="1"/>
  <c r="P85" i="48" s="1"/>
  <c r="L86" i="48" a="1"/>
  <c r="L86" i="48" s="1"/>
  <c r="N86" i="48"/>
  <c r="P86" i="48" s="1" a="1"/>
  <c r="P86" i="48" s="1"/>
  <c r="L87" i="48" a="1"/>
  <c r="L87" i="48" s="1"/>
  <c r="N87" i="48"/>
  <c r="P87" i="48" s="1" a="1"/>
  <c r="P87" i="48" s="1"/>
  <c r="L88" i="48" a="1"/>
  <c r="L88" i="48" s="1"/>
  <c r="N88" i="48"/>
  <c r="P88" i="48" s="1" a="1"/>
  <c r="P88" i="48" s="1"/>
  <c r="L89" i="48" a="1"/>
  <c r="L89" i="48" s="1"/>
  <c r="N89" i="48"/>
  <c r="P89" i="48" s="1" a="1"/>
  <c r="P89" i="48" s="1"/>
  <c r="L90" i="48" a="1"/>
  <c r="L90" i="48" s="1"/>
  <c r="N90" i="48"/>
  <c r="P90" i="48" a="1"/>
  <c r="P90" i="48" s="1"/>
  <c r="L91" i="48" a="1"/>
  <c r="L91" i="48" s="1"/>
  <c r="N91" i="48"/>
  <c r="P91" i="48" s="1" a="1"/>
  <c r="P91" i="48" s="1"/>
  <c r="L92" i="48" a="1"/>
  <c r="L92" i="48" s="1"/>
  <c r="N92" i="48"/>
  <c r="P92" i="48" s="1" a="1"/>
  <c r="P92" i="48" s="1"/>
  <c r="L93" i="48" a="1"/>
  <c r="L93" i="48" s="1"/>
  <c r="N93" i="48"/>
  <c r="P93" i="48" s="1" a="1"/>
  <c r="P93" i="48" s="1"/>
  <c r="L94" i="48" a="1"/>
  <c r="L94" i="48" s="1"/>
  <c r="N94" i="48"/>
  <c r="P94" i="48" a="1"/>
  <c r="P94" i="48" s="1"/>
  <c r="L95" i="48" a="1"/>
  <c r="L95" i="48" s="1"/>
  <c r="N95" i="48"/>
  <c r="P95" i="48" s="1" a="1"/>
  <c r="P95" i="48" s="1"/>
  <c r="L96" i="48" a="1"/>
  <c r="L96" i="48" s="1"/>
  <c r="N96" i="48"/>
  <c r="P96" i="48" s="1" a="1"/>
  <c r="P96" i="48" s="1"/>
  <c r="L97" i="48" a="1"/>
  <c r="L97" i="48" s="1"/>
  <c r="N97" i="48"/>
  <c r="P97" i="48" s="1" a="1"/>
  <c r="P97" i="48" s="1"/>
  <c r="L98" i="48" a="1"/>
  <c r="L98" i="48" s="1"/>
  <c r="N98" i="48"/>
  <c r="P98" i="48" a="1"/>
  <c r="P98" i="48" s="1"/>
  <c r="L99" i="48" a="1"/>
  <c r="L99" i="48" s="1"/>
  <c r="N99" i="48"/>
  <c r="P99" i="48" s="1" a="1"/>
  <c r="P99" i="48" s="1"/>
  <c r="L100" i="48" a="1"/>
  <c r="L100" i="48" s="1"/>
  <c r="N100" i="48"/>
  <c r="P100" i="48" a="1"/>
  <c r="P100" i="48" s="1"/>
  <c r="L101" i="48" a="1"/>
  <c r="L101" i="48" s="1"/>
  <c r="N101" i="48"/>
  <c r="P101" i="48" a="1"/>
  <c r="P101" i="48" s="1"/>
  <c r="L102" i="48" a="1"/>
  <c r="L102" i="48" s="1"/>
  <c r="N102" i="48"/>
  <c r="P102" i="48" s="1" a="1"/>
  <c r="P102" i="48" s="1"/>
  <c r="L103" i="48" a="1"/>
  <c r="L103" i="48" s="1"/>
  <c r="N103" i="48"/>
  <c r="P103" i="48" s="1" a="1"/>
  <c r="P103" i="48" s="1"/>
  <c r="L104" i="48" a="1"/>
  <c r="L104" i="48" s="1"/>
  <c r="N104" i="48"/>
  <c r="P104" i="48" s="1" a="1"/>
  <c r="P104" i="48" s="1"/>
  <c r="L105" i="48" a="1"/>
  <c r="L105" i="48" s="1"/>
  <c r="N105" i="48"/>
  <c r="P105" i="48" s="1" a="1"/>
  <c r="P105" i="48" s="1"/>
  <c r="L106" i="48" a="1"/>
  <c r="L106" i="48" s="1"/>
  <c r="N106" i="48"/>
  <c r="P106" i="48" s="1" a="1"/>
  <c r="P106" i="48" s="1"/>
  <c r="L107" i="48" a="1"/>
  <c r="L107" i="48" s="1"/>
  <c r="N107" i="48"/>
  <c r="P107" i="48" s="1" a="1"/>
  <c r="P107" i="48" s="1"/>
  <c r="L108" i="48" a="1"/>
  <c r="L108" i="48" s="1"/>
  <c r="N108" i="48"/>
  <c r="P108" i="48" s="1" a="1"/>
  <c r="P108" i="48" s="1"/>
  <c r="L109" i="48" a="1"/>
  <c r="L109" i="48" s="1"/>
  <c r="N109" i="48"/>
  <c r="P109" i="48" s="1" a="1"/>
  <c r="P109" i="48" s="1"/>
  <c r="L110" i="48" a="1"/>
  <c r="L110" i="48" s="1"/>
  <c r="N110" i="48"/>
  <c r="P110" i="48" s="1" a="1"/>
  <c r="P110" i="48" s="1"/>
  <c r="L111" i="48" a="1"/>
  <c r="L111" i="48" s="1"/>
  <c r="N111" i="48"/>
  <c r="P111" i="48" s="1" a="1"/>
  <c r="P111" i="48" s="1"/>
  <c r="L112" i="48" a="1"/>
  <c r="L112" i="48" s="1"/>
  <c r="N112" i="48"/>
  <c r="P112" i="48" s="1" a="1"/>
  <c r="P112" i="48" s="1"/>
  <c r="L113" i="48" a="1"/>
  <c r="L113" i="48" s="1"/>
  <c r="N113" i="48"/>
  <c r="P113" i="48" s="1" a="1"/>
  <c r="P113" i="48" s="1"/>
  <c r="L114" i="48" a="1"/>
  <c r="L114" i="48" s="1"/>
  <c r="N114" i="48"/>
  <c r="P114" i="48" s="1" a="1"/>
  <c r="P114" i="48" s="1"/>
  <c r="L115" i="48" a="1"/>
  <c r="L115" i="48" s="1"/>
  <c r="N115" i="48"/>
  <c r="P115" i="48" s="1" a="1"/>
  <c r="P115" i="48" s="1"/>
  <c r="L116" i="48" a="1"/>
  <c r="L116" i="48" s="1"/>
  <c r="N116" i="48"/>
  <c r="P116" i="48" a="1"/>
  <c r="P116" i="48" s="1"/>
  <c r="L117" i="48" a="1"/>
  <c r="L117" i="48" s="1"/>
  <c r="N117" i="48"/>
  <c r="P117" i="48" a="1"/>
  <c r="P117" i="48" s="1"/>
  <c r="L118" i="48" a="1"/>
  <c r="L118" i="48" s="1"/>
  <c r="N118" i="48"/>
  <c r="P118" i="48" a="1"/>
  <c r="P118" i="48" s="1"/>
  <c r="L119" i="48" a="1"/>
  <c r="L119" i="48" s="1"/>
  <c r="N119" i="48"/>
  <c r="P119" i="48" s="1" a="1"/>
  <c r="P119" i="48" s="1"/>
  <c r="L120" i="48" a="1"/>
  <c r="L120" i="48" s="1"/>
  <c r="N120" i="48"/>
  <c r="P120" i="48" s="1" a="1"/>
  <c r="P120" i="48" s="1"/>
  <c r="L121" i="48" a="1"/>
  <c r="L121" i="48" s="1"/>
  <c r="N121" i="48"/>
  <c r="P121" i="48" s="1" a="1"/>
  <c r="P121" i="48" s="1"/>
  <c r="L122" i="48" a="1"/>
  <c r="L122" i="48" s="1"/>
  <c r="N122" i="48"/>
  <c r="P122" i="48" s="1" a="1"/>
  <c r="P122" i="48" s="1"/>
  <c r="L123" i="48" a="1"/>
  <c r="L123" i="48" s="1"/>
  <c r="N123" i="48"/>
  <c r="P123" i="48" s="1" a="1"/>
  <c r="P123" i="48" s="1"/>
  <c r="L124" i="48" a="1"/>
  <c r="L124" i="48" s="1"/>
  <c r="N124" i="48"/>
  <c r="P124" i="48" s="1" a="1"/>
  <c r="P124" i="48" s="1"/>
  <c r="L125" i="48" a="1"/>
  <c r="L125" i="48" s="1"/>
  <c r="N125" i="48"/>
  <c r="P125" i="48" s="1" a="1"/>
  <c r="P125" i="48" s="1"/>
  <c r="L126" i="48" a="1"/>
  <c r="L126" i="48" s="1"/>
  <c r="N126" i="48"/>
  <c r="P126" i="48" a="1"/>
  <c r="P126" i="48" s="1"/>
  <c r="L127" i="48" a="1"/>
  <c r="L127" i="48" s="1"/>
  <c r="N127" i="48"/>
  <c r="P127" i="48" s="1" a="1"/>
  <c r="P127" i="48" s="1"/>
  <c r="L128" i="48" a="1"/>
  <c r="L128" i="48" s="1"/>
  <c r="N128" i="48"/>
  <c r="P128" i="48" s="1" a="1"/>
  <c r="P128" i="48" s="1"/>
  <c r="L129" i="48" a="1"/>
  <c r="L129" i="48" s="1"/>
  <c r="N129" i="48"/>
  <c r="P129" i="48" s="1" a="1"/>
  <c r="P129" i="48" s="1"/>
  <c r="L130" i="48" a="1"/>
  <c r="L130" i="48" s="1"/>
  <c r="N130" i="48"/>
  <c r="P130" i="48" s="1" a="1"/>
  <c r="P130" i="48" s="1"/>
  <c r="L131" i="48" a="1"/>
  <c r="L131" i="48" s="1"/>
  <c r="N131" i="48"/>
  <c r="P131" i="48" s="1" a="1"/>
  <c r="P131" i="48" s="1"/>
  <c r="L132" i="48" a="1"/>
  <c r="L132" i="48" s="1"/>
  <c r="N132" i="48"/>
  <c r="P132" i="48" s="1" a="1"/>
  <c r="P132" i="48" s="1"/>
  <c r="L133" i="48" a="1"/>
  <c r="L133" i="48" s="1"/>
  <c r="N133" i="48"/>
  <c r="P133" i="48" s="1" a="1"/>
  <c r="P133" i="48" s="1"/>
  <c r="L134" i="48" a="1"/>
  <c r="L134" i="48" s="1"/>
  <c r="N134" i="48"/>
  <c r="P134" i="48" s="1" a="1"/>
  <c r="P134" i="48" s="1"/>
  <c r="L135" i="48" a="1"/>
  <c r="L135" i="48" s="1"/>
  <c r="N135" i="48"/>
  <c r="P135" i="48" s="1" a="1"/>
  <c r="P135" i="48" s="1"/>
  <c r="L136" i="48" a="1"/>
  <c r="L136" i="48" s="1"/>
  <c r="N136" i="48"/>
  <c r="P136" i="48" s="1" a="1"/>
  <c r="P136" i="48" s="1"/>
  <c r="L137" i="48" a="1"/>
  <c r="L137" i="48" s="1"/>
  <c r="N137" i="48"/>
  <c r="P137" i="48" s="1" a="1"/>
  <c r="P137" i="48" s="1"/>
  <c r="L138" i="48" a="1"/>
  <c r="L138" i="48" s="1"/>
  <c r="N138" i="48"/>
  <c r="P138" i="48" s="1" a="1"/>
  <c r="P138" i="48" s="1"/>
  <c r="L139" i="48" a="1"/>
  <c r="L139" i="48" s="1"/>
  <c r="N139" i="48"/>
  <c r="P139" i="48" s="1" a="1"/>
  <c r="P139" i="48" s="1"/>
  <c r="L140" i="48" a="1"/>
  <c r="L140" i="48" s="1"/>
  <c r="N140" i="48"/>
  <c r="P140" i="48" s="1" a="1"/>
  <c r="P140" i="48" s="1"/>
  <c r="L141" i="48" a="1"/>
  <c r="L141" i="48" s="1"/>
  <c r="N141" i="48"/>
  <c r="P141" i="48" s="1" a="1"/>
  <c r="P141" i="48" s="1"/>
  <c r="L142" i="48" a="1"/>
  <c r="L142" i="48" s="1"/>
  <c r="N142" i="48"/>
  <c r="P142" i="48" s="1" a="1"/>
  <c r="P142" i="48" s="1"/>
  <c r="L143" i="48" a="1"/>
  <c r="L143" i="48" s="1"/>
  <c r="N143" i="48"/>
  <c r="P143" i="48" s="1" a="1"/>
  <c r="P143" i="48" s="1"/>
  <c r="L144" i="48" a="1"/>
  <c r="L144" i="48" s="1"/>
  <c r="N144" i="48"/>
  <c r="P144" i="48" s="1" a="1"/>
  <c r="P144" i="48" s="1"/>
  <c r="L145" i="48" a="1"/>
  <c r="L145" i="48" s="1"/>
  <c r="N145" i="48"/>
  <c r="P145" i="48" s="1" a="1"/>
  <c r="P145" i="48" s="1"/>
  <c r="L146" i="48" a="1"/>
  <c r="L146" i="48" s="1"/>
  <c r="N146" i="48"/>
  <c r="P146" i="48" s="1" a="1"/>
  <c r="P146" i="48" s="1"/>
  <c r="L147" i="48" a="1"/>
  <c r="L147" i="48" s="1"/>
  <c r="N147" i="48"/>
  <c r="P147" i="48" s="1" a="1"/>
  <c r="P147" i="48" s="1"/>
  <c r="L148" i="48" a="1"/>
  <c r="L148" i="48" s="1"/>
  <c r="N148" i="48"/>
  <c r="P148" i="48" s="1" a="1"/>
  <c r="P148" i="48" s="1"/>
  <c r="L149" i="48" a="1"/>
  <c r="L149" i="48" s="1"/>
  <c r="N149" i="48"/>
  <c r="P149" i="48" s="1" a="1"/>
  <c r="P149" i="48" s="1"/>
  <c r="L150" i="48" a="1"/>
  <c r="L150" i="48" s="1"/>
  <c r="N150" i="48"/>
  <c r="P150" i="48" s="1" a="1"/>
  <c r="P150" i="48" s="1"/>
  <c r="L151" i="48" a="1"/>
  <c r="L151" i="48" s="1"/>
  <c r="N151" i="48"/>
  <c r="P151" i="48" s="1" a="1"/>
  <c r="P151" i="48" s="1"/>
  <c r="L152" i="48" a="1"/>
  <c r="L152" i="48" s="1"/>
  <c r="N152" i="48"/>
  <c r="P152" i="48" s="1" a="1"/>
  <c r="P152" i="48" s="1"/>
  <c r="L153" i="48" a="1"/>
  <c r="L153" i="48" s="1"/>
  <c r="N153" i="48"/>
  <c r="P153" i="48" s="1" a="1"/>
  <c r="P153" i="48" s="1"/>
  <c r="L154" i="48" a="1"/>
  <c r="L154" i="48" s="1"/>
  <c r="N154" i="48"/>
  <c r="P154" i="48" s="1" a="1"/>
  <c r="P154" i="48" s="1"/>
  <c r="L155" i="48" a="1"/>
  <c r="L155" i="48" s="1"/>
  <c r="N155" i="48"/>
  <c r="P155" i="48" s="1" a="1"/>
  <c r="P155" i="48" s="1"/>
  <c r="L156" i="48" a="1"/>
  <c r="L156" i="48" s="1"/>
  <c r="N156" i="48"/>
  <c r="P156" i="48" s="1" a="1"/>
  <c r="P156" i="48" s="1"/>
  <c r="L157" i="48" a="1"/>
  <c r="L157" i="48" s="1"/>
  <c r="N157" i="48"/>
  <c r="P157" i="48" s="1" a="1"/>
  <c r="P157" i="48" s="1"/>
  <c r="L158" i="48" a="1"/>
  <c r="L158" i="48" s="1"/>
  <c r="N158" i="48"/>
  <c r="P158" i="48" s="1" a="1"/>
  <c r="P158" i="48" s="1"/>
  <c r="L159" i="48" a="1"/>
  <c r="L159" i="48" s="1"/>
  <c r="N159" i="48"/>
  <c r="P159" i="48" s="1" a="1"/>
  <c r="P159" i="48" s="1"/>
  <c r="L160" i="48" a="1"/>
  <c r="L160" i="48" s="1"/>
  <c r="N160" i="48"/>
  <c r="P160" i="48" s="1" a="1"/>
  <c r="P160" i="48" s="1"/>
  <c r="L161" i="48" a="1"/>
  <c r="L161" i="48" s="1"/>
  <c r="N161" i="48"/>
  <c r="P161" i="48" s="1" a="1"/>
  <c r="P161" i="48" s="1"/>
  <c r="L162" i="48" a="1"/>
  <c r="L162" i="48" s="1"/>
  <c r="N162" i="48"/>
  <c r="P162" i="48" s="1" a="1"/>
  <c r="P162" i="48" s="1"/>
  <c r="L163" i="48" a="1"/>
  <c r="L163" i="48" s="1"/>
  <c r="P163" i="48" a="1"/>
  <c r="P163" i="48" s="1"/>
  <c r="L164" i="48" a="1"/>
  <c r="L164" i="48" s="1"/>
  <c r="N164" i="48"/>
  <c r="P164" i="48" s="1" a="1"/>
  <c r="P164" i="48" s="1"/>
  <c r="L165" i="48" a="1"/>
  <c r="L165" i="48" s="1"/>
  <c r="N165" i="48"/>
  <c r="P165" i="48" s="1" a="1"/>
  <c r="P165" i="48" s="1"/>
  <c r="L166" i="48" a="1"/>
  <c r="L166" i="48" s="1"/>
  <c r="N166" i="48"/>
  <c r="P166" i="48" s="1" a="1"/>
  <c r="P166" i="48" s="1"/>
  <c r="L167" i="48" a="1"/>
  <c r="L167" i="48" s="1"/>
  <c r="N167" i="48"/>
  <c r="P167" i="48" s="1" a="1"/>
  <c r="P167" i="48" s="1"/>
  <c r="L168" i="48" a="1"/>
  <c r="L168" i="48" s="1"/>
  <c r="N168" i="48"/>
  <c r="P168" i="48" s="1" a="1"/>
  <c r="P168" i="48" s="1"/>
  <c r="L169" i="48" a="1"/>
  <c r="L169" i="48" s="1"/>
  <c r="N169" i="48"/>
  <c r="P169" i="48" s="1" a="1"/>
  <c r="P169" i="48" s="1"/>
  <c r="L170" i="48" a="1"/>
  <c r="L170" i="48" s="1"/>
  <c r="N170" i="48"/>
  <c r="P170" i="48" s="1" a="1"/>
  <c r="P170" i="48" s="1"/>
  <c r="L171" i="48" a="1"/>
  <c r="L171" i="48" s="1"/>
  <c r="N171" i="48"/>
  <c r="P171" i="48" s="1" a="1"/>
  <c r="P171" i="48" s="1"/>
  <c r="L172" i="48" a="1"/>
  <c r="L172" i="48" s="1"/>
  <c r="N172" i="48"/>
  <c r="P172" i="48" s="1" a="1"/>
  <c r="P172" i="48" s="1"/>
  <c r="L173" i="48" a="1"/>
  <c r="L173" i="48" s="1"/>
  <c r="N173" i="48"/>
  <c r="P173" i="48" s="1" a="1"/>
  <c r="P173" i="48" s="1"/>
  <c r="L174" i="48" a="1"/>
  <c r="L174" i="48" s="1"/>
  <c r="N174" i="48"/>
  <c r="P174" i="48" s="1" a="1"/>
  <c r="P174" i="48" s="1"/>
  <c r="L175" i="48" a="1"/>
  <c r="L175" i="48" s="1"/>
  <c r="N175" i="48"/>
  <c r="P175" i="48" s="1" a="1"/>
  <c r="P175" i="48" s="1"/>
  <c r="L176" i="48" a="1"/>
  <c r="L176" i="48" s="1"/>
  <c r="N176" i="48"/>
  <c r="P176" i="48" s="1" a="1"/>
  <c r="P176" i="48" s="1"/>
  <c r="L177" i="48" a="1"/>
  <c r="L177" i="48" s="1"/>
  <c r="N177" i="48"/>
  <c r="P177" i="48" s="1" a="1"/>
  <c r="P177" i="48" s="1"/>
  <c r="L178" i="48" a="1"/>
  <c r="L178" i="48" s="1"/>
  <c r="N178" i="48"/>
  <c r="P178" i="48" s="1" a="1"/>
  <c r="P178" i="48" s="1"/>
  <c r="L179" i="48" a="1"/>
  <c r="L179" i="48" s="1"/>
  <c r="N179" i="48"/>
  <c r="P179" i="48" s="1" a="1"/>
  <c r="P179" i="48" s="1"/>
  <c r="L180" i="48" a="1"/>
  <c r="L180" i="48" s="1"/>
  <c r="N180" i="48"/>
  <c r="P180" i="48" s="1" a="1"/>
  <c r="P180" i="48" s="1"/>
  <c r="L181" i="48" a="1"/>
  <c r="L181" i="48" s="1"/>
  <c r="N181" i="48"/>
  <c r="P181" i="48" s="1" a="1"/>
  <c r="P181" i="48" s="1"/>
  <c r="L182" i="48" a="1"/>
  <c r="L182" i="48" s="1"/>
  <c r="N182" i="48"/>
  <c r="P182" i="48" s="1" a="1"/>
  <c r="P182" i="48" s="1"/>
  <c r="L183" i="48" a="1"/>
  <c r="L183" i="48" s="1"/>
  <c r="N183" i="48"/>
  <c r="P183" i="48" s="1" a="1"/>
  <c r="P183" i="48" s="1"/>
  <c r="L184" i="48" a="1"/>
  <c r="L184" i="48" s="1"/>
  <c r="N184" i="48"/>
  <c r="P184" i="48" s="1" a="1"/>
  <c r="P184" i="48" s="1"/>
  <c r="L185" i="48" a="1"/>
  <c r="L185" i="48" s="1"/>
  <c r="N185" i="48"/>
  <c r="P185" i="48" s="1" a="1"/>
  <c r="P185" i="48" s="1"/>
  <c r="L186" i="48" a="1"/>
  <c r="L186" i="48" s="1"/>
  <c r="N186" i="48"/>
  <c r="P186" i="48" s="1" a="1"/>
  <c r="P186" i="48" s="1"/>
  <c r="L187" i="48" a="1"/>
  <c r="L187" i="48" s="1"/>
  <c r="N187" i="48"/>
  <c r="P187" i="48" s="1" a="1"/>
  <c r="P187" i="48" s="1"/>
  <c r="L188" i="48" a="1"/>
  <c r="L188" i="48" s="1"/>
  <c r="N188" i="48"/>
  <c r="P188" i="48" s="1" a="1"/>
  <c r="P188" i="48" s="1"/>
  <c r="L189" i="48" a="1"/>
  <c r="L189" i="48" s="1"/>
  <c r="N189" i="48"/>
  <c r="P189" i="48" s="1" a="1"/>
  <c r="P189" i="48" s="1"/>
  <c r="L190" i="48" a="1"/>
  <c r="L190" i="48" s="1"/>
  <c r="N190" i="48"/>
  <c r="P190" i="48" s="1" a="1"/>
  <c r="P190" i="48" s="1"/>
  <c r="L191" i="48" a="1"/>
  <c r="L191" i="48" s="1"/>
  <c r="N191" i="48"/>
  <c r="P191" i="48" s="1" a="1"/>
  <c r="P191" i="48" s="1"/>
  <c r="L192" i="48" a="1"/>
  <c r="L192" i="48" s="1"/>
  <c r="N192" i="48"/>
  <c r="P192" i="48" s="1" a="1"/>
  <c r="P192" i="48" s="1"/>
  <c r="L193" i="48" a="1"/>
  <c r="L193" i="48" s="1"/>
  <c r="N193" i="48"/>
  <c r="P193" i="48" s="1" a="1"/>
  <c r="P193" i="48" s="1"/>
  <c r="L194" i="48" a="1"/>
  <c r="L194" i="48" s="1"/>
  <c r="N194" i="48"/>
  <c r="P194" i="48" s="1" a="1"/>
  <c r="P194" i="48" s="1"/>
  <c r="L195" i="48" a="1"/>
  <c r="L195" i="48" s="1"/>
  <c r="N195" i="48"/>
  <c r="P195" i="48" s="1" a="1"/>
  <c r="P195" i="48" s="1"/>
  <c r="L196" i="48" a="1"/>
  <c r="L196" i="48" s="1"/>
  <c r="N196" i="48"/>
  <c r="P196" i="48" s="1" a="1"/>
  <c r="P196" i="48" s="1"/>
  <c r="L197" i="48" a="1"/>
  <c r="L197" i="48" s="1"/>
  <c r="N197" i="48"/>
  <c r="P197" i="48" s="1" a="1"/>
  <c r="P197" i="48" s="1"/>
  <c r="L198" i="48" a="1"/>
  <c r="L198" i="48" s="1"/>
  <c r="N198" i="48"/>
  <c r="P198" i="48" s="1" a="1"/>
  <c r="P198" i="48" s="1"/>
  <c r="L199" i="48" a="1"/>
  <c r="L199" i="48" s="1"/>
  <c r="N199" i="48"/>
  <c r="P199" i="48" s="1" a="1"/>
  <c r="P199" i="48" s="1"/>
  <c r="L200" i="48" a="1"/>
  <c r="L200" i="48" s="1"/>
  <c r="N200" i="48"/>
  <c r="P200" i="48" s="1" a="1"/>
  <c r="P200" i="48" s="1"/>
  <c r="L201" i="48" a="1"/>
  <c r="L201" i="48" s="1"/>
  <c r="N201" i="48"/>
  <c r="P201" i="48" s="1" a="1"/>
  <c r="P201" i="48" s="1"/>
  <c r="L202" i="48" a="1"/>
  <c r="L202" i="48" s="1"/>
  <c r="N202" i="48"/>
  <c r="P202" i="48" s="1" a="1"/>
  <c r="P202" i="48" s="1"/>
  <c r="L203" i="48" a="1"/>
  <c r="L203" i="48" s="1"/>
  <c r="N203" i="48"/>
  <c r="P203" i="48" s="1" a="1"/>
  <c r="P203" i="48" s="1"/>
  <c r="L204" i="48" a="1"/>
  <c r="L204" i="48" s="1"/>
  <c r="N204" i="48"/>
  <c r="P204" i="48" s="1" a="1"/>
  <c r="P204" i="48" s="1"/>
  <c r="L205" i="48" a="1"/>
  <c r="L205" i="48" s="1"/>
  <c r="N205" i="48"/>
  <c r="P205" i="48" s="1" a="1"/>
  <c r="P205" i="48" s="1"/>
  <c r="L206" i="48" a="1"/>
  <c r="L206" i="48" s="1"/>
  <c r="N206" i="48"/>
  <c r="P206" i="48" s="1" a="1"/>
  <c r="P206" i="48" s="1"/>
  <c r="L207" i="48" a="1"/>
  <c r="L207" i="48" s="1"/>
  <c r="N207" i="48"/>
  <c r="P207" i="48" s="1" a="1"/>
  <c r="P207" i="48" s="1"/>
  <c r="L208" i="48" a="1"/>
  <c r="L208" i="48" s="1"/>
  <c r="N208" i="48"/>
  <c r="P208" i="48" s="1" a="1"/>
  <c r="P208" i="48" s="1"/>
  <c r="L209" i="48" a="1"/>
  <c r="L209" i="48" s="1"/>
  <c r="N209" i="48"/>
  <c r="P209" i="48" s="1" a="1"/>
  <c r="P209" i="48" s="1"/>
  <c r="L210" i="48" a="1"/>
  <c r="L210" i="48" s="1"/>
  <c r="N210" i="48"/>
  <c r="P210" i="48" s="1" a="1"/>
  <c r="P210" i="48" s="1"/>
  <c r="L211" i="48" a="1"/>
  <c r="L211" i="48" s="1"/>
  <c r="N211" i="48"/>
  <c r="P211" i="48" s="1" a="1"/>
  <c r="P211" i="48" s="1"/>
  <c r="L212" i="48" a="1"/>
  <c r="L212" i="48" s="1"/>
  <c r="N212" i="48"/>
  <c r="P212" i="48" s="1" a="1"/>
  <c r="P212" i="48" s="1"/>
  <c r="L213" i="48" a="1"/>
  <c r="L213" i="48" s="1"/>
  <c r="N213" i="48"/>
  <c r="P213" i="48" s="1" a="1"/>
  <c r="P213" i="48" s="1"/>
  <c r="L214" i="48" a="1"/>
  <c r="L214" i="48" s="1"/>
  <c r="N214" i="48"/>
  <c r="P214" i="48" s="1" a="1"/>
  <c r="P214" i="48" s="1"/>
  <c r="L215" i="48" a="1"/>
  <c r="L215" i="48" s="1"/>
  <c r="N215" i="48"/>
  <c r="P215" i="48" s="1" a="1"/>
  <c r="P215" i="48" s="1"/>
  <c r="L216" i="48" a="1"/>
  <c r="L216" i="48" s="1"/>
  <c r="N216" i="48"/>
  <c r="P216" i="48" s="1" a="1"/>
  <c r="P216" i="48" s="1"/>
  <c r="L217" i="48" a="1"/>
  <c r="L217" i="48" s="1"/>
  <c r="N217" i="48"/>
  <c r="P217" i="48" s="1" a="1"/>
  <c r="P217" i="48" s="1"/>
  <c r="L218" i="48" a="1"/>
  <c r="L218" i="48" s="1"/>
  <c r="N218" i="48"/>
  <c r="P218" i="48" s="1" a="1"/>
  <c r="P218" i="48" s="1"/>
  <c r="L219" i="48" a="1"/>
  <c r="L219" i="48" s="1"/>
  <c r="N219" i="48"/>
  <c r="P219" i="48" s="1" a="1"/>
  <c r="P219" i="48" s="1"/>
  <c r="L220" i="48" a="1"/>
  <c r="L220" i="48" s="1"/>
  <c r="N220" i="48"/>
  <c r="P220" i="48" s="1" a="1"/>
  <c r="P220" i="48" s="1"/>
  <c r="L221" i="48" a="1"/>
  <c r="L221" i="48" s="1"/>
  <c r="N221" i="48"/>
  <c r="P221" i="48" s="1" a="1"/>
  <c r="P221" i="48" s="1"/>
  <c r="L222" i="48" a="1"/>
  <c r="L222" i="48" s="1"/>
  <c r="N222" i="48"/>
  <c r="P222" i="48" s="1" a="1"/>
  <c r="P222" i="48" s="1"/>
  <c r="L223" i="48" a="1"/>
  <c r="L223" i="48" s="1"/>
  <c r="N223" i="48"/>
  <c r="P223" i="48" s="1" a="1"/>
  <c r="P223" i="48" s="1"/>
  <c r="L224" i="48" a="1"/>
  <c r="L224" i="48" s="1"/>
  <c r="N224" i="48"/>
  <c r="P224" i="48" s="1" a="1"/>
  <c r="P224" i="48" s="1"/>
  <c r="L225" i="48" a="1"/>
  <c r="L225" i="48" s="1"/>
  <c r="N225" i="48"/>
  <c r="P225" i="48" s="1" a="1"/>
  <c r="P225" i="48" s="1"/>
  <c r="L226" i="48" a="1"/>
  <c r="L226" i="48" s="1"/>
  <c r="N226" i="48"/>
  <c r="P226" i="48" s="1" a="1"/>
  <c r="P226" i="48" s="1"/>
  <c r="L227" i="48" a="1"/>
  <c r="L227" i="48" s="1"/>
  <c r="N227" i="48"/>
  <c r="P227" i="48" s="1" a="1"/>
  <c r="P227" i="48" s="1"/>
  <c r="L228" i="48" a="1"/>
  <c r="L228" i="48" s="1"/>
  <c r="N228" i="48"/>
  <c r="P228" i="48" s="1" a="1"/>
  <c r="P228" i="48" s="1"/>
  <c r="L229" i="48" a="1"/>
  <c r="L229" i="48" s="1"/>
  <c r="N229" i="48"/>
  <c r="P229" i="48" s="1" a="1"/>
  <c r="P229" i="48" s="1"/>
  <c r="L230" i="48" a="1"/>
  <c r="L230" i="48" s="1"/>
  <c r="N230" i="48"/>
  <c r="P230" i="48" s="1" a="1"/>
  <c r="P230" i="48" s="1"/>
  <c r="L231" i="48" a="1"/>
  <c r="L231" i="48" s="1"/>
  <c r="N231" i="48"/>
  <c r="P231" i="48" s="1" a="1"/>
  <c r="P231" i="48" s="1"/>
  <c r="L232" i="48" a="1"/>
  <c r="L232" i="48" s="1"/>
  <c r="N232" i="48"/>
  <c r="P232" i="48" s="1" a="1"/>
  <c r="P232" i="48" s="1"/>
  <c r="L233" i="48" a="1"/>
  <c r="L233" i="48" s="1"/>
  <c r="N233" i="48"/>
  <c r="P233" i="48" s="1" a="1"/>
  <c r="P233" i="48" s="1"/>
  <c r="L234" i="48" a="1"/>
  <c r="L234" i="48" s="1"/>
  <c r="N234" i="48"/>
  <c r="P234" i="48" s="1" a="1"/>
  <c r="P234" i="48" s="1"/>
  <c r="L235" i="48" a="1"/>
  <c r="L235" i="48" s="1"/>
  <c r="N235" i="48"/>
  <c r="P235" i="48" s="1" a="1"/>
  <c r="P235" i="48" s="1"/>
  <c r="L236" i="48" a="1"/>
  <c r="L236" i="48" s="1"/>
  <c r="N236" i="48"/>
  <c r="P236" i="48" s="1" a="1"/>
  <c r="P236" i="48" s="1"/>
  <c r="L237" i="48" a="1"/>
  <c r="L237" i="48" s="1"/>
  <c r="N237" i="48"/>
  <c r="P237" i="48" s="1" a="1"/>
  <c r="P237" i="48" s="1"/>
  <c r="L238" i="48" a="1"/>
  <c r="L238" i="48" s="1"/>
  <c r="N238" i="48"/>
  <c r="P238" i="48" s="1" a="1"/>
  <c r="P238" i="48" s="1"/>
  <c r="L239" i="48" a="1"/>
  <c r="L239" i="48" s="1"/>
  <c r="N239" i="48"/>
  <c r="P239" i="48" s="1" a="1"/>
  <c r="P239" i="48" s="1"/>
  <c r="L240" i="48" a="1"/>
  <c r="L240" i="48" s="1"/>
  <c r="N240" i="48"/>
  <c r="P240" i="48" s="1" a="1"/>
  <c r="P240" i="48" s="1"/>
  <c r="L241" i="48" a="1"/>
  <c r="L241" i="48" s="1"/>
  <c r="N241" i="48"/>
  <c r="P241" i="48" s="1" a="1"/>
  <c r="P241" i="48" s="1"/>
  <c r="L242" i="48" a="1"/>
  <c r="L242" i="48" s="1"/>
  <c r="N242" i="48"/>
  <c r="P242" i="48" s="1" a="1"/>
  <c r="P242" i="48" s="1"/>
  <c r="L243" i="48" a="1"/>
  <c r="L243" i="48" s="1"/>
  <c r="N243" i="48"/>
  <c r="P243" i="48" s="1" a="1"/>
  <c r="P243" i="48" s="1"/>
  <c r="L244" i="48" a="1"/>
  <c r="L244" i="48" s="1"/>
  <c r="N244" i="48"/>
  <c r="P244" i="48" s="1" a="1"/>
  <c r="P244" i="48" s="1"/>
  <c r="L245" i="48" a="1"/>
  <c r="L245" i="48" s="1"/>
  <c r="N245" i="48"/>
  <c r="P245" i="48" s="1" a="1"/>
  <c r="P245" i="48" s="1"/>
  <c r="L246" i="48" a="1"/>
  <c r="L246" i="48" s="1"/>
  <c r="N246" i="48"/>
  <c r="P246" i="48" s="1" a="1"/>
  <c r="P246" i="48" s="1"/>
  <c r="L247" i="48" a="1"/>
  <c r="L247" i="48" s="1"/>
  <c r="N247" i="48"/>
  <c r="P247" i="48" s="1" a="1"/>
  <c r="P247" i="48" s="1"/>
  <c r="L248" i="48" a="1"/>
  <c r="L248" i="48" s="1"/>
  <c r="N248" i="48"/>
  <c r="P248" i="48" s="1" a="1"/>
  <c r="P248" i="48" s="1"/>
  <c r="L249" i="48" a="1"/>
  <c r="L249" i="48" s="1"/>
  <c r="N249" i="48"/>
  <c r="P249" i="48" s="1" a="1"/>
  <c r="P249" i="48" s="1"/>
  <c r="L250" i="48" a="1"/>
  <c r="L250" i="48" s="1"/>
  <c r="N250" i="48"/>
  <c r="P250" i="48" s="1" a="1"/>
  <c r="P250" i="48" s="1"/>
  <c r="L251" i="48" a="1"/>
  <c r="L251" i="48" s="1"/>
  <c r="N251" i="48"/>
  <c r="P251" i="48" s="1" a="1"/>
  <c r="P251" i="48" s="1"/>
  <c r="L252" i="48" a="1"/>
  <c r="L252" i="48" s="1"/>
  <c r="N252" i="48"/>
  <c r="P252" i="48" s="1" a="1"/>
  <c r="P252" i="48" s="1"/>
  <c r="L253" i="48" a="1"/>
  <c r="L253" i="48" s="1"/>
  <c r="N253" i="48"/>
  <c r="P253" i="48" s="1" a="1"/>
  <c r="P253" i="48" s="1"/>
  <c r="L254" i="48" a="1"/>
  <c r="L254" i="48" s="1"/>
  <c r="N254" i="48"/>
  <c r="P254" i="48" s="1" a="1"/>
  <c r="P254" i="48" s="1"/>
  <c r="L255" i="48" a="1"/>
  <c r="L255" i="48" s="1"/>
  <c r="N255" i="48"/>
  <c r="P255" i="48" s="1" a="1"/>
  <c r="P255" i="48" s="1"/>
  <c r="L256" i="48" a="1"/>
  <c r="L256" i="48" s="1"/>
  <c r="N256" i="48"/>
  <c r="P256" i="48" s="1" a="1"/>
  <c r="P256" i="48" s="1"/>
  <c r="L257" i="48" a="1"/>
  <c r="L257" i="48" s="1"/>
  <c r="N257" i="48"/>
  <c r="P257" i="48" s="1" a="1"/>
  <c r="P257" i="48" s="1"/>
  <c r="L258" i="48" a="1"/>
  <c r="L258" i="48" s="1"/>
  <c r="N258" i="48"/>
  <c r="P258" i="48" s="1" a="1"/>
  <c r="P258" i="48" s="1"/>
  <c r="L259" i="48" a="1"/>
  <c r="L259" i="48" s="1"/>
  <c r="N259" i="48"/>
  <c r="P259" i="48" s="1" a="1"/>
  <c r="P259" i="48" s="1"/>
  <c r="L260" i="48" a="1"/>
  <c r="L260" i="48" s="1"/>
  <c r="N260" i="48"/>
  <c r="P260" i="48" s="1" a="1"/>
  <c r="P260" i="48" s="1"/>
  <c r="L261" i="48" a="1"/>
  <c r="L261" i="48" s="1"/>
  <c r="N261" i="48"/>
  <c r="P261" i="48" s="1" a="1"/>
  <c r="P261" i="48" s="1"/>
  <c r="L262" i="48" a="1"/>
  <c r="L262" i="48" s="1"/>
  <c r="N262" i="48"/>
  <c r="P262" i="48" s="1" a="1"/>
  <c r="P262" i="48" s="1"/>
  <c r="L263" i="48" a="1"/>
  <c r="L263" i="48" s="1"/>
  <c r="N263" i="48"/>
  <c r="P263" i="48" s="1" a="1"/>
  <c r="P263" i="48" s="1"/>
  <c r="L264" i="48" a="1"/>
  <c r="L264" i="48" s="1"/>
  <c r="N264" i="48"/>
  <c r="P264" i="48" s="1" a="1"/>
  <c r="P264" i="48" s="1"/>
  <c r="L265" i="48" a="1"/>
  <c r="L265" i="48" s="1"/>
  <c r="N265" i="48"/>
  <c r="P265" i="48" s="1" a="1"/>
  <c r="P265" i="48" s="1"/>
  <c r="L266" i="48" a="1"/>
  <c r="L266" i="48" s="1"/>
  <c r="N266" i="48"/>
  <c r="P266" i="48" s="1" a="1"/>
  <c r="P266" i="48" s="1"/>
  <c r="L267" i="48" a="1"/>
  <c r="L267" i="48" s="1"/>
  <c r="N267" i="48"/>
  <c r="P267" i="48" s="1" a="1"/>
  <c r="P267" i="48" s="1"/>
  <c r="L268" i="48" a="1"/>
  <c r="L268" i="48" s="1"/>
  <c r="N268" i="48"/>
  <c r="P268" i="48" s="1" a="1"/>
  <c r="P268" i="48" s="1"/>
  <c r="L269" i="48" a="1"/>
  <c r="L269" i="48" s="1"/>
  <c r="N269" i="48"/>
  <c r="P269" i="48" s="1" a="1"/>
  <c r="P269" i="48" s="1"/>
  <c r="L270" i="48" a="1"/>
  <c r="L270" i="48" s="1"/>
  <c r="N270" i="48"/>
  <c r="P270" i="48" s="1" a="1"/>
  <c r="P270" i="48" s="1"/>
  <c r="L271" i="48" a="1"/>
  <c r="L271" i="48" s="1"/>
  <c r="N271" i="48"/>
  <c r="P271" i="48" s="1" a="1"/>
  <c r="P271" i="48" s="1"/>
  <c r="L272" i="48" a="1"/>
  <c r="L272" i="48" s="1"/>
  <c r="N272" i="48"/>
  <c r="P272" i="48" s="1" a="1"/>
  <c r="P272" i="48" s="1"/>
  <c r="L273" i="48" a="1"/>
  <c r="L273" i="48" s="1"/>
  <c r="N273" i="48"/>
  <c r="P273" i="48" s="1" a="1"/>
  <c r="P273" i="48" s="1"/>
  <c r="L274" i="48" a="1"/>
  <c r="L274" i="48" s="1"/>
  <c r="N274" i="48"/>
  <c r="P274" i="48" s="1" a="1"/>
  <c r="P274" i="48" s="1"/>
  <c r="L275" i="48" a="1"/>
  <c r="L275" i="48" s="1"/>
  <c r="N275" i="48"/>
  <c r="P275" i="48" s="1" a="1"/>
  <c r="P275" i="48" s="1"/>
  <c r="L276" i="48" a="1"/>
  <c r="L276" i="48" s="1"/>
  <c r="N276" i="48"/>
  <c r="P276" i="48" s="1" a="1"/>
  <c r="P276" i="48" s="1"/>
  <c r="L277" i="48" a="1"/>
  <c r="L277" i="48" s="1"/>
  <c r="N277" i="48"/>
  <c r="P277" i="48" s="1" a="1"/>
  <c r="P277" i="48" s="1"/>
  <c r="L278" i="48" a="1"/>
  <c r="L278" i="48" s="1"/>
  <c r="N278" i="48"/>
  <c r="P278" i="48" s="1" a="1"/>
  <c r="P278" i="48" s="1"/>
  <c r="L279" i="48" a="1"/>
  <c r="L279" i="48" s="1"/>
  <c r="N279" i="48"/>
  <c r="P279" i="48" s="1" a="1"/>
  <c r="P279" i="48" s="1"/>
  <c r="L280" i="48" a="1"/>
  <c r="L280" i="48" s="1"/>
  <c r="N280" i="48"/>
  <c r="P280" i="48" s="1" a="1"/>
  <c r="P280" i="48" s="1"/>
  <c r="L281" i="48" a="1"/>
  <c r="L281" i="48" s="1"/>
  <c r="N281" i="48"/>
  <c r="P281" i="48" s="1" a="1"/>
  <c r="P281" i="48" s="1"/>
  <c r="L282" i="48" a="1"/>
  <c r="L282" i="48" s="1"/>
  <c r="N282" i="48"/>
  <c r="P282" i="48" s="1" a="1"/>
  <c r="P282" i="48" s="1"/>
  <c r="L283" i="48" a="1"/>
  <c r="L283" i="48" s="1"/>
  <c r="N283" i="48"/>
  <c r="P283" i="48" s="1" a="1"/>
  <c r="P283" i="48" s="1"/>
  <c r="L284" i="48" a="1"/>
  <c r="L284" i="48" s="1"/>
  <c r="N284" i="48"/>
  <c r="P284" i="48" s="1" a="1"/>
  <c r="P284" i="48" s="1"/>
  <c r="L285" i="48" a="1"/>
  <c r="L285" i="48" s="1"/>
  <c r="N285" i="48"/>
  <c r="P285" i="48" s="1" a="1"/>
  <c r="P285" i="48" s="1"/>
  <c r="L286" i="48" a="1"/>
  <c r="L286" i="48" s="1"/>
  <c r="N286" i="48"/>
  <c r="P286" i="48" s="1" a="1"/>
  <c r="P286" i="48" s="1"/>
  <c r="L287" i="48" a="1"/>
  <c r="L287" i="48" s="1"/>
  <c r="N287" i="48"/>
  <c r="P287" i="48" s="1" a="1"/>
  <c r="P287" i="48" s="1"/>
  <c r="L288" i="48" a="1"/>
  <c r="L288" i="48" s="1"/>
  <c r="N288" i="48"/>
  <c r="P288" i="48" s="1" a="1"/>
  <c r="P288" i="48" s="1"/>
  <c r="L289" i="48" a="1"/>
  <c r="L289" i="48" s="1"/>
  <c r="N289" i="48"/>
  <c r="P289" i="48" s="1" a="1"/>
  <c r="P289" i="48" s="1"/>
  <c r="L290" i="48" a="1"/>
  <c r="L290" i="48" s="1"/>
  <c r="N290" i="48"/>
  <c r="P290" i="48" s="1" a="1"/>
  <c r="P290" i="48" s="1"/>
  <c r="L291" i="48" a="1"/>
  <c r="L291" i="48" s="1"/>
  <c r="N291" i="48"/>
  <c r="P291" i="48" s="1" a="1"/>
  <c r="P291" i="48" s="1"/>
  <c r="L292" i="48" a="1"/>
  <c r="L292" i="48" s="1"/>
  <c r="N292" i="48"/>
  <c r="P292" i="48" s="1" a="1"/>
  <c r="P292" i="48" s="1"/>
  <c r="L293" i="48" a="1"/>
  <c r="L293" i="48" s="1"/>
  <c r="N293" i="48"/>
  <c r="P293" i="48" s="1" a="1"/>
  <c r="P293" i="48" s="1"/>
  <c r="L294" i="48" a="1"/>
  <c r="L294" i="48" s="1"/>
  <c r="N294" i="48"/>
  <c r="P294" i="48" s="1" a="1"/>
  <c r="P294" i="48" s="1"/>
  <c r="L295" i="48" a="1"/>
  <c r="L295" i="48" s="1"/>
  <c r="N295" i="48"/>
  <c r="P295" i="48" s="1" a="1"/>
  <c r="P295" i="48" s="1"/>
  <c r="L296" i="48" a="1"/>
  <c r="L296" i="48" s="1"/>
  <c r="N296" i="48"/>
  <c r="P296" i="48" s="1" a="1"/>
  <c r="P296" i="48" s="1"/>
  <c r="L297" i="48" a="1"/>
  <c r="L297" i="48" s="1"/>
  <c r="N297" i="48"/>
  <c r="P297" i="48" s="1" a="1"/>
  <c r="P297" i="48" s="1"/>
  <c r="L298" i="48" a="1"/>
  <c r="L298" i="48" s="1"/>
  <c r="N298" i="48"/>
  <c r="P298" i="48" s="1" a="1"/>
  <c r="P298" i="48" s="1"/>
  <c r="L299" i="48" a="1"/>
  <c r="L299" i="48" s="1"/>
  <c r="N299" i="48"/>
  <c r="P299" i="48" s="1" a="1"/>
  <c r="P299" i="48" s="1"/>
  <c r="L300" i="48" a="1"/>
  <c r="L300" i="48" s="1"/>
  <c r="N300" i="48"/>
  <c r="P300" i="48" s="1" a="1"/>
  <c r="P300" i="48" s="1"/>
  <c r="L301" i="48" a="1"/>
  <c r="L301" i="48" s="1"/>
  <c r="N301" i="48"/>
  <c r="P301" i="48" s="1" a="1"/>
  <c r="P301" i="48" s="1"/>
  <c r="L302" i="48" a="1"/>
  <c r="L302" i="48" s="1"/>
  <c r="N302" i="48"/>
  <c r="P302" i="48" s="1" a="1"/>
  <c r="P302" i="48" s="1"/>
  <c r="L303" i="48" a="1"/>
  <c r="L303" i="48" s="1"/>
  <c r="N303" i="48"/>
  <c r="P303" i="48" s="1" a="1"/>
  <c r="P303" i="48" s="1"/>
  <c r="L304" i="48" a="1"/>
  <c r="L304" i="48" s="1"/>
  <c r="N304" i="48"/>
  <c r="P304" i="48" s="1" a="1"/>
  <c r="P304" i="48" s="1"/>
  <c r="L305" i="48" a="1"/>
  <c r="L305" i="48" s="1"/>
  <c r="N305" i="48"/>
  <c r="P305" i="48" s="1" a="1"/>
  <c r="P305" i="48" s="1"/>
  <c r="L306" i="48" a="1"/>
  <c r="L306" i="48" s="1"/>
  <c r="N306" i="48"/>
  <c r="P306" i="48" s="1" a="1"/>
  <c r="P306" i="48" s="1"/>
  <c r="L307" i="48" a="1"/>
  <c r="L307" i="48" s="1"/>
  <c r="N307" i="48"/>
  <c r="P307" i="48" s="1" a="1"/>
  <c r="P307" i="48" s="1"/>
  <c r="L308" i="48" a="1"/>
  <c r="L308" i="48" s="1"/>
  <c r="N308" i="48"/>
  <c r="P308" i="48" s="1" a="1"/>
  <c r="P308" i="48" s="1"/>
  <c r="L309" i="48" a="1"/>
  <c r="L309" i="48" s="1"/>
  <c r="N309" i="48"/>
  <c r="P309" i="48" s="1" a="1"/>
  <c r="P309" i="48" s="1"/>
  <c r="L310" i="48" a="1"/>
  <c r="L310" i="48" s="1"/>
  <c r="N310" i="48"/>
  <c r="P310" i="48" s="1" a="1"/>
  <c r="P310" i="48" s="1"/>
  <c r="L311" i="48" a="1"/>
  <c r="L311" i="48" s="1"/>
  <c r="N311" i="48"/>
  <c r="P311" i="48" s="1" a="1"/>
  <c r="P311" i="48" s="1"/>
  <c r="L312" i="48" a="1"/>
  <c r="L312" i="48" s="1"/>
  <c r="N312" i="48"/>
  <c r="P312" i="48" s="1" a="1"/>
  <c r="P312" i="48" s="1"/>
  <c r="L313" i="48" a="1"/>
  <c r="L313" i="48" s="1"/>
  <c r="N313" i="48"/>
  <c r="P313" i="48" s="1" a="1"/>
  <c r="P313" i="48" s="1"/>
  <c r="L314" i="48" a="1"/>
  <c r="L314" i="48" s="1"/>
  <c r="N314" i="48"/>
  <c r="P314" i="48" s="1" a="1"/>
  <c r="P314" i="48" s="1"/>
  <c r="L315" i="48" a="1"/>
  <c r="L315" i="48" s="1"/>
  <c r="N315" i="48"/>
  <c r="P315" i="48" s="1" a="1"/>
  <c r="P315" i="48" s="1"/>
  <c r="L316" i="48" a="1"/>
  <c r="L316" i="48" s="1"/>
  <c r="N316" i="48"/>
  <c r="P316" i="48" s="1" a="1"/>
  <c r="P316" i="48" s="1"/>
  <c r="L317" i="48" a="1"/>
  <c r="L317" i="48" s="1"/>
  <c r="N317" i="48"/>
  <c r="P317" i="48" s="1" a="1"/>
  <c r="P317" i="48" s="1"/>
  <c r="L318" i="48" a="1"/>
  <c r="L318" i="48" s="1"/>
  <c r="N318" i="48"/>
  <c r="P318" i="48" s="1" a="1"/>
  <c r="P318" i="48" s="1"/>
  <c r="L319" i="48" a="1"/>
  <c r="L319" i="48" s="1"/>
  <c r="N319" i="48"/>
  <c r="P319" i="48" s="1" a="1"/>
  <c r="P319" i="48" s="1"/>
  <c r="L320" i="48" a="1"/>
  <c r="L320" i="48" s="1"/>
  <c r="N320" i="48"/>
  <c r="P320" i="48" s="1" a="1"/>
  <c r="P320" i="48" s="1"/>
  <c r="L321" i="48" a="1"/>
  <c r="L321" i="48" s="1"/>
  <c r="N321" i="48"/>
  <c r="P321" i="48" s="1" a="1"/>
  <c r="P321" i="48" s="1"/>
  <c r="L322" i="48" a="1"/>
  <c r="L322" i="48" s="1"/>
  <c r="N322" i="48"/>
  <c r="P322" i="48" s="1" a="1"/>
  <c r="P322" i="48" s="1"/>
  <c r="L323" i="48" a="1"/>
  <c r="L323" i="48" s="1"/>
  <c r="N323" i="48"/>
  <c r="P323" i="48" s="1" a="1"/>
  <c r="P323" i="48" s="1"/>
  <c r="L324" i="48" a="1"/>
  <c r="L324" i="48" s="1"/>
  <c r="N324" i="48"/>
  <c r="P324" i="48" s="1" a="1"/>
  <c r="P324" i="48" s="1"/>
  <c r="L325" i="48" a="1"/>
  <c r="L325" i="48" s="1"/>
  <c r="N325" i="48"/>
  <c r="P325" i="48" s="1" a="1"/>
  <c r="P325" i="48" s="1"/>
  <c r="L326" i="48" a="1"/>
  <c r="L326" i="48" s="1"/>
  <c r="N326" i="48"/>
  <c r="P326" i="48" s="1" a="1"/>
  <c r="P326" i="48" s="1"/>
  <c r="L327" i="48" a="1"/>
  <c r="L327" i="48" s="1"/>
  <c r="N327" i="48"/>
  <c r="P327" i="48" s="1" a="1"/>
  <c r="P327" i="48" s="1"/>
  <c r="L328" i="48" a="1"/>
  <c r="L328" i="48" s="1"/>
  <c r="N328" i="48"/>
  <c r="P328" i="48" s="1" a="1"/>
  <c r="P328" i="48" s="1"/>
  <c r="L329" i="48" a="1"/>
  <c r="L329" i="48" s="1"/>
  <c r="N329" i="48"/>
  <c r="P329" i="48" s="1" a="1"/>
  <c r="P329" i="48" s="1"/>
  <c r="L330" i="48" a="1"/>
  <c r="L330" i="48" s="1"/>
  <c r="N330" i="48"/>
  <c r="P330" i="48" s="1" a="1"/>
  <c r="P330" i="48" s="1"/>
  <c r="L331" i="48" a="1"/>
  <c r="L331" i="48" s="1"/>
  <c r="N331" i="48"/>
  <c r="P331" i="48" s="1" a="1"/>
  <c r="P331" i="48" s="1"/>
  <c r="L332" i="48" a="1"/>
  <c r="L332" i="48" s="1"/>
  <c r="N332" i="48"/>
  <c r="P332" i="48" s="1" a="1"/>
  <c r="P332" i="48" s="1"/>
  <c r="L333" i="48" a="1"/>
  <c r="L333" i="48" s="1"/>
  <c r="N333" i="48"/>
  <c r="P333" i="48" s="1" a="1"/>
  <c r="P333" i="48" s="1"/>
  <c r="L334" i="48" a="1"/>
  <c r="L334" i="48" s="1"/>
  <c r="N334" i="48"/>
  <c r="P334" i="48" s="1" a="1"/>
  <c r="P334" i="48" s="1"/>
  <c r="L335" i="48" a="1"/>
  <c r="L335" i="48" s="1"/>
  <c r="N335" i="48"/>
  <c r="P335" i="48" s="1" a="1"/>
  <c r="P335" i="48" s="1"/>
  <c r="L336" i="48" a="1"/>
  <c r="L336" i="48" s="1"/>
  <c r="N336" i="48"/>
  <c r="P336" i="48" s="1" a="1"/>
  <c r="P336" i="48" s="1"/>
  <c r="L337" i="48" a="1"/>
  <c r="L337" i="48" s="1"/>
  <c r="N337" i="48"/>
  <c r="P337" i="48" s="1" a="1"/>
  <c r="P337" i="48" s="1"/>
  <c r="L338" i="48" a="1"/>
  <c r="L338" i="48" s="1"/>
  <c r="N338" i="48"/>
  <c r="P338" i="48" s="1" a="1"/>
  <c r="P338" i="48" s="1"/>
  <c r="L339" i="48" a="1"/>
  <c r="L339" i="48" s="1"/>
  <c r="N339" i="48"/>
  <c r="P339" i="48" s="1" a="1"/>
  <c r="P339" i="48" s="1"/>
  <c r="L340" i="48" a="1"/>
  <c r="L340" i="48" s="1"/>
  <c r="N340" i="48"/>
  <c r="P340" i="48" s="1" a="1"/>
  <c r="P340" i="48" s="1"/>
  <c r="L341" i="48" a="1"/>
  <c r="L341" i="48" s="1"/>
  <c r="N341" i="48"/>
  <c r="P341" i="48" s="1" a="1"/>
  <c r="P341" i="48" s="1"/>
  <c r="L342" i="48" a="1"/>
  <c r="L342" i="48" s="1"/>
  <c r="N342" i="48"/>
  <c r="P342" i="48" s="1" a="1"/>
  <c r="P342" i="48" s="1"/>
  <c r="L343" i="48" a="1"/>
  <c r="L343" i="48" s="1"/>
  <c r="N343" i="48"/>
  <c r="P343" i="48" s="1" a="1"/>
  <c r="P343" i="48" s="1"/>
  <c r="L344" i="48" a="1"/>
  <c r="L344" i="48" s="1"/>
  <c r="N344" i="48"/>
  <c r="P344" i="48" s="1" a="1"/>
  <c r="P344" i="48" s="1"/>
  <c r="L345" i="48" a="1"/>
  <c r="L345" i="48" s="1"/>
  <c r="N345" i="48"/>
  <c r="P345" i="48" s="1" a="1"/>
  <c r="P345" i="48" s="1"/>
  <c r="L346" i="48" a="1"/>
  <c r="L346" i="48" s="1"/>
  <c r="N346" i="48"/>
  <c r="P346" i="48" s="1" a="1"/>
  <c r="P346" i="48" s="1"/>
  <c r="L347" i="48" a="1"/>
  <c r="L347" i="48" s="1"/>
  <c r="N347" i="48"/>
  <c r="P347" i="48" s="1" a="1"/>
  <c r="P347" i="48" s="1"/>
  <c r="L348" i="48" a="1"/>
  <c r="L348" i="48" s="1"/>
  <c r="N348" i="48"/>
  <c r="P348" i="48" s="1" a="1"/>
  <c r="P348" i="48" s="1"/>
  <c r="L349" i="48" a="1"/>
  <c r="L349" i="48" s="1"/>
  <c r="N349" i="48"/>
  <c r="P349" i="48" s="1" a="1"/>
  <c r="P349" i="48" s="1"/>
  <c r="L350" i="48" a="1"/>
  <c r="L350" i="48" s="1"/>
  <c r="N350" i="48"/>
  <c r="P350" i="48" s="1" a="1"/>
  <c r="P350" i="48" s="1"/>
  <c r="L351" i="48" a="1"/>
  <c r="L351" i="48" s="1"/>
  <c r="N351" i="48"/>
  <c r="P351" i="48" s="1" a="1"/>
  <c r="P351" i="48" s="1"/>
  <c r="L352" i="48" a="1"/>
  <c r="L352" i="48" s="1"/>
  <c r="N352" i="48"/>
  <c r="P352" i="48" s="1" a="1"/>
  <c r="P352" i="48" s="1"/>
  <c r="L353" i="48" a="1"/>
  <c r="L353" i="48" s="1"/>
  <c r="N353" i="48"/>
  <c r="P353" i="48" s="1" a="1"/>
  <c r="P353" i="48" s="1"/>
  <c r="L354" i="48" a="1"/>
  <c r="L354" i="48" s="1"/>
  <c r="N354" i="48"/>
  <c r="P354" i="48" s="1" a="1"/>
  <c r="P354" i="48" s="1"/>
  <c r="L355" i="48" a="1"/>
  <c r="L355" i="48" s="1"/>
  <c r="N355" i="48"/>
  <c r="P355" i="48" s="1" a="1"/>
  <c r="P355" i="48" s="1"/>
  <c r="L356" i="48" a="1"/>
  <c r="L356" i="48" s="1"/>
  <c r="N356" i="48"/>
  <c r="P356" i="48" s="1" a="1"/>
  <c r="P356" i="48" s="1"/>
  <c r="L357" i="48" a="1"/>
  <c r="L357" i="48" s="1"/>
  <c r="N357" i="48"/>
  <c r="P357" i="48" s="1" a="1"/>
  <c r="P357" i="48" s="1"/>
  <c r="L358" i="48" a="1"/>
  <c r="L358" i="48" s="1"/>
  <c r="N358" i="48"/>
  <c r="P358" i="48" s="1" a="1"/>
  <c r="P358" i="48" s="1"/>
  <c r="L359" i="48" a="1"/>
  <c r="L359" i="48" s="1"/>
  <c r="N359" i="48"/>
  <c r="P359" i="48" s="1" a="1"/>
  <c r="P359" i="48" s="1"/>
  <c r="L360" i="48" a="1"/>
  <c r="L360" i="48" s="1"/>
  <c r="N360" i="48"/>
  <c r="P360" i="48" s="1" a="1"/>
  <c r="P360" i="48" s="1"/>
  <c r="L361" i="48" a="1"/>
  <c r="L361" i="48" s="1"/>
  <c r="N361" i="48"/>
  <c r="P361" i="48" s="1" a="1"/>
  <c r="P361" i="48" s="1"/>
  <c r="L362" i="48" a="1"/>
  <c r="L362" i="48" s="1"/>
  <c r="N362" i="48"/>
  <c r="P362" i="48" s="1" a="1"/>
  <c r="P362" i="48" s="1"/>
  <c r="L363" i="48" a="1"/>
  <c r="L363" i="48" s="1"/>
  <c r="N363" i="48"/>
  <c r="P363" i="48" s="1" a="1"/>
  <c r="P363" i="48" s="1"/>
  <c r="L364" i="48" a="1"/>
  <c r="L364" i="48" s="1"/>
  <c r="N364" i="48"/>
  <c r="P364" i="48" s="1" a="1"/>
  <c r="P364" i="48" s="1"/>
  <c r="L365" i="48" a="1"/>
  <c r="L365" i="48" s="1"/>
  <c r="N365" i="48"/>
  <c r="P365" i="48" s="1" a="1"/>
  <c r="P365" i="48" s="1"/>
  <c r="L366" i="48" a="1"/>
  <c r="L366" i="48" s="1"/>
  <c r="N366" i="48"/>
  <c r="P366" i="48" s="1" a="1"/>
  <c r="P366" i="48" s="1"/>
  <c r="L367" i="48" a="1"/>
  <c r="L367" i="48" s="1"/>
  <c r="N367" i="48"/>
  <c r="P367" i="48" s="1" a="1"/>
  <c r="P367" i="48" s="1"/>
  <c r="L368" i="48" a="1"/>
  <c r="L368" i="48" s="1"/>
  <c r="N368" i="48"/>
  <c r="P368" i="48" s="1" a="1"/>
  <c r="P368" i="48" s="1"/>
  <c r="L369" i="48" a="1"/>
  <c r="L369" i="48" s="1"/>
  <c r="N369" i="48"/>
  <c r="P369" i="48" s="1" a="1"/>
  <c r="P369" i="48" s="1"/>
  <c r="L370" i="48" a="1"/>
  <c r="L370" i="48" s="1"/>
  <c r="N370" i="48"/>
  <c r="P370" i="48" s="1" a="1"/>
  <c r="P370" i="48" s="1"/>
  <c r="L371" i="48" a="1"/>
  <c r="L371" i="48" s="1"/>
  <c r="N371" i="48"/>
  <c r="P371" i="48" s="1" a="1"/>
  <c r="P371" i="48" s="1"/>
  <c r="L372" i="48" a="1"/>
  <c r="L372" i="48" s="1"/>
  <c r="N372" i="48"/>
  <c r="P372" i="48" s="1" a="1"/>
  <c r="P372" i="48" s="1"/>
  <c r="L373" i="48" a="1"/>
  <c r="L373" i="48" s="1"/>
  <c r="N373" i="48"/>
  <c r="P373" i="48" s="1" a="1"/>
  <c r="P373" i="48" s="1"/>
  <c r="L374" i="48" a="1"/>
  <c r="L374" i="48" s="1"/>
  <c r="N374" i="48"/>
  <c r="P374" i="48" s="1" a="1"/>
  <c r="P374" i="48" s="1"/>
  <c r="L375" i="48" a="1"/>
  <c r="L375" i="48" s="1"/>
  <c r="N375" i="48"/>
  <c r="P375" i="48" s="1" a="1"/>
  <c r="P375" i="48" s="1"/>
  <c r="L376" i="48" a="1"/>
  <c r="L376" i="48" s="1"/>
  <c r="N376" i="48"/>
  <c r="P376" i="48" s="1" a="1"/>
  <c r="P376" i="48" s="1"/>
  <c r="L377" i="48" a="1"/>
  <c r="L377" i="48" s="1"/>
  <c r="N377" i="48"/>
  <c r="P377" i="48" s="1" a="1"/>
  <c r="P377" i="48" s="1"/>
  <c r="L378" i="48" a="1"/>
  <c r="L378" i="48" s="1"/>
  <c r="N378" i="48"/>
  <c r="P378" i="48" s="1" a="1"/>
  <c r="P378" i="48" s="1"/>
  <c r="L379" i="48" a="1"/>
  <c r="L379" i="48" s="1"/>
  <c r="N379" i="48"/>
  <c r="P379" i="48" s="1" a="1"/>
  <c r="P379" i="48" s="1"/>
  <c r="L380" i="48" a="1"/>
  <c r="L380" i="48" s="1"/>
  <c r="N380" i="48"/>
  <c r="P380" i="48" s="1" a="1"/>
  <c r="P380" i="48" s="1"/>
  <c r="L381" i="48" a="1"/>
  <c r="L381" i="48" s="1"/>
  <c r="N381" i="48"/>
  <c r="P381" i="48" s="1" a="1"/>
  <c r="P381" i="48" s="1"/>
  <c r="L382" i="48" a="1"/>
  <c r="L382" i="48" s="1"/>
  <c r="N382" i="48"/>
  <c r="P382" i="48" s="1" a="1"/>
  <c r="P382" i="48" s="1"/>
  <c r="L383" i="48" a="1"/>
  <c r="L383" i="48" s="1"/>
  <c r="N383" i="48"/>
  <c r="P383" i="48" s="1" a="1"/>
  <c r="P383" i="48" s="1"/>
  <c r="L384" i="48" a="1"/>
  <c r="L384" i="48" s="1"/>
  <c r="N384" i="48"/>
  <c r="P384" i="48" s="1" a="1"/>
  <c r="P384" i="48" s="1"/>
  <c r="L385" i="48" a="1"/>
  <c r="L385" i="48" s="1"/>
  <c r="N385" i="48"/>
  <c r="P385" i="48" s="1" a="1"/>
  <c r="P385" i="48" s="1"/>
  <c r="L386" i="48" a="1"/>
  <c r="L386" i="48" s="1"/>
  <c r="N386" i="48"/>
  <c r="P386" i="48" s="1" a="1"/>
  <c r="P386" i="48" s="1"/>
  <c r="L387" i="48" a="1"/>
  <c r="L387" i="48" s="1"/>
  <c r="N387" i="48"/>
  <c r="P387" i="48" s="1" a="1"/>
  <c r="P387" i="48" s="1"/>
  <c r="L388" i="48" a="1"/>
  <c r="L388" i="48" s="1"/>
  <c r="N388" i="48"/>
  <c r="P388" i="48" s="1" a="1"/>
  <c r="P388" i="48" s="1"/>
  <c r="L389" i="48" a="1"/>
  <c r="L389" i="48" s="1"/>
  <c r="N389" i="48"/>
  <c r="P389" i="48" s="1" a="1"/>
  <c r="P389" i="48" s="1"/>
  <c r="L390" i="48" a="1"/>
  <c r="L390" i="48" s="1"/>
  <c r="N390" i="48"/>
  <c r="P390" i="48" s="1" a="1"/>
  <c r="P390" i="48" s="1"/>
  <c r="L391" i="48" a="1"/>
  <c r="L391" i="48" s="1"/>
  <c r="N391" i="48"/>
  <c r="P391" i="48" s="1" a="1"/>
  <c r="P391" i="48" s="1"/>
  <c r="L392" i="48" a="1"/>
  <c r="L392" i="48" s="1"/>
  <c r="N392" i="48"/>
  <c r="P392" i="48" s="1" a="1"/>
  <c r="P392" i="48" s="1"/>
  <c r="L393" i="48" a="1"/>
  <c r="L393" i="48" s="1"/>
  <c r="N393" i="48"/>
  <c r="P393" i="48" s="1" a="1"/>
  <c r="P393" i="48" s="1"/>
  <c r="L394" i="48" a="1"/>
  <c r="L394" i="48" s="1"/>
  <c r="N394" i="48"/>
  <c r="P394" i="48" s="1" a="1"/>
  <c r="P394" i="48" s="1"/>
  <c r="L395" i="48" a="1"/>
  <c r="L395" i="48" s="1"/>
  <c r="N395" i="48"/>
  <c r="P395" i="48" s="1" a="1"/>
  <c r="P395" i="48" s="1"/>
  <c r="L396" i="48" a="1"/>
  <c r="L396" i="48" s="1"/>
  <c r="N396" i="48"/>
  <c r="P396" i="48" s="1" a="1"/>
  <c r="P396" i="48" s="1"/>
  <c r="L397" i="48" a="1"/>
  <c r="L397" i="48" s="1"/>
  <c r="N397" i="48"/>
  <c r="P397" i="48" s="1" a="1"/>
  <c r="P397" i="48" s="1"/>
  <c r="L398" i="48" a="1"/>
  <c r="L398" i="48" s="1"/>
  <c r="N398" i="48"/>
  <c r="P398" i="48" s="1" a="1"/>
  <c r="P398" i="48" s="1"/>
  <c r="L399" i="48" a="1"/>
  <c r="L399" i="48" s="1"/>
  <c r="N399" i="48"/>
  <c r="P399" i="48" s="1" a="1"/>
  <c r="P399" i="48" s="1"/>
  <c r="L400" i="48" a="1"/>
  <c r="L400" i="48" s="1"/>
  <c r="N400" i="48"/>
  <c r="P400" i="48" s="1" a="1"/>
  <c r="P400" i="48" s="1"/>
  <c r="L401" i="48" a="1"/>
  <c r="L401" i="48" s="1"/>
  <c r="N401" i="48"/>
  <c r="P401" i="48" s="1" a="1"/>
  <c r="P401" i="48" s="1"/>
  <c r="L402" i="48" a="1"/>
  <c r="L402" i="48" s="1"/>
  <c r="N402" i="48"/>
  <c r="P402" i="48" s="1" a="1"/>
  <c r="P402" i="48" s="1"/>
  <c r="L403" i="48" a="1"/>
  <c r="L403" i="48" s="1"/>
  <c r="N403" i="48"/>
  <c r="P403" i="48" s="1" a="1"/>
  <c r="P403" i="48" s="1"/>
  <c r="L404" i="48" a="1"/>
  <c r="L404" i="48" s="1"/>
  <c r="N404" i="48"/>
  <c r="P404" i="48" s="1" a="1"/>
  <c r="P404" i="48" s="1"/>
  <c r="L405" i="48" a="1"/>
  <c r="L405" i="48" s="1"/>
  <c r="N405" i="48"/>
  <c r="P405" i="48" s="1" a="1"/>
  <c r="P405" i="48" s="1"/>
  <c r="N4" i="48"/>
  <c r="P4" i="48" s="1" a="1"/>
  <c r="P4" i="48" s="1"/>
  <c r="L4" i="48" a="1"/>
  <c r="L4" i="48" s="1"/>
  <c r="G131" i="48"/>
  <c r="H131" i="48"/>
  <c r="I131" i="48"/>
  <c r="G132" i="48"/>
  <c r="H132" i="48"/>
  <c r="I132" i="48"/>
  <c r="G133" i="48"/>
  <c r="H133" i="48"/>
  <c r="I133" i="48"/>
  <c r="G134" i="48"/>
  <c r="H134" i="48"/>
  <c r="I134" i="48"/>
  <c r="G135" i="48"/>
  <c r="H135" i="48"/>
  <c r="I135" i="48"/>
  <c r="G136" i="48"/>
  <c r="H136" i="48"/>
  <c r="I136" i="48"/>
  <c r="G137" i="48"/>
  <c r="H137" i="48"/>
  <c r="I137" i="48"/>
  <c r="G138" i="48"/>
  <c r="H138" i="48"/>
  <c r="I138" i="48"/>
  <c r="G139" i="48"/>
  <c r="H139" i="48"/>
  <c r="I139" i="48"/>
  <c r="G140" i="48"/>
  <c r="H140" i="48"/>
  <c r="I140" i="48"/>
  <c r="G141" i="48"/>
  <c r="H141" i="48"/>
  <c r="I141" i="48"/>
  <c r="G142" i="48"/>
  <c r="H142" i="48"/>
  <c r="I142" i="48"/>
  <c r="G143" i="48"/>
  <c r="H143" i="48"/>
  <c r="I143" i="48"/>
  <c r="G144" i="48"/>
  <c r="H144" i="48"/>
  <c r="I144" i="48"/>
  <c r="G145" i="48"/>
  <c r="H145" i="48"/>
  <c r="I145" i="48"/>
  <c r="G146" i="48"/>
  <c r="H146" i="48"/>
  <c r="I146" i="48"/>
  <c r="G147" i="48"/>
  <c r="H147" i="48"/>
  <c r="I147" i="48"/>
  <c r="G148" i="48"/>
  <c r="H148" i="48"/>
  <c r="I148" i="48"/>
  <c r="G149" i="48"/>
  <c r="H149" i="48"/>
  <c r="I149" i="48"/>
  <c r="G150" i="48"/>
  <c r="H150" i="48"/>
  <c r="I150" i="48"/>
  <c r="G151" i="48"/>
  <c r="H151" i="48"/>
  <c r="I151" i="48"/>
  <c r="G152" i="48"/>
  <c r="H152" i="48"/>
  <c r="I152" i="48"/>
  <c r="G153" i="48"/>
  <c r="H153" i="48"/>
  <c r="I153" i="48"/>
  <c r="G154" i="48"/>
  <c r="H154" i="48"/>
  <c r="I154" i="48"/>
  <c r="G155" i="48"/>
  <c r="H155" i="48"/>
  <c r="I155" i="48"/>
  <c r="G156" i="48"/>
  <c r="H156" i="48"/>
  <c r="I156" i="48"/>
  <c r="G157" i="48"/>
  <c r="H157" i="48"/>
  <c r="I157" i="48"/>
  <c r="G158" i="48"/>
  <c r="H158" i="48"/>
  <c r="I158" i="48"/>
  <c r="G159" i="48"/>
  <c r="H159" i="48"/>
  <c r="I159" i="48"/>
  <c r="G160" i="48"/>
  <c r="H160" i="48"/>
  <c r="I160" i="48"/>
  <c r="G161" i="48"/>
  <c r="H161" i="48"/>
  <c r="I161" i="48"/>
  <c r="G162" i="48"/>
  <c r="H162" i="48"/>
  <c r="I162" i="48"/>
  <c r="G163" i="48"/>
  <c r="H163" i="48"/>
  <c r="I163" i="48"/>
  <c r="G164" i="48"/>
  <c r="H164" i="48"/>
  <c r="I164" i="48"/>
  <c r="G165" i="48"/>
  <c r="H165" i="48"/>
  <c r="I165" i="48"/>
  <c r="G166" i="48"/>
  <c r="H166" i="48"/>
  <c r="I166" i="48"/>
  <c r="G167" i="48"/>
  <c r="H167" i="48"/>
  <c r="I167" i="48"/>
  <c r="G168" i="48"/>
  <c r="H168" i="48"/>
  <c r="I168" i="48"/>
  <c r="G169" i="48"/>
  <c r="H169" i="48"/>
  <c r="I169" i="48"/>
  <c r="G170" i="48"/>
  <c r="H170" i="48"/>
  <c r="I170" i="48"/>
  <c r="G171" i="48"/>
  <c r="H171" i="48"/>
  <c r="I171" i="48"/>
  <c r="G172" i="48"/>
  <c r="H172" i="48"/>
  <c r="I172" i="48"/>
  <c r="G173" i="48"/>
  <c r="H173" i="48"/>
  <c r="I173" i="48"/>
  <c r="G174" i="48"/>
  <c r="H174" i="48"/>
  <c r="I174" i="48"/>
  <c r="G175" i="48"/>
  <c r="H175" i="48"/>
  <c r="I175" i="48"/>
  <c r="G176" i="48"/>
  <c r="H176" i="48"/>
  <c r="I176" i="48"/>
  <c r="G177" i="48"/>
  <c r="H177" i="48"/>
  <c r="I177" i="48"/>
  <c r="G178" i="48"/>
  <c r="H178" i="48"/>
  <c r="I178" i="48"/>
  <c r="G179" i="48"/>
  <c r="H179" i="48"/>
  <c r="I179" i="48"/>
  <c r="G180" i="48"/>
  <c r="H180" i="48"/>
  <c r="I180" i="48"/>
  <c r="G181" i="48"/>
  <c r="H181" i="48"/>
  <c r="I181" i="48"/>
  <c r="G182" i="48"/>
  <c r="H182" i="48"/>
  <c r="I182" i="48"/>
  <c r="G183" i="48"/>
  <c r="H183" i="48"/>
  <c r="I183" i="48"/>
  <c r="G184" i="48"/>
  <c r="H184" i="48"/>
  <c r="I184" i="48"/>
  <c r="G185" i="48"/>
  <c r="H185" i="48"/>
  <c r="I185" i="48"/>
  <c r="G186" i="48"/>
  <c r="H186" i="48"/>
  <c r="I186" i="48"/>
  <c r="G187" i="48"/>
  <c r="H187" i="48"/>
  <c r="I187" i="48"/>
  <c r="G188" i="48"/>
  <c r="H188" i="48"/>
  <c r="I188" i="48"/>
  <c r="G189" i="48"/>
  <c r="H189" i="48"/>
  <c r="I189" i="48"/>
  <c r="G190" i="48"/>
  <c r="H190" i="48"/>
  <c r="I190" i="48"/>
  <c r="G191" i="48"/>
  <c r="H191" i="48"/>
  <c r="I191" i="48"/>
  <c r="G192" i="48"/>
  <c r="H192" i="48"/>
  <c r="I192" i="48"/>
  <c r="G193" i="48"/>
  <c r="H193" i="48"/>
  <c r="I193" i="48"/>
  <c r="G194" i="48"/>
  <c r="H194" i="48"/>
  <c r="I194" i="48"/>
  <c r="G195" i="48"/>
  <c r="H195" i="48"/>
  <c r="I195" i="48"/>
  <c r="G196" i="48"/>
  <c r="H196" i="48"/>
  <c r="I196" i="48"/>
  <c r="G197" i="48"/>
  <c r="H197" i="48"/>
  <c r="I197" i="48"/>
  <c r="G198" i="48"/>
  <c r="H198" i="48"/>
  <c r="I198" i="48"/>
  <c r="G199" i="48"/>
  <c r="H199" i="48"/>
  <c r="I199" i="48"/>
  <c r="G200" i="48"/>
  <c r="H200" i="48"/>
  <c r="I200" i="48"/>
  <c r="G201" i="48"/>
  <c r="H201" i="48"/>
  <c r="I201" i="48"/>
  <c r="G202" i="48"/>
  <c r="H202" i="48"/>
  <c r="I202" i="48"/>
  <c r="G203" i="48"/>
  <c r="H203" i="48"/>
  <c r="I203" i="48"/>
  <c r="G204" i="48"/>
  <c r="H204" i="48"/>
  <c r="I204" i="48"/>
  <c r="G205" i="48"/>
  <c r="H205" i="48"/>
  <c r="I205" i="48"/>
  <c r="G206" i="48"/>
  <c r="H206" i="48"/>
  <c r="I206" i="48"/>
  <c r="G207" i="48"/>
  <c r="H207" i="48"/>
  <c r="I207" i="48"/>
  <c r="G208" i="48"/>
  <c r="H208" i="48"/>
  <c r="I208" i="48"/>
  <c r="G209" i="48"/>
  <c r="H209" i="48"/>
  <c r="I209" i="48"/>
  <c r="G210" i="48"/>
  <c r="H210" i="48"/>
  <c r="I210" i="48"/>
  <c r="G211" i="48"/>
  <c r="H211" i="48"/>
  <c r="I211" i="48"/>
  <c r="G212" i="48"/>
  <c r="H212" i="48"/>
  <c r="I212" i="48"/>
  <c r="G213" i="48"/>
  <c r="H213" i="48"/>
  <c r="I213" i="48"/>
  <c r="G214" i="48"/>
  <c r="H214" i="48"/>
  <c r="I214" i="48"/>
  <c r="G215" i="48"/>
  <c r="H215" i="48"/>
  <c r="I215" i="48"/>
  <c r="G216" i="48"/>
  <c r="H216" i="48"/>
  <c r="I216" i="48"/>
  <c r="G217" i="48"/>
  <c r="H217" i="48"/>
  <c r="I217" i="48"/>
  <c r="G218" i="48"/>
  <c r="H218" i="48"/>
  <c r="I218" i="48"/>
  <c r="G219" i="48"/>
  <c r="H219" i="48"/>
  <c r="I219" i="48"/>
  <c r="G220" i="48"/>
  <c r="H220" i="48"/>
  <c r="I220" i="48"/>
  <c r="G221" i="48"/>
  <c r="H221" i="48"/>
  <c r="I221" i="48"/>
  <c r="G222" i="48"/>
  <c r="H222" i="48"/>
  <c r="I222" i="48"/>
  <c r="G223" i="48"/>
  <c r="H223" i="48"/>
  <c r="I223" i="48"/>
  <c r="G224" i="48"/>
  <c r="H224" i="48"/>
  <c r="I224" i="48"/>
  <c r="G225" i="48"/>
  <c r="H225" i="48"/>
  <c r="I225" i="48"/>
  <c r="G226" i="48"/>
  <c r="H226" i="48"/>
  <c r="I226" i="48"/>
  <c r="G227" i="48"/>
  <c r="H227" i="48"/>
  <c r="I227" i="48"/>
  <c r="G228" i="48"/>
  <c r="H228" i="48"/>
  <c r="I228" i="48"/>
  <c r="G229" i="48"/>
  <c r="H229" i="48"/>
  <c r="I229" i="48"/>
  <c r="G230" i="48"/>
  <c r="H230" i="48"/>
  <c r="I230" i="48"/>
  <c r="G231" i="48"/>
  <c r="H231" i="48"/>
  <c r="I231" i="48"/>
  <c r="G232" i="48"/>
  <c r="H232" i="48"/>
  <c r="I232" i="48"/>
  <c r="G233" i="48"/>
  <c r="H233" i="48"/>
  <c r="I233" i="48"/>
  <c r="G234" i="48"/>
  <c r="H234" i="48"/>
  <c r="I234" i="48"/>
  <c r="G235" i="48"/>
  <c r="H235" i="48"/>
  <c r="I235" i="48"/>
  <c r="G236" i="48"/>
  <c r="H236" i="48"/>
  <c r="I236" i="48"/>
  <c r="G237" i="48"/>
  <c r="H237" i="48"/>
  <c r="I237" i="48"/>
  <c r="G238" i="48"/>
  <c r="H238" i="48"/>
  <c r="I238" i="48"/>
  <c r="G239" i="48"/>
  <c r="H239" i="48"/>
  <c r="I239" i="48"/>
  <c r="G240" i="48"/>
  <c r="H240" i="48"/>
  <c r="I240" i="48"/>
  <c r="G241" i="48"/>
  <c r="H241" i="48"/>
  <c r="I241" i="48"/>
  <c r="G242" i="48"/>
  <c r="H242" i="48"/>
  <c r="I242" i="48"/>
  <c r="G243" i="48"/>
  <c r="H243" i="48"/>
  <c r="I243" i="48"/>
  <c r="G244" i="48"/>
  <c r="H244" i="48"/>
  <c r="I244" i="48"/>
  <c r="G245" i="48"/>
  <c r="H245" i="48"/>
  <c r="I245" i="48"/>
  <c r="G246" i="48"/>
  <c r="H246" i="48"/>
  <c r="I246" i="48"/>
  <c r="G247" i="48"/>
  <c r="H247" i="48"/>
  <c r="I247" i="48"/>
  <c r="G248" i="48"/>
  <c r="H248" i="48"/>
  <c r="I248" i="48"/>
  <c r="G249" i="48"/>
  <c r="H249" i="48"/>
  <c r="I249" i="48"/>
  <c r="G250" i="48"/>
  <c r="H250" i="48"/>
  <c r="I250" i="48"/>
  <c r="G251" i="48"/>
  <c r="H251" i="48"/>
  <c r="I251" i="48"/>
  <c r="G252" i="48"/>
  <c r="H252" i="48"/>
  <c r="I252" i="48"/>
  <c r="G253" i="48"/>
  <c r="H253" i="48"/>
  <c r="I253" i="48"/>
  <c r="G254" i="48"/>
  <c r="H254" i="48"/>
  <c r="I254" i="48"/>
  <c r="G255" i="48"/>
  <c r="H255" i="48"/>
  <c r="I255" i="48"/>
  <c r="G256" i="48"/>
  <c r="H256" i="48"/>
  <c r="I256" i="48"/>
  <c r="G257" i="48"/>
  <c r="H257" i="48"/>
  <c r="I257" i="48"/>
  <c r="G258" i="48"/>
  <c r="H258" i="48"/>
  <c r="I258" i="48"/>
  <c r="G259" i="48"/>
  <c r="H259" i="48"/>
  <c r="I259" i="48"/>
  <c r="G260" i="48"/>
  <c r="H260" i="48"/>
  <c r="I260" i="48"/>
  <c r="G261" i="48"/>
  <c r="H261" i="48"/>
  <c r="I261" i="48"/>
  <c r="G262" i="48"/>
  <c r="H262" i="48"/>
  <c r="I262" i="48"/>
  <c r="G263" i="48"/>
  <c r="H263" i="48"/>
  <c r="I263" i="48"/>
  <c r="G264" i="48"/>
  <c r="H264" i="48"/>
  <c r="I264" i="48"/>
  <c r="G265" i="48"/>
  <c r="H265" i="48"/>
  <c r="I265" i="48"/>
  <c r="G266" i="48"/>
  <c r="H266" i="48"/>
  <c r="I266" i="48"/>
  <c r="G267" i="48"/>
  <c r="H267" i="48"/>
  <c r="I267" i="48"/>
  <c r="G268" i="48"/>
  <c r="H268" i="48"/>
  <c r="I268" i="48"/>
  <c r="G269" i="48"/>
  <c r="H269" i="48"/>
  <c r="I269" i="48"/>
  <c r="G270" i="48"/>
  <c r="H270" i="48"/>
  <c r="I270" i="48"/>
  <c r="G271" i="48"/>
  <c r="H271" i="48"/>
  <c r="I271" i="48"/>
  <c r="G272" i="48"/>
  <c r="H272" i="48"/>
  <c r="I272" i="48"/>
  <c r="G273" i="48"/>
  <c r="H273" i="48"/>
  <c r="I273" i="48"/>
  <c r="G274" i="48"/>
  <c r="H274" i="48"/>
  <c r="I274" i="48"/>
  <c r="G275" i="48"/>
  <c r="H275" i="48"/>
  <c r="I275" i="48"/>
  <c r="G276" i="48"/>
  <c r="H276" i="48"/>
  <c r="I276" i="48"/>
  <c r="G277" i="48"/>
  <c r="H277" i="48"/>
  <c r="I277" i="48"/>
  <c r="G278" i="48"/>
  <c r="H278" i="48"/>
  <c r="I278" i="48"/>
  <c r="G279" i="48"/>
  <c r="H279" i="48"/>
  <c r="I279" i="48"/>
  <c r="G280" i="48"/>
  <c r="H280" i="48"/>
  <c r="I280" i="48"/>
  <c r="G281" i="48"/>
  <c r="H281" i="48"/>
  <c r="I281" i="48"/>
  <c r="G282" i="48"/>
  <c r="H282" i="48"/>
  <c r="I282" i="48"/>
  <c r="G283" i="48"/>
  <c r="H283" i="48"/>
  <c r="I283" i="48"/>
  <c r="G284" i="48"/>
  <c r="H284" i="48"/>
  <c r="I284" i="48"/>
  <c r="G285" i="48"/>
  <c r="H285" i="48"/>
  <c r="I285" i="48"/>
  <c r="G286" i="48"/>
  <c r="H286" i="48"/>
  <c r="I286" i="48"/>
  <c r="G287" i="48"/>
  <c r="H287" i="48"/>
  <c r="I287" i="48"/>
  <c r="G288" i="48"/>
  <c r="H288" i="48"/>
  <c r="I288" i="48"/>
  <c r="G289" i="48"/>
  <c r="H289" i="48"/>
  <c r="I289" i="48"/>
  <c r="G290" i="48"/>
  <c r="H290" i="48"/>
  <c r="I290" i="48"/>
  <c r="G291" i="48"/>
  <c r="H291" i="48"/>
  <c r="I291" i="48"/>
  <c r="G292" i="48"/>
  <c r="H292" i="48"/>
  <c r="I292" i="48"/>
  <c r="G293" i="48"/>
  <c r="H293" i="48"/>
  <c r="I293" i="48"/>
  <c r="G294" i="48"/>
  <c r="H294" i="48"/>
  <c r="I294" i="48"/>
  <c r="G295" i="48"/>
  <c r="H295" i="48"/>
  <c r="I295" i="48"/>
  <c r="G296" i="48"/>
  <c r="H296" i="48"/>
  <c r="I296" i="48"/>
  <c r="G297" i="48"/>
  <c r="H297" i="48"/>
  <c r="I297" i="48"/>
  <c r="G298" i="48"/>
  <c r="H298" i="48"/>
  <c r="I298" i="48"/>
  <c r="G299" i="48"/>
  <c r="H299" i="48"/>
  <c r="I299" i="48"/>
  <c r="G300" i="48"/>
  <c r="H300" i="48"/>
  <c r="I300" i="48"/>
  <c r="G301" i="48"/>
  <c r="H301" i="48"/>
  <c r="I301" i="48"/>
  <c r="G302" i="48"/>
  <c r="H302" i="48"/>
  <c r="I302" i="48"/>
  <c r="G303" i="48"/>
  <c r="H303" i="48"/>
  <c r="I303" i="48"/>
  <c r="G304" i="48"/>
  <c r="H304" i="48"/>
  <c r="I304" i="48"/>
  <c r="G305" i="48"/>
  <c r="H305" i="48"/>
  <c r="I305" i="48"/>
  <c r="G306" i="48"/>
  <c r="H306" i="48"/>
  <c r="I306" i="48"/>
  <c r="G307" i="48"/>
  <c r="H307" i="48"/>
  <c r="I307" i="48"/>
  <c r="G308" i="48"/>
  <c r="H308" i="48"/>
  <c r="I308" i="48"/>
  <c r="G309" i="48"/>
  <c r="H309" i="48"/>
  <c r="I309" i="48"/>
  <c r="G310" i="48"/>
  <c r="H310" i="48"/>
  <c r="I310" i="48"/>
  <c r="G311" i="48"/>
  <c r="H311" i="48"/>
  <c r="I311" i="48"/>
  <c r="G312" i="48"/>
  <c r="H312" i="48"/>
  <c r="I312" i="48"/>
  <c r="G313" i="48"/>
  <c r="H313" i="48"/>
  <c r="I313" i="48"/>
  <c r="G314" i="48"/>
  <c r="H314" i="48"/>
  <c r="I314" i="48"/>
  <c r="G315" i="48"/>
  <c r="H315" i="48"/>
  <c r="I315" i="48"/>
  <c r="G316" i="48"/>
  <c r="H316" i="48"/>
  <c r="I316" i="48"/>
  <c r="G317" i="48"/>
  <c r="H317" i="48"/>
  <c r="I317" i="48"/>
  <c r="G318" i="48"/>
  <c r="H318" i="48"/>
  <c r="I318" i="48"/>
  <c r="G319" i="48"/>
  <c r="H319" i="48"/>
  <c r="I319" i="48"/>
  <c r="G320" i="48"/>
  <c r="H320" i="48"/>
  <c r="I320" i="48"/>
  <c r="G321" i="48"/>
  <c r="H321" i="48"/>
  <c r="I321" i="48"/>
  <c r="G322" i="48"/>
  <c r="H322" i="48"/>
  <c r="I322" i="48"/>
  <c r="G323" i="48"/>
  <c r="H323" i="48"/>
  <c r="I323" i="48"/>
  <c r="G324" i="48"/>
  <c r="H324" i="48"/>
  <c r="I324" i="48"/>
  <c r="G325" i="48"/>
  <c r="H325" i="48"/>
  <c r="I325" i="48"/>
  <c r="G326" i="48"/>
  <c r="H326" i="48"/>
  <c r="I326" i="48"/>
  <c r="G327" i="48"/>
  <c r="H327" i="48"/>
  <c r="I327" i="48"/>
  <c r="G328" i="48"/>
  <c r="H328" i="48"/>
  <c r="I328" i="48"/>
  <c r="G329" i="48"/>
  <c r="H329" i="48"/>
  <c r="I329" i="48"/>
  <c r="G330" i="48"/>
  <c r="H330" i="48"/>
  <c r="I330" i="48"/>
  <c r="G331" i="48"/>
  <c r="H331" i="48"/>
  <c r="I331" i="48"/>
  <c r="G332" i="48"/>
  <c r="H332" i="48"/>
  <c r="I332" i="48"/>
  <c r="G333" i="48"/>
  <c r="H333" i="48"/>
  <c r="I333" i="48"/>
  <c r="G334" i="48"/>
  <c r="H334" i="48"/>
  <c r="I334" i="48"/>
  <c r="G335" i="48"/>
  <c r="H335" i="48"/>
  <c r="I335" i="48"/>
  <c r="G336" i="48"/>
  <c r="H336" i="48"/>
  <c r="I336" i="48"/>
  <c r="G337" i="48"/>
  <c r="H337" i="48"/>
  <c r="I337" i="48"/>
  <c r="G338" i="48"/>
  <c r="H338" i="48"/>
  <c r="I338" i="48"/>
  <c r="G339" i="48"/>
  <c r="H339" i="48"/>
  <c r="I339" i="48"/>
  <c r="G340" i="48"/>
  <c r="H340" i="48"/>
  <c r="I340" i="48"/>
  <c r="G341" i="48"/>
  <c r="H341" i="48"/>
  <c r="I341" i="48"/>
  <c r="G342" i="48"/>
  <c r="H342" i="48"/>
  <c r="I342" i="48"/>
  <c r="G343" i="48"/>
  <c r="H343" i="48"/>
  <c r="I343" i="48"/>
  <c r="G344" i="48"/>
  <c r="H344" i="48"/>
  <c r="I344" i="48"/>
  <c r="G345" i="48"/>
  <c r="H345" i="48"/>
  <c r="I345" i="48"/>
  <c r="G346" i="48"/>
  <c r="H346" i="48"/>
  <c r="I346" i="48"/>
  <c r="G347" i="48"/>
  <c r="H347" i="48"/>
  <c r="I347" i="48"/>
  <c r="G348" i="48"/>
  <c r="H348" i="48"/>
  <c r="I348" i="48"/>
  <c r="G349" i="48"/>
  <c r="H349" i="48"/>
  <c r="I349" i="48"/>
  <c r="G350" i="48"/>
  <c r="H350" i="48"/>
  <c r="I350" i="48"/>
  <c r="G351" i="48"/>
  <c r="H351" i="48"/>
  <c r="I351" i="48"/>
  <c r="G352" i="48"/>
  <c r="H352" i="48"/>
  <c r="I352" i="48"/>
  <c r="G353" i="48"/>
  <c r="H353" i="48"/>
  <c r="I353" i="48"/>
  <c r="G354" i="48"/>
  <c r="H354" i="48"/>
  <c r="I354" i="48"/>
  <c r="G355" i="48"/>
  <c r="H355" i="48"/>
  <c r="I355" i="48"/>
  <c r="G356" i="48"/>
  <c r="H356" i="48"/>
  <c r="I356" i="48"/>
  <c r="G357" i="48"/>
  <c r="H357" i="48"/>
  <c r="I357" i="48"/>
  <c r="G358" i="48"/>
  <c r="H358" i="48"/>
  <c r="I358" i="48"/>
  <c r="G359" i="48"/>
  <c r="H359" i="48"/>
  <c r="I359" i="48"/>
  <c r="G360" i="48"/>
  <c r="H360" i="48"/>
  <c r="I360" i="48"/>
  <c r="G361" i="48"/>
  <c r="H361" i="48"/>
  <c r="I361" i="48"/>
  <c r="G362" i="48"/>
  <c r="H362" i="48"/>
  <c r="I362" i="48"/>
  <c r="G363" i="48"/>
  <c r="H363" i="48"/>
  <c r="I363" i="48"/>
  <c r="G364" i="48"/>
  <c r="H364" i="48"/>
  <c r="I364" i="48"/>
  <c r="G365" i="48"/>
  <c r="H365" i="48"/>
  <c r="I365" i="48"/>
  <c r="G366" i="48"/>
  <c r="H366" i="48"/>
  <c r="I366" i="48"/>
  <c r="G367" i="48"/>
  <c r="H367" i="48"/>
  <c r="I367" i="48"/>
  <c r="G368" i="48"/>
  <c r="H368" i="48"/>
  <c r="I368" i="48"/>
  <c r="G369" i="48"/>
  <c r="H369" i="48"/>
  <c r="I369" i="48"/>
  <c r="G370" i="48"/>
  <c r="H370" i="48"/>
  <c r="I370" i="48"/>
  <c r="G371" i="48"/>
  <c r="H371" i="48"/>
  <c r="I371" i="48"/>
  <c r="G372" i="48"/>
  <c r="H372" i="48"/>
  <c r="I372" i="48"/>
  <c r="G373" i="48"/>
  <c r="H373" i="48"/>
  <c r="I373" i="48"/>
  <c r="G374" i="48"/>
  <c r="H374" i="48"/>
  <c r="I374" i="48"/>
  <c r="G375" i="48"/>
  <c r="H375" i="48"/>
  <c r="I375" i="48"/>
  <c r="G376" i="48"/>
  <c r="H376" i="48"/>
  <c r="I376" i="48"/>
  <c r="G377" i="48"/>
  <c r="H377" i="48"/>
  <c r="I377" i="48"/>
  <c r="G378" i="48"/>
  <c r="H378" i="48"/>
  <c r="I378" i="48"/>
  <c r="G379" i="48"/>
  <c r="H379" i="48"/>
  <c r="I379" i="48"/>
  <c r="G380" i="48"/>
  <c r="H380" i="48"/>
  <c r="I380" i="48"/>
  <c r="G381" i="48"/>
  <c r="H381" i="48"/>
  <c r="I381" i="48"/>
  <c r="G382" i="48"/>
  <c r="H382" i="48"/>
  <c r="I382" i="48"/>
  <c r="G383" i="48"/>
  <c r="H383" i="48"/>
  <c r="I383" i="48"/>
  <c r="G384" i="48"/>
  <c r="H384" i="48"/>
  <c r="I384" i="48"/>
  <c r="G385" i="48"/>
  <c r="H385" i="48"/>
  <c r="I385" i="48"/>
  <c r="G386" i="48"/>
  <c r="H386" i="48"/>
  <c r="I386" i="48"/>
  <c r="G387" i="48"/>
  <c r="H387" i="48"/>
  <c r="I387" i="48"/>
  <c r="G388" i="48"/>
  <c r="H388" i="48"/>
  <c r="I388" i="48"/>
  <c r="G389" i="48"/>
  <c r="H389" i="48"/>
  <c r="I389" i="48"/>
  <c r="G390" i="48"/>
  <c r="H390" i="48"/>
  <c r="I390" i="48"/>
  <c r="G391" i="48"/>
  <c r="H391" i="48"/>
  <c r="I391" i="48"/>
  <c r="G392" i="48"/>
  <c r="H392" i="48"/>
  <c r="I392" i="48"/>
  <c r="G393" i="48"/>
  <c r="H393" i="48"/>
  <c r="I393" i="48"/>
  <c r="G394" i="48"/>
  <c r="H394" i="48"/>
  <c r="I394" i="48"/>
  <c r="G395" i="48"/>
  <c r="H395" i="48"/>
  <c r="I395" i="48"/>
  <c r="G396" i="48"/>
  <c r="H396" i="48"/>
  <c r="I396" i="48"/>
  <c r="G397" i="48"/>
  <c r="H397" i="48"/>
  <c r="I397" i="48"/>
  <c r="G398" i="48"/>
  <c r="H398" i="48"/>
  <c r="I398" i="48"/>
  <c r="G399" i="48"/>
  <c r="H399" i="48"/>
  <c r="I399" i="48"/>
  <c r="G400" i="48"/>
  <c r="H400" i="48"/>
  <c r="I400" i="48"/>
  <c r="G401" i="48"/>
  <c r="H401" i="48"/>
  <c r="I401" i="48"/>
  <c r="G402" i="48"/>
  <c r="H402" i="48"/>
  <c r="I402" i="48"/>
  <c r="G403" i="48"/>
  <c r="H403" i="48"/>
  <c r="I403" i="48"/>
  <c r="G404" i="48"/>
  <c r="H404" i="48"/>
  <c r="I404" i="48"/>
  <c r="G405" i="48"/>
  <c r="H405" i="48"/>
  <c r="I405" i="48"/>
  <c r="I130" i="48"/>
  <c r="H130" i="48"/>
  <c r="G130" i="48"/>
  <c r="O205" i="48" l="1"/>
  <c r="M204" i="48"/>
  <c r="M203" i="48"/>
  <c r="M202" i="48"/>
  <c r="T201" i="48"/>
  <c r="T199" i="48"/>
  <c r="M198" i="48"/>
  <c r="M197" i="48"/>
  <c r="T196" i="48"/>
  <c r="M194" i="48"/>
  <c r="M193" i="48"/>
  <c r="M191" i="48"/>
  <c r="M190" i="48"/>
  <c r="T189" i="48"/>
  <c r="T187" i="48"/>
  <c r="O186" i="48"/>
  <c r="O185" i="48"/>
  <c r="M183" i="48"/>
  <c r="R182" i="48"/>
  <c r="R181" i="48"/>
  <c r="T179" i="48"/>
  <c r="O177" i="48"/>
  <c r="R175" i="48"/>
  <c r="O174" i="48"/>
  <c r="M173" i="48"/>
  <c r="O172" i="48"/>
  <c r="M171" i="48"/>
  <c r="O170" i="48"/>
  <c r="M169" i="48"/>
  <c r="T168" i="48"/>
  <c r="M167" i="48"/>
  <c r="T166" i="48"/>
  <c r="M165" i="48"/>
  <c r="O164" i="48"/>
  <c r="R163" i="48"/>
  <c r="M162" i="48"/>
  <c r="O161" i="48"/>
  <c r="R160" i="48"/>
  <c r="R159" i="48"/>
  <c r="O157" i="48"/>
  <c r="R156" i="48"/>
  <c r="T155" i="48"/>
  <c r="R154" i="48"/>
  <c r="O153" i="48"/>
  <c r="M151" i="48"/>
  <c r="R150" i="48"/>
  <c r="M149" i="48"/>
  <c r="T147" i="48"/>
  <c r="T146" i="48"/>
  <c r="O145" i="48"/>
  <c r="M144" i="48"/>
  <c r="M143" i="48"/>
  <c r="O142" i="48"/>
  <c r="R141" i="48"/>
  <c r="O140" i="48"/>
  <c r="M138" i="48"/>
  <c r="O137" i="48"/>
  <c r="T135" i="48"/>
  <c r="T134" i="48"/>
  <c r="O133" i="48"/>
  <c r="R132" i="48"/>
  <c r="M131" i="48"/>
  <c r="T404" i="48"/>
  <c r="R403" i="48"/>
  <c r="O401" i="48"/>
  <c r="M399" i="48"/>
  <c r="M398" i="48"/>
  <c r="T397" i="48"/>
  <c r="R396" i="48"/>
  <c r="R395" i="48"/>
  <c r="M393" i="48"/>
  <c r="R392" i="48"/>
  <c r="R390" i="48"/>
  <c r="R387" i="48"/>
  <c r="R386" i="48"/>
  <c r="T385" i="48"/>
  <c r="T384" i="48"/>
  <c r="R383" i="48"/>
  <c r="R382" i="48"/>
  <c r="R381" i="48"/>
  <c r="T380" i="48"/>
  <c r="R379" i="48"/>
  <c r="T378" i="48"/>
  <c r="T376" i="48"/>
  <c r="T374" i="48"/>
  <c r="T371" i="48"/>
  <c r="T370" i="48"/>
  <c r="M369" i="48"/>
  <c r="M367" i="48"/>
  <c r="M366" i="48"/>
  <c r="M365" i="48"/>
  <c r="M364" i="48"/>
  <c r="T362" i="48"/>
  <c r="T360" i="48"/>
  <c r="M358" i="48"/>
  <c r="T357" i="48"/>
  <c r="T356" i="48"/>
  <c r="O355" i="48"/>
  <c r="T354" i="48"/>
  <c r="M353" i="48"/>
  <c r="M351" i="48"/>
  <c r="T350" i="48"/>
  <c r="M349" i="48"/>
  <c r="O348" i="48"/>
  <c r="T347" i="48"/>
  <c r="T346" i="48"/>
  <c r="T345" i="48"/>
  <c r="O344" i="48"/>
  <c r="M343" i="48"/>
  <c r="M342" i="48"/>
  <c r="M341" i="48"/>
  <c r="R340" i="48"/>
  <c r="M339" i="48"/>
  <c r="T338" i="48"/>
  <c r="M337" i="48"/>
  <c r="O336" i="48"/>
  <c r="M335" i="48"/>
  <c r="O334" i="48"/>
  <c r="R333" i="48"/>
  <c r="M332" i="48"/>
  <c r="M329" i="48"/>
  <c r="M327" i="48"/>
  <c r="M326" i="48"/>
  <c r="O325" i="48"/>
  <c r="T324" i="48"/>
  <c r="T323" i="48"/>
  <c r="T322" i="48"/>
  <c r="R321" i="48"/>
  <c r="T320" i="48"/>
  <c r="M319" i="48"/>
  <c r="M318" i="48"/>
  <c r="T317" i="48"/>
  <c r="M316" i="48"/>
  <c r="M314" i="48"/>
  <c r="T313" i="48"/>
  <c r="T311" i="48"/>
  <c r="T310" i="48"/>
  <c r="O308" i="48"/>
  <c r="R307" i="48"/>
  <c r="R306" i="48"/>
  <c r="O305" i="48"/>
  <c r="O304" i="48"/>
  <c r="R303" i="48"/>
  <c r="M302" i="48"/>
  <c r="O301" i="48"/>
  <c r="O300" i="48"/>
  <c r="O299" i="48"/>
  <c r="O298" i="48"/>
  <c r="M297" i="48"/>
  <c r="R296" i="48"/>
  <c r="T295" i="48"/>
  <c r="O294" i="48"/>
  <c r="M293" i="48"/>
  <c r="M291" i="48"/>
  <c r="O290" i="48"/>
  <c r="M289" i="48"/>
  <c r="T288" i="48"/>
  <c r="M286" i="48"/>
  <c r="T285" i="48"/>
  <c r="T284" i="48"/>
  <c r="T283" i="48"/>
  <c r="O282" i="48"/>
  <c r="M281" i="48"/>
  <c r="O280" i="48"/>
  <c r="M279" i="48"/>
  <c r="T278" i="48"/>
  <c r="M277" i="48"/>
  <c r="M276" i="48"/>
  <c r="R275" i="48"/>
  <c r="R274" i="48"/>
  <c r="R273" i="48"/>
  <c r="M272" i="48"/>
  <c r="M270" i="48"/>
  <c r="T269" i="48"/>
  <c r="T268" i="48"/>
  <c r="T267" i="48"/>
  <c r="O266" i="48"/>
  <c r="T265" i="48"/>
  <c r="M264" i="48"/>
  <c r="M263" i="48"/>
  <c r="M262" i="48"/>
  <c r="T261" i="48"/>
  <c r="M260" i="48"/>
  <c r="T259" i="48"/>
  <c r="O258" i="48"/>
  <c r="O257" i="48"/>
  <c r="R256" i="48"/>
  <c r="R255" i="48"/>
  <c r="R254" i="48"/>
  <c r="R253" i="48"/>
  <c r="R252" i="48"/>
  <c r="O251" i="48"/>
  <c r="O250" i="48"/>
  <c r="M248" i="48"/>
  <c r="O247" i="48"/>
  <c r="T246" i="48"/>
  <c r="T245" i="48"/>
  <c r="R244" i="48"/>
  <c r="T243" i="48"/>
  <c r="T242" i="48"/>
  <c r="R241" i="48"/>
  <c r="R239" i="48"/>
  <c r="R238" i="48"/>
  <c r="R235" i="48"/>
  <c r="M234" i="48"/>
  <c r="O233" i="48"/>
  <c r="O232" i="48"/>
  <c r="O231" i="48"/>
  <c r="T230" i="48"/>
  <c r="R229" i="48"/>
  <c r="T228" i="48"/>
  <c r="T227" i="48"/>
  <c r="M226" i="48"/>
  <c r="M225" i="48"/>
  <c r="O224" i="48"/>
  <c r="T223" i="48"/>
  <c r="M222" i="48"/>
  <c r="T221" i="48"/>
  <c r="T219" i="48"/>
  <c r="O218" i="48"/>
  <c r="T217" i="48"/>
  <c r="M216" i="48"/>
  <c r="R215" i="48"/>
  <c r="R214" i="48"/>
  <c r="R213" i="48"/>
  <c r="T212" i="48"/>
  <c r="T211" i="48"/>
  <c r="M210" i="48"/>
  <c r="M209" i="48"/>
  <c r="O208" i="48"/>
  <c r="O207" i="48"/>
  <c r="O206" i="48"/>
  <c r="M147" i="48"/>
  <c r="O130" i="48"/>
  <c r="M139" i="48"/>
  <c r="R402" i="48"/>
  <c r="M402" i="48"/>
  <c r="O402" i="48"/>
  <c r="M405" i="48"/>
  <c r="O405" i="48"/>
  <c r="M389" i="48"/>
  <c r="O389" i="48"/>
  <c r="T391" i="48"/>
  <c r="M391" i="48"/>
  <c r="O391" i="48"/>
  <c r="M375" i="48"/>
  <c r="O375" i="48"/>
  <c r="T400" i="48"/>
  <c r="O400" i="48"/>
  <c r="M400" i="48"/>
  <c r="M359" i="48"/>
  <c r="O359" i="48"/>
  <c r="M384" i="48"/>
  <c r="M368" i="48"/>
  <c r="O368" i="48"/>
  <c r="T352" i="48"/>
  <c r="M352" i="48"/>
  <c r="O352" i="48"/>
  <c r="M377" i="48"/>
  <c r="O377" i="48"/>
  <c r="M361" i="48"/>
  <c r="O361" i="48"/>
  <c r="R394" i="48"/>
  <c r="O394" i="48"/>
  <c r="M394" i="48"/>
  <c r="M338" i="48"/>
  <c r="T330" i="48"/>
  <c r="O330" i="48"/>
  <c r="M330" i="48"/>
  <c r="O363" i="48"/>
  <c r="M363" i="48"/>
  <c r="O347" i="48"/>
  <c r="O387" i="48"/>
  <c r="M388" i="48"/>
  <c r="O388" i="48"/>
  <c r="T372" i="48"/>
  <c r="M372" i="48"/>
  <c r="O372" i="48"/>
  <c r="T292" i="48"/>
  <c r="M292" i="48"/>
  <c r="O292" i="48"/>
  <c r="M373" i="48"/>
  <c r="O373" i="48"/>
  <c r="M309" i="48"/>
  <c r="O309" i="48"/>
  <c r="M301" i="48"/>
  <c r="M287" i="48"/>
  <c r="O287" i="48"/>
  <c r="M271" i="48"/>
  <c r="O271" i="48"/>
  <c r="M328" i="48"/>
  <c r="O328" i="48"/>
  <c r="M312" i="48"/>
  <c r="O312" i="48"/>
  <c r="T273" i="48"/>
  <c r="M273" i="48"/>
  <c r="O273" i="48"/>
  <c r="T249" i="48"/>
  <c r="O249" i="48"/>
  <c r="M249" i="48"/>
  <c r="O331" i="48"/>
  <c r="M331" i="48"/>
  <c r="O315" i="48"/>
  <c r="M315" i="48"/>
  <c r="T405" i="48"/>
  <c r="R405" i="48"/>
  <c r="R389" i="48"/>
  <c r="T389" i="48"/>
  <c r="R377" i="48"/>
  <c r="T377" i="48"/>
  <c r="T312" i="48"/>
  <c r="R312" i="48"/>
  <c r="O252" i="48"/>
  <c r="M240" i="48"/>
  <c r="O240" i="48"/>
  <c r="O237" i="48"/>
  <c r="M237" i="48"/>
  <c r="T236" i="48"/>
  <c r="M236" i="48"/>
  <c r="O236" i="48"/>
  <c r="T220" i="48"/>
  <c r="M220" i="48"/>
  <c r="O220" i="48"/>
  <c r="O209" i="48"/>
  <c r="M201" i="48"/>
  <c r="M200" i="48"/>
  <c r="O200" i="48"/>
  <c r="T195" i="48"/>
  <c r="M195" i="48"/>
  <c r="O195" i="48"/>
  <c r="M192" i="48"/>
  <c r="O192" i="48"/>
  <c r="M189" i="48"/>
  <c r="T188" i="48"/>
  <c r="M188" i="48"/>
  <c r="O188" i="48"/>
  <c r="M187" i="48"/>
  <c r="M184" i="48"/>
  <c r="O184" i="48"/>
  <c r="T180" i="48"/>
  <c r="O180" i="48"/>
  <c r="M180" i="48"/>
  <c r="O178" i="48"/>
  <c r="M178" i="48"/>
  <c r="M176" i="48"/>
  <c r="O176" i="48"/>
  <c r="T174" i="48"/>
  <c r="T171" i="48"/>
  <c r="O171" i="48"/>
  <c r="T163" i="48"/>
  <c r="M163" i="48"/>
  <c r="T158" i="48"/>
  <c r="O158" i="48"/>
  <c r="M158" i="48"/>
  <c r="O156" i="48"/>
  <c r="O152" i="48"/>
  <c r="M152" i="48"/>
  <c r="M150" i="48"/>
  <c r="T148" i="48"/>
  <c r="M148" i="48"/>
  <c r="O148" i="48"/>
  <c r="O136" i="48"/>
  <c r="M136" i="48"/>
  <c r="O135" i="48"/>
  <c r="R388" i="48"/>
  <c r="T375" i="48"/>
  <c r="R278" i="48"/>
  <c r="R249" i="48"/>
  <c r="R400" i="48"/>
  <c r="R375" i="48"/>
  <c r="R373" i="48"/>
  <c r="R352" i="48"/>
  <c r="R338" i="48"/>
  <c r="T394" i="48"/>
  <c r="R391" i="48"/>
  <c r="T402" i="48"/>
  <c r="T359" i="48"/>
  <c r="R372" i="48"/>
  <c r="T388" i="48"/>
  <c r="R368" i="48"/>
  <c r="T368" i="48"/>
  <c r="T342" i="48"/>
  <c r="T328" i="48"/>
  <c r="R328" i="48"/>
  <c r="T139" i="48"/>
  <c r="O139" i="48"/>
  <c r="R359" i="48"/>
  <c r="T315" i="48"/>
  <c r="R236" i="48"/>
  <c r="R315" i="48"/>
  <c r="R292" i="48"/>
  <c r="T373" i="48"/>
  <c r="T309" i="48"/>
  <c r="T271" i="48"/>
  <c r="R240" i="48"/>
  <c r="T363" i="48"/>
  <c r="R330" i="48"/>
  <c r="R309" i="48"/>
  <c r="R271" i="48"/>
  <c r="R363" i="48"/>
  <c r="T331" i="48"/>
  <c r="T301" i="48"/>
  <c r="T287" i="48"/>
  <c r="T361" i="48"/>
  <c r="R331" i="48"/>
  <c r="R301" i="48"/>
  <c r="R287" i="48"/>
  <c r="R361" i="48"/>
  <c r="R192" i="48"/>
  <c r="R188" i="48"/>
  <c r="R158" i="48"/>
  <c r="T237" i="48"/>
  <c r="T184" i="48"/>
  <c r="T152" i="48"/>
  <c r="R139" i="48"/>
  <c r="T240" i="48"/>
  <c r="R237" i="48"/>
  <c r="R184" i="48"/>
  <c r="R180" i="48"/>
  <c r="T178" i="48"/>
  <c r="R152" i="48"/>
  <c r="R148" i="48"/>
  <c r="R220" i="48"/>
  <c r="R195" i="48"/>
  <c r="R178" i="48"/>
  <c r="T176" i="48"/>
  <c r="T138" i="48"/>
  <c r="R176" i="48"/>
  <c r="T136" i="48"/>
  <c r="T200" i="48"/>
  <c r="R187" i="48"/>
  <c r="R136" i="48"/>
  <c r="R200" i="48"/>
  <c r="T192" i="48"/>
  <c r="T160" i="48"/>
  <c r="T277" i="48" l="1"/>
  <c r="T325" i="48"/>
  <c r="M156" i="48"/>
  <c r="T150" i="48"/>
  <c r="R185" i="48"/>
  <c r="M185" i="48"/>
  <c r="R191" i="48"/>
  <c r="T291" i="48"/>
  <c r="T156" i="48"/>
  <c r="O182" i="48"/>
  <c r="O333" i="48"/>
  <c r="M182" i="48"/>
  <c r="O291" i="48"/>
  <c r="M333" i="48"/>
  <c r="T191" i="48"/>
  <c r="R147" i="48"/>
  <c r="R291" i="48"/>
  <c r="T182" i="48"/>
  <c r="T333" i="48"/>
  <c r="O191" i="48"/>
  <c r="O358" i="48"/>
  <c r="O147" i="48"/>
  <c r="T358" i="48"/>
  <c r="R138" i="48"/>
  <c r="R325" i="48"/>
  <c r="R358" i="48"/>
  <c r="O380" i="48"/>
  <c r="M252" i="48"/>
  <c r="O268" i="48"/>
  <c r="M325" i="48"/>
  <c r="T403" i="48"/>
  <c r="T332" i="48"/>
  <c r="R332" i="48"/>
  <c r="R357" i="48"/>
  <c r="O132" i="48"/>
  <c r="O327" i="48"/>
  <c r="O403" i="48"/>
  <c r="T351" i="48"/>
  <c r="T167" i="48"/>
  <c r="T335" i="48"/>
  <c r="R365" i="48"/>
  <c r="R351" i="48"/>
  <c r="O155" i="48"/>
  <c r="M132" i="48"/>
  <c r="O150" i="48"/>
  <c r="O193" i="48"/>
  <c r="O201" i="48"/>
  <c r="O277" i="48"/>
  <c r="M403" i="48"/>
  <c r="R222" i="48"/>
  <c r="T327" i="48"/>
  <c r="R335" i="48"/>
  <c r="T132" i="48"/>
  <c r="T185" i="48"/>
  <c r="R380" i="48"/>
  <c r="O285" i="48"/>
  <c r="O357" i="48"/>
  <c r="O335" i="48"/>
  <c r="T141" i="48"/>
  <c r="R277" i="48"/>
  <c r="T193" i="48"/>
  <c r="M307" i="48"/>
  <c r="M285" i="48"/>
  <c r="M357" i="48"/>
  <c r="R198" i="48"/>
  <c r="R285" i="48"/>
  <c r="T307" i="48"/>
  <c r="R201" i="48"/>
  <c r="M141" i="48"/>
  <c r="O167" i="48"/>
  <c r="O198" i="48"/>
  <c r="O307" i="48"/>
  <c r="O365" i="48"/>
  <c r="O351" i="48"/>
  <c r="O332" i="48"/>
  <c r="R155" i="48"/>
  <c r="R167" i="48"/>
  <c r="T365" i="48"/>
  <c r="R327" i="48"/>
  <c r="T198" i="48"/>
  <c r="T302" i="48"/>
  <c r="M320" i="48"/>
  <c r="M298" i="48"/>
  <c r="R298" i="48"/>
  <c r="T298" i="48"/>
  <c r="T279" i="48"/>
  <c r="O222" i="48"/>
  <c r="T222" i="48"/>
  <c r="M268" i="48"/>
  <c r="O241" i="48"/>
  <c r="M241" i="48"/>
  <c r="R268" i="48"/>
  <c r="T241" i="48"/>
  <c r="R209" i="48"/>
  <c r="T252" i="48"/>
  <c r="T209" i="48"/>
  <c r="R251" i="48"/>
  <c r="R270" i="48"/>
  <c r="R401" i="48"/>
  <c r="T164" i="48"/>
  <c r="M266" i="48"/>
  <c r="M306" i="48"/>
  <c r="O303" i="48"/>
  <c r="R313" i="48"/>
  <c r="T131" i="48"/>
  <c r="R153" i="48"/>
  <c r="R374" i="48"/>
  <c r="M133" i="48"/>
  <c r="O169" i="48"/>
  <c r="M374" i="48"/>
  <c r="R347" i="48"/>
  <c r="R317" i="48"/>
  <c r="O151" i="48"/>
  <c r="R151" i="48"/>
  <c r="T395" i="48"/>
  <c r="O160" i="48"/>
  <c r="R131" i="48"/>
  <c r="R133" i="48"/>
  <c r="R169" i="48"/>
  <c r="M160" i="48"/>
  <c r="R293" i="48"/>
  <c r="R282" i="48"/>
  <c r="R146" i="48"/>
  <c r="R171" i="48"/>
  <c r="R367" i="48"/>
  <c r="T145" i="48"/>
  <c r="R314" i="48"/>
  <c r="R384" i="48"/>
  <c r="O141" i="48"/>
  <c r="R397" i="48"/>
  <c r="M283" i="48"/>
  <c r="M300" i="48"/>
  <c r="O314" i="48"/>
  <c r="O393" i="48"/>
  <c r="M334" i="48"/>
  <c r="O397" i="48"/>
  <c r="R300" i="48"/>
  <c r="R320" i="48"/>
  <c r="R393" i="48"/>
  <c r="O283" i="48"/>
  <c r="O263" i="48"/>
  <c r="T300" i="48"/>
  <c r="M371" i="48"/>
  <c r="T314" i="48"/>
  <c r="O345" i="48"/>
  <c r="T393" i="48"/>
  <c r="O367" i="48"/>
  <c r="M397" i="48"/>
  <c r="R283" i="48"/>
  <c r="R345" i="48"/>
  <c r="R302" i="48"/>
  <c r="R371" i="48"/>
  <c r="R334" i="48"/>
  <c r="R376" i="48"/>
  <c r="T367" i="48"/>
  <c r="O146" i="48"/>
  <c r="O371" i="48"/>
  <c r="M345" i="48"/>
  <c r="O376" i="48"/>
  <c r="M155" i="48"/>
  <c r="T387" i="48"/>
  <c r="M376" i="48"/>
  <c r="O302" i="48"/>
  <c r="T334" i="48"/>
  <c r="M146" i="48"/>
  <c r="T263" i="48"/>
  <c r="R342" i="48"/>
  <c r="T251" i="48"/>
  <c r="O163" i="48"/>
  <c r="O320" i="48"/>
  <c r="M387" i="48"/>
  <c r="O384" i="48"/>
  <c r="R267" i="48"/>
  <c r="M265" i="48"/>
  <c r="M380" i="48"/>
  <c r="O342" i="48"/>
  <c r="M145" i="48"/>
  <c r="O138" i="48"/>
  <c r="R258" i="48"/>
  <c r="R145" i="48"/>
  <c r="M267" i="48"/>
  <c r="M181" i="48"/>
  <c r="M386" i="48"/>
  <c r="T392" i="48"/>
  <c r="T205" i="48"/>
  <c r="R135" i="48"/>
  <c r="O278" i="48"/>
  <c r="M278" i="48"/>
  <c r="M251" i="48"/>
  <c r="O242" i="48"/>
  <c r="O181" i="48"/>
  <c r="R356" i="48"/>
  <c r="M159" i="48"/>
  <c r="R399" i="48"/>
  <c r="M379" i="48"/>
  <c r="O392" i="48"/>
  <c r="R173" i="48"/>
  <c r="T173" i="48"/>
  <c r="M135" i="48"/>
  <c r="O159" i="48"/>
  <c r="T399" i="48"/>
  <c r="O379" i="48"/>
  <c r="M346" i="48"/>
  <c r="M392" i="48"/>
  <c r="R205" i="48"/>
  <c r="M137" i="48"/>
  <c r="T379" i="48"/>
  <c r="M205" i="48"/>
  <c r="O386" i="48"/>
  <c r="O356" i="48"/>
  <c r="O399" i="48"/>
  <c r="T159" i="48"/>
  <c r="T181" i="48"/>
  <c r="R349" i="48"/>
  <c r="T137" i="48"/>
  <c r="O173" i="48"/>
  <c r="M356" i="48"/>
  <c r="T349" i="48"/>
  <c r="R137" i="48"/>
  <c r="T386" i="48"/>
  <c r="T197" i="48"/>
  <c r="M322" i="48"/>
  <c r="M208" i="48"/>
  <c r="R227" i="48"/>
  <c r="R245" i="48"/>
  <c r="T162" i="48"/>
  <c r="R189" i="48"/>
  <c r="R243" i="48"/>
  <c r="T186" i="48"/>
  <c r="O189" i="48"/>
  <c r="M347" i="48"/>
  <c r="O353" i="48"/>
  <c r="R350" i="48"/>
  <c r="R344" i="48"/>
  <c r="T293" i="48"/>
  <c r="R162" i="48"/>
  <c r="T144" i="48"/>
  <c r="R197" i="48"/>
  <c r="R264" i="48"/>
  <c r="R322" i="48"/>
  <c r="R279" i="48"/>
  <c r="T151" i="48"/>
  <c r="T169" i="48"/>
  <c r="R346" i="48"/>
  <c r="O162" i="48"/>
  <c r="O187" i="48"/>
  <c r="O197" i="48"/>
  <c r="O322" i="48"/>
  <c r="O349" i="48"/>
  <c r="O395" i="48"/>
  <c r="O346" i="48"/>
  <c r="R353" i="48"/>
  <c r="M153" i="48"/>
  <c r="O245" i="48"/>
  <c r="M395" i="48"/>
  <c r="O374" i="48"/>
  <c r="T133" i="48"/>
  <c r="T353" i="48"/>
  <c r="T153" i="48"/>
  <c r="R193" i="48"/>
  <c r="O279" i="48"/>
  <c r="T234" i="48"/>
  <c r="R234" i="48"/>
  <c r="T208" i="48"/>
  <c r="T264" i="48"/>
  <c r="T255" i="48"/>
  <c r="O227" i="48"/>
  <c r="M242" i="48"/>
  <c r="O267" i="48"/>
  <c r="M245" i="48"/>
  <c r="R208" i="48"/>
  <c r="R265" i="48"/>
  <c r="R261" i="48"/>
  <c r="R242" i="48"/>
  <c r="O261" i="48"/>
  <c r="R263" i="48"/>
  <c r="O235" i="48"/>
  <c r="O264" i="48"/>
  <c r="M261" i="48"/>
  <c r="T258" i="48"/>
  <c r="M235" i="48"/>
  <c r="M258" i="48"/>
  <c r="O255" i="48"/>
  <c r="T235" i="48"/>
  <c r="O265" i="48"/>
  <c r="M255" i="48"/>
  <c r="O199" i="48"/>
  <c r="R172" i="48"/>
  <c r="R143" i="48"/>
  <c r="T172" i="48"/>
  <c r="T355" i="48"/>
  <c r="R308" i="48"/>
  <c r="O196" i="48"/>
  <c r="M199" i="48"/>
  <c r="R398" i="48"/>
  <c r="M196" i="48"/>
  <c r="T274" i="48"/>
  <c r="O286" i="48"/>
  <c r="O168" i="48"/>
  <c r="T364" i="48"/>
  <c r="O396" i="48"/>
  <c r="R134" i="48"/>
  <c r="R168" i="48"/>
  <c r="T280" i="48"/>
  <c r="O149" i="48"/>
  <c r="M157" i="48"/>
  <c r="M168" i="48"/>
  <c r="T203" i="48"/>
  <c r="T396" i="48"/>
  <c r="R149" i="48"/>
  <c r="R221" i="48"/>
  <c r="R196" i="48"/>
  <c r="R204" i="48"/>
  <c r="R199" i="48"/>
  <c r="R203" i="48"/>
  <c r="M179" i="48"/>
  <c r="T204" i="48"/>
  <c r="M256" i="48"/>
  <c r="O316" i="48"/>
  <c r="O404" i="48"/>
  <c r="M134" i="48"/>
  <c r="O340" i="48"/>
  <c r="T369" i="48"/>
  <c r="M404" i="48"/>
  <c r="T165" i="48"/>
  <c r="M161" i="48"/>
  <c r="R157" i="48"/>
  <c r="R142" i="48"/>
  <c r="R165" i="48"/>
  <c r="R161" i="48"/>
  <c r="R385" i="48"/>
  <c r="R354" i="48"/>
  <c r="M175" i="48"/>
  <c r="M274" i="48"/>
  <c r="T340" i="48"/>
  <c r="T366" i="48"/>
  <c r="T175" i="48"/>
  <c r="T149" i="48"/>
  <c r="T157" i="48"/>
  <c r="T296" i="48"/>
  <c r="T161" i="48"/>
  <c r="T321" i="48"/>
  <c r="O175" i="48"/>
  <c r="M296" i="48"/>
  <c r="M321" i="48"/>
  <c r="M390" i="48"/>
  <c r="O204" i="48"/>
  <c r="T247" i="48"/>
  <c r="R170" i="48"/>
  <c r="R404" i="48"/>
  <c r="R179" i="48"/>
  <c r="O203" i="48"/>
  <c r="T170" i="48"/>
  <c r="R247" i="48"/>
  <c r="M172" i="48"/>
  <c r="O228" i="48"/>
  <c r="T206" i="48"/>
  <c r="M280" i="48"/>
  <c r="T276" i="48"/>
  <c r="M308" i="48"/>
  <c r="R280" i="48"/>
  <c r="R286" i="48"/>
  <c r="T390" i="48"/>
  <c r="R228" i="48"/>
  <c r="T286" i="48"/>
  <c r="O134" i="48"/>
  <c r="M227" i="48"/>
  <c r="O256" i="48"/>
  <c r="O296" i="48"/>
  <c r="T308" i="48"/>
  <c r="M340" i="48"/>
  <c r="M396" i="48"/>
  <c r="O321" i="48"/>
  <c r="O262" i="48"/>
  <c r="O390" i="48"/>
  <c r="T256" i="48"/>
  <c r="M228" i="48"/>
  <c r="R260" i="48"/>
  <c r="R324" i="48"/>
  <c r="T304" i="48"/>
  <c r="M221" i="48"/>
  <c r="M304" i="48"/>
  <c r="M247" i="48"/>
  <c r="T316" i="48"/>
  <c r="O360" i="48"/>
  <c r="R304" i="48"/>
  <c r="O274" i="48"/>
  <c r="R316" i="48"/>
  <c r="R360" i="48"/>
  <c r="O211" i="48"/>
  <c r="O272" i="48"/>
  <c r="T260" i="48"/>
  <c r="O324" i="48"/>
  <c r="M354" i="48"/>
  <c r="M360" i="48"/>
  <c r="O221" i="48"/>
  <c r="R216" i="48"/>
  <c r="R272" i="48"/>
  <c r="R364" i="48"/>
  <c r="T272" i="48"/>
  <c r="M206" i="48"/>
  <c r="M211" i="48"/>
  <c r="T238" i="48"/>
  <c r="O276" i="48"/>
  <c r="M324" i="48"/>
  <c r="O364" i="48"/>
  <c r="O354" i="48"/>
  <c r="O366" i="48"/>
  <c r="O398" i="48"/>
  <c r="R211" i="48"/>
  <c r="R206" i="48"/>
  <c r="T398" i="48"/>
  <c r="R366" i="48"/>
  <c r="R276" i="48"/>
  <c r="T248" i="48"/>
  <c r="R355" i="48"/>
  <c r="T305" i="48"/>
  <c r="R378" i="48"/>
  <c r="T289" i="48"/>
  <c r="O311" i="48"/>
  <c r="O381" i="48"/>
  <c r="M348" i="48"/>
  <c r="M362" i="48"/>
  <c r="T318" i="48"/>
  <c r="M311" i="48"/>
  <c r="M381" i="48"/>
  <c r="T348" i="48"/>
  <c r="M355" i="48"/>
  <c r="M378" i="48"/>
  <c r="O378" i="48"/>
  <c r="O385" i="48"/>
  <c r="O383" i="48"/>
  <c r="R233" i="48"/>
  <c r="R311" i="48"/>
  <c r="O165" i="48"/>
  <c r="M170" i="48"/>
  <c r="T381" i="48"/>
  <c r="M385" i="48"/>
  <c r="M383" i="48"/>
  <c r="O179" i="48"/>
  <c r="T383" i="48"/>
  <c r="O259" i="48"/>
  <c r="O143" i="48"/>
  <c r="M142" i="48"/>
  <c r="M305" i="48"/>
  <c r="O369" i="48"/>
  <c r="R318" i="48"/>
  <c r="R305" i="48"/>
  <c r="T294" i="48"/>
  <c r="T142" i="48"/>
  <c r="R369" i="48"/>
  <c r="T143" i="48"/>
  <c r="R362" i="48"/>
  <c r="T253" i="48"/>
  <c r="M253" i="48"/>
  <c r="T250" i="48"/>
  <c r="T183" i="48"/>
  <c r="R164" i="48"/>
  <c r="T290" i="48"/>
  <c r="R174" i="48"/>
  <c r="R266" i="48"/>
  <c r="T270" i="48"/>
  <c r="R290" i="48"/>
  <c r="R319" i="48"/>
  <c r="T177" i="48"/>
  <c r="R202" i="48"/>
  <c r="T382" i="48"/>
  <c r="M140" i="48"/>
  <c r="M174" i="48"/>
  <c r="M177" i="48"/>
  <c r="T190" i="48"/>
  <c r="O194" i="48"/>
  <c r="O238" i="48"/>
  <c r="M290" i="48"/>
  <c r="O295" i="48"/>
  <c r="O260" i="48"/>
  <c r="O339" i="48"/>
  <c r="M344" i="48"/>
  <c r="R183" i="48"/>
  <c r="T266" i="48"/>
  <c r="R231" i="48"/>
  <c r="R166" i="48"/>
  <c r="R140" i="48"/>
  <c r="T213" i="48"/>
  <c r="R337" i="48"/>
  <c r="T337" i="48"/>
  <c r="T319" i="48"/>
  <c r="M164" i="48"/>
  <c r="T140" i="48"/>
  <c r="M238" i="48"/>
  <c r="T401" i="48"/>
  <c r="M295" i="48"/>
  <c r="T344" i="48"/>
  <c r="M166" i="48"/>
  <c r="T216" i="48"/>
  <c r="R144" i="48"/>
  <c r="R186" i="48"/>
  <c r="R262" i="48"/>
  <c r="T303" i="48"/>
  <c r="R339" i="48"/>
  <c r="O166" i="48"/>
  <c r="O154" i="48"/>
  <c r="O246" i="48"/>
  <c r="O306" i="48"/>
  <c r="M303" i="48"/>
  <c r="M370" i="48"/>
  <c r="T154" i="48"/>
  <c r="R284" i="48"/>
  <c r="M154" i="48"/>
  <c r="M186" i="48"/>
  <c r="M213" i="48"/>
  <c r="M246" i="48"/>
  <c r="O284" i="48"/>
  <c r="T306" i="48"/>
  <c r="O370" i="48"/>
  <c r="O382" i="48"/>
  <c r="R190" i="48"/>
  <c r="T194" i="48"/>
  <c r="R246" i="48"/>
  <c r="R295" i="48"/>
  <c r="T262" i="48"/>
  <c r="T339" i="48"/>
  <c r="O213" i="48"/>
  <c r="M231" i="48"/>
  <c r="R370" i="48"/>
  <c r="M284" i="48"/>
  <c r="O270" i="48"/>
  <c r="M382" i="48"/>
  <c r="T231" i="48"/>
  <c r="R194" i="48"/>
  <c r="O144" i="48"/>
  <c r="O183" i="48"/>
  <c r="O190" i="48"/>
  <c r="O216" i="48"/>
  <c r="M250" i="48"/>
  <c r="O319" i="48"/>
  <c r="O337" i="48"/>
  <c r="M401" i="48"/>
  <c r="T202" i="48"/>
  <c r="R177" i="48"/>
  <c r="O202" i="48"/>
  <c r="R250" i="48"/>
  <c r="R207" i="48"/>
  <c r="M224" i="48"/>
  <c r="M232" i="48"/>
  <c r="O253" i="48"/>
  <c r="T207" i="48"/>
  <c r="T254" i="48"/>
  <c r="M282" i="48"/>
  <c r="T218" i="48"/>
  <c r="R218" i="48"/>
  <c r="T225" i="48"/>
  <c r="M230" i="48"/>
  <c r="O281" i="48"/>
  <c r="R257" i="48"/>
  <c r="O226" i="48"/>
  <c r="M257" i="48"/>
  <c r="T281" i="48"/>
  <c r="M218" i="48"/>
  <c r="R212" i="48"/>
  <c r="O243" i="48"/>
  <c r="R230" i="48"/>
  <c r="T341" i="48"/>
  <c r="R323" i="48"/>
  <c r="O223" i="48"/>
  <c r="M233" i="48"/>
  <c r="O297" i="48"/>
  <c r="O341" i="48"/>
  <c r="O362" i="48"/>
  <c r="M294" i="48"/>
  <c r="R281" i="48"/>
  <c r="R348" i="48"/>
  <c r="M223" i="48"/>
  <c r="T233" i="48"/>
  <c r="R297" i="48"/>
  <c r="M269" i="48"/>
  <c r="O318" i="48"/>
  <c r="T297" i="48"/>
  <c r="R341" i="48"/>
  <c r="O234" i="48"/>
  <c r="M207" i="48"/>
  <c r="O212" i="48"/>
  <c r="O225" i="48"/>
  <c r="O230" i="48"/>
  <c r="O248" i="48"/>
  <c r="O323" i="48"/>
  <c r="O326" i="48"/>
  <c r="R223" i="48"/>
  <c r="R232" i="48"/>
  <c r="M239" i="48"/>
  <c r="M299" i="48"/>
  <c r="O289" i="48"/>
  <c r="M243" i="48"/>
  <c r="T232" i="48"/>
  <c r="R219" i="48"/>
  <c r="R225" i="48"/>
  <c r="T275" i="48"/>
  <c r="R294" i="48"/>
  <c r="R259" i="48"/>
  <c r="R210" i="48"/>
  <c r="R336" i="48"/>
  <c r="O214" i="48"/>
  <c r="M217" i="48"/>
  <c r="O244" i="48"/>
  <c r="O275" i="48"/>
  <c r="T257" i="48"/>
  <c r="M288" i="48"/>
  <c r="O293" i="48"/>
  <c r="M317" i="48"/>
  <c r="O338" i="48"/>
  <c r="M310" i="48"/>
  <c r="O313" i="48"/>
  <c r="T336" i="48"/>
  <c r="O350" i="48"/>
  <c r="O210" i="48"/>
  <c r="R226" i="48"/>
  <c r="O217" i="48"/>
  <c r="M244" i="48"/>
  <c r="M275" i="48"/>
  <c r="O288" i="48"/>
  <c r="O317" i="48"/>
  <c r="O310" i="48"/>
  <c r="M336" i="48"/>
  <c r="T326" i="48"/>
  <c r="T210" i="48"/>
  <c r="T226" i="48"/>
  <c r="T224" i="48"/>
  <c r="R329" i="48"/>
  <c r="R299" i="48"/>
  <c r="T343" i="48"/>
  <c r="T299" i="48"/>
  <c r="R269" i="48"/>
  <c r="R288" i="48"/>
  <c r="R310" i="48"/>
  <c r="R217" i="48"/>
  <c r="M214" i="48"/>
  <c r="M219" i="48"/>
  <c r="T244" i="48"/>
  <c r="O269" i="48"/>
  <c r="M313" i="48"/>
  <c r="M254" i="48"/>
  <c r="M350" i="48"/>
  <c r="T229" i="48"/>
  <c r="T214" i="48"/>
  <c r="O219" i="48"/>
  <c r="O229" i="48"/>
  <c r="T239" i="48"/>
  <c r="R343" i="48"/>
  <c r="O131" i="48"/>
  <c r="R289" i="48"/>
  <c r="M212" i="48"/>
  <c r="O215" i="48"/>
  <c r="M229" i="48"/>
  <c r="O239" i="48"/>
  <c r="O254" i="48"/>
  <c r="M259" i="48"/>
  <c r="M323" i="48"/>
  <c r="M215" i="48"/>
  <c r="O329" i="48"/>
  <c r="T215" i="48"/>
  <c r="T329" i="48"/>
  <c r="O343" i="48"/>
  <c r="T282" i="48"/>
  <c r="R248" i="48"/>
  <c r="R326" i="48"/>
  <c r="R224" i="48"/>
  <c r="T130" i="48"/>
  <c r="R130" i="48"/>
  <c r="M130" i="48"/>
  <c r="C20" i="78"/>
  <c r="C19" i="78"/>
  <c r="O3" i="80"/>
  <c r="O4" i="80"/>
  <c r="O5" i="80"/>
  <c r="O6" i="80"/>
  <c r="O7" i="80"/>
  <c r="O8" i="80"/>
  <c r="O9" i="80"/>
  <c r="O10" i="80"/>
  <c r="O11" i="80"/>
  <c r="O12" i="80"/>
  <c r="O13" i="80"/>
  <c r="O14" i="80"/>
  <c r="O15" i="80"/>
  <c r="O16" i="80"/>
  <c r="O17" i="80"/>
  <c r="O18" i="80"/>
  <c r="O19" i="80"/>
  <c r="O20" i="80"/>
  <c r="O21" i="80"/>
  <c r="O22" i="80"/>
  <c r="O23" i="80"/>
  <c r="O24" i="80"/>
  <c r="O25" i="80"/>
  <c r="O26" i="80"/>
  <c r="O27" i="80"/>
  <c r="O28" i="80"/>
  <c r="O29" i="80"/>
  <c r="O30" i="80"/>
  <c r="O31" i="80"/>
  <c r="O32" i="80"/>
  <c r="O33" i="80"/>
  <c r="O34" i="80"/>
  <c r="O35" i="80"/>
  <c r="O36" i="80"/>
  <c r="O37" i="80"/>
  <c r="O38" i="80"/>
  <c r="O39" i="80"/>
  <c r="O40" i="80"/>
  <c r="O41" i="80"/>
  <c r="O42" i="80"/>
  <c r="O43" i="80"/>
  <c r="O44" i="80"/>
  <c r="O45" i="80"/>
  <c r="O46" i="80"/>
  <c r="O47" i="80"/>
  <c r="O48" i="80"/>
  <c r="O49" i="80"/>
  <c r="O50" i="80"/>
  <c r="O51" i="80"/>
  <c r="O52" i="80"/>
  <c r="O53" i="80"/>
  <c r="O54" i="80"/>
  <c r="O55" i="80"/>
  <c r="O56" i="80"/>
  <c r="O57" i="80"/>
  <c r="O58" i="80"/>
  <c r="O59" i="80"/>
  <c r="O60" i="80"/>
  <c r="O61" i="80"/>
  <c r="O62" i="80"/>
  <c r="O63" i="80"/>
  <c r="O64" i="80"/>
  <c r="O65" i="80"/>
  <c r="O66" i="80"/>
  <c r="O67" i="80"/>
  <c r="O68" i="80"/>
  <c r="O69" i="80"/>
  <c r="O70" i="80"/>
  <c r="O71" i="80"/>
  <c r="O72" i="80"/>
  <c r="O73" i="80"/>
  <c r="O74" i="80"/>
  <c r="O75" i="80"/>
  <c r="O76" i="80"/>
  <c r="O77" i="80"/>
  <c r="O78" i="80"/>
  <c r="O79" i="80"/>
  <c r="O80" i="80"/>
  <c r="O81" i="80"/>
  <c r="O82" i="80"/>
  <c r="O83" i="80"/>
  <c r="O84" i="80"/>
  <c r="O85" i="80"/>
  <c r="O86" i="80"/>
  <c r="O87" i="80"/>
  <c r="O88" i="80"/>
  <c r="O89" i="80"/>
  <c r="O90" i="80"/>
  <c r="O91" i="80"/>
  <c r="O92" i="80"/>
  <c r="O93" i="80"/>
  <c r="O94" i="80"/>
  <c r="O95" i="80"/>
  <c r="O96" i="80"/>
  <c r="O97" i="80"/>
  <c r="O98" i="80"/>
  <c r="O99" i="80"/>
  <c r="O100" i="80"/>
  <c r="O101" i="80"/>
  <c r="O102" i="80"/>
  <c r="O103" i="80"/>
  <c r="O104" i="80"/>
  <c r="O105" i="80"/>
  <c r="O106" i="80"/>
  <c r="O107" i="80"/>
  <c r="O108" i="80"/>
  <c r="O109" i="80"/>
  <c r="O110" i="80"/>
  <c r="O111" i="80"/>
  <c r="O112" i="80"/>
  <c r="O113" i="80"/>
  <c r="O114" i="80"/>
  <c r="O115" i="80"/>
  <c r="O116" i="80"/>
  <c r="O117" i="80"/>
  <c r="O118" i="80"/>
  <c r="O119" i="80"/>
  <c r="O120" i="80"/>
  <c r="O121" i="80"/>
  <c r="O122" i="80"/>
  <c r="O123" i="80"/>
  <c r="O124" i="80"/>
  <c r="O125" i="80"/>
  <c r="O126" i="80"/>
  <c r="O127" i="80"/>
  <c r="O128" i="80"/>
  <c r="O129" i="80"/>
  <c r="O130" i="80"/>
  <c r="O131" i="80"/>
  <c r="O132" i="80"/>
  <c r="O133" i="80"/>
  <c r="O134" i="80"/>
  <c r="O135" i="80"/>
  <c r="O136" i="80"/>
  <c r="O137" i="80"/>
  <c r="O138" i="80"/>
  <c r="O139" i="80"/>
  <c r="O140" i="80"/>
  <c r="O141" i="80"/>
  <c r="O142" i="80"/>
  <c r="O143" i="80"/>
  <c r="O144" i="80"/>
  <c r="O145" i="80"/>
  <c r="O146" i="80"/>
  <c r="O147" i="80"/>
  <c r="O148" i="80"/>
  <c r="O149" i="80"/>
  <c r="O150" i="80"/>
  <c r="O151" i="80"/>
  <c r="O152" i="80"/>
  <c r="O153" i="80"/>
  <c r="O154" i="80"/>
  <c r="O155" i="80"/>
  <c r="O156" i="80"/>
  <c r="O157" i="80"/>
  <c r="O158" i="80"/>
  <c r="O159" i="80"/>
  <c r="O160" i="80"/>
  <c r="O161" i="80"/>
  <c r="O162" i="80"/>
  <c r="O163" i="80"/>
  <c r="O164" i="80"/>
  <c r="O165" i="80"/>
  <c r="O166" i="80"/>
  <c r="O167" i="80"/>
  <c r="O168" i="80"/>
  <c r="O169" i="80"/>
  <c r="O170" i="80"/>
  <c r="O171" i="80"/>
  <c r="O172" i="80"/>
  <c r="O173" i="80"/>
  <c r="O174" i="80"/>
  <c r="O175" i="80"/>
  <c r="O176" i="80"/>
  <c r="O177" i="80"/>
  <c r="O178" i="80"/>
  <c r="O179" i="80"/>
  <c r="O180" i="80"/>
  <c r="O181" i="80"/>
  <c r="O182" i="80"/>
  <c r="O183" i="80"/>
  <c r="O184" i="80"/>
  <c r="O185" i="80"/>
  <c r="O186" i="80"/>
  <c r="O187" i="80"/>
  <c r="O188" i="80"/>
  <c r="O189" i="80"/>
  <c r="O190" i="80"/>
  <c r="O191" i="80"/>
  <c r="O192" i="80"/>
  <c r="O193" i="80"/>
  <c r="O194" i="80"/>
  <c r="O195" i="80"/>
  <c r="O196" i="80"/>
  <c r="O197" i="80"/>
  <c r="O198" i="80"/>
  <c r="O199" i="80"/>
  <c r="O200" i="80"/>
  <c r="O201" i="80"/>
  <c r="O202" i="80"/>
  <c r="O203" i="80"/>
  <c r="O204" i="80"/>
  <c r="O205" i="80"/>
  <c r="O206" i="80"/>
  <c r="O207" i="80"/>
  <c r="O208" i="80"/>
  <c r="O209" i="80"/>
  <c r="O210" i="80"/>
  <c r="O211" i="80"/>
  <c r="O212" i="80"/>
  <c r="O213" i="80"/>
  <c r="O214" i="80"/>
  <c r="O215" i="80"/>
  <c r="O216" i="80"/>
  <c r="O217" i="80"/>
  <c r="O218" i="80"/>
  <c r="O219" i="80"/>
  <c r="O220" i="80"/>
  <c r="O221" i="80"/>
  <c r="O222" i="80"/>
  <c r="O223" i="80"/>
  <c r="O224" i="80"/>
  <c r="O225" i="80"/>
  <c r="O226" i="80"/>
  <c r="O227" i="80"/>
  <c r="O228" i="80"/>
  <c r="O229" i="80"/>
  <c r="O230" i="80"/>
  <c r="O231" i="80"/>
  <c r="O232" i="80"/>
  <c r="O233" i="80"/>
  <c r="O234" i="80"/>
  <c r="O235" i="80"/>
  <c r="O236" i="80"/>
  <c r="O237" i="80"/>
  <c r="O238" i="80"/>
  <c r="O239" i="80"/>
  <c r="O240" i="80"/>
  <c r="O241" i="80"/>
  <c r="O242" i="80"/>
  <c r="O243" i="80"/>
  <c r="O244" i="80"/>
  <c r="O245" i="80"/>
  <c r="O246" i="80"/>
  <c r="O247" i="80"/>
  <c r="O248" i="80"/>
  <c r="O249" i="80"/>
  <c r="O250" i="80"/>
  <c r="O251" i="80"/>
  <c r="O252" i="80"/>
  <c r="O253" i="80"/>
  <c r="O254" i="80"/>
  <c r="O255" i="80"/>
  <c r="O256" i="80"/>
  <c r="O257" i="80"/>
  <c r="O258" i="80"/>
  <c r="O259" i="80"/>
  <c r="O260" i="80"/>
  <c r="O261" i="80"/>
  <c r="O262" i="80"/>
  <c r="O263" i="80"/>
  <c r="O264" i="80"/>
  <c r="O265" i="80"/>
  <c r="O266" i="80"/>
  <c r="O267" i="80"/>
  <c r="O268" i="80"/>
  <c r="O269" i="80"/>
  <c r="O270" i="80"/>
  <c r="O271" i="80"/>
  <c r="O272" i="80"/>
  <c r="O273" i="80"/>
  <c r="O274" i="80"/>
  <c r="O275" i="80"/>
  <c r="O276" i="80"/>
  <c r="O277" i="80"/>
  <c r="O278" i="80"/>
  <c r="O279" i="80"/>
  <c r="O280" i="80"/>
  <c r="O281" i="80"/>
  <c r="O282" i="80"/>
  <c r="O283" i="80"/>
  <c r="O284" i="80"/>
  <c r="O285" i="80"/>
  <c r="O286" i="80"/>
  <c r="O287" i="80"/>
  <c r="O288" i="80"/>
  <c r="O289" i="80"/>
  <c r="O290" i="80"/>
  <c r="O291" i="80"/>
  <c r="O292" i="80"/>
  <c r="O293" i="80"/>
  <c r="O294" i="80"/>
  <c r="O295" i="80"/>
  <c r="O296" i="80"/>
  <c r="O297" i="80"/>
  <c r="O298" i="80"/>
  <c r="O299" i="80"/>
  <c r="O300" i="80"/>
  <c r="O301" i="80"/>
  <c r="O302" i="80"/>
  <c r="O303" i="80"/>
  <c r="O304" i="80"/>
  <c r="O305" i="80"/>
  <c r="O306" i="80"/>
  <c r="O307" i="80"/>
  <c r="O308" i="80"/>
  <c r="O309" i="80"/>
  <c r="O310" i="80"/>
  <c r="O311" i="80"/>
  <c r="O312" i="80"/>
  <c r="O313" i="80"/>
  <c r="O314" i="80"/>
  <c r="O315" i="80"/>
  <c r="O316" i="80"/>
  <c r="O317" i="80"/>
  <c r="O318" i="80"/>
  <c r="O319" i="80"/>
  <c r="O320" i="80"/>
  <c r="O321" i="80"/>
  <c r="O322" i="80"/>
  <c r="O323" i="80"/>
  <c r="O324" i="80"/>
  <c r="O325" i="80"/>
  <c r="O326" i="80"/>
  <c r="O327" i="80"/>
  <c r="O328" i="80"/>
  <c r="O329" i="80"/>
  <c r="O330" i="80"/>
  <c r="O331" i="80"/>
  <c r="O332" i="80"/>
  <c r="O333" i="80"/>
  <c r="O334" i="80"/>
  <c r="O335" i="80"/>
  <c r="O336" i="80"/>
  <c r="O337" i="80"/>
  <c r="O338" i="80"/>
  <c r="O339" i="80"/>
  <c r="O340" i="80"/>
  <c r="O341" i="80"/>
  <c r="O342" i="80"/>
  <c r="O343" i="80"/>
  <c r="O344" i="80"/>
  <c r="O345" i="80"/>
  <c r="O346" i="80"/>
  <c r="O347" i="80"/>
  <c r="O348" i="80"/>
  <c r="O349" i="80"/>
  <c r="O350" i="80"/>
  <c r="O351" i="80"/>
  <c r="O352" i="80"/>
  <c r="O353" i="80"/>
  <c r="O354" i="80"/>
  <c r="O355" i="80"/>
  <c r="O356" i="80"/>
  <c r="O357" i="80"/>
  <c r="O358" i="80"/>
  <c r="O359" i="80"/>
  <c r="O360" i="80"/>
  <c r="O361" i="80"/>
  <c r="O362" i="80"/>
  <c r="O363" i="80"/>
  <c r="O364" i="80"/>
  <c r="O365" i="80"/>
  <c r="O366" i="80"/>
  <c r="O367" i="80"/>
  <c r="O368" i="80"/>
  <c r="O369" i="80"/>
  <c r="O370" i="80"/>
  <c r="O371" i="80"/>
  <c r="O372" i="80"/>
  <c r="O373" i="80"/>
  <c r="O374" i="80"/>
  <c r="O375" i="80"/>
  <c r="O376" i="80"/>
  <c r="O377" i="80"/>
  <c r="O378" i="80"/>
  <c r="O379" i="80"/>
  <c r="O380" i="80"/>
  <c r="O381" i="80"/>
  <c r="O382" i="80"/>
  <c r="O383" i="80"/>
  <c r="O384" i="80"/>
  <c r="O385" i="80"/>
  <c r="O386" i="80"/>
  <c r="O387" i="80"/>
  <c r="O388" i="80"/>
  <c r="O389" i="80"/>
  <c r="O390" i="80"/>
  <c r="O391" i="80"/>
  <c r="O392" i="80"/>
  <c r="O393" i="80"/>
  <c r="O394" i="80"/>
  <c r="O395" i="80"/>
  <c r="O396" i="80"/>
  <c r="O397" i="80"/>
  <c r="O398" i="80"/>
  <c r="O399" i="80"/>
  <c r="O400" i="80"/>
  <c r="O401" i="80"/>
  <c r="O402" i="80"/>
  <c r="O403" i="80"/>
  <c r="O404" i="80"/>
  <c r="O405" i="80"/>
  <c r="O406" i="80"/>
  <c r="O407" i="80"/>
  <c r="O408" i="80"/>
  <c r="O409" i="80"/>
  <c r="O410" i="80"/>
  <c r="O411" i="80"/>
  <c r="O412" i="80"/>
  <c r="O413" i="80"/>
  <c r="O414" i="80"/>
  <c r="O415" i="80"/>
  <c r="O416" i="80"/>
  <c r="O417" i="80"/>
  <c r="O418" i="80"/>
  <c r="O419" i="80"/>
  <c r="O420" i="80"/>
  <c r="O421" i="80"/>
  <c r="O422" i="80"/>
  <c r="O423" i="80"/>
  <c r="O424" i="80"/>
  <c r="O425" i="80"/>
  <c r="O426" i="80"/>
  <c r="O427" i="80"/>
  <c r="O428" i="80"/>
  <c r="O429" i="80"/>
  <c r="O430" i="80"/>
  <c r="O431" i="80"/>
  <c r="O432" i="80"/>
  <c r="O433" i="80"/>
  <c r="O434" i="80"/>
  <c r="O435" i="80"/>
  <c r="O436" i="80"/>
  <c r="O437" i="80"/>
  <c r="O438" i="80"/>
  <c r="O439" i="80"/>
  <c r="O440" i="80"/>
  <c r="O441" i="80"/>
  <c r="O442" i="80"/>
  <c r="O443" i="80"/>
  <c r="O444" i="80"/>
  <c r="O445" i="80"/>
  <c r="O446" i="80"/>
  <c r="O447" i="80"/>
  <c r="O448" i="80"/>
  <c r="O449" i="80"/>
  <c r="O450" i="80"/>
  <c r="O451" i="80"/>
  <c r="O452" i="80"/>
  <c r="O453" i="80"/>
  <c r="O454" i="80"/>
  <c r="O455" i="80"/>
  <c r="O456" i="80"/>
  <c r="O457" i="80"/>
  <c r="O458" i="80"/>
  <c r="O459" i="80"/>
  <c r="O460" i="80"/>
  <c r="O461" i="80"/>
  <c r="O462" i="80"/>
  <c r="O463" i="80"/>
  <c r="O464" i="80"/>
  <c r="O465" i="80"/>
  <c r="O466" i="80"/>
  <c r="O467" i="80"/>
  <c r="O468" i="80"/>
  <c r="O469" i="80"/>
  <c r="O470" i="80"/>
  <c r="O471" i="80"/>
  <c r="O472" i="80"/>
  <c r="O473" i="80"/>
  <c r="O474" i="80"/>
  <c r="O475" i="80"/>
  <c r="O476" i="80"/>
  <c r="O477" i="80"/>
  <c r="O478" i="80"/>
  <c r="O479" i="80"/>
  <c r="O480" i="80"/>
  <c r="O481" i="80"/>
  <c r="O482" i="80"/>
  <c r="O483" i="80"/>
  <c r="O484" i="80"/>
  <c r="O485" i="80"/>
  <c r="O486" i="80"/>
  <c r="O487" i="80"/>
  <c r="O488" i="80"/>
  <c r="O489" i="80"/>
  <c r="O490" i="80"/>
  <c r="O491" i="80"/>
  <c r="O492" i="80"/>
  <c r="O493" i="80"/>
  <c r="O494" i="80"/>
  <c r="O495" i="80"/>
  <c r="O496" i="80"/>
  <c r="O497" i="80"/>
  <c r="O498" i="80"/>
  <c r="O499" i="80"/>
  <c r="O500" i="80"/>
  <c r="O501" i="80"/>
  <c r="O502" i="80"/>
  <c r="O503" i="80"/>
  <c r="O504" i="80"/>
  <c r="O505" i="80"/>
  <c r="O506" i="80"/>
  <c r="O507" i="80"/>
  <c r="O508" i="80"/>
  <c r="O509" i="80"/>
  <c r="O510" i="80"/>
  <c r="O511" i="80"/>
  <c r="O512" i="80"/>
  <c r="O513" i="80"/>
  <c r="O514" i="80"/>
  <c r="O515" i="80"/>
  <c r="O516" i="80"/>
  <c r="O517" i="80"/>
  <c r="O518" i="80"/>
  <c r="O519" i="80"/>
  <c r="O520" i="80"/>
  <c r="O521" i="80"/>
  <c r="O522" i="80"/>
  <c r="O523" i="80"/>
  <c r="O524" i="80"/>
  <c r="O525" i="80"/>
  <c r="O526" i="80"/>
  <c r="O527" i="80"/>
  <c r="O528" i="80"/>
  <c r="O529" i="80"/>
  <c r="O530" i="80"/>
  <c r="O531" i="80"/>
  <c r="O532" i="80"/>
  <c r="O533" i="80"/>
  <c r="O534" i="80"/>
  <c r="O535" i="80"/>
  <c r="O536" i="80"/>
  <c r="O537" i="80"/>
  <c r="O538" i="80"/>
  <c r="O539" i="80"/>
  <c r="O540" i="80"/>
  <c r="O541" i="80"/>
  <c r="O542" i="80"/>
  <c r="O543" i="80"/>
  <c r="O544" i="80"/>
  <c r="O545" i="80"/>
  <c r="O546" i="80"/>
  <c r="O547" i="80"/>
  <c r="O548" i="80"/>
  <c r="O549" i="80"/>
  <c r="O550" i="80"/>
  <c r="O551" i="80"/>
  <c r="O552" i="80"/>
  <c r="O553" i="80"/>
  <c r="O554" i="80"/>
  <c r="O555" i="80"/>
  <c r="O556" i="80"/>
  <c r="O557" i="80"/>
  <c r="O558" i="80"/>
  <c r="O559" i="80"/>
  <c r="O560" i="80"/>
  <c r="O561" i="80"/>
  <c r="O562" i="80"/>
  <c r="O563" i="80"/>
  <c r="O564" i="80"/>
  <c r="O565" i="80"/>
  <c r="O566" i="80"/>
  <c r="O567" i="80"/>
  <c r="O568" i="80"/>
  <c r="O569" i="80"/>
  <c r="O570" i="80"/>
  <c r="O571" i="80"/>
  <c r="O572" i="80"/>
  <c r="O573" i="80"/>
  <c r="O574" i="80"/>
  <c r="O575" i="80"/>
  <c r="O576" i="80"/>
  <c r="O577" i="80"/>
  <c r="O578" i="80"/>
  <c r="O579" i="80"/>
  <c r="O580" i="80"/>
  <c r="O581" i="80"/>
  <c r="O582" i="80"/>
  <c r="O583" i="80"/>
  <c r="O584" i="80"/>
  <c r="O585" i="80"/>
  <c r="O586" i="80"/>
  <c r="O587" i="80"/>
  <c r="O588" i="80"/>
  <c r="O589" i="80"/>
  <c r="O590" i="80"/>
  <c r="O591" i="80"/>
  <c r="O592" i="80"/>
  <c r="O593" i="80"/>
  <c r="O594" i="80"/>
  <c r="O595" i="80"/>
  <c r="O596" i="80"/>
  <c r="O597" i="80"/>
  <c r="O598" i="80"/>
  <c r="O599" i="80"/>
  <c r="O600" i="80"/>
  <c r="O601" i="80"/>
  <c r="O602" i="80"/>
  <c r="O603" i="80"/>
  <c r="O604" i="80"/>
  <c r="O605" i="80"/>
  <c r="O606" i="80"/>
  <c r="O607" i="80"/>
  <c r="O608" i="80"/>
  <c r="O609" i="80"/>
  <c r="O610" i="80"/>
  <c r="O611" i="80"/>
  <c r="O612" i="80"/>
  <c r="O613" i="80"/>
  <c r="O614" i="80"/>
  <c r="O615" i="80"/>
  <c r="O616" i="80"/>
  <c r="O617" i="80"/>
  <c r="O618" i="80"/>
  <c r="O619" i="80"/>
  <c r="O620" i="80"/>
  <c r="O621" i="80"/>
  <c r="O622" i="80"/>
  <c r="O623" i="80"/>
  <c r="O624" i="80"/>
  <c r="O625" i="80"/>
  <c r="O626" i="80"/>
  <c r="O627" i="80"/>
  <c r="O628" i="80"/>
  <c r="O629" i="80"/>
  <c r="O630" i="80"/>
  <c r="O631" i="80"/>
  <c r="O632" i="80"/>
  <c r="O633" i="80"/>
  <c r="O634" i="80"/>
  <c r="O635" i="80"/>
  <c r="O636" i="80"/>
  <c r="O637" i="80"/>
  <c r="O638" i="80"/>
  <c r="O639" i="80"/>
  <c r="O640" i="80"/>
  <c r="O641" i="80"/>
  <c r="O642" i="80"/>
  <c r="O643" i="80"/>
  <c r="O644" i="80"/>
  <c r="O645" i="80"/>
  <c r="O646" i="80"/>
  <c r="O647" i="80"/>
  <c r="O648" i="80"/>
  <c r="O649" i="80"/>
  <c r="O650" i="80"/>
  <c r="O651" i="80"/>
  <c r="O652" i="80"/>
  <c r="O653" i="80"/>
  <c r="O654" i="80"/>
  <c r="O655" i="80"/>
  <c r="O656" i="80"/>
  <c r="O657" i="80"/>
  <c r="O658" i="80"/>
  <c r="O659" i="80"/>
  <c r="O660" i="80"/>
  <c r="O661" i="80"/>
  <c r="O662" i="80"/>
  <c r="O663" i="80"/>
  <c r="O664" i="80"/>
  <c r="O665" i="80"/>
  <c r="O666" i="80"/>
  <c r="O667" i="80"/>
  <c r="O668" i="80"/>
  <c r="O669" i="80"/>
  <c r="O670" i="80"/>
  <c r="O671" i="80"/>
  <c r="O672" i="80"/>
  <c r="O673" i="80"/>
  <c r="O674" i="80"/>
  <c r="O675" i="80"/>
  <c r="O676" i="80"/>
  <c r="O677" i="80"/>
  <c r="O678" i="80"/>
  <c r="O679" i="80"/>
  <c r="O680" i="80"/>
  <c r="O681" i="80"/>
  <c r="O682" i="80"/>
  <c r="O683" i="80"/>
  <c r="O684" i="80"/>
  <c r="O685" i="80"/>
  <c r="O686" i="80"/>
  <c r="O687" i="80"/>
  <c r="O688" i="80"/>
  <c r="O689" i="80"/>
  <c r="O690" i="80"/>
  <c r="O691" i="80"/>
  <c r="O692" i="80"/>
  <c r="O693" i="80"/>
  <c r="O694" i="80"/>
  <c r="O695" i="80"/>
  <c r="O696" i="80"/>
  <c r="O697" i="80"/>
  <c r="O698" i="80"/>
  <c r="O699" i="80"/>
  <c r="O700" i="80"/>
  <c r="O701" i="80"/>
  <c r="O702" i="80"/>
  <c r="O703" i="80"/>
  <c r="O704" i="80"/>
  <c r="O705" i="80"/>
  <c r="O706" i="80"/>
  <c r="O707" i="80"/>
  <c r="O708" i="80"/>
  <c r="O709" i="80"/>
  <c r="O710" i="80"/>
  <c r="O711" i="80"/>
  <c r="O712" i="80"/>
  <c r="O713" i="80"/>
  <c r="O714" i="80"/>
  <c r="O715" i="80"/>
  <c r="O716" i="80"/>
  <c r="O717" i="80"/>
  <c r="O718" i="80"/>
  <c r="O719" i="80"/>
  <c r="O720" i="80"/>
  <c r="O721" i="80"/>
  <c r="O722" i="80"/>
  <c r="O723" i="80"/>
  <c r="O724" i="80"/>
  <c r="O725" i="80"/>
  <c r="O726" i="80"/>
  <c r="O727" i="80"/>
  <c r="O728" i="80"/>
  <c r="O729" i="80"/>
  <c r="O730" i="80"/>
  <c r="O731" i="80"/>
  <c r="O732" i="80"/>
  <c r="O733" i="80"/>
  <c r="O734" i="80"/>
  <c r="O735" i="80"/>
  <c r="O736" i="80"/>
  <c r="O737" i="80"/>
  <c r="O738" i="80"/>
  <c r="O739" i="80"/>
  <c r="O740" i="80"/>
  <c r="O741" i="80"/>
  <c r="O742" i="80"/>
  <c r="O743" i="80"/>
  <c r="O744" i="80"/>
  <c r="O745" i="80"/>
  <c r="O746" i="80"/>
  <c r="O747" i="80"/>
  <c r="O748" i="80"/>
  <c r="O749" i="80"/>
  <c r="O750" i="80"/>
  <c r="O751" i="80"/>
  <c r="O752" i="80"/>
  <c r="O753" i="80"/>
  <c r="O754" i="80"/>
  <c r="O755" i="80"/>
  <c r="O756" i="80"/>
  <c r="O757" i="80"/>
  <c r="O758" i="80"/>
  <c r="O759" i="80"/>
  <c r="O760" i="80"/>
  <c r="O761" i="80"/>
  <c r="O762" i="80"/>
  <c r="O763" i="80"/>
  <c r="O764" i="80"/>
  <c r="O765" i="80"/>
  <c r="O766" i="80"/>
  <c r="O767" i="80"/>
  <c r="O768" i="80"/>
  <c r="O769" i="80"/>
  <c r="O770" i="80"/>
  <c r="O771" i="80"/>
  <c r="O772" i="80"/>
  <c r="O773" i="80"/>
  <c r="O774" i="80"/>
  <c r="O775" i="80"/>
  <c r="O776" i="80"/>
  <c r="O777" i="80"/>
  <c r="O778" i="80"/>
  <c r="O779" i="80"/>
  <c r="O780" i="80"/>
  <c r="O781" i="80"/>
  <c r="O782" i="80"/>
  <c r="O783" i="80"/>
  <c r="O784" i="80"/>
  <c r="O785" i="80"/>
  <c r="O786" i="80"/>
  <c r="O787" i="80"/>
  <c r="O788" i="80"/>
  <c r="O789" i="80"/>
  <c r="O790" i="80"/>
  <c r="O791" i="80"/>
  <c r="O792" i="80"/>
  <c r="O793" i="80"/>
  <c r="O794" i="80"/>
  <c r="O795" i="80"/>
  <c r="O796" i="80"/>
  <c r="O797" i="80"/>
  <c r="O798" i="80"/>
  <c r="O799" i="80"/>
  <c r="O800" i="80"/>
  <c r="O801" i="80"/>
  <c r="O802" i="80"/>
  <c r="O803" i="80"/>
  <c r="O804" i="80"/>
  <c r="O805" i="80"/>
  <c r="O806" i="80"/>
  <c r="O807" i="80"/>
  <c r="O808" i="80"/>
  <c r="O809" i="80"/>
  <c r="O810" i="80"/>
  <c r="O811" i="80"/>
  <c r="O812" i="80"/>
  <c r="O813" i="80"/>
  <c r="O814" i="80"/>
  <c r="O815" i="80"/>
  <c r="O816" i="80"/>
  <c r="O817" i="80"/>
  <c r="O818" i="80"/>
  <c r="O819" i="80"/>
  <c r="O820" i="80"/>
  <c r="O821" i="80"/>
  <c r="O822" i="80"/>
  <c r="O823" i="80"/>
  <c r="O824" i="80"/>
  <c r="O825" i="80"/>
  <c r="O826" i="80"/>
  <c r="O827" i="80"/>
  <c r="O828" i="80"/>
  <c r="O829" i="80"/>
  <c r="O830" i="80"/>
  <c r="O831" i="80"/>
  <c r="O832" i="80"/>
  <c r="O833" i="80"/>
  <c r="O834" i="80"/>
  <c r="O835" i="80"/>
  <c r="O836" i="80"/>
  <c r="O837" i="80"/>
  <c r="O838" i="80"/>
  <c r="O839" i="80"/>
  <c r="O840" i="80"/>
  <c r="O841" i="80"/>
  <c r="O842" i="80"/>
  <c r="O843" i="80"/>
  <c r="O844" i="80"/>
  <c r="O845" i="80"/>
  <c r="O846" i="80"/>
  <c r="O847" i="80"/>
  <c r="O848" i="80"/>
  <c r="O849" i="80"/>
  <c r="O850" i="80"/>
  <c r="O851" i="80"/>
  <c r="O852" i="80"/>
  <c r="O853" i="80"/>
  <c r="O854" i="80"/>
  <c r="O855" i="80"/>
  <c r="O856" i="80"/>
  <c r="O857" i="80"/>
  <c r="O858" i="80"/>
  <c r="O859" i="80"/>
  <c r="O860" i="80"/>
  <c r="O861" i="80"/>
  <c r="O862" i="80"/>
  <c r="O863" i="80"/>
  <c r="O864" i="80"/>
  <c r="O865" i="80"/>
  <c r="O866" i="80"/>
  <c r="O867" i="80"/>
  <c r="O868" i="80"/>
  <c r="O869" i="80"/>
  <c r="O870" i="80"/>
  <c r="O871" i="80"/>
  <c r="O872" i="80"/>
  <c r="O873" i="80"/>
  <c r="O874" i="80"/>
  <c r="O875" i="80"/>
  <c r="O876" i="80"/>
  <c r="O877" i="80"/>
  <c r="O878" i="80"/>
  <c r="O879" i="80"/>
  <c r="O880" i="80"/>
  <c r="O881" i="80"/>
  <c r="O882" i="80"/>
  <c r="O883" i="80"/>
  <c r="O884" i="80"/>
  <c r="O885" i="80"/>
  <c r="O886" i="80"/>
  <c r="O887" i="80"/>
  <c r="O888" i="80"/>
  <c r="O889" i="80"/>
  <c r="O890" i="80"/>
  <c r="O891" i="80"/>
  <c r="O892" i="80"/>
  <c r="O893" i="80"/>
  <c r="O894" i="80"/>
  <c r="O895" i="80"/>
  <c r="O896" i="80"/>
  <c r="O897" i="80"/>
  <c r="O898" i="80"/>
  <c r="O899" i="80"/>
  <c r="O900" i="80"/>
  <c r="O901" i="80"/>
  <c r="O902" i="80"/>
  <c r="O903" i="80"/>
  <c r="O904" i="80"/>
  <c r="O905" i="80"/>
  <c r="O906" i="80"/>
  <c r="O907" i="80"/>
  <c r="O908" i="80"/>
  <c r="O909" i="80"/>
  <c r="O910" i="80"/>
  <c r="O911" i="80"/>
  <c r="O912" i="80"/>
  <c r="O913" i="80"/>
  <c r="O914" i="80"/>
  <c r="O915" i="80"/>
  <c r="O916" i="80"/>
  <c r="O917" i="80"/>
  <c r="O918" i="80"/>
  <c r="O919" i="80"/>
  <c r="O920" i="80"/>
  <c r="O921" i="80"/>
  <c r="O922" i="80"/>
  <c r="O923" i="80"/>
  <c r="O924" i="80"/>
  <c r="O925" i="80"/>
  <c r="O926" i="80"/>
  <c r="O927" i="80"/>
  <c r="O928" i="80"/>
  <c r="O929" i="80"/>
  <c r="O930" i="80"/>
  <c r="O931" i="80"/>
  <c r="O932" i="80"/>
  <c r="O933" i="80"/>
  <c r="O934" i="80"/>
  <c r="O935" i="80"/>
  <c r="O936" i="80"/>
  <c r="O937" i="80"/>
  <c r="O938" i="80"/>
  <c r="O939" i="80"/>
  <c r="O940" i="80"/>
  <c r="O941" i="80"/>
  <c r="O942" i="80"/>
  <c r="O943" i="80"/>
  <c r="O944" i="80"/>
  <c r="O945" i="80"/>
  <c r="O946" i="80"/>
  <c r="O947" i="80"/>
  <c r="O948" i="80"/>
  <c r="O949" i="80"/>
  <c r="O950" i="80"/>
  <c r="O951" i="80"/>
  <c r="O952" i="80"/>
  <c r="O953" i="80"/>
  <c r="O954" i="80"/>
  <c r="O955" i="80"/>
  <c r="O956" i="80"/>
  <c r="O957" i="80"/>
  <c r="O958" i="80"/>
  <c r="O959" i="80"/>
  <c r="O960" i="80"/>
  <c r="O961" i="80"/>
  <c r="O962" i="80"/>
  <c r="O963" i="80"/>
  <c r="O964" i="80"/>
  <c r="O965" i="80"/>
  <c r="O966" i="80"/>
  <c r="O967" i="80"/>
  <c r="O968" i="80"/>
  <c r="O969" i="80"/>
  <c r="O970" i="80"/>
  <c r="O971" i="80"/>
  <c r="O972" i="80"/>
  <c r="O973" i="80"/>
  <c r="O974" i="80"/>
  <c r="O975" i="80"/>
  <c r="O976" i="80"/>
  <c r="O977" i="80"/>
  <c r="O978" i="80"/>
  <c r="O979" i="80"/>
  <c r="O980" i="80"/>
  <c r="O981" i="80"/>
  <c r="O982" i="80"/>
  <c r="O983" i="80"/>
  <c r="O984" i="80"/>
  <c r="O985" i="80"/>
  <c r="O986" i="80"/>
  <c r="O987" i="80"/>
  <c r="O988" i="80"/>
  <c r="O989" i="80"/>
  <c r="O990" i="80"/>
  <c r="O991" i="80"/>
  <c r="O992" i="80"/>
  <c r="O993" i="80"/>
  <c r="O994" i="80"/>
  <c r="O995" i="80"/>
  <c r="O996" i="80"/>
  <c r="O997" i="80"/>
  <c r="O998" i="80"/>
  <c r="O999" i="80"/>
  <c r="O1000" i="80"/>
  <c r="O1001" i="80"/>
  <c r="O1002" i="80"/>
  <c r="O1003" i="80"/>
  <c r="O1004" i="80"/>
  <c r="O1005" i="80"/>
  <c r="O1006" i="80"/>
  <c r="O1007" i="80"/>
  <c r="O1008" i="80"/>
  <c r="O1009" i="80"/>
  <c r="O1010" i="80"/>
  <c r="O1011" i="80"/>
  <c r="O1012" i="80"/>
  <c r="O1013" i="80"/>
  <c r="O1014" i="80"/>
  <c r="O1015" i="80"/>
  <c r="O1016" i="80"/>
  <c r="O1017" i="80"/>
  <c r="O1018" i="80"/>
  <c r="O1019" i="80"/>
  <c r="O1020" i="80"/>
  <c r="O1021" i="80"/>
  <c r="O1022" i="80"/>
  <c r="O1023" i="80"/>
  <c r="O1024" i="80"/>
  <c r="O1025" i="80"/>
  <c r="O1026" i="80"/>
  <c r="O1027" i="80"/>
  <c r="O1028" i="80"/>
  <c r="O1029" i="80"/>
  <c r="O1030" i="80"/>
  <c r="O1031" i="80"/>
  <c r="O1032" i="80"/>
  <c r="O1033" i="80"/>
  <c r="O1034" i="80"/>
  <c r="O1035" i="80"/>
  <c r="O1036" i="80"/>
  <c r="O1037" i="80"/>
  <c r="O1038" i="80"/>
  <c r="O1039" i="80"/>
  <c r="O1040" i="80"/>
  <c r="O1041" i="80"/>
  <c r="O1042" i="80"/>
  <c r="O1043" i="80"/>
  <c r="O1044" i="80"/>
  <c r="O1045" i="80"/>
  <c r="O1046" i="80"/>
  <c r="O1047" i="80"/>
  <c r="O1048" i="80"/>
  <c r="O1049" i="80"/>
  <c r="O1050" i="80"/>
  <c r="O1051" i="80"/>
  <c r="O1052" i="80"/>
  <c r="O1053" i="80"/>
  <c r="O1054" i="80"/>
  <c r="O1055" i="80"/>
  <c r="O1056" i="80"/>
  <c r="O1057" i="80"/>
  <c r="O1058" i="80"/>
  <c r="O1059" i="80"/>
  <c r="O1060" i="80"/>
  <c r="O1061" i="80"/>
  <c r="O1062" i="80"/>
  <c r="O1063" i="80"/>
  <c r="O1064" i="80"/>
  <c r="O1065" i="80"/>
  <c r="O1066" i="80"/>
  <c r="O1067" i="80"/>
  <c r="O1068" i="80"/>
  <c r="O1069" i="80"/>
  <c r="O1070" i="80"/>
  <c r="O1071" i="80"/>
  <c r="O1072" i="80"/>
  <c r="O1073" i="80"/>
  <c r="O1074" i="80"/>
  <c r="O1075" i="80"/>
  <c r="O1076" i="80"/>
  <c r="O1077" i="80"/>
  <c r="O1078" i="80"/>
  <c r="O1079" i="80"/>
  <c r="O1080" i="80"/>
  <c r="O1081" i="80"/>
  <c r="O1082" i="80"/>
  <c r="O1083" i="80"/>
  <c r="O1084" i="80"/>
  <c r="O1085" i="80"/>
  <c r="O1086" i="80"/>
  <c r="O1087" i="80"/>
  <c r="O1088" i="80"/>
  <c r="O1089" i="80"/>
  <c r="O1090" i="80"/>
  <c r="O1091" i="80"/>
  <c r="O1092" i="80"/>
  <c r="O1093" i="80"/>
  <c r="O1094" i="80"/>
  <c r="O1095" i="80"/>
  <c r="O1096" i="80"/>
  <c r="O1097" i="80"/>
  <c r="O1098" i="80"/>
  <c r="O1099" i="80"/>
  <c r="O1100" i="80"/>
  <c r="O1101" i="80"/>
  <c r="O1102" i="80"/>
  <c r="O1103" i="80"/>
  <c r="O1104" i="80"/>
  <c r="O1105" i="80"/>
  <c r="O1106" i="80"/>
  <c r="O1107" i="80"/>
  <c r="O1108" i="80"/>
  <c r="O1109" i="80"/>
  <c r="O1110" i="80"/>
  <c r="O1111" i="80"/>
  <c r="O1112" i="80"/>
  <c r="O1113" i="80"/>
  <c r="O1114" i="80"/>
  <c r="O1115" i="80"/>
  <c r="O1116" i="80"/>
  <c r="O1117" i="80"/>
  <c r="O1118" i="80"/>
  <c r="O1119" i="80"/>
  <c r="O1120" i="80"/>
  <c r="O1121" i="80"/>
  <c r="O1122" i="80"/>
  <c r="O1123" i="80"/>
  <c r="O1124" i="80"/>
  <c r="O1125" i="80"/>
  <c r="O1126" i="80"/>
  <c r="O1127" i="80"/>
  <c r="O1128" i="80"/>
  <c r="O1129" i="80"/>
  <c r="O1130" i="80"/>
  <c r="O1131" i="80"/>
  <c r="O1132" i="80"/>
  <c r="O1133" i="80"/>
  <c r="O1134" i="80"/>
  <c r="O1135" i="80"/>
  <c r="O1136" i="80"/>
  <c r="O1137" i="80"/>
  <c r="O1138" i="80"/>
  <c r="O1139" i="80"/>
  <c r="O1140" i="80"/>
  <c r="O1141" i="80"/>
  <c r="O1142" i="80"/>
  <c r="O1143" i="80"/>
  <c r="O1144" i="80"/>
  <c r="O1145" i="80"/>
  <c r="O1146" i="80"/>
  <c r="O1147" i="80"/>
  <c r="O1148" i="80"/>
  <c r="O1149" i="80"/>
  <c r="O1150" i="80"/>
  <c r="O1151" i="80"/>
  <c r="O1152" i="80"/>
  <c r="O1153" i="80"/>
  <c r="O1154" i="80"/>
  <c r="O1155" i="80"/>
  <c r="O1156" i="80"/>
  <c r="O1157" i="80"/>
  <c r="O1158" i="80"/>
  <c r="O1159" i="80"/>
  <c r="O1160" i="80"/>
  <c r="O1161" i="80"/>
  <c r="O1162" i="80"/>
  <c r="O1163" i="80"/>
  <c r="O1164" i="80"/>
  <c r="O1165" i="80"/>
  <c r="O1166" i="80"/>
  <c r="O1167" i="80"/>
  <c r="O1168" i="80"/>
  <c r="O1169" i="80"/>
  <c r="O1170" i="80"/>
  <c r="O1171" i="80"/>
  <c r="O1172" i="80"/>
  <c r="O1173" i="80"/>
  <c r="O1174" i="80"/>
  <c r="O1175" i="80"/>
  <c r="O1176" i="80"/>
  <c r="O1177" i="80"/>
  <c r="O1178" i="80"/>
  <c r="O1179" i="80"/>
  <c r="O1180" i="80"/>
  <c r="O1181" i="80"/>
  <c r="O1182" i="80"/>
  <c r="O1183" i="80"/>
  <c r="O1184" i="80"/>
  <c r="O1185" i="80"/>
  <c r="O1186" i="80"/>
  <c r="O1187" i="80"/>
  <c r="O1188" i="80"/>
  <c r="O1189" i="80"/>
  <c r="O1190" i="80"/>
  <c r="O1191" i="80"/>
  <c r="O1192" i="80"/>
  <c r="O1193" i="80"/>
  <c r="O1194" i="80"/>
  <c r="O1195" i="80"/>
  <c r="O1196" i="80"/>
  <c r="O1197" i="80"/>
  <c r="O1198" i="80"/>
  <c r="O1199" i="80"/>
  <c r="O1200" i="80"/>
  <c r="O1201" i="80"/>
  <c r="O1202" i="80"/>
  <c r="O1203" i="80"/>
  <c r="O1204" i="80"/>
  <c r="O1205" i="80"/>
  <c r="O1206" i="80"/>
  <c r="O1207" i="80"/>
  <c r="O1208" i="80"/>
  <c r="O1209" i="80"/>
  <c r="O1210" i="80"/>
  <c r="O1211" i="80"/>
  <c r="O1212" i="80"/>
  <c r="O1213" i="80"/>
  <c r="O1214" i="80"/>
  <c r="O1215" i="80"/>
  <c r="O1216" i="80"/>
  <c r="O1217" i="80"/>
  <c r="O1218" i="80"/>
  <c r="O1219" i="80"/>
  <c r="O1220" i="80"/>
  <c r="O1221" i="80"/>
  <c r="O1222" i="80"/>
  <c r="O1223" i="80"/>
  <c r="O1224" i="80"/>
  <c r="O1225" i="80"/>
  <c r="O1226" i="80"/>
  <c r="O1227" i="80"/>
  <c r="O1228" i="80"/>
  <c r="O1229" i="80"/>
  <c r="O1230" i="80"/>
  <c r="O1231" i="80"/>
  <c r="O1232" i="80"/>
  <c r="O1233" i="80"/>
  <c r="O1234" i="80"/>
  <c r="O1235" i="80"/>
  <c r="O1236" i="80"/>
  <c r="O1237" i="80"/>
  <c r="O1238" i="80"/>
  <c r="O1239" i="80"/>
  <c r="O1240" i="80"/>
  <c r="O1241" i="80"/>
  <c r="O1242" i="80"/>
  <c r="O1243" i="80"/>
  <c r="O1244" i="80"/>
  <c r="O1245" i="80"/>
  <c r="O1246" i="80"/>
  <c r="O1247" i="80"/>
  <c r="O1248" i="80"/>
  <c r="O1249" i="80"/>
  <c r="O1250" i="80"/>
  <c r="O1251" i="80"/>
  <c r="O1252" i="80"/>
  <c r="O1253" i="80"/>
  <c r="O1254" i="80"/>
  <c r="O1255" i="80"/>
  <c r="O1256" i="80"/>
  <c r="O1257" i="80"/>
  <c r="O1258" i="80"/>
  <c r="O1259" i="80"/>
  <c r="O1260" i="80"/>
  <c r="O1261" i="80"/>
  <c r="O1262" i="80"/>
  <c r="O1263" i="80"/>
  <c r="O1264" i="80"/>
  <c r="O1265" i="80"/>
  <c r="O1266" i="80"/>
  <c r="O1267" i="80"/>
  <c r="O1268" i="80"/>
  <c r="O1269" i="80"/>
  <c r="O1270" i="80"/>
  <c r="O1271" i="80"/>
  <c r="O1272" i="80"/>
  <c r="O1273" i="80"/>
  <c r="O1274" i="80"/>
  <c r="O1275" i="80"/>
  <c r="O1276" i="80"/>
  <c r="O1277" i="80"/>
  <c r="O1278" i="80"/>
  <c r="O1279" i="80"/>
  <c r="O1280" i="80"/>
  <c r="O1281" i="80"/>
  <c r="O1282" i="80"/>
  <c r="O1283" i="80"/>
  <c r="O1284" i="80"/>
  <c r="O1285" i="80"/>
  <c r="O1286" i="80"/>
  <c r="O1287" i="80"/>
  <c r="O1288" i="80"/>
  <c r="O1289" i="80"/>
  <c r="O1290" i="80"/>
  <c r="O1291" i="80"/>
  <c r="O1292" i="80"/>
  <c r="O1293" i="80"/>
  <c r="O1294" i="80"/>
  <c r="O1295" i="80"/>
  <c r="O1296" i="80"/>
  <c r="O1297" i="80"/>
  <c r="O1298" i="80"/>
  <c r="O1299" i="80"/>
  <c r="O1300" i="80"/>
  <c r="O1301" i="80"/>
  <c r="O1302" i="80"/>
  <c r="O1303" i="80"/>
  <c r="O1304" i="80"/>
  <c r="O1305" i="80"/>
  <c r="O1306" i="80"/>
  <c r="O1307" i="80"/>
  <c r="O1308" i="80"/>
  <c r="O1309" i="80"/>
  <c r="O1310" i="80"/>
  <c r="O1311" i="80"/>
  <c r="O1312" i="80"/>
  <c r="O1313" i="80"/>
  <c r="O1314" i="80"/>
  <c r="O1315" i="80"/>
  <c r="O1316" i="80"/>
  <c r="O1317" i="80"/>
  <c r="O1318" i="80"/>
  <c r="O1319" i="80"/>
  <c r="O1320" i="80"/>
  <c r="O1321" i="80"/>
  <c r="O1322" i="80"/>
  <c r="O1323" i="80"/>
  <c r="O1324" i="80"/>
  <c r="O1325" i="80"/>
  <c r="O1326" i="80"/>
  <c r="O1327" i="80"/>
  <c r="O1328" i="80"/>
  <c r="O1329" i="80"/>
  <c r="O1330" i="80"/>
  <c r="O1331" i="80"/>
  <c r="O1332" i="80"/>
  <c r="O1333" i="80"/>
  <c r="O1334" i="80"/>
  <c r="O1335" i="80"/>
  <c r="O1336" i="80"/>
  <c r="O1337" i="80"/>
  <c r="O1338" i="80"/>
  <c r="O1339" i="80"/>
  <c r="O1340" i="80"/>
  <c r="O1341" i="80"/>
  <c r="O1342" i="80"/>
  <c r="O1343" i="80"/>
  <c r="O1344" i="80"/>
  <c r="O1345" i="80"/>
  <c r="O1346" i="80"/>
  <c r="O1347" i="80"/>
  <c r="O1348" i="80"/>
  <c r="O1349" i="80"/>
  <c r="O1350" i="80"/>
  <c r="O1351" i="80"/>
  <c r="O1352" i="80"/>
  <c r="O1353" i="80"/>
  <c r="O1354" i="80"/>
  <c r="O1355" i="80"/>
  <c r="O1356" i="80"/>
  <c r="O1357" i="80"/>
  <c r="O1358" i="80"/>
  <c r="O1359" i="80"/>
  <c r="O1360" i="80"/>
  <c r="O1361" i="80"/>
  <c r="O1362" i="80"/>
  <c r="O1363" i="80"/>
  <c r="O1364" i="80"/>
  <c r="O1365" i="80"/>
  <c r="O1366" i="80"/>
  <c r="O1367" i="80"/>
  <c r="O1368" i="80"/>
  <c r="O1369" i="80"/>
  <c r="O1370" i="80"/>
  <c r="O1371" i="80"/>
  <c r="O1372" i="80"/>
  <c r="O1373" i="80"/>
  <c r="O1374" i="80"/>
  <c r="O1375" i="80"/>
  <c r="O1376" i="80"/>
  <c r="O1377" i="80"/>
  <c r="O1378" i="80"/>
  <c r="O1379" i="80"/>
  <c r="O1380" i="80"/>
  <c r="O1381" i="80"/>
  <c r="O1382" i="80"/>
  <c r="O1383" i="80"/>
  <c r="O1384" i="80"/>
  <c r="O1385" i="80"/>
  <c r="O1386" i="80"/>
  <c r="O1387" i="80"/>
  <c r="O1388" i="80"/>
  <c r="O1389" i="80"/>
  <c r="O1390" i="80"/>
  <c r="O1391" i="80"/>
  <c r="O1392" i="80"/>
  <c r="O1393" i="80"/>
  <c r="O1394" i="80"/>
  <c r="O1395" i="80"/>
  <c r="O1396" i="80"/>
  <c r="O1397" i="80"/>
  <c r="O1398" i="80"/>
  <c r="O1399" i="80"/>
  <c r="O1400" i="80"/>
  <c r="O1401" i="80"/>
  <c r="O1402" i="80"/>
  <c r="O1403" i="80"/>
  <c r="O1404" i="80"/>
  <c r="O1405" i="80"/>
  <c r="O1406" i="80"/>
  <c r="O1407" i="80"/>
  <c r="O1408" i="80"/>
  <c r="O1409" i="80"/>
  <c r="O1410" i="80"/>
  <c r="O1411" i="80"/>
  <c r="O1412" i="80"/>
  <c r="O1413" i="80"/>
  <c r="O1414" i="80"/>
  <c r="O2" i="80"/>
  <c r="C3" i="80" l="1"/>
  <c r="C4" i="80"/>
  <c r="C5" i="80"/>
  <c r="C6" i="80"/>
  <c r="C7" i="80"/>
  <c r="C8" i="80"/>
  <c r="C9" i="80"/>
  <c r="C10" i="80"/>
  <c r="C11" i="80"/>
  <c r="C12" i="80"/>
  <c r="C13" i="80"/>
  <c r="C14" i="80"/>
  <c r="C15" i="80"/>
  <c r="C16" i="80"/>
  <c r="C17" i="80"/>
  <c r="C18" i="80"/>
  <c r="C19" i="80"/>
  <c r="C20" i="80"/>
  <c r="C21" i="80"/>
  <c r="C22" i="80"/>
  <c r="C23" i="80"/>
  <c r="C24" i="80"/>
  <c r="C25" i="80"/>
  <c r="C26" i="80"/>
  <c r="C27" i="80"/>
  <c r="C28" i="80"/>
  <c r="C29" i="80"/>
  <c r="C30" i="80"/>
  <c r="C31" i="80"/>
  <c r="C32" i="80"/>
  <c r="C33" i="80"/>
  <c r="C34" i="80"/>
  <c r="C35" i="80"/>
  <c r="C36" i="80"/>
  <c r="C37" i="80"/>
  <c r="C38" i="80"/>
  <c r="C39" i="80"/>
  <c r="C40" i="80"/>
  <c r="C41" i="80"/>
  <c r="C42" i="80"/>
  <c r="C43" i="80"/>
  <c r="C44" i="80"/>
  <c r="C45" i="80"/>
  <c r="C46" i="80"/>
  <c r="C47" i="80"/>
  <c r="C48" i="80"/>
  <c r="C49" i="80"/>
  <c r="C50" i="80"/>
  <c r="C51" i="80"/>
  <c r="C52" i="80"/>
  <c r="C53" i="80"/>
  <c r="C54" i="80"/>
  <c r="C55" i="80"/>
  <c r="C56" i="80"/>
  <c r="C57" i="80"/>
  <c r="C58" i="80"/>
  <c r="C59" i="80"/>
  <c r="C60" i="80"/>
  <c r="C61" i="80"/>
  <c r="C62" i="80"/>
  <c r="C63" i="80"/>
  <c r="C64" i="80"/>
  <c r="C65" i="80"/>
  <c r="C66" i="80"/>
  <c r="C67" i="80"/>
  <c r="C68" i="80"/>
  <c r="C69" i="80"/>
  <c r="C70" i="80"/>
  <c r="C71" i="80"/>
  <c r="C72" i="80"/>
  <c r="C73" i="80"/>
  <c r="C74" i="80"/>
  <c r="C75" i="80"/>
  <c r="C76" i="80"/>
  <c r="C77" i="80"/>
  <c r="C78" i="80"/>
  <c r="C79" i="80"/>
  <c r="C80" i="80"/>
  <c r="C81" i="80"/>
  <c r="C82" i="80"/>
  <c r="C83" i="80"/>
  <c r="C84" i="80"/>
  <c r="C85" i="80"/>
  <c r="C86" i="80"/>
  <c r="C87" i="80"/>
  <c r="C88" i="80"/>
  <c r="C89" i="80"/>
  <c r="C90" i="80"/>
  <c r="C91" i="80"/>
  <c r="C92" i="80"/>
  <c r="C93" i="80"/>
  <c r="C94" i="80"/>
  <c r="C95" i="80"/>
  <c r="C96" i="80"/>
  <c r="C97" i="80"/>
  <c r="C98" i="80"/>
  <c r="C99" i="80"/>
  <c r="C100" i="80"/>
  <c r="C101" i="80"/>
  <c r="C102" i="80"/>
  <c r="C103" i="80"/>
  <c r="C104" i="80"/>
  <c r="C105" i="80"/>
  <c r="C106" i="80"/>
  <c r="C107" i="80"/>
  <c r="C108" i="80"/>
  <c r="C109" i="80"/>
  <c r="C110" i="80"/>
  <c r="C111" i="80"/>
  <c r="C112" i="80"/>
  <c r="C113" i="80"/>
  <c r="C114" i="80"/>
  <c r="C115" i="80"/>
  <c r="C116" i="80"/>
  <c r="C117" i="80"/>
  <c r="C118" i="80"/>
  <c r="C119" i="80"/>
  <c r="C120" i="80"/>
  <c r="C121" i="80"/>
  <c r="C122" i="80"/>
  <c r="C123" i="80"/>
  <c r="C124" i="80"/>
  <c r="C125" i="80"/>
  <c r="C126" i="80"/>
  <c r="C127" i="80"/>
  <c r="C128" i="80"/>
  <c r="C129" i="80"/>
  <c r="C130" i="80"/>
  <c r="C131" i="80"/>
  <c r="C132" i="80"/>
  <c r="C133" i="80"/>
  <c r="C134" i="80"/>
  <c r="C135" i="80"/>
  <c r="C136" i="80"/>
  <c r="C137" i="80"/>
  <c r="C138" i="80"/>
  <c r="C139" i="80"/>
  <c r="C140" i="80"/>
  <c r="C141" i="80"/>
  <c r="C142" i="80"/>
  <c r="C143" i="80"/>
  <c r="C144" i="80"/>
  <c r="C145" i="80"/>
  <c r="C146" i="80"/>
  <c r="C147" i="80"/>
  <c r="C148" i="80"/>
  <c r="C149" i="80"/>
  <c r="C150" i="80"/>
  <c r="C151" i="80"/>
  <c r="C152" i="80"/>
  <c r="C153" i="80"/>
  <c r="C154" i="80"/>
  <c r="C155" i="80"/>
  <c r="C156" i="80"/>
  <c r="C157" i="80"/>
  <c r="C158" i="80"/>
  <c r="C159" i="80"/>
  <c r="C160" i="80"/>
  <c r="C161" i="80"/>
  <c r="C162" i="80"/>
  <c r="C163" i="80"/>
  <c r="C164" i="80"/>
  <c r="C165" i="80"/>
  <c r="C166" i="80"/>
  <c r="C167" i="80"/>
  <c r="C168" i="80"/>
  <c r="C169" i="80"/>
  <c r="C170" i="80"/>
  <c r="C171" i="80"/>
  <c r="C172" i="80"/>
  <c r="C173" i="80"/>
  <c r="C174" i="80"/>
  <c r="C175" i="80"/>
  <c r="C176" i="80"/>
  <c r="C177" i="80"/>
  <c r="C178" i="80"/>
  <c r="C179" i="80"/>
  <c r="C180" i="80"/>
  <c r="C181" i="80"/>
  <c r="C182" i="80"/>
  <c r="C183" i="80"/>
  <c r="C184" i="80"/>
  <c r="C185" i="80"/>
  <c r="C186" i="80"/>
  <c r="C187" i="80"/>
  <c r="C188" i="80"/>
  <c r="C189" i="80"/>
  <c r="C190" i="80"/>
  <c r="C191" i="80"/>
  <c r="C192" i="80"/>
  <c r="C193" i="80"/>
  <c r="C194" i="80"/>
  <c r="C195" i="80"/>
  <c r="C196" i="80"/>
  <c r="C197" i="80"/>
  <c r="C198" i="80"/>
  <c r="C199" i="80"/>
  <c r="C200" i="80"/>
  <c r="C201" i="80"/>
  <c r="C202" i="80"/>
  <c r="C203" i="80"/>
  <c r="C204" i="80"/>
  <c r="C205" i="80"/>
  <c r="C206" i="80"/>
  <c r="C207" i="80"/>
  <c r="C208" i="80"/>
  <c r="C209" i="80"/>
  <c r="C210" i="80"/>
  <c r="C211" i="80"/>
  <c r="C212" i="80"/>
  <c r="C213" i="80"/>
  <c r="C214" i="80"/>
  <c r="C215" i="80"/>
  <c r="C216" i="80"/>
  <c r="C217" i="80"/>
  <c r="C218" i="80"/>
  <c r="C219" i="80"/>
  <c r="C220" i="80"/>
  <c r="C221" i="80"/>
  <c r="C222" i="80"/>
  <c r="C223" i="80"/>
  <c r="C224" i="80"/>
  <c r="C225" i="80"/>
  <c r="C226" i="80"/>
  <c r="C227" i="80"/>
  <c r="C228" i="80"/>
  <c r="C229" i="80"/>
  <c r="C230" i="80"/>
  <c r="C231" i="80"/>
  <c r="C232" i="80"/>
  <c r="C233" i="80"/>
  <c r="C234" i="80"/>
  <c r="C235" i="80"/>
  <c r="C236" i="80"/>
  <c r="C237" i="80"/>
  <c r="C238" i="80"/>
  <c r="C239" i="80"/>
  <c r="C240" i="80"/>
  <c r="C241" i="80"/>
  <c r="C242" i="80"/>
  <c r="C243" i="80"/>
  <c r="C244" i="80"/>
  <c r="C245" i="80"/>
  <c r="C246" i="80"/>
  <c r="C247" i="80"/>
  <c r="C248" i="80"/>
  <c r="C249" i="80"/>
  <c r="C250" i="80"/>
  <c r="C251" i="80"/>
  <c r="C252" i="80"/>
  <c r="C253" i="80"/>
  <c r="C254" i="80"/>
  <c r="C255" i="80"/>
  <c r="C256" i="80"/>
  <c r="C257" i="80"/>
  <c r="C258" i="80"/>
  <c r="C259" i="80"/>
  <c r="C260" i="80"/>
  <c r="C261" i="80"/>
  <c r="C262" i="80"/>
  <c r="C263" i="80"/>
  <c r="C264" i="80"/>
  <c r="C265" i="80"/>
  <c r="C266" i="80"/>
  <c r="C267" i="80"/>
  <c r="C268" i="80"/>
  <c r="C269" i="80"/>
  <c r="C270" i="80"/>
  <c r="C271" i="80"/>
  <c r="C272" i="80"/>
  <c r="C273" i="80"/>
  <c r="C274" i="80"/>
  <c r="C275" i="80"/>
  <c r="C276" i="80"/>
  <c r="C277" i="80"/>
  <c r="C278" i="80"/>
  <c r="C279" i="80"/>
  <c r="C280" i="80"/>
  <c r="C281" i="80"/>
  <c r="C282" i="80"/>
  <c r="C283" i="80"/>
  <c r="C284" i="80"/>
  <c r="C285" i="80"/>
  <c r="C286" i="80"/>
  <c r="C287" i="80"/>
  <c r="C288" i="80"/>
  <c r="C289" i="80"/>
  <c r="C290" i="80"/>
  <c r="C291" i="80"/>
  <c r="C292" i="80"/>
  <c r="C293" i="80"/>
  <c r="C294" i="80"/>
  <c r="C295" i="80"/>
  <c r="C296" i="80"/>
  <c r="C297" i="80"/>
  <c r="C298" i="80"/>
  <c r="C299" i="80"/>
  <c r="C300" i="80"/>
  <c r="C301" i="80"/>
  <c r="C302" i="80"/>
  <c r="C303" i="80"/>
  <c r="C304" i="80"/>
  <c r="C305" i="80"/>
  <c r="C306" i="80"/>
  <c r="C307" i="80"/>
  <c r="C308" i="80"/>
  <c r="C309" i="80"/>
  <c r="C310" i="80"/>
  <c r="C311" i="80"/>
  <c r="C312" i="80"/>
  <c r="C313" i="80"/>
  <c r="C314" i="80"/>
  <c r="C315" i="80"/>
  <c r="C316" i="80"/>
  <c r="C317" i="80"/>
  <c r="C318" i="80"/>
  <c r="C319" i="80"/>
  <c r="C320" i="80"/>
  <c r="C321" i="80"/>
  <c r="C322" i="80"/>
  <c r="C323" i="80"/>
  <c r="C324" i="80"/>
  <c r="C325" i="80"/>
  <c r="C326" i="80"/>
  <c r="C327" i="80"/>
  <c r="C328" i="80"/>
  <c r="C329" i="80"/>
  <c r="C330" i="80"/>
  <c r="C331" i="80"/>
  <c r="C332" i="80"/>
  <c r="C333" i="80"/>
  <c r="C334" i="80"/>
  <c r="C335" i="80"/>
  <c r="C336" i="80"/>
  <c r="C337" i="80"/>
  <c r="C338" i="80"/>
  <c r="C339" i="80"/>
  <c r="C340" i="80"/>
  <c r="C341" i="80"/>
  <c r="C342" i="80"/>
  <c r="C343" i="80"/>
  <c r="C344" i="80"/>
  <c r="C345" i="80"/>
  <c r="C346" i="80"/>
  <c r="C347" i="80"/>
  <c r="C348" i="80"/>
  <c r="C349" i="80"/>
  <c r="C350" i="80"/>
  <c r="C351" i="80"/>
  <c r="C352" i="80"/>
  <c r="C353" i="80"/>
  <c r="C354" i="80"/>
  <c r="C355" i="80"/>
  <c r="C356" i="80"/>
  <c r="C357" i="80"/>
  <c r="C358" i="80"/>
  <c r="C359" i="80"/>
  <c r="C360" i="80"/>
  <c r="C361" i="80"/>
  <c r="C362" i="80"/>
  <c r="C363" i="80"/>
  <c r="C364" i="80"/>
  <c r="C365" i="80"/>
  <c r="C366" i="80"/>
  <c r="C367" i="80"/>
  <c r="C368" i="80"/>
  <c r="C369" i="80"/>
  <c r="C370" i="80"/>
  <c r="C371" i="80"/>
  <c r="C372" i="80"/>
  <c r="C373" i="80"/>
  <c r="C374" i="80"/>
  <c r="C375" i="80"/>
  <c r="C376" i="80"/>
  <c r="C377" i="80"/>
  <c r="C378" i="80"/>
  <c r="C379" i="80"/>
  <c r="C380" i="80"/>
  <c r="C381" i="80"/>
  <c r="C382" i="80"/>
  <c r="C383" i="80"/>
  <c r="C384" i="80"/>
  <c r="C385" i="80"/>
  <c r="C386" i="80"/>
  <c r="C387" i="80"/>
  <c r="C388" i="80"/>
  <c r="C389" i="80"/>
  <c r="C390" i="80"/>
  <c r="C391" i="80"/>
  <c r="C392" i="80"/>
  <c r="C393" i="80"/>
  <c r="C394" i="80"/>
  <c r="C395" i="80"/>
  <c r="C396" i="80"/>
  <c r="C397" i="80"/>
  <c r="C398" i="80"/>
  <c r="C399" i="80"/>
  <c r="C400" i="80"/>
  <c r="C401" i="80"/>
  <c r="C402" i="80"/>
  <c r="C403" i="80"/>
  <c r="C404" i="80"/>
  <c r="C405" i="80"/>
  <c r="C406" i="80"/>
  <c r="C407" i="80"/>
  <c r="C408" i="80"/>
  <c r="C409" i="80"/>
  <c r="C410" i="80"/>
  <c r="C411" i="80"/>
  <c r="C412" i="80"/>
  <c r="C413" i="80"/>
  <c r="C414" i="80"/>
  <c r="C415" i="80"/>
  <c r="C416" i="80"/>
  <c r="C417" i="80"/>
  <c r="C418" i="80"/>
  <c r="C419" i="80"/>
  <c r="C420" i="80"/>
  <c r="C421" i="80"/>
  <c r="C422" i="80"/>
  <c r="C423" i="80"/>
  <c r="C424" i="80"/>
  <c r="C425" i="80"/>
  <c r="C426" i="80"/>
  <c r="C427" i="80"/>
  <c r="C428" i="80"/>
  <c r="C429" i="80"/>
  <c r="C430" i="80"/>
  <c r="C431" i="80"/>
  <c r="C432" i="80"/>
  <c r="C433" i="80"/>
  <c r="C434" i="80"/>
  <c r="C435" i="80"/>
  <c r="C436" i="80"/>
  <c r="C437" i="80"/>
  <c r="C438" i="80"/>
  <c r="C439" i="80"/>
  <c r="C440" i="80"/>
  <c r="C441" i="80"/>
  <c r="C442" i="80"/>
  <c r="C443" i="80"/>
  <c r="C444" i="80"/>
  <c r="C445" i="80"/>
  <c r="C446" i="80"/>
  <c r="C447" i="80"/>
  <c r="C448" i="80"/>
  <c r="C449" i="80"/>
  <c r="C450" i="80"/>
  <c r="C451" i="80"/>
  <c r="C452" i="80"/>
  <c r="C453" i="80"/>
  <c r="C454" i="80"/>
  <c r="C455" i="80"/>
  <c r="C456" i="80"/>
  <c r="C457" i="80"/>
  <c r="C458" i="80"/>
  <c r="C459" i="80"/>
  <c r="C460" i="80"/>
  <c r="C461" i="80"/>
  <c r="C462" i="80"/>
  <c r="C463" i="80"/>
  <c r="C464" i="80"/>
  <c r="C465" i="80"/>
  <c r="C466" i="80"/>
  <c r="C467" i="80"/>
  <c r="C468" i="80"/>
  <c r="C469" i="80"/>
  <c r="C470" i="80"/>
  <c r="C471" i="80"/>
  <c r="C472" i="80"/>
  <c r="C473" i="80"/>
  <c r="C474" i="80"/>
  <c r="C475" i="80"/>
  <c r="C476" i="80"/>
  <c r="C477" i="80"/>
  <c r="C478" i="80"/>
  <c r="C479" i="80"/>
  <c r="C480" i="80"/>
  <c r="C481" i="80"/>
  <c r="C482" i="80"/>
  <c r="C483" i="80"/>
  <c r="C484" i="80"/>
  <c r="C485" i="80"/>
  <c r="C486" i="80"/>
  <c r="C487" i="80"/>
  <c r="C488" i="80"/>
  <c r="C489" i="80"/>
  <c r="C490" i="80"/>
  <c r="C491" i="80"/>
  <c r="C492" i="80"/>
  <c r="C493" i="80"/>
  <c r="C494" i="80"/>
  <c r="C495" i="80"/>
  <c r="C496" i="80"/>
  <c r="C497" i="80"/>
  <c r="C498" i="80"/>
  <c r="C499" i="80"/>
  <c r="C500" i="80"/>
  <c r="C501" i="80"/>
  <c r="C502" i="80"/>
  <c r="C503" i="80"/>
  <c r="C504" i="80"/>
  <c r="C505" i="80"/>
  <c r="C506" i="80"/>
  <c r="C507" i="80"/>
  <c r="C508" i="80"/>
  <c r="C509" i="80"/>
  <c r="C510" i="80"/>
  <c r="C511" i="80"/>
  <c r="C512" i="80"/>
  <c r="C513" i="80"/>
  <c r="C514" i="80"/>
  <c r="C515" i="80"/>
  <c r="C516" i="80"/>
  <c r="C517" i="80"/>
  <c r="C518" i="80"/>
  <c r="C519" i="80"/>
  <c r="C520" i="80"/>
  <c r="C521" i="80"/>
  <c r="C522" i="80"/>
  <c r="C523" i="80"/>
  <c r="C524" i="80"/>
  <c r="C525" i="80"/>
  <c r="C526" i="80"/>
  <c r="C527" i="80"/>
  <c r="C528" i="80"/>
  <c r="C529" i="80"/>
  <c r="C530" i="80"/>
  <c r="C531" i="80"/>
  <c r="C532" i="80"/>
  <c r="C533" i="80"/>
  <c r="C534" i="80"/>
  <c r="C535" i="80"/>
  <c r="C536" i="80"/>
  <c r="C537" i="80"/>
  <c r="C538" i="80"/>
  <c r="C539" i="80"/>
  <c r="C540" i="80"/>
  <c r="C541" i="80"/>
  <c r="C542" i="80"/>
  <c r="C543" i="80"/>
  <c r="C544" i="80"/>
  <c r="C545" i="80"/>
  <c r="C546" i="80"/>
  <c r="C547" i="80"/>
  <c r="C548" i="80"/>
  <c r="C549" i="80"/>
  <c r="C550" i="80"/>
  <c r="C551" i="80"/>
  <c r="C552" i="80"/>
  <c r="C553" i="80"/>
  <c r="C554" i="80"/>
  <c r="C555" i="80"/>
  <c r="C556" i="80"/>
  <c r="C557" i="80"/>
  <c r="C558" i="80"/>
  <c r="C559" i="80"/>
  <c r="C560" i="80"/>
  <c r="C561" i="80"/>
  <c r="C562" i="80"/>
  <c r="C563" i="80"/>
  <c r="C564" i="80"/>
  <c r="C565" i="80"/>
  <c r="C566" i="80"/>
  <c r="C567" i="80"/>
  <c r="C568" i="80"/>
  <c r="C569" i="80"/>
  <c r="C570" i="80"/>
  <c r="C571" i="80"/>
  <c r="C572" i="80"/>
  <c r="C573" i="80"/>
  <c r="C574" i="80"/>
  <c r="C575" i="80"/>
  <c r="C576" i="80"/>
  <c r="C577" i="80"/>
  <c r="C578" i="80"/>
  <c r="C579" i="80"/>
  <c r="C580" i="80"/>
  <c r="C581" i="80"/>
  <c r="C582" i="80"/>
  <c r="C583" i="80"/>
  <c r="C584" i="80"/>
  <c r="C585" i="80"/>
  <c r="C586" i="80"/>
  <c r="C587" i="80"/>
  <c r="C588" i="80"/>
  <c r="C589" i="80"/>
  <c r="C590" i="80"/>
  <c r="C591" i="80"/>
  <c r="C592" i="80"/>
  <c r="C593" i="80"/>
  <c r="C594" i="80"/>
  <c r="C595" i="80"/>
  <c r="C596" i="80"/>
  <c r="C597" i="80"/>
  <c r="C598" i="80"/>
  <c r="C599" i="80"/>
  <c r="C600" i="80"/>
  <c r="C601" i="80"/>
  <c r="C602" i="80"/>
  <c r="C603" i="80"/>
  <c r="C604" i="80"/>
  <c r="C605" i="80"/>
  <c r="C606" i="80"/>
  <c r="C607" i="80"/>
  <c r="C608" i="80"/>
  <c r="C609" i="80"/>
  <c r="C610" i="80"/>
  <c r="C611" i="80"/>
  <c r="C612" i="80"/>
  <c r="C613" i="80"/>
  <c r="C614" i="80"/>
  <c r="C615" i="80"/>
  <c r="C616" i="80"/>
  <c r="C617" i="80"/>
  <c r="C618" i="80"/>
  <c r="C619" i="80"/>
  <c r="C620" i="80"/>
  <c r="C621" i="80"/>
  <c r="C622" i="80"/>
  <c r="C623" i="80"/>
  <c r="C624" i="80"/>
  <c r="C625" i="80"/>
  <c r="C626" i="80"/>
  <c r="C627" i="80"/>
  <c r="C628" i="80"/>
  <c r="C629" i="80"/>
  <c r="C630" i="80"/>
  <c r="C631" i="80"/>
  <c r="C632" i="80"/>
  <c r="C633" i="80"/>
  <c r="C634" i="80"/>
  <c r="C635" i="80"/>
  <c r="C636" i="80"/>
  <c r="C637" i="80"/>
  <c r="C638" i="80"/>
  <c r="C639" i="80"/>
  <c r="C640" i="80"/>
  <c r="C641" i="80"/>
  <c r="C642" i="80"/>
  <c r="C643" i="80"/>
  <c r="C644" i="80"/>
  <c r="C645" i="80"/>
  <c r="C646" i="80"/>
  <c r="C647" i="80"/>
  <c r="C648" i="80"/>
  <c r="C649" i="80"/>
  <c r="C650" i="80"/>
  <c r="C651" i="80"/>
  <c r="C652" i="80"/>
  <c r="C653" i="80"/>
  <c r="C654" i="80"/>
  <c r="C655" i="80"/>
  <c r="C656" i="80"/>
  <c r="C657" i="80"/>
  <c r="C658" i="80"/>
  <c r="C659" i="80"/>
  <c r="C660" i="80"/>
  <c r="C661" i="80"/>
  <c r="C662" i="80"/>
  <c r="C663" i="80"/>
  <c r="C664" i="80"/>
  <c r="C665" i="80"/>
  <c r="C666" i="80"/>
  <c r="C667" i="80"/>
  <c r="C668" i="80"/>
  <c r="C669" i="80"/>
  <c r="C670" i="80"/>
  <c r="C671" i="80"/>
  <c r="C672" i="80"/>
  <c r="C673" i="80"/>
  <c r="C674" i="80"/>
  <c r="C675" i="80"/>
  <c r="C676" i="80"/>
  <c r="C677" i="80"/>
  <c r="C678" i="80"/>
  <c r="C679" i="80"/>
  <c r="C680" i="80"/>
  <c r="C681" i="80"/>
  <c r="C682" i="80"/>
  <c r="C683" i="80"/>
  <c r="C684" i="80"/>
  <c r="C685" i="80"/>
  <c r="C686" i="80"/>
  <c r="C687" i="80"/>
  <c r="C688" i="80"/>
  <c r="C689" i="80"/>
  <c r="C690" i="80"/>
  <c r="C691" i="80"/>
  <c r="C692" i="80"/>
  <c r="C693" i="80"/>
  <c r="C694" i="80"/>
  <c r="C695" i="80"/>
  <c r="C696" i="80"/>
  <c r="C697" i="80"/>
  <c r="C698" i="80"/>
  <c r="C699" i="80"/>
  <c r="C700" i="80"/>
  <c r="C701" i="80"/>
  <c r="C702" i="80"/>
  <c r="C703" i="80"/>
  <c r="C704" i="80"/>
  <c r="C705" i="80"/>
  <c r="C706" i="80"/>
  <c r="C707" i="80"/>
  <c r="C708" i="80"/>
  <c r="C709" i="80"/>
  <c r="C710" i="80"/>
  <c r="C711" i="80"/>
  <c r="C712" i="80"/>
  <c r="C713" i="80"/>
  <c r="C714" i="80"/>
  <c r="C715" i="80"/>
  <c r="C716" i="80"/>
  <c r="C717" i="80"/>
  <c r="C718" i="80"/>
  <c r="C719" i="80"/>
  <c r="C720" i="80"/>
  <c r="C721" i="80"/>
  <c r="C722" i="80"/>
  <c r="C723" i="80"/>
  <c r="C724" i="80"/>
  <c r="C725" i="80"/>
  <c r="C726" i="80"/>
  <c r="C727" i="80"/>
  <c r="C728" i="80"/>
  <c r="C729" i="80"/>
  <c r="C730" i="80"/>
  <c r="C731" i="80"/>
  <c r="C732" i="80"/>
  <c r="C733" i="80"/>
  <c r="C734" i="80"/>
  <c r="C735" i="80"/>
  <c r="C736" i="80"/>
  <c r="C737" i="80"/>
  <c r="C738" i="80"/>
  <c r="C739" i="80"/>
  <c r="C740" i="80"/>
  <c r="C741" i="80"/>
  <c r="C742" i="80"/>
  <c r="C743" i="80"/>
  <c r="C744" i="80"/>
  <c r="C745" i="80"/>
  <c r="C746" i="80"/>
  <c r="C747" i="80"/>
  <c r="C748" i="80"/>
  <c r="C749" i="80"/>
  <c r="C750" i="80"/>
  <c r="C751" i="80"/>
  <c r="C752" i="80"/>
  <c r="C753" i="80"/>
  <c r="C754" i="80"/>
  <c r="C755" i="80"/>
  <c r="C756" i="80"/>
  <c r="C757" i="80"/>
  <c r="C758" i="80"/>
  <c r="C759" i="80"/>
  <c r="C760" i="80"/>
  <c r="C761" i="80"/>
  <c r="C762" i="80"/>
  <c r="C763" i="80"/>
  <c r="C764" i="80"/>
  <c r="C765" i="80"/>
  <c r="C766" i="80"/>
  <c r="C767" i="80"/>
  <c r="C768" i="80"/>
  <c r="C769" i="80"/>
  <c r="C770" i="80"/>
  <c r="C771" i="80"/>
  <c r="C772" i="80"/>
  <c r="C773" i="80"/>
  <c r="C774" i="80"/>
  <c r="C775" i="80"/>
  <c r="C776" i="80"/>
  <c r="C777" i="80"/>
  <c r="C778" i="80"/>
  <c r="C779" i="80"/>
  <c r="C780" i="80"/>
  <c r="C781" i="80"/>
  <c r="C782" i="80"/>
  <c r="C783" i="80"/>
  <c r="C784" i="80"/>
  <c r="C785" i="80"/>
  <c r="C786" i="80"/>
  <c r="C787" i="80"/>
  <c r="C788" i="80"/>
  <c r="C789" i="80"/>
  <c r="C790" i="80"/>
  <c r="C791" i="80"/>
  <c r="C792" i="80"/>
  <c r="C793" i="80"/>
  <c r="C794" i="80"/>
  <c r="C795" i="80"/>
  <c r="C796" i="80"/>
  <c r="C797" i="80"/>
  <c r="C798" i="80"/>
  <c r="C799" i="80"/>
  <c r="C800" i="80"/>
  <c r="C801" i="80"/>
  <c r="C802" i="80"/>
  <c r="C803" i="80"/>
  <c r="C804" i="80"/>
  <c r="C805" i="80"/>
  <c r="C806" i="80"/>
  <c r="C807" i="80"/>
  <c r="C808" i="80"/>
  <c r="C809" i="80"/>
  <c r="C810" i="80"/>
  <c r="C811" i="80"/>
  <c r="C812" i="80"/>
  <c r="C813" i="80"/>
  <c r="C814" i="80"/>
  <c r="C815" i="80"/>
  <c r="C816" i="80"/>
  <c r="C817" i="80"/>
  <c r="C818" i="80"/>
  <c r="C819" i="80"/>
  <c r="C820" i="80"/>
  <c r="C821" i="80"/>
  <c r="C822" i="80"/>
  <c r="C823" i="80"/>
  <c r="C824" i="80"/>
  <c r="C825" i="80"/>
  <c r="C826" i="80"/>
  <c r="C827" i="80"/>
  <c r="C828" i="80"/>
  <c r="C829" i="80"/>
  <c r="C830" i="80"/>
  <c r="C831" i="80"/>
  <c r="C832" i="80"/>
  <c r="C833" i="80"/>
  <c r="C834" i="80"/>
  <c r="C835" i="80"/>
  <c r="C836" i="80"/>
  <c r="C837" i="80"/>
  <c r="C838" i="80"/>
  <c r="C839" i="80"/>
  <c r="C840" i="80"/>
  <c r="C841" i="80"/>
  <c r="C842" i="80"/>
  <c r="C843" i="80"/>
  <c r="C844" i="80"/>
  <c r="C845" i="80"/>
  <c r="C846" i="80"/>
  <c r="C847" i="80"/>
  <c r="C848" i="80"/>
  <c r="C849" i="80"/>
  <c r="C850" i="80"/>
  <c r="C851" i="80"/>
  <c r="C852" i="80"/>
  <c r="C853" i="80"/>
  <c r="C854" i="80"/>
  <c r="C855" i="80"/>
  <c r="C856" i="80"/>
  <c r="C857" i="80"/>
  <c r="C858" i="80"/>
  <c r="C859" i="80"/>
  <c r="C860" i="80"/>
  <c r="C861" i="80"/>
  <c r="C862" i="80"/>
  <c r="C863" i="80"/>
  <c r="C864" i="80"/>
  <c r="C865" i="80"/>
  <c r="C866" i="80"/>
  <c r="C867" i="80"/>
  <c r="C868" i="80"/>
  <c r="C869" i="80"/>
  <c r="C870" i="80"/>
  <c r="C871" i="80"/>
  <c r="C872" i="80"/>
  <c r="C873" i="80"/>
  <c r="C874" i="80"/>
  <c r="C875" i="80"/>
  <c r="C876" i="80"/>
  <c r="C877" i="80"/>
  <c r="C878" i="80"/>
  <c r="C879" i="80"/>
  <c r="C880" i="80"/>
  <c r="C881" i="80"/>
  <c r="C882" i="80"/>
  <c r="C883" i="80"/>
  <c r="C884" i="80"/>
  <c r="C885" i="80"/>
  <c r="C886" i="80"/>
  <c r="C887" i="80"/>
  <c r="C888" i="80"/>
  <c r="C889" i="80"/>
  <c r="C890" i="80"/>
  <c r="C891" i="80"/>
  <c r="C892" i="80"/>
  <c r="C893" i="80"/>
  <c r="C894" i="80"/>
  <c r="C895" i="80"/>
  <c r="C896" i="80"/>
  <c r="C897" i="80"/>
  <c r="C898" i="80"/>
  <c r="C899" i="80"/>
  <c r="C900" i="80"/>
  <c r="C901" i="80"/>
  <c r="C902" i="80"/>
  <c r="C903" i="80"/>
  <c r="C904" i="80"/>
  <c r="C905" i="80"/>
  <c r="C906" i="80"/>
  <c r="C907" i="80"/>
  <c r="C908" i="80"/>
  <c r="C909" i="80"/>
  <c r="C910" i="80"/>
  <c r="C911" i="80"/>
  <c r="C912" i="80"/>
  <c r="C913" i="80"/>
  <c r="C914" i="80"/>
  <c r="C915" i="80"/>
  <c r="C916" i="80"/>
  <c r="C917" i="80"/>
  <c r="C918" i="80"/>
  <c r="C919" i="80"/>
  <c r="C920" i="80"/>
  <c r="C921" i="80"/>
  <c r="C922" i="80"/>
  <c r="C923" i="80"/>
  <c r="C924" i="80"/>
  <c r="C925" i="80"/>
  <c r="C926" i="80"/>
  <c r="C927" i="80"/>
  <c r="C928" i="80"/>
  <c r="C929" i="80"/>
  <c r="C930" i="80"/>
  <c r="C931" i="80"/>
  <c r="C932" i="80"/>
  <c r="C933" i="80"/>
  <c r="C934" i="80"/>
  <c r="C935" i="80"/>
  <c r="C936" i="80"/>
  <c r="C937" i="80"/>
  <c r="C938" i="80"/>
  <c r="C939" i="80"/>
  <c r="C940" i="80"/>
  <c r="C941" i="80"/>
  <c r="C942" i="80"/>
  <c r="C943" i="80"/>
  <c r="C944" i="80"/>
  <c r="C945" i="80"/>
  <c r="C946" i="80"/>
  <c r="C947" i="80"/>
  <c r="C948" i="80"/>
  <c r="C949" i="80"/>
  <c r="C950" i="80"/>
  <c r="C951" i="80"/>
  <c r="C952" i="80"/>
  <c r="C953" i="80"/>
  <c r="C954" i="80"/>
  <c r="C955" i="80"/>
  <c r="C956" i="80"/>
  <c r="C957" i="80"/>
  <c r="C958" i="80"/>
  <c r="C959" i="80"/>
  <c r="C960" i="80"/>
  <c r="C961" i="80"/>
  <c r="C962" i="80"/>
  <c r="C963" i="80"/>
  <c r="C964" i="80"/>
  <c r="C965" i="80"/>
  <c r="C966" i="80"/>
  <c r="C967" i="80"/>
  <c r="C968" i="80"/>
  <c r="C969" i="80"/>
  <c r="C970" i="80"/>
  <c r="C971" i="80"/>
  <c r="C972" i="80"/>
  <c r="C973" i="80"/>
  <c r="C974" i="80"/>
  <c r="C975" i="80"/>
  <c r="C976" i="80"/>
  <c r="C977" i="80"/>
  <c r="C978" i="80"/>
  <c r="C979" i="80"/>
  <c r="C980" i="80"/>
  <c r="C981" i="80"/>
  <c r="C982" i="80"/>
  <c r="C983" i="80"/>
  <c r="C984" i="80"/>
  <c r="C985" i="80"/>
  <c r="C986" i="80"/>
  <c r="C987" i="80"/>
  <c r="C988" i="80"/>
  <c r="C989" i="80"/>
  <c r="C990" i="80"/>
  <c r="C991" i="80"/>
  <c r="C992" i="80"/>
  <c r="C993" i="80"/>
  <c r="C994" i="80"/>
  <c r="C995" i="80"/>
  <c r="C996" i="80"/>
  <c r="C997" i="80"/>
  <c r="C998" i="80"/>
  <c r="C999" i="80"/>
  <c r="C1000" i="80"/>
  <c r="C1001" i="80"/>
  <c r="C1002" i="80"/>
  <c r="C1003" i="80"/>
  <c r="C1004" i="80"/>
  <c r="C1005" i="80"/>
  <c r="C1006" i="80"/>
  <c r="C1007" i="80"/>
  <c r="C1008" i="80"/>
  <c r="C1009" i="80"/>
  <c r="C1010" i="80"/>
  <c r="C1011" i="80"/>
  <c r="C1012" i="80"/>
  <c r="C1013" i="80"/>
  <c r="C1014" i="80"/>
  <c r="C1015" i="80"/>
  <c r="C1016" i="80"/>
  <c r="C1017" i="80"/>
  <c r="C1018" i="80"/>
  <c r="C1019" i="80"/>
  <c r="C1020" i="80"/>
  <c r="C1021" i="80"/>
  <c r="C1022" i="80"/>
  <c r="C1023" i="80"/>
  <c r="C1024" i="80"/>
  <c r="C1025" i="80"/>
  <c r="C1026" i="80"/>
  <c r="C1027" i="80"/>
  <c r="C1028" i="80"/>
  <c r="C1029" i="80"/>
  <c r="C1030" i="80"/>
  <c r="C1031" i="80"/>
  <c r="C1032" i="80"/>
  <c r="C1033" i="80"/>
  <c r="C1034" i="80"/>
  <c r="C1035" i="80"/>
  <c r="C1036" i="80"/>
  <c r="C1037" i="80"/>
  <c r="C1038" i="80"/>
  <c r="C1039" i="80"/>
  <c r="C1040" i="80"/>
  <c r="C1041" i="80"/>
  <c r="C1042" i="80"/>
  <c r="C1043" i="80"/>
  <c r="C1044" i="80"/>
  <c r="C1045" i="80"/>
  <c r="C1046" i="80"/>
  <c r="C1047" i="80"/>
  <c r="C1048" i="80"/>
  <c r="C1049" i="80"/>
  <c r="C1050" i="80"/>
  <c r="C1051" i="80"/>
  <c r="C1052" i="80"/>
  <c r="C1053" i="80"/>
  <c r="C1054" i="80"/>
  <c r="C1055" i="80"/>
  <c r="C1056" i="80"/>
  <c r="C1057" i="80"/>
  <c r="C1058" i="80"/>
  <c r="C1059" i="80"/>
  <c r="C1060" i="80"/>
  <c r="C1061" i="80"/>
  <c r="C1062" i="80"/>
  <c r="C1063" i="80"/>
  <c r="C1064" i="80"/>
  <c r="C1065" i="80"/>
  <c r="C1066" i="80"/>
  <c r="C1067" i="80"/>
  <c r="C1068" i="80"/>
  <c r="C1069" i="80"/>
  <c r="C1070" i="80"/>
  <c r="C1071" i="80"/>
  <c r="C1072" i="80"/>
  <c r="C1073" i="80"/>
  <c r="C1074" i="80"/>
  <c r="C1075" i="80"/>
  <c r="C1076" i="80"/>
  <c r="C1077" i="80"/>
  <c r="C1078" i="80"/>
  <c r="C1079" i="80"/>
  <c r="C1080" i="80"/>
  <c r="C1081" i="80"/>
  <c r="C1082" i="80"/>
  <c r="C1083" i="80"/>
  <c r="C1084" i="80"/>
  <c r="C1085" i="80"/>
  <c r="C1086" i="80"/>
  <c r="C1087" i="80"/>
  <c r="C1088" i="80"/>
  <c r="C1089" i="80"/>
  <c r="C1090" i="80"/>
  <c r="C1091" i="80"/>
  <c r="C1092" i="80"/>
  <c r="C1093" i="80"/>
  <c r="C1094" i="80"/>
  <c r="C1095" i="80"/>
  <c r="C1096" i="80"/>
  <c r="C1097" i="80"/>
  <c r="C1098" i="80"/>
  <c r="C1099" i="80"/>
  <c r="C1100" i="80"/>
  <c r="C1101" i="80"/>
  <c r="C1102" i="80"/>
  <c r="C1103" i="80"/>
  <c r="C1104" i="80"/>
  <c r="C1105" i="80"/>
  <c r="C1106" i="80"/>
  <c r="C1107" i="80"/>
  <c r="C1108" i="80"/>
  <c r="C1109" i="80"/>
  <c r="C1110" i="80"/>
  <c r="C1111" i="80"/>
  <c r="C1112" i="80"/>
  <c r="C1113" i="80"/>
  <c r="C1114" i="80"/>
  <c r="C1115" i="80"/>
  <c r="C1116" i="80"/>
  <c r="C1117" i="80"/>
  <c r="C1118" i="80"/>
  <c r="C1119" i="80"/>
  <c r="C1120" i="80"/>
  <c r="C1121" i="80"/>
  <c r="C1122" i="80"/>
  <c r="C1123" i="80"/>
  <c r="C1124" i="80"/>
  <c r="C1125" i="80"/>
  <c r="C1126" i="80"/>
  <c r="C1127" i="80"/>
  <c r="C1128" i="80"/>
  <c r="C1129" i="80"/>
  <c r="C1130" i="80"/>
  <c r="C1131" i="80"/>
  <c r="C1132" i="80"/>
  <c r="C1133" i="80"/>
  <c r="C1134" i="80"/>
  <c r="C1135" i="80"/>
  <c r="C1136" i="80"/>
  <c r="C1137" i="80"/>
  <c r="C1138" i="80"/>
  <c r="C1139" i="80"/>
  <c r="C1140" i="80"/>
  <c r="C1141" i="80"/>
  <c r="C1142" i="80"/>
  <c r="C1143" i="80"/>
  <c r="C1144" i="80"/>
  <c r="C1145" i="80"/>
  <c r="C1146" i="80"/>
  <c r="C1147" i="80"/>
  <c r="C1148" i="80"/>
  <c r="C1149" i="80"/>
  <c r="C1150" i="80"/>
  <c r="C1151" i="80"/>
  <c r="C1152" i="80"/>
  <c r="C1153" i="80"/>
  <c r="C1154" i="80"/>
  <c r="C1155" i="80"/>
  <c r="C1156" i="80"/>
  <c r="C1157" i="80"/>
  <c r="C1158" i="80"/>
  <c r="C1159" i="80"/>
  <c r="C1160" i="80"/>
  <c r="C1161" i="80"/>
  <c r="C1162" i="80"/>
  <c r="C1163" i="80"/>
  <c r="C1164" i="80"/>
  <c r="C1165" i="80"/>
  <c r="C1166" i="80"/>
  <c r="C1167" i="80"/>
  <c r="C1168" i="80"/>
  <c r="C1169" i="80"/>
  <c r="C1170" i="80"/>
  <c r="C1171" i="80"/>
  <c r="C1172" i="80"/>
  <c r="C1173" i="80"/>
  <c r="C1174" i="80"/>
  <c r="C1175" i="80"/>
  <c r="C1176" i="80"/>
  <c r="C1177" i="80"/>
  <c r="C1178" i="80"/>
  <c r="C1179" i="80"/>
  <c r="C1180" i="80"/>
  <c r="C1181" i="80"/>
  <c r="C1182" i="80"/>
  <c r="C1183" i="80"/>
  <c r="C1184" i="80"/>
  <c r="C1185" i="80"/>
  <c r="C1186" i="80"/>
  <c r="C1187" i="80"/>
  <c r="C1188" i="80"/>
  <c r="C1189" i="80"/>
  <c r="C1190" i="80"/>
  <c r="C1191" i="80"/>
  <c r="C1192" i="80"/>
  <c r="C1193" i="80"/>
  <c r="C1194" i="80"/>
  <c r="C1195" i="80"/>
  <c r="C1196" i="80"/>
  <c r="C1197" i="80"/>
  <c r="C1198" i="80"/>
  <c r="C1199" i="80"/>
  <c r="C1200" i="80"/>
  <c r="C1201" i="80"/>
  <c r="C1202" i="80"/>
  <c r="C1203" i="80"/>
  <c r="C1204" i="80"/>
  <c r="C1205" i="80"/>
  <c r="C1206" i="80"/>
  <c r="C1207" i="80"/>
  <c r="C1208" i="80"/>
  <c r="C1209" i="80"/>
  <c r="C1210" i="80"/>
  <c r="C1211" i="80"/>
  <c r="C1212" i="80"/>
  <c r="C1213" i="80"/>
  <c r="C1214" i="80"/>
  <c r="C1215" i="80"/>
  <c r="C1216" i="80"/>
  <c r="C1217" i="80"/>
  <c r="C1218" i="80"/>
  <c r="C1219" i="80"/>
  <c r="C1220" i="80"/>
  <c r="C1221" i="80"/>
  <c r="C1222" i="80"/>
  <c r="C1223" i="80"/>
  <c r="C1224" i="80"/>
  <c r="C1225" i="80"/>
  <c r="C1226" i="80"/>
  <c r="C1227" i="80"/>
  <c r="C1228" i="80"/>
  <c r="C1229" i="80"/>
  <c r="C1230" i="80"/>
  <c r="C1231" i="80"/>
  <c r="C1232" i="80"/>
  <c r="C1233" i="80"/>
  <c r="C1234" i="80"/>
  <c r="C1235" i="80"/>
  <c r="C1236" i="80"/>
  <c r="C1237" i="80"/>
  <c r="C1238" i="80"/>
  <c r="C1239" i="80"/>
  <c r="C1240" i="80"/>
  <c r="C1241" i="80"/>
  <c r="C1242" i="80"/>
  <c r="C1243" i="80"/>
  <c r="C1244" i="80"/>
  <c r="C1245" i="80"/>
  <c r="C1246" i="80"/>
  <c r="C1247" i="80"/>
  <c r="C1248" i="80"/>
  <c r="C1249" i="80"/>
  <c r="C1250" i="80"/>
  <c r="C1251" i="80"/>
  <c r="C1252" i="80"/>
  <c r="C1253" i="80"/>
  <c r="C1254" i="80"/>
  <c r="C1255" i="80"/>
  <c r="C1256" i="80"/>
  <c r="C1257" i="80"/>
  <c r="C1258" i="80"/>
  <c r="C1259" i="80"/>
  <c r="C1260" i="80"/>
  <c r="C1261" i="80"/>
  <c r="C1262" i="80"/>
  <c r="C1263" i="80"/>
  <c r="C1264" i="80"/>
  <c r="C1265" i="80"/>
  <c r="C1266" i="80"/>
  <c r="C1267" i="80"/>
  <c r="C1268" i="80"/>
  <c r="C1269" i="80"/>
  <c r="C1270" i="80"/>
  <c r="C1271" i="80"/>
  <c r="C1272" i="80"/>
  <c r="C1273" i="80"/>
  <c r="C1274" i="80"/>
  <c r="C1275" i="80"/>
  <c r="C1276" i="80"/>
  <c r="C1277" i="80"/>
  <c r="C1278" i="80"/>
  <c r="C1279" i="80"/>
  <c r="C1280" i="80"/>
  <c r="C1281" i="80"/>
  <c r="C1282" i="80"/>
  <c r="C1283" i="80"/>
  <c r="C1284" i="80"/>
  <c r="C1285" i="80"/>
  <c r="C1286" i="80"/>
  <c r="C1287" i="80"/>
  <c r="C1288" i="80"/>
  <c r="C1289" i="80"/>
  <c r="C1290" i="80"/>
  <c r="C1291" i="80"/>
  <c r="C1292" i="80"/>
  <c r="C1293" i="80"/>
  <c r="C1294" i="80"/>
  <c r="C1295" i="80"/>
  <c r="C1296" i="80"/>
  <c r="C1297" i="80"/>
  <c r="C1298" i="80"/>
  <c r="C1299" i="80"/>
  <c r="C1300" i="80"/>
  <c r="C1301" i="80"/>
  <c r="C1302" i="80"/>
  <c r="C1303" i="80"/>
  <c r="C1304" i="80"/>
  <c r="C1305" i="80"/>
  <c r="C1306" i="80"/>
  <c r="C1307" i="80"/>
  <c r="C1308" i="80"/>
  <c r="C1309" i="80"/>
  <c r="C1310" i="80"/>
  <c r="C1311" i="80"/>
  <c r="C1312" i="80"/>
  <c r="C1313" i="80"/>
  <c r="C1314" i="80"/>
  <c r="C1315" i="80"/>
  <c r="C1316" i="80"/>
  <c r="C1317" i="80"/>
  <c r="C1318" i="80"/>
  <c r="C1319" i="80"/>
  <c r="C1320" i="80"/>
  <c r="C1321" i="80"/>
  <c r="C1322" i="80"/>
  <c r="C1323" i="80"/>
  <c r="C1324" i="80"/>
  <c r="C1325" i="80"/>
  <c r="C1326" i="80"/>
  <c r="C1327" i="80"/>
  <c r="C1328" i="80"/>
  <c r="C1329" i="80"/>
  <c r="C1330" i="80"/>
  <c r="C1331" i="80"/>
  <c r="C1332" i="80"/>
  <c r="C1333" i="80"/>
  <c r="C1334" i="80"/>
  <c r="C1335" i="80"/>
  <c r="C1336" i="80"/>
  <c r="C1337" i="80"/>
  <c r="C1338" i="80"/>
  <c r="C1339" i="80"/>
  <c r="C1340" i="80"/>
  <c r="C1341" i="80"/>
  <c r="C1342" i="80"/>
  <c r="C1343" i="80"/>
  <c r="C1344" i="80"/>
  <c r="C1345" i="80"/>
  <c r="C1346" i="80"/>
  <c r="C1347" i="80"/>
  <c r="C1348" i="80"/>
  <c r="C1349" i="80"/>
  <c r="C1350" i="80"/>
  <c r="C1351" i="80"/>
  <c r="C1352" i="80"/>
  <c r="C1353" i="80"/>
  <c r="C1354" i="80"/>
  <c r="C1355" i="80"/>
  <c r="C1356" i="80"/>
  <c r="C1357" i="80"/>
  <c r="C1358" i="80"/>
  <c r="C1359" i="80"/>
  <c r="C1360" i="80"/>
  <c r="C1361" i="80"/>
  <c r="C1362" i="80"/>
  <c r="C1363" i="80"/>
  <c r="C1364" i="80"/>
  <c r="C1365" i="80"/>
  <c r="C1366" i="80"/>
  <c r="C1367" i="80"/>
  <c r="C1368" i="80"/>
  <c r="C1369" i="80"/>
  <c r="C1370" i="80"/>
  <c r="C1371" i="80"/>
  <c r="C1372" i="80"/>
  <c r="C1373" i="80"/>
  <c r="C1374" i="80"/>
  <c r="C1375" i="80"/>
  <c r="C1376" i="80"/>
  <c r="C1377" i="80"/>
  <c r="C1378" i="80"/>
  <c r="C1379" i="80"/>
  <c r="C1380" i="80"/>
  <c r="C1381" i="80"/>
  <c r="C1382" i="80"/>
  <c r="C1383" i="80"/>
  <c r="C1384" i="80"/>
  <c r="C1385" i="80"/>
  <c r="C1386" i="80"/>
  <c r="C1387" i="80"/>
  <c r="C1388" i="80"/>
  <c r="C1389" i="80"/>
  <c r="C1390" i="80"/>
  <c r="C1391" i="80"/>
  <c r="C1392" i="80"/>
  <c r="C1393" i="80"/>
  <c r="C1394" i="80"/>
  <c r="C1395" i="80"/>
  <c r="C1396" i="80"/>
  <c r="C1397" i="80"/>
  <c r="C1398" i="80"/>
  <c r="C1399" i="80"/>
  <c r="C1400" i="80"/>
  <c r="C1401" i="80"/>
  <c r="C1402" i="80"/>
  <c r="C1403" i="80"/>
  <c r="C1404" i="80"/>
  <c r="C1405" i="80"/>
  <c r="C1406" i="80"/>
  <c r="C1407" i="80"/>
  <c r="C1408" i="80"/>
  <c r="C1409" i="80"/>
  <c r="C1410" i="80"/>
  <c r="C1411" i="80"/>
  <c r="C1412" i="80"/>
  <c r="C1413" i="80"/>
  <c r="C1414" i="80"/>
  <c r="C2" i="80"/>
  <c r="G20" i="78" l="1"/>
  <c r="D20" i="78"/>
  <c r="F20" i="78"/>
  <c r="F19" i="78"/>
  <c r="G19" i="78"/>
  <c r="E20" i="78"/>
  <c r="D19" i="78"/>
  <c r="E19" i="78"/>
  <c r="W156" i="43"/>
  <c r="U156" i="43"/>
  <c r="S156" i="43"/>
  <c r="W153" i="43"/>
  <c r="U153" i="43"/>
  <c r="S153" i="43"/>
  <c r="W132" i="43"/>
  <c r="U132" i="43"/>
  <c r="S132" i="43"/>
  <c r="W129" i="43"/>
  <c r="U129" i="43"/>
  <c r="S129" i="43"/>
  <c r="W106" i="43"/>
  <c r="U106" i="43"/>
  <c r="S106" i="43"/>
  <c r="W83" i="43"/>
  <c r="U83" i="43"/>
  <c r="S83" i="43"/>
  <c r="W102" i="43"/>
  <c r="U102" i="43"/>
  <c r="S102" i="43"/>
  <c r="W88" i="43"/>
  <c r="U88" i="43"/>
  <c r="S88" i="43"/>
  <c r="W79" i="43"/>
  <c r="U79" i="43"/>
  <c r="S79" i="43"/>
  <c r="W74" i="43"/>
  <c r="U74" i="43"/>
  <c r="S74" i="43"/>
  <c r="W52" i="43"/>
  <c r="U52" i="43"/>
  <c r="S52" i="43"/>
  <c r="W49" i="43"/>
  <c r="U49" i="43"/>
  <c r="S49" i="43"/>
  <c r="W2" i="43"/>
  <c r="U2" i="43"/>
  <c r="S2" i="43"/>
  <c r="W23" i="43"/>
  <c r="U23" i="43"/>
  <c r="S23" i="43"/>
  <c r="W28" i="43"/>
  <c r="U28" i="43"/>
  <c r="S28" i="43"/>
  <c r="W12" i="43"/>
  <c r="U12" i="43"/>
  <c r="S12" i="43"/>
  <c r="W141" i="43"/>
  <c r="W137" i="43"/>
  <c r="W138" i="43"/>
  <c r="W154" i="43"/>
  <c r="W144" i="43"/>
  <c r="W145" i="43"/>
  <c r="W151" i="43"/>
  <c r="W149" i="43"/>
  <c r="W139" i="43"/>
  <c r="W158" i="43"/>
  <c r="W140" i="43"/>
  <c r="W155" i="43"/>
  <c r="W147" i="43"/>
  <c r="W159" i="43"/>
  <c r="W148" i="43"/>
  <c r="W150" i="43"/>
  <c r="W146" i="43"/>
  <c r="W152" i="43"/>
  <c r="W157" i="43"/>
  <c r="W143" i="43"/>
  <c r="W136" i="43"/>
  <c r="W142" i="43"/>
  <c r="U141" i="43"/>
  <c r="U137" i="43"/>
  <c r="U138" i="43"/>
  <c r="U154" i="43"/>
  <c r="U144" i="43"/>
  <c r="U145" i="43"/>
  <c r="U151" i="43"/>
  <c r="U149" i="43"/>
  <c r="U139" i="43"/>
  <c r="U158" i="43"/>
  <c r="U140" i="43"/>
  <c r="U155" i="43"/>
  <c r="U147" i="43"/>
  <c r="U159" i="43"/>
  <c r="U148" i="43"/>
  <c r="U150" i="43"/>
  <c r="U146" i="43"/>
  <c r="U152" i="43"/>
  <c r="U157" i="43"/>
  <c r="U143" i="43"/>
  <c r="U136" i="43"/>
  <c r="U142" i="43"/>
  <c r="S141" i="43"/>
  <c r="S137" i="43"/>
  <c r="S138" i="43"/>
  <c r="S154" i="43"/>
  <c r="S144" i="43"/>
  <c r="S145" i="43"/>
  <c r="S151" i="43"/>
  <c r="S149" i="43"/>
  <c r="S139" i="43"/>
  <c r="S158" i="43"/>
  <c r="S140" i="43"/>
  <c r="S155" i="43"/>
  <c r="S147" i="43"/>
  <c r="S159" i="43"/>
  <c r="S148" i="43"/>
  <c r="S150" i="43"/>
  <c r="S146" i="43"/>
  <c r="S152" i="43"/>
  <c r="S157" i="43"/>
  <c r="S143" i="43"/>
  <c r="S136" i="43"/>
  <c r="S142" i="43"/>
  <c r="N141" i="43"/>
  <c r="N137" i="43"/>
  <c r="N138" i="43"/>
  <c r="N154" i="43"/>
  <c r="N144" i="43"/>
  <c r="N145" i="43"/>
  <c r="N151" i="43"/>
  <c r="N149" i="43"/>
  <c r="N139" i="43"/>
  <c r="N158" i="43"/>
  <c r="N140" i="43"/>
  <c r="N155" i="43"/>
  <c r="N147" i="43"/>
  <c r="N159" i="43"/>
  <c r="N148" i="43"/>
  <c r="N150" i="43"/>
  <c r="N146" i="43"/>
  <c r="N152" i="43"/>
  <c r="N157" i="43"/>
  <c r="N143" i="43"/>
  <c r="N136" i="43"/>
  <c r="N142" i="43"/>
  <c r="L540" i="60"/>
  <c r="M540" i="60"/>
  <c r="L539" i="60"/>
  <c r="M539" i="60" s="1"/>
  <c r="L538" i="60"/>
  <c r="M538" i="60" s="1"/>
  <c r="L537" i="60"/>
  <c r="M537" i="60" s="1"/>
  <c r="L536" i="60"/>
  <c r="M536" i="60"/>
  <c r="L535" i="60"/>
  <c r="M535" i="60" s="1"/>
  <c r="L534" i="60"/>
  <c r="M534" i="60" s="1"/>
  <c r="L533" i="60"/>
  <c r="M533" i="60" s="1"/>
  <c r="L532" i="60"/>
  <c r="M532" i="60"/>
  <c r="L531" i="60"/>
  <c r="M531" i="60" s="1"/>
  <c r="L530" i="60"/>
  <c r="M530" i="60" s="1"/>
  <c r="L529" i="60"/>
  <c r="M529" i="60" s="1"/>
  <c r="L528" i="60"/>
  <c r="M528" i="60"/>
  <c r="L527" i="60"/>
  <c r="M527" i="60" s="1"/>
  <c r="L526" i="60"/>
  <c r="M526" i="60" s="1"/>
  <c r="L525" i="60"/>
  <c r="M525" i="60" s="1"/>
  <c r="L524" i="60"/>
  <c r="M524" i="60"/>
  <c r="L523" i="60"/>
  <c r="M523" i="60" s="1"/>
  <c r="L522" i="60"/>
  <c r="M522" i="60" s="1"/>
  <c r="L521" i="60"/>
  <c r="M521" i="60" s="1"/>
  <c r="L520" i="60"/>
  <c r="M520" i="60"/>
  <c r="L519" i="60"/>
  <c r="M519" i="60" s="1"/>
  <c r="L518" i="60"/>
  <c r="M518" i="60" s="1"/>
  <c r="L517" i="60"/>
  <c r="M517" i="60" s="1"/>
  <c r="L516" i="60"/>
  <c r="M516" i="60"/>
  <c r="L515" i="60"/>
  <c r="M515" i="60" s="1"/>
  <c r="L514" i="60"/>
  <c r="M514" i="60" s="1"/>
  <c r="L513" i="60"/>
  <c r="M513" i="60" s="1"/>
  <c r="L512" i="60"/>
  <c r="M512" i="60"/>
  <c r="L511" i="60"/>
  <c r="M511" i="60" s="1"/>
  <c r="L510" i="60"/>
  <c r="M510" i="60" s="1"/>
  <c r="M509" i="60"/>
  <c r="L509" i="60"/>
  <c r="L508" i="60"/>
  <c r="M508" i="60"/>
  <c r="L507" i="60"/>
  <c r="M507" i="60" s="1"/>
  <c r="L506" i="60"/>
  <c r="M506" i="60" s="1"/>
  <c r="L505" i="60"/>
  <c r="M505" i="60" s="1"/>
  <c r="L504" i="60"/>
  <c r="M504" i="60"/>
  <c r="L503" i="60"/>
  <c r="M503" i="60" s="1"/>
  <c r="U540" i="80" s="1"/>
  <c r="L502" i="60"/>
  <c r="M502" i="60" s="1"/>
  <c r="L501" i="60"/>
  <c r="M501" i="60" s="1"/>
  <c r="L500" i="60"/>
  <c r="M500" i="60"/>
  <c r="L499" i="60"/>
  <c r="M499" i="60" s="1"/>
  <c r="L498" i="60"/>
  <c r="M498" i="60" s="1"/>
  <c r="L497" i="60"/>
  <c r="M497" i="60" s="1"/>
  <c r="L496" i="60"/>
  <c r="M496" i="60"/>
  <c r="L495" i="60"/>
  <c r="M495" i="60" s="1"/>
  <c r="L494" i="60"/>
  <c r="M494" i="60" s="1"/>
  <c r="L493" i="60"/>
  <c r="M493" i="60" s="1"/>
  <c r="L492" i="60"/>
  <c r="M492" i="60"/>
  <c r="L491" i="60"/>
  <c r="M491" i="60" s="1"/>
  <c r="L490" i="60"/>
  <c r="M490" i="60" s="1"/>
  <c r="L489" i="60"/>
  <c r="M489" i="60" s="1"/>
  <c r="L488" i="60"/>
  <c r="M488" i="60"/>
  <c r="L487" i="60"/>
  <c r="M487" i="60" s="1"/>
  <c r="L486" i="60"/>
  <c r="M486" i="60" s="1"/>
  <c r="L485" i="60"/>
  <c r="M485" i="60" s="1"/>
  <c r="L484" i="60"/>
  <c r="M484" i="60"/>
  <c r="L483" i="60"/>
  <c r="M483" i="60" s="1"/>
  <c r="L482" i="60"/>
  <c r="M482" i="60" s="1"/>
  <c r="L481" i="60"/>
  <c r="M481" i="60" s="1"/>
  <c r="L480" i="60"/>
  <c r="M480" i="60"/>
  <c r="L479" i="60"/>
  <c r="M479" i="60" s="1"/>
  <c r="L478" i="60"/>
  <c r="M478" i="60" s="1"/>
  <c r="L477" i="60"/>
  <c r="M477" i="60" s="1"/>
  <c r="L476" i="60"/>
  <c r="M476" i="60"/>
  <c r="L475" i="60"/>
  <c r="M475" i="60" s="1"/>
  <c r="L474" i="60"/>
  <c r="M474" i="60" s="1"/>
  <c r="L473" i="60"/>
  <c r="M473" i="60" s="1"/>
  <c r="L472" i="60"/>
  <c r="M472" i="60"/>
  <c r="L471" i="60"/>
  <c r="M471" i="60" s="1"/>
  <c r="L470" i="60"/>
  <c r="M470" i="60" s="1"/>
  <c r="L469" i="60"/>
  <c r="M469" i="60" s="1"/>
  <c r="L468" i="60"/>
  <c r="M468" i="60"/>
  <c r="L467" i="60"/>
  <c r="M467" i="60" s="1"/>
  <c r="L466" i="60"/>
  <c r="M466" i="60" s="1"/>
  <c r="L465" i="60"/>
  <c r="M465" i="60" s="1"/>
  <c r="L464" i="60"/>
  <c r="M464" i="60"/>
  <c r="L463" i="60"/>
  <c r="M463" i="60" s="1"/>
  <c r="L462" i="60"/>
  <c r="M462" i="60" s="1"/>
  <c r="L461" i="60"/>
  <c r="M461" i="60" s="1"/>
  <c r="L460" i="60"/>
  <c r="M460" i="60"/>
  <c r="L459" i="60"/>
  <c r="M459" i="60" s="1"/>
  <c r="L458" i="60"/>
  <c r="M458" i="60" s="1"/>
  <c r="L457" i="60"/>
  <c r="M457" i="60" s="1"/>
  <c r="L456" i="60"/>
  <c r="M456" i="60"/>
  <c r="L455" i="60"/>
  <c r="M455" i="60" s="1"/>
  <c r="L454" i="60"/>
  <c r="M454" i="60" s="1"/>
  <c r="L453" i="60"/>
  <c r="M453" i="60" s="1"/>
  <c r="L452" i="60"/>
  <c r="M452" i="60"/>
  <c r="L451" i="60"/>
  <c r="M451" i="60" s="1"/>
  <c r="L450" i="60"/>
  <c r="M450" i="60" s="1"/>
  <c r="L449" i="60"/>
  <c r="M449" i="60" s="1"/>
  <c r="L448" i="60"/>
  <c r="M448" i="60"/>
  <c r="L447" i="60"/>
  <c r="M447" i="60" s="1"/>
  <c r="L446" i="60"/>
  <c r="M446" i="60" s="1"/>
  <c r="L445" i="60"/>
  <c r="M445" i="60" s="1"/>
  <c r="L444" i="60"/>
  <c r="M444" i="60"/>
  <c r="L443" i="60"/>
  <c r="M443" i="60" s="1"/>
  <c r="L442" i="60"/>
  <c r="M442" i="60" s="1"/>
  <c r="U66" i="80" s="1"/>
  <c r="L441" i="60"/>
  <c r="M441" i="60" s="1"/>
  <c r="L440" i="60"/>
  <c r="M440" i="60"/>
  <c r="L439" i="60"/>
  <c r="M439" i="60" s="1"/>
  <c r="L438" i="60"/>
  <c r="M438" i="60" s="1"/>
  <c r="L437" i="60"/>
  <c r="M437" i="60" s="1"/>
  <c r="L436" i="60"/>
  <c r="M436" i="60"/>
  <c r="L435" i="60"/>
  <c r="M435" i="60" s="1"/>
  <c r="L434" i="60"/>
  <c r="M434" i="60" s="1"/>
  <c r="L433" i="60"/>
  <c r="M433" i="60" s="1"/>
  <c r="L432" i="60"/>
  <c r="M432" i="60"/>
  <c r="L431" i="60"/>
  <c r="M431" i="60" s="1"/>
  <c r="L430" i="60"/>
  <c r="M430" i="60" s="1"/>
  <c r="L429" i="60"/>
  <c r="M429" i="60" s="1"/>
  <c r="U965" i="80" s="1"/>
  <c r="L428" i="60"/>
  <c r="M428" i="60"/>
  <c r="L427" i="60"/>
  <c r="M427" i="60" s="1"/>
  <c r="L426" i="60"/>
  <c r="M426" i="60" s="1"/>
  <c r="L425" i="60"/>
  <c r="M425" i="60" s="1"/>
  <c r="L424" i="60"/>
  <c r="M424" i="60"/>
  <c r="L423" i="60"/>
  <c r="M423" i="60" s="1"/>
  <c r="L422" i="60"/>
  <c r="M422" i="60" s="1"/>
  <c r="L421" i="60"/>
  <c r="M421" i="60" s="1"/>
  <c r="L420" i="60"/>
  <c r="M420" i="60"/>
  <c r="L419" i="60"/>
  <c r="M419" i="60" s="1"/>
  <c r="L418" i="60"/>
  <c r="M418" i="60" s="1"/>
  <c r="L417" i="60"/>
  <c r="M417" i="60" s="1"/>
  <c r="L416" i="60"/>
  <c r="M416" i="60"/>
  <c r="L415" i="60"/>
  <c r="M415" i="60" s="1"/>
  <c r="L414" i="60"/>
  <c r="M414" i="60" s="1"/>
  <c r="L413" i="60"/>
  <c r="M413" i="60" s="1"/>
  <c r="L412" i="60"/>
  <c r="M412" i="60"/>
  <c r="L411" i="60"/>
  <c r="M411" i="60" s="1"/>
  <c r="L410" i="60"/>
  <c r="M410" i="60" s="1"/>
  <c r="L409" i="60"/>
  <c r="M409" i="60" s="1"/>
  <c r="L408" i="60"/>
  <c r="M408" i="60"/>
  <c r="L407" i="60"/>
  <c r="M407" i="60" s="1"/>
  <c r="L406" i="60"/>
  <c r="M406" i="60" s="1"/>
  <c r="M405" i="60"/>
  <c r="L405" i="60"/>
  <c r="L404" i="60"/>
  <c r="M404" i="60"/>
  <c r="L403" i="60"/>
  <c r="M403" i="60" s="1"/>
  <c r="L402" i="60"/>
  <c r="M402" i="60" s="1"/>
  <c r="L401" i="60"/>
  <c r="M401" i="60" s="1"/>
  <c r="L400" i="60"/>
  <c r="M400" i="60"/>
  <c r="L399" i="60"/>
  <c r="M399" i="60" s="1"/>
  <c r="L398" i="60"/>
  <c r="M398" i="60" s="1"/>
  <c r="L397" i="60"/>
  <c r="M397" i="60" s="1"/>
  <c r="L396" i="60"/>
  <c r="M396" i="60"/>
  <c r="L395" i="60"/>
  <c r="M395" i="60" s="1"/>
  <c r="L394" i="60"/>
  <c r="M394" i="60" s="1"/>
  <c r="L393" i="60"/>
  <c r="M393" i="60" s="1"/>
  <c r="L392" i="60"/>
  <c r="M392" i="60"/>
  <c r="U349" i="80" s="1"/>
  <c r="L391" i="60"/>
  <c r="M391" i="60" s="1"/>
  <c r="L390" i="60"/>
  <c r="M390" i="60" s="1"/>
  <c r="L389" i="60"/>
  <c r="M389" i="60" s="1"/>
  <c r="L388" i="60"/>
  <c r="M388" i="60"/>
  <c r="L387" i="60"/>
  <c r="M387" i="60" s="1"/>
  <c r="L386" i="60"/>
  <c r="M386" i="60" s="1"/>
  <c r="L385" i="60"/>
  <c r="M385" i="60" s="1"/>
  <c r="L384" i="60"/>
  <c r="M384" i="60"/>
  <c r="L383" i="60"/>
  <c r="M383" i="60" s="1"/>
  <c r="L382" i="60"/>
  <c r="M382" i="60" s="1"/>
  <c r="L381" i="60"/>
  <c r="M381" i="60" s="1"/>
  <c r="L380" i="60"/>
  <c r="M380" i="60"/>
  <c r="L379" i="60"/>
  <c r="M379" i="60" s="1"/>
  <c r="L378" i="60"/>
  <c r="M378" i="60" s="1"/>
  <c r="L377" i="60"/>
  <c r="M377" i="60" s="1"/>
  <c r="L376" i="60"/>
  <c r="M376" i="60" s="1"/>
  <c r="L375" i="60"/>
  <c r="M375" i="60" s="1"/>
  <c r="L374" i="60"/>
  <c r="M374" i="60" s="1"/>
  <c r="L373" i="60"/>
  <c r="M373" i="60" s="1"/>
  <c r="L372" i="60"/>
  <c r="M372" i="60" s="1"/>
  <c r="L371" i="60"/>
  <c r="M371" i="60" s="1"/>
  <c r="L370" i="60"/>
  <c r="M370" i="60" s="1"/>
  <c r="L369" i="60"/>
  <c r="M369" i="60" s="1"/>
  <c r="L368" i="60"/>
  <c r="M368" i="60" s="1"/>
  <c r="L367" i="60"/>
  <c r="M367" i="60" s="1"/>
  <c r="L366" i="60"/>
  <c r="M366" i="60" s="1"/>
  <c r="L365" i="60"/>
  <c r="M365" i="60" s="1"/>
  <c r="L364" i="60"/>
  <c r="M364" i="60"/>
  <c r="L363" i="60"/>
  <c r="M363" i="60" s="1"/>
  <c r="U65" i="80" s="1"/>
  <c r="L362" i="60"/>
  <c r="M362" i="60" s="1"/>
  <c r="L361" i="60"/>
  <c r="M361" i="60" s="1"/>
  <c r="L360" i="60"/>
  <c r="M360" i="60"/>
  <c r="L359" i="60"/>
  <c r="M359" i="60" s="1"/>
  <c r="L358" i="60"/>
  <c r="M358" i="60" s="1"/>
  <c r="M357" i="60"/>
  <c r="L357" i="60"/>
  <c r="L356" i="60"/>
  <c r="M356" i="60" s="1"/>
  <c r="L355" i="60"/>
  <c r="M355" i="60" s="1"/>
  <c r="L354" i="60"/>
  <c r="M354" i="60" s="1"/>
  <c r="L353" i="60"/>
  <c r="M353" i="60" s="1"/>
  <c r="L352" i="60"/>
  <c r="M352" i="60"/>
  <c r="L351" i="60"/>
  <c r="M351" i="60" s="1"/>
  <c r="L350" i="60"/>
  <c r="M350" i="60" s="1"/>
  <c r="L349" i="60"/>
  <c r="M349" i="60" s="1"/>
  <c r="L348" i="60"/>
  <c r="M348" i="60"/>
  <c r="L347" i="60"/>
  <c r="M347" i="60" s="1"/>
  <c r="L346" i="60"/>
  <c r="M346" i="60" s="1"/>
  <c r="L345" i="60"/>
  <c r="M345" i="60" s="1"/>
  <c r="L344" i="60"/>
  <c r="M344" i="60" s="1"/>
  <c r="L343" i="60"/>
  <c r="M343" i="60" s="1"/>
  <c r="L342" i="60"/>
  <c r="M342" i="60" s="1"/>
  <c r="L341" i="60"/>
  <c r="M341" i="60" s="1"/>
  <c r="L340" i="60"/>
  <c r="M340" i="60" s="1"/>
  <c r="L339" i="60"/>
  <c r="M339" i="60" s="1"/>
  <c r="L338" i="60"/>
  <c r="M338" i="60" s="1"/>
  <c r="L337" i="60"/>
  <c r="M337" i="60" s="1"/>
  <c r="L336" i="60"/>
  <c r="M336" i="60" s="1"/>
  <c r="L335" i="60"/>
  <c r="M335" i="60" s="1"/>
  <c r="L334" i="60"/>
  <c r="M334" i="60" s="1"/>
  <c r="L333" i="60"/>
  <c r="M333" i="60" s="1"/>
  <c r="L332" i="60"/>
  <c r="M332" i="60"/>
  <c r="L331" i="60"/>
  <c r="M331" i="60" s="1"/>
  <c r="L330" i="60"/>
  <c r="M330" i="60" s="1"/>
  <c r="L329" i="60"/>
  <c r="M329" i="60" s="1"/>
  <c r="L328" i="60"/>
  <c r="M328" i="60" s="1"/>
  <c r="L327" i="60"/>
  <c r="M327" i="60" s="1"/>
  <c r="L326" i="60"/>
  <c r="M326" i="60" s="1"/>
  <c r="M325" i="60"/>
  <c r="L325" i="60"/>
  <c r="L324" i="60"/>
  <c r="M324" i="60" s="1"/>
  <c r="L323" i="60"/>
  <c r="M323" i="60" s="1"/>
  <c r="L322" i="60"/>
  <c r="M322" i="60" s="1"/>
  <c r="L321" i="60"/>
  <c r="M321" i="60" s="1"/>
  <c r="L320" i="60"/>
  <c r="M320" i="60"/>
  <c r="L319" i="60"/>
  <c r="M319" i="60" s="1"/>
  <c r="L318" i="60"/>
  <c r="M318" i="60" s="1"/>
  <c r="L317" i="60"/>
  <c r="M317" i="60" s="1"/>
  <c r="L316" i="60"/>
  <c r="M316" i="60" s="1"/>
  <c r="L315" i="60"/>
  <c r="M315" i="60" s="1"/>
  <c r="L314" i="60"/>
  <c r="M314" i="60" s="1"/>
  <c r="L313" i="60"/>
  <c r="M313" i="60" s="1"/>
  <c r="L312" i="60"/>
  <c r="M312" i="60" s="1"/>
  <c r="L311" i="60"/>
  <c r="M311" i="60" s="1"/>
  <c r="L310" i="60"/>
  <c r="M310" i="60" s="1"/>
  <c r="L309" i="60"/>
  <c r="M309" i="60" s="1"/>
  <c r="L308" i="60"/>
  <c r="M308" i="60"/>
  <c r="L307" i="60"/>
  <c r="M307" i="60" s="1"/>
  <c r="L306" i="60"/>
  <c r="M306" i="60" s="1"/>
  <c r="L305" i="60"/>
  <c r="M305" i="60" s="1"/>
  <c r="L304" i="60"/>
  <c r="M304" i="60"/>
  <c r="L303" i="60"/>
  <c r="M303" i="60" s="1"/>
  <c r="L302" i="60"/>
  <c r="M302" i="60" s="1"/>
  <c r="L301" i="60"/>
  <c r="M301" i="60" s="1"/>
  <c r="L300" i="60"/>
  <c r="P300" i="60" s="1"/>
  <c r="L299" i="60"/>
  <c r="M299" i="60" s="1"/>
  <c r="L298" i="60"/>
  <c r="M298" i="60" s="1"/>
  <c r="L297" i="60"/>
  <c r="M297" i="60" s="1"/>
  <c r="L296" i="60"/>
  <c r="M296" i="60" s="1"/>
  <c r="L295" i="60"/>
  <c r="M295" i="60" s="1"/>
  <c r="L294" i="60"/>
  <c r="M294" i="60" s="1"/>
  <c r="M293" i="60"/>
  <c r="L293" i="60"/>
  <c r="L292" i="60"/>
  <c r="M292" i="60"/>
  <c r="L291" i="60"/>
  <c r="M291" i="60" s="1"/>
  <c r="L290" i="60"/>
  <c r="M290" i="60" s="1"/>
  <c r="L289" i="60"/>
  <c r="M289" i="60" s="1"/>
  <c r="L288" i="60"/>
  <c r="O288" i="60" s="1"/>
  <c r="L287" i="60"/>
  <c r="M287" i="60" s="1"/>
  <c r="L286" i="60"/>
  <c r="M286" i="60" s="1"/>
  <c r="M285" i="60"/>
  <c r="L285" i="60"/>
  <c r="L284" i="60"/>
  <c r="M284" i="60"/>
  <c r="L283" i="60"/>
  <c r="M283" i="60" s="1"/>
  <c r="L282" i="60"/>
  <c r="M282" i="60" s="1"/>
  <c r="L281" i="60"/>
  <c r="M281" i="60" s="1"/>
  <c r="L280" i="60"/>
  <c r="M280" i="60"/>
  <c r="L279" i="60"/>
  <c r="M279" i="60" s="1"/>
  <c r="L278" i="60"/>
  <c r="M278" i="60" s="1"/>
  <c r="L277" i="60"/>
  <c r="M277" i="60" s="1"/>
  <c r="L276" i="60"/>
  <c r="O276" i="60" s="1"/>
  <c r="L275" i="60"/>
  <c r="M275" i="60" s="1"/>
  <c r="L274" i="60"/>
  <c r="M274" i="60" s="1"/>
  <c r="L273" i="60"/>
  <c r="M273" i="60" s="1"/>
  <c r="L272" i="60"/>
  <c r="M272" i="60" s="1"/>
  <c r="L271" i="60"/>
  <c r="M271" i="60" s="1"/>
  <c r="L270" i="60"/>
  <c r="M270" i="60" s="1"/>
  <c r="L269" i="60"/>
  <c r="M269" i="60" s="1"/>
  <c r="L268" i="60"/>
  <c r="M268" i="60" s="1"/>
  <c r="L267" i="60"/>
  <c r="M267" i="60" s="1"/>
  <c r="L266" i="60"/>
  <c r="M266" i="60" s="1"/>
  <c r="L265" i="60"/>
  <c r="M265" i="60" s="1"/>
  <c r="L264" i="60"/>
  <c r="M264" i="60" s="1"/>
  <c r="L263" i="60"/>
  <c r="M263" i="60" s="1"/>
  <c r="L262" i="60"/>
  <c r="M262" i="60" s="1"/>
  <c r="L261" i="60"/>
  <c r="M261" i="60" s="1"/>
  <c r="L260" i="60"/>
  <c r="M260" i="60" s="1"/>
  <c r="L259" i="60"/>
  <c r="M259" i="60" s="1"/>
  <c r="L258" i="60"/>
  <c r="M258" i="60" s="1"/>
  <c r="L257" i="60"/>
  <c r="M257" i="60" s="1"/>
  <c r="L256" i="60"/>
  <c r="M256" i="60" s="1"/>
  <c r="L255" i="60"/>
  <c r="M255" i="60" s="1"/>
  <c r="L254" i="60"/>
  <c r="M254" i="60" s="1"/>
  <c r="M253" i="60"/>
  <c r="L253" i="60"/>
  <c r="L252" i="60"/>
  <c r="M252" i="60"/>
  <c r="L251" i="60"/>
  <c r="M251" i="60" s="1"/>
  <c r="L250" i="60"/>
  <c r="M250" i="60" s="1"/>
  <c r="L249" i="60"/>
  <c r="M249" i="60" s="1"/>
  <c r="L248" i="60"/>
  <c r="M248" i="60" s="1"/>
  <c r="L247" i="60"/>
  <c r="M247" i="60" s="1"/>
  <c r="L246" i="60"/>
  <c r="M246" i="60" s="1"/>
  <c r="L245" i="60"/>
  <c r="M245" i="60" s="1"/>
  <c r="L244" i="60"/>
  <c r="M244" i="60" s="1"/>
  <c r="L243" i="60"/>
  <c r="M243" i="60" s="1"/>
  <c r="L242" i="60"/>
  <c r="M242" i="60" s="1"/>
  <c r="L241" i="60"/>
  <c r="M241" i="60" s="1"/>
  <c r="L240" i="60"/>
  <c r="M240" i="60"/>
  <c r="L239" i="60"/>
  <c r="M239" i="60" s="1"/>
  <c r="L238" i="60"/>
  <c r="M238" i="60" s="1"/>
  <c r="L237" i="60"/>
  <c r="M237" i="60" s="1"/>
  <c r="L236" i="60"/>
  <c r="M236" i="60"/>
  <c r="L235" i="60"/>
  <c r="M235" i="60" s="1"/>
  <c r="L234" i="60"/>
  <c r="M234" i="60" s="1"/>
  <c r="L233" i="60"/>
  <c r="M233" i="60" s="1"/>
  <c r="L232" i="60"/>
  <c r="O232" i="60" s="1"/>
  <c r="L231" i="60"/>
  <c r="M231" i="60" s="1"/>
  <c r="L230" i="60"/>
  <c r="M230" i="60" s="1"/>
  <c r="L229" i="60"/>
  <c r="M229" i="60" s="1"/>
  <c r="L228" i="60"/>
  <c r="M228" i="60"/>
  <c r="L227" i="60"/>
  <c r="M227" i="60" s="1"/>
  <c r="L226" i="60"/>
  <c r="M226" i="60" s="1"/>
  <c r="L225" i="60"/>
  <c r="M225" i="60" s="1"/>
  <c r="L224" i="60"/>
  <c r="M224" i="60" s="1"/>
  <c r="L223" i="60"/>
  <c r="M223" i="60" s="1"/>
  <c r="L222" i="60"/>
  <c r="M222" i="60" s="1"/>
  <c r="L221" i="60"/>
  <c r="O221" i="60" s="1"/>
  <c r="L220" i="60"/>
  <c r="M220" i="60" s="1"/>
  <c r="L219" i="60"/>
  <c r="M219" i="60" s="1"/>
  <c r="L218" i="60"/>
  <c r="M218" i="60" s="1"/>
  <c r="L217" i="60"/>
  <c r="M217" i="60"/>
  <c r="L216" i="60"/>
  <c r="M216" i="60" s="1"/>
  <c r="L215" i="60"/>
  <c r="M215" i="60" s="1"/>
  <c r="L214" i="60"/>
  <c r="M214" i="60" s="1"/>
  <c r="L213" i="60"/>
  <c r="M213" i="60" s="1"/>
  <c r="L212" i="60"/>
  <c r="M212" i="60"/>
  <c r="L211" i="60"/>
  <c r="M211" i="60" s="1"/>
  <c r="L210" i="60"/>
  <c r="M210" i="60" s="1"/>
  <c r="L209" i="60"/>
  <c r="M209" i="60" s="1"/>
  <c r="L208" i="60"/>
  <c r="M208" i="60" s="1"/>
  <c r="L207" i="60"/>
  <c r="M207" i="60" s="1"/>
  <c r="L206" i="60"/>
  <c r="M206" i="60" s="1"/>
  <c r="L205" i="60"/>
  <c r="M205" i="60" s="1"/>
  <c r="L204" i="60"/>
  <c r="M204" i="60" s="1"/>
  <c r="L203" i="60"/>
  <c r="M203" i="60" s="1"/>
  <c r="L202" i="60"/>
  <c r="M202" i="60" s="1"/>
  <c r="L201" i="60"/>
  <c r="M201" i="60"/>
  <c r="U1350" i="80" s="1"/>
  <c r="L200" i="60"/>
  <c r="O200" i="60" s="1"/>
  <c r="T538" i="80" s="1"/>
  <c r="L199" i="60"/>
  <c r="M199" i="60" s="1"/>
  <c r="L198" i="60"/>
  <c r="M198" i="60" s="1"/>
  <c r="M197" i="60"/>
  <c r="L197" i="60"/>
  <c r="L196" i="60"/>
  <c r="M196" i="60"/>
  <c r="L195" i="60"/>
  <c r="M195" i="60" s="1"/>
  <c r="L194" i="60"/>
  <c r="M194" i="60" s="1"/>
  <c r="L193" i="60"/>
  <c r="M193" i="60" s="1"/>
  <c r="L192" i="60"/>
  <c r="M192" i="60"/>
  <c r="L191" i="60"/>
  <c r="P191" i="60" s="1"/>
  <c r="L190" i="60"/>
  <c r="M190" i="60" s="1"/>
  <c r="M189" i="60"/>
  <c r="L189" i="60"/>
  <c r="L188" i="60"/>
  <c r="M188" i="60"/>
  <c r="L187" i="60"/>
  <c r="M187" i="60" s="1"/>
  <c r="L186" i="60"/>
  <c r="M186" i="60" s="1"/>
  <c r="L185" i="60"/>
  <c r="M185" i="60" s="1"/>
  <c r="L184" i="60"/>
  <c r="M184" i="60"/>
  <c r="L183" i="60"/>
  <c r="O183" i="60" s="1"/>
  <c r="L182" i="60"/>
  <c r="M182" i="60" s="1"/>
  <c r="L181" i="60"/>
  <c r="M181" i="60" s="1"/>
  <c r="L180" i="60"/>
  <c r="M180" i="60"/>
  <c r="L179" i="60"/>
  <c r="O179" i="60" s="1"/>
  <c r="L178" i="60"/>
  <c r="M178" i="60" s="1"/>
  <c r="L177" i="60"/>
  <c r="M177" i="60" s="1"/>
  <c r="L176" i="60"/>
  <c r="M176" i="60"/>
  <c r="L175" i="60"/>
  <c r="O175" i="60" s="1"/>
  <c r="L174" i="60"/>
  <c r="M174" i="60" s="1"/>
  <c r="L173" i="60"/>
  <c r="M173" i="60" s="1"/>
  <c r="L172" i="60"/>
  <c r="M172" i="60"/>
  <c r="L171" i="60"/>
  <c r="O171" i="60" s="1"/>
  <c r="L170" i="60"/>
  <c r="M170" i="60" s="1"/>
  <c r="L169" i="60"/>
  <c r="M169" i="60" s="1"/>
  <c r="L168" i="60"/>
  <c r="M168" i="60"/>
  <c r="L167" i="60"/>
  <c r="M167" i="60" s="1"/>
  <c r="L166" i="60"/>
  <c r="M166" i="60" s="1"/>
  <c r="L165" i="60"/>
  <c r="M165" i="60" s="1"/>
  <c r="L164" i="60"/>
  <c r="M164" i="60"/>
  <c r="L163" i="60"/>
  <c r="P163" i="60" s="1"/>
  <c r="L162" i="60"/>
  <c r="M162" i="60" s="1"/>
  <c r="L161" i="60"/>
  <c r="M161" i="60" s="1"/>
  <c r="L160" i="60"/>
  <c r="M160" i="60"/>
  <c r="L159" i="60"/>
  <c r="O159" i="60" s="1"/>
  <c r="L158" i="60"/>
  <c r="M158" i="60" s="1"/>
  <c r="M157" i="60"/>
  <c r="L157" i="60"/>
  <c r="L156" i="60"/>
  <c r="M156" i="60"/>
  <c r="L155" i="60"/>
  <c r="O155" i="60" s="1"/>
  <c r="L154" i="60"/>
  <c r="M154" i="60" s="1"/>
  <c r="L153" i="60"/>
  <c r="M153" i="60" s="1"/>
  <c r="L152" i="60"/>
  <c r="M152" i="60"/>
  <c r="L151" i="60"/>
  <c r="M151" i="60" s="1"/>
  <c r="L150" i="60"/>
  <c r="M150" i="60" s="1"/>
  <c r="L149" i="60"/>
  <c r="M149" i="60" s="1"/>
  <c r="L148" i="60"/>
  <c r="M148" i="60"/>
  <c r="L147" i="60"/>
  <c r="O147" i="60" s="1"/>
  <c r="L146" i="60"/>
  <c r="M146" i="60" s="1"/>
  <c r="L145" i="60"/>
  <c r="M145" i="60" s="1"/>
  <c r="L144" i="60"/>
  <c r="M144" i="60"/>
  <c r="L143" i="60"/>
  <c r="O143" i="60" s="1"/>
  <c r="L142" i="60"/>
  <c r="M142" i="60" s="1"/>
  <c r="L141" i="60"/>
  <c r="M141" i="60" s="1"/>
  <c r="L140" i="60"/>
  <c r="M140" i="60"/>
  <c r="L139" i="60"/>
  <c r="M139" i="60" s="1"/>
  <c r="L138" i="60"/>
  <c r="M138" i="60" s="1"/>
  <c r="L137" i="60"/>
  <c r="M137" i="60" s="1"/>
  <c r="L136" i="60"/>
  <c r="M136" i="60"/>
  <c r="L135" i="60"/>
  <c r="M135" i="60" s="1"/>
  <c r="L134" i="60"/>
  <c r="M134" i="60" s="1"/>
  <c r="L133" i="60"/>
  <c r="M133" i="60" s="1"/>
  <c r="L132" i="60"/>
  <c r="M132" i="60"/>
  <c r="L131" i="60"/>
  <c r="P131" i="60" s="1"/>
  <c r="L130" i="60"/>
  <c r="M130" i="60" s="1"/>
  <c r="L129" i="60"/>
  <c r="M129" i="60" s="1"/>
  <c r="L128" i="60"/>
  <c r="M128" i="60"/>
  <c r="L127" i="60"/>
  <c r="O127" i="60" s="1"/>
  <c r="L126" i="60"/>
  <c r="M126" i="60" s="1"/>
  <c r="L125" i="60"/>
  <c r="M125" i="60" s="1"/>
  <c r="L124" i="60"/>
  <c r="M124" i="60"/>
  <c r="L123" i="60"/>
  <c r="M123" i="60" s="1"/>
  <c r="L122" i="60"/>
  <c r="M122" i="60" s="1"/>
  <c r="L121" i="60"/>
  <c r="M121" i="60" s="1"/>
  <c r="L120" i="60"/>
  <c r="M120" i="60"/>
  <c r="L119" i="60"/>
  <c r="P119" i="60" s="1"/>
  <c r="L118" i="60"/>
  <c r="M118" i="60" s="1"/>
  <c r="L117" i="60"/>
  <c r="M117" i="60" s="1"/>
  <c r="L116" i="60"/>
  <c r="M116" i="60"/>
  <c r="L115" i="60"/>
  <c r="O115" i="60" s="1"/>
  <c r="L114" i="60"/>
  <c r="M114" i="60" s="1"/>
  <c r="L113" i="60"/>
  <c r="M113" i="60" s="1"/>
  <c r="L112" i="60"/>
  <c r="M112" i="60"/>
  <c r="L111" i="60"/>
  <c r="P111" i="60" s="1"/>
  <c r="L110" i="60"/>
  <c r="M110" i="60" s="1"/>
  <c r="L109" i="60"/>
  <c r="M109" i="60" s="1"/>
  <c r="L108" i="60"/>
  <c r="M108" i="60"/>
  <c r="L107" i="60"/>
  <c r="P107" i="60" s="1"/>
  <c r="L106" i="60"/>
  <c r="M106" i="60" s="1"/>
  <c r="L105" i="60"/>
  <c r="M105" i="60" s="1"/>
  <c r="L104" i="60"/>
  <c r="M104" i="60"/>
  <c r="L103" i="60"/>
  <c r="P103" i="60" s="1"/>
  <c r="L102" i="60"/>
  <c r="M102" i="60" s="1"/>
  <c r="M101" i="60"/>
  <c r="L101" i="60"/>
  <c r="L100" i="60"/>
  <c r="M100" i="60"/>
  <c r="L99" i="60"/>
  <c r="M99" i="60" s="1"/>
  <c r="L98" i="60"/>
  <c r="M98" i="60" s="1"/>
  <c r="L97" i="60"/>
  <c r="M97" i="60" s="1"/>
  <c r="L96" i="60"/>
  <c r="M96" i="60"/>
  <c r="L95" i="60"/>
  <c r="M95" i="60" s="1"/>
  <c r="L94" i="60"/>
  <c r="M94" i="60" s="1"/>
  <c r="L93" i="60"/>
  <c r="M93" i="60" s="1"/>
  <c r="L92" i="60"/>
  <c r="M92" i="60"/>
  <c r="L91" i="60"/>
  <c r="M91" i="60" s="1"/>
  <c r="L90" i="60"/>
  <c r="M90" i="60" s="1"/>
  <c r="L89" i="60"/>
  <c r="M89" i="60" s="1"/>
  <c r="L88" i="60"/>
  <c r="M88" i="60"/>
  <c r="L87" i="60"/>
  <c r="M87" i="60" s="1"/>
  <c r="L86" i="60"/>
  <c r="M86" i="60" s="1"/>
  <c r="L85" i="60"/>
  <c r="M85" i="60" s="1"/>
  <c r="L84" i="60"/>
  <c r="M84" i="60"/>
  <c r="L83" i="60"/>
  <c r="O83" i="60" s="1"/>
  <c r="L82" i="60"/>
  <c r="M82" i="60" s="1"/>
  <c r="L81" i="60"/>
  <c r="M81" i="60" s="1"/>
  <c r="L80" i="60"/>
  <c r="M80" i="60"/>
  <c r="L79" i="60"/>
  <c r="O79" i="60" s="1"/>
  <c r="L78" i="60"/>
  <c r="M78" i="60" s="1"/>
  <c r="L77" i="60"/>
  <c r="M77" i="60" s="1"/>
  <c r="L76" i="60"/>
  <c r="M76" i="60"/>
  <c r="L75" i="60"/>
  <c r="M75" i="60" s="1"/>
  <c r="L74" i="60"/>
  <c r="M74" i="60" s="1"/>
  <c r="L73" i="60"/>
  <c r="M73" i="60" s="1"/>
  <c r="L72" i="60"/>
  <c r="M72" i="60"/>
  <c r="L71" i="60"/>
  <c r="M71" i="60" s="1"/>
  <c r="L70" i="60"/>
  <c r="M70" i="60" s="1"/>
  <c r="L69" i="60"/>
  <c r="M69" i="60" s="1"/>
  <c r="L68" i="60"/>
  <c r="M68" i="60"/>
  <c r="L67" i="60"/>
  <c r="M67" i="60" s="1"/>
  <c r="L66" i="60"/>
  <c r="M66" i="60" s="1"/>
  <c r="L65" i="60"/>
  <c r="M65" i="60" s="1"/>
  <c r="L64" i="60"/>
  <c r="M64" i="60" s="1"/>
  <c r="L63" i="60"/>
  <c r="M63" i="60" s="1"/>
  <c r="L62" i="60"/>
  <c r="M62" i="60" s="1"/>
  <c r="L61" i="60"/>
  <c r="M61" i="60" s="1"/>
  <c r="L60" i="60"/>
  <c r="M60" i="60"/>
  <c r="L59" i="60"/>
  <c r="P59" i="60" s="1"/>
  <c r="L58" i="60"/>
  <c r="M58" i="60" s="1"/>
  <c r="L57" i="60"/>
  <c r="M57" i="60" s="1"/>
  <c r="L56" i="60"/>
  <c r="M56" i="60"/>
  <c r="L55" i="60"/>
  <c r="M55" i="60" s="1"/>
  <c r="L54" i="60"/>
  <c r="M54" i="60" s="1"/>
  <c r="L53" i="60"/>
  <c r="M53" i="60" s="1"/>
  <c r="L52" i="60"/>
  <c r="M52" i="60"/>
  <c r="L51" i="60"/>
  <c r="O51" i="60" s="1"/>
  <c r="L50" i="60"/>
  <c r="M50" i="60" s="1"/>
  <c r="L49" i="60"/>
  <c r="M49" i="60" s="1"/>
  <c r="L48" i="60"/>
  <c r="M48" i="60"/>
  <c r="L47" i="60"/>
  <c r="P47" i="60" s="1"/>
  <c r="L46" i="60"/>
  <c r="M46" i="60" s="1"/>
  <c r="L45" i="60"/>
  <c r="M45" i="60" s="1"/>
  <c r="L44" i="60"/>
  <c r="M44" i="60"/>
  <c r="L43" i="60"/>
  <c r="P43" i="60" s="1"/>
  <c r="L42" i="60"/>
  <c r="M42" i="60" s="1"/>
  <c r="L41" i="60"/>
  <c r="M41" i="60" s="1"/>
  <c r="L40" i="60"/>
  <c r="M40" i="60"/>
  <c r="L39" i="60"/>
  <c r="P39" i="60" s="1"/>
  <c r="L38" i="60"/>
  <c r="M38" i="60" s="1"/>
  <c r="M37" i="60"/>
  <c r="L37" i="60"/>
  <c r="L36" i="60"/>
  <c r="M36" i="60"/>
  <c r="L35" i="60"/>
  <c r="M35" i="60" s="1"/>
  <c r="L34" i="60"/>
  <c r="M34" i="60" s="1"/>
  <c r="L33" i="60"/>
  <c r="M33" i="60" s="1"/>
  <c r="L32" i="60"/>
  <c r="M32" i="60"/>
  <c r="L31" i="60"/>
  <c r="O31" i="60" s="1"/>
  <c r="L30" i="60"/>
  <c r="M30" i="60" s="1"/>
  <c r="M29" i="60"/>
  <c r="L29" i="60"/>
  <c r="P29" i="60" s="1"/>
  <c r="L28" i="60"/>
  <c r="M28" i="60" s="1"/>
  <c r="L27" i="60"/>
  <c r="P27" i="60" s="1"/>
  <c r="L26" i="60"/>
  <c r="M26" i="60" s="1"/>
  <c r="L25" i="60"/>
  <c r="M25" i="60" s="1"/>
  <c r="L24" i="60"/>
  <c r="M24" i="60"/>
  <c r="L23" i="60"/>
  <c r="P23" i="60" s="1"/>
  <c r="L22" i="60"/>
  <c r="M22" i="60" s="1"/>
  <c r="U536" i="80" s="1"/>
  <c r="L21" i="60"/>
  <c r="M21" i="60" s="1"/>
  <c r="L20" i="60"/>
  <c r="M20" i="60"/>
  <c r="L19" i="60"/>
  <c r="M19" i="60" s="1"/>
  <c r="L18" i="60"/>
  <c r="M18" i="60" s="1"/>
  <c r="L17" i="60"/>
  <c r="M17" i="60" s="1"/>
  <c r="L16" i="60"/>
  <c r="M16" i="60"/>
  <c r="L15" i="60"/>
  <c r="O15" i="60" s="1"/>
  <c r="L14" i="60"/>
  <c r="M14" i="60" s="1"/>
  <c r="L13" i="60"/>
  <c r="M13" i="60" s="1"/>
  <c r="L12" i="60"/>
  <c r="M12" i="60"/>
  <c r="L11" i="60"/>
  <c r="M11" i="60" s="1"/>
  <c r="L10" i="60"/>
  <c r="M10" i="60" s="1"/>
  <c r="L9" i="60"/>
  <c r="M9" i="60" s="1"/>
  <c r="L8" i="60"/>
  <c r="M8" i="60"/>
  <c r="L7" i="60"/>
  <c r="O7" i="60" s="1"/>
  <c r="L6" i="60"/>
  <c r="M6" i="60" s="1"/>
  <c r="L5" i="60"/>
  <c r="M5" i="60" s="1"/>
  <c r="K540" i="60"/>
  <c r="K539" i="60"/>
  <c r="K538" i="60"/>
  <c r="K537" i="60"/>
  <c r="K536" i="60"/>
  <c r="K535" i="60"/>
  <c r="K534" i="60"/>
  <c r="K533" i="60"/>
  <c r="K532" i="60"/>
  <c r="K531" i="60"/>
  <c r="K530" i="60"/>
  <c r="K529" i="60"/>
  <c r="K528" i="60"/>
  <c r="K527" i="60"/>
  <c r="K526" i="60"/>
  <c r="K525" i="60"/>
  <c r="K524" i="60"/>
  <c r="K523" i="60"/>
  <c r="K522" i="60"/>
  <c r="K521" i="60"/>
  <c r="K520" i="60"/>
  <c r="K519" i="60"/>
  <c r="K518" i="60"/>
  <c r="K517" i="60"/>
  <c r="K516" i="60"/>
  <c r="K515" i="60"/>
  <c r="K514" i="60"/>
  <c r="K513" i="60"/>
  <c r="K512" i="60"/>
  <c r="K511" i="60"/>
  <c r="K510" i="60"/>
  <c r="K509" i="60"/>
  <c r="K508" i="60"/>
  <c r="K507" i="60"/>
  <c r="K506" i="60"/>
  <c r="K505" i="60"/>
  <c r="K504" i="60"/>
  <c r="K503" i="60"/>
  <c r="K502" i="60"/>
  <c r="K501" i="60"/>
  <c r="K500" i="60"/>
  <c r="K499" i="60"/>
  <c r="K498" i="60"/>
  <c r="K497" i="60"/>
  <c r="K496" i="60"/>
  <c r="K495" i="60"/>
  <c r="K494" i="60"/>
  <c r="K493" i="60"/>
  <c r="K492" i="60"/>
  <c r="K491" i="60"/>
  <c r="K490" i="60"/>
  <c r="K489" i="60"/>
  <c r="K488" i="60"/>
  <c r="K487" i="60"/>
  <c r="K486" i="60"/>
  <c r="K485" i="60"/>
  <c r="K484" i="60"/>
  <c r="K483" i="60"/>
  <c r="K482" i="60"/>
  <c r="K481" i="60"/>
  <c r="K480" i="60"/>
  <c r="K479" i="60"/>
  <c r="K478" i="60"/>
  <c r="K477" i="60"/>
  <c r="K476" i="60"/>
  <c r="K475" i="60"/>
  <c r="K474" i="60"/>
  <c r="K473" i="60"/>
  <c r="K472" i="60"/>
  <c r="K471" i="60"/>
  <c r="K470" i="60"/>
  <c r="K469" i="60"/>
  <c r="K468" i="60"/>
  <c r="K467" i="60"/>
  <c r="K466" i="60"/>
  <c r="K465" i="60"/>
  <c r="K464" i="60"/>
  <c r="K463" i="60"/>
  <c r="K462" i="60"/>
  <c r="K461" i="60"/>
  <c r="K460" i="60"/>
  <c r="K459" i="60"/>
  <c r="K458" i="60"/>
  <c r="K457" i="60"/>
  <c r="K456" i="60"/>
  <c r="K455" i="60"/>
  <c r="K454" i="60"/>
  <c r="K453" i="60"/>
  <c r="K452" i="60"/>
  <c r="K451" i="60"/>
  <c r="K450" i="60"/>
  <c r="K449" i="60"/>
  <c r="K448" i="60"/>
  <c r="K447" i="60"/>
  <c r="K446" i="60"/>
  <c r="K445" i="60"/>
  <c r="K444" i="60"/>
  <c r="K443" i="60"/>
  <c r="K442" i="60"/>
  <c r="K441" i="60"/>
  <c r="K440" i="60"/>
  <c r="K439" i="60"/>
  <c r="K438" i="60"/>
  <c r="K437" i="60"/>
  <c r="K436" i="60"/>
  <c r="K435" i="60"/>
  <c r="K434" i="60"/>
  <c r="K433" i="60"/>
  <c r="K432" i="60"/>
  <c r="K431" i="60"/>
  <c r="K430" i="60"/>
  <c r="K429" i="60"/>
  <c r="K428" i="60"/>
  <c r="K427" i="60"/>
  <c r="K426" i="60"/>
  <c r="K425" i="60"/>
  <c r="K424" i="60"/>
  <c r="K423" i="60"/>
  <c r="K422" i="60"/>
  <c r="K421" i="60"/>
  <c r="K420" i="60"/>
  <c r="K419" i="60"/>
  <c r="K418" i="60"/>
  <c r="K417" i="60"/>
  <c r="K416" i="60"/>
  <c r="K415" i="60"/>
  <c r="K414" i="60"/>
  <c r="K413" i="60"/>
  <c r="K412" i="60"/>
  <c r="K411" i="60"/>
  <c r="K410" i="60"/>
  <c r="K409" i="60"/>
  <c r="K408" i="60"/>
  <c r="K407" i="60"/>
  <c r="K406" i="60"/>
  <c r="K405" i="60"/>
  <c r="K404" i="60"/>
  <c r="K403" i="60"/>
  <c r="K402" i="60"/>
  <c r="K401" i="60"/>
  <c r="K400" i="60"/>
  <c r="K399" i="60"/>
  <c r="K398" i="60"/>
  <c r="K397" i="60"/>
  <c r="K396" i="60"/>
  <c r="K395" i="60"/>
  <c r="K394" i="60"/>
  <c r="K393" i="60"/>
  <c r="K392" i="60"/>
  <c r="K391" i="60"/>
  <c r="K390" i="60"/>
  <c r="K389" i="60"/>
  <c r="K388" i="60"/>
  <c r="K387" i="60"/>
  <c r="K386" i="60"/>
  <c r="K385" i="60"/>
  <c r="K384" i="60"/>
  <c r="K383" i="60"/>
  <c r="K382" i="60"/>
  <c r="K381" i="60"/>
  <c r="K380" i="60"/>
  <c r="K379" i="60"/>
  <c r="K378" i="60"/>
  <c r="K377" i="60"/>
  <c r="K376" i="60"/>
  <c r="K375" i="60"/>
  <c r="K374" i="60"/>
  <c r="K373" i="60"/>
  <c r="K372" i="60"/>
  <c r="K371" i="60"/>
  <c r="K370" i="60"/>
  <c r="K369" i="60"/>
  <c r="K368" i="60"/>
  <c r="K367" i="60"/>
  <c r="K366" i="60"/>
  <c r="K365" i="60"/>
  <c r="K364" i="60"/>
  <c r="K363" i="60"/>
  <c r="K362" i="60"/>
  <c r="K361" i="60"/>
  <c r="K360" i="60"/>
  <c r="K359" i="60"/>
  <c r="K358" i="60"/>
  <c r="K357" i="60"/>
  <c r="K356" i="60"/>
  <c r="K355" i="60"/>
  <c r="K354" i="60"/>
  <c r="K353" i="60"/>
  <c r="K352" i="60"/>
  <c r="K351" i="60"/>
  <c r="K350" i="60"/>
  <c r="K349" i="60"/>
  <c r="K348" i="60"/>
  <c r="K347" i="60"/>
  <c r="K346" i="60"/>
  <c r="K345" i="60"/>
  <c r="K344" i="60"/>
  <c r="K343" i="60"/>
  <c r="K342" i="60"/>
  <c r="K341" i="60"/>
  <c r="K340" i="60"/>
  <c r="K339" i="60"/>
  <c r="K338" i="60"/>
  <c r="K337" i="60"/>
  <c r="K336" i="60"/>
  <c r="K335" i="60"/>
  <c r="K334" i="60"/>
  <c r="K333" i="60"/>
  <c r="K332" i="60"/>
  <c r="K331" i="60"/>
  <c r="K330" i="60"/>
  <c r="K329" i="60"/>
  <c r="K328" i="60"/>
  <c r="K327" i="60"/>
  <c r="K326" i="60"/>
  <c r="K325" i="60"/>
  <c r="K324" i="60"/>
  <c r="K323" i="60"/>
  <c r="K322" i="60"/>
  <c r="K321" i="60"/>
  <c r="K320" i="60"/>
  <c r="K319" i="60"/>
  <c r="K318" i="60"/>
  <c r="K317" i="60"/>
  <c r="K316" i="60"/>
  <c r="K315" i="60"/>
  <c r="K314" i="60"/>
  <c r="K313" i="60"/>
  <c r="K312" i="60"/>
  <c r="K311" i="60"/>
  <c r="K310" i="60"/>
  <c r="K309" i="60"/>
  <c r="K308" i="60"/>
  <c r="K307" i="60"/>
  <c r="K306" i="60"/>
  <c r="K305" i="60"/>
  <c r="K304" i="60"/>
  <c r="K303" i="60"/>
  <c r="K302" i="60"/>
  <c r="K301" i="60"/>
  <c r="K300" i="60"/>
  <c r="K299" i="60"/>
  <c r="K298" i="60"/>
  <c r="K297" i="60"/>
  <c r="K296" i="60"/>
  <c r="K295" i="60"/>
  <c r="K294" i="60"/>
  <c r="K293" i="60"/>
  <c r="K292" i="60"/>
  <c r="K291" i="60"/>
  <c r="K290" i="60"/>
  <c r="K289" i="60"/>
  <c r="K288" i="60"/>
  <c r="K287" i="60"/>
  <c r="K286" i="60"/>
  <c r="K285" i="60"/>
  <c r="K284" i="60"/>
  <c r="K283" i="60"/>
  <c r="K282" i="60"/>
  <c r="K281" i="60"/>
  <c r="K280" i="60"/>
  <c r="K279" i="60"/>
  <c r="K278" i="60"/>
  <c r="K277" i="60"/>
  <c r="K276" i="60"/>
  <c r="K275" i="60"/>
  <c r="K274" i="60"/>
  <c r="K273" i="60"/>
  <c r="K272" i="60"/>
  <c r="K271" i="60"/>
  <c r="K270" i="60"/>
  <c r="K269" i="60"/>
  <c r="K268" i="60"/>
  <c r="K267" i="60"/>
  <c r="K266" i="60"/>
  <c r="K265" i="60"/>
  <c r="K264" i="60"/>
  <c r="K263" i="60"/>
  <c r="K262" i="60"/>
  <c r="K261" i="60"/>
  <c r="K260" i="60"/>
  <c r="K259" i="60"/>
  <c r="K258" i="60"/>
  <c r="K257" i="60"/>
  <c r="K256" i="60"/>
  <c r="K255" i="60"/>
  <c r="K254" i="60"/>
  <c r="K253" i="60"/>
  <c r="K252" i="60"/>
  <c r="K251" i="60"/>
  <c r="K250" i="60"/>
  <c r="K249" i="60"/>
  <c r="K248" i="60"/>
  <c r="K247" i="60"/>
  <c r="K246" i="60"/>
  <c r="K245" i="60"/>
  <c r="K244" i="60"/>
  <c r="K243" i="60"/>
  <c r="K242" i="60"/>
  <c r="K241" i="60"/>
  <c r="K240" i="60"/>
  <c r="K239" i="60"/>
  <c r="K238" i="60"/>
  <c r="K237" i="60"/>
  <c r="K236" i="60"/>
  <c r="K235" i="60"/>
  <c r="K234" i="60"/>
  <c r="K233" i="60"/>
  <c r="K232" i="60"/>
  <c r="K231" i="60"/>
  <c r="K230" i="60"/>
  <c r="K229" i="60"/>
  <c r="K228" i="60"/>
  <c r="K227" i="60"/>
  <c r="K226" i="60"/>
  <c r="K225" i="60"/>
  <c r="K224" i="60"/>
  <c r="K223" i="60"/>
  <c r="K222" i="60"/>
  <c r="K221" i="60"/>
  <c r="K220" i="60"/>
  <c r="K219" i="60"/>
  <c r="K218" i="60"/>
  <c r="K217" i="60"/>
  <c r="K216" i="60"/>
  <c r="K215" i="60"/>
  <c r="K214" i="60"/>
  <c r="K213" i="60"/>
  <c r="K212" i="60"/>
  <c r="K211" i="60"/>
  <c r="K210" i="60"/>
  <c r="K209" i="60"/>
  <c r="K208" i="60"/>
  <c r="K207" i="60"/>
  <c r="K206" i="60"/>
  <c r="K205" i="60"/>
  <c r="K204" i="60"/>
  <c r="K203" i="60"/>
  <c r="K202" i="60"/>
  <c r="K201" i="60"/>
  <c r="K200" i="60"/>
  <c r="K199" i="60"/>
  <c r="K198" i="60"/>
  <c r="K197" i="60"/>
  <c r="K196" i="60"/>
  <c r="K195" i="60"/>
  <c r="K194" i="60"/>
  <c r="K193" i="60"/>
  <c r="K192" i="60"/>
  <c r="K191" i="60"/>
  <c r="K190" i="60"/>
  <c r="K189" i="60"/>
  <c r="K188" i="60"/>
  <c r="K187" i="60"/>
  <c r="K186" i="60"/>
  <c r="K185" i="60"/>
  <c r="K184" i="60"/>
  <c r="K183" i="60"/>
  <c r="K182" i="60"/>
  <c r="K181" i="60"/>
  <c r="K180" i="60"/>
  <c r="K179" i="60"/>
  <c r="K178" i="60"/>
  <c r="K177" i="60"/>
  <c r="K176" i="60"/>
  <c r="K175" i="60"/>
  <c r="K174" i="60"/>
  <c r="K173" i="60"/>
  <c r="K172" i="60"/>
  <c r="K171" i="60"/>
  <c r="K170" i="60"/>
  <c r="K169" i="60"/>
  <c r="K168" i="60"/>
  <c r="K167" i="60"/>
  <c r="K166" i="60"/>
  <c r="K165" i="60"/>
  <c r="K164" i="60"/>
  <c r="K163" i="60"/>
  <c r="K162" i="60"/>
  <c r="K161" i="60"/>
  <c r="K160" i="60"/>
  <c r="K159" i="60"/>
  <c r="K158" i="60"/>
  <c r="K157" i="60"/>
  <c r="K156" i="60"/>
  <c r="K155" i="60"/>
  <c r="K154" i="60"/>
  <c r="K153" i="60"/>
  <c r="K152" i="60"/>
  <c r="K151" i="60"/>
  <c r="K150" i="60"/>
  <c r="K149" i="60"/>
  <c r="K148" i="60"/>
  <c r="K147" i="60"/>
  <c r="K146" i="60"/>
  <c r="K145" i="60"/>
  <c r="K144" i="60"/>
  <c r="K143" i="60"/>
  <c r="K142" i="60"/>
  <c r="K141" i="60"/>
  <c r="K140" i="60"/>
  <c r="K139" i="60"/>
  <c r="K138" i="60"/>
  <c r="K137" i="60"/>
  <c r="K136" i="60"/>
  <c r="K135" i="60"/>
  <c r="K134" i="60"/>
  <c r="K133" i="60"/>
  <c r="K132" i="60"/>
  <c r="K131" i="60"/>
  <c r="K130" i="60"/>
  <c r="K129" i="60"/>
  <c r="K128" i="60"/>
  <c r="K127" i="60"/>
  <c r="K126" i="60"/>
  <c r="K125" i="60"/>
  <c r="K124" i="60"/>
  <c r="K123" i="60"/>
  <c r="K122" i="60"/>
  <c r="K121" i="60"/>
  <c r="K120" i="60"/>
  <c r="K119" i="60"/>
  <c r="K118" i="60"/>
  <c r="K117" i="60"/>
  <c r="K116" i="60"/>
  <c r="K115" i="60"/>
  <c r="K114" i="60"/>
  <c r="K113" i="60"/>
  <c r="K112" i="60"/>
  <c r="K111" i="60"/>
  <c r="K110" i="60"/>
  <c r="K109" i="60"/>
  <c r="K108" i="60"/>
  <c r="K107" i="60"/>
  <c r="K106" i="60"/>
  <c r="K105" i="60"/>
  <c r="K104" i="60"/>
  <c r="K103" i="60"/>
  <c r="K102" i="60"/>
  <c r="K101" i="60"/>
  <c r="K100" i="60"/>
  <c r="K99" i="60"/>
  <c r="K98" i="60"/>
  <c r="K97" i="60"/>
  <c r="K96" i="60"/>
  <c r="K95" i="60"/>
  <c r="K94" i="60"/>
  <c r="K93" i="60"/>
  <c r="K92" i="60"/>
  <c r="K91" i="60"/>
  <c r="K90" i="60"/>
  <c r="K89" i="60"/>
  <c r="K88" i="60"/>
  <c r="K87" i="60"/>
  <c r="K86" i="60"/>
  <c r="K85" i="60"/>
  <c r="K84" i="60"/>
  <c r="K83" i="60"/>
  <c r="K82" i="60"/>
  <c r="K81" i="60"/>
  <c r="K80" i="60"/>
  <c r="K79" i="60"/>
  <c r="K78" i="60"/>
  <c r="K77" i="60"/>
  <c r="K76" i="60"/>
  <c r="K75" i="60"/>
  <c r="K74" i="60"/>
  <c r="K73" i="60"/>
  <c r="K72" i="60"/>
  <c r="K71" i="60"/>
  <c r="K70" i="60"/>
  <c r="K69" i="60"/>
  <c r="K68" i="60"/>
  <c r="K67" i="60"/>
  <c r="K66" i="60"/>
  <c r="K65" i="60"/>
  <c r="K64" i="60"/>
  <c r="K63" i="60"/>
  <c r="K62" i="60"/>
  <c r="K61" i="60"/>
  <c r="K60" i="60"/>
  <c r="K59" i="60"/>
  <c r="K58" i="60"/>
  <c r="K57" i="60"/>
  <c r="K56" i="60"/>
  <c r="K55" i="60"/>
  <c r="K54" i="60"/>
  <c r="K53" i="60"/>
  <c r="K52" i="60"/>
  <c r="K51" i="60"/>
  <c r="K50" i="60"/>
  <c r="K49" i="60"/>
  <c r="K48" i="60"/>
  <c r="K47" i="60"/>
  <c r="K46" i="60"/>
  <c r="K45" i="60"/>
  <c r="K44" i="60"/>
  <c r="K43" i="60"/>
  <c r="K42" i="60"/>
  <c r="K41" i="60"/>
  <c r="K40" i="60"/>
  <c r="K39" i="60"/>
  <c r="K38" i="60"/>
  <c r="K37" i="60"/>
  <c r="K36" i="60"/>
  <c r="K35" i="60"/>
  <c r="K34" i="60"/>
  <c r="K33" i="60"/>
  <c r="K32" i="60"/>
  <c r="K31" i="60"/>
  <c r="K30" i="60"/>
  <c r="K29" i="60"/>
  <c r="K28" i="60"/>
  <c r="K27" i="60"/>
  <c r="K26" i="60"/>
  <c r="K25" i="60"/>
  <c r="K24" i="60"/>
  <c r="K23" i="60"/>
  <c r="K22" i="60"/>
  <c r="K21" i="60"/>
  <c r="K20" i="60"/>
  <c r="K19" i="60"/>
  <c r="K18" i="60"/>
  <c r="K17" i="60"/>
  <c r="K16" i="60"/>
  <c r="K15" i="60"/>
  <c r="K14" i="60"/>
  <c r="K13" i="60"/>
  <c r="K12" i="60"/>
  <c r="K11" i="60"/>
  <c r="K10" i="60"/>
  <c r="K9" i="60"/>
  <c r="K8" i="60"/>
  <c r="K7" i="60"/>
  <c r="K6" i="60"/>
  <c r="K5" i="60"/>
  <c r="Q99" i="48" a="1"/>
  <c r="Q99" i="48" s="1"/>
  <c r="S99" i="48"/>
  <c r="U99" i="48" a="1"/>
  <c r="U99" i="48" s="1"/>
  <c r="Q102" i="48" a="1"/>
  <c r="Q102" i="48" s="1"/>
  <c r="S102" i="48"/>
  <c r="U102" i="48" a="1"/>
  <c r="U102" i="48" s="1"/>
  <c r="Q103" i="48" a="1"/>
  <c r="Q103" i="48" s="1"/>
  <c r="S103" i="48"/>
  <c r="U103" i="48" a="1"/>
  <c r="U103" i="48" s="1"/>
  <c r="Q104" i="48" a="1"/>
  <c r="Q104" i="48" s="1"/>
  <c r="S104" i="48"/>
  <c r="U104" i="48" a="1"/>
  <c r="U104" i="48" s="1"/>
  <c r="Q105" i="48" a="1"/>
  <c r="Q105" i="48" s="1"/>
  <c r="S105" i="48"/>
  <c r="U105" i="48" a="1"/>
  <c r="U105" i="48" s="1"/>
  <c r="Q106" i="48" a="1"/>
  <c r="Q106" i="48" s="1"/>
  <c r="S106" i="48"/>
  <c r="U106" i="48" a="1"/>
  <c r="U106" i="48" s="1"/>
  <c r="Q107" i="48" a="1"/>
  <c r="Q107" i="48" s="1"/>
  <c r="S107" i="48"/>
  <c r="U107" i="48" a="1"/>
  <c r="U107" i="48" s="1"/>
  <c r="Q108" i="48" a="1"/>
  <c r="Q108" i="48" s="1"/>
  <c r="S108" i="48"/>
  <c r="U108" i="48" a="1"/>
  <c r="U108" i="48" s="1"/>
  <c r="Q109" i="48" a="1"/>
  <c r="Q109" i="48" s="1"/>
  <c r="S109" i="48"/>
  <c r="U109" i="48" a="1"/>
  <c r="U109" i="48" s="1"/>
  <c r="Q110" i="48" a="1"/>
  <c r="Q110" i="48" s="1"/>
  <c r="S110" i="48"/>
  <c r="U110" i="48" a="1"/>
  <c r="U110" i="48" s="1"/>
  <c r="Q111" i="48" a="1"/>
  <c r="Q111" i="48" s="1"/>
  <c r="S111" i="48"/>
  <c r="U111" i="48" a="1"/>
  <c r="U111" i="48" s="1"/>
  <c r="Q112" i="48" a="1"/>
  <c r="Q112" i="48" s="1"/>
  <c r="S112" i="48"/>
  <c r="U112" i="48" a="1"/>
  <c r="U112" i="48" s="1"/>
  <c r="Q113" i="48" a="1"/>
  <c r="Q113" i="48" s="1"/>
  <c r="S113" i="48"/>
  <c r="U113" i="48" a="1"/>
  <c r="U113" i="48" s="1"/>
  <c r="Q114" i="48" a="1"/>
  <c r="Q114" i="48" s="1"/>
  <c r="S114" i="48"/>
  <c r="U114" i="48" a="1"/>
  <c r="U114" i="48" s="1"/>
  <c r="Q115" i="48" a="1"/>
  <c r="Q115" i="48" s="1"/>
  <c r="S115" i="48"/>
  <c r="U115" i="48" a="1"/>
  <c r="U115" i="48" s="1"/>
  <c r="Q119" i="48" a="1"/>
  <c r="Q119" i="48" s="1"/>
  <c r="S119" i="48"/>
  <c r="U119" i="48" a="1"/>
  <c r="U119" i="48" s="1"/>
  <c r="Q120" i="48" a="1"/>
  <c r="Q120" i="48" s="1"/>
  <c r="S120" i="48"/>
  <c r="U120" i="48" a="1"/>
  <c r="U120" i="48" s="1"/>
  <c r="Q121" i="48" a="1"/>
  <c r="Q121" i="48" s="1"/>
  <c r="S121" i="48"/>
  <c r="U121" i="48" a="1"/>
  <c r="U121" i="48" s="1"/>
  <c r="Q122" i="48" a="1"/>
  <c r="Q122" i="48" s="1"/>
  <c r="S122" i="48"/>
  <c r="U122" i="48" a="1"/>
  <c r="U122" i="48" s="1"/>
  <c r="Q123" i="48" a="1"/>
  <c r="Q123" i="48" s="1"/>
  <c r="S123" i="48"/>
  <c r="U123" i="48" a="1"/>
  <c r="U123" i="48" s="1"/>
  <c r="Q124" i="48" a="1"/>
  <c r="Q124" i="48" s="1"/>
  <c r="S124" i="48"/>
  <c r="U124" i="48" a="1"/>
  <c r="U124" i="48" s="1"/>
  <c r="Q125" i="48" a="1"/>
  <c r="Q125" i="48" s="1"/>
  <c r="S125" i="48"/>
  <c r="U125" i="48" a="1"/>
  <c r="U125" i="48" s="1"/>
  <c r="Q129" i="48" a="1"/>
  <c r="Q129" i="48" s="1"/>
  <c r="S129" i="48"/>
  <c r="U129" i="48" a="1"/>
  <c r="U129" i="48" s="1"/>
  <c r="P524" i="60"/>
  <c r="P526" i="60"/>
  <c r="P531" i="60"/>
  <c r="O532" i="60"/>
  <c r="P534" i="60"/>
  <c r="O537" i="60"/>
  <c r="P539" i="60"/>
  <c r="P509" i="60"/>
  <c r="P510" i="60"/>
  <c r="P512" i="60"/>
  <c r="P515" i="60"/>
  <c r="O516" i="60"/>
  <c r="P518" i="60"/>
  <c r="O519" i="60"/>
  <c r="P507" i="60"/>
  <c r="H508" i="60"/>
  <c r="O508" i="60"/>
  <c r="H506" i="60"/>
  <c r="F508" i="60"/>
  <c r="F506" i="60"/>
  <c r="O491" i="60"/>
  <c r="P492" i="60"/>
  <c r="O494" i="60"/>
  <c r="P497" i="60"/>
  <c r="P498" i="60"/>
  <c r="O501" i="60"/>
  <c r="P480" i="60"/>
  <c r="P484" i="60"/>
  <c r="P485" i="60"/>
  <c r="P489" i="60"/>
  <c r="P475" i="60"/>
  <c r="O476" i="60"/>
  <c r="O477" i="60"/>
  <c r="P478" i="60"/>
  <c r="O479" i="60"/>
  <c r="O459" i="60"/>
  <c r="O460" i="60"/>
  <c r="O461" i="60"/>
  <c r="O462" i="60"/>
  <c r="O463" i="60"/>
  <c r="P464" i="60"/>
  <c r="P465" i="60"/>
  <c r="O466" i="60"/>
  <c r="O467" i="60"/>
  <c r="O468" i="60"/>
  <c r="P468" i="60"/>
  <c r="P469" i="60"/>
  <c r="P451" i="60"/>
  <c r="P452" i="60"/>
  <c r="P454" i="60"/>
  <c r="O443" i="60"/>
  <c r="O430" i="60"/>
  <c r="P431" i="60"/>
  <c r="O433" i="60"/>
  <c r="P435" i="60"/>
  <c r="O436" i="60"/>
  <c r="P404" i="60"/>
  <c r="P405" i="60"/>
  <c r="O406" i="60"/>
  <c r="O411" i="60"/>
  <c r="P412" i="60"/>
  <c r="P413" i="60"/>
  <c r="P414" i="60"/>
  <c r="P415" i="60"/>
  <c r="O416" i="60"/>
  <c r="P419" i="60"/>
  <c r="P420" i="60"/>
  <c r="O421" i="60"/>
  <c r="O424" i="60"/>
  <c r="P425" i="60"/>
  <c r="P440" i="60"/>
  <c r="H395" i="60"/>
  <c r="H393" i="60"/>
  <c r="H392" i="60"/>
  <c r="F395" i="60"/>
  <c r="F393" i="60"/>
  <c r="F392" i="60"/>
  <c r="O394" i="60"/>
  <c r="O399" i="60"/>
  <c r="O400" i="60"/>
  <c r="O401" i="60"/>
  <c r="O402" i="60"/>
  <c r="P403" i="60"/>
  <c r="O385" i="60"/>
  <c r="P387" i="60"/>
  <c r="P389" i="60"/>
  <c r="P390" i="60"/>
  <c r="P391" i="60"/>
  <c r="O370" i="60"/>
  <c r="P374" i="60"/>
  <c r="O375" i="60"/>
  <c r="O377" i="60"/>
  <c r="O378" i="60"/>
  <c r="O381" i="60"/>
  <c r="O383" i="60"/>
  <c r="H376" i="60"/>
  <c r="P376" i="60"/>
  <c r="H373" i="60"/>
  <c r="F376" i="60"/>
  <c r="F373" i="60"/>
  <c r="I277" i="74"/>
  <c r="J277" i="74" s="1"/>
  <c r="I278" i="74"/>
  <c r="J278" i="74" s="1"/>
  <c r="I279" i="74"/>
  <c r="J279" i="74"/>
  <c r="I280" i="74"/>
  <c r="J280" i="74"/>
  <c r="I281" i="74"/>
  <c r="J281" i="74"/>
  <c r="I282" i="74"/>
  <c r="J282" i="74"/>
  <c r="I283" i="74"/>
  <c r="J283" i="74"/>
  <c r="I284" i="74"/>
  <c r="J284" i="74"/>
  <c r="I276" i="74"/>
  <c r="J276" i="74"/>
  <c r="F367" i="60"/>
  <c r="F366" i="60"/>
  <c r="P361" i="60"/>
  <c r="P364" i="60"/>
  <c r="O367" i="60"/>
  <c r="P369" i="60"/>
  <c r="O281" i="60"/>
  <c r="P282" i="60"/>
  <c r="P284" i="60"/>
  <c r="O287" i="60"/>
  <c r="H264" i="60"/>
  <c r="H262" i="60"/>
  <c r="H257" i="60"/>
  <c r="H256" i="60"/>
  <c r="H255" i="60"/>
  <c r="H254" i="60"/>
  <c r="F264" i="60"/>
  <c r="F262" i="60"/>
  <c r="F257" i="60"/>
  <c r="F256" i="60"/>
  <c r="F255" i="60"/>
  <c r="F254" i="60"/>
  <c r="I220" i="74"/>
  <c r="J220" i="74"/>
  <c r="I221" i="74"/>
  <c r="J221" i="74"/>
  <c r="I222" i="74"/>
  <c r="J222" i="74"/>
  <c r="I223" i="74"/>
  <c r="J223" i="74"/>
  <c r="I224" i="74"/>
  <c r="J224" i="74"/>
  <c r="I225" i="74"/>
  <c r="J225" i="74"/>
  <c r="I226" i="74"/>
  <c r="J226" i="74"/>
  <c r="I219" i="74"/>
  <c r="J219" i="74"/>
  <c r="P225" i="60"/>
  <c r="O217" i="60"/>
  <c r="F218" i="60"/>
  <c r="F225" i="60"/>
  <c r="F217" i="60"/>
  <c r="F216" i="60"/>
  <c r="F215" i="60"/>
  <c r="O166" i="60"/>
  <c r="P170" i="60"/>
  <c r="P175" i="60"/>
  <c r="P180" i="60"/>
  <c r="O156" i="60"/>
  <c r="P140" i="60"/>
  <c r="P86" i="60"/>
  <c r="O62" i="60"/>
  <c r="I165" i="74"/>
  <c r="J165" i="74" s="1"/>
  <c r="I166" i="74"/>
  <c r="J166" i="74" s="1"/>
  <c r="I167" i="74"/>
  <c r="J167" i="74" s="1"/>
  <c r="I168" i="74"/>
  <c r="J168" i="74" s="1"/>
  <c r="I169" i="74"/>
  <c r="J169" i="74" s="1"/>
  <c r="I170" i="74"/>
  <c r="J170" i="74" s="1"/>
  <c r="I164" i="74"/>
  <c r="J164" i="74" s="1"/>
  <c r="O88" i="60"/>
  <c r="P94" i="60"/>
  <c r="P84" i="60"/>
  <c r="I110" i="74"/>
  <c r="J110" i="74" s="1"/>
  <c r="I109" i="74"/>
  <c r="J109" i="74" s="1"/>
  <c r="I108" i="74"/>
  <c r="J108" i="74" s="1"/>
  <c r="H68" i="60"/>
  <c r="H66" i="60"/>
  <c r="H65" i="60"/>
  <c r="H64" i="60"/>
  <c r="O64" i="60"/>
  <c r="F68" i="60"/>
  <c r="F66" i="60"/>
  <c r="F65" i="60"/>
  <c r="F64" i="60"/>
  <c r="I50" i="74"/>
  <c r="J50" i="74" s="1"/>
  <c r="I49" i="74"/>
  <c r="J49" i="74" s="1"/>
  <c r="B50" i="74"/>
  <c r="B109" i="74"/>
  <c r="B164" i="74"/>
  <c r="B168" i="74"/>
  <c r="B277" i="74"/>
  <c r="B280" i="74"/>
  <c r="B284" i="74"/>
  <c r="B278" i="74"/>
  <c r="B276" i="74"/>
  <c r="B281" i="74"/>
  <c r="H29" i="60"/>
  <c r="H28" i="60"/>
  <c r="H27" i="60"/>
  <c r="H26" i="60"/>
  <c r="H25" i="60"/>
  <c r="H24" i="60"/>
  <c r="P24" i="60"/>
  <c r="H23" i="60"/>
  <c r="F29" i="60"/>
  <c r="F28" i="60"/>
  <c r="F27" i="60"/>
  <c r="F26" i="60"/>
  <c r="F25" i="60"/>
  <c r="F24" i="60"/>
  <c r="F23" i="60"/>
  <c r="I2" i="74"/>
  <c r="J2" i="74" s="1"/>
  <c r="H21" i="60"/>
  <c r="H20" i="60"/>
  <c r="O20" i="60"/>
  <c r="H19" i="60"/>
  <c r="P19" i="60"/>
  <c r="H18" i="60"/>
  <c r="F21" i="60"/>
  <c r="F20" i="60"/>
  <c r="F19" i="60"/>
  <c r="F18" i="60"/>
  <c r="O6" i="60"/>
  <c r="O11" i="60"/>
  <c r="O12" i="60"/>
  <c r="O30" i="60"/>
  <c r="P31" i="60"/>
  <c r="O32" i="60"/>
  <c r="P34" i="60"/>
  <c r="P36" i="60"/>
  <c r="O38" i="60"/>
  <c r="O42" i="60"/>
  <c r="O56" i="60"/>
  <c r="P70" i="60"/>
  <c r="P72" i="60"/>
  <c r="O76" i="60"/>
  <c r="O78" i="60"/>
  <c r="L4" i="60"/>
  <c r="O4" i="60" s="1"/>
  <c r="K4" i="60"/>
  <c r="I4" i="74"/>
  <c r="J4" i="74"/>
  <c r="I5" i="74"/>
  <c r="J5" i="74" s="1"/>
  <c r="I6" i="74"/>
  <c r="J6" i="74" s="1"/>
  <c r="I3" i="74"/>
  <c r="J3" i="74" s="1"/>
  <c r="B49" i="74"/>
  <c r="B6" i="74"/>
  <c r="B5" i="74"/>
  <c r="B4" i="74"/>
  <c r="B2" i="74"/>
  <c r="B3" i="74"/>
  <c r="N54" i="43"/>
  <c r="N81" i="43"/>
  <c r="N73" i="43"/>
  <c r="N104" i="43"/>
  <c r="N59" i="43"/>
  <c r="N57" i="43"/>
  <c r="N75" i="43"/>
  <c r="N127" i="43"/>
  <c r="N20" i="43"/>
  <c r="N84" i="43"/>
  <c r="N45" i="43"/>
  <c r="N93" i="43"/>
  <c r="N13" i="43"/>
  <c r="N3" i="43"/>
  <c r="N125" i="43"/>
  <c r="N63" i="43"/>
  <c r="N78" i="43"/>
  <c r="N92" i="43"/>
  <c r="N71" i="43"/>
  <c r="N133" i="43"/>
  <c r="N115" i="43"/>
  <c r="N43" i="43"/>
  <c r="N40" i="43"/>
  <c r="N27" i="43"/>
  <c r="N113" i="43"/>
  <c r="N124" i="43"/>
  <c r="N11" i="43"/>
  <c r="N128" i="43"/>
  <c r="N22" i="43"/>
  <c r="N50" i="43"/>
  <c r="N42" i="43"/>
  <c r="N53" i="43"/>
  <c r="N72" i="43"/>
  <c r="N90" i="43"/>
  <c r="N31" i="43"/>
  <c r="N99" i="43"/>
  <c r="N61" i="43"/>
  <c r="N82" i="43"/>
  <c r="N121" i="43"/>
  <c r="N101" i="43"/>
  <c r="N19" i="43"/>
  <c r="N109" i="43"/>
  <c r="N37" i="43"/>
  <c r="N80" i="43"/>
  <c r="N110" i="43"/>
  <c r="N108" i="43"/>
  <c r="N123" i="43"/>
  <c r="N114" i="43"/>
  <c r="N58" i="43"/>
  <c r="N14" i="43"/>
  <c r="N6" i="43"/>
  <c r="N116" i="43"/>
  <c r="N85" i="43"/>
  <c r="N24" i="43"/>
  <c r="N70" i="43"/>
  <c r="N126" i="43"/>
  <c r="N95" i="43"/>
  <c r="N117" i="43"/>
  <c r="N86" i="43"/>
  <c r="N77" i="43"/>
  <c r="N51" i="43"/>
  <c r="N107" i="43"/>
  <c r="N17" i="43"/>
  <c r="N135" i="43"/>
  <c r="N103" i="43"/>
  <c r="N60" i="43"/>
  <c r="N48" i="43"/>
  <c r="N66" i="43"/>
  <c r="N44" i="43"/>
  <c r="N120" i="43"/>
  <c r="N29" i="43"/>
  <c r="N41" i="43"/>
  <c r="N64" i="43"/>
  <c r="N87" i="43"/>
  <c r="N67" i="43"/>
  <c r="N100" i="43"/>
  <c r="N91" i="43"/>
  <c r="N33" i="43"/>
  <c r="N4" i="43"/>
  <c r="N7" i="43"/>
  <c r="N131" i="43"/>
  <c r="N68" i="43"/>
  <c r="N112" i="43"/>
  <c r="N89" i="43"/>
  <c r="N55" i="43"/>
  <c r="N18" i="43"/>
  <c r="N39" i="43"/>
  <c r="N15" i="43"/>
  <c r="N26" i="43"/>
  <c r="N38" i="43"/>
  <c r="N69" i="43"/>
  <c r="N21" i="43"/>
  <c r="N105" i="43"/>
  <c r="N62" i="43"/>
  <c r="N30" i="43"/>
  <c r="N130" i="43"/>
  <c r="N122" i="43"/>
  <c r="N46" i="43"/>
  <c r="N10" i="43"/>
  <c r="N16" i="43"/>
  <c r="N94" i="43"/>
  <c r="N47" i="43"/>
  <c r="N36" i="43"/>
  <c r="N97" i="43"/>
  <c r="N56" i="43"/>
  <c r="N8" i="43"/>
  <c r="N111" i="43"/>
  <c r="N25" i="43"/>
  <c r="N118" i="43"/>
  <c r="N76" i="43"/>
  <c r="N134" i="43"/>
  <c r="N65" i="43"/>
  <c r="N96" i="43"/>
  <c r="N35" i="43"/>
  <c r="N98" i="43"/>
  <c r="N119" i="43"/>
  <c r="N32" i="43"/>
  <c r="N9" i="43"/>
  <c r="N34" i="43"/>
  <c r="N5" i="43"/>
  <c r="D18" i="53"/>
  <c r="B6" i="63" s="1"/>
  <c r="B8" i="63"/>
  <c r="W20" i="43"/>
  <c r="W84" i="43"/>
  <c r="W45" i="43"/>
  <c r="W93" i="43"/>
  <c r="W13" i="43"/>
  <c r="W3" i="43"/>
  <c r="W125" i="43"/>
  <c r="W63" i="43"/>
  <c r="W78" i="43"/>
  <c r="W92" i="43"/>
  <c r="W71" i="43"/>
  <c r="W133" i="43"/>
  <c r="W115" i="43"/>
  <c r="W43" i="43"/>
  <c r="W40" i="43"/>
  <c r="W27" i="43"/>
  <c r="W113" i="43"/>
  <c r="W124" i="43"/>
  <c r="W11" i="43"/>
  <c r="W128" i="43"/>
  <c r="W22" i="43"/>
  <c r="W50" i="43"/>
  <c r="W42" i="43"/>
  <c r="W53" i="43"/>
  <c r="W72" i="43"/>
  <c r="W90" i="43"/>
  <c r="W31" i="43"/>
  <c r="W99" i="43"/>
  <c r="W61" i="43"/>
  <c r="W82" i="43"/>
  <c r="W121" i="43"/>
  <c r="W101" i="43"/>
  <c r="W19" i="43"/>
  <c r="W109" i="43"/>
  <c r="W37" i="43"/>
  <c r="W80" i="43"/>
  <c r="W110" i="43"/>
  <c r="W108" i="43"/>
  <c r="W123" i="43"/>
  <c r="W114" i="43"/>
  <c r="W58" i="43"/>
  <c r="W14" i="43"/>
  <c r="W6" i="43"/>
  <c r="W116" i="43"/>
  <c r="W85" i="43"/>
  <c r="W24" i="43"/>
  <c r="W70" i="43"/>
  <c r="W126" i="43"/>
  <c r="W95" i="43"/>
  <c r="W117" i="43"/>
  <c r="W86" i="43"/>
  <c r="W77" i="43"/>
  <c r="W51" i="43"/>
  <c r="W107" i="43"/>
  <c r="W17" i="43"/>
  <c r="W135" i="43"/>
  <c r="W103" i="43"/>
  <c r="W60" i="43"/>
  <c r="W48" i="43"/>
  <c r="W66" i="43"/>
  <c r="W44" i="43"/>
  <c r="W120" i="43"/>
  <c r="W29" i="43"/>
  <c r="W41" i="43"/>
  <c r="W64" i="43"/>
  <c r="W87" i="43"/>
  <c r="W67" i="43"/>
  <c r="W100" i="43"/>
  <c r="W91" i="43"/>
  <c r="W33" i="43"/>
  <c r="W4" i="43"/>
  <c r="W7" i="43"/>
  <c r="W131" i="43"/>
  <c r="W68" i="43"/>
  <c r="W112" i="43"/>
  <c r="W89" i="43"/>
  <c r="W55" i="43"/>
  <c r="W18" i="43"/>
  <c r="W39" i="43"/>
  <c r="W15" i="43"/>
  <c r="W26" i="43"/>
  <c r="W38" i="43"/>
  <c r="W69" i="43"/>
  <c r="W21" i="43"/>
  <c r="W105" i="43"/>
  <c r="W62" i="43"/>
  <c r="W30" i="43"/>
  <c r="W130" i="43"/>
  <c r="W122" i="43"/>
  <c r="W46" i="43"/>
  <c r="W10" i="43"/>
  <c r="W16" i="43"/>
  <c r="W94" i="43"/>
  <c r="W47" i="43"/>
  <c r="W36" i="43"/>
  <c r="AB36" i="43" s="1"/>
  <c r="W97" i="43"/>
  <c r="W56" i="43"/>
  <c r="W8" i="43"/>
  <c r="W111" i="43"/>
  <c r="W25" i="43"/>
  <c r="W118" i="43"/>
  <c r="W76" i="43"/>
  <c r="W134" i="43"/>
  <c r="W65" i="43"/>
  <c r="W96" i="43"/>
  <c r="W35" i="43"/>
  <c r="W98" i="43"/>
  <c r="W119" i="43"/>
  <c r="W32" i="43"/>
  <c r="W9" i="43"/>
  <c r="W34" i="43"/>
  <c r="U20" i="43"/>
  <c r="U84" i="43"/>
  <c r="U45" i="43"/>
  <c r="U93" i="43"/>
  <c r="U13" i="43"/>
  <c r="U3" i="43"/>
  <c r="U125" i="43"/>
  <c r="U63" i="43"/>
  <c r="U78" i="43"/>
  <c r="U92" i="43"/>
  <c r="U71" i="43"/>
  <c r="U133" i="43"/>
  <c r="U115" i="43"/>
  <c r="U43" i="43"/>
  <c r="U40" i="43"/>
  <c r="U27" i="43"/>
  <c r="U113" i="43"/>
  <c r="U124" i="43"/>
  <c r="U11" i="43"/>
  <c r="U128" i="43"/>
  <c r="U22" i="43"/>
  <c r="U50" i="43"/>
  <c r="U42" i="43"/>
  <c r="U53" i="43"/>
  <c r="U72" i="43"/>
  <c r="U90" i="43"/>
  <c r="U31" i="43"/>
  <c r="U99" i="43"/>
  <c r="U61" i="43"/>
  <c r="U82" i="43"/>
  <c r="U121" i="43"/>
  <c r="U101" i="43"/>
  <c r="U19" i="43"/>
  <c r="U109" i="43"/>
  <c r="U37" i="43"/>
  <c r="U80" i="43"/>
  <c r="U110" i="43"/>
  <c r="U108" i="43"/>
  <c r="U123" i="43"/>
  <c r="U114" i="43"/>
  <c r="U58" i="43"/>
  <c r="U14" i="43"/>
  <c r="U6" i="43"/>
  <c r="U116" i="43"/>
  <c r="U85" i="43"/>
  <c r="U24" i="43"/>
  <c r="U70" i="43"/>
  <c r="U126" i="43"/>
  <c r="U95" i="43"/>
  <c r="U117" i="43"/>
  <c r="U86" i="43"/>
  <c r="U77" i="43"/>
  <c r="U51" i="43"/>
  <c r="U107" i="43"/>
  <c r="U17" i="43"/>
  <c r="U135" i="43"/>
  <c r="U103" i="43"/>
  <c r="U60" i="43"/>
  <c r="U48" i="43"/>
  <c r="U66" i="43"/>
  <c r="U44" i="43"/>
  <c r="U120" i="43"/>
  <c r="U29" i="43"/>
  <c r="U41" i="43"/>
  <c r="U64" i="43"/>
  <c r="U87" i="43"/>
  <c r="U67" i="43"/>
  <c r="U100" i="43"/>
  <c r="U91" i="43"/>
  <c r="U33" i="43"/>
  <c r="U4" i="43"/>
  <c r="U7" i="43"/>
  <c r="U131" i="43"/>
  <c r="U68" i="43"/>
  <c r="U112" i="43"/>
  <c r="U89" i="43"/>
  <c r="U55" i="43"/>
  <c r="U18" i="43"/>
  <c r="U39" i="43"/>
  <c r="U15" i="43"/>
  <c r="U26" i="43"/>
  <c r="U38" i="43"/>
  <c r="U69" i="43"/>
  <c r="U21" i="43"/>
  <c r="U105" i="43"/>
  <c r="U62" i="43"/>
  <c r="U30" i="43"/>
  <c r="U130" i="43"/>
  <c r="U122" i="43"/>
  <c r="U46" i="43"/>
  <c r="U10" i="43"/>
  <c r="U16" i="43"/>
  <c r="U94" i="43"/>
  <c r="U47" i="43"/>
  <c r="U36" i="43"/>
  <c r="U97" i="43"/>
  <c r="U56" i="43"/>
  <c r="U8" i="43"/>
  <c r="U111" i="43"/>
  <c r="U25" i="43"/>
  <c r="U118" i="43"/>
  <c r="U76" i="43"/>
  <c r="U134" i="43"/>
  <c r="U65" i="43"/>
  <c r="U96" i="43"/>
  <c r="U35" i="43"/>
  <c r="U98" i="43"/>
  <c r="U119" i="43"/>
  <c r="U32" i="43"/>
  <c r="U9" i="43"/>
  <c r="U34" i="43"/>
  <c r="S20" i="43"/>
  <c r="S84" i="43"/>
  <c r="S45" i="43"/>
  <c r="S93" i="43"/>
  <c r="S13" i="43"/>
  <c r="S3" i="43"/>
  <c r="S125" i="43"/>
  <c r="S63" i="43"/>
  <c r="S78" i="43"/>
  <c r="S92" i="43"/>
  <c r="S71" i="43"/>
  <c r="S133" i="43"/>
  <c r="S115" i="43"/>
  <c r="S43" i="43"/>
  <c r="S40" i="43"/>
  <c r="S27" i="43"/>
  <c r="S113" i="43"/>
  <c r="S124" i="43"/>
  <c r="S11" i="43"/>
  <c r="S128" i="43"/>
  <c r="S22" i="43"/>
  <c r="S50" i="43"/>
  <c r="S42" i="43"/>
  <c r="S53" i="43"/>
  <c r="S72" i="43"/>
  <c r="S90" i="43"/>
  <c r="S31" i="43"/>
  <c r="S99" i="43"/>
  <c r="S61" i="43"/>
  <c r="S82" i="43"/>
  <c r="S121" i="43"/>
  <c r="S101" i="43"/>
  <c r="S19" i="43"/>
  <c r="S109" i="43"/>
  <c r="S37" i="43"/>
  <c r="S80" i="43"/>
  <c r="S110" i="43"/>
  <c r="S108" i="43"/>
  <c r="S123" i="43"/>
  <c r="S114" i="43"/>
  <c r="S58" i="43"/>
  <c r="S14" i="43"/>
  <c r="S6" i="43"/>
  <c r="S116" i="43"/>
  <c r="S85" i="43"/>
  <c r="S24" i="43"/>
  <c r="S70" i="43"/>
  <c r="S126" i="43"/>
  <c r="S95" i="43"/>
  <c r="S117" i="43"/>
  <c r="S86" i="43"/>
  <c r="S77" i="43"/>
  <c r="S51" i="43"/>
  <c r="S107" i="43"/>
  <c r="S17" i="43"/>
  <c r="S135" i="43"/>
  <c r="S103" i="43"/>
  <c r="S60" i="43"/>
  <c r="S48" i="43"/>
  <c r="S66" i="43"/>
  <c r="S44" i="43"/>
  <c r="S120" i="43"/>
  <c r="S29" i="43"/>
  <c r="S41" i="43"/>
  <c r="S64" i="43"/>
  <c r="S87" i="43"/>
  <c r="S67" i="43"/>
  <c r="S100" i="43"/>
  <c r="S91" i="43"/>
  <c r="S33" i="43"/>
  <c r="S4" i="43"/>
  <c r="S7" i="43"/>
  <c r="S131" i="43"/>
  <c r="S68" i="43"/>
  <c r="S112" i="43"/>
  <c r="S89" i="43"/>
  <c r="S55" i="43"/>
  <c r="S18" i="43"/>
  <c r="S39" i="43"/>
  <c r="S15" i="43"/>
  <c r="S26" i="43"/>
  <c r="S38" i="43"/>
  <c r="S69" i="43"/>
  <c r="S21" i="43"/>
  <c r="S105" i="43"/>
  <c r="S62" i="43"/>
  <c r="S30" i="43"/>
  <c r="S130" i="43"/>
  <c r="S122" i="43"/>
  <c r="S46" i="43"/>
  <c r="S10" i="43"/>
  <c r="S16" i="43"/>
  <c r="S94" i="43"/>
  <c r="S47" i="43"/>
  <c r="S36" i="43"/>
  <c r="S97" i="43"/>
  <c r="S56" i="43"/>
  <c r="S8" i="43"/>
  <c r="S111" i="43"/>
  <c r="S25" i="43"/>
  <c r="S118" i="43"/>
  <c r="S76" i="43"/>
  <c r="S134" i="43"/>
  <c r="S65" i="43"/>
  <c r="S96" i="43"/>
  <c r="S35" i="43"/>
  <c r="S98" i="43"/>
  <c r="S119" i="43"/>
  <c r="S32" i="43"/>
  <c r="S9" i="43"/>
  <c r="S34" i="43"/>
  <c r="P356" i="60"/>
  <c r="O359" i="60"/>
  <c r="Q92" i="48" a="1"/>
  <c r="Q92" i="48" s="1"/>
  <c r="S92" i="48"/>
  <c r="U92" i="48" a="1"/>
  <c r="U92" i="48" s="1"/>
  <c r="Q93" i="48" a="1"/>
  <c r="Q93" i="48" s="1"/>
  <c r="S93" i="48"/>
  <c r="U93" i="48" a="1"/>
  <c r="U93" i="48" s="1"/>
  <c r="Q95" i="48" a="1"/>
  <c r="Q95" i="48" s="1"/>
  <c r="S95" i="48"/>
  <c r="U95" i="48" a="1"/>
  <c r="U95" i="48" s="1"/>
  <c r="O355" i="60"/>
  <c r="Q88" i="48" a="1"/>
  <c r="Q88" i="48" s="1"/>
  <c r="S88" i="48"/>
  <c r="U88" i="48" a="1"/>
  <c r="U88" i="48" s="1"/>
  <c r="Q89" i="48" a="1"/>
  <c r="Q89" i="48" s="1"/>
  <c r="S89" i="48"/>
  <c r="U89" i="48" a="1"/>
  <c r="U89" i="48" s="1"/>
  <c r="Q91" i="48" a="1"/>
  <c r="Q91" i="48" s="1"/>
  <c r="S91" i="48"/>
  <c r="U91" i="48" a="1"/>
  <c r="U91" i="48" s="1"/>
  <c r="Q85" i="48" a="1"/>
  <c r="Q85" i="48" s="1"/>
  <c r="S85" i="48"/>
  <c r="U85" i="48" a="1"/>
  <c r="U85" i="48" s="1"/>
  <c r="Q86" i="48" a="1"/>
  <c r="Q86" i="48" s="1"/>
  <c r="S86" i="48"/>
  <c r="U86" i="48" a="1"/>
  <c r="U86" i="48" s="1"/>
  <c r="Q6" i="48" a="1"/>
  <c r="Q6" i="48" s="1"/>
  <c r="Q7" i="48" a="1"/>
  <c r="Q7" i="48" s="1"/>
  <c r="Q8" i="48" a="1"/>
  <c r="Q8" i="48" s="1"/>
  <c r="Q9" i="48" a="1"/>
  <c r="Q9" i="48" s="1"/>
  <c r="Q10" i="48" a="1"/>
  <c r="Q10" i="48" s="1"/>
  <c r="Q12" i="48" a="1"/>
  <c r="Q12" i="48" s="1"/>
  <c r="Q13" i="48" a="1"/>
  <c r="Q13" i="48" s="1"/>
  <c r="Q15" i="48" a="1"/>
  <c r="Q15" i="48" s="1"/>
  <c r="Q16" i="48" a="1"/>
  <c r="Q16" i="48" s="1"/>
  <c r="Q19" i="48" a="1"/>
  <c r="Q19" i="48" s="1"/>
  <c r="Q20" i="48" a="1"/>
  <c r="Q20" i="48" s="1"/>
  <c r="Q21" i="48" a="1"/>
  <c r="Q21" i="48" s="1"/>
  <c r="Q22" i="48" a="1"/>
  <c r="Q22" i="48" s="1"/>
  <c r="Q23" i="48" a="1"/>
  <c r="Q23" i="48" s="1"/>
  <c r="Q25" i="48" a="1"/>
  <c r="Q25" i="48" s="1"/>
  <c r="Q26" i="48" a="1"/>
  <c r="Q26" i="48" s="1"/>
  <c r="Q27" i="48" a="1"/>
  <c r="Q27" i="48" s="1"/>
  <c r="Q28" i="48" a="1"/>
  <c r="Q28" i="48" s="1"/>
  <c r="Q29" i="48" a="1"/>
  <c r="Q29" i="48" s="1"/>
  <c r="Q30" i="48" a="1"/>
  <c r="Q30" i="48" s="1"/>
  <c r="Q31" i="48" a="1"/>
  <c r="Q31" i="48" s="1"/>
  <c r="Q32" i="48" a="1"/>
  <c r="Q32" i="48" s="1"/>
  <c r="Q33" i="48" a="1"/>
  <c r="Q33" i="48" s="1"/>
  <c r="Q34" i="48" a="1"/>
  <c r="Q34" i="48" s="1"/>
  <c r="Q36" i="48" a="1"/>
  <c r="Q36" i="48" s="1"/>
  <c r="Q37" i="48" a="1"/>
  <c r="Q37" i="48" s="1"/>
  <c r="Q38" i="48" a="1"/>
  <c r="Q38" i="48" s="1"/>
  <c r="Q40" i="48" a="1"/>
  <c r="Q40" i="48" s="1"/>
  <c r="Q41" i="48" a="1"/>
  <c r="Q41" i="48" s="1"/>
  <c r="Q42" i="48" a="1"/>
  <c r="Q42" i="48" s="1"/>
  <c r="Q43" i="48" a="1"/>
  <c r="Q43" i="48" s="1"/>
  <c r="Q45" i="48" a="1"/>
  <c r="Q45" i="48" s="1"/>
  <c r="Q46" i="48" a="1"/>
  <c r="Q46" i="48" s="1"/>
  <c r="Q48" i="48" a="1"/>
  <c r="Q48" i="48" s="1"/>
  <c r="Q49" i="48" a="1"/>
  <c r="Q49" i="48" s="1"/>
  <c r="Q51" i="48" a="1"/>
  <c r="Q51" i="48" s="1"/>
  <c r="Q52" i="48" a="1"/>
  <c r="Q52" i="48" s="1"/>
  <c r="Q55" i="48" a="1"/>
  <c r="Q55" i="48" s="1"/>
  <c r="Q56" i="48" a="1"/>
  <c r="Q56" i="48" s="1"/>
  <c r="Q57" i="48" a="1"/>
  <c r="Q57" i="48" s="1"/>
  <c r="Q58" i="48" a="1"/>
  <c r="Q58" i="48" s="1"/>
  <c r="Q59" i="48" a="1"/>
  <c r="Q59" i="48" s="1"/>
  <c r="Q60" i="48" a="1"/>
  <c r="Q60" i="48" s="1"/>
  <c r="Q61" i="48" a="1"/>
  <c r="Q61" i="48" s="1"/>
  <c r="Q65" i="48" a="1"/>
  <c r="Q65" i="48" s="1"/>
  <c r="Q66" i="48" a="1"/>
  <c r="Q66" i="48" s="1"/>
  <c r="Q67" i="48" a="1"/>
  <c r="Q67" i="48" s="1"/>
  <c r="Q68" i="48" a="1"/>
  <c r="Q68" i="48" s="1"/>
  <c r="Q69" i="48" a="1"/>
  <c r="Q69" i="48" s="1"/>
  <c r="Q70" i="48" a="1"/>
  <c r="Q70" i="48" s="1"/>
  <c r="Q71" i="48" a="1"/>
  <c r="Q71" i="48" s="1"/>
  <c r="Q72" i="48" a="1"/>
  <c r="Q72" i="48" s="1"/>
  <c r="Q75" i="48" a="1"/>
  <c r="Q75" i="48" s="1"/>
  <c r="Q76" i="48" a="1"/>
  <c r="Q76" i="48" s="1"/>
  <c r="Q78" i="48" a="1"/>
  <c r="Q78" i="48" s="1"/>
  <c r="Q79" i="48" a="1"/>
  <c r="Q79" i="48" s="1"/>
  <c r="Q80" i="48" a="1"/>
  <c r="Q80" i="48" s="1"/>
  <c r="Q81" i="48" a="1"/>
  <c r="Q81" i="48" s="1"/>
  <c r="Q82" i="48" a="1"/>
  <c r="Q82" i="48" s="1"/>
  <c r="Q84" i="48" a="1"/>
  <c r="Q84" i="48" s="1"/>
  <c r="Q87" i="48" a="1"/>
  <c r="Q87" i="48" s="1"/>
  <c r="U6" i="48" a="1"/>
  <c r="U6" i="48" s="1"/>
  <c r="U7" i="48" a="1"/>
  <c r="U7" i="48" s="1"/>
  <c r="U8" i="48" a="1"/>
  <c r="U8" i="48" s="1"/>
  <c r="U9" i="48" a="1"/>
  <c r="U9" i="48" s="1"/>
  <c r="U10" i="48" a="1"/>
  <c r="U10" i="48" s="1"/>
  <c r="U12" i="48" a="1"/>
  <c r="U12" i="48" s="1"/>
  <c r="U13" i="48" a="1"/>
  <c r="U13" i="48" s="1"/>
  <c r="U15" i="48" a="1"/>
  <c r="U15" i="48" s="1"/>
  <c r="U16" i="48" a="1"/>
  <c r="U16" i="48" s="1"/>
  <c r="U19" i="48" a="1"/>
  <c r="U19" i="48" s="1"/>
  <c r="U20" i="48" a="1"/>
  <c r="U20" i="48" s="1"/>
  <c r="U21" i="48" a="1"/>
  <c r="U21" i="48" s="1"/>
  <c r="U22" i="48" a="1"/>
  <c r="U22" i="48" s="1"/>
  <c r="U23" i="48" a="1"/>
  <c r="U23" i="48" s="1"/>
  <c r="U25" i="48" a="1"/>
  <c r="U25" i="48" s="1"/>
  <c r="U26" i="48" a="1"/>
  <c r="U26" i="48" s="1"/>
  <c r="U27" i="48" a="1"/>
  <c r="U27" i="48" s="1"/>
  <c r="U28" i="48" a="1"/>
  <c r="U28" i="48" s="1"/>
  <c r="U29" i="48" a="1"/>
  <c r="U29" i="48" s="1"/>
  <c r="U30" i="48" a="1"/>
  <c r="U30" i="48" s="1"/>
  <c r="U31" i="48" a="1"/>
  <c r="U31" i="48" s="1"/>
  <c r="U32" i="48" a="1"/>
  <c r="U32" i="48" s="1"/>
  <c r="U33" i="48" a="1"/>
  <c r="U33" i="48" s="1"/>
  <c r="U34" i="48" a="1"/>
  <c r="U34" i="48" s="1"/>
  <c r="U36" i="48" a="1"/>
  <c r="U36" i="48" s="1"/>
  <c r="U37" i="48" a="1"/>
  <c r="U37" i="48" s="1"/>
  <c r="U38" i="48" a="1"/>
  <c r="U38" i="48" s="1"/>
  <c r="U40" i="48" a="1"/>
  <c r="U40" i="48" s="1"/>
  <c r="U41" i="48" a="1"/>
  <c r="U41" i="48" s="1"/>
  <c r="U42" i="48" a="1"/>
  <c r="U42" i="48" s="1"/>
  <c r="U43" i="48" a="1"/>
  <c r="U43" i="48" s="1"/>
  <c r="U45" i="48" a="1"/>
  <c r="U45" i="48" s="1"/>
  <c r="U46" i="48" a="1"/>
  <c r="U46" i="48" s="1"/>
  <c r="U48" i="48" a="1"/>
  <c r="U48" i="48" s="1"/>
  <c r="U49" i="48" a="1"/>
  <c r="U49" i="48" s="1"/>
  <c r="U51" i="48" a="1"/>
  <c r="U51" i="48" s="1"/>
  <c r="U52" i="48" a="1"/>
  <c r="U52" i="48" s="1"/>
  <c r="U55" i="48" a="1"/>
  <c r="U55" i="48" s="1"/>
  <c r="U56" i="48" a="1"/>
  <c r="U56" i="48" s="1"/>
  <c r="U57" i="48" a="1"/>
  <c r="U57" i="48" s="1"/>
  <c r="U58" i="48" a="1"/>
  <c r="U58" i="48" s="1"/>
  <c r="U59" i="48" a="1"/>
  <c r="U59" i="48" s="1"/>
  <c r="U60" i="48" a="1"/>
  <c r="U60" i="48" s="1"/>
  <c r="U61" i="48" a="1"/>
  <c r="U61" i="48" s="1"/>
  <c r="U65" i="48" a="1"/>
  <c r="U65" i="48" s="1"/>
  <c r="U66" i="48" a="1"/>
  <c r="U66" i="48" s="1"/>
  <c r="U67" i="48" a="1"/>
  <c r="U67" i="48" s="1"/>
  <c r="U68" i="48" a="1"/>
  <c r="U68" i="48" s="1"/>
  <c r="U69" i="48" a="1"/>
  <c r="U69" i="48" s="1"/>
  <c r="U70" i="48" a="1"/>
  <c r="U70" i="48" s="1"/>
  <c r="U71" i="48" a="1"/>
  <c r="U71" i="48" s="1"/>
  <c r="U72" i="48" a="1"/>
  <c r="U72" i="48" s="1"/>
  <c r="U75" i="48" a="1"/>
  <c r="U75" i="48" s="1"/>
  <c r="U76" i="48" a="1"/>
  <c r="U76" i="48" s="1"/>
  <c r="U78" i="48" a="1"/>
  <c r="U78" i="48" s="1"/>
  <c r="U79" i="48" a="1"/>
  <c r="U79" i="48" s="1"/>
  <c r="U80" i="48" a="1"/>
  <c r="U80" i="48" s="1"/>
  <c r="U81" i="48" a="1"/>
  <c r="U81" i="48" s="1"/>
  <c r="U82" i="48" a="1"/>
  <c r="U82" i="48" s="1"/>
  <c r="U84" i="48" a="1"/>
  <c r="U84" i="48" s="1"/>
  <c r="U87" i="48" a="1"/>
  <c r="U87" i="48" s="1"/>
  <c r="S6" i="48"/>
  <c r="S7" i="48"/>
  <c r="S8" i="48"/>
  <c r="S9" i="48"/>
  <c r="S10" i="48"/>
  <c r="S12" i="48"/>
  <c r="S13" i="48"/>
  <c r="S15" i="48"/>
  <c r="S16" i="48"/>
  <c r="S19" i="48"/>
  <c r="S20" i="48"/>
  <c r="S21" i="48"/>
  <c r="S22" i="48"/>
  <c r="S23" i="48"/>
  <c r="S25" i="48"/>
  <c r="S26" i="48"/>
  <c r="S27" i="48"/>
  <c r="S28" i="48"/>
  <c r="S29" i="48"/>
  <c r="S30" i="48"/>
  <c r="S31" i="48"/>
  <c r="S32" i="48"/>
  <c r="S33" i="48"/>
  <c r="S34" i="48"/>
  <c r="S36" i="48"/>
  <c r="S37" i="48"/>
  <c r="S38" i="48"/>
  <c r="S40" i="48"/>
  <c r="S41" i="48"/>
  <c r="S42" i="48"/>
  <c r="S43" i="48"/>
  <c r="S45" i="48"/>
  <c r="S46" i="48"/>
  <c r="S48" i="48"/>
  <c r="S49" i="48"/>
  <c r="S51" i="48"/>
  <c r="S52" i="48"/>
  <c r="S55" i="48"/>
  <c r="S56" i="48"/>
  <c r="S57" i="48"/>
  <c r="S58" i="48"/>
  <c r="S59" i="48"/>
  <c r="S60" i="48"/>
  <c r="S61" i="48"/>
  <c r="S65" i="48"/>
  <c r="S66" i="48"/>
  <c r="S67" i="48"/>
  <c r="S68" i="48"/>
  <c r="S69" i="48"/>
  <c r="S70" i="48"/>
  <c r="S71" i="48"/>
  <c r="S72" i="48"/>
  <c r="S75" i="48"/>
  <c r="S76" i="48"/>
  <c r="S78" i="48"/>
  <c r="S79" i="48"/>
  <c r="S80" i="48"/>
  <c r="S81" i="48"/>
  <c r="S82" i="48"/>
  <c r="S84" i="48"/>
  <c r="S87" i="48"/>
  <c r="M75" i="48"/>
  <c r="P346" i="60"/>
  <c r="O346" i="60"/>
  <c r="P342" i="60"/>
  <c r="O342" i="60"/>
  <c r="P339" i="60"/>
  <c r="P330" i="60"/>
  <c r="O333" i="60"/>
  <c r="P333" i="60"/>
  <c r="O334" i="60"/>
  <c r="P340" i="60"/>
  <c r="W75" i="43"/>
  <c r="W127" i="43"/>
  <c r="U75" i="43"/>
  <c r="U127" i="43"/>
  <c r="S75" i="43"/>
  <c r="S127" i="43"/>
  <c r="O319" i="60"/>
  <c r="P314" i="60"/>
  <c r="P309" i="60"/>
  <c r="O307" i="60"/>
  <c r="O134" i="60"/>
  <c r="O223" i="60"/>
  <c r="P250" i="60"/>
  <c r="O250" i="60"/>
  <c r="P251" i="60"/>
  <c r="P249" i="60"/>
  <c r="P280" i="60"/>
  <c r="P222" i="60"/>
  <c r="O188" i="60"/>
  <c r="P186" i="60"/>
  <c r="P184" i="60"/>
  <c r="O104" i="60"/>
  <c r="O103" i="60"/>
  <c r="O102" i="60"/>
  <c r="P106" i="60"/>
  <c r="O218" i="60"/>
  <c r="P325" i="60"/>
  <c r="O325" i="60"/>
  <c r="P322" i="60"/>
  <c r="O322" i="60"/>
  <c r="P308" i="60"/>
  <c r="P295" i="60"/>
  <c r="O296" i="60"/>
  <c r="P301" i="60"/>
  <c r="P302" i="60"/>
  <c r="O303" i="60"/>
  <c r="P290" i="60"/>
  <c r="O266" i="60"/>
  <c r="O267" i="60"/>
  <c r="P268" i="60"/>
  <c r="P269" i="60"/>
  <c r="P271" i="60"/>
  <c r="P272" i="60"/>
  <c r="O274" i="60"/>
  <c r="P275" i="60"/>
  <c r="O258" i="60"/>
  <c r="P253" i="60"/>
  <c r="O252" i="60"/>
  <c r="O236" i="60"/>
  <c r="O238" i="60"/>
  <c r="O208" i="60"/>
  <c r="O210" i="60"/>
  <c r="P201" i="60"/>
  <c r="B7" i="63"/>
  <c r="B5" i="63"/>
  <c r="P192" i="60"/>
  <c r="O195" i="60"/>
  <c r="P196" i="60"/>
  <c r="O176" i="60"/>
  <c r="P164" i="60"/>
  <c r="O154" i="60"/>
  <c r="P127" i="60"/>
  <c r="O116" i="60"/>
  <c r="O120" i="60"/>
  <c r="P122" i="60"/>
  <c r="O124" i="60"/>
  <c r="P126" i="60"/>
  <c r="P108" i="60"/>
  <c r="O146" i="60"/>
  <c r="P160" i="60"/>
  <c r="O162" i="60"/>
  <c r="P190" i="60"/>
  <c r="O220" i="60"/>
  <c r="P231" i="60"/>
  <c r="P232" i="60"/>
  <c r="O244" i="60"/>
  <c r="O261" i="60"/>
  <c r="P263" i="60"/>
  <c r="P265" i="60"/>
  <c r="P311" i="60"/>
  <c r="P312" i="60"/>
  <c r="P324" i="60"/>
  <c r="W57" i="43"/>
  <c r="U57" i="43"/>
  <c r="S57" i="43"/>
  <c r="W59" i="43"/>
  <c r="U59" i="43"/>
  <c r="S59" i="43"/>
  <c r="W104" i="43"/>
  <c r="U104" i="43"/>
  <c r="S104" i="43"/>
  <c r="Q44" i="48" s="1" a="1"/>
  <c r="Q44" i="48" s="1"/>
  <c r="W73" i="43"/>
  <c r="U73" i="43"/>
  <c r="S73" i="43"/>
  <c r="W81" i="43"/>
  <c r="U81" i="43"/>
  <c r="S81" i="43"/>
  <c r="W54" i="43"/>
  <c r="U54" i="43"/>
  <c r="S54" i="43"/>
  <c r="Q5" i="48" a="1"/>
  <c r="Q5" i="48" s="1"/>
  <c r="W5" i="43"/>
  <c r="U5" i="43"/>
  <c r="S5" i="43"/>
  <c r="O52" i="60"/>
  <c r="Q53" i="48" a="1"/>
  <c r="Q53" i="48" s="1"/>
  <c r="Q54" i="48" a="1"/>
  <c r="Q54" i="48" s="1"/>
  <c r="S5" i="48"/>
  <c r="S4" i="48"/>
  <c r="S53" i="48"/>
  <c r="S54" i="48"/>
  <c r="U5" i="48" a="1"/>
  <c r="U5" i="48" s="1"/>
  <c r="P38" i="60"/>
  <c r="Q4" i="48" a="1"/>
  <c r="Q4" i="48" s="1"/>
  <c r="U53" i="48" a="1"/>
  <c r="U53" i="48" s="1"/>
  <c r="U4" i="48" a="1"/>
  <c r="U4" i="48" s="1"/>
  <c r="U54" i="48" a="1"/>
  <c r="U54" i="48" s="1"/>
  <c r="AA39" i="43"/>
  <c r="AB4" i="48"/>
  <c r="O186" i="60"/>
  <c r="O284" i="60"/>
  <c r="O337" i="60"/>
  <c r="O46" i="60"/>
  <c r="O311" i="60"/>
  <c r="P176" i="60"/>
  <c r="O16" i="60"/>
  <c r="P78" i="60"/>
  <c r="K9" i="53"/>
  <c r="K8" i="53"/>
  <c r="K3" i="53"/>
  <c r="K7" i="53"/>
  <c r="K12" i="53"/>
  <c r="K14" i="53"/>
  <c r="K16" i="53"/>
  <c r="K11" i="53"/>
  <c r="K6" i="53"/>
  <c r="K13" i="53"/>
  <c r="K10" i="53"/>
  <c r="K5" i="53"/>
  <c r="K4" i="53"/>
  <c r="K15" i="53"/>
  <c r="O341" i="60"/>
  <c r="O99" i="60"/>
  <c r="O110" i="60"/>
  <c r="P110" i="60"/>
  <c r="O119" i="60"/>
  <c r="P223" i="60"/>
  <c r="O180" i="60"/>
  <c r="P6" i="60"/>
  <c r="P98" i="60"/>
  <c r="O27" i="60"/>
  <c r="P174" i="60"/>
  <c r="O361" i="60"/>
  <c r="K2" i="53"/>
  <c r="O354" i="60"/>
  <c r="P449" i="60"/>
  <c r="O504" i="60"/>
  <c r="P525" i="60"/>
  <c r="O525" i="60"/>
  <c r="P409" i="60"/>
  <c r="O409" i="60"/>
  <c r="O439" i="60"/>
  <c r="P392" i="60"/>
  <c r="P477" i="60"/>
  <c r="O509" i="60"/>
  <c r="Q62" i="48" a="1"/>
  <c r="Q62" i="48" s="1"/>
  <c r="P421" i="60"/>
  <c r="P156" i="60"/>
  <c r="O270" i="60"/>
  <c r="O58" i="60"/>
  <c r="P443" i="60"/>
  <c r="P168" i="60"/>
  <c r="P279" i="60"/>
  <c r="O168" i="60"/>
  <c r="O225" i="60"/>
  <c r="P124" i="60"/>
  <c r="P157" i="60"/>
  <c r="O497" i="60"/>
  <c r="P261" i="60"/>
  <c r="P406" i="60"/>
  <c r="P182" i="60"/>
  <c r="O36" i="60"/>
  <c r="O272" i="60"/>
  <c r="P396" i="60"/>
  <c r="O392" i="60"/>
  <c r="O449" i="60"/>
  <c r="O68" i="60"/>
  <c r="O279" i="60"/>
  <c r="P68" i="60"/>
  <c r="O126" i="60"/>
  <c r="O526" i="60"/>
  <c r="O435" i="60"/>
  <c r="O182" i="60"/>
  <c r="O360" i="60"/>
  <c r="O80" i="60"/>
  <c r="P52" i="60"/>
  <c r="O452" i="60"/>
  <c r="O396" i="60"/>
  <c r="O18" i="60"/>
  <c r="P40" i="60"/>
  <c r="O55" i="60"/>
  <c r="P384" i="60"/>
  <c r="O485" i="60"/>
  <c r="P486" i="60"/>
  <c r="O323" i="60"/>
  <c r="P18" i="60"/>
  <c r="O178" i="60"/>
  <c r="P511" i="60"/>
  <c r="P46" i="60"/>
  <c r="P319" i="60"/>
  <c r="O321" i="60"/>
  <c r="P243" i="60"/>
  <c r="O425" i="60"/>
  <c r="P95" i="60"/>
  <c r="P226" i="60"/>
  <c r="O40" i="60"/>
  <c r="O295" i="60"/>
  <c r="P54" i="60"/>
  <c r="O54" i="60"/>
  <c r="P64" i="60"/>
  <c r="P32" i="60"/>
  <c r="O486" i="60"/>
  <c r="O492" i="60"/>
  <c r="O451" i="60"/>
  <c r="P56" i="60"/>
  <c r="O265" i="60"/>
  <c r="O157" i="60"/>
  <c r="P430" i="60"/>
  <c r="P12" i="60"/>
  <c r="O158" i="60"/>
  <c r="O167" i="60"/>
  <c r="O136" i="60"/>
  <c r="P150" i="60"/>
  <c r="P327" i="60"/>
  <c r="P381" i="60"/>
  <c r="O282" i="60"/>
  <c r="O44" i="60"/>
  <c r="P537" i="60"/>
  <c r="P529" i="60"/>
  <c r="P58" i="60"/>
  <c r="O95" i="60"/>
  <c r="P189" i="60"/>
  <c r="O427" i="60"/>
  <c r="O294" i="60"/>
  <c r="P238" i="60"/>
  <c r="O231" i="60"/>
  <c r="O388" i="60"/>
  <c r="O374" i="60"/>
  <c r="O122" i="60"/>
  <c r="P416" i="60"/>
  <c r="O142" i="60"/>
  <c r="O263" i="60"/>
  <c r="P162" i="60"/>
  <c r="O237" i="60"/>
  <c r="P128" i="60"/>
  <c r="O209" i="60"/>
  <c r="O280" i="60"/>
  <c r="P401" i="60"/>
  <c r="P142" i="60"/>
  <c r="P199" i="60"/>
  <c r="P202" i="60"/>
  <c r="P242" i="60"/>
  <c r="O202" i="60"/>
  <c r="P365" i="60"/>
  <c r="P496" i="60"/>
  <c r="O510" i="60"/>
  <c r="P411" i="60"/>
  <c r="O304" i="60"/>
  <c r="O84" i="60"/>
  <c r="O318" i="60"/>
  <c r="P214" i="60"/>
  <c r="O128" i="60"/>
  <c r="P306" i="60"/>
  <c r="O518" i="60"/>
  <c r="O184" i="60"/>
  <c r="P101" i="60"/>
  <c r="P533" i="60"/>
  <c r="O306" i="60"/>
  <c r="O531" i="60"/>
  <c r="O199" i="60"/>
  <c r="O533" i="60"/>
  <c r="O515" i="60"/>
  <c r="P209" i="60"/>
  <c r="O222" i="60"/>
  <c r="P220" i="60"/>
  <c r="P422" i="60"/>
  <c r="O340" i="60"/>
  <c r="O349" i="60"/>
  <c r="P448" i="60"/>
  <c r="O470" i="60"/>
  <c r="P470" i="60"/>
  <c r="P499" i="60"/>
  <c r="O499" i="60"/>
  <c r="P357" i="60"/>
  <c r="O527" i="60"/>
  <c r="P359" i="60"/>
  <c r="O14" i="60"/>
  <c r="O60" i="60"/>
  <c r="O362" i="60"/>
  <c r="P362" i="60"/>
  <c r="O353" i="60"/>
  <c r="O26" i="60"/>
  <c r="O144" i="60"/>
  <c r="P144" i="60"/>
  <c r="O368" i="60"/>
  <c r="P368" i="60"/>
  <c r="O81" i="60"/>
  <c r="O292" i="60"/>
  <c r="P292" i="60"/>
  <c r="O187" i="60"/>
  <c r="P462" i="60"/>
  <c r="P479" i="60"/>
  <c r="P230" i="60"/>
  <c r="P291" i="60"/>
  <c r="O291" i="60"/>
  <c r="P134" i="60"/>
  <c r="O215" i="60"/>
  <c r="P215" i="60"/>
  <c r="P138" i="60"/>
  <c r="O233" i="60"/>
  <c r="P329" i="60"/>
  <c r="P135" i="60"/>
  <c r="P37" i="60"/>
  <c r="O37" i="60"/>
  <c r="O10" i="60"/>
  <c r="P10" i="60"/>
  <c r="O230" i="60"/>
  <c r="P347" i="60"/>
  <c r="P353" i="60"/>
  <c r="P212" i="60"/>
  <c r="O212" i="60"/>
  <c r="O240" i="60"/>
  <c r="P274" i="60"/>
  <c r="O431" i="60"/>
  <c r="O447" i="60"/>
  <c r="P447" i="60"/>
  <c r="O327" i="60"/>
  <c r="O111" i="60"/>
  <c r="P446" i="60"/>
  <c r="O446" i="60"/>
  <c r="O469" i="60"/>
  <c r="P504" i="60"/>
  <c r="O538" i="60"/>
  <c r="P538" i="60"/>
  <c r="O503" i="60"/>
  <c r="T540" i="80" s="1"/>
  <c r="O513" i="60"/>
  <c r="P513" i="60"/>
  <c r="P206" i="60"/>
  <c r="O268" i="60"/>
  <c r="O206" i="60"/>
  <c r="O373" i="60"/>
  <c r="O391" i="60"/>
  <c r="P62" i="60"/>
  <c r="P378" i="60"/>
  <c r="O437" i="60"/>
  <c r="P437" i="60"/>
  <c r="O429" i="60"/>
  <c r="P429" i="60"/>
  <c r="P233" i="60"/>
  <c r="P82" i="60"/>
  <c r="O376" i="60"/>
  <c r="P147" i="60"/>
  <c r="P204" i="60"/>
  <c r="O204" i="60"/>
  <c r="P434" i="60"/>
  <c r="O434" i="60"/>
  <c r="P310" i="60"/>
  <c r="P60" i="60"/>
  <c r="O357" i="60"/>
  <c r="O190" i="60"/>
  <c r="O138" i="60"/>
  <c r="O269" i="60"/>
  <c r="O149" i="60"/>
  <c r="O22" i="60"/>
  <c r="T536" i="80" s="1"/>
  <c r="P22" i="60"/>
  <c r="P517" i="60"/>
  <c r="O517" i="60"/>
  <c r="O454" i="60"/>
  <c r="O356" i="60"/>
  <c r="P527" i="60"/>
  <c r="O189" i="60"/>
  <c r="O293" i="60"/>
  <c r="O275" i="60"/>
  <c r="P87" i="60"/>
  <c r="O98" i="60"/>
  <c r="P304" i="60"/>
  <c r="P264" i="60"/>
  <c r="O352" i="60"/>
  <c r="P154" i="60"/>
  <c r="P285" i="60"/>
  <c r="P355" i="60"/>
  <c r="O302" i="60"/>
  <c r="O100" i="60"/>
  <c r="O271" i="60"/>
  <c r="O264" i="60"/>
  <c r="O419" i="60"/>
  <c r="P371" i="60"/>
  <c r="P277" i="60"/>
  <c r="P352" i="60"/>
  <c r="O371" i="60"/>
  <c r="P236" i="60"/>
  <c r="P318" i="60"/>
  <c r="O106" i="60"/>
  <c r="P237" i="60"/>
  <c r="P459" i="60"/>
  <c r="P442" i="60"/>
  <c r="O512" i="60"/>
  <c r="O285" i="60"/>
  <c r="O29" i="60"/>
  <c r="O214" i="60"/>
  <c r="P433" i="60"/>
  <c r="O496" i="60"/>
  <c r="P114" i="60"/>
  <c r="O345" i="60"/>
  <c r="P178" i="60"/>
  <c r="O384" i="60"/>
  <c r="O414" i="60"/>
  <c r="O489" i="60"/>
  <c r="P400" i="60"/>
  <c r="P338" i="60"/>
  <c r="P100" i="60"/>
  <c r="P123" i="60"/>
  <c r="P266" i="60"/>
  <c r="P385" i="60"/>
  <c r="P466" i="60"/>
  <c r="O529" i="60"/>
  <c r="O390" i="60"/>
  <c r="P73" i="60"/>
  <c r="O74" i="60"/>
  <c r="O539" i="60"/>
  <c r="P494" i="60"/>
  <c r="P383" i="60"/>
  <c r="O350" i="60"/>
  <c r="P104" i="60"/>
  <c r="O249" i="60"/>
  <c r="O66" i="60"/>
  <c r="O290" i="60"/>
  <c r="P51" i="60"/>
  <c r="O324" i="60"/>
  <c r="P121" i="60"/>
  <c r="P8" i="60"/>
  <c r="O253" i="60"/>
  <c r="P74" i="60"/>
  <c r="O8" i="60"/>
  <c r="P394" i="60"/>
  <c r="O440" i="60"/>
  <c r="P461" i="60"/>
  <c r="P370" i="60"/>
  <c r="O405" i="60"/>
  <c r="O365" i="60"/>
  <c r="P235" i="60"/>
  <c r="O347" i="60"/>
  <c r="O330" i="60"/>
  <c r="P172" i="60"/>
  <c r="O82" i="60"/>
  <c r="P171" i="60"/>
  <c r="P377" i="60"/>
  <c r="P487" i="60"/>
  <c r="P495" i="60"/>
  <c r="O478" i="60"/>
  <c r="O235" i="60"/>
  <c r="O192" i="60"/>
  <c r="P298" i="60"/>
  <c r="O339" i="60"/>
  <c r="P71" i="60"/>
  <c r="O301" i="60"/>
  <c r="O448" i="60"/>
  <c r="O465" i="60"/>
  <c r="O495" i="60"/>
  <c r="P360" i="60"/>
  <c r="P66" i="60"/>
  <c r="P14" i="60"/>
  <c r="P258" i="60"/>
  <c r="O71" i="60"/>
  <c r="O278" i="60"/>
  <c r="O205" i="60"/>
  <c r="O277" i="60"/>
  <c r="O408" i="60"/>
  <c r="P532" i="60"/>
  <c r="P313" i="60"/>
  <c r="P278" i="60"/>
  <c r="P408" i="60"/>
  <c r="O415" i="60"/>
  <c r="O114" i="60"/>
  <c r="O524" i="60"/>
  <c r="O308" i="60"/>
  <c r="P221" i="60"/>
  <c r="O101" i="60"/>
  <c r="O194" i="60"/>
  <c r="O243" i="60"/>
  <c r="P80" i="60"/>
  <c r="P91" i="60"/>
  <c r="P136" i="60"/>
  <c r="O226" i="60"/>
  <c r="P345" i="60"/>
  <c r="O94" i="60"/>
  <c r="P166" i="60"/>
  <c r="O19" i="60"/>
  <c r="O72" i="60"/>
  <c r="O90" i="60"/>
  <c r="P299" i="60"/>
  <c r="P35" i="60"/>
  <c r="P259" i="60"/>
  <c r="O475" i="60"/>
  <c r="P476" i="60"/>
  <c r="O91" i="60"/>
  <c r="O313" i="60"/>
  <c r="P76" i="60"/>
  <c r="P194" i="60"/>
  <c r="O329" i="60"/>
  <c r="O413" i="60"/>
  <c r="O420" i="60"/>
  <c r="O428" i="60"/>
  <c r="O487" i="60"/>
  <c r="O298" i="60"/>
  <c r="P255" i="60"/>
  <c r="O108" i="60"/>
  <c r="P252" i="60"/>
  <c r="O160" i="60"/>
  <c r="O309" i="60"/>
  <c r="P428" i="60"/>
  <c r="O464" i="60"/>
  <c r="P262" i="60"/>
  <c r="O380" i="60"/>
  <c r="P397" i="60"/>
  <c r="O397" i="60"/>
  <c r="P467" i="60"/>
  <c r="O493" i="60"/>
  <c r="P493" i="60"/>
  <c r="P152" i="60"/>
  <c r="O152" i="60"/>
  <c r="O348" i="60"/>
  <c r="O50" i="60"/>
  <c r="P50" i="60"/>
  <c r="O24" i="60"/>
  <c r="O92" i="60"/>
  <c r="P92" i="60"/>
  <c r="O140" i="60"/>
  <c r="O386" i="60"/>
  <c r="P386" i="60"/>
  <c r="P423" i="60"/>
  <c r="O500" i="60"/>
  <c r="P500" i="60"/>
  <c r="P536" i="60"/>
  <c r="O536" i="60"/>
  <c r="O241" i="60"/>
  <c r="P241" i="60"/>
  <c r="P456" i="60"/>
  <c r="O456" i="60"/>
  <c r="P117" i="60"/>
  <c r="O314" i="60"/>
  <c r="P455" i="60"/>
  <c r="O535" i="60"/>
  <c r="P535" i="60"/>
  <c r="P197" i="60"/>
  <c r="O211" i="60"/>
  <c r="P211" i="60"/>
  <c r="P326" i="60"/>
  <c r="O326" i="60"/>
  <c r="O172" i="60"/>
  <c r="O70" i="60"/>
  <c r="P48" i="60"/>
  <c r="P88" i="60"/>
  <c r="P483" i="60"/>
  <c r="O483" i="60"/>
  <c r="O336" i="60"/>
  <c r="P146" i="60"/>
  <c r="P317" i="60"/>
  <c r="O317" i="60"/>
  <c r="P96" i="60"/>
  <c r="O96" i="60"/>
  <c r="O170" i="60"/>
  <c r="O534" i="60"/>
  <c r="P240" i="60"/>
  <c r="O259" i="60"/>
  <c r="O132" i="60"/>
  <c r="O139" i="60"/>
  <c r="P210" i="60"/>
  <c r="O320" i="60"/>
  <c r="P320" i="60"/>
  <c r="P337" i="60"/>
  <c r="P407" i="60"/>
  <c r="O453" i="60"/>
  <c r="P453" i="60"/>
  <c r="P179" i="60"/>
  <c r="P148" i="60"/>
  <c r="O148" i="60"/>
  <c r="P195" i="60"/>
  <c r="O256" i="60"/>
  <c r="P256" i="60"/>
  <c r="O343" i="60"/>
  <c r="P343" i="60"/>
  <c r="P349" i="60"/>
  <c r="P358" i="60"/>
  <c r="O358" i="60"/>
  <c r="P402" i="60"/>
  <c r="P491" i="60"/>
  <c r="O432" i="60"/>
  <c r="P432" i="60"/>
  <c r="O450" i="60"/>
  <c r="P450" i="60"/>
  <c r="P521" i="60"/>
  <c r="O521" i="60"/>
  <c r="O289" i="60"/>
  <c r="P289" i="60"/>
  <c r="O438" i="60"/>
  <c r="P438" i="60"/>
  <c r="P303" i="60"/>
  <c r="P315" i="60"/>
  <c r="O315" i="60"/>
  <c r="O228" i="60"/>
  <c r="P228" i="60"/>
  <c r="P16" i="60"/>
  <c r="O498" i="60"/>
  <c r="P481" i="60"/>
  <c r="O481" i="60"/>
  <c r="P336" i="60"/>
  <c r="P130" i="60"/>
  <c r="O130" i="60"/>
  <c r="O207" i="60"/>
  <c r="P207" i="60"/>
  <c r="P307" i="60"/>
  <c r="O86" i="60"/>
  <c r="P281" i="60"/>
  <c r="O364" i="60"/>
  <c r="P375" i="60"/>
  <c r="O507" i="60"/>
  <c r="O412" i="60"/>
  <c r="P488" i="60"/>
  <c r="O488" i="60"/>
  <c r="P132" i="60"/>
  <c r="O312" i="60"/>
  <c r="O112" i="60"/>
  <c r="P112" i="60"/>
  <c r="O332" i="60"/>
  <c r="P332" i="60"/>
  <c r="P42" i="60"/>
  <c r="P30" i="60"/>
  <c r="P217" i="60"/>
  <c r="O382" i="60"/>
  <c r="P490" i="60"/>
  <c r="P460" i="60"/>
  <c r="O197" i="60"/>
  <c r="P158" i="60"/>
  <c r="P348" i="60"/>
  <c r="P331" i="60"/>
  <c r="O331" i="60"/>
  <c r="O174" i="60"/>
  <c r="P399" i="60"/>
  <c r="P503" i="60"/>
  <c r="P418" i="60"/>
  <c r="O418" i="60"/>
  <c r="O404" i="60"/>
  <c r="O422" i="60"/>
  <c r="P373" i="60"/>
  <c r="O255" i="60"/>
  <c r="O153" i="60"/>
  <c r="O48" i="60"/>
  <c r="P120" i="60"/>
  <c r="P188" i="60"/>
  <c r="P246" i="60"/>
  <c r="O246" i="60"/>
  <c r="P15" i="60"/>
  <c r="P287" i="60"/>
  <c r="O445" i="60"/>
  <c r="P445" i="60"/>
  <c r="P502" i="60"/>
  <c r="O502" i="60"/>
  <c r="O530" i="60"/>
  <c r="P530" i="60"/>
  <c r="O299" i="60"/>
  <c r="O247" i="60"/>
  <c r="P247" i="60"/>
  <c r="O458" i="60"/>
  <c r="O417" i="60"/>
  <c r="P417" i="60"/>
  <c r="P444" i="60"/>
  <c r="P305" i="60"/>
  <c r="O305" i="60"/>
  <c r="P118" i="60"/>
  <c r="O118" i="60"/>
  <c r="P248" i="60"/>
  <c r="O286" i="60"/>
  <c r="P286" i="60"/>
  <c r="P380" i="60"/>
  <c r="P424" i="60"/>
  <c r="O474" i="60"/>
  <c r="P474" i="60"/>
  <c r="P508" i="60"/>
  <c r="O522" i="60"/>
  <c r="P522" i="60"/>
  <c r="P205" i="60"/>
  <c r="O131" i="60"/>
  <c r="P75" i="60"/>
  <c r="P44" i="60"/>
  <c r="P90" i="60"/>
  <c r="P427" i="60"/>
  <c r="P350" i="60"/>
  <c r="P321" i="60"/>
  <c r="O201" i="60"/>
  <c r="T1350" i="80" s="1"/>
  <c r="O164" i="60"/>
  <c r="P296" i="60"/>
  <c r="P116" i="60"/>
  <c r="O196" i="60"/>
  <c r="O442" i="60"/>
  <c r="T66" i="80" s="1"/>
  <c r="P436" i="60"/>
  <c r="O514" i="60"/>
  <c r="P26" i="60"/>
  <c r="P20" i="60"/>
  <c r="P334" i="60"/>
  <c r="O251" i="60"/>
  <c r="P102" i="60"/>
  <c r="P293" i="60"/>
  <c r="P528" i="60"/>
  <c r="O484" i="60"/>
  <c r="P514" i="60"/>
  <c r="P367" i="60"/>
  <c r="O34" i="60"/>
  <c r="O107" i="60"/>
  <c r="O150" i="60"/>
  <c r="P463" i="60"/>
  <c r="P244" i="60"/>
  <c r="O234" i="60"/>
  <c r="P234" i="60"/>
  <c r="O403" i="60"/>
  <c r="P388" i="60"/>
  <c r="P516" i="60"/>
  <c r="O511" i="60"/>
  <c r="O480" i="60"/>
  <c r="P441" i="60"/>
  <c r="O455" i="60"/>
  <c r="O540" i="60"/>
  <c r="O523" i="60"/>
  <c r="O482" i="60"/>
  <c r="P523" i="60"/>
  <c r="O528" i="60"/>
  <c r="P501" i="60"/>
  <c r="O389" i="60"/>
  <c r="P457" i="60"/>
  <c r="O472" i="60"/>
  <c r="P519" i="60"/>
  <c r="O505" i="60"/>
  <c r="P473" i="60"/>
  <c r="O473" i="60"/>
  <c r="P520" i="60"/>
  <c r="O520" i="60"/>
  <c r="P395" i="60"/>
  <c r="O387" i="60"/>
  <c r="O457" i="60"/>
  <c r="P472" i="60"/>
  <c r="P540" i="60"/>
  <c r="P505" i="60"/>
  <c r="P471" i="60"/>
  <c r="O441" i="60"/>
  <c r="P482" i="60"/>
  <c r="O444" i="60"/>
  <c r="AB123" i="43"/>
  <c r="U283" i="80" l="1"/>
  <c r="W39" i="48" s="1"/>
  <c r="P393" i="60"/>
  <c r="P506" i="60"/>
  <c r="O262" i="60"/>
  <c r="P28" i="60"/>
  <c r="O393" i="60"/>
  <c r="O28" i="60"/>
  <c r="O506" i="60"/>
  <c r="T1014" i="80" s="1"/>
  <c r="D118" i="62" s="1"/>
  <c r="S35" i="48"/>
  <c r="U357" i="80"/>
  <c r="O398" i="60"/>
  <c r="P99" i="60"/>
  <c r="P53" i="60"/>
  <c r="P363" i="60"/>
  <c r="O57" i="60"/>
  <c r="O490" i="60"/>
  <c r="P159" i="60"/>
  <c r="P109" i="60"/>
  <c r="O300" i="60"/>
  <c r="O283" i="60"/>
  <c r="P55" i="60"/>
  <c r="P229" i="60"/>
  <c r="O344" i="60"/>
  <c r="P335" i="60"/>
  <c r="O363" i="60"/>
  <c r="T65" i="80" s="1"/>
  <c r="O260" i="60"/>
  <c r="O67" i="60"/>
  <c r="P67" i="60"/>
  <c r="O216" i="60"/>
  <c r="O89" i="60"/>
  <c r="O63" i="60"/>
  <c r="P11" i="60"/>
  <c r="P254" i="60"/>
  <c r="P167" i="60"/>
  <c r="O13" i="60"/>
  <c r="O77" i="60"/>
  <c r="P151" i="60"/>
  <c r="O273" i="60"/>
  <c r="P344" i="60"/>
  <c r="P354" i="60"/>
  <c r="O53" i="60"/>
  <c r="O35" i="60"/>
  <c r="P63" i="60"/>
  <c r="U535" i="80"/>
  <c r="U534" i="80"/>
  <c r="P9" i="60"/>
  <c r="P165" i="60"/>
  <c r="P143" i="60"/>
  <c r="P139" i="60"/>
  <c r="P267" i="60"/>
  <c r="O93" i="60"/>
  <c r="O49" i="60"/>
  <c r="O177" i="60"/>
  <c r="O151" i="60"/>
  <c r="O135" i="60"/>
  <c r="O61" i="60"/>
  <c r="P260" i="60"/>
  <c r="O239" i="60"/>
  <c r="P216" i="60"/>
  <c r="O5" i="60"/>
  <c r="T1355" i="80" s="1"/>
  <c r="O369" i="60"/>
  <c r="P181" i="60"/>
  <c r="O45" i="60"/>
  <c r="O75" i="60"/>
  <c r="P97" i="60"/>
  <c r="O123" i="60"/>
  <c r="P149" i="60"/>
  <c r="P273" i="60"/>
  <c r="P294" i="60"/>
  <c r="O229" i="60"/>
  <c r="O310" i="60"/>
  <c r="P351" i="60"/>
  <c r="P77" i="60"/>
  <c r="P49" i="60"/>
  <c r="P5" i="60"/>
  <c r="P25" i="60"/>
  <c r="P183" i="60"/>
  <c r="P219" i="60"/>
  <c r="O372" i="60"/>
  <c r="O17" i="60"/>
  <c r="O105" i="60"/>
  <c r="O25" i="60"/>
  <c r="P21" i="60"/>
  <c r="P7" i="60"/>
  <c r="O87" i="60"/>
  <c r="P61" i="60"/>
  <c r="P239" i="60"/>
  <c r="P193" i="60"/>
  <c r="O316" i="60"/>
  <c r="P187" i="60"/>
  <c r="P177" i="60"/>
  <c r="P115" i="60"/>
  <c r="P89" i="60"/>
  <c r="P85" i="60"/>
  <c r="O23" i="60"/>
  <c r="O97" i="60"/>
  <c r="O165" i="60"/>
  <c r="O224" i="60"/>
  <c r="O47" i="60"/>
  <c r="P426" i="60"/>
  <c r="P439" i="60"/>
  <c r="M7" i="60"/>
  <c r="M15" i="60"/>
  <c r="M23" i="60"/>
  <c r="M27" i="60"/>
  <c r="M31" i="60"/>
  <c r="M39" i="60"/>
  <c r="M43" i="60"/>
  <c r="M47" i="60"/>
  <c r="M51" i="60"/>
  <c r="M59" i="60"/>
  <c r="M79" i="60"/>
  <c r="U1359" i="80" s="1"/>
  <c r="V1359" i="80" s="1" a="1"/>
  <c r="V1359" i="80" s="1"/>
  <c r="M83" i="60"/>
  <c r="M103" i="60"/>
  <c r="M107" i="60"/>
  <c r="M111" i="60"/>
  <c r="M115" i="60"/>
  <c r="M119" i="60"/>
  <c r="M127" i="60"/>
  <c r="M131" i="60"/>
  <c r="M143" i="60"/>
  <c r="M147" i="60"/>
  <c r="M155" i="60"/>
  <c r="M159" i="60"/>
  <c r="M163" i="60"/>
  <c r="M171" i="60"/>
  <c r="M175" i="60"/>
  <c r="M179" i="60"/>
  <c r="M183" i="60"/>
  <c r="M191" i="60"/>
  <c r="U963" i="80" s="1"/>
  <c r="M200" i="60"/>
  <c r="U538" i="80" s="1"/>
  <c r="Y63" i="48" s="1" a="1"/>
  <c r="Y63" i="48" s="1"/>
  <c r="M221" i="60"/>
  <c r="U347" i="80" s="1"/>
  <c r="M232" i="60"/>
  <c r="M276" i="60"/>
  <c r="U348" i="80" s="1"/>
  <c r="M288" i="60"/>
  <c r="M300" i="60"/>
  <c r="U533" i="80" s="1"/>
  <c r="V533" i="80" s="1" a="1"/>
  <c r="V533" i="80" s="1"/>
  <c r="U934" i="80"/>
  <c r="U964" i="80"/>
  <c r="O254" i="60"/>
  <c r="X11" i="48" a="1"/>
  <c r="X11" i="48" s="1"/>
  <c r="V11" i="48" a="1"/>
  <c r="V11" i="48" s="1"/>
  <c r="W11" i="48"/>
  <c r="Y11" i="48" a="1"/>
  <c r="Y11" i="48" s="1"/>
  <c r="O161" i="60"/>
  <c r="T1361" i="80" s="1"/>
  <c r="P133" i="60"/>
  <c r="O335" i="60"/>
  <c r="P155" i="60"/>
  <c r="O145" i="60"/>
  <c r="P288" i="60"/>
  <c r="O426" i="60"/>
  <c r="P227" i="60"/>
  <c r="O33" i="60"/>
  <c r="O366" i="60"/>
  <c r="O379" i="60"/>
  <c r="T1369" i="80" s="1"/>
  <c r="O423" i="60"/>
  <c r="O39" i="60"/>
  <c r="O193" i="60"/>
  <c r="O21" i="60"/>
  <c r="T283" i="80" s="1"/>
  <c r="O191" i="60"/>
  <c r="P328" i="60"/>
  <c r="O169" i="60"/>
  <c r="O113" i="60"/>
  <c r="O163" i="60"/>
  <c r="O198" i="60"/>
  <c r="P208" i="60"/>
  <c r="P245" i="60"/>
  <c r="O395" i="60"/>
  <c r="O351" i="60"/>
  <c r="T964" i="80" s="1"/>
  <c r="P185" i="60"/>
  <c r="O117" i="60"/>
  <c r="O9" i="60"/>
  <c r="P137" i="60"/>
  <c r="P270" i="60"/>
  <c r="P79" i="60"/>
  <c r="U1360" i="80"/>
  <c r="U1361" i="80"/>
  <c r="U1362" i="80"/>
  <c r="Y127" i="48" a="1"/>
  <c r="Y127" i="48" s="1"/>
  <c r="X127" i="48" a="1"/>
  <c r="X127" i="48" s="1"/>
  <c r="W127" i="48"/>
  <c r="V127" i="48" a="1"/>
  <c r="V127" i="48" s="1"/>
  <c r="U360" i="80"/>
  <c r="U1014" i="80"/>
  <c r="T360" i="80"/>
  <c r="T361" i="80"/>
  <c r="U959" i="80"/>
  <c r="V959" i="80" s="1" a="1"/>
  <c r="V959" i="80" s="1"/>
  <c r="P161" i="60"/>
  <c r="O133" i="60"/>
  <c r="T1335" i="80" s="1"/>
  <c r="P33" i="60"/>
  <c r="O73" i="60"/>
  <c r="P224" i="60"/>
  <c r="P93" i="60"/>
  <c r="P316" i="60"/>
  <c r="O219" i="60"/>
  <c r="O248" i="60"/>
  <c r="P129" i="60"/>
  <c r="P45" i="60"/>
  <c r="O85" i="60"/>
  <c r="T530" i="80" s="1"/>
  <c r="P257" i="60"/>
  <c r="O129" i="60"/>
  <c r="O203" i="60"/>
  <c r="P145" i="60"/>
  <c r="P200" i="60"/>
  <c r="O227" i="60"/>
  <c r="O213" i="60"/>
  <c r="O245" i="60"/>
  <c r="O59" i="60"/>
  <c r="P141" i="60"/>
  <c r="O43" i="60"/>
  <c r="O410" i="60"/>
  <c r="P113" i="60"/>
  <c r="O41" i="60"/>
  <c r="O185" i="60"/>
  <c r="T963" i="80" s="1"/>
  <c r="D73" i="62" s="1"/>
  <c r="O69" i="60"/>
  <c r="O173" i="60"/>
  <c r="P276" i="60"/>
  <c r="P83" i="60"/>
  <c r="O257" i="60"/>
  <c r="T348" i="80" s="1"/>
  <c r="O181" i="60"/>
  <c r="O125" i="60"/>
  <c r="P213" i="60"/>
  <c r="P198" i="60"/>
  <c r="P69" i="60"/>
  <c r="P13" i="60"/>
  <c r="O65" i="60"/>
  <c r="T357" i="80" s="1"/>
  <c r="P382" i="60"/>
  <c r="O471" i="60"/>
  <c r="T534" i="80" s="1"/>
  <c r="U361" i="80"/>
  <c r="P153" i="60"/>
  <c r="P372" i="60"/>
  <c r="P366" i="60"/>
  <c r="P105" i="60"/>
  <c r="P379" i="60"/>
  <c r="P173" i="60"/>
  <c r="O328" i="60"/>
  <c r="P323" i="60"/>
  <c r="U1367" i="80"/>
  <c r="U1368" i="80"/>
  <c r="U1366" i="80"/>
  <c r="P203" i="60"/>
  <c r="O109" i="60"/>
  <c r="P458" i="60"/>
  <c r="O242" i="60"/>
  <c r="O137" i="60"/>
  <c r="P4" i="60"/>
  <c r="P81" i="60"/>
  <c r="P169" i="60"/>
  <c r="O121" i="60"/>
  <c r="P341" i="60"/>
  <c r="T965" i="80"/>
  <c r="P410" i="60"/>
  <c r="M4" i="60"/>
  <c r="P41" i="60"/>
  <c r="O297" i="60"/>
  <c r="P283" i="60"/>
  <c r="P65" i="60"/>
  <c r="P125" i="60"/>
  <c r="P297" i="60"/>
  <c r="O338" i="60"/>
  <c r="T934" i="80" s="1"/>
  <c r="P57" i="60"/>
  <c r="O141" i="60"/>
  <c r="P398" i="60"/>
  <c r="O407" i="60"/>
  <c r="U933" i="80"/>
  <c r="U1369" i="80"/>
  <c r="U1370" i="80"/>
  <c r="V1370" i="80" s="1" a="1"/>
  <c r="V1370" i="80" s="1"/>
  <c r="U1371" i="80"/>
  <c r="U935" i="80"/>
  <c r="M10" i="48"/>
  <c r="O10" i="48"/>
  <c r="M12" i="48"/>
  <c r="O12" i="48"/>
  <c r="M53" i="48"/>
  <c r="O53" i="48"/>
  <c r="M5" i="48"/>
  <c r="O5" i="48"/>
  <c r="M6" i="48"/>
  <c r="O6" i="48"/>
  <c r="O7" i="48"/>
  <c r="M7" i="48"/>
  <c r="O8" i="48"/>
  <c r="M8" i="48"/>
  <c r="M9" i="48"/>
  <c r="O9" i="48"/>
  <c r="O11" i="48"/>
  <c r="M11" i="48"/>
  <c r="M13" i="48"/>
  <c r="O13" i="48"/>
  <c r="O15" i="48"/>
  <c r="M15" i="48"/>
  <c r="M16" i="48"/>
  <c r="O16" i="48"/>
  <c r="O19" i="48"/>
  <c r="M19" i="48"/>
  <c r="M20" i="48"/>
  <c r="O20" i="48"/>
  <c r="M22" i="48"/>
  <c r="O22" i="48"/>
  <c r="M25" i="48"/>
  <c r="O25" i="48"/>
  <c r="M26" i="48"/>
  <c r="O26" i="48"/>
  <c r="O27" i="48"/>
  <c r="M27" i="48"/>
  <c r="M28" i="48"/>
  <c r="O28" i="48"/>
  <c r="O30" i="48"/>
  <c r="M30" i="48"/>
  <c r="M32" i="48"/>
  <c r="O32" i="48"/>
  <c r="M33" i="48"/>
  <c r="O33" i="48"/>
  <c r="M70" i="48"/>
  <c r="O70" i="48"/>
  <c r="M34" i="48"/>
  <c r="O34" i="48"/>
  <c r="M36" i="48"/>
  <c r="O36" i="48"/>
  <c r="M37" i="48"/>
  <c r="O37" i="48"/>
  <c r="M38" i="48"/>
  <c r="O38" i="48"/>
  <c r="M41" i="48"/>
  <c r="O41" i="48"/>
  <c r="M42" i="48"/>
  <c r="O42" i="48"/>
  <c r="O43" i="48"/>
  <c r="M43" i="48"/>
  <c r="M45" i="48"/>
  <c r="O45" i="48"/>
  <c r="O46" i="48"/>
  <c r="M46" i="48"/>
  <c r="M48" i="48"/>
  <c r="O48" i="48"/>
  <c r="M49" i="48"/>
  <c r="O49" i="48"/>
  <c r="O51" i="48"/>
  <c r="M51" i="48"/>
  <c r="M52" i="48"/>
  <c r="O52" i="48"/>
  <c r="M54" i="48"/>
  <c r="O54" i="48"/>
  <c r="O55" i="48"/>
  <c r="M55" i="48"/>
  <c r="M57" i="48"/>
  <c r="O57" i="48"/>
  <c r="O59" i="48"/>
  <c r="M59" i="48"/>
  <c r="M60" i="48"/>
  <c r="O60" i="48"/>
  <c r="M61" i="48"/>
  <c r="O61" i="48"/>
  <c r="O62" i="48"/>
  <c r="M62" i="48"/>
  <c r="O63" i="48"/>
  <c r="M63" i="48"/>
  <c r="M66" i="48"/>
  <c r="O66" i="48"/>
  <c r="M68" i="48"/>
  <c r="O68" i="48"/>
  <c r="M69" i="48"/>
  <c r="O69" i="48"/>
  <c r="O71" i="48"/>
  <c r="M71" i="48"/>
  <c r="O72" i="48"/>
  <c r="M72" i="48"/>
  <c r="M76" i="48"/>
  <c r="O76" i="48"/>
  <c r="O78" i="48"/>
  <c r="M78" i="48"/>
  <c r="O79" i="48"/>
  <c r="M79" i="48"/>
  <c r="M80" i="48"/>
  <c r="O80" i="48"/>
  <c r="M81" i="48"/>
  <c r="O81" i="48"/>
  <c r="M82" i="48"/>
  <c r="O82" i="48"/>
  <c r="M85" i="48"/>
  <c r="O85" i="48"/>
  <c r="O87" i="48"/>
  <c r="M87" i="48"/>
  <c r="O91" i="48"/>
  <c r="M91" i="48"/>
  <c r="M89" i="48"/>
  <c r="O89" i="48"/>
  <c r="O88" i="48"/>
  <c r="M88" i="48"/>
  <c r="M97" i="48"/>
  <c r="O97" i="48"/>
  <c r="O95" i="48"/>
  <c r="M95" i="48"/>
  <c r="M92" i="48"/>
  <c r="O92" i="48"/>
  <c r="M93" i="48"/>
  <c r="O93" i="48"/>
  <c r="M86" i="48"/>
  <c r="O86" i="48"/>
  <c r="M84" i="48"/>
  <c r="O84" i="48"/>
  <c r="M74" i="48"/>
  <c r="O74" i="48"/>
  <c r="O67" i="48"/>
  <c r="M67" i="48"/>
  <c r="M65" i="48"/>
  <c r="O65" i="48"/>
  <c r="M58" i="48"/>
  <c r="O58" i="48"/>
  <c r="O56" i="48"/>
  <c r="M56" i="48"/>
  <c r="M50" i="48"/>
  <c r="O50" i="48"/>
  <c r="O40" i="48"/>
  <c r="M40" i="48"/>
  <c r="O31" i="48"/>
  <c r="M31" i="48"/>
  <c r="M29" i="48"/>
  <c r="O29" i="48"/>
  <c r="O23" i="48"/>
  <c r="M23" i="48"/>
  <c r="M21" i="48"/>
  <c r="O21" i="48"/>
  <c r="O126" i="48"/>
  <c r="M126" i="48"/>
  <c r="M101" i="48"/>
  <c r="O101" i="48"/>
  <c r="M100" i="48"/>
  <c r="O100" i="48"/>
  <c r="M98" i="48"/>
  <c r="O98" i="48"/>
  <c r="M90" i="48"/>
  <c r="O90" i="48"/>
  <c r="O83" i="48"/>
  <c r="M83" i="48"/>
  <c r="M77" i="48"/>
  <c r="O77" i="48"/>
  <c r="M73" i="48"/>
  <c r="O73" i="48"/>
  <c r="O47" i="48"/>
  <c r="M47" i="48"/>
  <c r="O35" i="48"/>
  <c r="M35" i="48"/>
  <c r="M18" i="48"/>
  <c r="O18" i="48"/>
  <c r="M17" i="48"/>
  <c r="O17" i="48"/>
  <c r="O14" i="48"/>
  <c r="M14" i="48"/>
  <c r="M129" i="48"/>
  <c r="O129" i="48"/>
  <c r="M128" i="48"/>
  <c r="O128" i="48"/>
  <c r="O127" i="48"/>
  <c r="M127" i="48"/>
  <c r="M125" i="48"/>
  <c r="O125" i="48"/>
  <c r="M124" i="48"/>
  <c r="O124" i="48"/>
  <c r="O123" i="48"/>
  <c r="M123" i="48"/>
  <c r="M122" i="48"/>
  <c r="O122" i="48"/>
  <c r="M121" i="48"/>
  <c r="O121" i="48"/>
  <c r="O120" i="48"/>
  <c r="M120" i="48"/>
  <c r="O119" i="48"/>
  <c r="M119" i="48"/>
  <c r="O115" i="48"/>
  <c r="M115" i="48"/>
  <c r="M114" i="48"/>
  <c r="O114" i="48"/>
  <c r="M113" i="48"/>
  <c r="O113" i="48"/>
  <c r="M112" i="48"/>
  <c r="O112" i="48"/>
  <c r="O111" i="48"/>
  <c r="M111" i="48"/>
  <c r="O110" i="48"/>
  <c r="M110" i="48"/>
  <c r="M109" i="48"/>
  <c r="O109" i="48"/>
  <c r="M108" i="48"/>
  <c r="O108" i="48"/>
  <c r="O107" i="48"/>
  <c r="M107" i="48"/>
  <c r="M106" i="48"/>
  <c r="O106" i="48"/>
  <c r="M105" i="48"/>
  <c r="O105" i="48"/>
  <c r="O104" i="48"/>
  <c r="M104" i="48"/>
  <c r="O103" i="48"/>
  <c r="M103" i="48"/>
  <c r="M102" i="48"/>
  <c r="O102" i="48"/>
  <c r="O99" i="48"/>
  <c r="M99" i="48"/>
  <c r="M117" i="48"/>
  <c r="O117" i="48"/>
  <c r="M116" i="48"/>
  <c r="O116" i="48"/>
  <c r="T75" i="48"/>
  <c r="O75" i="48"/>
  <c r="T45" i="48"/>
  <c r="T111" i="48"/>
  <c r="S126" i="48"/>
  <c r="T126" i="48" s="1"/>
  <c r="S24" i="48"/>
  <c r="R84" i="48"/>
  <c r="T84" i="48"/>
  <c r="S97" i="48"/>
  <c r="U97" i="48" s="1" a="1"/>
  <c r="U97" i="48" s="1"/>
  <c r="I4" i="68"/>
  <c r="S101" i="48"/>
  <c r="U101" i="48" s="1" a="1"/>
  <c r="U101" i="48" s="1"/>
  <c r="S83" i="48"/>
  <c r="U83" i="48" s="1" a="1"/>
  <c r="U83" i="48" s="1"/>
  <c r="S100" i="48"/>
  <c r="U100" i="48" s="1" a="1"/>
  <c r="U100" i="48" s="1"/>
  <c r="S73" i="48"/>
  <c r="S128" i="48"/>
  <c r="T128" i="48" s="1"/>
  <c r="S94" i="48"/>
  <c r="U94" i="48" s="1" a="1"/>
  <c r="U94" i="48" s="1"/>
  <c r="S47" i="48"/>
  <c r="Q14" i="48" a="1"/>
  <c r="Q14" i="48" s="1"/>
  <c r="T91" i="48"/>
  <c r="K4" i="68"/>
  <c r="Q98" i="48" a="1"/>
  <c r="Q98" i="48" s="1"/>
  <c r="T38" i="48"/>
  <c r="U35" i="48" a="1"/>
  <c r="U35" i="48" s="1"/>
  <c r="S44" i="48"/>
  <c r="U44" i="48" s="1" a="1"/>
  <c r="U44" i="48" s="1"/>
  <c r="Q97" i="48" a="1"/>
  <c r="Q97" i="48" s="1"/>
  <c r="I5" i="68"/>
  <c r="F4" i="68"/>
  <c r="Q126" i="48" a="1"/>
  <c r="Q126" i="48" s="1"/>
  <c r="R126" i="48" s="1"/>
  <c r="T99" i="48"/>
  <c r="F5" i="68"/>
  <c r="T78" i="48"/>
  <c r="S98" i="48"/>
  <c r="T98" i="48" s="1"/>
  <c r="H5" i="68"/>
  <c r="T114" i="48"/>
  <c r="S116" i="48"/>
  <c r="U116" i="48" s="1" a="1"/>
  <c r="U116" i="48" s="1"/>
  <c r="S17" i="48"/>
  <c r="U17" i="48" s="1" a="1"/>
  <c r="U17" i="48" s="1"/>
  <c r="T56" i="48"/>
  <c r="J4" i="68"/>
  <c r="S14" i="48"/>
  <c r="U14" i="48" s="1" a="1"/>
  <c r="U14" i="48" s="1"/>
  <c r="S90" i="48"/>
  <c r="U90" i="48" s="1" a="1"/>
  <c r="U90" i="48" s="1"/>
  <c r="S96" i="48"/>
  <c r="U96" i="48" s="1" a="1"/>
  <c r="U96" i="48" s="1"/>
  <c r="S77" i="48"/>
  <c r="U77" i="48" s="1" a="1"/>
  <c r="U77" i="48" s="1"/>
  <c r="J5" i="68"/>
  <c r="K5" i="68"/>
  <c r="J6" i="68"/>
  <c r="Q47" i="48" a="1"/>
  <c r="Q47" i="48" s="1"/>
  <c r="U47" i="48" a="1"/>
  <c r="U47" i="48" s="1"/>
  <c r="Q74" i="48" a="1"/>
  <c r="Q74" i="48" s="1"/>
  <c r="R74" i="48" s="1"/>
  <c r="G4" i="68"/>
  <c r="B10" i="63"/>
  <c r="Q11" i="48" a="1"/>
  <c r="Q11" i="48" s="1"/>
  <c r="R11" i="48" s="1"/>
  <c r="Q118" i="48" a="1"/>
  <c r="Q118" i="48" s="1"/>
  <c r="R93" i="48"/>
  <c r="Q73" i="48" a="1"/>
  <c r="Q73" i="48" s="1"/>
  <c r="R73" i="48" s="1"/>
  <c r="Q64" i="48" a="1"/>
  <c r="Q64" i="48" s="1"/>
  <c r="U126" i="48" a="1"/>
  <c r="U126" i="48" s="1"/>
  <c r="T6" i="48"/>
  <c r="T76" i="48"/>
  <c r="S74" i="48"/>
  <c r="U74" i="48" s="1" a="1"/>
  <c r="U74" i="48" s="1"/>
  <c r="F6" i="68"/>
  <c r="U24" i="48" a="1"/>
  <c r="U24" i="48" s="1"/>
  <c r="Q90" i="48" a="1"/>
  <c r="Q90" i="48" s="1"/>
  <c r="R90" i="48" s="1"/>
  <c r="K6" i="68"/>
  <c r="Q127" i="48" a="1"/>
  <c r="Q127" i="48" s="1"/>
  <c r="R127" i="48" s="1"/>
  <c r="Q77" i="48" a="1"/>
  <c r="Q77" i="48" s="1"/>
  <c r="T43" i="48"/>
  <c r="T120" i="48"/>
  <c r="T109" i="48"/>
  <c r="Q50" i="48" a="1"/>
  <c r="Q50" i="48" s="1"/>
  <c r="R50" i="48" s="1"/>
  <c r="S18" i="48"/>
  <c r="U18" i="48" s="1" a="1"/>
  <c r="U18" i="48" s="1"/>
  <c r="Q100" i="48" a="1"/>
  <c r="Q100" i="48" s="1"/>
  <c r="R100" i="48" s="1"/>
  <c r="T40" i="48"/>
  <c r="Q116" i="48" a="1"/>
  <c r="Q116" i="48" s="1"/>
  <c r="Q39" i="48" a="1"/>
  <c r="Q39" i="48" s="1"/>
  <c r="B9" i="63"/>
  <c r="S63" i="48"/>
  <c r="U63" i="48" s="1" a="1"/>
  <c r="U63" i="48" s="1"/>
  <c r="G6" i="68"/>
  <c r="Q17" i="48" a="1"/>
  <c r="Q17" i="48" s="1"/>
  <c r="R17" i="48" s="1"/>
  <c r="Q96" i="48" a="1"/>
  <c r="Q96" i="48" s="1"/>
  <c r="H6" i="68"/>
  <c r="S62" i="48"/>
  <c r="U62" i="48" s="1" a="1"/>
  <c r="U62" i="48" s="1"/>
  <c r="S64" i="48"/>
  <c r="U64" i="48" s="1" a="1"/>
  <c r="U64" i="48" s="1"/>
  <c r="S50" i="48"/>
  <c r="T50" i="48" s="1"/>
  <c r="G5" i="68"/>
  <c r="R29" i="48"/>
  <c r="R47" i="48"/>
  <c r="Z74" i="43"/>
  <c r="Q128" i="48" a="1"/>
  <c r="Q128" i="48" s="1"/>
  <c r="R128" i="48" s="1"/>
  <c r="R23" i="48"/>
  <c r="Q94" i="48" a="1"/>
  <c r="Q94" i="48" s="1"/>
  <c r="U73" i="48" a="1"/>
  <c r="U73" i="48" s="1"/>
  <c r="T13" i="48"/>
  <c r="T46" i="48"/>
  <c r="T89" i="48"/>
  <c r="T113" i="48"/>
  <c r="H4" i="68"/>
  <c r="Q24" i="48" a="1"/>
  <c r="Q24" i="48" s="1"/>
  <c r="Q35" i="48" a="1"/>
  <c r="Q35" i="48" s="1"/>
  <c r="R35" i="48" s="1"/>
  <c r="S127" i="48"/>
  <c r="U127" i="48" s="1" a="1"/>
  <c r="U127" i="48" s="1"/>
  <c r="R48" i="48"/>
  <c r="T85" i="48"/>
  <c r="T123" i="48"/>
  <c r="I6" i="68"/>
  <c r="Q101" i="48" a="1"/>
  <c r="Q101" i="48" s="1"/>
  <c r="R101" i="48" s="1"/>
  <c r="Q63" i="48" a="1"/>
  <c r="Q63" i="48" s="1"/>
  <c r="R63" i="48" s="1"/>
  <c r="R122" i="48"/>
  <c r="U98" i="48" a="1"/>
  <c r="U98" i="48" s="1"/>
  <c r="S11" i="48"/>
  <c r="U11" i="48" s="1" a="1"/>
  <c r="U11" i="48" s="1"/>
  <c r="T44" i="48"/>
  <c r="R120" i="48"/>
  <c r="R56" i="48"/>
  <c r="Z123" i="43"/>
  <c r="M4" i="48"/>
  <c r="AB113" i="43"/>
  <c r="AA36" i="43"/>
  <c r="AA123" i="43"/>
  <c r="R105" i="48"/>
  <c r="T24" i="48"/>
  <c r="I6" i="53"/>
  <c r="R91" i="48"/>
  <c r="Z36" i="43"/>
  <c r="O4" i="48"/>
  <c r="R98" i="48"/>
  <c r="I15" i="53"/>
  <c r="T36" i="48"/>
  <c r="T4" i="48"/>
  <c r="R22" i="48"/>
  <c r="R33" i="48"/>
  <c r="T27" i="48"/>
  <c r="F6" i="53"/>
  <c r="R42" i="48"/>
  <c r="T42" i="48"/>
  <c r="R66" i="48"/>
  <c r="T66" i="48"/>
  <c r="R99" i="48"/>
  <c r="F8" i="53"/>
  <c r="Z39" i="43"/>
  <c r="R78" i="48"/>
  <c r="AB74" i="43"/>
  <c r="T33" i="48"/>
  <c r="T25" i="48"/>
  <c r="R27" i="48"/>
  <c r="Q117" i="48" a="1"/>
  <c r="Q117" i="48" s="1"/>
  <c r="R117" i="48" s="1"/>
  <c r="R26" i="48"/>
  <c r="T58" i="48"/>
  <c r="T77" i="48"/>
  <c r="R4" i="48"/>
  <c r="R36" i="48"/>
  <c r="R81" i="48"/>
  <c r="S118" i="48"/>
  <c r="U118" i="48" s="1" a="1"/>
  <c r="U118" i="48" s="1"/>
  <c r="AA74" i="43"/>
  <c r="U128" i="48" a="1"/>
  <c r="U128" i="48" s="1"/>
  <c r="R16" i="48"/>
  <c r="D13" i="53"/>
  <c r="D15" i="53"/>
  <c r="R72" i="48"/>
  <c r="S117" i="48"/>
  <c r="U117" i="48" s="1" a="1"/>
  <c r="U117" i="48" s="1"/>
  <c r="T10" i="48"/>
  <c r="Z112" i="43"/>
  <c r="R7" i="48"/>
  <c r="R51" i="48"/>
  <c r="S39" i="48"/>
  <c r="U39" i="48" s="1" a="1"/>
  <c r="U39" i="48" s="1"/>
  <c r="T125" i="48"/>
  <c r="R114" i="48"/>
  <c r="T106" i="48"/>
  <c r="Q83" i="48" a="1"/>
  <c r="Q83" i="48" s="1"/>
  <c r="R83" i="48" s="1"/>
  <c r="T35" i="48"/>
  <c r="T105" i="48"/>
  <c r="R41" i="48"/>
  <c r="Q18" i="48" a="1"/>
  <c r="Q18" i="48" s="1"/>
  <c r="R18" i="48" s="1"/>
  <c r="H10" i="53" a="1"/>
  <c r="H10" i="53" s="1"/>
  <c r="T17" i="48"/>
  <c r="T69" i="48"/>
  <c r="R110" i="48"/>
  <c r="T110" i="48"/>
  <c r="H12" i="53" a="1"/>
  <c r="H12" i="53" s="1"/>
  <c r="T92" i="48"/>
  <c r="I8" i="53"/>
  <c r="G15" i="53"/>
  <c r="F11" i="53"/>
  <c r="G7" i="53"/>
  <c r="G9" i="53"/>
  <c r="R43" i="48"/>
  <c r="R68" i="48"/>
  <c r="T83" i="48"/>
  <c r="I9" i="53"/>
  <c r="D6" i="53"/>
  <c r="I12" i="53"/>
  <c r="R34" i="48"/>
  <c r="T34" i="48"/>
  <c r="T19" i="48"/>
  <c r="R19" i="48"/>
  <c r="T71" i="48"/>
  <c r="R71" i="48"/>
  <c r="T81" i="48"/>
  <c r="T129" i="48"/>
  <c r="R129" i="48"/>
  <c r="I7" i="53"/>
  <c r="T73" i="48"/>
  <c r="R69" i="48"/>
  <c r="T101" i="48"/>
  <c r="R30" i="48"/>
  <c r="R12" i="48"/>
  <c r="T47" i="48"/>
  <c r="H16" i="53" a="1"/>
  <c r="H16" i="53" s="1"/>
  <c r="R124" i="48"/>
  <c r="T12" i="48"/>
  <c r="R76" i="48"/>
  <c r="H3" i="53" a="1"/>
  <c r="H3" i="53" s="1"/>
  <c r="D7" i="53"/>
  <c r="AB66" i="43"/>
  <c r="Z60" i="43"/>
  <c r="T68" i="48"/>
  <c r="R31" i="48"/>
  <c r="T49" i="48"/>
  <c r="T54" i="48"/>
  <c r="R54" i="48"/>
  <c r="T87" i="48"/>
  <c r="R89" i="48"/>
  <c r="R67" i="48"/>
  <c r="T67" i="48"/>
  <c r="T23" i="48"/>
  <c r="T90" i="48"/>
  <c r="T112" i="48"/>
  <c r="T104" i="48"/>
  <c r="Z135" i="43"/>
  <c r="AB135" i="43"/>
  <c r="AA135" i="43"/>
  <c r="T119" i="48"/>
  <c r="Z88" i="43"/>
  <c r="R119" i="48"/>
  <c r="R106" i="48"/>
  <c r="H8" i="53" a="1"/>
  <c r="H8" i="53" s="1"/>
  <c r="D11" i="53"/>
  <c r="D16" i="53"/>
  <c r="D5" i="53"/>
  <c r="F7" i="53"/>
  <c r="G16" i="53"/>
  <c r="F15" i="53"/>
  <c r="G13" i="53"/>
  <c r="D2" i="53"/>
  <c r="H4" i="53" a="1"/>
  <c r="H4" i="53" s="1"/>
  <c r="H9" i="53" a="1"/>
  <c r="H9" i="53" s="1"/>
  <c r="G6" i="53"/>
  <c r="G3" i="53"/>
  <c r="H14" i="53" a="1"/>
  <c r="H14" i="53" s="1"/>
  <c r="H2" i="53" a="1"/>
  <c r="H2" i="53" s="1"/>
  <c r="T93" i="48"/>
  <c r="H11" i="53" a="1"/>
  <c r="H11" i="53" s="1"/>
  <c r="F12" i="53"/>
  <c r="G11" i="53"/>
  <c r="G8" i="53"/>
  <c r="H6" i="53" a="1"/>
  <c r="H6" i="53" s="1"/>
  <c r="T16" i="48"/>
  <c r="R46" i="48"/>
  <c r="I11" i="53"/>
  <c r="F10" i="53"/>
  <c r="G10" i="53"/>
  <c r="R112" i="48"/>
  <c r="I14" i="53"/>
  <c r="Z59" i="43"/>
  <c r="AA59" i="43"/>
  <c r="AB59" i="43"/>
  <c r="R57" i="48"/>
  <c r="T57" i="48"/>
  <c r="T72" i="48"/>
  <c r="R87" i="48"/>
  <c r="T62" i="48"/>
  <c r="R62" i="48"/>
  <c r="R38" i="48"/>
  <c r="T82" i="48"/>
  <c r="R82" i="48"/>
  <c r="R55" i="48"/>
  <c r="T55" i="48"/>
  <c r="R59" i="48"/>
  <c r="T20" i="48"/>
  <c r="R20" i="48"/>
  <c r="H7" i="53" a="1"/>
  <c r="H7" i="53" s="1"/>
  <c r="R13" i="48"/>
  <c r="T22" i="48"/>
  <c r="T115" i="48"/>
  <c r="R115" i="48"/>
  <c r="H15" i="53" a="1"/>
  <c r="H15" i="53" s="1"/>
  <c r="AA115" i="43"/>
  <c r="AB115" i="43"/>
  <c r="Z115" i="43"/>
  <c r="R60" i="48"/>
  <c r="R108" i="48"/>
  <c r="T108" i="48"/>
  <c r="T59" i="48"/>
  <c r="T29" i="48"/>
  <c r="T21" i="48"/>
  <c r="R21" i="48"/>
  <c r="T18" i="48"/>
  <c r="T31" i="48"/>
  <c r="T37" i="48"/>
  <c r="R37" i="48"/>
  <c r="T79" i="48"/>
  <c r="R79" i="48"/>
  <c r="R58" i="48"/>
  <c r="T102" i="48"/>
  <c r="R102" i="48"/>
  <c r="R14" i="48"/>
  <c r="T14" i="48"/>
  <c r="R111" i="48"/>
  <c r="D3" i="53"/>
  <c r="D10" i="53"/>
  <c r="D8" i="53"/>
  <c r="T60" i="48"/>
  <c r="R85" i="48"/>
  <c r="R113" i="48"/>
  <c r="G4" i="53"/>
  <c r="I10" i="53"/>
  <c r="T5" i="48"/>
  <c r="R5" i="48"/>
  <c r="R77" i="48"/>
  <c r="R6" i="48"/>
  <c r="T86" i="48"/>
  <c r="R86" i="48"/>
  <c r="R109" i="48"/>
  <c r="R95" i="48"/>
  <c r="T95" i="48"/>
  <c r="T15" i="48"/>
  <c r="R15" i="48"/>
  <c r="R103" i="48"/>
  <c r="T103" i="48"/>
  <c r="T53" i="48"/>
  <c r="R53" i="48"/>
  <c r="R75" i="48"/>
  <c r="T48" i="48"/>
  <c r="T8" i="48"/>
  <c r="R8" i="48"/>
  <c r="T51" i="48"/>
  <c r="R125" i="48"/>
  <c r="T107" i="48"/>
  <c r="R107" i="48"/>
  <c r="H13" i="53" a="1"/>
  <c r="H13" i="53" s="1"/>
  <c r="D12" i="53"/>
  <c r="R61" i="48"/>
  <c r="T61" i="48"/>
  <c r="R49" i="48"/>
  <c r="T100" i="48"/>
  <c r="R70" i="48"/>
  <c r="T70" i="48"/>
  <c r="R52" i="48"/>
  <c r="T52" i="48"/>
  <c r="H5" i="53" a="1"/>
  <c r="H5" i="53" s="1"/>
  <c r="D4" i="53"/>
  <c r="G12" i="53"/>
  <c r="D14" i="53"/>
  <c r="F9" i="53"/>
  <c r="D9" i="53"/>
  <c r="R32" i="48"/>
  <c r="T32" i="48"/>
  <c r="R10" i="48"/>
  <c r="R65" i="48"/>
  <c r="T65" i="48"/>
  <c r="R123" i="48"/>
  <c r="T122" i="48"/>
  <c r="R40" i="48"/>
  <c r="R80" i="48"/>
  <c r="T80" i="48"/>
  <c r="R97" i="48"/>
  <c r="T97" i="48"/>
  <c r="T121" i="48"/>
  <c r="R121" i="48"/>
  <c r="T88" i="48"/>
  <c r="R88" i="48"/>
  <c r="R116" i="48"/>
  <c r="T116" i="48"/>
  <c r="AA28" i="43"/>
  <c r="T30" i="48"/>
  <c r="T7" i="48"/>
  <c r="R9" i="48"/>
  <c r="T9" i="48"/>
  <c r="R28" i="48"/>
  <c r="T28" i="48"/>
  <c r="T26" i="48"/>
  <c r="R104" i="48"/>
  <c r="R92" i="48"/>
  <c r="AB39" i="43"/>
  <c r="R45" i="48"/>
  <c r="R25" i="48"/>
  <c r="T124" i="48"/>
  <c r="AB112" i="43"/>
  <c r="AA112" i="43"/>
  <c r="T41" i="48"/>
  <c r="T127" i="48" l="1"/>
  <c r="T64" i="48"/>
  <c r="T74" i="48"/>
  <c r="Y102" i="43"/>
  <c r="AA102" i="43" s="1"/>
  <c r="Y94" i="43"/>
  <c r="Z94" i="43" s="1"/>
  <c r="Y89" i="43"/>
  <c r="Z89" i="43" s="1"/>
  <c r="R44" i="48"/>
  <c r="D96" i="62"/>
  <c r="T533" i="80"/>
  <c r="T349" i="80"/>
  <c r="T347" i="80"/>
  <c r="V348" i="80" a="1"/>
  <c r="V348" i="80" s="1"/>
  <c r="U1363" i="80"/>
  <c r="V1363" i="80" s="1" a="1"/>
  <c r="V1363" i="80" s="1"/>
  <c r="U958" i="80"/>
  <c r="U1358" i="80"/>
  <c r="T933" i="80"/>
  <c r="T1371" i="80"/>
  <c r="D119" i="62" s="1"/>
  <c r="U1357" i="80"/>
  <c r="T1365" i="80"/>
  <c r="T1370" i="80"/>
  <c r="T958" i="80"/>
  <c r="T935" i="80"/>
  <c r="Y39" i="48" a="1"/>
  <c r="Y39" i="48" s="1"/>
  <c r="V963" i="80" a="1"/>
  <c r="V963" i="80" s="1"/>
  <c r="T535" i="80"/>
  <c r="V1371" i="80" a="1"/>
  <c r="V1371" i="80" s="1"/>
  <c r="V66" i="80" a="1"/>
  <c r="V66" i="80" s="1"/>
  <c r="T1336" i="80"/>
  <c r="D68" i="62" s="1"/>
  <c r="R24" i="48"/>
  <c r="V63" i="48" a="1"/>
  <c r="V63" i="48" s="1"/>
  <c r="X63" i="48" a="1"/>
  <c r="X63" i="48" s="1"/>
  <c r="T63" i="48"/>
  <c r="R96" i="48"/>
  <c r="V958" i="80" a="1"/>
  <c r="V958" i="80" s="1"/>
  <c r="W99" i="48"/>
  <c r="F4" i="53" s="1"/>
  <c r="V347" i="80" a="1"/>
  <c r="V347" i="80" s="1"/>
  <c r="T1363" i="80"/>
  <c r="V534" i="80" a="1"/>
  <c r="V534" i="80" s="1"/>
  <c r="V965" i="80" a="1"/>
  <c r="V965" i="80" s="1"/>
  <c r="T531" i="80"/>
  <c r="T1354" i="80"/>
  <c r="V535" i="80" a="1"/>
  <c r="V535" i="80" s="1"/>
  <c r="U1365" i="80"/>
  <c r="V1365" i="80" s="1" a="1"/>
  <c r="V1365" i="80" s="1"/>
  <c r="T1356" i="80"/>
  <c r="V12" i="80" a="1"/>
  <c r="V12" i="80" s="1"/>
  <c r="V21" i="80" a="1"/>
  <c r="V21" i="80" s="1"/>
  <c r="V26" i="80" a="1"/>
  <c r="V26" i="80" s="1"/>
  <c r="V35" i="80" a="1"/>
  <c r="V35" i="80" s="1"/>
  <c r="V44" i="80" a="1"/>
  <c r="V44" i="80" s="1"/>
  <c r="V53" i="80" a="1"/>
  <c r="V53" i="80" s="1"/>
  <c r="V58" i="80" a="1"/>
  <c r="V58" i="80" s="1"/>
  <c r="V67" i="80" a="1"/>
  <c r="V67" i="80" s="1"/>
  <c r="V76" i="80" a="1"/>
  <c r="V76" i="80" s="1"/>
  <c r="V85" i="80" a="1"/>
  <c r="V85" i="80" s="1"/>
  <c r="V90" i="80" a="1"/>
  <c r="V90" i="80" s="1"/>
  <c r="V99" i="80" a="1"/>
  <c r="V99" i="80" s="1"/>
  <c r="V108" i="80" a="1"/>
  <c r="V108" i="80" s="1"/>
  <c r="V117" i="80" a="1"/>
  <c r="V117" i="80" s="1"/>
  <c r="V122" i="80" a="1"/>
  <c r="V122" i="80" s="1"/>
  <c r="V131" i="80" a="1"/>
  <c r="V131" i="80" s="1"/>
  <c r="V140" i="80" a="1"/>
  <c r="V140" i="80" s="1"/>
  <c r="V149" i="80" a="1"/>
  <c r="V149" i="80" s="1"/>
  <c r="V154" i="80" a="1"/>
  <c r="V154" i="80" s="1"/>
  <c r="V163" i="80" a="1"/>
  <c r="V163" i="80" s="1"/>
  <c r="V172" i="80" a="1"/>
  <c r="V172" i="80" s="1"/>
  <c r="V181" i="80" a="1"/>
  <c r="V181" i="80" s="1"/>
  <c r="V186" i="80" a="1"/>
  <c r="V186" i="80" s="1"/>
  <c r="V195" i="80" a="1"/>
  <c r="V195" i="80" s="1"/>
  <c r="V204" i="80" a="1"/>
  <c r="V204" i="80" s="1"/>
  <c r="V213" i="80" a="1"/>
  <c r="V213" i="80" s="1"/>
  <c r="V218" i="80" a="1"/>
  <c r="V218" i="80" s="1"/>
  <c r="V227" i="80" a="1"/>
  <c r="V227" i="80" s="1"/>
  <c r="V236" i="80" a="1"/>
  <c r="V236" i="80" s="1"/>
  <c r="V245" i="80" a="1"/>
  <c r="V245" i="80" s="1"/>
  <c r="V250" i="80" a="1"/>
  <c r="V250" i="80" s="1"/>
  <c r="V259" i="80" a="1"/>
  <c r="V259" i="80" s="1"/>
  <c r="V268" i="80" a="1"/>
  <c r="V268" i="80" s="1"/>
  <c r="V277" i="80" a="1"/>
  <c r="V277" i="80" s="1"/>
  <c r="V282" i="80" a="1"/>
  <c r="V282" i="80" s="1"/>
  <c r="V291" i="80" a="1"/>
  <c r="V291" i="80" s="1"/>
  <c r="V300" i="80" a="1"/>
  <c r="V300" i="80" s="1"/>
  <c r="V310" i="80" a="1"/>
  <c r="V310" i="80" s="1"/>
  <c r="V316" i="80" a="1"/>
  <c r="V316" i="80" s="1"/>
  <c r="V321" i="80" a="1"/>
  <c r="V321" i="80" s="1"/>
  <c r="V327" i="80" a="1"/>
  <c r="V327" i="80" s="1"/>
  <c r="V342" i="80" a="1"/>
  <c r="V342" i="80" s="1"/>
  <c r="V351" i="80" a="1"/>
  <c r="V351" i="80" s="1"/>
  <c r="V3" i="80" a="1"/>
  <c r="V3" i="80" s="1"/>
  <c r="V8" i="80" a="1"/>
  <c r="V8" i="80" s="1"/>
  <c r="V17" i="80" a="1"/>
  <c r="V17" i="80" s="1"/>
  <c r="V22" i="80" a="1"/>
  <c r="V22" i="80" s="1"/>
  <c r="V31" i="80" a="1"/>
  <c r="V31" i="80" s="1"/>
  <c r="V40" i="80" a="1"/>
  <c r="V40" i="80" s="1"/>
  <c r="V49" i="80" a="1"/>
  <c r="V49" i="80" s="1"/>
  <c r="V54" i="80" a="1"/>
  <c r="V54" i="80" s="1"/>
  <c r="V63" i="80" a="1"/>
  <c r="V63" i="80" s="1"/>
  <c r="V72" i="80" a="1"/>
  <c r="V72" i="80" s="1"/>
  <c r="V81" i="80" a="1"/>
  <c r="V81" i="80" s="1"/>
  <c r="V86" i="80" a="1"/>
  <c r="V86" i="80" s="1"/>
  <c r="V95" i="80" a="1"/>
  <c r="V95" i="80" s="1"/>
  <c r="V104" i="80" a="1"/>
  <c r="V104" i="80" s="1"/>
  <c r="V113" i="80" a="1"/>
  <c r="V113" i="80" s="1"/>
  <c r="V118" i="80" a="1"/>
  <c r="V118" i="80" s="1"/>
  <c r="V127" i="80" a="1"/>
  <c r="V127" i="80" s="1"/>
  <c r="V136" i="80" a="1"/>
  <c r="V136" i="80" s="1"/>
  <c r="V145" i="80" a="1"/>
  <c r="V145" i="80" s="1"/>
  <c r="V150" i="80" a="1"/>
  <c r="V150" i="80" s="1"/>
  <c r="V159" i="80" a="1"/>
  <c r="V159" i="80" s="1"/>
  <c r="V168" i="80" a="1"/>
  <c r="V168" i="80" s="1"/>
  <c r="V177" i="80" a="1"/>
  <c r="V177" i="80" s="1"/>
  <c r="V182" i="80" a="1"/>
  <c r="V182" i="80" s="1"/>
  <c r="V191" i="80" a="1"/>
  <c r="V191" i="80" s="1"/>
  <c r="V200" i="80" a="1"/>
  <c r="V200" i="80" s="1"/>
  <c r="V209" i="80" a="1"/>
  <c r="V209" i="80" s="1"/>
  <c r="V214" i="80" a="1"/>
  <c r="V214" i="80" s="1"/>
  <c r="V223" i="80" a="1"/>
  <c r="V223" i="80" s="1"/>
  <c r="V232" i="80" a="1"/>
  <c r="V232" i="80" s="1"/>
  <c r="V241" i="80" a="1"/>
  <c r="V241" i="80" s="1"/>
  <c r="V246" i="80" a="1"/>
  <c r="V246" i="80" s="1"/>
  <c r="V255" i="80" a="1"/>
  <c r="V255" i="80" s="1"/>
  <c r="V264" i="80" a="1"/>
  <c r="V264" i="80" s="1"/>
  <c r="V273" i="80" a="1"/>
  <c r="V273" i="80" s="1"/>
  <c r="V278" i="80" a="1"/>
  <c r="V278" i="80" s="1"/>
  <c r="V287" i="80" a="1"/>
  <c r="V287" i="80" s="1"/>
  <c r="V296" i="80" a="1"/>
  <c r="V296" i="80" s="1"/>
  <c r="V305" i="80" a="1"/>
  <c r="V305" i="80" s="1"/>
  <c r="V317" i="80" a="1"/>
  <c r="V317" i="80" s="1"/>
  <c r="V322" i="80" a="1"/>
  <c r="V322" i="80" s="1"/>
  <c r="V332" i="80" a="1"/>
  <c r="V332" i="80" s="1"/>
  <c r="V337" i="80" a="1"/>
  <c r="V337" i="80" s="1"/>
  <c r="V356" i="80" a="1"/>
  <c r="V356" i="80" s="1"/>
  <c r="V13" i="80" a="1"/>
  <c r="V13" i="80" s="1"/>
  <c r="V18" i="80" a="1"/>
  <c r="V18" i="80" s="1"/>
  <c r="V27" i="80" a="1"/>
  <c r="V27" i="80" s="1"/>
  <c r="V36" i="80" a="1"/>
  <c r="V36" i="80" s="1"/>
  <c r="V45" i="80" a="1"/>
  <c r="V45" i="80" s="1"/>
  <c r="V50" i="80" a="1"/>
  <c r="V50" i="80" s="1"/>
  <c r="V59" i="80" a="1"/>
  <c r="V59" i="80" s="1"/>
  <c r="V68" i="80" a="1"/>
  <c r="V68" i="80" s="1"/>
  <c r="V77" i="80" a="1"/>
  <c r="V77" i="80" s="1"/>
  <c r="V82" i="80" a="1"/>
  <c r="V82" i="80" s="1"/>
  <c r="V91" i="80" a="1"/>
  <c r="V91" i="80" s="1"/>
  <c r="V100" i="80" a="1"/>
  <c r="V100" i="80" s="1"/>
  <c r="V109" i="80" a="1"/>
  <c r="V109" i="80" s="1"/>
  <c r="V114" i="80" a="1"/>
  <c r="V114" i="80" s="1"/>
  <c r="V123" i="80" a="1"/>
  <c r="V123" i="80" s="1"/>
  <c r="V132" i="80" a="1"/>
  <c r="V132" i="80" s="1"/>
  <c r="V141" i="80" a="1"/>
  <c r="V141" i="80" s="1"/>
  <c r="V146" i="80" a="1"/>
  <c r="V146" i="80" s="1"/>
  <c r="V155" i="80" a="1"/>
  <c r="V155" i="80" s="1"/>
  <c r="V164" i="80" a="1"/>
  <c r="V164" i="80" s="1"/>
  <c r="V173" i="80" a="1"/>
  <c r="V173" i="80" s="1"/>
  <c r="V178" i="80" a="1"/>
  <c r="V178" i="80" s="1"/>
  <c r="V187" i="80" a="1"/>
  <c r="V187" i="80" s="1"/>
  <c r="V196" i="80" a="1"/>
  <c r="V196" i="80" s="1"/>
  <c r="V205" i="80" a="1"/>
  <c r="V205" i="80" s="1"/>
  <c r="V210" i="80" a="1"/>
  <c r="V210" i="80" s="1"/>
  <c r="V219" i="80" a="1"/>
  <c r="V219" i="80" s="1"/>
  <c r="V228" i="80" a="1"/>
  <c r="V228" i="80" s="1"/>
  <c r="V237" i="80" a="1"/>
  <c r="V237" i="80" s="1"/>
  <c r="V242" i="80" a="1"/>
  <c r="V242" i="80" s="1"/>
  <c r="V251" i="80" a="1"/>
  <c r="V251" i="80" s="1"/>
  <c r="V260" i="80" a="1"/>
  <c r="V260" i="80" s="1"/>
  <c r="V269" i="80" a="1"/>
  <c r="V269" i="80" s="1"/>
  <c r="V274" i="80" a="1"/>
  <c r="V274" i="80" s="1"/>
  <c r="V292" i="80" a="1"/>
  <c r="V292" i="80" s="1"/>
  <c r="U1354" i="80"/>
  <c r="V4" i="80" a="1"/>
  <c r="V4" i="80" s="1"/>
  <c r="V9" i="80" a="1"/>
  <c r="V9" i="80" s="1"/>
  <c r="V14" i="80" a="1"/>
  <c r="V14" i="80" s="1"/>
  <c r="V23" i="80" a="1"/>
  <c r="V23" i="80" s="1"/>
  <c r="V32" i="80" a="1"/>
  <c r="V32" i="80" s="1"/>
  <c r="V41" i="80" a="1"/>
  <c r="V41" i="80" s="1"/>
  <c r="V46" i="80" a="1"/>
  <c r="V46" i="80" s="1"/>
  <c r="V55" i="80" a="1"/>
  <c r="V55" i="80" s="1"/>
  <c r="V64" i="80" a="1"/>
  <c r="V64" i="80" s="1"/>
  <c r="V73" i="80" a="1"/>
  <c r="V73" i="80" s="1"/>
  <c r="V78" i="80" a="1"/>
  <c r="V78" i="80" s="1"/>
  <c r="V87" i="80" a="1"/>
  <c r="V87" i="80" s="1"/>
  <c r="V96" i="80" a="1"/>
  <c r="V96" i="80" s="1"/>
  <c r="V105" i="80" a="1"/>
  <c r="V105" i="80" s="1"/>
  <c r="V110" i="80" a="1"/>
  <c r="V110" i="80" s="1"/>
  <c r="V119" i="80" a="1"/>
  <c r="V119" i="80" s="1"/>
  <c r="V128" i="80" a="1"/>
  <c r="V128" i="80" s="1"/>
  <c r="V137" i="80" a="1"/>
  <c r="V137" i="80" s="1"/>
  <c r="V142" i="80" a="1"/>
  <c r="V142" i="80" s="1"/>
  <c r="V151" i="80" a="1"/>
  <c r="V151" i="80" s="1"/>
  <c r="V160" i="80" a="1"/>
  <c r="V160" i="80" s="1"/>
  <c r="V169" i="80" a="1"/>
  <c r="V169" i="80" s="1"/>
  <c r="V174" i="80" a="1"/>
  <c r="V174" i="80" s="1"/>
  <c r="V183" i="80" a="1"/>
  <c r="V183" i="80" s="1"/>
  <c r="V192" i="80" a="1"/>
  <c r="V192" i="80" s="1"/>
  <c r="V201" i="80" a="1"/>
  <c r="V201" i="80" s="1"/>
  <c r="V206" i="80" a="1"/>
  <c r="V206" i="80" s="1"/>
  <c r="V215" i="80" a="1"/>
  <c r="V215" i="80" s="1"/>
  <c r="V224" i="80" a="1"/>
  <c r="V224" i="80" s="1"/>
  <c r="V233" i="80" a="1"/>
  <c r="V233" i="80" s="1"/>
  <c r="V238" i="80" a="1"/>
  <c r="V238" i="80" s="1"/>
  <c r="V247" i="80" a="1"/>
  <c r="V247" i="80" s="1"/>
  <c r="V256" i="80" a="1"/>
  <c r="V256" i="80" s="1"/>
  <c r="V265" i="80" a="1"/>
  <c r="V265" i="80" s="1"/>
  <c r="V270" i="80" a="1"/>
  <c r="V270" i="80" s="1"/>
  <c r="V279" i="80" a="1"/>
  <c r="V279" i="80" s="1"/>
  <c r="U1355" i="80"/>
  <c r="V1355" i="80" s="1" a="1"/>
  <c r="V1355" i="80" s="1"/>
  <c r="V5" i="80" a="1"/>
  <c r="V5" i="80" s="1"/>
  <c r="V10" i="80" a="1"/>
  <c r="V10" i="80" s="1"/>
  <c r="V19" i="80" a="1"/>
  <c r="V19" i="80" s="1"/>
  <c r="V28" i="80" a="1"/>
  <c r="V28" i="80" s="1"/>
  <c r="V37" i="80" a="1"/>
  <c r="V37" i="80" s="1"/>
  <c r="V42" i="80" a="1"/>
  <c r="V42" i="80" s="1"/>
  <c r="V51" i="80" a="1"/>
  <c r="V51" i="80" s="1"/>
  <c r="V60" i="80" a="1"/>
  <c r="V60" i="80" s="1"/>
  <c r="V69" i="80" a="1"/>
  <c r="V69" i="80" s="1"/>
  <c r="V74" i="80" a="1"/>
  <c r="V74" i="80" s="1"/>
  <c r="V83" i="80" a="1"/>
  <c r="V83" i="80" s="1"/>
  <c r="V92" i="80" a="1"/>
  <c r="V92" i="80" s="1"/>
  <c r="V101" i="80" a="1"/>
  <c r="V101" i="80" s="1"/>
  <c r="V106" i="80" a="1"/>
  <c r="V106" i="80" s="1"/>
  <c r="V115" i="80" a="1"/>
  <c r="V115" i="80" s="1"/>
  <c r="V124" i="80" a="1"/>
  <c r="V124" i="80" s="1"/>
  <c r="V133" i="80" a="1"/>
  <c r="V133" i="80" s="1"/>
  <c r="V138" i="80" a="1"/>
  <c r="V138" i="80" s="1"/>
  <c r="V147" i="80" a="1"/>
  <c r="V147" i="80" s="1"/>
  <c r="V156" i="80" a="1"/>
  <c r="V156" i="80" s="1"/>
  <c r="V165" i="80" a="1"/>
  <c r="V165" i="80" s="1"/>
  <c r="V170" i="80" a="1"/>
  <c r="V170" i="80" s="1"/>
  <c r="V179" i="80" a="1"/>
  <c r="V179" i="80" s="1"/>
  <c r="V188" i="80" a="1"/>
  <c r="V188" i="80" s="1"/>
  <c r="V197" i="80" a="1"/>
  <c r="V197" i="80" s="1"/>
  <c r="V202" i="80" a="1"/>
  <c r="V202" i="80" s="1"/>
  <c r="V211" i="80" a="1"/>
  <c r="V211" i="80" s="1"/>
  <c r="V220" i="80" a="1"/>
  <c r="V220" i="80" s="1"/>
  <c r="V229" i="80" a="1"/>
  <c r="V229" i="80" s="1"/>
  <c r="V234" i="80" a="1"/>
  <c r="V234" i="80" s="1"/>
  <c r="V243" i="80" a="1"/>
  <c r="V243" i="80" s="1"/>
  <c r="V252" i="80" a="1"/>
  <c r="V252" i="80" s="1"/>
  <c r="V261" i="80" a="1"/>
  <c r="V261" i="80" s="1"/>
  <c r="V266" i="80" a="1"/>
  <c r="V266" i="80" s="1"/>
  <c r="V275" i="80" a="1"/>
  <c r="V275" i="80" s="1"/>
  <c r="V284" i="80" a="1"/>
  <c r="V284" i="80" s="1"/>
  <c r="V293" i="80" a="1"/>
  <c r="V293" i="80" s="1"/>
  <c r="V298" i="80" a="1"/>
  <c r="V298" i="80" s="1"/>
  <c r="V312" i="80" a="1"/>
  <c r="V312" i="80" s="1"/>
  <c r="V319" i="80" a="1"/>
  <c r="V319" i="80" s="1"/>
  <c r="V329" i="80" a="1"/>
  <c r="V329" i="80" s="1"/>
  <c r="V334" i="80" a="1"/>
  <c r="V334" i="80" s="1"/>
  <c r="V344" i="80" a="1"/>
  <c r="V344" i="80" s="1"/>
  <c r="U1356" i="80"/>
  <c r="V1356" i="80" s="1" a="1"/>
  <c r="V1356" i="80" s="1"/>
  <c r="V6" i="80" a="1"/>
  <c r="V6" i="80" s="1"/>
  <c r="V15" i="80" a="1"/>
  <c r="V15" i="80" s="1"/>
  <c r="V24" i="80" a="1"/>
  <c r="V24" i="80" s="1"/>
  <c r="V33" i="80" a="1"/>
  <c r="V33" i="80" s="1"/>
  <c r="V38" i="80" a="1"/>
  <c r="V38" i="80" s="1"/>
  <c r="V47" i="80" a="1"/>
  <c r="V47" i="80" s="1"/>
  <c r="V56" i="80" a="1"/>
  <c r="V56" i="80" s="1"/>
  <c r="V70" i="80" a="1"/>
  <c r="V70" i="80" s="1"/>
  <c r="V79" i="80" a="1"/>
  <c r="V79" i="80" s="1"/>
  <c r="V88" i="80" a="1"/>
  <c r="V88" i="80" s="1"/>
  <c r="V97" i="80" a="1"/>
  <c r="V97" i="80" s="1"/>
  <c r="V102" i="80" a="1"/>
  <c r="V102" i="80" s="1"/>
  <c r="V111" i="80" a="1"/>
  <c r="V111" i="80" s="1"/>
  <c r="V120" i="80" a="1"/>
  <c r="V120" i="80" s="1"/>
  <c r="V129" i="80" a="1"/>
  <c r="V129" i="80" s="1"/>
  <c r="V134" i="80" a="1"/>
  <c r="V134" i="80" s="1"/>
  <c r="V143" i="80" a="1"/>
  <c r="V143" i="80" s="1"/>
  <c r="V152" i="80" a="1"/>
  <c r="V152" i="80" s="1"/>
  <c r="V161" i="80" a="1"/>
  <c r="V161" i="80" s="1"/>
  <c r="V166" i="80" a="1"/>
  <c r="V166" i="80" s="1"/>
  <c r="V175" i="80" a="1"/>
  <c r="V175" i="80" s="1"/>
  <c r="V184" i="80" a="1"/>
  <c r="V184" i="80" s="1"/>
  <c r="V193" i="80" a="1"/>
  <c r="V193" i="80" s="1"/>
  <c r="V198" i="80" a="1"/>
  <c r="V198" i="80" s="1"/>
  <c r="V207" i="80" a="1"/>
  <c r="V207" i="80" s="1"/>
  <c r="V216" i="80" a="1"/>
  <c r="V216" i="80" s="1"/>
  <c r="V225" i="80" a="1"/>
  <c r="V225" i="80" s="1"/>
  <c r="V230" i="80" a="1"/>
  <c r="V230" i="80" s="1"/>
  <c r="V239" i="80" a="1"/>
  <c r="V239" i="80" s="1"/>
  <c r="V248" i="80" a="1"/>
  <c r="V248" i="80" s="1"/>
  <c r="V257" i="80" a="1"/>
  <c r="V257" i="80" s="1"/>
  <c r="V262" i="80" a="1"/>
  <c r="V262" i="80" s="1"/>
  <c r="V271" i="80" a="1"/>
  <c r="V271" i="80" s="1"/>
  <c r="V280" i="80" a="1"/>
  <c r="V280" i="80" s="1"/>
  <c r="V289" i="80" a="1"/>
  <c r="V289" i="80" s="1"/>
  <c r="V294" i="80" a="1"/>
  <c r="V294" i="80" s="1"/>
  <c r="V303" i="80" a="1"/>
  <c r="V303" i="80" s="1"/>
  <c r="V308" i="80" a="1"/>
  <c r="V308" i="80" s="1"/>
  <c r="V313" i="80" a="1"/>
  <c r="V313" i="80" s="1"/>
  <c r="V324" i="80" a="1"/>
  <c r="V324" i="80" s="1"/>
  <c r="V330" i="80" a="1"/>
  <c r="V330" i="80" s="1"/>
  <c r="V340" i="80" a="1"/>
  <c r="V340" i="80" s="1"/>
  <c r="V354" i="80" a="1"/>
  <c r="V354" i="80" s="1"/>
  <c r="V363" i="80" a="1"/>
  <c r="V363" i="80" s="1"/>
  <c r="V11" i="80" a="1"/>
  <c r="V11" i="80" s="1"/>
  <c r="V20" i="80" a="1"/>
  <c r="V20" i="80" s="1"/>
  <c r="V29" i="80" a="1"/>
  <c r="V29" i="80" s="1"/>
  <c r="V34" i="80" a="1"/>
  <c r="V34" i="80" s="1"/>
  <c r="V43" i="80" a="1"/>
  <c r="V43" i="80" s="1"/>
  <c r="V52" i="80" a="1"/>
  <c r="V52" i="80" s="1"/>
  <c r="V61" i="80" a="1"/>
  <c r="V61" i="80" s="1"/>
  <c r="V75" i="80" a="1"/>
  <c r="V75" i="80" s="1"/>
  <c r="V84" i="80" a="1"/>
  <c r="V84" i="80" s="1"/>
  <c r="V93" i="80" a="1"/>
  <c r="V93" i="80" s="1"/>
  <c r="V98" i="80" a="1"/>
  <c r="V98" i="80" s="1"/>
  <c r="V107" i="80" a="1"/>
  <c r="V107" i="80" s="1"/>
  <c r="V116" i="80" a="1"/>
  <c r="V116" i="80" s="1"/>
  <c r="V125" i="80" a="1"/>
  <c r="V125" i="80" s="1"/>
  <c r="V130" i="80" a="1"/>
  <c r="V130" i="80" s="1"/>
  <c r="V139" i="80" a="1"/>
  <c r="V139" i="80" s="1"/>
  <c r="V148" i="80" a="1"/>
  <c r="V148" i="80" s="1"/>
  <c r="V157" i="80" a="1"/>
  <c r="V157" i="80" s="1"/>
  <c r="V162" i="80" a="1"/>
  <c r="V162" i="80" s="1"/>
  <c r="V171" i="80" a="1"/>
  <c r="V171" i="80" s="1"/>
  <c r="V180" i="80" a="1"/>
  <c r="V180" i="80" s="1"/>
  <c r="V189" i="80" a="1"/>
  <c r="V189" i="80" s="1"/>
  <c r="V194" i="80" a="1"/>
  <c r="V194" i="80" s="1"/>
  <c r="V203" i="80" a="1"/>
  <c r="V203" i="80" s="1"/>
  <c r="V212" i="80" a="1"/>
  <c r="V212" i="80" s="1"/>
  <c r="V221" i="80" a="1"/>
  <c r="V221" i="80" s="1"/>
  <c r="V226" i="80" a="1"/>
  <c r="V226" i="80" s="1"/>
  <c r="V235" i="80" a="1"/>
  <c r="V235" i="80" s="1"/>
  <c r="V244" i="80" a="1"/>
  <c r="V244" i="80" s="1"/>
  <c r="V253" i="80" a="1"/>
  <c r="V253" i="80" s="1"/>
  <c r="V258" i="80" a="1"/>
  <c r="V258" i="80" s="1"/>
  <c r="V267" i="80" a="1"/>
  <c r="V267" i="80" s="1"/>
  <c r="V276" i="80" a="1"/>
  <c r="V276" i="80" s="1"/>
  <c r="V285" i="80" a="1"/>
  <c r="V285" i="80" s="1"/>
  <c r="V290" i="80" a="1"/>
  <c r="V290" i="80" s="1"/>
  <c r="V299" i="80" a="1"/>
  <c r="V299" i="80" s="1"/>
  <c r="V7" i="80" a="1"/>
  <c r="V7" i="80" s="1"/>
  <c r="V16" i="80" a="1"/>
  <c r="V16" i="80" s="1"/>
  <c r="V25" i="80" a="1"/>
  <c r="V25" i="80" s="1"/>
  <c r="V30" i="80" a="1"/>
  <c r="V30" i="80" s="1"/>
  <c r="V39" i="80" a="1"/>
  <c r="V39" i="80" s="1"/>
  <c r="V48" i="80" a="1"/>
  <c r="V48" i="80" s="1"/>
  <c r="V57" i="80" a="1"/>
  <c r="V57" i="80" s="1"/>
  <c r="V62" i="80" a="1"/>
  <c r="V62" i="80" s="1"/>
  <c r="V71" i="80" a="1"/>
  <c r="V71" i="80" s="1"/>
  <c r="V80" i="80" a="1"/>
  <c r="V80" i="80" s="1"/>
  <c r="V89" i="80" a="1"/>
  <c r="V89" i="80" s="1"/>
  <c r="V94" i="80" a="1"/>
  <c r="V94" i="80" s="1"/>
  <c r="V103" i="80" a="1"/>
  <c r="V103" i="80" s="1"/>
  <c r="V112" i="80" a="1"/>
  <c r="V112" i="80" s="1"/>
  <c r="V121" i="80" a="1"/>
  <c r="V121" i="80" s="1"/>
  <c r="V126" i="80" a="1"/>
  <c r="V126" i="80" s="1"/>
  <c r="V135" i="80" a="1"/>
  <c r="V135" i="80" s="1"/>
  <c r="V144" i="80" a="1"/>
  <c r="V144" i="80" s="1"/>
  <c r="V153" i="80" a="1"/>
  <c r="V153" i="80" s="1"/>
  <c r="V158" i="80" a="1"/>
  <c r="V158" i="80" s="1"/>
  <c r="V167" i="80" a="1"/>
  <c r="V167" i="80" s="1"/>
  <c r="V176" i="80" a="1"/>
  <c r="V176" i="80" s="1"/>
  <c r="V185" i="80" a="1"/>
  <c r="V185" i="80" s="1"/>
  <c r="V190" i="80" a="1"/>
  <c r="V190" i="80" s="1"/>
  <c r="V199" i="80" a="1"/>
  <c r="V199" i="80" s="1"/>
  <c r="V208" i="80" a="1"/>
  <c r="V208" i="80" s="1"/>
  <c r="V217" i="80" a="1"/>
  <c r="V217" i="80" s="1"/>
  <c r="V222" i="80" a="1"/>
  <c r="V222" i="80" s="1"/>
  <c r="V231" i="80" a="1"/>
  <c r="V231" i="80" s="1"/>
  <c r="V240" i="80" a="1"/>
  <c r="V240" i="80" s="1"/>
  <c r="V249" i="80" a="1"/>
  <c r="V249" i="80" s="1"/>
  <c r="V254" i="80" a="1"/>
  <c r="V254" i="80" s="1"/>
  <c r="V263" i="80" a="1"/>
  <c r="V263" i="80" s="1"/>
  <c r="V272" i="80" a="1"/>
  <c r="V272" i="80" s="1"/>
  <c r="V281" i="80" a="1"/>
  <c r="V281" i="80" s="1"/>
  <c r="V286" i="80" a="1"/>
  <c r="V286" i="80" s="1"/>
  <c r="V304" i="80" a="1"/>
  <c r="V304" i="80" s="1"/>
  <c r="V315" i="80" a="1"/>
  <c r="V315" i="80" s="1"/>
  <c r="V326" i="80" a="1"/>
  <c r="V326" i="80" s="1"/>
  <c r="V336" i="80" a="1"/>
  <c r="V336" i="80" s="1"/>
  <c r="V346" i="80" a="1"/>
  <c r="V346" i="80" s="1"/>
  <c r="V366" i="80" a="1"/>
  <c r="V366" i="80" s="1"/>
  <c r="V371" i="80" a="1"/>
  <c r="V371" i="80" s="1"/>
  <c r="V380" i="80" a="1"/>
  <c r="V380" i="80" s="1"/>
  <c r="V385" i="80" a="1"/>
  <c r="V385" i="80" s="1"/>
  <c r="V394" i="80" a="1"/>
  <c r="V394" i="80" s="1"/>
  <c r="V403" i="80" a="1"/>
  <c r="V403" i="80" s="1"/>
  <c r="V412" i="80" a="1"/>
  <c r="V412" i="80" s="1"/>
  <c r="V417" i="80" a="1"/>
  <c r="V417" i="80" s="1"/>
  <c r="V426" i="80" a="1"/>
  <c r="V426" i="80" s="1"/>
  <c r="V436" i="80" a="1"/>
  <c r="V436" i="80" s="1"/>
  <c r="V441" i="80" a="1"/>
  <c r="V441" i="80" s="1"/>
  <c r="V453" i="80" a="1"/>
  <c r="V453" i="80" s="1"/>
  <c r="V458" i="80" a="1"/>
  <c r="V458" i="80" s="1"/>
  <c r="V470" i="80" a="1"/>
  <c r="V470" i="80" s="1"/>
  <c r="V476" i="80" a="1"/>
  <c r="V476" i="80" s="1"/>
  <c r="V481" i="80" a="1"/>
  <c r="V481" i="80" s="1"/>
  <c r="V487" i="80" a="1"/>
  <c r="V487" i="80" s="1"/>
  <c r="V499" i="80" a="1"/>
  <c r="V499" i="80" s="1"/>
  <c r="V504" i="80" a="1"/>
  <c r="V504" i="80" s="1"/>
  <c r="V517" i="80" a="1"/>
  <c r="V517" i="80" s="1"/>
  <c r="V522" i="80" a="1"/>
  <c r="V522" i="80" s="1"/>
  <c r="V539" i="80" a="1"/>
  <c r="V539" i="80" s="1"/>
  <c r="V544" i="80" a="1"/>
  <c r="V544" i="80" s="1"/>
  <c r="V550" i="80" a="1"/>
  <c r="V550" i="80" s="1"/>
  <c r="V560" i="80" a="1"/>
  <c r="V560" i="80" s="1"/>
  <c r="V573" i="80" a="1"/>
  <c r="V573" i="80" s="1"/>
  <c r="V578" i="80" a="1"/>
  <c r="V578" i="80" s="1"/>
  <c r="V590" i="80" a="1"/>
  <c r="V590" i="80" s="1"/>
  <c r="V596" i="80" a="1"/>
  <c r="V596" i="80" s="1"/>
  <c r="V602" i="80" a="1"/>
  <c r="V602" i="80" s="1"/>
  <c r="V608" i="80" a="1"/>
  <c r="V608" i="80" s="1"/>
  <c r="V627" i="80" a="1"/>
  <c r="V627" i="80" s="1"/>
  <c r="V632" i="80" a="1"/>
  <c r="V632" i="80" s="1"/>
  <c r="V645" i="80" a="1"/>
  <c r="V645" i="80" s="1"/>
  <c r="V650" i="80" a="1"/>
  <c r="V650" i="80" s="1"/>
  <c r="V662" i="80" a="1"/>
  <c r="V662" i="80" s="1"/>
  <c r="V668" i="80" a="1"/>
  <c r="V668" i="80" s="1"/>
  <c r="V677" i="80" a="1"/>
  <c r="V677" i="80" s="1"/>
  <c r="V683" i="80" a="1"/>
  <c r="V683" i="80" s="1"/>
  <c r="V689" i="80" a="1"/>
  <c r="V689" i="80" s="1"/>
  <c r="V695" i="80" a="1"/>
  <c r="V695" i="80" s="1"/>
  <c r="V707" i="80" a="1"/>
  <c r="V707" i="80" s="1"/>
  <c r="V719" i="80" a="1"/>
  <c r="V719" i="80" s="1"/>
  <c r="V726" i="80" a="1"/>
  <c r="V726" i="80" s="1"/>
  <c r="V731" i="80" a="1"/>
  <c r="V731" i="80" s="1"/>
  <c r="V738" i="80" a="1"/>
  <c r="V738" i="80" s="1"/>
  <c r="V744" i="80" a="1"/>
  <c r="V744" i="80" s="1"/>
  <c r="V750" i="80" a="1"/>
  <c r="V750" i="80" s="1"/>
  <c r="V756" i="80" a="1"/>
  <c r="V756" i="80" s="1"/>
  <c r="V762" i="80" a="1"/>
  <c r="V762" i="80" s="1"/>
  <c r="V295" i="80" a="1"/>
  <c r="V295" i="80" s="1"/>
  <c r="V306" i="80" a="1"/>
  <c r="V306" i="80" s="1"/>
  <c r="V318" i="80" a="1"/>
  <c r="V318" i="80" s="1"/>
  <c r="V328" i="80" a="1"/>
  <c r="V328" i="80" s="1"/>
  <c r="V338" i="80" a="1"/>
  <c r="V338" i="80" s="1"/>
  <c r="V376" i="80" a="1"/>
  <c r="V376" i="80" s="1"/>
  <c r="V381" i="80" a="1"/>
  <c r="V381" i="80" s="1"/>
  <c r="V390" i="80" a="1"/>
  <c r="V390" i="80" s="1"/>
  <c r="V399" i="80" a="1"/>
  <c r="V399" i="80" s="1"/>
  <c r="V408" i="80" a="1"/>
  <c r="V408" i="80" s="1"/>
  <c r="V413" i="80" a="1"/>
  <c r="V413" i="80" s="1"/>
  <c r="V422" i="80" a="1"/>
  <c r="V422" i="80" s="1"/>
  <c r="V431" i="80" a="1"/>
  <c r="V431" i="80" s="1"/>
  <c r="V437" i="80" a="1"/>
  <c r="V437" i="80" s="1"/>
  <c r="V447" i="80" a="1"/>
  <c r="V447" i="80" s="1"/>
  <c r="V459" i="80" a="1"/>
  <c r="V459" i="80" s="1"/>
  <c r="V464" i="80" a="1"/>
  <c r="V464" i="80" s="1"/>
  <c r="V477" i="80" a="1"/>
  <c r="V477" i="80" s="1"/>
  <c r="V482" i="80" a="1"/>
  <c r="V482" i="80" s="1"/>
  <c r="V494" i="80" a="1"/>
  <c r="V494" i="80" s="1"/>
  <c r="V500" i="80" a="1"/>
  <c r="V500" i="80" s="1"/>
  <c r="V505" i="80" a="1"/>
  <c r="V505" i="80" s="1"/>
  <c r="V511" i="80" a="1"/>
  <c r="V511" i="80" s="1"/>
  <c r="V523" i="80" a="1"/>
  <c r="V523" i="80" s="1"/>
  <c r="V528" i="80" a="1"/>
  <c r="V528" i="80" s="1"/>
  <c r="V545" i="80" a="1"/>
  <c r="V545" i="80" s="1"/>
  <c r="V556" i="80" a="1"/>
  <c r="V556" i="80" s="1"/>
  <c r="V561" i="80" a="1"/>
  <c r="V561" i="80" s="1"/>
  <c r="V567" i="80" a="1"/>
  <c r="V567" i="80" s="1"/>
  <c r="V579" i="80" a="1"/>
  <c r="V579" i="80" s="1"/>
  <c r="V584" i="80" a="1"/>
  <c r="V584" i="80" s="1"/>
  <c r="V597" i="80" a="1"/>
  <c r="V597" i="80" s="1"/>
  <c r="V603" i="80" a="1"/>
  <c r="V603" i="80" s="1"/>
  <c r="V609" i="80" a="1"/>
  <c r="V609" i="80" s="1"/>
  <c r="V615" i="80" a="1"/>
  <c r="V615" i="80" s="1"/>
  <c r="V622" i="80" a="1"/>
  <c r="V622" i="80" s="1"/>
  <c r="V628" i="80" a="1"/>
  <c r="V628" i="80" s="1"/>
  <c r="V633" i="80" a="1"/>
  <c r="V633" i="80" s="1"/>
  <c r="V639" i="80" a="1"/>
  <c r="V639" i="80" s="1"/>
  <c r="V651" i="80" a="1"/>
  <c r="V651" i="80" s="1"/>
  <c r="V656" i="80" a="1"/>
  <c r="V656" i="80" s="1"/>
  <c r="V669" i="80" a="1"/>
  <c r="V669" i="80" s="1"/>
  <c r="V673" i="80" a="1"/>
  <c r="V673" i="80" s="1"/>
  <c r="V678" i="80" a="1"/>
  <c r="V678" i="80" s="1"/>
  <c r="V684" i="80" a="1"/>
  <c r="V684" i="80" s="1"/>
  <c r="V690" i="80" a="1"/>
  <c r="V690" i="80" s="1"/>
  <c r="V696" i="80" a="1"/>
  <c r="V696" i="80" s="1"/>
  <c r="V701" i="80" a="1"/>
  <c r="V701" i="80" s="1"/>
  <c r="V713" i="80" a="1"/>
  <c r="V713" i="80" s="1"/>
  <c r="V732" i="80" a="1"/>
  <c r="V732" i="80" s="1"/>
  <c r="V739" i="80" a="1"/>
  <c r="V739" i="80" s="1"/>
  <c r="V751" i="80" a="1"/>
  <c r="V751" i="80" s="1"/>
  <c r="V757" i="80" a="1"/>
  <c r="V757" i="80" s="1"/>
  <c r="V768" i="80" a="1"/>
  <c r="V768" i="80" s="1"/>
  <c r="V307" i="80" a="1"/>
  <c r="V307" i="80" s="1"/>
  <c r="V339" i="80" a="1"/>
  <c r="V339" i="80" s="1"/>
  <c r="V355" i="80" a="1"/>
  <c r="V355" i="80" s="1"/>
  <c r="V362" i="80" a="1"/>
  <c r="V362" i="80" s="1"/>
  <c r="V367" i="80" a="1"/>
  <c r="V367" i="80" s="1"/>
  <c r="V372" i="80" a="1"/>
  <c r="V372" i="80" s="1"/>
  <c r="V377" i="80" a="1"/>
  <c r="V377" i="80" s="1"/>
  <c r="V386" i="80" a="1"/>
  <c r="V386" i="80" s="1"/>
  <c r="V395" i="80" a="1"/>
  <c r="V395" i="80" s="1"/>
  <c r="V404" i="80" a="1"/>
  <c r="V404" i="80" s="1"/>
  <c r="V409" i="80" a="1"/>
  <c r="V409" i="80" s="1"/>
  <c r="V418" i="80" a="1"/>
  <c r="V418" i="80" s="1"/>
  <c r="V427" i="80" a="1"/>
  <c r="V427" i="80" s="1"/>
  <c r="V442" i="80" a="1"/>
  <c r="V442" i="80" s="1"/>
  <c r="V454" i="80" a="1"/>
  <c r="V454" i="80" s="1"/>
  <c r="V297" i="80" a="1"/>
  <c r="V297" i="80" s="1"/>
  <c r="V320" i="80" a="1"/>
  <c r="V320" i="80" s="1"/>
  <c r="V368" i="80" a="1"/>
  <c r="V368" i="80" s="1"/>
  <c r="V373" i="80" a="1"/>
  <c r="V373" i="80" s="1"/>
  <c r="V382" i="80" a="1"/>
  <c r="V382" i="80" s="1"/>
  <c r="V391" i="80" a="1"/>
  <c r="V391" i="80" s="1"/>
  <c r="V400" i="80" a="1"/>
  <c r="V400" i="80" s="1"/>
  <c r="V405" i="80" a="1"/>
  <c r="V405" i="80" s="1"/>
  <c r="V414" i="80" a="1"/>
  <c r="V414" i="80" s="1"/>
  <c r="V423" i="80" a="1"/>
  <c r="V423" i="80" s="1"/>
  <c r="V432" i="80" a="1"/>
  <c r="V432" i="80" s="1"/>
  <c r="V438" i="80" a="1"/>
  <c r="V438" i="80" s="1"/>
  <c r="V443" i="80" a="1"/>
  <c r="V443" i="80" s="1"/>
  <c r="V448" i="80" a="1"/>
  <c r="V448" i="80" s="1"/>
  <c r="V461" i="80" a="1"/>
  <c r="V461" i="80" s="1"/>
  <c r="V466" i="80" a="1"/>
  <c r="V466" i="80" s="1"/>
  <c r="V309" i="80" a="1"/>
  <c r="V309" i="80" s="1"/>
  <c r="V331" i="80" a="1"/>
  <c r="V331" i="80" s="1"/>
  <c r="V341" i="80" a="1"/>
  <c r="V341" i="80" s="1"/>
  <c r="V350" i="80" a="1"/>
  <c r="V350" i="80" s="1"/>
  <c r="V369" i="80" a="1"/>
  <c r="V369" i="80" s="1"/>
  <c r="V378" i="80" a="1"/>
  <c r="V378" i="80" s="1"/>
  <c r="V387" i="80" a="1"/>
  <c r="V387" i="80" s="1"/>
  <c r="V396" i="80" a="1"/>
  <c r="V396" i="80" s="1"/>
  <c r="V401" i="80" a="1"/>
  <c r="V401" i="80" s="1"/>
  <c r="V410" i="80" a="1"/>
  <c r="V410" i="80" s="1"/>
  <c r="V419" i="80" a="1"/>
  <c r="V419" i="80" s="1"/>
  <c r="V428" i="80" a="1"/>
  <c r="V428" i="80" s="1"/>
  <c r="V433" i="80" a="1"/>
  <c r="V433" i="80" s="1"/>
  <c r="V444" i="80" a="1"/>
  <c r="V444" i="80" s="1"/>
  <c r="V449" i="80" a="1"/>
  <c r="V449" i="80" s="1"/>
  <c r="V455" i="80" a="1"/>
  <c r="V455" i="80" s="1"/>
  <c r="V467" i="80" a="1"/>
  <c r="V467" i="80" s="1"/>
  <c r="V472" i="80" a="1"/>
  <c r="V472" i="80" s="1"/>
  <c r="V485" i="80" a="1"/>
  <c r="V485" i="80" s="1"/>
  <c r="V490" i="80" a="1"/>
  <c r="V490" i="80" s="1"/>
  <c r="V502" i="80" a="1"/>
  <c r="V502" i="80" s="1"/>
  <c r="V508" i="80" a="1"/>
  <c r="V508" i="80" s="1"/>
  <c r="V513" i="80" a="1"/>
  <c r="V513" i="80" s="1"/>
  <c r="V519" i="80" a="1"/>
  <c r="V519" i="80" s="1"/>
  <c r="V542" i="80" a="1"/>
  <c r="V542" i="80" s="1"/>
  <c r="V547" i="80" a="1"/>
  <c r="V547" i="80" s="1"/>
  <c r="V552" i="80" a="1"/>
  <c r="V552" i="80" s="1"/>
  <c r="V558" i="80" a="1"/>
  <c r="V558" i="80" s="1"/>
  <c r="V564" i="80" a="1"/>
  <c r="V564" i="80" s="1"/>
  <c r="V569" i="80" a="1"/>
  <c r="V569" i="80" s="1"/>
  <c r="V575" i="80" a="1"/>
  <c r="V575" i="80" s="1"/>
  <c r="V587" i="80" a="1"/>
  <c r="V587" i="80" s="1"/>
  <c r="V592" i="80" a="1"/>
  <c r="V592" i="80" s="1"/>
  <c r="V599" i="80" a="1"/>
  <c r="V599" i="80" s="1"/>
  <c r="V612" i="80" a="1"/>
  <c r="V612" i="80" s="1"/>
  <c r="V618" i="80" a="1"/>
  <c r="V618" i="80" s="1"/>
  <c r="V630" i="80" a="1"/>
  <c r="V630" i="80" s="1"/>
  <c r="V636" i="80" a="1"/>
  <c r="V636" i="80" s="1"/>
  <c r="V641" i="80" a="1"/>
  <c r="V641" i="80" s="1"/>
  <c r="V647" i="80" a="1"/>
  <c r="V647" i="80" s="1"/>
  <c r="V659" i="80" a="1"/>
  <c r="V659" i="80" s="1"/>
  <c r="V664" i="80" a="1"/>
  <c r="V664" i="80" s="1"/>
  <c r="V675" i="80" a="1"/>
  <c r="V675" i="80" s="1"/>
  <c r="V680" i="80" a="1"/>
  <c r="V680" i="80" s="1"/>
  <c r="V686" i="80" a="1"/>
  <c r="V686" i="80" s="1"/>
  <c r="V692" i="80" a="1"/>
  <c r="V692" i="80" s="1"/>
  <c r="V698" i="80" a="1"/>
  <c r="V698" i="80" s="1"/>
  <c r="V710" i="80" a="1"/>
  <c r="V710" i="80" s="1"/>
  <c r="V716" i="80" a="1"/>
  <c r="V716" i="80" s="1"/>
  <c r="V722" i="80" a="1"/>
  <c r="V722" i="80" s="1"/>
  <c r="V735" i="80" a="1"/>
  <c r="V735" i="80" s="1"/>
  <c r="V741" i="80" a="1"/>
  <c r="V741" i="80" s="1"/>
  <c r="V747" i="80" a="1"/>
  <c r="V747" i="80" s="1"/>
  <c r="V301" i="80" a="1"/>
  <c r="V301" i="80" s="1"/>
  <c r="V311" i="80" a="1"/>
  <c r="V311" i="80" s="1"/>
  <c r="V343" i="80" a="1"/>
  <c r="V343" i="80" s="1"/>
  <c r="V358" i="80" a="1"/>
  <c r="V358" i="80" s="1"/>
  <c r="V364" i="80" a="1"/>
  <c r="V364" i="80" s="1"/>
  <c r="V374" i="80" a="1"/>
  <c r="V374" i="80" s="1"/>
  <c r="V383" i="80" a="1"/>
  <c r="V383" i="80" s="1"/>
  <c r="V392" i="80" a="1"/>
  <c r="V392" i="80" s="1"/>
  <c r="V397" i="80" a="1"/>
  <c r="V397" i="80" s="1"/>
  <c r="V406" i="80" a="1"/>
  <c r="V406" i="80" s="1"/>
  <c r="V415" i="80" a="1"/>
  <c r="V415" i="80" s="1"/>
  <c r="V424" i="80" a="1"/>
  <c r="V424" i="80" s="1"/>
  <c r="V429" i="80" a="1"/>
  <c r="V429" i="80" s="1"/>
  <c r="V439" i="80" a="1"/>
  <c r="V439" i="80" s="1"/>
  <c r="V445" i="80" a="1"/>
  <c r="V445" i="80" s="1"/>
  <c r="V450" i="80" a="1"/>
  <c r="V450" i="80" s="1"/>
  <c r="V462" i="80" a="1"/>
  <c r="V462" i="80" s="1"/>
  <c r="V468" i="80" a="1"/>
  <c r="V468" i="80" s="1"/>
  <c r="V473" i="80" a="1"/>
  <c r="V473" i="80" s="1"/>
  <c r="V479" i="80" a="1"/>
  <c r="V479" i="80" s="1"/>
  <c r="V491" i="80" a="1"/>
  <c r="V491" i="80" s="1"/>
  <c r="V496" i="80" a="1"/>
  <c r="V496" i="80" s="1"/>
  <c r="V509" i="80" a="1"/>
  <c r="V509" i="80" s="1"/>
  <c r="V514" i="80" a="1"/>
  <c r="V514" i="80" s="1"/>
  <c r="V526" i="80" a="1"/>
  <c r="V526" i="80" s="1"/>
  <c r="V532" i="80" a="1"/>
  <c r="V532" i="80" s="1"/>
  <c r="V537" i="80" a="1"/>
  <c r="V537" i="80" s="1"/>
  <c r="V548" i="80" a="1"/>
  <c r="V548" i="80" s="1"/>
  <c r="V553" i="80" a="1"/>
  <c r="V553" i="80" s="1"/>
  <c r="V565" i="80" a="1"/>
  <c r="V565" i="80" s="1"/>
  <c r="V570" i="80" a="1"/>
  <c r="V570" i="80" s="1"/>
  <c r="V582" i="80" a="1"/>
  <c r="V582" i="80" s="1"/>
  <c r="V588" i="80" a="1"/>
  <c r="V588" i="80" s="1"/>
  <c r="V593" i="80" a="1"/>
  <c r="V593" i="80" s="1"/>
  <c r="V606" i="80" a="1"/>
  <c r="V606" i="80" s="1"/>
  <c r="V613" i="80" a="1"/>
  <c r="V613" i="80" s="1"/>
  <c r="V619" i="80" a="1"/>
  <c r="V619" i="80" s="1"/>
  <c r="V624" i="80" a="1"/>
  <c r="V624" i="80" s="1"/>
  <c r="V637" i="80" a="1"/>
  <c r="V637" i="80" s="1"/>
  <c r="V642" i="80" a="1"/>
  <c r="V642" i="80" s="1"/>
  <c r="V654" i="80" a="1"/>
  <c r="V654" i="80" s="1"/>
  <c r="V660" i="80" a="1"/>
  <c r="V660" i="80" s="1"/>
  <c r="V665" i="80" a="1"/>
  <c r="V665" i="80" s="1"/>
  <c r="V671" i="80" a="1"/>
  <c r="V671" i="80" s="1"/>
  <c r="V687" i="80" a="1"/>
  <c r="V687" i="80" s="1"/>
  <c r="V693" i="80" a="1"/>
  <c r="V693" i="80" s="1"/>
  <c r="V704" i="80" a="1"/>
  <c r="V704" i="80" s="1"/>
  <c r="V723" i="80" a="1"/>
  <c r="V723" i="80" s="1"/>
  <c r="V729" i="80" a="1"/>
  <c r="V729" i="80" s="1"/>
  <c r="V742" i="80" a="1"/>
  <c r="V742" i="80" s="1"/>
  <c r="V748" i="80" a="1"/>
  <c r="V748" i="80" s="1"/>
  <c r="V754" i="80" a="1"/>
  <c r="V754" i="80" s="1"/>
  <c r="V760" i="80" a="1"/>
  <c r="V760" i="80" s="1"/>
  <c r="V765" i="80" a="1"/>
  <c r="V765" i="80" s="1"/>
  <c r="V777" i="80" a="1"/>
  <c r="V777" i="80" s="1"/>
  <c r="V790" i="80" a="1"/>
  <c r="V790" i="80" s="1"/>
  <c r="V288" i="80" a="1"/>
  <c r="V288" i="80" s="1"/>
  <c r="V302" i="80" a="1"/>
  <c r="V302" i="80" s="1"/>
  <c r="V323" i="80" a="1"/>
  <c r="V323" i="80" s="1"/>
  <c r="V333" i="80" a="1"/>
  <c r="V333" i="80" s="1"/>
  <c r="V352" i="80" a="1"/>
  <c r="V352" i="80" s="1"/>
  <c r="V359" i="80" a="1"/>
  <c r="V359" i="80" s="1"/>
  <c r="V365" i="80" a="1"/>
  <c r="V365" i="80" s="1"/>
  <c r="V370" i="80" a="1"/>
  <c r="V370" i="80" s="1"/>
  <c r="V379" i="80" a="1"/>
  <c r="V379" i="80" s="1"/>
  <c r="V388" i="80" a="1"/>
  <c r="V388" i="80" s="1"/>
  <c r="V393" i="80" a="1"/>
  <c r="V393" i="80" s="1"/>
  <c r="V402" i="80" a="1"/>
  <c r="V402" i="80" s="1"/>
  <c r="V411" i="80" a="1"/>
  <c r="V411" i="80" s="1"/>
  <c r="V420" i="80" a="1"/>
  <c r="V420" i="80" s="1"/>
  <c r="V425" i="80" a="1"/>
  <c r="V425" i="80" s="1"/>
  <c r="V434" i="80" a="1"/>
  <c r="V434" i="80" s="1"/>
  <c r="V314" i="80" a="1"/>
  <c r="V314" i="80" s="1"/>
  <c r="V325" i="80" a="1"/>
  <c r="V325" i="80" s="1"/>
  <c r="V335" i="80" a="1"/>
  <c r="V335" i="80" s="1"/>
  <c r="V353" i="80" a="1"/>
  <c r="V353" i="80" s="1"/>
  <c r="V375" i="80" a="1"/>
  <c r="V375" i="80" s="1"/>
  <c r="V384" i="80" a="1"/>
  <c r="V384" i="80" s="1"/>
  <c r="V389" i="80" a="1"/>
  <c r="V389" i="80" s="1"/>
  <c r="V398" i="80" a="1"/>
  <c r="V398" i="80" s="1"/>
  <c r="V407" i="80" a="1"/>
  <c r="V407" i="80" s="1"/>
  <c r="V416" i="80" a="1"/>
  <c r="V416" i="80" s="1"/>
  <c r="V421" i="80" a="1"/>
  <c r="V421" i="80" s="1"/>
  <c r="V430" i="80" a="1"/>
  <c r="V430" i="80" s="1"/>
  <c r="V435" i="80" a="1"/>
  <c r="V435" i="80" s="1"/>
  <c r="V440" i="80" a="1"/>
  <c r="V440" i="80" s="1"/>
  <c r="V446" i="80" a="1"/>
  <c r="V446" i="80" s="1"/>
  <c r="V452" i="80" a="1"/>
  <c r="V452" i="80" s="1"/>
  <c r="V456" i="80" a="1"/>
  <c r="V456" i="80" s="1"/>
  <c r="V471" i="80" a="1"/>
  <c r="V471" i="80" s="1"/>
  <c r="V483" i="80" a="1"/>
  <c r="V483" i="80" s="1"/>
  <c r="V506" i="80" a="1"/>
  <c r="V506" i="80" s="1"/>
  <c r="V518" i="80" a="1"/>
  <c r="V518" i="80" s="1"/>
  <c r="V529" i="80" a="1"/>
  <c r="V529" i="80" s="1"/>
  <c r="V541" i="80" a="1"/>
  <c r="V541" i="80" s="1"/>
  <c r="V551" i="80" a="1"/>
  <c r="V551" i="80" s="1"/>
  <c r="V562" i="80" a="1"/>
  <c r="V562" i="80" s="1"/>
  <c r="V574" i="80" a="1"/>
  <c r="V574" i="80" s="1"/>
  <c r="V585" i="80" a="1"/>
  <c r="V585" i="80" s="1"/>
  <c r="V598" i="80" a="1"/>
  <c r="V598" i="80" s="1"/>
  <c r="V610" i="80" a="1"/>
  <c r="V610" i="80" s="1"/>
  <c r="V634" i="80" a="1"/>
  <c r="V634" i="80" s="1"/>
  <c r="V646" i="80" a="1"/>
  <c r="V646" i="80" s="1"/>
  <c r="V657" i="80" a="1"/>
  <c r="V657" i="80" s="1"/>
  <c r="V691" i="80" a="1"/>
  <c r="V691" i="80" s="1"/>
  <c r="V702" i="80" a="1"/>
  <c r="V702" i="80" s="1"/>
  <c r="V714" i="80" a="1"/>
  <c r="V714" i="80" s="1"/>
  <c r="V727" i="80" a="1"/>
  <c r="V727" i="80" s="1"/>
  <c r="V769" i="80" a="1"/>
  <c r="V769" i="80" s="1"/>
  <c r="V785" i="80" a="1"/>
  <c r="V785" i="80" s="1"/>
  <c r="V793" i="80" a="1"/>
  <c r="V793" i="80" s="1"/>
  <c r="V799" i="80" a="1"/>
  <c r="V799" i="80" s="1"/>
  <c r="V816" i="80" a="1"/>
  <c r="V816" i="80" s="1"/>
  <c r="V822" i="80" a="1"/>
  <c r="V822" i="80" s="1"/>
  <c r="V827" i="80" a="1"/>
  <c r="V827" i="80" s="1"/>
  <c r="V832" i="80" a="1"/>
  <c r="V832" i="80" s="1"/>
  <c r="V838" i="80" a="1"/>
  <c r="V838" i="80" s="1"/>
  <c r="V843" i="80" a="1"/>
  <c r="V843" i="80" s="1"/>
  <c r="V849" i="80" a="1"/>
  <c r="V849" i="80" s="1"/>
  <c r="V855" i="80" a="1"/>
  <c r="V855" i="80" s="1"/>
  <c r="V860" i="80" a="1"/>
  <c r="V860" i="80" s="1"/>
  <c r="V867" i="80" a="1"/>
  <c r="V867" i="80" s="1"/>
  <c r="V872" i="80" a="1"/>
  <c r="V872" i="80" s="1"/>
  <c r="V877" i="80" a="1"/>
  <c r="V877" i="80" s="1"/>
  <c r="V883" i="80" a="1"/>
  <c r="V883" i="80" s="1"/>
  <c r="V894" i="80" a="1"/>
  <c r="V894" i="80" s="1"/>
  <c r="V900" i="80" a="1"/>
  <c r="V900" i="80" s="1"/>
  <c r="V906" i="80" a="1"/>
  <c r="V906" i="80" s="1"/>
  <c r="V918" i="80" a="1"/>
  <c r="V918" i="80" s="1"/>
  <c r="V923" i="80" a="1"/>
  <c r="V923" i="80" s="1"/>
  <c r="V929" i="80" a="1"/>
  <c r="V929" i="80" s="1"/>
  <c r="V947" i="80" a="1"/>
  <c r="V947" i="80" s="1"/>
  <c r="V970" i="80" a="1"/>
  <c r="V970" i="80" s="1"/>
  <c r="V982" i="80" a="1"/>
  <c r="V982" i="80" s="1"/>
  <c r="V987" i="80" a="1"/>
  <c r="V987" i="80" s="1"/>
  <c r="V993" i="80" a="1"/>
  <c r="V993" i="80" s="1"/>
  <c r="V999" i="80" a="1"/>
  <c r="V999" i="80" s="1"/>
  <c r="V1016" i="80" a="1"/>
  <c r="V1016" i="80" s="1"/>
  <c r="V1025" i="80" a="1"/>
  <c r="V1025" i="80" s="1"/>
  <c r="V1030" i="80" a="1"/>
  <c r="V1030" i="80" s="1"/>
  <c r="V1039" i="80" a="1"/>
  <c r="V1039" i="80" s="1"/>
  <c r="V1048" i="80" a="1"/>
  <c r="V1048" i="80" s="1"/>
  <c r="V1057" i="80" a="1"/>
  <c r="V1057" i="80" s="1"/>
  <c r="V1062" i="80" a="1"/>
  <c r="V1062" i="80" s="1"/>
  <c r="V1071" i="80" a="1"/>
  <c r="V1071" i="80" s="1"/>
  <c r="V1080" i="80" a="1"/>
  <c r="V1080" i="80" s="1"/>
  <c r="V1089" i="80" a="1"/>
  <c r="V1089" i="80" s="1"/>
  <c r="V457" i="80" a="1"/>
  <c r="V457" i="80" s="1"/>
  <c r="V484" i="80" a="1"/>
  <c r="V484" i="80" s="1"/>
  <c r="V495" i="80" a="1"/>
  <c r="V495" i="80" s="1"/>
  <c r="V507" i="80" a="1"/>
  <c r="V507" i="80" s="1"/>
  <c r="V563" i="80" a="1"/>
  <c r="V563" i="80" s="1"/>
  <c r="V586" i="80" a="1"/>
  <c r="V586" i="80" s="1"/>
  <c r="V611" i="80" a="1"/>
  <c r="V611" i="80" s="1"/>
  <c r="V623" i="80" a="1"/>
  <c r="V623" i="80" s="1"/>
  <c r="V635" i="80" a="1"/>
  <c r="V635" i="80" s="1"/>
  <c r="V658" i="80" a="1"/>
  <c r="V658" i="80" s="1"/>
  <c r="V670" i="80" a="1"/>
  <c r="V670" i="80" s="1"/>
  <c r="V679" i="80" a="1"/>
  <c r="V679" i="80" s="1"/>
  <c r="V703" i="80" a="1"/>
  <c r="V703" i="80" s="1"/>
  <c r="V715" i="80" a="1"/>
  <c r="V715" i="80" s="1"/>
  <c r="V728" i="80" a="1"/>
  <c r="V728" i="80" s="1"/>
  <c r="V740" i="80" a="1"/>
  <c r="V740" i="80" s="1"/>
  <c r="V752" i="80" a="1"/>
  <c r="V752" i="80" s="1"/>
  <c r="V761" i="80" a="1"/>
  <c r="V761" i="80" s="1"/>
  <c r="V770" i="80" a="1"/>
  <c r="V770" i="80" s="1"/>
  <c r="V778" i="80" a="1"/>
  <c r="V778" i="80" s="1"/>
  <c r="V786" i="80" a="1"/>
  <c r="V786" i="80" s="1"/>
  <c r="V794" i="80" a="1"/>
  <c r="V794" i="80" s="1"/>
  <c r="V805" i="80" a="1"/>
  <c r="V805" i="80" s="1"/>
  <c r="V811" i="80" a="1"/>
  <c r="V811" i="80" s="1"/>
  <c r="V817" i="80" a="1"/>
  <c r="V817" i="80" s="1"/>
  <c r="V833" i="80" a="1"/>
  <c r="V833" i="80" s="1"/>
  <c r="V844" i="80" a="1"/>
  <c r="V844" i="80" s="1"/>
  <c r="V850" i="80" a="1"/>
  <c r="V850" i="80" s="1"/>
  <c r="V856" i="80" a="1"/>
  <c r="V856" i="80" s="1"/>
  <c r="V861" i="80" a="1"/>
  <c r="V861" i="80" s="1"/>
  <c r="V878" i="80" a="1"/>
  <c r="V878" i="80" s="1"/>
  <c r="V889" i="80" a="1"/>
  <c r="V889" i="80" s="1"/>
  <c r="V895" i="80" a="1"/>
  <c r="V895" i="80" s="1"/>
  <c r="V901" i="80" a="1"/>
  <c r="V901" i="80" s="1"/>
  <c r="V912" i="80" a="1"/>
  <c r="V912" i="80" s="1"/>
  <c r="V924" i="80" a="1"/>
  <c r="V924" i="80" s="1"/>
  <c r="V930" i="80" a="1"/>
  <c r="V930" i="80" s="1"/>
  <c r="V936" i="80" a="1"/>
  <c r="V936" i="80" s="1"/>
  <c r="V941" i="80" a="1"/>
  <c r="V941" i="80" s="1"/>
  <c r="V953" i="80" a="1"/>
  <c r="V953" i="80" s="1"/>
  <c r="V976" i="80" a="1"/>
  <c r="V976" i="80" s="1"/>
  <c r="V988" i="80" a="1"/>
  <c r="V988" i="80" s="1"/>
  <c r="V994" i="80" a="1"/>
  <c r="V994" i="80" s="1"/>
  <c r="V1000" i="80" a="1"/>
  <c r="V1000" i="80" s="1"/>
  <c r="V1005" i="80" a="1"/>
  <c r="V1005" i="80" s="1"/>
  <c r="V1011" i="80" a="1"/>
  <c r="V1011" i="80" s="1"/>
  <c r="V1021" i="80" a="1"/>
  <c r="V1021" i="80" s="1"/>
  <c r="V1026" i="80" a="1"/>
  <c r="V1026" i="80" s="1"/>
  <c r="V1035" i="80" a="1"/>
  <c r="V1035" i="80" s="1"/>
  <c r="V1044" i="80" a="1"/>
  <c r="V1044" i="80" s="1"/>
  <c r="V1053" i="80" a="1"/>
  <c r="V1053" i="80" s="1"/>
  <c r="V1058" i="80" a="1"/>
  <c r="V1058" i="80" s="1"/>
  <c r="V1067" i="80" a="1"/>
  <c r="V1067" i="80" s="1"/>
  <c r="V1076" i="80" a="1"/>
  <c r="V1076" i="80" s="1"/>
  <c r="V1085" i="80" a="1"/>
  <c r="V1085" i="80" s="1"/>
  <c r="V1090" i="80" a="1"/>
  <c r="V1090" i="80" s="1"/>
  <c r="V1099" i="80" a="1"/>
  <c r="V1099" i="80" s="1"/>
  <c r="V1108" i="80" a="1"/>
  <c r="V1108" i="80" s="1"/>
  <c r="V1117" i="80" a="1"/>
  <c r="V1117" i="80" s="1"/>
  <c r="V460" i="80" a="1"/>
  <c r="V460" i="80" s="1"/>
  <c r="V474" i="80" a="1"/>
  <c r="V474" i="80" s="1"/>
  <c r="V486" i="80" a="1"/>
  <c r="V486" i="80" s="1"/>
  <c r="V497" i="80" a="1"/>
  <c r="V497" i="80" s="1"/>
  <c r="V520" i="80" a="1"/>
  <c r="V520" i="80" s="1"/>
  <c r="V543" i="80" a="1"/>
  <c r="V543" i="80" s="1"/>
  <c r="V554" i="80" a="1"/>
  <c r="V554" i="80" s="1"/>
  <c r="V576" i="80" a="1"/>
  <c r="V576" i="80" s="1"/>
  <c r="V589" i="80" a="1"/>
  <c r="V589" i="80" s="1"/>
  <c r="V600" i="80" a="1"/>
  <c r="V600" i="80" s="1"/>
  <c r="V625" i="80" a="1"/>
  <c r="V625" i="80" s="1"/>
  <c r="V648" i="80" a="1"/>
  <c r="V648" i="80" s="1"/>
  <c r="V661" i="80" a="1"/>
  <c r="V661" i="80" s="1"/>
  <c r="V681" i="80" a="1"/>
  <c r="V681" i="80" s="1"/>
  <c r="V694" i="80" a="1"/>
  <c r="V694" i="80" s="1"/>
  <c r="V705" i="80" a="1"/>
  <c r="V705" i="80" s="1"/>
  <c r="V717" i="80" a="1"/>
  <c r="V717" i="80" s="1"/>
  <c r="V730" i="80" a="1"/>
  <c r="V730" i="80" s="1"/>
  <c r="V753" i="80" a="1"/>
  <c r="V753" i="80" s="1"/>
  <c r="V763" i="80" a="1"/>
  <c r="V763" i="80" s="1"/>
  <c r="V771" i="80" a="1"/>
  <c r="V771" i="80" s="1"/>
  <c r="V779" i="80" a="1"/>
  <c r="V779" i="80" s="1"/>
  <c r="V475" i="80" a="1"/>
  <c r="V475" i="80" s="1"/>
  <c r="V498" i="80" a="1"/>
  <c r="V498" i="80" s="1"/>
  <c r="V510" i="80" a="1"/>
  <c r="V510" i="80" s="1"/>
  <c r="V521" i="80" a="1"/>
  <c r="V521" i="80" s="1"/>
  <c r="V555" i="80" a="1"/>
  <c r="V555" i="80" s="1"/>
  <c r="V566" i="80" a="1"/>
  <c r="V566" i="80" s="1"/>
  <c r="V577" i="80" a="1"/>
  <c r="V577" i="80" s="1"/>
  <c r="V601" i="80" a="1"/>
  <c r="V601" i="80" s="1"/>
  <c r="V614" i="80" a="1"/>
  <c r="V614" i="80" s="1"/>
  <c r="V626" i="80" a="1"/>
  <c r="V626" i="80" s="1"/>
  <c r="V638" i="80" a="1"/>
  <c r="V638" i="80" s="1"/>
  <c r="V649" i="80" a="1"/>
  <c r="V649" i="80" s="1"/>
  <c r="V672" i="80" a="1"/>
  <c r="V672" i="80" s="1"/>
  <c r="V682" i="80" a="1"/>
  <c r="V682" i="80" s="1"/>
  <c r="V706" i="80" a="1"/>
  <c r="V706" i="80" s="1"/>
  <c r="V718" i="80" a="1"/>
  <c r="V718" i="80" s="1"/>
  <c r="V743" i="80" a="1"/>
  <c r="V743" i="80" s="1"/>
  <c r="V772" i="80" a="1"/>
  <c r="V772" i="80" s="1"/>
  <c r="V780" i="80" a="1"/>
  <c r="V780" i="80" s="1"/>
  <c r="V788" i="80" a="1"/>
  <c r="V788" i="80" s="1"/>
  <c r="V795" i="80" a="1"/>
  <c r="V795" i="80" s="1"/>
  <c r="V801" i="80" a="1"/>
  <c r="V801" i="80" s="1"/>
  <c r="V824" i="80" a="1"/>
  <c r="V824" i="80" s="1"/>
  <c r="V463" i="80" a="1"/>
  <c r="V463" i="80" s="1"/>
  <c r="V488" i="80" a="1"/>
  <c r="V488" i="80" s="1"/>
  <c r="V501" i="80" a="1"/>
  <c r="V501" i="80" s="1"/>
  <c r="V524" i="80" a="1"/>
  <c r="V524" i="80" s="1"/>
  <c r="V546" i="80" a="1"/>
  <c r="V546" i="80" s="1"/>
  <c r="V557" i="80" a="1"/>
  <c r="V557" i="80" s="1"/>
  <c r="V580" i="80" a="1"/>
  <c r="V580" i="80" s="1"/>
  <c r="V591" i="80" a="1"/>
  <c r="V591" i="80" s="1"/>
  <c r="V604" i="80" a="1"/>
  <c r="V604" i="80" s="1"/>
  <c r="V616" i="80" a="1"/>
  <c r="V616" i="80" s="1"/>
  <c r="V629" i="80" a="1"/>
  <c r="V629" i="80" s="1"/>
  <c r="V652" i="80" a="1"/>
  <c r="V652" i="80" s="1"/>
  <c r="V663" i="80" a="1"/>
  <c r="V663" i="80" s="1"/>
  <c r="V708" i="80" a="1"/>
  <c r="V708" i="80" s="1"/>
  <c r="V720" i="80" a="1"/>
  <c r="V720" i="80" s="1"/>
  <c r="V733" i="80" a="1"/>
  <c r="V733" i="80" s="1"/>
  <c r="V745" i="80" a="1"/>
  <c r="V745" i="80" s="1"/>
  <c r="V755" i="80" a="1"/>
  <c r="V755" i="80" s="1"/>
  <c r="V764" i="80" a="1"/>
  <c r="V764" i="80" s="1"/>
  <c r="V773" i="80" a="1"/>
  <c r="V773" i="80" s="1"/>
  <c r="V781" i="80" a="1"/>
  <c r="V781" i="80" s="1"/>
  <c r="V789" i="80" a="1"/>
  <c r="V789" i="80" s="1"/>
  <c r="V802" i="80" a="1"/>
  <c r="V802" i="80" s="1"/>
  <c r="V807" i="80" a="1"/>
  <c r="V807" i="80" s="1"/>
  <c r="V813" i="80" a="1"/>
  <c r="V813" i="80" s="1"/>
  <c r="V819" i="80" a="1"/>
  <c r="V819" i="80" s="1"/>
  <c r="V829" i="80" a="1"/>
  <c r="V829" i="80" s="1"/>
  <c r="V846" i="80" a="1"/>
  <c r="V846" i="80" s="1"/>
  <c r="V852" i="80" a="1"/>
  <c r="V852" i="80" s="1"/>
  <c r="V858" i="80" a="1"/>
  <c r="V858" i="80" s="1"/>
  <c r="V869" i="80" a="1"/>
  <c r="V869" i="80" s="1"/>
  <c r="V880" i="80" a="1"/>
  <c r="V880" i="80" s="1"/>
  <c r="V886" i="80" a="1"/>
  <c r="V886" i="80" s="1"/>
  <c r="V891" i="80" a="1"/>
  <c r="V891" i="80" s="1"/>
  <c r="V897" i="80" a="1"/>
  <c r="V897" i="80" s="1"/>
  <c r="V903" i="80" a="1"/>
  <c r="V903" i="80" s="1"/>
  <c r="V915" i="80" a="1"/>
  <c r="V915" i="80" s="1"/>
  <c r="V926" i="80" a="1"/>
  <c r="V926" i="80" s="1"/>
  <c r="V932" i="80" a="1"/>
  <c r="V932" i="80" s="1"/>
  <c r="V938" i="80" a="1"/>
  <c r="V938" i="80" s="1"/>
  <c r="V950" i="80" a="1"/>
  <c r="V950" i="80" s="1"/>
  <c r="V955" i="80" a="1"/>
  <c r="V955" i="80" s="1"/>
  <c r="V961" i="80" a="1"/>
  <c r="V961" i="80" s="1"/>
  <c r="V967" i="80" a="1"/>
  <c r="V967" i="80" s="1"/>
  <c r="V979" i="80" a="1"/>
  <c r="V979" i="80" s="1"/>
  <c r="V990" i="80" a="1"/>
  <c r="V990" i="80" s="1"/>
  <c r="V996" i="80" a="1"/>
  <c r="V996" i="80" s="1"/>
  <c r="V1002" i="80" a="1"/>
  <c r="V1002" i="80" s="1"/>
  <c r="V1023" i="80" a="1"/>
  <c r="V1023" i="80" s="1"/>
  <c r="V1032" i="80" a="1"/>
  <c r="V1032" i="80" s="1"/>
  <c r="V1041" i="80" a="1"/>
  <c r="V1041" i="80" s="1"/>
  <c r="V1046" i="80" a="1"/>
  <c r="V1046" i="80" s="1"/>
  <c r="V1055" i="80" a="1"/>
  <c r="V1055" i="80" s="1"/>
  <c r="V1064" i="80" a="1"/>
  <c r="V1064" i="80" s="1"/>
  <c r="V1073" i="80" a="1"/>
  <c r="V1073" i="80" s="1"/>
  <c r="V1078" i="80" a="1"/>
  <c r="V1078" i="80" s="1"/>
  <c r="V1087" i="80" a="1"/>
  <c r="V1087" i="80" s="1"/>
  <c r="V465" i="80" a="1"/>
  <c r="V465" i="80" s="1"/>
  <c r="V478" i="80" a="1"/>
  <c r="V478" i="80" s="1"/>
  <c r="V489" i="80" a="1"/>
  <c r="V489" i="80" s="1"/>
  <c r="V512" i="80" a="1"/>
  <c r="V512" i="80" s="1"/>
  <c r="V525" i="80" a="1"/>
  <c r="V525" i="80" s="1"/>
  <c r="V568" i="80" a="1"/>
  <c r="V568" i="80" s="1"/>
  <c r="V581" i="80" a="1"/>
  <c r="V581" i="80" s="1"/>
  <c r="V605" i="80" a="1"/>
  <c r="V605" i="80" s="1"/>
  <c r="V617" i="80" a="1"/>
  <c r="V617" i="80" s="1"/>
  <c r="V640" i="80" a="1"/>
  <c r="V640" i="80" s="1"/>
  <c r="V653" i="80" a="1"/>
  <c r="V653" i="80" s="1"/>
  <c r="V674" i="80" a="1"/>
  <c r="V674" i="80" s="1"/>
  <c r="V685" i="80" a="1"/>
  <c r="V685" i="80" s="1"/>
  <c r="V697" i="80" a="1"/>
  <c r="V697" i="80" s="1"/>
  <c r="V709" i="80" a="1"/>
  <c r="V709" i="80" s="1"/>
  <c r="V721" i="80" a="1"/>
  <c r="V721" i="80" s="1"/>
  <c r="V734" i="80" a="1"/>
  <c r="V734" i="80" s="1"/>
  <c r="V746" i="80" a="1"/>
  <c r="V746" i="80" s="1"/>
  <c r="V758" i="80" a="1"/>
  <c r="V758" i="80" s="1"/>
  <c r="V766" i="80" a="1"/>
  <c r="V766" i="80" s="1"/>
  <c r="V774" i="80" a="1"/>
  <c r="V774" i="80" s="1"/>
  <c r="V782" i="80" a="1"/>
  <c r="V782" i="80" s="1"/>
  <c r="V796" i="80" a="1"/>
  <c r="V796" i="80" s="1"/>
  <c r="V803" i="80" a="1"/>
  <c r="V803" i="80" s="1"/>
  <c r="V808" i="80" a="1"/>
  <c r="V808" i="80" s="1"/>
  <c r="V814" i="80" a="1"/>
  <c r="V814" i="80" s="1"/>
  <c r="V825" i="80" a="1"/>
  <c r="V825" i="80" s="1"/>
  <c r="V830" i="80" a="1"/>
  <c r="V830" i="80" s="1"/>
  <c r="V836" i="80" a="1"/>
  <c r="V836" i="80" s="1"/>
  <c r="V841" i="80" a="1"/>
  <c r="V841" i="80" s="1"/>
  <c r="V847" i="80" a="1"/>
  <c r="V847" i="80" s="1"/>
  <c r="V853" i="80" a="1"/>
  <c r="V853" i="80" s="1"/>
  <c r="V864" i="80" a="1"/>
  <c r="V864" i="80" s="1"/>
  <c r="V870" i="80" a="1"/>
  <c r="V870" i="80" s="1"/>
  <c r="V875" i="80" a="1"/>
  <c r="V875" i="80" s="1"/>
  <c r="V881" i="80" a="1"/>
  <c r="V881" i="80" s="1"/>
  <c r="V892" i="80" a="1"/>
  <c r="V892" i="80" s="1"/>
  <c r="V898" i="80" a="1"/>
  <c r="V898" i="80" s="1"/>
  <c r="V904" i="80" a="1"/>
  <c r="V904" i="80" s="1"/>
  <c r="V909" i="80" a="1"/>
  <c r="V909" i="80" s="1"/>
  <c r="V921" i="80" a="1"/>
  <c r="V921" i="80" s="1"/>
  <c r="V927" i="80" a="1"/>
  <c r="V927" i="80" s="1"/>
  <c r="V944" i="80" a="1"/>
  <c r="V944" i="80" s="1"/>
  <c r="V956" i="80" a="1"/>
  <c r="V956" i="80" s="1"/>
  <c r="V962" i="80" a="1"/>
  <c r="V962" i="80" s="1"/>
  <c r="V968" i="80" a="1"/>
  <c r="V968" i="80" s="1"/>
  <c r="V973" i="80" a="1"/>
  <c r="V973" i="80" s="1"/>
  <c r="V985" i="80" a="1"/>
  <c r="V985" i="80" s="1"/>
  <c r="V991" i="80" a="1"/>
  <c r="V991" i="80" s="1"/>
  <c r="V997" i="80" a="1"/>
  <c r="V997" i="80" s="1"/>
  <c r="V1008" i="80" a="1"/>
  <c r="V1008" i="80" s="1"/>
  <c r="V1013" i="80" a="1"/>
  <c r="V1013" i="80" s="1"/>
  <c r="V1019" i="80" a="1"/>
  <c r="V1019" i="80" s="1"/>
  <c r="V1028" i="80" a="1"/>
  <c r="V1028" i="80" s="1"/>
  <c r="V1037" i="80" a="1"/>
  <c r="V1037" i="80" s="1"/>
  <c r="V1042" i="80" a="1"/>
  <c r="V1042" i="80" s="1"/>
  <c r="V1051" i="80" a="1"/>
  <c r="V1051" i="80" s="1"/>
  <c r="V1060" i="80" a="1"/>
  <c r="V1060" i="80" s="1"/>
  <c r="V1069" i="80" a="1"/>
  <c r="V1069" i="80" s="1"/>
  <c r="V1074" i="80" a="1"/>
  <c r="V1074" i="80" s="1"/>
  <c r="V469" i="80" a="1"/>
  <c r="V469" i="80" s="1"/>
  <c r="V492" i="80" a="1"/>
  <c r="V492" i="80" s="1"/>
  <c r="V503" i="80" a="1"/>
  <c r="V503" i="80" s="1"/>
  <c r="V515" i="80" a="1"/>
  <c r="V515" i="80" s="1"/>
  <c r="V549" i="80" a="1"/>
  <c r="V549" i="80" s="1"/>
  <c r="V559" i="80" a="1"/>
  <c r="V559" i="80" s="1"/>
  <c r="V571" i="80" a="1"/>
  <c r="V571" i="80" s="1"/>
  <c r="V594" i="80" a="1"/>
  <c r="V594" i="80" s="1"/>
  <c r="V607" i="80" a="1"/>
  <c r="V607" i="80" s="1"/>
  <c r="V620" i="80" a="1"/>
  <c r="V620" i="80" s="1"/>
  <c r="V631" i="80" a="1"/>
  <c r="V631" i="80" s="1"/>
  <c r="V643" i="80" a="1"/>
  <c r="V643" i="80" s="1"/>
  <c r="V666" i="80" a="1"/>
  <c r="V666" i="80" s="1"/>
  <c r="V676" i="80" a="1"/>
  <c r="V676" i="80" s="1"/>
  <c r="V699" i="80" a="1"/>
  <c r="V699" i="80" s="1"/>
  <c r="V711" i="80" a="1"/>
  <c r="V711" i="80" s="1"/>
  <c r="V724" i="80" a="1"/>
  <c r="V724" i="80" s="1"/>
  <c r="V736" i="80" a="1"/>
  <c r="V736" i="80" s="1"/>
  <c r="V767" i="80" a="1"/>
  <c r="V767" i="80" s="1"/>
  <c r="V775" i="80" a="1"/>
  <c r="V775" i="80" s="1"/>
  <c r="V783" i="80" a="1"/>
  <c r="V783" i="80" s="1"/>
  <c r="V791" i="80" a="1"/>
  <c r="V791" i="80" s="1"/>
  <c r="V797" i="80" a="1"/>
  <c r="V797" i="80" s="1"/>
  <c r="V451" i="80" a="1"/>
  <c r="V451" i="80" s="1"/>
  <c r="V480" i="80" a="1"/>
  <c r="V480" i="80" s="1"/>
  <c r="V493" i="80" a="1"/>
  <c r="V493" i="80" s="1"/>
  <c r="V516" i="80" a="1"/>
  <c r="V516" i="80" s="1"/>
  <c r="V527" i="80" a="1"/>
  <c r="V527" i="80" s="1"/>
  <c r="V572" i="80" a="1"/>
  <c r="V572" i="80" s="1"/>
  <c r="V583" i="80" a="1"/>
  <c r="V583" i="80" s="1"/>
  <c r="V595" i="80" a="1"/>
  <c r="V595" i="80" s="1"/>
  <c r="V621" i="80" a="1"/>
  <c r="V621" i="80" s="1"/>
  <c r="V644" i="80" a="1"/>
  <c r="V644" i="80" s="1"/>
  <c r="V655" i="80" a="1"/>
  <c r="V655" i="80" s="1"/>
  <c r="V667" i="80" a="1"/>
  <c r="V667" i="80" s="1"/>
  <c r="V688" i="80" a="1"/>
  <c r="V688" i="80" s="1"/>
  <c r="V700" i="80" a="1"/>
  <c r="V700" i="80" s="1"/>
  <c r="V712" i="80" a="1"/>
  <c r="V712" i="80" s="1"/>
  <c r="V725" i="80" a="1"/>
  <c r="V725" i="80" s="1"/>
  <c r="V737" i="80" a="1"/>
  <c r="V737" i="80" s="1"/>
  <c r="V749" i="80" a="1"/>
  <c r="V749" i="80" s="1"/>
  <c r="V759" i="80" a="1"/>
  <c r="V759" i="80" s="1"/>
  <c r="V776" i="80" a="1"/>
  <c r="V776" i="80" s="1"/>
  <c r="V784" i="80" a="1"/>
  <c r="V784" i="80" s="1"/>
  <c r="V792" i="80" a="1"/>
  <c r="V792" i="80" s="1"/>
  <c r="V798" i="80" a="1"/>
  <c r="V798" i="80" s="1"/>
  <c r="V818" i="80" a="1"/>
  <c r="V818" i="80" s="1"/>
  <c r="V831" i="80" a="1"/>
  <c r="V831" i="80" s="1"/>
  <c r="V842" i="80" a="1"/>
  <c r="V842" i="80" s="1"/>
  <c r="V854" i="80" a="1"/>
  <c r="V854" i="80" s="1"/>
  <c r="V865" i="80" a="1"/>
  <c r="V865" i="80" s="1"/>
  <c r="V876" i="80" a="1"/>
  <c r="V876" i="80" s="1"/>
  <c r="V887" i="80" a="1"/>
  <c r="V887" i="80" s="1"/>
  <c r="V899" i="80" a="1"/>
  <c r="V899" i="80" s="1"/>
  <c r="V910" i="80" a="1"/>
  <c r="V910" i="80" s="1"/>
  <c r="V922" i="80" a="1"/>
  <c r="V922" i="80" s="1"/>
  <c r="V945" i="80" a="1"/>
  <c r="V945" i="80" s="1"/>
  <c r="V980" i="80" a="1"/>
  <c r="V980" i="80" s="1"/>
  <c r="V1003" i="80" a="1"/>
  <c r="V1003" i="80" s="1"/>
  <c r="V1015" i="80" a="1"/>
  <c r="V1015" i="80" s="1"/>
  <c r="V1024" i="80" a="1"/>
  <c r="V1024" i="80" s="1"/>
  <c r="V1033" i="80" a="1"/>
  <c r="V1033" i="80" s="1"/>
  <c r="V1070" i="80" a="1"/>
  <c r="V1070" i="80" s="1"/>
  <c r="V1086" i="80" a="1"/>
  <c r="V1086" i="80" s="1"/>
  <c r="V1092" i="80" a="1"/>
  <c r="V1092" i="80" s="1"/>
  <c r="V1097" i="80" a="1"/>
  <c r="V1097" i="80" s="1"/>
  <c r="V1113" i="80" a="1"/>
  <c r="V1113" i="80" s="1"/>
  <c r="V1123" i="80" a="1"/>
  <c r="V1123" i="80" s="1"/>
  <c r="V1132" i="80" a="1"/>
  <c r="V1132" i="80" s="1"/>
  <c r="V1141" i="80" a="1"/>
  <c r="V1141" i="80" s="1"/>
  <c r="V1146" i="80" a="1"/>
  <c r="V1146" i="80" s="1"/>
  <c r="V1155" i="80" a="1"/>
  <c r="V1155" i="80" s="1"/>
  <c r="V1164" i="80" a="1"/>
  <c r="V1164" i="80" s="1"/>
  <c r="V1173" i="80" a="1"/>
  <c r="V1173" i="80" s="1"/>
  <c r="V1178" i="80" a="1"/>
  <c r="V1178" i="80" s="1"/>
  <c r="V1187" i="80" a="1"/>
  <c r="V1187" i="80" s="1"/>
  <c r="V1196" i="80" a="1"/>
  <c r="V1196" i="80" s="1"/>
  <c r="V1205" i="80" a="1"/>
  <c r="V1205" i="80" s="1"/>
  <c r="V1210" i="80" a="1"/>
  <c r="V1210" i="80" s="1"/>
  <c r="V1219" i="80" a="1"/>
  <c r="V1219" i="80" s="1"/>
  <c r="V1228" i="80" a="1"/>
  <c r="V1228" i="80" s="1"/>
  <c r="V1232" i="80" a="1"/>
  <c r="V1232" i="80" s="1"/>
  <c r="V1236" i="80" a="1"/>
  <c r="V1236" i="80" s="1"/>
  <c r="V1240" i="80" a="1"/>
  <c r="V1240" i="80" s="1"/>
  <c r="V1244" i="80" a="1"/>
  <c r="V1244" i="80" s="1"/>
  <c r="V1248" i="80" a="1"/>
  <c r="V1248" i="80" s="1"/>
  <c r="V1252" i="80" a="1"/>
  <c r="V1252" i="80" s="1"/>
  <c r="V1256" i="80" a="1"/>
  <c r="V1256" i="80" s="1"/>
  <c r="V1260" i="80" a="1"/>
  <c r="V1260" i="80" s="1"/>
  <c r="V1264" i="80" a="1"/>
  <c r="V1264" i="80" s="1"/>
  <c r="V1268" i="80" a="1"/>
  <c r="V1268" i="80" s="1"/>
  <c r="V1272" i="80" a="1"/>
  <c r="V1272" i="80" s="1"/>
  <c r="V1276" i="80" a="1"/>
  <c r="V1276" i="80" s="1"/>
  <c r="V1280" i="80" a="1"/>
  <c r="V1280" i="80" s="1"/>
  <c r="V1284" i="80" a="1"/>
  <c r="V1284" i="80" s="1"/>
  <c r="V1288" i="80" a="1"/>
  <c r="V1288" i="80" s="1"/>
  <c r="V1292" i="80" a="1"/>
  <c r="V1292" i="80" s="1"/>
  <c r="V1296" i="80" a="1"/>
  <c r="V1296" i="80" s="1"/>
  <c r="V1300" i="80" a="1"/>
  <c r="V1300" i="80" s="1"/>
  <c r="V1304" i="80" a="1"/>
  <c r="V1304" i="80" s="1"/>
  <c r="V1308" i="80" a="1"/>
  <c r="V1308" i="80" s="1"/>
  <c r="V1312" i="80" a="1"/>
  <c r="V1312" i="80" s="1"/>
  <c r="V1316" i="80" a="1"/>
  <c r="V1316" i="80" s="1"/>
  <c r="V1320" i="80" a="1"/>
  <c r="V1320" i="80" s="1"/>
  <c r="V1324" i="80" a="1"/>
  <c r="V1324" i="80" s="1"/>
  <c r="V1328" i="80" a="1"/>
  <c r="V1328" i="80" s="1"/>
  <c r="V804" i="80" a="1"/>
  <c r="V804" i="80" s="1"/>
  <c r="V820" i="80" a="1"/>
  <c r="V820" i="80" s="1"/>
  <c r="V866" i="80" a="1"/>
  <c r="V866" i="80" s="1"/>
  <c r="V888" i="80" a="1"/>
  <c r="V888" i="80" s="1"/>
  <c r="V911" i="80" a="1"/>
  <c r="V911" i="80" s="1"/>
  <c r="V946" i="80" a="1"/>
  <c r="V946" i="80" s="1"/>
  <c r="V957" i="80" a="1"/>
  <c r="V957" i="80" s="1"/>
  <c r="V969" i="80" a="1"/>
  <c r="V969" i="80" s="1"/>
  <c r="V981" i="80" a="1"/>
  <c r="V981" i="80" s="1"/>
  <c r="V992" i="80" a="1"/>
  <c r="V992" i="80" s="1"/>
  <c r="V1004" i="80" a="1"/>
  <c r="V1004" i="80" s="1"/>
  <c r="V1034" i="80" a="1"/>
  <c r="V1034" i="80" s="1"/>
  <c r="V1043" i="80" a="1"/>
  <c r="V1043" i="80" s="1"/>
  <c r="V1052" i="80" a="1"/>
  <c r="V1052" i="80" s="1"/>
  <c r="V1061" i="80" a="1"/>
  <c r="V1061" i="80" s="1"/>
  <c r="V1079" i="80" a="1"/>
  <c r="V1079" i="80" s="1"/>
  <c r="V1098" i="80" a="1"/>
  <c r="V1098" i="80" s="1"/>
  <c r="V1103" i="80" a="1"/>
  <c r="V1103" i="80" s="1"/>
  <c r="V1114" i="80" a="1"/>
  <c r="V1114" i="80" s="1"/>
  <c r="V1119" i="80" a="1"/>
  <c r="V1119" i="80" s="1"/>
  <c r="V1128" i="80" a="1"/>
  <c r="V1128" i="80" s="1"/>
  <c r="V1137" i="80" a="1"/>
  <c r="V1137" i="80" s="1"/>
  <c r="V1142" i="80" a="1"/>
  <c r="V1142" i="80" s="1"/>
  <c r="V1151" i="80" a="1"/>
  <c r="V1151" i="80" s="1"/>
  <c r="V1160" i="80" a="1"/>
  <c r="V1160" i="80" s="1"/>
  <c r="V1169" i="80" a="1"/>
  <c r="V1169" i="80" s="1"/>
  <c r="V1174" i="80" a="1"/>
  <c r="V1174" i="80" s="1"/>
  <c r="V1183" i="80" a="1"/>
  <c r="V1183" i="80" s="1"/>
  <c r="V1192" i="80" a="1"/>
  <c r="V1192" i="80" s="1"/>
  <c r="V1201" i="80" a="1"/>
  <c r="V1201" i="80" s="1"/>
  <c r="V1206" i="80" a="1"/>
  <c r="V1206" i="80" s="1"/>
  <c r="V1215" i="80" a="1"/>
  <c r="V1215" i="80" s="1"/>
  <c r="V1224" i="80" a="1"/>
  <c r="V1224" i="80" s="1"/>
  <c r="V995" i="80" a="1"/>
  <c r="V995" i="80" s="1"/>
  <c r="V1006" i="80" a="1"/>
  <c r="V1006" i="80" s="1"/>
  <c r="V1054" i="80" a="1"/>
  <c r="V1054" i="80" s="1"/>
  <c r="V1063" i="80" a="1"/>
  <c r="V1063" i="80" s="1"/>
  <c r="V1072" i="80" a="1"/>
  <c r="V1072" i="80" s="1"/>
  <c r="V1093" i="80" a="1"/>
  <c r="V1093" i="80" s="1"/>
  <c r="V1104" i="80" a="1"/>
  <c r="V1104" i="80" s="1"/>
  <c r="V1124" i="80" a="1"/>
  <c r="V1124" i="80" s="1"/>
  <c r="V1133" i="80" a="1"/>
  <c r="V1133" i="80" s="1"/>
  <c r="V1138" i="80" a="1"/>
  <c r="V1138" i="80" s="1"/>
  <c r="V1156" i="80" a="1"/>
  <c r="V1156" i="80" s="1"/>
  <c r="V1165" i="80" a="1"/>
  <c r="V1165" i="80" s="1"/>
  <c r="V1170" i="80" a="1"/>
  <c r="V1170" i="80" s="1"/>
  <c r="V1188" i="80" a="1"/>
  <c r="V1188" i="80" s="1"/>
  <c r="V1197" i="80" a="1"/>
  <c r="V1197" i="80" s="1"/>
  <c r="V1202" i="80" a="1"/>
  <c r="V1202" i="80" s="1"/>
  <c r="V1220" i="80" a="1"/>
  <c r="V1220" i="80" s="1"/>
  <c r="V1229" i="80" a="1"/>
  <c r="V1229" i="80" s="1"/>
  <c r="V1233" i="80" a="1"/>
  <c r="V1233" i="80" s="1"/>
  <c r="V1241" i="80" a="1"/>
  <c r="V1241" i="80" s="1"/>
  <c r="V1245" i="80" a="1"/>
  <c r="V1245" i="80" s="1"/>
  <c r="V1249" i="80" a="1"/>
  <c r="V1249" i="80" s="1"/>
  <c r="V1253" i="80" a="1"/>
  <c r="V1253" i="80" s="1"/>
  <c r="V1257" i="80" a="1"/>
  <c r="V1257" i="80" s="1"/>
  <c r="V1265" i="80" a="1"/>
  <c r="V1265" i="80" s="1"/>
  <c r="V1269" i="80" a="1"/>
  <c r="V1269" i="80" s="1"/>
  <c r="V806" i="80" a="1"/>
  <c r="V806" i="80" s="1"/>
  <c r="V821" i="80" a="1"/>
  <c r="V821" i="80" s="1"/>
  <c r="V834" i="80" a="1"/>
  <c r="V834" i="80" s="1"/>
  <c r="V868" i="80" a="1"/>
  <c r="V868" i="80" s="1"/>
  <c r="V879" i="80" a="1"/>
  <c r="V879" i="80" s="1"/>
  <c r="V890" i="80" a="1"/>
  <c r="V890" i="80" s="1"/>
  <c r="V902" i="80" a="1"/>
  <c r="V902" i="80" s="1"/>
  <c r="V913" i="80" a="1"/>
  <c r="V913" i="80" s="1"/>
  <c r="V948" i="80" a="1"/>
  <c r="V948" i="80" s="1"/>
  <c r="V971" i="80" a="1"/>
  <c r="V971" i="80" s="1"/>
  <c r="V983" i="80" a="1"/>
  <c r="V983" i="80" s="1"/>
  <c r="V1017" i="80" a="1"/>
  <c r="V1017" i="80" s="1"/>
  <c r="V1109" i="80" a="1"/>
  <c r="V1109" i="80" s="1"/>
  <c r="V1147" i="80" a="1"/>
  <c r="V1147" i="80" s="1"/>
  <c r="V1179" i="80" a="1"/>
  <c r="V1179" i="80" s="1"/>
  <c r="V1211" i="80" a="1"/>
  <c r="V1211" i="80" s="1"/>
  <c r="V1237" i="80" a="1"/>
  <c r="V1237" i="80" s="1"/>
  <c r="V1261" i="80" a="1"/>
  <c r="V1261" i="80" s="1"/>
  <c r="V809" i="80" a="1"/>
  <c r="V809" i="80" s="1"/>
  <c r="V823" i="80" a="1"/>
  <c r="V823" i="80" s="1"/>
  <c r="V835" i="80" a="1"/>
  <c r="V835" i="80" s="1"/>
  <c r="V845" i="80" a="1"/>
  <c r="V845" i="80" s="1"/>
  <c r="V857" i="80" a="1"/>
  <c r="V857" i="80" s="1"/>
  <c r="V914" i="80" a="1"/>
  <c r="V914" i="80" s="1"/>
  <c r="V925" i="80" a="1"/>
  <c r="V925" i="80" s="1"/>
  <c r="V937" i="80" a="1"/>
  <c r="V937" i="80" s="1"/>
  <c r="V949" i="80" a="1"/>
  <c r="V949" i="80" s="1"/>
  <c r="V960" i="80" a="1"/>
  <c r="V960" i="80" s="1"/>
  <c r="V972" i="80" a="1"/>
  <c r="V972" i="80" s="1"/>
  <c r="V984" i="80" a="1"/>
  <c r="V984" i="80" s="1"/>
  <c r="V1007" i="80" a="1"/>
  <c r="V1007" i="80" s="1"/>
  <c r="V1018" i="80" a="1"/>
  <c r="V1018" i="80" s="1"/>
  <c r="V1027" i="80" a="1"/>
  <c r="V1027" i="80" s="1"/>
  <c r="V1036" i="80" a="1"/>
  <c r="V1036" i="80" s="1"/>
  <c r="V1045" i="80" a="1"/>
  <c r="V1045" i="80" s="1"/>
  <c r="V1081" i="80" a="1"/>
  <c r="V1081" i="80" s="1"/>
  <c r="V1088" i="80" a="1"/>
  <c r="V1088" i="80" s="1"/>
  <c r="V810" i="80" a="1"/>
  <c r="V810" i="80" s="1"/>
  <c r="V826" i="80" a="1"/>
  <c r="V826" i="80" s="1"/>
  <c r="V859" i="80" a="1"/>
  <c r="V859" i="80" s="1"/>
  <c r="V882" i="80" a="1"/>
  <c r="V882" i="80" s="1"/>
  <c r="V916" i="80" a="1"/>
  <c r="V916" i="80" s="1"/>
  <c r="V939" i="80" a="1"/>
  <c r="V939" i="80" s="1"/>
  <c r="V951" i="80" a="1"/>
  <c r="V951" i="80" s="1"/>
  <c r="V974" i="80" a="1"/>
  <c r="V974" i="80" s="1"/>
  <c r="V986" i="80" a="1"/>
  <c r="V986" i="80" s="1"/>
  <c r="V998" i="80" a="1"/>
  <c r="V998" i="80" s="1"/>
  <c r="V1009" i="80" a="1"/>
  <c r="V1009" i="80" s="1"/>
  <c r="V1038" i="80" a="1"/>
  <c r="V1038" i="80" s="1"/>
  <c r="V1047" i="80" a="1"/>
  <c r="V1047" i="80" s="1"/>
  <c r="V1056" i="80" a="1"/>
  <c r="V1056" i="80" s="1"/>
  <c r="V1065" i="80" a="1"/>
  <c r="V1065" i="80" s="1"/>
  <c r="V1082" i="80" a="1"/>
  <c r="V1082" i="80" s="1"/>
  <c r="V1095" i="80" a="1"/>
  <c r="V1095" i="80" s="1"/>
  <c r="V1100" i="80" a="1"/>
  <c r="V1100" i="80" s="1"/>
  <c r="V1105" i="80" a="1"/>
  <c r="V1105" i="80" s="1"/>
  <c r="V1125" i="80" a="1"/>
  <c r="V1125" i="80" s="1"/>
  <c r="V1130" i="80" a="1"/>
  <c r="V1130" i="80" s="1"/>
  <c r="V1139" i="80" a="1"/>
  <c r="V1139" i="80" s="1"/>
  <c r="V1148" i="80" a="1"/>
  <c r="V1148" i="80" s="1"/>
  <c r="V1157" i="80" a="1"/>
  <c r="V1157" i="80" s="1"/>
  <c r="V1162" i="80" a="1"/>
  <c r="V1162" i="80" s="1"/>
  <c r="V1171" i="80" a="1"/>
  <c r="V1171" i="80" s="1"/>
  <c r="V1180" i="80" a="1"/>
  <c r="V1180" i="80" s="1"/>
  <c r="V1189" i="80" a="1"/>
  <c r="V1189" i="80" s="1"/>
  <c r="V1194" i="80" a="1"/>
  <c r="V1194" i="80" s="1"/>
  <c r="V1203" i="80" a="1"/>
  <c r="V1203" i="80" s="1"/>
  <c r="V1212" i="80" a="1"/>
  <c r="V1212" i="80" s="1"/>
  <c r="V1221" i="80" a="1"/>
  <c r="V1221" i="80" s="1"/>
  <c r="V1226" i="80" a="1"/>
  <c r="V1226" i="80" s="1"/>
  <c r="V1230" i="80" a="1"/>
  <c r="V1230" i="80" s="1"/>
  <c r="V1234" i="80" a="1"/>
  <c r="V1234" i="80" s="1"/>
  <c r="V1238" i="80" a="1"/>
  <c r="V1238" i="80" s="1"/>
  <c r="V1242" i="80" a="1"/>
  <c r="V1242" i="80" s="1"/>
  <c r="V1246" i="80" a="1"/>
  <c r="V1246" i="80" s="1"/>
  <c r="V1250" i="80" a="1"/>
  <c r="V1250" i="80" s="1"/>
  <c r="V1254" i="80" a="1"/>
  <c r="V1254" i="80" s="1"/>
  <c r="V1258" i="80" a="1"/>
  <c r="V1258" i="80" s="1"/>
  <c r="V1262" i="80" a="1"/>
  <c r="V1262" i="80" s="1"/>
  <c r="V1266" i="80" a="1"/>
  <c r="V1266" i="80" s="1"/>
  <c r="V1270" i="80" a="1"/>
  <c r="V1270" i="80" s="1"/>
  <c r="V1274" i="80" a="1"/>
  <c r="V1274" i="80" s="1"/>
  <c r="V1278" i="80" a="1"/>
  <c r="V1278" i="80" s="1"/>
  <c r="V1282" i="80" a="1"/>
  <c r="V1282" i="80" s="1"/>
  <c r="V1286" i="80" a="1"/>
  <c r="V1286" i="80" s="1"/>
  <c r="V1290" i="80" a="1"/>
  <c r="V1290" i="80" s="1"/>
  <c r="V1294" i="80" a="1"/>
  <c r="V1294" i="80" s="1"/>
  <c r="V1298" i="80" a="1"/>
  <c r="V1298" i="80" s="1"/>
  <c r="V1302" i="80" a="1"/>
  <c r="V1302" i="80" s="1"/>
  <c r="V1306" i="80" a="1"/>
  <c r="V1306" i="80" s="1"/>
  <c r="V1310" i="80" a="1"/>
  <c r="V1310" i="80" s="1"/>
  <c r="V1314" i="80" a="1"/>
  <c r="V1314" i="80" s="1"/>
  <c r="V1318" i="80" a="1"/>
  <c r="V1318" i="80" s="1"/>
  <c r="V1322" i="80" a="1"/>
  <c r="V1322" i="80" s="1"/>
  <c r="V1326" i="80" a="1"/>
  <c r="V1326" i="80" s="1"/>
  <c r="V1330" i="80" a="1"/>
  <c r="V1330" i="80" s="1"/>
  <c r="V787" i="80" a="1"/>
  <c r="V787" i="80" s="1"/>
  <c r="V812" i="80" a="1"/>
  <c r="V812" i="80" s="1"/>
  <c r="V837" i="80" a="1"/>
  <c r="V837" i="80" s="1"/>
  <c r="V848" i="80" a="1"/>
  <c r="V848" i="80" s="1"/>
  <c r="V871" i="80" a="1"/>
  <c r="V871" i="80" s="1"/>
  <c r="V893" i="80" a="1"/>
  <c r="V893" i="80" s="1"/>
  <c r="V905" i="80" a="1"/>
  <c r="V905" i="80" s="1"/>
  <c r="V917" i="80" a="1"/>
  <c r="V917" i="80" s="1"/>
  <c r="V928" i="80" a="1"/>
  <c r="V928" i="80" s="1"/>
  <c r="V940" i="80" a="1"/>
  <c r="V940" i="80" s="1"/>
  <c r="V952" i="80" a="1"/>
  <c r="V952" i="80" s="1"/>
  <c r="V975" i="80" a="1"/>
  <c r="V975" i="80" s="1"/>
  <c r="V1010" i="80" a="1"/>
  <c r="V1010" i="80" s="1"/>
  <c r="V1020" i="80" a="1"/>
  <c r="V1020" i="80" s="1"/>
  <c r="V1029" i="80" a="1"/>
  <c r="V1029" i="80" s="1"/>
  <c r="V1066" i="80" a="1"/>
  <c r="V1066" i="80" s="1"/>
  <c r="V1075" i="80" a="1"/>
  <c r="V1075" i="80" s="1"/>
  <c r="V1083" i="80" a="1"/>
  <c r="V1083" i="80" s="1"/>
  <c r="V1106" i="80" a="1"/>
  <c r="V1106" i="80" s="1"/>
  <c r="V1111" i="80" a="1"/>
  <c r="V1111" i="80" s="1"/>
  <c r="V1116" i="80" a="1"/>
  <c r="V1116" i="80" s="1"/>
  <c r="V1121" i="80" a="1"/>
  <c r="V1121" i="80" s="1"/>
  <c r="V1126" i="80" a="1"/>
  <c r="V1126" i="80" s="1"/>
  <c r="V1135" i="80" a="1"/>
  <c r="V1135" i="80" s="1"/>
  <c r="V1144" i="80" a="1"/>
  <c r="V1144" i="80" s="1"/>
  <c r="V1153" i="80" a="1"/>
  <c r="V1153" i="80" s="1"/>
  <c r="V1158" i="80" a="1"/>
  <c r="V1158" i="80" s="1"/>
  <c r="V1167" i="80" a="1"/>
  <c r="V1167" i="80" s="1"/>
  <c r="V1176" i="80" a="1"/>
  <c r="V1176" i="80" s="1"/>
  <c r="V1185" i="80" a="1"/>
  <c r="V1185" i="80" s="1"/>
  <c r="V1190" i="80" a="1"/>
  <c r="V1190" i="80" s="1"/>
  <c r="V1199" i="80" a="1"/>
  <c r="V1199" i="80" s="1"/>
  <c r="V1208" i="80" a="1"/>
  <c r="V1208" i="80" s="1"/>
  <c r="V1217" i="80" a="1"/>
  <c r="V1217" i="80" s="1"/>
  <c r="V1222" i="80" a="1"/>
  <c r="V1222" i="80" s="1"/>
  <c r="V977" i="80" a="1"/>
  <c r="V977" i="80" s="1"/>
  <c r="V1022" i="80" a="1"/>
  <c r="V1022" i="80" s="1"/>
  <c r="V1040" i="80" a="1"/>
  <c r="V1040" i="80" s="1"/>
  <c r="V1049" i="80" a="1"/>
  <c r="V1049" i="80" s="1"/>
  <c r="V1091" i="80" a="1"/>
  <c r="V1091" i="80" s="1"/>
  <c r="V1096" i="80" a="1"/>
  <c r="V1096" i="80" s="1"/>
  <c r="V1122" i="80" a="1"/>
  <c r="V1122" i="80" s="1"/>
  <c r="V1131" i="80" a="1"/>
  <c r="V1131" i="80" s="1"/>
  <c r="V1140" i="80" a="1"/>
  <c r="V1140" i="80" s="1"/>
  <c r="V1154" i="80" a="1"/>
  <c r="V1154" i="80" s="1"/>
  <c r="V1163" i="80" a="1"/>
  <c r="V1163" i="80" s="1"/>
  <c r="V1172" i="80" a="1"/>
  <c r="V1172" i="80" s="1"/>
  <c r="V1186" i="80" a="1"/>
  <c r="V1186" i="80" s="1"/>
  <c r="V1195" i="80" a="1"/>
  <c r="V1195" i="80" s="1"/>
  <c r="V1204" i="80" a="1"/>
  <c r="V1204" i="80" s="1"/>
  <c r="V1218" i="80" a="1"/>
  <c r="V1218" i="80" s="1"/>
  <c r="V1227" i="80" a="1"/>
  <c r="V1227" i="80" s="1"/>
  <c r="V1231" i="80" a="1"/>
  <c r="V1231" i="80" s="1"/>
  <c r="V1235" i="80" a="1"/>
  <c r="V1235" i="80" s="1"/>
  <c r="V1243" i="80" a="1"/>
  <c r="V1243" i="80" s="1"/>
  <c r="V1247" i="80" a="1"/>
  <c r="V1247" i="80" s="1"/>
  <c r="V1251" i="80" a="1"/>
  <c r="V1251" i="80" s="1"/>
  <c r="V815" i="80" a="1"/>
  <c r="V815" i="80" s="1"/>
  <c r="V828" i="80" a="1"/>
  <c r="V828" i="80" s="1"/>
  <c r="V839" i="80" a="1"/>
  <c r="V839" i="80" s="1"/>
  <c r="V862" i="80" a="1"/>
  <c r="V862" i="80" s="1"/>
  <c r="V873" i="80" a="1"/>
  <c r="V873" i="80" s="1"/>
  <c r="V884" i="80" a="1"/>
  <c r="V884" i="80" s="1"/>
  <c r="V907" i="80" a="1"/>
  <c r="V907" i="80" s="1"/>
  <c r="V919" i="80" a="1"/>
  <c r="V919" i="80" s="1"/>
  <c r="V931" i="80" a="1"/>
  <c r="V931" i="80" s="1"/>
  <c r="V942" i="80" a="1"/>
  <c r="V942" i="80" s="1"/>
  <c r="V954" i="80" a="1"/>
  <c r="V954" i="80" s="1"/>
  <c r="V966" i="80" a="1"/>
  <c r="V966" i="80" s="1"/>
  <c r="V1031" i="80" a="1"/>
  <c r="V1031" i="80" s="1"/>
  <c r="V1101" i="80" a="1"/>
  <c r="V1101" i="80" s="1"/>
  <c r="V1149" i="80" a="1"/>
  <c r="V1149" i="80" s="1"/>
  <c r="V1181" i="80" a="1"/>
  <c r="V1181" i="80" s="1"/>
  <c r="V1213" i="80" a="1"/>
  <c r="V1213" i="80" s="1"/>
  <c r="V1239" i="80" a="1"/>
  <c r="V1239" i="80" s="1"/>
  <c r="V800" i="80" a="1"/>
  <c r="V800" i="80" s="1"/>
  <c r="V840" i="80" a="1"/>
  <c r="V840" i="80" s="1"/>
  <c r="V851" i="80" a="1"/>
  <c r="V851" i="80" s="1"/>
  <c r="V863" i="80" a="1"/>
  <c r="V863" i="80" s="1"/>
  <c r="V874" i="80" a="1"/>
  <c r="V874" i="80" s="1"/>
  <c r="V885" i="80" a="1"/>
  <c r="V885" i="80" s="1"/>
  <c r="V896" i="80" a="1"/>
  <c r="V896" i="80" s="1"/>
  <c r="V908" i="80" a="1"/>
  <c r="V908" i="80" s="1"/>
  <c r="V920" i="80" a="1"/>
  <c r="V920" i="80" s="1"/>
  <c r="V943" i="80" a="1"/>
  <c r="V943" i="80" s="1"/>
  <c r="V978" i="80" a="1"/>
  <c r="V978" i="80" s="1"/>
  <c r="V989" i="80" a="1"/>
  <c r="V989" i="80" s="1"/>
  <c r="V1001" i="80" a="1"/>
  <c r="V1001" i="80" s="1"/>
  <c r="V1012" i="80" a="1"/>
  <c r="V1012" i="80" s="1"/>
  <c r="V1050" i="80" a="1"/>
  <c r="V1050" i="80" s="1"/>
  <c r="V1059" i="80" a="1"/>
  <c r="V1059" i="80" s="1"/>
  <c r="V1068" i="80" a="1"/>
  <c r="V1068" i="80" s="1"/>
  <c r="V1077" i="80" a="1"/>
  <c r="V1077" i="80" s="1"/>
  <c r="V1118" i="80" a="1"/>
  <c r="V1118" i="80" s="1"/>
  <c r="V1136" i="80" a="1"/>
  <c r="V1136" i="80" s="1"/>
  <c r="V1191" i="80" a="1"/>
  <c r="V1191" i="80" s="1"/>
  <c r="V1209" i="80" a="1"/>
  <c r="V1209" i="80" s="1"/>
  <c r="V1277" i="80" a="1"/>
  <c r="V1277" i="80" s="1"/>
  <c r="V1285" i="80" a="1"/>
  <c r="V1285" i="80" s="1"/>
  <c r="V1293" i="80" a="1"/>
  <c r="V1293" i="80" s="1"/>
  <c r="V1301" i="80" a="1"/>
  <c r="V1301" i="80" s="1"/>
  <c r="V1309" i="80" a="1"/>
  <c r="V1309" i="80" s="1"/>
  <c r="V1317" i="80" a="1"/>
  <c r="V1317" i="80" s="1"/>
  <c r="V1325" i="80" a="1"/>
  <c r="V1325" i="80" s="1"/>
  <c r="V1332" i="80" a="1"/>
  <c r="V1332" i="80" s="1"/>
  <c r="V1343" i="80" a="1"/>
  <c r="V1343" i="80" s="1"/>
  <c r="V1348" i="80" a="1"/>
  <c r="V1348" i="80" s="1"/>
  <c r="V1380" i="80" a="1"/>
  <c r="V1380" i="80" s="1"/>
  <c r="V1385" i="80" a="1"/>
  <c r="V1385" i="80" s="1"/>
  <c r="V1396" i="80" a="1"/>
  <c r="V1396" i="80" s="1"/>
  <c r="V1401" i="80" a="1"/>
  <c r="V1401" i="80" s="1"/>
  <c r="V1412" i="80" a="1"/>
  <c r="V1412" i="80" s="1"/>
  <c r="V1392" i="80" a="1"/>
  <c r="V1392" i="80" s="1"/>
  <c r="V1408" i="80" a="1"/>
  <c r="V1408" i="80" s="1"/>
  <c r="V1120" i="80" a="1"/>
  <c r="V1120" i="80" s="1"/>
  <c r="V1175" i="80" a="1"/>
  <c r="V1175" i="80" s="1"/>
  <c r="V1193" i="80" a="1"/>
  <c r="V1193" i="80" s="1"/>
  <c r="V1259" i="80" a="1"/>
  <c r="V1259" i="80" s="1"/>
  <c r="V1333" i="80" a="1"/>
  <c r="V1333" i="80" s="1"/>
  <c r="V1338" i="80" a="1"/>
  <c r="V1338" i="80" s="1"/>
  <c r="V1349" i="80" a="1"/>
  <c r="V1349" i="80" s="1"/>
  <c r="V1375" i="80" a="1"/>
  <c r="V1375" i="80" s="1"/>
  <c r="V1386" i="80" a="1"/>
  <c r="V1386" i="80" s="1"/>
  <c r="V1391" i="80" a="1"/>
  <c r="V1391" i="80" s="1"/>
  <c r="V1402" i="80" a="1"/>
  <c r="V1402" i="80" s="1"/>
  <c r="V1407" i="80" a="1"/>
  <c r="V1407" i="80" s="1"/>
  <c r="V1287" i="80" a="1"/>
  <c r="V1287" i="80" s="1"/>
  <c r="V1303" i="80" a="1"/>
  <c r="V1303" i="80" s="1"/>
  <c r="V1311" i="80" a="1"/>
  <c r="V1311" i="80" s="1"/>
  <c r="V1319" i="80" a="1"/>
  <c r="V1319" i="80" s="1"/>
  <c r="V1339" i="80" a="1"/>
  <c r="V1339" i="80" s="1"/>
  <c r="V1344" i="80" a="1"/>
  <c r="V1344" i="80" s="1"/>
  <c r="V1381" i="80" a="1"/>
  <c r="V1381" i="80" s="1"/>
  <c r="V1397" i="80" a="1"/>
  <c r="V1397" i="80" s="1"/>
  <c r="V1413" i="80" a="1"/>
  <c r="V1413" i="80" s="1"/>
  <c r="V1414" i="80" a="1"/>
  <c r="V1414" i="80" s="1"/>
  <c r="V1406" i="80" a="1"/>
  <c r="V1406" i="80" s="1"/>
  <c r="V1102" i="80" a="1"/>
  <c r="V1102" i="80" s="1"/>
  <c r="V1159" i="80" a="1"/>
  <c r="V1159" i="80" s="1"/>
  <c r="V1177" i="80" a="1"/>
  <c r="V1177" i="80" s="1"/>
  <c r="V1214" i="80" a="1"/>
  <c r="V1214" i="80" s="1"/>
  <c r="V1271" i="80" a="1"/>
  <c r="V1271" i="80" s="1"/>
  <c r="V1279" i="80" a="1"/>
  <c r="V1279" i="80" s="1"/>
  <c r="V1295" i="80" a="1"/>
  <c r="V1295" i="80" s="1"/>
  <c r="V1327" i="80" a="1"/>
  <c r="V1327" i="80" s="1"/>
  <c r="V1376" i="80" a="1"/>
  <c r="V1376" i="80" s="1"/>
  <c r="V1403" i="80" a="1"/>
  <c r="V1403" i="80" s="1"/>
  <c r="V1143" i="80" a="1"/>
  <c r="V1143" i="80" s="1"/>
  <c r="V1161" i="80" a="1"/>
  <c r="V1161" i="80" s="1"/>
  <c r="V1198" i="80" a="1"/>
  <c r="V1198" i="80" s="1"/>
  <c r="V1216" i="80" a="1"/>
  <c r="V1216" i="80" s="1"/>
  <c r="V1334" i="80" a="1"/>
  <c r="V1334" i="80" s="1"/>
  <c r="V1345" i="80" a="1"/>
  <c r="V1345" i="80" s="1"/>
  <c r="V1382" i="80" a="1"/>
  <c r="V1382" i="80" s="1"/>
  <c r="V1387" i="80" a="1"/>
  <c r="V1387" i="80" s="1"/>
  <c r="V1398" i="80" a="1"/>
  <c r="V1398" i="80" s="1"/>
  <c r="V1107" i="80" a="1"/>
  <c r="V1107" i="80" s="1"/>
  <c r="V1127" i="80" a="1"/>
  <c r="V1127" i="80" s="1"/>
  <c r="V1145" i="80" a="1"/>
  <c r="V1145" i="80" s="1"/>
  <c r="V1182" i="80" a="1"/>
  <c r="V1182" i="80" s="1"/>
  <c r="V1200" i="80" a="1"/>
  <c r="V1200" i="80" s="1"/>
  <c r="V1263" i="80" a="1"/>
  <c r="V1263" i="80" s="1"/>
  <c r="V1273" i="80" a="1"/>
  <c r="V1273" i="80" s="1"/>
  <c r="V1281" i="80" a="1"/>
  <c r="V1281" i="80" s="1"/>
  <c r="V1289" i="80" a="1"/>
  <c r="V1289" i="80" s="1"/>
  <c r="V1297" i="80" a="1"/>
  <c r="V1297" i="80" s="1"/>
  <c r="V1305" i="80" a="1"/>
  <c r="V1305" i="80" s="1"/>
  <c r="V1313" i="80" a="1"/>
  <c r="V1313" i="80" s="1"/>
  <c r="V1321" i="80" a="1"/>
  <c r="V1321" i="80" s="1"/>
  <c r="V1329" i="80" a="1"/>
  <c r="V1329" i="80" s="1"/>
  <c r="V1340" i="80" a="1"/>
  <c r="V1340" i="80" s="1"/>
  <c r="V1351" i="80" a="1"/>
  <c r="V1351" i="80" s="1"/>
  <c r="V1372" i="80" a="1"/>
  <c r="V1372" i="80" s="1"/>
  <c r="V1377" i="80" a="1"/>
  <c r="V1377" i="80" s="1"/>
  <c r="V1388" i="80" a="1"/>
  <c r="V1388" i="80" s="1"/>
  <c r="V1393" i="80" a="1"/>
  <c r="V1393" i="80" s="1"/>
  <c r="V1404" i="80" a="1"/>
  <c r="V1404" i="80" s="1"/>
  <c r="V1409" i="80" a="1"/>
  <c r="V1409" i="80" s="1"/>
  <c r="V1400" i="80" a="1"/>
  <c r="V1400" i="80" s="1"/>
  <c r="V1379" i="80" a="1"/>
  <c r="V1379" i="80" s="1"/>
  <c r="V1411" i="80" a="1"/>
  <c r="V1411" i="80" s="1"/>
  <c r="V1084" i="80" a="1"/>
  <c r="V1084" i="80" s="1"/>
  <c r="V1110" i="80" a="1"/>
  <c r="V1110" i="80" s="1"/>
  <c r="V1129" i="80" a="1"/>
  <c r="V1129" i="80" s="1"/>
  <c r="V1166" i="80" a="1"/>
  <c r="V1166" i="80" s="1"/>
  <c r="V1184" i="80" a="1"/>
  <c r="V1184" i="80" s="1"/>
  <c r="V1341" i="80" a="1"/>
  <c r="V1341" i="80" s="1"/>
  <c r="V1346" i="80" a="1"/>
  <c r="V1346" i="80" s="1"/>
  <c r="V1378" i="80" a="1"/>
  <c r="V1378" i="80" s="1"/>
  <c r="V1383" i="80" a="1"/>
  <c r="V1383" i="80" s="1"/>
  <c r="V1394" i="80" a="1"/>
  <c r="V1394" i="80" s="1"/>
  <c r="V1399" i="80" a="1"/>
  <c r="V1399" i="80" s="1"/>
  <c r="V1410" i="80" a="1"/>
  <c r="V1410" i="80" s="1"/>
  <c r="V2" i="80" a="1"/>
  <c r="V2" i="80" s="1"/>
  <c r="V1283" i="80" a="1"/>
  <c r="V1283" i="80" s="1"/>
  <c r="V1299" i="80" a="1"/>
  <c r="V1299" i="80" s="1"/>
  <c r="V1307" i="80" a="1"/>
  <c r="V1307" i="80" s="1"/>
  <c r="V1315" i="80" a="1"/>
  <c r="V1315" i="80" s="1"/>
  <c r="V1331" i="80" a="1"/>
  <c r="V1331" i="80" s="1"/>
  <c r="V1347" i="80" a="1"/>
  <c r="V1347" i="80" s="1"/>
  <c r="V1352" i="80" a="1"/>
  <c r="V1352" i="80" s="1"/>
  <c r="V1373" i="80" a="1"/>
  <c r="V1373" i="80" s="1"/>
  <c r="V1389" i="80" a="1"/>
  <c r="V1389" i="80" s="1"/>
  <c r="V1405" i="80" a="1"/>
  <c r="V1405" i="80" s="1"/>
  <c r="V1353" i="80" a="1"/>
  <c r="V1353" i="80" s="1"/>
  <c r="V1390" i="80" a="1"/>
  <c r="V1390" i="80" s="1"/>
  <c r="V1112" i="80" a="1"/>
  <c r="V1112" i="80" s="1"/>
  <c r="V1150" i="80" a="1"/>
  <c r="V1150" i="80" s="1"/>
  <c r="V1168" i="80" a="1"/>
  <c r="V1168" i="80" s="1"/>
  <c r="V1223" i="80" a="1"/>
  <c r="V1223" i="80" s="1"/>
  <c r="V1255" i="80" a="1"/>
  <c r="V1255" i="80" s="1"/>
  <c r="V1275" i="80" a="1"/>
  <c r="V1275" i="80" s="1"/>
  <c r="V1291" i="80" a="1"/>
  <c r="V1291" i="80" s="1"/>
  <c r="V1323" i="80" a="1"/>
  <c r="V1323" i="80" s="1"/>
  <c r="V1384" i="80" a="1"/>
  <c r="V1384" i="80" s="1"/>
  <c r="V1395" i="80" a="1"/>
  <c r="V1395" i="80" s="1"/>
  <c r="V1094" i="80" a="1"/>
  <c r="V1094" i="80" s="1"/>
  <c r="V1115" i="80" a="1"/>
  <c r="V1115" i="80" s="1"/>
  <c r="V1134" i="80" a="1"/>
  <c r="V1134" i="80" s="1"/>
  <c r="V1152" i="80" a="1"/>
  <c r="V1152" i="80" s="1"/>
  <c r="V1207" i="80" a="1"/>
  <c r="V1207" i="80" s="1"/>
  <c r="V1225" i="80" a="1"/>
  <c r="V1225" i="80" s="1"/>
  <c r="V1267" i="80" a="1"/>
  <c r="V1267" i="80" s="1"/>
  <c r="V1337" i="80" a="1"/>
  <c r="V1337" i="80" s="1"/>
  <c r="V1342" i="80" a="1"/>
  <c r="V1342" i="80" s="1"/>
  <c r="V1374" i="80" a="1"/>
  <c r="V1374" i="80" s="1"/>
  <c r="T1357" i="80"/>
  <c r="T1359" i="80"/>
  <c r="T1358" i="80"/>
  <c r="V1366" i="80" a="1"/>
  <c r="V1366" i="80" s="1"/>
  <c r="V65" i="80" a="1"/>
  <c r="V65" i="80" s="1"/>
  <c r="T345" i="80"/>
  <c r="D2" i="62" s="1"/>
  <c r="T959" i="80"/>
  <c r="T1364" i="80"/>
  <c r="V935" i="80" a="1"/>
  <c r="V935" i="80" s="1"/>
  <c r="V1368" i="80" a="1"/>
  <c r="V1368" i="80" s="1"/>
  <c r="V1014" i="80" a="1"/>
  <c r="V1014" i="80" s="1"/>
  <c r="W105" i="48"/>
  <c r="F3" i="53" s="1"/>
  <c r="U1364" i="80"/>
  <c r="V1364" i="80" s="1" a="1"/>
  <c r="V1364" i="80" s="1"/>
  <c r="V357" i="80" a="1"/>
  <c r="V357" i="80" s="1"/>
  <c r="W50" i="48"/>
  <c r="V1367" i="80" a="1"/>
  <c r="V1367" i="80" s="1"/>
  <c r="V360" i="80" a="1"/>
  <c r="V360" i="80" s="1"/>
  <c r="V1362" i="80" a="1"/>
  <c r="V1362" i="80" s="1"/>
  <c r="V540" i="80" a="1"/>
  <c r="V540" i="80" s="1"/>
  <c r="V538" i="80" a="1"/>
  <c r="V538" i="80" s="1"/>
  <c r="T1362" i="80"/>
  <c r="W63" i="48"/>
  <c r="V1361" i="80" a="1"/>
  <c r="V1361" i="80" s="1"/>
  <c r="V964" i="80" a="1"/>
  <c r="V964" i="80" s="1"/>
  <c r="T1360" i="80"/>
  <c r="V1358" i="80" a="1"/>
  <c r="V1358" i="80" s="1"/>
  <c r="V934" i="80" a="1"/>
  <c r="V934" i="80" s="1"/>
  <c r="U530" i="80"/>
  <c r="U531" i="80"/>
  <c r="V531" i="80" s="1" a="1"/>
  <c r="V531" i="80" s="1"/>
  <c r="V1357" i="80" a="1"/>
  <c r="V1357" i="80" s="1"/>
  <c r="V1360" i="80" a="1"/>
  <c r="V1360" i="80" s="1"/>
  <c r="V361" i="80" a="1"/>
  <c r="V361" i="80" s="1"/>
  <c r="V1350" i="80" a="1"/>
  <c r="V1350" i="80" s="1"/>
  <c r="U1335" i="80"/>
  <c r="U1336" i="80"/>
  <c r="V1336" i="80" s="1" a="1"/>
  <c r="V1336" i="80" s="1"/>
  <c r="U345" i="80"/>
  <c r="V536" i="80" a="1"/>
  <c r="V536" i="80" s="1"/>
  <c r="V1369" i="80" a="1"/>
  <c r="V1369" i="80" s="1"/>
  <c r="V933" i="80" a="1"/>
  <c r="V933" i="80" s="1"/>
  <c r="W97" i="48"/>
  <c r="T1367" i="80"/>
  <c r="T1368" i="80"/>
  <c r="T1366" i="80"/>
  <c r="V349" i="80" a="1"/>
  <c r="V349" i="80" s="1"/>
  <c r="V283" i="80" a="1"/>
  <c r="V283" i="80" s="1"/>
  <c r="X39" i="48" s="1" a="1"/>
  <c r="X39" i="48" s="1"/>
  <c r="AC35" i="48" a="1"/>
  <c r="AC35" i="48" s="1"/>
  <c r="Z35" i="48" a="1"/>
  <c r="Z35" i="48" s="1"/>
  <c r="AA35" i="48"/>
  <c r="AB35" i="48" s="1"/>
  <c r="O39" i="48"/>
  <c r="M39" i="48"/>
  <c r="O24" i="48"/>
  <c r="M24" i="48"/>
  <c r="M118" i="48"/>
  <c r="O118" i="48"/>
  <c r="M64" i="48"/>
  <c r="O64" i="48"/>
  <c r="T94" i="48"/>
  <c r="O94" i="48"/>
  <c r="M94" i="48"/>
  <c r="T96" i="48"/>
  <c r="M96" i="48"/>
  <c r="O96" i="48"/>
  <c r="M44" i="48"/>
  <c r="O44" i="48"/>
  <c r="U50" i="48" a="1"/>
  <c r="U50" i="48" s="1"/>
  <c r="Z113" i="43"/>
  <c r="T11" i="48"/>
  <c r="AA113" i="43"/>
  <c r="AB69" i="43"/>
  <c r="AA2" i="43"/>
  <c r="Z2" i="43"/>
  <c r="AB2" i="43"/>
  <c r="Z65" i="43"/>
  <c r="AA65" i="43"/>
  <c r="AB65" i="43"/>
  <c r="Z159" i="43"/>
  <c r="AB45" i="43"/>
  <c r="Z41" i="43"/>
  <c r="AB81" i="43"/>
  <c r="T117" i="48"/>
  <c r="H18" i="53"/>
  <c r="H17" i="53"/>
  <c r="T118" i="48"/>
  <c r="R64" i="48"/>
  <c r="R118" i="48"/>
  <c r="R39" i="48"/>
  <c r="R94" i="48"/>
  <c r="G14" i="53"/>
  <c r="F5" i="53"/>
  <c r="F13" i="53"/>
  <c r="F16" i="53"/>
  <c r="B20" i="63"/>
  <c r="B21" i="63" s="1"/>
  <c r="AA70" i="43"/>
  <c r="AA78" i="43"/>
  <c r="G2" i="53"/>
  <c r="AB88" i="43"/>
  <c r="AB87" i="43"/>
  <c r="Z87" i="43"/>
  <c r="AA87" i="43"/>
  <c r="AB52" i="43"/>
  <c r="AA52" i="43"/>
  <c r="Z52" i="43"/>
  <c r="Z149" i="43"/>
  <c r="AA149" i="43"/>
  <c r="AB149" i="43"/>
  <c r="AB60" i="43"/>
  <c r="Z44" i="43"/>
  <c r="AA60" i="43"/>
  <c r="Z34" i="43"/>
  <c r="AA88" i="43"/>
  <c r="Z26" i="43"/>
  <c r="AB28" i="43"/>
  <c r="Z28" i="43"/>
  <c r="AB124" i="43"/>
  <c r="B12" i="63"/>
  <c r="B14" i="63"/>
  <c r="B15" i="63" s="1"/>
  <c r="T39" i="48"/>
  <c r="AA66" i="43"/>
  <c r="Z66" i="43"/>
  <c r="AB40" i="43"/>
  <c r="Z40" i="43"/>
  <c r="AA40" i="43"/>
  <c r="AA79" i="43"/>
  <c r="AB79" i="43"/>
  <c r="Z79" i="43"/>
  <c r="Z61" i="43"/>
  <c r="AB61" i="43"/>
  <c r="AA61" i="43"/>
  <c r="AA83" i="43"/>
  <c r="Z83" i="43"/>
  <c r="AB83" i="43"/>
  <c r="Z106" i="43"/>
  <c r="AA106" i="43"/>
  <c r="AB106" i="43"/>
  <c r="Z14" i="43"/>
  <c r="AB14" i="43"/>
  <c r="AA14" i="43"/>
  <c r="AB35" i="43"/>
  <c r="Z35" i="43"/>
  <c r="AA35" i="43"/>
  <c r="D17" i="53"/>
  <c r="D19" i="53" s="1"/>
  <c r="Z132" i="43"/>
  <c r="AB132" i="43"/>
  <c r="AA132" i="43"/>
  <c r="AB97" i="43"/>
  <c r="AA97" i="43"/>
  <c r="Z97" i="43"/>
  <c r="D48" i="62" l="1"/>
  <c r="Y63" i="43" s="1"/>
  <c r="Y21" i="43"/>
  <c r="Y9" i="43"/>
  <c r="Y10" i="43"/>
  <c r="AA10" i="43" s="1"/>
  <c r="Y3" i="43"/>
  <c r="AA3" i="43" s="1"/>
  <c r="Y31" i="43"/>
  <c r="Y11" i="43"/>
  <c r="Y30" i="43"/>
  <c r="AB30" i="43" s="1"/>
  <c r="Y56" i="43"/>
  <c r="AA56" i="43" s="1"/>
  <c r="Y57" i="43"/>
  <c r="Y73" i="43"/>
  <c r="Y71" i="43"/>
  <c r="AB71" i="43" s="1"/>
  <c r="Y75" i="43"/>
  <c r="Z75" i="43" s="1"/>
  <c r="Y80" i="43"/>
  <c r="Z80" i="43" s="1"/>
  <c r="D25" i="62"/>
  <c r="D4" i="62"/>
  <c r="D94" i="62"/>
  <c r="D71" i="62"/>
  <c r="Y25" i="43"/>
  <c r="AB25" i="43" s="1"/>
  <c r="Y22" i="43"/>
  <c r="AB22" i="43" s="1"/>
  <c r="Y29" i="43"/>
  <c r="Z29" i="43" s="1"/>
  <c r="Y24" i="43"/>
  <c r="AB24" i="43" s="1"/>
  <c r="Y4" i="43"/>
  <c r="AA4" i="43" s="1"/>
  <c r="Y16" i="43"/>
  <c r="AB16" i="43" s="1"/>
  <c r="Y20" i="43"/>
  <c r="AA20" i="43" s="1"/>
  <c r="D117" i="62"/>
  <c r="Y141" i="43"/>
  <c r="Z141" i="43" s="1"/>
  <c r="Y142" i="43"/>
  <c r="Z142" i="43" s="1"/>
  <c r="Y153" i="43"/>
  <c r="Z153" i="43" s="1"/>
  <c r="Y129" i="43"/>
  <c r="AA129" i="43" s="1"/>
  <c r="Y121" i="43"/>
  <c r="AA121" i="43" s="1"/>
  <c r="Y116" i="43"/>
  <c r="AB116" i="43" s="1"/>
  <c r="Y117" i="43"/>
  <c r="Y105" i="48" a="1"/>
  <c r="Y105" i="48" s="1"/>
  <c r="Y97" i="48" a="1"/>
  <c r="Y97" i="48" s="1"/>
  <c r="X97" i="48" a="1"/>
  <c r="X97" i="48" s="1"/>
  <c r="X105" i="48" a="1"/>
  <c r="X105" i="48" s="1"/>
  <c r="V99" i="48" a="1"/>
  <c r="V99" i="48" s="1"/>
  <c r="AA69" i="43"/>
  <c r="V97" i="48" a="1"/>
  <c r="V97" i="48" s="1"/>
  <c r="X50" i="48" a="1"/>
  <c r="X50" i="48" s="1"/>
  <c r="V50" i="48" a="1"/>
  <c r="V50" i="48" s="1"/>
  <c r="X99" i="48" a="1"/>
  <c r="X99" i="48" s="1"/>
  <c r="Y99" i="48" a="1"/>
  <c r="Y99" i="48" s="1"/>
  <c r="Y50" i="48" a="1"/>
  <c r="Y50" i="48" s="1"/>
  <c r="V105" i="48" a="1"/>
  <c r="V105" i="48" s="1"/>
  <c r="V345" i="80" a="1"/>
  <c r="V345" i="80" s="1"/>
  <c r="V48" i="48" a="1"/>
  <c r="V48" i="48" s="1"/>
  <c r="W48" i="48"/>
  <c r="X48" i="48" s="1" a="1"/>
  <c r="X48" i="48" s="1"/>
  <c r="V39" i="48" a="1"/>
  <c r="V39" i="48" s="1"/>
  <c r="X125" i="48" a="1"/>
  <c r="X125" i="48" s="1"/>
  <c r="V1335" i="80" a="1"/>
  <c r="V1335" i="80" s="1"/>
  <c r="V125" i="48" a="1"/>
  <c r="V125" i="48" s="1"/>
  <c r="W125" i="48"/>
  <c r="F14" i="53" s="1"/>
  <c r="Y125" i="48" a="1"/>
  <c r="Y125" i="48" s="1"/>
  <c r="V530" i="80" a="1"/>
  <c r="V530" i="80" s="1"/>
  <c r="W62" i="48"/>
  <c r="Y62" i="48" s="1" a="1"/>
  <c r="Y62" i="48" s="1"/>
  <c r="V62" i="48" a="1"/>
  <c r="V62" i="48" s="1"/>
  <c r="V1354" i="80" a="1"/>
  <c r="V1354" i="80" s="1"/>
  <c r="V128" i="48" a="1"/>
  <c r="V128" i="48" s="1"/>
  <c r="W128" i="48"/>
  <c r="X128" i="48" s="1" a="1"/>
  <c r="X128" i="48" s="1"/>
  <c r="Z69" i="43"/>
  <c r="AC116" i="48" a="1"/>
  <c r="AC116" i="48" s="1"/>
  <c r="Z116" i="48" a="1"/>
  <c r="Z116" i="48" s="1"/>
  <c r="AA116" i="48"/>
  <c r="AA159" i="43"/>
  <c r="AA41" i="43"/>
  <c r="Z45" i="43"/>
  <c r="AA81" i="43"/>
  <c r="AB159" i="43"/>
  <c r="AB41" i="43"/>
  <c r="H19" i="53"/>
  <c r="Z81" i="43"/>
  <c r="AA45" i="43"/>
  <c r="AB134" i="43"/>
  <c r="AA134" i="43"/>
  <c r="Z134" i="43"/>
  <c r="AA98" i="43"/>
  <c r="AB98" i="43"/>
  <c r="Z98" i="43"/>
  <c r="B16" i="63"/>
  <c r="B17" i="63" s="1"/>
  <c r="Z78" i="43"/>
  <c r="AB70" i="43"/>
  <c r="AB94" i="43"/>
  <c r="AA94" i="43"/>
  <c r="AB78" i="43"/>
  <c r="AA89" i="43"/>
  <c r="AA34" i="43"/>
  <c r="AB89" i="43"/>
  <c r="AB26" i="43"/>
  <c r="AB34" i="43"/>
  <c r="Z70" i="43"/>
  <c r="AA26" i="43"/>
  <c r="AA44" i="43"/>
  <c r="AA64" i="43"/>
  <c r="Z64" i="43"/>
  <c r="AB64" i="43"/>
  <c r="AB44" i="43"/>
  <c r="Z6" i="43"/>
  <c r="AA6" i="43"/>
  <c r="AB6" i="43"/>
  <c r="AB5" i="43"/>
  <c r="AA5" i="43"/>
  <c r="Z5" i="43"/>
  <c r="Z124" i="43"/>
  <c r="AA124" i="43"/>
  <c r="AB102" i="43"/>
  <c r="Z102" i="43"/>
  <c r="AA21" i="43"/>
  <c r="AB21" i="43"/>
  <c r="Z21" i="43"/>
  <c r="AB84" i="43"/>
  <c r="Z84" i="43"/>
  <c r="AA84" i="43"/>
  <c r="AB7" i="43"/>
  <c r="AA7" i="43"/>
  <c r="Z7" i="43"/>
  <c r="Z13" i="43"/>
  <c r="AB13" i="43"/>
  <c r="AA13" i="43"/>
  <c r="AB96" i="43"/>
  <c r="Z96" i="43"/>
  <c r="AA96" i="43"/>
  <c r="Z31" i="43"/>
  <c r="AA31" i="43"/>
  <c r="AB31" i="43"/>
  <c r="AA19" i="43"/>
  <c r="Z19" i="43"/>
  <c r="AB19" i="43"/>
  <c r="AB3" i="43"/>
  <c r="Z3" i="43"/>
  <c r="AB51" i="43"/>
  <c r="Z51" i="43"/>
  <c r="AA51" i="43"/>
  <c r="AB18" i="43"/>
  <c r="Z18" i="43"/>
  <c r="AA18" i="43"/>
  <c r="Z93" i="43"/>
  <c r="AB93" i="43"/>
  <c r="AA93" i="43"/>
  <c r="AB27" i="43"/>
  <c r="Z27" i="43"/>
  <c r="AA27" i="43"/>
  <c r="Z90" i="43"/>
  <c r="AB90" i="43"/>
  <c r="AA90" i="43"/>
  <c r="AA77" i="43"/>
  <c r="AB77" i="43"/>
  <c r="Z77" i="43"/>
  <c r="AB58" i="43"/>
  <c r="AA58" i="43"/>
  <c r="Z58" i="43"/>
  <c r="B11" i="63"/>
  <c r="B13" i="63" s="1"/>
  <c r="AA17" i="43"/>
  <c r="Z17" i="43"/>
  <c r="AB17" i="43"/>
  <c r="AA139" i="43"/>
  <c r="AB139" i="43"/>
  <c r="Z139" i="43"/>
  <c r="Z143" i="43"/>
  <c r="AA143" i="43"/>
  <c r="AB143" i="43"/>
  <c r="AA156" i="43"/>
  <c r="Z156" i="43"/>
  <c r="AB156" i="43"/>
  <c r="AB148" i="43"/>
  <c r="Z148" i="43"/>
  <c r="AA148" i="43"/>
  <c r="Z9" i="43"/>
  <c r="AA9" i="43"/>
  <c r="AB9" i="43"/>
  <c r="Z138" i="43"/>
  <c r="AB138" i="43"/>
  <c r="AA138" i="43"/>
  <c r="Z49" i="43"/>
  <c r="AB49" i="43"/>
  <c r="AA49" i="43"/>
  <c r="Z43" i="43"/>
  <c r="AB43" i="43"/>
  <c r="AA43" i="43"/>
  <c r="AB92" i="43"/>
  <c r="AA92" i="43"/>
  <c r="Z92" i="43"/>
  <c r="Z105" i="43"/>
  <c r="AB105" i="43"/>
  <c r="AA105" i="43"/>
  <c r="AB10" i="43"/>
  <c r="Z10" i="43"/>
  <c r="Z68" i="43"/>
  <c r="AB68" i="43"/>
  <c r="AA68" i="43"/>
  <c r="AB86" i="43"/>
  <c r="AA86" i="43"/>
  <c r="Z86" i="43"/>
  <c r="Z136" i="43"/>
  <c r="AA136" i="43"/>
  <c r="AB136" i="43"/>
  <c r="AB38" i="43"/>
  <c r="Z38" i="43"/>
  <c r="AA38" i="43"/>
  <c r="AB33" i="43"/>
  <c r="AA33" i="43"/>
  <c r="Z33" i="43"/>
  <c r="Y67" i="43" l="1"/>
  <c r="Z67" i="43" s="1"/>
  <c r="AB56" i="43"/>
  <c r="Z56" i="43"/>
  <c r="AB63" i="43"/>
  <c r="AA63" i="43"/>
  <c r="Z63" i="43"/>
  <c r="Y76" i="43"/>
  <c r="Z76" i="43" s="1"/>
  <c r="Y82" i="43"/>
  <c r="AA82" i="43" s="1"/>
  <c r="Y62" i="43"/>
  <c r="AA62" i="43" s="1"/>
  <c r="Y72" i="43"/>
  <c r="AB72" i="43" s="1"/>
  <c r="AA75" i="43"/>
  <c r="AA30" i="43"/>
  <c r="Z30" i="43"/>
  <c r="AB11" i="43"/>
  <c r="AA11" i="43"/>
  <c r="Z11" i="43"/>
  <c r="Y158" i="43"/>
  <c r="Y145" i="43"/>
  <c r="Y150" i="43"/>
  <c r="Y144" i="43"/>
  <c r="Y152" i="43"/>
  <c r="Y140" i="43"/>
  <c r="Y91" i="43"/>
  <c r="Y100" i="43"/>
  <c r="Y109" i="43"/>
  <c r="Y108" i="43"/>
  <c r="Y110" i="43"/>
  <c r="Y118" i="43"/>
  <c r="Y120" i="43"/>
  <c r="Y119" i="43"/>
  <c r="Y127" i="43"/>
  <c r="Y114" i="43"/>
  <c r="Y125" i="43"/>
  <c r="Y32" i="43"/>
  <c r="Y47" i="43"/>
  <c r="Y54" i="43"/>
  <c r="Y37" i="43"/>
  <c r="Y55" i="43"/>
  <c r="AA25" i="43"/>
  <c r="Z25" i="43"/>
  <c r="Z71" i="43"/>
  <c r="AB141" i="43"/>
  <c r="AA29" i="43"/>
  <c r="AA141" i="43"/>
  <c r="AB75" i="43"/>
  <c r="Z20" i="43"/>
  <c r="AB29" i="43"/>
  <c r="AB20" i="43"/>
  <c r="Z16" i="43"/>
  <c r="AA16" i="43"/>
  <c r="AA22" i="43"/>
  <c r="AA67" i="43"/>
  <c r="AA80" i="43"/>
  <c r="AB80" i="43"/>
  <c r="AA71" i="43"/>
  <c r="Z4" i="43"/>
  <c r="AB4" i="43"/>
  <c r="Z22" i="43"/>
  <c r="AA142" i="43"/>
  <c r="AB121" i="43"/>
  <c r="Z121" i="43"/>
  <c r="Z129" i="43"/>
  <c r="AB142" i="43"/>
  <c r="Z24" i="43"/>
  <c r="AA153" i="43"/>
  <c r="AB129" i="43"/>
  <c r="AB153" i="43"/>
  <c r="Z116" i="43"/>
  <c r="AA44" i="48" s="1"/>
  <c r="AB44" i="48" s="1"/>
  <c r="AA116" i="43"/>
  <c r="AA24" i="43"/>
  <c r="Y42" i="43"/>
  <c r="Y46" i="43"/>
  <c r="Y48" i="43"/>
  <c r="Y50" i="43"/>
  <c r="Y53" i="43"/>
  <c r="Y146" i="43"/>
  <c r="Y154" i="43"/>
  <c r="Y157" i="43"/>
  <c r="Y155" i="43"/>
  <c r="Y147" i="43"/>
  <c r="Y151" i="43"/>
  <c r="Y137" i="43"/>
  <c r="Y95" i="43"/>
  <c r="Y99" i="43"/>
  <c r="Y103" i="43"/>
  <c r="Y107" i="43"/>
  <c r="Y85" i="43"/>
  <c r="Y101" i="43"/>
  <c r="Y104" i="43"/>
  <c r="Z117" i="43"/>
  <c r="AB117" i="43"/>
  <c r="AA117" i="43"/>
  <c r="Y122" i="43"/>
  <c r="Y126" i="43"/>
  <c r="Y111" i="43"/>
  <c r="Y130" i="43"/>
  <c r="Y133" i="43"/>
  <c r="Y128" i="43"/>
  <c r="Y131" i="43"/>
  <c r="AB73" i="43"/>
  <c r="Z73" i="43"/>
  <c r="AA73" i="43"/>
  <c r="Y15" i="43"/>
  <c r="Y23" i="43"/>
  <c r="Y8" i="43"/>
  <c r="Y12" i="43"/>
  <c r="AB57" i="43"/>
  <c r="AA57" i="43"/>
  <c r="Z57" i="43"/>
  <c r="Z73" i="48" a="1"/>
  <c r="Z73" i="48" s="1"/>
  <c r="AA73" i="48"/>
  <c r="AB73" i="48" s="1"/>
  <c r="AC73" i="48" a="1"/>
  <c r="AC73" i="48" s="1"/>
  <c r="X62" i="48" a="1"/>
  <c r="X62" i="48" s="1"/>
  <c r="Y48" i="48" a="1"/>
  <c r="Y48" i="48" s="1"/>
  <c r="Y128" i="48" a="1"/>
  <c r="Y128" i="48" s="1"/>
  <c r="AB116" i="48"/>
  <c r="I3" i="53"/>
  <c r="F2" i="53"/>
  <c r="Z17" i="48" a="1"/>
  <c r="Z17" i="48" s="1"/>
  <c r="AA17" i="48"/>
  <c r="AB17" i="48" s="1"/>
  <c r="AC17" i="48" a="1"/>
  <c r="AC17" i="48" s="1"/>
  <c r="Z94" i="48" a="1"/>
  <c r="Z94" i="48" s="1"/>
  <c r="AA94" i="48"/>
  <c r="AB94" i="48" s="1"/>
  <c r="AC94" i="48" a="1"/>
  <c r="AC94" i="48" s="1"/>
  <c r="I16" i="53"/>
  <c r="Z90" i="48" a="1"/>
  <c r="Z90" i="48" s="1"/>
  <c r="AA90" i="48"/>
  <c r="AB90" i="48" s="1"/>
  <c r="AC90" i="48" a="1"/>
  <c r="AC90" i="48" s="1"/>
  <c r="Z117" i="48" a="1"/>
  <c r="Z117" i="48" s="1"/>
  <c r="AA117" i="48"/>
  <c r="AB117" i="48" s="1"/>
  <c r="AC117" i="48" a="1"/>
  <c r="AC117" i="48" s="1"/>
  <c r="AA18" i="48"/>
  <c r="AB18" i="48" s="1"/>
  <c r="AC18" i="48" a="1"/>
  <c r="AC18" i="48" s="1"/>
  <c r="Z18" i="48" a="1"/>
  <c r="Z18" i="48" s="1"/>
  <c r="Z118" i="48" a="1"/>
  <c r="Z118" i="48" s="1"/>
  <c r="AA118" i="48"/>
  <c r="AB118" i="48" s="1"/>
  <c r="AC118" i="48" a="1"/>
  <c r="AC118" i="48" s="1"/>
  <c r="I13" i="53"/>
  <c r="AA76" i="43" l="1"/>
  <c r="AB67" i="43"/>
  <c r="AB76" i="43"/>
  <c r="AB62" i="43"/>
  <c r="Z72" i="43"/>
  <c r="Z62" i="43"/>
  <c r="AB82" i="43"/>
  <c r="Z82" i="43"/>
  <c r="AA72" i="43"/>
  <c r="AB32" i="43"/>
  <c r="AA32" i="43"/>
  <c r="Z32" i="43"/>
  <c r="AA108" i="43"/>
  <c r="AB108" i="43"/>
  <c r="Z108" i="43"/>
  <c r="AA145" i="43"/>
  <c r="Z145" i="43"/>
  <c r="AB145" i="43"/>
  <c r="AA125" i="43"/>
  <c r="Z125" i="43"/>
  <c r="AB125" i="43"/>
  <c r="Z109" i="43"/>
  <c r="AA109" i="43"/>
  <c r="AB109" i="43"/>
  <c r="Z158" i="43"/>
  <c r="AB158" i="43"/>
  <c r="AA158" i="43"/>
  <c r="Z114" i="43"/>
  <c r="AA114" i="43"/>
  <c r="AB114" i="43"/>
  <c r="AA100" i="43"/>
  <c r="Z100" i="43"/>
  <c r="AB100" i="43"/>
  <c r="AA91" i="43"/>
  <c r="Z91" i="43"/>
  <c r="AB91" i="43"/>
  <c r="AA55" i="43"/>
  <c r="Z55" i="43"/>
  <c r="AB55" i="43"/>
  <c r="AA119" i="43"/>
  <c r="AB119" i="43"/>
  <c r="Z119" i="43"/>
  <c r="AB140" i="43"/>
  <c r="AA140" i="43"/>
  <c r="Z140" i="43"/>
  <c r="AB37" i="43"/>
  <c r="Z37" i="43"/>
  <c r="AA37" i="43"/>
  <c r="AB120" i="43"/>
  <c r="AA120" i="43"/>
  <c r="Z120" i="43"/>
  <c r="AB152" i="43"/>
  <c r="Z152" i="43"/>
  <c r="AA152" i="43"/>
  <c r="AB54" i="43"/>
  <c r="Z54" i="43"/>
  <c r="AA54" i="43"/>
  <c r="AB118" i="43"/>
  <c r="AA118" i="43"/>
  <c r="Z118" i="43"/>
  <c r="AB144" i="43"/>
  <c r="Z144" i="43"/>
  <c r="AA144" i="43"/>
  <c r="Z110" i="43"/>
  <c r="AA110" i="43"/>
  <c r="AB110" i="43"/>
  <c r="Z150" i="43"/>
  <c r="AA150" i="43"/>
  <c r="AB150" i="43"/>
  <c r="AB47" i="43"/>
  <c r="AA47" i="43"/>
  <c r="Z47" i="43"/>
  <c r="AB127" i="43"/>
  <c r="AA127" i="43"/>
  <c r="Z127" i="43"/>
  <c r="Z44" i="48" a="1"/>
  <c r="Z44" i="48" s="1"/>
  <c r="AC44" i="48" a="1"/>
  <c r="AC44" i="48" s="1"/>
  <c r="AB126" i="43"/>
  <c r="Z126" i="43"/>
  <c r="AA126" i="43"/>
  <c r="Z107" i="43"/>
  <c r="AA107" i="43"/>
  <c r="AB107" i="43"/>
  <c r="AA157" i="43"/>
  <c r="AB157" i="43"/>
  <c r="Z157" i="43"/>
  <c r="AB122" i="43"/>
  <c r="AA122" i="43"/>
  <c r="Z122" i="43"/>
  <c r="AA103" i="43"/>
  <c r="Z103" i="43"/>
  <c r="AB103" i="43"/>
  <c r="AB154" i="43"/>
  <c r="AA154" i="43"/>
  <c r="Z154" i="43"/>
  <c r="AB99" i="43"/>
  <c r="AA99" i="43"/>
  <c r="Z99" i="43"/>
  <c r="AA146" i="43"/>
  <c r="AB146" i="43"/>
  <c r="Z146" i="43"/>
  <c r="Z12" i="43"/>
  <c r="AB12" i="43"/>
  <c r="AA12" i="43"/>
  <c r="AB131" i="43"/>
  <c r="AA131" i="43"/>
  <c r="Z131" i="43"/>
  <c r="AA95" i="43"/>
  <c r="Z95" i="43"/>
  <c r="AB95" i="43"/>
  <c r="AB53" i="43"/>
  <c r="Z53" i="43"/>
  <c r="AA53" i="43"/>
  <c r="AA8" i="43"/>
  <c r="AB8" i="43"/>
  <c r="Z8" i="43"/>
  <c r="Z128" i="43"/>
  <c r="AA128" i="43"/>
  <c r="AB128" i="43"/>
  <c r="Z137" i="43"/>
  <c r="AB137" i="43"/>
  <c r="AA137" i="43"/>
  <c r="AB50" i="43"/>
  <c r="Z50" i="43"/>
  <c r="AA50" i="43"/>
  <c r="Z23" i="43"/>
  <c r="AA23" i="43"/>
  <c r="AB23" i="43"/>
  <c r="AB133" i="43"/>
  <c r="AA133" i="43"/>
  <c r="Z133" i="43"/>
  <c r="AA104" i="43"/>
  <c r="Z104" i="43"/>
  <c r="AB104" i="43"/>
  <c r="Z151" i="43"/>
  <c r="AA151" i="43"/>
  <c r="AB151" i="43"/>
  <c r="Z48" i="43"/>
  <c r="AB48" i="43"/>
  <c r="AA48" i="43"/>
  <c r="AA15" i="43"/>
  <c r="AB15" i="43"/>
  <c r="Z15" i="43"/>
  <c r="AB130" i="43"/>
  <c r="Z130" i="43"/>
  <c r="AA130" i="43"/>
  <c r="AA101" i="43"/>
  <c r="Z101" i="43"/>
  <c r="AB101" i="43"/>
  <c r="AA147" i="43"/>
  <c r="Z147" i="43"/>
  <c r="AB147" i="43"/>
  <c r="Z46" i="43"/>
  <c r="AA46" i="43"/>
  <c r="AB46" i="43"/>
  <c r="Z111" i="43"/>
  <c r="Z14" i="48" s="1" a="1"/>
  <c r="Z14" i="48" s="1"/>
  <c r="AB111" i="43"/>
  <c r="AA111" i="43"/>
  <c r="Z85" i="43"/>
  <c r="AB85" i="43"/>
  <c r="AA85" i="43"/>
  <c r="Z155" i="43"/>
  <c r="AB155" i="43"/>
  <c r="AA155" i="43"/>
  <c r="Z42" i="43"/>
  <c r="AB42" i="43"/>
  <c r="AA42" i="43"/>
  <c r="I5" i="53"/>
  <c r="AC100" i="48" l="1" a="1"/>
  <c r="AC100" i="48" s="1"/>
  <c r="Z100" i="48" a="1"/>
  <c r="Z100" i="48" s="1"/>
  <c r="AA100" i="48"/>
  <c r="AB100" i="48" s="1"/>
  <c r="Z83" i="48" a="1"/>
  <c r="Z83" i="48" s="1"/>
  <c r="AA83" i="48"/>
  <c r="AB83" i="48" s="1"/>
  <c r="AC83" i="48" a="1"/>
  <c r="AC83" i="48" s="1"/>
  <c r="AC64" i="48" a="1"/>
  <c r="AC64" i="48" s="1"/>
  <c r="AA64" i="48"/>
  <c r="AB64" i="48" s="1"/>
  <c r="Z64" i="48" a="1"/>
  <c r="Z64" i="48" s="1"/>
  <c r="Z101" i="48" a="1"/>
  <c r="Z101" i="48" s="1"/>
  <c r="AA101" i="48"/>
  <c r="AB101" i="48" s="1"/>
  <c r="AC101" i="48" a="1"/>
  <c r="AC101" i="48" s="1"/>
  <c r="Z47" i="48" a="1"/>
  <c r="Z47" i="48" s="1"/>
  <c r="AA47" i="48"/>
  <c r="AC47" i="48" a="1"/>
  <c r="AC47" i="48" s="1"/>
  <c r="Z98" i="48" a="1"/>
  <c r="Z98" i="48" s="1"/>
  <c r="AC98" i="48" a="1"/>
  <c r="AC98" i="48" s="1"/>
  <c r="AA98" i="48"/>
  <c r="AB98" i="48" s="1"/>
  <c r="AC126" i="48" a="1"/>
  <c r="AC126" i="48" s="1"/>
  <c r="Z126" i="48" a="1"/>
  <c r="Z126" i="48" s="1"/>
  <c r="AA126" i="48"/>
  <c r="AB126" i="48" s="1"/>
  <c r="AA14" i="48"/>
  <c r="Z77" i="48" a="1"/>
  <c r="Z77" i="48" s="1"/>
  <c r="AA77" i="48"/>
  <c r="AB77" i="48" s="1"/>
  <c r="AC77" i="48" a="1"/>
  <c r="AC77" i="48" s="1"/>
  <c r="AB14" i="48" l="1"/>
  <c r="B18" i="63"/>
  <c r="B19" i="63" s="1"/>
  <c r="I2" i="53"/>
  <c r="AC14" i="48" a="1"/>
  <c r="AC14" i="48" s="1"/>
  <c r="AB47" i="48"/>
  <c r="I4" i="5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<sst xmlns="http://schemas.openxmlformats.org/spreadsheetml/2006/main" count="91753" uniqueCount="7371">
  <si>
    <t>Site</t>
  </si>
  <si>
    <t>Manufacturing / Import</t>
  </si>
  <si>
    <t>Industrial Processing / Use</t>
  </si>
  <si>
    <t>Commercial / Consumer Use</t>
  </si>
  <si>
    <t>Activity and PV</t>
  </si>
  <si>
    <t>2019 PV Other</t>
  </si>
  <si>
    <t>Maximum Concentration and Physical Form</t>
  </si>
  <si>
    <t>Workers</t>
  </si>
  <si>
    <t>NAICS and NAICS Activity</t>
  </si>
  <si>
    <t>Processing Use</t>
  </si>
  <si>
    <t>Processing Sector</t>
  </si>
  <si>
    <t>Function</t>
  </si>
  <si>
    <t>% PV</t>
  </si>
  <si>
    <t>Number of Sites</t>
  </si>
  <si>
    <t>Number of Workers</t>
  </si>
  <si>
    <t>Use Product Category</t>
  </si>
  <si>
    <t>Cons / Comm Function Category</t>
  </si>
  <si>
    <t>Commercial / Consumer</t>
  </si>
  <si>
    <t>Use in Children's Products?</t>
  </si>
  <si>
    <t>%PV</t>
  </si>
  <si>
    <t>Max Concentration</t>
  </si>
  <si>
    <t>59015 - WESTLAKE VINYLS INC (Calvert City)</t>
  </si>
  <si>
    <t>Activity: Manufacture
2019 MFG: 2354112000
2019 IMPORT: 0
2018 PV: 2299003000
2017 PV: 2057112000
2016 PV: 1920712000</t>
  </si>
  <si>
    <t>Import Never At Site: Not Reported
Used On-Site: 2354112000
Exported: 0
Recycled: Yes
% Byproduct: 0%</t>
  </si>
  <si>
    <t>90% +
Liquid</t>
  </si>
  <si>
    <t>50 - 99</t>
  </si>
  <si>
    <t>Manufacture: 325199 All Other Basic Organic Chemical Manufacturing</t>
  </si>
  <si>
    <t>Processing as a reactant</t>
  </si>
  <si>
    <t>All Other Basic Organic Chemical Manufacturing</t>
  </si>
  <si>
    <t>Intermediate</t>
  </si>
  <si>
    <t>&lt; 10</t>
  </si>
  <si>
    <t>Not Reported</t>
  </si>
  <si>
    <t>AXIALL, LLC (Westlake)</t>
  </si>
  <si>
    <t>Activity: Manufacture
2019 MFG: CBI
2019 IMPORT: CBI
2018 PV: CBI
2017 PV: CBI
2016 PV: CBI</t>
  </si>
  <si>
    <t>Import Never At Site: Not Reported
Used On-Site: CBI
Exported: CBI
Recycled: No
% Byproduct: CBI</t>
  </si>
  <si>
    <t>CBI</t>
  </si>
  <si>
    <t>Petrochemical Manufacturing</t>
  </si>
  <si>
    <t>NKRA</t>
  </si>
  <si>
    <t>AXIALL, LLC (Plaquemine)</t>
  </si>
  <si>
    <t>Manufacture: 325110 Petrochemical Manufacturing
Manufacture: 325211 Plastics Material And Resin Manufacturing
Manufacture: 325180 Other Basic Inorganic Chemical Manufacturing</t>
  </si>
  <si>
    <t>BLUE CUBE OPERATIONS LLC - PLAQUEMINE SITE</t>
  </si>
  <si>
    <t>Activity: Manufacture
2019 MFG: CBI
2019 IMPORT: 0
2018 PV: CBI
2017 PV: CBI
2016 PV: CBI</t>
  </si>
  <si>
    <t>Import Never At Site: Not Reported
Used On-Site: 0
Exported: 0
Recycled: No
% Byproduct: Not Reported</t>
  </si>
  <si>
    <t>100 - 499</t>
  </si>
  <si>
    <t>BUCKMAN LABORATORIES INCORPORATED</t>
  </si>
  <si>
    <t>Activity: Manufacture
2019 MFG: 53035
2019 IMPORT: 0
2018 PV: 56278
2017 PV: 50607
2016 PV: 38159</t>
  </si>
  <si>
    <t>Import Never At Site: Not Reported
Used On-Site: 53035
Exported: 0
Recycled: Yes
% Byproduct: At least 50 percent but less than 100 percent</t>
  </si>
  <si>
    <t>10 - 24</t>
  </si>
  <si>
    <t>Manufacture: 325998 All Other Miscellaneous Chemical Product And Preparation Manufacturing</t>
  </si>
  <si>
    <t>Processing-incorporation into formulation, mixture, or reaction product</t>
  </si>
  <si>
    <t>Pesticide, Fertilizer, and Other Agricultural Chemical Manufacturing</t>
  </si>
  <si>
    <t>EAGLE US 2 LLC (Westlake, LA)</t>
  </si>
  <si>
    <t xml:space="preserve">Import Never At Site: Not Reported
Used On-Site: CBI
Exported: CBI
Recycled: No
% Byproduct: CBI </t>
  </si>
  <si>
    <t>Manufacture: 221112 Fossil Fuel Electric Power Generation
Manufacture: 325199 All Other Basic Organic Chemical Manufacturing
Manufacture: 325180 Other Basic Inorganic Chemical Manufacturing</t>
  </si>
  <si>
    <t>Plastics Material and Resin Manufacturing</t>
  </si>
  <si>
    <t>ETHYL CORP (Richmond, VA)</t>
  </si>
  <si>
    <t>Activity: Not Reported
2019 MFG: 0
2019 IMPORT: 0
2018 PV: CBI
2017 PV: CBI
2016 PV: CBI</t>
  </si>
  <si>
    <t>Import Never At Site: Not Reported
Used On-Site: Not Reported
Exported: Not Reported
Recycled: Not Reported
% Byproduct: Not Reported</t>
  </si>
  <si>
    <t>Import: 325998 All Other Miscellaneous Chemical Product And Preparation Manufacturing</t>
  </si>
  <si>
    <t>FORMOSA PLASTICS CORP LOUISIANA (Baton Rouge, LA)</t>
  </si>
  <si>
    <t>Activity: Manufacture
2019 MFG: 927456774
2019 IMPORT: 0
2018 PV: 1105757740
2017 PV: 1081667936
2016 PV: 1099085884</t>
  </si>
  <si>
    <t>Import Never At Site: Not Reported
Used On-Site: 927456774
Exported: 0
Recycled: No
% Byproduct: 0 percent by weight</t>
  </si>
  <si>
    <t>Both: 325211 Plastics Material And Resin Manufacturing</t>
  </si>
  <si>
    <t>FORMOSA PLASTICS CORP TEXAS (Point Comfort, TX)</t>
  </si>
  <si>
    <t>Activity: Manufacture
2019 MFG: 3589162392
2019 IMPORT: 0
2018 PV: 3769486636
2017 PV: 3394193148
2016 PV: 3803975400</t>
  </si>
  <si>
    <t>Import Never At Site: Not Reported
Used On-Site: 2363901392
Exported: 0
Recycled: No
% Byproduct: 0 percent by weight</t>
  </si>
  <si>
    <t>Packaging (excluding food packaging), including rubber articles; plastic articles (hard); plastic articles (soft)</t>
  </si>
  <si>
    <t>Commercial</t>
  </si>
  <si>
    <t>No</t>
  </si>
  <si>
    <t>90% +</t>
  </si>
  <si>
    <t>GEON OXY VINYL LAPORTE PLANT (LaPorte, TX)</t>
  </si>
  <si>
    <t>Import Never At Site: Not Reported
Used On-Site: CBI
Exported: CBI
Recycled: CBI
% Byproduct: Not Reported</t>
  </si>
  <si>
    <t>LANXESS CORPORATION---CHARLESTON (North Charleston, SC)</t>
  </si>
  <si>
    <t>Activity: Manufacture
2019 MFG: 25357858
2019 IMPORT: 0
2018 PV: 9079631
2017 PV: 8095431
2016 PV: 8871266</t>
  </si>
  <si>
    <t>Import Never At Site: Not Reported
Used On-Site: 0
Exported: 0
Recycled: CBI
% Byproduct: 0 percent by weight</t>
  </si>
  <si>
    <t>Solvent</t>
  </si>
  <si>
    <t>OCCIDENTAL CHEMICAL CORP (Convent, LA)</t>
  </si>
  <si>
    <t xml:space="preserve">Import Never At Site: Not Reported
Used On-Site: CBI
Exported: CBI
Recycled: CBI
% Byproduct: Not Reported </t>
  </si>
  <si>
    <t>Manufacture: 325180 Other Basic Inorganic Chemical Manufacturing
Manufacture: 325199 All Other Basic Organic Chemical Manufacturing</t>
  </si>
  <si>
    <t>OCCIDENTAL CHEMICAL CORP GEISMAR PLANT (Geismar, LA)</t>
  </si>
  <si>
    <t>OLIN BLUE CUBE, FREEPORT, TX</t>
  </si>
  <si>
    <t>Import Never At Site: Not Reported
Used On-Site: 2344217837
Exported: 0
Recycled: No
% Byproduct: Not Reported</t>
  </si>
  <si>
    <t>500 - 999</t>
  </si>
  <si>
    <t>Manufacture: 325199 All Other Basic Organic Chemical Manufacturing
Manufacture: 325211 Plastics Material And Resin Manufacturing</t>
  </si>
  <si>
    <t>OXY VINYLS LP (Deer Park, TX)</t>
  </si>
  <si>
    <t>OXYCHEM INGLESIDE PLANT (Gregory, TX)</t>
  </si>
  <si>
    <t>SHINTECH PLAQUEMINE PLANT</t>
  </si>
  <si>
    <t>Activity: Manufacture
2019 MFG: 6131870601
2019 IMPORT: 0
2018 PV: 5862327509
2017 PV: 6435130673
2016 PV: 5598109965</t>
  </si>
  <si>
    <t>Import Never At Site: Not Reported
Used On-Site: 6131870601
Exported: 0
Recycled: No
% Byproduct: 0 percent by weight</t>
  </si>
  <si>
    <t>Manufacture: 325180 Other Basic Inorganic Chemical Manufacturing
Manufacture: 325211 Plastics Material And Resin Manufacturing
Manufacture: 325199 All Other Basic Organic Chemical Manufacturing</t>
  </si>
  <si>
    <t>WESTLAKE VINYLS COMPANY, LP (Geismar)</t>
  </si>
  <si>
    <t>Non-CBI Aggregated PV
2019 PV: 30,000,000,000 - &lt;40,000,000,000 lb
2018 PV: 30,000,000,000 - &lt;40,000,000,000 lb
2017 PV: 30,000,000,000 - &lt;40,000,000,000 lb
2016 PV: 30,000,000,000 - &lt;40,000,000,000 lb</t>
  </si>
  <si>
    <t>Facility</t>
  </si>
  <si>
    <t>Median Hgh-End</t>
  </si>
  <si>
    <t>Maximum High-End</t>
  </si>
  <si>
    <t>One-Day Max</t>
  </si>
  <si>
    <t>4000 NORTH FAIRFAX DRIVE</t>
  </si>
  <si>
    <t>N/A - Period DMR Data Not Available</t>
  </si>
  <si>
    <t>N/A - No Daily Max DMR Discharge Data</t>
  </si>
  <si>
    <t>4811 LLC DBA INGRAN LLC</t>
  </si>
  <si>
    <t>ALBEMARLE CORP - PROCESS DEVELOPMENT CENTER</t>
  </si>
  <si>
    <t>ALFORD ST, STATION 250 (MYSTIC STATION), DEXTER , ROBIN,.BEACHAM AND WILLIAMS ST</t>
  </si>
  <si>
    <t>ALTIVIA SERVICES, LLC</t>
  </si>
  <si>
    <t>AMCOL HEALTH &amp; BEAUTY SOLUTIONS INC</t>
  </si>
  <si>
    <t>ARIZONA CHEMICAL COMPANY, LLC</t>
  </si>
  <si>
    <t>ARKEMA INC</t>
  </si>
  <si>
    <t>ASHLAND DIST. CO.</t>
  </si>
  <si>
    <t>ASHLAND WASTEWATER TREATMENT PLANT</t>
  </si>
  <si>
    <t>B P  OIL  INC</t>
  </si>
  <si>
    <t>BARBOURVILLE STP</t>
  </si>
  <si>
    <t>BAYER CROPSCIENCE KANSAS CITY</t>
  </si>
  <si>
    <t>BEVERLY SEWERAGE AUTHORITY</t>
  </si>
  <si>
    <t>BOISE STATE UNIVERSITY</t>
  </si>
  <si>
    <t>BRASKEM AMERICA INC LAPORTE SITE</t>
  </si>
  <si>
    <t>BRAWLEY WASTEWATER TREATMENT PLANT</t>
  </si>
  <si>
    <t>BURLINGAME WWTP</t>
  </si>
  <si>
    <t>CAMERON TRADING POST WWTP</t>
  </si>
  <si>
    <t>CARNIVAL CLEANERS</t>
  </si>
  <si>
    <t>CENTRAL POWER &amp; LIGHT-ES JOSLIN PWR STA</t>
  </si>
  <si>
    <t>CHEMICAL LEAMAN TANK LINES INC</t>
  </si>
  <si>
    <t>CHEMICAL WASTE MANAGEMENT, INC.</t>
  </si>
  <si>
    <t>CHEMOURS - BEAUMONT WORKS</t>
  </si>
  <si>
    <t>CHEMOURS WASHINGTON WORKS</t>
  </si>
  <si>
    <t>CHEMOURS-CHAMBERS WORKS</t>
  </si>
  <si>
    <t>CHEVRON ORONITE CO LLC - OAK POINT PLANT</t>
  </si>
  <si>
    <t>CITY OF RED BLUFF WASTEWATER RECLAMATION PLANT</t>
  </si>
  <si>
    <t>CITY OF SAFFORD - GILA RESOURCES WRP</t>
  </si>
  <si>
    <t>CLEAN HARBORS BATON ROUGE LLC</t>
  </si>
  <si>
    <t>CLEAN HARBORS EL DORADO LLC</t>
  </si>
  <si>
    <t>CLOVIS SEWAGE TREATMENT AND WATER REUSE FACILITY</t>
  </si>
  <si>
    <t>CLUB CAL NEVA</t>
  </si>
  <si>
    <t>COLUSA WWTP</t>
  </si>
  <si>
    <t>CYTEC INDUSTRIES, INC.,  WILLOW ISLAND</t>
  </si>
  <si>
    <t>DEFENSE FUEL SUPPORT POINT NORWALK DFSP</t>
  </si>
  <si>
    <t>DIMENSIONAL PLACE REMEDIATION SITE</t>
  </si>
  <si>
    <t>DOW CHEMICAL-MIDLAND</t>
  </si>
  <si>
    <t>DSM NUTRITIONAL PRODUCTS, INC.</t>
  </si>
  <si>
    <t>EAGLE US 2 LLC - LAKE CHARLES COMPLEX</t>
  </si>
  <si>
    <t>EASTMAN KODAK - KODAK PARK</t>
  </si>
  <si>
    <t>EATON HYDRAULICS LLC</t>
  </si>
  <si>
    <t>EL CENTRO GENERATING STATION</t>
  </si>
  <si>
    <t>ELEMENTIS SPECIALTIES, INC.</t>
  </si>
  <si>
    <t>ENTERPRISE PASADENA PLANT</t>
  </si>
  <si>
    <t>EQUISTAR CHEMICALS-LAPORTE</t>
  </si>
  <si>
    <t>ETHYL CORPORATION</t>
  </si>
  <si>
    <t>EVONIK DEGUSSA CORP TIPPECANOE LABORATORIES</t>
  </si>
  <si>
    <t>EXXONMOBIL GREENPOINT REMEDIATION PROJEC</t>
  </si>
  <si>
    <t>FORMER REXON FACILITY AKA ENJEMS MILLWORKS</t>
  </si>
  <si>
    <t>FORMOSA PLASTICS CORPORATION</t>
  </si>
  <si>
    <t>FORMOSA PLASTICS CORPORATION, TEXAS</t>
  </si>
  <si>
    <t>FORMOSA PLASTICS LOUISIANA</t>
  </si>
  <si>
    <t>GE AVIATION</t>
  </si>
  <si>
    <t>GENERAL DYNAMICS ORDNANCE TACTICAL SYSTEMS</t>
  </si>
  <si>
    <t>GENERAL MOTORS PROVING GROUND</t>
  </si>
  <si>
    <t>GLOUCESTER CNTY UTIL AUTH STP</t>
  </si>
  <si>
    <t>GREATER BATON ROUGE PORTCOMMISSION</t>
  </si>
  <si>
    <t>HARVEY TERMINAL</t>
  </si>
  <si>
    <t>HERITAGE AT SILVER SPRING TITLEHOLDER, LLC</t>
  </si>
  <si>
    <t>HERITAGE MALL CITGO</t>
  </si>
  <si>
    <t>HONEYWELL INTERNATIONAL INC - BATON ROUGE PLANT</t>
  </si>
  <si>
    <t>HONEYWELL INTERNATIONAL INC - GEISMAR COMPLEX</t>
  </si>
  <si>
    <t>HOUSTON PLANT</t>
  </si>
  <si>
    <t>HUNTSMAN PETROCHEMICAL LLC - CONROE PLANT</t>
  </si>
  <si>
    <t>ICL-IP AMERICA INC</t>
  </si>
  <si>
    <t>IMTT-BC</t>
  </si>
  <si>
    <t>INDORAMA VENTURES OLEFINS, LLC</t>
  </si>
  <si>
    <t>KEESHAN AND BOST CHEMICAL CO., INC.</t>
  </si>
  <si>
    <t>LINDEN LOGISTICS CENTER</t>
  </si>
  <si>
    <t>LOMPOC WASTEWATER PLANT</t>
  </si>
  <si>
    <t>MALAKOFF DIGGINS STATE PARK</t>
  </si>
  <si>
    <t>MCALLISTER TOWING AND TRANSPORTATION</t>
  </si>
  <si>
    <t>MERCK SHARP &amp; DOHME CORP</t>
  </si>
  <si>
    <t>MEXICHEM - SPECIALTY RESINS INC.</t>
  </si>
  <si>
    <t>MONUMENT CHEMICAL HOUSTON</t>
  </si>
  <si>
    <t>MPM SILICONES LLC</t>
  </si>
  <si>
    <t>NALCO COMPANY LLC- GARYVILLE FACILITY</t>
  </si>
  <si>
    <t>OCCIDENTAL CHEMICAL CORP NIAGARA PLANT</t>
  </si>
  <si>
    <t>OCCIDENTAL CHEMICAL CORPORATION</t>
  </si>
  <si>
    <t>OCCIDENTAL CHEMICAL CORPORATION - GEISMAR FACILITY</t>
  </si>
  <si>
    <t>OXY VINYLS LP - DEER PARK PVC</t>
  </si>
  <si>
    <t>PENN COLOR INC FORMER MANVILLE, NJ FACILITY</t>
  </si>
  <si>
    <t>PHARMACIA &amp; UPJOHN (FORMER)</t>
  </si>
  <si>
    <t>PHILIPS ELECTRONICS PLANT</t>
  </si>
  <si>
    <t>PHILLIPS 66 CO - LAKE CHARLES REFINERY</t>
  </si>
  <si>
    <t>RICHMOND SILVER CREEK STP</t>
  </si>
  <si>
    <t>SAN SIMEON ACRES WWTF</t>
  </si>
  <si>
    <t>SEAWORLD SAN DIEGO</t>
  </si>
  <si>
    <t>SI GROUP BAYTOWN</t>
  </si>
  <si>
    <t>SI GROUP, INC. - SOUTH PLANT</t>
  </si>
  <si>
    <t>SOLUTIA NITRO SITE</t>
  </si>
  <si>
    <t>SOLVAY SOLEXIS INC</t>
  </si>
  <si>
    <t>STAMPEDE OIL SANDS INC</t>
  </si>
  <si>
    <t>STEPAN CO</t>
  </si>
  <si>
    <t>STYROLUTION AMERICA LLC</t>
  </si>
  <si>
    <t>TOTAL PETROCHEMICALS &amp; REFINING USA INC</t>
  </si>
  <si>
    <t>TRINSEO - DALTON, GA</t>
  </si>
  <si>
    <t>TRONOX LLC</t>
  </si>
  <si>
    <t>TRUETZSCHLER REMEDIATION SITE</t>
  </si>
  <si>
    <t>VENETIAN HOTEL AND CASINO</t>
  </si>
  <si>
    <t>VOPAK TERMINAL WESTWEGO INC</t>
  </si>
  <si>
    <t>WASHBURN TUNNEL FACILITY</t>
  </si>
  <si>
    <t>WESTLAKE VINYLS CO</t>
  </si>
  <si>
    <t>WESTLAKE VINYLS INC</t>
  </si>
  <si>
    <t>WYETH HOLDINGS, LLC</t>
  </si>
  <si>
    <t>AXIALL LLC</t>
  </si>
  <si>
    <t>BASF CORP</t>
  </si>
  <si>
    <t>BASF CORP - HANNIBAL SITE</t>
  </si>
  <si>
    <t>CHS MCPHERSON REFINERY</t>
  </si>
  <si>
    <t>DDP SPECIALTY ELECTRONIC MATERIALS US LLC</t>
  </si>
  <si>
    <t>DOW CHEMICAL CO FREEPORT FACILITY</t>
  </si>
  <si>
    <t>FREEPORT_OLIN BC</t>
  </si>
  <si>
    <t>HERITAGE THERMAL SERVICES</t>
  </si>
  <si>
    <t>HUNTSMAN ETHYLENEAMINES PLANT</t>
  </si>
  <si>
    <t>LANXESS CORP</t>
  </si>
  <si>
    <t>MONSANTO CO</t>
  </si>
  <si>
    <t>NOURYON SURFACE CHEMISTRY LLC</t>
  </si>
  <si>
    <t>OCCIDENTAL CHEMICAL HOLDING CORP</t>
  </si>
  <si>
    <t>OXY VINYLS LP DEER PARK-VCM PLANT</t>
  </si>
  <si>
    <t>OXY VINYLS LP LA PORTE VCM PLANT</t>
  </si>
  <si>
    <t>THE DOW CHEMICAL CO</t>
  </si>
  <si>
    <t>THE DOW CHEMICAL CO - LOUISIANA OPERATIONS</t>
  </si>
  <si>
    <t>WESTLAKE LAKE CHARLES NORTH</t>
  </si>
  <si>
    <t>This files uses DMR and TRI data downloaded July 29, 2021 through December 29, 2022.</t>
  </si>
  <si>
    <t>Data for 1,2-dichloroethane for reporting years 2015-2020; (reporting year and year of release are the same)</t>
  </si>
  <si>
    <t>Based on document: "Estimating Daily Wastewater Discharges from DMRs and TRI-Revised Appendix A_07.26.2021.docx"</t>
  </si>
  <si>
    <t>Summary of Worksheets</t>
  </si>
  <si>
    <t>Product Standard</t>
  </si>
  <si>
    <t>Overall Release Summary</t>
  </si>
  <si>
    <t>Summary of annual DMR and TRI releases</t>
  </si>
  <si>
    <t>Facility Summary</t>
  </si>
  <si>
    <t>Unique list of facilities reporting water discharges in TRI and DMR</t>
  </si>
  <si>
    <t>Discharge Summary</t>
  </si>
  <si>
    <t>Raw Annual DMR Data</t>
  </si>
  <si>
    <t>Raw Annual DMR data for 2015-2020 downloaded on December 14, 2022.
https://echo.epa.gov/trends/loading-tool/water-pollution-search/</t>
  </si>
  <si>
    <t>Raw Period DMR Data</t>
  </si>
  <si>
    <t>Raw Period DMR data in concentration (mg/L) and wastewater flow rate (MGD) for 2015-2020 (monthly, semiannual, annual, etc.) extracted from the DMR Loading Tool for facilities representing &gt;=90% of the total discharge per year. Downloaded from December 19, 2022 through December 29, 2022.
https://echo.epa.gov/trends/loading-tool/water-pollution-search/</t>
  </si>
  <si>
    <t>Raw TRI Data</t>
  </si>
  <si>
    <t xml:space="preserve">Raw TRI data for 2015-2019 downloaded on July 29, 2021. Data for 2020 downloaded on July 22, 2022. </t>
  </si>
  <si>
    <t>OES</t>
  </si>
  <si>
    <t xml:space="preserve">Lookup table of relevant OES, including statistics on # of DMR entries and # of TRI entries for each OES, and assumptions for the number of release days for each OES. </t>
  </si>
  <si>
    <t>Statistics</t>
  </si>
  <si>
    <t>Generic Factors</t>
  </si>
  <si>
    <t xml:space="preserve">Compilation of average Generic Factors for each Year/OES combination based on Raw Period DMR Data. The individual Generic Factors represent the percentage of total annual discharge that occurred in the highest one-month period from the Period DMR data. Data were normalized to one month if reporting period was not monthly. </t>
  </si>
  <si>
    <t>Notes</t>
  </si>
  <si>
    <t>n/a</t>
  </si>
  <si>
    <t>Annual Release Range (kg/yr)</t>
  </si>
  <si>
    <t>Daily Release Range (kg/site-day)</t>
  </si>
  <si>
    <t>OES Summary</t>
  </si>
  <si>
    <t>Release Days</t>
  </si>
  <si>
    <t xml:space="preserve">Central Tendency </t>
  </si>
  <si>
    <t>High End</t>
  </si>
  <si>
    <t>Manufacturing</t>
  </si>
  <si>
    <t>Repackaging</t>
  </si>
  <si>
    <t>Processing as a Reactant</t>
  </si>
  <si>
    <t>Processing into formulation, mixture, or reaction product</t>
  </si>
  <si>
    <t>Distribution in Commerce</t>
  </si>
  <si>
    <t>Industrial application of adhesives and sealants</t>
  </si>
  <si>
    <t>Industrial Application of Lubricants and Greases</t>
  </si>
  <si>
    <t>Commercial aerosol products (Aerosol degreasing, aerosol lubricants, automotive care products)</t>
  </si>
  <si>
    <t>Industrial and commercial non-aerosol cleaning/degreasing</t>
  </si>
  <si>
    <t>Use in fuels and related products</t>
  </si>
  <si>
    <t>Laboratory Use</t>
  </si>
  <si>
    <t>Waste Handling, Disposal and Treatment</t>
  </si>
  <si>
    <t>POTW</t>
  </si>
  <si>
    <t>Remediation</t>
  </si>
  <si>
    <t>Unknown</t>
  </si>
  <si>
    <t>Total (non-POTW)</t>
  </si>
  <si>
    <t>Total (including POTW)</t>
  </si>
  <si>
    <t>Annual Releases (kg/yr)</t>
  </si>
  <si>
    <t>TRI</t>
  </si>
  <si>
    <t>On-Site</t>
  </si>
  <si>
    <t xml:space="preserve">Transfer to POTW </t>
  </si>
  <si>
    <t>Transfer to WWT (non-POTW)</t>
  </si>
  <si>
    <t>DMR</t>
  </si>
  <si>
    <t xml:space="preserve">* Note that the EAGLE US 2 (Westlake, LA) site reported ~64,000 kg/yr released in 2020, which was flagged as a potential outlier or data error in DMR. </t>
  </si>
  <si>
    <t>ID</t>
  </si>
  <si>
    <t>Facility Name</t>
  </si>
  <si>
    <t>Street Address</t>
  </si>
  <si>
    <t>City</t>
  </si>
  <si>
    <t>State</t>
  </si>
  <si>
    <t>ZIP Code</t>
  </si>
  <si>
    <t>Facility Latitude</t>
  </si>
  <si>
    <t>Facility Longitude</t>
  </si>
  <si>
    <t>TRI Facility ID(s)</t>
  </si>
  <si>
    <t>FRS ID</t>
  </si>
  <si>
    <t>OES Name and Description</t>
  </si>
  <si>
    <t>NAICS/SIC Code</t>
  </si>
  <si>
    <t>NAICS/SIC Description</t>
  </si>
  <si>
    <t>Link to ECHO</t>
  </si>
  <si>
    <t>Direct Discharger?</t>
  </si>
  <si>
    <t>Indirect Discharger?</t>
  </si>
  <si>
    <t>Release Pattern</t>
  </si>
  <si>
    <t>4000 N FAIRFAX DR</t>
  </si>
  <si>
    <t>ARLINGTON</t>
  </si>
  <si>
    <t>VA</t>
  </si>
  <si>
    <t/>
  </si>
  <si>
    <t>Excavation Work</t>
  </si>
  <si>
    <t>4811 S. ZERO STREET</t>
  </si>
  <si>
    <t>FORT SMITH</t>
  </si>
  <si>
    <t>AR</t>
  </si>
  <si>
    <t>Air-Conditioning and Warm Air Heating Equipment and Commercial and Industrial Refrigeration Equipment (except motor vehicle air-conditioning)</t>
  </si>
  <si>
    <t>1201 GULF STATES ROAD</t>
  </si>
  <si>
    <t>BATON ROUGE</t>
  </si>
  <si>
    <t>LA</t>
  </si>
  <si>
    <t>70805LBMRLGULFS</t>
  </si>
  <si>
    <t>Chemicals and Chemical Preparations, NEC (table salt)</t>
  </si>
  <si>
    <t xml:space="preserve">ALFORD ST, STATION 250 (MYSTIC STATION), DEXTER , </t>
  </si>
  <si>
    <t>CHARLESTOWN, EVERETT, CHELSEA</t>
  </si>
  <si>
    <t>MA</t>
  </si>
  <si>
    <t>ROUTE 25</t>
  </si>
  <si>
    <t>INSTITUTE</t>
  </si>
  <si>
    <t>WV</t>
  </si>
  <si>
    <t>Industrial Organic Chemicals, NEC (aliphatics)</t>
  </si>
  <si>
    <t>301 LASER LANE</t>
  </si>
  <si>
    <t>LAFAYETTE</t>
  </si>
  <si>
    <t>70507-5326</t>
  </si>
  <si>
    <t>Plastics Materials, Synthetic and Resins, and Nonvulcanizable Elastomers</t>
  </si>
  <si>
    <t>875 HARGER ST</t>
  </si>
  <si>
    <t>DOVER</t>
  </si>
  <si>
    <t>OH</t>
  </si>
  <si>
    <t>44622-9441</t>
  </si>
  <si>
    <t>44622NNCMP875HA</t>
  </si>
  <si>
    <t>4444 INDUSTRIAL PKWY</t>
  </si>
  <si>
    <t>CALVERT CITY</t>
  </si>
  <si>
    <t>KY</t>
  </si>
  <si>
    <t>42029PNNWLALTON</t>
  </si>
  <si>
    <t>4550B NORTHEAST EXPY</t>
  </si>
  <si>
    <t>ATLANTA</t>
  </si>
  <si>
    <t>GA</t>
  </si>
  <si>
    <t>Sanitary Services, NEC (vacuuming of runways)</t>
  </si>
  <si>
    <t>2600 RIVERFRONT DR</t>
  </si>
  <si>
    <t>ASHLAND</t>
  </si>
  <si>
    <t>Sewerage Systems</t>
  </si>
  <si>
    <t>26100 HWY 405 S</t>
  </si>
  <si>
    <t>PLAQUEMINE</t>
  </si>
  <si>
    <t>70765GRGGLHIGHW</t>
  </si>
  <si>
    <t>205 MANTUA AVE</t>
  </si>
  <si>
    <t>PAULSBORO</t>
  </si>
  <si>
    <t>NJ</t>
  </si>
  <si>
    <t>08066-1172</t>
  </si>
  <si>
    <t>Petroleum Bulk Stations and Terminals (except petroleum sold via retail method)</t>
  </si>
  <si>
    <t>614 MARSH RD</t>
  </si>
  <si>
    <t>BARBOURVILLE</t>
  </si>
  <si>
    <t>2525 S KENSINGTON AVE</t>
  </si>
  <si>
    <t>KANKAKEE</t>
  </si>
  <si>
    <t>IL</t>
  </si>
  <si>
    <t>60901HNKLCSKENS</t>
  </si>
  <si>
    <t>3150 HWY JJ</t>
  </si>
  <si>
    <t>PALMYRA</t>
  </si>
  <si>
    <t>MO</t>
  </si>
  <si>
    <t>63461MRCNCSTATE</t>
  </si>
  <si>
    <t>8400 HAWTHORN RD.</t>
  </si>
  <si>
    <t>KANSAS CITY</t>
  </si>
  <si>
    <t>64120MBYCR8400H</t>
  </si>
  <si>
    <t>Pesticides and Agricultural Chemicals, NEC</t>
  </si>
  <si>
    <t>PENN AND MAGNOLIA STS</t>
  </si>
  <si>
    <t>BEVERLY</t>
  </si>
  <si>
    <t>1910 UNIVERSITY DRIVE</t>
  </si>
  <si>
    <t>BOISE</t>
  </si>
  <si>
    <t>Drycleaning Plants, Except Rug Cleaning</t>
  </si>
  <si>
    <t>8811 STRANG ROAD</t>
  </si>
  <si>
    <t>LA PORTE</t>
  </si>
  <si>
    <t>TX</t>
  </si>
  <si>
    <t>77571RSTCH8811S</t>
  </si>
  <si>
    <t>5015 BEST RD</t>
  </si>
  <si>
    <t>BRAWLEY</t>
  </si>
  <si>
    <t>CA</t>
  </si>
  <si>
    <t>14664 HIGHWAY 47</t>
  </si>
  <si>
    <t>CADET</t>
  </si>
  <si>
    <t>63630BCKMNHIGHW</t>
  </si>
  <si>
    <t>1103 AIRPORT BOULEVARD</t>
  </si>
  <si>
    <t>BURLINGAME</t>
  </si>
  <si>
    <t xml:space="preserve">466 HWY 89A </t>
  </si>
  <si>
    <t>CAMERON</t>
  </si>
  <si>
    <t>AZ</t>
  </si>
  <si>
    <t>609 JERSEY AVE</t>
  </si>
  <si>
    <t>JERSEY CITY</t>
  </si>
  <si>
    <t>2313 FMR 1593 S</t>
  </si>
  <si>
    <t>PORT LAVACA</t>
  </si>
  <si>
    <t>Marine Cargo Handling (dock and pier operations)</t>
  </si>
  <si>
    <t>CEDAR SWAMP RD &amp; OAK GROVE RD</t>
  </si>
  <si>
    <t>BRIDGEPORT</t>
  </si>
  <si>
    <t>Trucking, Except Local (general freight, truckload)</t>
  </si>
  <si>
    <t>8808 N 127TH ST E</t>
  </si>
  <si>
    <t>VALLEY CENTER</t>
  </si>
  <si>
    <t>KS</t>
  </si>
  <si>
    <t>Air and Water Resource and Solid Waste Management</t>
  </si>
  <si>
    <t>6350 NORTH TWIN CITY HWY (ST HWY 347) W BANK OF</t>
  </si>
  <si>
    <t>BEAUMONT</t>
  </si>
  <si>
    <t>77704DPNTBSTATE</t>
  </si>
  <si>
    <t>Synthetic Rubber</t>
  </si>
  <si>
    <t>8480 DUPONT ROAD</t>
  </si>
  <si>
    <t>WASHINGTON</t>
  </si>
  <si>
    <t>26180DPNTWDUPON,2618WCHMRS848DU</t>
  </si>
  <si>
    <t>RT 130</t>
  </si>
  <si>
    <t>DEEPWATER</t>
  </si>
  <si>
    <t>08023DPNTCRT130,0802WCHMRS67CAN</t>
  </si>
  <si>
    <t>10285 HIGHWAY 23</t>
  </si>
  <si>
    <t>BELLE CHASSE</t>
  </si>
  <si>
    <t>70037CHVRNHIGHW</t>
  </si>
  <si>
    <t>2000 S MAIN ST</t>
  </si>
  <si>
    <t>MCPHERSON</t>
  </si>
  <si>
    <t>67460NTNLC2000M</t>
  </si>
  <si>
    <t>700 MESSER DR</t>
  </si>
  <si>
    <t>RED BLUFF</t>
  </si>
  <si>
    <t>96080-4326</t>
  </si>
  <si>
    <t>1395 W RECLAMATION WAY</t>
  </si>
  <si>
    <t>SAFFORD</t>
  </si>
  <si>
    <t>13351 SCENIC HIGHWAY</t>
  </si>
  <si>
    <t>70807SFTYK13351</t>
  </si>
  <si>
    <t>Refuse Systems (hazardous waste treatment and disposal)</t>
  </si>
  <si>
    <t>309 AMERICAN CIR</t>
  </si>
  <si>
    <t>EL DORADO</t>
  </si>
  <si>
    <t>71730NVRNM309AM</t>
  </si>
  <si>
    <t>9700 E ASHLAN AVE</t>
  </si>
  <si>
    <t>CLOVIS</t>
  </si>
  <si>
    <t>133 NORTH VIRGINIA STREET</t>
  </si>
  <si>
    <t>RENO</t>
  </si>
  <si>
    <t>NV</t>
  </si>
  <si>
    <t>Hotels and Motels (hotels, except casino hotels, and motels)</t>
  </si>
  <si>
    <t>2820 WILL S. GREEN ROAD</t>
  </si>
  <si>
    <t>COLUSA</t>
  </si>
  <si>
    <t>#1 HEILMAN AVENUE</t>
  </si>
  <si>
    <t>WILLOW ISLAND</t>
  </si>
  <si>
    <t>26190MRCNCSTRT2</t>
  </si>
  <si>
    <t>3400 S SAGINAW RD - UNIT 96</t>
  </si>
  <si>
    <t>MIDLAND</t>
  </si>
  <si>
    <t>MI</t>
  </si>
  <si>
    <t>4864WDDPSP34SSA</t>
  </si>
  <si>
    <t>15306 NORWALK BOULEVARD</t>
  </si>
  <si>
    <t>NORWALK</t>
  </si>
  <si>
    <t>90650-6639</t>
  </si>
  <si>
    <t>Refined Petroleum Pipelines</t>
  </si>
  <si>
    <t>1515 S TRYON ST</t>
  </si>
  <si>
    <t>CHARLOTTE</t>
  </si>
  <si>
    <t>NC</t>
  </si>
  <si>
    <t>2301 N BRAZOSPORT BLVD</t>
  </si>
  <si>
    <t>FREEPORT</t>
  </si>
  <si>
    <t>77541THDWCBUILD</t>
  </si>
  <si>
    <t>THE DOW CHEMICAL COMPANY</t>
  </si>
  <si>
    <t>205 MACKS IS DR</t>
  </si>
  <si>
    <t>BELVIDERE</t>
  </si>
  <si>
    <t>07823-1101</t>
  </si>
  <si>
    <t>07823HFFMN206RO</t>
  </si>
  <si>
    <t>Medicinal Chemicals and Botanical Products</t>
  </si>
  <si>
    <t>1300 PPG DRIVE</t>
  </si>
  <si>
    <t>WESTLAKE</t>
  </si>
  <si>
    <t>70669PPGNDCOLUM</t>
  </si>
  <si>
    <t>1669 LAKE AVENUE</t>
  </si>
  <si>
    <t>ROCHESTER</t>
  </si>
  <si>
    <t>NY</t>
  </si>
  <si>
    <t>14652STMNK1669L</t>
  </si>
  <si>
    <t>Photographic Equipment and Supplies (photographic films, paper, plates and chemicals)</t>
  </si>
  <si>
    <t>2800 W 10TH ST.</t>
  </si>
  <si>
    <t>JOPLIN</t>
  </si>
  <si>
    <t>Heavy Construction, NEC (Industrial nonbuilding structures [except petrochemical plants and petroleum refineries])</t>
  </si>
  <si>
    <t>485 E VILLA AVE</t>
  </si>
  <si>
    <t>EL CENTRO</t>
  </si>
  <si>
    <t>Fish Hatcheries and Preserves (finfish hatcheries)</t>
  </si>
  <si>
    <t>1003 MAC CORKLE AVENUE, S.W.</t>
  </si>
  <si>
    <t>CHARLESTON</t>
  </si>
  <si>
    <t>25303-1323</t>
  </si>
  <si>
    <t>1500 NORTH SOUTH ST</t>
  </si>
  <si>
    <t>PASADENA</t>
  </si>
  <si>
    <t>1515 MILLER CUTOFF RD</t>
  </si>
  <si>
    <t>LAPORTE</t>
  </si>
  <si>
    <t>77571QNTMC1515M</t>
  </si>
  <si>
    <t>GOLF STATE ROAD</t>
  </si>
  <si>
    <t>1650 LILLY RD</t>
  </si>
  <si>
    <t>IN</t>
  </si>
  <si>
    <t>47905LLLLYLILLY</t>
  </si>
  <si>
    <t>400 KINGSLAND AVENUE</t>
  </si>
  <si>
    <t>BROOKLYN</t>
  </si>
  <si>
    <t>70 OLD TURNPIKE RD</t>
  </si>
  <si>
    <t>WAYNE TWP</t>
  </si>
  <si>
    <t>Nonclassifiable Establishments</t>
  </si>
  <si>
    <t>780 SCHOOL HOUSE ROAD</t>
  </si>
  <si>
    <t>DELAWARE CITY</t>
  </si>
  <si>
    <t>DE</t>
  </si>
  <si>
    <t>201 FORMOSA DRIVE</t>
  </si>
  <si>
    <t>POINT COMFORT</t>
  </si>
  <si>
    <t>77978FRMSPPOBOX</t>
  </si>
  <si>
    <t>GULF STATES ROAD</t>
  </si>
  <si>
    <t>70805FRMSPGULFS</t>
  </si>
  <si>
    <t>7754WBLCBP231NB</t>
  </si>
  <si>
    <t>1000 WESTERN AVE MAIL DROP 164X9</t>
  </si>
  <si>
    <t>LYNN</t>
  </si>
  <si>
    <t>01910GNRLL1000W</t>
  </si>
  <si>
    <t>Aircraft Engines and Engine Parts (except research and development not producing prototypes)</t>
  </si>
  <si>
    <t>200 E HIGH ST</t>
  </si>
  <si>
    <t>RED LION</t>
  </si>
  <si>
    <t>PA</t>
  </si>
  <si>
    <t>17356GNRLD200EH</t>
  </si>
  <si>
    <t>Ordnance and Accessories, NEC</t>
  </si>
  <si>
    <t>3300 GENERAL MOTORS RD</t>
  </si>
  <si>
    <t>MILFORD</t>
  </si>
  <si>
    <t>Testing Laboratories (except veterinary testing laboratories)</t>
  </si>
  <si>
    <t>PARADISE RD</t>
  </si>
  <si>
    <t>WEST DEPTFORD TWP</t>
  </si>
  <si>
    <t>1002 BARGE CANAL RD</t>
  </si>
  <si>
    <t>PORT ALLEN</t>
  </si>
  <si>
    <t>3540 RIVER ROAD</t>
  </si>
  <si>
    <t>HARVEY</t>
  </si>
  <si>
    <t>Special Warehousing and Storage, NEC (warehousing in foreign trade zones)</t>
  </si>
  <si>
    <t>8021 GEORGIA AVENUE</t>
  </si>
  <si>
    <t>SILVER SPRING</t>
  </si>
  <si>
    <t>MD</t>
  </si>
  <si>
    <t>General Contractors - Residential Buildings Other Than Single-Family (except remodeling contractors, hotel and motel construction contractors, and dormitory and barrack construction contractors)</t>
  </si>
  <si>
    <t>7824 RECTORY LN</t>
  </si>
  <si>
    <t>ANNANDALE</t>
  </si>
  <si>
    <t>1250 ST GEORGE ST</t>
  </si>
  <si>
    <t>EAST LIVERPOOL</t>
  </si>
  <si>
    <t>43920VNRLL1250S</t>
  </si>
  <si>
    <t>LUPINE AND ONTARIO STREETS</t>
  </si>
  <si>
    <t>70805LLDSGCORNE</t>
  </si>
  <si>
    <t>5525 HWY 3115</t>
  </si>
  <si>
    <t>GEISMAR</t>
  </si>
  <si>
    <t>70734-3412</t>
  </si>
  <si>
    <t>70734LLDSGHWY31</t>
  </si>
  <si>
    <t>8615 MANCHESTER ST</t>
  </si>
  <si>
    <t>HOUSTON</t>
  </si>
  <si>
    <t>77012STFFR8615M</t>
  </si>
  <si>
    <t>Industrial Inorganic Chemicals, NEC (recovering sulfur from natural gas)</t>
  </si>
  <si>
    <t>307 COUNTY RD 624 A1, A38 BLOCK</t>
  </si>
  <si>
    <t>77541HNTSM307CO</t>
  </si>
  <si>
    <t>5451 JEFFERSON CHEMICAL RD</t>
  </si>
  <si>
    <t>CONROE</t>
  </si>
  <si>
    <t>77301TXCCHJEFFE</t>
  </si>
  <si>
    <t>11636 HUNTINGTON ROAD</t>
  </si>
  <si>
    <t>GALLIPOLIS FERRY</t>
  </si>
  <si>
    <t>25515-1721</t>
  </si>
  <si>
    <t>25515KZCHMSTATE</t>
  </si>
  <si>
    <t>2 COMMERCE ST</t>
  </si>
  <si>
    <t>BAYONNE CITY</t>
  </si>
  <si>
    <t>4300 HWY 108 SOUTH</t>
  </si>
  <si>
    <t>SULPHUR</t>
  </si>
  <si>
    <t>70663CCDNTHIGHW</t>
  </si>
  <si>
    <t>22102 HWY 6</t>
  </si>
  <si>
    <t>MANVEL</t>
  </si>
  <si>
    <t>77578KSHNB22102</t>
  </si>
  <si>
    <t>2151 KING ST EXTENSION</t>
  </si>
  <si>
    <t>SC</t>
  </si>
  <si>
    <t>29415LBRGH2151K</t>
  </si>
  <si>
    <t>4000 ROAD TO GRASSELLI</t>
  </si>
  <si>
    <t>LINDEN</t>
  </si>
  <si>
    <t>Soaps and Other Detergents, Except Specialty Cleaners</t>
  </si>
  <si>
    <t>1801 WEST CENTRAL AVE</t>
  </si>
  <si>
    <t>LOMPOC</t>
  </si>
  <si>
    <t>23579 N BLOOMFIELD RD</t>
  </si>
  <si>
    <t>NEVADA CITY</t>
  </si>
  <si>
    <t>Gold Ores</t>
  </si>
  <si>
    <t>1 INDIA STREET</t>
  </si>
  <si>
    <t>PROVIDENCE</t>
  </si>
  <si>
    <t>RI</t>
  </si>
  <si>
    <t xml:space="preserve">Towing and Tugboat Services </t>
  </si>
  <si>
    <t>126 E LINCOLN AVE</t>
  </si>
  <si>
    <t>RAHWAY</t>
  </si>
  <si>
    <t>07065MRCKC126EL</t>
  </si>
  <si>
    <t>76 PORCUPINE RD</t>
  </si>
  <si>
    <t>PEDRICKTOWN</t>
  </si>
  <si>
    <t>08067-0400</t>
  </si>
  <si>
    <t>08067THGNCUSRTE</t>
  </si>
  <si>
    <t>2500 WIGGINS RD</t>
  </si>
  <si>
    <t>MUSCATINE</t>
  </si>
  <si>
    <t>IA</t>
  </si>
  <si>
    <t>52761MNSNTWIGGI</t>
  </si>
  <si>
    <t>16717 JACINTOPORT BLVD</t>
  </si>
  <si>
    <t>77015JHNNH16717</t>
  </si>
  <si>
    <t>10851 ENERGY HIGHWAY</t>
  </si>
  <si>
    <t>FRIENDLY</t>
  </si>
  <si>
    <t>26175NNCRBSTATE</t>
  </si>
  <si>
    <t>3628 HIGHWAY 44</t>
  </si>
  <si>
    <t>GARYVILLE</t>
  </si>
  <si>
    <t>70051NLCCHRIVER</t>
  </si>
  <si>
    <t>485 CEDAR SPRINGS RD</t>
  </si>
  <si>
    <t>SALISBURY</t>
  </si>
  <si>
    <t>2814WKZNBL485CE</t>
  </si>
  <si>
    <t>47TH ST AT BUFFALO AVE</t>
  </si>
  <si>
    <t>NIAGARA FALLS</t>
  </si>
  <si>
    <t>14302CCDNT4700B</t>
  </si>
  <si>
    <t>Alkalies and Chlorine</t>
  </si>
  <si>
    <t xml:space="preserve">ST HWY 361 2MI NW INTEX OF ST HWY 361 AND ST HWY </t>
  </si>
  <si>
    <t>INGLESIDE</t>
  </si>
  <si>
    <t>78359CCDNTHWY36</t>
  </si>
  <si>
    <t>8318 ASHLAND ROAD</t>
  </si>
  <si>
    <t>70734VLCNMASHLA</t>
  </si>
  <si>
    <t>7377 HWY 3214</t>
  </si>
  <si>
    <t>CONVENT</t>
  </si>
  <si>
    <t>70723CCDNTHIGHW</t>
  </si>
  <si>
    <t>1 MILE N ST HWY 225 &amp; TIDAL RD</t>
  </si>
  <si>
    <t>DEER PARK</t>
  </si>
  <si>
    <t>77536CCDNT1000T</t>
  </si>
  <si>
    <t>5900 HWY 225 GATE 8A</t>
  </si>
  <si>
    <t>77536CCDNTTIDAL</t>
  </si>
  <si>
    <t>2400 MILLER CUTOFF RD</t>
  </si>
  <si>
    <t>77571LPRTC2400M</t>
  </si>
  <si>
    <t>101 WESTON RD</t>
  </si>
  <si>
    <t>HILLSBOROUGH TWP</t>
  </si>
  <si>
    <t>Paints, Varnishes, Lacquers, Enamels and Allied Products</t>
  </si>
  <si>
    <t>41 STILES LANE</t>
  </si>
  <si>
    <t>NORTH HAVEN</t>
  </si>
  <si>
    <t>CT</t>
  </si>
  <si>
    <t>800 HARVEY RD</t>
  </si>
  <si>
    <t>PARKER COUNTY</t>
  </si>
  <si>
    <t>2200 OLD SPANISH TRAIL</t>
  </si>
  <si>
    <t>70669CNCLKOLDSP</t>
  </si>
  <si>
    <t>Petroleum Refining</t>
  </si>
  <si>
    <t>1147 MENELAUS RD</t>
  </si>
  <si>
    <t>BEREA</t>
  </si>
  <si>
    <t>9245 BALBOA AVENUE</t>
  </si>
  <si>
    <t>SAN SIMEON</t>
  </si>
  <si>
    <t>500 SEAWORLD DRIVE</t>
  </si>
  <si>
    <t>SAN DIEGO</t>
  </si>
  <si>
    <t>Amusement Parks</t>
  </si>
  <si>
    <t>4604 WEST BAKER RD</t>
  </si>
  <si>
    <t>BAYTOWN</t>
  </si>
  <si>
    <t>77520TXSPT464WB</t>
  </si>
  <si>
    <t>1000 MORGANTOWN INDUSTRIAL PARK</t>
  </si>
  <si>
    <t>MORGANTOWN</t>
  </si>
  <si>
    <t>26505WSTMR1000D,26505WSTMRMORGA</t>
  </si>
  <si>
    <t>1 FLEXSYS DRIVE</t>
  </si>
  <si>
    <t>NITRO</t>
  </si>
  <si>
    <t>10 LEONARDS LN</t>
  </si>
  <si>
    <t>THOROFARE</t>
  </si>
  <si>
    <t>08086PNNWLCROWN</t>
  </si>
  <si>
    <t>11200 KY 79</t>
  </si>
  <si>
    <t>RUSSELLVILLE</t>
  </si>
  <si>
    <t>Mining Machinery and Equipment, Except Oil and Gas Field Machinery and Equipment</t>
  </si>
  <si>
    <t>22500 STEPAN DR</t>
  </si>
  <si>
    <t>ELWOOD</t>
  </si>
  <si>
    <t>60421-9646</t>
  </si>
  <si>
    <t>60421STPNCRURAL</t>
  </si>
  <si>
    <t>Surface Active Agents, Finishing Agents, Sulfonated Oils, and Assistants</t>
  </si>
  <si>
    <t>25846 S FRONTAGE ROAD</t>
  </si>
  <si>
    <t>CHANNAHON</t>
  </si>
  <si>
    <t>60410-5222</t>
  </si>
  <si>
    <t>60410MBLCHI55AR</t>
  </si>
  <si>
    <t>TEXAS BARGE &amp; BOAT INC</t>
  </si>
  <si>
    <t>4115 E FLOODGATE</t>
  </si>
  <si>
    <t>77541TXSBR4115E</t>
  </si>
  <si>
    <t>Ship Building and Repairing</t>
  </si>
  <si>
    <t>1790 BUILDING</t>
  </si>
  <si>
    <t>48667THDWCMICHI</t>
  </si>
  <si>
    <t>21255 LA HWY 1 S</t>
  </si>
  <si>
    <t>70765THDWCHIGHW</t>
  </si>
  <si>
    <t>1818 INDEPENDENCE PKWY S</t>
  </si>
  <si>
    <t>77536FNLND1818B</t>
  </si>
  <si>
    <t>1468 PROSSER DR SE</t>
  </si>
  <si>
    <t>DALTON</t>
  </si>
  <si>
    <t>3072WSTYRN1468P</t>
  </si>
  <si>
    <t>510 SOUTH 4TH STREET</t>
  </si>
  <si>
    <t>HENDERSON</t>
  </si>
  <si>
    <t>89015KRRMC8000L</t>
  </si>
  <si>
    <t>Special Trade Contractors, NEC (indoor swimming pool construction contractors)</t>
  </si>
  <si>
    <t>12300 MOORES CHAPEL RD</t>
  </si>
  <si>
    <t>Textile Machinery</t>
  </si>
  <si>
    <t>3355 LAS VEGAS BOULEVARD SOUTH</t>
  </si>
  <si>
    <t>LAS VEGAS</t>
  </si>
  <si>
    <t>106 BRIDGE CITY AVENUE</t>
  </si>
  <si>
    <t>WESTWEGO</t>
  </si>
  <si>
    <t>70094-3511</t>
  </si>
  <si>
    <t>1002 W N. RICHEY</t>
  </si>
  <si>
    <t>77506-1041</t>
  </si>
  <si>
    <t>1600 VCM PLANT RD</t>
  </si>
  <si>
    <t>70669GRGGL1600V</t>
  </si>
  <si>
    <t>36045 HWY 30</t>
  </si>
  <si>
    <t>70734BRDNCLOUIS</t>
  </si>
  <si>
    <t>2468 INDUSTRIAL PKWY</t>
  </si>
  <si>
    <t>42029WSTLK2468I</t>
  </si>
  <si>
    <t>3150 HIGHWAY JJ</t>
  </si>
  <si>
    <t>Land, Mineral, Wildlife, and Forest Conservation</t>
  </si>
  <si>
    <t>GREAT LAKES CHEMICAL - SOUTH PLANT</t>
  </si>
  <si>
    <t>324 SOUTHFIELD CUTOFF</t>
  </si>
  <si>
    <t>71730GRTLKRT7BO</t>
  </si>
  <si>
    <t>Other Basic Inorganic Chemical Manufacturing</t>
  </si>
  <si>
    <t>UNIVAR SOLUTIONS GEISMAR GE</t>
  </si>
  <si>
    <t>34200 DISTRIBUTION LN</t>
  </si>
  <si>
    <t>70734VNWTR34200</t>
  </si>
  <si>
    <t>Other Chemical and Allied Products Merchant Wholesalers</t>
  </si>
  <si>
    <t>OPTIMA CHEMICAL GROUP LLC</t>
  </si>
  <si>
    <t>200 WILLACOOCHEE HWY</t>
  </si>
  <si>
    <t>DOUGLAS</t>
  </si>
  <si>
    <t>31533FFNCC1415W</t>
  </si>
  <si>
    <t>ALDRICH CHEMICAL CO LLC</t>
  </si>
  <si>
    <t>5485 COUNTY RD V</t>
  </si>
  <si>
    <t>SHEBOYGAN FALLS</t>
  </si>
  <si>
    <t>WI</t>
  </si>
  <si>
    <t>53085LDRCH6100H</t>
  </si>
  <si>
    <t>CENTRAL PLAINS CEMENT CO</t>
  </si>
  <si>
    <t>2609 N 145TH E AVE</t>
  </si>
  <si>
    <t>TULSA</t>
  </si>
  <si>
    <t>OK</t>
  </si>
  <si>
    <t>74116BLCRC2609N</t>
  </si>
  <si>
    <t>Cement Manufacturing</t>
  </si>
  <si>
    <t>POLYCOAT PRODUCTS LLC</t>
  </si>
  <si>
    <t>3001 E PIONEER PKWY</t>
  </si>
  <si>
    <t>7601WPLYCT31EPI</t>
  </si>
  <si>
    <t>Paint and Coating Manufacturing</t>
  </si>
  <si>
    <t>29836SNDZCHIGHW</t>
  </si>
  <si>
    <t>71483CHMBNHIGHW</t>
  </si>
  <si>
    <t>37389RNLDN100KI</t>
  </si>
  <si>
    <t>40216BRDNN6200C</t>
  </si>
  <si>
    <t>70507LCNTRPONTD</t>
  </si>
  <si>
    <t>77562STHWS18310</t>
  </si>
  <si>
    <t>72301CPSCHBRIDG</t>
  </si>
  <si>
    <t>77522XXNCH3525D,77522XXNCH5000B</t>
  </si>
  <si>
    <t>70727BRCNNEDENC</t>
  </si>
  <si>
    <t>97220BNGFP19000</t>
  </si>
  <si>
    <t>61072BLTCR1165P</t>
  </si>
  <si>
    <t>63401CNTNNHIGHW</t>
  </si>
  <si>
    <t>08014MNSNTROUTE</t>
  </si>
  <si>
    <t>37662TNNSSEASTM</t>
  </si>
  <si>
    <t>60450QNTMC8805N</t>
  </si>
  <si>
    <t>70602HMNTSLAHWY</t>
  </si>
  <si>
    <t>61953QNTMCROUTE</t>
  </si>
  <si>
    <t>07410FSHRS1REAG</t>
  </si>
  <si>
    <t>14105FMCCR100NI</t>
  </si>
  <si>
    <t>03222FRDNBPOBOX</t>
  </si>
  <si>
    <t>72503RKNSSSTATE</t>
  </si>
  <si>
    <t>49022GSTMN2300H</t>
  </si>
  <si>
    <t>60450RCHHL7440W</t>
  </si>
  <si>
    <t>42029GFCHMHIGHW</t>
  </si>
  <si>
    <t>15774KYSTNRTE21</t>
  </si>
  <si>
    <t>70669VSTCHOLDSP</t>
  </si>
  <si>
    <t>80127MRTNM12257</t>
  </si>
  <si>
    <t>77572MTTNM2727M</t>
  </si>
  <si>
    <t>92135SNVYN55NMS</t>
  </si>
  <si>
    <t>60450KZCHMTABLE</t>
  </si>
  <si>
    <t>15061RCCHMFRANK</t>
  </si>
  <si>
    <t>42303HMPSH5529U</t>
  </si>
  <si>
    <t>07036XXNXX1400P</t>
  </si>
  <si>
    <t>6225WPRRST1739N</t>
  </si>
  <si>
    <t>47620GPLSTLEXAN</t>
  </si>
  <si>
    <t>18370CNNGHRT611</t>
  </si>
  <si>
    <t>16301NVLLSROUTE</t>
  </si>
  <si>
    <t>70776CBGGYRIVER</t>
  </si>
  <si>
    <t>70776RPRDCHIGHW</t>
  </si>
  <si>
    <t>97210VNWTR3950N</t>
  </si>
  <si>
    <t>60439SDRGN9700S</t>
  </si>
  <si>
    <t>49221WCKRS3301S</t>
  </si>
  <si>
    <t>14580XRXCR800PH</t>
  </si>
  <si>
    <t>ANNUAL and AVERAGE DAILY Direct Discharge</t>
  </si>
  <si>
    <t xml:space="preserve">HIGH END Direct Discharge </t>
  </si>
  <si>
    <t xml:space="preserve">ONE DAY Direct Discharge </t>
  </si>
  <si>
    <t>NPDES Permit #</t>
  </si>
  <si>
    <t>Receiving Waterbody Name</t>
  </si>
  <si>
    <t>Reach Code</t>
  </si>
  <si>
    <t>Does Discharge Incorporate Treatment/Removal</t>
  </si>
  <si>
    <t>Number of Release Days/yr</t>
  </si>
  <si>
    <t>Median ANNUAL Discharge (kg/yr)</t>
  </si>
  <si>
    <t>Median AVERAGE DAILY Discharge (kg/day)</t>
  </si>
  <si>
    <t>Maximum ANNUAL Discharge (kg/yr)</t>
  </si>
  <si>
    <t>Maximum AVERAGE DAILY Discharge (kg/day)</t>
  </si>
  <si>
    <t>Reporting Year of Maximum Annual Discharge</t>
  </si>
  <si>
    <t>Median HIGH-END Daily Discharge (kg/day)</t>
  </si>
  <si>
    <t>Maximum HIGH-END Daily Discharge (kg/day)</t>
  </si>
  <si>
    <t>Days per Period for Maximum HIGH-END Discharge (days/period)</t>
  </si>
  <si>
    <t>Reporting Year of Maximum HIGH-END Daily Discharge</t>
  </si>
  <si>
    <t>Median ONE-DAY Discharge (kg/day)</t>
  </si>
  <si>
    <t>Maximum ONE-DAY Discharge (kg/day)</t>
  </si>
  <si>
    <t>Reporting Year of Maximum ONE-DAY Discharge</t>
  </si>
  <si>
    <t>VAG830530</t>
  </si>
  <si>
    <t>POTOMAC RIVER-PIMMIT RUN</t>
  </si>
  <si>
    <t>Acute One-Day Discharges Not Available from TRI</t>
  </si>
  <si>
    <t>AR0052477</t>
  </si>
  <si>
    <t>TRIB,SPIVEY CR,MASSARD CR,ARKANSAS R</t>
  </si>
  <si>
    <t>LA0113531</t>
  </si>
  <si>
    <t>MONTE SANO BAYOU</t>
  </si>
  <si>
    <t>MAG910772</t>
  </si>
  <si>
    <t>MYSTIC RIVER</t>
  </si>
  <si>
    <t>WV0000086</t>
  </si>
  <si>
    <t>KANAWHA RIVER</t>
  </si>
  <si>
    <t>LA0108936</t>
  </si>
  <si>
    <t>VERMILION RIVER</t>
  </si>
  <si>
    <t>OH0007196</t>
  </si>
  <si>
    <t>TUSCARAWAS RIVER</t>
  </si>
  <si>
    <t>KY0003603</t>
  </si>
  <si>
    <t>OUTFALL 001, TENNESSEE RIVER</t>
  </si>
  <si>
    <t>GA0050278</t>
  </si>
  <si>
    <t>KITCHEN CREEK</t>
  </si>
  <si>
    <t>KY0022373</t>
  </si>
  <si>
    <t>OHIO RIVER, UT / OHIO RIVER</t>
  </si>
  <si>
    <t>NJ0005584</t>
  </si>
  <si>
    <t>DELAWARE RIVER</t>
  </si>
  <si>
    <t>KY0024082</t>
  </si>
  <si>
    <t>CUMBERLAND RIVER</t>
  </si>
  <si>
    <t>MO0002526</t>
  </si>
  <si>
    <t>BLUE RIVER, TRIBUTARY TO BLUE R.</t>
  </si>
  <si>
    <t>NJ0027481</t>
  </si>
  <si>
    <t>DELAWARE RIVER (ZONE 2)</t>
  </si>
  <si>
    <t>IDG911006</t>
  </si>
  <si>
    <t>BOISE RIVER</t>
  </si>
  <si>
    <t>TX0074276</t>
  </si>
  <si>
    <t>DRAINAGE DITCH, SAN JACINTO BAY</t>
  </si>
  <si>
    <t>CA0104523</t>
  </si>
  <si>
    <t>NEW RIVER</t>
  </si>
  <si>
    <t>MO0101184</t>
  </si>
  <si>
    <t>MILL CR., TRIBUTARY TO CADET CR., TRIBUTARY TO MILL CR.</t>
  </si>
  <si>
    <t>CA0037788</t>
  </si>
  <si>
    <t>LOWER SAN FRANCISCO BAY</t>
  </si>
  <si>
    <t>NN0021610</t>
  </si>
  <si>
    <t>LITTLE COLORADO RIVER</t>
  </si>
  <si>
    <t>NJG300829</t>
  </si>
  <si>
    <t>HUDSON RIVER</t>
  </si>
  <si>
    <t>TX0105937</t>
  </si>
  <si>
    <t>COX BAY</t>
  </si>
  <si>
    <t>NJG105589</t>
  </si>
  <si>
    <t>MOSS BRANCH (CEDAR SWAMP)</t>
  </si>
  <si>
    <t>KS0100846</t>
  </si>
  <si>
    <t>PRAIRIE CR (1103001735)</t>
  </si>
  <si>
    <t>TX0004669</t>
  </si>
  <si>
    <t>NECHES RIVER BASIN</t>
  </si>
  <si>
    <t>WV0001279</t>
  </si>
  <si>
    <t>COAL HOLLOW, OHIO RIVER, PAGE RUN/OHIO RIVER</t>
  </si>
  <si>
    <t>NJ0005100</t>
  </si>
  <si>
    <t>LA0005738</t>
  </si>
  <si>
    <t>MISSISSIPPI RIVER</t>
  </si>
  <si>
    <t>CA0078891</t>
  </si>
  <si>
    <t>SACRAMENTO RIVER</t>
  </si>
  <si>
    <t>AZ0024911</t>
  </si>
  <si>
    <t>LA0038245</t>
  </si>
  <si>
    <t>AR0037800</t>
  </si>
  <si>
    <t>BOGGY CR,BU DE LOUTRE,OUACHITA RB</t>
  </si>
  <si>
    <t>CA0085235</t>
  </si>
  <si>
    <t>DIVERSION CHANNEL TO LITTLE DRY CREEK, FANCHER CREEK</t>
  </si>
  <si>
    <t>NV0021067</t>
  </si>
  <si>
    <t>TRUCKEE RIVER VIA CITY OF RENO STORM DRAIN SYSTEM</t>
  </si>
  <si>
    <t>CA0078999</t>
  </si>
  <si>
    <t>UNNAMED TRIBUTARY TO POWELL SLOUGH</t>
  </si>
  <si>
    <t>WV0000787</t>
  </si>
  <si>
    <t>OHIO RIVER</t>
  </si>
  <si>
    <t>CA0063509</t>
  </si>
  <si>
    <t>COYOTE CREEK</t>
  </si>
  <si>
    <t>NC0089656</t>
  </si>
  <si>
    <t>IRWIN CREEK</t>
  </si>
  <si>
    <t>MI0000868</t>
  </si>
  <si>
    <t>TITTABAWASEE RIVER, TITTABAWASSEE RIVER</t>
  </si>
  <si>
    <t>NJ0004952</t>
  </si>
  <si>
    <t>DELAWARE RIVER ZONE 1D</t>
  </si>
  <si>
    <t>LA0000761</t>
  </si>
  <si>
    <t>BAYOU D'INDE &amp; BAYOU VERDINE</t>
  </si>
  <si>
    <t>NY0001643</t>
  </si>
  <si>
    <t>GENESEE R</t>
  </si>
  <si>
    <t>MO0002411</t>
  </si>
  <si>
    <t>TRIBUTARY TO SHORT CREEK, TRIBUTARY TO TURKEY CREEK TRIBUTARY</t>
  </si>
  <si>
    <t>CA7000004</t>
  </si>
  <si>
    <t>CENTRAL MAIN DRAIN NO. 5, CENTRAL MAIN DRAIN NO.5</t>
  </si>
  <si>
    <t>WV0051560</t>
  </si>
  <si>
    <t>TX0131768</t>
  </si>
  <si>
    <t>HOUSTON SHIP CHANNEL</t>
  </si>
  <si>
    <t>TX0119792</t>
  </si>
  <si>
    <t>UNNAMED DITCH, SAN JACINTO BAY</t>
  </si>
  <si>
    <t>LA0004090</t>
  </si>
  <si>
    <t>IN0002861</t>
  </si>
  <si>
    <t>WABASH RIVER</t>
  </si>
  <si>
    <t>NY0267724</t>
  </si>
  <si>
    <t>NEWTOWN CK, NEWTOWN CREEK</t>
  </si>
  <si>
    <t>NJG218316</t>
  </si>
  <si>
    <t>PASSAIC RIVER</t>
  </si>
  <si>
    <t>DE0000612</t>
  </si>
  <si>
    <t>TX0085570</t>
  </si>
  <si>
    <t>LAVACA BAY/CHOCOLATE BAY, COX CREEK</t>
  </si>
  <si>
    <t>LA0006149</t>
  </si>
  <si>
    <t>MONTE SANTO BAYOU DIVERTED TO MISS</t>
  </si>
  <si>
    <t>MA0003905</t>
  </si>
  <si>
    <t>SAUGUS RIVER</t>
  </si>
  <si>
    <t>PA0043672</t>
  </si>
  <si>
    <t>PINE RUN</t>
  </si>
  <si>
    <t>MI0001911</t>
  </si>
  <si>
    <t>MANN CREEK</t>
  </si>
  <si>
    <t>NJ0024686</t>
  </si>
  <si>
    <t>DELAWARE RIVER, DELAWARE RIVER ZONE 4</t>
  </si>
  <si>
    <t>LA0115606</t>
  </si>
  <si>
    <t>LA0056600</t>
  </si>
  <si>
    <t>MD0071790</t>
  </si>
  <si>
    <t>ROCK CREEK</t>
  </si>
  <si>
    <t>VAG830536</t>
  </si>
  <si>
    <t>ACCOTINK CREEK</t>
  </si>
  <si>
    <t>LA0000329</t>
  </si>
  <si>
    <t>LA0006181</t>
  </si>
  <si>
    <t>MISSISSIPPI R &amp; B BRAUD-BLIND R</t>
  </si>
  <si>
    <t>TX0007072</t>
  </si>
  <si>
    <t>BRAYS BAYOU, HOUSTON SHIP CHANNEL/BUFFALO BAYOU</t>
  </si>
  <si>
    <t>TX0005592</t>
  </si>
  <si>
    <t>WEST FORK CRYSTAL CK;W FORT SAN JACINTO RV, WEST FORK CRYSTAL CREEK</t>
  </si>
  <si>
    <t>WV0002496</t>
  </si>
  <si>
    <t>NJG231002</t>
  </si>
  <si>
    <t>KILL VAN KULL</t>
  </si>
  <si>
    <t>LA0069850</t>
  </si>
  <si>
    <t>BAYOU D'INDE</t>
  </si>
  <si>
    <t>TX0072168</t>
  </si>
  <si>
    <t>RAILSIDE DITCH; C-I-J DITCH; C-I DI</t>
  </si>
  <si>
    <t>NJ0000019</t>
  </si>
  <si>
    <t>ARTHUR KILL</t>
  </si>
  <si>
    <t>CA0048127</t>
  </si>
  <si>
    <t>SAN MIGUELITO CREEK</t>
  </si>
  <si>
    <t>CA0085332</t>
  </si>
  <si>
    <t>HUMBUG CREEK</t>
  </si>
  <si>
    <t>RIG85G035</t>
  </si>
  <si>
    <t>PROVIDENCE RIVER</t>
  </si>
  <si>
    <t>NJ0002348</t>
  </si>
  <si>
    <t>KINGS CREEK</t>
  </si>
  <si>
    <t>NJ0004286</t>
  </si>
  <si>
    <t>TX0085979</t>
  </si>
  <si>
    <t>CAPENTERS BAYOU BARGE CANAL, HOUSTO</t>
  </si>
  <si>
    <t>WV0000094</t>
  </si>
  <si>
    <t>OHIO RIVER, SUGAR CAMP RUN OF OHIO RIVER</t>
  </si>
  <si>
    <t>LA0038890</t>
  </si>
  <si>
    <t>NY0003336</t>
  </si>
  <si>
    <t>NIAGARA R</t>
  </si>
  <si>
    <t>TX0104876</t>
  </si>
  <si>
    <t>SUBMERGED PIPELINE INTO LA QUINTA C, VIA PIPE INTO LA QUINTA CHANNE</t>
  </si>
  <si>
    <t>LA0002933</t>
  </si>
  <si>
    <t>TX0007412</t>
  </si>
  <si>
    <t>PATRICK BAYOU, HOUSTON SHIP CHANNEL</t>
  </si>
  <si>
    <t>NJG156922</t>
  </si>
  <si>
    <t>ROYCE BROOK</t>
  </si>
  <si>
    <t>CT0001341</t>
  </si>
  <si>
    <t>QUINNIPIAC RIVER</t>
  </si>
  <si>
    <t>TX0113484</t>
  </si>
  <si>
    <t>UNNAMED TRIB OF ROCK CK;BRAZOS RV BELOW POSSUM KIN, UNNAMED TRIBUTARY OF ROCK CREEK</t>
  </si>
  <si>
    <t>LA0003026</t>
  </si>
  <si>
    <t>CALCASIEU RIVER, CALCASIEU RVR &amp; BAYOU VERDINE</t>
  </si>
  <si>
    <t>KY0103357</t>
  </si>
  <si>
    <t>SILVER CRK</t>
  </si>
  <si>
    <t>CA0047961</t>
  </si>
  <si>
    <t>PACIFIC OCEAN</t>
  </si>
  <si>
    <t>CA0107336</t>
  </si>
  <si>
    <t>MISSION BAY</t>
  </si>
  <si>
    <t>TX0087254</t>
  </si>
  <si>
    <t>DRAIN DITCH TO BURNETT BAY, HCFCD G101-00-00;FRESHWATER BAYOU TIDAL</t>
  </si>
  <si>
    <t>WV0004740</t>
  </si>
  <si>
    <t>MONONGAHELA RIVER, MONONGALIA RIVER</t>
  </si>
  <si>
    <t>WV0116181</t>
  </si>
  <si>
    <t>NJ0005185</t>
  </si>
  <si>
    <t>DELAWARE RIVER (ZONE 4)</t>
  </si>
  <si>
    <t>KY0111309</t>
  </si>
  <si>
    <t>MUDDY CRK</t>
  </si>
  <si>
    <t>IL0002453</t>
  </si>
  <si>
    <t>CEDAR CREEK, CEDAR CREEK; DES PLAINES RIVER</t>
  </si>
  <si>
    <t>IL0001619</t>
  </si>
  <si>
    <t>DES PLAINES RIVER</t>
  </si>
  <si>
    <t>TX0126322</t>
  </si>
  <si>
    <t>TX0007421</t>
  </si>
  <si>
    <t>PHILLIPS DRAINAGE DITCH; SANTA ANNA, PHILLIPS DRAINAGE DITCH; SANTA ANNA BAYOU</t>
  </si>
  <si>
    <t>GA0000426</t>
  </si>
  <si>
    <t>CONASAUGA RIVER</t>
  </si>
  <si>
    <t>NV0023060</t>
  </si>
  <si>
    <t>LAS VEGAS WASH, MONITORING</t>
  </si>
  <si>
    <t>NC0085928</t>
  </si>
  <si>
    <t>CATAWBA RIVER (LAKE WYLIE BELOW ELEVATION 570)</t>
  </si>
  <si>
    <t>NV0022888</t>
  </si>
  <si>
    <t>LAS VEGAS WASH VIA CLARK COUNTY STORM DRAIN SYSTEM</t>
  </si>
  <si>
    <t>LA0124583</t>
  </si>
  <si>
    <t>TX0052591</t>
  </si>
  <si>
    <t>SEG 1007 HOUSTON SHIP CHANNEL</t>
  </si>
  <si>
    <t>LA0000281</t>
  </si>
  <si>
    <t>KY0003484</t>
  </si>
  <si>
    <t>OUTFALL 001, TENNESSEE RIVER, UT TO TENNESSEE RIVER</t>
  </si>
  <si>
    <t>MO0135763</t>
  </si>
  <si>
    <t>TRIBUTARY TO BAY DE CHARLES</t>
  </si>
  <si>
    <t>23RD AVENUE WASTEWATER TREATMENT PLANT</t>
  </si>
  <si>
    <t>PHOENIX</t>
  </si>
  <si>
    <t>AGUA NUEVA WRF</t>
  </si>
  <si>
    <t>TUCSON</t>
  </si>
  <si>
    <t>AKER  PHILA SHIPYARD</t>
  </si>
  <si>
    <t>PHILADELPHIA</t>
  </si>
  <si>
    <t>ALEXANDRIA BUS DEPOT</t>
  </si>
  <si>
    <t>ALEXANDRIA</t>
  </si>
  <si>
    <t>AMERICAN PHYSICAL THERAPY ASSOCIATION</t>
  </si>
  <si>
    <t>ANTHEM WATER CAMPUS WWTP</t>
  </si>
  <si>
    <t>APACHE JUNCTION WWTP</t>
  </si>
  <si>
    <t>APACHE JUNCTION</t>
  </si>
  <si>
    <t>ARCHROMA US INC MARTIN PLANT</t>
  </si>
  <si>
    <t>MARTIN</t>
  </si>
  <si>
    <t>ARCLIN RESINS</t>
  </si>
  <si>
    <t>DODSON</t>
  </si>
  <si>
    <t>ARNOLD ENGINEERING DEVELOPMENT CENTER (AEDC)</t>
  </si>
  <si>
    <t>ARNOLD AFB</t>
  </si>
  <si>
    <t>TN</t>
  </si>
  <si>
    <t>AUBURN WWTP</t>
  </si>
  <si>
    <t>AUBURN</t>
  </si>
  <si>
    <t>AVONDALE WWTP</t>
  </si>
  <si>
    <t>AVONDALE</t>
  </si>
  <si>
    <t>BAE SYSTEMS ORDNANCE SYSTEMS INC.</t>
  </si>
  <si>
    <t>KINGSPORT</t>
  </si>
  <si>
    <t>BAKELITE SYNTHETICS</t>
  </si>
  <si>
    <t>LOUISVILLE</t>
  </si>
  <si>
    <t>BALMAR, LLC</t>
  </si>
  <si>
    <t>BARGE CLEANING AND REPAIR</t>
  </si>
  <si>
    <t>CHANNELVIEW</t>
  </si>
  <si>
    <t>BASF CORPORATION</t>
  </si>
  <si>
    <t>WEST MEMPHIS</t>
  </si>
  <si>
    <t>BATH COUNTY INDUSTRIAL PARK</t>
  </si>
  <si>
    <t>OWINGSVILLE</t>
  </si>
  <si>
    <t>BAYTOWN OLEFINS PLANT</t>
  </si>
  <si>
    <t>BEAUMONT WWTF</t>
  </si>
  <si>
    <t>BEEDE ELECTRICAL INSTRUMENT CO INC</t>
  </si>
  <si>
    <t>CONCORD</t>
  </si>
  <si>
    <t>NH</t>
  </si>
  <si>
    <t>BENTON STP</t>
  </si>
  <si>
    <t>BENTON</t>
  </si>
  <si>
    <t>BERCEN CHEMICALS LLC</t>
  </si>
  <si>
    <t>DENHAM SPRINGS</t>
  </si>
  <si>
    <t>BEREA MUNICIPAL UTILITIES WWTP</t>
  </si>
  <si>
    <t>BIO-LAB, INC., A CHEMTURA COMPANY</t>
  </si>
  <si>
    <t>BOEING COMPANY PORTLAND</t>
  </si>
  <si>
    <t>PORTLAND</t>
  </si>
  <si>
    <t>OR</t>
  </si>
  <si>
    <t>BOEING GWETS (GET H-B, SGSA GET, ADMIN GET)</t>
  </si>
  <si>
    <t>RANCHO CORDOVA</t>
  </si>
  <si>
    <t>BP WEST COAST PRODUCTS, LLC/CARSON TERMI</t>
  </si>
  <si>
    <t>CARSON</t>
  </si>
  <si>
    <t>BROWNING FERRIS INDUSTRIES KC</t>
  </si>
  <si>
    <t>LIBERTY</t>
  </si>
  <si>
    <t>BROWNING-FERRIS INDUSTRIES OF CA INC</t>
  </si>
  <si>
    <t>HALF MOON BAY</t>
  </si>
  <si>
    <t>BULL HN INFORMATION SYSTEMS INC</t>
  </si>
  <si>
    <t>BRIGHTON</t>
  </si>
  <si>
    <t>BURKESVILLE WWTP</t>
  </si>
  <si>
    <t>BURKESVILLE</t>
  </si>
  <si>
    <t>CAESAR'S PALACE (257)</t>
  </si>
  <si>
    <t>CALEXICO WASTE WATER PLANT</t>
  </si>
  <si>
    <t>CALEXICO</t>
  </si>
  <si>
    <t>CALIPATRIA WWTP</t>
  </si>
  <si>
    <t>CALIPATRIA</t>
  </si>
  <si>
    <t>CALUMET MISSOURI, LLC</t>
  </si>
  <si>
    <t>LOUISIANA</t>
  </si>
  <si>
    <t>CAMPBELLSVILLE STP</t>
  </si>
  <si>
    <t>CAMPBELLSVILLE</t>
  </si>
  <si>
    <t>CAROUSEL CENTER</t>
  </si>
  <si>
    <t>SYRACUSE</t>
  </si>
  <si>
    <t>CARROLLTON REGIONAL WWTP</t>
  </si>
  <si>
    <t>CARROLLTON</t>
  </si>
  <si>
    <t>CASA GRANDE WRF</t>
  </si>
  <si>
    <t>CASA GRANDE</t>
  </si>
  <si>
    <t>CECOS INTERNATIONAL INC</t>
  </si>
  <si>
    <t>CEDAR CREEK WWTP</t>
  </si>
  <si>
    <t>CENTRAL CITY STP</t>
  </si>
  <si>
    <t>CENTRAL CITY</t>
  </si>
  <si>
    <t>CHEMOURS - EDGE MOOR PLANT</t>
  </si>
  <si>
    <t>WILMINGTON</t>
  </si>
  <si>
    <t>CHEMTOOL</t>
  </si>
  <si>
    <t>ROCKTON</t>
  </si>
  <si>
    <t>CHEM-TREND LP-GRAND RIVER</t>
  </si>
  <si>
    <t>HOWELL</t>
  </si>
  <si>
    <t>CHINLE WWTF</t>
  </si>
  <si>
    <t>CHINLE</t>
  </si>
  <si>
    <t>CITY OF GREAT FALLS WWTP</t>
  </si>
  <si>
    <t>GREAT FALLS</t>
  </si>
  <si>
    <t>MT</t>
  </si>
  <si>
    <t>CITY OF MESA - GREENFIELD WATER RECLAMATION PLANT</t>
  </si>
  <si>
    <t>GILBERT</t>
  </si>
  <si>
    <t>CITY OF PEORIA</t>
  </si>
  <si>
    <t>PEORIA</t>
  </si>
  <si>
    <t>CITY OF PHOENIX - RIO SALADO HABITAT RESTORATION</t>
  </si>
  <si>
    <t>CITY OF SHOW LOW - MAIN WWTP</t>
  </si>
  <si>
    <t>SHOW LOW</t>
  </si>
  <si>
    <t>CITY OF SOMERTON - WWTP</t>
  </si>
  <si>
    <t>SOMERTON</t>
  </si>
  <si>
    <t>CLARK COUNTY REGIONAL JUSTICE CENTER</t>
  </si>
  <si>
    <t>CLAUDE 'BUD' LEWIS CARLSBAD DESALINATION PLANT</t>
  </si>
  <si>
    <t>CARLSBAD</t>
  </si>
  <si>
    <t>CLEAN CORP</t>
  </si>
  <si>
    <t>NATICK</t>
  </si>
  <si>
    <t>COLUMBIA/ADAIR COUNTY STP</t>
  </si>
  <si>
    <t>COLUMBIA</t>
  </si>
  <si>
    <t>CONTINENTAL CEMENT CO LLC</t>
  </si>
  <si>
    <t>HANNIBAL</t>
  </si>
  <si>
    <t>CO-OPERATIVE IND</t>
  </si>
  <si>
    <t>CHESTER</t>
  </si>
  <si>
    <t>CORNING WASTEWATER TREATMENT PLANT</t>
  </si>
  <si>
    <t>CORNING</t>
  </si>
  <si>
    <t>COTTONWOOD WWTF</t>
  </si>
  <si>
    <t>COTTONWOOD</t>
  </si>
  <si>
    <t>CTP DIV NELSON ST</t>
  </si>
  <si>
    <t>INDIANAPOLIS</t>
  </si>
  <si>
    <t>DEER CREEK WWTP</t>
  </si>
  <si>
    <t>CAMERON PARK</t>
  </si>
  <si>
    <t>DELAWARE RIVER PLANT</t>
  </si>
  <si>
    <t>DELRAN SEWERAGE AUTHORITY</t>
  </si>
  <si>
    <t>DELRAN</t>
  </si>
  <si>
    <t>DEREK R GUTHRIE WQTC MSD</t>
  </si>
  <si>
    <t>DIXON FESSLER USA</t>
  </si>
  <si>
    <t>DEER LAKE</t>
  </si>
  <si>
    <t>DONNER SUMMIT WWTF</t>
  </si>
  <si>
    <t>SODA SPRINGS</t>
  </si>
  <si>
    <t>EASTERN REGIONAL STP</t>
  </si>
  <si>
    <t>EASTMAN CHEMICAL COMPANY</t>
  </si>
  <si>
    <t>EDDYVILLE STP</t>
  </si>
  <si>
    <t>EDDYVILLE</t>
  </si>
  <si>
    <t>EL DORADO HILLS WWTP</t>
  </si>
  <si>
    <t>EL DORADO HILLS</t>
  </si>
  <si>
    <t>EL ESTERO WWTP</t>
  </si>
  <si>
    <t>SANTA BARBARA</t>
  </si>
  <si>
    <t>ELM HOLDINGS INC</t>
  </si>
  <si>
    <t>SANBORN</t>
  </si>
  <si>
    <t>EMERSON POWER TRANS CORP</t>
  </si>
  <si>
    <t>MAYSVILLE</t>
  </si>
  <si>
    <t>ENGLISH LEASE, BOUNDARY BUTTE</t>
  </si>
  <si>
    <t>SAN JUAN COUNTY</t>
  </si>
  <si>
    <t>UT</t>
  </si>
  <si>
    <t>EQUISTAR CHEMICALS LP</t>
  </si>
  <si>
    <t>MORRIS</t>
  </si>
  <si>
    <t>EQUISTAR CHEMICALS LP - LAKE CHARLES POLYMERS SITE</t>
  </si>
  <si>
    <t>EQUISTAR CHEMICALS LP TUSCOLA PLANT</t>
  </si>
  <si>
    <t>TUSCOLA</t>
  </si>
  <si>
    <t>EVONIK CORP</t>
  </si>
  <si>
    <t>ELIZABETH CITY</t>
  </si>
  <si>
    <t>FIRMENICH INCORPORATED</t>
  </si>
  <si>
    <t>PLAINSBORO</t>
  </si>
  <si>
    <t>FISHER SCIENTIFIC CO LLC</t>
  </si>
  <si>
    <t>FAIR LAWN</t>
  </si>
  <si>
    <t>FLEMINGSBURG STP</t>
  </si>
  <si>
    <t>FLEMINGSBURG</t>
  </si>
  <si>
    <t>FLOYDS FORK WQTC MSD</t>
  </si>
  <si>
    <t>FMC</t>
  </si>
  <si>
    <t>MIDDLEPORT</t>
  </si>
  <si>
    <t>FOREST LAWN LANDFILL</t>
  </si>
  <si>
    <t>THREE OAKS</t>
  </si>
  <si>
    <t>FORMER NUODEX CORP FACILITY</t>
  </si>
  <si>
    <t>WOODBRIDGE TWP</t>
  </si>
  <si>
    <t>FORMER WESTINGHOUSE ELEVATOR PLT</t>
  </si>
  <si>
    <t>GETTYSBURG</t>
  </si>
  <si>
    <t>FOUNDERS ROW</t>
  </si>
  <si>
    <t>FALLS CHURCH</t>
  </si>
  <si>
    <t>FOUNDRY 2 ST</t>
  </si>
  <si>
    <t>LOVELAND</t>
  </si>
  <si>
    <t>CO</t>
  </si>
  <si>
    <t>FREEPORT-MCMORAN PRODUCED WRF</t>
  </si>
  <si>
    <t>ARROYO GRANDE</t>
  </si>
  <si>
    <t>FREESCALE SEMICONDUCTOR INC</t>
  </si>
  <si>
    <t>FREUDENBERG NOK GNRL PRTNRSHP</t>
  </si>
  <si>
    <t>BRISTOL</t>
  </si>
  <si>
    <t>FUTUREFUEL CHEMICAL COMPANY</t>
  </si>
  <si>
    <t>BATESVILLE</t>
  </si>
  <si>
    <t>GAST MFG CORP</t>
  </si>
  <si>
    <t>BENTON HARBOR</t>
  </si>
  <si>
    <t>GLASGOW STP</t>
  </si>
  <si>
    <t>GLASGOW</t>
  </si>
  <si>
    <t>GOODYEAR, CITY OF - 157TH AVE WWTP</t>
  </si>
  <si>
    <t>GOODYEAR</t>
  </si>
  <si>
    <t>GREEN LINE EXTENSION PROJECT</t>
  </si>
  <si>
    <t>SOMERVILLE</t>
  </si>
  <si>
    <t>GREENUP JOINT SEWER AGENCY</t>
  </si>
  <si>
    <t>WURTLAND</t>
  </si>
  <si>
    <t>GROWS LDFL WASTE MGMT</t>
  </si>
  <si>
    <t>MORRISVILLE</t>
  </si>
  <si>
    <t>GUTHRIE STP</t>
  </si>
  <si>
    <t>GUTHRIE</t>
  </si>
  <si>
    <t>HAMILTON TWP DEPT WATER POLLUTION CONTROL</t>
  </si>
  <si>
    <t>HAMILTON</t>
  </si>
  <si>
    <t>HANCOCKS BRIDGE STP</t>
  </si>
  <si>
    <t>HANCOCKS BRIDGE</t>
  </si>
  <si>
    <t>HANGTOWN CREEK WWTP</t>
  </si>
  <si>
    <t>PLACERVILLE</t>
  </si>
  <si>
    <t>HARRAH'S NORTHERN CALIFORNIA WWTP</t>
  </si>
  <si>
    <t>IONE</t>
  </si>
  <si>
    <t>HARRODSBURG WWTP EXPANSION</t>
  </si>
  <si>
    <t>HARRODSBURG</t>
  </si>
  <si>
    <t>HB FULLER CO</t>
  </si>
  <si>
    <t>HERCULES GIBBSTOWN GROUNDWATER TREATMENT SITE</t>
  </si>
  <si>
    <t>GREENWICH TWP</t>
  </si>
  <si>
    <t>HITE CREEK WQTC MSD</t>
  </si>
  <si>
    <t>HOFFMAN TOWN CENTRE BLOCKS 4 AND 5</t>
  </si>
  <si>
    <t>HOLMAN RMP ENTERPRISES</t>
  </si>
  <si>
    <t>PENNSAUKEN</t>
  </si>
  <si>
    <t>HONEYWELL INTERNATIONAL INC</t>
  </si>
  <si>
    <t>MORRISTOWN TOWN</t>
  </si>
  <si>
    <t>HONOULIULI WWTP</t>
  </si>
  <si>
    <t>EWA BEACH</t>
  </si>
  <si>
    <t>HI</t>
  </si>
  <si>
    <t>HOPKINSVILLE HAMMOND WOOD STP</t>
  </si>
  <si>
    <t>HOPKINSVILLE</t>
  </si>
  <si>
    <t>HOWARD CO ALFA RIDGE LANDFILL</t>
  </si>
  <si>
    <t>MARRIOTTSVILLE</t>
  </si>
  <si>
    <t>HUGHES CENTER</t>
  </si>
  <si>
    <t>HVEC/BELLOFRAM</t>
  </si>
  <si>
    <t>BURLINGTON</t>
  </si>
  <si>
    <t>I3 ELECTRONICS INC</t>
  </si>
  <si>
    <t>ENDICOTT</t>
  </si>
  <si>
    <t>IMTT-ILLINOIS LLC</t>
  </si>
  <si>
    <t>LEMONT</t>
  </si>
  <si>
    <t>INEOS NITRILES POINT COMFORT</t>
  </si>
  <si>
    <t>INO THERAPEUTICS</t>
  </si>
  <si>
    <t>INSTITUTE FOR DEFENSE ANALYSES POTOMAC YARD</t>
  </si>
  <si>
    <t>INV PERFORMANCE MATERIALS, LLC</t>
  </si>
  <si>
    <t>SEAFORD</t>
  </si>
  <si>
    <t>IRVINE STP</t>
  </si>
  <si>
    <t>IRVINE</t>
  </si>
  <si>
    <t>IRVIN'S CORP DBA IRVIN'S TINWARE</t>
  </si>
  <si>
    <t>MOUNT PLEASANT MILLS</t>
  </si>
  <si>
    <t>ISP CHEMICALS LLC -- CALVERT CITY</t>
  </si>
  <si>
    <t>JASPER COLUMBIA PIKE</t>
  </si>
  <si>
    <t>JERRY L RILEY STP</t>
  </si>
  <si>
    <t>BARDSTOWN</t>
  </si>
  <si>
    <t>KAILUA REGIONAL WASTEWATER TREATMENT PLANT</t>
  </si>
  <si>
    <t>KAILUA</t>
  </si>
  <si>
    <t>KAYENTA WWTF</t>
  </si>
  <si>
    <t>KAYENTA</t>
  </si>
  <si>
    <t>KENTUCKY AMERICAN WATER CO - NORTHERN STP</t>
  </si>
  <si>
    <t>OWENTON</t>
  </si>
  <si>
    <t>KEYSTONE POWER PLANT</t>
  </si>
  <si>
    <t>SHELOCTA</t>
  </si>
  <si>
    <t>KINGMAN, CITY OF - HILLTOP WWTP</t>
  </si>
  <si>
    <t>KINGMAN</t>
  </si>
  <si>
    <t>KY STATE REFORMATORY</t>
  </si>
  <si>
    <t>LA GRANGE</t>
  </si>
  <si>
    <t>LACC LLC US - ETHYLENE &amp; DERIVATIVES PLANT</t>
  </si>
  <si>
    <t>LAKE CHARLES CHEMICAL COMPLEX</t>
  </si>
  <si>
    <t>LAS VEGAS ACADEMY</t>
  </si>
  <si>
    <t>LAS VEGAS CONVENTION AND VISITORS AUTHORITY REMEDIATION SYSTEM</t>
  </si>
  <si>
    <t>LOCKHEED MARTIN - WATERTON PLANT USAF PJ</t>
  </si>
  <si>
    <t>LITTLETON</t>
  </si>
  <si>
    <t>LONDON STP</t>
  </si>
  <si>
    <t>LONDON</t>
  </si>
  <si>
    <t>LOWE'S HOME CENTER</t>
  </si>
  <si>
    <t>EATONTOWN BORO</t>
  </si>
  <si>
    <t>MADISONVILLE STP WEST SIDE</t>
  </si>
  <si>
    <t>MADISONVILLE</t>
  </si>
  <si>
    <t>MAFCO WORLDWIDE CORP</t>
  </si>
  <si>
    <t>CAMDEN</t>
  </si>
  <si>
    <t>MANCHESTER STP</t>
  </si>
  <si>
    <t>MANCHESTER</t>
  </si>
  <si>
    <t>MARYLAND VILLAS APARTMENT COMPLEX</t>
  </si>
  <si>
    <t>MAYSVILLE STP</t>
  </si>
  <si>
    <t>MCCARRAN INTERNATIONAL AIRPORT</t>
  </si>
  <si>
    <t>MCDONALD FARMS ENTERPRISES INC</t>
  </si>
  <si>
    <t>DENVER</t>
  </si>
  <si>
    <t>MCMILLEN JACOBS ASSOCIATES - ESTHER SIMPLOT PARK</t>
  </si>
  <si>
    <t>MEMC ELECTRONIC MATERIALS INCORPORATED</t>
  </si>
  <si>
    <t>MOORE</t>
  </si>
  <si>
    <t>METRO VIRGINIA OFFICE BUILDING</t>
  </si>
  <si>
    <t>METROPOLITAN PARK 678</t>
  </si>
  <si>
    <t>METTON AMERICA LA PORTE PLANT</t>
  </si>
  <si>
    <t>MONARCH CHEMICALS</t>
  </si>
  <si>
    <t>UTICA</t>
  </si>
  <si>
    <t>MOREHEAD WWTP</t>
  </si>
  <si>
    <t>MOREHEAD</t>
  </si>
  <si>
    <t>MORGANFIELD WWTP</t>
  </si>
  <si>
    <t>MORGANFIELD</t>
  </si>
  <si>
    <t>MOUNT LAUREL TWP MUA CHURCH STREET BOOSTER STATION</t>
  </si>
  <si>
    <t>MOUNT LAUREL</t>
  </si>
  <si>
    <t>MOUNT STERLING HINKSTON CREEK STP</t>
  </si>
  <si>
    <t>MT STERLING</t>
  </si>
  <si>
    <t>MOUNTAIN HOUSE WWTP</t>
  </si>
  <si>
    <t>MOUNTAIN HOUSE</t>
  </si>
  <si>
    <t>NAVAJO TOWNSITE WWTF</t>
  </si>
  <si>
    <t>NAVAJO</t>
  </si>
  <si>
    <t>NM</t>
  </si>
  <si>
    <t>NAVAL AUX. LANDING FIELD - SAN CLEMENTE ISLAND</t>
  </si>
  <si>
    <t>SAN CLEMENTE</t>
  </si>
  <si>
    <t>NAVY PUBLIC WORKS CENTER</t>
  </si>
  <si>
    <t>PEARL HARBOR</t>
  </si>
  <si>
    <t>NEEWC SEAWATER DESALINATION TEST FACILITY</t>
  </si>
  <si>
    <t>PORT HUENEME</t>
  </si>
  <si>
    <t>NEVADA CITY WASTEWATER TREATMENT PLANT</t>
  </si>
  <si>
    <t>NILAND SD WWTP</t>
  </si>
  <si>
    <t>NILAND</t>
  </si>
  <si>
    <t>NOGALES INTERNATIONAL WASTEWATER TREATMENT PLANT</t>
  </si>
  <si>
    <t>RIO RICO</t>
  </si>
  <si>
    <t>NORTHEAST WPCP</t>
  </si>
  <si>
    <t>NORTHERN KY SANITATION DISTRICT 1 DRY CREEK WWTP</t>
  </si>
  <si>
    <t>ERLANGER</t>
  </si>
  <si>
    <t>NORTHERN MADISON COUNTY SANITATION DISTRICT</t>
  </si>
  <si>
    <t>RICHMOND</t>
  </si>
  <si>
    <t>NOVA CHEMICALS INCORPORATED</t>
  </si>
  <si>
    <t>MONACA</t>
  </si>
  <si>
    <t>OHIO RIVER WWTP</t>
  </si>
  <si>
    <t>GOSHEN</t>
  </si>
  <si>
    <t>OTTAWA CRC-SW COUNTY LF GWCU</t>
  </si>
  <si>
    <t>HOLLAND</t>
  </si>
  <si>
    <t>OWENSBORO EAST WWTP</t>
  </si>
  <si>
    <t>OWENSBORO</t>
  </si>
  <si>
    <t>OWENSBORO SPECIALTY POLYMERS</t>
  </si>
  <si>
    <t>OXNARD WASTEWATER TREATMENT PLANT (OWTP)</t>
  </si>
  <si>
    <t>OXNARD</t>
  </si>
  <si>
    <t>PADUCAH/MCCRACKEN COUNTY JSA - REIDLAND</t>
  </si>
  <si>
    <t>REIDLAND</t>
  </si>
  <si>
    <t>PALO VERDE UTILITIES CO - WRF</t>
  </si>
  <si>
    <t>MARICOPA</t>
  </si>
  <si>
    <t>PALOMAR ENERGY</t>
  </si>
  <si>
    <t>ESCONDIDO</t>
  </si>
  <si>
    <t>PARIS STP</t>
  </si>
  <si>
    <t>PARIS</t>
  </si>
  <si>
    <t>PEARL HARBOR NAVAL SHIPYARD &amp; INTERMEDIATE MAINTENANCE FACILITY</t>
  </si>
  <si>
    <t>HONOLULU</t>
  </si>
  <si>
    <t>PETRO STOPPING CENTER</t>
  </si>
  <si>
    <t>PHILA WATER DEPT - SE STP</t>
  </si>
  <si>
    <t>PHILADELPHIA SOUTHWEST POTW</t>
  </si>
  <si>
    <t>PHILLIPS 66 BAYWAY REFINERY</t>
  </si>
  <si>
    <t>PHILLIPS 66 LOS ANGELES LUBRICANTS TERMINAL</t>
  </si>
  <si>
    <t>LOS ANGELES</t>
  </si>
  <si>
    <t>PIKEVILLE WWTP</t>
  </si>
  <si>
    <t>PIKEVILLE</t>
  </si>
  <si>
    <t>PIMA COUNTY - INA ROAD WWTP</t>
  </si>
  <si>
    <t>PINON WWTF</t>
  </si>
  <si>
    <t>PINON</t>
  </si>
  <si>
    <t>PORTOLA WWTP</t>
  </si>
  <si>
    <t>PORTOLA</t>
  </si>
  <si>
    <t>POTOMAC YARDS LANDBAY H/I</t>
  </si>
  <si>
    <t>PRAIRIE STATE GENERATING STATION</t>
  </si>
  <si>
    <t>MARISSA</t>
  </si>
  <si>
    <t>QUARTZSITE, TOWN OF - WWTP</t>
  </si>
  <si>
    <t>QUARTZSITE</t>
  </si>
  <si>
    <t>QUEENS COURT</t>
  </si>
  <si>
    <t>RADCLIFF STP</t>
  </si>
  <si>
    <t>RADCLIFF</t>
  </si>
  <si>
    <t>RESORTS WORLD LAS VEGAS</t>
  </si>
  <si>
    <t>RIALTO WASTEWATER TREATMENT PLANT</t>
  </si>
  <si>
    <t>BLOOMINGTON</t>
  </si>
  <si>
    <t>RILLS BUS SERVICE</t>
  </si>
  <si>
    <t>WESTMINSTER</t>
  </si>
  <si>
    <t>RIO DE FLAG WWTP</t>
  </si>
  <si>
    <t>FLAGSTAFF</t>
  </si>
  <si>
    <t>ROCKINGHAM COUNTY LANDFILL</t>
  </si>
  <si>
    <t>HARRISONBURG</t>
  </si>
  <si>
    <t>ROHM &amp; HAAS BRISTOL FACILITY</t>
  </si>
  <si>
    <t>CROYDON</t>
  </si>
  <si>
    <t>RUSSELL COUNTY REGIONAL STP</t>
  </si>
  <si>
    <t>JAMESTOWN</t>
  </si>
  <si>
    <t>RUSSELLVILLE STP</t>
  </si>
  <si>
    <t>RWRA MAX RHOADS WWTP</t>
  </si>
  <si>
    <t>SABIC INNOVATIVE PLASTICS</t>
  </si>
  <si>
    <t>SELKIRK</t>
  </si>
  <si>
    <t>SABIC INNOVATIVE PLASTICS MT. VERNON, LLC</t>
  </si>
  <si>
    <t>MOUNT VERNON</t>
  </si>
  <si>
    <t>SACRAMENTO COUNTY LANDFILL (KIEFER)</t>
  </si>
  <si>
    <t>SLOUGHHOUSE</t>
  </si>
  <si>
    <t>SAN JOSE WWTF</t>
  </si>
  <si>
    <t>BISBEE</t>
  </si>
  <si>
    <t>SAND ISLAND WWTP</t>
  </si>
  <si>
    <t>SANOFI PASTEUR/SWIFTWATER FAC</t>
  </si>
  <si>
    <t>SWIFTWATER</t>
  </si>
  <si>
    <t>SANTA CRUZ WASTEWATER TREATMENT PLANT</t>
  </si>
  <si>
    <t>SANTA CRUZ</t>
  </si>
  <si>
    <t>SANTA ROSA WATER - LAGUNA TREATMENT PLANT</t>
  </si>
  <si>
    <t>SANTA ROSA</t>
  </si>
  <si>
    <t>SASOL CHEM USA LLC/OIL CITY</t>
  </si>
  <si>
    <t>OIL CITY</t>
  </si>
  <si>
    <t>SCHOOLHOUSE JOINT VENTURE</t>
  </si>
  <si>
    <t>MILLBURN TWP</t>
  </si>
  <si>
    <t>SFIA, MEL LEONG SANITARY AND INDUSTRIAL TREATMENT PLANTS</t>
  </si>
  <si>
    <t>SAN FRANCISCO</t>
  </si>
  <si>
    <t>SHELTER COVE WWTF</t>
  </si>
  <si>
    <t>WHITETHORN</t>
  </si>
  <si>
    <t>SHEPHERDSVILLE STP</t>
  </si>
  <si>
    <t>SHEPHERDSVILLE</t>
  </si>
  <si>
    <t>SHIPROCK WWTF</t>
  </si>
  <si>
    <t>SHIPROCK</t>
  </si>
  <si>
    <t>SNOHOMISH STP</t>
  </si>
  <si>
    <t>SNOHOMISH</t>
  </si>
  <si>
    <t>WA</t>
  </si>
  <si>
    <t>SOUTH BAY INTERNATIONAL WWTP</t>
  </si>
  <si>
    <t>SOUTH SAN LUIS OBISPO SD WWTP</t>
  </si>
  <si>
    <t>OCEANO</t>
  </si>
  <si>
    <t>SPARKS MARINA DENITRIFICATION FACILITY</t>
  </si>
  <si>
    <t>SPARKS</t>
  </si>
  <si>
    <t>SPEEDYS TRUCK STOP</t>
  </si>
  <si>
    <t>LUPTON</t>
  </si>
  <si>
    <t>STALLION SPRINGS WWTF</t>
  </si>
  <si>
    <t>TEHACHAPI</t>
  </si>
  <si>
    <t>STONE BREWING COMPANY</t>
  </si>
  <si>
    <t>SYNGENTA CROP PROTECTION, LLC. - ST GABRIEL PLANT</t>
  </si>
  <si>
    <t>SAINT GABRIEL</t>
  </si>
  <si>
    <t>SYSCO EASTERN MARYLAND, LLC.</t>
  </si>
  <si>
    <t>POCOMOKE</t>
  </si>
  <si>
    <t>TAMINCO EASTMAN US - ST GABRIEL PLANT</t>
  </si>
  <si>
    <t>TERRIBLE HERBST # 225</t>
  </si>
  <si>
    <t>TEXTRON, INC. - FORMER SILVER COMPANY</t>
  </si>
  <si>
    <t>MANSFIELD</t>
  </si>
  <si>
    <t>TFX AVIATION, INC.</t>
  </si>
  <si>
    <t>NEWBURY PARK</t>
  </si>
  <si>
    <t>THE MARTIN</t>
  </si>
  <si>
    <t>THE NATURE CONSERVANCY</t>
  </si>
  <si>
    <t>THE STIRLING CLUB</t>
  </si>
  <si>
    <t>THE STOP &amp; SHOP SUPERMARKET</t>
  </si>
  <si>
    <t>NEW FAIRFIELD</t>
  </si>
  <si>
    <t>T-MOBILE WAYNE SWITCH SITE</t>
  </si>
  <si>
    <t>TOWN OF GILA BEND - WWTP</t>
  </si>
  <si>
    <t>GILA BEND</t>
  </si>
  <si>
    <t>TOWN OF PRESCOTT VALLEY - WWTP</t>
  </si>
  <si>
    <t>PRESCOTT VALLEY</t>
  </si>
  <si>
    <t>TRIMAC TRANSPORTATION INC - TRIMAC GEISMAR TERMINAL</t>
  </si>
  <si>
    <t>TUBA CITY WWTP</t>
  </si>
  <si>
    <t>TUBA CITY</t>
  </si>
  <si>
    <t>TWIN ARROWS CASINO</t>
  </si>
  <si>
    <t>TYSONS CENTRAL OFFICE BUILDING A</t>
  </si>
  <si>
    <t>TYSONS</t>
  </si>
  <si>
    <t>UNIVAR USA BOISE TOWNE SQUARE MALL</t>
  </si>
  <si>
    <t>UNIVAR USA INC.</t>
  </si>
  <si>
    <t>UNIVAR USA WESTPARK SHOPPING CENTER</t>
  </si>
  <si>
    <t>US ARMY - FORT BELVOIR BUILDING 324</t>
  </si>
  <si>
    <t>FORT BELVOIR</t>
  </si>
  <si>
    <t>US DEPARTMENT OF THE AIR FORCE</t>
  </si>
  <si>
    <t>SAN ANTONIO</t>
  </si>
  <si>
    <t>US DOE ARGONNE NATIONAL LABORATORY</t>
  </si>
  <si>
    <t>ARGONNE</t>
  </si>
  <si>
    <t>US MARINE CORPS BASE HAWAII</t>
  </si>
  <si>
    <t>M C B H KANEOHE BAY</t>
  </si>
  <si>
    <t>VALLEY CREEK WASTEWATER TREATMENT PLANT</t>
  </si>
  <si>
    <t>ELIZABETHTOWN</t>
  </si>
  <si>
    <t>VDOT - I264/64 INTERCHANGE PHASE II (NEWTOWN RD)</t>
  </si>
  <si>
    <t>VIRGINIA BEACH</t>
  </si>
  <si>
    <t>VERONA WELL FIELD RD/RA GROUP</t>
  </si>
  <si>
    <t>BATTLE CREEK</t>
  </si>
  <si>
    <t>VERSAILLES STP</t>
  </si>
  <si>
    <t>VERSAILLES</t>
  </si>
  <si>
    <t>VICTOR VALLEY WASTEWATER RECLAMATION AUTHORITY</t>
  </si>
  <si>
    <t>VICTORVILLE</t>
  </si>
  <si>
    <t>VILLAGE SHOP #4/SINCLAIR STATION</t>
  </si>
  <si>
    <t>VIRGINIA BEACH BLVD FORCE MAIN REPLACEMENT PROJECT</t>
  </si>
  <si>
    <t>VIRGINIA BEACH CITY - E SHORE DR DRAINAGE IMPROVEM</t>
  </si>
  <si>
    <t>VIRIDIS CHEMICAL NE ASSET CO 1, LLC</t>
  </si>
  <si>
    <t>COLUMBUS</t>
  </si>
  <si>
    <t>NE</t>
  </si>
  <si>
    <t>VOPAK TERMINAL LONG BEACH INC</t>
  </si>
  <si>
    <t>SAN PEDRO</t>
  </si>
  <si>
    <t>VOPAK TERMINAL LOS ANGELES</t>
  </si>
  <si>
    <t>WACKER CHEM CORP</t>
  </si>
  <si>
    <t>ADRIAN</t>
  </si>
  <si>
    <t>WAILUA WASTEWATER TREATMENT PLANT</t>
  </si>
  <si>
    <t>KAPAA</t>
  </si>
  <si>
    <t>WARREN COUNTY - SANITARY LANDFILL</t>
  </si>
  <si>
    <t>BENTONVILLE</t>
  </si>
  <si>
    <t>WATSONVILLE WWTF</t>
  </si>
  <si>
    <t>WATSONVILLE</t>
  </si>
  <si>
    <t>WEST COUNTY AGENCY COMMON OUTFALL</t>
  </si>
  <si>
    <t>WEST DEPTFORD ENERGY STATION</t>
  </si>
  <si>
    <t>WESTERN REGIONAL WATER RECLAMATION FACILITY</t>
  </si>
  <si>
    <t>PETERSBURG</t>
  </si>
  <si>
    <t>WILDCAT HILL WWTP</t>
  </si>
  <si>
    <t>WILLIAMSBURG STP</t>
  </si>
  <si>
    <t>WILLIAMSBURG</t>
  </si>
  <si>
    <t>WILLIAMSTOWN/DRY RIDGE WRF</t>
  </si>
  <si>
    <t>WILLIAMSTOWN</t>
  </si>
  <si>
    <t>WINCHESTER MUNICIPAL UTILITIES</t>
  </si>
  <si>
    <t>WINCHESTER</t>
  </si>
  <si>
    <t>WINDOW ROCK WASTEWATER TREATMENT FACILITY</t>
  </si>
  <si>
    <t>FORT DEFIANCE</t>
  </si>
  <si>
    <t>WOODLAND WPCF</t>
  </si>
  <si>
    <t>WOODLAND</t>
  </si>
  <si>
    <t>XEROX JOSEPH C WILSON CTR FOR TECHNOLOGY</t>
  </si>
  <si>
    <t>WEBSTER</t>
  </si>
  <si>
    <t>YUBA CITY WASTEWATER TREATMENT FACILITY</t>
  </si>
  <si>
    <t>YUBA CITY</t>
  </si>
  <si>
    <t>Z BLOCK PROJECT</t>
  </si>
  <si>
    <t>Year</t>
  </si>
  <si>
    <t>First day of year</t>
  </si>
  <si>
    <t>SIC Code</t>
  </si>
  <si>
    <t>SIC Description</t>
  </si>
  <si>
    <t>Indirect or Direct Discharger</t>
  </si>
  <si>
    <t>Annual Discharge (kg/yr)</t>
  </si>
  <si>
    <t>Generic Factor</t>
  </si>
  <si>
    <t>High-End Daily Discharge (kg/day)</t>
  </si>
  <si>
    <t>Days/period</t>
  </si>
  <si>
    <t>Max One-Day</t>
  </si>
  <si>
    <t>NPDES Permit Number</t>
  </si>
  <si>
    <t>Water Body Name</t>
  </si>
  <si>
    <t>Potential Outlier or Data Error marked in ECHO</t>
  </si>
  <si>
    <t>Non-Detect?</t>
  </si>
  <si>
    <t>Facility Type Indicator</t>
  </si>
  <si>
    <t>2470 S 22ND AVE</t>
  </si>
  <si>
    <t>N/A</t>
  </si>
  <si>
    <t>AZ0020559</t>
  </si>
  <si>
    <t>X</t>
  </si>
  <si>
    <t>NON-POTW</t>
  </si>
  <si>
    <t>2947 W CALLE AGUA NUEVA</t>
  </si>
  <si>
    <t>AZ0026107</t>
  </si>
  <si>
    <t>2100 KITTY HAWK AVE</t>
  </si>
  <si>
    <t>PA0057690</t>
  </si>
  <si>
    <t>DELAWARE RIVER, SCHUYLKILL RIVER</t>
  </si>
  <si>
    <t>02040203000001</t>
  </si>
  <si>
    <t>600 N ROYAL ST</t>
  </si>
  <si>
    <t>VAG830554</t>
  </si>
  <si>
    <t>POTOMAC RIVER-FOURMILE RUN</t>
  </si>
  <si>
    <t>08080103002791</t>
  </si>
  <si>
    <t>3030 POTOMAC AVE</t>
  </si>
  <si>
    <t>VAG830544</t>
  </si>
  <si>
    <t>39920 N GAVILAN PEAK PKWY</t>
  </si>
  <si>
    <t>85086-2524</t>
  </si>
  <si>
    <t>AZ0025429</t>
  </si>
  <si>
    <t>5661 S IRONWOOD DR</t>
  </si>
  <si>
    <t>AZ0023931</t>
  </si>
  <si>
    <t>788 CHERT QUARRY ROAD</t>
  </si>
  <si>
    <t>29836-3414</t>
  </si>
  <si>
    <t>SC0042803</t>
  </si>
  <si>
    <t>SAVANNAH RIVER</t>
  </si>
  <si>
    <t>344 TANNEHILL RD</t>
  </si>
  <si>
    <t>LA0007501</t>
  </si>
  <si>
    <t>SEG 081402_OUACHITA RIVER BASIN</t>
  </si>
  <si>
    <t>ARKEMA, INC.</t>
  </si>
  <si>
    <t>06040006000329</t>
  </si>
  <si>
    <t>100 KINDEL DRIVE, COFFEE AND FRANKLIN COUNTIES</t>
  </si>
  <si>
    <t>TN0003751</t>
  </si>
  <si>
    <t>BRADLEY CREEK, BRUMALOW CREEK, ELK-UPPER, ROWLAND DITCH, SPRING CREEK</t>
  </si>
  <si>
    <t>05090103000899</t>
  </si>
  <si>
    <t>334 E MAIN ST</t>
  </si>
  <si>
    <t>KY0021202</t>
  </si>
  <si>
    <t>BLACK LICK CREEK, BLACKLICK CRK</t>
  </si>
  <si>
    <t>05110002001791</t>
  </si>
  <si>
    <t>4800 S DYSART RD</t>
  </si>
  <si>
    <t>85323-9626</t>
  </si>
  <si>
    <t>AZ0023281</t>
  </si>
  <si>
    <t>02040202000029</t>
  </si>
  <si>
    <t>4509 WEST STONE DRIVE (AREA B)INDUSTRIAL DRIVE (</t>
  </si>
  <si>
    <t>TN0003671</t>
  </si>
  <si>
    <t>AFG STREAM, ARNOTT CREEK, HOLSTON, HOLSTON RIVER, HOLSTON RV, MADD BRANCH, SOUTH FORK HOLSTON RIVER</t>
  </si>
  <si>
    <t>6200 CAMPGROUND RD</t>
  </si>
  <si>
    <t>KY0001112</t>
  </si>
  <si>
    <t>05140101000007</t>
  </si>
  <si>
    <t>616 W PONT DES MOUTON RD</t>
  </si>
  <si>
    <t>LAG480201</t>
  </si>
  <si>
    <t>18310 MARKET STREET</t>
  </si>
  <si>
    <t>77530-3858</t>
  </si>
  <si>
    <t>TX0092282</t>
  </si>
  <si>
    <t>DIRECTLY HOUSTON SHIP CHANNEL/SAN JACINTO RV, SEG NO 1005 SAN JACINTO RIVER BASIN</t>
  </si>
  <si>
    <t>100 BRIDGEPORT RD</t>
  </si>
  <si>
    <t>AR0037770</t>
  </si>
  <si>
    <t>MISSISSIPPI R</t>
  </si>
  <si>
    <t>08010100000818</t>
  </si>
  <si>
    <t>KENDALL SPRINGS RD</t>
  </si>
  <si>
    <t>KY0106887</t>
  </si>
  <si>
    <t>SLATE CREEK, SLATE CRK</t>
  </si>
  <si>
    <t>5000 BAYWAY DR</t>
  </si>
  <si>
    <t>TX0007013</t>
  </si>
  <si>
    <t>NINE-FOOT DIAMETER PIPE</t>
  </si>
  <si>
    <t>715 W 4TH ST</t>
  </si>
  <si>
    <t>CA0105376</t>
  </si>
  <si>
    <t>COOPER'S CREEK</t>
  </si>
  <si>
    <t>88 VILLAGE ST</t>
  </si>
  <si>
    <t>03303-1959</t>
  </si>
  <si>
    <t>NHG910003</t>
  </si>
  <si>
    <t>HOYT BROOK</t>
  </si>
  <si>
    <t>499 E 4TH ST</t>
  </si>
  <si>
    <t>KY0021172</t>
  </si>
  <si>
    <t>CLARKS RIVER / EAST FORK, DITCH TO UT TO CLARKS RIVER</t>
  </si>
  <si>
    <t>30140 EDEN CHURCH RD</t>
  </si>
  <si>
    <t>LA0048704</t>
  </si>
  <si>
    <t>DIXON CANAL GRAYS CREEK</t>
  </si>
  <si>
    <t>MENELAUS RD</t>
  </si>
  <si>
    <t>KY0079898</t>
  </si>
  <si>
    <t>SILVER CREEK, SILVER CRK</t>
  </si>
  <si>
    <t xml:space="preserve">08010    </t>
  </si>
  <si>
    <t>02040202001996</t>
  </si>
  <si>
    <t>910 I-10 WEST</t>
  </si>
  <si>
    <t>LA0125041</t>
  </si>
  <si>
    <t>19000 NE SANDY BLVD</t>
  </si>
  <si>
    <t>OR0031828</t>
  </si>
  <si>
    <t>COLUMBIA SLOUGH</t>
  </si>
  <si>
    <t>10699 MATHER BLVD</t>
  </si>
  <si>
    <t>CA0084891</t>
  </si>
  <si>
    <t>MORRISON CREEK, MORRISON CREEK AND SOUTH BRANCH MORRISON CREEK, SOUTHERN BRANCH OF MORRISON CREEK, UNNAMED DRAINAGE CHANNEL TO MORRISON CREEK</t>
  </si>
  <si>
    <t>24696 S WILMINGTON AVE</t>
  </si>
  <si>
    <t>90745-6126</t>
  </si>
  <si>
    <t>CA0060232</t>
  </si>
  <si>
    <t>DOMINGUEZ CHANNEL ESTUARY</t>
  </si>
  <si>
    <t>8501 STILLHOUSE ROAD</t>
  </si>
  <si>
    <t>MO0099503</t>
  </si>
  <si>
    <t>TRIBUTARY TO COOLEY LAKE, TRIBUTARY TO MISSOURI R.</t>
  </si>
  <si>
    <t>12310 SAN MATEO ROAD</t>
  </si>
  <si>
    <t>94019-7112</t>
  </si>
  <si>
    <t>CA0029947</t>
  </si>
  <si>
    <t>CORINDA LOS TRANCOS CREEK</t>
  </si>
  <si>
    <t>TRIBUTARY TO CADET CR., TRIBUTARY TO MILL CR.</t>
  </si>
  <si>
    <t>07140104001615</t>
  </si>
  <si>
    <t>5 GUEST STREET</t>
  </si>
  <si>
    <t>MAG910076</t>
  </si>
  <si>
    <t>CHARLES RIVER</t>
  </si>
  <si>
    <t>LOWER RIVER ST</t>
  </si>
  <si>
    <t>KY0036854</t>
  </si>
  <si>
    <t>3570 SOUTH LAS VEGAS BOULEVARD</t>
  </si>
  <si>
    <t>NV0023191</t>
  </si>
  <si>
    <t>FLAMINGO WASH</t>
  </si>
  <si>
    <t>298 W 2ND ST</t>
  </si>
  <si>
    <t>CA7000009</t>
  </si>
  <si>
    <t>106 LINDSEY RD</t>
  </si>
  <si>
    <t>CA0105015</t>
  </si>
  <si>
    <t>"G" DRAIN, G DRAIN</t>
  </si>
  <si>
    <t>11089 HIGHWAY D</t>
  </si>
  <si>
    <t>MO0137243</t>
  </si>
  <si>
    <t>TRIBUTARY TO BUFFALO CR.</t>
  </si>
  <si>
    <t>07110004000345</t>
  </si>
  <si>
    <t>2105 HODGENVILLE RD</t>
  </si>
  <si>
    <t>KY0054437</t>
  </si>
  <si>
    <t>BUCK HORN CREEK, LITTLE PITMAN CRK</t>
  </si>
  <si>
    <t>9090 CAROUSEL CENTER</t>
  </si>
  <si>
    <t>13290-9098</t>
  </si>
  <si>
    <t>NY0232386</t>
  </si>
  <si>
    <t>BARGE CANAL TMNL</t>
  </si>
  <si>
    <t>1937 GREENS BOTTOM RD</t>
  </si>
  <si>
    <t>KY0104931</t>
  </si>
  <si>
    <t>KENTUCKY RIVER</t>
  </si>
  <si>
    <t>05100205000002</t>
  </si>
  <si>
    <t>1194 W KORTSEN RD</t>
  </si>
  <si>
    <t>85222-5914</t>
  </si>
  <si>
    <t>AZ0025178</t>
  </si>
  <si>
    <t>918 WILLOW SPRINGS ROAD</t>
  </si>
  <si>
    <t>LA0058882</t>
  </si>
  <si>
    <t>0317</t>
  </si>
  <si>
    <t>08080205000075</t>
  </si>
  <si>
    <t>8405 CEDAR CREEK RD</t>
  </si>
  <si>
    <t>KY0098540</t>
  </si>
  <si>
    <t>CEDAR CRK</t>
  </si>
  <si>
    <t>05140102000566</t>
  </si>
  <si>
    <t>802 W WHITMER ST</t>
  </si>
  <si>
    <t>KY0023540</t>
  </si>
  <si>
    <t>GREEN RIVER</t>
  </si>
  <si>
    <t>08014</t>
  </si>
  <si>
    <t>02040202002003</t>
  </si>
  <si>
    <t>104 HAY ROAD</t>
  </si>
  <si>
    <t>DE0000051</t>
  </si>
  <si>
    <t>1165 PRAIRIE HILL ROAD</t>
  </si>
  <si>
    <t>61072-1595</t>
  </si>
  <si>
    <t>IL0064564</t>
  </si>
  <si>
    <t>ROCK RIVER</t>
  </si>
  <si>
    <t>07090002008421</t>
  </si>
  <si>
    <t>3205 E GRAND RIVER AVE</t>
  </si>
  <si>
    <t>48843-8552</t>
  </si>
  <si>
    <t>MI0041718</t>
  </si>
  <si>
    <t>UNNAMED TRIBUTARY TO THE MARION AND GENOA DRAIN</t>
  </si>
  <si>
    <t>04080203000602</t>
  </si>
  <si>
    <t>1 M NO OF NTUA BRANCH OFFICE</t>
  </si>
  <si>
    <t>NN0020265</t>
  </si>
  <si>
    <t>CHINLE WASH</t>
  </si>
  <si>
    <t>1600 6TH STREET NE</t>
  </si>
  <si>
    <t>MT0021920</t>
  </si>
  <si>
    <t>MISSOURI RIVER</t>
  </si>
  <si>
    <t>4400 S GREENFIELD RD</t>
  </si>
  <si>
    <t>AZ0025241</t>
  </si>
  <si>
    <t>12483 W JOMAX RD</t>
  </si>
  <si>
    <t>AZ0024945</t>
  </si>
  <si>
    <t>19TH AVE AND I10 HIGHWAY</t>
  </si>
  <si>
    <t>85003-1611</t>
  </si>
  <si>
    <t>AZ0024554</t>
  </si>
  <si>
    <t>1300 N 6TH ST</t>
  </si>
  <si>
    <t>AZ0023841</t>
  </si>
  <si>
    <t>TELEPHONE LAKE</t>
  </si>
  <si>
    <t>110 N STATE AVE</t>
  </si>
  <si>
    <t>AZ0026603</t>
  </si>
  <si>
    <t>200 LEWIS AVENUE</t>
  </si>
  <si>
    <t>NV0023159</t>
  </si>
  <si>
    <t>LAS VEGAS WASH VIA STORM DRAIN SYSTEM</t>
  </si>
  <si>
    <t>4590 CARLSBAD BLVD</t>
  </si>
  <si>
    <t>CA0109223</t>
  </si>
  <si>
    <t>229 - 231 NORTH MAIN STREET</t>
  </si>
  <si>
    <t>MAG910326</t>
  </si>
  <si>
    <t>MEGONKO BROOK - LAKE COCHITUATE</t>
  </si>
  <si>
    <t>509 CAMPBELLSVILLE ST</t>
  </si>
  <si>
    <t>KY0024317</t>
  </si>
  <si>
    <t>RUSSELL CREEK, RUSSELL CRK</t>
  </si>
  <si>
    <t>05110001000213</t>
  </si>
  <si>
    <t>10107 HIGHWAY 79</t>
  </si>
  <si>
    <t>MO0111686</t>
  </si>
  <si>
    <t>MISSISSIPPI RIVER, TRIBUTARY TO FALL CREEK, TRIBUTARY TO MARBLE CREEK, TRIBUTARY TO MISSISSIPPI R.</t>
  </si>
  <si>
    <t>07110004001311</t>
  </si>
  <si>
    <t>100 OAKDALE RD</t>
  </si>
  <si>
    <t>NJ0109479</t>
  </si>
  <si>
    <t>LAMINGTON RIVER</t>
  </si>
  <si>
    <t>079302221</t>
  </si>
  <si>
    <t>02030105000068</t>
  </si>
  <si>
    <t>25010 GARDINER FERRY RD</t>
  </si>
  <si>
    <t>CA0004995</t>
  </si>
  <si>
    <t>1480 W MINGUS AVE</t>
  </si>
  <si>
    <t>86326-8084</t>
  </si>
  <si>
    <t>AZ0024716</t>
  </si>
  <si>
    <t>1146 NELSON ST</t>
  </si>
  <si>
    <t>46203-5365</t>
  </si>
  <si>
    <t>IN0063576</t>
  </si>
  <si>
    <t>BEAN CREEK</t>
  </si>
  <si>
    <t>1565 DEER CREEK ROAD</t>
  </si>
  <si>
    <t>CAC433255</t>
  </si>
  <si>
    <t>DEER CREEK</t>
  </si>
  <si>
    <t>170 RT 130 S</t>
  </si>
  <si>
    <t>NJ0005045</t>
  </si>
  <si>
    <t>DELAWARE RIVER ZONE 4</t>
  </si>
  <si>
    <t>02040202001854</t>
  </si>
  <si>
    <t>33 RIVER DR</t>
  </si>
  <si>
    <t>08075</t>
  </si>
  <si>
    <t>NJ0023507</t>
  </si>
  <si>
    <t>RANCOCAS CREEK</t>
  </si>
  <si>
    <t>02040202001995</t>
  </si>
  <si>
    <t>DELTA TERMINAL SERVICES, LLC - HARVEY TERMINAL</t>
  </si>
  <si>
    <t>08090100000658</t>
  </si>
  <si>
    <t>11621 LOWER RIVER RD</t>
  </si>
  <si>
    <t>KY0078956</t>
  </si>
  <si>
    <t>RTE 61</t>
  </si>
  <si>
    <t>PA0012149</t>
  </si>
  <si>
    <t>PINE CREEK, UNNAMED STREAM</t>
  </si>
  <si>
    <t>02040203000412</t>
  </si>
  <si>
    <t>53823 SHERRITT LN</t>
  </si>
  <si>
    <t>CA0081621</t>
  </si>
  <si>
    <t>SOUTH YUBA RIVER</t>
  </si>
  <si>
    <t>02040105000142</t>
  </si>
  <si>
    <t>x</t>
  </si>
  <si>
    <t>KY 10</t>
  </si>
  <si>
    <t>KY0105031</t>
  </si>
  <si>
    <t>BRUSH CREEK, BRUSH CRK</t>
  </si>
  <si>
    <t>05090201002390</t>
  </si>
  <si>
    <t>200 SOUTH WILCOX DRIVE</t>
  </si>
  <si>
    <t>TN0002640</t>
  </si>
  <si>
    <t>HOLSTON-SOUTH FORK (D/S OF WATAUGA), HORSE CREEK, SOUTH FORK HOLSTON RIVER</t>
  </si>
  <si>
    <t>06010102001273</t>
  </si>
  <si>
    <t>488 SEWER PLANT RD</t>
  </si>
  <si>
    <t>KY0027979</t>
  </si>
  <si>
    <t>LAKE BARKLEY / CUMBERLAND RIVER</t>
  </si>
  <si>
    <t>05130205000794</t>
  </si>
  <si>
    <t>0921</t>
  </si>
  <si>
    <t>4625 LATROBE ROAD</t>
  </si>
  <si>
    <t>CA0078671</t>
  </si>
  <si>
    <t>CARSON CREEK</t>
  </si>
  <si>
    <t>520 E. YANONALI ST</t>
  </si>
  <si>
    <t>93103-3200</t>
  </si>
  <si>
    <t>CA0048143</t>
  </si>
  <si>
    <t>2040 CORY DRIVE</t>
  </si>
  <si>
    <t>NY0001988</t>
  </si>
  <si>
    <t>CAYUGA CK</t>
  </si>
  <si>
    <t>04120104000390</t>
  </si>
  <si>
    <t>1248 E 2ND ST</t>
  </si>
  <si>
    <t>41056-1655</t>
  </si>
  <si>
    <t>KY0100196</t>
  </si>
  <si>
    <t>GOOSE CREEK, GOOSE CRK</t>
  </si>
  <si>
    <t>05090201002312</t>
  </si>
  <si>
    <t>7.6 MILES NORTHWEST OF RED MESA</t>
  </si>
  <si>
    <t>NN0020133</t>
  </si>
  <si>
    <t>TO GOTHIC CREEK TRIBUTARY TO SAN JUAN RIVER</t>
  </si>
  <si>
    <t>8805 NORTH TABLER ROAD</t>
  </si>
  <si>
    <t>60450-9153</t>
  </si>
  <si>
    <t>IL0002917</t>
  </si>
  <si>
    <t>AUX SABLE CREEK, COUNTY DITH TO LOWLAND AREA, ILLINOIS RIVER, ILLINOIS RIVER; AUX SABLE CREEK</t>
  </si>
  <si>
    <t>07120005000248</t>
  </si>
  <si>
    <t>4101 LA. HWY 108</t>
  </si>
  <si>
    <t>LA0003689</t>
  </si>
  <si>
    <t>0315</t>
  </si>
  <si>
    <t>08080206000583</t>
  </si>
  <si>
    <t>625 EAST US HIGHWAY 36</t>
  </si>
  <si>
    <t>IL0000141</t>
  </si>
  <si>
    <t>KASKASKIA RIVER, UNNAMED TRIB TO KASKASKIA RIVER</t>
  </si>
  <si>
    <t>07140201000696</t>
  </si>
  <si>
    <t>0701</t>
  </si>
  <si>
    <t>08070201006480</t>
  </si>
  <si>
    <t>830 MAGNOLIA AVE</t>
  </si>
  <si>
    <t>NJG102270</t>
  </si>
  <si>
    <t>NEWARKAIRPORT PERIPHERAL DITCH</t>
  </si>
  <si>
    <t>08872</t>
  </si>
  <si>
    <t>02030104000356</t>
  </si>
  <si>
    <t>05120108000208</t>
  </si>
  <si>
    <t>02030101001969</t>
  </si>
  <si>
    <t>250 PLAINSBORO RD</t>
  </si>
  <si>
    <t>NJ0031445</t>
  </si>
  <si>
    <t>MILLSTONE RIVER</t>
  </si>
  <si>
    <t>08536</t>
  </si>
  <si>
    <t>02060002000003</t>
  </si>
  <si>
    <t>1 REAGENT LN</t>
  </si>
  <si>
    <t>NJG102792</t>
  </si>
  <si>
    <t>HENDERSON BROOK</t>
  </si>
  <si>
    <t>07410</t>
  </si>
  <si>
    <t>02030103000370</t>
  </si>
  <si>
    <t>KY 32</t>
  </si>
  <si>
    <t>KY0021229</t>
  </si>
  <si>
    <t>TOWN BR, TOWN BRANCH</t>
  </si>
  <si>
    <t>05100101000962</t>
  </si>
  <si>
    <t>1100 BLUE HERON RD</t>
  </si>
  <si>
    <t>KY0102784</t>
  </si>
  <si>
    <t>FLOYDS FORK CRK</t>
  </si>
  <si>
    <t>05140102000235</t>
  </si>
  <si>
    <t>100 NIAGARA STREET</t>
  </si>
  <si>
    <t>NY0000345</t>
  </si>
  <si>
    <t>JEDDO CK TR</t>
  </si>
  <si>
    <t>8230 WEST FOREST LAWN ROAD</t>
  </si>
  <si>
    <t>MI0048631</t>
  </si>
  <si>
    <t>SOUTH BRANCH GALIEN RIVER, SOUTH BRANCH OF THE GALIEN RIVER</t>
  </si>
  <si>
    <t>04040001000153</t>
  </si>
  <si>
    <t>1070 RIVERSIDE DR</t>
  </si>
  <si>
    <t>NJG197548</t>
  </si>
  <si>
    <t>RARITAN RIVER</t>
  </si>
  <si>
    <t>08832</t>
  </si>
  <si>
    <t>02030105000996</t>
  </si>
  <si>
    <t>07470</t>
  </si>
  <si>
    <t>02030103000043</t>
  </si>
  <si>
    <t>1200 BIGLERVILLE RD</t>
  </si>
  <si>
    <t>17325-7896</t>
  </si>
  <si>
    <t>PA0081957</t>
  </si>
  <si>
    <t>UNNAMED TRIB TO ROCK CREEK, UNT TO ROCK CREEK</t>
  </si>
  <si>
    <t>02070009000809</t>
  </si>
  <si>
    <t>02040205000476</t>
  </si>
  <si>
    <t>100 FOUNDERS AVENUE</t>
  </si>
  <si>
    <t>VAG830543</t>
  </si>
  <si>
    <t>CAMERON RUN</t>
  </si>
  <si>
    <t>E 2 ST AND N CLEVELAND AVE</t>
  </si>
  <si>
    <t>CO0049038</t>
  </si>
  <si>
    <t>BIG THOMPSON RIVER</t>
  </si>
  <si>
    <t>1821 PRICE CANYON ROAD</t>
  </si>
  <si>
    <t>CA0050628</t>
  </si>
  <si>
    <t>PISMO CREEK</t>
  </si>
  <si>
    <t>NEAR 34THE STREET AND LOOP 202</t>
  </si>
  <si>
    <t>AZ0025861</t>
  </si>
  <si>
    <t>450 PLEASANT ST</t>
  </si>
  <si>
    <t>03222-3012</t>
  </si>
  <si>
    <t>NHG910006</t>
  </si>
  <si>
    <t>2800 GAP RD (HWY 394)</t>
  </si>
  <si>
    <t>AR0035386</t>
  </si>
  <si>
    <t>WHITE RIVER</t>
  </si>
  <si>
    <t>2300 M-139</t>
  </si>
  <si>
    <t>MI0045551</t>
  </si>
  <si>
    <t>UNNAMED DRAIN TO THE ST. JOSEPH RIVER</t>
  </si>
  <si>
    <t>04050001000919</t>
  </si>
  <si>
    <t>01905</t>
  </si>
  <si>
    <t>01090001001195</t>
  </si>
  <si>
    <t>FISHING CREEK</t>
  </si>
  <si>
    <t>02050306000429</t>
  </si>
  <si>
    <t>3300 GENERAL MOTORS ROAD</t>
  </si>
  <si>
    <t>04090005002033</t>
  </si>
  <si>
    <t>705 GLEN GARRY RD</t>
  </si>
  <si>
    <t>KY0021164</t>
  </si>
  <si>
    <t>HUGGINS BR / SOUTH FORK/ BEAVER CRK, HUGGINS BRANCH, SOUTH FORK BEAVER CREEK</t>
  </si>
  <si>
    <t>GLOUCESTER CNTY UTIL AUTH</t>
  </si>
  <si>
    <t>08066</t>
  </si>
  <si>
    <t>02040202000030</t>
  </si>
  <si>
    <t>4980 S 157TH AVE</t>
  </si>
  <si>
    <t>AZ0022357</t>
  </si>
  <si>
    <t>08070201006484</t>
  </si>
  <si>
    <t>WASHINGTON AND TUFTS STREET</t>
  </si>
  <si>
    <t>MAG910838</t>
  </si>
  <si>
    <t>MILLERS RIVER</t>
  </si>
  <si>
    <t>101 WURTS RD</t>
  </si>
  <si>
    <t>KY0033553</t>
  </si>
  <si>
    <t>1513 BORDENTOWN ROAD</t>
  </si>
  <si>
    <t>PA0043818</t>
  </si>
  <si>
    <t>DELAWARE RIVER, UNNAMED STREAM, UNNAMED TRIB OF DELAWARE RIVER, UNNAMED TRIB TO DELAWARE RIVER</t>
  </si>
  <si>
    <t>02040201000496</t>
  </si>
  <si>
    <t>US 41</t>
  </si>
  <si>
    <t>KY0063649</t>
  </si>
  <si>
    <t>UT / SPRING CRK, UT TO SPRING CREEK</t>
  </si>
  <si>
    <t>05130206000361</t>
  </si>
  <si>
    <t>300 HOBSON AVE</t>
  </si>
  <si>
    <t>NJ0026301</t>
  </si>
  <si>
    <t>CROSSWICKS CREEK</t>
  </si>
  <si>
    <t>08610</t>
  </si>
  <si>
    <t>02040201000021</t>
  </si>
  <si>
    <t>POPLAR ST</t>
  </si>
  <si>
    <t>NJ0050423</t>
  </si>
  <si>
    <t>ALLOWAYS CREEK</t>
  </si>
  <si>
    <t>08038</t>
  </si>
  <si>
    <t>02040206000172</t>
  </si>
  <si>
    <t>2300 COOLWATER CREEK RD</t>
  </si>
  <si>
    <t>95667-3112</t>
  </si>
  <si>
    <t>CA0078956</t>
  </si>
  <si>
    <t>HANGTOWN CREEK</t>
  </si>
  <si>
    <t>4650 COAL MINE ROAD</t>
  </si>
  <si>
    <t>CA0049675</t>
  </si>
  <si>
    <t>UNNAMED TRIBUTARY TO JACKSON CREEK</t>
  </si>
  <si>
    <t>965 CORNISHVILLE RD</t>
  </si>
  <si>
    <t>KY0027421</t>
  </si>
  <si>
    <t>TOWN CREEK, TOWN CRK</t>
  </si>
  <si>
    <t>05140102000788</t>
  </si>
  <si>
    <t>7440 W DUPONT RD</t>
  </si>
  <si>
    <t>60450-8375</t>
  </si>
  <si>
    <t>IL0079758</t>
  </si>
  <si>
    <t>HOG RUN, ILLINOIS RIVER, ILLINOIS RIVER/HOG RUN</t>
  </si>
  <si>
    <t>07120005000124</t>
  </si>
  <si>
    <t>50 N MARKET ST</t>
  </si>
  <si>
    <t>NJG005134</t>
  </si>
  <si>
    <t>080271164</t>
  </si>
  <si>
    <t>02040202001793</t>
  </si>
  <si>
    <t>5512 HITT LN</t>
  </si>
  <si>
    <t>40241-1235</t>
  </si>
  <si>
    <t>KY0022420</t>
  </si>
  <si>
    <t>HITE CREAK, HITE CRK</t>
  </si>
  <si>
    <t>2410 AND 2460 MILL RD</t>
  </si>
  <si>
    <t>VAG830541</t>
  </si>
  <si>
    <t>9040 BURROUGH-DOVER LN</t>
  </si>
  <si>
    <t>08110-1033</t>
  </si>
  <si>
    <t>NJG105449</t>
  </si>
  <si>
    <t>SOUTH BRANCH OF PENNSAUKEN CK</t>
  </si>
  <si>
    <t>101 COLUMBIA RD</t>
  </si>
  <si>
    <t>NJG031305</t>
  </si>
  <si>
    <t>BLACK BROOK</t>
  </si>
  <si>
    <t>079621057</t>
  </si>
  <si>
    <t>02030103000384</t>
  </si>
  <si>
    <t>HONEYWELL INTERNATIONAL, BATON ROUGE</t>
  </si>
  <si>
    <t>08070100000180</t>
  </si>
  <si>
    <t>91-1000 GEIGER ROAD</t>
  </si>
  <si>
    <t>HI0020877</t>
  </si>
  <si>
    <t>GARY LN</t>
  </si>
  <si>
    <t>KY0066532</t>
  </si>
  <si>
    <t>LITTLE RIVER / NORTH FORK, NORTH FORK LITTLE RIVER</t>
  </si>
  <si>
    <t>05130205000237</t>
  </si>
  <si>
    <t>2350 MARRIOTTSVILLE ROAD</t>
  </si>
  <si>
    <t>MD0067865</t>
  </si>
  <si>
    <t>LITTLE PATUXENT RIVER</t>
  </si>
  <si>
    <t>3883 HOWARD HUGHES PARKWAY</t>
  </si>
  <si>
    <t>NV0023604</t>
  </si>
  <si>
    <t>LAS VEGAS WASH</t>
  </si>
  <si>
    <t>3 VAN DE GRAAFF DRIVE</t>
  </si>
  <si>
    <t>MAG910026</t>
  </si>
  <si>
    <t>VINE BROOK</t>
  </si>
  <si>
    <t xml:space="preserve">1701 NORTH ST. </t>
  </si>
  <si>
    <t>NY0003808</t>
  </si>
  <si>
    <t>SUSQUEHANNA R</t>
  </si>
  <si>
    <t>02050103001134</t>
  </si>
  <si>
    <t>07002</t>
  </si>
  <si>
    <t>02030104000585</t>
  </si>
  <si>
    <t>13589 MAIN STREET</t>
  </si>
  <si>
    <t>IL0005126</t>
  </si>
  <si>
    <t>ILLINOIS AND MICHIGAN CANAL</t>
  </si>
  <si>
    <t>07120004000954</t>
  </si>
  <si>
    <t>INDORAMA VENTURES OLEFINS LLC - WESTLAKE ETHYLENE PLANT</t>
  </si>
  <si>
    <t>08080206000067</t>
  </si>
  <si>
    <t>1060 ALLENDALE DRIVE</t>
  </si>
  <si>
    <t>LA0122114</t>
  </si>
  <si>
    <t>701 E GLEBE RD</t>
  </si>
  <si>
    <t>VAG830548</t>
  </si>
  <si>
    <t>25876 DUPONT ROAD</t>
  </si>
  <si>
    <t>DE0000035</t>
  </si>
  <si>
    <t>NANTICOKE RIVER</t>
  </si>
  <si>
    <t>02080109011489</t>
  </si>
  <si>
    <t>150 CARHARTT RD</t>
  </si>
  <si>
    <t>KY0025909</t>
  </si>
  <si>
    <t>05100204000012</t>
  </si>
  <si>
    <t>115 CEDAR LN</t>
  </si>
  <si>
    <t>PA0113913</t>
  </si>
  <si>
    <t>UNNAMED TRIB TO NORTH BRANCH MAHANTANGO CREEK, UNT TO NORTH BRANCH MAHANTANGO CREEK</t>
  </si>
  <si>
    <t>02050301000478</t>
  </si>
  <si>
    <t>455 N MAIN ST</t>
  </si>
  <si>
    <t>KY0003701</t>
  </si>
  <si>
    <t>TENNESSEE RIVER, UT TO CYPRESS CREEK, UT TO TENNESSEE RIVER</t>
  </si>
  <si>
    <t>1028 S WALTER REED DR</t>
  </si>
  <si>
    <t>VAG830321</t>
  </si>
  <si>
    <t>3095 SUTHERLAND DR</t>
  </si>
  <si>
    <t>KY0104027</t>
  </si>
  <si>
    <t>BEECH FORK RIVER</t>
  </si>
  <si>
    <t>95 KANEOHE BAY DRIVE</t>
  </si>
  <si>
    <t>96734-1705</t>
  </si>
  <si>
    <t>HI0021296</t>
  </si>
  <si>
    <t>1 M EAST OF KAYENTA</t>
  </si>
  <si>
    <t>NN0020281</t>
  </si>
  <si>
    <t>LAGUANA &amp; CHINLE WASH SAN JUAN RVR, LAGUNA WASH</t>
  </si>
  <si>
    <t>235 MARSHALL GIBSON LN</t>
  </si>
  <si>
    <t>KY0028312</t>
  </si>
  <si>
    <t>STEVENS CRK, UT OF STEVENS CREEK</t>
  </si>
  <si>
    <t>313 KEYSTONE DR</t>
  </si>
  <si>
    <t>PA0002062</t>
  </si>
  <si>
    <t>ALLEGHENY RIVER, CROOKED CREEK, PLUM CREEK, UNNAMED STREAM, UNNAMED TRIB TO CROOKED CREEK, UNNAMED TRIB TO PLUM CREEK</t>
  </si>
  <si>
    <t>05010006001748</t>
  </si>
  <si>
    <t>5925 N HWY 66</t>
  </si>
  <si>
    <t>AZ0025844</t>
  </si>
  <si>
    <t>3001 W HWY 146</t>
  </si>
  <si>
    <t>KY0040126</t>
  </si>
  <si>
    <t>NORTH FORK / CEDAR CRK, NORTH FORK OF CEDAR CREEK</t>
  </si>
  <si>
    <t>05140101000459</t>
  </si>
  <si>
    <t>2200 BAYOU D'INDE PASS</t>
  </si>
  <si>
    <t>LA0127268</t>
  </si>
  <si>
    <t>2201 OLD SPANISH TRAIL</t>
  </si>
  <si>
    <t>LA0003336</t>
  </si>
  <si>
    <t>LAKE CHARLES MANUFACTURING COMPLEX</t>
  </si>
  <si>
    <t>315 7TH STREET</t>
  </si>
  <si>
    <t>NV0023485</t>
  </si>
  <si>
    <t>3150 PARADISE ROAD</t>
  </si>
  <si>
    <t>NV0024232</t>
  </si>
  <si>
    <t>LAS VEGAS WASH VIA FLAMINGO WASH VIA STORM SEWER</t>
  </si>
  <si>
    <t>07036</t>
  </si>
  <si>
    <t>02030104000564</t>
  </si>
  <si>
    <t>12257 S WADSWORTH BLVD</t>
  </si>
  <si>
    <t>CO0001511</t>
  </si>
  <si>
    <t>SOUTH PLATTE RIVER</t>
  </si>
  <si>
    <t>236 LAGOON TRAIL</t>
  </si>
  <si>
    <t>40741-1120</t>
  </si>
  <si>
    <t>KY0021270</t>
  </si>
  <si>
    <t>WHITLEY BR, WHITLEY BRANCH</t>
  </si>
  <si>
    <t>118 RT 35 S</t>
  </si>
  <si>
    <t>NJG002623</t>
  </si>
  <si>
    <t>HUSKY BROOK</t>
  </si>
  <si>
    <t>07724</t>
  </si>
  <si>
    <t>02030104000160</t>
  </si>
  <si>
    <t>1715 AC SLATON RD</t>
  </si>
  <si>
    <t>KY0098043</t>
  </si>
  <si>
    <t>GREASY CREEK, GREASY CRK</t>
  </si>
  <si>
    <t>300 JEFFERSON ST</t>
  </si>
  <si>
    <t>NJ0004090</t>
  </si>
  <si>
    <t>DELAWARE RIVER ZONE 3</t>
  </si>
  <si>
    <t>08104</t>
  </si>
  <si>
    <t>02040202000065</t>
  </si>
  <si>
    <t>1978 LOVERS LEAP RD</t>
  </si>
  <si>
    <t>KY0029122</t>
  </si>
  <si>
    <t>701 NORTH 13TH STREET, NE CORNER OF MARYLAND PARKW</t>
  </si>
  <si>
    <t>NV0023043</t>
  </si>
  <si>
    <t>1029 W 2ND ST</t>
  </si>
  <si>
    <t>KY0020257</t>
  </si>
  <si>
    <t>05090201002316</t>
  </si>
  <si>
    <t>5757 WAYNE NEWTON BOULEVARD</t>
  </si>
  <si>
    <t>NV0023761</t>
  </si>
  <si>
    <t>LAS VEGAS WASH VIA DUCK CREEK AND THE CLARK COUNTY</t>
  </si>
  <si>
    <t>4647 NATIONAL WESTERN DR</t>
  </si>
  <si>
    <t>CO0049005</t>
  </si>
  <si>
    <t>625 N WHITEWATER PARK BLVD</t>
  </si>
  <si>
    <t>IDG911007</t>
  </si>
  <si>
    <t>7601 HWY 221 S</t>
  </si>
  <si>
    <t>29369-9216</t>
  </si>
  <si>
    <t>SC0036145</t>
  </si>
  <si>
    <t>SOUTH TYGER RIVER</t>
  </si>
  <si>
    <t>03050107000093</t>
  </si>
  <si>
    <t>07065</t>
  </si>
  <si>
    <t>02030104000565</t>
  </si>
  <si>
    <t>2395 MILL RD</t>
  </si>
  <si>
    <t>VAG830558</t>
  </si>
  <si>
    <t>1400 S EADS ST</t>
  </si>
  <si>
    <t>VAG830559</t>
  </si>
  <si>
    <t>2727 MILLER CUT-OFF ROAD</t>
  </si>
  <si>
    <t>TX0084808</t>
  </si>
  <si>
    <t>PHILLIPS DITCH, HOUSTON SHIP CHANNE</t>
  </si>
  <si>
    <t>02040206001666</t>
  </si>
  <si>
    <t>37 MEADOW STREET</t>
  </si>
  <si>
    <t>NY0257206</t>
  </si>
  <si>
    <t>MOHAWK R</t>
  </si>
  <si>
    <t>02020004002623</t>
  </si>
  <si>
    <t>175 BULL FORK RD</t>
  </si>
  <si>
    <t>KY0052752</t>
  </si>
  <si>
    <t>LICKING RIVER</t>
  </si>
  <si>
    <t>05100101000391</t>
  </si>
  <si>
    <t>1364 MCCLURE CHAPEL RD</t>
  </si>
  <si>
    <t>KY0021440</t>
  </si>
  <si>
    <t>CASEY CRK, UT TO CASEY CREEK, UT TO LOST CREEK</t>
  </si>
  <si>
    <t>200 PIKE RD</t>
  </si>
  <si>
    <t>08054-2909</t>
  </si>
  <si>
    <t>NJ0025178</t>
  </si>
  <si>
    <t>02040202011430</t>
  </si>
  <si>
    <t>2775 HINKSTON PIKE</t>
  </si>
  <si>
    <t>KY0104400</t>
  </si>
  <si>
    <t>HINKSTON, HINKSTON CREEK, HINKSTON CRK</t>
  </si>
  <si>
    <t>17103 WEST BETHANY ROAD</t>
  </si>
  <si>
    <t>CA0084271</t>
  </si>
  <si>
    <t>OLD RIVER</t>
  </si>
  <si>
    <t>NALCO COMPANY</t>
  </si>
  <si>
    <t>08070204000715</t>
  </si>
  <si>
    <t>.75 MILES SE OF RED LAKE</t>
  </si>
  <si>
    <t>NN0030335</t>
  </si>
  <si>
    <t>BLACK CREEK</t>
  </si>
  <si>
    <t>NAVAL AUXILIARY LANDING FIELD</t>
  </si>
  <si>
    <t>CA0110175</t>
  </si>
  <si>
    <t xml:space="preserve">PACIFIC NAVAL FACILITIES ENGINEERING COMMAND </t>
  </si>
  <si>
    <t>96860-5101</t>
  </si>
  <si>
    <t>HI0110086</t>
  </si>
  <si>
    <t>BLDG TF11, STETHAM ROAD</t>
  </si>
  <si>
    <t>CA0064564</t>
  </si>
  <si>
    <t>PORT HUENEME HARBOR</t>
  </si>
  <si>
    <t>650 JORDAN STREET</t>
  </si>
  <si>
    <t>CA0079901</t>
  </si>
  <si>
    <t>125 W ALCOTT ROAD</t>
  </si>
  <si>
    <t>CA0104451</t>
  </si>
  <si>
    <t>"R" DRAIN TO SALTON SEA, R DRAIN</t>
  </si>
  <si>
    <t>865 RIO RICO INDUSTRIAL PARK</t>
  </si>
  <si>
    <t>AZ0025607</t>
  </si>
  <si>
    <t>3899 RICHMOND ST</t>
  </si>
  <si>
    <t>19137-1418</t>
  </si>
  <si>
    <t>PA0026689</t>
  </si>
  <si>
    <t>DELAWARE RIVER, FRANKFORD CREEK, PENNYPACK CREEK, TACONY CREEK, UNNAMED TRIB TO DELAWARE RIVER, UNNAMED TRIB TO PENNYPACK CREEK, UNNAMED TRIB TO TACONY CREEK, UNT TO TACONY CREEK</t>
  </si>
  <si>
    <t>02040202001980</t>
  </si>
  <si>
    <t>2999 AMSTERDAM RD</t>
  </si>
  <si>
    <t>KY0021466</t>
  </si>
  <si>
    <t>BANKLICK CREEK, LICKING RIVER, OHIO RIVER, OUTFALL 001, PLEASANT RUN CREEK, UT TO BANKLICK CREEK, UT TO FOURMILE CREEK, UT TO OHIO RIVER, UT TO OHIO RIVER (TAYLOR CREEK), UT TO OHIO RIVER (UT TO TAYLOR CREEK), UT TO PLEASANT RUN CREEK</t>
  </si>
  <si>
    <t>660 FALCON CREST DR</t>
  </si>
  <si>
    <t>KY0105376</t>
  </si>
  <si>
    <t>KENTUCKY RIVER, KENTUCKY RV</t>
  </si>
  <si>
    <t>05100205000171</t>
  </si>
  <si>
    <t>8005 NORTH TABLER ROAD</t>
  </si>
  <si>
    <t>60450-9184</t>
  </si>
  <si>
    <t>IL0026069</t>
  </si>
  <si>
    <t>AUX SABLE CREEK</t>
  </si>
  <si>
    <t>07120005000849</t>
  </si>
  <si>
    <t>400 FRANKFORT RD</t>
  </si>
  <si>
    <t>PA0006254</t>
  </si>
  <si>
    <t>OHIO RIVER, RACCOON CREEK, UNNAMED STREAM</t>
  </si>
  <si>
    <t>05030101000019</t>
  </si>
  <si>
    <t>1901 LANDING RD</t>
  </si>
  <si>
    <t>KY0106143</t>
  </si>
  <si>
    <t>2485 168TH AVENUE</t>
  </si>
  <si>
    <t>MI0044130</t>
  </si>
  <si>
    <t>WINSTROM CREEK</t>
  </si>
  <si>
    <t>04050002000163</t>
  </si>
  <si>
    <t>1722 PLEASANT VALLEY RD</t>
  </si>
  <si>
    <t>KY0073377</t>
  </si>
  <si>
    <t>05140201000008</t>
  </si>
  <si>
    <t>5529 HWY 2830</t>
  </si>
  <si>
    <t>KY0001953</t>
  </si>
  <si>
    <t>OHIO RIVER, OUTFALL 001</t>
  </si>
  <si>
    <t>05140201000239</t>
  </si>
  <si>
    <t>6001 SOUTH PERKINS RD</t>
  </si>
  <si>
    <t>CA0054097</t>
  </si>
  <si>
    <t>621 NORTHVIEW ST</t>
  </si>
  <si>
    <t>KY0025810</t>
  </si>
  <si>
    <t>TENNESSEE RIVER</t>
  </si>
  <si>
    <t>22590 N POWERS PKWY W</t>
  </si>
  <si>
    <t>AZ0025071</t>
  </si>
  <si>
    <t>2300 HARVESON PLACE</t>
  </si>
  <si>
    <t>CA0109215</t>
  </si>
  <si>
    <t>6500 BYPASS RD</t>
  </si>
  <si>
    <t>40361-2156</t>
  </si>
  <si>
    <t>KY0090654</t>
  </si>
  <si>
    <t>STONER CREEK, STONER CRK</t>
  </si>
  <si>
    <t>05100102000062</t>
  </si>
  <si>
    <t>667 SAFEGUARD STREET</t>
  </si>
  <si>
    <t>HI0110230</t>
  </si>
  <si>
    <t>HI1120801</t>
  </si>
  <si>
    <t>HALAWA STREAM - WAIMALU STREAM</t>
  </si>
  <si>
    <t>970 S BLAKE RANCH RD</t>
  </si>
  <si>
    <t>AZ0022756</t>
  </si>
  <si>
    <t>25 E. PATTISON AVE</t>
  </si>
  <si>
    <t>19148-5607</t>
  </si>
  <si>
    <t>PA0026662</t>
  </si>
  <si>
    <t>02040202000077</t>
  </si>
  <si>
    <t>8200 ENTERPRISE AVE</t>
  </si>
  <si>
    <t>PA0026671</t>
  </si>
  <si>
    <t>COBBS CREEK, DELAWARE RIVER, INDIAN CREEK, SCHUYLKILL RIVER, UNNAMED STREAM, UNNAMED TRIB OF SCHUYLKILL RIVER, UNNAMED TRIB TO COBBS CREEK, WEST BRANCH INDIAN CREEK</t>
  </si>
  <si>
    <t>02040203009681</t>
  </si>
  <si>
    <t>1400 PARK AVE</t>
  </si>
  <si>
    <t>NJ0001511</t>
  </si>
  <si>
    <t>MORSES CREEK</t>
  </si>
  <si>
    <t>02030104000282</t>
  </si>
  <si>
    <t>13707 S BROADWAY</t>
  </si>
  <si>
    <t>CA0059846</t>
  </si>
  <si>
    <t>DOMINGUEZ CHANNEL</t>
  </si>
  <si>
    <t>222 POUND PUPPY DR</t>
  </si>
  <si>
    <t>KY0025291</t>
  </si>
  <si>
    <t>LEVISA FORK / BIG SANDY RIVER, LEVISA FORK OF BIG SANDY RIVER</t>
  </si>
  <si>
    <t>05070203000244</t>
  </si>
  <si>
    <t>7101 N CASA GRANDE HWY</t>
  </si>
  <si>
    <t>85743-8618</t>
  </si>
  <si>
    <t>AZ0020001</t>
  </si>
  <si>
    <t>06 MILE SW OF BASHAS STORE</t>
  </si>
  <si>
    <t>NN0024228</t>
  </si>
  <si>
    <t>WEPO WASH</t>
  </si>
  <si>
    <t>120 MAIN STREET</t>
  </si>
  <si>
    <t>CA0077844</t>
  </si>
  <si>
    <t>MIDDLE FORK FEATHER RIVER</t>
  </si>
  <si>
    <t>2551 MAIN LINE BLVD</t>
  </si>
  <si>
    <t>VAG830562</t>
  </si>
  <si>
    <t>3872 COUNTY HWY 12</t>
  </si>
  <si>
    <t>62257-3434</t>
  </si>
  <si>
    <t>IL0076996</t>
  </si>
  <si>
    <t>KASKASKIA RIVER, UNNAMED TRIB TO MUD CREEK</t>
  </si>
  <si>
    <t>07140204002294</t>
  </si>
  <si>
    <t>2054 N CENTRAL BLVD</t>
  </si>
  <si>
    <t>AZ0023752</t>
  </si>
  <si>
    <t>1615 18TH ST N</t>
  </si>
  <si>
    <t>VAG830546</t>
  </si>
  <si>
    <t>350 NEW ST EAST</t>
  </si>
  <si>
    <t>KY0022390</t>
  </si>
  <si>
    <t>UT / MILL CRK, UT TO MILLCREEK</t>
  </si>
  <si>
    <t>3000 SOUTH LAS VEGAS BLVD, SOUTH</t>
  </si>
  <si>
    <t>NV0023621</t>
  </si>
  <si>
    <t>FLAMINGO WASH VIA STORM DRAIN</t>
  </si>
  <si>
    <t>501 E SANTA ANA AVE</t>
  </si>
  <si>
    <t>CA0105295</t>
  </si>
  <si>
    <t>SANTA ANA RIVER</t>
  </si>
  <si>
    <t>218 DUTROW ROAD</t>
  </si>
  <si>
    <t>MDGVW3674</t>
  </si>
  <si>
    <t>02060003000267</t>
  </si>
  <si>
    <t>600 S BABBITT DR</t>
  </si>
  <si>
    <t>AZ0023639</t>
  </si>
  <si>
    <t>813 GREENDALE ROAD</t>
  </si>
  <si>
    <t>VAG830334</t>
  </si>
  <si>
    <t>BLACKS RUN</t>
  </si>
  <si>
    <t>200 ROUTE 413</t>
  </si>
  <si>
    <t>PA0012769</t>
  </si>
  <si>
    <t>DELAWARE RIVER, MILL CREEK, UNNAMED TRIB OF DELAWARE RIVER, UNNAMED TRIB TO DELAWARE RIVER, UNT TO DELAWARE RIVER</t>
  </si>
  <si>
    <t>02040201000476</t>
  </si>
  <si>
    <t>HALF ACRE RD</t>
  </si>
  <si>
    <t>KY0062995</t>
  </si>
  <si>
    <t>CUMBERLAND RIVER / LAKE CUMBERLAND</t>
  </si>
  <si>
    <t>05130103010237</t>
  </si>
  <si>
    <t>98 FRANCIS AVE</t>
  </si>
  <si>
    <t>KY0020877</t>
  </si>
  <si>
    <t>1201 EWING RD N</t>
  </si>
  <si>
    <t>KY0020095</t>
  </si>
  <si>
    <t>NORYL AVENUE</t>
  </si>
  <si>
    <t>NY0007072</t>
  </si>
  <si>
    <t>HUDSON R</t>
  </si>
  <si>
    <t>02020006000238</t>
  </si>
  <si>
    <t>1 LEXAN LN</t>
  </si>
  <si>
    <t>IN0002101</t>
  </si>
  <si>
    <t>05140202000333</t>
  </si>
  <si>
    <t>12701 KIEFER BOULEVARD</t>
  </si>
  <si>
    <t>CA0083681</t>
  </si>
  <si>
    <t>940 PURDY LN</t>
  </si>
  <si>
    <t>AZ0026077</t>
  </si>
  <si>
    <t>1350 SAND ISLAND PARKWAY</t>
  </si>
  <si>
    <t>96819-4319</t>
  </si>
  <si>
    <t>HI0020117</t>
  </si>
  <si>
    <t>DISCOVERY DR</t>
  </si>
  <si>
    <t>PA0060071</t>
  </si>
  <si>
    <t>SWIFTWATER CREEK</t>
  </si>
  <si>
    <t>02040104000718</t>
  </si>
  <si>
    <t>110 CALIFORNIA ST</t>
  </si>
  <si>
    <t>95060-4212</t>
  </si>
  <si>
    <t>CA0048194</t>
  </si>
  <si>
    <t>PACIFIC OCEAN, PACIFIC OCEAN (MONTEREY BAY)</t>
  </si>
  <si>
    <t>4300 LLANO ROAD</t>
  </si>
  <si>
    <t>95407-8042</t>
  </si>
  <si>
    <t>CA0022764</t>
  </si>
  <si>
    <t>LAGUNA DE SANTA ROSA, SANTA ROSA CREEK</t>
  </si>
  <si>
    <t>292 STATE ROUTE 8</t>
  </si>
  <si>
    <t>16301-5626</t>
  </si>
  <si>
    <t>PA0103381</t>
  </si>
  <si>
    <t>OIL CREEK, UNNAMED STREAM</t>
  </si>
  <si>
    <t>05010003001287</t>
  </si>
  <si>
    <t>387 MILLBURN AVE</t>
  </si>
  <si>
    <t>NJG261556</t>
  </si>
  <si>
    <t>RAHWAY RIVER</t>
  </si>
  <si>
    <t>BUILDNG 924 CLEARWATER DRIVE</t>
  </si>
  <si>
    <t>CA0038318</t>
  </si>
  <si>
    <t>LOWER PACIFIC DR AT WAVE RD</t>
  </si>
  <si>
    <t>CA0023027</t>
  </si>
  <si>
    <t>485 OLD FORD RD</t>
  </si>
  <si>
    <t>KY0027359</t>
  </si>
  <si>
    <t>SALT RIVER</t>
  </si>
  <si>
    <t>05140102000052</t>
  </si>
  <si>
    <t>1 MILE NW OF JUNCTION US HWY 65 AND 491</t>
  </si>
  <si>
    <t>NN0020621</t>
  </si>
  <si>
    <t>SAN JUAN RIVER</t>
  </si>
  <si>
    <t>2115 2ND STREET</t>
  </si>
  <si>
    <t>WA0029548</t>
  </si>
  <si>
    <t>SNOHOMISH R., SNOHOMISH RIVER</t>
  </si>
  <si>
    <t>08086</t>
  </si>
  <si>
    <t>02040202001763</t>
  </si>
  <si>
    <t>2995 CLEARWATER WAY</t>
  </si>
  <si>
    <t>92154-4444</t>
  </si>
  <si>
    <t>CA0108928</t>
  </si>
  <si>
    <t>1600 ALOHA PL</t>
  </si>
  <si>
    <t>93445-9735</t>
  </si>
  <si>
    <t>CA0048003</t>
  </si>
  <si>
    <t>701 EAST NUGGET AVENUE</t>
  </si>
  <si>
    <t>NV0022918</t>
  </si>
  <si>
    <t>INFLUENT, TRUCKEE RIVER VIA PEOPLE'S DITCH FROM AERATION TAN, TRUCKEE RIVER VIA PEOPLE'S DITCH FROM LAKE EMERGEN</t>
  </si>
  <si>
    <t>35960 GRANT ROAD</t>
  </si>
  <si>
    <t>NN0031001</t>
  </si>
  <si>
    <t>UNNAMED WASH TO PUERCO RIVER, UNNAMED WASH TRIBUTARY TO THE PUERCO RIVER</t>
  </si>
  <si>
    <t>28500 STALLION SPRINGS DR</t>
  </si>
  <si>
    <t>CA0080489</t>
  </si>
  <si>
    <t>CHANAC CREEK</t>
  </si>
  <si>
    <t>1999 CITRACADO PARKWAY</t>
  </si>
  <si>
    <t>CA0109258</t>
  </si>
  <si>
    <t>3905 HIGHWAY 75</t>
  </si>
  <si>
    <t>LA0005487</t>
  </si>
  <si>
    <t>0402</t>
  </si>
  <si>
    <t>08070202002351</t>
  </si>
  <si>
    <t>33239 COSTEN ROAD</t>
  </si>
  <si>
    <t>21851-3909</t>
  </si>
  <si>
    <t>MD0069744</t>
  </si>
  <si>
    <t>LOWER POCOMOKE RIVER</t>
  </si>
  <si>
    <t>02080111014856</t>
  </si>
  <si>
    <t>3790 LA. HWY 30</t>
  </si>
  <si>
    <t>LA0046361</t>
  </si>
  <si>
    <t>6176 SOUTH LAS VEGAS BLVD.</t>
  </si>
  <si>
    <t>NV0023809</t>
  </si>
  <si>
    <t>LAS VEGAS WASH VIA THE CLARK COUNTY STORM DRAIN SY</t>
  </si>
  <si>
    <t>340 SOUTH STREET</t>
  </si>
  <si>
    <t>MAG910022</t>
  </si>
  <si>
    <t>RUMFORD RIVER</t>
  </si>
  <si>
    <t>3085 OLD CONEJO RD</t>
  </si>
  <si>
    <t>CA0064599</t>
  </si>
  <si>
    <t>SOUTH FORK ARROYO CONEJO CREEK, SOUTH FORK OF ARROYO CONEJO CREEK</t>
  </si>
  <si>
    <t>4471 DEAN MARTIN DRIVE</t>
  </si>
  <si>
    <t>NV0023558</t>
  </si>
  <si>
    <t>4245 N FAIRFAX DR</t>
  </si>
  <si>
    <t>VA0089796</t>
  </si>
  <si>
    <t>LUBBER RUN, UT (VIA STORM SEWER), POTOMAC RIVER-FOURMILE RUN</t>
  </si>
  <si>
    <t>02070010001022</t>
  </si>
  <si>
    <t>2827 PARADISE ROAD</t>
  </si>
  <si>
    <t>NV0023256</t>
  </si>
  <si>
    <t>LAS VEGAS WASH VIA STORM DRAIN</t>
  </si>
  <si>
    <t>ROUTES 37 &amp; 39</t>
  </si>
  <si>
    <t>CT0030406</t>
  </si>
  <si>
    <t>BALL POND BROOK</t>
  </si>
  <si>
    <t>360 NEWARK POMPTON TPKE</t>
  </si>
  <si>
    <t>NJG207802</t>
  </si>
  <si>
    <t>POMPTON RIVER</t>
  </si>
  <si>
    <t>02030103000052</t>
  </si>
  <si>
    <t>1901 W WATERMELON ROAD</t>
  </si>
  <si>
    <t>AZ0020231</t>
  </si>
  <si>
    <t>1100 E TREATMENT PLANT DR</t>
  </si>
  <si>
    <t>AZ0025381</t>
  </si>
  <si>
    <t>35072 HWY 30</t>
  </si>
  <si>
    <t>LA0098191</t>
  </si>
  <si>
    <t>08070204000034</t>
  </si>
  <si>
    <t>5 MILES SOUTHWEST OF TUBA CITY</t>
  </si>
  <si>
    <t>NN0020290</t>
  </si>
  <si>
    <t>KERLEY VALLEY-MOENKOPI WASH (LOCAL DRAINAGE)</t>
  </si>
  <si>
    <t>22181 RESORT BOULEVARD, FLAGSTAFF</t>
  </si>
  <si>
    <t>NN0030344</t>
  </si>
  <si>
    <t>TRIBUTARY TO PADRE CANYON</t>
  </si>
  <si>
    <t>1750 TYSONS CENTRAL ST</t>
  </si>
  <si>
    <t>VAG830552</t>
  </si>
  <si>
    <t>DIFFICULT RUN</t>
  </si>
  <si>
    <t>138 NORTH MILWAUKEE AVENUE</t>
  </si>
  <si>
    <t>IDG911001</t>
  </si>
  <si>
    <t>FITCH LATERAL</t>
  </si>
  <si>
    <t>3950 NW YEON AVE</t>
  </si>
  <si>
    <t>OR0034606</t>
  </si>
  <si>
    <t>WILLAMETTE RIVER</t>
  </si>
  <si>
    <t>536 N BENJAMIN LN</t>
  </si>
  <si>
    <t>IDG911002</t>
  </si>
  <si>
    <t>10125 BEACH RD B324</t>
  </si>
  <si>
    <t>VAG830549</t>
  </si>
  <si>
    <t>2261 HUGHES AVE, STE 155</t>
  </si>
  <si>
    <t>TX0116114</t>
  </si>
  <si>
    <t>LOWER LEON CREEK</t>
  </si>
  <si>
    <t>9700 SOUTH CASS AVENUE</t>
  </si>
  <si>
    <t>60439-4803</t>
  </si>
  <si>
    <t>IL0034592</t>
  </si>
  <si>
    <t>FREUND BROOK TRIB TO SAWMILL CREEK, INTERNAL WASTESTREAM, LOWER FREUND BROOK, SEE PERMIT, UNNAMED TRIB TO DES PLAINES RIVER, UNNAMED TRIB TO SAWMILL CREEK</t>
  </si>
  <si>
    <t>BUILDING 0892, MARINE CORPS BASE HAWAII KANEOHE BA</t>
  </si>
  <si>
    <t>HI0110078</t>
  </si>
  <si>
    <t>2501 GAITHER STATION RD</t>
  </si>
  <si>
    <t>42701-7353</t>
  </si>
  <si>
    <t>KY0022039</t>
  </si>
  <si>
    <t>VALLEY CREEK, VALLEY CRK</t>
  </si>
  <si>
    <t>200 NEWTOWN RD</t>
  </si>
  <si>
    <t>VAG830538</t>
  </si>
  <si>
    <t>EASTERN BRANCH ELIZABETH RIVER</t>
  </si>
  <si>
    <t>250 BRIGDEN DRIVE</t>
  </si>
  <si>
    <t>49014-6612</t>
  </si>
  <si>
    <t>MI0042994</t>
  </si>
  <si>
    <t>BATTLE CREEK RIVER</t>
  </si>
  <si>
    <t>338 KENTUCKY AVE</t>
  </si>
  <si>
    <t>KY0020621</t>
  </si>
  <si>
    <t>GLEENS CREEK, GLENNS CRK</t>
  </si>
  <si>
    <t>20111 SHAY ROAD</t>
  </si>
  <si>
    <t>92394-8539</t>
  </si>
  <si>
    <t>CA0102822</t>
  </si>
  <si>
    <t>MOJAVE RIVER</t>
  </si>
  <si>
    <t>2151 NORTH RANCHO DRIVE</t>
  </si>
  <si>
    <t>NV0024220</t>
  </si>
  <si>
    <t>VIRGINIA BEACH BLVD</t>
  </si>
  <si>
    <t>VAG830555</t>
  </si>
  <si>
    <t>LYNNHAVEN RIVER</t>
  </si>
  <si>
    <t>CAPE HENRY DR BETWEEN EBB TIDE RD AND W GREAT NECK</t>
  </si>
  <si>
    <t>VAG830550</t>
  </si>
  <si>
    <t>3309 E. 8TH STREET</t>
  </si>
  <si>
    <t>NE0139556</t>
  </si>
  <si>
    <t>3601 DOCK ST</t>
  </si>
  <si>
    <t>90731-7540</t>
  </si>
  <si>
    <t>CA0064165</t>
  </si>
  <si>
    <t>CERRITOS CHANNEL, CERRITOS CHANNEL WITHIN LONG BEACH INNER HARBOR</t>
  </si>
  <si>
    <t>2200 E PACIFIC COAST HWY</t>
  </si>
  <si>
    <t>CA0063177</t>
  </si>
  <si>
    <t>3301 SUTTON RD</t>
  </si>
  <si>
    <t>MI0026034</t>
  </si>
  <si>
    <t>RIVER RAISIN</t>
  </si>
  <si>
    <t>04100002000101</t>
  </si>
  <si>
    <t>4460 NALU ROAD</t>
  </si>
  <si>
    <t>HI0020257</t>
  </si>
  <si>
    <t>PACIFIC OCEANOFFSHORE WAILUA</t>
  </si>
  <si>
    <t>232 SHANGRI-LA RD</t>
  </si>
  <si>
    <t>VAG830429</t>
  </si>
  <si>
    <t>SOUTH FORK SHENANDOAH RIVER-BROWN HOLLOW RUN</t>
  </si>
  <si>
    <t>401 PANABAKER LN</t>
  </si>
  <si>
    <t>95076-</t>
  </si>
  <si>
    <t>CA0048216</t>
  </si>
  <si>
    <t>2910 HILLTOP DRIVE</t>
  </si>
  <si>
    <t>CA0038539</t>
  </si>
  <si>
    <t>CENTRAL SAN FRANCISCO BAY</t>
  </si>
  <si>
    <t>3 PARADISE RD</t>
  </si>
  <si>
    <t>NJ0171905</t>
  </si>
  <si>
    <t>02040202001766</t>
  </si>
  <si>
    <t>5459 BELLVIEW RD</t>
  </si>
  <si>
    <t>KY0107239</t>
  </si>
  <si>
    <t>05090203000041</t>
  </si>
  <si>
    <t>WESTLAKE VINYLS CO LP</t>
  </si>
  <si>
    <t>2800 N EL PASO FLAGSTAFF RD</t>
  </si>
  <si>
    <t>AZ0020427</t>
  </si>
  <si>
    <t>425 CEMETARY RD</t>
  </si>
  <si>
    <t>KY0028347</t>
  </si>
  <si>
    <t>05130101000083</t>
  </si>
  <si>
    <t>3300 STEWARTSVILLE RD</t>
  </si>
  <si>
    <t>KY0109991</t>
  </si>
  <si>
    <t>CLARKS CREEK, CLARKS CRK</t>
  </si>
  <si>
    <t>OLD BOONESBOROUGH RD</t>
  </si>
  <si>
    <t>KY0108740</t>
  </si>
  <si>
    <t>05100205000175</t>
  </si>
  <si>
    <t>LAGOON ROAD</t>
  </si>
  <si>
    <t>NN0021555</t>
  </si>
  <si>
    <t>42929 COUNTY ROAD 24</t>
  </si>
  <si>
    <t>CA0077950</t>
  </si>
  <si>
    <t>TULE CANAL</t>
  </si>
  <si>
    <t>07110004001360</t>
  </si>
  <si>
    <t>800 PHILLIPS RD</t>
  </si>
  <si>
    <t>NY0002402</t>
  </si>
  <si>
    <t>MILL CK TR</t>
  </si>
  <si>
    <t>04140101000567</t>
  </si>
  <si>
    <t>302 BURNS DR</t>
  </si>
  <si>
    <t>CA0079260</t>
  </si>
  <si>
    <t>FEATHER RIVER, FEATHER RIVER VIA DIFFUSER, FEATHER RIVER VIA DIRECT DISCHARGE, FEATHER RIVER VIA DISPOSAL PONDS</t>
  </si>
  <si>
    <t>1800 WAZEE ST</t>
  </si>
  <si>
    <t>CO0049007</t>
  </si>
  <si>
    <t>Reporting Year</t>
  </si>
  <si>
    <t>Form Type</t>
  </si>
  <si>
    <t>Zip</t>
  </si>
  <si>
    <t>TRI Facility ID</t>
  </si>
  <si>
    <t>Primary NAICS</t>
  </si>
  <si>
    <t>NAICS Description</t>
  </si>
  <si>
    <t>On-site Water Release (lb)</t>
  </si>
  <si>
    <t>On-site Water Release (kg)</t>
  </si>
  <si>
    <t>A</t>
  </si>
  <si>
    <t>Direct</t>
  </si>
  <si>
    <t>R</t>
  </si>
  <si>
    <t>Pesticide and Other Agricultural Chemical Manufacturing</t>
  </si>
  <si>
    <t>Petroleum Refineries</t>
  </si>
  <si>
    <t>309 AMERICAN CIR UNION</t>
  </si>
  <si>
    <t>Hazardous Waste Treatment and Disposal</t>
  </si>
  <si>
    <t>EAGLE US 2 LLC</t>
  </si>
  <si>
    <t>1300 PPG DR</t>
  </si>
  <si>
    <t>FORMOSA PLASTICS CORP LOUISIANA</t>
  </si>
  <si>
    <t>GULF STATES RD</t>
  </si>
  <si>
    <t>FORMOSA PLASTICS CORP TEXAS</t>
  </si>
  <si>
    <t>201 FORMOSA DR</t>
  </si>
  <si>
    <t>Solid Waste Combustors and Incinerators</t>
  </si>
  <si>
    <t>HONEYWELL INTERNATIONAL INC-BATON ROUGE PLANT</t>
  </si>
  <si>
    <t>CORNER OF LUPINE &amp; ONTARIO STR EETS</t>
  </si>
  <si>
    <t>OCCIDENTAL CHEMICAL CORP</t>
  </si>
  <si>
    <t>4133 HWY 361</t>
  </si>
  <si>
    <t>GREGORY</t>
  </si>
  <si>
    <t>OCCIDENTAL CHEMICAL HOLDING CORP - GEISMAR PLANT</t>
  </si>
  <si>
    <t>8318 ASHLAND RD</t>
  </si>
  <si>
    <t>OLIN BLUE CUBE FREEPORT TX</t>
  </si>
  <si>
    <t>2301 N BRAZOSPORT BLVD.</t>
  </si>
  <si>
    <t>2468 IND US TRIAL PKWY</t>
  </si>
  <si>
    <t>2469 INDUSTRIAL PKWY</t>
  </si>
  <si>
    <t>1,2-Dichloroethane</t>
  </si>
  <si>
    <t>Flow, in conduit or thru treatment plant</t>
  </si>
  <si>
    <t xml:space="preserve">Formula </t>
  </si>
  <si>
    <t>Mon mg/L</t>
  </si>
  <si>
    <t>Mon MGD</t>
  </si>
  <si>
    <t>NPDES</t>
  </si>
  <si>
    <t>Mon Pd End Date</t>
  </si>
  <si>
    <t>DAILY MX</t>
  </si>
  <si>
    <t>MO AVG</t>
  </si>
  <si>
    <t>Daily MX Discharge (kg/day)</t>
  </si>
  <si>
    <t>Period Load (kg/period)</t>
  </si>
  <si>
    <t>Period Avg (kg/day)</t>
  </si>
  <si>
    <t>Normalized Monthly Average (kg/month)</t>
  </si>
  <si>
    <t>lb/period (check)</t>
  </si>
  <si>
    <t>Outfall #</t>
  </si>
  <si>
    <t>Note that Monthly Avg Flow is larger than Daily Max.</t>
  </si>
  <si>
    <t>Our lb/period values are slightly off c/o facility loading calculations - could be due to monitoring data only providing one significant digit</t>
  </si>
  <si>
    <t>See above note</t>
  </si>
  <si>
    <t>NODI: C</t>
  </si>
  <si>
    <t>none provided</t>
  </si>
  <si>
    <t>31A</t>
  </si>
  <si>
    <t>Values for this outfall are "DAILY AV" instead of "MO AVG"</t>
  </si>
  <si>
    <t>SUM</t>
  </si>
  <si>
    <t>NODI: B</t>
  </si>
  <si>
    <t>Values are "DAILY AV" instead of "MO AVG"</t>
  </si>
  <si>
    <t>not provided</t>
  </si>
  <si>
    <t>031A</t>
  </si>
  <si>
    <t xml:space="preserve">Flow values were not provided for this outfall. </t>
  </si>
  <si>
    <t xml:space="preserve">Flow data was not provided for this outfall. </t>
  </si>
  <si>
    <t xml:space="preserve">The wastewater flow values for this outfall do not match those on the facility loading calculations. </t>
  </si>
  <si>
    <t>Total transfers to POTW for treatment and release (lb)</t>
  </si>
  <si>
    <t>Total transfers to POTW for treatment and release (kg)</t>
  </si>
  <si>
    <t>Transfers for wastewater treatment (non-POTW) (lb)</t>
  </si>
  <si>
    <t>Transfers for wastewater treatment (non-POTW) (kg)</t>
  </si>
  <si>
    <t>High-End Daily On-Site Water Release (kg/day)</t>
  </si>
  <si>
    <t>High-End Daily Transfers for wastewater treatment (non-POTW) (kg/day)</t>
  </si>
  <si>
    <t>High-End Daily transfers to POTW for treatment and release (kg/day)</t>
  </si>
  <si>
    <t>LA0007129</t>
  </si>
  <si>
    <t>Indirect</t>
  </si>
  <si>
    <t>ILP000259</t>
  </si>
  <si>
    <t>MO0001716</t>
  </si>
  <si>
    <t>BUCKMAN LABORATORIES INC</t>
  </si>
  <si>
    <t>14664 E STATE HWY 47</t>
  </si>
  <si>
    <t>OK0040789</t>
  </si>
  <si>
    <t>DDP SPECIALTY ELECTRONIC MATERIALS US INC</t>
  </si>
  <si>
    <t>TXR1550CA</t>
  </si>
  <si>
    <t>TXR15363V</t>
  </si>
  <si>
    <t>TXR15285Z</t>
  </si>
  <si>
    <t>AR0000680</t>
  </si>
  <si>
    <t>OH0107298</t>
  </si>
  <si>
    <t>SCR006034</t>
  </si>
  <si>
    <t>IA0000205</t>
  </si>
  <si>
    <t>NCS000259</t>
  </si>
  <si>
    <t>LAR10O053</t>
  </si>
  <si>
    <t>LA0056171</t>
  </si>
  <si>
    <t>TXR15344S</t>
  </si>
  <si>
    <t>GAIS00500</t>
  </si>
  <si>
    <t>TX0070416</t>
  </si>
  <si>
    <t>LAG679014</t>
  </si>
  <si>
    <t>LAG531508</t>
  </si>
  <si>
    <t>LAR05P678</t>
  </si>
  <si>
    <t># of DMR entries</t>
  </si>
  <si>
    <t># of TRI entries</t>
  </si>
  <si>
    <t># of DMR Facilities</t>
  </si>
  <si>
    <t>DMR HE Discharge</t>
  </si>
  <si>
    <t>DMR 1-Day Max</t>
  </si>
  <si>
    <t># of TRI Facilities</t>
  </si>
  <si>
    <t>TRI HE Discharge</t>
  </si>
  <si>
    <t>TRI 1-Day Max</t>
  </si>
  <si>
    <t># of TRI/DMR facilities</t>
  </si>
  <si>
    <t>Assumes facility operates 7 days/week and 50 weeks/yr (with two weeks down for turnaround) and that the facility is producing and releasing the chemical daily during operation.</t>
  </si>
  <si>
    <t>Assumes operation 5 days/week for 50 weeks/yr.</t>
  </si>
  <si>
    <t xml:space="preserve"> </t>
  </si>
  <si>
    <t xml:space="preserve">EPA does not expect that chemical will be used year-round, even if the facility operates year-round. Therefore, EPA assumes 300 day/yr for release frequency, which is based on an EU SpERC that uses a default of 300 days/yr for release </t>
  </si>
  <si>
    <t>Processing Aid</t>
  </si>
  <si>
    <t>Assumes year round operation</t>
  </si>
  <si>
    <t>Formulation of Adhesives and Sealants</t>
  </si>
  <si>
    <t>Assumes operation 5 days/week for 50 weeks/yr. April 2009 ESD on Adhesive Formulation does not provide generic # of days estimate.</t>
  </si>
  <si>
    <t xml:space="preserve">Assumes operation 5 days/week for 50 weeks/yr. April 2015 ESD on Use of Adhesive recommends assuming 260 days/yr for the default case (Motor and Non-Motor Vehicle, Vehicle Parts, and Tire Manufacturing (Except Retreading). Note that number of days varies per industry. </t>
  </si>
  <si>
    <t>Engine Coolant Additive</t>
  </si>
  <si>
    <t>Industrial Application of Industrial Application of Lubricants and Greases</t>
  </si>
  <si>
    <t>Oxidation Inhibitor in Chemical Reactions</t>
  </si>
  <si>
    <t>Vapor Degreasing (TBD)</t>
  </si>
  <si>
    <t>Plastics Compounding</t>
  </si>
  <si>
    <t>Plastics Converting</t>
  </si>
  <si>
    <t>June 2022 Laboratory Chems GS estimates 260 days/yr.</t>
  </si>
  <si>
    <t>Embalming agent</t>
  </si>
  <si>
    <t>Assumes year round remediation</t>
  </si>
  <si>
    <t># of Mapped Entries</t>
  </si>
  <si>
    <t># of Total Entries</t>
  </si>
  <si>
    <t># of entries</t>
  </si>
  <si>
    <t>Generic Factor (normalized to 30 days)</t>
  </si>
  <si>
    <t>Comments</t>
  </si>
  <si>
    <t>Chlorinated Solvents Wastewater Discharge Data Spreadsheet</t>
  </si>
  <si>
    <t xml:space="preserve">Summary Statistics </t>
  </si>
  <si>
    <t>TRI - No. of unique Facilities reporting wastewater discharges of 1,2-Dichloroethane (2015-2020)</t>
  </si>
  <si>
    <t>TRI - Total No. of Wastewater Discharge Reports (2015-2020)</t>
  </si>
  <si>
    <t>Note: No Form A Facilities</t>
  </si>
  <si>
    <t>DMR - No. of Unique Facilities reporting wastewater discharges of 1,2-Dichloroethane (2015-2020)</t>
  </si>
  <si>
    <t xml:space="preserve">DMR - Total No. of Wastewater Discharge Reports (2015 - 2020) </t>
  </si>
  <si>
    <t>Total No. of Unique Facilities reporting wastewater discharges of 1,2-Dichloroethane (TRI + DMR) - (2015 to 2020)</t>
  </si>
  <si>
    <t>Total No. of wastewater discharge reports (2015 - 2020) from TRI and DMR</t>
  </si>
  <si>
    <t>Mapping - Total entries mapped to OES</t>
  </si>
  <si>
    <t>Mapping - Total entries mapped to "Unknown"</t>
  </si>
  <si>
    <t>Mapping - Percentage of Entries Mapped to OES</t>
  </si>
  <si>
    <t>Annual Facility Discharge (kg/site-yr) from 2015 to 2020 - Min, Max, Median, Most Recent - No. of facilities completed</t>
  </si>
  <si>
    <t>Annual Facility Discharge (kg/site-yr) - % of Facilities Completed</t>
  </si>
  <si>
    <t>Average Direct Facility Discharge rate (kg/site-day) from 2015 to 2019 - Min, Max, Median, Most Recent - No. of facilities completed</t>
  </si>
  <si>
    <t>Average Direct Facility Discharge rate (kg/site-day) - % of Facilities Completed</t>
  </si>
  <si>
    <t xml:space="preserve">High-End Direct Facility Discharge rate (kg/site-day) from 2015 to 2019 - Min, Max, Median, Most Recent - No. of facilities completed </t>
  </si>
  <si>
    <t>High-End Direct Facility Discharge rate (kg/site-day) - % of Facilities Completed</t>
  </si>
  <si>
    <t>Will not reach 100% because all facilities do not have proper period data</t>
  </si>
  <si>
    <t>One-Day Max Facility Discharge rate (kg/site-day) from 2015 to 2020 - Min, Max, Median, Most Recent - No. of facilities completed</t>
  </si>
  <si>
    <t>One-Day Max. Facility Discharge rate (kg/site-day) - % of Facilities Completed</t>
  </si>
  <si>
    <t>SIC</t>
  </si>
  <si>
    <t>SIC Title</t>
  </si>
  <si>
    <t>2017 NAICS Code</t>
  </si>
  <si>
    <t xml:space="preserve">2017 NAICS Title
</t>
  </si>
  <si>
    <t>Wheat</t>
  </si>
  <si>
    <t>Soybean Farming</t>
  </si>
  <si>
    <t xml:space="preserve">Rice </t>
  </si>
  <si>
    <t>Oilseed (except Soybean) Farming</t>
  </si>
  <si>
    <t>Corn</t>
  </si>
  <si>
    <t>Dry Pea and Bean Farming</t>
  </si>
  <si>
    <t>Soybeans</t>
  </si>
  <si>
    <t>Wheat Farming</t>
  </si>
  <si>
    <t>Cash Grains, NEC (oilseed farming, except soybeans)</t>
  </si>
  <si>
    <t>Corn Farming</t>
  </si>
  <si>
    <t>Cash Grains, NEC (dry pea and bean farms)</t>
  </si>
  <si>
    <t>Rice Farming</t>
  </si>
  <si>
    <t>Cash Grains, NEC (popcorn farming)</t>
  </si>
  <si>
    <t>Oilseed and Grain Combination Farming</t>
  </si>
  <si>
    <t>Cash Grains, NEC (oilseed and grain combination farms)</t>
  </si>
  <si>
    <t>All Other Grain Farming</t>
  </si>
  <si>
    <t>Cash Grains, NEC (except popcorn, dry pea and bean, oilseed (except soybean), and oilseed and grain combination farms)</t>
  </si>
  <si>
    <t>Potato Farming</t>
  </si>
  <si>
    <t>Cotton</t>
  </si>
  <si>
    <t>Other Vegetable (except Potato) and Melon Farming</t>
  </si>
  <si>
    <t>Tobacco</t>
  </si>
  <si>
    <t>Orange Groves</t>
  </si>
  <si>
    <t>Sugarcane and Sugar Beets (sugarcane farms)</t>
  </si>
  <si>
    <t>Citrus (except Orange) Groves</t>
  </si>
  <si>
    <t>Sugarcane and Sugar Beets (sugar beet farms)</t>
  </si>
  <si>
    <t>Apple Orchards</t>
  </si>
  <si>
    <t>Irish Potatoes</t>
  </si>
  <si>
    <t>Grape Vineyards</t>
  </si>
  <si>
    <t>Field Crops, Except Cash Grains, NEC (broom corn farming)</t>
  </si>
  <si>
    <t>Strawberry Farming</t>
  </si>
  <si>
    <t>Field Crops Except Cash Grains (sweet potatoes and yams), NEC</t>
  </si>
  <si>
    <t>Berry (except Strawberry) Farming</t>
  </si>
  <si>
    <t>Field Crops, Except Cash Grains, NEC (hay farms)</t>
  </si>
  <si>
    <t>Tree Nut Farming</t>
  </si>
  <si>
    <t>Field Crops, Except Cash Grains, NEC (peanut farms)</t>
  </si>
  <si>
    <t>Fruit and Tree Nut Combination Farming</t>
  </si>
  <si>
    <t>Field Crops, Except Cash Grains, NEC (except peanut, sweet potato, broom corn, yam and hay farms)</t>
  </si>
  <si>
    <t>Other Noncitrus Fruit Farming</t>
  </si>
  <si>
    <t>Vegetables and Melons</t>
  </si>
  <si>
    <t>Mushroom Production</t>
  </si>
  <si>
    <t>Berry Crops (strawberry farms)</t>
  </si>
  <si>
    <t>Other Food Crops Grown Under Cover</t>
  </si>
  <si>
    <t>Berry Crops ( except strawberry farms)</t>
  </si>
  <si>
    <t>Nursery and Tree Production</t>
  </si>
  <si>
    <t>Grapes</t>
  </si>
  <si>
    <t>Floriculture Production</t>
  </si>
  <si>
    <t>Tree Nuts</t>
  </si>
  <si>
    <t>Tobacco Farming</t>
  </si>
  <si>
    <t>Citrus Fruits (orange groves and farms)</t>
  </si>
  <si>
    <t>Cotton Farming</t>
  </si>
  <si>
    <t>Citrus Fruits (except orange groves and farms)</t>
  </si>
  <si>
    <t>Sugarcane Farming</t>
  </si>
  <si>
    <t>Deciduous Tree Fruits (apple orchards and farms)</t>
  </si>
  <si>
    <t>Hay Farming</t>
  </si>
  <si>
    <t>Deciduous Tree Fruits (except apple orchards and farms)</t>
  </si>
  <si>
    <t>Sugar Beet Farming</t>
  </si>
  <si>
    <t>Fruits and Tree Nuts, NEC (combination farms)</t>
  </si>
  <si>
    <t>Peanut Farming</t>
  </si>
  <si>
    <t xml:space="preserve">Fruits and Tree Nuts, NEC (except combination farms) </t>
  </si>
  <si>
    <t>All Other Miscellaneous Crop Farming</t>
  </si>
  <si>
    <t>Ornamental Floriculture and Nursery Products (nursery farming)</t>
  </si>
  <si>
    <t>Beef Cattle Ranching and Farming</t>
  </si>
  <si>
    <t>Ornamental Floriculture and Nursery Products (floriculture farming)</t>
  </si>
  <si>
    <t>Cattle Feedlots</t>
  </si>
  <si>
    <t>Food Crops Grown Under Cover (growing mushrooms)</t>
  </si>
  <si>
    <t>Dairy Cattle and Milk Production</t>
  </si>
  <si>
    <t>Food Crops Grown Under Cover (except growing mushrooms)</t>
  </si>
  <si>
    <t>Dual-Purpose Cattle Ranching and Farming</t>
  </si>
  <si>
    <t>General Farms, Primarily Crop</t>
  </si>
  <si>
    <t>Hog and Pig Farming</t>
  </si>
  <si>
    <t>Beef Cattle Feedlots</t>
  </si>
  <si>
    <t>Chicken Egg Production</t>
  </si>
  <si>
    <t>Beef Cattle, Except Feedlots</t>
  </si>
  <si>
    <t>Broilers and Other Meat Type Chicken Production</t>
  </si>
  <si>
    <t>Hogs</t>
  </si>
  <si>
    <t>Turkey Production</t>
  </si>
  <si>
    <t>Sheep and Goats (sheep farms)</t>
  </si>
  <si>
    <t>Poultry Hatcheries</t>
  </si>
  <si>
    <t>Sheep and Goats (goat farms)</t>
  </si>
  <si>
    <t>Other Poultry Production</t>
  </si>
  <si>
    <t>General Livestock, Except Dairy and Poultry</t>
  </si>
  <si>
    <t>Sheep Farming</t>
  </si>
  <si>
    <t>Dairy Farms (dairy heifer replacement farms)</t>
  </si>
  <si>
    <t>Goat Farming</t>
  </si>
  <si>
    <t xml:space="preserve">Dairy Farms (except dairy heifer replacement farms) </t>
  </si>
  <si>
    <t>Finfish Farming and Fish Hatcheries</t>
  </si>
  <si>
    <t>Broiler, Fryer, and Roaster Chickens</t>
  </si>
  <si>
    <t>Shellfish Farming</t>
  </si>
  <si>
    <t>Chicken Eggs</t>
  </si>
  <si>
    <t>Other Aquaculture</t>
  </si>
  <si>
    <t>Turkeys and Turkey Eggs</t>
  </si>
  <si>
    <t>Apiculture</t>
  </si>
  <si>
    <t>Horses and Other Equine Production</t>
  </si>
  <si>
    <t>Poultry and Eggs, NEC</t>
  </si>
  <si>
    <t>Fur-Bearing Animal and Rabbit Production</t>
  </si>
  <si>
    <t>Fur-Bearing Animals and Rabbits</t>
  </si>
  <si>
    <t>All Other Animal Production</t>
  </si>
  <si>
    <t>Horses and Other Equines</t>
  </si>
  <si>
    <t>Timber Tract Operations</t>
  </si>
  <si>
    <t>Animal Aquaculture (finfish farms)</t>
  </si>
  <si>
    <t>Forest Nurseries and Gathering of Forest Products</t>
  </si>
  <si>
    <t>Animal Aquaculture (shellfish farms)</t>
  </si>
  <si>
    <t>Logging</t>
  </si>
  <si>
    <t>Animal Aquaculture (except finfish and shellfish farms)</t>
  </si>
  <si>
    <t>Finfish Fishing</t>
  </si>
  <si>
    <t>Animal Specialties, NEC (frog and alligator farms)</t>
  </si>
  <si>
    <t>Shellfish Fishing</t>
  </si>
  <si>
    <t>Animal Specialties, NEC (apiculture)</t>
  </si>
  <si>
    <t>Other Marine Fishing</t>
  </si>
  <si>
    <t>Animal Specialties, NEC (except apiculture, frog and alligator farms)</t>
  </si>
  <si>
    <t>Hunting and Trapping</t>
  </si>
  <si>
    <t>General Farms, Primarily Livestock and Animal Specialties</t>
  </si>
  <si>
    <t>Cotton Ginning</t>
  </si>
  <si>
    <t>Soil Preparation Services</t>
  </si>
  <si>
    <t>Soil Preparation, Planting, and Cultivating</t>
  </si>
  <si>
    <t>Crop Planting, Cultivating, and Protecting</t>
  </si>
  <si>
    <t>Crop Harvesting, Primarily by Machine</t>
  </si>
  <si>
    <t>Postharvest Crop Activities (except Cotton Ginning)</t>
  </si>
  <si>
    <t>Crop Preparation Services for Market, Except Cotton Ginning (except custom grain grinding)</t>
  </si>
  <si>
    <t>Farm Labor Contractors and Crew Leaders</t>
  </si>
  <si>
    <t>Crop Preparation Services for Market, Except Cotton Ginning (custom grain grinding)</t>
  </si>
  <si>
    <t>Farm Management Services</t>
  </si>
  <si>
    <t>Support Activities for Animal Production</t>
  </si>
  <si>
    <t>Veterinary Services for Livestock</t>
  </si>
  <si>
    <t>Support Activities for Forestry</t>
  </si>
  <si>
    <t>Veterinary Services for Animal Specialties</t>
  </si>
  <si>
    <t>Crude Petroleum Extraction</t>
  </si>
  <si>
    <t>Livestock Services, Except Veterinary (except custom slaughtering)</t>
  </si>
  <si>
    <t>Natural Gas Extraction</t>
  </si>
  <si>
    <t>Livestock Services, Except Veterinary (custom slaughtering)</t>
  </si>
  <si>
    <t>Bituminous Coal and Lignite Surface Mining</t>
  </si>
  <si>
    <t>Animal Specialty Services, Except Veterinary (boarding and training horses (except race horses), animal semen banks, and artificial insemination services for pets)</t>
  </si>
  <si>
    <t>Bituminous Coal Underground Mining</t>
  </si>
  <si>
    <t>Animal Specialty Services, Except Veterinary (pet care services, except veterinary)</t>
  </si>
  <si>
    <r>
      <t xml:space="preserve">Anthracite Mining - </t>
    </r>
    <r>
      <rPr>
        <i/>
        <sz val="10"/>
        <rFont val="Arial"/>
        <family val="2"/>
      </rPr>
      <t>anthracite surface mining</t>
    </r>
  </si>
  <si>
    <r>
      <t xml:space="preserve">Anthracite Mining - </t>
    </r>
    <r>
      <rPr>
        <i/>
        <sz val="10"/>
        <rFont val="Arial"/>
        <family val="2"/>
      </rPr>
      <t>anthracite underground mining</t>
    </r>
  </si>
  <si>
    <t>Iron Ore Mining</t>
  </si>
  <si>
    <t>Landscape Counseling and Planning (except horticultural consulting)</t>
  </si>
  <si>
    <t>Gold Ore Mining</t>
  </si>
  <si>
    <t>Landscape Counseling and Planning (horticulture consulting)</t>
  </si>
  <si>
    <t>Silver Ore Mining</t>
  </si>
  <si>
    <t>Lawn and Garden Services</t>
  </si>
  <si>
    <t>Copper, Nickel, Lead, and Zinc Mining</t>
  </si>
  <si>
    <t>Ornamental Shrub and Tree Services</t>
  </si>
  <si>
    <t>Uranium-Radium-Vanadium Ore Mining</t>
  </si>
  <si>
    <t>Timber Tracts (short rotation woody crops)</t>
  </si>
  <si>
    <t>All Other Metal Ore Mining</t>
  </si>
  <si>
    <t>Timber Tracts (long term timber farms)</t>
  </si>
  <si>
    <t>Dimension Stone Mining and Quarrying</t>
  </si>
  <si>
    <t>Forest Nurseries and Gathering of Forest Products (gathering maple sap)</t>
  </si>
  <si>
    <t>Crushed and Broken Limestone Mining and Quarrying</t>
  </si>
  <si>
    <t>Forest Nurseries and Gathering of Forest Products (forest products, except gathering of maple sap)</t>
  </si>
  <si>
    <t>Crushed and Broken Granite Mining and Quarrying</t>
  </si>
  <si>
    <t>Forestry Services</t>
  </si>
  <si>
    <t>Other Crushed and Broken Stone Mining and Quarrying</t>
  </si>
  <si>
    <t>Finfish</t>
  </si>
  <si>
    <t>Construction Sand and Gravel Mining</t>
  </si>
  <si>
    <t>Shellfish</t>
  </si>
  <si>
    <t>Industrial Sand Mining</t>
  </si>
  <si>
    <t>Miscellaneous Marine Products (plant aquaculture)</t>
  </si>
  <si>
    <t>Kaolin and Ball Clay Mining</t>
  </si>
  <si>
    <t>Miscellaneous Marine Products (cultured pearl production)</t>
  </si>
  <si>
    <t>Clay and Ceramic and Refractory Minerals Mining</t>
  </si>
  <si>
    <t>Miscellaneous Marine Products (catching sea urchins)</t>
  </si>
  <si>
    <t>Potash, Soda, and Borate Mineral Mining</t>
  </si>
  <si>
    <t>Miscellaneous Marine Products (except plant aquaculture, cultured pearl production, and catching sea urchins)</t>
  </si>
  <si>
    <t>Phosphate Rock Mining</t>
  </si>
  <si>
    <t>Other Chemical and Fertilizer Mineral Mining</t>
  </si>
  <si>
    <t>Fish Hatcheries and Preserves (shellfish hatcheries)</t>
  </si>
  <si>
    <t>All Other Nonmetallic Mineral Mining</t>
  </si>
  <si>
    <t>Hunting and Trapping, and Game Propagation</t>
  </si>
  <si>
    <t>Drilling Oil and Gas Wells</t>
  </si>
  <si>
    <t>Iron Ores</t>
  </si>
  <si>
    <t>Support Activities for Oil and Gas Operations</t>
  </si>
  <si>
    <t>Copper Ores</t>
  </si>
  <si>
    <t>Support Activities for Coal Mining</t>
  </si>
  <si>
    <t>Lead and Zinc Ores</t>
  </si>
  <si>
    <t>Support Activities for Metal Mining</t>
  </si>
  <si>
    <t>Support Activities for Nonmetallic Minerals (except Fuels) Mining</t>
  </si>
  <si>
    <t>Silver Ores</t>
  </si>
  <si>
    <t>Hydroelectric Power Generation</t>
  </si>
  <si>
    <t>Ferroalloy Ores, Except Vanadium (nickel)</t>
  </si>
  <si>
    <t>Fossil Fuel Electric Power Generation</t>
  </si>
  <si>
    <t>Ferroalloy Ores, Except Vanadium (other ferroalloys except nickel)</t>
  </si>
  <si>
    <t>Nuclear Electric Power Generation</t>
  </si>
  <si>
    <t>Metal Mining Services (except site preparation and related activities performed on a contract or fee basis and geophysical surveying and mapping)</t>
  </si>
  <si>
    <t>Solar Electric Power Generation</t>
  </si>
  <si>
    <t>Metal Mining Services (site preparation and related construction activities on a contract basis)</t>
  </si>
  <si>
    <t>Wind Electric Power Generation</t>
  </si>
  <si>
    <t>Metal Mining Services (geophysical surveying and mapping)</t>
  </si>
  <si>
    <t>Geothermal Electric Power Generation</t>
  </si>
  <si>
    <t>Uranium-Radium-Vanadium Ores</t>
  </si>
  <si>
    <t>Biomass Electric Power Generation</t>
  </si>
  <si>
    <t>Miscellaneous Metal Ores, NEC</t>
  </si>
  <si>
    <t>Other Electric Power Generation</t>
  </si>
  <si>
    <t>Electric Bulk Power Transmission and Control</t>
  </si>
  <si>
    <t>Electric Power Distribution</t>
  </si>
  <si>
    <t>Anthracite Mining</t>
  </si>
  <si>
    <t>Natural Gas Distribution</t>
  </si>
  <si>
    <t>Coal Mining Services (except site preparation and related construction activities on a contract basis)</t>
  </si>
  <si>
    <t>Water Supply and Irrigation Systems</t>
  </si>
  <si>
    <t>Coal Mining Services (site preparation and related construction activities on a contract basis)</t>
  </si>
  <si>
    <t>Sewage Treatment Facilities</t>
  </si>
  <si>
    <t>Crude Petroleum and Natural Gas</t>
  </si>
  <si>
    <t>Steam and Air-Conditioning Supply</t>
  </si>
  <si>
    <t>Natural Gas Liquids</t>
  </si>
  <si>
    <t>New Single-Family Housing Construction (except For-Sale Builders)</t>
  </si>
  <si>
    <t>New Multifamily Housing Construction (except For-Sale Builders)</t>
  </si>
  <si>
    <t>Oil and Gas Field Exploration Services (except geophysical mapping and surveying)</t>
  </si>
  <si>
    <t>New Housing For-Sale Builders</t>
  </si>
  <si>
    <t>Oil and Gas Field Exploration Services (geophysical surveying and mapping)</t>
  </si>
  <si>
    <t>Residential Remodelers</t>
  </si>
  <si>
    <t>Oil and Gas Field Services, NEC (except construction of field gathering lines, site preparation and related construction activities performed on a contract or fee basis)</t>
  </si>
  <si>
    <t>Industrial Building Construction</t>
  </si>
  <si>
    <t>Oil and Gas Field Services, NEC (construction of field gathering lines on a contract or fee basis)</t>
  </si>
  <si>
    <t>Commercial and Institutional Building Construction</t>
  </si>
  <si>
    <t>Oil and Gas Field Services, NEC (site preparation and related construction activities on a contract basis)</t>
  </si>
  <si>
    <t>Water and Sewer Line and Related Structures Construction</t>
  </si>
  <si>
    <t>Dimension Stone</t>
  </si>
  <si>
    <t>Oil and Gas Pipeline and Related Structures Construction</t>
  </si>
  <si>
    <t>Crushed and Broken Limestone</t>
  </si>
  <si>
    <t>Power and Communication Line and Related Structures Construction</t>
  </si>
  <si>
    <t>Crushed and Broken Granite</t>
  </si>
  <si>
    <t>Land Subdivision</t>
  </si>
  <si>
    <t>Crushed and Broken Stone, NEC</t>
  </si>
  <si>
    <t>Highway, Street, and Bridge Construction</t>
  </si>
  <si>
    <t>Construction Sand and Gravel</t>
  </si>
  <si>
    <t>Other Heavy and Civil Engineering Construction</t>
  </si>
  <si>
    <t>Industrial Sand</t>
  </si>
  <si>
    <t>Poured Concrete Foundation and Structure Contractors</t>
  </si>
  <si>
    <t>Kaolin and Ball Clay</t>
  </si>
  <si>
    <t>Structural Steel and Precast Concrete Contractors</t>
  </si>
  <si>
    <t>Clay, Ceramic, and Refractory Minerals, NEC</t>
  </si>
  <si>
    <t>Framing Contractors</t>
  </si>
  <si>
    <t>Potash, Soda, and Borate Minerals</t>
  </si>
  <si>
    <t>Masonry Contractors</t>
  </si>
  <si>
    <t>Phosphate Rock</t>
  </si>
  <si>
    <t>Glass and Glazing Contractors</t>
  </si>
  <si>
    <t>Chemical and Fertilizer Mineral Mining, NEC</t>
  </si>
  <si>
    <t>Roofing Contractors</t>
  </si>
  <si>
    <t>Nonmetallic Minerals Services, Except Fuels (except geophysical surveying and mapping and site preparation and related construction activities performed on a contract or fee basis)</t>
  </si>
  <si>
    <t>Siding Contractors</t>
  </si>
  <si>
    <t>Nonmetallic Minerals Services, Except Fuels (site preparation and related construction activities on a contract basis)</t>
  </si>
  <si>
    <t>Other Foundation, Structure, and Building Exterior Contractors</t>
  </si>
  <si>
    <t>Nonmetallic Minerals Services, Except Fuels (geophysical surveying and mapping)</t>
  </si>
  <si>
    <t>Electrical Contractors and Other Wiring Installation Contractors</t>
  </si>
  <si>
    <t>Miscellaneous Nonmetallic Minerals, Except Fuels (bituminous limestone and bituminous sandstone)</t>
  </si>
  <si>
    <t>Plumbing, Heating, and Air-Conditioning Contractors</t>
  </si>
  <si>
    <t>Miscellaneous Nonmetallic Minerals, Except Fuels (except bituminous limestone and bituminous sandstone)</t>
  </si>
  <si>
    <t>Other Building Equipment Contractors</t>
  </si>
  <si>
    <t>General Contractors--Single Family Houses (except remodeling contractors)</t>
  </si>
  <si>
    <t>Drywall and Insulation Contractors</t>
  </si>
  <si>
    <t>General Contractors - Single-Family Houses (remodeling contractors)</t>
  </si>
  <si>
    <t>Painting and Wall Covering Contractors</t>
  </si>
  <si>
    <t>Flooring Contractors</t>
  </si>
  <si>
    <t>General Contractors - Residential Buildings Other Than Single-Family (remodeling contractors)</t>
  </si>
  <si>
    <t>Tile and Terrazzo Contractors</t>
  </si>
  <si>
    <t>General Contractors - Residential Buildings Other Than Single-Family (dormitory, barrack, hotel, and motel construction contractors)</t>
  </si>
  <si>
    <t>Finish Carpentry Contractors</t>
  </si>
  <si>
    <t>Operative Builders (residential operative builders)</t>
  </si>
  <si>
    <t>Other Building Finishing Contractors</t>
  </si>
  <si>
    <t>Operative Builders (residential operative remodelers)</t>
  </si>
  <si>
    <t>Site Preparation Contractors</t>
  </si>
  <si>
    <t>Operative Builders (Operative builders of industrial and manufacturing buildings except grain elevators, dry cleaning plants, and manufacturing and industrial warehouses)</t>
  </si>
  <si>
    <t>All Other Specialty Trade Contractors</t>
  </si>
  <si>
    <t>Operative Builders (grain elevator, dry cleaning plant, and manufacturing and industrial warehouse operative builders)</t>
  </si>
  <si>
    <t>Dog and Cat Food Manufacturing</t>
  </si>
  <si>
    <t>General Contractors Industrial Buildings and Warehouses ( except grain elevators; drycleaning plants; and manufacturing, public, and industrial warehouses)</t>
  </si>
  <si>
    <t>Other Animal Food Manufacturing</t>
  </si>
  <si>
    <t>General Contractors - Industrial Buildings and Warehouses (general contractors of grain elevators; dry cleaning plants; and manufacturing, industrial, and public warehouses)</t>
  </si>
  <si>
    <t>Flour Milling</t>
  </si>
  <si>
    <t>General Contractors - Nonresidential Buildings, Other than Industrial Buildings and Warehouses</t>
  </si>
  <si>
    <t>Rice Milling</t>
  </si>
  <si>
    <t>Highway and Street Construction, Except Elevated Highways</t>
  </si>
  <si>
    <t>Malt Manufacturing</t>
  </si>
  <si>
    <t xml:space="preserve">Bridge, Tunnel, and Elevated Highway Construction (bridge and elevated highway construction) </t>
  </si>
  <si>
    <t>Wet Corn Milling</t>
  </si>
  <si>
    <t>Bridge, Tunnel, and Elevated Highway Construction (tunnel construction)</t>
  </si>
  <si>
    <t>Soybean and Other Oilseed Processing</t>
  </si>
  <si>
    <t>Water, Sewer, Pipeline, and Communications and Power Line Construction (water and sewer pipelines and related construction)</t>
  </si>
  <si>
    <t>Fats and Oils Refining and Blending</t>
  </si>
  <si>
    <t>Water, Sewer, Pipeline, and Communications and Power Line Construction (gas and oil pipelines, mains, and pumping stations)</t>
  </si>
  <si>
    <t>Breakfast Cereal Manufacturing</t>
  </si>
  <si>
    <t>Water, Sewer, Pipeline, and Communications and Power Line Construction (power and communications transmission lines)</t>
  </si>
  <si>
    <t>Beet Sugar Manufacturing</t>
  </si>
  <si>
    <t>Cane Sugar Manufacturing</t>
  </si>
  <si>
    <t>Heavy Construction NEC (irrigation systems, sewage treatment plants, and water treatment plants)</t>
  </si>
  <si>
    <t>Nonchocolate Confectionery Manufacturing</t>
  </si>
  <si>
    <t>Heavy Construction, NEC (petrochemical plants and refineries)</t>
  </si>
  <si>
    <t>Chocolate and Confectionery Manufacturing from Cacao Beans</t>
  </si>
  <si>
    <t>Heavy Construction, NEC (power generation plants [except hydroelectric dams], transmission stations, and distribution stations)</t>
  </si>
  <si>
    <t>Confectionery Manufacturing from Purchased Chocolate</t>
  </si>
  <si>
    <t>Heavy Construction, NEC (except industrial nonbuilding structures, irrigation systems, sewage and water treatment plants, petrochemical plants and refineries, power generation plants [except hydroelectric dams] transmission and distribution stations, right-of-way clearing, line slashing, blasting, and trenching)</t>
  </si>
  <si>
    <t>Frozen Fruit, Juice, and Vegetable Manufacturing</t>
  </si>
  <si>
    <t>Heavy Construction, NEC (right-of-way clearing and line slashing, blasting, and trenching)</t>
  </si>
  <si>
    <t>Frozen Specialty Food Manufacturing</t>
  </si>
  <si>
    <t>Plumbing, Heating, and Air-Conditioning (environmental control installation contractors)</t>
  </si>
  <si>
    <t>Fruit and Vegetable Canning</t>
  </si>
  <si>
    <t>Plumbing, Heating, and Air-Conditioning (except environmental controls installation; and septic tank, cesspool, and dry well construction)</t>
  </si>
  <si>
    <t>Specialty Canning</t>
  </si>
  <si>
    <t>Plumbing, Heating, and Air-Conditioning (septic tank, cesspool, and dry well construction contractors)</t>
  </si>
  <si>
    <t>Dried and Dehydrated Food Manufacturing</t>
  </si>
  <si>
    <t>Painting and Paper Hanging (traffic lane painting)</t>
  </si>
  <si>
    <t>Fluid Milk Manufacturing</t>
  </si>
  <si>
    <t>Painting and Paper Hanging</t>
  </si>
  <si>
    <t>Creamery Butter Manufacturing</t>
  </si>
  <si>
    <t>Electrical Work (electrical work except burglar and fire alarm installation)</t>
  </si>
  <si>
    <t>Cheese Manufacturing</t>
  </si>
  <si>
    <t>Masonry, Stone Setting, and Other Stone Work</t>
  </si>
  <si>
    <t>Dry, Condensed, and Evaporated Dairy Product Manufacturing</t>
  </si>
  <si>
    <t>Plastering, Drywall, Acoustical, and Insulation Work</t>
  </si>
  <si>
    <t>Ice Cream and Frozen Dessert Manufacturing</t>
  </si>
  <si>
    <t>Terrazzo, Tile, Marble, and Mosaic Work (fresco work)</t>
  </si>
  <si>
    <t>Animal (except Poultry) Slaughtering</t>
  </si>
  <si>
    <t>Terrazzo, Tile, Marble, and Mosaic Work (except fresco work)</t>
  </si>
  <si>
    <t>Meat Processed from Carcasses</t>
  </si>
  <si>
    <t>Carpentry Work (framing carpentry)</t>
  </si>
  <si>
    <t>Rendering and Meat Byproduct Processing</t>
  </si>
  <si>
    <t>Carpentry Work (finish carpentry)</t>
  </si>
  <si>
    <t>Poultry Processing</t>
  </si>
  <si>
    <t xml:space="preserve">Floor Laying and Other Floor Work, NEC </t>
  </si>
  <si>
    <t>Seafood Product Preparation and Packaging</t>
  </si>
  <si>
    <t>Roofing, Siding, and Sheet Metal Work (roofing contractors)</t>
  </si>
  <si>
    <t>Retail Bakeries</t>
  </si>
  <si>
    <t>Roofing, Siding, and Sheet Metal Work (siding contractors)</t>
  </si>
  <si>
    <t>Commercial Bakeries</t>
  </si>
  <si>
    <t>Roofing, Siding, and Sheet Metal Work (except roofing and siding work)</t>
  </si>
  <si>
    <t>Frozen Cakes, Pies, and Other Pastries Manufacturing</t>
  </si>
  <si>
    <t>Concrete Work (concrete work except stucco work and asphalt, brick, and paving)</t>
  </si>
  <si>
    <t>Cookie and Cracker Manufacturing</t>
  </si>
  <si>
    <t>Concrete Work (stucco work)</t>
  </si>
  <si>
    <t>Dry Pasta, Dough, and Flour Mixes Manufacturing from Purchased Flour</t>
  </si>
  <si>
    <t>Concrete Work (asphalt, brick, and concrete paving)</t>
  </si>
  <si>
    <t>Tortilla Manufacturing</t>
  </si>
  <si>
    <t>Water Well Drilling</t>
  </si>
  <si>
    <t>Roasted Nuts and Peanut Butter Manufacturing</t>
  </si>
  <si>
    <t>Structural Steel Erection (structural steel work)</t>
  </si>
  <si>
    <t>Other Snack Food Manufacturing</t>
  </si>
  <si>
    <t>Structural Steel Erection (curtain wall installation and metal furring installation)</t>
  </si>
  <si>
    <t>Coffee and Tea Manufacturing</t>
  </si>
  <si>
    <t>Structural Steel Erection (cooling tower installation)</t>
  </si>
  <si>
    <t>Flavoring Syrup and Concentrate Manufacturing</t>
  </si>
  <si>
    <t>Glass and Glazing Work</t>
  </si>
  <si>
    <t>Mayonnaise, Dressing, and Other Prepared Sauce Manufacturing</t>
  </si>
  <si>
    <t>Spice and Extract Manufacturing</t>
  </si>
  <si>
    <t>Wrecking and Demolition Work</t>
  </si>
  <si>
    <t>Perishable Prepared Food Manufacturing</t>
  </si>
  <si>
    <t>Installation or Erection of Building Equipment, NEC (scrubber, dust collection, and other industrial ventilation installation)</t>
  </si>
  <si>
    <t>All Other Miscellaneous Food Manufacturing</t>
  </si>
  <si>
    <t>Installation or Erection of Building Equipment, NEC (installation of equipment not elsewhere specified such as central vacuum cleaning systems and dumb waiters)</t>
  </si>
  <si>
    <t>Soft Drink Manufacturing</t>
  </si>
  <si>
    <t>Bottled Water Manufacturing</t>
  </si>
  <si>
    <t>Special Trade Contractors, NEC (anchored earth retention contractors)</t>
  </si>
  <si>
    <t>Ice Manufacturing</t>
  </si>
  <si>
    <t>Special Trade Contractors, NEC (glass tinting work)</t>
  </si>
  <si>
    <t>Breweries</t>
  </si>
  <si>
    <t>Special Trade Contractors, NEC (forming contractors and ornamental metal work contractors)</t>
  </si>
  <si>
    <t>Wineries</t>
  </si>
  <si>
    <t>Special Trade Contractors, NEC (building equipment installation contractors for service station equipment; boiler, duct, and pipe insulation; lightning rod installation; bowling alley equipment installation; church bell installation; and clock tower installation)</t>
  </si>
  <si>
    <t>Distilleries</t>
  </si>
  <si>
    <t>Special Trade Contractors, NEC (paint and wallpaper stripping and removing contractors)</t>
  </si>
  <si>
    <t>Tobacco Manufacturing</t>
  </si>
  <si>
    <t>Special Trade Contractors, NEC (countertop, residential-type, installation)</t>
  </si>
  <si>
    <t>Fiber, Yarn, and Thread Mills</t>
  </si>
  <si>
    <t>Special Trade Contractors, NEC (building finishing contractors for weather stripping and damp proofing, window covering fixture installation, bathtub refinishing, modular furniture installation, trade show exhibit installation and removal, and spectator seating installation) )</t>
  </si>
  <si>
    <t>Broadwoven Fabric Mills</t>
  </si>
  <si>
    <t>Special Trade Contractors, NEC (dewatering contractors, test drilling for construction, and core drilling for construction)</t>
  </si>
  <si>
    <t>Narrow Fabric Mills and Schiffli Machine Embroidery</t>
  </si>
  <si>
    <t>Special Trade Contractors, NEC (except indoor swimming pool contractors; anchored earth retention contractors; glass tinting work; forming contractors; ornamental metal work contractors; lightning rod installation contractors; paint and wall paper removal contractors; countertop, residential-type, installation; miscellaneous residential building finishing contractors; dewatering contractors; test drilling for construction; and core drilling for construction)</t>
  </si>
  <si>
    <t>Nonwoven Fabric Mills</t>
  </si>
  <si>
    <t>Special Trade Contractors, NEC (power washing building exteriors, not associated with construction)</t>
  </si>
  <si>
    <t>Knit Fabric Mills</t>
  </si>
  <si>
    <t>Special Trade Contractors, NEC (asbestos abatement and lead paint removal contractors)</t>
  </si>
  <si>
    <t>Textile and Fabric Finishing Mills</t>
  </si>
  <si>
    <t>Meat Packing Plants</t>
  </si>
  <si>
    <t>Fabric Coating Mills</t>
  </si>
  <si>
    <t>Sausages and Other Prepared Meat Products (except lard made from purchased materials)</t>
  </si>
  <si>
    <t>Carpet and Rug Mills</t>
  </si>
  <si>
    <t>Sausages and Other Prepared Meat Products (lard made from purchased materials)</t>
  </si>
  <si>
    <t>Curtain and Linen Mills</t>
  </si>
  <si>
    <t>Poultry Slaughtering and Processing (poultry slaughtering and processing)</t>
  </si>
  <si>
    <t>Textile Bag and Canvas Mills</t>
  </si>
  <si>
    <t>Poultry Slaughtering and Processing (egg processing)</t>
  </si>
  <si>
    <t>Rope, Cordage, Twine, Tire Cord, and Tire Fabric Mills</t>
  </si>
  <si>
    <t>Creamery Butter</t>
  </si>
  <si>
    <t>All Other Miscellaneous Textile Product Mills</t>
  </si>
  <si>
    <t>Natural, Processed, and Imitation Cheese</t>
  </si>
  <si>
    <t>Hosiery and Sock Mills</t>
  </si>
  <si>
    <t>Dry, Condensed and Evaporated Dairy Products (liquid non-dairy creamer)</t>
  </si>
  <si>
    <t>Other Apparel Knitting Mills</t>
  </si>
  <si>
    <t>Dry, Condensed and Evaporated Dairy Products (except liquid non-dairy creamer)</t>
  </si>
  <si>
    <t>Cut and Sew Apparel Contractors</t>
  </si>
  <si>
    <t>Ice Cream and Frozen Desserts</t>
  </si>
  <si>
    <t>Men's and Boys' Cut and Sew Apparel Manufacturing</t>
  </si>
  <si>
    <t>Fluid Milk (except ultra-high temperature)</t>
  </si>
  <si>
    <t>Women's, Girls', and Infants' Cut and Sew Apparel Manufacturing</t>
  </si>
  <si>
    <t>Fluid Milk (ultra-high temperature)</t>
  </si>
  <si>
    <t>Other Cut and Sew Apparel Manufacturing</t>
  </si>
  <si>
    <t>Canned Specialties (except canned puddings)</t>
  </si>
  <si>
    <t>Apparel Accessories and Other Apparel Manufacturing</t>
  </si>
  <si>
    <t>Canned Specialties (canned puddings)</t>
  </si>
  <si>
    <t>Leather and Hide Tanning and Finishing</t>
  </si>
  <si>
    <t>Canned Fruits, Vegetables, Preserves, Jams, and Jellies</t>
  </si>
  <si>
    <t>Footwear Manufacturing</t>
  </si>
  <si>
    <t>Dried and Dehydrated Fruits, Vegetables and Soup Mixes (vegetable flour)</t>
  </si>
  <si>
    <t>Women's Handbag and Purse Manufacturing</t>
  </si>
  <si>
    <t>Dried and Dehydrated Fruits, Vegetables and Soup Mixes (except vegetable flour and soup mixes made from purchased dried and dehydrated ingredients)</t>
  </si>
  <si>
    <t>All Other Leather Good and Allied Product Manufacturing</t>
  </si>
  <si>
    <t>Dried and Dehydrated Fruits, Vegetables, and Soup Mixes (soup mixes made from purchased dehydrated ingredients)</t>
  </si>
  <si>
    <t>Sawmills</t>
  </si>
  <si>
    <t>Pickled Fruits and Vegetables, Vegetable Sauces and Seasonings, and Salad Dressings (pickled fruits and vegetables)</t>
  </si>
  <si>
    <t>Wood Preservation</t>
  </si>
  <si>
    <t>Pickled Fruits and Vegetables, Vegetable Sauces and Seasonings, and Salad Dressings (sauces and salad dressings)</t>
  </si>
  <si>
    <t>Hardwood Veneer and Plywood Manufacturing</t>
  </si>
  <si>
    <t>Frozen Fruits, Fruit Juices, and Vegetables</t>
  </si>
  <si>
    <t>Softwood Veneer and Plywood Manufacturing</t>
  </si>
  <si>
    <t>Frozen Specialties, NEC</t>
  </si>
  <si>
    <t>Engineered Wood Member (except Truss) Manufacturing</t>
  </si>
  <si>
    <t>Flour and Other Grain Mill Products</t>
  </si>
  <si>
    <t>Truss Manufacturing</t>
  </si>
  <si>
    <t>Cereal Breakfast Foods (cereal breakfast foods and related preparations except grain based coffee substitutes)</t>
  </si>
  <si>
    <t>Reconstituted Wood Product Manufacturing</t>
  </si>
  <si>
    <t>Cereal Breakfast Foods (grain based coffee substitutes)</t>
  </si>
  <si>
    <t>Wood Window and Door Manufacturing</t>
  </si>
  <si>
    <t>Cut Stock, Resawing Lumber, and Planing</t>
  </si>
  <si>
    <t>Prepared Flour Mixes and Doughs</t>
  </si>
  <si>
    <t>Other Millwork (including Flooring)</t>
  </si>
  <si>
    <t>Wet Corn Milling (except refining purchased corn oil)</t>
  </si>
  <si>
    <t>Wood Container and Pallet Manufacturing</t>
  </si>
  <si>
    <t>Wet Corn Milling (refining purchased corn oil)</t>
  </si>
  <si>
    <t>Manufactured Home (Mobile Home) Manufacturing</t>
  </si>
  <si>
    <t>Dog and Cat Food</t>
  </si>
  <si>
    <t>Prefabricated Wood Building Manufacturing</t>
  </si>
  <si>
    <t>Prepared Feeds and Feed Ingredients for Animals and Fowls, Except Dogs and Cats (except slaughtering animals for pet food)</t>
  </si>
  <si>
    <t>All Other Miscellaneous Wood Product Manufacturing</t>
  </si>
  <si>
    <t>Prepared Feeds and Feed Ingredients for Animals and Fowls, Except Dogs and Cats (slaughtering animals for pet food)</t>
  </si>
  <si>
    <t>Pulp Mills</t>
  </si>
  <si>
    <t>Bread and Other Bakery Products, Except Cookies and Crackers</t>
  </si>
  <si>
    <t>Paper (except Newsprint) Mills</t>
  </si>
  <si>
    <t>Cookies and Crackers (unleavened bread and soft pretzels)</t>
  </si>
  <si>
    <t>Newsprint Mills</t>
  </si>
  <si>
    <t>Cookies and Crackers (except unleavened bread and pretzels)</t>
  </si>
  <si>
    <t>Paperboard Mills</t>
  </si>
  <si>
    <t>Cookies and Crackers (hard pretzels and snack pretzels, except soft)</t>
  </si>
  <si>
    <t>Corrugated and Solid Fiber Box Manufacturing</t>
  </si>
  <si>
    <t>Frozen Bakery Products, Except Bread</t>
  </si>
  <si>
    <t>Folding Paperboard Box Manufacturing</t>
  </si>
  <si>
    <t>Cane Sugar, Except Refining</t>
  </si>
  <si>
    <t>Other Paperboard Container Manufacturing</t>
  </si>
  <si>
    <t>Cane Sugar Refining</t>
  </si>
  <si>
    <t>Paper Bag and Coated and Treated Paper Manufacturing</t>
  </si>
  <si>
    <t>Beet Sugar</t>
  </si>
  <si>
    <t>Stationery Product Manufacturing</t>
  </si>
  <si>
    <t>Candy and Other Confectionery Products (chocolate confectionery)</t>
  </si>
  <si>
    <t>Sanitary Paper Product Manufacturing</t>
  </si>
  <si>
    <t>Candy and Other Confectionery Products (nonchocolate confectionery )</t>
  </si>
  <si>
    <t>All Other Converted Paper Product Manufacturing</t>
  </si>
  <si>
    <t>Chocolate and Cocoa Products (except chocolate products, made from purchased chocolate)</t>
  </si>
  <si>
    <t>Commercial Printing (except Screen and Books)</t>
  </si>
  <si>
    <t>Chocolate and Cocoa Products (chocolate products made from purchased chocolate)</t>
  </si>
  <si>
    <t>Commercial Screen Printing</t>
  </si>
  <si>
    <t>Chewing Gum</t>
  </si>
  <si>
    <t>Books Printing</t>
  </si>
  <si>
    <t>Salted and Roasted Nuts and Seeds</t>
  </si>
  <si>
    <t>Support Activites for Printing</t>
  </si>
  <si>
    <t>Cottonseed Oil Mills (cottonseed processing)</t>
  </si>
  <si>
    <t>Cottonseed Oil Mills (processing purchased cottonseed oil)</t>
  </si>
  <si>
    <t>Asphalt Paving Mixture and Block Manufacturing</t>
  </si>
  <si>
    <t>Soybean Oil Mills (soybean processing, except edible soybean oil)</t>
  </si>
  <si>
    <t>Asphalt Shingle and Coating Materials Manufacturing</t>
  </si>
  <si>
    <t>Soybean Oil Mills (processing purchased soybean oil)</t>
  </si>
  <si>
    <t>Petroleum Lubricating Oil and Grease Manufacturing</t>
  </si>
  <si>
    <t>Vegetable Oil Mills, Except Corn, Cottonseed, and Soybean (oilseed processing)</t>
  </si>
  <si>
    <t>All Other Petroleum and Coal Products Manufacturing</t>
  </si>
  <si>
    <t>Vegetable Oil Mills, Except Corn, Cottonseed, and Soybean (processing purchased vegetable and oilseed oils)</t>
  </si>
  <si>
    <t>Animal and Marine Fats and Oils (animal fats and oils)</t>
  </si>
  <si>
    <t>Industrial Gas Manufacturing</t>
  </si>
  <si>
    <t>Animal and Marine Fats and Oils (canned marine fats and oils)</t>
  </si>
  <si>
    <t>Synthetic Dye and Pigment Manufacturing</t>
  </si>
  <si>
    <t>Animal and Marine Fats and Oils (fresh and frozen marine fats and oils)</t>
  </si>
  <si>
    <t>Shortening, Table Oils, Margarine, and Other Edible Fats and Oils, NEC (processing soybean oil into edible cooking oils from soybeans crushed in the same establishment)</t>
  </si>
  <si>
    <t>Ethyl Alcohol Manufacturing</t>
  </si>
  <si>
    <t>Shortening, Table Oils, Margarine and Other Edible Fats and Oils, NEC (processing vegetable oils, except soybean, into edible cooking oils from oilseeds and vegetables crushed in the same establishment)</t>
  </si>
  <si>
    <t>Cyclic Crude, Intermediate, and Gum and Wood Chemical Manufacturing</t>
  </si>
  <si>
    <t>Shortening, Table Oils, Margarine, and Other Edible Fats and Oils, NEC (except processing vegetable and soybean oils into edible oils from oilseeds and vegetables crushed in the same establishment)</t>
  </si>
  <si>
    <t>Malt Beverages (malt extract)</t>
  </si>
  <si>
    <t>Malt Beverages (except malt extract)</t>
  </si>
  <si>
    <t>Synthetic Rubber Manufacturing</t>
  </si>
  <si>
    <t>Malt</t>
  </si>
  <si>
    <t>Artificial and Synthetic Fibers and Filaments Manufacturing</t>
  </si>
  <si>
    <t>Wines, Brandy, and Brandy Spirits</t>
  </si>
  <si>
    <t>Nitrogenous Fertilizer Manufacturing</t>
  </si>
  <si>
    <t>Distilled and Blended Liquors (apple jack)</t>
  </si>
  <si>
    <t>Phosphatic Fertilizer Manufacturing</t>
  </si>
  <si>
    <t>Distilled and Blended Liquors (except apple jack)</t>
  </si>
  <si>
    <r>
      <t xml:space="preserve">Fertilizer (Mixing Only) Manufacturing - </t>
    </r>
    <r>
      <rPr>
        <i/>
        <sz val="10"/>
        <rFont val="Arial"/>
        <family val="2"/>
      </rPr>
      <t>except compost manufacturing</t>
    </r>
  </si>
  <si>
    <t>Bottled and Canned Soft Drinks and Carbonated Water (except bottled water)</t>
  </si>
  <si>
    <r>
      <t xml:space="preserve">Fertilizer (Mixing Only) Manufacturing - </t>
    </r>
    <r>
      <rPr>
        <i/>
        <sz val="10"/>
        <rFont val="Arial"/>
        <family val="2"/>
      </rPr>
      <t>compost manufacturing</t>
    </r>
  </si>
  <si>
    <t>Bottled and Canned Soft Drinks and Carbonated Water (bottled water)</t>
  </si>
  <si>
    <t>Flavoring Extracts and Flavoring Syrups, NEC (coffee flavoring and syrups)</t>
  </si>
  <si>
    <t>Medicinal and Botanical Manufacturing</t>
  </si>
  <si>
    <t>Flavoring Extracts and Flavoring Syrups, NEC  (flavoring syrups and concentrates except coffee)</t>
  </si>
  <si>
    <t>Pharmaceutical Preparation Manufacturing</t>
  </si>
  <si>
    <t>Flavoring Extracts and Flavoring Syrups, NEC (flavoring extracts and natural food colorings)</t>
  </si>
  <si>
    <t>In-Vitro Diagnostic Substance Manufacturing</t>
  </si>
  <si>
    <t>Flavoring Extracts and Flavoring Syrups, NEC (powered drink mix)</t>
  </si>
  <si>
    <t>Biological Product (except Diagnostic) Manufacturing</t>
  </si>
  <si>
    <t>Canned and Cured Fish and Seafoods</t>
  </si>
  <si>
    <t>Prepared Fresh or Frozen Fish and Seafoods</t>
  </si>
  <si>
    <t>Adhesive Manufacturing</t>
  </si>
  <si>
    <t>Roasted Coffee</t>
  </si>
  <si>
    <t>Soap and Other Detergent Manufacturing</t>
  </si>
  <si>
    <t>Potato Chips, Corn Chips, and Similar Snacks</t>
  </si>
  <si>
    <t>Polish and Other Sanitation Good Manufacturing</t>
  </si>
  <si>
    <t>Manufactured Ice</t>
  </si>
  <si>
    <t>Surface Active Agent Manufacturing</t>
  </si>
  <si>
    <t>Macaroni, Spaghetti, Vermicelli and Noodles</t>
  </si>
  <si>
    <t>Toilet Preparation Manufacturing</t>
  </si>
  <si>
    <t>Food Preparations, NEC (reducing maple sap to maple syrup)</t>
  </si>
  <si>
    <t>Printing Ink Manufacturing</t>
  </si>
  <si>
    <t>Food Preparations, NEC (rice, uncooked and packaged with other ingredients made in rice mills)</t>
  </si>
  <si>
    <t>Explosives Manufacturing</t>
  </si>
  <si>
    <t>Food Preparations, NEC (marshmallow creme)</t>
  </si>
  <si>
    <t>Custom Compounding of Purchased Resins</t>
  </si>
  <si>
    <t>Food Preparations, NEC (bouillon and potatoes dried and packaged with other ingredients produced in dehydrating plants)</t>
  </si>
  <si>
    <t>Photographic Film, Paper, Plate, and Chemical Manufacturing</t>
  </si>
  <si>
    <t>Food Preparations, NEC (dry pasta packaged with other ingredients made in dry pasta plants)</t>
  </si>
  <si>
    <t>All Other Miscellaneous Chemical Product and Preparation Manufacturing</t>
  </si>
  <si>
    <t>Food Preparations, NEC (tortillas)</t>
  </si>
  <si>
    <t>Plastics Bag and Pouch Manufacturing</t>
  </si>
  <si>
    <t>Food Preparations, NEC (peanut butter)</t>
  </si>
  <si>
    <t>Plastics Packaging Film and Sheet (including Laminated) Manufacturing</t>
  </si>
  <si>
    <t>Food Preparations, NEC (tea)</t>
  </si>
  <si>
    <t>Unlaminated Plastics Film and Sheet (except Packaging) Manufacturing</t>
  </si>
  <si>
    <t>Food Preparations, NEC (vinegar, prepared dip)</t>
  </si>
  <si>
    <t>Unlaminated Plastics Profile Shape Manufacturing</t>
  </si>
  <si>
    <t>Food Preparations, NEC (spices, dry dip mix, dry salad dressing mix, and seasoning mix)</t>
  </si>
  <si>
    <t>Plastics Pipe and Pipe Fitting Manufacturing</t>
  </si>
  <si>
    <t>Food Preparations, NEC (perishable prepared food)</t>
  </si>
  <si>
    <t>Laminated Plastics Plate, Sheet (except Packaging), and Shape Manufacturing</t>
  </si>
  <si>
    <t>Food Preparations, NEC (except bouillon, marshmallow creme, spices, peanut butter, perishable prepared foods, tortillas, tea and tea extracts, dry dip mix, prepared dips, dry salad dressing mix, seasoning mix, dried potatoes, pasta, and rice mixed with other ingredients in mills or dehydrating plants, reducing maple sap to maple syrup, wool grease, and vinegar)</t>
  </si>
  <si>
    <t>Polystyrene Foam Product Manufacturing</t>
  </si>
  <si>
    <t>Cigarettes</t>
  </si>
  <si>
    <t>Urethane and Other Foam Product (except Polystyrene) Manufacturing</t>
  </si>
  <si>
    <t>Cigars</t>
  </si>
  <si>
    <t>Plastics Bottle Manufacturing</t>
  </si>
  <si>
    <t>Chewing and Smoking Tobacco and Snuff</t>
  </si>
  <si>
    <t>Plastics Plumbing Fixture Manufacturing</t>
  </si>
  <si>
    <t>Tobacco Stemming and Redrying (stemming and redrying tobacco)</t>
  </si>
  <si>
    <t>All Other Plastics Product Manufacturing</t>
  </si>
  <si>
    <t>Tobacco Stemming and Redrying (reconstituted tobacco)</t>
  </si>
  <si>
    <t>Tire Manufacturing (except Retreading)</t>
  </si>
  <si>
    <t>Broadwoven Fabric Mills, Cotton</t>
  </si>
  <si>
    <t>Tire Retreading</t>
  </si>
  <si>
    <t>Broadwoven Fabric Mills, Manmade Fiber and Silk</t>
  </si>
  <si>
    <t>Rubber and Plastics Hoses and Belting Manufacturing</t>
  </si>
  <si>
    <t>Broadwoven Fabric Mills, Wool (Including Dyeing and Finishing) (except finishing wool fabric without weaving wool fabric)</t>
  </si>
  <si>
    <t>Rubber Product Manufacturing for Mechanical Use</t>
  </si>
  <si>
    <t>Broadwoven Fabric Mills, Wool (wool broadwoven fabric finishing without weaving fabric)</t>
  </si>
  <si>
    <t>All Other Rubber Product Manufacturing</t>
  </si>
  <si>
    <t>Broadwoven Fabric Mills, Wool (wool fabric, except broadwoven, finishing without weaving fabric)</t>
  </si>
  <si>
    <t>Pottery, Ceramics, and Plumbing Fixture Manufacturing</t>
  </si>
  <si>
    <t>Narrow Fabric and Other Smallware Mills: Cotton, Wool, Silk and Manmade Fiber</t>
  </si>
  <si>
    <t>Clay Building Material and Refractories Manufacturing</t>
  </si>
  <si>
    <t>Women’s Full-Length and Knee-Length Hosiery, Except Socks (dyeing and finishing sheer hosiery without knitting sheer hosiery)</t>
  </si>
  <si>
    <t>Flat Glass Manufacturing</t>
  </si>
  <si>
    <t>Women’s Full-Length and Knee-Length Hosiery, Except Socks (except dyeing and finishing sheer hosiery without knitting sheer hosiery)</t>
  </si>
  <si>
    <t>Other Pressed and Blown Glass and Glassware Manufacturing</t>
  </si>
  <si>
    <t>Hosiery, NEC (dyeing and finishing hosiery , except sheer, without knitting hosiery)</t>
  </si>
  <si>
    <t>Glass Container Manufacturing</t>
  </si>
  <si>
    <t>Hosiery, NEC (girls’ full length and knee length sheer hosiery)</t>
  </si>
  <si>
    <t>Glass Product Manufacturing Made of Purchased Glass</t>
  </si>
  <si>
    <t>Hosiery, NEC (except girls' full-length and knee-length sheer hosiery and dyeing and finishing hosiery without knitting hosiery)</t>
  </si>
  <si>
    <t>Knit Outerwear Mills (dyeing and finishing knit outerwear without knitting outerwear)</t>
  </si>
  <si>
    <t>Ready-Mix Concrete Manufacturing</t>
  </si>
  <si>
    <t>Knit Outerwear Mills (except bath and lounging robes and dying and finish without knitting garments)</t>
  </si>
  <si>
    <t>Concrete Block and Brick Manufacturing</t>
  </si>
  <si>
    <t>Knit Outerwear Mills (knitting bath or lounging robes)</t>
  </si>
  <si>
    <t>Concrete Pipe Manufacturing</t>
  </si>
  <si>
    <t>Knit Underwear and Nightwear Mills (dyeing and finishing underwear and nightwear without knitting garments)</t>
  </si>
  <si>
    <t>Other Concrete Product Manufacturing</t>
  </si>
  <si>
    <t>Knit Underwear and Nightwear Mills (except dyeing and finishing underwear and nightwear without knitting garments)</t>
  </si>
  <si>
    <t>Lime Manufacturing</t>
  </si>
  <si>
    <t>Weft Knit Fabric Mills (except finishing without knitting weft fabric)</t>
  </si>
  <si>
    <t>Gypsum Product Manufacturing</t>
  </si>
  <si>
    <t>Weft Knit Fabric Mills (finishing weft fabric without knitting weft fabric)</t>
  </si>
  <si>
    <t>Abrasive Product Manufacturing</t>
  </si>
  <si>
    <t>Lace and Warp Knit Fabric Mills (except finishing lace or warp fabric without knitting lace or warp fabric)</t>
  </si>
  <si>
    <t>Cut Stone and Stone Product Manufacturing</t>
  </si>
  <si>
    <t>Lace and Warp Knit Fabric Mills (finishing lace or warp fabric without knitting lace or warp fabric)</t>
  </si>
  <si>
    <t>Ground or Treated Mineral and Earth Manufacturing</t>
  </si>
  <si>
    <t>Knitting Mills, NEC (knitting weft fabric and fabricating textile products, such as bedspreads, curtains, or towels)</t>
  </si>
  <si>
    <t>Mineral Wool Manufacturing</t>
  </si>
  <si>
    <t>Knitting Mills, NEC (knitting lace or warp fabric and fabricating textile products, such as bedspreads, curtains, or towels)</t>
  </si>
  <si>
    <t>All Other Miscellaneous Nonmetallic Mineral Product Manufacturing</t>
  </si>
  <si>
    <t>Knitting Mills, NEC (dyeing and finishing knit gloves and mittens without knitting gloves or mittens)</t>
  </si>
  <si>
    <t>Iron and Steel Mills and Ferroalloy Manufacturing</t>
  </si>
  <si>
    <t>Knitting Mills, NEC (knitting gloves and mittens)</t>
  </si>
  <si>
    <t>Iron and Steel Pipe and Tube Manufacturing from Purchased Steel</t>
  </si>
  <si>
    <t>Knitting Mills, NEC (knitting girdles and allied foundation garments)</t>
  </si>
  <si>
    <t>Rolled Steel Shape Manufacturing</t>
  </si>
  <si>
    <t>Finishers of Broadwoven Fabrics of Cotton</t>
  </si>
  <si>
    <t>Steel Wire Drawing</t>
  </si>
  <si>
    <t>Finishers of Broadwoven Fabrics of Manmade Fiber and Silk</t>
  </si>
  <si>
    <t>Alumina Refining and Primary Aluminum Production</t>
  </si>
  <si>
    <t>Finishers of Textiles, NEC (linen fabric finishing)</t>
  </si>
  <si>
    <t>Secondary Smelting and Alloying of Aluminum</t>
  </si>
  <si>
    <t>Finishers of Textiles, NEC (except linen fabric finishing)</t>
  </si>
  <si>
    <t>Aluminum Sheet, Plate, and Foil Manufacturing</t>
  </si>
  <si>
    <t>Carpets and Rugs</t>
  </si>
  <si>
    <t>Other Aluminum Rolling, Drawing, and Extruding</t>
  </si>
  <si>
    <t>Yarn Spinning Mills</t>
  </si>
  <si>
    <t>Nonferrous Metal (except Aluminum) Smelting and Refining</t>
  </si>
  <si>
    <t xml:space="preserve">Yarn Texturizing, Throwing, Twisting and Winding Mills </t>
  </si>
  <si>
    <t>Copper Rolling, Drawing, Extruding, and Alloying</t>
  </si>
  <si>
    <t>Thread Mills (except finishing thread without manufacturing thread)</t>
  </si>
  <si>
    <t>Nonferrous Metal (except Copper and Aluminum) Rolling, Drawing, and Extruding</t>
  </si>
  <si>
    <t>Thread Mills (finishing thread without manufacturing thread)</t>
  </si>
  <si>
    <t>Secondary Smelting, Refining, and Alloying of Nonferrous Metal (except Copper and Aluminum)</t>
  </si>
  <si>
    <t>Coated Fabrics, Not Rubberized</t>
  </si>
  <si>
    <t>Iron Foundries</t>
  </si>
  <si>
    <t>Tire Cord and Fabrics</t>
  </si>
  <si>
    <t>Steel Investment Foundries</t>
  </si>
  <si>
    <t>Nonwoven Fabrics</t>
  </si>
  <si>
    <t>Steel Foundries (except Investment)</t>
  </si>
  <si>
    <t>Cordage and Twine (hemp rope made in spinning mills)</t>
  </si>
  <si>
    <t>Nonferrous Metal Die-Casting Foundries</t>
  </si>
  <si>
    <t>Cordage and Twine (except hemp rope made in spinning mills)</t>
  </si>
  <si>
    <t>Aluminum Foundries (except Die-Casting)</t>
  </si>
  <si>
    <t>Textile Goods, NEC (hemp bags made in spinning mills)</t>
  </si>
  <si>
    <t>Other Nonferrous Metal Foundries (except Die-Casting)</t>
  </si>
  <si>
    <t>Textile Goods, NEC (spinning yarn of flax, hemp, jute, and ramie)</t>
  </si>
  <si>
    <t>Iron and Steel Forging</t>
  </si>
  <si>
    <t>Textile Goods, NEC (manufacturing thread of hemp, linen, and ramie)</t>
  </si>
  <si>
    <t>Nonferrous Forging</t>
  </si>
  <si>
    <t>Textile Goods, NEC (broadwoven fabrics of jute, linen, hemp, and ramie and hand woven fabrics)</t>
  </si>
  <si>
    <t>Custom Roll Forming</t>
  </si>
  <si>
    <t>Textile Goods, NEC (narrow woven fabric of jute, linen, hemp, and ramie)</t>
  </si>
  <si>
    <t>Powder Metallurgy Part Manufacturing</t>
  </si>
  <si>
    <t>Textile Goods, NEC (nonwoven felt)</t>
  </si>
  <si>
    <t>Metal Crown, Closure, and Other Metal Stamping (except Automotive)</t>
  </si>
  <si>
    <t>Textile Goods, NEC (finishing hard fiber thread and yarn without manufacturing thread or yarn)</t>
  </si>
  <si>
    <t>Metal Kitchen Cookware, Utensil, Cutlery, and Flatware (except Precious) Manufacturing</t>
  </si>
  <si>
    <t>Textile Goods, NEC (manufacturing other textile products)</t>
  </si>
  <si>
    <t>Saw Blade and Handtool Manufacturing</t>
  </si>
  <si>
    <t>Men’s and Boys’ Suits, Coats, and Overcoats (contractors)</t>
  </si>
  <si>
    <t>Prefabricated Metal Building and Component Manufacturing</t>
  </si>
  <si>
    <t>Men’s and Boys’ Suits, Coats, and Overcoats (except contractors)</t>
  </si>
  <si>
    <t>Fabricated Structural Metal Manufacturing</t>
  </si>
  <si>
    <t>Men’s and Boys’ Shirts, Except Work Shirts (contractors)</t>
  </si>
  <si>
    <t>Plate Work Manufacturing</t>
  </si>
  <si>
    <t>Men’s and Boys’ Shirts, Except Work Shirts (except contractors)</t>
  </si>
  <si>
    <t>Metal Window and Door Manufacturing</t>
  </si>
  <si>
    <t>Men’s and Boys’ Underwear and Nightwear (contractors)</t>
  </si>
  <si>
    <t>Sheet Metal Work Manufacturing</t>
  </si>
  <si>
    <t>Men’s and Boys’ Underwear and Nightwear (except contractors)</t>
  </si>
  <si>
    <t>Ornamental and Architectural Metal Work Manufacturing</t>
  </si>
  <si>
    <t>Men's and Boys' Neckwear (contractors)</t>
  </si>
  <si>
    <t>Power Boiler and Heat Exchanger Manufacturing</t>
  </si>
  <si>
    <t>Men’s and Boys’ Neckwear (except contractors)</t>
  </si>
  <si>
    <t>Metal Tank (Heavy Gauge) Manufacturing</t>
  </si>
  <si>
    <t>Men’s and Boys’ Separate Trousers and Slacks (contractors)</t>
  </si>
  <si>
    <t>Metal Can Manufacturing</t>
  </si>
  <si>
    <t>Men’s and Boys’ Separate Trousers and Slacks (except  contractors)</t>
  </si>
  <si>
    <t>Other Metal Container Manufacturing</t>
  </si>
  <si>
    <t>Men’s and Boys’ Work Clothing (contractors)</t>
  </si>
  <si>
    <t>Hardware Manufacturing</t>
  </si>
  <si>
    <t>Men’s and Boys’ Work Clothing (except contractors)</t>
  </si>
  <si>
    <t>Spring Manufacturing</t>
  </si>
  <si>
    <t>Men’s and Boys’ Clothing, NEC (contractors)</t>
  </si>
  <si>
    <t>Other Fabricated Wire Product Manufacturing</t>
  </si>
  <si>
    <t>Men’s and Boys’ Clothing, NEC (except team athletic uniforms and contractors)</t>
  </si>
  <si>
    <t>Machine Shops</t>
  </si>
  <si>
    <t>Men’s and Boys’ Clothing, NEC (team athletic uniforms except contractors)</t>
  </si>
  <si>
    <t>Precision Turned Product Manufacturing</t>
  </si>
  <si>
    <t>Women’s, Misses’, and Juniors’ Blouses and Shirts (contractors)</t>
  </si>
  <si>
    <t>Bolt, Nut, Screw, Rivet, and Washer Manufacturing</t>
  </si>
  <si>
    <t>Women’s, Misses’, and Juniors’ Blouses and Shirts (except contractors)</t>
  </si>
  <si>
    <t>Metal Heat Treating</t>
  </si>
  <si>
    <t>Women’s, Misses’, and Juniors’ Dresses (contractors)</t>
  </si>
  <si>
    <t>Metal Coating, Engraving (except Jewelry and Silverware), and Allied Services to Manufacturers</t>
  </si>
  <si>
    <t>Women’s, Misses’, and Juniors’ Dresses (except contractors)</t>
  </si>
  <si>
    <t>Electroplating, Plating, Polishing, Anodizing, and Coloring</t>
  </si>
  <si>
    <t>Women’s, Misses’, and Juniors’ Suits, Skirts, and Coats (contractors)</t>
  </si>
  <si>
    <t>Industrial Valve Manufacturing</t>
  </si>
  <si>
    <t>Women’s, Misses’, and Juniors’ Suits, Skirts, and Coats (except contractors)</t>
  </si>
  <si>
    <t>Fluid Power Valve and Hose Fitting Manufacturing</t>
  </si>
  <si>
    <t>Women’s, Misses’, and Juniors’ Outerwear, NEC (contractors)</t>
  </si>
  <si>
    <t>Plumbing Fixture Fitting and Trim Manufacturing</t>
  </si>
  <si>
    <t>Women’s, Misses’, and Juniors’ Outerwear, NEC (except team athletic uniforms, scarves,  and contractors)</t>
  </si>
  <si>
    <t>Other Metal Valve and Pipe Fitting Manufacturing</t>
  </si>
  <si>
    <t>Women’s, Misses’, and Juniors’ Outerwear, NEC (team athletic uniforms except contractors)</t>
  </si>
  <si>
    <t>Ball and Roller Bearing Manufacturing</t>
  </si>
  <si>
    <t>Women’s, Misses’, and Juniors’ Outerwear, NEC (scarves except contractors)</t>
  </si>
  <si>
    <t>Small Arms Ammunition Manufacturing</t>
  </si>
  <si>
    <t>Women’s, Misses’, Children’s, and Infants’ Underwear and Nightwear (boys’ contractors)</t>
  </si>
  <si>
    <t>Ammunition (except Small Arms) Manufacturing</t>
  </si>
  <si>
    <t>Women’s, Misses’, Children’s, and Infants’ Underwear and Nightwear (women's, girls', and infants' contractors)</t>
  </si>
  <si>
    <t>Small Arms, Ordnance, and Ordnance Accessories Manufacturing</t>
  </si>
  <si>
    <t>Women’s, Misses’, Children’s, and Infants’ Underwear and Nightwear (boys’ except contractors)</t>
  </si>
  <si>
    <t>Fabricated Pipe and Pipe Fitting Manufacturing</t>
  </si>
  <si>
    <t>Women’s, Misses’, Children’s, and Infants’ Underwear and Nightwear (women and girls’ except contractors)</t>
  </si>
  <si>
    <t>All Other Miscellaneous Fabricated Metal Product Manufacturing</t>
  </si>
  <si>
    <t>Women’s, Misses’, Children’s, and Infants’ Underwear and Nightwear (infants’ except contractors)</t>
  </si>
  <si>
    <t>Farm Machinery and Equipment Manufacturing</t>
  </si>
  <si>
    <t>Brassieres, Girdles, and Allied Garments (contractors)</t>
  </si>
  <si>
    <t>Lawn and Garden Tractor and Home Lawn and Garden Equipment Manufacturing</t>
  </si>
  <si>
    <t>Brassieres, Girdles, and Allied Garments (except contractors)</t>
  </si>
  <si>
    <t>Construction Machinery Manufacturing</t>
  </si>
  <si>
    <t>Hats, Caps, and Millinery (men's and boys' contractors)</t>
  </si>
  <si>
    <t>Mining Machinery and Equipment Manufacturing</t>
  </si>
  <si>
    <t>Hats, Caps, and Millinery (women's, girls', and infants' contractors)</t>
  </si>
  <si>
    <t>Oil and Gas Field Machinery and Equipment Manufacturing</t>
  </si>
  <si>
    <t>Hats, Caps, and Millinery (except contractors)</t>
  </si>
  <si>
    <t>Food Product Machinery Manufacturing</t>
  </si>
  <si>
    <t>Girls’, Children’s, and Infants’ Dresses, Blouses, and Shirts (boys’ contractors)</t>
  </si>
  <si>
    <t>Semiconductor Machinery Manufacturing</t>
  </si>
  <si>
    <t>Girls’, Children’s, and Infants’ Dresses, Blouses, and Shirts (girls’ and infants’ contractors)</t>
  </si>
  <si>
    <t>Sawmill, Woodworking, and Paper Machinery Manufacturing</t>
  </si>
  <si>
    <t>Girls’, Children’s, and Infants’ Dresses, Blouses, and Shirts (boys’ shirts except  contractors)</t>
  </si>
  <si>
    <t>Printing Machinery and Equipment Manufacturing</t>
  </si>
  <si>
    <t>Girls’, Children’s, and Infants’ Dresses, Blouses, and Shirts (girls’ blouses and shirts except contractors)</t>
  </si>
  <si>
    <t>Other Industrial Machinery Manufacturing</t>
  </si>
  <si>
    <t>Girls’, Children’s, and Infants’ Dresses, Blouses, and Shirts (girls’ dresses except contractors)</t>
  </si>
  <si>
    <t>Optical Instrument and Lens Manufacturing</t>
  </si>
  <si>
    <t>Girls’, Children’s, and Infants’ Dresses, Blouses, and Shirts (infants’ except contractors)</t>
  </si>
  <si>
    <t>Photographic and Photocopying Equipment Manufacturing</t>
  </si>
  <si>
    <t>Girls’, Children’s, and Infants’ Outerwear, NEC (boys’ contractors)</t>
  </si>
  <si>
    <t>Other Commercial and Service Industry Machinery Manufacturing</t>
  </si>
  <si>
    <t>Girls’, Children’s, and Infants’ Outerwear, NEC (girls’ and infants' contractors)</t>
  </si>
  <si>
    <t>Industrial and Commercial Fan and Blower and Air Purification Equipment Manufacturing</t>
  </si>
  <si>
    <t>Girls’, Children’s, and Infants’ Outerwear, NEC (boys’ robes except contractors)</t>
  </si>
  <si>
    <t>Heating Equipment (except Warm Air Furnaces) Manufacturing</t>
  </si>
  <si>
    <t>Girls’, Children’s, and Infants’ Outerwear, NEC (boys’ suits and coats except contractors)</t>
  </si>
  <si>
    <t>Air-Conditioning and Warm Air Heating Equipment and Commercial and Industrial Refrigeration Equipment Manufacturing</t>
  </si>
  <si>
    <t>Girls’, Children’s, and Infants’ Outerwear, NEC (boys’ trousers, slacks, and jeans except contractors)</t>
  </si>
  <si>
    <t>Industrial Mold Manufacturing</t>
  </si>
  <si>
    <t>Girls’, Children’s, and Infants’ Outerwear, NEC (boys’ other outerwear except contractors)</t>
  </si>
  <si>
    <t>Special Die and Tool, Die Set, Jig, and Fixture Manufacturing</t>
  </si>
  <si>
    <t>Girls’, Children’s, and Infants’ Outerwear, NEC (girls’ robes except contractors)</t>
  </si>
  <si>
    <t>Cutting Tool and Machine Tool Accessory Manufacturing</t>
  </si>
  <si>
    <t>Girls’, Children’s, and Infants’ Outerwear, NEC (girls’ suits, coats, jackets, and skirts except contractors)</t>
  </si>
  <si>
    <t>Machine Tool Manufacturing</t>
  </si>
  <si>
    <t>Girls’, Children’s, and Infants’ Outerwear, NEC (girls’ other outerwear except contractors)</t>
  </si>
  <si>
    <t>Rolling Mill and Other Metalworking Machinery Manufacturing</t>
  </si>
  <si>
    <t>Girls’, Children’s, and Infants’ Outerwear, NEC (infants’ except contractors)</t>
  </si>
  <si>
    <t>Turbine and Turbine Generator Set Units Manufacturing</t>
  </si>
  <si>
    <t>Fur Goods (men's and boys' contractors)</t>
  </si>
  <si>
    <t>Speed Changer, Industrial High-Speed Drive, and Gear Manufacturing</t>
  </si>
  <si>
    <t>Fur Goods (women's, girls', and infants' contractors)</t>
  </si>
  <si>
    <t>Mechanical Power Transmission Equipment Manufacturing</t>
  </si>
  <si>
    <t>Fur Goods (except contractors)</t>
  </si>
  <si>
    <t>Other Engine Equipment Manufacturing</t>
  </si>
  <si>
    <t>Dress and Work Gloves, Except Knit and All-Leather (men's and boys' contractors)</t>
  </si>
  <si>
    <t>Air and Gas Compressor Manufacturing</t>
  </si>
  <si>
    <t>Dress and Work Gloves, Except Knit and All-Leather (women's, girls', and infants' contractors)</t>
  </si>
  <si>
    <t>Measuring, Dispensing, and Other Pumping Equipment Manufacturing</t>
  </si>
  <si>
    <t>Dress and Work Gloves, Except Knit and All-Leather (except contractors)</t>
  </si>
  <si>
    <t>Elevator and Moving Stairway Manufacturing</t>
  </si>
  <si>
    <t>Robes and Dressing Gowns (men’s and boys’ contractors)</t>
  </si>
  <si>
    <t>Conveyor and Conveying Equipment Manufacturing</t>
  </si>
  <si>
    <t>Robes and Dressing Gowns (women’s, girls’, and infants' contractors)</t>
  </si>
  <si>
    <t>Overhead Traveling Crane, Hoist, and Monorail System Manufacturing</t>
  </si>
  <si>
    <t>Robes and Dressing Gowns (men’s except contractors)</t>
  </si>
  <si>
    <t>Industrial Truck, Tractor, Trailer, and Stacker Machinery Manufacturing</t>
  </si>
  <si>
    <t>Robes and Dressing Gowns (women’s except contractors)</t>
  </si>
  <si>
    <t>Power-Driven Handtool Manufacturing</t>
  </si>
  <si>
    <t>Waterproof Outerwear (men’s and boys' contractors)</t>
  </si>
  <si>
    <t>Welding and Soldering Equipment Manufacturing</t>
  </si>
  <si>
    <t>Waterproof Outerwear (women’s, girls’, and infants' contractors)</t>
  </si>
  <si>
    <t>Packaging Machinery Manufacturing</t>
  </si>
  <si>
    <t>Waterproof Outerwear (men’s and boys’ water resistant or water repellent tailored overcoats, except  made from rubberized fabric, plastics, etc. and contractors)</t>
  </si>
  <si>
    <t>Industrial Process Furnace and Oven Manufacturing</t>
  </si>
  <si>
    <t>Waterproof Outerwear (men’s and boys’ water resistant or water repellent nontailored outerwear, except made from rubberized fabric, plastics, etc. and contractors)</t>
  </si>
  <si>
    <t>Fluid Power Cylinder and Actuator Manufacturing</t>
  </si>
  <si>
    <t>Waterproof Outerwear (women’s and girls’ water resistant or water repellent tailored coats, except made from rubberized fabric, plastics, etc. and contractors)</t>
  </si>
  <si>
    <t>Fluid Power Pump and Motor Manufacturing</t>
  </si>
  <si>
    <t>Waterproof Outerwear (other women’s and girls’ water resistant or water repellent nontailored outerwear, except made from  rubberized fabric, plastics, etc. and contractors)</t>
  </si>
  <si>
    <t>Scale and Balance Manufacturing</t>
  </si>
  <si>
    <t>Waterproof Outerwear (infants’ waterproof outerwear made from rubberized fabric, plastics, etc. except contractors)</t>
  </si>
  <si>
    <t>All Other Miscellaneous General Purpose Machinery Manufacturing</t>
  </si>
  <si>
    <t>Waterproof Outerwear (men's, boys', women's, and girls' waterproof outerwear made from rubberized fabric, plastics, etc. except contractors)</t>
  </si>
  <si>
    <t>Electronic Computer Manufacturing</t>
  </si>
  <si>
    <t>Waterproof Outerwear (accessories, such as aprons, bibs, and other miscellaneous waterproof items, made from rubberized fabric, plastics, etc. except contractors)</t>
  </si>
  <si>
    <t>Computer Storage Device Manufacturing</t>
  </si>
  <si>
    <t>Leather and Sheep-Lined Clothing (men's and boys' contractors)</t>
  </si>
  <si>
    <t>Computer Terminal and Other Computer Peripheral Equipment Manufacturing</t>
  </si>
  <si>
    <t>Leather and Sheep-Lined Clothing (women's, girls', and infants' contractors)</t>
  </si>
  <si>
    <t>Telephone Apparatus Manufacturing</t>
  </si>
  <si>
    <t>Leather and Sheep-lined Clothing (except contractors)</t>
  </si>
  <si>
    <t>Radio and Television Broadcasting and Wireless Communications Equipment Manufacturing</t>
  </si>
  <si>
    <t>Apparel Belts (men's and boys' contractors)</t>
  </si>
  <si>
    <t>Other Communications Equipment Manufacturing</t>
  </si>
  <si>
    <t>Apparel Belts (women's, girls', and infants' contractors)</t>
  </si>
  <si>
    <t>Audio and Video Equipment Manufacturing</t>
  </si>
  <si>
    <t>Apparel Belts (except contractors)</t>
  </si>
  <si>
    <t>Bare Printed Circuit Board Manufacturing</t>
  </si>
  <si>
    <t>Apparel and Accessories, NEC (men's and boys' contractors)</t>
  </si>
  <si>
    <t>Semiconductor and Related Device Manufacturing</t>
  </si>
  <si>
    <t>Apparel and Accessories, NEC (women's, girls', and infants' contractors)</t>
  </si>
  <si>
    <t>Capacitor, Resistor, Coil, Transformer, and Other Inductor Manufacturing</t>
  </si>
  <si>
    <t>Apparel and Accessories, NEC (garters and garter belts except contractors)</t>
  </si>
  <si>
    <t>Electronic Connector Manufacturing</t>
  </si>
  <si>
    <t>Apparel and Accessories, NEC (apparel, such as academic gowns, clerical outerwear, and band uniforms, except contractors)</t>
  </si>
  <si>
    <t>Printed Circuit Assembly (Electronic Assembly) Manufacturing</t>
  </si>
  <si>
    <t>Apparel and Accessories, NEC (accessories such as, handkerchiefs, arm bands, cummerbunds, suspenders, etc., except contractors)</t>
  </si>
  <si>
    <t>Other Electronic Component Manufacturing</t>
  </si>
  <si>
    <t>Curtains and Draperies</t>
  </si>
  <si>
    <t>Electromedical and Electrotherapeutic Apparatus Manufacturing</t>
  </si>
  <si>
    <t>Housefurnishings, Except Curtains and Draperies (except mops, dust rags, and bags)</t>
  </si>
  <si>
    <t>Search, Detection, Navigation, Guidance, Aeronautical, and Nautical System and Instrument Manufacturing</t>
  </si>
  <si>
    <t>Housefurnishings, Except Curtains and Draperies (blanket, laundry, and wardrobe bags)</t>
  </si>
  <si>
    <t>Automatic Environmental Control Manufacturing for Residential, Commercial, and Appliance Use</t>
  </si>
  <si>
    <t>Housefurnishings, Except Curtains and Draperies (dust rags)</t>
  </si>
  <si>
    <t>Instruments and Related Products Manufacturing for Measuring, Displaying, and Controlling Industrial Process Variables</t>
  </si>
  <si>
    <t>Housefurnishings, Except Curtains and Draperies (floor and dust mops)</t>
  </si>
  <si>
    <t>Totalizing Fluid Meter and Counting Device Manufacturing</t>
  </si>
  <si>
    <t>Textile Bags</t>
  </si>
  <si>
    <t>Instrument Manufacturing for Measuring and Testing Electricity and Electrical Signals</t>
  </si>
  <si>
    <t>Canvas and Related Products</t>
  </si>
  <si>
    <t>Analytical Laboratory Instrument Manufacturing</t>
  </si>
  <si>
    <t>Pleating, Decorative and Novelty Stitching, and Tucking for the Trade (except apparel contractors)</t>
  </si>
  <si>
    <t>Irradiation Apparatus Manufacturing</t>
  </si>
  <si>
    <t>Pleating, Decorative and Novelty Stitching, and Tucking for the Trade (men’s and boy’s apparel contractors)</t>
  </si>
  <si>
    <t>Other Measuring and Controlling Device Manufacturing</t>
  </si>
  <si>
    <t>Pleating, Decorative and Novelty Stitching, and Tucking for the Trade (women’s, girls’, and infants’ apparel contractors)</t>
  </si>
  <si>
    <t>Blank Magnetic and Optical Recording Media Manufacturing</t>
  </si>
  <si>
    <t>Automotive Trimmings, Apparel Findings, and Related Products (textile products except automotive and apparel trimmings and findings, printing or embossing on apparel, and contractors)</t>
  </si>
  <si>
    <t xml:space="preserve">Software and Other Prerecorded Compact Disc, Tape, and Record Reproducing </t>
  </si>
  <si>
    <t>Automotive Trimmings, Apparel Findings, and Related Products (men's and boys' contractors)</t>
  </si>
  <si>
    <t>Electric Lamp Bulb and Part Manufacturing</t>
  </si>
  <si>
    <t>Automotive Trimmings, Apparel Findings, and Related Products (women's, girls', and infants' contractors)</t>
  </si>
  <si>
    <t>Residential Electric Lighting Fixture Manufacturing</t>
  </si>
  <si>
    <t>Automotive Trimmings, Apparel Findings, and Related Products (apparel findings and trimmings, except contractors)</t>
  </si>
  <si>
    <t>Commercial, Industrial, and Institutional Electric Lighting Fixture Manufacturing</t>
  </si>
  <si>
    <t>Automotive Trimmings, Apparel Findings, and Related Products (printing and embossing on fabric articles)</t>
  </si>
  <si>
    <t>Other Lighting Equipment Manufacturing</t>
  </si>
  <si>
    <t>Automotive Trimmings, Apparel Findings, and Related Products (textile motor vehicle trimming except contractors)</t>
  </si>
  <si>
    <t>Small Electrical Appliance Manufacturing</t>
  </si>
  <si>
    <t>Schiffli Machine Embroideries</t>
  </si>
  <si>
    <t>Major Household Appliance Manufacturing</t>
  </si>
  <si>
    <t>Fabricated Textile Products, NEC (except apparel and accessories, automotive seat belts, seat and tire covers, and contractors)</t>
  </si>
  <si>
    <t>Power, Distribution, and Specialty Transformer Manufacturing</t>
  </si>
  <si>
    <t>Fabricated Textile Products, NEC (men's and boys' contractors)</t>
  </si>
  <si>
    <t>Motor and Generator Manufacturing</t>
  </si>
  <si>
    <t>Fabricated Textile Products, NEC (women's, girls', and infants' contractors)</t>
  </si>
  <si>
    <t>Switchgear and Switchboard Apparatus Manufacturing</t>
  </si>
  <si>
    <t>Fabricated Textile Products, NEC (apparel and apparel accessories, except contractors)</t>
  </si>
  <si>
    <t>Relay and Industrial Control Manufacturing</t>
  </si>
  <si>
    <t>Fabricated Textile Products, NEC (seat belts, and seat and tire covers)</t>
  </si>
  <si>
    <t>Storage Battery Manufacturing</t>
  </si>
  <si>
    <t>Primary Battery Manufacturing</t>
  </si>
  <si>
    <t>Sawmills and Planing Mills, General (sawmills)</t>
  </si>
  <si>
    <t>Fiber Optic Cable Manufacturing</t>
  </si>
  <si>
    <t>Sawmills and Planing Mills, General (lumber manufacturing from purchased lumber, softwood cut stock, wood lath, fence pickets, and planing mill products)</t>
  </si>
  <si>
    <t>Other Communication and Energy Wire Manufacturing</t>
  </si>
  <si>
    <t>Sawmills and Planing Mills, General (softwood flooring)</t>
  </si>
  <si>
    <t>Current-Carrying Wiring Device Manufacturing</t>
  </si>
  <si>
    <t>Sawmills and Planing Mills, General (box lumber made from purchased lumber)</t>
  </si>
  <si>
    <t>Noncurrent-Carrying Wiring Device Manufacturing</t>
  </si>
  <si>
    <t>Sawmills and Planing Mills, General (kiln drying)</t>
  </si>
  <si>
    <t>Carbon and Graphite Product Manufacturing</t>
  </si>
  <si>
    <t>Hardwood Dimension and Flooring Mills (hardwood dimension lumber made from logs or bolts)</t>
  </si>
  <si>
    <t>All Other Miscellaneous Electrical Equipment and Component Manufacturing</t>
  </si>
  <si>
    <t>Hardwood Dimension and Flooring Mills (hardwood cut stock, resawing hardwood lumber, and planing purchased hardwood lumber except flooring)</t>
  </si>
  <si>
    <t>Automobile Manufacturing</t>
  </si>
  <si>
    <t>Hardwood Dimension and Flooring Mills (hardwood flooring)</t>
  </si>
  <si>
    <t>Light Truck and Utility Vehicle Manufacturing</t>
  </si>
  <si>
    <t>Hardwood Dimension and Flooring Mills (wood furniture frames and finished furniture parts)</t>
  </si>
  <si>
    <t>Heavy Duty Truck Manufacturing</t>
  </si>
  <si>
    <t>Special Product Sawmills, NEC (shingle mills, shakes)</t>
  </si>
  <si>
    <t>Motor Vehicle Body Manufacturing</t>
  </si>
  <si>
    <t>Special Product Sawmills, Not Elsewhere Classified (cooperage stock)</t>
  </si>
  <si>
    <t>Truck Trailer Manufacturing</t>
  </si>
  <si>
    <t>Special Product Sawmills, NEC (excelsior)</t>
  </si>
  <si>
    <t>Motor Home Manufacturing</t>
  </si>
  <si>
    <t>Millwork (wood windows and doors)</t>
  </si>
  <si>
    <t>Travel Trailer and Camper Manufacturing</t>
  </si>
  <si>
    <t>Millwork (except wood doors and windows)</t>
  </si>
  <si>
    <t>Motor Vehicle Gasoline Engine and Engine Parts Manufacturing</t>
  </si>
  <si>
    <t>Wood Kitchen Cabinets</t>
  </si>
  <si>
    <t>Motor Vehicle Electrical and Electronic Equipment Manufacturing</t>
  </si>
  <si>
    <t>Hardwood Veneer and Plywood</t>
  </si>
  <si>
    <t>Motor Vehicle Steering and Suspension Components (except Spring) Manufacturing</t>
  </si>
  <si>
    <t>Softwood Veneer and Plywood</t>
  </si>
  <si>
    <t>Motor Vehicle Brake System Manufacturing</t>
  </si>
  <si>
    <t>Structural Wood Members, NEC (except trusses)</t>
  </si>
  <si>
    <t>Motor Vehicle Transmission and Power Train Parts Manufacturing</t>
  </si>
  <si>
    <t>Structural Wood Members, NEC (trusses)</t>
  </si>
  <si>
    <t>Motor Vehicle Seating and Interior Trim Manufacturing</t>
  </si>
  <si>
    <t>Nailed and Lock Corner Wood Boxes and Shook</t>
  </si>
  <si>
    <t>Motor Vehicle Metal Stamping</t>
  </si>
  <si>
    <t>Wood Pallets and Skids</t>
  </si>
  <si>
    <t>Other Motor Vehicle Parts Manufacturing</t>
  </si>
  <si>
    <t>Wood Containers, NEC</t>
  </si>
  <si>
    <t>Aircraft Manufacturing</t>
  </si>
  <si>
    <t>Mobile Homes</t>
  </si>
  <si>
    <t>Aircraft Engine and Engine Parts Manufacturing</t>
  </si>
  <si>
    <t>Prefabricated Wood Buildings and Components</t>
  </si>
  <si>
    <t>Other Aircraft Parts and Auxiliary Equipment Manufacturing</t>
  </si>
  <si>
    <t>Wood Preserving</t>
  </si>
  <si>
    <t>Guided Missile and Space Vehicle Manufacturing</t>
  </si>
  <si>
    <t>Reconstituted Wood Products</t>
  </si>
  <si>
    <t>Guided Missile and Space Vehicle Propulsion Unit and Propulsion Unit Parts Manufacturing</t>
  </si>
  <si>
    <t>Wood Products, NEC (wood containers, such as noncoopered vats and reed or straw baskets)</t>
  </si>
  <si>
    <t>Other Guided Missile and Space Vehicle Parts and Auxiliary Equipment Manufacturing</t>
  </si>
  <si>
    <t>Wood Products, NEC (except wood containers, wood cooling towers, cork life preservers, mirror or picture frames, and laundry hampers of reed, rattan, and willow)</t>
  </si>
  <si>
    <t>Railroad Rolling Stock Manufacturing</t>
  </si>
  <si>
    <t>Wood Products, NEC (wood cooling towers)</t>
  </si>
  <si>
    <t>Wood Products, NEC (laundry hampers of reed, rattan, and willow)</t>
  </si>
  <si>
    <t>Boat Building</t>
  </si>
  <si>
    <t>Wood Products, NEC (cork life preservers)</t>
  </si>
  <si>
    <t>Motorcycle, Bicycle, and Parts Manufacturing</t>
  </si>
  <si>
    <t>Wood Products, NEC (mirror and picture frames)</t>
  </si>
  <si>
    <t>Military Armored Vehicle, Tank, and Tank Component Manufacturing</t>
  </si>
  <si>
    <t>Wood Household Furniture, Except Upholstered (except wood box spring frames)</t>
  </si>
  <si>
    <t>All Other Transportation Equipment Manufacturing</t>
  </si>
  <si>
    <t>Wood Household Furniture, Except Upholstered (wood box spring frames(parts))</t>
  </si>
  <si>
    <t>Wood Kitchen Cabinet and Countertop Manufacturing</t>
  </si>
  <si>
    <t>Wood Household Furniture, Upholstered</t>
  </si>
  <si>
    <t>Upholstered Household Furniture Manufacturing</t>
  </si>
  <si>
    <t>Metal Household Furniture (upholstered)</t>
  </si>
  <si>
    <t>Nonupholstered Wood Household Furniture Manufacturing</t>
  </si>
  <si>
    <t>Metal Household Furniture (except upholstered metal furniture and metal box spring frames)</t>
  </si>
  <si>
    <t>Metal Household Furniture Manufacturing</t>
  </si>
  <si>
    <t>Metal Household Furniture (metal box spring frames)</t>
  </si>
  <si>
    <t>Household Furniture (except Wood and Metal) Manufacturing</t>
  </si>
  <si>
    <t>Mattresses, Foundations, and Convertible Beds (convertible beds)</t>
  </si>
  <si>
    <t>Institutional Furniture Manufacturing</t>
  </si>
  <si>
    <t>Mattresses, Foundations, and Convertible Beds (mattresses and foundations)</t>
  </si>
  <si>
    <t>Wood Office Furniture Manufacturing</t>
  </si>
  <si>
    <t>Wood Television, Radio, Phonograph, and Sewing Machine Cabinets</t>
  </si>
  <si>
    <t>Custom Architectural Woodwork and Millwork Manufacturing</t>
  </si>
  <si>
    <t>Household Furniture, NEC</t>
  </si>
  <si>
    <t>Office Furniture (except Wood) Manufacturing</t>
  </si>
  <si>
    <t>Wood Office Furniture</t>
  </si>
  <si>
    <t>Showcase, Partition, Shelving, and Locker Manufacturing</t>
  </si>
  <si>
    <t>Office Furniture, Except Wood</t>
  </si>
  <si>
    <t>Mattress Manufacturing</t>
  </si>
  <si>
    <t>Public Building and Related Furniture (seats for motor vehicles)</t>
  </si>
  <si>
    <t>Blind and Shade Manufacturing</t>
  </si>
  <si>
    <t>Public Building and Related Furniture (except motor vehicle seats and blackboards)</t>
  </si>
  <si>
    <t>Surgical and Medical Instrument Manufacturing</t>
  </si>
  <si>
    <t>Public Building and Related Furniture (blackboards)</t>
  </si>
  <si>
    <t>Surgical Appliance and Supplies Manufacturing</t>
  </si>
  <si>
    <t>Wood Office and Store Fixtures, Partitions, Shelving, and Lockers (counter tops)</t>
  </si>
  <si>
    <t>Dental Equipment and Supplies Manufacturing</t>
  </si>
  <si>
    <t>Wood Office and Store Fixtures, Partitions, Shelving, and Lockers (wood lunchroom tables and chairs)</t>
  </si>
  <si>
    <t>Ophthalmic Goods Manufacturing</t>
  </si>
  <si>
    <t>Wood Office and Store Fixtures, Partitions, Shelving, and Lockers ( custom architectural millwork)</t>
  </si>
  <si>
    <t>Dental Laboratories</t>
  </si>
  <si>
    <t>Wood Office and Store Fixtures, Partitions, Shelving, and Lockers (except custom architectural millwork, counter tops, and lunchroom tables and chairs)</t>
  </si>
  <si>
    <t>Jewelry and Silverware Manufacturing</t>
  </si>
  <si>
    <t>Office and Store Fixtures, Partitions, Shelving, and Lockers, Except Wood (lunchroom tables and chairs)</t>
  </si>
  <si>
    <t>Sporting and Athletic Goods Manufacturing</t>
  </si>
  <si>
    <t>Office and Store Fixtures, Partitions, Shelving, and Lockers, Except Wood (except lunchroom tables and chairs)</t>
  </si>
  <si>
    <t>Doll, Toy, and Game Manufacturing</t>
  </si>
  <si>
    <t>Drapery Hardware and Window Blinds and Shades</t>
  </si>
  <si>
    <t>Office Supplies (except Paper) Manufacturing</t>
  </si>
  <si>
    <t>Furniture and Fixtures, NEC (except hospital beds)</t>
  </si>
  <si>
    <t>Sign Manufacturing</t>
  </si>
  <si>
    <t>Furniture and Fixtures, NEC (hospital beds)</t>
  </si>
  <si>
    <t>Gasket, Packing, and Sealing Device Manufacturing</t>
  </si>
  <si>
    <t>Pulp Mills (pulp producing mills only)</t>
  </si>
  <si>
    <t>Musical Instrument Manufacturing</t>
  </si>
  <si>
    <t>Pulp Mills (pulp mills producing paper except newsprint)</t>
  </si>
  <si>
    <t>Fastener, Button, Needle, and Pin Manufacturing</t>
  </si>
  <si>
    <t>Pulp Mills (pulp mills producing newsprint)</t>
  </si>
  <si>
    <t>Broom, Brush, and Mop Manufacturing</t>
  </si>
  <si>
    <t>Pulp Mills (pulp mills producing paperboard)</t>
  </si>
  <si>
    <t>Burial Casket Manufacturing</t>
  </si>
  <si>
    <t>Paper Mills (except newsprint mills)</t>
  </si>
  <si>
    <t>All Other Miscellaneous Manufacturing</t>
  </si>
  <si>
    <t>Paper Mills (newsprint mills)</t>
  </si>
  <si>
    <t>Automobile and Other Motor Vehicle Merchant Wholesalers</t>
  </si>
  <si>
    <t>Motor Vehicle Supplies and New Parts Merchant Wholesalers</t>
  </si>
  <si>
    <t>Setup Paperboard Boxes</t>
  </si>
  <si>
    <t>Tire and Tube Merchant Wholesalers</t>
  </si>
  <si>
    <t>Corrugated and Solid Fiber Boxes</t>
  </si>
  <si>
    <t>Motor Vehicle Parts (Used) Merchant Wholesalers</t>
  </si>
  <si>
    <t>Fiber Cans, Tubes, Drums, and Similar Products</t>
  </si>
  <si>
    <t>Furniture Merchant Wholesalers</t>
  </si>
  <si>
    <t>Sanitary Food Containers, Except Folding</t>
  </si>
  <si>
    <t>Home Furnishing Merchant Wholesalers</t>
  </si>
  <si>
    <t>Folding Paperboard Boxes, Including Sanitary (except paperboard backs for blister or skin packages)</t>
  </si>
  <si>
    <t>Lumber, Plywood, Millwork, and Wood Panel Merchant Wholesalers</t>
  </si>
  <si>
    <t>Packaging Paper and Plastics Film, Coated and Laminated (except single-web and multi-web plastics packaging film and sheet)</t>
  </si>
  <si>
    <t>Brick, Stone, and Related Construction Material Merchant Wholesalers</t>
  </si>
  <si>
    <t>Packaging Paper and Plastics Film, Coated and Laminated (single-web and multi-web plastics packaging film and sheet)</t>
  </si>
  <si>
    <t>Roofing, Siding, and Insulation Material Merchant Wholesalers</t>
  </si>
  <si>
    <t>Coated and Laminated Paper, NEC</t>
  </si>
  <si>
    <t>Other Construction Material Merchant Wholesalers</t>
  </si>
  <si>
    <t>Plastics, Foil, and Coated Paper Bags (except single web or multi-web plastic bags)</t>
  </si>
  <si>
    <t>Photographic Equipment and Supplies Merchant Wholesalers</t>
  </si>
  <si>
    <t>Plastics, Foil, and Coated Paper Bags (single-web and multi-web plastics bags)</t>
  </si>
  <si>
    <t>Office Equipment Merchant Wholesalers</t>
  </si>
  <si>
    <t>Uncoated Paper and Multiwall Bags</t>
  </si>
  <si>
    <t>Computer and Computer Peripheral Equipment and Software Merchant Wholesalers</t>
  </si>
  <si>
    <t>Die-Cut Paper and Paperboard and Cardboard (pasted, lined, laminated, or surface-coated paperboard)</t>
  </si>
  <si>
    <t>Other Commercial Equipment Merchant Wholesalers</t>
  </si>
  <si>
    <t>Die-Cut Paper and Paperboard and Cardboard (die-cut paper and paperboard office supplies, such as file folders, tabulating cards, and report covers)</t>
  </si>
  <si>
    <t>Medical, Dental, and Hospital Equipment and Supplies Merchant Wholesalers</t>
  </si>
  <si>
    <t>Die-Cut Paper and Paperboard and Cardboard (except pasted, lined, laminated, or surface coated paperboard and die-cut paper and paperboard office supplies)</t>
  </si>
  <si>
    <t>Ophthalmic Goods Merchant Wholesalers</t>
  </si>
  <si>
    <t>Sanitary Paper Products</t>
  </si>
  <si>
    <t>Other Professional Equipment and Supplies Merchant Wholesalers</t>
  </si>
  <si>
    <t>Envelopes</t>
  </si>
  <si>
    <t>Metal Service Centers and Other Metal Merchant Wholesalers</t>
  </si>
  <si>
    <t>Stationery, Tablets, and Related Products</t>
  </si>
  <si>
    <t>Coal and Other Mineral and Ore Merchant Wholesalers</t>
  </si>
  <si>
    <t>Converted Paper and Paperboard Products, NEC (corrugated paper)</t>
  </si>
  <si>
    <t>Electrical Apparatus and Equipment, Wiring Supplies, and Related Equipment Merchant Wholesalers</t>
  </si>
  <si>
    <t>Converted Paper and Paperboard Products, NEC (wallpaper and gift wrap paper)</t>
  </si>
  <si>
    <t>Household Appliances, Electric Housewares, and Consumer Electronics Merchant Wholesalers</t>
  </si>
  <si>
    <t>Converted Paper and Paperboard Products, NEC (paper supplies for business machines, such as adding machine tape, and other paper office supplies)</t>
  </si>
  <si>
    <t>Other Electronic Parts and Equipment Merchant Wholesalers</t>
  </si>
  <si>
    <t>Converted Paper and Paperboard Products, NEC ( except corrugated paper, wall paper, gift wrap paper, paper supplies for business machines, and other paper office supplies)</t>
  </si>
  <si>
    <t>Hardware Merchant Wholesalers</t>
  </si>
  <si>
    <t>Newspapers: Publishing, or Publishing and Printing (except Internet newspaper publishing)</t>
  </si>
  <si>
    <t>Plumbing and Heating Equipment and Supplies (Hydronics) Merchant Wholesalers</t>
  </si>
  <si>
    <t>Newspapers: Publishing, or Publishing and Printing (Internet newspaper publishing)</t>
  </si>
  <si>
    <t>Warm Air Heating and Air-Conditioning Equipment and Supplies Merchant Wholesalers</t>
  </si>
  <si>
    <t>Periodicals: Publishing, or Publishing and Printing (except Internet periodical publishing)</t>
  </si>
  <si>
    <t>Refrigeration Equipment and Supplies Merchant Wholesalers</t>
  </si>
  <si>
    <t>Periodicals: Publishing, or Publishing and Printing (Internet periodical publishing)</t>
  </si>
  <si>
    <t>Construction and Mining (except Oil Well) Machinery and Equipment Merchant Wholesalers</t>
  </si>
  <si>
    <t>Books: Publishing, or Publishing and Printing (except music books and Internet book publishing)</t>
  </si>
  <si>
    <t>Farm and Garden Machinery and Equipment Merchant Wholesalers</t>
  </si>
  <si>
    <t>Books: Publishing, or Publishing and Printing (music books)</t>
  </si>
  <si>
    <t>Industrial Machinery and Equipment Merchant Wholesalers</t>
  </si>
  <si>
    <t>Books: Publishing, or Publishing and Printing (Internet book publishing)</t>
  </si>
  <si>
    <t>Industrial Supplies Merchant Wholesalers</t>
  </si>
  <si>
    <t>Book Printing</t>
  </si>
  <si>
    <t>Service Establishment Equipment and Supplies Merchant Wholesalers</t>
  </si>
  <si>
    <t>Miscellaneous Publishing (shopping news and advertising periodical publishing or publishing and printing except Internet)</t>
  </si>
  <si>
    <t>Transportation Equipment and Supplies (except Motor Vehicle) Merchant Wholesalers</t>
  </si>
  <si>
    <t>Miscellaneous Publishing (technical manuals and books publishing or publishing and printing, except Internet)</t>
  </si>
  <si>
    <t>Sporting and Recreational Goods and Supplies Merchant Wholesalers</t>
  </si>
  <si>
    <t>Miscellaneous Publishing (directory publishers, except Internet publishers)</t>
  </si>
  <si>
    <t>Toy and Hobby Goods and Supplies Merchant Wholesalers</t>
  </si>
  <si>
    <t>Miscellaneous Publishing (except database, advertising periodicals, shopping news, technical manuals and books, and sheet music publishing or publishing and printing and Internet versions of these activities)</t>
  </si>
  <si>
    <t>Recyclable Material Merchant Wholesalers</t>
  </si>
  <si>
    <t>Miscellaneous Publishing (sheet music publishing or publishing and printing)</t>
  </si>
  <si>
    <t>Jewelry, Watch, Precious Stone, and Precious Metal Merchant Wholesalers</t>
  </si>
  <si>
    <t>Miscellaneous Publishing (miscellaneous Internet publishing)</t>
  </si>
  <si>
    <t>Other Miscellaneous Durable Goods Merchant Wholesalers</t>
  </si>
  <si>
    <t>Commercial Printing, Lithographic (except quick printing)</t>
  </si>
  <si>
    <t>Printing and Writing Paper Merchant Wholesalers</t>
  </si>
  <si>
    <t>Commercial Printing, Lithographic (quick printing)</t>
  </si>
  <si>
    <t>Stationery and Office Supplies Merchant Wholesalers</t>
  </si>
  <si>
    <t>Commercial Printing, Gravure</t>
  </si>
  <si>
    <t>Industrial and Personal Service Paper Merchant Wholesalers</t>
  </si>
  <si>
    <t>Commercial Printing, NEC (flexographic printing)</t>
  </si>
  <si>
    <t>Drugs and Druggists' Sundries Merchant Wholesalers</t>
  </si>
  <si>
    <t>Commercial Printing, NEC (screen printing)</t>
  </si>
  <si>
    <t>Piece Goods, Notions, and Other Dry Goods Merchant Wholesalers</t>
  </si>
  <si>
    <t>Commercial Printing, NEC (quick printing)</t>
  </si>
  <si>
    <t>Men's and Boys' Clothing and Furnishings Merchant Wholesalers</t>
  </si>
  <si>
    <t>Commercial Printing, NEC (digital printing, except quick printing)</t>
  </si>
  <si>
    <t>Women's, Children's, and Infants' Clothing and Accessories Merchant Wholesalers</t>
  </si>
  <si>
    <t>Commercial Printing, NEC (other commercial printing except flexographic, screen, digital, and quick printing)</t>
  </si>
  <si>
    <t>Footwear Merchant Wholesalers</t>
  </si>
  <si>
    <t>Manifold Business Forms</t>
  </si>
  <si>
    <t>General Line Grocery Merchant Wholesalers</t>
  </si>
  <si>
    <t>Greeting Cards (lithographic printing of greeting cards)</t>
  </si>
  <si>
    <t>Packaged Frozen Food Merchant Wholesalers</t>
  </si>
  <si>
    <t>Greeting Cards (gravure printing of greeting cards)</t>
  </si>
  <si>
    <t>Dairy Product (except Dried or Canned) Merchant Wholesalers</t>
  </si>
  <si>
    <t>Greeting Cards (flexographic printing of greeting cards)</t>
  </si>
  <si>
    <t>Poultry and Poultry Product Merchant Wholesalers</t>
  </si>
  <si>
    <t>Greeting Cards (screen printing of greeting cards)</t>
  </si>
  <si>
    <t>Confectionery Merchant Wholesalers</t>
  </si>
  <si>
    <t>Greeting Cards (other printing of greeting cards)</t>
  </si>
  <si>
    <t>Fish and Seafood Merchant Wholesalers</t>
  </si>
  <si>
    <t>Greeting Cards (publishing greeting cards except Internet greeting card publishers)</t>
  </si>
  <si>
    <t>Meat and Meat Product Merchant Wholesalers</t>
  </si>
  <si>
    <t>Greeting Cards (Internet greeting card publishers)</t>
  </si>
  <si>
    <t>Fresh Fruit and Vegetable Merchant Wholesalers</t>
  </si>
  <si>
    <t>Blankbooks, Looseleaf Binders and Devices (checkbooks)</t>
  </si>
  <si>
    <t>Other Grocery and Related Products Merchant Wholesalers</t>
  </si>
  <si>
    <t>Blankbooks, Looseleaf Binders and Devices (except checkbooks)</t>
  </si>
  <si>
    <t>Grain and Field Bean Merchant Wholesalers</t>
  </si>
  <si>
    <t>Bookbinding and Related Work</t>
  </si>
  <si>
    <t>Livestock Merchant Wholesalers</t>
  </si>
  <si>
    <t>Typesetting</t>
  </si>
  <si>
    <t>Other Farm Product Raw Material Merchant Wholesalers</t>
  </si>
  <si>
    <t>Platemaking and Related Services</t>
  </si>
  <si>
    <t>Plastics Materials and Basic Forms and Shapes Merchant Wholesalers</t>
  </si>
  <si>
    <t>Industrial Gases</t>
  </si>
  <si>
    <t>Petroleum Bulk Stations and Terminals</t>
  </si>
  <si>
    <t>Inorganic Pigments (except bone and lamp black)</t>
  </si>
  <si>
    <t>Petroleum and Petroleum Products Merchant Wholesalers (except Bulk Stations and Terminals)</t>
  </si>
  <si>
    <t>Inorganic Pigments (bone and lamp black)</t>
  </si>
  <si>
    <t>Beer and Ale Merchant Wholesalers</t>
  </si>
  <si>
    <t>Wine and Distilled Alcoholic Beverage Merchant Wholesalers</t>
  </si>
  <si>
    <t>Industrial Inorganic Chemicals, NEC (inorganic dyes)</t>
  </si>
  <si>
    <t>Farm Supplies Merchant Wholesalers</t>
  </si>
  <si>
    <t>Industrial Inorganic Chemicals, NEC (except activated carbon and charcoal, alumina, recovering sulfur from natural gas, and inorganic dyes)</t>
  </si>
  <si>
    <t>Book, Periodical, and Newspaper Merchant Wholesalers</t>
  </si>
  <si>
    <t>Industrial Inorganic Chemicals, NEC (activated carbon and charcoal)</t>
  </si>
  <si>
    <t>Flower, Nursery Stock, and Florists' Supplies Merchant Wholesalers</t>
  </si>
  <si>
    <t>Industrial Inorganic Chemicals, NEC (alumina)</t>
  </si>
  <si>
    <t>Tobacco and Tobacco Product Merchant Wholesalers</t>
  </si>
  <si>
    <t>Paint, Varnish, and Supplies Merchant Wholesalers</t>
  </si>
  <si>
    <t>Other Miscellaneous Nondurable Goods Merchant Wholesalers</t>
  </si>
  <si>
    <t>Cellulosic Manmade Fibers</t>
  </si>
  <si>
    <t>Business to Business Electronic Markets</t>
  </si>
  <si>
    <t>Manmade Organic Fibers, Except Cellulosic</t>
  </si>
  <si>
    <t>Wholesale Trade Agents and Brokers</t>
  </si>
  <si>
    <t>New Car Dealers</t>
  </si>
  <si>
    <t xml:space="preserve">Pharmaceutical Preparations </t>
  </si>
  <si>
    <t>Used Car Dealers</t>
  </si>
  <si>
    <t>In Vitro and In Vivo Diagnostic Substances (except in-vitro diagnostic substances)</t>
  </si>
  <si>
    <t>Recreational Vehicle Dealers</t>
  </si>
  <si>
    <t>In Vitro and In Vivo Diagnostic Substances (in-vitro diagnostic substances)</t>
  </si>
  <si>
    <t>Boat Dealers</t>
  </si>
  <si>
    <t>Biological Products, Except Diagnostic Substances</t>
  </si>
  <si>
    <t>Motorcycle, ATV, and All Other Motor Vehicle Dealers</t>
  </si>
  <si>
    <t>Automotive Parts and Accessories Stores</t>
  </si>
  <si>
    <t>Specialty Cleaning, Polishing, and Sanitation Preparations</t>
  </si>
  <si>
    <t>Tire Dealers</t>
  </si>
  <si>
    <t>Furniture Stores</t>
  </si>
  <si>
    <t>Perfumes, Cosmetics, and Other Toilet Preparations (toothpaste, gel, and dentifrice powders)</t>
  </si>
  <si>
    <t>Floor Covering Stores</t>
  </si>
  <si>
    <t>Perfumes, Cosmetics, and Other Toilet Preparations (except toothpaste, gel, and dentifrice powders)</t>
  </si>
  <si>
    <t>Window Treatment Stores</t>
  </si>
  <si>
    <t>All Other Home Furnishings Stores</t>
  </si>
  <si>
    <t>Gum and Wood Chemicals</t>
  </si>
  <si>
    <t>Household Appliance Stores</t>
  </si>
  <si>
    <t>Cyclic Organic Crudes and Intermediates, and Organic Dyes and Pigments (aromatics)</t>
  </si>
  <si>
    <t>Electronics Stores</t>
  </si>
  <si>
    <t>Cyclic Organic Crudes and Intermediates, and Organic Dyes and Pigments (organic dyes and pigments)</t>
  </si>
  <si>
    <t>Home Centers</t>
  </si>
  <si>
    <t>Cyclic Organic Crudes and Intermediates and Organic Dyes and Pigments (except aromatics and organic dyes and pigments)</t>
  </si>
  <si>
    <t>Paint and Wallpaper Stores</t>
  </si>
  <si>
    <t>Hardware Stores</t>
  </si>
  <si>
    <t>Industrial Organic Chemicals, NEC (fluorocarbon gases)</t>
  </si>
  <si>
    <t>Other Building Material Dealers</t>
  </si>
  <si>
    <t>Industrial Organic Chemicals, NEC (carbon bisulfide)</t>
  </si>
  <si>
    <t>Outdoor Power Equipment Stores</t>
  </si>
  <si>
    <t>Industrial Organic Chemicals, NEC (cyclopropane, diethylcyclohexane, naphthalene sulfonic acid)</t>
  </si>
  <si>
    <t>Nursery, Garden Center, and Farm Supply Stores</t>
  </si>
  <si>
    <t>Industrial Organic Chemicals, NEC (ethyl alcohol)</t>
  </si>
  <si>
    <t>Supermarkets and Other Grocery (except Convenience) Stores</t>
  </si>
  <si>
    <t>Industrial Organic Chemicals, NEC (except aliphatics, carbon bisulfide, ethyl alcohol, cyclopropane, diethylcyclohexane, napthalene sulfonic acid, synthetic hydraulic fluids, and fluorocarbon gases)</t>
  </si>
  <si>
    <t>Convenience Stores</t>
  </si>
  <si>
    <t>Industrial Organic Chemicals, NEC (synthetic hydraulic fluids)</t>
  </si>
  <si>
    <t>Meat Markets</t>
  </si>
  <si>
    <t>Nitrogenous Fertilizers</t>
  </si>
  <si>
    <t>Fish and Seafood Markets</t>
  </si>
  <si>
    <t>Phosphatic Fertilizers</t>
  </si>
  <si>
    <t>Fruit and Vegetable Markets</t>
  </si>
  <si>
    <t>Fertilizers, Mixing Only</t>
  </si>
  <si>
    <t>Baked Goods Stores</t>
  </si>
  <si>
    <t>Confectionery and Nut Stores</t>
  </si>
  <si>
    <t>Adhesives and Sealants</t>
  </si>
  <si>
    <t>All Other Specialty Food Stores</t>
  </si>
  <si>
    <t>Explosives</t>
  </si>
  <si>
    <t>Beer, Wine, and Liquor Stores</t>
  </si>
  <si>
    <t>Printing Ink</t>
  </si>
  <si>
    <t>Pharmacies and Drug Stores</t>
  </si>
  <si>
    <t>Carbon Black</t>
  </si>
  <si>
    <t>Cosmetics, Beauty Supplies, and Perfume Stores</t>
  </si>
  <si>
    <t>Optical Goods Stores</t>
  </si>
  <si>
    <t>Chemicals and Chemical Preparations, NEC (fatty acids)</t>
  </si>
  <si>
    <t>Food (Health) Supplement Stores</t>
  </si>
  <si>
    <t>Chemicals and Chemical Preparations, NEC (frit and plastic wood fillers)</t>
  </si>
  <si>
    <t>All Other Health and Personal Care Stores</t>
  </si>
  <si>
    <t>Chemicals and Chemical Preparations, NEC (except frit, fatty acids, plastic wood fillers, and table salt)</t>
  </si>
  <si>
    <t>Gasoline Stations with Convenience Stores</t>
  </si>
  <si>
    <t>Other Gasoline Stations</t>
  </si>
  <si>
    <t>Asphalt Paving Mixtures and Blocks</t>
  </si>
  <si>
    <t>Men's Clothing Stores</t>
  </si>
  <si>
    <t>Asphalt Felts and Coatings</t>
  </si>
  <si>
    <t>Women's Clothing Stores</t>
  </si>
  <si>
    <t>Lubricating Oils and Greases</t>
  </si>
  <si>
    <t>Children's and Infants' Clothing Stores</t>
  </si>
  <si>
    <t>Products of Petroleum and Coal, NEC</t>
  </si>
  <si>
    <t>Family Clothing Stores</t>
  </si>
  <si>
    <t>Tires and Inner Tubes</t>
  </si>
  <si>
    <t>Clothing Accessories Stores</t>
  </si>
  <si>
    <t>Rubber and Plastics Footwear</t>
  </si>
  <si>
    <t>Other Clothing Stores</t>
  </si>
  <si>
    <t>Rubber and Plastics Hose and Belting</t>
  </si>
  <si>
    <t>Shoe Stores</t>
  </si>
  <si>
    <t>Gaskets, Packing, and Sealing Devices</t>
  </si>
  <si>
    <t>Jewelry Stores</t>
  </si>
  <si>
    <t>Molded, Extruded, and Lathe-Cut Mechanical Rubber Goods</t>
  </si>
  <si>
    <t>Luggage and Leather Goods Stores</t>
  </si>
  <si>
    <t>Fabricated Rubber Products, NEC (rubberizing fabric or purchased textile products)</t>
  </si>
  <si>
    <t>Sporting Goods Stores</t>
  </si>
  <si>
    <t>Fabricated Rubber Products, NEC (bags made from rubberized fabric)</t>
  </si>
  <si>
    <t>Hobby, Toy, and Game Stores</t>
  </si>
  <si>
    <t>Fabricated Rubber Products, NEC (rubber cut and sew outerwear)</t>
  </si>
  <si>
    <t>Sewing, Needlework, and Piece Goods Stores</t>
  </si>
  <si>
    <t>Fabricated Rubber Products, NEC (bibs, bathing caps, related rubber accessories)</t>
  </si>
  <si>
    <t>Musical Instrument and Supplies Stores</t>
  </si>
  <si>
    <t>Fabricated Rubber Products, NEC (rubber resilient floor coverings)</t>
  </si>
  <si>
    <t>Book Stores</t>
  </si>
  <si>
    <t>Fabricated Rubber Products, NEC (except rubberized fabric and garments, gloves, life vests, wet suits, accessories, such as bibs and bathing caps, rubber toys, bags made from rubberized fabric, rubber diaper covers, and rubber resilient floor coverings)</t>
  </si>
  <si>
    <t>News Dealers and Newsstands</t>
  </si>
  <si>
    <t>Fabricated Rubber Products, NEC (rubber gloves, inflatable rubber lifejackets)</t>
  </si>
  <si>
    <t>Department Stores</t>
  </si>
  <si>
    <t>Fabricated Rubber Products, NEC (wet suits)</t>
  </si>
  <si>
    <t>Warehouse Clubs and Supercenters</t>
  </si>
  <si>
    <t>Fabricated Rubber Products, NEC (rubber toys, except dolls)</t>
  </si>
  <si>
    <t>All Other General Merchandise Stores</t>
  </si>
  <si>
    <t>Unsupported Plastics Film and Sheet</t>
  </si>
  <si>
    <t>Florists</t>
  </si>
  <si>
    <t>Unsupported Plastics Profile Shapes</t>
  </si>
  <si>
    <t>Office Supplies and Stationery Stores</t>
  </si>
  <si>
    <t>Laminated Plastics Plate, Sheet, and Profile Shapes</t>
  </si>
  <si>
    <t>Gift, Novelty, and Souvenir Stores</t>
  </si>
  <si>
    <t>Plastics Pipe</t>
  </si>
  <si>
    <t>Used Merchandise Stores</t>
  </si>
  <si>
    <t>Plastics Bottles</t>
  </si>
  <si>
    <t>Pet and Pet Supplies Stores</t>
  </si>
  <si>
    <t>Plastics Foam Products (polystyrene foam products)</t>
  </si>
  <si>
    <t>Art Dealers</t>
  </si>
  <si>
    <t>Plastics Foam Products (except polystyrene foam products)</t>
  </si>
  <si>
    <t>Manufactured (Mobile) Home Dealers</t>
  </si>
  <si>
    <t>Custom Compounding of Purchased Plastics Resins</t>
  </si>
  <si>
    <t>Tobacco Stores</t>
  </si>
  <si>
    <t>Plastics Plumbing Fixtures</t>
  </si>
  <si>
    <r>
      <t xml:space="preserve">All Other Miscellaneous Store Retailers (except Tobacco Stores) - </t>
    </r>
    <r>
      <rPr>
        <i/>
        <sz val="10"/>
        <rFont val="Arial"/>
        <family val="2"/>
      </rPr>
      <t>general merchandise auction houses</t>
    </r>
  </si>
  <si>
    <t>Plastics Products, NEC (plastics sausage casings)</t>
  </si>
  <si>
    <r>
      <t xml:space="preserve">All Other Miscellaneous Store Retailers (except Tobacco Stores) - </t>
    </r>
    <r>
      <rPr>
        <i/>
        <sz val="10"/>
        <rFont val="Arial"/>
        <family val="2"/>
      </rPr>
      <t>electronic cigarette stores and marijuana stores, medical or recreational</t>
    </r>
  </si>
  <si>
    <t>Plastics Products, NEC (pipe fittings)</t>
  </si>
  <si>
    <r>
      <t xml:space="preserve">All Other Miscellaneous Store Retailers (except Tobacco Stores) - </t>
    </r>
    <r>
      <rPr>
        <i/>
        <sz val="10"/>
        <rFont val="Arial"/>
        <family val="2"/>
      </rPr>
      <t>except general merchandise auction houses, electronic cigarette stores, and marijuana stores, medical or recreational</t>
    </r>
  </si>
  <si>
    <t>Plastics Products, NEC (except plastics pipe fittings, inflatable plastics life jackets, plastics furniture parts, and plastics sausage casings)</t>
  </si>
  <si>
    <t>Electronic Shopping and Mail-Order Houses</t>
  </si>
  <si>
    <t>Plastics Products, NEC (finished plastic furniture parts)</t>
  </si>
  <si>
    <t>Plastics Products, NEC (inflatable plastic life jackets)</t>
  </si>
  <si>
    <t>Leather Tanning and Finishing</t>
  </si>
  <si>
    <t>Boot and Shoe Cut Stock and Findings (except wood heels and metal buckles)</t>
  </si>
  <si>
    <t>Boot and Shoe Cut Stock and Findings (wood heels)</t>
  </si>
  <si>
    <t>Boot and Shoe Cut Stock and Findings (metal buckles)</t>
  </si>
  <si>
    <t>House Slippers</t>
  </si>
  <si>
    <t>Men’s Footwear, Except Athletic</t>
  </si>
  <si>
    <t>Women’s Footwear, Except Athletic</t>
  </si>
  <si>
    <t>Footwear,  Except Rubber, NEC</t>
  </si>
  <si>
    <t>Leather Gloves and Mittens (men's and boys' contractors)</t>
  </si>
  <si>
    <t>Leather Gloves and Mittens (women's, girls', and infants' contractors)</t>
  </si>
  <si>
    <t>Leather Gloves and Mittens (except contractors)</t>
  </si>
  <si>
    <t>Luggage</t>
  </si>
  <si>
    <t>Women’s Handbags and Purses</t>
  </si>
  <si>
    <t>Personal Leather Goods, Except Women’s Handbags and Purses (except nonprecious metal personal goods, such as card cases, cigar cases, and comb cases)</t>
  </si>
  <si>
    <t>Personal Leather Goods, Except Women's Handbags and Purses (nonprecious metal personal goods, such as card cases, cigar cases, and comb cases)</t>
  </si>
  <si>
    <t>Leather Goods, NEC</t>
  </si>
  <si>
    <t>Flat Glass</t>
  </si>
  <si>
    <t>Glass Containers</t>
  </si>
  <si>
    <t>Pressed and Blown Glass and Glassware, NEC</t>
  </si>
  <si>
    <t>Glass Products Made of Purchased Glass</t>
  </si>
  <si>
    <t>Cement, Hydraulic</t>
  </si>
  <si>
    <t>Brick and Structural Clay Tile (except slumped brick)</t>
  </si>
  <si>
    <t>Brick and Structural Clay Tile (slumped brick)</t>
  </si>
  <si>
    <t>Ceramic Wall and Floor Tile</t>
  </si>
  <si>
    <t>Clay Refractories</t>
  </si>
  <si>
    <t>Structural Clay Products, NEC</t>
  </si>
  <si>
    <t>Vitreous China Plumbing Fixtures and China and Earthenware Fittings and Bathroom Accessories</t>
  </si>
  <si>
    <t>Vitreous China Table and Kitchen Articles</t>
  </si>
  <si>
    <t>Fine Earthenware (Whiteware) Table and Kitchen Articles</t>
  </si>
  <si>
    <t>Porcelain Electrical Supplies</t>
  </si>
  <si>
    <t>Pottery Products, NEC</t>
  </si>
  <si>
    <t>Concrete Block and Brick</t>
  </si>
  <si>
    <t>Concrete Products, Except Block and Brick (concrete pipe)</t>
  </si>
  <si>
    <t>Concrete Products, Except Block and Brick (concrete products, except dry mix concrete and pipe)</t>
  </si>
  <si>
    <t>Concrete Products, Except Block and Brick (dry mixture concrete)</t>
  </si>
  <si>
    <t>Ready-Mixed Concrete</t>
  </si>
  <si>
    <t>Lime</t>
  </si>
  <si>
    <t>Gypsum Products</t>
  </si>
  <si>
    <t>Cut Stone and Stone Products</t>
  </si>
  <si>
    <t>Abrasive Products (except steel wool with or without soap)</t>
  </si>
  <si>
    <t>Vending Machine Operators</t>
  </si>
  <si>
    <t>Abrasive Products (steel wool with or without soap)</t>
  </si>
  <si>
    <t>Fuel Dealers</t>
  </si>
  <si>
    <t>Asbestos Products (except brake pads and linings)</t>
  </si>
  <si>
    <t>Other Direct Selling Establishments</t>
  </si>
  <si>
    <t>Asbestos Products (asbestos brake linings and pads)</t>
  </si>
  <si>
    <t>Asbestos Products (asbestos clutch facings, motor vehicle)</t>
  </si>
  <si>
    <t>Minerals and Earths, Ground or Otherwise Treated (grinding, washing, separating, etc. of kaolin and ball clay)</t>
  </si>
  <si>
    <t>Minerals and Earths, Ground or Otherwise Treated (grinding, washing, separating, etc. of clay, ceramic, and refractory minerals nec)</t>
  </si>
  <si>
    <t>Minerals and Earths, Ground or Otherwise Treated (grinding, washing, separating, etc. of chemical and fertilizer minerals, nec)</t>
  </si>
  <si>
    <t>Minerals and Earths, Ground or Otherwise Treated (grinding, washing, separating, etc. of nonmetallic minerals, nec)</t>
  </si>
  <si>
    <t>Minerals and Earths, Ground or Otherwise Treated (except grinding, washing, separating, etc. of nonmetallic minerals)</t>
  </si>
  <si>
    <t>Mineral Wool</t>
  </si>
  <si>
    <t>Nonclay Refractories</t>
  </si>
  <si>
    <t>Nonmetallic Mineral Products, NEC (clay statuary)</t>
  </si>
  <si>
    <t>Nonmetallic Mineral Products, NEC (moldings, ornamental and architectural plaster work, and gypsum statuary )</t>
  </si>
  <si>
    <t>Nonmetallic Mineral Products, NEC (except moldings, ornamental and architectural plaster work, clay statuary, and gypsum statuary)</t>
  </si>
  <si>
    <t>Steel Works, Blast Furnaces (Including Coke Ovens), and Rolling Mills (coke ovens)</t>
  </si>
  <si>
    <t>Steel Works, Blast Furnaces (Including Coke Ovens), and Rolling Mills (except coke ovens not integrated with steel mills and hot-rolling purchased steel)</t>
  </si>
  <si>
    <t>Steel Works, Blast Furnaces (Including Coke Ovens), and Rolling Mills (hot-rolling purchased steel)</t>
  </si>
  <si>
    <t>Electrometallurgical Products, Except Steel</t>
  </si>
  <si>
    <t>Steel Wiredrawing and Steel Nails and Spikes (steel wire drawing)</t>
  </si>
  <si>
    <t>Steel Wiredrawing and Steel Nails and Spikes (nails, spikes, paper clips, and wire not made in wiredrawing plants)</t>
  </si>
  <si>
    <t>Cold-Rolled Steel Sheet, Strip, and Bars</t>
  </si>
  <si>
    <t>Steel Pipe and Tubes</t>
  </si>
  <si>
    <t>Gray and Ductile Iron Foundries</t>
  </si>
  <si>
    <t>Malleable Iron Foundries</t>
  </si>
  <si>
    <t>Steel Foundries, NEC</t>
  </si>
  <si>
    <t>Primary Smelting and Refining of Copper</t>
  </si>
  <si>
    <t>Primary Production of Aluminum</t>
  </si>
  <si>
    <t>Primary Smelting and Refining of Nonferrous Metals, Except Copper and Aluminum</t>
  </si>
  <si>
    <t>Secondary Smelting and Refining of Nonferrous Metals (aluminum)</t>
  </si>
  <si>
    <t>Secondary Smelting and Refining of Nonferrous Metals (copper)</t>
  </si>
  <si>
    <t>Secondary Smelting and Refining of Nonferrous Metals (except copper and aluminum)</t>
  </si>
  <si>
    <t>Rolling, Drawing, and Extruding of Copper</t>
  </si>
  <si>
    <t>Aluminum Sheet, Plate, and Foil</t>
  </si>
  <si>
    <t>Aluminum Extruded Products</t>
  </si>
  <si>
    <t>Aluminum Rolling and Drawing, NEC</t>
  </si>
  <si>
    <t>Rolling, Drawing, and Extruding of Nonferrous Metals, Except Copper and Aluminum</t>
  </si>
  <si>
    <t>Drawing and Insulating of Nonferrous Wire (aluminum wire drawing)</t>
  </si>
  <si>
    <t>Drawing and Insulating of Nonferrous Wire (copper wire drawing)</t>
  </si>
  <si>
    <t>Drawing and Insulating of Nonferrous Wire (wire drawing except copper or aluminum)</t>
  </si>
  <si>
    <t>Drawing and Insulating of Nonferrous Wire (fiber optic cable-insulating only)</t>
  </si>
  <si>
    <t>Scheduled Passenger Air Transportation</t>
  </si>
  <si>
    <t>Drawing and Insulating of Nonferrous Wire (communication and energy wire, except fiber optic-insulating only)</t>
  </si>
  <si>
    <t>Scheduled Freight Air Transportation</t>
  </si>
  <si>
    <t>Aluminum Die-Castings</t>
  </si>
  <si>
    <t>Nonscheduled Chartered Passenger Air Transportation</t>
  </si>
  <si>
    <t>Nonferrous Die-Castings, Except Aluminum</t>
  </si>
  <si>
    <t>Nonscheduled Chartered Freight Air Transportation</t>
  </si>
  <si>
    <t>Aluminum Foundries</t>
  </si>
  <si>
    <t>Other Nonscheduled Air Transportation</t>
  </si>
  <si>
    <t>Copper Foundries</t>
  </si>
  <si>
    <t>Line-Haul Railroads</t>
  </si>
  <si>
    <t>Nonferrous Foundries, Except Aluminum and Copper</t>
  </si>
  <si>
    <t>Short Line Railroads</t>
  </si>
  <si>
    <t>Deep Sea Freight Transportation</t>
  </si>
  <si>
    <t>Primary Metal Products, NEC (iron ore recovery from open hearth slag)</t>
  </si>
  <si>
    <t>Deep Sea Passenger Transportation</t>
  </si>
  <si>
    <t>Primary Metal Products, NEC (ferrous powder, paste, flakes, etc.)</t>
  </si>
  <si>
    <t>Coastal and Great Lakes Freight Transportation</t>
  </si>
  <si>
    <t>Primary Metal Products, NEC (aluminum powder, paste, flakes, etc.)</t>
  </si>
  <si>
    <t>Coastal and Great Lakes Passenger Transportation</t>
  </si>
  <si>
    <t>Primary Metal Products, NEC (copper powder, paste, flakes, etc.)</t>
  </si>
  <si>
    <t>Inland Water Freight Transportation</t>
  </si>
  <si>
    <t>Primary Metal Products, NEC (nonferrous powder, paste, flakes, etc. except copper and aluminum)</t>
  </si>
  <si>
    <t>Inland Water Passenger Transportation</t>
  </si>
  <si>
    <t>Primary Metal Products, NEC (nonferrous nails, brads, staples, tacks, etc. made from purchased nonferrous wire)</t>
  </si>
  <si>
    <t>General Freight Trucking, Local</t>
  </si>
  <si>
    <t>Primary Metal Products, NEC (laminating steel for the trade)</t>
  </si>
  <si>
    <t>General Freight Trucking, Long-Distance, Truckload</t>
  </si>
  <si>
    <t>Metal Cans</t>
  </si>
  <si>
    <t>General Freight Trucking, Long-Distance, Less Than Truckload</t>
  </si>
  <si>
    <t>Metal Shipping Barrels, Drums, Kegs, and Pails</t>
  </si>
  <si>
    <t>Used Household and Office Goods Moving</t>
  </si>
  <si>
    <t>Cutlery (except hedge shears and trimmers, tinners' snips, and similar nonelectric hand tools)</t>
  </si>
  <si>
    <t>Specialized Freight (except Used Goods) Trucking, Local</t>
  </si>
  <si>
    <t>Cutlery (hedge shears and trimmers, tinners snips, and similar nonelectric hand tools)</t>
  </si>
  <si>
    <t>Specialized Freight (except Used Goods) Trucking, Long-Distance</t>
  </si>
  <si>
    <t>Hand and Edge Tools, Except Machine Tools and Handsaws</t>
  </si>
  <si>
    <t>Mixed Mode Transit Systems</t>
  </si>
  <si>
    <t>Saw Blades and Handsaws</t>
  </si>
  <si>
    <t>Commuter Rail Systems</t>
  </si>
  <si>
    <t>Hardware, NEC (vacuum and insulated bottles, jugs, and chests)</t>
  </si>
  <si>
    <t>Bus and Other Motor Vehicle Transit Systems</t>
  </si>
  <si>
    <t>Hardware, NEC (except fire hose nozzles, hose couplings, vacuum and insulated bottles, jugs and chests, fireplace fixtures, time locks, turnbuckles, pulleys, tackle blocks, luggage and utility racks, sleep sofa mechanisms and chair glides, traps, handcuffs and leg irons, ladder jacks, and other like metal products)</t>
  </si>
  <si>
    <t>Other Urban Transit Systems</t>
  </si>
  <si>
    <t>Hardware, NEC (turnbuckles and hose clamps)</t>
  </si>
  <si>
    <t>Interurban and Rural Bus Transportation</t>
  </si>
  <si>
    <t>Hardware, NEC (fire hose nozzles and hose couplings)</t>
  </si>
  <si>
    <t>Taxi Service</t>
  </si>
  <si>
    <t>Hardware, NEC (fireplace fixtures, traps, handcuffs and leg irons, ladder jacks, and other like metal products)</t>
  </si>
  <si>
    <t>Limousine Service</t>
  </si>
  <si>
    <t>Hardware, NEC (pulleys, tackle blocks, block and tackle assemblies)</t>
  </si>
  <si>
    <t>School and Employee Bus Transportation</t>
  </si>
  <si>
    <t>Hardware, NEC (time locks)</t>
  </si>
  <si>
    <t>Charter Bus Industry</t>
  </si>
  <si>
    <t>Hardware, NEC (luggage and utility racks)</t>
  </si>
  <si>
    <t>Special Needs Transportation</t>
  </si>
  <si>
    <t>Hardware, NEC (sleep sofa mechanisms and chair glides)</t>
  </si>
  <si>
    <t>All Other Transit and Ground Passenger Transportation</t>
  </si>
  <si>
    <t>Enameled Iron and Metal Sanitary Ware</t>
  </si>
  <si>
    <t>Pipeline Transportation of Crude Oil</t>
  </si>
  <si>
    <t>Plumbing Fixture Fittings and Trim (except shower rods, lawn hose nozzles, and lawn sprinklers)</t>
  </si>
  <si>
    <t>Pipeline Transportation of Natural Gas</t>
  </si>
  <si>
    <t>Plumbing Fixture Fittings and Trim (lawn hose nozzles and lawn sprinklers)</t>
  </si>
  <si>
    <t>Pipeline Transportation of Refined Petroleum Products</t>
  </si>
  <si>
    <t>Plumbing Fixture Fittings and Trim (metal shower rods)</t>
  </si>
  <si>
    <t>All Other Pipeline Transportation</t>
  </si>
  <si>
    <t>Heating Equipment, Except Electric and Warm Air Furnaces</t>
  </si>
  <si>
    <t>Scenic and Sightseeing Transportation, Land</t>
  </si>
  <si>
    <t>Fabricated Structural Metal</t>
  </si>
  <si>
    <t>Scenic and Sightseeing Transportation, Water</t>
  </si>
  <si>
    <t>Metal Doors, Sash, Frames, Molding, and Trim</t>
  </si>
  <si>
    <t>Scenic and Sightseeing Transportation, Other</t>
  </si>
  <si>
    <t>Fabricated Plate Work (Boiler Shops) (fabricated plate work and metal weldments)</t>
  </si>
  <si>
    <t>Air Traffic Control</t>
  </si>
  <si>
    <t>Fabricated Plate Work (Boiler Shops) (power boilers and heat exchangers)</t>
  </si>
  <si>
    <t>Other Airport Operations</t>
  </si>
  <si>
    <t>Fabricated Plate Work (Boiler Shops) (heavy gauge tanks)</t>
  </si>
  <si>
    <t>Other Support Activities for Air Transportation</t>
  </si>
  <si>
    <t>Fabricated Plate Work (Boiler Shops) (metal cooling towers)</t>
  </si>
  <si>
    <t>Support Activities for Rail Transportation</t>
  </si>
  <si>
    <t>Sheet Metal Work (stamped metal skylights)</t>
  </si>
  <si>
    <t>Port and Harbor Operations</t>
  </si>
  <si>
    <t>Sheet Metal Work (except sheet metal bins and vats, skylights, and sheet metal cooling towers)</t>
  </si>
  <si>
    <t>Marine Cargo Handling</t>
  </si>
  <si>
    <t>Sheet Metal Work (metal bins and vats)</t>
  </si>
  <si>
    <t>Navigational Services to Shipping</t>
  </si>
  <si>
    <t>Sheet Metal Work (cooling towers, sheet metal)</t>
  </si>
  <si>
    <t>Other Support Activities for Water Transportation</t>
  </si>
  <si>
    <t>Architectural and Ornamental Metal Work</t>
  </si>
  <si>
    <t>Motor Vehicle Towing</t>
  </si>
  <si>
    <t>Prefabricated Metal Buildings and Components</t>
  </si>
  <si>
    <t>Other Support Activities for Road Transportation</t>
  </si>
  <si>
    <t>Miscellaneous Structural Metal Work (custom roll forming)</t>
  </si>
  <si>
    <t>Freight Transportation Arrangement</t>
  </si>
  <si>
    <t>Miscellaneous Structural Metal Work (fabricated bar joists and concrete reinforcing bars)</t>
  </si>
  <si>
    <t>Packing and Crating</t>
  </si>
  <si>
    <t>Miscellaneous Structural Metal Work (curtain wall and metal plaster bases and lath)</t>
  </si>
  <si>
    <t>All Other Support Activities for Transportation</t>
  </si>
  <si>
    <t>Screw Machine Products</t>
  </si>
  <si>
    <t>Postal Service</t>
  </si>
  <si>
    <t>Bolts, Nuts, Screws, Rivets, and Washers</t>
  </si>
  <si>
    <t>Couriers and Express Delivery Services</t>
  </si>
  <si>
    <t>Iron and Steel Forgings</t>
  </si>
  <si>
    <t>Local Messengers and Local Delivery</t>
  </si>
  <si>
    <t>Nonferrous Forgings</t>
  </si>
  <si>
    <t>General Warehousing and Storage</t>
  </si>
  <si>
    <t>Automotive Stampings</t>
  </si>
  <si>
    <t>Refrigerated Warehousing and Storage</t>
  </si>
  <si>
    <t>Crowns and Closures</t>
  </si>
  <si>
    <t>Farm Product Warehousing and Storage</t>
  </si>
  <si>
    <t>Metal Stampings, NEC (except kitchen utensils, pots and pans for cooking, coins, and stamped metal boxes)</t>
  </si>
  <si>
    <t>Other Warehousing and Storage</t>
  </si>
  <si>
    <t>Metal Stampings, NEC (kitchen utensils, pots, and pans for cooking)</t>
  </si>
  <si>
    <t>Newspaper Publishers</t>
  </si>
  <si>
    <t>Metal Stampings, NEC (stamped metal tool, cash, mail, and lunch boxes)</t>
  </si>
  <si>
    <t>Periodical Publishers</t>
  </si>
  <si>
    <t>Book Publishers</t>
  </si>
  <si>
    <t>Coating, Engraving, and Allied Services, NEC (except jewelry, silverware, and flatware engraving and etching)</t>
  </si>
  <si>
    <t>Directory and Mailing List Publishers</t>
  </si>
  <si>
    <t>Coating, Engraving, and Allied Services, NEC (precious metal jewelry engraving and etching)</t>
  </si>
  <si>
    <t>Greeting Card Publishers</t>
  </si>
  <si>
    <t>Coating, Engraving, and Allied Services, NEC (silver and plated ware engraving and etching)</t>
  </si>
  <si>
    <t>All Other Publishers</t>
  </si>
  <si>
    <t>Coating, Engraving, and Allied Services, NEC (costume jewelry engraving and etching)</t>
  </si>
  <si>
    <t>Software Publishers</t>
  </si>
  <si>
    <t>Small Arms Ammunition</t>
  </si>
  <si>
    <t>Motion Picture and Video Production</t>
  </si>
  <si>
    <t>Ammunition, Except for Small Arms</t>
  </si>
  <si>
    <t>Motion Picture and Video Distribution</t>
  </si>
  <si>
    <t>Small Arms</t>
  </si>
  <si>
    <t>Motion Picture Theaters (except Drive-Ins)</t>
  </si>
  <si>
    <t>Drive-In Motion Picture Theaters</t>
  </si>
  <si>
    <t>Industrial Valves</t>
  </si>
  <si>
    <t>Teleproduction and Other Postproduction Services</t>
  </si>
  <si>
    <t>Fluid Power Valves and Hose Fittings</t>
  </si>
  <si>
    <t>Other Motion Picture and Video Industries</t>
  </si>
  <si>
    <t>Steel Springs, Except Wire</t>
  </si>
  <si>
    <t>Music Publishers</t>
  </si>
  <si>
    <t>Valves and Pipe Fittings, NEC (except metal pipe hangers and supports)</t>
  </si>
  <si>
    <t>Sound Recording Studios</t>
  </si>
  <si>
    <t>Valves and Pipe Fittings, NEC (metal pipe hangers and supports)</t>
  </si>
  <si>
    <t>Record Production and Distribution</t>
  </si>
  <si>
    <t>Wire Springs (except watch and clock springs)</t>
  </si>
  <si>
    <t>Other Sound Recording Industries</t>
  </si>
  <si>
    <t>Wire Springs (clock and watch springs)</t>
  </si>
  <si>
    <t>Radio Networks</t>
  </si>
  <si>
    <t>Miscellaneous Fabricated Wire Products (potato mashers)</t>
  </si>
  <si>
    <t>Radio Stations</t>
  </si>
  <si>
    <t>Miscellaneous Fabricated Wire Products (except shopping carts and potato mashers)</t>
  </si>
  <si>
    <r>
      <t xml:space="preserve">Television Broadcasting - </t>
    </r>
    <r>
      <rPr>
        <i/>
        <sz val="10"/>
        <rFont val="Arial"/>
        <family val="2"/>
      </rPr>
      <t>television broadcasting stations</t>
    </r>
  </si>
  <si>
    <t>Miscellaneous Fabricated Wire Products (shopping carts made from purchased wire)</t>
  </si>
  <si>
    <r>
      <t xml:space="preserve">Television Broadcasting - </t>
    </r>
    <r>
      <rPr>
        <i/>
        <sz val="10"/>
        <rFont val="Arial"/>
        <family val="2"/>
      </rPr>
      <t>television networks</t>
    </r>
  </si>
  <si>
    <t>Metal Foil and Leaf (laminated aluminum foil rolls and sheets for flexible packaging uses)</t>
  </si>
  <si>
    <t>Cable and Other Subscription Programming</t>
  </si>
  <si>
    <t>Metal Foil and Leaf (foil and foil containers)</t>
  </si>
  <si>
    <t>Wired Telecommunications Carriers</t>
  </si>
  <si>
    <t>Fabricated Pipe and Pipe Fittings</t>
  </si>
  <si>
    <r>
      <t xml:space="preserve">Wireless Telecommunications Carriers (except Satellite) - </t>
    </r>
    <r>
      <rPr>
        <i/>
        <sz val="10"/>
        <rFont val="Arial"/>
        <family val="2"/>
      </rPr>
      <t>except agents for wireless telecommunications carriers</t>
    </r>
  </si>
  <si>
    <t>Fabricated Metal Products, NEC (powder metallurgy)</t>
  </si>
  <si>
    <r>
      <t xml:space="preserve">Wireless Telecommunications Carriers (except Satellite) - </t>
    </r>
    <r>
      <rPr>
        <i/>
        <sz val="10"/>
        <rFont val="Arial"/>
        <family val="2"/>
      </rPr>
      <t>agents for wireless telecommunications carriers</t>
    </r>
  </si>
  <si>
    <t>Fabricated Metal Products, NEC (metal boxes)</t>
  </si>
  <si>
    <t>Satellite Telecommunications</t>
  </si>
  <si>
    <t>Fabricated Metal Products, NEC (safe and vault locks)</t>
  </si>
  <si>
    <r>
      <t xml:space="preserve">Telecommunications Resellers - </t>
    </r>
    <r>
      <rPr>
        <i/>
        <sz val="10"/>
        <rFont val="Arial"/>
        <family val="2"/>
      </rPr>
      <t>except agents for wireless telecommunications resellers</t>
    </r>
  </si>
  <si>
    <t>Fabricated Metal Products, NEC (metal aerosol valves)</t>
  </si>
  <si>
    <r>
      <t xml:space="preserve">Telecommunications Resellers - </t>
    </r>
    <r>
      <rPr>
        <i/>
        <sz val="10"/>
        <rFont val="Arial"/>
        <family val="2"/>
      </rPr>
      <t>agents for wireless telecommunications resellers</t>
    </r>
  </si>
  <si>
    <t>Fabricated Metal Products, NEC (other metal products)</t>
  </si>
  <si>
    <t>All Other Telecommunications</t>
  </si>
  <si>
    <t>Fabricated Metal Products, NEC (metal automobile seat frames)</t>
  </si>
  <si>
    <t>Data Processing, Hosting, and Related Services</t>
  </si>
  <si>
    <t>Fabricated Metal Products, NEC (metal furniture frames)</t>
  </si>
  <si>
    <t>News Syndicates</t>
  </si>
  <si>
    <t>Steam, Gas, and Hydraulic Turbines, and Turbine Generator Set Units</t>
  </si>
  <si>
    <t>Libraries and Archives</t>
  </si>
  <si>
    <t>Internal Combustion Engines, NEC (except stationary engine radiators)</t>
  </si>
  <si>
    <r>
      <t xml:space="preserve">Internet Publishing and Broadcasting and Web Search Portals - </t>
    </r>
    <r>
      <rPr>
        <i/>
        <sz val="10"/>
        <rFont val="Arial"/>
        <family val="2"/>
      </rPr>
      <t>Internet newspaper publishers</t>
    </r>
  </si>
  <si>
    <t>Internal Combustion Engines, NEC (stationary engine radiators)</t>
  </si>
  <si>
    <r>
      <t xml:space="preserve">Internet Publishing and Broadcasting and Web Search Portals - </t>
    </r>
    <r>
      <rPr>
        <i/>
        <sz val="10"/>
        <rFont val="Arial"/>
        <family val="2"/>
      </rPr>
      <t>Internet periodical publishers</t>
    </r>
  </si>
  <si>
    <t>Farm Machinery and Equipment (hand hair clippers for animals)</t>
  </si>
  <si>
    <r>
      <t xml:space="preserve">Internet Publishing and Broadcasting and Web Search Portals - </t>
    </r>
    <r>
      <rPr>
        <i/>
        <sz val="10"/>
        <rFont val="Arial"/>
        <family val="2"/>
      </rPr>
      <t>Internet book publishers</t>
    </r>
  </si>
  <si>
    <t>Farm Machinery and Equipment (corrals, stalls, and holding gates)</t>
  </si>
  <si>
    <r>
      <t xml:space="preserve">Internet Publishing and Broadcasting and Web Search Portals - </t>
    </r>
    <r>
      <rPr>
        <i/>
        <sz val="10"/>
        <rFont val="Arial"/>
        <family val="2"/>
      </rPr>
      <t>Internet directory and mailing list publishers</t>
    </r>
  </si>
  <si>
    <t>Farm Machinery and Equipment (except corrals, stalls, holding gates, hand clippers for animals, and farm conveyors/elevators)</t>
  </si>
  <si>
    <r>
      <t xml:space="preserve">Internet Publishing and Broadcasting and Web Search Portals - </t>
    </r>
    <r>
      <rPr>
        <i/>
        <sz val="10"/>
        <rFont val="Arial"/>
        <family val="2"/>
      </rPr>
      <t>Internet greeting card publishers</t>
    </r>
  </si>
  <si>
    <t>Farm Machinery and Equipment (farm conveyors and elevators)</t>
  </si>
  <si>
    <r>
      <t xml:space="preserve">Internet Publishing and Broadcasting and Web Search Portals - </t>
    </r>
    <r>
      <rPr>
        <i/>
        <sz val="10"/>
        <rFont val="Arial"/>
        <family val="2"/>
      </rPr>
      <t>all other Internet publishers</t>
    </r>
  </si>
  <si>
    <t>Lawn and Garden Tractors and Home Lawn and Garden Equipment (nonpowered lawnmowers)</t>
  </si>
  <si>
    <r>
      <t xml:space="preserve">Internet Publishing and Broadcasting and Web Search Portals - </t>
    </r>
    <r>
      <rPr>
        <i/>
        <sz val="10"/>
        <rFont val="Arial"/>
        <family val="2"/>
      </rPr>
      <t>Internet broadcasting</t>
    </r>
  </si>
  <si>
    <t>Lawn and Garden Tractors and Home Lawn and Garden Equipment (except nonpowered lawnmowers)</t>
  </si>
  <si>
    <r>
      <t xml:space="preserve">Internet Publishing and Broadcasting and Web Search Portals - </t>
    </r>
    <r>
      <rPr>
        <i/>
        <sz val="10"/>
        <rFont val="Arial"/>
        <family val="2"/>
      </rPr>
      <t>web search portals</t>
    </r>
  </si>
  <si>
    <t>Construction Machinery and Equipment (except railway track maintenance equipment; winches, aerial work platforms; and automotive wrecker hoists)</t>
  </si>
  <si>
    <t>All Other Information Services</t>
  </si>
  <si>
    <t>Construction Machinery and Equipment (winches, aerial work platforms, automobile wrecker hoists, locomotive cranes, and ship cranes)</t>
  </si>
  <si>
    <t>Monetary Authorities-Central Bank</t>
  </si>
  <si>
    <t>Construction Machinery and Equipment (railway track maintenance equipment)</t>
  </si>
  <si>
    <t>Commercial Banking</t>
  </si>
  <si>
    <t>Savings Institutions</t>
  </si>
  <si>
    <t>Oil and Gas Field Machinery and Equipment</t>
  </si>
  <si>
    <t>Credit Unions</t>
  </si>
  <si>
    <t>Elevators and Moving Stairways</t>
  </si>
  <si>
    <t>Other Depository Credit Intermediation</t>
  </si>
  <si>
    <t>Conveyors and Conveying Equipment</t>
  </si>
  <si>
    <t>Credit Card Issuing</t>
  </si>
  <si>
    <t>Overhead Traveling Cranes, Hoists, and Monorail Systems</t>
  </si>
  <si>
    <t>Sales Financing</t>
  </si>
  <si>
    <t>Industrial Trucks, Tractors, Trailers, and Stackers (metal air cargo containers)</t>
  </si>
  <si>
    <t>Consumer Lending</t>
  </si>
  <si>
    <t>Industrial Trucks, Tractors, Trailers, and Stackers (metal pallets)</t>
  </si>
  <si>
    <t>Real Estate Credit</t>
  </si>
  <si>
    <t>Industrial Trucks, Tractors, Trailers, and Stackers (except metal pallets and metal air cargo containers)</t>
  </si>
  <si>
    <t>International Trade Financing</t>
  </si>
  <si>
    <t>Machine Tools, Metal Cutting Types</t>
  </si>
  <si>
    <t>Secondary Market Financing</t>
  </si>
  <si>
    <t>Machine Tools, Metal Forming Type</t>
  </si>
  <si>
    <t>All Other Nondepository Credit Intermediation</t>
  </si>
  <si>
    <t>Industrial Patterns</t>
  </si>
  <si>
    <t>Mortgage and Nonmortgage Loan Brokers</t>
  </si>
  <si>
    <t>Special Dies and Tools, Die Sets, Jigs and Fixtures, and Industrial Molds (industrial molds)</t>
  </si>
  <si>
    <t>Financial Transactions Processing, Reserve, and Clearinghouse Activities</t>
  </si>
  <si>
    <t>Special Dies and Tools, Die Sets, Jigs and Fixtures, and Industrial Molds (except molds)</t>
  </si>
  <si>
    <t>Other Activities Related to Credit Intermediation</t>
  </si>
  <si>
    <t>Cutting Tools, Machine Tool Accessories, and Machinist Precision Measuring Devices (precision measuring devices)</t>
  </si>
  <si>
    <t>Investment Banking and Securities Dealing</t>
  </si>
  <si>
    <t>Cutting Tools, Machine Tool Accessories, and Machinists' Precision Measuring Devices (except precision measuring devices)</t>
  </si>
  <si>
    <t>Securities Brokerage</t>
  </si>
  <si>
    <t>Power-Driven Handtools</t>
  </si>
  <si>
    <t>Commodity Contracts Dealing</t>
  </si>
  <si>
    <t>Rolling Mill Machinery and Equipment</t>
  </si>
  <si>
    <t>Commodity Contracts Brokerage</t>
  </si>
  <si>
    <t>Electric and Gas Welding and Soldering Equipment (except transformers for arc-welding)</t>
  </si>
  <si>
    <t>Securities and Commodity Exchanges</t>
  </si>
  <si>
    <t>Electric and Gas Welding and Soldering Equipment (transformers for arc-welders)</t>
  </si>
  <si>
    <t>Miscellaneous Intermediation</t>
  </si>
  <si>
    <t>Metalworking Machinery, NEC</t>
  </si>
  <si>
    <t>Portfolio Management</t>
  </si>
  <si>
    <t>Investment Advice</t>
  </si>
  <si>
    <t>Woodworking Machinery</t>
  </si>
  <si>
    <t>Trust, Fiduciary, and Custody Activities</t>
  </si>
  <si>
    <t>Paper Industries Machinery</t>
  </si>
  <si>
    <t>Miscellaneous Financial Investment Activities</t>
  </si>
  <si>
    <t>Printing Trades Machinery and Equipment</t>
  </si>
  <si>
    <t>Direct Life Insurance Carriers</t>
  </si>
  <si>
    <t>Food Products Machinery</t>
  </si>
  <si>
    <t>Direct Health and Medical Insurance Carriers</t>
  </si>
  <si>
    <t>Special Industry Machinery, NEC (nuclear control rod drive mechanisms)</t>
  </si>
  <si>
    <t>Direct Property and Casualty Insurance Carriers</t>
  </si>
  <si>
    <t>Special Industry Machinery, NEC (cotton ginning machinery)</t>
  </si>
  <si>
    <t>Direct Title Insurance Carriers</t>
  </si>
  <si>
    <t>Special Industry Machinery, NEC (rubber and plastics manufacturing machinery)</t>
  </si>
  <si>
    <t>Other Direct Insurance (except Life, Health, and Medical) Carriers</t>
  </si>
  <si>
    <t>Special Industry Machinery, NEC (semiconductor machinery manufacturing)</t>
  </si>
  <si>
    <t>Reinsurance Carriers</t>
  </si>
  <si>
    <t>Special Industry Machinery, NEC (except rubber and plastics manufacturing machinery, semiconductor manufacturing machinery, and automotive maintenance equipment)</t>
  </si>
  <si>
    <t>Insurance Agencies and Brokerages</t>
  </si>
  <si>
    <t>Special Industry Machinery, NEC (automotive maintenance equipment)</t>
  </si>
  <si>
    <t>Claims Adjusting</t>
  </si>
  <si>
    <t>Pumps and Pumping Equipment</t>
  </si>
  <si>
    <t>Third Party Administration of Insurance and Pension Funds</t>
  </si>
  <si>
    <t>Ball and Roller Bearings</t>
  </si>
  <si>
    <t>All Other Insurance Related Activities</t>
  </si>
  <si>
    <t>Air and Gas Compressors</t>
  </si>
  <si>
    <t>Pension Funds</t>
  </si>
  <si>
    <t>Industrial and Commercial Fans and Blowers and Air Purification Equipment (air purification equipment)</t>
  </si>
  <si>
    <t>Health and Welfare Funds</t>
  </si>
  <si>
    <t>Industrial and Commercial Fans and Blowers and Air Purification Equipment (fans and blowers)</t>
  </si>
  <si>
    <t>Other Insurance Funds</t>
  </si>
  <si>
    <t>Packaging Machinery</t>
  </si>
  <si>
    <t>Open-End Investment Funds</t>
  </si>
  <si>
    <t>Speed Changers, Industrial High-Speed Drives, and Gears</t>
  </si>
  <si>
    <t>Trusts, Estates, and Agency Accounts</t>
  </si>
  <si>
    <t>Industrial Process Furnaces and Ovens</t>
  </si>
  <si>
    <t>Other Financial Vehicles</t>
  </si>
  <si>
    <t>Mechanical Power Transmission Equipment, NEC</t>
  </si>
  <si>
    <t>Lessors of Residential Buildings and Dwellings</t>
  </si>
  <si>
    <t>General Industrial Machinery and Equipment, NEC (textile fire hose)</t>
  </si>
  <si>
    <t>Lessors of Nonresidential Buildings (excpet Miniwarehouses)</t>
  </si>
  <si>
    <t>General Industrial Machinery and Equipment, NEC (electric swimming pool heaters)</t>
  </si>
  <si>
    <t>Lessors of Miniwarehouses and Self-Storage Units</t>
  </si>
  <si>
    <t>General Industrial Machinery and Equipment, NEC (except fire hoses and electric swimming pool heaters)</t>
  </si>
  <si>
    <t>Lessors of Other Real Estate Property</t>
  </si>
  <si>
    <t>Electronic Computers</t>
  </si>
  <si>
    <t>Offices of Real Estate Agents and Brokers</t>
  </si>
  <si>
    <t>Computer Storage Devices</t>
  </si>
  <si>
    <t>Residential Property Managers</t>
  </si>
  <si>
    <t>Computer Terminals</t>
  </si>
  <si>
    <t>Nonresidential Property Managers</t>
  </si>
  <si>
    <t>Computer Peripheral Equipment, NEC (except plotter controllers and magnetic tape head cleaners)</t>
  </si>
  <si>
    <t>Offices of Real Estate Appraisers</t>
  </si>
  <si>
    <t>Computer Peripheral Equipment, NEC (plotter controllers)</t>
  </si>
  <si>
    <t>Other Activities Related to Real Estate</t>
  </si>
  <si>
    <t>Computer Peripheral Equipment, NEC (magnetic tape head cleaners)</t>
  </si>
  <si>
    <t>Passenger Car Rental</t>
  </si>
  <si>
    <t>Calculating and Accounting Machinery, Except Electronic Computers (change making machines)</t>
  </si>
  <si>
    <t>Passenger Car Leasing</t>
  </si>
  <si>
    <t>Calculating and Accounting Machinery, Except Electronic Computers (except point of sales terminals, change making machines and funds transfer devices)</t>
  </si>
  <si>
    <t>Truck, Utility Trailer, and RV (Recreational Vehicle) Rental and Leasing</t>
  </si>
  <si>
    <t>Calculating and Accounting Machines, Except Electronic Computers (point of sale terminals and fund transfer devices)</t>
  </si>
  <si>
    <t>Consumer Electronics and Appliances Rental</t>
  </si>
  <si>
    <t>Office Machines, NEC (except timeclocks, time stamps, pencil sharpeners, stapling machines, etc.)</t>
  </si>
  <si>
    <t>Formal Wear and Costume Rental</t>
  </si>
  <si>
    <t>Office Machines, NEC (time clocks and other time recording devices)</t>
  </si>
  <si>
    <t>Video Tape and Disc Rental</t>
  </si>
  <si>
    <t>Office Machines, NEC (pencil sharpeners, staplers and other office equipment)</t>
  </si>
  <si>
    <t>Home Health Equipment Rental</t>
  </si>
  <si>
    <t>Automatic Vending Machines</t>
  </si>
  <si>
    <t>Recreational Goods Rental</t>
  </si>
  <si>
    <t>Commercial Laundry, Drycleaning, and Pressing Machines</t>
  </si>
  <si>
    <t>All Other Consumer Goods Rental</t>
  </si>
  <si>
    <t>General Rental Centers</t>
  </si>
  <si>
    <t>Air-Conditioning and Warm Air Heating Equipment and Commercial and Industrial Refrigeration Equipment (motor vehicle air-conditioning)</t>
  </si>
  <si>
    <t>Commercial Air, Rail, and Water Transportation Equipment Rental and Leasing</t>
  </si>
  <si>
    <t>Measuring and Dispensing Pumps</t>
  </si>
  <si>
    <t>Construction, Mining, and Forestry Machinery and Equipment Rental and Leasing</t>
  </si>
  <si>
    <t>Service Industry Machinery, NEC</t>
  </si>
  <si>
    <t>Office Machinery and Equipment Rental and Leasing</t>
  </si>
  <si>
    <t>Carburetors, Pistons, Piston Rings, and Valves</t>
  </si>
  <si>
    <t>Other Commercial and Industrial Machinery and Equipment Rental and Leasing</t>
  </si>
  <si>
    <t>Fluid Power Cylinders and Actuators</t>
  </si>
  <si>
    <t>Lessors of Nonfinancial Intangible Assets (except Copyrighted Works)</t>
  </si>
  <si>
    <t>Fluid Power Pumps and Motors</t>
  </si>
  <si>
    <t>Offices of Lawyers</t>
  </si>
  <si>
    <t>Scales and Balances, Except Laboratory</t>
  </si>
  <si>
    <t>Offices of Notaries</t>
  </si>
  <si>
    <t>Industrial and Commercial Machinery and Equipment, NEC (machine shops)</t>
  </si>
  <si>
    <t>Title Abstract and Settlement Offices</t>
  </si>
  <si>
    <t>Industrial and Commercial Machinery and Equipment, NEC (grinding castings for the trade)</t>
  </si>
  <si>
    <t>All Other Legal Services</t>
  </si>
  <si>
    <t>Industrial and Commercial Machinery and Equipment, NEC (flexible metal hose)</t>
  </si>
  <si>
    <t>Offices of Certified Public Accountants</t>
  </si>
  <si>
    <t>Industrial and Commercial Machinery and Equipment, NEC (carnival amusement park equipment)</t>
  </si>
  <si>
    <t>Tax Preparation Services</t>
  </si>
  <si>
    <t>Industrial and Commercial Machinery and Equipment, NEC (other industrial and commercial machinery and equipment)</t>
  </si>
  <si>
    <t>Payroll Services</t>
  </si>
  <si>
    <t>Industrial and Commercial Machinery and Equipment, NEC (water leak detectors)</t>
  </si>
  <si>
    <t>Other Accounting Services</t>
  </si>
  <si>
    <t>Industrial and Commercial Machinery and Equipment, NEC (gasoline, oil, and intake filters for internal combustion engines, except for motor vehicles)</t>
  </si>
  <si>
    <t>Architectural Services</t>
  </si>
  <si>
    <t>Power, Distribution, and Specialty Transformers</t>
  </si>
  <si>
    <t>Landscape Architectural Services</t>
  </si>
  <si>
    <t>Switchgear and Switchboard Apparatus</t>
  </si>
  <si>
    <t>Engineering Services</t>
  </si>
  <si>
    <t>Motors and Generators</t>
  </si>
  <si>
    <t>Drafting Services</t>
  </si>
  <si>
    <t xml:space="preserve">Carbon and Graphite Products </t>
  </si>
  <si>
    <t>Building Inspection Services</t>
  </si>
  <si>
    <t>Relays and Industrial Controls</t>
  </si>
  <si>
    <t>Geophysical Surveying and Mapping Services</t>
  </si>
  <si>
    <t>Electrical Industrial Apparatus, NEC</t>
  </si>
  <si>
    <t>Surveying and Mapping (except Geophysical) Services</t>
  </si>
  <si>
    <t>Household Cooking Equipment</t>
  </si>
  <si>
    <t>Testing Laboratories</t>
  </si>
  <si>
    <t>Household Refrigerators and Home and Farm Freezers</t>
  </si>
  <si>
    <t>Interior Design Services</t>
  </si>
  <si>
    <t>Household Laundry Equipment</t>
  </si>
  <si>
    <t>Industrial Design Services</t>
  </si>
  <si>
    <t>Electric Housewares and Fans (wall and baseboard heating units for permanent installation)</t>
  </si>
  <si>
    <t>Graphic Design Services</t>
  </si>
  <si>
    <t>Electric Housewares and Fans (except wall and baseboard heating units for permanent installation, electronic cigarette lighters, and wall mount restroom hand dryers)</t>
  </si>
  <si>
    <t>Other Specialized Design Services</t>
  </si>
  <si>
    <t>Electric Housewares and Fans (electronic cigarette lighters)</t>
  </si>
  <si>
    <t>Custom Computer Programming Services</t>
  </si>
  <si>
    <t>Household Vacuum Cleaners</t>
  </si>
  <si>
    <t>Computer Systems Design Services</t>
  </si>
  <si>
    <t>Household Appliances, NEC (household sewing machines)</t>
  </si>
  <si>
    <t>Computer Facilities Management Services</t>
  </si>
  <si>
    <t>Household Appliances, NEC (floor waxing and floor polishing machines)</t>
  </si>
  <si>
    <t>Other Computer Related Services</t>
  </si>
  <si>
    <t>Household Appliances, NEC (except floor waxing and floor polishing machines, and household sewing machines)</t>
  </si>
  <si>
    <t>Administrative Management and General Management Consulting Services</t>
  </si>
  <si>
    <t>Electric Lamp Bulbs and Tubes</t>
  </si>
  <si>
    <t>Human Resources Consulting Services</t>
  </si>
  <si>
    <t>Current-Carrying Wiring Devices</t>
  </si>
  <si>
    <t>Marketing Consulting Services</t>
  </si>
  <si>
    <t>Noncurrent-Carrying Wiring Devices (fish wire, electrical wiring tool)</t>
  </si>
  <si>
    <t>Process, Physical Distribution, and Logistics Consulting Services</t>
  </si>
  <si>
    <t>Noncurrent-Carrying Wiring Devices (except fishwire, electrical wiring tool)</t>
  </si>
  <si>
    <t>Other Management Consulting Services</t>
  </si>
  <si>
    <t>Residential Electric Lighting Fixtures</t>
  </si>
  <si>
    <t>Environmental Consulting Services</t>
  </si>
  <si>
    <t>Commercial, Industrial, and Institutional Electric Lighting Fixtures</t>
  </si>
  <si>
    <t>Other Scientific and Technical Consulting Services</t>
  </si>
  <si>
    <t>Vehicular Lighting Equipment</t>
  </si>
  <si>
    <t>Research and Development in Nanotechnology</t>
  </si>
  <si>
    <t>Lighting Equipment, NEC</t>
  </si>
  <si>
    <t>Research and Development in Biotechnology (except Nanobiotechnology)</t>
  </si>
  <si>
    <t>Household Audio and Video Equipment</t>
  </si>
  <si>
    <t>Research and Development in the Physical, Engineering, and Life Sciences (except Nanotechnology and Biotechnology)</t>
  </si>
  <si>
    <t>Phonograph Records and Prerecorded Audio Tapes and Disks (reproduction of all other media except video)</t>
  </si>
  <si>
    <t>Research and Development in the Social Sciences and Humanities</t>
  </si>
  <si>
    <t>Phonograph Records and Prerecorded Audio Tapes and Disks (integrated record companies, except duplication only)</t>
  </si>
  <si>
    <t>Advertising Agencies</t>
  </si>
  <si>
    <t>Telephone and Telegraph Apparatus (except consumer external modems)</t>
  </si>
  <si>
    <t>Public Relations Agencies</t>
  </si>
  <si>
    <t>Telephone and Telegraph Apparatus (consumer external modems)</t>
  </si>
  <si>
    <t>Media Buying Agencies</t>
  </si>
  <si>
    <t>Radio and Television Broadcasting and Communications Equipment</t>
  </si>
  <si>
    <t>Media Representatives</t>
  </si>
  <si>
    <t>Communications Equipment, NEC</t>
  </si>
  <si>
    <t>Outdoor Advertising</t>
  </si>
  <si>
    <t>Electron Tubes</t>
  </si>
  <si>
    <t>Direct Mail Advertising</t>
  </si>
  <si>
    <t>Printed Circuit Boards</t>
  </si>
  <si>
    <t>Advertising Material Distribution Services</t>
  </si>
  <si>
    <t>Semiconductors and Related Devices</t>
  </si>
  <si>
    <t>Other Services Related to Advertising</t>
  </si>
  <si>
    <t>Electronic Capacitors</t>
  </si>
  <si>
    <t>Marketing Research and Public Opinion Polling</t>
  </si>
  <si>
    <t>Electronic Resistors</t>
  </si>
  <si>
    <t>Photography Studios, Portrait</t>
  </si>
  <si>
    <t>Electronic Coils, Transformers, and Other Inductors</t>
  </si>
  <si>
    <t>Commercial Photography</t>
  </si>
  <si>
    <t>Electronic Connectors</t>
  </si>
  <si>
    <t>Translation and Interpretation Services</t>
  </si>
  <si>
    <t>Electronic Components, NEC (antennas)</t>
  </si>
  <si>
    <t>Veterinary Services</t>
  </si>
  <si>
    <t>Electronic Components, NEC (radio headphones)</t>
  </si>
  <si>
    <t>All Other Professional, Scientific, and Technical Services</t>
  </si>
  <si>
    <t>Electronic Components, NEC (printed circuit/electronic assembly manufacturing)</t>
  </si>
  <si>
    <t>Offices of Bank Holding Companies</t>
  </si>
  <si>
    <t>Electronic Components, NEC (other electronic components)</t>
  </si>
  <si>
    <t>Offices of Other Holding Companies</t>
  </si>
  <si>
    <t>Storage Batteries</t>
  </si>
  <si>
    <t>Corporate, Subsidiary, and Regional Managing Offices</t>
  </si>
  <si>
    <t>Primary Batteries, Dry and Wet</t>
  </si>
  <si>
    <t>Office Administrative Services</t>
  </si>
  <si>
    <t>Electrical Equipment for Internal Combustion Engines</t>
  </si>
  <si>
    <t>Facilities Support Services</t>
  </si>
  <si>
    <t>Magnetic and Optical Recording Media</t>
  </si>
  <si>
    <t>Employment Placement Agencies</t>
  </si>
  <si>
    <t>Electrical Machinery, Equipment, and Supplies, NEC (electronic teaching machines and flight simulators)</t>
  </si>
  <si>
    <t>Executive Search Services</t>
  </si>
  <si>
    <t>Electrical Machinery, Equipment, and Supplies, NEC (outboard electric motors)</t>
  </si>
  <si>
    <t>Temporary Help Services</t>
  </si>
  <si>
    <t>Electrical Machinery Equipment, and Supplies, NEC (laser welding and soldering equipment)</t>
  </si>
  <si>
    <t>Professional Employer Organizations</t>
  </si>
  <si>
    <t>Electrical Machinery, Equipment, and Supplies, NEC (Christmas tree lighting sets, electric insect lamps, electric fireplace logs, and trouble lights)</t>
  </si>
  <si>
    <t>Document Preparation Services</t>
  </si>
  <si>
    <t>Electrical Machinery, Equipment, and Supplies, NEC (other electrical industrial apparatus)</t>
  </si>
  <si>
    <t>Telephone Answering Services</t>
  </si>
  <si>
    <t>Motor Vehicles and Passenger Car Bodies (automobiles)</t>
  </si>
  <si>
    <t>Telemarketing Bureaus and Other Contact Centers</t>
  </si>
  <si>
    <t>Motor Vehicles and Passenger Car Bodies (light trucks and utility vehicles)</t>
  </si>
  <si>
    <t>Private Mail Centers</t>
  </si>
  <si>
    <t>Motor Vehicles and Passenger Car Bodies (heavy duty trucks)</t>
  </si>
  <si>
    <t>Other Business Service Centers (including Copy Shops)</t>
  </si>
  <si>
    <t>Motor Vehicles and Passenger Car Bodies (kit car and other passenger car bodies)</t>
  </si>
  <si>
    <t>Collection Agencies</t>
  </si>
  <si>
    <t>Motor Vehicles and Passenger Car Bodies (military armored vehicles)</t>
  </si>
  <si>
    <t>Credit Bureaus</t>
  </si>
  <si>
    <t>Truck and Bus Bodies</t>
  </si>
  <si>
    <t>Repossession Services</t>
  </si>
  <si>
    <t>Motor Vehicle Parts and Accessories (dump truck lifting mechanisms and fifth wheels)</t>
  </si>
  <si>
    <t>Court Reporting and Stenotype Services</t>
  </si>
  <si>
    <t>Motor Vehicle Parts and Accessories (gasoline engines and engine parts including rebuilt)</t>
  </si>
  <si>
    <t>All Other Business Support Services</t>
  </si>
  <si>
    <t>Motor Vehicle Parts and Accessories (wiring harness sets, other than ignition; block heaters and battery heaters; instrument board assemblies; permanent defrosters; windshield washer-wiper mechanisms; cruise control mechanisms; and other electrical equipment for internal combustion engines)</t>
  </si>
  <si>
    <t>Travel Agencies</t>
  </si>
  <si>
    <t>Motor Vehicle Parts and Accessories (steering and suspension parts)</t>
  </si>
  <si>
    <t>Tour Operators</t>
  </si>
  <si>
    <t>Motor Vehicle Parts and Accessories (brake and brake systems, including assemblies)</t>
  </si>
  <si>
    <t>Convention and Visitors Bureaus</t>
  </si>
  <si>
    <t>Motor Vehicle Parts and Accessories (transmissions and power train parts, including rebuilding)</t>
  </si>
  <si>
    <t>All Other Travel Arrangement and Reservation Services</t>
  </si>
  <si>
    <t xml:space="preserve">Motor Vehicle Parts and Accessories (except truck and bus bodies, trailers, engine and engine parts, motor vehicle electrical and electronic equipment, motor vehicle steering and suspension components, motor vehicle brake systems, and motor vehicle transmission and power train parts) </t>
  </si>
  <si>
    <t>Investigation Services</t>
  </si>
  <si>
    <t>Truck Trailers</t>
  </si>
  <si>
    <t>Security Guards and Patrol Services</t>
  </si>
  <si>
    <t>Motor Homes</t>
  </si>
  <si>
    <t>Armored Car Services</t>
  </si>
  <si>
    <t>Aircraft (except research and development not producing prototypes)</t>
  </si>
  <si>
    <t>Security Systems Services (except Locksmiths)</t>
  </si>
  <si>
    <t>Aircraft (research and development not producing prototypes)</t>
  </si>
  <si>
    <t>Locksmiths</t>
  </si>
  <si>
    <t>Exterminating and Pest Control Services</t>
  </si>
  <si>
    <t>Aircraft Engines and Engine Parts (research and development not producing prototypes)</t>
  </si>
  <si>
    <t>Janitorial Services</t>
  </si>
  <si>
    <t>Aircraft Parts and Auxiliary Equipment, NEC (fluid power aircraft subassemblies)</t>
  </si>
  <si>
    <t>Landscaping Services</t>
  </si>
  <si>
    <t>Aircraft Parts and Auxiliary Equipment, NEC (target drones)</t>
  </si>
  <si>
    <t>Carpet and Upholstery Cleaning Services</t>
  </si>
  <si>
    <t>Aircraft Parts and Auxiliary Equipment, NEC (except fluid power aircraft subassemblies, target drones, and research and development not producing prototypes)</t>
  </si>
  <si>
    <t>Other Services to Buildings and Dwellings</t>
  </si>
  <si>
    <t>Aircraft Parts and Auxiliary Equipment, NEC (research and development not producing prototypes)</t>
  </si>
  <si>
    <t>Packaging and Labeling Services</t>
  </si>
  <si>
    <t>Ship Building and Repairing (except repairs in floating drydocks)</t>
  </si>
  <si>
    <t>Convention and Trade Show Organizers</t>
  </si>
  <si>
    <t>Ship Building and Repairing (repair services provided by floating drydocks)</t>
  </si>
  <si>
    <t>All Other Support Services</t>
  </si>
  <si>
    <t>Boat Building and Repairing (boat building)</t>
  </si>
  <si>
    <t>Solid Waste Collection</t>
  </si>
  <si>
    <t>Boat Building and Repairing (pleasure boat repair)</t>
  </si>
  <si>
    <t>Hazardous Waste Collection</t>
  </si>
  <si>
    <t>Railroad Equipment (locomotive fuel lubricating or cooling medium pumps)</t>
  </si>
  <si>
    <t>Other Waste Collection</t>
  </si>
  <si>
    <t>Railroad Equipment (except locomotive fuel lubricating or cooling medium pumps)</t>
  </si>
  <si>
    <t>Motorcycles, Bicycles, and Parts</t>
  </si>
  <si>
    <t>Solid Waste Landfill</t>
  </si>
  <si>
    <t>Guided Missiles and Space Vehicles (except research and development not producing prototypes)</t>
  </si>
  <si>
    <t>Guided Missiles and Space Vehicles (research and development not producing prototypes)</t>
  </si>
  <si>
    <t>Other Nonhazardous Waste Treatment and Disposal</t>
  </si>
  <si>
    <t>Guided Missile and Space Vehicle Propulsion Units and Propulsion Unit Parts (except research and development not producing prototypes))</t>
  </si>
  <si>
    <t>Remediation Services</t>
  </si>
  <si>
    <t>Guided Missile and Space Vehicle Propulsion Units and Propulsion Unit Parts (research and development not producing prototypes)</t>
  </si>
  <si>
    <t>Materials Recovery Facilities</t>
  </si>
  <si>
    <t>Guided Missile and Space Vehicle Parts and Auxiliary Equipment, NEC (except research and development not producing prototypes)</t>
  </si>
  <si>
    <t>Septic Tank and Related Services</t>
  </si>
  <si>
    <t>Guided Missile and Space Vehicle Parts and Auxiliary Equipment, NEC (research and development not producing prototypes)</t>
  </si>
  <si>
    <t>All Other Miscellaneous Waste Management Services</t>
  </si>
  <si>
    <t>Travel Trailers and Campers</t>
  </si>
  <si>
    <t>Elementary and Secondary Schools</t>
  </si>
  <si>
    <t>Tanks and Tank Components</t>
  </si>
  <si>
    <t>Junior Colleges</t>
  </si>
  <si>
    <t>Transportation Equipment, NEC (wheelbarrows)</t>
  </si>
  <si>
    <t>Colleges, Universities, and Professional Schools</t>
  </si>
  <si>
    <t>Transportation Equipment, NEC (automobile, boat, utility and light truck trailers)</t>
  </si>
  <si>
    <t>Business and Secretarial Schools</t>
  </si>
  <si>
    <t>Transportation Equipment, NEC (trailer hitches)</t>
  </si>
  <si>
    <t>Computer Training</t>
  </si>
  <si>
    <t>Transportation Equipment, NEC (except automobile, boat, utility light truck trailers, trailer hitches, and wheelbarrows)</t>
  </si>
  <si>
    <t>Professional and Management Development Training</t>
  </si>
  <si>
    <t>Search, Detection, Navigation, Guidance, Aeronautical, and Nautical Systems and Instruments</t>
  </si>
  <si>
    <t>Cosmetology and Barber Schools</t>
  </si>
  <si>
    <t>Laboratory Apparatus and Furniture</t>
  </si>
  <si>
    <t>Flight Training</t>
  </si>
  <si>
    <t>Automatic Controls for Regulating Residential and Commercial Environments and Appliances</t>
  </si>
  <si>
    <t>Apprenticeship Training</t>
  </si>
  <si>
    <t>Industrial Instruments for Measurement, Display, and Control of Process Variables; and Related Products</t>
  </si>
  <si>
    <t>Other Technical and Trade Schools</t>
  </si>
  <si>
    <t>Totalizing Fluid Meters and Counting Devices</t>
  </si>
  <si>
    <t>Fine Arts Schools</t>
  </si>
  <si>
    <t>Instruments for Measuring and Testing of Electricity and Electrical Signals (automotive ammeters and voltmeters)</t>
  </si>
  <si>
    <t>Sports and Recreation Instruction</t>
  </si>
  <si>
    <t>Instruments for Measuring and Testing of Electricity and Electrical Signals (except automotive instruments)</t>
  </si>
  <si>
    <t>Language Schools</t>
  </si>
  <si>
    <t>Laboratory Analytical Instruments</t>
  </si>
  <si>
    <t>Exam Preparation and Tutoring</t>
  </si>
  <si>
    <t>Optical Instruments and Lenses</t>
  </si>
  <si>
    <t>Automobile Driving Schools</t>
  </si>
  <si>
    <t>Measuring and Controlling Devices, NEC (motor vehicle gauges)</t>
  </si>
  <si>
    <t>All Other Miscellaneous Schools and Instruction</t>
  </si>
  <si>
    <t>Measuring and Controlling Devices, NEC (electronic chronometers)</t>
  </si>
  <si>
    <t>Educational Support Services</t>
  </si>
  <si>
    <t>Measuring and Controlling Devices, NEC (except medical thermometers, electronic chronometers and motor vehicle gauges)</t>
  </si>
  <si>
    <t>Offices of Physicians (except Mental Health Specialists)</t>
  </si>
  <si>
    <t>Measuring and Controlling Devices, NEC (medical thermometers)</t>
  </si>
  <si>
    <t>Offices of Physicians, Mental Health Specialists</t>
  </si>
  <si>
    <t>Surgical and Medical Instruments and Apparatus (tranquilizer guns)</t>
  </si>
  <si>
    <t>Offices of Dentists</t>
  </si>
  <si>
    <t>Surgical and Medical Instruments and Apparatus (operating room tables)</t>
  </si>
  <si>
    <t>Offices of Chiropractors</t>
  </si>
  <si>
    <t>Surgical and Medical Instruments and Apparatus (except tranquilizer guns and operating room tables)</t>
  </si>
  <si>
    <t>Offices of Optometrists</t>
  </si>
  <si>
    <t>Orthopedic, Prosthetic, and Surgical Appliances and Supplies (incontinent pads and bed pads)</t>
  </si>
  <si>
    <t>Offices of Mental Health Practitioners (except Physicians)</t>
  </si>
  <si>
    <t>Orthopedic, Prosthetic, and Surgical Appliances and Supplies (electronic hearing aids)</t>
  </si>
  <si>
    <t>Offices of Physical, Occupational and Speech Therapists, and Audiologists</t>
  </si>
  <si>
    <t>Orthopedic, Prosthetic, and Surgical Appliances and Supplies (except electronic hearing aids, incontinent pads, anatomical models, and bed pads)</t>
  </si>
  <si>
    <t>Offices of Podiatrists</t>
  </si>
  <si>
    <t>Orthopedic, Prosthetic, and Surgical Appliances and Supplies (anatomical models)</t>
  </si>
  <si>
    <t>Offices of All Other Miscellaneous Health Practitioners</t>
  </si>
  <si>
    <t>Dental Equipment and Supplies</t>
  </si>
  <si>
    <t>Family Planning Centers</t>
  </si>
  <si>
    <t>X-Ray Apparatus and Tubes and Related Irradiation Apparatus</t>
  </si>
  <si>
    <t>Outpatient Mental Health and Substance Abuse Centers</t>
  </si>
  <si>
    <t>Electromedical and Electrotherapeutic Apparatus (except CT and CAT scanners)</t>
  </si>
  <si>
    <t>HMO Medical Centers</t>
  </si>
  <si>
    <t>Electromedical and Electrotherapeutic Apparatus (CT and CAT Scanners)</t>
  </si>
  <si>
    <t>Kidney Dialysis Centers</t>
  </si>
  <si>
    <t>Ophthalmic Goods (intraoccular lenses, i.e., surgical implants)</t>
  </si>
  <si>
    <t>Freestanding Ambulatory Surgical and Emergency Centers</t>
  </si>
  <si>
    <t>Ophthalmic Goods (except intraocular lenses)</t>
  </si>
  <si>
    <t>All Other Outpatient Care Centers</t>
  </si>
  <si>
    <t>Medical Laboratories</t>
  </si>
  <si>
    <t>Photographic Equipment and Supplies (except photographic film, paper, plates, and chemicals)</t>
  </si>
  <si>
    <t>Diagnostic Imaging Centers</t>
  </si>
  <si>
    <t>Watches, Clocks, Clockwork Operated Devices, and Parts</t>
  </si>
  <si>
    <t>Home Health Care Services</t>
  </si>
  <si>
    <t>Jewelry, Precious Metal</t>
  </si>
  <si>
    <t>Ambulance Services</t>
  </si>
  <si>
    <t>Silverware, Plated Ware, and Stainless Steel Ware (cutlery and flatware, nonprecious and precious plated)</t>
  </si>
  <si>
    <t>Blood and Organ Banks</t>
  </si>
  <si>
    <t>Silverware, Plated Ware, and Stainless Steel Ware (precious metal plated hollowware)</t>
  </si>
  <si>
    <t>All Other Miscellaneous Ambulatory Health Care Services</t>
  </si>
  <si>
    <t>Silverware, Plated Ware, and Stainless Steel Ware (except  nonprecious and precious plated metal cutlery, flatware, and hollowware)</t>
  </si>
  <si>
    <t>General Medical and Surgical Hospitals</t>
  </si>
  <si>
    <t>Jewelers Findings and Materials and Lapidary Work (watch jewels)</t>
  </si>
  <si>
    <t>Psychiatric and Substance Abuse Hospitals</t>
  </si>
  <si>
    <t>Jewelers' Findings and Materials, and Lapidary Work (except watch jewels)</t>
  </si>
  <si>
    <t>Specialty (except Psychiatric and Substance Abuse) Hospitals</t>
  </si>
  <si>
    <t>Musical Instruments</t>
  </si>
  <si>
    <t>Nursing Care Facilities (Skilled Nursing Facilities)</t>
  </si>
  <si>
    <t>Dolls and Stuffed Toys</t>
  </si>
  <si>
    <t>Residential Intellectual and Developmental Disability Facilities</t>
  </si>
  <si>
    <t>Games, Toys, and Children’s Vehicles, Except Dolls and Bicycles (metal tricycles)</t>
  </si>
  <si>
    <t>Residential Mental Health and Substance Abuse Facilities</t>
  </si>
  <si>
    <t>Games, Toys, and Children's Vehicles, Except Dolls and Bicycles (except metal tricycles)</t>
  </si>
  <si>
    <t>Continuing Care Retirement Communities</t>
  </si>
  <si>
    <t>Sporting and Athletic Goods, NEC</t>
  </si>
  <si>
    <t>Assisted Living Facilities for the Elderly</t>
  </si>
  <si>
    <t xml:space="preserve">Pens, Mechanical Pencils, and Parts </t>
  </si>
  <si>
    <t>Other Residential Care Facilities</t>
  </si>
  <si>
    <t>Lead Pencils and Art Goods (drawing inks and india ink)</t>
  </si>
  <si>
    <t>Child and Youth Services</t>
  </si>
  <si>
    <t>Lead Pencils, Crayons, and Artists' Materials (drafting tables and boards)</t>
  </si>
  <si>
    <t>Services for the Elderly and Persons with Disabilities</t>
  </si>
  <si>
    <t>Lead Pencils, Crayons, and Artists' Materials (except drawing ink, india ink, drafting tables and drafting boards)</t>
  </si>
  <si>
    <t>Other Individual and Family Services</t>
  </si>
  <si>
    <t>Marking Devices</t>
  </si>
  <si>
    <t>Community Food Services</t>
  </si>
  <si>
    <t>Carbon Paper and Inked Ribbons</t>
  </si>
  <si>
    <t>Temporary Shelters</t>
  </si>
  <si>
    <t>Costume Jewelry and Costume Novelties, Except Precious Metal (except cuff links)</t>
  </si>
  <si>
    <t>Other Community Housing Services</t>
  </si>
  <si>
    <t>Costume Jewelry and Costume Novelties, Except Precious Metal (nonprecious cuff links)</t>
  </si>
  <si>
    <t>Emergency and Other Relief Services</t>
  </si>
  <si>
    <t>Fasteners, Buttons, Needles, and Pins</t>
  </si>
  <si>
    <t>Vocational Rehabilitation Services</t>
  </si>
  <si>
    <t>Brooms and Brushes</t>
  </si>
  <si>
    <t>Child Day Care Services</t>
  </si>
  <si>
    <t>Signs and Advertising Specialties (screen printing purchased advertising specialties)</t>
  </si>
  <si>
    <t>Theater Companies and Dinner Theaters</t>
  </si>
  <si>
    <t>Signs and Advertising Specialties (signs)</t>
  </si>
  <si>
    <t>Dance Companies</t>
  </si>
  <si>
    <t>Burial Caskets</t>
  </si>
  <si>
    <t>Musical Groups and Artists</t>
  </si>
  <si>
    <t>Linoleum, Asphalted-Felt-Base, and Other Hard Surface Floor Coverings, NEC</t>
  </si>
  <si>
    <t>Other Performing Arts Companies</t>
  </si>
  <si>
    <t>Manufacturing Industries, NEC (fur dressing and finishing)</t>
  </si>
  <si>
    <t>Sports Teams and Clubs</t>
  </si>
  <si>
    <t>Manufacturing Industries, NEC (burnt wood articles)</t>
  </si>
  <si>
    <t>Racetracks</t>
  </si>
  <si>
    <t>Manufacturing Industries, NEC (matches)</t>
  </si>
  <si>
    <t>Other Spectator Sports</t>
  </si>
  <si>
    <t>Manufacturing Industries, NEC (plastics products such as combs, hair curlers, etc.)</t>
  </si>
  <si>
    <t>Promoters of Performing Arts, Sports, and Similar Events with Facilities</t>
  </si>
  <si>
    <t>Manufacturing Industries, NEC (hand operated hair clippers for humans)</t>
  </si>
  <si>
    <t>Promoters of Performing Arts, Sports, and Similar Events without Facilities</t>
  </si>
  <si>
    <t>Manufacturing Industries, NEC (tape measures)</t>
  </si>
  <si>
    <t>Agents and Managers for Artists, Athletes, Entertainers, and Other Public Figures</t>
  </si>
  <si>
    <t>Manufacturing Industries, NEC (flocking metal products for the trade)</t>
  </si>
  <si>
    <t>Independent Artists, Writers, and Performers</t>
  </si>
  <si>
    <t>Manufacturing Industries, NEC (other miscellaneous metal products, such as combs, hair curlers, etc.)</t>
  </si>
  <si>
    <t>Museums</t>
  </si>
  <si>
    <t>Manufacturing Industries, NEC (beauty and barber shop equipment, except chairs)</t>
  </si>
  <si>
    <t>Historical Sites</t>
  </si>
  <si>
    <t>Manufacturing Industries, NEC (lamp shades of paper or textile)</t>
  </si>
  <si>
    <t>Zoos and Botanical Gardens</t>
  </si>
  <si>
    <t>Manufacturing Industries, NEC (electric hair clippers for humans)</t>
  </si>
  <si>
    <t>Nature Parks and Other Similar Institutions</t>
  </si>
  <si>
    <t>Manufacturing Industries, NEC (beauty and barber chairs)</t>
  </si>
  <si>
    <t>Amusement and Theme Parks</t>
  </si>
  <si>
    <t>Manufacturing Industries, NEC (embroidery kits)</t>
  </si>
  <si>
    <t>Amusement Arcades</t>
  </si>
  <si>
    <t>Manufacturing Industries, NEC (other miscellaneous products not specially provided for previously)</t>
  </si>
  <si>
    <t>Casinos (except Casino Hotels)</t>
  </si>
  <si>
    <t>Railroads, Line-Haul Operating</t>
  </si>
  <si>
    <t>Other Gambling Industries</t>
  </si>
  <si>
    <t>Railroad Switching and Terminal Establishments (short line railroads)</t>
  </si>
  <si>
    <t>Golf Courses and Country Clubs</t>
  </si>
  <si>
    <t>Railroad Switching and Terminal Establishments (except short line railroads)</t>
  </si>
  <si>
    <t>Skiing Facilities</t>
  </si>
  <si>
    <t>Local and Suburban Transit (mixed mode)</t>
  </si>
  <si>
    <t>Marinas</t>
  </si>
  <si>
    <t>Local and Suburban Transit (commuter rail)</t>
  </si>
  <si>
    <t>Fitness and Recreational Sports Centers</t>
  </si>
  <si>
    <t>Local and Suburban Transit (bus and motor vehicle)</t>
  </si>
  <si>
    <t>Bowling Centers</t>
  </si>
  <si>
    <t>Local and Suburban Transit (except mixed mode, commuter rail, airport transportation service, and bus and motor vehicle)</t>
  </si>
  <si>
    <t>All Other Amusement and Recreation Industries</t>
  </si>
  <si>
    <t>Local and Suburban Transit (airport transportation service)</t>
  </si>
  <si>
    <t>Hotels (except Casino Hotels) and Motels</t>
  </si>
  <si>
    <t>Local Passenger Transportation, NEC (limousine rental with driver and automobile rental with driver)</t>
  </si>
  <si>
    <t>Casino Hotels</t>
  </si>
  <si>
    <t>Local Passenger Transportation, NEC (employee transportation)</t>
  </si>
  <si>
    <t>Bed-and-Breakfast Inns</t>
  </si>
  <si>
    <t>Local Passenger Transportation, NEC (special needs transportation)</t>
  </si>
  <si>
    <t>All Other Traveler Accommodation</t>
  </si>
  <si>
    <t>Local Passenger Transportation, NEC (hearse rental with driver and carpool and vanpool operation)</t>
  </si>
  <si>
    <t>RV (Recreational Vehicle) Parks and Campgrounds</t>
  </si>
  <si>
    <t>Local Passenger Transportation, NEC (sightseeing buses and cable and cog railways, except scenic)</t>
  </si>
  <si>
    <t>Recreational and Vacation Camps (except Campgrounds)</t>
  </si>
  <si>
    <t>Local Passenger Transportation, NEC (land ambulance)</t>
  </si>
  <si>
    <t xml:space="preserve">Rooming and Boarding Houses, Dormitories, and Workers' Camps </t>
  </si>
  <si>
    <t>Taxicabs</t>
  </si>
  <si>
    <t>Food Service Contractors</t>
  </si>
  <si>
    <t>Intercity and Rural Bus Transportation</t>
  </si>
  <si>
    <t>Caterers</t>
  </si>
  <si>
    <t>Local Bus Charter Service</t>
  </si>
  <si>
    <t>Mobile Food Services</t>
  </si>
  <si>
    <t>Bus Charter Service, Except Local</t>
  </si>
  <si>
    <t>Drinking Places (Alcoholic Beverages)</t>
  </si>
  <si>
    <t>School Buses</t>
  </si>
  <si>
    <t>Full-Service Restaurants</t>
  </si>
  <si>
    <t>Terminal and Service Facilities for Motor Vehicle Passenger Transportation</t>
  </si>
  <si>
    <t>Limited-Service Restaurants</t>
  </si>
  <si>
    <t>Local Trucking Without Storage (general freight)</t>
  </si>
  <si>
    <t>Cafeterias, Grill Buffets, and Buffets</t>
  </si>
  <si>
    <t>Local Trucking Without Storage (household goods moving)</t>
  </si>
  <si>
    <t>Snack and Nonalcoholic Beverage Bars</t>
  </si>
  <si>
    <t>Local Trucking Without Storage (specialized freight)</t>
  </si>
  <si>
    <t>General Automotive Repair</t>
  </si>
  <si>
    <t>Local Trucking Without Storage (solid waste collection without disposal)</t>
  </si>
  <si>
    <t>Automotive Exhaust System Repair</t>
  </si>
  <si>
    <t>Local Trucking Without Storage (hazardous waste collection without disposal)</t>
  </si>
  <si>
    <t>Automotive Transmission Repair</t>
  </si>
  <si>
    <t>Local Trucking Without Storage (other waste collection without disposal)</t>
  </si>
  <si>
    <t>Other Automotive Mechanical and Electrical Repair and Maintenance</t>
  </si>
  <si>
    <t>Automotive Body, Paint, and Interior Repair and Maintenance</t>
  </si>
  <si>
    <t>Trucking, Except Local (general freight, less than truckload)</t>
  </si>
  <si>
    <t>Automotive Glass Replacement Shops</t>
  </si>
  <si>
    <t>Trucking, Except Local (household goods moving)</t>
  </si>
  <si>
    <t>Automotive Oil Change and Lubrication Shops</t>
  </si>
  <si>
    <t>Trucking, Except Local (specialized freight)</t>
  </si>
  <si>
    <t>Car Washes</t>
  </si>
  <si>
    <t>Local Trucking With Storage (general freight)</t>
  </si>
  <si>
    <t>All Other Automotive Repair and Maintenance</t>
  </si>
  <si>
    <t>Local Trucking With Storage (household goods moving)</t>
  </si>
  <si>
    <t>Consumer Electronics Repair and Maintenance</t>
  </si>
  <si>
    <t>Local Trucking With Storage (specialized freight)</t>
  </si>
  <si>
    <t>Computer and Office Machine Repair and Maintenance</t>
  </si>
  <si>
    <t>Courier Services, Except by Air (hub and spoke intercity delivery)</t>
  </si>
  <si>
    <t>Communication Equipment Repair and Maintenance</t>
  </si>
  <si>
    <t>Courier Services, Except by Air (local delivery)</t>
  </si>
  <si>
    <t>Other Electronic and Precision Equipment Repair and Maintenance</t>
  </si>
  <si>
    <t>Commercial and Industrial Machinery and Equipment (except Automotive and Electronic) Repair and Maintenance</t>
  </si>
  <si>
    <t>Home and Garden Equipment Repair and Maintenance</t>
  </si>
  <si>
    <t>General Warehousing and Storage (except self-storage and miniwarehouses)</t>
  </si>
  <si>
    <t>Appliance Repair and Maintenance</t>
  </si>
  <si>
    <t>General Warehousing and Storage (miniwarehouses and self-storage units)</t>
  </si>
  <si>
    <t>Reupholstery and Furniture Repair</t>
  </si>
  <si>
    <t>Footwear and Leather Goods Repair</t>
  </si>
  <si>
    <t>Special Warehousing and Storage, NEC (fur storage)</t>
  </si>
  <si>
    <t>Other Personal and Household Goods Repair and Maintenance</t>
  </si>
  <si>
    <t>Special Warehousing and Storage, NEC (except fur storage and warehousing in foreign trade zones)</t>
  </si>
  <si>
    <t>Barber Shops</t>
  </si>
  <si>
    <t>Terminal and Joint Terminal Maintenance Facilities for Motor Freight Transportation</t>
  </si>
  <si>
    <t>Beauty Salons</t>
  </si>
  <si>
    <t>United States Postal Service</t>
  </si>
  <si>
    <t>Nail Salons</t>
  </si>
  <si>
    <t>Deep Sea Foreign Transportation of Freight</t>
  </si>
  <si>
    <t>Diet and Weight Reducing Centers</t>
  </si>
  <si>
    <t>Deep Sea Domestic Transportation of Freight</t>
  </si>
  <si>
    <t>Other Personal Care Services</t>
  </si>
  <si>
    <t>Freight Transportation on the Great Lakes - St. Lawrence Seaway</t>
  </si>
  <si>
    <t>Funeral Homes and Funeral Services</t>
  </si>
  <si>
    <t>Water Transportation of Freight, NEC</t>
  </si>
  <si>
    <t>Cemeteries and Crematories</t>
  </si>
  <si>
    <t>Deep Sea Transportation of Passengers, Except by Ferry (deep sea activities)</t>
  </si>
  <si>
    <t>Coin-Operated Laundries and Drycleaners</t>
  </si>
  <si>
    <t>Deep Sea Transportation of Passengers, Except by Ferry (coastal activities)</t>
  </si>
  <si>
    <t>Drycleaning and Laundry Services (except Coin-Operated)</t>
  </si>
  <si>
    <t>Ferries (coastal and Great Lakes)</t>
  </si>
  <si>
    <t>Linen Supply</t>
  </si>
  <si>
    <t>Ferries (inland)</t>
  </si>
  <si>
    <t>Industrial Launderers</t>
  </si>
  <si>
    <t>Water Transportation of Passengers, NEC (water taxi)</t>
  </si>
  <si>
    <t>Pet Care (except Veterinary) Services</t>
  </si>
  <si>
    <t>Water Transportation of Passengers, NEC (airboats, excursion boats, and sightseeing boats)</t>
  </si>
  <si>
    <t>Photofinishing Laboratories (except One-Hour)</t>
  </si>
  <si>
    <t>One-Hour Photofinishing</t>
  </si>
  <si>
    <t>Marine Cargo Handling (all but dock and pier operations)</t>
  </si>
  <si>
    <t>Parking Lots and Garages</t>
  </si>
  <si>
    <t>All Other Personal Services</t>
  </si>
  <si>
    <t>Religious Organizations</t>
  </si>
  <si>
    <t>Water Transportation Services, NEC (lighterage)</t>
  </si>
  <si>
    <t>Grantmaking Foundations</t>
  </si>
  <si>
    <t>Water Transportation Services, NEC (lighthouse and canal operations)</t>
  </si>
  <si>
    <t>Voluntary Health Organizations</t>
  </si>
  <si>
    <t>Water Transportation Services, NEC (piloting vessels in and out of harbors and marine salvage)</t>
  </si>
  <si>
    <t>Other Grantmaking and Giving Services</t>
  </si>
  <si>
    <t>Water Transportation Services, NEC (all but lighthouse operations, piloting vessels in and out of harbors, boat and ship rental, marine salvage, lighterage, marine surveyor services, and canal operations)</t>
  </si>
  <si>
    <t>Human Rights Organizations</t>
  </si>
  <si>
    <t>Water Transportation Services, NEC (boat and ship rental, commercial)</t>
  </si>
  <si>
    <t>Environment, Conservation and Wildlife Organizations</t>
  </si>
  <si>
    <t>Water Transportation Services, NEC (marine surveying services)</t>
  </si>
  <si>
    <t>Other Social Advocacy Organizations</t>
  </si>
  <si>
    <t>Air Transportation, Scheduled (passenger)</t>
  </si>
  <si>
    <t>Civic and Social Organizations</t>
  </si>
  <si>
    <t>Air Transportation, Scheduled (freight)</t>
  </si>
  <si>
    <t>Business Associations</t>
  </si>
  <si>
    <t>Air Courier Services</t>
  </si>
  <si>
    <t>Professional Organizations</t>
  </si>
  <si>
    <t>Air Transportation, Nonscheduled (passenger)</t>
  </si>
  <si>
    <t>Labor Unions and Similar Labor Organizations</t>
  </si>
  <si>
    <t>Air Transportation, Nonscheduled (freight)</t>
  </si>
  <si>
    <t>Political Organizations</t>
  </si>
  <si>
    <t>Air Transportation, Nonscheduled (using general purpose aircraft for a variety of passenger, freight, courier, and other uses)</t>
  </si>
  <si>
    <t>Other Similar Organizations (except Business, Professional, Labor, and Political Organizations)</t>
  </si>
  <si>
    <t>Air Transportation, Nonscheduled (sightseeing planes)</t>
  </si>
  <si>
    <t>Private Households</t>
  </si>
  <si>
    <t>Air Transportation, Nonscheduled (air ambulance)</t>
  </si>
  <si>
    <t>Executive Offices</t>
  </si>
  <si>
    <t>Airports, Flying Fields, and Airport Terminal Services (private air traffic control)</t>
  </si>
  <si>
    <t>Legislative Bodies</t>
  </si>
  <si>
    <t>Airports, Flying Fields, and Airport Terminal Services (air freight handling at airports, hangar operations, airport terminal services, aircraft storage, airports, and flying fields)</t>
  </si>
  <si>
    <t>Public Finance Activities</t>
  </si>
  <si>
    <t>Airports, Flying Fields, and Airport Terminal Services (aircraft servicing and repairing)</t>
  </si>
  <si>
    <t>Executive and Legislative Offices, Combined</t>
  </si>
  <si>
    <t>Airports, Flying Fields, and Airport Terminal Services (airplane cleaning and janitorial services)</t>
  </si>
  <si>
    <t>American Indian and Alaska Native Tribal Governments</t>
  </si>
  <si>
    <t>Airports, Flying Fields, and Airport Terminal Services (aircraft upholstery repair)</t>
  </si>
  <si>
    <t>Other General Government Support</t>
  </si>
  <si>
    <t>Crude Petroleum Pipelines</t>
  </si>
  <si>
    <t>Courts</t>
  </si>
  <si>
    <t>Police Protection</t>
  </si>
  <si>
    <t>Pipelines, NEC</t>
  </si>
  <si>
    <t>Legal Counsel and Prosecution</t>
  </si>
  <si>
    <t>Correctional Institutions</t>
  </si>
  <si>
    <t>Parole Offices and Probation Offices</t>
  </si>
  <si>
    <t>Arrangement of Passenger Transportation, NEC (arrangement of carpools and vanpools)</t>
  </si>
  <si>
    <t>Fire Protection</t>
  </si>
  <si>
    <t>Arrangement of Passenger Transportation, NEC (except arrangement of vanpools and carpools)</t>
  </si>
  <si>
    <t>Other Justice, Public Order, and Safety Activities</t>
  </si>
  <si>
    <t>Arrangement of Transportation of Freight and Cargo (except freight rate auditors, private mail centers, and tariff consultants)</t>
  </si>
  <si>
    <t>Administration of Education Programs</t>
  </si>
  <si>
    <t>Arrangement of Transportation of Freight and Cargo (freight rate-auditors and tariff consulting)</t>
  </si>
  <si>
    <t>Administration of Public Health Programs</t>
  </si>
  <si>
    <t>Rental of Railroad Cars (grain leveling in railroad cars, grain trimming for railroad equipment, precooling of fruits and vegetables in connection with transportation, and railroad car cleaning, icing, ventilating, and heating)</t>
  </si>
  <si>
    <t>Administration of Human Resource Programs (except Education, Public Health, and Veterans' Affairs Programs)</t>
  </si>
  <si>
    <t>Rental of Railroad Cars (rental of railroad cars)</t>
  </si>
  <si>
    <t>Administration of Veterans' Affairs</t>
  </si>
  <si>
    <t>Administration of Air and Water Resource and Solid Waste Management Programs</t>
  </si>
  <si>
    <t>Fixed Facilities and Inspection and Weighing Services for Motor Vehicle Transportation (marine cargo checkers)</t>
  </si>
  <si>
    <t>Administration of Conservation Programs</t>
  </si>
  <si>
    <t>Fixed Facilities and Inspection and Weighing Services for Motor Vehicle Transportation (except marine cargo checkers)</t>
  </si>
  <si>
    <t>Administration of Housing Programs</t>
  </si>
  <si>
    <t>Transportation Services, NEC (horse-drawn cabs and carriages)</t>
  </si>
  <si>
    <t>Administration of Urban Planning and Community and Rural Development</t>
  </si>
  <si>
    <t>Transportation Services, NEC (car loading and unloading; cleaning of railroad ballast; dining, parlor, sleeping, and other car operations; and railroad maintenance)</t>
  </si>
  <si>
    <t>Administration of General Economic Programs</t>
  </si>
  <si>
    <t>Transportation Services, NEC (pipeline terminals and stockyards for transportation)</t>
  </si>
  <si>
    <t>Regulation and Administration of Transportation Programs</t>
  </si>
  <si>
    <t>Transportation Services, NEC (dining car operations on a fee or contract basis)</t>
  </si>
  <si>
    <t>Regulation and Administration of Communications, Electric, Gas, and Other Utilities</t>
  </si>
  <si>
    <t>Radiotelephone Communications (paging carriers)</t>
  </si>
  <si>
    <t>Regulation of Agricultural Marketing and Commodities</t>
  </si>
  <si>
    <t>Radiotelephone Communications (cellular carriers)</t>
  </si>
  <si>
    <t>Regulation, Licensing, and Inspection of Miscellaneous Commercial Sectors</t>
  </si>
  <si>
    <t>Radiotelephone Communications (paging and cellular resellers)</t>
  </si>
  <si>
    <t>Space Research and Technology</t>
  </si>
  <si>
    <t>Telephone Communications, Except Radiotelephone (except resellers)</t>
  </si>
  <si>
    <t>National Security</t>
  </si>
  <si>
    <t>Telephone Communications, Except Radiotelephone (resellers)</t>
  </si>
  <si>
    <t>International Affairs</t>
  </si>
  <si>
    <t>Telegraph and Other Message Communications</t>
  </si>
  <si>
    <t>Radio Broadcasting Stations (networks)</t>
  </si>
  <si>
    <t>Radio Broadcasting Stations (except networks)</t>
  </si>
  <si>
    <t xml:space="preserve">Television Broadcasting Stations </t>
  </si>
  <si>
    <t>Cable and Other Pay Television Services (cable networks)</t>
  </si>
  <si>
    <t>Cable and Other Pay Television Services (except cable and other subscription programming)</t>
  </si>
  <si>
    <t>Communications Services, NEC (radio broadcasting operated by cab companies)</t>
  </si>
  <si>
    <t>Communications Services, NEC (ship to shore broadcasting carriers)</t>
  </si>
  <si>
    <t>Communications Services, NEC (satellite communications)</t>
  </si>
  <si>
    <t>Communications Services, NEC (except ship to shore broadcasting, satellite communications, pay telephone concession operators)</t>
  </si>
  <si>
    <t>Communications Services, NEC (pay telephone concession operators)</t>
  </si>
  <si>
    <t>Electric Services (hydroelectric power generation)</t>
  </si>
  <si>
    <t>Electric Services (fossil fuel power generation)</t>
  </si>
  <si>
    <t>Electric Services (nuclear electric power generation)</t>
  </si>
  <si>
    <t>Electric Services (other electric power generation)</t>
  </si>
  <si>
    <t>Electric Services (electric power transmission and control)</t>
  </si>
  <si>
    <t>Electric Services (electric power distribution)</t>
  </si>
  <si>
    <t>Natural Gas Transmission</t>
  </si>
  <si>
    <t>Natural Gas Transmission and Distribution (distribution)</t>
  </si>
  <si>
    <t>Natural Gas Transmission and Distribution (transmission)</t>
  </si>
  <si>
    <t>Mixed, Manufactured, or Liquefied Petroleum Gas Production and/or Distribution</t>
  </si>
  <si>
    <t xml:space="preserve">Electric and Other Services Combined (hydroelectric power generation) </t>
  </si>
  <si>
    <t>Electric and Other Services Combined (fossil fuel power generation)</t>
  </si>
  <si>
    <t>Electric and Other Services Combined (nuclear power generation)</t>
  </si>
  <si>
    <t>Electric and Other Services Combined (other electric power generation)</t>
  </si>
  <si>
    <t>Electric and Other Services Combined (electric power transmission and control)</t>
  </si>
  <si>
    <t>Electric and Other Services Combined (electric power distribution)</t>
  </si>
  <si>
    <t>Electric and Other Services Combined (natural gas distribution)</t>
  </si>
  <si>
    <t>Gas and Other Services Combined (natural gas distribution)</t>
  </si>
  <si>
    <t>Combination Utilities, NEC (hydroelectric power generation)</t>
  </si>
  <si>
    <t>Combination Utilities, NEC (fossil fuel power generation)</t>
  </si>
  <si>
    <t>Combination Utilities, NEC (nuclear power generation)</t>
  </si>
  <si>
    <t>Combination Utilities, NEC (other electric power generation)</t>
  </si>
  <si>
    <t xml:space="preserve">Combination Utilities, NEC (electric power transmission and control) </t>
  </si>
  <si>
    <t>Combination Utilities, NEC (electric power distribution)</t>
  </si>
  <si>
    <t>Combination Utilities, NEC (natural gas distribution)</t>
  </si>
  <si>
    <t>Water Supply</t>
  </si>
  <si>
    <t>Refuse Systems (solid waste landfills)</t>
  </si>
  <si>
    <t>Refuse Systems (solid waste combustors and incinerators)</t>
  </si>
  <si>
    <t>Refuse Systems (other nonhazardous waste treatment and disposal)</t>
  </si>
  <si>
    <t>Refuse Systems (materials recovery facilities)</t>
  </si>
  <si>
    <t>Sanitary Services, NEC (snow plowing and sweeping streets and highways)</t>
  </si>
  <si>
    <t>Sanitary Services, NEC (mosquito eradication)</t>
  </si>
  <si>
    <t>Sanitary Services, NEC (cleaning parking lots and driveways)</t>
  </si>
  <si>
    <t>Sanitary Services, NEC (remediation services)</t>
  </si>
  <si>
    <t>Sanitary Services, NEC (all but remediation services, malaria control, mosquito eradication, snow plowing, street sweeping, and airport runway vacuuming)</t>
  </si>
  <si>
    <t>Irrigation Systems</t>
  </si>
  <si>
    <t>Automobiles and Other Motor Vehicles (merchant wholesalers)</t>
  </si>
  <si>
    <t>Automobiles and Other Motor Vehicles (business to business electronic markets)</t>
  </si>
  <si>
    <t>Automobiles and Other Motor Vehicles (agents and brokers)</t>
  </si>
  <si>
    <t xml:space="preserve">Motor Vehicle Supplies and New Parts (merchant wholesalers except those selling via retail method) </t>
  </si>
  <si>
    <t>Motor Vehicle Supplies and New Parts (business to business electronic markets)</t>
  </si>
  <si>
    <t>Motor Vehicle Supplies and New Parts (agents and brokers)</t>
  </si>
  <si>
    <t>Motor Vehicle Supplies and New Parts (auto parts sold via retail method)</t>
  </si>
  <si>
    <t>Tires and Tubes (merchant wholesalers except those selling via retail method)</t>
  </si>
  <si>
    <t>Tires and Tubes (business to business electronic markets)</t>
  </si>
  <si>
    <t>Tires and Tubes (agents and brokers)</t>
  </si>
  <si>
    <t>Tires and Tubes (tires and tubes sold via retail method)</t>
  </si>
  <si>
    <t>Motor Vehicle Parts, Used (merchant wholesalers except those selling via retail method)</t>
  </si>
  <si>
    <t>Motor Vehicle Parts, Used (business to business electronic markets)</t>
  </si>
  <si>
    <t>Motor Vehicle Parts, Used (agents and brokers)</t>
  </si>
  <si>
    <t>Motor Vehicle Parts, Used (used auto parts sold via the retail method)</t>
  </si>
  <si>
    <t>Furniture (merchant wholesalers except those selling via retail method)</t>
  </si>
  <si>
    <t>Furniture (business to business electronic markets)</t>
  </si>
  <si>
    <t>Furniture (agents and brokers)</t>
  </si>
  <si>
    <t>Furniture (furniture sold via the retail method)</t>
  </si>
  <si>
    <t>Homefurnishings (merchant wholesalers except those selling via retail method)</t>
  </si>
  <si>
    <t>Homefurnishings (business to business electronic markets)</t>
  </si>
  <si>
    <t>Homefurnishings (agents and brokers)</t>
  </si>
  <si>
    <t>Homefurnishings (floor coverings sold via retail method)</t>
  </si>
  <si>
    <t>Lumber, Plywood, Millwork, and Wood Panels (merchant wholesalers)</t>
  </si>
  <si>
    <t>Lumber, Plywood, Millwork, and Wood Panels (business to business electronic markets)</t>
  </si>
  <si>
    <t>Lumber, Plywood, Millwork, and Wood Panels (agents and brokers)</t>
  </si>
  <si>
    <t>Lumber, Plywood, Millwork, and Wood Panels (sold via retail method)</t>
  </si>
  <si>
    <t>Brick, Stone, and Related Construction Materials  (merchant wholesalers except construction materials sold via retail method)</t>
  </si>
  <si>
    <t>Brick, Stone, and Related Construction Materials  (business to business electronic markets)</t>
  </si>
  <si>
    <t>Brick, Stone, and Related Construction Materials  (agents and brokers)</t>
  </si>
  <si>
    <t>Brick, Stone, and Related Construction Materials (brick, stone, and related construction materials sold via retail method)</t>
  </si>
  <si>
    <t>Roofing, Siding, and Insulation Materials (merchant wholesalers except those selling via retail method)</t>
  </si>
  <si>
    <t>Roofing, Siding, and Insulation Materials (business to business electronic markets)</t>
  </si>
  <si>
    <t>Roofing, Siding, and Insulation Materials (agents and brokers)</t>
  </si>
  <si>
    <t>Roofing, Siding, and Insulation Materials (roofing, siding, and insulation materials sold via retail method)</t>
  </si>
  <si>
    <t>Construction Materials, NEC (merchant wholesalers of prefabricated buildings and structural assemblies, wood)</t>
  </si>
  <si>
    <t>Construction Materials, NEC (merchant wholesalers of construction materials, nec except wood prefabricated buildings and structural assemblies and merchant wholesalers selling via retail method)</t>
  </si>
  <si>
    <t>Construction Materials, NEC (business to business electronic markets)</t>
  </si>
  <si>
    <t>Construction Materials, NEC (agents and brokers)</t>
  </si>
  <si>
    <t>Construction Materials, NEC (glass sold via retail method)</t>
  </si>
  <si>
    <t>Photographic Equipment and Supplies (merchant wholesalers)</t>
  </si>
  <si>
    <t>Photographic Equipment and Supplies (business to business electronic markets)</t>
  </si>
  <si>
    <t>Photographic Equipment and Supplies (agents and brokers)</t>
  </si>
  <si>
    <t>Office Equipment (merchant wholesalers except those selling office equipment via retail method)</t>
  </si>
  <si>
    <t>Office Equipment (business to business electronic markets)</t>
  </si>
  <si>
    <t>Office Equipment (agents and brokers)</t>
  </si>
  <si>
    <t>Office Equipment (office equipment sold via retail method)</t>
  </si>
  <si>
    <t>Computers and Computer Peripheral Equipment and Software (merchant wholesalers except those selling computers, equipment, and software via retail method)</t>
  </si>
  <si>
    <t>Computers and Computer Peripheral Equipment and Software (business to business electronic markets)</t>
  </si>
  <si>
    <t>Computers and Computer Peripheral Equipment and Software (agents and brokers)</t>
  </si>
  <si>
    <t>Computers and Computer Peripheral Equipment and Software (computers, peripherals, and software sold via retail method)</t>
  </si>
  <si>
    <t>Commercial Equipment, NEC (merchant wholesalers)</t>
  </si>
  <si>
    <t>Commercial Equipment, NEC (business to business electronic markets)</t>
  </si>
  <si>
    <t>Commercial Equipment, NEC (agents and brokers)</t>
  </si>
  <si>
    <t>Medical, Dental and Hospital Equipment and Supplies (merchant wholesalers except those selling medical, dental, and hospital equipment and supplies via retail method)</t>
  </si>
  <si>
    <t>Medical, Dental and Hospital Equipment and Supplies (business to business electronic markets)</t>
  </si>
  <si>
    <t>Medical, Dental and Hospital Equipment and Supplies (agents and brokers)</t>
  </si>
  <si>
    <t>Medical, Dental, and Hospital Equipment and Supplies (medical, dental, and hospital equipment and supplies sold via retail method)</t>
  </si>
  <si>
    <t>Ophthalmic Goods (merchant wholesalers)</t>
  </si>
  <si>
    <t>Ophthalmic Goods (business to business electronic markets)</t>
  </si>
  <si>
    <t>Ophthalmic Goods (agents and brokers)</t>
  </si>
  <si>
    <t xml:space="preserve">Professional Equipment and Supplies, NEC (merchant wholesalers except those selling religious and teacher's school supplies via retail method) </t>
  </si>
  <si>
    <t>Professional Equipment and Supplies, NEC (business to business electronic markets)</t>
  </si>
  <si>
    <t>Professional Equipment and Supplies, NEC (agents and brokers)</t>
  </si>
  <si>
    <t>Professional Equipment and Supplies, NEC (religious and teacher's school supplies sold via retail method)</t>
  </si>
  <si>
    <t xml:space="preserve">Metals Service Centers and Offices (merchant wholesalers) </t>
  </si>
  <si>
    <t xml:space="preserve">Metals Service Centers and Offices (business to business electronic markets) </t>
  </si>
  <si>
    <t xml:space="preserve">Metals Service Centers and Offices (agents and brokers) </t>
  </si>
  <si>
    <t>Coal and Other Minerals and Ores (merchant wholesalers)</t>
  </si>
  <si>
    <t>Coal and Other Minerals and Ores (business to business electronic markets)</t>
  </si>
  <si>
    <t>Coal and Other Minerals and Ores (agents and brokers)</t>
  </si>
  <si>
    <t>Electrical Apparatus and Equipment, Wiring Supplies and Construction Materials (merchant wholesalers except those selling electrical supplies, equipment, and apparatus via retail method)</t>
  </si>
  <si>
    <t>Electrical Apparatus and Equipment, Wiring Supplies and Construction Materials (business to business electronic markets)</t>
  </si>
  <si>
    <t>Electrical Apparatus and Equipment, Wiring Supplies and Construction Materials (agents and brokers)</t>
  </si>
  <si>
    <t>Electrical Apparatus and Equipment, Wiring Supplies, and Construction Materials (electrical supplies, equipment, and apparatus sold via retail method)</t>
  </si>
  <si>
    <t>Electrical Appliances, Television and Radio Sets (merchant wholesalers except those selling appliances, TVs, and radios via retail method)</t>
  </si>
  <si>
    <t>Electrical Appliances, Television and Radio Sets (business to business electronic markets)</t>
  </si>
  <si>
    <t>Electrical Appliances, Television and Radio Sets (agents and brokers)</t>
  </si>
  <si>
    <t>Electrical Appliances, Television and Radio Sets (household appliances sold via retail method)</t>
  </si>
  <si>
    <t>Electrical Appliances, Television and Radio Sets (television and radio sets sold via retail method)</t>
  </si>
  <si>
    <t>Electrical Appliances, Television and Radio Sets (ceiling fans sold via retail method)</t>
  </si>
  <si>
    <t>Electronic Parts and Equipment, NEC (merchant wholesalers except those selling electronic parts and equipment via retail method)</t>
  </si>
  <si>
    <t>Electronic Parts and Equipment, NEC (business to business electronic markets)</t>
  </si>
  <si>
    <t>Electronic Parts and Equipment, NEC (agents and brokers)</t>
  </si>
  <si>
    <t>Electronic Parts and Equipment, NEC (amateur radios, CB's, intercommunications equipment, public address equipment, and similar communications equipment sold via retail method)</t>
  </si>
  <si>
    <t>Electronic Parts and Equipment, NEC (modems and other computer components sold via retail method)</t>
  </si>
  <si>
    <t>Hardware (merchant wholesalers except those selling hardware via retail method)</t>
  </si>
  <si>
    <t>Hardware (business to business electronic markets)</t>
  </si>
  <si>
    <t>Hardware (agents and brokers)</t>
  </si>
  <si>
    <t>Hardware (hardware sold via retail method)</t>
  </si>
  <si>
    <t>Plumbing and Heating Equipment and Supplies (Hydronics) (merchant wholesalers except those selling  plumbing and hydronic heating equipment via retail method)</t>
  </si>
  <si>
    <t>Plumbing and Heating Equipment and Supplies (Hydronics) (business to business electronic markets)</t>
  </si>
  <si>
    <t>Plumbing and Heating Equipment and Supplies (Hydronics) (agents and brokers)</t>
  </si>
  <si>
    <t>Plumbing and Heating Equipment and Supplies (Hydronics)(plumbing and hydronic heating equipment sold via retail method)</t>
  </si>
  <si>
    <t>Warm Air Heating and Air-Conditioning Equipment and Supplies (merchant wholesalers)</t>
  </si>
  <si>
    <t>Warm Air Heating and Air-Conditioning Equipment and Supplies (business to business electronic markets)</t>
  </si>
  <si>
    <t>Warm Air Heating and Air-Conditioning Equipment and Supplies (agents and brokers)</t>
  </si>
  <si>
    <t>Refrigeration Equipment and Supplies (merchant wholesalers)</t>
  </si>
  <si>
    <t>Refrigeration Equipment and Supplies (business to business electronic markets)</t>
  </si>
  <si>
    <t>Refrigeration Equipment and Supplies (agents and brokers)</t>
  </si>
  <si>
    <t>Construction and Mining (Except Petroleum) Machinery and Equipment (merchant wholesalers)</t>
  </si>
  <si>
    <t>Construction and Mining (Except Petroleum) Machinery and Equipment (business to business electronic markets)</t>
  </si>
  <si>
    <t>Construction and Mining (Except Petroleum) Machinery and Equipment (agents and brokers)</t>
  </si>
  <si>
    <t>Farm and Garden Machinery and Equipment (merchant wholesalers except those selling lawn and garden equipment via retail method)</t>
  </si>
  <si>
    <t>Farm and Garden Machinery and Equipment (business to business electronic markets)</t>
  </si>
  <si>
    <t>Farm and Garden Machinery and Equipment (agents and brokers)</t>
  </si>
  <si>
    <t>Farm and Garden Machinery and Equipment (lawn and garden equipment sold via retail method)</t>
  </si>
  <si>
    <t>Industrial Machinery and Equipment (merchant wholesalers)</t>
  </si>
  <si>
    <t>Industrial Machinery and Equipment (business to business electronic markets)</t>
  </si>
  <si>
    <t>Industrial Machinery and Equipment (agents and brokers)</t>
  </si>
  <si>
    <t>Industrial Supplies (merchant wholesalers of fluid power accessories)</t>
  </si>
  <si>
    <t>Industrial Supplies (merchant wholesalers of industrial supplies except fluid power accessories and merchant wholesalers selling industrial supplies via retail method)</t>
  </si>
  <si>
    <t>Industrial Supplies (business to business electronic markets)</t>
  </si>
  <si>
    <t>Industrial Supplies (agents and brokers)</t>
  </si>
  <si>
    <t>Industrial Supplies (sold via retail method)</t>
  </si>
  <si>
    <t>Service Establishment Equipment and Supplies (merchant wholesalers except those selling beauty and barber shop equipment and supplies via retail method)</t>
  </si>
  <si>
    <t>Service Establishment Equipment and Supplies (business to business electronic markets)</t>
  </si>
  <si>
    <t>Service Establishment Equipment and Supplies (agents and brokers)</t>
  </si>
  <si>
    <t>Service Establishment Equipment and Supplies (beauty and barber shop equipment and supplies sold via retail method)</t>
  </si>
  <si>
    <t>Transportation Equipment and Supplies, Except Motor Vehicles (merchant wholesalers)</t>
  </si>
  <si>
    <t>Transportation Equipment and Supplies, Except Motor Vehicles (business to business electronic markets)</t>
  </si>
  <si>
    <t>Transportation Equipment and Supplies, Except Motor Vehicles (agents and brokers)</t>
  </si>
  <si>
    <t>Sporting and Recreational Goods and Supplies (merchant wholesalers except those selling sporting and recreational goods via retail method)</t>
  </si>
  <si>
    <t>Sporting and Recreational Goods and Supplies (business to business electronic markets)</t>
  </si>
  <si>
    <t>Sporting and Recreational Goods and Supplies (agents and brokers)</t>
  </si>
  <si>
    <t>Sporting and Recreational Goods and Supplies (sporting and recreational goods sold via retail method)</t>
  </si>
  <si>
    <t>Toys and Hobby Goods and Supplies (merchant wholesalers except those selling toys and hobby goods and supplies via retail method)</t>
  </si>
  <si>
    <t>Toys and Hobby Goods and Supplies (business to business electronic markets)</t>
  </si>
  <si>
    <t>Toys and Hobby Goods and Supplies (agents and brokers)</t>
  </si>
  <si>
    <t>Toys and Hobby Goods and Supplies (toys and hobby goods and supplies sold via retail method)</t>
  </si>
  <si>
    <t>Scrap and Waste Materials (merchant wholesalers)</t>
  </si>
  <si>
    <t xml:space="preserve">Scrap and Waste Materials (business to business electronic markets) </t>
  </si>
  <si>
    <t>Scrap and Waste Materials (agents and brokers)</t>
  </si>
  <si>
    <t>Jewelry, Watches, Precious Stones, and Precious Metals (merchant wholesalers except those selling jewelry and related goods via retail method)</t>
  </si>
  <si>
    <t>Jewelry, Watches, Precious Stones, and Precious Metals (business to business electronic markets)</t>
  </si>
  <si>
    <t>Jewelry, Watches, Precious Stones, and Precious Metals (agents and brokers)</t>
  </si>
  <si>
    <t>Jewelry, Watches, Precious Stones, and Precious Metals (jewelry and related goods sold via retail method)</t>
  </si>
  <si>
    <t>Durable Goods, NEC (merchant wholesalers except those selling miscellaneous durable goods via retail method)</t>
  </si>
  <si>
    <t>Durable Goods, NEC (business to business electronic markets)</t>
  </si>
  <si>
    <t>Durable Goods, NEC (agents and brokers)</t>
  </si>
  <si>
    <t>Durable Goods, NEC (gas lighting fixtures, rough timbers, and other wood or construction materials sold via retail method)</t>
  </si>
  <si>
    <t>Durable Goods, NEC (ammunition and firearms sold via retail method)</t>
  </si>
  <si>
    <t>Durable Goods, NEC (coin-operated game machines sold via retail method)</t>
  </si>
  <si>
    <t>Durable Goods, NEC (prerecorded audio and video tapes and discs sold via retail method)</t>
  </si>
  <si>
    <t>Printing and Writing Paper (merchant wholesalers except those selling printing and writing paper via retail method)</t>
  </si>
  <si>
    <t>Printing and Writing Paper (business to business electronic markets)</t>
  </si>
  <si>
    <t>Printing and Writing Paper (agents and brokers)</t>
  </si>
  <si>
    <t>Printing and Writing Paper (printing and writing paper sold via retail method)</t>
  </si>
  <si>
    <t>Stationery and Office Supplies (merchant wholesalers except those selling stationery and office supplies via retail method)</t>
  </si>
  <si>
    <t>Stationery and Office Supplies (business to business electronic markets)</t>
  </si>
  <si>
    <t>Stationery and Office Supplies (agents and brokers)</t>
  </si>
  <si>
    <t>Stationery and Office Supplies (stationery and office supplies sold via retail method)</t>
  </si>
  <si>
    <t>Industrial and Personal Service Paper (merchant wholesalers except those selling industrial and personal service paper via retail method)</t>
  </si>
  <si>
    <t>Industrial and Personal Service Paper (business to business electronic markets)</t>
  </si>
  <si>
    <t>Industrial and Personal Service Paper (agents and brokers)</t>
  </si>
  <si>
    <t>Industrial and Personal Service Paper (industrial and personal service paper sold via retail method)</t>
  </si>
  <si>
    <t>Drugs, Drug Proprietaries, and Druggists’ Sundries (merchant wholesalers except those selling drugs and sundries via retail method)</t>
  </si>
  <si>
    <t>Drugs, Drug Proprietaries, and Druggists’ Sundries (business to business electronic markets)</t>
  </si>
  <si>
    <t>Drugs, Drug Proprietaries, and Druggists’ Sundries (agents and brokers)</t>
  </si>
  <si>
    <t>Drugs, Drug Proprietaries, and Druggists’ Sundries (drugs and sundries sold via retail method)</t>
  </si>
  <si>
    <t>Drugs, Drug Proprietaries, and Druggists’ Sundries (cosmetics sold via retail method)</t>
  </si>
  <si>
    <t>Drugs, Drug Proprietaries, and Druggists' Sundries (vitamins sold via retail method)</t>
  </si>
  <si>
    <t>Piece Goods, Notions, and Other Dry Goods (broadwoven converters)</t>
  </si>
  <si>
    <t>Piece Goods, Notions, and Other Dry Goods (piece goods converters, except broadwoven)</t>
  </si>
  <si>
    <t>Piece Goods, Notions, and Other Dry Goods (merchant wholesalers except broadwoven and piece goods converters and merchant wholesalers selling piece goods, notions and other dry goods via retail method)</t>
  </si>
  <si>
    <t>Piece Goods, Notions, and Other Dry Goods (business to business electronic markets)</t>
  </si>
  <si>
    <t>Piece Goods, Notions, and Other Dry Goods (agents and brokers)</t>
  </si>
  <si>
    <t>Piece Goods, Notions, and Other Dry Goods (piece goods, notions, and other dry goods sold via retail method)</t>
  </si>
  <si>
    <t>Men's and Boys' Clothing and Furnishings (merchant wholesalers of athletic uniforms)</t>
  </si>
  <si>
    <t>Men’s and Boys’ Clothing and Furnishings (merchant wholesalers except wholesaling athletic uniforms and uniforms and merchant wholesalers selling work clothing via retail method)</t>
  </si>
  <si>
    <t>Men’s and Boys’ Clothing and Furnishings (business to business electronic markets)</t>
  </si>
  <si>
    <t>Men’s and Boys’ Clothing and Furnishings (agents and brokers)</t>
  </si>
  <si>
    <t>Men's and Boys' Clothing and Furnishings (men's and boys' apparel, except uniforms and work clothing, sold via retail method)</t>
  </si>
  <si>
    <t>Men's and Boys' Clothing and Furnishings (uniforms and work clothing sold via retail method)</t>
  </si>
  <si>
    <t>Women's, Children's and Infants' Clothing and Accessories (merchant wholesalers of athletic uniforms)</t>
  </si>
  <si>
    <t>Women’s, Children’s, and Infants’ Clothing and Accessories (merchant wholesalers except wholesaling athletic uniforms and uniforms and merchant wholesalers selling work clothing via retail method)</t>
  </si>
  <si>
    <t>Women’s, Children’s, and Infants’ Clothing and Accessories (business to business electronic markets)</t>
  </si>
  <si>
    <t>Women’s, Children’s, and Infants’ Clothing and Accessories (agents and brokers)</t>
  </si>
  <si>
    <t>Women's, Children's, and Infants' Clothing and Accessories (selling a general line of womens clothing via retail method)</t>
  </si>
  <si>
    <t>Women's, Children's and Infants' Clothing and Accessories (selling a general line of children's and infants' clothing via retail method)</t>
  </si>
  <si>
    <t>Women’s, Children’s, and Infants’ Clothing and Accessories (uniforms and work clothing sold via retail method)</t>
  </si>
  <si>
    <t>Footwear (merchant wholesalers except those selling footwear via retail method)</t>
  </si>
  <si>
    <t>Footwear (business to business electronic markets)</t>
  </si>
  <si>
    <t>Footwear (agents and brokers)</t>
  </si>
  <si>
    <t>Footwear (footwear sold via retail method)</t>
  </si>
  <si>
    <t>Groceries, General Line (merchant wholesalers except those selling general line groceries via retail method)</t>
  </si>
  <si>
    <t>Groceries, General Line (business to business electronic markets)</t>
  </si>
  <si>
    <t>Groceries, General Line (agents and brokers)</t>
  </si>
  <si>
    <t>Groceries, General Line (general line groceries sold via retail method)</t>
  </si>
  <si>
    <t>Packaged Frozen Foods (merchant wholesalers except those selling packaged frozen foods via retail method)</t>
  </si>
  <si>
    <t>Packaged Frozen Foods (business to business electronic markets)</t>
  </si>
  <si>
    <t>Packaged Frozen Foods (agents and brokers)</t>
  </si>
  <si>
    <t>Packaged Frozen Foods (frozen food sold via retail method)</t>
  </si>
  <si>
    <t>Dairy Products, Except Dried or Canned (merchant wholesalers except those selling dairy products via retail method)</t>
  </si>
  <si>
    <t>Dairy Products, Except Dried or Canned (business to business electronic markets)</t>
  </si>
  <si>
    <t>Dairy Products, Except Dried or Canned (agents and brokers)</t>
  </si>
  <si>
    <t>Dairy Products, Except Dried or Canned (dairy products sold via retail method)</t>
  </si>
  <si>
    <t>Poultry and Poultry Products (merchant wholesalers except those selling poultry and poultry products via retail method)</t>
  </si>
  <si>
    <t>Poultry and Poultry Products (business to business electronic markets)</t>
  </si>
  <si>
    <t>Poultry and Poultry Products (agents and brokers)</t>
  </si>
  <si>
    <t>Poultry and Poultry Products (poultry and poultry products sold via retail method)</t>
  </si>
  <si>
    <t>Confectionery (merchant wholesalers except those selling confectionery via retail method)</t>
  </si>
  <si>
    <t>Confectionery (business to business electronic markets)</t>
  </si>
  <si>
    <t>Confectionery (agents and brokers)</t>
  </si>
  <si>
    <t>Confectionery (confectionery sold via retail method)</t>
  </si>
  <si>
    <t>Fish and Seafoods (merchant wholesalers except those selling fish and seafoods via retail method)</t>
  </si>
  <si>
    <t>Fish and Seafoods (business to business electronic markets)</t>
  </si>
  <si>
    <t>Fish and Seafoods (agents and brokers)</t>
  </si>
  <si>
    <t>Fish and Seafoods (fish and seafoods sold via retail method)</t>
  </si>
  <si>
    <t>Meats and Meat Products (boxed beef)</t>
  </si>
  <si>
    <t>Meats and Meat Products (merchant wholesalers except boxed beef manufacturers and merchant wholesalers selling meats and meat products via retail method)</t>
  </si>
  <si>
    <t>Meats and Meat Products (business to business electronic markets)</t>
  </si>
  <si>
    <t>Meats and Meat Products (agents and brokers)</t>
  </si>
  <si>
    <t>Meat and Meat Products (meat and meat products sold via retail method)</t>
  </si>
  <si>
    <t>Fresh Fruits and Vegetables (merchant wholesalers except those selling fresh fruits and vegetables via retail method)</t>
  </si>
  <si>
    <t>Fresh Fruits and Vegetables (business to business electronic markets)</t>
  </si>
  <si>
    <t>Fresh Fruits and Vegetables (agents and brokers)</t>
  </si>
  <si>
    <t>Fresh Fruits and Vegetables (fresh fruits and vegetables sold via retail method)</t>
  </si>
  <si>
    <t xml:space="preserve">Groceries and Related Products, NEC (processed bottled water manufacturing) </t>
  </si>
  <si>
    <t>Groceries and Related Products, NEC (merchant wholesalers except processed bottled water manufacturing and merchant wholesalers selling groceries and related products via retail method)</t>
  </si>
  <si>
    <t>Groceries and Related Products, NEC (business to business electronic markets)</t>
  </si>
  <si>
    <t>Groceries and Related Products, NEC (agents and brokers)</t>
  </si>
  <si>
    <t>Groceries and Related Products, NEC (groceries and related products, except pet food, sold via retail method)</t>
  </si>
  <si>
    <t>Groceries and Related Products, NEC (pet food sold via retail method)</t>
  </si>
  <si>
    <t>Grain and Field Beans (merchant wholesalers except those selling grains and field beans via retail method)</t>
  </si>
  <si>
    <t>Grain and Field Beans (business to business electronic markets)</t>
  </si>
  <si>
    <t>Grain and Field Beans (agents and brokers)</t>
  </si>
  <si>
    <t>Grain and Field Beans (grain and field beans sold via retail method)</t>
  </si>
  <si>
    <t>Livestock (merchant wholesalers)</t>
  </si>
  <si>
    <t>Livestock (business to business electronic markets)</t>
  </si>
  <si>
    <t>Livestock (agents and brokers)</t>
  </si>
  <si>
    <t>Farm-Product Raw Materials, NEC (merchant wholesalers except those selling farm product raw materials, nec via retail method)</t>
  </si>
  <si>
    <t>Farm-Product Raw Materials, NEC (business to business electronic markets)</t>
  </si>
  <si>
    <t>Farm-Product Raw Materials, NEC (agents and brokers)</t>
  </si>
  <si>
    <t>Farm-Product Raw Materials, NEC (farm-product raw materials sold via retail method)</t>
  </si>
  <si>
    <t>Plastics Materials and Basic Forms and Shapes (merchant wholesalers except those selling plastics via retail method)</t>
  </si>
  <si>
    <t>Plastics Materials and Basic Forms and Shapes (business to business electronic markets)</t>
  </si>
  <si>
    <t>Plastics Materials and Basic Forms and Shapes (agents and brokers)</t>
  </si>
  <si>
    <t>Plastics Materials and Basic Forms and Shapes (plastics materials, forms, and basic shapes sold via retail method)</t>
  </si>
  <si>
    <t>Chemicals and Allied Products, NEC (merchant wholesalers)</t>
  </si>
  <si>
    <t>Chemicals and Allied Products, NEC (business to business electronic markets)</t>
  </si>
  <si>
    <t>Chemicals and Allied Products, NEC (agents and brokers)</t>
  </si>
  <si>
    <t>Petroleum Bulk Stations and Terminals (heating oil sold to final consumer)</t>
  </si>
  <si>
    <t>Petroleum Bulk Stations and Terminals (LP gas sold to final consumer)</t>
  </si>
  <si>
    <t>Petroleum and Petroleum Products Wholesalers, Except Bulk Stations and Terminals (merchant wholesalers)</t>
  </si>
  <si>
    <t>Petroleum and Petroleum Products Wholesalers, Except Bulk Stations and Terminals (business to business electronic markets)</t>
  </si>
  <si>
    <t>Petroleum and Petroleum Products Wholesalers, Except Bulk Stations and Terminals (agents and brokers)</t>
  </si>
  <si>
    <t>Beer and Ale (merchant wholesalers except those selling beer and ale via retail method)</t>
  </si>
  <si>
    <t>Beer and Ale (business to business electronic markets)</t>
  </si>
  <si>
    <t>Beer and Ale (agents and brokers)</t>
  </si>
  <si>
    <t>Beer and Ale (beer and ale sold via retail method)</t>
  </si>
  <si>
    <t>Wine and Distilled Alcoholic Beverages (merchant wholesalers except those selling wine and distilled beverages via retail method)</t>
  </si>
  <si>
    <t>Wine and Distilled Alcoholic Beverages (business to business electronic markets)</t>
  </si>
  <si>
    <t>Wine and Distilled Alcoholic Beverages (agents and brokers)</t>
  </si>
  <si>
    <t>Wine and Distilled Alcoholic Beverages (wine and distilled alcoholic beverages sold via retail method)</t>
  </si>
  <si>
    <t>Farm Supplies (merchant wholesalers except those selling lawn and garden supplies via retail method)</t>
  </si>
  <si>
    <t>Farm Supplies (business to business electronic markets)</t>
  </si>
  <si>
    <t>Farm Supplies (agents and brokers)</t>
  </si>
  <si>
    <t>Farm Supplies (lawn and garden supplies sold via retail method)</t>
  </si>
  <si>
    <t>Books, Periodicals, and Newspapers (merchant wholesalers except those selling publications via retail method)</t>
  </si>
  <si>
    <t>Books, Periodicals, and Newspapers (business to business electronic markets)</t>
  </si>
  <si>
    <t>Books, Periodicals, and Newspapers (agents and brokers)</t>
  </si>
  <si>
    <t>Books, Periodicals, and Newspapers (sold via retail method)</t>
  </si>
  <si>
    <t>Flowers, Nursery Stock, and Florists’ Supplies (merchant wholesalers except those selling nursery stock via retail method)</t>
  </si>
  <si>
    <t>Flowers, Nursery Stock, and Florists’ Supplies (business to business electronic markets)</t>
  </si>
  <si>
    <t>Flowers, Nursery Stock, and Florists’ Supplies (agents and brokers)</t>
  </si>
  <si>
    <t>Flowers, Nursery Stock, and Florists’ Supplies (sold via retail method)</t>
  </si>
  <si>
    <t>Tobacco and Tobacco Products (merchant wholesalers except those selling tobacco and tobacco products via retail method)</t>
  </si>
  <si>
    <t>Tobacco and Tobacco Products (business to business electronic markets)</t>
  </si>
  <si>
    <t>Tobacco and Tobacco Products (agents and brokers)</t>
  </si>
  <si>
    <t>Tobacco and Tobacco Products (sold via retail method)</t>
  </si>
  <si>
    <t xml:space="preserve">Paints, Varnishes, and Supplies (merchant wholesalers) </t>
  </si>
  <si>
    <t>Paints, Varnishes, and Supplies  (business to business electronic markets)</t>
  </si>
  <si>
    <t xml:space="preserve">Paints, Varnishes, and Supplies (agents and brokers) </t>
  </si>
  <si>
    <t>Nondurable Goods, NEC (merchant wholesalers of yarns, except industrial)</t>
  </si>
  <si>
    <t>Nondurable Goods, NEC (merchant wholesalers of footwear cutstock)</t>
  </si>
  <si>
    <t>Nondurable Goods, NEC (merchant wholesalers of plastics foam)</t>
  </si>
  <si>
    <t>Nondurable Goods, NEC (merchant wholesalers except advertising specialties goods distributors, wholesaling footwear cutstock, wholesaling plastics foam, wholesaling industrial yarns and merchant wholesalers selling miscellaneous nondurable goods via the retail method)</t>
  </si>
  <si>
    <t>Nondurable Goods, NEC (business to business electronic markets)</t>
  </si>
  <si>
    <t>Nondurable Goods, NEC (agents and brokers)</t>
  </si>
  <si>
    <t>Nondurable Goods, NEC (curios, statuary, gifts, novelties, and souvenirs sold via retail method)</t>
  </si>
  <si>
    <t>Nondurable Goods, NEC (pets, pet supplies and tropical fish sold via retail method)</t>
  </si>
  <si>
    <t>Nondurable Goods, NEC (smokers' supplies sold via retail method)</t>
  </si>
  <si>
    <t>Nondurable Goods, NEC (advertising specialties goods distributors)</t>
  </si>
  <si>
    <t>Lumber and Other Building Materials Dealers (home center stores)</t>
  </si>
  <si>
    <t>Lumber and Other Building Materials Dealers (except home center stores)</t>
  </si>
  <si>
    <t>Paint, Glass, and Wallpaper Stores (except glass)</t>
  </si>
  <si>
    <t>Paint, Glass, and Wallpaper Stores (glass)</t>
  </si>
  <si>
    <t>Retail Nurseries, Lawn and Garden Supply Stores (outdoor power equipment)</t>
  </si>
  <si>
    <t>Retail Nurseries, Lawn and Garden Supply Stores (except outdoor power equipment)</t>
  </si>
  <si>
    <t>Mobile Home Dealers</t>
  </si>
  <si>
    <t>Department Stores (except discount department stores and supercenters-general merchandise and groceries)</t>
  </si>
  <si>
    <t>Department Stores (discount department stores)</t>
  </si>
  <si>
    <t>Variety Stores</t>
  </si>
  <si>
    <t>Miscellaneous General Merchandise Stores (warehouse clubs and supermarket/general merchandise combination)</t>
  </si>
  <si>
    <t>Miscellaneous General Merchandise Stores (except warehouse club and supermarket/general merchandise combination)</t>
  </si>
  <si>
    <t>Grocery Stores (except convenience stores, freezer plans, and grocery stores with substantial general merchandise)</t>
  </si>
  <si>
    <t>Grocery Stores (convenience stores without gas)</t>
  </si>
  <si>
    <t>Grocery Stores (convenience store with gas)</t>
  </si>
  <si>
    <t>Grocery Stores (grocery stores and supermarkets selling substantial amounts of nonfood items)</t>
  </si>
  <si>
    <t>Grocery Stores (frozen food and freezer plan providers)</t>
  </si>
  <si>
    <t>Meat and Fish (Seafood) Markets, Including Freezer Provisioners (meat except freezer provisioners)</t>
  </si>
  <si>
    <t>Meat and Fish (Seafood) Markets, Including Freezer Provisioners (seafood)</t>
  </si>
  <si>
    <t>Meat and Fish (Seafood) Markets, Including Freezer Provisioners (freezer provisioners)</t>
  </si>
  <si>
    <t>Fruit and Vegetable Markets (except temporary fruit and vegetable stands)</t>
  </si>
  <si>
    <t>Fruit and Vegetable Markets (temporary fruit and vegetable stands)</t>
  </si>
  <si>
    <t>Candy, Nut, and Confectionery Stores (chocolate candy stores, preparing on premises)</t>
  </si>
  <si>
    <t>Candy, Nut, and Confectionery Stores (nonchocolate candy stores, preparing on premises)</t>
  </si>
  <si>
    <t>Candy, Nut, and Confectionery Stores (except stores preparing candy on premises)</t>
  </si>
  <si>
    <t>Dairy Products Stores</t>
  </si>
  <si>
    <t>Retail Bakeries (bread, cake and related products baked and sold on premise)</t>
  </si>
  <si>
    <t>Retail Bakeries (selling only)</t>
  </si>
  <si>
    <t>Retail Bakeries (snacks)</t>
  </si>
  <si>
    <t>Miscellaneous Food Stores (poultry and poultry products)</t>
  </si>
  <si>
    <t>Miscellaneous Food Stores (except food supplement stores and  poultry stores)</t>
  </si>
  <si>
    <t>Miscellaneous Food Stores (food supplements)</t>
  </si>
  <si>
    <t>Motor Vehicle Dealers (New and Used)</t>
  </si>
  <si>
    <t>Motor Vehicle Dealers (Used Only)</t>
  </si>
  <si>
    <t>Auto and Home Supply Stores (auto supply stores)</t>
  </si>
  <si>
    <t>Auto and Home Supply Stores (tires and tubes)</t>
  </si>
  <si>
    <t>Auto and Home Supply Stores (other auto and home supply stores)</t>
  </si>
  <si>
    <t>Gasoline Service Station (gasoline station with convenience store)</t>
  </si>
  <si>
    <t>Gasoline Service Station (gasoline station without convenience store)</t>
  </si>
  <si>
    <t xml:space="preserve">Boat Dealers </t>
  </si>
  <si>
    <t>Motorcycle Dealers</t>
  </si>
  <si>
    <t>Automotive Dealers, NEC</t>
  </si>
  <si>
    <t>Men's and Boys' Clothing and Accessory Stores (clothing stores)</t>
  </si>
  <si>
    <t>Men’s and Boys’ Clothing and Accessory Stores (accessories)</t>
  </si>
  <si>
    <t>Women's Clothing Stores (except dress shops and bridal shops)</t>
  </si>
  <si>
    <t>Women's Clothing Stores (dress shops and bridal shops)</t>
  </si>
  <si>
    <t>Women's Accessory and Specialty Stores (accessories)</t>
  </si>
  <si>
    <t>Women’s Accessory and Specialty Stores (specialty stores)</t>
  </si>
  <si>
    <t>Children's and Infants’ Wear Stores</t>
  </si>
  <si>
    <t>Miscellaneous Apparel and Accessory Stores (custom tailors)</t>
  </si>
  <si>
    <t>Miscellaneous Apparel and Accessory Stores (custom dressmakers)</t>
  </si>
  <si>
    <t>Miscellaneous Apparel and Accessory Stores (accessories)</t>
  </si>
  <si>
    <t>Miscellaneous Apparel and Accessory Stores (miscellaneous apparel except accessories and custom tailors)</t>
  </si>
  <si>
    <t>Furniture Stores (custom wood cabinets)</t>
  </si>
  <si>
    <t>Furniture  Stores (custom made upholstered household furniture)</t>
  </si>
  <si>
    <t>Furniture Stores (custom made nonupholstered wood household furniture except cabinets)</t>
  </si>
  <si>
    <t>Furniture Stores (except custom furniture and cabinets)</t>
  </si>
  <si>
    <t>Floor Coverings Stores</t>
  </si>
  <si>
    <t>Drapery, Curtain, and Upholstery Stores (custom drapes)</t>
  </si>
  <si>
    <t>Drapery, Curtain, and Upholstery Stores (custom slipcovers)</t>
  </si>
  <si>
    <t>Drapery, Curtain, and Upholstery Stores (drapery and curtain stores except primarily custom)</t>
  </si>
  <si>
    <t>Drapery, Curtain, and Upholstery Stores (upholstery materials)</t>
  </si>
  <si>
    <t>Miscellaneous Homefurnishings Stores (manufacturing and selling pottery on site)</t>
  </si>
  <si>
    <t>Miscellaneous Homefurnishings Stores (blinds and shades)</t>
  </si>
  <si>
    <t xml:space="preserve">Miscellaneous Homefurnishings Stores (except pottery and crafts made and sold on site and  window furnishings) </t>
  </si>
  <si>
    <t>Radio, Television, and Consumer Electronics Stores (automobile radios)</t>
  </si>
  <si>
    <t>Radio, Television, and Consumer Electronics Stores (except automobile radios)</t>
  </si>
  <si>
    <t>Computer and Computer Software Stores</t>
  </si>
  <si>
    <t>Record and Prerecorded Tape Stores</t>
  </si>
  <si>
    <t>Musical Instruments Stores</t>
  </si>
  <si>
    <t>Eating Places (dinner theaters)</t>
  </si>
  <si>
    <t>Eating Places (full-service restaurants)</t>
  </si>
  <si>
    <t>Eating Places (limited-service restaurants)</t>
  </si>
  <si>
    <t>Eating Places (cafeterias)</t>
  </si>
  <si>
    <t>Eating Places (snack and nonalcoholic beverage bars)</t>
  </si>
  <si>
    <t>Eating Places (food service contractors)</t>
  </si>
  <si>
    <t>Eating Places (caterers)</t>
  </si>
  <si>
    <t>Drug Stores and Proprietary Stores</t>
  </si>
  <si>
    <t>Liquor Stores</t>
  </si>
  <si>
    <t>Used Merchandise Stores (except pawn shops)</t>
  </si>
  <si>
    <t>Used Merchandise Stores (pawnshops)</t>
  </si>
  <si>
    <t>Sporting Goods Stores and Bicycle Shops</t>
  </si>
  <si>
    <t>Stationery Stores</t>
  </si>
  <si>
    <t>Camera and Photographic Supply Stores</t>
  </si>
  <si>
    <t>Gift, Novelty, and Souvenir Shops</t>
  </si>
  <si>
    <t>Catalog and Mail-Order Houses (electronic shopping web sites)</t>
  </si>
  <si>
    <t>Catalog and Mail-Order Houses (electronic auctions)</t>
  </si>
  <si>
    <t>Catalog and Mail-Order Houses (mail-order houses)</t>
  </si>
  <si>
    <t>Automatic Merchandise Machine Operators</t>
  </si>
  <si>
    <t>Direct Selling Establishments (except mobile food services and food wagons)</t>
  </si>
  <si>
    <t>Direct Selling Establishments (mobile food services and food wagons)</t>
  </si>
  <si>
    <t>Fuel Oil Dealers</t>
  </si>
  <si>
    <t>Liquefied Petroleum Gas (Bottled Gas) Dealers</t>
  </si>
  <si>
    <t>Fuel Dealers, NEC</t>
  </si>
  <si>
    <t>Tobacco Stores and Stands</t>
  </si>
  <si>
    <t xml:space="preserve">News Dealers and Newsstands </t>
  </si>
  <si>
    <t>Optical Goods Stores (optical laboratories grinding lenses to prescription)</t>
  </si>
  <si>
    <t>Optical Goods Stores (except  labs grinding prescription lenses)</t>
  </si>
  <si>
    <t>Miscellaneous Retail Stores, NEC (manufacture of orthopedic devices to prescription in a retail environment)</t>
  </si>
  <si>
    <t>Miscellaneous Retail Stores, NEC (typewriters and telephones)</t>
  </si>
  <si>
    <t>Miscellaneous Retail Stores, NEC (cosmetics and perfumes)</t>
  </si>
  <si>
    <t>Miscellaneous Retail Stores, NEC (hearing aids and artificial limbs)</t>
  </si>
  <si>
    <t>Miscellaneous Retail Stores, NEC (pet and pet supplies)</t>
  </si>
  <si>
    <t>Miscellaneous Retail Stores, NEC  (art dealer)</t>
  </si>
  <si>
    <t>Miscellaneous Retail Stores, NEC  (except art dealers, pet and pet supplies, hearing aids, artificial limbs, cosmetics, telephones, sunglasses, manufacture of orthopedic devices to prescription in a retail environment, and typewriters)</t>
  </si>
  <si>
    <t>Federal Reserve Banks</t>
  </si>
  <si>
    <t>Central Reserve Depository Institutions, NEC</t>
  </si>
  <si>
    <t>National Commercial Banks (banking)</t>
  </si>
  <si>
    <t>National Commercial Banks (credit card issuing)</t>
  </si>
  <si>
    <t>State Commercial Banks (commercial banking)</t>
  </si>
  <si>
    <t>State Commercial Banks (private and industrial banking)</t>
  </si>
  <si>
    <t>State Commercial Banks (credit card issuing)</t>
  </si>
  <si>
    <t xml:space="preserve">Commercial Banks, NEC </t>
  </si>
  <si>
    <t>Savings Institutions, Federally Chartered</t>
  </si>
  <si>
    <t>Savings Institutions, Not Federally Chartered</t>
  </si>
  <si>
    <t>Credit Unions, Federally Chartered</t>
  </si>
  <si>
    <t>Credit Unions, Not Federally Chartered</t>
  </si>
  <si>
    <t>Branches and Agencies of Foreign Banks (branches)</t>
  </si>
  <si>
    <t>Branches and Agencies of Foreign Banks (international trade financing)</t>
  </si>
  <si>
    <t>Branches and Agencies of Foreign Banks (agencies, except international trade financing)</t>
  </si>
  <si>
    <t>Foreign Trade and International Banking Institutions (international trade financing)</t>
  </si>
  <si>
    <t>Foreign Trade and International Banking Institutions (except international trade financing)</t>
  </si>
  <si>
    <t xml:space="preserve">Nondeposit Trust Facilities </t>
  </si>
  <si>
    <t>Functions Related to Depository Banking, NEC (electronic funds transfer networks and clearinghouse associations)</t>
  </si>
  <si>
    <t>Functions Related to Depository Banking, NEC (except electronic funds transfer networks and clearinghouses, foreign currency exchanges, escrow and fiduciary agencies and deposit brokers)</t>
  </si>
  <si>
    <t>Functions Related to Depository Banking, NEC  (foreign currency exchange)</t>
  </si>
  <si>
    <t>Functions Related to Depository Banking, NEC  (escrow and fiduciary agencies)</t>
  </si>
  <si>
    <t>Federal and Federally-Sponsored Credit Agencies (trade banks)</t>
  </si>
  <si>
    <t>Federal and Federally Sponsored Credit Agencies (secondary market financing)</t>
  </si>
  <si>
    <t>Federal and Federally-Sponsored Credit Agencies (except trade banks, secondary market financing and Federal Land Banks)</t>
  </si>
  <si>
    <t>Personal Credit Institutions (credit card issuing)</t>
  </si>
  <si>
    <t>Personal Credit Institutions (installment sales finance)</t>
  </si>
  <si>
    <t>Personal Credit Institutions (except installment sales finance, industrial nondeposit banks, and credit card issuing)</t>
  </si>
  <si>
    <t>Personal Credit Institutions (industrial nondeposit banks)</t>
  </si>
  <si>
    <t>Short-Term Business Credit Institutions, Except Agricultural (credit card issuing)</t>
  </si>
  <si>
    <t>Short-Term Business Credit Institutions, Except Agricultural (business sales finance).</t>
  </si>
  <si>
    <t>Short Term Business Credit Institutions, Except Agricultural (short term inventory credit and purchasing accounts receivable)</t>
  </si>
  <si>
    <t>Short-Term Business Credit Institutions, Except Agricultural (credit card service)</t>
  </si>
  <si>
    <t>Short-Term Business Credit Institutions, Except Agricultural (except credit card service and issuing, short term inventory credit, purchasing accounts receivable, and business sales finance)</t>
  </si>
  <si>
    <t>Miscellaneous Business Credit Institutions (finance leasing combined with sales financing)</t>
  </si>
  <si>
    <t>Miscellaneous Business Credit Institutions (farm mortgage companies)</t>
  </si>
  <si>
    <t>Miscellaneous Business Credit Institutions (trade banks)</t>
  </si>
  <si>
    <t>Miscellaneous Business Credit Institutions (secondary market financing)</t>
  </si>
  <si>
    <t>Miscellaneous Business Credit Institutions (except trade banks, farm mortgage companies, secondary market financing, and finance leasing combined with sales financing)</t>
  </si>
  <si>
    <t>Mortgage Bankers and Loan Correspondents (mortgage bankers and originators)</t>
  </si>
  <si>
    <t>Mortgage Bankers and Loan Correspondents (mortgage  servicing)</t>
  </si>
  <si>
    <t>Loan Brokers</t>
  </si>
  <si>
    <t>Security Brokers, Dealers, and Flotation Companies (security dealers and underwriters)</t>
  </si>
  <si>
    <t>Security Brokers, Dealers, and Flotation Companies (security brokers, note brokers)</t>
  </si>
  <si>
    <t>Security Brokers, Dealers, and Flotation Companies (except security dealers and underwriters, and security, oil lease, and gas lease brokers)</t>
  </si>
  <si>
    <t>Security Brokers, Dealers, and Flotation Companies (oil lease and gas lease brokers offices)</t>
  </si>
  <si>
    <t>Commodity Contracts Brokers and Dealers (commodity dealers)</t>
  </si>
  <si>
    <t>Commodity Contracts Brokers and Dealers (commodity brokers)</t>
  </si>
  <si>
    <t>Security and Commodity Exchanges</t>
  </si>
  <si>
    <t>Investment Advice (portfolio managers)</t>
  </si>
  <si>
    <t>Investment Advice (except portfolio managers)</t>
  </si>
  <si>
    <t>Services Allied With the Exchange of Securities or Commodities, NEC (security custodians)</t>
  </si>
  <si>
    <t>Services Allied With the Exchange of Securities or Commodities, NEC (except security custodians)</t>
  </si>
  <si>
    <t>Life Insurance (life insurers-direct)</t>
  </si>
  <si>
    <t>Life Insurance (burial insurance)</t>
  </si>
  <si>
    <t>Life Insurance (reinsurers)</t>
  </si>
  <si>
    <t>Accident and Health Insurance (disability insurers-direct)</t>
  </si>
  <si>
    <t>Accident and Health Insurance (health and medical insurers-direct)</t>
  </si>
  <si>
    <t>Accident and Health Insurance (reinsurers)</t>
  </si>
  <si>
    <t>Accident and Health Insurance (self insurers)</t>
  </si>
  <si>
    <t>Hospital and Medical Service Plans (health and medical insurers-direct)</t>
  </si>
  <si>
    <t>Hospital and Medical Service Plans (reinsurers)</t>
  </si>
  <si>
    <t>Hospital and Medical Service Plans (self insurers)</t>
  </si>
  <si>
    <t>Fire, Marine, and Casualty Insurance (fire, marine, and casualty insurers-direct, except contact lens insurance)</t>
  </si>
  <si>
    <t>Fire, Marine, and Casualty Insurance (contact lens insurance)</t>
  </si>
  <si>
    <t>Fire, Marine, and Casualty Insurance (reinsurers)</t>
  </si>
  <si>
    <t>Fire, Marine, and Casualty Insurance (self insurers)</t>
  </si>
  <si>
    <t>Surety Insurance (financial responsibility insurers-direct)</t>
  </si>
  <si>
    <t>Surety Insurance (warranty insurance, home)</t>
  </si>
  <si>
    <t>Surety Insurance (reinsurers)</t>
  </si>
  <si>
    <t>Title Insurance (title insurers-direct)</t>
  </si>
  <si>
    <t>Title Insurance (reinsurers)</t>
  </si>
  <si>
    <t>Pension, Health, and Welfare Funds (managers)</t>
  </si>
  <si>
    <t>Pension, Health, and Welfare Funds (administrators)</t>
  </si>
  <si>
    <t>Pension, Health, and Welfare Funds (pension funds)</t>
  </si>
  <si>
    <t>Pension, Health, and Welfare Funds (health and welfare funds)</t>
  </si>
  <si>
    <t>Pension, Health, and Welfare Funds (profit sharing funds)</t>
  </si>
  <si>
    <t>Insurance Carriers, NEC</t>
  </si>
  <si>
    <t>Insurance Agents, Brokers, and Service (insurance agents and brokers)</t>
  </si>
  <si>
    <t>Insurance Agents, Brokers, and Service (insurance claims adjusters)</t>
  </si>
  <si>
    <t>Insurance Agents, Brokers, and Service (processors)</t>
  </si>
  <si>
    <t>Insurance Agents, Brokers, and Service (except processors, agents and brokers, and claims adjusters)</t>
  </si>
  <si>
    <t>Operators of Nonresidential Buildings (except stadium and arena owners)</t>
  </si>
  <si>
    <t>Operators of Nonresidential Buildings (stadium and arena owners)</t>
  </si>
  <si>
    <t>Operators of Apartment Buildings</t>
  </si>
  <si>
    <t>Operators of Dwellings Other Than Apartment Buildings</t>
  </si>
  <si>
    <t>Operators of Residential Mobile Home Sites</t>
  </si>
  <si>
    <t>Lessors of Railroad Property</t>
  </si>
  <si>
    <t>Lessors of Real Property, NEC</t>
  </si>
  <si>
    <t>Real Estate Agents and Managers (operating housing authorities)</t>
  </si>
  <si>
    <t>Real Estate Agents and Managers (agents and brokers)</t>
  </si>
  <si>
    <t>Real Estate Agents and Managers (residential property managers)</t>
  </si>
  <si>
    <t>Real Estate Agents and Managers (nonresidential property managers)</t>
  </si>
  <si>
    <t>Real Estate Agents and Managers (appraisers)</t>
  </si>
  <si>
    <t>Real Estate Agents and Managers (except property managers, condominium associations, cemetery management, agents and brokers, operating housing authorities, and appraisers)</t>
  </si>
  <si>
    <t>Real Estate Agents and Managers (cemetery management)</t>
  </si>
  <si>
    <t>Real Estate Agents and Managers (condominium associations)</t>
  </si>
  <si>
    <t>Title Abstract Offices</t>
  </si>
  <si>
    <t>Land Subdividers and Developers, Except Cemeteries</t>
  </si>
  <si>
    <t>Cemetery Subdividers and Developers</t>
  </si>
  <si>
    <t>Offices of Holding Companies, NEC</t>
  </si>
  <si>
    <t xml:space="preserve">Management Investment Offices, Open-End </t>
  </si>
  <si>
    <t>Unit Investment Trusts, Face-Amount Certificate Offices, and Closed-End Management Investment Offices</t>
  </si>
  <si>
    <t>Educational, Religious, and Charitable Trusts</t>
  </si>
  <si>
    <t>Trusts, Except Educational, Religious, and Charitable (managers)</t>
  </si>
  <si>
    <t>Trusts, Except Educational, Religious, and Charitable (administrators of private estates)</t>
  </si>
  <si>
    <t>Trusts, Except Educational, Religious, and Charitable (vacation funds for employees)</t>
  </si>
  <si>
    <t>Trusts, Except Educational, Religious, and Charitable (personal trusts, estates, and agency accounts)</t>
  </si>
  <si>
    <t>Oil Royalty Traders (investing on own account)</t>
  </si>
  <si>
    <t>Oil Royalty Traders (oil and gas royalty leasing)</t>
  </si>
  <si>
    <t>Patent Owners and Lessors</t>
  </si>
  <si>
    <t>Real Estate Investment Trusts</t>
  </si>
  <si>
    <t>Investors, NEC (commodity contract trading companies)</t>
  </si>
  <si>
    <t>Investors, NEC (venture capital companies, investment clubs, and speculators for own account)</t>
  </si>
  <si>
    <t>Investors, NEC (commodity contract pool operators)</t>
  </si>
  <si>
    <t>Hotels and Motels (casino hotels)</t>
  </si>
  <si>
    <t>Hotels and Motels (bed and breakfast inns)</t>
  </si>
  <si>
    <t>Hotels and Motels (except hotels, motels, and bed and breakfast inns)</t>
  </si>
  <si>
    <t>Rooming and Boarding Houses</t>
  </si>
  <si>
    <t>Sporting and Recreational Camps</t>
  </si>
  <si>
    <t>Recreational Vehicle Parks and Campsites</t>
  </si>
  <si>
    <t>Organization Hotels and Lodging Houses, on Membership Basis (hotels)</t>
  </si>
  <si>
    <t>Organization Hotels and Lodging Houses, on Membership Basis (except hotels)</t>
  </si>
  <si>
    <t>Power Laundries, Family and Commercial</t>
  </si>
  <si>
    <t>Garment Pressing, and Agents for Laundries and Drycleaners</t>
  </si>
  <si>
    <t xml:space="preserve">Coin-Operated Laundry and Drycleaning </t>
  </si>
  <si>
    <t>Carpet and Upholstery Cleaning</t>
  </si>
  <si>
    <t>Laundry and Garment Services, NEC (alteration and repair)</t>
  </si>
  <si>
    <t>Laundry and Garment Services, NEC (except diaper service and clothing alteration and repair)</t>
  </si>
  <si>
    <t>Laundry and Garment Services, NEC (diaper service)</t>
  </si>
  <si>
    <t>Photographic Studios, Portrait</t>
  </si>
  <si>
    <t>Beauty Shops (beauty and cosmetology schools)</t>
  </si>
  <si>
    <t>Beauty Shops (except beauty and cosmetology schools and manicure and pedicure salons)</t>
  </si>
  <si>
    <t>Beauty Shops (manicure and pedicure salons)</t>
  </si>
  <si>
    <t>Barber Shops (barber colleges)</t>
  </si>
  <si>
    <t>Barber Shops (except barber colleges)</t>
  </si>
  <si>
    <t>Shoe Repair Shops and Shoeshine Parlors (shoe repair shops)</t>
  </si>
  <si>
    <t>Shoe Repair Shops and Shoeshine Parlors (hatcleaning and blocking shops)</t>
  </si>
  <si>
    <t>Shoe Repair Shops and Shoeshine Parlors (shoeshine parlors)</t>
  </si>
  <si>
    <t>Funeral Services and Crematories (funeral homes and services)</t>
  </si>
  <si>
    <t>Funeral Services and Crematories (crematories)</t>
  </si>
  <si>
    <t>Tax Return Preparation Services</t>
  </si>
  <si>
    <t>Miscellaneous Personal Services, NEC (formal wear and costume rental)</t>
  </si>
  <si>
    <t>Miscellaneous Personal Services, NEC (consumer credit and debt counseling services)</t>
  </si>
  <si>
    <t>Miscellaneous Personal Services, NEC (babysitting bureaus)</t>
  </si>
  <si>
    <t>Miscellaneous Personal Services, NEC (consumer bartering services)</t>
  </si>
  <si>
    <t>Miscellaneous Personal Services, NEC (diet and weight reducing services)</t>
  </si>
  <si>
    <t>Miscellaneous Personal Services, NEC (personal care services)</t>
  </si>
  <si>
    <t>Miscellaneous Personal Services, NEC (valet parking services)</t>
  </si>
  <si>
    <t>Miscellaneous Personal Services, NEC (except diet and weight reducing services, personal care services, valet parking services, babysitting bureaus, debt and credit counseling, consumer bartering services, and formal wear and costume rental)</t>
  </si>
  <si>
    <t>Outdoor Advertising Services</t>
  </si>
  <si>
    <t>Radio, Television, and Publishers’ Advertising Representatives</t>
  </si>
  <si>
    <t>Advertising, NEC (using general purpose aircraft for aerial advertising and a variety of other services)</t>
  </si>
  <si>
    <t>Advertising, NEC (media buying services)</t>
  </si>
  <si>
    <t>Advertising, NEC (display advertising, aerial advertising using special purpose aircraft, such as blimps)</t>
  </si>
  <si>
    <t>Advertising, NEC (advertising materials distributor)</t>
  </si>
  <si>
    <t>Advertising, NEC (except media buying, display advertising, except outdoor; and advertising material distributors)</t>
  </si>
  <si>
    <t>Adjustment and Collection Services</t>
  </si>
  <si>
    <t>Credit Reporting Services</t>
  </si>
  <si>
    <t>Direct Mail Advertising Services (mailing list compilers)</t>
  </si>
  <si>
    <t>Direct Mail Advertising Services (except mailing list compilers)</t>
  </si>
  <si>
    <t>Photocopying and Duplicating Services (quick printing)</t>
  </si>
  <si>
    <t>Photocopying and Duplicating Services (except quick printing)</t>
  </si>
  <si>
    <t>Commercial Photography (using general purpose aircraft for aerial photography and a variety of other services)</t>
  </si>
  <si>
    <t>Commercial Photography (except using general purpose aircraft for aerial photography and a variety of other services)</t>
  </si>
  <si>
    <t>Commercial Art and Graphic Design</t>
  </si>
  <si>
    <t>Secretarial and Court Reporting (secretarial services)</t>
  </si>
  <si>
    <t>Secretarial and Court Reporting (court reporting services)</t>
  </si>
  <si>
    <t>Disinfecting and Pest Control Services (exterminating and pest control)</t>
  </si>
  <si>
    <t>Disinfecting and Pest Control Services (except exterminating and pest control)</t>
  </si>
  <si>
    <t>Building Cleaning and Maintenance Services, NEC (janitorial services)</t>
  </si>
  <si>
    <t>Building Cleaning and Maintenance Services, NEC (services to buildings and dwellings, except janitorial services)</t>
  </si>
  <si>
    <t>Medical Equipment Rental and Leasing (home health furniture and equipment rental and leasing)</t>
  </si>
  <si>
    <t>Medical Equipment Rental and Leasing (medical machinery and equipment, except home health furniture and equipment, rental and leasing)</t>
  </si>
  <si>
    <t>Heavy Construction Equipment Rental and Leasing (rental of construction equipment [except cranes] with operator)</t>
  </si>
  <si>
    <t>Heavy Construction Equipment Rental and Leasing (crane rental with operator)</t>
  </si>
  <si>
    <t>Heavy Construction Equipment Rental and Leasing (heavy construction equipment rental without operators)</t>
  </si>
  <si>
    <t>Equipment Rental and Leasing, NEC (appliances; TVs, VCRs, and other consumer electronic equipment rental)</t>
  </si>
  <si>
    <t>Equipment Rental and Leasing, NEC (except aircraft; industrial truck and equipment; TV, VCR, and other consumer electronic equipment; appliances; general rental centers; portable toilets; office machines; oil field and oil well drilling equipment; and home and garden equipment rental and leasing)</t>
  </si>
  <si>
    <t>Equipment Rental and Leasing, NEC (general rental centers and home and garden equipment rental centers)</t>
  </si>
  <si>
    <t>Equipment Rental and Leasing, NEC (aircraft rental and leasing)</t>
  </si>
  <si>
    <t>Equipment Rental and Leasing, NEC (oil field and well drilling equipment)</t>
  </si>
  <si>
    <t>Equipment Rental and Leasing, NEC (office machine rental and leasing)</t>
  </si>
  <si>
    <t>Equipment Rental and Leasing, NEC (industrial truck and equipment rental and leasing)</t>
  </si>
  <si>
    <t>Equipment Rental and Leasing, NEC (portable toilet rental)</t>
  </si>
  <si>
    <t>Employment Agencies (executive placement services)</t>
  </si>
  <si>
    <t>Employment Agencies (except executive placement services)</t>
  </si>
  <si>
    <t>Help Supply Services (temporary help services)</t>
  </si>
  <si>
    <t>Help Supply Services (employee leasing services, professional employer organizations)</t>
  </si>
  <si>
    <t>Computer Programming Services</t>
  </si>
  <si>
    <t>Prepackaged Software (mass reproduction of software)</t>
  </si>
  <si>
    <t>Prepackaged Software (software publishing)</t>
  </si>
  <si>
    <t>Computer Integrated Systems Design</t>
  </si>
  <si>
    <t>Computer Processing and Data Preparation and Processing Services</t>
  </si>
  <si>
    <t>Information Retrieval Services (Internet service providers and Internet access providers)</t>
  </si>
  <si>
    <t>Computer Rental and Leasing</t>
  </si>
  <si>
    <t>Computer Maintenance and Repair (sales locations providing supporting repair services as major source of receipts)</t>
  </si>
  <si>
    <t>Computer Maintenance and Repair (except sales locations providing supporting repair services as major source of revenue)</t>
  </si>
  <si>
    <t>Computer Related Services, NEC (disk conversion services)</t>
  </si>
  <si>
    <t>Computer Related Services, NEC (computer systems consultants)</t>
  </si>
  <si>
    <t>Computer Related Services, NEC (except computer systems consultants and disk conversion services)</t>
  </si>
  <si>
    <t>Detective, Guard, and Armored Car Services (detective services)</t>
  </si>
  <si>
    <t>Detective, Guard, and Armored Car Services (guard services)</t>
  </si>
  <si>
    <t>Detective, Guard, and Armored Car Services (armored car services)</t>
  </si>
  <si>
    <t>Security Systems Services</t>
  </si>
  <si>
    <t>News Syndicates (except independent news correspondents)</t>
  </si>
  <si>
    <t>News Syndicates (independent news correspondents)</t>
  </si>
  <si>
    <t>Photofinishing Laboratories (except one-hour)</t>
  </si>
  <si>
    <t>Photofinishing Laboratories (one-hour)</t>
  </si>
  <si>
    <t>Business Services, NEC (tobacco sheeting service)</t>
  </si>
  <si>
    <t>Business Services, NEC (sponging, shrinking, etc. fabric for tailors and dress makers, batik work)</t>
  </si>
  <si>
    <t>Business Services, NEC (embroidery of advertising on shirts and rug binding for the trade)</t>
  </si>
  <si>
    <t>Business Services, NEC (aerosol packaging, solvent recovery service-contract)</t>
  </si>
  <si>
    <t>Business Services, NEC (yacht brokers)</t>
  </si>
  <si>
    <t>Business Services, NEC (driving services, e.g., auto or truck delivery and pilot car services)</t>
  </si>
  <si>
    <t>Business Services, NEC (post office contract stations)</t>
  </si>
  <si>
    <t>Business Services, NEC (recording studios)</t>
  </si>
  <si>
    <t>Business Services, NEC (audio taping services)</t>
  </si>
  <si>
    <t>Business Services, NEC (microfilm services)</t>
  </si>
  <si>
    <t>Business Services, NEC (press clipping services and stock photo agencies)</t>
  </si>
  <si>
    <t>Business Services, NEC (credit card and check validation service)</t>
  </si>
  <si>
    <t>Business Services, NEC (process services, patent agents, notaries public, paralegal services )</t>
  </si>
  <si>
    <t xml:space="preserve">Business Services, NEC (drafting service) </t>
  </si>
  <si>
    <t>Business Services, NEC (home and building inspection services)</t>
  </si>
  <si>
    <t>Business Services, NEC (map making services)</t>
  </si>
  <si>
    <t>Business Services, NEC (interior design)</t>
  </si>
  <si>
    <t>Business Services, NEC (industrial design)</t>
  </si>
  <si>
    <t>Business Services, NEC (fashion, furniture, and other design services)</t>
  </si>
  <si>
    <t>Business Services, NEC (distribution of telephone directories on a fee or contract basis)</t>
  </si>
  <si>
    <t>Business Services, NEC (sign painting and lettering, showcard painting, mannequin decorating service and other advertising related business services)</t>
  </si>
  <si>
    <t>Business Services, NEC (translation and interpretation services)</t>
  </si>
  <si>
    <t>Business Services (appraisers except insurance and real estate, outplacement services, and miscellaneous professional, scientific, and technical services)</t>
  </si>
  <si>
    <t>Business Services, NEC (radio transcription services)</t>
  </si>
  <si>
    <t>Business Services, NEC (telephone answering services)</t>
  </si>
  <si>
    <t>Business Services, NEC (telemarketing bureaus and telephone soliciting)</t>
  </si>
  <si>
    <t>Business Services, NEC (private mail centers and mailbox rental)</t>
  </si>
  <si>
    <t>Business Services, NEC (other business service centers, except private mail centers and mailbox rental)</t>
  </si>
  <si>
    <t>Business Services, NEC (tax collection for federal, state, or local agencies)</t>
  </si>
  <si>
    <t>Business Services, NEC (recovery and repossession services)</t>
  </si>
  <si>
    <t>Business Services, NEC (business support services except telephone answering, telemarketing bureaus, private mail centers and repossession services)</t>
  </si>
  <si>
    <t>Business Services, NEC (convention and visitors bureaus, tourist information bureaus)</t>
  </si>
  <si>
    <t>Business Services, NEC (reservation systems for hotels, restaurants, and time-share condominium exchanges)</t>
  </si>
  <si>
    <t>Business Services, NEC (swimming pool cleaning and maintenance)</t>
  </si>
  <si>
    <t>Business Services, NEC (packaging and labeling services)</t>
  </si>
  <si>
    <t>Business Services, NEC (convention and trade show services)</t>
  </si>
  <si>
    <t>Business Services, NEC (other support services except packaging and labeling, convention and trade shows services, convention and visitor bureaus, tourist information bureaus)</t>
  </si>
  <si>
    <t>Business Services, NEC (promoters of air shows, heritage festivals, and ethnic festivals with facilities)</t>
  </si>
  <si>
    <t>Business Services, NEC (promoters of air shows, heritage festivals, and ethnic festivals without facilities)</t>
  </si>
  <si>
    <t>Business Services, NEC (agents and brokers for authors and artists and speaker bureaus)</t>
  </si>
  <si>
    <t>Business Services, NEC (apparel pressing service for the trade)</t>
  </si>
  <si>
    <t>Miscellaneous Business Services (bail bonding)</t>
  </si>
  <si>
    <t>Truck Rental and Leasing Without Drivers</t>
  </si>
  <si>
    <t>Utility Trailers and Recreational Vehicle Rental</t>
  </si>
  <si>
    <t>Automobile Parking</t>
  </si>
  <si>
    <t>Top, Body, and Upholstery Repair Shops and Paint Shops</t>
  </si>
  <si>
    <t>Automotive Exhaust System Repair Shops</t>
  </si>
  <si>
    <t>Tire Retreading and Repair Shops (rebuilding tires and retreaded tire manufacturing)</t>
  </si>
  <si>
    <t>Tire Retreading and Repair Shops (tire repair)</t>
  </si>
  <si>
    <t>Automotive Transmission Repair Shops</t>
  </si>
  <si>
    <t>General Automotive Repair Shops</t>
  </si>
  <si>
    <t>Automotive Repair Shops, NEC (except automotive air-conditioning repair)</t>
  </si>
  <si>
    <t>Automotive Repair Shops, NEC (automotive air-conditioning repair)</t>
  </si>
  <si>
    <t>Carwashes</t>
  </si>
  <si>
    <t>Automotive Services, Except Repair and Carwashes (towing)</t>
  </si>
  <si>
    <t>Automotive Services, Except Repair and Carwashes (automotive window tinting)</t>
  </si>
  <si>
    <t>Automotive Services, Except Repair and Carwashes (lubricating service, automotive)</t>
  </si>
  <si>
    <t>Automotive Services, Except Repair and Carwashes (except automotive lubricating, automotive window tinting, and towing services)</t>
  </si>
  <si>
    <t>Radio and Television Repair Shops (household antenna installation and household-type satellite dish installation)</t>
  </si>
  <si>
    <t>Radio and Television Repair Shops (new retail sales combined with repair-repair services as major source of receipts)</t>
  </si>
  <si>
    <t>Radio and Television Repair Shops (stereo, TV, VCR, and radio repair)</t>
  </si>
  <si>
    <t>Radio and Television Repair Shops (telecommunication equipment repair)</t>
  </si>
  <si>
    <t>Refrigeration and Air-Conditioning Services and Repair Shops (new retail sales combined with repair-repair services as major source of receipts)</t>
  </si>
  <si>
    <t>Refrigeration and Air-Conditioning Services and Repair Shops (commercial refrigerator equipment repair)</t>
  </si>
  <si>
    <t>Refrigeration and Air-Conditioning Service and Repair Shops (except commercial refrigeration equipment repair, and sales locations with repair as major source of receipts)</t>
  </si>
  <si>
    <t>Electrical and Electronic Repair Shops, NEC (new retail sales combined with repair-repair services as major source of receipts)</t>
  </si>
  <si>
    <t>Electrical and Electronic Repair Shops, NEC (other consumer electronic equipment, except business and office machines, telephones, and appliances-repair and maintenance)</t>
  </si>
  <si>
    <t xml:space="preserve">Electrical and Electronic Repair Shops, NEC (business and office machine repair, electrical) </t>
  </si>
  <si>
    <t>Electrical and Electronic Repair Shops, NEC (telephone set repair)</t>
  </si>
  <si>
    <t>Electrical and Electronic Repair Shops, NEC (electrical measuring instrument repair and calibration, medical electrical equipment repair)</t>
  </si>
  <si>
    <t>Electrical and Electronic Repair Shops, NEC (electrical appliance repair, washing machine repair, electric razor repair)</t>
  </si>
  <si>
    <t>Watch, Clock, and Jewelry Repair (new retail sales combined with repair-repair services as major source of receipts)</t>
  </si>
  <si>
    <t>Watch, Clock, and Jewelry Repair (except new retail sales combined with repair services)</t>
  </si>
  <si>
    <t>Welding Repair</t>
  </si>
  <si>
    <t>Armature Rewinding Shops (remanufacturing)</t>
  </si>
  <si>
    <t>Armature Rewinding Shops (repair)</t>
  </si>
  <si>
    <t>Repair Shops and Related Services, NEC (farriers)</t>
  </si>
  <si>
    <t>Repair Shops and Related Services, NEC (boiler cleaning, chipping, and scaling)</t>
  </si>
  <si>
    <t>Repair Shops and Related Services, NEC (custom picture framing shops)</t>
  </si>
  <si>
    <t>Repair Shops and Related Services, NEC (new power tool retail sales combined with repair-repair services as major source of receipts)</t>
  </si>
  <si>
    <t>Repair Shops and Related Services, NEC (new lawn and garden equipment retail sales combined with repair-repair services as major source of receipts)</t>
  </si>
  <si>
    <t>Repair Shops and Related Services, NEC (new bicycle retail sales combined with repair-repair services for bicycles as major source of receipts)</t>
  </si>
  <si>
    <t xml:space="preserve">Repair Shops and Related Services, NEC (ship scaling) </t>
  </si>
  <si>
    <t>Repair Shops and Related Services, NEC (locksmith shops)</t>
  </si>
  <si>
    <t>Repair Shops and Related Services, NEC (furnace, duct, gutter, and drain cleaning services)</t>
  </si>
  <si>
    <t>Repair Shops and Related Services, NEC (cesspool and septic tank cleaning)</t>
  </si>
  <si>
    <t>Repair Shops and Related Services, NEC (sewer cleaning and rodding)</t>
  </si>
  <si>
    <t>Repair Shops and Related Services, NEC (taxidermists and antique repair and restoration, except antique car restoration)</t>
  </si>
  <si>
    <t>Repair Shops and Related Services, NEC (camera repair)</t>
  </si>
  <si>
    <t>Repair Shops and Related Services, NEC (typewriter repair, refilling or recycling ink jet cartridges)</t>
  </si>
  <si>
    <t>Repair Shops and Related Services, NEC (dental instrument repair, laboratory instrument repair, medical equipment and other electronic and precision equipment repair, except typewriters)</t>
  </si>
  <si>
    <t>Repair Shops and Related Services, NEC (other non-automotive transportation equipment and industrial machines and equipment, and sharpening commercial blades)</t>
  </si>
  <si>
    <t>Repair Shops and Related Services, NEC (lawnmower repair shops, sharpening and repairing knives, saws and tools)</t>
  </si>
  <si>
    <t>Repair Shops and Related Services, NEC (gas appliance repair service, sewing machine repair, stove repair shops, and other non-electrical appliance)</t>
  </si>
  <si>
    <t>Repair Shops and Related Services, NEC (leather goods repair shops, luggage repair shops, pocketbook repair shops)</t>
  </si>
  <si>
    <t>Repair Shops and Related Services, NEC (except industrial, electronic, home and garden, appliance, and leather goods)</t>
  </si>
  <si>
    <t>Motion Picture and Video Tape Production</t>
  </si>
  <si>
    <t>Services Allied to Motion Picture Production (reproduction of video)</t>
  </si>
  <si>
    <t>Services Allied to Motion Picture Production (teleproduction and postproduction services)</t>
  </si>
  <si>
    <t>Services Allied to Motion Picture Production (except casting bureaus, wardrobe and equipment rental, talent payment services, teleproduction and other postproduction services, reproduction of videos, independent film directors, and other independent motion picture production related services)</t>
  </si>
  <si>
    <t>Services Allied to Motion Picture Production (wardrobe rental for motion picture film production)</t>
  </si>
  <si>
    <t>Services Allied to Motion Picture Production (motion picture equipment rental)</t>
  </si>
  <si>
    <t>Services Allied to Motion Picture Production (talent payment services)</t>
  </si>
  <si>
    <t>Services Allied to Motion Picture Production (motion picture consulting)</t>
  </si>
  <si>
    <t>Services Allied to Motion Picture Production (casting bureaus)</t>
  </si>
  <si>
    <t>Services Allied to Motion Picture Production (film directors and related motion picture production services, independent)</t>
  </si>
  <si>
    <t>Motion Picture and Video Tape Distribution (prerecorded video tape and cassette wholesalers)</t>
  </si>
  <si>
    <t>Motion Picture and Video Tape Distribution (except video tape and cassette wholesalers)</t>
  </si>
  <si>
    <t>Services Allied to Motion Picture Distribution (commercial distribution film libraries)</t>
  </si>
  <si>
    <t>Services Allied to Motion Picture Distribution (except commercial film distribution libraries and film archives)</t>
  </si>
  <si>
    <t>Services Allied to Motion Picture Distribution (film archives)</t>
  </si>
  <si>
    <t>Motion Picture Theaters, Except Drive-In</t>
  </si>
  <si>
    <t>Video Tape Rental</t>
  </si>
  <si>
    <t>Dance Studios, Schools, and Halls (dance instructors, and professional and other dance schools)</t>
  </si>
  <si>
    <t>Dance Studios, Schools, and Halls (except instruction)</t>
  </si>
  <si>
    <t>Theatrical Producers (Except Motion Picture) and Miscellaneous Theatrical Services (producers of radio programs)</t>
  </si>
  <si>
    <t>Theatrical Producers (Except Motion Picture) and Miscellaneous Theatrical Services (theatrical equipment rental)</t>
  </si>
  <si>
    <t>Theatrical Producers (Except Motion Picture) and Miscellaneous Theatrical Services (casting agencies and television employment agencies)</t>
  </si>
  <si>
    <t>Theatrical Producers (Except Motion Picture) and Miscellaneous Theatrical Services (theatrical ticket agencies)</t>
  </si>
  <si>
    <t>Theatrical Producers (Except Motion Pictures) and Miscellaneous Theatrical Services (theater companies, opera companies)</t>
  </si>
  <si>
    <t>Theatrical Producers (Except Motion Pictures) and Miscellaneous Theatrical Services (ballet and dance companies)</t>
  </si>
  <si>
    <t>Theatrical Producers (Except Motion Picture) and Miscellaneous Theatrical Services (theater operators)</t>
  </si>
  <si>
    <t>Theatrical Producers (Except Motion Picture) and Miscellaneous Theatrical Services (theatrical promoters)</t>
  </si>
  <si>
    <t>Theatrical Producers (Except Motion Picture) and Miscellaneous Theatrical Services (theatrical agents)</t>
  </si>
  <si>
    <t>Theatrical Producers (Except Motion Picture) and Miscellaneous Theatrical Services (theatrical costume design)</t>
  </si>
  <si>
    <t>Bands, Orchestras, Actors, and Other Entertainers Entertainment Groups (musical groups, musical artists, and orchestras)</t>
  </si>
  <si>
    <t>Bands, Orchestras, Actors, and Entertainment Groups, (except musical groups, musical artists, orchestras, actors, and actresses)</t>
  </si>
  <si>
    <t>Bands, Orchestras, Actors, and Other Entertainers and Entertainment Groups (actors and actresses)</t>
  </si>
  <si>
    <t>Professional Sports Clubs and Promoters (professional sports clubs)</t>
  </si>
  <si>
    <t xml:space="preserve">Professional Sports Clubs and Promoters (stadium operators promoting events in their own facilities) </t>
  </si>
  <si>
    <t>Professional Sports Clubs and Promoters (sports promoters)</t>
  </si>
  <si>
    <t>Professional Sports Clubs and Promoters (sports agents)</t>
  </si>
  <si>
    <t>Racing, Including Track Operations (track operations)</t>
  </si>
  <si>
    <t>Racing, Including Track Operations  (except track operators)</t>
  </si>
  <si>
    <t>Physical Fitness Facilities</t>
  </si>
  <si>
    <t>Public Golf Courses</t>
  </si>
  <si>
    <t>Coin-Operated Amusement Devices (amusement arcades)</t>
  </si>
  <si>
    <t>Coin-Operated Amusement Devices (slot machine operators)</t>
  </si>
  <si>
    <t>Coin-Operated Amusement Devices (except amusement arcades and slot machine operators)</t>
  </si>
  <si>
    <t>Membership Sports and Recreation Clubs (flying clubs primarily providing a variety of flying services to the public using general purpose aircraft)</t>
  </si>
  <si>
    <t>Membership Sports and Recreation Clubs (flying fields operated by aviation clubs)</t>
  </si>
  <si>
    <t>Membership Sports and Recreation Clubs (golf clubs)</t>
  </si>
  <si>
    <t>Membership Sports and Recreation Clubs (recreation clubs with facilities)</t>
  </si>
  <si>
    <t>Membership Sports and Recreation Clubs (recreation clubs without facilities)</t>
  </si>
  <si>
    <t>Amusement and Recreation Services, NEC (scenic transport operations, land)</t>
  </si>
  <si>
    <t>Amusement and Recreation Services, NEC (charter fishing)</t>
  </si>
  <si>
    <t>Amusement and Recreation Services, NEC (aerial tramways, scenic and amusement)</t>
  </si>
  <si>
    <t>Amusement and Recreation Services, NEC (canoe, pleasure boats, bicycles, motorcycles, moped, go carts, etc. rental)</t>
  </si>
  <si>
    <t>Amusement and Recreation Services, NEC (ticket agencies)</t>
  </si>
  <si>
    <t>Amusement and Recreation Services, NEC (baseball, basketball, bowling, gymnastic, judo, karate, parachute, scuba and skin diving, skating, ski, swimming, tennis, and other sports instruction; and sports instructional schools and camps)</t>
  </si>
  <si>
    <t>Amusement and Recreation Services, NEC (bridge instruction, yoga instruction, and similar nonathletic instruction)</t>
  </si>
  <si>
    <t>Amusement and Recreation Services, NEC (circus companies and traveling carnival shows)</t>
  </si>
  <si>
    <t>Amusement and Recreation Services, NEC (professional athletes)</t>
  </si>
  <si>
    <t>Amusement and Recreation Services, NEC (state fairs, agriculture fairs and county fairs with facilities)</t>
  </si>
  <si>
    <t>Amusement and Recreation Services, NEC (state fairs, agriculture fairs and county fairs without facilities)</t>
  </si>
  <si>
    <t>Amusement and Recreation Services, NEC (caverns and miscellaneous commercial parks)</t>
  </si>
  <si>
    <t>Amusement and Recreation Services, NEC (casinos, except hotel casinos)</t>
  </si>
  <si>
    <t>Amusement and Recreation Services, NEC (lottery, bingo, bookie, and other gambling operations)</t>
  </si>
  <si>
    <t>Amusement and Recreation Services, NEC (skiing facilities)</t>
  </si>
  <si>
    <t>Amusement and Recreation Services, NEC (nonmembership fitness and recreational sports centers)</t>
  </si>
  <si>
    <t>Amusement and Recreation Services, NEC (except circuses, traveling carnivals, professional athletes, caverns and other commercial parks, skiing facilities, casinos and other gambling operations, nonmembership fitness and recreational sports centers, sports instruction, sports equipment rental, ticket agencies, charter fishing, state fairs, agriculture fairs, county fairs, operation of fishing lakes, phrenologists services, and amusement or scenic transport operations)</t>
  </si>
  <si>
    <t>Amusement and Recreation Services, NEC (phrenologists services)</t>
  </si>
  <si>
    <t>Offices and Clinics of Doctors of Medicine (except mental health specialists, HMO medical centers, and ambulatory surgical and emergency centers)</t>
  </si>
  <si>
    <t>Offices and Clinics of Doctors of Medicine (mental health specialists)</t>
  </si>
  <si>
    <t>Offices and Clinics of Doctors of Medicine (HMO Medical Centers)</t>
  </si>
  <si>
    <t>Offices and Clinics of Doctors of Medicine (ambulatory surgical and emergency centers)</t>
  </si>
  <si>
    <t>Offices and Clinics of Dentists</t>
  </si>
  <si>
    <t xml:space="preserve">Offices and Clinics of Doctors of Osteopathy (except mental health specialists) </t>
  </si>
  <si>
    <t>Offices and Clinics of Doctors of Osteopathy (mental health specialists)</t>
  </si>
  <si>
    <t>Offices and Clinics of Chiropractors</t>
  </si>
  <si>
    <t>Offices and Clinics of Optometrists</t>
  </si>
  <si>
    <t>Offices and Clinics of Podiatrists</t>
  </si>
  <si>
    <t>Offices and Clinics of Health Practitioners, NEC (mental health practitioners except physicians)</t>
  </si>
  <si>
    <t>Offices and Clinics of Health Practitioners, NEC (physical, occupational, recreational and speech therapists, and audiologists)</t>
  </si>
  <si>
    <t>Offices and Clinics of Health Practitioners, NEC (except mental health practitioners, physical, occupational, speech therapists, and audiologists)</t>
  </si>
  <si>
    <t>Skilled Nursing Care Facilities (except continuing care retirement communities and mental retardation hospitals)</t>
  </si>
  <si>
    <t>Skilled Nursing Care Facilities (mental retardation hospitals)</t>
  </si>
  <si>
    <t>Skilled Nursing Care Facilities (continuing care retirement communities)</t>
  </si>
  <si>
    <t>Intermediate Care Facilities (except continuing care retirement communities and mental retardation facilities)</t>
  </si>
  <si>
    <t>Intermediate Care Facilities (mental retardation facilities)</t>
  </si>
  <si>
    <t xml:space="preserve">Intermediate Care Facilities (continuing care retirement communities) </t>
  </si>
  <si>
    <t>Nursing and Personal Care Facilities, NEC (except continuing care retirement communities, psychiatric convalescent homes with health care, and homes for the mentally retarded with health care)</t>
  </si>
  <si>
    <t>Nursing and Personal Care Facilities, NEC (homes for the mentally retarded with health care)</t>
  </si>
  <si>
    <t>Nursing and Personal Care Facilities, NEC (continuing care retirement communities)</t>
  </si>
  <si>
    <t>Psychiatric Hospitals</t>
  </si>
  <si>
    <t>Specialty Hospitals, Except Psychiatric (children’s hospitals)</t>
  </si>
  <si>
    <t>Specialty Hospitals, Except Psychiatric (substance abuse hospitals)</t>
  </si>
  <si>
    <t xml:space="preserve">Specialty Hospitals, Except Psychiatric (except children’s and substance abuse hospitals) </t>
  </si>
  <si>
    <t>Medical Laboratories (except diagnostic imaging centers)</t>
  </si>
  <si>
    <t>Medical Laboratories (diagnostic imaging centers)</t>
  </si>
  <si>
    <t>Specialty Outpatient Facilities, NEC (respiratory therapy clinics and offices)</t>
  </si>
  <si>
    <t>Specialty Outpatient Facilities, NEC (family planning centers)</t>
  </si>
  <si>
    <t>Specialty Outpatient Facilities, NEC (mental health facilities)</t>
  </si>
  <si>
    <t>Specialty Outpatient Facilities, NEC (except family planning centers, mental health centers, and respritory therapy clinics and offices)</t>
  </si>
  <si>
    <t>Health and Allied Services, NEC (medical artists)</t>
  </si>
  <si>
    <t>Health and Allied Services, NEC (medical photography)</t>
  </si>
  <si>
    <t>Health and Allied Services, NEC (childbirth preparation)</t>
  </si>
  <si>
    <t>Health and Allied Services, NEC (blood and organ banks)</t>
  </si>
  <si>
    <t>Health and Allied Services, NEC (except blood and organ banks, medical artists, medical photography, and childbirth preparation classes)</t>
  </si>
  <si>
    <t>Legal Services</t>
  </si>
  <si>
    <t>Junior Colleges and Technical Institutes</t>
  </si>
  <si>
    <t>Libraries</t>
  </si>
  <si>
    <t>Data Processing Schools (except computer repair training)</t>
  </si>
  <si>
    <t>Data Processing Schools (computer repair training)</t>
  </si>
  <si>
    <t>Vocational Schools, NEC (aviation schools, excluding flying instruction)</t>
  </si>
  <si>
    <t>Vocational Schools, NEC (vocational apprenticeship training)</t>
  </si>
  <si>
    <t>Vocational Schools, NEC (except aviation and flight training and apprenticeship training)</t>
  </si>
  <si>
    <t>Schools and Educational Services, NEC (professional and management development training)</t>
  </si>
  <si>
    <t>Schools and Educational Services, NEC (flying instruction)</t>
  </si>
  <si>
    <t>Schools and Educational Services, NEC (cooking and modeling schools)</t>
  </si>
  <si>
    <t>Schools and Educational Services, NEC (art, drama, and music schools)</t>
  </si>
  <si>
    <t>Schools and Educational Services, NEC (baton instruction)</t>
  </si>
  <si>
    <t>Schools and Educational Services, NEC (language schools)</t>
  </si>
  <si>
    <t xml:space="preserve">Schools and Educational Services, NEC (exam preparation and tutoring) </t>
  </si>
  <si>
    <t>Schools and Educational Services, NEC (automobile driving instruction)</t>
  </si>
  <si>
    <t>Schools and Educational Services, NEC (except professional and management training, aviation and flight training, fine arts schools, language schools, exam preparation and tutoring, automobile driving schools, and educational support services)</t>
  </si>
  <si>
    <t>Schools and Educational Services NEC (educational support services)</t>
  </si>
  <si>
    <t>Individual and Family Social Services (child and youth services)</t>
  </si>
  <si>
    <t>Individual and Family Social Services (services for the elderly and disabled)</t>
  </si>
  <si>
    <t>Individual and Family Social Services (except services for children, youth, elderly, and disabled; community food assistance services; housing services (except temporary), emergency and relief services, and government parole or probation offices)</t>
  </si>
  <si>
    <t>Individual and Family Social Services ( community food assistance services)</t>
  </si>
  <si>
    <t>Individual and Family Social Services (temporary shelter)</t>
  </si>
  <si>
    <t>Individual and Family Social Services (housing services except temporary shelter)</t>
  </si>
  <si>
    <t>Individual and Family Social Services (emergency and relief services)</t>
  </si>
  <si>
    <t>Individual and Family Social Services (government parole and probation offices)</t>
  </si>
  <si>
    <t>Job Training and Vocational Rehabilitation Services</t>
  </si>
  <si>
    <t>Residential Care (homes for the mentally handicapped with incidental health care)</t>
  </si>
  <si>
    <t xml:space="preserve">Residential Care (mental health and substance abuse facilities) </t>
  </si>
  <si>
    <t>Residential Care (homes for the elderly)</t>
  </si>
  <si>
    <t>Residential Care (except mental health and substance abuse facilities, homes for the elderly, and homes for the mentally handicapped with incidental health care)</t>
  </si>
  <si>
    <t>Social Services, NEC (voluntary health organizations)</t>
  </si>
  <si>
    <t>Social Services, NEC (grantmaking and giving)</t>
  </si>
  <si>
    <t>Social Services, NEC (human rights organizations)</t>
  </si>
  <si>
    <t>Social Services, NEC (environment, conservation, and wildlife advocacy)</t>
  </si>
  <si>
    <t>Social Services, NEC (except human rights, environment, conservation and wildlife advocacy organizations, grantmaking and giving, and voluntary health organizations)</t>
  </si>
  <si>
    <t>Museums and Art Galleries (except historic and heritage sites)</t>
  </si>
  <si>
    <t>Museums and Art Galleries (historic and heritage sites)</t>
  </si>
  <si>
    <t>Arboreta and Botanical or Zoological Gardens (except nature parks and reserves)</t>
  </si>
  <si>
    <t>Arboreta and Botanical or Zoological Gardens (nature parks and reserves)</t>
  </si>
  <si>
    <t>Professional Membership Organizations</t>
  </si>
  <si>
    <t>Civic, Social, and Fraternal Associations (taxpayers' associations, tenants' advocacy associations, temperance organizations)</t>
  </si>
  <si>
    <t>Civic, Social, and Fraternal Associations (except condominium and homeowner associations, taxpayers associations, tenants advocacy associations, temperance organizations, and Indian and Alaska Native Tribal Councils)</t>
  </si>
  <si>
    <t>Civic, Social, and Fraternal Associations (condominium and homeowner associations)</t>
  </si>
  <si>
    <t>Civic, Social, and Fraternal Associations (Indian and Alaska Native Tribal Councils)</t>
  </si>
  <si>
    <t>Membership Organizations, NEC (travel motor clubs)</t>
  </si>
  <si>
    <t>Membership Organizations, NEC (humane societies)</t>
  </si>
  <si>
    <t>Membership Organizations, NEC (except humane societies, farm business organizations, athletic associations, and travel motor clubs)</t>
  </si>
  <si>
    <t>Membership Organizations, NEC (farm business organizations)</t>
  </si>
  <si>
    <t>Membership Organizations, NEC (athletic associations)</t>
  </si>
  <si>
    <t>Surveying Services (geophysical surveying )</t>
  </si>
  <si>
    <t>Surveying Services (except geophysical surveying)</t>
  </si>
  <si>
    <t>Accounting, Auditing, and Bookkeeping Services (auditing  accountants)</t>
  </si>
  <si>
    <t>Accounting, Auditing, and Bookkeeping Services (payroll services)</t>
  </si>
  <si>
    <t>Accounting, Auditing, and Bookkeeping Services (other accounting services)</t>
  </si>
  <si>
    <t>Commercial Physical and Biological Research</t>
  </si>
  <si>
    <t>Commercial Economic, Sociological, and Educational Research (social sciences and humanities)</t>
  </si>
  <si>
    <t>Commercial Economic, Sociological, and Educational Research (market research and opinion research)</t>
  </si>
  <si>
    <t>Noncommercial Research Organizations (physical, engineering, and life sciences)</t>
  </si>
  <si>
    <t>Noncommercial Research Organizations (social sciences and humanities)</t>
  </si>
  <si>
    <t>Testing Laboratories (veterinary testing laboratories)</t>
  </si>
  <si>
    <t>Management Services (single-family housing construction management)</t>
  </si>
  <si>
    <t>Management Services (multifamily housing construction management)</t>
  </si>
  <si>
    <t>Management Services (residential remodeling construction management)</t>
  </si>
  <si>
    <t>Management Services (industrial building and nonbuilding structure construction management)</t>
  </si>
  <si>
    <t>Management Services (commercial and institutional building construction management)</t>
  </si>
  <si>
    <t>Management Services (construction management of water, sewer, and related structure construction projects)</t>
  </si>
  <si>
    <t>Management Services (construction management of oil and gas pipelines and related structure  construction projects)</t>
  </si>
  <si>
    <t>Management Services (construction management of power generation [except hydroelectric] facilities, and transmission and distribution station construction projects)</t>
  </si>
  <si>
    <t>Management Services (highway, street, and bridge construction management)</t>
  </si>
  <si>
    <t xml:space="preserve">Management Services (construction management for other heavy and civil engineering construction) </t>
  </si>
  <si>
    <t>Management Services (except construction management)</t>
  </si>
  <si>
    <t>Management Consulting Services (administrative management and general management consulting)</t>
  </si>
  <si>
    <t>Management Consulting Services (human resources and personnel management consulting)</t>
  </si>
  <si>
    <t>Management Consulting Services (marketing consulting)</t>
  </si>
  <si>
    <t>Management Consulting Services (manufacturing management, physical distribution, and site location consulting)</t>
  </si>
  <si>
    <t>Public Relations Services</t>
  </si>
  <si>
    <t>Facilities Support Management Services</t>
  </si>
  <si>
    <t>Business Consulting Services, NEC (urban planners and industrial development organizations)</t>
  </si>
  <si>
    <t>Business Consulting Services, NEC (traffic consultants)</t>
  </si>
  <si>
    <t>Business Consulting Services, NEC (except educational testing and consulting, economic consulting, safety and security, agriculture consulting, environmental consulting firms, urban planning and industrial development organizations)</t>
  </si>
  <si>
    <t>Business Consulting Services, NEC (safety, security, agriculture, and economic consultants)</t>
  </si>
  <si>
    <t>Business Consulting Services, NEC (educational test development and evaluation services, educational testing services, and educational consultants)</t>
  </si>
  <si>
    <t>Services, NEC (record production)</t>
  </si>
  <si>
    <t>Services, NEC (music publishing)</t>
  </si>
  <si>
    <t>Services, NEC (Internet broadcasting, special interest web sites, entertainment sites, and interactive game sites)</t>
  </si>
  <si>
    <t>Services, NEC (Internet web search portals)</t>
  </si>
  <si>
    <t>Services, NEC (actuarial consulting)</t>
  </si>
  <si>
    <t>Services, NEC (environmental consultants)</t>
  </si>
  <si>
    <t>Services, NEC (scientific and related consulting services)</t>
  </si>
  <si>
    <t>Services, NEC (weather forecasting services)</t>
  </si>
  <si>
    <t xml:space="preserve">Services, NEC (authors, artists, and related technical services, independent) </t>
  </si>
  <si>
    <t xml:space="preserve">Executive and Legislative Office Combined </t>
  </si>
  <si>
    <t>General Government, NEC</t>
  </si>
  <si>
    <t>Public Order and Safety, NEC</t>
  </si>
  <si>
    <t>Public Finance, Taxation, and Monetary Policy</t>
  </si>
  <si>
    <t>Administration of Educational Programs</t>
  </si>
  <si>
    <t>Administration of Social, Human Resource and Income Maintenance Programs</t>
  </si>
  <si>
    <t>Administration of Veterans’ Affairs, Except Health and Insurance</t>
  </si>
  <si>
    <t>Regulation and Administration of Transportation Programs (government air traffic control)</t>
  </si>
  <si>
    <t>Regulation and Administration of Transportation Programs (except air traffic control)</t>
  </si>
  <si>
    <t>Life Cycle Stage</t>
  </si>
  <si>
    <t>Category</t>
  </si>
  <si>
    <t>Subcategory</t>
  </si>
  <si>
    <t>Interpretation of COU</t>
  </si>
  <si>
    <t>Applicable GS/ESDs</t>
  </si>
  <si>
    <t># of day estimates</t>
  </si>
  <si>
    <t>Domestic manufacture</t>
  </si>
  <si>
    <t>Import</t>
  </si>
  <si>
    <t>Import GS (draft in progress)</t>
  </si>
  <si>
    <t>Intermediate in: Petrochemical manufacturing; Plastic material and resin manufacturing; All other basic organic chemical manufacturing</t>
  </si>
  <si>
    <t>Chemical intermediate</t>
  </si>
  <si>
    <t>Rubber Additives ESD (2004); Plastic compounding GS</t>
  </si>
  <si>
    <t>Processing -Incorporated into formulation, mixture, or reaction product</t>
  </si>
  <si>
    <t>Fuels and fuel additives: All other petroleum and coal products manufacturing</t>
  </si>
  <si>
    <t>Fuel/Fuel additive</t>
  </si>
  <si>
    <t>Petroleum refining processing crude separation processes and catalytic cracking</t>
  </si>
  <si>
    <t>Processing aids: specific to petroleum production</t>
  </si>
  <si>
    <t>Formulation of fracking fluid</t>
  </si>
  <si>
    <t>Petroleum refining processing crude separation processes and catalytic cracking GS</t>
  </si>
  <si>
    <t>appears to potentially used in fracking fluids: https://www.earthworks.org/issues/hydraulic_fracturing_101/</t>
  </si>
  <si>
    <t>Use of hydraulic fracturing fluids</t>
  </si>
  <si>
    <t>Hydraulic fracturing GS in process</t>
  </si>
  <si>
    <t>Added use OES</t>
  </si>
  <si>
    <t>Recycling</t>
  </si>
  <si>
    <t>Waste handling, disposal, treatment, and recycling</t>
  </si>
  <si>
    <t>Distribution in commerce</t>
  </si>
  <si>
    <t>N/A - Activities related to distribution (e.g., loading, unloading) are considered throughout the life cycle, rather than using a single distribution scenario</t>
  </si>
  <si>
    <t>Industrial Use</t>
  </si>
  <si>
    <t>Adhesives and sealants</t>
  </si>
  <si>
    <t>Formulation of adhesives and sealants</t>
  </si>
  <si>
    <t>Adhesives Formulation ESD (2009)</t>
  </si>
  <si>
    <t>Added formulation OES</t>
  </si>
  <si>
    <t>Use of adhesives and sealants</t>
  </si>
  <si>
    <t>Use of adhesives ESD</t>
  </si>
  <si>
    <t>Functional Fluids (closed systems)</t>
  </si>
  <si>
    <t>Heat transferring agent</t>
  </si>
  <si>
    <t>Heat transfer agent</t>
  </si>
  <si>
    <t>Engine coolant additive</t>
  </si>
  <si>
    <t>May be impurity in additive (&lt;1% 1,2-DCA)</t>
  </si>
  <si>
    <t>Lubricants and Greases</t>
  </si>
  <si>
    <t>Paste lubricants and greases</t>
  </si>
  <si>
    <t>Use of lubricants/greases</t>
  </si>
  <si>
    <t>Industrial application of lubricants and greases containing 1,2-DCA</t>
  </si>
  <si>
    <t>Chemical additives used in automotive lubricants ESD</t>
  </si>
  <si>
    <t>Oxidizing/ reducing agents</t>
  </si>
  <si>
    <t>Oxidation inhibitor in controlled oxidative chemical reactions</t>
  </si>
  <si>
    <t>Oxidation inhibitor in chemical reactions</t>
  </si>
  <si>
    <t>Seems like potentially proc as reactant or into formulation</t>
  </si>
  <si>
    <t>Solvents (for cleaning and degreasing)</t>
  </si>
  <si>
    <t>A component of degreasing and cleaning solvents</t>
  </si>
  <si>
    <t>cleaning/degreasing</t>
  </si>
  <si>
    <t xml:space="preserve">Commercial aerosol products (Aerosol degreasing, aerosol lubricants, automotive care products); </t>
  </si>
  <si>
    <t>Application of semi-aqueous cleaners for metal cleaning and degreasing GS; Industrial Use of Industrial Cleaners ESD; Vapor Degreasing models; Brake cleaning model</t>
  </si>
  <si>
    <t>type of cleaning/degreasing currently unknown</t>
  </si>
  <si>
    <t>Commercial Use</t>
  </si>
  <si>
    <t>Plastic and rubber products</t>
  </si>
  <si>
    <t>Products such as: plastic and rubber products</t>
  </si>
  <si>
    <t>Plastics compounding</t>
  </si>
  <si>
    <t>Plastics compounding GS</t>
  </si>
  <si>
    <t>added plastics compounding</t>
  </si>
  <si>
    <t>Plastics converting</t>
  </si>
  <si>
    <t>Plastics converting GS</t>
  </si>
  <si>
    <t>added plastics converting</t>
  </si>
  <si>
    <t>Plastic products containing 1,2-DCA</t>
  </si>
  <si>
    <t>N/A (Use of articles containing 1,2-DCA)</t>
  </si>
  <si>
    <t>Fuels and related products</t>
  </si>
  <si>
    <t>Fuel and related products</t>
  </si>
  <si>
    <t>Fuels and related products GS (draft in progress)</t>
  </si>
  <si>
    <t>Other use</t>
  </si>
  <si>
    <t>Laboratory chemical (e.g., reagent)</t>
  </si>
  <si>
    <t>Laboratory chemical</t>
  </si>
  <si>
    <t>Laboratory use</t>
  </si>
  <si>
    <t>Use of Laboratory Chemicals GS (draft in progress)</t>
  </si>
  <si>
    <t>Embalming</t>
  </si>
  <si>
    <t>Embalming Agent</t>
  </si>
  <si>
    <t>Consumer Use</t>
  </si>
  <si>
    <t>N/A - Consumer</t>
  </si>
  <si>
    <t>Disposal</t>
  </si>
  <si>
    <t>Release Media</t>
  </si>
  <si>
    <t>Releases to water</t>
  </si>
  <si>
    <t>SIC Title (and note)</t>
  </si>
  <si>
    <t>2002 NAICS</t>
  </si>
  <si>
    <t>2002 NAICS Title</t>
  </si>
  <si>
    <t xml:space="preserve">Soybean Farming </t>
  </si>
  <si>
    <t xml:space="preserve">Citrus (except Orange) Groves </t>
  </si>
  <si>
    <t>Horse and Other Equine Production</t>
  </si>
  <si>
    <t>Other Animal Aquaculture</t>
  </si>
  <si>
    <t>Copper Ore and Nickel Ore Mining</t>
  </si>
  <si>
    <t>Lead Ore and Zinc Ore Mining</t>
  </si>
  <si>
    <t>Crude Petroleum and Natural Gas Extraction</t>
  </si>
  <si>
    <t>Natural Gas Liquid Extraction</t>
  </si>
  <si>
    <t>Support Activities for Nonmetallic Minerals (except Fuels)</t>
  </si>
  <si>
    <t>New Single-Family Housing Construction (except Operative Builders)</t>
  </si>
  <si>
    <t>New Multifamily Housing Construction (except Operative Builders)</t>
  </si>
  <si>
    <t>New Housing Operative Builders</t>
  </si>
  <si>
    <t>Electrical Contractors</t>
  </si>
  <si>
    <t>Paint and Wall Covering Contractors</t>
  </si>
  <si>
    <t xml:space="preserve">Meat Processed from Carcasses </t>
  </si>
  <si>
    <t>Flour Mixes and Dough Manufacturing from Purchased Flour</t>
  </si>
  <si>
    <t>Sugarcane Mills</t>
  </si>
  <si>
    <t xml:space="preserve">Confectionery Manufacturing from Purchased  Chocolate </t>
  </si>
  <si>
    <t>Chocolate and Confectionery Manufacturing from  Cacao Beans</t>
  </si>
  <si>
    <t>Other Oilseed Processing</t>
  </si>
  <si>
    <t>Soybean Processing</t>
  </si>
  <si>
    <t>Seafood Canning</t>
  </si>
  <si>
    <t>Fresh and Frozen Seafood Processing</t>
  </si>
  <si>
    <t xml:space="preserve">Dry Pasta Manufacturing </t>
  </si>
  <si>
    <t xml:space="preserve">Tortilla Manufacturing </t>
  </si>
  <si>
    <t>Cigarette Manufacturing</t>
  </si>
  <si>
    <t>Other Tobacco Product Manufacturing</t>
  </si>
  <si>
    <t>Tobacco Stemming and Redrying</t>
  </si>
  <si>
    <t>Broadwoven Fabric Finishing Mills</t>
  </si>
  <si>
    <t>Textile and Fabric Finishing (except Broadwoven Fabric) Mills</t>
  </si>
  <si>
    <t>Narrow Fabric Mills</t>
  </si>
  <si>
    <t>Sheer Hosiery Mills</t>
  </si>
  <si>
    <t>Other Hosiery and Sock Mills</t>
  </si>
  <si>
    <t>Outerwear Knitting Mills</t>
  </si>
  <si>
    <t>Underwear and Nightwear Knitting Mills</t>
  </si>
  <si>
    <t>Weft Knit Fabric Mills</t>
  </si>
  <si>
    <t>Other Knit Fabric and Lace Mills</t>
  </si>
  <si>
    <t>Yarn Texturing, Throwing, and Twisting Mills</t>
  </si>
  <si>
    <t>Thread Mills</t>
  </si>
  <si>
    <t>Tire Cord and Tire Fabric Mills</t>
  </si>
  <si>
    <t>Rope, Cordage, and Twine Mills</t>
  </si>
  <si>
    <t>Men’s and Boys’ Cut and Sew Apparel Contractors</t>
  </si>
  <si>
    <t xml:space="preserve">Men’s and Boys’ Cut and Sew Suit, Coat and Overcoat Manufacturing </t>
  </si>
  <si>
    <t>Men's and Boys' Cut and Sew Apparel Contractors</t>
  </si>
  <si>
    <t>Men’s and Boys’ Cut and Sew Shirt (except Work Shirt) Manufacturing</t>
  </si>
  <si>
    <t>Men’s and Boys’ Cut and Sew Underwear and Nightwear Manufacturing</t>
  </si>
  <si>
    <t>Men’s and Boys’ Neckwear Manufacturing</t>
  </si>
  <si>
    <t xml:space="preserve">Men’s and Boys’ Cut and Sew Trouser, Slack and Jean Manufacturing </t>
  </si>
  <si>
    <t>Men’s and Boys’ Cut and Sew Work Clothing Manufacturing</t>
  </si>
  <si>
    <t>Men’s and Boys’ Cut and Sew Other Outerwear Manufacturing</t>
  </si>
  <si>
    <t>All Other Cut and Sew Apparel Manufacturing</t>
  </si>
  <si>
    <t>Women’s, Girls’, and Infants’ Cut and Sew Apparel Contractors</t>
  </si>
  <si>
    <t>Women’s and Girls’ Cut and Sew Blouse and Shirt Manufacturing</t>
  </si>
  <si>
    <t>Women's, Girls', and Infants' Cut and Sew Apparel Contractors</t>
  </si>
  <si>
    <t>Women’s and Girls’ Cut and Sew Dress Manufacturing</t>
  </si>
  <si>
    <t>Women’s and Girls’ Cut and Sew Suit, Coat, Tailored Jacket, and Skirt Manufacturing</t>
  </si>
  <si>
    <t xml:space="preserve">Women’s and Girls’ Cut and Sew Other Outerwear Manufacturing </t>
  </si>
  <si>
    <t>Other Apparel Accessories and Other Apparel Manufacturing</t>
  </si>
  <si>
    <t>Men's and Boys' Cut and Sew Underwear and Nightwear Manufacturing</t>
  </si>
  <si>
    <t>Women’s and Girls’ Cut and Sew Lingerie, Loungewear, and Nightwear Manufacturing</t>
  </si>
  <si>
    <t>Infants’ Cut and Sew Apparel Manufacturing</t>
  </si>
  <si>
    <t>Hat, Cap, and Millinery Manufacturing</t>
  </si>
  <si>
    <t>Men's and Boys' Cut and Sew Suit, Coat, and Overcoat Manufacturing</t>
  </si>
  <si>
    <t>Fur and Leather Apparel Manufacturing</t>
  </si>
  <si>
    <t>Glove and Mitten Manufacturing</t>
  </si>
  <si>
    <t>Curtain and Drapery Mills</t>
  </si>
  <si>
    <t>Other Household Textile Product Mills</t>
  </si>
  <si>
    <t>Textile Bag Mills</t>
  </si>
  <si>
    <t>Canvas and Related Product Mills</t>
  </si>
  <si>
    <t>Schiffli Machine Embroidery</t>
  </si>
  <si>
    <t xml:space="preserve">Other Millwork (including Flooring ) </t>
  </si>
  <si>
    <t>Wood Television, Radio, and Sewing Machine Cabinet Manufacturing</t>
  </si>
  <si>
    <t xml:space="preserve">Wood Office Furniture Manufacturing </t>
  </si>
  <si>
    <t>Lead Pencil and Art Good Manufacturing</t>
  </si>
  <si>
    <t>Laboratory Apparatus and Furniture Manufacturing</t>
  </si>
  <si>
    <t>Setup Paperboard Box Manufacturing</t>
  </si>
  <si>
    <t>Fiber Can, Tube, Drum, and Similar Products Manufacturing</t>
  </si>
  <si>
    <t>Nonfolding Sanitary Food Container Manufacturing</t>
  </si>
  <si>
    <t>Coated and Laminated Packaging Paper and Plastics Film Manufacturing</t>
  </si>
  <si>
    <t>Coated and Laminated Paper Manufacturing</t>
  </si>
  <si>
    <t>Plastics, Foil, and Coated Paper Bag Manufacturing</t>
  </si>
  <si>
    <t>Plastics Bag Manufacturing</t>
  </si>
  <si>
    <t>Uncoated Paper and Multiwall Bag Manufacturing</t>
  </si>
  <si>
    <t>Surface-Coated Paperboard Manufacturing</t>
  </si>
  <si>
    <t>Die-Cut Paper and Paperboard Office Supplies Manufacturing</t>
  </si>
  <si>
    <t>Envelope Manufacturing</t>
  </si>
  <si>
    <t>Stationery, Tablet, and Related Product Manufacturing</t>
  </si>
  <si>
    <t>Internet Publishing and Broadcasting</t>
  </si>
  <si>
    <t xml:space="preserve"> Book Publishers</t>
  </si>
  <si>
    <t>Commercial Lithographic Printing</t>
  </si>
  <si>
    <t>Quick Printing</t>
  </si>
  <si>
    <t>Commercial Gravure Printing</t>
  </si>
  <si>
    <t>Commercial Flexographic Printing</t>
  </si>
  <si>
    <t>Digital Printing</t>
  </si>
  <si>
    <t xml:space="preserve">Other Commercial Printing </t>
  </si>
  <si>
    <t>Manifold Business Form Printing</t>
  </si>
  <si>
    <t>Blankbook, Loose-leaf Binder, and Device Manufacturing</t>
  </si>
  <si>
    <t>Tradebinding and Related Work</t>
  </si>
  <si>
    <t>Prepress Services</t>
  </si>
  <si>
    <t>Alkalies and Chlorine Manufacturing</t>
  </si>
  <si>
    <t>Inorganic Dye and Pigment Manufacturing</t>
  </si>
  <si>
    <t>Carbon Black Manufacturing</t>
  </si>
  <si>
    <t>All Other Basic Inorganic Chemical Manufacturing</t>
  </si>
  <si>
    <t>Alumina Refining</t>
  </si>
  <si>
    <t>Cellulosic Organic Fiber Manufacturing</t>
  </si>
  <si>
    <t>Noncellulosic Organic Fiber Manufacturing</t>
  </si>
  <si>
    <t>Pharmaceutical Preparation  Manufacturing</t>
  </si>
  <si>
    <t>Soap and Other Detergent  Manufacturing</t>
  </si>
  <si>
    <t>Surface Active Agent  Manufacturing</t>
  </si>
  <si>
    <t>Gum and Wood Chemical Manufacturing</t>
  </si>
  <si>
    <t>Synthetic Organic Dye and Pigment  Manufacturing</t>
  </si>
  <si>
    <t>Cyclic Crude and Intermediate Manufacturing</t>
  </si>
  <si>
    <t>Fertilizer (Mixing Only) Manufacturing</t>
  </si>
  <si>
    <t>Rubber and Plastics Footwear Manufacturing</t>
  </si>
  <si>
    <t>Resilient Floor Covering Manufacturing</t>
  </si>
  <si>
    <t>Surgical and Appliance and Supplies Manufacturing</t>
  </si>
  <si>
    <t>Game, Toy, and Children's Vehicle Manufacturing</t>
  </si>
  <si>
    <t xml:space="preserve">Custom Compounding of Purchased Resins </t>
  </si>
  <si>
    <t>All Other Leather Good Manufacturing</t>
  </si>
  <si>
    <t>House Slipper Manufacturing</t>
  </si>
  <si>
    <t>Men’s Footwear (except Athletic) Manufacturing</t>
  </si>
  <si>
    <t xml:space="preserve">Women’s Footwear (except Athletic) Manufacturing </t>
  </si>
  <si>
    <t>Other Footwear Manufacturing</t>
  </si>
  <si>
    <t>Luggage Manufacturing</t>
  </si>
  <si>
    <t>Personal Leather Good (except Women’s Handbag and Purse) Manufacturing</t>
  </si>
  <si>
    <t>Costume Jewelry and Novelty Manufacturing</t>
  </si>
  <si>
    <t>Brick and Structural Clay Tile Manufacturing</t>
  </si>
  <si>
    <t>Ceramic Wall and Floor Tile Manufacturing</t>
  </si>
  <si>
    <t>Clay Refractory Manufacturing</t>
  </si>
  <si>
    <t>Other Structural Clay Product Manufacturing</t>
  </si>
  <si>
    <t>Vitreous China Plumbing Fixture and China and Earthenware Bathroom Accessories Manufacturing</t>
  </si>
  <si>
    <t>Vitreous China, Fine Earthenware, and Other Pottery Product Manufacturing</t>
  </si>
  <si>
    <t>Porcelain Electrical Supply Manufacturing</t>
  </si>
  <si>
    <t>Nonclay Refractory Manufacturing</t>
  </si>
  <si>
    <t>Iron and Steel Mills</t>
  </si>
  <si>
    <t>Electrometallurgical Ferroalloy Product Manufacturing</t>
  </si>
  <si>
    <t>Iron and Steel Pipe and Tube Manufacturing from  Purchased Steel</t>
  </si>
  <si>
    <t>Primary Aluminum Production</t>
  </si>
  <si>
    <t>Primary Smelting and Refining of Nonferrous Metal (except Copper and Aluminum)</t>
  </si>
  <si>
    <t>Secondary Smelting, Refining, and Alloying of Copper</t>
  </si>
  <si>
    <t>Copper Rolling, Drawing, and Extruding</t>
  </si>
  <si>
    <t>Aluminum Extruded Product Manufacturing</t>
  </si>
  <si>
    <t>Other Aluminum Rolling and Drawing</t>
  </si>
  <si>
    <t>Copper Wire (except Mechanical) Drawing</t>
  </si>
  <si>
    <t>Aluminum Die-Casting Foundries</t>
  </si>
  <si>
    <t>Nonferrous (except Aluminum) Die-Casting Foundries</t>
  </si>
  <si>
    <t>Copper Foundries (except Die-Casting)</t>
  </si>
  <si>
    <t>Other Nonferrous Foundries (except Die-Casting)</t>
  </si>
  <si>
    <t>Electroplating, Plating, Polishing, Anodizing and Coloring</t>
  </si>
  <si>
    <t>Cutlery and Flatware (except Precious) Manufacturing</t>
  </si>
  <si>
    <t>Hand and Edge Tool Manufacturing</t>
  </si>
  <si>
    <t>Saw Blade and Handsaw Manufacturing</t>
  </si>
  <si>
    <t>Watch, Clock, and Part Manufacturing</t>
  </si>
  <si>
    <t>All Other Motor Vehicle Parts Manufacturing</t>
  </si>
  <si>
    <t>Enameled Iron and Metal Sanitary Ware Manufacturing</t>
  </si>
  <si>
    <t>Plumbing Fixture Fitting and Trim  Manufacturing</t>
  </si>
  <si>
    <t xml:space="preserve">Metal Window and Door Manufacturing  </t>
  </si>
  <si>
    <t xml:space="preserve">Metal Tank (Heavy Gauge) Manufacturing </t>
  </si>
  <si>
    <t>Prefabricated Metal Building and Component  Manufacturing</t>
  </si>
  <si>
    <t>Crown and Closure Manufacturing</t>
  </si>
  <si>
    <t>Metal Stamping</t>
  </si>
  <si>
    <t>Kitchen Utensil, Pot, and Pan Manufacturing</t>
  </si>
  <si>
    <t>Jewelry (except Costume) Manufacturing</t>
  </si>
  <si>
    <t>Silverware and Holloware Manufacturing</t>
  </si>
  <si>
    <t>Small Arms Manufacturing</t>
  </si>
  <si>
    <t>Other Ordnance and Accessories Manufacturing</t>
  </si>
  <si>
    <t>Spring (Heavy Gauge) Manufacturing</t>
  </si>
  <si>
    <t>Spring (Light Gauge) Manufacturing</t>
  </si>
  <si>
    <t>Laminated Aluminum Foil Manufacturing for Flexible Packaging Uses</t>
  </si>
  <si>
    <t>Machine Tool (Metal Cutting Types) Manufacturing</t>
  </si>
  <si>
    <t>Machine Tool (Metal Forming Types) Manufacturing</t>
  </si>
  <si>
    <t>Industrial Pattern Manufacturing</t>
  </si>
  <si>
    <t>Power-Driven Hand Tool Manufacturing</t>
  </si>
  <si>
    <t>Rolling Mill Machinery and Equipment Manufacturing</t>
  </si>
  <si>
    <t>Other Metalworking Machinery Manufacturing</t>
  </si>
  <si>
    <t>Textile Machinery Manufacturing</t>
  </si>
  <si>
    <t>Sawmill and Woodworking Machinery Manufacturing</t>
  </si>
  <si>
    <t>Paper Industry Machinery Manufacturing</t>
  </si>
  <si>
    <t>Plastics and Rubber Industry Machinery Manufacturing</t>
  </si>
  <si>
    <t>All Other Industrial Machinery Manufacturing</t>
  </si>
  <si>
    <t>Pump and Pumping Equipment Manufacturing</t>
  </si>
  <si>
    <t xml:space="preserve">Air and Gas Compressor Manufacturing </t>
  </si>
  <si>
    <t>Air Purification Equipment Manufacturing</t>
  </si>
  <si>
    <t>Industrial and Commercial Fan and Blower Manufacturing</t>
  </si>
  <si>
    <t>All Other Miscellaneous General Purpose Machinery  Manufacturing</t>
  </si>
  <si>
    <t>Computer Terminal Manufacturing</t>
  </si>
  <si>
    <t>Other Computer Peripheral Equipment Manufacturing</t>
  </si>
  <si>
    <t>Magnetic and Optical Recording Media Manufacturing</t>
  </si>
  <si>
    <t>Automatic Vending Machine Manufacturing</t>
  </si>
  <si>
    <t>Office Machinery Manufacturing</t>
  </si>
  <si>
    <t>Commercial Laundry, Drycleaning, and Pressing Machine Manufacturing</t>
  </si>
  <si>
    <t>Motor Vehicle Air-Conditioning Manufacturing</t>
  </si>
  <si>
    <t>Measuring and Dispensing Pump Manufacturing</t>
  </si>
  <si>
    <t>Carburetor, Piston, Piston Ring, and Valve Manufacturing</t>
  </si>
  <si>
    <t>Scale and Balance (except Laboratory) Manufacturing</t>
  </si>
  <si>
    <t>Household Cooking Appliance Manufacturing</t>
  </si>
  <si>
    <t>Household Refrigerator and Home Freezer Manufacturing</t>
  </si>
  <si>
    <t>Household Laundry Equipment Manufacturing</t>
  </si>
  <si>
    <t>Electric Housewares and Household Fan Manufacturing</t>
  </si>
  <si>
    <t>Household Vacuum Cleaner Manufacturing</t>
  </si>
  <si>
    <t>Other Major Household Appliance Manufacturing</t>
  </si>
  <si>
    <t xml:space="preserve">Residential Electric Lighting Fixture Manufacturing </t>
  </si>
  <si>
    <t>Vehicular Lighting Equipment Manufacturing</t>
  </si>
  <si>
    <t>Prerecorded Compact Disc (except Software), Tape, and Record Reproducing</t>
  </si>
  <si>
    <t>Integrated Record Production/Distribution</t>
  </si>
  <si>
    <t>Electron Tube Manufacturing</t>
  </si>
  <si>
    <t>Electronic Capacitor Manufacturing</t>
  </si>
  <si>
    <t>Electronic Resistor Manufacturing</t>
  </si>
  <si>
    <t>Electronic Coil, Transformer, and Other Inductor Manufacturing</t>
  </si>
  <si>
    <t>Other Motor Vehicle Electrical and Electronic Equipment Manufacturing</t>
  </si>
  <si>
    <t xml:space="preserve">Light Truck and Utility Vehicle Manufacturing </t>
  </si>
  <si>
    <t>Gasoline Engine and Engine Parts Manufacturing</t>
  </si>
  <si>
    <t>Research and Development in the Physical, Engineering, and Life Sciences</t>
  </si>
  <si>
    <t>Other Aircraft Part and Auxiliary Equipment Manufacturing</t>
  </si>
  <si>
    <t xml:space="preserve">Boat Building </t>
  </si>
  <si>
    <t>Search, Detection, Navigation, Guidance, Aeronautical, and  Nautical System and Instrument Manufacturing</t>
  </si>
  <si>
    <t>Jewelers' Material and Lapidary Work Manufacturing</t>
  </si>
  <si>
    <t>Doll and Stuffed Toy Manufacturing</t>
  </si>
  <si>
    <t>Pen and Mechanical Pencil Manufacturing</t>
  </si>
  <si>
    <t>Marking Device Manufacturing</t>
  </si>
  <si>
    <t>Carbon Paper and Inked Ribbon Manufacturing</t>
  </si>
  <si>
    <t>Couriers</t>
  </si>
  <si>
    <t>General  Warehousing and Storage</t>
  </si>
  <si>
    <t>Paging</t>
  </si>
  <si>
    <t>Cellular and Other Wireless Telecommunications</t>
  </si>
  <si>
    <t>Telecommunications Resellers</t>
  </si>
  <si>
    <t xml:space="preserve">Television Broadcasting </t>
  </si>
  <si>
    <t>Cable and Other Program Distribution</t>
  </si>
  <si>
    <t>Other Telecommunications</t>
  </si>
  <si>
    <t>Office Supplies and Stationary Stores</t>
  </si>
  <si>
    <t>Computer and Software Stores</t>
  </si>
  <si>
    <t xml:space="preserve">All Other Health and Personal Care Stores </t>
  </si>
  <si>
    <t>Electrical and Electronic Appliance, Television, and Radio Set Merchant Wholesalers</t>
  </si>
  <si>
    <t>Radio, Television, and Other Electronics Stores</t>
  </si>
  <si>
    <t xml:space="preserve">Plumbing and Heating Equipment and Supplies (Hydronics) Merchant Wholesalers </t>
  </si>
  <si>
    <t>All Other Miscellaneous Store Retailers (except Tobacco Stores)</t>
  </si>
  <si>
    <t>Prerecorded Tape, Compact Disc, and Record Stores</t>
  </si>
  <si>
    <t>Drugs and Druggists’ Sundries Merchant Wholesalers</t>
  </si>
  <si>
    <t>Men’s and Boys’ Clothing and Furnishings Merchant Wholesalers</t>
  </si>
  <si>
    <t>Women’s, Children’s, and Infants’ Clothing and Accessories Merchant Wholesalers</t>
  </si>
  <si>
    <t>Nurseries, Garden Centers, and Farm Supply Stores</t>
  </si>
  <si>
    <t>Heating Oil Dealers</t>
  </si>
  <si>
    <t>Flower, Nursery Stock, and Florists’ Supplies Merchant Wholesalers</t>
  </si>
  <si>
    <t>Department Stores (except Discount Department Stores)</t>
  </si>
  <si>
    <t>Discount Department Stores</t>
  </si>
  <si>
    <t xml:space="preserve">Confectionery and Nut Stores </t>
  </si>
  <si>
    <t>All Other Motor Vehicle Dealers</t>
  </si>
  <si>
    <t xml:space="preserve">Other Clothing Stores </t>
  </si>
  <si>
    <t>Cafeterias</t>
  </si>
  <si>
    <t>Camera and Photographic Supplies Stores</t>
  </si>
  <si>
    <t>Electronic Shopping</t>
  </si>
  <si>
    <t>Electronic Auctions</t>
  </si>
  <si>
    <t>Mail-Order Houses</t>
  </si>
  <si>
    <t>Other Fuel Dealers</t>
  </si>
  <si>
    <t>Monetary Authorities - Central Bank</t>
  </si>
  <si>
    <t>Lessors of Nonresidential Buildings (except Miniwarehouses)</t>
  </si>
  <si>
    <t>Offices of  Bank Holding Companies</t>
  </si>
  <si>
    <t>Offices of  Other Holding Companies</t>
  </si>
  <si>
    <t xml:space="preserve">Lessors of Nonfinancial Intangible Assets (except Copyrighted Works) </t>
  </si>
  <si>
    <t>Diet and Weight Reducing  Centers</t>
  </si>
  <si>
    <t>Display Advertising</t>
  </si>
  <si>
    <t>541890</t>
  </si>
  <si>
    <t xml:space="preserve"> Credit Bureaus</t>
  </si>
  <si>
    <t>Human Resources and Executive Search Consulting Services</t>
  </si>
  <si>
    <t>Software Reproducing</t>
  </si>
  <si>
    <t xml:space="preserve"> Software Publishers</t>
  </si>
  <si>
    <t xml:space="preserve">Data Processing, Hosting, and Related Services </t>
  </si>
  <si>
    <t>Internet Service Providers</t>
  </si>
  <si>
    <t xml:space="preserve">Building Inspection Services  </t>
  </si>
  <si>
    <t>Telemarketing Bureaus</t>
  </si>
  <si>
    <t>Agents and Managers for Artists, Athletes, Entertainers,  and Other Public Figures</t>
  </si>
  <si>
    <t xml:space="preserve">Passenger Car Leasing  </t>
  </si>
  <si>
    <t xml:space="preserve">Automotive Body, Paint, and Interior Repair and Maintenance </t>
  </si>
  <si>
    <t xml:space="preserve"> Teleproduction and Other Postproduction Services</t>
  </si>
  <si>
    <t>Other  Motion Picture and Video Industries</t>
  </si>
  <si>
    <t>Offices of Physical, Occupational Speech Therapists, and Audiologists</t>
  </si>
  <si>
    <t>Nursing Care Facilities</t>
  </si>
  <si>
    <t>Residential Mental Retardation Facilities</t>
  </si>
  <si>
    <t xml:space="preserve">Continuing Care Retirement Communities </t>
  </si>
  <si>
    <t xml:space="preserve">Offices of Lawyers </t>
  </si>
  <si>
    <t xml:space="preserve">Computer Training </t>
  </si>
  <si>
    <t>Homes for the Elderly</t>
  </si>
  <si>
    <t>Architectural  Services</t>
  </si>
  <si>
    <t xml:space="preserve">Administrative Management and General Management Consulting Services </t>
  </si>
  <si>
    <t xml:space="preserve">Record Production </t>
  </si>
  <si>
    <t>Web Search Portals</t>
  </si>
  <si>
    <t xml:space="preserve">Executive and Legislative Offices, Combined </t>
  </si>
  <si>
    <t>All Other Justice, Public Order, and Safety Activities</t>
  </si>
  <si>
    <t>Administration of Human Resource Programs (except Education, Public Health, and Veteran’s Affairs Programs)</t>
  </si>
  <si>
    <t>Administration of Veteran’s Affairs</t>
  </si>
  <si>
    <t>Aux</t>
  </si>
  <si>
    <t>These establishments were included as auxiliaries in the 1987 Standard Industrial Classification</t>
  </si>
  <si>
    <t>Null Set for U.S.</t>
  </si>
  <si>
    <t>Dual Purpose Cattle Ranching and Farming</t>
  </si>
  <si>
    <t>2002 NAICS U.S. Matched to 2007 NAICS U.S. (Full Concordance)</t>
  </si>
  <si>
    <t>(Note:  2007 NAICS codes in bold indicate pieces of the 2007 industry came from more than one 2002 NAICS industry; 2002 NAICS codes in italics indicate the 2002 industry split to two or more 2007 NAICS industries.)</t>
  </si>
  <si>
    <t>2002 NAICS Code</t>
  </si>
  <si>
    <r>
      <t>2002 NAICS Title
(</t>
    </r>
    <r>
      <rPr>
        <b/>
        <i/>
        <sz val="10"/>
        <rFont val="Arial"/>
        <family val="2"/>
      </rPr>
      <t xml:space="preserve">and specific piece of the 2002 industry that is contained in the 2007 industry) </t>
    </r>
  </si>
  <si>
    <t>2007 NAICS Code</t>
  </si>
  <si>
    <t>2007 NAICS Title</t>
  </si>
  <si>
    <r>
      <t xml:space="preserve">Other Vegetable (except Potato) and Melon Farming - </t>
    </r>
    <r>
      <rPr>
        <i/>
        <sz val="10"/>
        <rFont val="Arial"/>
        <family val="2"/>
      </rPr>
      <t>sweet potato and yam farming</t>
    </r>
  </si>
  <si>
    <r>
      <t xml:space="preserve">Other Vegetable (except Potato) and Melon Farming - </t>
    </r>
    <r>
      <rPr>
        <i/>
        <sz val="10"/>
        <rFont val="Arial"/>
        <family val="2"/>
      </rPr>
      <t>except sweet potato and yam farming</t>
    </r>
  </si>
  <si>
    <r>
      <t xml:space="preserve">All Other Miscellaneous Crop Farming - </t>
    </r>
    <r>
      <rPr>
        <i/>
        <sz val="10"/>
        <rFont val="Arial"/>
        <family val="2"/>
      </rPr>
      <t>except algae, seaweed, and other plant aquaculture</t>
    </r>
  </si>
  <si>
    <r>
      <t xml:space="preserve">All Other Miscellaneous Crop Farming - </t>
    </r>
    <r>
      <rPr>
        <i/>
        <sz val="10"/>
        <rFont val="Arial"/>
        <family val="2"/>
      </rPr>
      <t>algae, seaweed, and other plant aquaculture</t>
    </r>
  </si>
  <si>
    <r>
      <t xml:space="preserve">Other Animal Aquaculture - </t>
    </r>
    <r>
      <rPr>
        <i/>
        <sz val="10"/>
        <rFont val="Arial"/>
        <family val="2"/>
      </rPr>
      <t>animal aquaculture except finfish and shellfish</t>
    </r>
  </si>
  <si>
    <t>Dry Pasta Manufacturing</t>
  </si>
  <si>
    <t>Yarn Texturizing, Throwing, and Twisting Mills</t>
  </si>
  <si>
    <r>
      <t xml:space="preserve">Men's and Boys' Cut and Sew Apparel Contractors - </t>
    </r>
    <r>
      <rPr>
        <i/>
        <sz val="10"/>
        <rFont val="Arial"/>
        <family val="2"/>
      </rPr>
      <t>embroidery contractors</t>
    </r>
  </si>
  <si>
    <r>
      <t xml:space="preserve">Men's and Boys' Cut and Sew Apparel Contractors - </t>
    </r>
    <r>
      <rPr>
        <i/>
        <sz val="10"/>
        <rFont val="Arial"/>
        <family val="2"/>
      </rPr>
      <t>except embroidery contractors</t>
    </r>
  </si>
  <si>
    <r>
      <t xml:space="preserve">Women's, Girls', and Infants' Cut and Sew Apparel Contractors - </t>
    </r>
    <r>
      <rPr>
        <i/>
        <sz val="10"/>
        <rFont val="Arial"/>
        <family val="2"/>
      </rPr>
      <t>embroidery contractors</t>
    </r>
  </si>
  <si>
    <r>
      <t xml:space="preserve">Women's, Girls', and Infants' Cut and Sew Apparel Contractors - </t>
    </r>
    <r>
      <rPr>
        <i/>
        <sz val="10"/>
        <rFont val="Arial"/>
        <family val="2"/>
      </rPr>
      <t>except embroidery contractors</t>
    </r>
  </si>
  <si>
    <t>Women's Girls', and Infants' Cut and Sew Apparel Contractors</t>
  </si>
  <si>
    <t>Men's and Boys' Cut and Sew Shirt (except Work Shirt) Manufacturing</t>
  </si>
  <si>
    <t>Men's and Boys' Cut and Sew Trouser, Slack, and Jean Manufacturing</t>
  </si>
  <si>
    <t>Men's and Boys' Cut and Sew Work Clothing Manufacturing</t>
  </si>
  <si>
    <t>Men's and Boys' Cut and Sew Other Outerwear Manufacturing</t>
  </si>
  <si>
    <t>Women's and Girls' Cut and Sew Lingerie, Loungewear, and Nightwear Manufacturing</t>
  </si>
  <si>
    <t>Women's and Girls' Cut and Sew Blouse and Shirt Manufacturing</t>
  </si>
  <si>
    <t>Women's and Girls' Cut and Sew Dress Manufacturing</t>
  </si>
  <si>
    <t>Women's and Girls' Cut and Sew Suit, Coat, Tailored Jacket, and Skirt Manufacturing</t>
  </si>
  <si>
    <t>Women's and Girls' Cut and Sew Other Outerwear Manufacturing</t>
  </si>
  <si>
    <t>Infants' Cut and Sew Apparel Manufacturing</t>
  </si>
  <si>
    <t>Men's and Boys' Neckwear Manufacturing</t>
  </si>
  <si>
    <t>Men's Footwear (except Athletic) Manufacturing</t>
  </si>
  <si>
    <t>Women's Footwear (except Athletic) Manufacturing</t>
  </si>
  <si>
    <t>Personal Leather Good (except Women's Handbag and Purse) Manufacturing</t>
  </si>
  <si>
    <t>Coated and Laminated Packaging Paper Manufacturing</t>
  </si>
  <si>
    <t>Coated Paper Bag and Pouch Manufacturing</t>
  </si>
  <si>
    <t>Manifold Business Forms Printing</t>
  </si>
  <si>
    <t>Blankbook, Looseleaf Binders, and Devices Manufacturing</t>
  </si>
  <si>
    <t>Other Commercial Printing</t>
  </si>
  <si>
    <t>Synthetic Organic Dye and Pigment Manufacturing</t>
  </si>
  <si>
    <r>
      <t xml:space="preserve">All Other Plastics Product Manufacturing - </t>
    </r>
    <r>
      <rPr>
        <i/>
        <sz val="10"/>
        <rFont val="Arial"/>
        <family val="2"/>
      </rPr>
      <t>except inflatable plastics boats</t>
    </r>
  </si>
  <si>
    <r>
      <t xml:space="preserve">All Other Plastics Product Manufacturing - </t>
    </r>
    <r>
      <rPr>
        <i/>
        <sz val="10"/>
        <rFont val="Arial"/>
        <family val="2"/>
      </rPr>
      <t>inflatable plastics boats</t>
    </r>
  </si>
  <si>
    <r>
      <t xml:space="preserve">Rubber Product Manufacturing for Mechanical Use - </t>
    </r>
    <r>
      <rPr>
        <i/>
        <sz val="10"/>
        <rFont val="Arial"/>
        <family val="2"/>
      </rPr>
      <t>except rubber tubing for mechanical use</t>
    </r>
  </si>
  <si>
    <r>
      <t xml:space="preserve">Rubber Product Manufacturing for Mechanical Use - </t>
    </r>
    <r>
      <rPr>
        <i/>
        <sz val="10"/>
        <rFont val="Arial"/>
        <family val="2"/>
      </rPr>
      <t>rubber tubing for mechanical use</t>
    </r>
  </si>
  <si>
    <r>
      <t xml:space="preserve">All Other Rubber Product Manufacturing - </t>
    </r>
    <r>
      <rPr>
        <i/>
        <sz val="10"/>
        <rFont val="Arial"/>
        <family val="2"/>
      </rPr>
      <t>except inflatable rubber boats</t>
    </r>
  </si>
  <si>
    <r>
      <t>All Other Rubber Product Manufacturing - i</t>
    </r>
    <r>
      <rPr>
        <i/>
        <sz val="10"/>
        <rFont val="Arial"/>
        <family val="2"/>
      </rPr>
      <t>nflatable rubber boats</t>
    </r>
  </si>
  <si>
    <r>
      <t xml:space="preserve">Radio and Television Broadcasting and Wireless Communications Equipment Manufacturing - </t>
    </r>
    <r>
      <rPr>
        <i/>
        <sz val="10"/>
        <rFont val="Arial"/>
        <family val="2"/>
      </rPr>
      <t>except communications signal testing and evaluation equipment</t>
    </r>
  </si>
  <si>
    <r>
      <t xml:space="preserve">Radio and Television Broadcasting and Wireless Communications Equipment Manufacturing - </t>
    </r>
    <r>
      <rPr>
        <i/>
        <sz val="10"/>
        <rFont val="Arial"/>
        <family val="2"/>
      </rPr>
      <t>communications signal testing and evaluation equipment</t>
    </r>
  </si>
  <si>
    <r>
      <t xml:space="preserve">Laboratory Apparatus and Furniture Manufacturing - </t>
    </r>
    <r>
      <rPr>
        <i/>
        <sz val="10"/>
        <rFont val="Arial"/>
        <family val="2"/>
      </rPr>
      <t>laboratory distilling equipment</t>
    </r>
  </si>
  <si>
    <r>
      <t xml:space="preserve">Laboratory Apparatus and Furniture Manufacturing - </t>
    </r>
    <r>
      <rPr>
        <i/>
        <sz val="10"/>
        <rFont val="Arial"/>
        <family val="2"/>
      </rPr>
      <t>laboratory freezers</t>
    </r>
  </si>
  <si>
    <r>
      <t xml:space="preserve">Laboratory Apparatus and Furniture Manufacturing - </t>
    </r>
    <r>
      <rPr>
        <i/>
        <sz val="10"/>
        <rFont val="Arial"/>
        <family val="2"/>
      </rPr>
      <t>laboratory furnaces and ovens</t>
    </r>
  </si>
  <si>
    <r>
      <t xml:space="preserve">Laboratory Apparatus and Furniture Manufacturing - </t>
    </r>
    <r>
      <rPr>
        <i/>
        <sz val="10"/>
        <rFont val="Arial"/>
        <family val="2"/>
      </rPr>
      <t>laboratory scales and balances</t>
    </r>
  </si>
  <si>
    <r>
      <t xml:space="preserve">Laboratory Apparatus and Furniture Manufacturing - </t>
    </r>
    <r>
      <rPr>
        <i/>
        <sz val="10"/>
        <rFont val="Arial"/>
        <family val="2"/>
      </rPr>
      <t>laboratory centrifuges</t>
    </r>
  </si>
  <si>
    <r>
      <t xml:space="preserve">Laboratory Apparatus and Furniture Manufacturing - </t>
    </r>
    <r>
      <rPr>
        <i/>
        <sz val="10"/>
        <rFont val="Arial"/>
        <family val="2"/>
      </rPr>
      <t>laboratory furniture (e.g., stools, tables, benches)</t>
    </r>
  </si>
  <si>
    <r>
      <t xml:space="preserve">Laboratory Apparatus and Furniture Manufacturing - </t>
    </r>
    <r>
      <rPr>
        <i/>
        <sz val="10"/>
        <rFont val="Arial"/>
        <family val="2"/>
      </rPr>
      <t>except laboratory distilling equipment, freezers, furnaces, ovens, scales, balances, centrifuges, and furniture</t>
    </r>
  </si>
  <si>
    <t>Silverware and Hollowware Manufacturing</t>
  </si>
  <si>
    <t>Electrical Apparatus and Equipment, Wiring Supplies, and Related Equipment Merchant  Wholesalers</t>
  </si>
  <si>
    <t>Motorcycle, ATV, and Personal Watercraft Dealers</t>
  </si>
  <si>
    <t>Record Production</t>
  </si>
  <si>
    <t>Television Broadcasting</t>
  </si>
  <si>
    <t>Internet Publishing and Broadcasting and Web Search Portals</t>
  </si>
  <si>
    <t>Wireless Telecommunications Carriers (except Satellite)</t>
  </si>
  <si>
    <r>
      <t xml:space="preserve">Internet Service Providers - </t>
    </r>
    <r>
      <rPr>
        <i/>
        <sz val="10"/>
        <rFont val="Arial"/>
        <family val="2"/>
      </rPr>
      <t>broadband Internet service providers (e.g., cable, DSL)</t>
    </r>
  </si>
  <si>
    <r>
      <t xml:space="preserve">Internet Service Providers - </t>
    </r>
    <r>
      <rPr>
        <i/>
        <sz val="10"/>
        <rFont val="Arial"/>
        <family val="2"/>
      </rPr>
      <t>Internet services providers providing services via client-supplied telecommunications connection</t>
    </r>
  </si>
  <si>
    <r>
      <t xml:space="preserve">Real Estate Investment Trusts - </t>
    </r>
    <r>
      <rPr>
        <i/>
        <sz val="10"/>
        <rFont val="Arial"/>
        <family val="2"/>
      </rPr>
      <t>hybrid or mortgage REIT's primarily underwriting or investing in mortgages</t>
    </r>
  </si>
  <si>
    <r>
      <t xml:space="preserve">Real Estate Investment Trusts - </t>
    </r>
    <r>
      <rPr>
        <i/>
        <sz val="10"/>
        <rFont val="Arial"/>
        <family val="2"/>
      </rPr>
      <t>hybrid or equity REIT's primarily leasing residentdial buildings and dwellings</t>
    </r>
  </si>
  <si>
    <r>
      <t xml:space="preserve">Real Estate Investment Trusts - </t>
    </r>
    <r>
      <rPr>
        <i/>
        <sz val="10"/>
        <rFont val="Arial"/>
        <family val="2"/>
      </rPr>
      <t>hybrid or equity REIT's primarily leasing nonresidentdial buildings</t>
    </r>
  </si>
  <si>
    <r>
      <t xml:space="preserve">Real Estate Investment Trusts - </t>
    </r>
    <r>
      <rPr>
        <i/>
        <sz val="10"/>
        <rFont val="Arial"/>
        <family val="2"/>
      </rPr>
      <t>hybrid or equity REIT's primarily leasing miniwarehouses or self-storage units</t>
    </r>
  </si>
  <si>
    <r>
      <t xml:space="preserve">Real Estate Investment Trusts - </t>
    </r>
    <r>
      <rPr>
        <i/>
        <sz val="10"/>
        <rFont val="Arial"/>
        <family val="2"/>
      </rPr>
      <t>hybrid or equity REIT's primarily leasing other real estate property</t>
    </r>
  </si>
  <si>
    <r>
      <t xml:space="preserve">Human Resources and Executive Search Consulting Services - </t>
    </r>
    <r>
      <rPr>
        <i/>
        <sz val="10"/>
        <rFont val="Arial"/>
        <family val="2"/>
      </rPr>
      <t>except executive search consulting services</t>
    </r>
  </si>
  <si>
    <t>Human Resourse Consulting Services</t>
  </si>
  <si>
    <r>
      <t xml:space="preserve">Human Resources and Executive Search Consulting Services - </t>
    </r>
    <r>
      <rPr>
        <i/>
        <sz val="10"/>
        <rFont val="Arial"/>
        <family val="2"/>
      </rPr>
      <t>executive search consulting services</t>
    </r>
  </si>
  <si>
    <r>
      <t xml:space="preserve">Research and Development in the Physical, Engineering, and Life Sciences - </t>
    </r>
    <r>
      <rPr>
        <i/>
        <sz val="10"/>
        <rFont val="Arial"/>
        <family val="2"/>
      </rPr>
      <t>biotechnology research and developmen</t>
    </r>
    <r>
      <rPr>
        <sz val="10"/>
        <rFont val="Arial"/>
        <family val="2"/>
      </rPr>
      <t>t</t>
    </r>
  </si>
  <si>
    <t>Research and Development in Biotechnology</t>
  </si>
  <si>
    <r>
      <t xml:space="preserve">Research and Development in the Physical, Engineering, and Life Sciences - </t>
    </r>
    <r>
      <rPr>
        <i/>
        <sz val="10"/>
        <rFont val="Arial"/>
        <family val="2"/>
      </rPr>
      <t>except biotechnology research and development</t>
    </r>
  </si>
  <si>
    <t>Research and Development in the Physical, Engineering, and Life Sciences (except Biotechnology)</t>
  </si>
  <si>
    <t>2007 NAICS U.S. Matched to 2012 NAICS U.S. (Full Concordance)</t>
  </si>
  <si>
    <t>(Note:  2012 NAICS codes in bold indicate pieces of the 2012 industry came from more than one 2007 NAICS industry; 2007 NAICS codes in italics indicate the 2007 industry split to two or more 2012 NAICS industries.)</t>
  </si>
  <si>
    <r>
      <t xml:space="preserve">2007 NAICS Title
</t>
    </r>
    <r>
      <rPr>
        <b/>
        <i/>
        <sz val="10"/>
        <rFont val="Arial"/>
        <family val="2"/>
      </rPr>
      <t>(and specific piece of the 2007 industry that is contained in the 2012 industry)</t>
    </r>
  </si>
  <si>
    <t>2012 NAICS Code</t>
  </si>
  <si>
    <t>2012 NAICS Title</t>
  </si>
  <si>
    <r>
      <t xml:space="preserve">Other Electric Power Generation - </t>
    </r>
    <r>
      <rPr>
        <i/>
        <sz val="10"/>
        <rFont val="Arial"/>
        <family val="2"/>
      </rPr>
      <t>solar electric power generation</t>
    </r>
  </si>
  <si>
    <r>
      <t xml:space="preserve">Other Electric Power Generation - </t>
    </r>
    <r>
      <rPr>
        <i/>
        <sz val="10"/>
        <rFont val="Arial"/>
        <family val="2"/>
      </rPr>
      <t>wind electric power generation</t>
    </r>
  </si>
  <si>
    <r>
      <t xml:space="preserve">Other Electric Power Generation - </t>
    </r>
    <r>
      <rPr>
        <i/>
        <sz val="10"/>
        <rFont val="Arial"/>
        <family val="2"/>
      </rPr>
      <t>geothermal electric power generation</t>
    </r>
  </si>
  <si>
    <r>
      <t xml:space="preserve">Other Electric Power Generation - </t>
    </r>
    <r>
      <rPr>
        <i/>
        <sz val="10"/>
        <rFont val="Arial"/>
        <family val="2"/>
      </rPr>
      <t>biomass electric power generation</t>
    </r>
  </si>
  <si>
    <r>
      <t xml:space="preserve">Other Electric Power Generation - </t>
    </r>
    <r>
      <rPr>
        <i/>
        <sz val="10"/>
        <rFont val="Arial"/>
        <family val="2"/>
      </rPr>
      <t>except solar, wind, geothermal, and biomass electric power generation</t>
    </r>
  </si>
  <si>
    <r>
      <t xml:space="preserve">Other Foundation, Structure, and Building Exterior Contractors - </t>
    </r>
    <r>
      <rPr>
        <i/>
        <sz val="10"/>
        <rFont val="Arial"/>
        <family val="2"/>
      </rPr>
      <t>except building fireproofing contractors</t>
    </r>
  </si>
  <si>
    <r>
      <t xml:space="preserve">Other Foundation, Structure, and Building Exterior Contractors - </t>
    </r>
    <r>
      <rPr>
        <i/>
        <sz val="10"/>
        <rFont val="Arial"/>
        <family val="2"/>
      </rPr>
      <t>building fireproofing contractors</t>
    </r>
  </si>
  <si>
    <r>
      <t xml:space="preserve">Flooring Contractors - </t>
    </r>
    <r>
      <rPr>
        <i/>
        <sz val="10"/>
        <rFont val="Arial"/>
        <family val="2"/>
      </rPr>
      <t>fireproof flooring construction contractors</t>
    </r>
  </si>
  <si>
    <r>
      <t xml:space="preserve">Flooring Contractors - </t>
    </r>
    <r>
      <rPr>
        <i/>
        <sz val="10"/>
        <rFont val="Arial"/>
        <family val="2"/>
      </rPr>
      <t>except fireproof flooring construction contractors</t>
    </r>
  </si>
  <si>
    <r>
      <t xml:space="preserve">Other Computer Peripheral Equipment Manufacturing - </t>
    </r>
    <r>
      <rPr>
        <i/>
        <sz val="10"/>
        <rFont val="Arial"/>
        <family val="2"/>
      </rPr>
      <t>digital camera manufacturing</t>
    </r>
  </si>
  <si>
    <r>
      <t xml:space="preserve">Other Computer Peripheral Equipment Manufacturing - </t>
    </r>
    <r>
      <rPr>
        <i/>
        <sz val="10"/>
        <rFont val="Arial"/>
        <family val="2"/>
      </rPr>
      <t>except digital camera manufacturing</t>
    </r>
  </si>
  <si>
    <r>
      <t xml:space="preserve">Electrical and Electronic Appliance, Television, and Radio Set Merchant Wholesalers - </t>
    </r>
    <r>
      <rPr>
        <i/>
        <sz val="10"/>
        <rFont val="Arial"/>
        <family val="2"/>
      </rPr>
      <t>except electric water heaters</t>
    </r>
  </si>
  <si>
    <r>
      <t xml:space="preserve">Electrical and Electronic Appliance, Television, and Radio Set Merchant Wholesalers - </t>
    </r>
    <r>
      <rPr>
        <i/>
        <sz val="10"/>
        <rFont val="Arial"/>
        <family val="2"/>
      </rPr>
      <t>electric water heaters</t>
    </r>
  </si>
  <si>
    <r>
      <t xml:space="preserve">Plumbing and Heating Equipment and Supplies (Hydronics) Merchant Wholesalers - </t>
    </r>
    <r>
      <rPr>
        <i/>
        <sz val="10"/>
        <rFont val="Arial"/>
        <family val="2"/>
      </rPr>
      <t>gas household appliances</t>
    </r>
  </si>
  <si>
    <r>
      <t xml:space="preserve">Plumbing and Heating Equipment and Supplies (Hydronics) Merchant Wholesalers - </t>
    </r>
    <r>
      <rPr>
        <i/>
        <sz val="10"/>
        <rFont val="Arial"/>
        <family val="2"/>
      </rPr>
      <t>except</t>
    </r>
    <r>
      <rPr>
        <sz val="10"/>
        <rFont val="Arial"/>
        <family val="2"/>
      </rPr>
      <t xml:space="preserve"> </t>
    </r>
    <r>
      <rPr>
        <i/>
        <sz val="10"/>
        <rFont val="Arial"/>
        <family val="2"/>
      </rPr>
      <t>gas household appliances</t>
    </r>
  </si>
  <si>
    <t>2012 NAICS U.S. Matched to 2017 NAICS U.S. (Full Concordance)</t>
  </si>
  <si>
    <t>(Note:  2017 NAICS codes in bold indicate pieces of the 2017 industry came from more than one 2012 NAICS industry; 2012 NAICS codes in italics indicate the 2012 industry split to two or more 2017 NAICS industries.)</t>
  </si>
  <si>
    <r>
      <t xml:space="preserve">2012 NAICS Title
</t>
    </r>
    <r>
      <rPr>
        <b/>
        <i/>
        <sz val="10"/>
        <rFont val="Arial"/>
        <family val="2"/>
      </rPr>
      <t>(and specific piece of the 2012 industry that is contained in the 2017 industry)</t>
    </r>
  </si>
  <si>
    <t>2017 NAICS Title</t>
  </si>
  <si>
    <r>
      <t xml:space="preserve">Crude Petroleum and Natural Gas Extraction - </t>
    </r>
    <r>
      <rPr>
        <i/>
        <sz val="10"/>
        <rFont val="Arial"/>
        <family val="2"/>
      </rPr>
      <t>crude petroleum extraction</t>
    </r>
  </si>
  <si>
    <r>
      <t xml:space="preserve">Crude Petroleum and Natural Gas Extraction - </t>
    </r>
    <r>
      <rPr>
        <i/>
        <sz val="10"/>
        <rFont val="Arial"/>
        <family val="2"/>
      </rPr>
      <t>natural gas extraction</t>
    </r>
  </si>
  <si>
    <r>
      <t xml:space="preserve">Discount Department Stores - </t>
    </r>
    <r>
      <rPr>
        <i/>
        <sz val="10"/>
        <rFont val="Arial"/>
        <family val="2"/>
      </rPr>
      <t>insignificant perishable grocery sales</t>
    </r>
  </si>
  <si>
    <r>
      <t xml:space="preserve">Discount Department Stores - </t>
    </r>
    <r>
      <rPr>
        <i/>
        <sz val="10"/>
        <rFont val="Arial"/>
        <family val="2"/>
      </rPr>
      <t>significant perishable grocery sales</t>
    </r>
  </si>
  <si>
    <r>
      <t xml:space="preserve">Research and Development in Biotechnology - </t>
    </r>
    <r>
      <rPr>
        <i/>
        <sz val="10"/>
        <rFont val="Arial"/>
        <family val="2"/>
      </rPr>
      <t>nanobiotechnologies research and experimental development laboratories</t>
    </r>
  </si>
  <si>
    <r>
      <t xml:space="preserve">Research and Development in Biotechnology - </t>
    </r>
    <r>
      <rPr>
        <i/>
        <sz val="10"/>
        <rFont val="Arial"/>
        <family val="2"/>
      </rPr>
      <t xml:space="preserve">except nanobiotechnologies research and experimental development laboratories </t>
    </r>
  </si>
  <si>
    <r>
      <t xml:space="preserve">Research and Development in the Physical, Engineering, and Life Sciences (except Biotechnology) - </t>
    </r>
    <r>
      <rPr>
        <i/>
        <sz val="10"/>
        <rFont val="Arial"/>
        <family val="2"/>
      </rPr>
      <t>nanotechnology research and experimental development laboratories</t>
    </r>
  </si>
  <si>
    <r>
      <t>Research and Development in the Physical, Engineering, and Life Sciences (except Biotechnology) -</t>
    </r>
    <r>
      <rPr>
        <i/>
        <sz val="10"/>
        <rFont val="Arial"/>
        <family val="2"/>
      </rPr>
      <t xml:space="preserve"> except nanotechnology research and experimental development laboratories</t>
    </r>
  </si>
  <si>
    <t>Chemical Name</t>
  </si>
  <si>
    <t>TRI Chemical ID</t>
  </si>
  <si>
    <t>Document Control Number</t>
  </si>
  <si>
    <t>Industry</t>
  </si>
  <si>
    <t>1,2-DICHLOROETHANE</t>
  </si>
  <si>
    <t>000107062</t>
  </si>
  <si>
    <t>1312210001626</t>
  </si>
  <si>
    <t>336 Transportation Equipment</t>
  </si>
  <si>
    <t>1312210021604</t>
  </si>
  <si>
    <t>325 Chemicals</t>
  </si>
  <si>
    <t>1312210029207</t>
  </si>
  <si>
    <t>1312210037331</t>
  </si>
  <si>
    <t>39572PLYCHPORTB</t>
  </si>
  <si>
    <t>POLYCHEMIE INC</t>
  </si>
  <si>
    <t>3080 PORT &amp; HARBOR DR</t>
  </si>
  <si>
    <t>PEARLINGTON</t>
  </si>
  <si>
    <t>MS</t>
  </si>
  <si>
    <t>1312210051595</t>
  </si>
  <si>
    <t>1312210107936</t>
  </si>
  <si>
    <t>4246 Chemical Wholesalers</t>
  </si>
  <si>
    <t>1312210116392</t>
  </si>
  <si>
    <t>71753THYLCROUTE</t>
  </si>
  <si>
    <t>ALBEMARLE CORP SOUTH PLANT</t>
  </si>
  <si>
    <t>2270 HWY 79 S</t>
  </si>
  <si>
    <t>MAGNOLIA</t>
  </si>
  <si>
    <t>1312210205478</t>
  </si>
  <si>
    <t>1312210229062</t>
  </si>
  <si>
    <t>1312210245940</t>
  </si>
  <si>
    <t>69145CLNHR5MISO</t>
  </si>
  <si>
    <t>562 Hazardous Waste</t>
  </si>
  <si>
    <t>CLEAN HARBORS ENVIRONMENTAL SERVICES INC</t>
  </si>
  <si>
    <t>2247 S HWY 71</t>
  </si>
  <si>
    <t>KIMBALL</t>
  </si>
  <si>
    <t>1312210331082</t>
  </si>
  <si>
    <t>77501THYLC1000N</t>
  </si>
  <si>
    <t>ETHYL CORP</t>
  </si>
  <si>
    <t>1000 N. SOUTH STREET</t>
  </si>
  <si>
    <t>1312210332197</t>
  </si>
  <si>
    <t>1312210352252</t>
  </si>
  <si>
    <t>70391DWCHMLOUIS</t>
  </si>
  <si>
    <t>Other</t>
  </si>
  <si>
    <t>THE DOW CHEMICAL CO GRAND BAYOU OPERATIONS</t>
  </si>
  <si>
    <t>LOUISIANA HWY 70</t>
  </si>
  <si>
    <t>PAINCOURTVILLE</t>
  </si>
  <si>
    <t>1312210357810</t>
  </si>
  <si>
    <t>1312210371668</t>
  </si>
  <si>
    <t>1312210374827</t>
  </si>
  <si>
    <t>1312210385100</t>
  </si>
  <si>
    <t>1312210388789</t>
  </si>
  <si>
    <t>1312210388815</t>
  </si>
  <si>
    <t>1312210401523</t>
  </si>
  <si>
    <t>1312210416830</t>
  </si>
  <si>
    <t>1312210425536</t>
  </si>
  <si>
    <t>1312210430803</t>
  </si>
  <si>
    <t>1312210436705</t>
  </si>
  <si>
    <t>1312210437733</t>
  </si>
  <si>
    <t>29059SNTCMSCHWY</t>
  </si>
  <si>
    <t>327 Nonmetallic Mineral Product</t>
  </si>
  <si>
    <t>HOLCIM (US) INC HOLLY HILL PLANT</t>
  </si>
  <si>
    <t>2173 GARDNER BLVD</t>
  </si>
  <si>
    <t>HOLLY HILL</t>
  </si>
  <si>
    <t>1312210455174</t>
  </si>
  <si>
    <t>98421SLPRN1825A</t>
  </si>
  <si>
    <t>EMERALD SERVICES INC</t>
  </si>
  <si>
    <t>1825 E ALEXANDER AVE</t>
  </si>
  <si>
    <t>TACOMA</t>
  </si>
  <si>
    <t>1312210478412</t>
  </si>
  <si>
    <t>77506CRWNC111RE</t>
  </si>
  <si>
    <t>324 Petroleum</t>
  </si>
  <si>
    <t>PASADENA REFINING SYSTEM INC</t>
  </si>
  <si>
    <t>111 RED BLUFF RD</t>
  </si>
  <si>
    <t>1312210508077</t>
  </si>
  <si>
    <t>1312210533826</t>
  </si>
  <si>
    <t>79086DMNDSSTARR</t>
  </si>
  <si>
    <t>DIAMOND SHAMROCK REFINING CO LP</t>
  </si>
  <si>
    <t>6701 FM 119</t>
  </si>
  <si>
    <t>SUNRAY</t>
  </si>
  <si>
    <t>1312210534893</t>
  </si>
  <si>
    <t>1312210551483</t>
  </si>
  <si>
    <t>67215VLCNC6200S</t>
  </si>
  <si>
    <t>6200 S RIDGE RD</t>
  </si>
  <si>
    <t>WICHITA</t>
  </si>
  <si>
    <t>1312210575357</t>
  </si>
  <si>
    <t>1312210578249</t>
  </si>
  <si>
    <t>84029SFTYK11600</t>
  </si>
  <si>
    <t>CLEAN HARBORS ARAGONITE LLC</t>
  </si>
  <si>
    <t>11600 NORTH APTUS ROAD</t>
  </si>
  <si>
    <t>GRANTSVILLE</t>
  </si>
  <si>
    <t>1312210625048</t>
  </si>
  <si>
    <t>62454MRTHNMARAT</t>
  </si>
  <si>
    <t>MARATHON PETROLEUM CO LP ILLINOIS REFINING DIV</t>
  </si>
  <si>
    <t>100 MARATHON AVE</t>
  </si>
  <si>
    <t>ROBINSON</t>
  </si>
  <si>
    <t>1312210625760</t>
  </si>
  <si>
    <t>1312210639391</t>
  </si>
  <si>
    <t>45804SHLCM1150S</t>
  </si>
  <si>
    <t>LIMA REFINING CO</t>
  </si>
  <si>
    <t>1150 S METCALF ST</t>
  </si>
  <si>
    <t>LIMA</t>
  </si>
  <si>
    <t>1312210656118</t>
  </si>
  <si>
    <t>1312210663682</t>
  </si>
  <si>
    <t>54143SPCLT2STAN</t>
  </si>
  <si>
    <t>CHEMDESIGN PRODUCTS INC</t>
  </si>
  <si>
    <t>2 STANTON ST</t>
  </si>
  <si>
    <t>MARINETTE</t>
  </si>
  <si>
    <t>1312210668556</t>
  </si>
  <si>
    <t>70057NNCRBHWY31</t>
  </si>
  <si>
    <t>ST CHARLES OPERATIONS (TAFT/STAR) UNION CARBIDE CORP</t>
  </si>
  <si>
    <t>355 LA HWY 3142 (GATE 1)</t>
  </si>
  <si>
    <t>HAHNVILLE</t>
  </si>
  <si>
    <t>1312210671855</t>
  </si>
  <si>
    <t>23703CLNSC3230E</t>
  </si>
  <si>
    <t>US AMINES (PORTSMOUTH) LLC</t>
  </si>
  <si>
    <t>3230 W NORFOLK RD</t>
  </si>
  <si>
    <t>PORTSMOUTH</t>
  </si>
  <si>
    <t>1312210675258</t>
  </si>
  <si>
    <t>1312210678191</t>
  </si>
  <si>
    <t>1312210694271</t>
  </si>
  <si>
    <t>12047NRLTC628SO</t>
  </si>
  <si>
    <t>NORLITE LLC</t>
  </si>
  <si>
    <t>628 S SARATOGA ST</t>
  </si>
  <si>
    <t>COHOES</t>
  </si>
  <si>
    <t>1312210719377</t>
  </si>
  <si>
    <t>1312210784447</t>
  </si>
  <si>
    <t>3950WCHNNL14373</t>
  </si>
  <si>
    <t>CHANNEL CHEMICAL CORP</t>
  </si>
  <si>
    <t>14373 SEAWAY RD</t>
  </si>
  <si>
    <t>GULFPORT</t>
  </si>
  <si>
    <t>1312210788269</t>
  </si>
  <si>
    <t>77643WSTMNHWY73</t>
  </si>
  <si>
    <t>VEOLIA ES TECHNICAL SOLUTIONS LLC PORT ARTHUR FACILITY</t>
  </si>
  <si>
    <t>HWY 73, 3.5 MILES W OF TAYLOR BAYOU</t>
  </si>
  <si>
    <t>PORT ARTHUR</t>
  </si>
  <si>
    <t>1312210806915</t>
  </si>
  <si>
    <t>70764LLMNXHWY40</t>
  </si>
  <si>
    <t>26270 HWY 405</t>
  </si>
  <si>
    <t>1312210833657</t>
  </si>
  <si>
    <t>1312210850398</t>
  </si>
  <si>
    <t>1312210868663</t>
  </si>
  <si>
    <t>85344WSTTS2523M</t>
  </si>
  <si>
    <t>EVOQUA WATER TECHNOLOGIES LLC</t>
  </si>
  <si>
    <t>2523 MUTAHAR ST</t>
  </si>
  <si>
    <t>PARKER</t>
  </si>
  <si>
    <t>1312210888119</t>
  </si>
  <si>
    <t>71730GRRSN181CO</t>
  </si>
  <si>
    <t>LYCUS LTD</t>
  </si>
  <si>
    <t>181 COOPER DR</t>
  </si>
  <si>
    <t>1312210895013</t>
  </si>
  <si>
    <t>77536SFTYK2027B</t>
  </si>
  <si>
    <t>CLEAN HARBORS DEER PARK LLC</t>
  </si>
  <si>
    <t>2027 INDEPENDENCE PARKWAY SOUTH</t>
  </si>
  <si>
    <t>1312211835525</t>
  </si>
  <si>
    <t>77536DSPSL2525B</t>
  </si>
  <si>
    <t>TM DEER PARK SERVICES LP</t>
  </si>
  <si>
    <t>2525 BATTLEGROUND RD</t>
  </si>
  <si>
    <t>1312211847850</t>
  </si>
  <si>
    <t>1312211879135</t>
  </si>
  <si>
    <t>1312214507028</t>
  </si>
  <si>
    <t>71731GRTLKHIGHW</t>
  </si>
  <si>
    <t>GREAT LAKES CHEMICAL - CENTRAL</t>
  </si>
  <si>
    <t>2226 HAYNESVILLE HWY</t>
  </si>
  <si>
    <t>1312214928677</t>
  </si>
  <si>
    <t>4501WTDCMP1TEDI</t>
  </si>
  <si>
    <t>TEDIA CO INC (1409030683)</t>
  </si>
  <si>
    <t>1000 TEDIA WAY</t>
  </si>
  <si>
    <t>FAIRFIELD</t>
  </si>
  <si>
    <t>1313210995938</t>
  </si>
  <si>
    <t>1313211020793</t>
  </si>
  <si>
    <t>1313211063108</t>
  </si>
  <si>
    <t>1313211068438</t>
  </si>
  <si>
    <t>1313211096779</t>
  </si>
  <si>
    <t>FUTUREFUEL CHEMICAL CO</t>
  </si>
  <si>
    <t>2800 GAP RD</t>
  </si>
  <si>
    <t>1313211098912</t>
  </si>
  <si>
    <t>1313211119502</t>
  </si>
  <si>
    <t>1313211143805</t>
  </si>
  <si>
    <t>1313211165663</t>
  </si>
  <si>
    <t>1313211279551</t>
  </si>
  <si>
    <t>1313211279866</t>
  </si>
  <si>
    <t>1313211295795</t>
  </si>
  <si>
    <t>1313211321841</t>
  </si>
  <si>
    <t>ECO SERVICES OPERATIONS CORP</t>
  </si>
  <si>
    <t>1313211344712</t>
  </si>
  <si>
    <t>1313211432859</t>
  </si>
  <si>
    <t>1313211467016</t>
  </si>
  <si>
    <t>1313211481421</t>
  </si>
  <si>
    <t>1313211483995</t>
  </si>
  <si>
    <t>1313211490014</t>
  </si>
  <si>
    <t>41129CLGNCUSROU</t>
  </si>
  <si>
    <t>CALGON CARBON CORP</t>
  </si>
  <si>
    <t>15024 US 23</t>
  </si>
  <si>
    <t>CATLETTSBURG</t>
  </si>
  <si>
    <t>1313211498542</t>
  </si>
  <si>
    <t>1313211499621</t>
  </si>
  <si>
    <t>1313211512227</t>
  </si>
  <si>
    <t>1313211516265</t>
  </si>
  <si>
    <t>1313211518509</t>
  </si>
  <si>
    <t>1313211524259</t>
  </si>
  <si>
    <t>1313211528245</t>
  </si>
  <si>
    <t>1313211535606</t>
  </si>
  <si>
    <t>1313211538121</t>
  </si>
  <si>
    <t>1313211550809</t>
  </si>
  <si>
    <t>1313211565712</t>
  </si>
  <si>
    <t>1313211576386</t>
  </si>
  <si>
    <t>1313211594775</t>
  </si>
  <si>
    <t>1313211631383</t>
  </si>
  <si>
    <t>1313211633211</t>
  </si>
  <si>
    <t>1313211667391</t>
  </si>
  <si>
    <t>1313211714023</t>
  </si>
  <si>
    <t>1313211715432</t>
  </si>
  <si>
    <t>1313211721459</t>
  </si>
  <si>
    <t>1313211723818</t>
  </si>
  <si>
    <t>1313211726993</t>
  </si>
  <si>
    <t>1313211727805</t>
  </si>
  <si>
    <t>1313211743164</t>
  </si>
  <si>
    <t>1313211752163</t>
  </si>
  <si>
    <t>1313211758418</t>
  </si>
  <si>
    <t>1313211771290</t>
  </si>
  <si>
    <t>1313211772304</t>
  </si>
  <si>
    <t>1313211773837</t>
  </si>
  <si>
    <t>1313211784653</t>
  </si>
  <si>
    <t>1313211792306</t>
  </si>
  <si>
    <t>1313211798311</t>
  </si>
  <si>
    <t>1313211811411</t>
  </si>
  <si>
    <t>1313211879147</t>
  </si>
  <si>
    <t>1313214507030</t>
  </si>
  <si>
    <t>1314212341162</t>
  </si>
  <si>
    <t>1314212351023</t>
  </si>
  <si>
    <t>1314212374413</t>
  </si>
  <si>
    <t>1314212400699</t>
  </si>
  <si>
    <t>1314212411235</t>
  </si>
  <si>
    <t>1314212421453</t>
  </si>
  <si>
    <t>1314212422238</t>
  </si>
  <si>
    <t>1314212530834</t>
  </si>
  <si>
    <t>1314212552436</t>
  </si>
  <si>
    <t>1314212607737</t>
  </si>
  <si>
    <t>1314212617056</t>
  </si>
  <si>
    <t>1314212711182</t>
  </si>
  <si>
    <t>1314212723340</t>
  </si>
  <si>
    <t>1314212743278</t>
  </si>
  <si>
    <t>1314212751097</t>
  </si>
  <si>
    <t>55016MCHMLHIGHW</t>
  </si>
  <si>
    <t>3M COTTAGE GROVE CENTER</t>
  </si>
  <si>
    <t>10746 INNOVATION RD</t>
  </si>
  <si>
    <t>COTTAGE GROVE</t>
  </si>
  <si>
    <t>MN</t>
  </si>
  <si>
    <t>1314212772091</t>
  </si>
  <si>
    <t>1314212777128</t>
  </si>
  <si>
    <t>1314212795330</t>
  </si>
  <si>
    <t>1314212797587</t>
  </si>
  <si>
    <t>1314212809026</t>
  </si>
  <si>
    <t>1314212814139</t>
  </si>
  <si>
    <t>1314212828368</t>
  </si>
  <si>
    <t>1314212853156</t>
  </si>
  <si>
    <t>1314212853497</t>
  </si>
  <si>
    <t>1314212864502</t>
  </si>
  <si>
    <t>1314212874717</t>
  </si>
  <si>
    <t>1314212888465</t>
  </si>
  <si>
    <t>1314212906679</t>
  </si>
  <si>
    <t>1314212907291</t>
  </si>
  <si>
    <t>1314212925869</t>
  </si>
  <si>
    <t>44044RSSNC36790</t>
  </si>
  <si>
    <t>ROSS INCINERATION SERVICES INC</t>
  </si>
  <si>
    <t>36790 GILES RD</t>
  </si>
  <si>
    <t>GRAFTON</t>
  </si>
  <si>
    <t>1314212945808</t>
  </si>
  <si>
    <t>1314212946469</t>
  </si>
  <si>
    <t>1314212950366</t>
  </si>
  <si>
    <t>1314212957777</t>
  </si>
  <si>
    <t>1314212957791</t>
  </si>
  <si>
    <t>1314212968402</t>
  </si>
  <si>
    <t>1314212977882</t>
  </si>
  <si>
    <t>1314212995258</t>
  </si>
  <si>
    <t>1314213006962</t>
  </si>
  <si>
    <t>1314213014261</t>
  </si>
  <si>
    <t>1314213014602</t>
  </si>
  <si>
    <t>1314213020454</t>
  </si>
  <si>
    <t>1314213042056</t>
  </si>
  <si>
    <t>1314213065939</t>
  </si>
  <si>
    <t>1314213067642</t>
  </si>
  <si>
    <t>1314213071412</t>
  </si>
  <si>
    <t>1314213086541</t>
  </si>
  <si>
    <t>71836SHGRVPOBOX</t>
  </si>
  <si>
    <t>ASH GROVE CEMENT</t>
  </si>
  <si>
    <t>4343 HWY 108</t>
  </si>
  <si>
    <t>FOREMAN</t>
  </si>
  <si>
    <t>1314213087950</t>
  </si>
  <si>
    <t>66720SHGRVNORTH</t>
  </si>
  <si>
    <t>ASH GROVE CEMENT CO</t>
  </si>
  <si>
    <t>1801 N SANTA FE</t>
  </si>
  <si>
    <t>CHANUTE</t>
  </si>
  <si>
    <t>1314213092568</t>
  </si>
  <si>
    <t>40361MLLNCHIGHW</t>
  </si>
  <si>
    <t>AVANTOR PERFORMANCE MATERIALS</t>
  </si>
  <si>
    <t>7001 MARTIN LUTHER KING BLVD</t>
  </si>
  <si>
    <t>1314213149065</t>
  </si>
  <si>
    <t>1314213858537</t>
  </si>
  <si>
    <t>1314214497378</t>
  </si>
  <si>
    <t>1314214502460</t>
  </si>
  <si>
    <t>1314214507129</t>
  </si>
  <si>
    <t>1314214928463</t>
  </si>
  <si>
    <t>1314215594918</t>
  </si>
  <si>
    <t>1314217594771</t>
  </si>
  <si>
    <t>1315213606369</t>
  </si>
  <si>
    <t>1315213625597</t>
  </si>
  <si>
    <t>1315213639216</t>
  </si>
  <si>
    <t>1315213665452</t>
  </si>
  <si>
    <t>1315213671062</t>
  </si>
  <si>
    <t>1315213726894</t>
  </si>
  <si>
    <t>1315213742063</t>
  </si>
  <si>
    <t>1315213749524</t>
  </si>
  <si>
    <t>1315213771405</t>
  </si>
  <si>
    <t>97812CHMCL17629</t>
  </si>
  <si>
    <t>CHEMICAL WASTE MANAGEMENT OF THE NORTHWEST INC</t>
  </si>
  <si>
    <t>17629 CEDAR SPRINGS LN</t>
  </si>
  <si>
    <t>1315213777422</t>
  </si>
  <si>
    <t>1315213817923</t>
  </si>
  <si>
    <t>1315213858653</t>
  </si>
  <si>
    <t>1315213868526</t>
  </si>
  <si>
    <t>1315213940101</t>
  </si>
  <si>
    <t>1315213951080</t>
  </si>
  <si>
    <t>1315213952676</t>
  </si>
  <si>
    <t>1315214013118</t>
  </si>
  <si>
    <t>1315214019756</t>
  </si>
  <si>
    <t>1315214020923</t>
  </si>
  <si>
    <t>7076WBLCBP21255</t>
  </si>
  <si>
    <t>21255 HIGHWAY 1 S</t>
  </si>
  <si>
    <t>1315214026041</t>
  </si>
  <si>
    <t>1315214048617</t>
  </si>
  <si>
    <t>1315214089548</t>
  </si>
  <si>
    <t>1315214097925</t>
  </si>
  <si>
    <t>1315214105227</t>
  </si>
  <si>
    <t>1315214114098</t>
  </si>
  <si>
    <t>1315214147466</t>
  </si>
  <si>
    <t>1315214164903</t>
  </si>
  <si>
    <t>1315214170755</t>
  </si>
  <si>
    <t>1315214171819</t>
  </si>
  <si>
    <t>1315214186114</t>
  </si>
  <si>
    <t>1315214191064</t>
  </si>
  <si>
    <t>1315214195505</t>
  </si>
  <si>
    <t>1315214207983</t>
  </si>
  <si>
    <t>1315214236008</t>
  </si>
  <si>
    <t>1315214265151</t>
  </si>
  <si>
    <t>1315214284059</t>
  </si>
  <si>
    <t>1315214292068</t>
  </si>
  <si>
    <t>1315214292839</t>
  </si>
  <si>
    <t>1315214306526</t>
  </si>
  <si>
    <t>2301 N BRAZOSPORT BLVD - OC-1120</t>
  </si>
  <si>
    <t>1315214314205</t>
  </si>
  <si>
    <t>1315214333813</t>
  </si>
  <si>
    <t>1315214352419</t>
  </si>
  <si>
    <t>1315214368882</t>
  </si>
  <si>
    <t>1315214369276</t>
  </si>
  <si>
    <t>1315214388439</t>
  </si>
  <si>
    <t>1315214393858</t>
  </si>
  <si>
    <t>1315214395725</t>
  </si>
  <si>
    <t>1315214421620</t>
  </si>
  <si>
    <t>1315214431898</t>
  </si>
  <si>
    <t>1315214433043</t>
  </si>
  <si>
    <t>1315214434134</t>
  </si>
  <si>
    <t>1315214447575</t>
  </si>
  <si>
    <t>1315214483176</t>
  </si>
  <si>
    <t>1315214928828</t>
  </si>
  <si>
    <t>1315215481641</t>
  </si>
  <si>
    <t>1315215779962</t>
  </si>
  <si>
    <t>1315217594783</t>
  </si>
  <si>
    <t>1315218179442</t>
  </si>
  <si>
    <t>1316214959761</t>
  </si>
  <si>
    <t>1316214961260</t>
  </si>
  <si>
    <t>1316214996478</t>
  </si>
  <si>
    <t>1316215011545</t>
  </si>
  <si>
    <t>1316215036359</t>
  </si>
  <si>
    <t>1316215041688</t>
  </si>
  <si>
    <t>1316215043769</t>
  </si>
  <si>
    <t>1316215053758</t>
  </si>
  <si>
    <t>1316215091606</t>
  </si>
  <si>
    <t>1316215094653</t>
  </si>
  <si>
    <t>1316215203858</t>
  </si>
  <si>
    <t>1316215206766</t>
  </si>
  <si>
    <t>1316215206893</t>
  </si>
  <si>
    <t>1316215220373</t>
  </si>
  <si>
    <t>1316215262066</t>
  </si>
  <si>
    <t>1316215294657</t>
  </si>
  <si>
    <t>1316215324880</t>
  </si>
  <si>
    <t>1316215347877</t>
  </si>
  <si>
    <t>1316215364035</t>
  </si>
  <si>
    <t>1316215374859</t>
  </si>
  <si>
    <t>1316215378643</t>
  </si>
  <si>
    <t>1316215379936</t>
  </si>
  <si>
    <t>1316215394305</t>
  </si>
  <si>
    <t>1316215426622</t>
  </si>
  <si>
    <t>1316215434236</t>
  </si>
  <si>
    <t>1316215440999</t>
  </si>
  <si>
    <t>1316215464102</t>
  </si>
  <si>
    <t>1316215479849</t>
  </si>
  <si>
    <t>1316215480563</t>
  </si>
  <si>
    <t>1316215482112</t>
  </si>
  <si>
    <t>1316215483126</t>
  </si>
  <si>
    <t>1316215495779</t>
  </si>
  <si>
    <t>1316215505963</t>
  </si>
  <si>
    <t>1316215511559</t>
  </si>
  <si>
    <t>1316215517210</t>
  </si>
  <si>
    <t>1316215522828</t>
  </si>
  <si>
    <t>1316215542275</t>
  </si>
  <si>
    <t>1316215564055</t>
  </si>
  <si>
    <t>1316215572494</t>
  </si>
  <si>
    <t>1316215574500</t>
  </si>
  <si>
    <t>1316215592635</t>
  </si>
  <si>
    <t>1316215595214</t>
  </si>
  <si>
    <t>1316215597749</t>
  </si>
  <si>
    <t>10107 HWY 79</t>
  </si>
  <si>
    <t>1316215652266</t>
  </si>
  <si>
    <t>1316215671557</t>
  </si>
  <si>
    <t>1316215685874</t>
  </si>
  <si>
    <t>1316215689629</t>
  </si>
  <si>
    <t>1316215698299</t>
  </si>
  <si>
    <t>1316215704469</t>
  </si>
  <si>
    <t>1316215714611</t>
  </si>
  <si>
    <t>1316215730209</t>
  </si>
  <si>
    <t>1316215737255</t>
  </si>
  <si>
    <t>1316215744552</t>
  </si>
  <si>
    <t>1316215762333</t>
  </si>
  <si>
    <t>1316215789280</t>
  </si>
  <si>
    <t>1316217641087</t>
  </si>
  <si>
    <t>1316218179428</t>
  </si>
  <si>
    <t>1317215843160</t>
  </si>
  <si>
    <t>1317215863147</t>
  </si>
  <si>
    <t>1317215902242</t>
  </si>
  <si>
    <t>1317215923083</t>
  </si>
  <si>
    <t>1317215951930</t>
  </si>
  <si>
    <t>1317215960055</t>
  </si>
  <si>
    <t>1317215971565</t>
  </si>
  <si>
    <t>1317215973088</t>
  </si>
  <si>
    <t>1317215994803</t>
  </si>
  <si>
    <t>1317215996822</t>
  </si>
  <si>
    <t>1317216079828</t>
  </si>
  <si>
    <t>1317216113795</t>
  </si>
  <si>
    <t>1317216117352</t>
  </si>
  <si>
    <t>1317216127959</t>
  </si>
  <si>
    <t>1317216156152</t>
  </si>
  <si>
    <t>1317216163699</t>
  </si>
  <si>
    <t>1317216174197</t>
  </si>
  <si>
    <t>1317216185633</t>
  </si>
  <si>
    <t>1317216211589</t>
  </si>
  <si>
    <t>1317216222048</t>
  </si>
  <si>
    <t>1317216223469</t>
  </si>
  <si>
    <t>1317216229056</t>
  </si>
  <si>
    <t>1317216230209</t>
  </si>
  <si>
    <t>53704BLLLB3699K</t>
  </si>
  <si>
    <t>BELL LABORATORIES INC</t>
  </si>
  <si>
    <t>3699 KINSMAN BLVD</t>
  </si>
  <si>
    <t>MADISON</t>
  </si>
  <si>
    <t>1317216240453</t>
  </si>
  <si>
    <t>1317216252965</t>
  </si>
  <si>
    <t>1317216256762</t>
  </si>
  <si>
    <t>1317216260707</t>
  </si>
  <si>
    <t>1317216292870</t>
  </si>
  <si>
    <t>1317216308989</t>
  </si>
  <si>
    <t>1317216338412</t>
  </si>
  <si>
    <t>1317216345227</t>
  </si>
  <si>
    <t>1317216352029</t>
  </si>
  <si>
    <t>1317216378606</t>
  </si>
  <si>
    <t>1317216416545</t>
  </si>
  <si>
    <t>1317216417891</t>
  </si>
  <si>
    <t>1317216483065</t>
  </si>
  <si>
    <t>1317216496253</t>
  </si>
  <si>
    <t>1317216497343</t>
  </si>
  <si>
    <t>1317216500140</t>
  </si>
  <si>
    <t>1317216500761</t>
  </si>
  <si>
    <t>1317216515724</t>
  </si>
  <si>
    <t>1317216519520</t>
  </si>
  <si>
    <t>1317216540144</t>
  </si>
  <si>
    <t>1317216553077</t>
  </si>
  <si>
    <t>1317216561136</t>
  </si>
  <si>
    <t>1317216561441</t>
  </si>
  <si>
    <t>1317216565097</t>
  </si>
  <si>
    <t>1317216574475</t>
  </si>
  <si>
    <t>1317216577318</t>
  </si>
  <si>
    <t>1317216588172</t>
  </si>
  <si>
    <t>1317216596635</t>
  </si>
  <si>
    <t>1317216598387</t>
  </si>
  <si>
    <t>1317216603237</t>
  </si>
  <si>
    <t>1317217559739</t>
  </si>
  <si>
    <t>1317217700665</t>
  </si>
  <si>
    <t>1317218179404</t>
  </si>
  <si>
    <t>1318216717355</t>
  </si>
  <si>
    <t>1318216743625</t>
  </si>
  <si>
    <t>1318216748879</t>
  </si>
  <si>
    <t>1318216769671</t>
  </si>
  <si>
    <t>1318216804916</t>
  </si>
  <si>
    <t>1318216914263</t>
  </si>
  <si>
    <t>1318216927222</t>
  </si>
  <si>
    <t>1318216933731</t>
  </si>
  <si>
    <t>1318216951234</t>
  </si>
  <si>
    <t>1318217017603</t>
  </si>
  <si>
    <t>1318217125804</t>
  </si>
  <si>
    <t>7076WDDPSP21255</t>
  </si>
  <si>
    <t>DDP SPECIALTY ELECTRONIC MATERIALS US INC - PLAQUEMINE MET</t>
  </si>
  <si>
    <t>21255 LA HIGHWAY 1 - BLOCK 45, BUILDING 4501</t>
  </si>
  <si>
    <t>1318217136668</t>
  </si>
  <si>
    <t>66736SYSTCCEMEN</t>
  </si>
  <si>
    <t>SYSTECH ENVIRONMENTAL CORP</t>
  </si>
  <si>
    <t>1420 S CEMENT PLANT RD</t>
  </si>
  <si>
    <t>FREDONIA</t>
  </si>
  <si>
    <t>1318217139486</t>
  </si>
  <si>
    <t>1318217167966</t>
  </si>
  <si>
    <t>1318217187424</t>
  </si>
  <si>
    <t>62201TRDWS7MOBI</t>
  </si>
  <si>
    <t>VEOLIA ES TECHNICAL SOLUTIONS LLC</t>
  </si>
  <si>
    <t>7 MOBILE AVE</t>
  </si>
  <si>
    <t>SAUGET</t>
  </si>
  <si>
    <t>1318217188806</t>
  </si>
  <si>
    <t>1318217202997</t>
  </si>
  <si>
    <t>1318217208750</t>
  </si>
  <si>
    <t>1318217214218</t>
  </si>
  <si>
    <t>1318217216617</t>
  </si>
  <si>
    <t>1318217243967</t>
  </si>
  <si>
    <t>1318217261243</t>
  </si>
  <si>
    <t>1318217278530</t>
  </si>
  <si>
    <t>1318217297086</t>
  </si>
  <si>
    <t>1318217304005</t>
  </si>
  <si>
    <t>1318217327055</t>
  </si>
  <si>
    <t>1318217340773</t>
  </si>
  <si>
    <t>1318217347689</t>
  </si>
  <si>
    <t>1318217353186</t>
  </si>
  <si>
    <t>1318217364239</t>
  </si>
  <si>
    <t>1318217372453</t>
  </si>
  <si>
    <t>1318217379522</t>
  </si>
  <si>
    <t>1318217380753</t>
  </si>
  <si>
    <t>1318217394776</t>
  </si>
  <si>
    <t>1318217450941</t>
  </si>
  <si>
    <t>1318217467531</t>
  </si>
  <si>
    <t>1318217471352</t>
  </si>
  <si>
    <t>1318217484183</t>
  </si>
  <si>
    <t>1318217486289</t>
  </si>
  <si>
    <t>1318217489905</t>
  </si>
  <si>
    <t>1318217494107</t>
  </si>
  <si>
    <t>1318217500216</t>
  </si>
  <si>
    <t>1318217503251</t>
  </si>
  <si>
    <t>1318217514518</t>
  </si>
  <si>
    <t>1318217516564</t>
  </si>
  <si>
    <t>1318217520675</t>
  </si>
  <si>
    <t>1318217529179</t>
  </si>
  <si>
    <t>1318217567054</t>
  </si>
  <si>
    <t>1318217570668</t>
  </si>
  <si>
    <t>1318217701059</t>
  </si>
  <si>
    <t>1318218179366</t>
  </si>
  <si>
    <t>1318218383988</t>
  </si>
  <si>
    <t>1318218410621</t>
  </si>
  <si>
    <t>1318218520474</t>
  </si>
  <si>
    <t>1318218534081</t>
  </si>
  <si>
    <t>1318218538193</t>
  </si>
  <si>
    <t>1318218540666</t>
  </si>
  <si>
    <t>1318218551214</t>
  </si>
  <si>
    <t>1318218555427</t>
  </si>
  <si>
    <t>1318218558296</t>
  </si>
  <si>
    <t>1318218558613</t>
  </si>
  <si>
    <t>1318218562344</t>
  </si>
  <si>
    <t>1319217732763</t>
  </si>
  <si>
    <t>1319217757309</t>
  </si>
  <si>
    <t>1319217761840</t>
  </si>
  <si>
    <t>1319217857667</t>
  </si>
  <si>
    <t>1319217896909</t>
  </si>
  <si>
    <t>1319217915065</t>
  </si>
  <si>
    <t>1319217921384</t>
  </si>
  <si>
    <t>1319217925130</t>
  </si>
  <si>
    <t>1319217950649</t>
  </si>
  <si>
    <t>1319217964434</t>
  </si>
  <si>
    <t>1319217973852</t>
  </si>
  <si>
    <t>1319218044156</t>
  </si>
  <si>
    <t>1319218087548</t>
  </si>
  <si>
    <t>1319218139347</t>
  </si>
  <si>
    <t>1319218178921</t>
  </si>
  <si>
    <t>1319218179392</t>
  </si>
  <si>
    <t>1319218182778</t>
  </si>
  <si>
    <t>1319218229779</t>
  </si>
  <si>
    <t>1319218237790</t>
  </si>
  <si>
    <t>1319218249908</t>
  </si>
  <si>
    <t>1319218250126</t>
  </si>
  <si>
    <t>1319218258111</t>
  </si>
  <si>
    <t>1319218280927</t>
  </si>
  <si>
    <t>1319218286476</t>
  </si>
  <si>
    <t>1319218291122</t>
  </si>
  <si>
    <t>1319218296046</t>
  </si>
  <si>
    <t>1319218302495</t>
  </si>
  <si>
    <t>1319218329290</t>
  </si>
  <si>
    <t>1319218331395</t>
  </si>
  <si>
    <t>1319218336915</t>
  </si>
  <si>
    <t>1319218341079</t>
  </si>
  <si>
    <t>1319218350787</t>
  </si>
  <si>
    <t>1319218356830</t>
  </si>
  <si>
    <t>1319218371603</t>
  </si>
  <si>
    <t>1319218382075</t>
  </si>
  <si>
    <t>1319218384143</t>
  </si>
  <si>
    <t>1319218385274</t>
  </si>
  <si>
    <t>1319218391314</t>
  </si>
  <si>
    <t>1319218396012</t>
  </si>
  <si>
    <t>1319218410607</t>
  </si>
  <si>
    <t>1319218425306</t>
  </si>
  <si>
    <t>1319218431144</t>
  </si>
  <si>
    <t>1319218444711</t>
  </si>
  <si>
    <t>1319218458545</t>
  </si>
  <si>
    <t>1319218459283</t>
  </si>
  <si>
    <t>1319218472013</t>
  </si>
  <si>
    <t>77979NNCRBPOBOX</t>
  </si>
  <si>
    <t>UNION CARBIDE CORP SEADRIFT PLANT</t>
  </si>
  <si>
    <t>7501 N HWY 185</t>
  </si>
  <si>
    <t>SEADRIFT</t>
  </si>
  <si>
    <t>1319218488132</t>
  </si>
  <si>
    <t>1319218493878</t>
  </si>
  <si>
    <t>1319218499743</t>
  </si>
  <si>
    <t>1319218511057</t>
  </si>
  <si>
    <t>1319218512869</t>
  </si>
  <si>
    <t>1319218514622</t>
  </si>
  <si>
    <t>1319218540678</t>
  </si>
  <si>
    <t>1319218562320</t>
  </si>
  <si>
    <t>Waste Handling, Disposal and Treatment (Landfill)</t>
  </si>
  <si>
    <t>Waste Handling, Disposal and Treatment (non-POTW WWT)</t>
  </si>
  <si>
    <t>Waste Handling, Disposal and Treatment (Incinerator)</t>
  </si>
  <si>
    <t>CASRN 107-06-2</t>
  </si>
  <si>
    <r>
      <rPr>
        <b/>
        <sz val="11"/>
        <color theme="1"/>
        <rFont val="Calibri"/>
        <family val="2"/>
        <scheme val="minor"/>
      </rPr>
      <t xml:space="preserve">ANNUAL and AVERAGE DAILY Direct Discharge </t>
    </r>
    <r>
      <rPr>
        <sz val="11"/>
        <color theme="1"/>
        <rFont val="Calibri"/>
        <family val="2"/>
        <scheme val="minor"/>
      </rPr>
      <t xml:space="preserve">- Summary of median and maximum surface water discharge (kg/yr) reported in TRI and DMR. For TRI, the On-site water release quantities were used from the raw data download; for DMR, the annual discharge quantities were used from the raw data download. Average daily discharge (kg/day) based on annual discharge (kg/yr) divided by the estimated # of release days (the number of release days was assumed to be the number of operating days).
</t>
    </r>
    <r>
      <rPr>
        <b/>
        <sz val="11"/>
        <color theme="1"/>
        <rFont val="Calibri"/>
        <family val="2"/>
        <scheme val="minor"/>
      </rPr>
      <t xml:space="preserve">HIGH END Direct Discharge - </t>
    </r>
    <r>
      <rPr>
        <sz val="11"/>
        <color theme="1"/>
        <rFont val="Calibri"/>
        <family val="2"/>
        <scheme val="minor"/>
      </rPr>
      <t xml:space="preserve">Summary of median and maximum average daily surface water discharge (kg/day). High-end daily discharges were calculated by first calculating the average daily load for each external outfall at a facility, summing the average daily loads from each external outfall from each period, and then selecting the period with the highest average daily load across all external outfalls. For TRI, based on the annual discharge multiplied by the Generic Factor for the same year and OES as the TRI facility (see Generic Factor description below for more information).
</t>
    </r>
    <r>
      <rPr>
        <b/>
        <sz val="11"/>
        <color theme="1"/>
        <rFont val="Calibri"/>
        <family val="2"/>
        <scheme val="minor"/>
      </rPr>
      <t xml:space="preserve">ONE DAY Direct Discharge - </t>
    </r>
    <r>
      <rPr>
        <sz val="11"/>
        <color theme="1"/>
        <rFont val="Calibri"/>
        <family val="2"/>
        <scheme val="minor"/>
      </rPr>
      <t xml:space="preserve">Summary of median and maximum daily surface water discharge using daily maximum Period DMR discharge (kg/day). One-day maximum discharges were calculated by multiplying the maximum daily concentration by the corresponding month's maximum daily wastewater flow rate. Only available for DMR data. </t>
    </r>
  </si>
  <si>
    <t xml:space="preserve">General statistics about # of entries/facilities, percentage of entries mapped to OES, and percentage of facilities with annual, average discharge, high-end , and one-day max discharge estimates. </t>
  </si>
  <si>
    <t xml:space="preserve">Engineering wastewater product standard review </t>
  </si>
  <si>
    <t>Facility only provided 1,2-dichloroethane values in lb/day for this outfall.</t>
  </si>
  <si>
    <t xml:space="preserve">Facility only provided 1,2-dichloroethane values in lb/day </t>
  </si>
  <si>
    <t>1,2-dichloroethane MO AVG was not provided for this outfall; average daily values were provided from facility loading calculations. Flow values for this outfall are "DAILY AV" instead of "MO AVG"</t>
  </si>
  <si>
    <t>Facility only provided 1,2-dichloroethane values in lb/day for entire outfall.</t>
  </si>
  <si>
    <t xml:space="preserve">1,2-dichloroethane MO AVG was not provided for this outfall, DAILY MX conc were used for MO AVG. Facility loading calculations do not include Outfall #2. </t>
  </si>
  <si>
    <t xml:space="preserve">1,2-dichloroethane MO AVG was not provided for this outfall; average daily values were provided from facility loading calculations. Average flow values are DAILY AVG. </t>
  </si>
  <si>
    <t xml:space="preserve">1,2-dichloroethane MO AVG was not provided for this outfall, , DAILY MX conc were used for MO AVG. </t>
  </si>
  <si>
    <t xml:space="preserve">1,2-dichloroethane MO AVG was not provided for this outfall. Average daily values were provided from facility loading calculations. </t>
  </si>
  <si>
    <t xml:space="preserve">Facility loading calculations do not include Outfall 2. 1,2-dichloroethane monthly averages were not provided, , DAILY MX conc were used for MO AVG. </t>
  </si>
  <si>
    <t xml:space="preserve">1,2-dichloroethane MO AVG was not provided for this outfall; average daily values were provided from facility loading calculations. 'Daily average' flow values were provided as opposed to 'Monthly average'. </t>
  </si>
  <si>
    <t>Facility only provided 1,2-dichloroethane values in lb/day.</t>
  </si>
  <si>
    <t>DAIKIN AMERICA, INC</t>
  </si>
  <si>
    <t>BAYTOWN TERMINAL</t>
  </si>
  <si>
    <t>INGLEWOOD OIL FIELD</t>
  </si>
  <si>
    <t>WESTLAKE VINYLS COMPANY, LP</t>
  </si>
  <si>
    <t>WESTLAKE US 2 LLC - WESTLAKE LAKE CHARLES SOUTH</t>
  </si>
  <si>
    <t>XEROX CORPORATION</t>
  </si>
  <si>
    <t>OCCIDENTAL CHEMICAL OXYCHEM- PORTLAND PLANT</t>
  </si>
  <si>
    <t>FALMOUTH STP (NEW)</t>
  </si>
  <si>
    <t>SASOL CHEMICALS (USA) LLC - LAKE CHARLES CHEMICAL COMPLEX</t>
  </si>
  <si>
    <t>ALTIVIA SERVICES, LLC, INSTITUTE PLANT</t>
  </si>
  <si>
    <t>HAWAII COUNTY HILO WWTP</t>
  </si>
  <si>
    <t>SI GROUP INC - SOUTH PLANT</t>
  </si>
  <si>
    <t>1900 CRYSTAL DRIVE - TOWERS</t>
  </si>
  <si>
    <t>UNION STATION NORTH WING OFFICE BUILDING</t>
  </si>
  <si>
    <t>2050 AND 2051 SOUTH BELL STREET</t>
  </si>
  <si>
    <t>JEFFERSON TERMINAL SOUTH</t>
  </si>
  <si>
    <t>ALLAN MYERS - LASKIN ROAD IMPROVEMENTS</t>
  </si>
  <si>
    <t>VALERO REFINING COMPANY-CALIF</t>
  </si>
  <si>
    <t>DANVILLE STP</t>
  </si>
  <si>
    <t>KEMPS LANDING</t>
  </si>
  <si>
    <t>DRY CREEK WASTEWATER TREATMENT PLANT</t>
  </si>
  <si>
    <t>NPC SERVICES, INC.- PETRO-PROCESSORS OF LOUISIANA, INC. SITE</t>
  </si>
  <si>
    <t>APS FOUR CORNERS POWER PLANT</t>
  </si>
  <si>
    <t>BUCKMAN LABORATORIES INC CADET</t>
  </si>
  <si>
    <t>WESTLAKE VINYLS, INC.</t>
  </si>
  <si>
    <t>BOEING COMPANY (THE)</t>
  </si>
  <si>
    <t>LEHIGH SOUTHWEST CEMENT COMPANY</t>
  </si>
  <si>
    <t>ISP CHEMICALS LLC</t>
  </si>
  <si>
    <t>GREATER BATON ROUGE PORT COMMISSION - BARGE TERMINAL PROPERTY</t>
  </si>
  <si>
    <t>SEAPORT SQUARE PARCEL N/P</t>
  </si>
  <si>
    <t>VDOT SANDSTON MATERIALS DIVISION</t>
  </si>
  <si>
    <t>THE LUBRIZOL CORPORATION, DEER PARK PLANT</t>
  </si>
  <si>
    <t>LONDON WASTEWATER TREATMENT PLANT</t>
  </si>
  <si>
    <t>STANLEY BLACK AND DECKER</t>
  </si>
  <si>
    <t>MILLIKEN &amp; COMPANY/MAGNOLIA PLANT</t>
  </si>
  <si>
    <t>PENNZOIL PRODUCTS CO.</t>
  </si>
  <si>
    <t>OWENSBORO SPECIALTY POLYMERS INC</t>
  </si>
  <si>
    <t>SABIC HIGH PERFORMANCE PLASTICS</t>
  </si>
  <si>
    <t>ARKEMA INC. - CALVERT CITY, KY PLANT</t>
  </si>
  <si>
    <t>DATE GARDENS MOBILE HOME PARK</t>
  </si>
  <si>
    <t>EXXONMOBIL GREENPOINT PETROLEUM REMEDIATION PROJECT</t>
  </si>
  <si>
    <t>QUALAWASH HOLDINGS LLC - QUALA - GEISMAR TERMINAL 260</t>
  </si>
  <si>
    <t>WINCHESTER  WASTEWATER TREATMENT PLANT</t>
  </si>
  <si>
    <t>SOUTHEAST WATER POLLUTION CONTROL PLANT</t>
  </si>
  <si>
    <t>NORTH STORAGE FACILITY</t>
  </si>
  <si>
    <t>POTOMAC YARDS LAND BAY F EAST INFRASTRUCTURE</t>
  </si>
  <si>
    <t>GLASGOW WASTE WATER TREATMENT PLANT</t>
  </si>
  <si>
    <t>LOLETA WWTF</t>
  </si>
  <si>
    <t>TEKNOR APEX TENNESSEE COMPANY</t>
  </si>
  <si>
    <t>ECO SERVICES OPERATIONS HOUSTON</t>
  </si>
  <si>
    <t>OLDHAM COUNTY ENVIRONMENTAL AUTHORITY REGIONAL WWTP</t>
  </si>
  <si>
    <t>PORT OF PORT LAVACA - POINT COMFORT</t>
  </si>
  <si>
    <t>BVPV STYRENICS LLC/BEAVER</t>
  </si>
  <si>
    <t>WYETH HOLDINGS LLC</t>
  </si>
  <si>
    <t>OCCIDENTAL CHEMICAL CORPORATION - GEISMAR PLANT</t>
  </si>
  <si>
    <t>CITY OF ANGELS WWTP</t>
  </si>
  <si>
    <t>NORTH LAKE HOLLY IMPROVEMENT  - SECTION III B</t>
  </si>
  <si>
    <t>CONFLUENCE PARK APARTMENTS</t>
  </si>
  <si>
    <t>PARIS WASTEWATER TREATMENT PLANT</t>
  </si>
  <si>
    <t>BAYER CROPSCIENCE</t>
  </si>
  <si>
    <t>GEORGETOWN STP #2</t>
  </si>
  <si>
    <t>SHAW INDUSTRIES GROUP INC PLANT 8S</t>
  </si>
  <si>
    <t>STEPAN COMPANY</t>
  </si>
  <si>
    <t>COSTCO WHOLESALE #1115</t>
  </si>
  <si>
    <t>PLUMSTED MUA WWTP</t>
  </si>
  <si>
    <t>PID WATER TREATMENT PLANT</t>
  </si>
  <si>
    <t>BWC PORT ALLEN TERMINAL</t>
  </si>
  <si>
    <t>BELL-CARTER OLIVE CO. WWTP</t>
  </si>
  <si>
    <t>ICL-NORTH AMERICA INC - GALLIPOLIS FERRY PLANT</t>
  </si>
  <si>
    <t>MONUMENT CHEMICAL HOUSTON, LLC</t>
  </si>
  <si>
    <t>FILLMORE SHOPPING CENTER</t>
  </si>
  <si>
    <t>ALOUN KAUAI FARMING LLC</t>
  </si>
  <si>
    <t>1200 NORTH HENRY VENTURE LLC</t>
  </si>
  <si>
    <t>INVISTA S.A.R.L. SEAFORD PLANT</t>
  </si>
  <si>
    <t>KAHALA HOTEL &amp; RESORT</t>
  </si>
  <si>
    <t>EMD ACQUISITION LLC</t>
  </si>
  <si>
    <t>CONTINENTAL CEMENT COMPANY, LLC</t>
  </si>
  <si>
    <t>FALLON WASTEWATER TREATMENT PLANT</t>
  </si>
  <si>
    <t>SHELL CHEMICAL APPALACHIA LLC</t>
  </si>
  <si>
    <t>EQUISTAR CHEMICALS, LP - MORRIS PLANT</t>
  </si>
  <si>
    <t>GOLDEN NUGGET HOTEL AND CASINO</t>
  </si>
  <si>
    <t>INVISTA HOUSTON</t>
  </si>
  <si>
    <t>PURITY ISOBUTYLENE PLANT/PASADENA TERMINAL</t>
  </si>
  <si>
    <t>COUNTRY LIFE MH &amp; RV PARK</t>
  </si>
  <si>
    <t>NENAHNEZAD BOARDING SCHOOL</t>
  </si>
  <si>
    <t>WASTE MANAGEMENT - GROWS FAIRLESS HILL LANDFILL</t>
  </si>
  <si>
    <t>VIRGINIA TECH INNOVATION CAMPUS ACADEMIC BLDG 1</t>
  </si>
  <si>
    <t>PA TRANSFORMER TECH</t>
  </si>
  <si>
    <t>LANCASTER STP</t>
  </si>
  <si>
    <t>PORT COSTA WWTP</t>
  </si>
  <si>
    <t>VERONA PUMPING STATION</t>
  </si>
  <si>
    <t>CAYUCOS SANITARY DISTRICT WRRF</t>
  </si>
  <si>
    <t>CYNTHIANA STP (NEW)</t>
  </si>
  <si>
    <t>NORTH AMER PIPE CORP/LEOLA</t>
  </si>
  <si>
    <t>ALLEGIANT STADIUM</t>
  </si>
  <si>
    <t>1144 15 STREET</t>
  </si>
  <si>
    <t>MANTECA WWQCF</t>
  </si>
  <si>
    <t>ARNOLD ENGINEERING DEVELOPMENT CENTER</t>
  </si>
  <si>
    <t>RED RIVER WWTP</t>
  </si>
  <si>
    <t>EMINENCE STP</t>
  </si>
  <si>
    <t>RICHMOND OTTER CREEK STP</t>
  </si>
  <si>
    <t>COPPER COVE WWRF</t>
  </si>
  <si>
    <t>FISHER SCIENTIFIC CO INC</t>
  </si>
  <si>
    <t>N.G.I</t>
  </si>
  <si>
    <t>NORTHERN EDGE CASINO</t>
  </si>
  <si>
    <t>SEELEY COUNTY WWTP</t>
  </si>
  <si>
    <t>100 ST PAUL</t>
  </si>
  <si>
    <t>KRATON CHEMICAL, LLC</t>
  </si>
  <si>
    <t>DISCOVERY BAY WWTP</t>
  </si>
  <si>
    <t>JACKSON WWTP</t>
  </si>
  <si>
    <t>THE YORK ON CITY PARK APTS   1781 YORK ST</t>
  </si>
  <si>
    <t>YOUNGS CLEANERS</t>
  </si>
  <si>
    <t>UNIVAR SOLUTIONS USA</t>
  </si>
  <si>
    <t>NALCO PRODUCTION LLC - GARYVILLE FACILITY</t>
  </si>
  <si>
    <t>MXD REDEVELOPMENT</t>
  </si>
  <si>
    <t>GEORGETOWN STP #1</t>
  </si>
  <si>
    <t>CAVELAND ENVIRONMENTAL AUTH</t>
  </si>
  <si>
    <t>SHELBYVILLE MUNICIPAL WASTEWATER TREATMENT PLANT</t>
  </si>
  <si>
    <t>TESORO LOGISTICS OPERATIONS LLC MARTINEZ TERMINAL</t>
  </si>
  <si>
    <t>FRANKFORT MUNICIPAL STP</t>
  </si>
  <si>
    <t>CHANNEL ISLANDS URCHIN CO. LLC</t>
  </si>
  <si>
    <t>CROCKETT COGEN PROJECT</t>
  </si>
  <si>
    <t>LANDMARK INOVA HOSPITAL CAMPUS</t>
  </si>
  <si>
    <t>ATLANTIC PARK</t>
  </si>
  <si>
    <t>AHDC GLEBE MOUNT VERNON</t>
  </si>
  <si>
    <t>BAKER PETROLITE LLC - RAYNE BLEND PLANT</t>
  </si>
  <si>
    <t>COASTAL VIRGINIA OFFSHORE WIND (CVOW)</t>
  </si>
  <si>
    <t>GLOBAL MONTELLO GROUP 577</t>
  </si>
  <si>
    <t>DABNEY ROAD INDUSTRIAL</t>
  </si>
  <si>
    <t>BROAD &amp; WASHINGTON</t>
  </si>
  <si>
    <t>GLOBAL MONTELLO GROUP 566</t>
  </si>
  <si>
    <t>DOMINION SQUARE</t>
  </si>
  <si>
    <t>1901 N MOORE STREET</t>
  </si>
  <si>
    <t>TEXTRON INC. - FORMER GORHAM SILVER COMPANY</t>
  </si>
  <si>
    <t>FOUNDERS ROW II CITY OF FALLS CHURCH</t>
  </si>
  <si>
    <t>SHEETZ, INC. #218</t>
  </si>
  <si>
    <t>LARIMER ENERGY FACILITY</t>
  </si>
  <si>
    <t>LINDSAY CADILLAC</t>
  </si>
  <si>
    <t>ALTA CROSSROADS PARTS A AND C</t>
  </si>
  <si>
    <t>FORMER HIGH VOLTAGE ENGINEERING CORP. / BELLOFRAM</t>
  </si>
  <si>
    <t>VIENNA MARKET</t>
  </si>
  <si>
    <t>KING STREET LIBERTY</t>
  </si>
  <si>
    <t>SUNCOR SPECIALTY ASPHALT PLANT</t>
  </si>
  <si>
    <t>REBEL STATION #8</t>
  </si>
  <si>
    <t>SALEM WASTEWATER TREATMENT FAC</t>
  </si>
  <si>
    <t>905 STATE DOCKS ROAD</t>
  </si>
  <si>
    <t>DECATUR</t>
  </si>
  <si>
    <t>AL</t>
  </si>
  <si>
    <t>5640 SOUTH FAIRFAX AVENUE</t>
  </si>
  <si>
    <t>CUPERTINO</t>
  </si>
  <si>
    <t>ED MONROE RD</t>
  </si>
  <si>
    <t>FALMOUTH</t>
  </si>
  <si>
    <t>250 CARBIDE ROAD ROUTE 25</t>
  </si>
  <si>
    <t>DUNBAR</t>
  </si>
  <si>
    <t>150 KEKUANAOA STREET</t>
  </si>
  <si>
    <t>HILO</t>
  </si>
  <si>
    <t>1900 CRYSTAL DRIVE</t>
  </si>
  <si>
    <t>CROCKETT</t>
  </si>
  <si>
    <t>1705 17 ST</t>
  </si>
  <si>
    <t>FALLON</t>
  </si>
  <si>
    <t>2050 AND 2051 S BELL ST</t>
  </si>
  <si>
    <t>6342 NORTH TWIN CITY HWY</t>
  </si>
  <si>
    <t>NEDERLAND</t>
  </si>
  <si>
    <t>LASKIN ROAD</t>
  </si>
  <si>
    <t>3400 E SECOND ST</t>
  </si>
  <si>
    <t>BENICIA</t>
  </si>
  <si>
    <t>94510-0000</t>
  </si>
  <si>
    <t>1506 CENTRE TPKE</t>
  </si>
  <si>
    <t>1970 OLD STANFORD RD</t>
  </si>
  <si>
    <t>DANVILLE</t>
  </si>
  <si>
    <t>5152 PRINCESS ANNE RD</t>
  </si>
  <si>
    <t>MORRO BAY</t>
  </si>
  <si>
    <t>2401 BROOKLAWN DR.</t>
  </si>
  <si>
    <t>P.O. BOX 355, MS 4981</t>
  </si>
  <si>
    <t>FRUITLAND</t>
  </si>
  <si>
    <t>97230-6810</t>
  </si>
  <si>
    <t>PENNS GROVE</t>
  </si>
  <si>
    <t>24001 STEVENS CREEK BLVD</t>
  </si>
  <si>
    <t>391 CONGRESS STREET</t>
  </si>
  <si>
    <t>BOSTON</t>
  </si>
  <si>
    <t>6200 ELKO TRACK RD</t>
  </si>
  <si>
    <t>SANDSTON</t>
  </si>
  <si>
    <t>19007-3606</t>
  </si>
  <si>
    <t xml:space="preserve">41 TIDAL ROAD, N ST HWY 225, S OF THE PT TERMINAL </t>
  </si>
  <si>
    <t>ONE BRIGGS DRIVE</t>
  </si>
  <si>
    <t>EAST GREENWICH</t>
  </si>
  <si>
    <t>02818-9949</t>
  </si>
  <si>
    <t>157 NEW MILLIKEN RD</t>
  </si>
  <si>
    <t>BLACKSBURG</t>
  </si>
  <si>
    <t>4401 PARK AVE</t>
  </si>
  <si>
    <t>DICKINSON</t>
  </si>
  <si>
    <t>ONE NORYL AVENUE</t>
  </si>
  <si>
    <t>1020 WEST EVAN HEWES HIGHWAY</t>
  </si>
  <si>
    <t>92243-9551</t>
  </si>
  <si>
    <t>38 VARICK STREET</t>
  </si>
  <si>
    <t>2033 VAN METER RD</t>
  </si>
  <si>
    <t>40391-8423</t>
  </si>
  <si>
    <t>10207 FMR 1942 WEST HATCHERVILLE RD E. SOUTHERN</t>
  </si>
  <si>
    <t>MONT BELVIEU</t>
  </si>
  <si>
    <t>3801 POTOMAC AVE</t>
  </si>
  <si>
    <t>2656 EEL RIVER DR</t>
  </si>
  <si>
    <t>LOLETA</t>
  </si>
  <si>
    <t>1000 TIDAL RD,1 MILE N ST HWY 225 &amp; TIDAL RD</t>
  </si>
  <si>
    <t>751 DUPREE STREET</t>
  </si>
  <si>
    <t>BROWNSVILLE</t>
  </si>
  <si>
    <t>APPROX 4 M SE OF W MILITARY DR AND US HWY 90</t>
  </si>
  <si>
    <t>6115 HITT LN</t>
  </si>
  <si>
    <t>CRESTWOOD</t>
  </si>
  <si>
    <t>15061-2212</t>
  </si>
  <si>
    <t>3000 CENTENNIAL ROAD</t>
  </si>
  <si>
    <t>ANGELS CAMP</t>
  </si>
  <si>
    <t>PARKS AVE FROM NORFOLK AVE TO VIRGINIA BEACH BLVD</t>
  </si>
  <si>
    <t>2166 15 ST</t>
  </si>
  <si>
    <t>900 CHERRY BLOSSOM WAY</t>
  </si>
  <si>
    <t>GEORGETOWN</t>
  </si>
  <si>
    <t>4401 SAINT ANDREWS RD</t>
  </si>
  <si>
    <t>7940 RICHMOND HWY</t>
  </si>
  <si>
    <t>933 RT 537</t>
  </si>
  <si>
    <t>PLUMSTED TWP</t>
  </si>
  <si>
    <t>1388 PINE NEEDLE DR</t>
  </si>
  <si>
    <t>MAGALIA</t>
  </si>
  <si>
    <t>1650 ERNEST D WILSON DR.</t>
  </si>
  <si>
    <t>GARDINER FERRY ROAD</t>
  </si>
  <si>
    <t>CAMBRIDGE</t>
  </si>
  <si>
    <t>2619 COLUMBIA PIKE</t>
  </si>
  <si>
    <t>7550 KAUMUALII HIGHWAY</t>
  </si>
  <si>
    <t>KEKAHA</t>
  </si>
  <si>
    <t>4509 WEST STONE DRIVE (AREA B) INDUSTRIAL DRIVE</t>
  </si>
  <si>
    <t>1200 NORTH HENRY ST</t>
  </si>
  <si>
    <t>19973-4387</t>
  </si>
  <si>
    <t>5000 KAHALA AVENUE</t>
  </si>
  <si>
    <t>1375 NEW RIVER PARKWAY</t>
  </si>
  <si>
    <t>300 FRANKFORT RD</t>
  </si>
  <si>
    <t>15061-2210</t>
  </si>
  <si>
    <t>129 EAST FREMONT STREET</t>
  </si>
  <si>
    <t>89101-5677</t>
  </si>
  <si>
    <t>9822 LA PORTE FREEWAY</t>
  </si>
  <si>
    <t>77017-2721</t>
  </si>
  <si>
    <t>625 EAST U.S. HIGHWAY 36</t>
  </si>
  <si>
    <t>375 EAST ROSS ROAD</t>
  </si>
  <si>
    <t>92243-9782</t>
  </si>
  <si>
    <t>2300 COOLWATER CREEK</t>
  </si>
  <si>
    <t>OFF COUNTY ROAD 6675, 2 MILES SOUTH US HWY 64</t>
  </si>
  <si>
    <t>87416-0337</t>
  </si>
  <si>
    <t>200 BORDENTOWN RD</t>
  </si>
  <si>
    <t>3625 POTOMAC AVE</t>
  </si>
  <si>
    <t>30 CURRY AVE</t>
  </si>
  <si>
    <t>CANONSBURG</t>
  </si>
  <si>
    <t>W BUFORD ST</t>
  </si>
  <si>
    <t>LANCASTER</t>
  </si>
  <si>
    <t>END OF CANYON LAKE DRIVE</t>
  </si>
  <si>
    <t>PORT COSTA</t>
  </si>
  <si>
    <t>800 TORO CREEK ROAD</t>
  </si>
  <si>
    <t>200 KY 36 W</t>
  </si>
  <si>
    <t>CYNTHIANA</t>
  </si>
  <si>
    <t>88 NEWPORT RD</t>
  </si>
  <si>
    <t>LEOLA</t>
  </si>
  <si>
    <t>17540-1821</t>
  </si>
  <si>
    <t>3333 AL DAVIS WAY</t>
  </si>
  <si>
    <t>1144 15 ST</t>
  </si>
  <si>
    <t>2450 W YOSEMITE AVE</t>
  </si>
  <si>
    <t>MANTECA</t>
  </si>
  <si>
    <t>ARNOLD AIR FORCE BASE</t>
  </si>
  <si>
    <t>37389-5000</t>
  </si>
  <si>
    <t>200 RIVER RD</t>
  </si>
  <si>
    <t>STANTON</t>
  </si>
  <si>
    <t>PLANTSIDE DR KY 55 S</t>
  </si>
  <si>
    <t>EMINENCE</t>
  </si>
  <si>
    <t>KY 1986</t>
  </si>
  <si>
    <t>5130 KIVA PLACE</t>
  </si>
  <si>
    <t>COPPEROPOLIS</t>
  </si>
  <si>
    <t>3801 CAMDEN AVE.</t>
  </si>
  <si>
    <t>PARKERSBURG</t>
  </si>
  <si>
    <t>2752 INDIAN SERVICE ROAD 36</t>
  </si>
  <si>
    <t>1898 WEST MAIN STREET</t>
  </si>
  <si>
    <t>SEELEY</t>
  </si>
  <si>
    <t>100 ST PAUL ST</t>
  </si>
  <si>
    <t>875 HARGER STREET</t>
  </si>
  <si>
    <t>1609 BIDDLE AVE</t>
  </si>
  <si>
    <t>WYANDOTTE</t>
  </si>
  <si>
    <t>2500 CHANNEL RD (PLANT 1); 17501 HWY 4 (PLANT 2)</t>
  </si>
  <si>
    <t>DISCOVERY BAY</t>
  </si>
  <si>
    <t>RAYNE</t>
  </si>
  <si>
    <t>39 NORTH HIGHWAY 49-88</t>
  </si>
  <si>
    <t>JACKSON</t>
  </si>
  <si>
    <t>1782 YORK ST</t>
  </si>
  <si>
    <t>575 ANDERSON AVE</t>
  </si>
  <si>
    <t>CLIFFSIDE PARK</t>
  </si>
  <si>
    <t>121 &amp; 123 BROADWAY, 250 &amp; 290 BINNEY STREET</t>
  </si>
  <si>
    <t>632 N BROADWAY</t>
  </si>
  <si>
    <t>508 S DIXIE HWY</t>
  </si>
  <si>
    <t>HORSE CAVE</t>
  </si>
  <si>
    <t>450 KY ST</t>
  </si>
  <si>
    <t>SHELBYVILLE</t>
  </si>
  <si>
    <t>150 SOLANO WAY</t>
  </si>
  <si>
    <t>PACHECO</t>
  </si>
  <si>
    <t>94553-1465</t>
  </si>
  <si>
    <t>1200 KENTUCKY AVE</t>
  </si>
  <si>
    <t>FRANKFORT</t>
  </si>
  <si>
    <t>452 LIGHTHOUSE CIRCLE DRIVE</t>
  </si>
  <si>
    <t>SOUTH PENNSYLVANIA AVENUE AND BORDENTOWN ROAD</t>
  </si>
  <si>
    <t>550 LORING AVE</t>
  </si>
  <si>
    <t>94525-1232</t>
  </si>
  <si>
    <t>NORFOLK</t>
  </si>
  <si>
    <t>6001 DUKE ST</t>
  </si>
  <si>
    <t>20TH ST VIRGINIA BEACH BLVD PACIFIC AND BALTIC AVE</t>
  </si>
  <si>
    <t>221 W GLEBE RD</t>
  </si>
  <si>
    <t>135 INDUSTRIAL DR</t>
  </si>
  <si>
    <t>RIFLE RANGE RD</t>
  </si>
  <si>
    <t>948 J CLYDE MORRIS BLVD</t>
  </si>
  <si>
    <t>NEWPORT NEWS</t>
  </si>
  <si>
    <t>600 N BROAD ST</t>
  </si>
  <si>
    <t>PHILLIPSBURG</t>
  </si>
  <si>
    <t>08865</t>
  </si>
  <si>
    <t>13710 DABNEY RD</t>
  </si>
  <si>
    <t>WOODBRIDGE</t>
  </si>
  <si>
    <t>111 E BROAD ST</t>
  </si>
  <si>
    <t>00000</t>
  </si>
  <si>
    <t>080140309</t>
  </si>
  <si>
    <t>08069</t>
  </si>
  <si>
    <t>88 VILLAGE STREET</t>
  </si>
  <si>
    <t>02142</t>
  </si>
  <si>
    <t>1200 MONTICELLO AVE</t>
  </si>
  <si>
    <t>1592 SPRING HILL RD</t>
  </si>
  <si>
    <t>1901 N MOORE ST</t>
  </si>
  <si>
    <t>08844</t>
  </si>
  <si>
    <t>340 SOUTH MAIN STREET</t>
  </si>
  <si>
    <t>02048</t>
  </si>
  <si>
    <t>1001 AND 1003 W BROAD ST</t>
  </si>
  <si>
    <t>533 UNIVERSITY BOULEVARD</t>
  </si>
  <si>
    <t>450 PLEASANT STREET</t>
  </si>
  <si>
    <t>07010</t>
  </si>
  <si>
    <t>5887 S TAFT HILL ROAD</t>
  </si>
  <si>
    <t>FORT COLLINS</t>
  </si>
  <si>
    <t>80526-3467</t>
  </si>
  <si>
    <t>1525 KENWOOD AVE</t>
  </si>
  <si>
    <t>08533</t>
  </si>
  <si>
    <t>07041</t>
  </si>
  <si>
    <t>01803</t>
  </si>
  <si>
    <t>5839 COLUMBIA PIKE</t>
  </si>
  <si>
    <t>239 MAPLE AVE W</t>
  </si>
  <si>
    <t>VIENNA</t>
  </si>
  <si>
    <t>4368 KING ST</t>
  </si>
  <si>
    <t>5801 BRIGHTON BLVD</t>
  </si>
  <si>
    <t>COMMERCE CITY</t>
  </si>
  <si>
    <t>3225 NORTH LAS VEGAS BOULEVARD</t>
  </si>
  <si>
    <t>19 S FRONT ST</t>
  </si>
  <si>
    <t>SALEM</t>
  </si>
  <si>
    <t>08079-1342</t>
  </si>
  <si>
    <t>35601DKNMRSTATE,35601MDMNFSTATE</t>
  </si>
  <si>
    <t>2506WLTVNS25CAR</t>
  </si>
  <si>
    <t>94510XXNCS3400E</t>
  </si>
  <si>
    <t>87416FRCRNCOUNT</t>
  </si>
  <si>
    <t>95014KSRCMNAXXX</t>
  </si>
  <si>
    <t>77536LBRZL41TID</t>
  </si>
  <si>
    <t>70507MCLHL31LAS</t>
  </si>
  <si>
    <t>77580NTRPR10207</t>
  </si>
  <si>
    <t>38012HYWDC751DU</t>
  </si>
  <si>
    <t>29210LLDFB4402S</t>
  </si>
  <si>
    <t>08536FRMNCPRINC</t>
  </si>
  <si>
    <t>15061ZNCCR300FR</t>
  </si>
  <si>
    <t>77017MBLCH9822L</t>
  </si>
  <si>
    <t>77503MCCHM1500N</t>
  </si>
  <si>
    <t>48192BSFCR1609B</t>
  </si>
  <si>
    <t>94553TSCCRAVONR</t>
  </si>
  <si>
    <t>70578BKRPT135IN</t>
  </si>
  <si>
    <t>08865JTBKR600NO</t>
  </si>
  <si>
    <t>80022CNCDN5801B</t>
  </si>
  <si>
    <t>2618WCHMRS848DU</t>
  </si>
  <si>
    <t>AL0064351</t>
  </si>
  <si>
    <t>CA0057827</t>
  </si>
  <si>
    <t>KY0106267</t>
  </si>
  <si>
    <t>HI0021377</t>
  </si>
  <si>
    <t>VAG830560</t>
  </si>
  <si>
    <t>CO0049017</t>
  </si>
  <si>
    <t>VAG830588</t>
  </si>
  <si>
    <t>VAG830561</t>
  </si>
  <si>
    <t>CA0005550</t>
  </si>
  <si>
    <t>KY0057193</t>
  </si>
  <si>
    <t>VAG830592</t>
  </si>
  <si>
    <t>LA0066214</t>
  </si>
  <si>
    <t>NN0000019</t>
  </si>
  <si>
    <t>CA0030210</t>
  </si>
  <si>
    <t>MAG910894</t>
  </si>
  <si>
    <t>VAG830577</t>
  </si>
  <si>
    <t>TX0007048</t>
  </si>
  <si>
    <t>RI0022942</t>
  </si>
  <si>
    <t>SC0003182</t>
  </si>
  <si>
    <t>TX0003727</t>
  </si>
  <si>
    <t>CA0104841</t>
  </si>
  <si>
    <t>KY0037991</t>
  </si>
  <si>
    <t>TX0102326</t>
  </si>
  <si>
    <t>VAG830566</t>
  </si>
  <si>
    <t>CA0023671</t>
  </si>
  <si>
    <t>TN0041939</t>
  </si>
  <si>
    <t>KY0111716</t>
  </si>
  <si>
    <t>CA0085201</t>
  </si>
  <si>
    <t>VAG830568</t>
  </si>
  <si>
    <t>CO0049003</t>
  </si>
  <si>
    <t>KY0082007</t>
  </si>
  <si>
    <t>SC0003557</t>
  </si>
  <si>
    <t>VAG830567</t>
  </si>
  <si>
    <t>NJ0226271</t>
  </si>
  <si>
    <t>CA0083488</t>
  </si>
  <si>
    <t>LA0080888</t>
  </si>
  <si>
    <t>CA0083721</t>
  </si>
  <si>
    <t>VAG830569</t>
  </si>
  <si>
    <t>HI0021654</t>
  </si>
  <si>
    <t>VAG830575</t>
  </si>
  <si>
    <t>HI0021890</t>
  </si>
  <si>
    <t>NV0020061</t>
  </si>
  <si>
    <t>PA0002208</t>
  </si>
  <si>
    <t>NV0022993</t>
  </si>
  <si>
    <t>TX0006068</t>
  </si>
  <si>
    <t>CA0104264</t>
  </si>
  <si>
    <t>CAC439621</t>
  </si>
  <si>
    <t>NN0020800</t>
  </si>
  <si>
    <t>VAG830574</t>
  </si>
  <si>
    <t>PA0001937</t>
  </si>
  <si>
    <t>KY0020974</t>
  </si>
  <si>
    <t>CA0037885</t>
  </si>
  <si>
    <t>CA3000001</t>
  </si>
  <si>
    <t>KY0105856</t>
  </si>
  <si>
    <t>PA0080594</t>
  </si>
  <si>
    <t>NV0024239</t>
  </si>
  <si>
    <t>COG318005</t>
  </si>
  <si>
    <t>CA0081558</t>
  </si>
  <si>
    <t>KY0034428</t>
  </si>
  <si>
    <t>KY0026883</t>
  </si>
  <si>
    <t>KY0107107</t>
  </si>
  <si>
    <t>CA0084620</t>
  </si>
  <si>
    <t>WV0003204</t>
  </si>
  <si>
    <t>NN0030343</t>
  </si>
  <si>
    <t>CA0105023</t>
  </si>
  <si>
    <t>COG318008</t>
  </si>
  <si>
    <t>MI0000540</t>
  </si>
  <si>
    <t>CA0078590</t>
  </si>
  <si>
    <t>CA0079391</t>
  </si>
  <si>
    <t>CO0049006</t>
  </si>
  <si>
    <t>NJG317063</t>
  </si>
  <si>
    <t>MAG912011</t>
  </si>
  <si>
    <t>KY0020150</t>
  </si>
  <si>
    <t>KY0091561</t>
  </si>
  <si>
    <t>KY0020427</t>
  </si>
  <si>
    <t>CA0004961</t>
  </si>
  <si>
    <t>KY0022861</t>
  </si>
  <si>
    <t>CA0064696</t>
  </si>
  <si>
    <t>PA0244856</t>
  </si>
  <si>
    <t>CA0029904</t>
  </si>
  <si>
    <t>VAG830630</t>
  </si>
  <si>
    <t>VAG830602</t>
  </si>
  <si>
    <t>VAG830610</t>
  </si>
  <si>
    <t>LA0064661</t>
  </si>
  <si>
    <t>VAG830613</t>
  </si>
  <si>
    <t>VAG830604</t>
  </si>
  <si>
    <t>NJ0004006</t>
  </si>
  <si>
    <t>VAG830619</t>
  </si>
  <si>
    <t>VAG830582</t>
  </si>
  <si>
    <t>NHG910105</t>
  </si>
  <si>
    <t>VAG830606</t>
  </si>
  <si>
    <t>VAG830623</t>
  </si>
  <si>
    <t>VAG830609</t>
  </si>
  <si>
    <t>MAG912092</t>
  </si>
  <si>
    <t>VAG830597</t>
  </si>
  <si>
    <t>VAG830624</t>
  </si>
  <si>
    <t>NHG910104</t>
  </si>
  <si>
    <t>CO0049056</t>
  </si>
  <si>
    <t>VAG830603</t>
  </si>
  <si>
    <t>VAG830598</t>
  </si>
  <si>
    <t>MAG912029</t>
  </si>
  <si>
    <t>MAG912064</t>
  </si>
  <si>
    <t>VAG830596</t>
  </si>
  <si>
    <t>VAG830525</t>
  </si>
  <si>
    <t>CO0001147</t>
  </si>
  <si>
    <t>WV0117986</t>
  </si>
  <si>
    <t>NV0024257</t>
  </si>
  <si>
    <t>NJ0024856</t>
  </si>
  <si>
    <t>BAKERS CREEK, TENNESSEE RIVER</t>
  </si>
  <si>
    <t>BURNET BAY</t>
  </si>
  <si>
    <t>BALLONA CREEK (REACH 2), CENTINELA CREEK, BALLONA CREEK REACH 2</t>
  </si>
  <si>
    <t>HOUSTON SHIP CHANNEL/BUFFALO BAYOU TIDAL</t>
  </si>
  <si>
    <t>HILO BAY</t>
  </si>
  <si>
    <t>MONONGAHELA RIVER</t>
  </si>
  <si>
    <t>COBBS CREEK, DELAWARE RIVER, EAST BRANCH INDIAN CREEK, SCHUYLKILL RIVER, UNNAMED STREAM, UNNAMED TRIB OF SCHUYLKILL RIVER, UNNAMED TRIB TO COBBS CREEK, WEST BRANCH INDIAN CREEK</t>
  </si>
  <si>
    <t>CARQUINEZ STRAIT</t>
  </si>
  <si>
    <t>BOGGY CR,BU DE LOUTRE, DITCH, TRIB</t>
  </si>
  <si>
    <t>HOUSTON SHIP CHANNEL/SAN JACINTO RIVER TIDAL</t>
  </si>
  <si>
    <t>NECHES RIVER TIDAL</t>
  </si>
  <si>
    <t>COX BAY, LAVACA BAY/CHOCOLATE BAY, LAVACA BAY/CHOCOLATE BAY; COX BAY</t>
  </si>
  <si>
    <t>BEAVER CREEK, BUFFALO WALLOW, CARQUINEZ STRAIT, SUISUN BAY, SULPHUR SPRINGS CREEK</t>
  </si>
  <si>
    <t>CLARKS RUN, CLARKS RUN CREEK</t>
  </si>
  <si>
    <t>SEG 070301 MISSISSIPPI RIVER</t>
  </si>
  <si>
    <t>MORGAN LAKE/CHACO RIVER/SAN JUAN</t>
  </si>
  <si>
    <t>FINCH LATERAL</t>
  </si>
  <si>
    <t>PERMANENTE CREEK</t>
  </si>
  <si>
    <t>FORT POINT CHANNEL/BOSTON HARBOR</t>
  </si>
  <si>
    <t>WHITE OAK SWAMP</t>
  </si>
  <si>
    <t>HOUSTON SHIP CHANNEL TIDAL, PATRICK BAYOU PORTION OF HOUSTON SHIP CHANNEL TIDA</t>
  </si>
  <si>
    <t>TRIBUTARIES OF FRY BROOK</t>
  </si>
  <si>
    <t>BROAD RIVER</t>
  </si>
  <si>
    <t>DICKINSON BAYOU TIDAL; DITCH, DICKINSON BAYOU TIDAL; UNNAMED DITCH; SAN JACINTO</t>
  </si>
  <si>
    <t>RICE DRAIN NO. 3, RICE DRAIN NO.3</t>
  </si>
  <si>
    <t>STRODES CREEK, STRODES CRK</t>
  </si>
  <si>
    <t>CEDAR BAYOU ABOVE TIDAL, CEDAR BAYOU TIDAL, CEDER BAYOU TIDAL - CEDAR BAYOU ABOVE TIDAL</t>
  </si>
  <si>
    <t>EEL RIVER, WETLAND TRIBUTARY TO EEL RIVER</t>
  </si>
  <si>
    <t>HOUSTON SHIP CHANNEL TIDAL</t>
  </si>
  <si>
    <t>FORKED DEER-SOUTH FORK, LITTLE NIXON CREEK</t>
  </si>
  <si>
    <t>HITE CRK, UT TO HITE CREEK</t>
  </si>
  <si>
    <t>MORSES CREEK, UNT RAHWAY RIVER</t>
  </si>
  <si>
    <t>SAN JOAQUIN RIVER</t>
  </si>
  <si>
    <t>ANGELS CREEK</t>
  </si>
  <si>
    <t>ATLANTIC OCEAN-RUDEE INLET</t>
  </si>
  <si>
    <t>LANES RUN</t>
  </si>
  <si>
    <t>KINLEY CREEK, SALUDA RIVER</t>
  </si>
  <si>
    <t>WEST FORK SAN JACINTO RIVER</t>
  </si>
  <si>
    <t>POTOMAC RIVER-LITTLE HUNTING CREEK</t>
  </si>
  <si>
    <t>MAGALIA RESERVOIR, MAGALIA RESERVOIR/LITTLE BUTTE CREEK</t>
  </si>
  <si>
    <t>INTRACOASTAL WATERWAY</t>
  </si>
  <si>
    <t>CARPENTERS BAYOU PORTION OF THE HSC TIDAL</t>
  </si>
  <si>
    <t>MAUNALUA BAY</t>
  </si>
  <si>
    <t>GROUNDWATER, NA, NEW RIVER DRAIN VIA UNNAMED DITCH</t>
  </si>
  <si>
    <t>OHIO RIVER, POORHOUSE RUN, RACCOON CREEK, RAG RUN, UNNAMED STREAM, UNNAMED TRIB TO OHIO RIVER</t>
  </si>
  <si>
    <t>LAS VEGAS WASH VIA CITY OF LAS VEGAS STORMDRAIN SY</t>
  </si>
  <si>
    <t>KASKASKIA RIVER</t>
  </si>
  <si>
    <t>ALDER DRAIN</t>
  </si>
  <si>
    <t>CHARTIERS CREEK, UNNAMED STREAM, UNNAMED TRIB TO CHARTIERS CREEK</t>
  </si>
  <si>
    <t>WHITE OAK CREEK, WHITE OAK CRK</t>
  </si>
  <si>
    <t>SOUTH FORK / LICKING RIVER, SOUTH FORK LICKING RIVER</t>
  </si>
  <si>
    <t>UNNAMED TRIB OF MILL CREEK, UNT OF MILL CREEK</t>
  </si>
  <si>
    <t>LAS VEGAS WASH HISTORIC LATERAL SECTION</t>
  </si>
  <si>
    <t>CHERRY CREEK</t>
  </si>
  <si>
    <t>JUDY CREEK, RED RIVER</t>
  </si>
  <si>
    <t>OTTER CREEK, OTTER CRK</t>
  </si>
  <si>
    <t>JURISDICTIONAL WETLANDS</t>
  </si>
  <si>
    <t>LITTLE KANAWHA RIVER</t>
  </si>
  <si>
    <t>DRAINAGE WASH TRIBUTORY TO SAN JUAN RIVER</t>
  </si>
  <si>
    <t>DETROIT RIVER, TRENTON CHANNEL OF THE DETROIT RIVER</t>
  </si>
  <si>
    <t>JACKSON CREEK</t>
  </si>
  <si>
    <t>BROAD CANAL TO CHARLES RIVER</t>
  </si>
  <si>
    <t>NORTH ELKHORN CRK, NORTH FOLK ELKHORN CREEK, NORTH FORK ELKHORN CREEK</t>
  </si>
  <si>
    <t>GREEN RIVER, OUTFALL 003</t>
  </si>
  <si>
    <t>CLEAR CREEK, CLEAR CRK</t>
  </si>
  <si>
    <t>HASTINGS SLOUGH, SUISUN BAY, LOWER WALNUT CREEK</t>
  </si>
  <si>
    <t>KENTUCKY RIVER, UT OF PENITENTIARY BRANCH</t>
  </si>
  <si>
    <t>DELAWARE RIVER, UNNAMED TRIB OF DELAWARE RIVER, UNNAMED TRIB TO DELAWARE RIVER, UNT TO DELAWARE RIVER</t>
  </si>
  <si>
    <t>ATLANTIC OCEAN-RUDEE INLET, LYNNHAVEN RIVER</t>
  </si>
  <si>
    <t>BAYOU BLANC-BAYOU PLAQUEMINE BRULE</t>
  </si>
  <si>
    <t>NORTHWEST BRANCH BACK RIVER</t>
  </si>
  <si>
    <t>POTOMAC RIVER-OCCOQUAN BAY</t>
  </si>
  <si>
    <t>HOYT BROOK (SOMETIMES SHOWN AS HOYL BROOK)</t>
  </si>
  <si>
    <t>ELIZABETH RIVER</t>
  </si>
  <si>
    <t>UNNAMED TRIBUTARY OF SMITH RIVER</t>
  </si>
  <si>
    <t>FOSSIL CREEK, SMITH CREEK, SMITH CREEK AND FOSSIL CREEK</t>
  </si>
  <si>
    <t>SAND CREEK, SAND CREEK TO SOUTH PLATTE RIVER, UNNAMED TRIBUTARY TO SOUTH PLATTE RIVER</t>
  </si>
  <si>
    <t>SALEM RIVER</t>
  </si>
  <si>
    <t>05020003000026</t>
  </si>
  <si>
    <t>06040006000343</t>
  </si>
  <si>
    <t>08070300000427</t>
  </si>
  <si>
    <t>08080201000271</t>
  </si>
  <si>
    <t>08070201000153</t>
  </si>
  <si>
    <t>05100205000511</t>
  </si>
  <si>
    <t>02040105000093</t>
  </si>
  <si>
    <t>08010205000538</t>
  </si>
  <si>
    <t>08040202000533</t>
  </si>
  <si>
    <t>08080206001241</t>
  </si>
  <si>
    <t>05030201001622</t>
  </si>
  <si>
    <t>05140101000441</t>
  </si>
  <si>
    <t>05110001000593</t>
  </si>
  <si>
    <t>05030203000007</t>
  </si>
  <si>
    <t>05100102000325</t>
  </si>
  <si>
    <t>08070204000982</t>
  </si>
  <si>
    <t>08070202002309</t>
  </si>
  <si>
    <t>05110003001454</t>
  </si>
  <si>
    <t>02030105000369</t>
  </si>
  <si>
    <t>01070001000335</t>
  </si>
  <si>
    <t>05040001000298</t>
  </si>
  <si>
    <t>05030101001548</t>
  </si>
  <si>
    <t>04050003000125</t>
  </si>
  <si>
    <t>06030003000915</t>
  </si>
  <si>
    <t>01070006001950</t>
  </si>
  <si>
    <t>05030101000095</t>
  </si>
  <si>
    <t>05050008000998</t>
  </si>
  <si>
    <t>05110003000994</t>
  </si>
  <si>
    <t>02030104000062</t>
  </si>
  <si>
    <t>05100101000033</t>
  </si>
  <si>
    <t>01070006000619</t>
  </si>
  <si>
    <t>05100205000020</t>
  </si>
  <si>
    <t>Yes</t>
  </si>
  <si>
    <t>FEDERAL</t>
  </si>
  <si>
    <t>Waste Handling, Treatment, and Disposal (non-POTW WWT)</t>
  </si>
  <si>
    <t>BAYER CROPSCIENCE LP</t>
  </si>
  <si>
    <t>BUCKMAN LABORATORIES INC.</t>
  </si>
  <si>
    <t>KENSING LLC</t>
  </si>
  <si>
    <t>WESTLAKE US 2 LLC</t>
  </si>
  <si>
    <t>WESTLAKE CHEMICALS &amp; VINYLS LLC</t>
  </si>
  <si>
    <t>SCR006565</t>
  </si>
  <si>
    <t>ILR10ZDCG</t>
  </si>
  <si>
    <t>TX0124915</t>
  </si>
  <si>
    <t>LAR05P999</t>
  </si>
  <si>
    <t>WIG006775</t>
  </si>
  <si>
    <t>LA0120529</t>
  </si>
  <si>
    <t>Water Releases for 1,2-Dichloroethane</t>
  </si>
  <si>
    <t>Annual Release Range (kg/site-yr)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</si>
</sst>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0000000000000000000000000000000000000000000"/>
    <numFmt numFmtId="166" formatCode="0.000"/>
    <numFmt numFmtId="167" formatCode="0.00000"/>
    <numFmt numFmtId="168" formatCode="0.0000"/>
    <numFmt numFmtId="169" formatCode="0.0%"/>
    <numFmt numFmtId="170" formatCode="_(* #,##0_);_(* \(#,##0\);_(* &quot;-&quot;??_);_(@_)"/>
    <numFmt numFmtId="171" formatCode="0.0"/>
    <numFmt numFmtId="172" formatCode="0.000%"/>
    <numFmt numFmtId="173" formatCode="0.000000"/>
    <numFmt numFmtId="174" formatCode="0.0000000"/>
  </numFmts>
  <fonts count="40" x14ac:knownFonts="1">
    <font>
      <sz val="11"/>
      <color theme="1"/>
      <name val="Calibri"/>
      <family val="2"/>
      <scheme val="minor"/>
    </font>
    <font>
      <b/>
      <sz val="11"/>
      <color theme="1"/>
      <name val="Calibri"/>
      <family val="2"/>
      <scheme val="minor"/>
    </font>
    <font>
      <b/>
      <sz val="10"/>
      <name val="Arial"/>
      <family val="2"/>
    </font>
    <font>
      <sz val="10"/>
      <name val="Arial"/>
      <family val="2"/>
    </font>
    <font>
      <b/>
      <sz val="14"/>
      <name val="Arial"/>
      <family val="2"/>
    </font>
    <font>
      <b/>
      <i/>
      <sz val="10"/>
      <name val="Arial"/>
      <family val="2"/>
    </font>
    <font>
      <i/>
      <sz val="10"/>
      <name val="Arial"/>
      <family val="2"/>
    </font>
    <font>
      <sz val="8"/>
      <name val="Calibri"/>
      <family val="2"/>
      <scheme val="minor"/>
    </font>
    <font>
      <sz val="11"/>
      <color rgb="FFFF0000"/>
      <name val="Calibri"/>
      <family val="2"/>
      <scheme val="minor"/>
    </font>
    <font>
      <u/>
      <sz val="11"/>
      <color theme="10"/>
      <name val="Calibri"/>
      <family val="2"/>
      <scheme val="minor"/>
    </font>
    <font>
      <b/>
      <sz val="11"/>
      <color theme="1"/>
      <name val="Times New Roman"/>
      <family val="1"/>
      <charset val="1"/>
    </font>
    <font>
      <b/>
      <sz val="11"/>
      <color rgb="FF000000"/>
      <name val="Times New Roman"/>
      <family val="1"/>
      <charset val="1"/>
    </font>
    <font>
      <sz val="11"/>
      <color rgb="FF000000"/>
      <name val="Calibri"/>
      <family val="2"/>
      <scheme val="minor"/>
    </font>
    <font>
      <sz val="11"/>
      <name val="Calibri"/>
      <family val="2"/>
      <scheme val="minor"/>
    </font>
    <font>
      <sz val="11"/>
      <color rgb="FF000000"/>
      <name val="Calibri"/>
      <family val="2"/>
    </font>
    <font>
      <b/>
      <sz val="11"/>
      <color rgb="FF000000"/>
      <name val="Calibri"/>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000000"/>
      <name val="Calibri"/>
      <family val="2"/>
      <scheme val="minor"/>
    </font>
    <font>
      <sz val="11"/>
      <color theme="1"/>
      <name val="Calibri"/>
      <family val="2"/>
    </font>
    <font>
      <sz val="11.5"/>
      <color theme="1"/>
      <name val="Calibri"/>
      <family val="2"/>
      <scheme val="minor"/>
    </font>
    <font>
      <b/>
      <sz val="10"/>
      <color rgb="FF000000"/>
      <name val="Times New Roman"/>
      <family val="1"/>
    </font>
    <font>
      <b/>
      <sz val="10"/>
      <color theme="1"/>
      <name val="Times New Roman"/>
      <family val="1"/>
    </font>
    <font>
      <sz val="10"/>
      <color theme="1"/>
      <name val="Times New Roman"/>
      <family val="1"/>
    </font>
    <font>
      <sz val="10"/>
      <color rgb="FF000000"/>
      <name val="Times New Roman"/>
      <family val="1"/>
    </font>
    <font>
      <b/>
      <sz val="18"/>
      <color theme="1"/>
      <name val="Times New Roman"/>
      <family val="1"/>
    </font>
    <font>
      <b/>
      <sz val="16"/>
      <color theme="1"/>
      <name val="Times New Roman"/>
      <family val="1"/>
    </font>
  </fonts>
  <fills count="54">
    <fill>
      <patternFill patternType="none"/>
    </fill>
    <fill>
      <patternFill patternType="gray125"/>
    </fill>
    <fill>
      <patternFill patternType="solid">
        <fgColor indexed="47"/>
        <bgColor indexed="64"/>
      </patternFill>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rgb="FFD9D9D9"/>
        <bgColor indexed="64"/>
      </patternFill>
    </fill>
    <fill>
      <patternFill patternType="solid">
        <fgColor rgb="FFBFBFBF"/>
        <bgColor indexed="64"/>
      </patternFill>
    </fill>
    <fill>
      <patternFill patternType="solid">
        <fgColor rgb="FF92D050"/>
        <bgColor indexed="64"/>
      </patternFill>
    </fill>
    <fill>
      <patternFill patternType="solid">
        <fgColor theme="6"/>
        <bgColor indexed="64"/>
      </patternFill>
    </fill>
    <fill>
      <patternFill patternType="solid">
        <fgColor theme="7"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4B084"/>
        <bgColor indexed="64"/>
      </patternFill>
    </fill>
    <fill>
      <patternFill patternType="solid">
        <fgColor rgb="FFC65911"/>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rgb="FFC0C0C0"/>
        <bgColor rgb="FFC0C0C0"/>
      </patternFill>
    </fill>
    <fill>
      <patternFill patternType="solid">
        <fgColor theme="4" tint="0.59999389629810485"/>
        <bgColor indexed="64"/>
      </patternFill>
    </fill>
    <fill>
      <patternFill patternType="solid">
        <fgColor rgb="FF0070C0"/>
        <bgColor indexed="64"/>
      </patternFill>
    </fill>
  </fills>
  <borders count="8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uble">
        <color rgb="FF000000"/>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op>
      <bottom/>
      <diagonal/>
    </border>
    <border>
      <left/>
      <right/>
      <top style="thin">
        <color theme="4"/>
      </top>
      <bottom style="thin">
        <color theme="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medium">
        <color rgb="FF000000"/>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auto="1"/>
      </bottom>
      <diagonal/>
    </border>
    <border>
      <left style="medium">
        <color indexed="64"/>
      </left>
      <right/>
      <top style="thin">
        <color indexed="64"/>
      </top>
      <bottom style="medium">
        <color indexed="64"/>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theme="0"/>
      </left>
      <right style="thin">
        <color theme="0"/>
      </right>
      <top style="thin">
        <color theme="0"/>
      </top>
      <bottom style="thin">
        <color theme="0"/>
      </bottom>
      <diagonal/>
    </border>
    <border>
      <left/>
      <right style="thin">
        <color indexed="64"/>
      </right>
      <top style="medium">
        <color indexed="64"/>
      </top>
      <bottom/>
      <diagonal/>
    </border>
  </borders>
  <cellStyleXfs count="45">
    <xf numFmtId="0" fontId="0" fillId="0" borderId="0"/>
    <xf numFmtId="0" fontId="9" fillId="0" borderId="0" applyNumberFormat="0" applyFill="0" applyBorder="0" applyAlignment="0" applyProtection="0"/>
    <xf numFmtId="9" fontId="16" fillId="0" borderId="0" applyFont="0" applyFill="0" applyBorder="0" applyAlignment="0" applyProtection="0"/>
    <xf numFmtId="0" fontId="17" fillId="0" borderId="0" applyNumberFormat="0" applyFill="0" applyBorder="0" applyAlignment="0" applyProtection="0"/>
    <xf numFmtId="0" fontId="18" fillId="0" borderId="47" applyNumberFormat="0" applyFill="0" applyAlignment="0" applyProtection="0"/>
    <xf numFmtId="0" fontId="19" fillId="0" borderId="48" applyNumberFormat="0" applyFill="0" applyAlignment="0" applyProtection="0"/>
    <xf numFmtId="0" fontId="20" fillId="0" borderId="49" applyNumberFormat="0" applyFill="0" applyAlignment="0" applyProtection="0"/>
    <xf numFmtId="0" fontId="20" fillId="0" borderId="0" applyNumberFormat="0" applyFill="0" applyBorder="0" applyAlignment="0" applyProtection="0"/>
    <xf numFmtId="0" fontId="21" fillId="12" borderId="0" applyNumberFormat="0" applyBorder="0" applyAlignment="0" applyProtection="0"/>
    <xf numFmtId="0" fontId="22" fillId="13" borderId="0" applyNumberFormat="0" applyBorder="0" applyAlignment="0" applyProtection="0"/>
    <xf numFmtId="0" fontId="23" fillId="14" borderId="0" applyNumberFormat="0" applyBorder="0" applyAlignment="0" applyProtection="0"/>
    <xf numFmtId="0" fontId="24" fillId="15" borderId="50" applyNumberFormat="0" applyAlignment="0" applyProtection="0"/>
    <xf numFmtId="0" fontId="25" fillId="16" borderId="51" applyNumberFormat="0" applyAlignment="0" applyProtection="0"/>
    <xf numFmtId="0" fontId="26" fillId="16" borderId="50" applyNumberFormat="0" applyAlignment="0" applyProtection="0"/>
    <xf numFmtId="0" fontId="27" fillId="0" borderId="52" applyNumberFormat="0" applyFill="0" applyAlignment="0" applyProtection="0"/>
    <xf numFmtId="0" fontId="28" fillId="17" borderId="53" applyNumberFormat="0" applyAlignment="0" applyProtection="0"/>
    <xf numFmtId="0" fontId="8" fillId="0" borderId="0" applyNumberFormat="0" applyFill="0" applyBorder="0" applyAlignment="0" applyProtection="0"/>
    <xf numFmtId="0" fontId="16" fillId="18" borderId="54" applyNumberFormat="0" applyFont="0" applyAlignment="0" applyProtection="0"/>
    <xf numFmtId="0" fontId="29" fillId="0" borderId="0" applyNumberFormat="0" applyFill="0" applyBorder="0" applyAlignment="0" applyProtection="0"/>
    <xf numFmtId="0" fontId="1" fillId="0" borderId="55" applyNumberFormat="0" applyFill="0" applyAlignment="0" applyProtection="0"/>
    <xf numFmtId="0" fontId="30"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30"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30"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30" fillId="31"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30"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30"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43" fontId="16" fillId="0" borderId="0" applyFont="0" applyFill="0" applyBorder="0" applyAlignment="0" applyProtection="0"/>
  </cellStyleXfs>
  <cellXfs count="456">
    <xf numFmtId="0" fontId="0" fillId="0" borderId="0" xfId="0"/>
    <xf numFmtId="164" fontId="2" fillId="0" borderId="0" xfId="0" applyNumberFormat="1" applyFont="1" applyAlignment="1">
      <alignment horizontal="center" vertical="top" wrapText="1"/>
    </xf>
    <xf numFmtId="0" fontId="2" fillId="0" borderId="0" xfId="0" applyFont="1" applyAlignment="1">
      <alignment horizontal="center" vertical="top" wrapText="1"/>
    </xf>
    <xf numFmtId="164" fontId="3" fillId="0" borderId="0" xfId="0" applyNumberFormat="1" applyFont="1" applyAlignment="1">
      <alignment vertical="top" wrapText="1"/>
    </xf>
    <xf numFmtId="0" fontId="3" fillId="0" borderId="0" xfId="0" applyFont="1" applyAlignment="1">
      <alignment vertical="top" wrapText="1"/>
    </xf>
    <xf numFmtId="0" fontId="3" fillId="0" borderId="0" xfId="0" applyFont="1" applyAlignment="1">
      <alignment horizontal="right" vertical="top" wrapText="1"/>
    </xf>
    <xf numFmtId="0" fontId="3" fillId="0" borderId="0" xfId="0" applyFont="1" applyAlignment="1">
      <alignment vertical="top"/>
    </xf>
    <xf numFmtId="1" fontId="3" fillId="0" borderId="0" xfId="0" applyNumberFormat="1" applyFont="1" applyAlignment="1">
      <alignment horizontal="right" vertical="top"/>
    </xf>
    <xf numFmtId="1" fontId="3" fillId="0" borderId="0" xfId="0" applyNumberFormat="1" applyFont="1" applyAlignment="1">
      <alignment vertical="top" wrapText="1"/>
    </xf>
    <xf numFmtId="1" fontId="0" fillId="0" borderId="0" xfId="0" applyNumberFormat="1"/>
    <xf numFmtId="0" fontId="3" fillId="0" borderId="0" xfId="0" quotePrefix="1" applyFont="1" applyAlignment="1">
      <alignment horizontal="right" vertical="top" wrapText="1"/>
    </xf>
    <xf numFmtId="164" fontId="3" fillId="0" borderId="0" xfId="0" applyNumberFormat="1" applyFont="1" applyAlignment="1">
      <alignment horizontal="right" vertical="top" wrapText="1"/>
    </xf>
    <xf numFmtId="0" fontId="4" fillId="2" borderId="1" xfId="0" applyFont="1" applyFill="1" applyBorder="1"/>
    <xf numFmtId="0" fontId="0" fillId="2" borderId="2" xfId="0" applyFill="1" applyBorder="1"/>
    <xf numFmtId="0" fontId="0" fillId="2" borderId="3" xfId="0" applyFill="1" applyBorder="1"/>
    <xf numFmtId="0" fontId="0" fillId="2" borderId="4" xfId="0" applyFill="1" applyBorder="1" applyAlignment="1">
      <alignment vertical="top"/>
    </xf>
    <xf numFmtId="0" fontId="2" fillId="2" borderId="4" xfId="0" applyFont="1" applyFill="1" applyBorder="1" applyAlignment="1">
      <alignment horizontal="center" wrapText="1"/>
    </xf>
    <xf numFmtId="165" fontId="2" fillId="2" borderId="4" xfId="0" applyNumberFormat="1" applyFont="1" applyFill="1" applyBorder="1" applyAlignment="1">
      <alignment horizontal="center" wrapText="1"/>
    </xf>
    <xf numFmtId="0" fontId="2" fillId="2" borderId="4" xfId="0" applyFont="1" applyFill="1" applyBorder="1" applyAlignment="1">
      <alignment horizontal="center" vertical="top" wrapText="1"/>
    </xf>
    <xf numFmtId="0" fontId="3" fillId="0" borderId="4" xfId="0" applyFont="1" applyBorder="1" applyAlignment="1">
      <alignment horizontal="left" vertical="top" wrapText="1"/>
    </xf>
    <xf numFmtId="0" fontId="2" fillId="0" borderId="4" xfId="0" applyFont="1" applyBorder="1" applyAlignment="1">
      <alignment horizontal="left" vertical="top" wrapText="1"/>
    </xf>
    <xf numFmtId="0" fontId="6" fillId="0" borderId="4" xfId="0" applyFont="1" applyBorder="1" applyAlignment="1">
      <alignment horizontal="left" vertical="top" wrapText="1"/>
    </xf>
    <xf numFmtId="0" fontId="3" fillId="0" borderId="4" xfId="0" applyFont="1" applyBorder="1" applyAlignment="1">
      <alignment horizontal="left" vertical="top"/>
    </xf>
    <xf numFmtId="0" fontId="3" fillId="2" borderId="4" xfId="0" applyFont="1" applyFill="1" applyBorder="1" applyAlignment="1">
      <alignment vertical="top"/>
    </xf>
    <xf numFmtId="0" fontId="0" fillId="2" borderId="4" xfId="0" applyFill="1" applyBorder="1" applyAlignment="1">
      <alignment vertical="top" wrapText="1"/>
    </xf>
    <xf numFmtId="0" fontId="0" fillId="0" borderId="0" xfId="0" applyAlignment="1">
      <alignment wrapText="1"/>
    </xf>
    <xf numFmtId="0" fontId="0" fillId="0" borderId="0" xfId="0" applyAlignment="1">
      <alignment horizontal="center" vertical="center"/>
    </xf>
    <xf numFmtId="0" fontId="0" fillId="0" borderId="0" xfId="0" applyAlignment="1">
      <alignment horizontal="center"/>
    </xf>
    <xf numFmtId="0" fontId="0" fillId="0" borderId="4" xfId="0" applyBorder="1"/>
    <xf numFmtId="0" fontId="1" fillId="4" borderId="4" xfId="0" applyFont="1" applyFill="1" applyBorder="1" applyAlignment="1">
      <alignment wrapText="1"/>
    </xf>
    <xf numFmtId="0" fontId="0" fillId="0" borderId="4" xfId="0" applyBorder="1" applyAlignment="1">
      <alignment vertical="center" wrapText="1"/>
    </xf>
    <xf numFmtId="0" fontId="10" fillId="6" borderId="11" xfId="0" applyFont="1" applyFill="1" applyBorder="1" applyAlignment="1">
      <alignment horizontal="center"/>
    </xf>
    <xf numFmtId="0" fontId="11" fillId="6" borderId="12" xfId="0" applyFont="1" applyFill="1" applyBorder="1" applyAlignment="1">
      <alignment horizontal="center"/>
    </xf>
    <xf numFmtId="0" fontId="11" fillId="6" borderId="12" xfId="0" applyFont="1" applyFill="1" applyBorder="1" applyAlignment="1">
      <alignment horizontal="center" wrapText="1"/>
    </xf>
    <xf numFmtId="0" fontId="11" fillId="6" borderId="13" xfId="0" applyFont="1" applyFill="1" applyBorder="1" applyAlignment="1">
      <alignment horizontal="center" wrapText="1"/>
    </xf>
    <xf numFmtId="0" fontId="0" fillId="0" borderId="14" xfId="0" applyBorder="1"/>
    <xf numFmtId="0" fontId="0" fillId="0" borderId="15" xfId="0" applyBorder="1"/>
    <xf numFmtId="0" fontId="0" fillId="0" borderId="15" xfId="0" applyBorder="1" applyAlignment="1">
      <alignment wrapText="1"/>
    </xf>
    <xf numFmtId="0" fontId="0" fillId="0" borderId="16" xfId="0" applyBorder="1" applyAlignment="1">
      <alignment wrapText="1"/>
    </xf>
    <xf numFmtId="0" fontId="0" fillId="0" borderId="17" xfId="0" applyBorder="1"/>
    <xf numFmtId="0" fontId="0" fillId="0" borderId="4" xfId="0" applyBorder="1" applyAlignment="1">
      <alignment wrapText="1"/>
    </xf>
    <xf numFmtId="0" fontId="0" fillId="0" borderId="18" xfId="0" applyBorder="1" applyAlignment="1">
      <alignment wrapText="1"/>
    </xf>
    <xf numFmtId="0" fontId="12" fillId="0" borderId="4" xfId="0" applyFont="1" applyBorder="1" applyAlignment="1">
      <alignment wrapText="1"/>
    </xf>
    <xf numFmtId="0" fontId="12" fillId="0" borderId="18" xfId="0" applyFont="1" applyBorder="1" applyAlignment="1">
      <alignment wrapText="1"/>
    </xf>
    <xf numFmtId="0" fontId="13" fillId="0" borderId="4" xfId="0" applyFont="1" applyBorder="1" applyAlignment="1">
      <alignment wrapText="1"/>
    </xf>
    <xf numFmtId="0" fontId="0" fillId="0" borderId="25" xfId="0" applyBorder="1" applyAlignment="1">
      <alignment wrapText="1"/>
    </xf>
    <xf numFmtId="0" fontId="0" fillId="0" borderId="26" xfId="0" applyBorder="1" applyAlignment="1">
      <alignment wrapText="1"/>
    </xf>
    <xf numFmtId="0" fontId="8" fillId="0" borderId="4" xfId="0" applyFont="1" applyBorder="1" applyAlignment="1">
      <alignment wrapText="1"/>
    </xf>
    <xf numFmtId="0" fontId="8" fillId="0" borderId="18" xfId="0" applyFont="1" applyBorder="1" applyAlignment="1">
      <alignment wrapText="1"/>
    </xf>
    <xf numFmtId="0" fontId="0" fillId="0" borderId="27" xfId="0" applyBorder="1"/>
    <xf numFmtId="0" fontId="0" fillId="0" borderId="28" xfId="0" applyBorder="1"/>
    <xf numFmtId="0" fontId="0" fillId="0" borderId="28" xfId="0" applyBorder="1" applyAlignment="1">
      <alignment wrapText="1"/>
    </xf>
    <xf numFmtId="0" fontId="0" fillId="0" borderId="29" xfId="0" applyBorder="1" applyAlignment="1">
      <alignment wrapText="1"/>
    </xf>
    <xf numFmtId="0" fontId="1" fillId="7" borderId="30" xfId="0" applyFont="1" applyFill="1" applyBorder="1"/>
    <xf numFmtId="0" fontId="9" fillId="0" borderId="0" xfId="1"/>
    <xf numFmtId="0" fontId="0" fillId="0" borderId="33" xfId="0" applyBorder="1" applyAlignment="1">
      <alignment horizontal="center"/>
    </xf>
    <xf numFmtId="0" fontId="1" fillId="0" borderId="0" xfId="0" applyFont="1" applyAlignment="1">
      <alignment horizontal="center"/>
    </xf>
    <xf numFmtId="0" fontId="0" fillId="0" borderId="1" xfId="0" applyBorder="1" applyAlignment="1">
      <alignment wrapText="1"/>
    </xf>
    <xf numFmtId="2" fontId="1" fillId="0" borderId="0" xfId="0" applyNumberFormat="1" applyFont="1"/>
    <xf numFmtId="0" fontId="1" fillId="0" borderId="0" xfId="0" applyFont="1"/>
    <xf numFmtId="0" fontId="0" fillId="0" borderId="4" xfId="0" applyBorder="1" applyAlignment="1">
      <alignment horizontal="center"/>
    </xf>
    <xf numFmtId="1" fontId="0" fillId="0" borderId="4" xfId="0" applyNumberFormat="1" applyBorder="1"/>
    <xf numFmtId="2" fontId="0" fillId="0" borderId="4" xfId="0" applyNumberFormat="1" applyBorder="1"/>
    <xf numFmtId="1" fontId="0" fillId="0" borderId="1" xfId="0" applyNumberFormat="1" applyBorder="1"/>
    <xf numFmtId="0" fontId="1" fillId="8" borderId="4" xfId="0" applyFont="1" applyFill="1" applyBorder="1" applyAlignment="1">
      <alignment wrapText="1"/>
    </xf>
    <xf numFmtId="0" fontId="1" fillId="5" borderId="4" xfId="0" applyFont="1" applyFill="1" applyBorder="1" applyAlignment="1">
      <alignment wrapText="1"/>
    </xf>
    <xf numFmtId="0" fontId="0" fillId="9" borderId="41" xfId="0" applyFill="1" applyBorder="1"/>
    <xf numFmtId="166" fontId="1" fillId="0" borderId="0" xfId="0" applyNumberFormat="1" applyFont="1" applyAlignment="1">
      <alignment horizontal="right"/>
    </xf>
    <xf numFmtId="14" fontId="0" fillId="0" borderId="4" xfId="0" applyNumberFormat="1" applyBorder="1"/>
    <xf numFmtId="0" fontId="1" fillId="5" borderId="4" xfId="0" applyFont="1" applyFill="1" applyBorder="1"/>
    <xf numFmtId="0" fontId="1" fillId="5" borderId="4" xfId="0" applyFont="1" applyFill="1" applyBorder="1" applyAlignment="1">
      <alignment horizontal="center"/>
    </xf>
    <xf numFmtId="0" fontId="1" fillId="5" borderId="4" xfId="0" applyFont="1" applyFill="1" applyBorder="1" applyAlignment="1">
      <alignment horizontal="center" wrapText="1"/>
    </xf>
    <xf numFmtId="0" fontId="1" fillId="8" borderId="4" xfId="0" applyFont="1" applyFill="1" applyBorder="1"/>
    <xf numFmtId="0" fontId="14" fillId="0" borderId="0" xfId="0" applyFont="1"/>
    <xf numFmtId="1" fontId="0" fillId="0" borderId="4" xfId="0" applyNumberFormat="1" applyBorder="1" applyAlignment="1">
      <alignment horizontal="center"/>
    </xf>
    <xf numFmtId="0" fontId="0" fillId="9" borderId="41" xfId="0" applyFill="1" applyBorder="1" applyAlignment="1">
      <alignment horizontal="center"/>
    </xf>
    <xf numFmtId="0" fontId="0" fillId="0" borderId="41" xfId="0" applyBorder="1"/>
    <xf numFmtId="0" fontId="0" fillId="0" borderId="41" xfId="0" applyBorder="1" applyAlignment="1">
      <alignment horizontal="center"/>
    </xf>
    <xf numFmtId="1" fontId="0" fillId="0" borderId="41" xfId="0" applyNumberFormat="1" applyBorder="1" applyAlignment="1">
      <alignment horizontal="center"/>
    </xf>
    <xf numFmtId="1" fontId="0" fillId="0" borderId="42" xfId="0" applyNumberFormat="1" applyBorder="1"/>
    <xf numFmtId="166" fontId="0" fillId="0" borderId="4" xfId="0" applyNumberFormat="1" applyBorder="1"/>
    <xf numFmtId="0" fontId="0" fillId="0" borderId="1" xfId="0" applyBorder="1"/>
    <xf numFmtId="0" fontId="1" fillId="5" borderId="23" xfId="0" applyFont="1" applyFill="1" applyBorder="1" applyAlignment="1">
      <alignment horizontal="center" wrapText="1"/>
    </xf>
    <xf numFmtId="168" fontId="0" fillId="0" borderId="4" xfId="0" applyNumberFormat="1" applyBorder="1"/>
    <xf numFmtId="0" fontId="14" fillId="0" borderId="4" xfId="0" applyFont="1" applyBorder="1"/>
    <xf numFmtId="0" fontId="14" fillId="0" borderId="56" xfId="0" applyFont="1" applyBorder="1"/>
    <xf numFmtId="0" fontId="14" fillId="0" borderId="57" xfId="0" applyFont="1" applyBorder="1"/>
    <xf numFmtId="0" fontId="0" fillId="0" borderId="15" xfId="0" applyBorder="1" applyAlignment="1">
      <alignment horizontal="center"/>
    </xf>
    <xf numFmtId="1" fontId="0" fillId="0" borderId="15" xfId="0" applyNumberFormat="1" applyBorder="1" applyAlignment="1">
      <alignment horizontal="center"/>
    </xf>
    <xf numFmtId="1" fontId="0" fillId="0" borderId="58" xfId="0" applyNumberFormat="1" applyBorder="1"/>
    <xf numFmtId="0" fontId="0" fillId="0" borderId="58" xfId="0" applyBorder="1" applyAlignment="1">
      <alignment horizontal="center"/>
    </xf>
    <xf numFmtId="0" fontId="0" fillId="0" borderId="16" xfId="0" applyBorder="1" applyAlignment="1">
      <alignment horizontal="center"/>
    </xf>
    <xf numFmtId="9" fontId="0" fillId="0" borderId="4" xfId="2" applyFont="1" applyBorder="1"/>
    <xf numFmtId="167" fontId="0" fillId="0" borderId="4" xfId="0" applyNumberFormat="1" applyBorder="1"/>
    <xf numFmtId="0" fontId="31" fillId="0" borderId="0" xfId="0" applyFont="1" applyAlignment="1">
      <alignment wrapText="1"/>
    </xf>
    <xf numFmtId="9" fontId="0" fillId="0" borderId="0" xfId="2" applyFont="1" applyAlignment="1">
      <alignment horizontal="center"/>
    </xf>
    <xf numFmtId="11" fontId="0" fillId="0" borderId="4" xfId="0" applyNumberFormat="1" applyBorder="1" applyAlignment="1">
      <alignment horizontal="center"/>
    </xf>
    <xf numFmtId="0" fontId="0" fillId="0" borderId="3" xfId="0" applyBorder="1"/>
    <xf numFmtId="0" fontId="0" fillId="0" borderId="0" xfId="0" applyAlignment="1">
      <alignment horizontal="left" wrapText="1"/>
    </xf>
    <xf numFmtId="0" fontId="0" fillId="0" borderId="60" xfId="0" applyBorder="1" applyAlignment="1">
      <alignment wrapText="1"/>
    </xf>
    <xf numFmtId="0" fontId="0" fillId="0" borderId="61" xfId="0" applyBorder="1" applyAlignment="1">
      <alignment wrapText="1"/>
    </xf>
    <xf numFmtId="0" fontId="0" fillId="0" borderId="62" xfId="0" applyBorder="1" applyAlignment="1">
      <alignment wrapText="1"/>
    </xf>
    <xf numFmtId="0" fontId="0" fillId="0" borderId="63" xfId="0" applyBorder="1" applyAlignment="1">
      <alignment wrapText="1"/>
    </xf>
    <xf numFmtId="0" fontId="0" fillId="43" borderId="62" xfId="0" applyFill="1" applyBorder="1" applyAlignment="1">
      <alignment wrapText="1"/>
    </xf>
    <xf numFmtId="0" fontId="0" fillId="43" borderId="63" xfId="0" applyFill="1" applyBorder="1"/>
    <xf numFmtId="0" fontId="12" fillId="0" borderId="62" xfId="0" applyFont="1" applyBorder="1" applyAlignment="1">
      <alignment wrapText="1"/>
    </xf>
    <xf numFmtId="0" fontId="12" fillId="43" borderId="62" xfId="0" applyFont="1" applyFill="1" applyBorder="1" applyAlignment="1">
      <alignment wrapText="1"/>
    </xf>
    <xf numFmtId="169" fontId="0" fillId="43" borderId="63" xfId="0" applyNumberFormat="1" applyFill="1" applyBorder="1"/>
    <xf numFmtId="0" fontId="0" fillId="43" borderId="64" xfId="0" applyFill="1" applyBorder="1" applyAlignment="1">
      <alignment wrapText="1"/>
    </xf>
    <xf numFmtId="169" fontId="0" fillId="43" borderId="65" xfId="2" applyNumberFormat="1" applyFont="1" applyFill="1" applyBorder="1" applyAlignment="1">
      <alignment wrapText="1"/>
    </xf>
    <xf numFmtId="0" fontId="13" fillId="0" borderId="0" xfId="0" applyFont="1"/>
    <xf numFmtId="0" fontId="1" fillId="9" borderId="41" xfId="0" applyFont="1" applyFill="1" applyBorder="1"/>
    <xf numFmtId="11" fontId="0" fillId="0" borderId="4" xfId="0" applyNumberFormat="1" applyBorder="1"/>
    <xf numFmtId="0" fontId="0" fillId="0" borderId="4" xfId="0" applyBorder="1" applyAlignment="1">
      <alignment horizontal="center" wrapText="1"/>
    </xf>
    <xf numFmtId="0" fontId="0" fillId="0" borderId="0" xfId="0" applyAlignment="1">
      <alignment horizontal="center" wrapText="1"/>
    </xf>
    <xf numFmtId="0" fontId="1" fillId="4" borderId="4" xfId="0" applyFont="1" applyFill="1" applyBorder="1" applyAlignment="1">
      <alignment horizontal="center" wrapText="1"/>
    </xf>
    <xf numFmtId="0" fontId="8" fillId="0" borderId="28" xfId="0" applyFont="1" applyBorder="1" applyAlignment="1">
      <alignment horizontal="center"/>
    </xf>
    <xf numFmtId="0" fontId="0" fillId="10" borderId="4" xfId="0" applyFill="1" applyBorder="1" applyAlignment="1">
      <alignment horizontal="left" vertical="center"/>
    </xf>
    <xf numFmtId="0" fontId="0" fillId="44" borderId="4" xfId="0" applyFill="1" applyBorder="1" applyAlignment="1">
      <alignment horizontal="left" vertical="center"/>
    </xf>
    <xf numFmtId="0" fontId="0" fillId="45" borderId="4" xfId="0" applyFill="1" applyBorder="1" applyAlignment="1">
      <alignment horizontal="left" vertical="center"/>
    </xf>
    <xf numFmtId="0" fontId="1" fillId="0" borderId="4" xfId="0" applyFont="1" applyBorder="1"/>
    <xf numFmtId="0" fontId="1" fillId="0" borderId="4" xfId="0" applyFont="1" applyBorder="1" applyAlignment="1">
      <alignment horizontal="center"/>
    </xf>
    <xf numFmtId="0" fontId="32" fillId="0" borderId="0" xfId="0" applyFont="1"/>
    <xf numFmtId="0" fontId="32" fillId="0" borderId="4" xfId="0" applyFont="1" applyBorder="1"/>
    <xf numFmtId="170" fontId="32" fillId="0" borderId="4" xfId="44" applyNumberFormat="1" applyFont="1" applyFill="1" applyBorder="1"/>
    <xf numFmtId="170" fontId="32" fillId="0" borderId="4" xfId="44" applyNumberFormat="1" applyFont="1" applyFill="1" applyBorder="1" applyAlignment="1">
      <alignment horizontal="right"/>
    </xf>
    <xf numFmtId="0" fontId="0" fillId="0" borderId="20" xfId="0" applyBorder="1"/>
    <xf numFmtId="0" fontId="31" fillId="0" borderId="11" xfId="0" applyFont="1" applyBorder="1" applyAlignment="1">
      <alignment horizontal="center" wrapText="1"/>
    </xf>
    <xf numFmtId="0" fontId="15" fillId="0" borderId="10" xfId="0" applyFont="1" applyBorder="1" applyAlignment="1">
      <alignment horizontal="center" wrapText="1"/>
    </xf>
    <xf numFmtId="0" fontId="0" fillId="0" borderId="14" xfId="0" applyBorder="1" applyAlignment="1">
      <alignment horizontal="center"/>
    </xf>
    <xf numFmtId="0" fontId="14" fillId="0" borderId="3" xfId="0" applyFont="1" applyBorder="1"/>
    <xf numFmtId="0" fontId="1" fillId="8" borderId="23" xfId="0" applyFont="1" applyFill="1" applyBorder="1" applyAlignment="1">
      <alignment horizontal="center" wrapText="1"/>
    </xf>
    <xf numFmtId="0" fontId="0" fillId="9" borderId="33" xfId="0" applyFill="1" applyBorder="1" applyAlignment="1">
      <alignment horizontal="center"/>
    </xf>
    <xf numFmtId="11" fontId="0" fillId="0" borderId="0" xfId="0" applyNumberFormat="1" applyAlignment="1">
      <alignment horizontal="center"/>
    </xf>
    <xf numFmtId="11" fontId="1" fillId="5" borderId="22" xfId="0" applyNumberFormat="1" applyFont="1" applyFill="1" applyBorder="1" applyAlignment="1">
      <alignment horizontal="center" wrapText="1"/>
    </xf>
    <xf numFmtId="11" fontId="1" fillId="5" borderId="23" xfId="0" applyNumberFormat="1" applyFont="1" applyFill="1" applyBorder="1" applyAlignment="1">
      <alignment horizontal="center" wrapText="1"/>
    </xf>
    <xf numFmtId="0" fontId="0" fillId="0" borderId="1" xfId="0" applyBorder="1" applyAlignment="1">
      <alignment horizontal="center" wrapText="1"/>
    </xf>
    <xf numFmtId="0" fontId="1" fillId="5" borderId="70" xfId="0" applyFont="1" applyFill="1" applyBorder="1" applyAlignment="1">
      <alignment horizontal="center" wrapText="1"/>
    </xf>
    <xf numFmtId="0" fontId="1" fillId="9" borderId="41" xfId="0" applyFont="1" applyFill="1" applyBorder="1" applyAlignment="1">
      <alignment horizontal="center" wrapText="1"/>
    </xf>
    <xf numFmtId="0" fontId="1" fillId="9" borderId="28" xfId="0" applyFont="1" applyFill="1" applyBorder="1" applyAlignment="1">
      <alignment horizontal="center" wrapText="1"/>
    </xf>
    <xf numFmtId="0" fontId="1" fillId="9" borderId="28" xfId="0" applyFont="1" applyFill="1" applyBorder="1" applyAlignment="1">
      <alignment wrapText="1"/>
    </xf>
    <xf numFmtId="0" fontId="1" fillId="9" borderId="29" xfId="0" applyFont="1" applyFill="1" applyBorder="1" applyAlignment="1">
      <alignment horizontal="center" wrapText="1"/>
    </xf>
    <xf numFmtId="0" fontId="1" fillId="8" borderId="22" xfId="0" applyFont="1" applyFill="1" applyBorder="1" applyAlignment="1">
      <alignment horizontal="center" wrapText="1"/>
    </xf>
    <xf numFmtId="0" fontId="1" fillId="8" borderId="24" xfId="0" applyFont="1" applyFill="1" applyBorder="1" applyAlignment="1">
      <alignment horizontal="center" wrapText="1"/>
    </xf>
    <xf numFmtId="0" fontId="0" fillId="0" borderId="43" xfId="0" applyBorder="1" applyAlignment="1">
      <alignment horizontal="center" wrapText="1"/>
    </xf>
    <xf numFmtId="0" fontId="0" fillId="0" borderId="43" xfId="0" applyBorder="1"/>
    <xf numFmtId="0" fontId="1" fillId="5" borderId="69" xfId="0" applyFont="1" applyFill="1" applyBorder="1" applyAlignment="1">
      <alignment horizontal="center" wrapText="1"/>
    </xf>
    <xf numFmtId="0" fontId="1" fillId="8" borderId="72" xfId="0" applyFont="1" applyFill="1" applyBorder="1" applyAlignment="1">
      <alignment horizontal="center" wrapText="1"/>
    </xf>
    <xf numFmtId="0" fontId="1" fillId="8" borderId="73" xfId="0" applyFont="1" applyFill="1" applyBorder="1" applyAlignment="1">
      <alignment horizontal="center" wrapText="1"/>
    </xf>
    <xf numFmtId="0" fontId="1" fillId="8" borderId="36" xfId="0" applyFont="1" applyFill="1" applyBorder="1" applyAlignment="1">
      <alignment horizontal="center" wrapText="1"/>
    </xf>
    <xf numFmtId="0" fontId="1" fillId="4" borderId="72" xfId="0" applyFont="1" applyFill="1" applyBorder="1" applyAlignment="1">
      <alignment horizontal="center" wrapText="1"/>
    </xf>
    <xf numFmtId="0" fontId="1" fillId="4" borderId="73" xfId="0" applyFont="1" applyFill="1" applyBorder="1" applyAlignment="1">
      <alignment horizontal="center" wrapText="1"/>
    </xf>
    <xf numFmtId="0" fontId="1" fillId="4" borderId="36" xfId="0" applyFont="1" applyFill="1" applyBorder="1" applyAlignment="1">
      <alignment horizontal="center" wrapText="1"/>
    </xf>
    <xf numFmtId="11" fontId="0" fillId="0" borderId="32" xfId="0" applyNumberFormat="1" applyBorder="1" applyAlignment="1">
      <alignment horizontal="center" wrapText="1"/>
    </xf>
    <xf numFmtId="11" fontId="0" fillId="0" borderId="41" xfId="0" applyNumberFormat="1" applyBorder="1" applyAlignment="1">
      <alignment horizontal="center" wrapText="1"/>
    </xf>
    <xf numFmtId="0" fontId="0" fillId="0" borderId="33" xfId="0" applyBorder="1" applyAlignment="1">
      <alignment horizontal="center" wrapText="1"/>
    </xf>
    <xf numFmtId="11" fontId="0" fillId="0" borderId="4" xfId="0" applyNumberFormat="1" applyBorder="1" applyAlignment="1">
      <alignment horizontal="center" wrapText="1"/>
    </xf>
    <xf numFmtId="0" fontId="14" fillId="0" borderId="20" xfId="0" applyFont="1" applyBorder="1"/>
    <xf numFmtId="1" fontId="0" fillId="0" borderId="20" xfId="0" applyNumberFormat="1" applyBorder="1" applyAlignment="1">
      <alignment horizontal="center"/>
    </xf>
    <xf numFmtId="1" fontId="0" fillId="0" borderId="46" xfId="0" applyNumberFormat="1" applyBorder="1"/>
    <xf numFmtId="0" fontId="0" fillId="0" borderId="58" xfId="0" applyBorder="1"/>
    <xf numFmtId="0" fontId="0" fillId="0" borderId="57" xfId="0" applyBorder="1"/>
    <xf numFmtId="0" fontId="9" fillId="0" borderId="0" xfId="1" applyAlignment="1">
      <alignment horizontal="left"/>
    </xf>
    <xf numFmtId="0" fontId="1" fillId="11" borderId="4" xfId="0" applyFont="1" applyFill="1" applyBorder="1" applyAlignment="1">
      <alignment wrapText="1"/>
    </xf>
    <xf numFmtId="0" fontId="1" fillId="11" borderId="4" xfId="0" applyFont="1" applyFill="1" applyBorder="1"/>
    <xf numFmtId="11" fontId="0" fillId="0" borderId="0" xfId="0" applyNumberFormat="1"/>
    <xf numFmtId="0" fontId="28" fillId="5" borderId="4" xfId="0" applyFont="1" applyFill="1" applyBorder="1"/>
    <xf numFmtId="1" fontId="0" fillId="3" borderId="4" xfId="0" applyNumberFormat="1" applyFill="1" applyBorder="1"/>
    <xf numFmtId="14" fontId="0" fillId="3" borderId="4" xfId="0" applyNumberFormat="1" applyFill="1" applyBorder="1"/>
    <xf numFmtId="0" fontId="0" fillId="3" borderId="4" xfId="0" applyFill="1" applyBorder="1"/>
    <xf numFmtId="0" fontId="0" fillId="3" borderId="0" xfId="0" applyFill="1"/>
    <xf numFmtId="14" fontId="0" fillId="3" borderId="4" xfId="0" applyNumberFormat="1" applyFill="1" applyBorder="1" applyAlignment="1">
      <alignment horizontal="right"/>
    </xf>
    <xf numFmtId="2" fontId="0" fillId="3" borderId="4" xfId="0" applyNumberFormat="1" applyFill="1" applyBorder="1"/>
    <xf numFmtId="0" fontId="0" fillId="3" borderId="4" xfId="0" applyFill="1" applyBorder="1" applyAlignment="1">
      <alignment horizontal="right"/>
    </xf>
    <xf numFmtId="14" fontId="0" fillId="3" borderId="20" xfId="0" applyNumberFormat="1" applyFill="1" applyBorder="1" applyAlignment="1">
      <alignment horizontal="right"/>
    </xf>
    <xf numFmtId="0" fontId="0" fillId="3" borderId="20" xfId="0" applyFill="1" applyBorder="1"/>
    <xf numFmtId="0" fontId="12" fillId="0" borderId="15" xfId="0" applyFont="1" applyBorder="1" applyAlignment="1">
      <alignment horizontal="center"/>
    </xf>
    <xf numFmtId="0" fontId="12" fillId="0" borderId="4" xfId="0" applyFont="1" applyBorder="1" applyAlignment="1">
      <alignment horizontal="center" wrapText="1"/>
    </xf>
    <xf numFmtId="0" fontId="12" fillId="0" borderId="4" xfId="0" applyFont="1" applyBorder="1" applyAlignment="1">
      <alignment horizontal="center"/>
    </xf>
    <xf numFmtId="0" fontId="3" fillId="0" borderId="0" xfId="0" applyFont="1"/>
    <xf numFmtId="0" fontId="2" fillId="2" borderId="4" xfId="0" applyFont="1" applyFill="1" applyBorder="1" applyAlignment="1">
      <alignment horizontal="center" vertical="center" wrapText="1"/>
    </xf>
    <xf numFmtId="164" fontId="2" fillId="45" borderId="4" xfId="0" applyNumberFormat="1" applyFont="1" applyFill="1" applyBorder="1" applyAlignment="1">
      <alignment horizontal="center" vertical="center" wrapText="1"/>
    </xf>
    <xf numFmtId="0" fontId="2" fillId="45" borderId="4" xfId="0" applyFont="1" applyFill="1" applyBorder="1" applyAlignment="1">
      <alignment horizontal="center" vertical="center" wrapText="1"/>
    </xf>
    <xf numFmtId="164" fontId="3" fillId="0" borderId="4" xfId="0" applyNumberFormat="1" applyFont="1" applyBorder="1" applyAlignment="1">
      <alignment vertical="top" wrapText="1"/>
    </xf>
    <xf numFmtId="0" fontId="3" fillId="0" borderId="4" xfId="0" applyFont="1" applyBorder="1" applyAlignment="1">
      <alignment vertical="top" wrapText="1"/>
    </xf>
    <xf numFmtId="0" fontId="3" fillId="0" borderId="4" xfId="0" applyFont="1" applyBorder="1" applyAlignment="1">
      <alignment vertical="top"/>
    </xf>
    <xf numFmtId="1" fontId="28" fillId="5" borderId="4" xfId="0" applyNumberFormat="1" applyFont="1" applyFill="1" applyBorder="1"/>
    <xf numFmtId="0" fontId="0" fillId="3" borderId="1" xfId="0" applyFill="1" applyBorder="1"/>
    <xf numFmtId="0" fontId="28" fillId="0" borderId="4" xfId="0" applyFont="1" applyBorder="1" applyAlignment="1">
      <alignment horizontal="center"/>
    </xf>
    <xf numFmtId="0" fontId="28" fillId="0" borderId="4" xfId="0" applyFont="1" applyBorder="1"/>
    <xf numFmtId="14" fontId="0" fillId="0" borderId="20" xfId="0" applyNumberFormat="1" applyBorder="1"/>
    <xf numFmtId="14" fontId="0" fillId="0" borderId="4" xfId="0" applyNumberFormat="1" applyBorder="1" applyAlignment="1">
      <alignment horizontal="right"/>
    </xf>
    <xf numFmtId="9" fontId="0" fillId="0" borderId="4" xfId="2" applyFont="1" applyFill="1" applyBorder="1"/>
    <xf numFmtId="9" fontId="0" fillId="3" borderId="4" xfId="2" applyFont="1" applyFill="1" applyBorder="1"/>
    <xf numFmtId="1" fontId="28" fillId="5" borderId="4" xfId="0" applyNumberFormat="1" applyFont="1" applyFill="1" applyBorder="1" applyAlignment="1">
      <alignment horizontal="center" wrapText="1"/>
    </xf>
    <xf numFmtId="170" fontId="32" fillId="11" borderId="4" xfId="44" applyNumberFormat="1" applyFont="1" applyFill="1" applyBorder="1" applyAlignment="1">
      <alignment horizontal="right"/>
    </xf>
    <xf numFmtId="171" fontId="0" fillId="0" borderId="4" xfId="0" applyNumberFormat="1" applyBorder="1"/>
    <xf numFmtId="0" fontId="15" fillId="0" borderId="75" xfId="0" applyFont="1" applyBorder="1" applyAlignment="1">
      <alignment horizontal="center" wrapText="1"/>
    </xf>
    <xf numFmtId="0" fontId="15" fillId="0" borderId="6" xfId="0" applyFont="1" applyBorder="1" applyAlignment="1">
      <alignment horizontal="center" wrapText="1"/>
    </xf>
    <xf numFmtId="0" fontId="8" fillId="0" borderId="72" xfId="0" applyFont="1" applyBorder="1" applyAlignment="1">
      <alignment horizontal="center"/>
    </xf>
    <xf numFmtId="0" fontId="0" fillId="0" borderId="1" xfId="0" applyBorder="1" applyAlignment="1">
      <alignment horizontal="center"/>
    </xf>
    <xf numFmtId="0" fontId="0" fillId="0" borderId="67" xfId="0" applyBorder="1" applyAlignment="1">
      <alignment horizontal="center"/>
    </xf>
    <xf numFmtId="0" fontId="31" fillId="0" borderId="34" xfId="0" applyFont="1" applyBorder="1" applyAlignment="1">
      <alignment horizontal="center" wrapText="1"/>
    </xf>
    <xf numFmtId="0" fontId="0" fillId="0" borderId="4" xfId="0" applyBorder="1" applyAlignment="1">
      <alignment horizontal="center" vertical="center"/>
    </xf>
    <xf numFmtId="168" fontId="0" fillId="0" borderId="4" xfId="0" applyNumberFormat="1" applyBorder="1" applyAlignment="1">
      <alignment horizontal="center" vertical="center"/>
    </xf>
    <xf numFmtId="0" fontId="0" fillId="0" borderId="37" xfId="0" applyBorder="1" applyAlignment="1">
      <alignment horizontal="center"/>
    </xf>
    <xf numFmtId="0" fontId="0" fillId="0" borderId="7" xfId="0" applyBorder="1" applyAlignment="1">
      <alignment horizontal="center"/>
    </xf>
    <xf numFmtId="0" fontId="0" fillId="0" borderId="4" xfId="0" applyBorder="1" applyAlignment="1">
      <alignment horizontal="right"/>
    </xf>
    <xf numFmtId="167" fontId="0" fillId="0" borderId="20" xfId="0" applyNumberFormat="1" applyBorder="1"/>
    <xf numFmtId="14" fontId="0" fillId="0" borderId="20" xfId="0" applyNumberFormat="1" applyBorder="1" applyAlignment="1">
      <alignment horizontal="right"/>
    </xf>
    <xf numFmtId="167" fontId="0" fillId="0" borderId="1" xfId="0" applyNumberFormat="1" applyBorder="1"/>
    <xf numFmtId="167" fontId="0" fillId="0" borderId="46" xfId="0" applyNumberFormat="1" applyBorder="1"/>
    <xf numFmtId="0" fontId="0" fillId="0" borderId="20" xfId="0" applyBorder="1" applyAlignment="1">
      <alignment horizontal="center" vertical="center"/>
    </xf>
    <xf numFmtId="167" fontId="0" fillId="0" borderId="15" xfId="0" applyNumberFormat="1" applyBorder="1"/>
    <xf numFmtId="0" fontId="0" fillId="0" borderId="15" xfId="0" applyBorder="1" applyAlignment="1">
      <alignment horizontal="center" vertical="center"/>
    </xf>
    <xf numFmtId="0" fontId="0" fillId="0" borderId="20" xfId="0" applyBorder="1" applyAlignment="1">
      <alignment horizontal="center"/>
    </xf>
    <xf numFmtId="0" fontId="1" fillId="0" borderId="74" xfId="0" applyFont="1" applyBorder="1" applyAlignment="1">
      <alignment wrapText="1"/>
    </xf>
    <xf numFmtId="0" fontId="0" fillId="0" borderId="76" xfId="0" applyBorder="1" applyAlignment="1">
      <alignment wrapText="1"/>
    </xf>
    <xf numFmtId="0" fontId="0" fillId="0" borderId="39" xfId="0" applyBorder="1" applyAlignment="1">
      <alignment wrapText="1"/>
    </xf>
    <xf numFmtId="0" fontId="0" fillId="0" borderId="40" xfId="0" applyBorder="1" applyAlignment="1">
      <alignment wrapText="1"/>
    </xf>
    <xf numFmtId="172" fontId="28" fillId="0" borderId="4" xfId="2" applyNumberFormat="1" applyFont="1" applyBorder="1"/>
    <xf numFmtId="172" fontId="0" fillId="0" borderId="4" xfId="2" applyNumberFormat="1" applyFont="1" applyBorder="1" applyAlignment="1">
      <alignment horizontal="left"/>
    </xf>
    <xf numFmtId="172" fontId="0" fillId="0" borderId="4" xfId="2" applyNumberFormat="1" applyFont="1" applyFill="1" applyBorder="1"/>
    <xf numFmtId="0" fontId="0" fillId="0" borderId="46" xfId="0" applyBorder="1"/>
    <xf numFmtId="0" fontId="35" fillId="43" borderId="27" xfId="0" applyFont="1" applyFill="1" applyBorder="1" applyAlignment="1">
      <alignment horizontal="center" vertical="center" wrapText="1"/>
    </xf>
    <xf numFmtId="0" fontId="35" fillId="43" borderId="28" xfId="0" applyFont="1" applyFill="1" applyBorder="1" applyAlignment="1">
      <alignment horizontal="center" vertical="center" wrapText="1"/>
    </xf>
    <xf numFmtId="0" fontId="34" fillId="51" borderId="28" xfId="0" applyFont="1" applyFill="1" applyBorder="1" applyAlignment="1">
      <alignment horizontal="center" vertical="center" wrapText="1"/>
    </xf>
    <xf numFmtId="0" fontId="34" fillId="51" borderId="29" xfId="0" applyFont="1" applyFill="1" applyBorder="1" applyAlignment="1">
      <alignment horizontal="center" vertical="center" wrapText="1"/>
    </xf>
    <xf numFmtId="0" fontId="35" fillId="43" borderId="29" xfId="0" applyFont="1" applyFill="1" applyBorder="1" applyAlignment="1">
      <alignment horizontal="center" vertical="center" wrapText="1"/>
    </xf>
    <xf numFmtId="0" fontId="35" fillId="43" borderId="59" xfId="0" applyFont="1" applyFill="1" applyBorder="1" applyAlignment="1">
      <alignment horizontal="center" vertical="center" wrapText="1"/>
    </xf>
    <xf numFmtId="0" fontId="36" fillId="0" borderId="37" xfId="0" applyFont="1" applyBorder="1" applyAlignment="1">
      <alignment vertical="center" wrapText="1"/>
    </xf>
    <xf numFmtId="0" fontId="37" fillId="0" borderId="14" xfId="0" applyFont="1" applyBorder="1" applyAlignment="1">
      <alignment horizontal="left" vertical="center" wrapText="1"/>
    </xf>
    <xf numFmtId="0" fontId="37" fillId="0" borderId="15" xfId="0" applyFont="1" applyBorder="1" applyAlignment="1">
      <alignment horizontal="left" vertical="center" wrapText="1"/>
    </xf>
    <xf numFmtId="0" fontId="36" fillId="0" borderId="15" xfId="0" applyFont="1" applyBorder="1" applyAlignment="1">
      <alignment horizontal="center" vertical="center" wrapText="1"/>
    </xf>
    <xf numFmtId="0" fontId="36" fillId="0" borderId="15" xfId="0" quotePrefix="1" applyFont="1" applyBorder="1" applyAlignment="1">
      <alignment horizontal="center" vertical="center" wrapText="1"/>
    </xf>
    <xf numFmtId="0" fontId="36" fillId="0" borderId="16" xfId="0" applyFont="1" applyBorder="1" applyAlignment="1">
      <alignment horizontal="center" vertical="center" wrapText="1"/>
    </xf>
    <xf numFmtId="0" fontId="36" fillId="0" borderId="14" xfId="0" applyFont="1" applyBorder="1" applyAlignment="1">
      <alignment horizontal="center" vertical="center" wrapText="1"/>
    </xf>
    <xf numFmtId="9" fontId="36" fillId="0" borderId="15" xfId="0" applyNumberFormat="1" applyFont="1" applyBorder="1" applyAlignment="1">
      <alignment horizontal="center" vertical="center" wrapText="1"/>
    </xf>
    <xf numFmtId="0" fontId="36" fillId="0" borderId="66" xfId="0" applyFont="1" applyBorder="1" applyAlignment="1">
      <alignment horizontal="center" vertical="center" wrapText="1"/>
    </xf>
    <xf numFmtId="0" fontId="36" fillId="0" borderId="38" xfId="0" applyFont="1" applyBorder="1" applyAlignment="1">
      <alignment wrapText="1"/>
    </xf>
    <xf numFmtId="0" fontId="36" fillId="0" borderId="17" xfId="0" applyFont="1" applyBorder="1" applyAlignment="1">
      <alignment horizontal="center" vertical="center" wrapText="1"/>
    </xf>
    <xf numFmtId="9" fontId="36" fillId="0" borderId="4" xfId="0" applyNumberFormat="1" applyFont="1" applyBorder="1" applyAlignment="1">
      <alignment horizontal="center" vertical="center" wrapText="1"/>
    </xf>
    <xf numFmtId="49" fontId="36" fillId="0" borderId="4" xfId="0" applyNumberFormat="1" applyFont="1" applyBorder="1" applyAlignment="1">
      <alignment horizontal="center" vertical="center"/>
    </xf>
    <xf numFmtId="0" fontId="36" fillId="0" borderId="78" xfId="0" applyFont="1" applyBorder="1" applyAlignment="1">
      <alignment wrapText="1"/>
    </xf>
    <xf numFmtId="0" fontId="37" fillId="0" borderId="27" xfId="0" applyFont="1" applyBorder="1" applyAlignment="1">
      <alignment horizontal="left" vertical="center" wrapText="1"/>
    </xf>
    <xf numFmtId="0" fontId="37" fillId="0" borderId="28" xfId="0" applyFont="1" applyBorder="1" applyAlignment="1">
      <alignment horizontal="left" vertical="center" wrapText="1"/>
    </xf>
    <xf numFmtId="0" fontId="36" fillId="0" borderId="28" xfId="0" applyFont="1" applyBorder="1" applyAlignment="1">
      <alignment horizontal="center" vertical="center" wrapText="1"/>
    </xf>
    <xf numFmtId="0" fontId="36" fillId="0" borderId="28" xfId="0" applyFont="1" applyBorder="1" applyAlignment="1">
      <alignment horizontal="center" vertical="center"/>
    </xf>
    <xf numFmtId="0" fontId="36" fillId="0" borderId="29"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59" xfId="0" applyFont="1" applyBorder="1" applyAlignment="1">
      <alignment horizontal="center" vertical="center" wrapText="1"/>
    </xf>
    <xf numFmtId="0" fontId="36" fillId="0" borderId="0" xfId="0" applyFont="1" applyAlignment="1">
      <alignment horizontal="left" vertical="center" wrapText="1"/>
    </xf>
    <xf numFmtId="0" fontId="0" fillId="0" borderId="0" xfId="0" applyAlignment="1">
      <alignment horizontal="center" vertical="center" wrapText="1"/>
    </xf>
    <xf numFmtId="0" fontId="36" fillId="11" borderId="38" xfId="0" applyFont="1" applyFill="1" applyBorder="1" applyAlignment="1">
      <alignment wrapText="1"/>
    </xf>
    <xf numFmtId="0" fontId="0" fillId="0" borderId="74" xfId="0" applyBorder="1"/>
    <xf numFmtId="0" fontId="0" fillId="3" borderId="0" xfId="0" quotePrefix="1" applyFill="1"/>
    <xf numFmtId="0" fontId="0" fillId="0" borderId="0" xfId="0" applyAlignment="1">
      <alignment horizontal="left" vertical="top" wrapText="1"/>
    </xf>
    <xf numFmtId="0" fontId="0" fillId="0" borderId="4" xfId="0" applyBorder="1" applyAlignment="1">
      <alignment vertical="top" wrapText="1"/>
    </xf>
    <xf numFmtId="0" fontId="12" fillId="0" borderId="4" xfId="0" applyFont="1" applyBorder="1" applyAlignment="1">
      <alignment vertical="top" wrapText="1"/>
    </xf>
    <xf numFmtId="0" fontId="12" fillId="0" borderId="20" xfId="0" applyFont="1" applyBorder="1" applyAlignment="1">
      <alignment vertical="top" wrapText="1"/>
    </xf>
    <xf numFmtId="0" fontId="0" fillId="0" borderId="0" xfId="0" applyAlignment="1">
      <alignment vertical="top"/>
    </xf>
    <xf numFmtId="0" fontId="1" fillId="0" borderId="66" xfId="0" applyFont="1" applyBorder="1" applyAlignment="1">
      <alignment horizontal="center"/>
    </xf>
    <xf numFmtId="0" fontId="1" fillId="0" borderId="15" xfId="0" applyFont="1" applyBorder="1" applyAlignment="1">
      <alignment horizontal="center" vertical="center"/>
    </xf>
    <xf numFmtId="0" fontId="1" fillId="0" borderId="15" xfId="0" applyFont="1" applyBorder="1" applyAlignment="1">
      <alignment horizontal="center"/>
    </xf>
    <xf numFmtId="9" fontId="1" fillId="0" borderId="15" xfId="2" applyFont="1" applyBorder="1" applyAlignment="1">
      <alignment horizontal="left" vertical="top" wrapText="1"/>
    </xf>
    <xf numFmtId="0" fontId="0" fillId="0" borderId="58" xfId="0" applyBorder="1" applyAlignment="1">
      <alignment wrapText="1"/>
    </xf>
    <xf numFmtId="0" fontId="0" fillId="0" borderId="3" xfId="0" applyBorder="1" applyAlignment="1">
      <alignment horizontal="center"/>
    </xf>
    <xf numFmtId="9" fontId="0" fillId="0" borderId="4" xfId="2" applyFont="1" applyBorder="1" applyAlignment="1">
      <alignment horizontal="left" vertical="top" wrapText="1"/>
    </xf>
    <xf numFmtId="0" fontId="0" fillId="0" borderId="1" xfId="0" applyBorder="1" applyAlignment="1">
      <alignment horizontal="left" vertical="top" wrapText="1"/>
    </xf>
    <xf numFmtId="0" fontId="0" fillId="0" borderId="74" xfId="0" applyBorder="1" applyAlignment="1">
      <alignment horizontal="center"/>
    </xf>
    <xf numFmtId="0" fontId="0" fillId="0" borderId="46" xfId="0" applyBorder="1" applyAlignment="1">
      <alignment wrapText="1"/>
    </xf>
    <xf numFmtId="0" fontId="1" fillId="9" borderId="75" xfId="0" applyFont="1" applyFill="1" applyBorder="1" applyAlignment="1">
      <alignment horizontal="center"/>
    </xf>
    <xf numFmtId="166" fontId="0" fillId="0" borderId="4" xfId="0" applyNumberFormat="1" applyBorder="1" applyAlignment="1">
      <alignment horizontal="center" wrapText="1"/>
    </xf>
    <xf numFmtId="166" fontId="0" fillId="0" borderId="4" xfId="0" applyNumberFormat="1" applyBorder="1" applyAlignment="1">
      <alignment horizontal="center"/>
    </xf>
    <xf numFmtId="166" fontId="0" fillId="0" borderId="0" xfId="0" applyNumberFormat="1" applyAlignment="1">
      <alignment horizontal="center"/>
    </xf>
    <xf numFmtId="0" fontId="0" fillId="0" borderId="44" xfId="0" applyBorder="1"/>
    <xf numFmtId="0" fontId="0" fillId="0" borderId="2" xfId="0" applyBorder="1"/>
    <xf numFmtId="0" fontId="14" fillId="0" borderId="2" xfId="0" applyFont="1" applyBorder="1"/>
    <xf numFmtId="0" fontId="14" fillId="0" borderId="1" xfId="0" applyFont="1" applyBorder="1"/>
    <xf numFmtId="166" fontId="0" fillId="46" borderId="4" xfId="0" applyNumberFormat="1" applyFill="1" applyBorder="1" applyAlignment="1">
      <alignment horizontal="center"/>
    </xf>
    <xf numFmtId="166" fontId="0" fillId="47" borderId="4" xfId="0" applyNumberFormat="1" applyFill="1" applyBorder="1" applyAlignment="1">
      <alignment horizontal="center"/>
    </xf>
    <xf numFmtId="0" fontId="0" fillId="11" borderId="4" xfId="0" applyFill="1" applyBorder="1"/>
    <xf numFmtId="0" fontId="0" fillId="11" borderId="20" xfId="0" applyFill="1" applyBorder="1"/>
    <xf numFmtId="1" fontId="0" fillId="0" borderId="79" xfId="0" applyNumberFormat="1" applyBorder="1" applyAlignment="1">
      <alignment horizontal="center"/>
    </xf>
    <xf numFmtId="1" fontId="0" fillId="0" borderId="75" xfId="0" applyNumberFormat="1" applyBorder="1" applyAlignment="1">
      <alignment horizontal="center"/>
    </xf>
    <xf numFmtId="0" fontId="0" fillId="52" borderId="1" xfId="0" applyFill="1" applyBorder="1" applyAlignment="1">
      <alignment horizontal="left"/>
    </xf>
    <xf numFmtId="1" fontId="0" fillId="0" borderId="20" xfId="0" applyNumberFormat="1" applyBorder="1"/>
    <xf numFmtId="11" fontId="0" fillId="0" borderId="20" xfId="0" applyNumberFormat="1" applyBorder="1"/>
    <xf numFmtId="170" fontId="32" fillId="0" borderId="4" xfId="44" applyNumberFormat="1" applyFont="1" applyBorder="1"/>
    <xf numFmtId="0" fontId="28" fillId="53" borderId="4" xfId="0" applyFont="1" applyFill="1" applyBorder="1"/>
    <xf numFmtId="0" fontId="1" fillId="0" borderId="34" xfId="0" applyFont="1" applyBorder="1"/>
    <xf numFmtId="0" fontId="12" fillId="0" borderId="80" xfId="0" applyFont="1" applyBorder="1" applyAlignment="1">
      <alignment wrapText="1"/>
    </xf>
    <xf numFmtId="0" fontId="12" fillId="0" borderId="39" xfId="0" applyFont="1" applyBorder="1" applyAlignment="1">
      <alignment wrapText="1"/>
    </xf>
    <xf numFmtId="0" fontId="12" fillId="0" borderId="35" xfId="0" applyFont="1" applyBorder="1" applyAlignment="1">
      <alignment wrapText="1"/>
    </xf>
    <xf numFmtId="0" fontId="12" fillId="0" borderId="81" xfId="0" applyFont="1" applyBorder="1" applyAlignment="1">
      <alignment wrapText="1"/>
    </xf>
    <xf numFmtId="0" fontId="31" fillId="0" borderId="76" xfId="0" applyFont="1" applyBorder="1" applyAlignment="1">
      <alignment wrapText="1"/>
    </xf>
    <xf numFmtId="0" fontId="31" fillId="0" borderId="40" xfId="0" applyFont="1" applyBorder="1" applyAlignment="1">
      <alignment wrapText="1"/>
    </xf>
    <xf numFmtId="0" fontId="12" fillId="0" borderId="82" xfId="0" applyFont="1" applyBorder="1" applyAlignment="1">
      <alignment horizontal="center"/>
    </xf>
    <xf numFmtId="0" fontId="28" fillId="5" borderId="4" xfId="0" applyFont="1" applyFill="1" applyBorder="1" applyAlignment="1">
      <alignment wrapText="1"/>
    </xf>
    <xf numFmtId="1" fontId="28" fillId="5" borderId="4" xfId="0" applyNumberFormat="1" applyFont="1" applyFill="1" applyBorder="1" applyAlignment="1">
      <alignment horizontal="left" wrapText="1"/>
    </xf>
    <xf numFmtId="0" fontId="28" fillId="5" borderId="0" xfId="0" applyFont="1" applyFill="1" applyAlignment="1">
      <alignment wrapText="1"/>
    </xf>
    <xf numFmtId="0" fontId="0" fillId="0" borderId="0" xfId="0" quotePrefix="1"/>
    <xf numFmtId="0" fontId="0" fillId="0" borderId="4" xfId="0" quotePrefix="1" applyBorder="1"/>
    <xf numFmtId="1" fontId="0" fillId="0" borderId="0" xfId="0" applyNumberFormat="1" applyAlignment="1">
      <alignment horizontal="center"/>
    </xf>
    <xf numFmtId="11" fontId="0" fillId="0" borderId="3" xfId="0" applyNumberFormat="1" applyBorder="1" applyAlignment="1">
      <alignment horizontal="center" wrapText="1"/>
    </xf>
    <xf numFmtId="11" fontId="0" fillId="0" borderId="45" xfId="0" applyNumberFormat="1" applyBorder="1" applyAlignment="1">
      <alignment horizontal="center" wrapText="1"/>
    </xf>
    <xf numFmtId="11" fontId="0" fillId="0" borderId="84" xfId="0" applyNumberFormat="1" applyBorder="1" applyAlignment="1">
      <alignment horizontal="center" wrapText="1"/>
    </xf>
    <xf numFmtId="0" fontId="0" fillId="0" borderId="31" xfId="0" applyBorder="1" applyAlignment="1">
      <alignment horizontal="center" wrapText="1"/>
    </xf>
    <xf numFmtId="0" fontId="0" fillId="0" borderId="84" xfId="0" applyBorder="1" applyAlignment="1">
      <alignment horizontal="center" wrapText="1"/>
    </xf>
    <xf numFmtId="0" fontId="0" fillId="0" borderId="75" xfId="0" applyBorder="1" applyAlignment="1">
      <alignment horizontal="center" wrapText="1"/>
    </xf>
    <xf numFmtId="11" fontId="0" fillId="0" borderId="45" xfId="0" applyNumberFormat="1" applyBorder="1" applyAlignment="1">
      <alignment horizontal="center" vertical="top" wrapText="1"/>
    </xf>
    <xf numFmtId="11" fontId="0" fillId="0" borderId="4" xfId="0" applyNumberFormat="1" applyBorder="1" applyAlignment="1">
      <alignment horizontal="center" vertical="top" wrapText="1"/>
    </xf>
    <xf numFmtId="11" fontId="0" fillId="0" borderId="45" xfId="0" applyNumberFormat="1" applyBorder="1" applyAlignment="1">
      <alignment horizontal="center"/>
    </xf>
    <xf numFmtId="11" fontId="0" fillId="0" borderId="84" xfId="0" applyNumberFormat="1" applyBorder="1" applyAlignment="1">
      <alignment horizontal="center"/>
    </xf>
    <xf numFmtId="0" fontId="0" fillId="0" borderId="84" xfId="0" applyBorder="1" applyAlignment="1">
      <alignment horizontal="center"/>
    </xf>
    <xf numFmtId="9" fontId="0" fillId="0" borderId="4" xfId="0" applyNumberFormat="1" applyBorder="1"/>
    <xf numFmtId="0" fontId="31" fillId="0" borderId="71" xfId="0" applyFont="1" applyBorder="1" applyAlignment="1">
      <alignment horizontal="center" wrapText="1"/>
    </xf>
    <xf numFmtId="0" fontId="0" fillId="0" borderId="66" xfId="0" applyBorder="1" applyAlignment="1">
      <alignment horizontal="center"/>
    </xf>
    <xf numFmtId="0" fontId="1" fillId="0" borderId="11" xfId="0" applyFont="1" applyBorder="1"/>
    <xf numFmtId="0" fontId="1" fillId="0" borderId="12" xfId="0" applyFont="1" applyBorder="1" applyAlignment="1">
      <alignment horizontal="center"/>
    </xf>
    <xf numFmtId="0" fontId="31" fillId="0" borderId="12" xfId="0" applyFont="1" applyBorder="1" applyAlignment="1">
      <alignment horizontal="center" wrapText="1"/>
    </xf>
    <xf numFmtId="0" fontId="31" fillId="0" borderId="13" xfId="0" applyFont="1" applyBorder="1" applyAlignment="1">
      <alignment horizontal="center" wrapText="1"/>
    </xf>
    <xf numFmtId="0" fontId="12" fillId="0" borderId="14" xfId="0" applyFont="1" applyBorder="1" applyAlignment="1">
      <alignment wrapText="1"/>
    </xf>
    <xf numFmtId="0" fontId="12" fillId="0" borderId="17" xfId="0" applyFont="1" applyBorder="1" applyAlignment="1">
      <alignment wrapText="1"/>
    </xf>
    <xf numFmtId="0" fontId="12" fillId="0" borderId="22" xfId="0" applyFont="1" applyBorder="1" applyAlignment="1">
      <alignment wrapText="1"/>
    </xf>
    <xf numFmtId="0" fontId="12" fillId="0" borderId="27" xfId="0" applyFont="1" applyBorder="1" applyAlignment="1">
      <alignment wrapText="1"/>
    </xf>
    <xf numFmtId="0" fontId="8" fillId="0" borderId="29" xfId="0" applyFont="1" applyBorder="1" applyAlignment="1">
      <alignment horizontal="center"/>
    </xf>
    <xf numFmtId="0" fontId="8" fillId="0" borderId="59" xfId="0" applyFont="1" applyBorder="1" applyAlignment="1">
      <alignment horizontal="center"/>
    </xf>
    <xf numFmtId="0" fontId="8" fillId="0" borderId="73" xfId="0" applyFont="1" applyBorder="1" applyAlignment="1">
      <alignment horizontal="center"/>
    </xf>
    <xf numFmtId="0" fontId="8" fillId="0" borderId="36" xfId="0" applyFont="1" applyBorder="1" applyAlignment="1">
      <alignment horizontal="center"/>
    </xf>
    <xf numFmtId="0" fontId="15" fillId="0" borderId="13" xfId="0" applyFont="1" applyBorder="1" applyAlignment="1">
      <alignment horizontal="center" wrapText="1"/>
    </xf>
    <xf numFmtId="0" fontId="0" fillId="0" borderId="44" xfId="0" applyBorder="1" applyAlignment="1">
      <alignment horizontal="center" vertical="center"/>
    </xf>
    <xf numFmtId="0" fontId="0" fillId="0" borderId="83" xfId="0" applyBorder="1" applyAlignment="1">
      <alignment horizontal="center" vertical="center"/>
    </xf>
    <xf numFmtId="0" fontId="1" fillId="0" borderId="9" xfId="0" applyFont="1" applyBorder="1" applyAlignment="1">
      <alignment horizontal="center"/>
    </xf>
    <xf numFmtId="0" fontId="1" fillId="0" borderId="34" xfId="0" applyFont="1" applyBorder="1" applyAlignment="1">
      <alignment horizontal="center"/>
    </xf>
    <xf numFmtId="0" fontId="1" fillId="0" borderId="13" xfId="0" applyFont="1" applyBorder="1" applyAlignment="1">
      <alignment horizontal="center" wrapText="1"/>
    </xf>
    <xf numFmtId="0" fontId="1" fillId="0" borderId="11" xfId="0" applyFont="1" applyBorder="1" applyAlignment="1">
      <alignment horizontal="center"/>
    </xf>
    <xf numFmtId="0" fontId="12" fillId="0" borderId="14" xfId="0" applyFont="1" applyBorder="1" applyAlignment="1">
      <alignment horizontal="center"/>
    </xf>
    <xf numFmtId="0" fontId="12" fillId="0" borderId="17" xfId="0" applyFont="1" applyBorder="1" applyAlignment="1">
      <alignment horizontal="center" wrapText="1"/>
    </xf>
    <xf numFmtId="0" fontId="12" fillId="0" borderId="17" xfId="0" applyFont="1"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8" fillId="0" borderId="19" xfId="0" applyFont="1" applyBorder="1" applyAlignment="1">
      <alignment horizontal="center"/>
    </xf>
    <xf numFmtId="0" fontId="0" fillId="0" borderId="32" xfId="0" applyBorder="1"/>
    <xf numFmtId="0" fontId="36" fillId="0" borderId="4" xfId="0" applyFont="1" applyBorder="1" applyAlignment="1">
      <alignment horizontal="center" vertical="center" wrapText="1"/>
    </xf>
    <xf numFmtId="0" fontId="36" fillId="0" borderId="4" xfId="0" applyFont="1" applyBorder="1" applyAlignment="1">
      <alignment horizontal="center" vertical="center"/>
    </xf>
    <xf numFmtId="9" fontId="36" fillId="0" borderId="4" xfId="0" applyNumberFormat="1" applyFont="1" applyBorder="1" applyAlignment="1">
      <alignment horizontal="center" vertical="center"/>
    </xf>
    <xf numFmtId="0" fontId="37" fillId="0" borderId="17" xfId="0" applyFont="1" applyBorder="1" applyAlignment="1">
      <alignment horizontal="left" vertical="center" wrapText="1"/>
    </xf>
    <xf numFmtId="0" fontId="37" fillId="0" borderId="4" xfId="0" applyFont="1" applyBorder="1" applyAlignment="1">
      <alignment horizontal="left" vertical="center" wrapText="1"/>
    </xf>
    <xf numFmtId="0" fontId="36" fillId="0" borderId="18" xfId="0" applyFont="1" applyBorder="1" applyAlignment="1">
      <alignment horizontal="center" vertical="center" wrapText="1"/>
    </xf>
    <xf numFmtId="0" fontId="36" fillId="0" borderId="3" xfId="0" applyFont="1" applyBorder="1" applyAlignment="1">
      <alignment horizontal="center" vertical="center" wrapText="1"/>
    </xf>
    <xf numFmtId="0" fontId="0" fillId="0" borderId="85" xfId="0" applyBorder="1"/>
    <xf numFmtId="0" fontId="33" fillId="0" borderId="35" xfId="0" applyFont="1" applyBorder="1" applyAlignment="1">
      <alignment wrapText="1"/>
    </xf>
    <xf numFmtId="0" fontId="38" fillId="0" borderId="85" xfId="0" applyFont="1" applyBorder="1" applyAlignment="1">
      <alignment horizontal="center"/>
    </xf>
    <xf numFmtId="0" fontId="39" fillId="3" borderId="85" xfId="0" applyFont="1" applyFill="1" applyBorder="1" applyAlignment="1">
      <alignment horizontal="center" vertical="center"/>
    </xf>
    <xf numFmtId="0" fontId="0" fillId="0" borderId="85" xfId="0" applyBorder="1" applyAlignment="1">
      <alignment horizontal="center"/>
    </xf>
    <xf numFmtId="166" fontId="13" fillId="3" borderId="4" xfId="0" applyNumberFormat="1" applyFont="1" applyFill="1" applyBorder="1" applyAlignment="1">
      <alignment horizontal="right" vertical="center"/>
    </xf>
    <xf numFmtId="166" fontId="13" fillId="3" borderId="18" xfId="0" applyNumberFormat="1" applyFont="1" applyFill="1" applyBorder="1" applyAlignment="1">
      <alignment horizontal="right" vertical="center"/>
    </xf>
    <xf numFmtId="166" fontId="13" fillId="3" borderId="20" xfId="0" applyNumberFormat="1" applyFont="1" applyFill="1" applyBorder="1" applyAlignment="1">
      <alignment horizontal="right" vertical="center"/>
    </xf>
    <xf numFmtId="166" fontId="13" fillId="3" borderId="21" xfId="0" applyNumberFormat="1" applyFont="1" applyFill="1" applyBorder="1" applyAlignment="1">
      <alignment horizontal="right" vertical="center"/>
    </xf>
    <xf numFmtId="166" fontId="13" fillId="3" borderId="41" xfId="0" applyNumberFormat="1" applyFont="1" applyFill="1" applyBorder="1" applyAlignment="1">
      <alignment horizontal="right" vertical="center"/>
    </xf>
    <xf numFmtId="166" fontId="13" fillId="3" borderId="33" xfId="0" applyNumberFormat="1" applyFont="1" applyFill="1" applyBorder="1" applyAlignment="1">
      <alignment horizontal="right" vertical="center"/>
    </xf>
    <xf numFmtId="166" fontId="13" fillId="3" borderId="28" xfId="0" applyNumberFormat="1" applyFont="1" applyFill="1" applyBorder="1" applyAlignment="1">
      <alignment horizontal="right" vertical="center"/>
    </xf>
    <xf numFmtId="166" fontId="13" fillId="3" borderId="29" xfId="0" applyNumberFormat="1" applyFont="1" applyFill="1" applyBorder="1" applyAlignment="1">
      <alignment horizontal="right" vertical="center"/>
    </xf>
    <xf numFmtId="166" fontId="13" fillId="0" borderId="4" xfId="0" applyNumberFormat="1" applyFont="1" applyBorder="1" applyAlignment="1">
      <alignment horizontal="right" vertical="center"/>
    </xf>
    <xf numFmtId="166" fontId="13" fillId="0" borderId="41" xfId="0" applyNumberFormat="1" applyFont="1" applyBorder="1" applyAlignment="1">
      <alignment horizontal="right" vertical="center"/>
    </xf>
    <xf numFmtId="166" fontId="13" fillId="0" borderId="28" xfId="0" applyNumberFormat="1" applyFont="1" applyBorder="1" applyAlignment="1">
      <alignment horizontal="right" vertical="center"/>
    </xf>
    <xf numFmtId="166" fontId="13" fillId="0" borderId="4" xfId="0" applyNumberFormat="1" applyFont="1" applyBorder="1" applyAlignment="1">
      <alignment horizontal="center" vertical="center"/>
    </xf>
    <xf numFmtId="166" fontId="13" fillId="0" borderId="41" xfId="0" applyNumberFormat="1" applyFont="1" applyBorder="1" applyAlignment="1">
      <alignment horizontal="center" vertical="center"/>
    </xf>
    <xf numFmtId="166" fontId="13" fillId="0" borderId="28" xfId="0" applyNumberFormat="1" applyFont="1" applyBorder="1" applyAlignment="1">
      <alignment horizontal="center" vertical="center"/>
    </xf>
    <xf numFmtId="166" fontId="13" fillId="0" borderId="18" xfId="0" applyNumberFormat="1" applyFont="1" applyBorder="1" applyAlignment="1">
      <alignment horizontal="right" vertical="center"/>
    </xf>
    <xf numFmtId="166" fontId="13" fillId="0" borderId="33" xfId="0" applyNumberFormat="1" applyFont="1" applyBorder="1" applyAlignment="1">
      <alignment horizontal="right" vertical="center"/>
    </xf>
    <xf numFmtId="166" fontId="13" fillId="0" borderId="29" xfId="0" applyNumberFormat="1" applyFont="1" applyBorder="1" applyAlignment="1">
      <alignment horizontal="right" vertical="center"/>
    </xf>
    <xf numFmtId="9" fontId="0" fillId="0" borderId="3" xfId="2" applyFont="1" applyBorder="1"/>
    <xf numFmtId="9" fontId="0" fillId="0" borderId="3" xfId="2" applyFont="1" applyFill="1" applyBorder="1"/>
    <xf numFmtId="0" fontId="1" fillId="9" borderId="84" xfId="0" applyFont="1" applyFill="1" applyBorder="1"/>
    <xf numFmtId="0" fontId="1" fillId="9" borderId="84" xfId="0" applyFont="1" applyFill="1" applyBorder="1" applyAlignment="1">
      <alignment horizontal="center"/>
    </xf>
    <xf numFmtId="0" fontId="31" fillId="0" borderId="77" xfId="0" applyFont="1" applyBorder="1" applyAlignment="1">
      <alignment wrapText="1"/>
    </xf>
    <xf numFmtId="0" fontId="31" fillId="0" borderId="78" xfId="0" applyFont="1" applyBorder="1" applyAlignment="1">
      <alignment wrapText="1"/>
    </xf>
    <xf numFmtId="0" fontId="12" fillId="0" borderId="0" xfId="0" applyFont="1" applyAlignment="1">
      <alignment horizontal="center"/>
    </xf>
    <xf numFmtId="0" fontId="0" fillId="0" borderId="32" xfId="0" applyBorder="1" applyAlignment="1">
      <alignment horizontal="center" vertical="center"/>
    </xf>
    <xf numFmtId="0" fontId="0" fillId="0" borderId="41"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15" fillId="0" borderId="15" xfId="0" applyFont="1" applyBorder="1" applyAlignment="1">
      <alignment horizontal="center"/>
    </xf>
    <xf numFmtId="170" fontId="32" fillId="0" borderId="20" xfId="44" applyNumberFormat="1" applyFont="1" applyFill="1" applyBorder="1"/>
    <xf numFmtId="174" fontId="0" fillId="0" borderId="4" xfId="0" applyNumberFormat="1" applyBorder="1"/>
    <xf numFmtId="173" fontId="0" fillId="0" borderId="0" xfId="0" applyNumberFormat="1"/>
    <xf numFmtId="0" fontId="13" fillId="0" borderId="19" xfId="0" applyFont="1" applyBorder="1" applyAlignment="1">
      <alignment horizontal="center"/>
    </xf>
    <xf numFmtId="11" fontId="0" fillId="0" borderId="86" xfId="0" applyNumberFormat="1" applyBorder="1" applyAlignment="1">
      <alignment horizontal="center" wrapText="1"/>
    </xf>
    <xf numFmtId="0" fontId="36" fillId="0" borderId="18" xfId="0" applyFont="1" applyBorder="1" applyAlignment="1">
      <alignment horizontal="center" vertical="center" wrapText="1"/>
    </xf>
    <xf numFmtId="0" fontId="36" fillId="0" borderId="38" xfId="0" applyFont="1" applyBorder="1" applyAlignment="1">
      <alignment horizontal="center" vertical="center" wrapText="1"/>
    </xf>
    <xf numFmtId="0" fontId="37" fillId="0" borderId="17" xfId="0" applyFont="1" applyBorder="1" applyAlignment="1">
      <alignment horizontal="left" vertical="center" wrapText="1"/>
    </xf>
    <xf numFmtId="0" fontId="37" fillId="0" borderId="4" xfId="0" applyFont="1" applyBorder="1" applyAlignment="1">
      <alignment horizontal="left" vertical="center" wrapText="1"/>
    </xf>
    <xf numFmtId="0" fontId="36" fillId="0" borderId="4" xfId="0" applyFont="1" applyBorder="1" applyAlignment="1">
      <alignment horizontal="center" vertical="center" wrapText="1"/>
    </xf>
    <xf numFmtId="0" fontId="36" fillId="0" borderId="4" xfId="0" applyFont="1" applyBorder="1" applyAlignment="1">
      <alignment horizontal="center" vertical="center"/>
    </xf>
    <xf numFmtId="0" fontId="36" fillId="0" borderId="3" xfId="0" applyFont="1" applyBorder="1" applyAlignment="1">
      <alignment horizontal="center" vertical="center" wrapText="1"/>
    </xf>
    <xf numFmtId="0" fontId="34" fillId="51" borderId="77" xfId="0" applyFont="1" applyFill="1" applyBorder="1" applyAlignment="1">
      <alignment horizontal="center" vertical="center" wrapText="1"/>
    </xf>
    <xf numFmtId="0" fontId="34" fillId="51" borderId="78" xfId="0" applyFont="1" applyFill="1" applyBorder="1" applyAlignment="1">
      <alignment horizontal="center" vertical="center" wrapText="1"/>
    </xf>
    <xf numFmtId="0" fontId="34" fillId="51" borderId="32" xfId="0" applyFont="1" applyFill="1" applyBorder="1" applyAlignment="1">
      <alignment horizontal="center" vertical="center" wrapText="1"/>
    </xf>
    <xf numFmtId="0" fontId="34" fillId="51" borderId="41" xfId="0" applyFont="1" applyFill="1" applyBorder="1" applyAlignment="1">
      <alignment horizontal="center" vertical="center" wrapText="1"/>
    </xf>
    <xf numFmtId="0" fontId="34" fillId="51" borderId="33" xfId="0" applyFont="1" applyFill="1" applyBorder="1" applyAlignment="1">
      <alignment horizontal="center" vertical="center" wrapText="1"/>
    </xf>
    <xf numFmtId="0" fontId="35" fillId="43" borderId="43" xfId="0" applyFont="1" applyFill="1" applyBorder="1" applyAlignment="1">
      <alignment horizontal="center" vertical="center" wrapText="1"/>
    </xf>
    <xf numFmtId="0" fontId="35" fillId="43" borderId="41" xfId="0" applyFont="1" applyFill="1" applyBorder="1" applyAlignment="1">
      <alignment horizontal="center" vertical="center" wrapText="1"/>
    </xf>
    <xf numFmtId="0" fontId="35" fillId="43" borderId="33" xfId="0" applyFont="1" applyFill="1" applyBorder="1" applyAlignment="1">
      <alignment horizontal="center" vertical="center" wrapText="1"/>
    </xf>
    <xf numFmtId="0" fontId="36" fillId="11" borderId="38" xfId="0" applyFont="1" applyFill="1" applyBorder="1" applyAlignment="1">
      <alignment horizontal="center" vertical="center" wrapText="1"/>
    </xf>
    <xf numFmtId="9" fontId="36" fillId="0" borderId="4" xfId="0" applyNumberFormat="1" applyFont="1" applyBorder="1" applyAlignment="1">
      <alignment horizontal="center" vertical="center"/>
    </xf>
    <xf numFmtId="0" fontId="1" fillId="0" borderId="5" xfId="0" applyFont="1" applyBorder="1" applyAlignment="1">
      <alignment horizontal="center"/>
    </xf>
    <xf numFmtId="0" fontId="1" fillId="0" borderId="6" xfId="0" applyFont="1" applyBorder="1" applyAlignment="1">
      <alignment horizontal="center"/>
    </xf>
    <xf numFmtId="0" fontId="1" fillId="0" borderId="79"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15" fillId="0" borderId="4" xfId="0" applyFont="1" applyBorder="1" applyAlignment="1">
      <alignment horizontal="center"/>
    </xf>
    <xf numFmtId="0" fontId="1" fillId="8" borderId="8" xfId="0" applyFont="1" applyFill="1" applyBorder="1" applyAlignment="1">
      <alignment horizontal="center" wrapText="1"/>
    </xf>
    <xf numFmtId="0" fontId="1" fillId="8" borderId="10" xfId="0" applyFont="1" applyFill="1" applyBorder="1" applyAlignment="1">
      <alignment horizontal="center" wrapText="1"/>
    </xf>
    <xf numFmtId="0" fontId="1" fillId="8" borderId="9" xfId="0" applyFont="1" applyFill="1" applyBorder="1" applyAlignment="1">
      <alignment horizontal="center" wrapText="1"/>
    </xf>
    <xf numFmtId="0" fontId="1" fillId="5" borderId="10" xfId="0" applyFont="1" applyFill="1" applyBorder="1" applyAlignment="1">
      <alignment horizontal="center" wrapText="1"/>
    </xf>
    <xf numFmtId="0" fontId="1" fillId="48" borderId="8" xfId="0" applyFont="1" applyFill="1" applyBorder="1" applyAlignment="1">
      <alignment horizontal="center"/>
    </xf>
    <xf numFmtId="0" fontId="1" fillId="48" borderId="10" xfId="0" applyFont="1" applyFill="1" applyBorder="1" applyAlignment="1">
      <alignment horizontal="center"/>
    </xf>
    <xf numFmtId="0" fontId="1" fillId="48" borderId="9" xfId="0" applyFont="1" applyFill="1" applyBorder="1" applyAlignment="1">
      <alignment horizontal="center"/>
    </xf>
    <xf numFmtId="1" fontId="0" fillId="0" borderId="41" xfId="0" applyNumberFormat="1" applyBorder="1" applyAlignment="1">
      <alignment horizontal="center" vertical="center"/>
    </xf>
    <xf numFmtId="1" fontId="0" fillId="0" borderId="33" xfId="0" applyNumberFormat="1" applyBorder="1" applyAlignment="1">
      <alignment horizontal="center" vertical="center"/>
    </xf>
    <xf numFmtId="1" fontId="0" fillId="0" borderId="4" xfId="0" applyNumberFormat="1" applyBorder="1" applyAlignment="1">
      <alignment horizontal="center" vertical="center"/>
    </xf>
    <xf numFmtId="1" fontId="0" fillId="0" borderId="18" xfId="0" applyNumberFormat="1" applyBorder="1" applyAlignment="1">
      <alignment horizontal="center" vertical="center"/>
    </xf>
    <xf numFmtId="1" fontId="0" fillId="0" borderId="20" xfId="0" applyNumberFormat="1" applyBorder="1" applyAlignment="1">
      <alignment horizontal="center" vertical="center"/>
    </xf>
    <xf numFmtId="1" fontId="0" fillId="0" borderId="21" xfId="0" applyNumberFormat="1" applyBorder="1" applyAlignment="1">
      <alignment horizontal="center" vertical="center"/>
    </xf>
    <xf numFmtId="1" fontId="0" fillId="0" borderId="28" xfId="0" applyNumberFormat="1" applyBorder="1" applyAlignment="1">
      <alignment horizontal="center" vertical="center"/>
    </xf>
    <xf numFmtId="1" fontId="0" fillId="0" borderId="29" xfId="0" applyNumberFormat="1" applyBorder="1" applyAlignment="1">
      <alignment horizontal="center" vertical="center"/>
    </xf>
    <xf numFmtId="0" fontId="1" fillId="8" borderId="8" xfId="0" applyFont="1" applyFill="1" applyBorder="1" applyAlignment="1">
      <alignment horizontal="center"/>
    </xf>
    <xf numFmtId="0" fontId="1" fillId="8" borderId="10" xfId="0" applyFont="1" applyFill="1" applyBorder="1" applyAlignment="1">
      <alignment horizontal="center"/>
    </xf>
    <xf numFmtId="0" fontId="1" fillId="8" borderId="9" xfId="0" applyFont="1" applyFill="1" applyBorder="1" applyAlignment="1">
      <alignment horizontal="center"/>
    </xf>
    <xf numFmtId="0" fontId="1" fillId="49" borderId="0" xfId="0" applyFont="1" applyFill="1" applyAlignment="1">
      <alignment horizontal="center"/>
    </xf>
    <xf numFmtId="0" fontId="1" fillId="5" borderId="71" xfId="0" applyFont="1" applyFill="1" applyBorder="1" applyAlignment="1">
      <alignment horizontal="center" wrapText="1"/>
    </xf>
    <xf numFmtId="0" fontId="1" fillId="5" borderId="12" xfId="0" applyFont="1" applyFill="1" applyBorder="1" applyAlignment="1">
      <alignment horizontal="center" wrapText="1"/>
    </xf>
    <xf numFmtId="0" fontId="1" fillId="5" borderId="68" xfId="0" applyFont="1" applyFill="1" applyBorder="1" applyAlignment="1">
      <alignment horizontal="center" wrapText="1"/>
    </xf>
    <xf numFmtId="0" fontId="1" fillId="4" borderId="8" xfId="0" applyFont="1" applyFill="1" applyBorder="1" applyAlignment="1">
      <alignment horizontal="center" wrapText="1"/>
    </xf>
    <xf numFmtId="0" fontId="1" fillId="4" borderId="10" xfId="0" applyFont="1" applyFill="1" applyBorder="1" applyAlignment="1">
      <alignment horizontal="center" wrapText="1"/>
    </xf>
    <xf numFmtId="0" fontId="1" fillId="4" borderId="9" xfId="0" applyFont="1" applyFill="1" applyBorder="1" applyAlignment="1">
      <alignment horizontal="center" wrapText="1"/>
    </xf>
    <xf numFmtId="0" fontId="1" fillId="5" borderId="11" xfId="0" applyFont="1" applyFill="1" applyBorder="1" applyAlignment="1">
      <alignment horizontal="center"/>
    </xf>
    <xf numFmtId="0" fontId="1" fillId="5" borderId="12" xfId="0" applyFont="1" applyFill="1" applyBorder="1" applyAlignment="1">
      <alignment horizontal="center"/>
    </xf>
    <xf numFmtId="0" fontId="1" fillId="50" borderId="8" xfId="0" applyFont="1" applyFill="1" applyBorder="1" applyAlignment="1">
      <alignment horizontal="center"/>
    </xf>
    <xf numFmtId="0" fontId="1" fillId="50" borderId="10" xfId="0" applyFont="1" applyFill="1" applyBorder="1" applyAlignment="1">
      <alignment horizontal="center"/>
    </xf>
    <xf numFmtId="0" fontId="1" fillId="50" borderId="9" xfId="0" applyFont="1" applyFill="1" applyBorder="1" applyAlignment="1">
      <alignment horizontal="center"/>
    </xf>
    <xf numFmtId="0" fontId="0" fillId="0" borderId="20" xfId="0" applyBorder="1" applyAlignment="1">
      <alignment horizontal="left" wrapText="1"/>
    </xf>
    <xf numFmtId="0" fontId="0" fillId="0" borderId="23" xfId="0" applyBorder="1" applyAlignment="1">
      <alignment horizontal="left" wrapText="1"/>
    </xf>
    <xf numFmtId="0" fontId="0" fillId="0" borderId="15" xfId="0" applyBorder="1" applyAlignment="1">
      <alignment horizontal="left" wrapText="1"/>
    </xf>
    <xf numFmtId="0" fontId="0" fillId="0" borderId="21" xfId="0" applyBorder="1" applyAlignment="1">
      <alignment horizontal="left" wrapText="1"/>
    </xf>
    <xf numFmtId="0" fontId="0" fillId="0" borderId="24" xfId="0" applyBorder="1" applyAlignment="1">
      <alignment horizontal="left" wrapText="1"/>
    </xf>
    <xf numFmtId="0" fontId="0" fillId="0" borderId="16" xfId="0" applyBorder="1" applyAlignment="1">
      <alignment horizontal="left" wrapText="1"/>
    </xf>
    <xf numFmtId="0" fontId="0" fillId="0" borderId="0" xfId="0" applyAlignment="1">
      <alignment horizontal="left"/>
    </xf>
    <xf numFmtId="0" fontId="0" fillId="0" borderId="19" xfId="0" applyBorder="1" applyAlignment="1">
      <alignment horizontal="left"/>
    </xf>
    <xf numFmtId="0" fontId="0" fillId="0" borderId="14" xfId="0" applyBorder="1" applyAlignment="1">
      <alignment horizontal="left"/>
    </xf>
    <xf numFmtId="0" fontId="0" fillId="0" borderId="20" xfId="0" applyBorder="1" applyAlignment="1">
      <alignment horizontal="left"/>
    </xf>
    <xf numFmtId="0" fontId="0" fillId="0" borderId="15" xfId="0" applyBorder="1" applyAlignment="1">
      <alignment horizontal="left"/>
    </xf>
    <xf numFmtId="0" fontId="0" fillId="0" borderId="22" xfId="0" applyBorder="1" applyAlignment="1">
      <alignment horizontal="left"/>
    </xf>
    <xf numFmtId="0" fontId="0" fillId="0" borderId="23" xfId="0" applyBorder="1" applyAlignment="1">
      <alignment horizontal="left"/>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44"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23">
    <dxf>
      <font>
        <color theme="0"/>
      </font>
    </dxf>
    <dxf>
      <fill>
        <patternFill>
          <bgColor theme="0"/>
        </patternFill>
      </fill>
    </dxf>
    <dxf>
      <numFmt numFmtId="175" formatCode="0.0E+00"/>
    </dxf>
    <dxf>
      <numFmt numFmtId="4" formatCode="#,##0.00"/>
    </dxf>
    <dxf>
      <numFmt numFmtId="176" formatCode="#,##0.0"/>
    </dxf>
    <dxf>
      <numFmt numFmtId="3" formatCode="#,##0"/>
    </dxf>
    <dxf>
      <numFmt numFmtId="175" formatCode="0.0E+00"/>
    </dxf>
    <dxf>
      <font>
        <color theme="0"/>
      </font>
    </dxf>
    <dxf>
      <fill>
        <patternFill>
          <bgColor theme="0"/>
        </patternFill>
      </fill>
    </dxf>
    <dxf>
      <numFmt numFmtId="175" formatCode="0.0E+00"/>
    </dxf>
    <dxf>
      <numFmt numFmtId="4" formatCode="#,##0.00"/>
    </dxf>
    <dxf>
      <numFmt numFmtId="176" formatCode="#,##0.0"/>
    </dxf>
    <dxf>
      <numFmt numFmtId="3" formatCode="#,##0"/>
    </dxf>
    <dxf>
      <numFmt numFmtId="175" formatCode="0.0E+00"/>
    </dxf>
    <dxf>
      <alignment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numFmt numFmtId="13" formatCode="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4524375</xdr:colOff>
      <xdr:row>4</xdr:row>
      <xdr:rowOff>152400</xdr:rowOff>
    </xdr:from>
    <xdr:to>
      <xdr:col>0</xdr:col>
      <xdr:colOff>6511925</xdr:colOff>
      <xdr:row>10</xdr:row>
      <xdr:rowOff>76200</xdr:rowOff>
    </xdr:to>
    <xdr:pic>
      <xdr:nvPicPr>
        <xdr:cNvPr id="2" name="Picture 1">
          <a:extLst>
            <a:ext uri="{FF2B5EF4-FFF2-40B4-BE49-F238E27FC236}">
              <a16:creationId xmlns:a16="http://schemas.microsoft.com/office/drawing/2014/main" id="{7EC839BB-9329-40C1-83B7-4C25C1F119F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6829" b="20976"/>
        <a:stretch/>
      </xdr:blipFill>
      <xdr:spPr bwMode="auto">
        <a:xfrm>
          <a:off x="4524375" y="1943100"/>
          <a:ext cx="198755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8E0835F-E2AA-45FF-9EC1-3DFE09BA0CF9}" name="GenericFactors15" displayName="GenericFactors15" ref="A1:E139" totalsRowShown="0" headerRowDxfId="22" headerRowBorderDxfId="21" tableBorderDxfId="20" totalsRowBorderDxfId="19">
  <autoFilter ref="A1:E139" xr:uid="{78E0835F-E2AA-45FF-9EC1-3DFE09BA0CF9}"/>
  <tableColumns count="5">
    <tableColumn id="1" xr3:uid="{5945E615-CB39-400A-8F99-BEB3B0F3F554}" name="Year" dataDxfId="18"/>
    <tableColumn id="2" xr3:uid="{9A8C746C-FDB8-4541-A205-11B5B0ED7A7B}" name="OES" dataDxfId="17"/>
    <tableColumn id="3" xr3:uid="{3206DC6E-E4B7-49B1-B12B-02F07BB46542}" name="# of entries" dataDxfId="16">
      <calculatedColumnFormula>COUNTIFS('Raw Annual DMR Data'!$B:$B,A2,'Raw Annual DMR Data'!$M:$M,B2)</calculatedColumnFormula>
    </tableColumn>
    <tableColumn id="4" xr3:uid="{04562DF2-5486-4DAB-94B4-40A5F4480FB6}" name="Generic Factor (normalized to 30 days)" dataDxfId="15" dataCellStyle="Percent">
      <calculatedColumnFormula>IF(C2&gt;0,AVERAGEIFS('Raw Annual DMR Data'!$T:$T, 'Raw Annual DMR Data'!$B:$B,A2,'Raw Annual DMR Data'!$M:$M,B2), "There are no entries to calculate Generic Factor")</calculatedColumnFormula>
    </tableColumn>
    <tableColumn id="5" xr3:uid="{BCB1FE54-C50E-402C-82E4-94DB0E8B517B}" name="Comments" dataDxfId="14"/>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C0C9F-88EF-42B1-BDCA-96DD491A69E8}">
  <dimension ref="A1:S24"/>
  <sheetViews>
    <sheetView workbookViewId="0">
      <selection sqref="A1:A2"/>
    </sheetView>
  </sheetViews>
  <sheetFormatPr defaultRowHeight="15" x14ac:dyDescent="0.25"/>
  <cols>
    <col min="1" max="1" width="20.5703125" style="25" customWidth="1"/>
    <col min="2" max="2" width="23.42578125" style="26" customWidth="1"/>
    <col min="3" max="3" width="23.5703125" style="26" customWidth="1"/>
    <col min="4" max="5" width="12.5703125" style="26" customWidth="1"/>
    <col min="6" max="6" width="19.5703125" style="252" customWidth="1"/>
    <col min="7" max="7" width="12.5703125" style="252" customWidth="1"/>
    <col min="8" max="8" width="15.42578125" style="252" customWidth="1"/>
    <col min="9" max="9" width="14" style="252" customWidth="1"/>
    <col min="10" max="19" width="12.5703125" style="26" customWidth="1"/>
  </cols>
  <sheetData>
    <row r="1" spans="1:19" x14ac:dyDescent="0.25">
      <c r="A1" s="397" t="s">
        <v>0</v>
      </c>
      <c r="B1" s="399" t="s">
        <v>1</v>
      </c>
      <c r="C1" s="400"/>
      <c r="D1" s="400"/>
      <c r="E1" s="400"/>
      <c r="F1" s="401"/>
      <c r="G1" s="399" t="s">
        <v>2</v>
      </c>
      <c r="H1" s="400"/>
      <c r="I1" s="400"/>
      <c r="J1" s="400"/>
      <c r="K1" s="400"/>
      <c r="L1" s="401"/>
      <c r="M1" s="402" t="s">
        <v>3</v>
      </c>
      <c r="N1" s="403"/>
      <c r="O1" s="403"/>
      <c r="P1" s="403"/>
      <c r="Q1" s="403"/>
      <c r="R1" s="403"/>
      <c r="S1" s="404"/>
    </row>
    <row r="2" spans="1:19" ht="51.75" thickBot="1" x14ac:dyDescent="0.3">
      <c r="A2" s="398"/>
      <c r="B2" s="224" t="s">
        <v>4</v>
      </c>
      <c r="C2" s="225" t="s">
        <v>5</v>
      </c>
      <c r="D2" s="226" t="s">
        <v>6</v>
      </c>
      <c r="E2" s="226" t="s">
        <v>7</v>
      </c>
      <c r="F2" s="227" t="s">
        <v>8</v>
      </c>
      <c r="G2" s="224" t="s">
        <v>9</v>
      </c>
      <c r="H2" s="225" t="s">
        <v>10</v>
      </c>
      <c r="I2" s="225" t="s">
        <v>11</v>
      </c>
      <c r="J2" s="225" t="s">
        <v>12</v>
      </c>
      <c r="K2" s="225" t="s">
        <v>13</v>
      </c>
      <c r="L2" s="228" t="s">
        <v>14</v>
      </c>
      <c r="M2" s="229" t="s">
        <v>15</v>
      </c>
      <c r="N2" s="225" t="s">
        <v>16</v>
      </c>
      <c r="O2" s="225" t="s">
        <v>17</v>
      </c>
      <c r="P2" s="225" t="s">
        <v>18</v>
      </c>
      <c r="Q2" s="225" t="s">
        <v>19</v>
      </c>
      <c r="R2" s="225" t="s">
        <v>20</v>
      </c>
      <c r="S2" s="228" t="s">
        <v>14</v>
      </c>
    </row>
    <row r="3" spans="1:19" ht="76.5" x14ac:dyDescent="0.25">
      <c r="A3" s="230" t="s">
        <v>21</v>
      </c>
      <c r="B3" s="231" t="s">
        <v>22</v>
      </c>
      <c r="C3" s="232" t="s">
        <v>23</v>
      </c>
      <c r="D3" s="233" t="s">
        <v>24</v>
      </c>
      <c r="E3" s="234" t="s">
        <v>25</v>
      </c>
      <c r="F3" s="235" t="s">
        <v>26</v>
      </c>
      <c r="G3" s="236" t="s">
        <v>27</v>
      </c>
      <c r="H3" s="233" t="s">
        <v>28</v>
      </c>
      <c r="I3" s="233" t="s">
        <v>29</v>
      </c>
      <c r="J3" s="237">
        <v>1</v>
      </c>
      <c r="K3" s="233" t="s">
        <v>30</v>
      </c>
      <c r="L3" s="235" t="s">
        <v>25</v>
      </c>
      <c r="M3" s="238" t="s">
        <v>31</v>
      </c>
      <c r="N3" s="233" t="s">
        <v>31</v>
      </c>
      <c r="O3" s="233" t="s">
        <v>31</v>
      </c>
      <c r="P3" s="233" t="s">
        <v>31</v>
      </c>
      <c r="Q3" s="233" t="s">
        <v>31</v>
      </c>
      <c r="R3" s="233" t="s">
        <v>31</v>
      </c>
      <c r="S3" s="235" t="s">
        <v>31</v>
      </c>
    </row>
    <row r="4" spans="1:19" ht="76.5" x14ac:dyDescent="0.25">
      <c r="A4" s="239" t="s">
        <v>32</v>
      </c>
      <c r="B4" s="347" t="s">
        <v>33</v>
      </c>
      <c r="C4" s="348" t="s">
        <v>34</v>
      </c>
      <c r="D4" s="344" t="s">
        <v>24</v>
      </c>
      <c r="E4" s="345" t="s">
        <v>35</v>
      </c>
      <c r="F4" s="349" t="s">
        <v>26</v>
      </c>
      <c r="G4" s="240" t="s">
        <v>27</v>
      </c>
      <c r="H4" s="344" t="s">
        <v>36</v>
      </c>
      <c r="I4" s="344" t="s">
        <v>29</v>
      </c>
      <c r="J4" s="346" t="s">
        <v>35</v>
      </c>
      <c r="K4" s="344" t="s">
        <v>35</v>
      </c>
      <c r="L4" s="349" t="s">
        <v>37</v>
      </c>
      <c r="M4" s="350" t="s">
        <v>31</v>
      </c>
      <c r="N4" s="344" t="s">
        <v>31</v>
      </c>
      <c r="O4" s="344" t="s">
        <v>31</v>
      </c>
      <c r="P4" s="344" t="s">
        <v>31</v>
      </c>
      <c r="Q4" s="344" t="s">
        <v>31</v>
      </c>
      <c r="R4" s="344" t="s">
        <v>31</v>
      </c>
      <c r="S4" s="349" t="s">
        <v>31</v>
      </c>
    </row>
    <row r="5" spans="1:19" ht="153" x14ac:dyDescent="0.25">
      <c r="A5" s="239" t="s">
        <v>38</v>
      </c>
      <c r="B5" s="347" t="s">
        <v>33</v>
      </c>
      <c r="C5" s="348" t="s">
        <v>34</v>
      </c>
      <c r="D5" s="344" t="s">
        <v>24</v>
      </c>
      <c r="E5" s="345" t="s">
        <v>35</v>
      </c>
      <c r="F5" s="349" t="s">
        <v>39</v>
      </c>
      <c r="G5" s="240" t="s">
        <v>27</v>
      </c>
      <c r="H5" s="344" t="s">
        <v>36</v>
      </c>
      <c r="I5" s="344" t="s">
        <v>29</v>
      </c>
      <c r="J5" s="344" t="s">
        <v>35</v>
      </c>
      <c r="K5" s="344" t="s">
        <v>35</v>
      </c>
      <c r="L5" s="349" t="s">
        <v>35</v>
      </c>
      <c r="M5" s="350" t="s">
        <v>31</v>
      </c>
      <c r="N5" s="344" t="s">
        <v>31</v>
      </c>
      <c r="O5" s="344" t="s">
        <v>31</v>
      </c>
      <c r="P5" s="344" t="s">
        <v>31</v>
      </c>
      <c r="Q5" s="344" t="s">
        <v>31</v>
      </c>
      <c r="R5" s="344" t="s">
        <v>31</v>
      </c>
      <c r="S5" s="349" t="s">
        <v>31</v>
      </c>
    </row>
    <row r="6" spans="1:19" ht="76.5" x14ac:dyDescent="0.25">
      <c r="A6" s="253" t="s">
        <v>40</v>
      </c>
      <c r="B6" s="347" t="s">
        <v>41</v>
      </c>
      <c r="C6" s="348" t="s">
        <v>42</v>
      </c>
      <c r="D6" s="344" t="s">
        <v>24</v>
      </c>
      <c r="E6" s="345" t="s">
        <v>43</v>
      </c>
      <c r="F6" s="349" t="s">
        <v>26</v>
      </c>
      <c r="G6" s="240" t="s">
        <v>27</v>
      </c>
      <c r="H6" s="344" t="s">
        <v>28</v>
      </c>
      <c r="I6" s="344" t="s">
        <v>29</v>
      </c>
      <c r="J6" s="241">
        <v>1</v>
      </c>
      <c r="K6" s="344" t="s">
        <v>30</v>
      </c>
      <c r="L6" s="349" t="s">
        <v>43</v>
      </c>
      <c r="M6" s="350" t="s">
        <v>31</v>
      </c>
      <c r="N6" s="344" t="s">
        <v>31</v>
      </c>
      <c r="O6" s="344" t="s">
        <v>31</v>
      </c>
      <c r="P6" s="344" t="s">
        <v>31</v>
      </c>
      <c r="Q6" s="344" t="s">
        <v>31</v>
      </c>
      <c r="R6" s="344" t="s">
        <v>31</v>
      </c>
      <c r="S6" s="349" t="s">
        <v>31</v>
      </c>
    </row>
    <row r="7" spans="1:19" ht="102" x14ac:dyDescent="0.25">
      <c r="A7" s="239" t="s">
        <v>44</v>
      </c>
      <c r="B7" s="347" t="s">
        <v>45</v>
      </c>
      <c r="C7" s="348" t="s">
        <v>46</v>
      </c>
      <c r="D7" s="344" t="s">
        <v>24</v>
      </c>
      <c r="E7" s="242" t="s">
        <v>47</v>
      </c>
      <c r="F7" s="349" t="s">
        <v>48</v>
      </c>
      <c r="G7" s="240" t="s">
        <v>49</v>
      </c>
      <c r="H7" s="344" t="s">
        <v>50</v>
      </c>
      <c r="I7" s="344" t="s">
        <v>29</v>
      </c>
      <c r="J7" s="346">
        <v>1</v>
      </c>
      <c r="K7" s="344" t="s">
        <v>30</v>
      </c>
      <c r="L7" s="349" t="s">
        <v>25</v>
      </c>
      <c r="M7" s="350" t="s">
        <v>31</v>
      </c>
      <c r="N7" s="344" t="s">
        <v>31</v>
      </c>
      <c r="O7" s="344" t="s">
        <v>31</v>
      </c>
      <c r="P7" s="344" t="s">
        <v>31</v>
      </c>
      <c r="Q7" s="344" t="s">
        <v>31</v>
      </c>
      <c r="R7" s="344" t="s">
        <v>31</v>
      </c>
      <c r="S7" s="349" t="s">
        <v>31</v>
      </c>
    </row>
    <row r="8" spans="1:19" ht="38.25" x14ac:dyDescent="0.25">
      <c r="A8" s="405" t="s">
        <v>51</v>
      </c>
      <c r="B8" s="392" t="s">
        <v>33</v>
      </c>
      <c r="C8" s="393" t="s">
        <v>52</v>
      </c>
      <c r="D8" s="394" t="s">
        <v>24</v>
      </c>
      <c r="E8" s="395" t="s">
        <v>35</v>
      </c>
      <c r="F8" s="390" t="s">
        <v>53</v>
      </c>
      <c r="G8" s="240" t="s">
        <v>27</v>
      </c>
      <c r="H8" s="344" t="s">
        <v>54</v>
      </c>
      <c r="I8" s="344" t="s">
        <v>29</v>
      </c>
      <c r="J8" s="346" t="s">
        <v>35</v>
      </c>
      <c r="K8" s="344" t="s">
        <v>35</v>
      </c>
      <c r="L8" s="349" t="s">
        <v>35</v>
      </c>
      <c r="M8" s="396" t="s">
        <v>31</v>
      </c>
      <c r="N8" s="394" t="s">
        <v>31</v>
      </c>
      <c r="O8" s="394" t="s">
        <v>31</v>
      </c>
      <c r="P8" s="394" t="s">
        <v>31</v>
      </c>
      <c r="Q8" s="394" t="s">
        <v>31</v>
      </c>
      <c r="R8" s="394" t="s">
        <v>31</v>
      </c>
      <c r="S8" s="390" t="s">
        <v>31</v>
      </c>
    </row>
    <row r="9" spans="1:19" ht="38.25" x14ac:dyDescent="0.25">
      <c r="A9" s="405"/>
      <c r="B9" s="392"/>
      <c r="C9" s="393"/>
      <c r="D9" s="394"/>
      <c r="E9" s="395"/>
      <c r="F9" s="390"/>
      <c r="G9" s="240" t="s">
        <v>27</v>
      </c>
      <c r="H9" s="344" t="s">
        <v>28</v>
      </c>
      <c r="I9" s="344" t="s">
        <v>29</v>
      </c>
      <c r="J9" s="346" t="s">
        <v>35</v>
      </c>
      <c r="K9" s="344" t="s">
        <v>35</v>
      </c>
      <c r="L9" s="349" t="s">
        <v>37</v>
      </c>
      <c r="M9" s="396"/>
      <c r="N9" s="394"/>
      <c r="O9" s="394"/>
      <c r="P9" s="394"/>
      <c r="Q9" s="394"/>
      <c r="R9" s="394"/>
      <c r="S9" s="390"/>
    </row>
    <row r="10" spans="1:19" ht="76.5" x14ac:dyDescent="0.25">
      <c r="A10" s="239" t="s">
        <v>55</v>
      </c>
      <c r="B10" s="347" t="s">
        <v>56</v>
      </c>
      <c r="C10" s="348" t="s">
        <v>57</v>
      </c>
      <c r="D10" s="344" t="s">
        <v>31</v>
      </c>
      <c r="E10" s="344" t="s">
        <v>31</v>
      </c>
      <c r="F10" s="349" t="s">
        <v>58</v>
      </c>
      <c r="G10" s="240" t="s">
        <v>31</v>
      </c>
      <c r="H10" s="344" t="s">
        <v>31</v>
      </c>
      <c r="I10" s="344" t="s">
        <v>31</v>
      </c>
      <c r="J10" s="344" t="s">
        <v>31</v>
      </c>
      <c r="K10" s="344" t="s">
        <v>31</v>
      </c>
      <c r="L10" s="349" t="s">
        <v>31</v>
      </c>
      <c r="M10" s="350" t="s">
        <v>31</v>
      </c>
      <c r="N10" s="344" t="s">
        <v>31</v>
      </c>
      <c r="O10" s="344" t="s">
        <v>31</v>
      </c>
      <c r="P10" s="344" t="s">
        <v>31</v>
      </c>
      <c r="Q10" s="344" t="s">
        <v>31</v>
      </c>
      <c r="R10" s="344" t="s">
        <v>31</v>
      </c>
      <c r="S10" s="349" t="s">
        <v>31</v>
      </c>
    </row>
    <row r="11" spans="1:19" ht="89.25" x14ac:dyDescent="0.25">
      <c r="A11" s="239" t="s">
        <v>59</v>
      </c>
      <c r="B11" s="347" t="s">
        <v>60</v>
      </c>
      <c r="C11" s="348" t="s">
        <v>61</v>
      </c>
      <c r="D11" s="344" t="s">
        <v>24</v>
      </c>
      <c r="E11" s="345" t="s">
        <v>25</v>
      </c>
      <c r="F11" s="349" t="s">
        <v>62</v>
      </c>
      <c r="G11" s="240" t="s">
        <v>27</v>
      </c>
      <c r="H11" s="344" t="s">
        <v>54</v>
      </c>
      <c r="I11" s="344" t="s">
        <v>29</v>
      </c>
      <c r="J11" s="346">
        <v>1</v>
      </c>
      <c r="K11" s="344" t="s">
        <v>30</v>
      </c>
      <c r="L11" s="349" t="s">
        <v>25</v>
      </c>
      <c r="M11" s="350" t="s">
        <v>31</v>
      </c>
      <c r="N11" s="344" t="s">
        <v>31</v>
      </c>
      <c r="O11" s="344" t="s">
        <v>31</v>
      </c>
      <c r="P11" s="344" t="s">
        <v>31</v>
      </c>
      <c r="Q11" s="344" t="s">
        <v>31</v>
      </c>
      <c r="R11" s="344" t="s">
        <v>31</v>
      </c>
      <c r="S11" s="349" t="s">
        <v>31</v>
      </c>
    </row>
    <row r="12" spans="1:19" ht="38.25" x14ac:dyDescent="0.25">
      <c r="A12" s="391" t="s">
        <v>63</v>
      </c>
      <c r="B12" s="392" t="s">
        <v>64</v>
      </c>
      <c r="C12" s="393" t="s">
        <v>65</v>
      </c>
      <c r="D12" s="394" t="s">
        <v>24</v>
      </c>
      <c r="E12" s="395" t="s">
        <v>43</v>
      </c>
      <c r="F12" s="390" t="s">
        <v>62</v>
      </c>
      <c r="G12" s="240" t="s">
        <v>27</v>
      </c>
      <c r="H12" s="344" t="s">
        <v>54</v>
      </c>
      <c r="I12" s="344" t="s">
        <v>29</v>
      </c>
      <c r="J12" s="346">
        <v>0.3</v>
      </c>
      <c r="K12" s="344" t="s">
        <v>30</v>
      </c>
      <c r="L12" s="349" t="s">
        <v>43</v>
      </c>
      <c r="M12" s="396" t="s">
        <v>66</v>
      </c>
      <c r="N12" s="394" t="s">
        <v>29</v>
      </c>
      <c r="O12" s="395" t="s">
        <v>67</v>
      </c>
      <c r="P12" s="395" t="s">
        <v>68</v>
      </c>
      <c r="Q12" s="406">
        <v>1</v>
      </c>
      <c r="R12" s="394" t="s">
        <v>69</v>
      </c>
      <c r="S12" s="390" t="s">
        <v>37</v>
      </c>
    </row>
    <row r="13" spans="1:19" ht="25.5" x14ac:dyDescent="0.25">
      <c r="A13" s="391"/>
      <c r="B13" s="392"/>
      <c r="C13" s="393"/>
      <c r="D13" s="394"/>
      <c r="E13" s="395"/>
      <c r="F13" s="390"/>
      <c r="G13" s="240" t="s">
        <v>27</v>
      </c>
      <c r="H13" s="344" t="s">
        <v>36</v>
      </c>
      <c r="I13" s="344" t="s">
        <v>29</v>
      </c>
      <c r="J13" s="346">
        <v>0.7</v>
      </c>
      <c r="K13" s="344" t="s">
        <v>30</v>
      </c>
      <c r="L13" s="349" t="s">
        <v>43</v>
      </c>
      <c r="M13" s="396"/>
      <c r="N13" s="394"/>
      <c r="O13" s="395"/>
      <c r="P13" s="395"/>
      <c r="Q13" s="406"/>
      <c r="R13" s="394"/>
      <c r="S13" s="390"/>
    </row>
    <row r="14" spans="1:19" ht="76.5" x14ac:dyDescent="0.25">
      <c r="A14" s="253" t="s">
        <v>70</v>
      </c>
      <c r="B14" s="347" t="s">
        <v>33</v>
      </c>
      <c r="C14" s="348" t="s">
        <v>71</v>
      </c>
      <c r="D14" s="344" t="s">
        <v>24</v>
      </c>
      <c r="E14" s="345" t="s">
        <v>43</v>
      </c>
      <c r="F14" s="349" t="s">
        <v>26</v>
      </c>
      <c r="G14" s="240" t="s">
        <v>27</v>
      </c>
      <c r="H14" s="344" t="s">
        <v>28</v>
      </c>
      <c r="I14" s="344" t="s">
        <v>29</v>
      </c>
      <c r="J14" s="344" t="s">
        <v>35</v>
      </c>
      <c r="K14" s="344" t="s">
        <v>30</v>
      </c>
      <c r="L14" s="349" t="s">
        <v>43</v>
      </c>
      <c r="M14" s="350" t="s">
        <v>31</v>
      </c>
      <c r="N14" s="344" t="s">
        <v>31</v>
      </c>
      <c r="O14" s="344" t="s">
        <v>31</v>
      </c>
      <c r="P14" s="344" t="s">
        <v>31</v>
      </c>
      <c r="Q14" s="344" t="s">
        <v>31</v>
      </c>
      <c r="R14" s="344" t="s">
        <v>31</v>
      </c>
      <c r="S14" s="349" t="s">
        <v>31</v>
      </c>
    </row>
    <row r="15" spans="1:19" ht="38.25" x14ac:dyDescent="0.25">
      <c r="A15" s="391" t="s">
        <v>72</v>
      </c>
      <c r="B15" s="392" t="s">
        <v>73</v>
      </c>
      <c r="C15" s="393" t="s">
        <v>74</v>
      </c>
      <c r="D15" s="394" t="s">
        <v>24</v>
      </c>
      <c r="E15" s="395" t="s">
        <v>30</v>
      </c>
      <c r="F15" s="390" t="s">
        <v>26</v>
      </c>
      <c r="G15" s="240" t="s">
        <v>27</v>
      </c>
      <c r="H15" s="344" t="s">
        <v>54</v>
      </c>
      <c r="I15" s="344" t="s">
        <v>29</v>
      </c>
      <c r="J15" s="346">
        <v>0.5</v>
      </c>
      <c r="K15" s="344" t="s">
        <v>30</v>
      </c>
      <c r="L15" s="349" t="s">
        <v>30</v>
      </c>
      <c r="M15" s="396" t="s">
        <v>31</v>
      </c>
      <c r="N15" s="394" t="s">
        <v>31</v>
      </c>
      <c r="O15" s="394" t="s">
        <v>31</v>
      </c>
      <c r="P15" s="394" t="s">
        <v>31</v>
      </c>
      <c r="Q15" s="394" t="s">
        <v>31</v>
      </c>
      <c r="R15" s="394" t="s">
        <v>31</v>
      </c>
      <c r="S15" s="390" t="s">
        <v>31</v>
      </c>
    </row>
    <row r="16" spans="1:19" ht="25.5" x14ac:dyDescent="0.25">
      <c r="A16" s="391"/>
      <c r="B16" s="392"/>
      <c r="C16" s="393"/>
      <c r="D16" s="394"/>
      <c r="E16" s="395"/>
      <c r="F16" s="390"/>
      <c r="G16" s="240" t="s">
        <v>27</v>
      </c>
      <c r="H16" s="344" t="s">
        <v>36</v>
      </c>
      <c r="I16" s="344" t="s">
        <v>75</v>
      </c>
      <c r="J16" s="346">
        <v>0.5</v>
      </c>
      <c r="K16" s="344" t="s">
        <v>30</v>
      </c>
      <c r="L16" s="349" t="s">
        <v>30</v>
      </c>
      <c r="M16" s="396"/>
      <c r="N16" s="394"/>
      <c r="O16" s="394"/>
      <c r="P16" s="394"/>
      <c r="Q16" s="394"/>
      <c r="R16" s="394"/>
      <c r="S16" s="390"/>
    </row>
    <row r="17" spans="1:19" ht="114.75" x14ac:dyDescent="0.25">
      <c r="A17" s="253" t="s">
        <v>76</v>
      </c>
      <c r="B17" s="347" t="s">
        <v>33</v>
      </c>
      <c r="C17" s="348" t="s">
        <v>77</v>
      </c>
      <c r="D17" s="344" t="s">
        <v>24</v>
      </c>
      <c r="E17" s="345" t="s">
        <v>43</v>
      </c>
      <c r="F17" s="349" t="s">
        <v>78</v>
      </c>
      <c r="G17" s="240" t="s">
        <v>27</v>
      </c>
      <c r="H17" s="344" t="s">
        <v>28</v>
      </c>
      <c r="I17" s="344" t="s">
        <v>29</v>
      </c>
      <c r="J17" s="344" t="s">
        <v>35</v>
      </c>
      <c r="K17" s="344" t="s">
        <v>30</v>
      </c>
      <c r="L17" s="349" t="s">
        <v>37</v>
      </c>
      <c r="M17" s="350" t="s">
        <v>31</v>
      </c>
      <c r="N17" s="344" t="s">
        <v>31</v>
      </c>
      <c r="O17" s="344" t="s">
        <v>31</v>
      </c>
      <c r="P17" s="344" t="s">
        <v>31</v>
      </c>
      <c r="Q17" s="344" t="s">
        <v>31</v>
      </c>
      <c r="R17" s="344" t="s">
        <v>31</v>
      </c>
      <c r="S17" s="349" t="s">
        <v>31</v>
      </c>
    </row>
    <row r="18" spans="1:19" ht="114.75" x14ac:dyDescent="0.25">
      <c r="A18" s="239" t="s">
        <v>79</v>
      </c>
      <c r="B18" s="347" t="s">
        <v>41</v>
      </c>
      <c r="C18" s="348" t="s">
        <v>71</v>
      </c>
      <c r="D18" s="344" t="s">
        <v>24</v>
      </c>
      <c r="E18" s="345" t="s">
        <v>43</v>
      </c>
      <c r="F18" s="349" t="s">
        <v>78</v>
      </c>
      <c r="G18" s="240" t="s">
        <v>27</v>
      </c>
      <c r="H18" s="344" t="s">
        <v>28</v>
      </c>
      <c r="I18" s="344" t="s">
        <v>29</v>
      </c>
      <c r="J18" s="344" t="s">
        <v>35</v>
      </c>
      <c r="K18" s="242" t="s">
        <v>47</v>
      </c>
      <c r="L18" s="349" t="s">
        <v>37</v>
      </c>
      <c r="M18" s="350" t="s">
        <v>31</v>
      </c>
      <c r="N18" s="344" t="s">
        <v>31</v>
      </c>
      <c r="O18" s="344" t="s">
        <v>31</v>
      </c>
      <c r="P18" s="344" t="s">
        <v>31</v>
      </c>
      <c r="Q18" s="344" t="s">
        <v>31</v>
      </c>
      <c r="R18" s="344" t="s">
        <v>31</v>
      </c>
      <c r="S18" s="349" t="s">
        <v>31</v>
      </c>
    </row>
    <row r="19" spans="1:19" ht="102" x14ac:dyDescent="0.25">
      <c r="A19" s="239" t="s">
        <v>80</v>
      </c>
      <c r="B19" s="347" t="s">
        <v>41</v>
      </c>
      <c r="C19" s="348" t="s">
        <v>81</v>
      </c>
      <c r="D19" s="344" t="s">
        <v>24</v>
      </c>
      <c r="E19" s="345" t="s">
        <v>82</v>
      </c>
      <c r="F19" s="349" t="s">
        <v>83</v>
      </c>
      <c r="G19" s="240" t="s">
        <v>27</v>
      </c>
      <c r="H19" s="344" t="s">
        <v>28</v>
      </c>
      <c r="I19" s="344" t="s">
        <v>29</v>
      </c>
      <c r="J19" s="346">
        <v>1</v>
      </c>
      <c r="K19" s="344" t="s">
        <v>30</v>
      </c>
      <c r="L19" s="349" t="s">
        <v>43</v>
      </c>
      <c r="M19" s="350" t="s">
        <v>31</v>
      </c>
      <c r="N19" s="344" t="s">
        <v>31</v>
      </c>
      <c r="O19" s="344" t="s">
        <v>31</v>
      </c>
      <c r="P19" s="344" t="s">
        <v>31</v>
      </c>
      <c r="Q19" s="344" t="s">
        <v>31</v>
      </c>
      <c r="R19" s="344" t="s">
        <v>31</v>
      </c>
      <c r="S19" s="349" t="s">
        <v>31</v>
      </c>
    </row>
    <row r="20" spans="1:19" ht="76.5" x14ac:dyDescent="0.25">
      <c r="A20" s="239" t="s">
        <v>84</v>
      </c>
      <c r="B20" s="347" t="s">
        <v>33</v>
      </c>
      <c r="C20" s="348" t="s">
        <v>77</v>
      </c>
      <c r="D20" s="344" t="s">
        <v>24</v>
      </c>
      <c r="E20" s="345" t="s">
        <v>43</v>
      </c>
      <c r="F20" s="349" t="s">
        <v>26</v>
      </c>
      <c r="G20" s="240" t="s">
        <v>27</v>
      </c>
      <c r="H20" s="344" t="s">
        <v>28</v>
      </c>
      <c r="I20" s="344" t="s">
        <v>29</v>
      </c>
      <c r="J20" s="344" t="s">
        <v>35</v>
      </c>
      <c r="K20" s="344" t="s">
        <v>30</v>
      </c>
      <c r="L20" s="349" t="s">
        <v>43</v>
      </c>
      <c r="M20" s="350" t="s">
        <v>31</v>
      </c>
      <c r="N20" s="344" t="s">
        <v>31</v>
      </c>
      <c r="O20" s="344" t="s">
        <v>31</v>
      </c>
      <c r="P20" s="344" t="s">
        <v>31</v>
      </c>
      <c r="Q20" s="344" t="s">
        <v>31</v>
      </c>
      <c r="R20" s="344" t="s">
        <v>31</v>
      </c>
      <c r="S20" s="349" t="s">
        <v>31</v>
      </c>
    </row>
    <row r="21" spans="1:19" ht="76.5" x14ac:dyDescent="0.25">
      <c r="A21" s="239" t="s">
        <v>85</v>
      </c>
      <c r="B21" s="347" t="s">
        <v>33</v>
      </c>
      <c r="C21" s="348" t="s">
        <v>77</v>
      </c>
      <c r="D21" s="344" t="s">
        <v>24</v>
      </c>
      <c r="E21" s="345" t="s">
        <v>82</v>
      </c>
      <c r="F21" s="349" t="s">
        <v>26</v>
      </c>
      <c r="G21" s="240" t="s">
        <v>27</v>
      </c>
      <c r="H21" s="344" t="s">
        <v>28</v>
      </c>
      <c r="I21" s="344" t="s">
        <v>29</v>
      </c>
      <c r="J21" s="344" t="s">
        <v>35</v>
      </c>
      <c r="K21" s="344" t="s">
        <v>30</v>
      </c>
      <c r="L21" s="349" t="s">
        <v>43</v>
      </c>
      <c r="M21" s="350" t="s">
        <v>31</v>
      </c>
      <c r="N21" s="344" t="s">
        <v>31</v>
      </c>
      <c r="O21" s="344" t="s">
        <v>31</v>
      </c>
      <c r="P21" s="344" t="s">
        <v>31</v>
      </c>
      <c r="Q21" s="344" t="s">
        <v>31</v>
      </c>
      <c r="R21" s="344" t="s">
        <v>31</v>
      </c>
      <c r="S21" s="349" t="s">
        <v>31</v>
      </c>
    </row>
    <row r="22" spans="1:19" ht="165.75" x14ac:dyDescent="0.25">
      <c r="A22" s="253" t="s">
        <v>86</v>
      </c>
      <c r="B22" s="347" t="s">
        <v>87</v>
      </c>
      <c r="C22" s="348" t="s">
        <v>88</v>
      </c>
      <c r="D22" s="344" t="s">
        <v>24</v>
      </c>
      <c r="E22" s="345" t="s">
        <v>43</v>
      </c>
      <c r="F22" s="349" t="s">
        <v>89</v>
      </c>
      <c r="G22" s="240" t="s">
        <v>49</v>
      </c>
      <c r="H22" s="344" t="s">
        <v>36</v>
      </c>
      <c r="I22" s="344" t="s">
        <v>29</v>
      </c>
      <c r="J22" s="346">
        <v>1</v>
      </c>
      <c r="K22" s="344" t="s">
        <v>30</v>
      </c>
      <c r="L22" s="349" t="s">
        <v>43</v>
      </c>
      <c r="M22" s="350" t="s">
        <v>31</v>
      </c>
      <c r="N22" s="344" t="s">
        <v>31</v>
      </c>
      <c r="O22" s="344" t="s">
        <v>31</v>
      </c>
      <c r="P22" s="344" t="s">
        <v>31</v>
      </c>
      <c r="Q22" s="344" t="s">
        <v>31</v>
      </c>
      <c r="R22" s="344" t="s">
        <v>31</v>
      </c>
      <c r="S22" s="349" t="s">
        <v>31</v>
      </c>
    </row>
    <row r="23" spans="1:19" ht="102.75" thickBot="1" x14ac:dyDescent="0.3">
      <c r="A23" s="243" t="s">
        <v>90</v>
      </c>
      <c r="B23" s="244" t="s">
        <v>33</v>
      </c>
      <c r="C23" s="245" t="s">
        <v>34</v>
      </c>
      <c r="D23" s="246" t="s">
        <v>24</v>
      </c>
      <c r="E23" s="247" t="s">
        <v>35</v>
      </c>
      <c r="F23" s="248" t="s">
        <v>83</v>
      </c>
      <c r="G23" s="249" t="s">
        <v>27</v>
      </c>
      <c r="H23" s="246" t="s">
        <v>54</v>
      </c>
      <c r="I23" s="246" t="s">
        <v>29</v>
      </c>
      <c r="J23" s="246" t="s">
        <v>35</v>
      </c>
      <c r="K23" s="246" t="s">
        <v>35</v>
      </c>
      <c r="L23" s="248" t="s">
        <v>35</v>
      </c>
      <c r="M23" s="250" t="s">
        <v>31</v>
      </c>
      <c r="N23" s="246" t="s">
        <v>31</v>
      </c>
      <c r="O23" s="246" t="s">
        <v>31</v>
      </c>
      <c r="P23" s="246" t="s">
        <v>31</v>
      </c>
      <c r="Q23" s="246" t="s">
        <v>31</v>
      </c>
      <c r="R23" s="246" t="s">
        <v>31</v>
      </c>
      <c r="S23" s="248" t="s">
        <v>31</v>
      </c>
    </row>
    <row r="24" spans="1:19" ht="114.75" x14ac:dyDescent="0.25">
      <c r="B24" s="251" t="s">
        <v>91</v>
      </c>
    </row>
  </sheetData>
  <mergeCells count="43">
    <mergeCell ref="N8:N9"/>
    <mergeCell ref="P12:P13"/>
    <mergeCell ref="Q12:Q13"/>
    <mergeCell ref="R12:R13"/>
    <mergeCell ref="N12:N13"/>
    <mergeCell ref="O12:O13"/>
    <mergeCell ref="A1:A2"/>
    <mergeCell ref="B1:F1"/>
    <mergeCell ref="G1:L1"/>
    <mergeCell ref="M1:S1"/>
    <mergeCell ref="A8:A9"/>
    <mergeCell ref="B8:B9"/>
    <mergeCell ref="C8:C9"/>
    <mergeCell ref="D8:D9"/>
    <mergeCell ref="E8:E9"/>
    <mergeCell ref="F8:F9"/>
    <mergeCell ref="S8:S9"/>
    <mergeCell ref="P8:P9"/>
    <mergeCell ref="Q8:Q9"/>
    <mergeCell ref="O8:O9"/>
    <mergeCell ref="R8:R9"/>
    <mergeCell ref="M8:M9"/>
    <mergeCell ref="A12:A13"/>
    <mergeCell ref="B12:B13"/>
    <mergeCell ref="C12:C13"/>
    <mergeCell ref="D12:D13"/>
    <mergeCell ref="E12:E13"/>
    <mergeCell ref="S12:S13"/>
    <mergeCell ref="A15:A16"/>
    <mergeCell ref="B15:B16"/>
    <mergeCell ref="C15:C16"/>
    <mergeCell ref="D15:D16"/>
    <mergeCell ref="E15:E16"/>
    <mergeCell ref="F15:F16"/>
    <mergeCell ref="S15:S16"/>
    <mergeCell ref="M15:M16"/>
    <mergeCell ref="N15:N16"/>
    <mergeCell ref="O15:O16"/>
    <mergeCell ref="P15:P16"/>
    <mergeCell ref="Q15:Q16"/>
    <mergeCell ref="R15:R16"/>
    <mergeCell ref="F12:F13"/>
    <mergeCell ref="M12:M1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D7984-A5E6-4E31-BDF1-0E5744AADFAC}">
  <dimension ref="A1:E115"/>
  <sheetViews>
    <sheetView workbookViewId="0"/>
  </sheetViews>
  <sheetFormatPr defaultRowHeight="15" x14ac:dyDescent="0.25"/>
  <cols>
    <col min="1" max="1" width="32.85546875" customWidth="1"/>
    <col min="2" max="5" width="16.85546875" customWidth="1"/>
  </cols>
  <sheetData>
    <row r="1" spans="1:5" ht="15.75" thickBot="1" x14ac:dyDescent="0.3">
      <c r="A1" s="140" t="s">
        <v>276</v>
      </c>
      <c r="B1" s="140" t="s">
        <v>278</v>
      </c>
      <c r="C1" s="139" t="s">
        <v>279</v>
      </c>
      <c r="D1" s="139" t="s">
        <v>283</v>
      </c>
      <c r="E1" s="139" t="s">
        <v>284</v>
      </c>
    </row>
    <row r="2" spans="1:5" x14ac:dyDescent="0.25">
      <c r="A2" s="28" t="s">
        <v>961</v>
      </c>
      <c r="B2" s="28" t="s">
        <v>962</v>
      </c>
      <c r="C2" s="28" t="s">
        <v>374</v>
      </c>
      <c r="D2" s="28"/>
      <c r="E2" s="61">
        <v>110000509851</v>
      </c>
    </row>
    <row r="3" spans="1:5" x14ac:dyDescent="0.25">
      <c r="A3" s="28" t="s">
        <v>963</v>
      </c>
      <c r="B3" s="28" t="s">
        <v>964</v>
      </c>
      <c r="C3" s="28" t="s">
        <v>374</v>
      </c>
      <c r="D3" s="28"/>
      <c r="E3" s="61">
        <v>110002042021</v>
      </c>
    </row>
    <row r="4" spans="1:5" x14ac:dyDescent="0.25">
      <c r="A4" s="28" t="s">
        <v>967</v>
      </c>
      <c r="B4" s="28" t="s">
        <v>968</v>
      </c>
      <c r="C4" s="28" t="s">
        <v>294</v>
      </c>
      <c r="D4" s="28"/>
      <c r="E4" s="61">
        <v>110070885683</v>
      </c>
    </row>
    <row r="5" spans="1:5" x14ac:dyDescent="0.25">
      <c r="A5" s="28" t="s">
        <v>969</v>
      </c>
      <c r="B5" s="28" t="s">
        <v>293</v>
      </c>
      <c r="C5" s="28" t="s">
        <v>294</v>
      </c>
      <c r="D5" s="28"/>
      <c r="E5" s="61">
        <v>110070545578</v>
      </c>
    </row>
    <row r="6" spans="1:5" x14ac:dyDescent="0.25">
      <c r="A6" s="28" t="s">
        <v>970</v>
      </c>
      <c r="B6" s="28" t="s">
        <v>962</v>
      </c>
      <c r="C6" s="28" t="s">
        <v>374</v>
      </c>
      <c r="D6" s="28"/>
      <c r="E6" s="61">
        <v>110015943559</v>
      </c>
    </row>
    <row r="7" spans="1:5" x14ac:dyDescent="0.25">
      <c r="A7" s="28" t="s">
        <v>971</v>
      </c>
      <c r="B7" s="28" t="s">
        <v>972</v>
      </c>
      <c r="C7" s="28" t="s">
        <v>374</v>
      </c>
      <c r="D7" s="28"/>
      <c r="E7" s="61">
        <v>110010062314</v>
      </c>
    </row>
    <row r="8" spans="1:5" x14ac:dyDescent="0.25">
      <c r="A8" s="28" t="s">
        <v>973</v>
      </c>
      <c r="B8" s="28" t="s">
        <v>974</v>
      </c>
      <c r="C8" s="28" t="s">
        <v>541</v>
      </c>
      <c r="D8" s="28" t="s">
        <v>698</v>
      </c>
      <c r="E8" s="61">
        <v>110000604490</v>
      </c>
    </row>
    <row r="9" spans="1:5" x14ac:dyDescent="0.25">
      <c r="A9" s="28" t="s">
        <v>975</v>
      </c>
      <c r="B9" s="28" t="s">
        <v>976</v>
      </c>
      <c r="C9" s="28" t="s">
        <v>303</v>
      </c>
      <c r="D9" s="28" t="s">
        <v>699</v>
      </c>
      <c r="E9" s="61">
        <v>110000597596</v>
      </c>
    </row>
    <row r="10" spans="1:5" x14ac:dyDescent="0.25">
      <c r="A10" s="28" t="s">
        <v>980</v>
      </c>
      <c r="B10" s="28" t="s">
        <v>981</v>
      </c>
      <c r="C10" s="28" t="s">
        <v>324</v>
      </c>
      <c r="D10" s="28"/>
      <c r="E10" s="61">
        <v>110003250277</v>
      </c>
    </row>
    <row r="11" spans="1:5" x14ac:dyDescent="0.25">
      <c r="A11" s="28" t="s">
        <v>982</v>
      </c>
      <c r="B11" s="28" t="s">
        <v>983</v>
      </c>
      <c r="C11" s="28" t="s">
        <v>374</v>
      </c>
      <c r="D11" s="28"/>
      <c r="E11" s="61">
        <v>110022421789</v>
      </c>
    </row>
    <row r="12" spans="1:5" x14ac:dyDescent="0.25">
      <c r="A12" s="28" t="s">
        <v>988</v>
      </c>
      <c r="B12" s="28" t="s">
        <v>314</v>
      </c>
      <c r="C12" s="28" t="s">
        <v>303</v>
      </c>
      <c r="D12" s="28" t="s">
        <v>702</v>
      </c>
      <c r="E12" s="61">
        <v>110000449266</v>
      </c>
    </row>
    <row r="13" spans="1:5" x14ac:dyDescent="0.25">
      <c r="A13" s="28" t="s">
        <v>989</v>
      </c>
      <c r="B13" s="28" t="s">
        <v>990</v>
      </c>
      <c r="C13" s="28" t="s">
        <v>362</v>
      </c>
      <c r="D13" s="28" t="s">
        <v>703</v>
      </c>
      <c r="E13" s="61">
        <v>110000463533</v>
      </c>
    </row>
    <row r="14" spans="1:5" x14ac:dyDescent="0.25">
      <c r="A14" s="28" t="s">
        <v>993</v>
      </c>
      <c r="B14" s="28" t="s">
        <v>994</v>
      </c>
      <c r="C14" s="28" t="s">
        <v>324</v>
      </c>
      <c r="D14" s="28"/>
      <c r="E14" s="61">
        <v>110030443544</v>
      </c>
    </row>
    <row r="15" spans="1:5" x14ac:dyDescent="0.25">
      <c r="A15" s="28" t="s">
        <v>995</v>
      </c>
      <c r="B15" s="28" t="s">
        <v>615</v>
      </c>
      <c r="C15" s="28" t="s">
        <v>362</v>
      </c>
      <c r="D15" s="28" t="s">
        <v>705</v>
      </c>
      <c r="E15" s="61">
        <v>110000463178</v>
      </c>
    </row>
    <row r="16" spans="1:5" x14ac:dyDescent="0.25">
      <c r="A16" s="28" t="s">
        <v>1009</v>
      </c>
      <c r="B16" s="28" t="s">
        <v>1010</v>
      </c>
      <c r="C16" s="28" t="s">
        <v>366</v>
      </c>
      <c r="D16" s="28"/>
      <c r="E16" s="61">
        <v>110013682942</v>
      </c>
    </row>
    <row r="17" spans="1:5" x14ac:dyDescent="0.25">
      <c r="A17" s="28" t="s">
        <v>1011</v>
      </c>
      <c r="B17" s="28" t="s">
        <v>1012</v>
      </c>
      <c r="C17" s="28" t="s">
        <v>366</v>
      </c>
      <c r="D17" s="28"/>
      <c r="E17" s="61">
        <v>110000746649</v>
      </c>
    </row>
    <row r="18" spans="1:5" x14ac:dyDescent="0.25">
      <c r="A18" s="28" t="s">
        <v>1015</v>
      </c>
      <c r="B18" s="28" t="s">
        <v>1016</v>
      </c>
      <c r="C18" s="28" t="s">
        <v>366</v>
      </c>
      <c r="D18" s="28"/>
      <c r="E18" s="61">
        <v>110005972965</v>
      </c>
    </row>
    <row r="19" spans="1:5" x14ac:dyDescent="0.25">
      <c r="A19" s="28" t="s">
        <v>1019</v>
      </c>
      <c r="B19" s="28" t="s">
        <v>1020</v>
      </c>
      <c r="C19" s="28" t="s">
        <v>324</v>
      </c>
      <c r="D19" s="28"/>
      <c r="E19" s="61">
        <v>110009938265</v>
      </c>
    </row>
    <row r="20" spans="1:5" x14ac:dyDescent="0.25">
      <c r="A20" s="28" t="s">
        <v>1028</v>
      </c>
      <c r="B20" s="28" t="s">
        <v>1029</v>
      </c>
      <c r="C20" s="28" t="s">
        <v>324</v>
      </c>
      <c r="D20" s="28"/>
      <c r="E20" s="61">
        <v>110000736776</v>
      </c>
    </row>
    <row r="21" spans="1:5" x14ac:dyDescent="0.25">
      <c r="A21" s="28" t="s">
        <v>1030</v>
      </c>
      <c r="B21" s="28" t="s">
        <v>1031</v>
      </c>
      <c r="C21" s="28" t="s">
        <v>450</v>
      </c>
      <c r="D21" s="28"/>
      <c r="E21" s="61">
        <v>110006700711</v>
      </c>
    </row>
    <row r="22" spans="1:5" x14ac:dyDescent="0.25">
      <c r="A22" s="28" t="s">
        <v>1034</v>
      </c>
      <c r="B22" s="28" t="s">
        <v>1035</v>
      </c>
      <c r="C22" s="28" t="s">
        <v>374</v>
      </c>
      <c r="D22" s="28"/>
      <c r="E22" s="61">
        <v>110022287210</v>
      </c>
    </row>
    <row r="23" spans="1:5" x14ac:dyDescent="0.25">
      <c r="A23" s="28" t="s">
        <v>1040</v>
      </c>
      <c r="B23" s="28" t="s">
        <v>1041</v>
      </c>
      <c r="C23" s="28" t="s">
        <v>478</v>
      </c>
      <c r="D23" s="28"/>
      <c r="E23" s="61">
        <v>110000338830</v>
      </c>
    </row>
    <row r="24" spans="1:5" x14ac:dyDescent="0.25">
      <c r="A24" s="28" t="s">
        <v>1042</v>
      </c>
      <c r="B24" s="28" t="s">
        <v>1043</v>
      </c>
      <c r="C24" s="28" t="s">
        <v>345</v>
      </c>
      <c r="D24" s="28" t="s">
        <v>708</v>
      </c>
      <c r="E24" s="61">
        <v>110000500459</v>
      </c>
    </row>
    <row r="25" spans="1:5" x14ac:dyDescent="0.25">
      <c r="A25" s="28" t="s">
        <v>1046</v>
      </c>
      <c r="B25" s="28" t="s">
        <v>1047</v>
      </c>
      <c r="C25" s="28" t="s">
        <v>374</v>
      </c>
      <c r="D25" s="28"/>
      <c r="E25" s="61">
        <v>110010062680</v>
      </c>
    </row>
    <row r="26" spans="1:5" x14ac:dyDescent="0.25">
      <c r="A26" s="28" t="s">
        <v>1048</v>
      </c>
      <c r="B26" s="28" t="s">
        <v>1049</v>
      </c>
      <c r="C26" s="28" t="s">
        <v>1050</v>
      </c>
      <c r="D26" s="28"/>
      <c r="E26" s="61">
        <v>110064645460</v>
      </c>
    </row>
    <row r="27" spans="1:5" x14ac:dyDescent="0.25">
      <c r="A27" s="28" t="s">
        <v>1051</v>
      </c>
      <c r="B27" s="28" t="s">
        <v>1052</v>
      </c>
      <c r="C27" s="28" t="s">
        <v>374</v>
      </c>
      <c r="D27" s="28"/>
      <c r="E27" s="61">
        <v>110022853429</v>
      </c>
    </row>
    <row r="28" spans="1:5" x14ac:dyDescent="0.25">
      <c r="A28" s="28" t="s">
        <v>1053</v>
      </c>
      <c r="B28" s="28" t="s">
        <v>1054</v>
      </c>
      <c r="C28" s="28" t="s">
        <v>374</v>
      </c>
      <c r="D28" s="28"/>
      <c r="E28" s="61">
        <v>110015317423</v>
      </c>
    </row>
    <row r="29" spans="1:5" x14ac:dyDescent="0.25">
      <c r="A29" s="28" t="s">
        <v>1055</v>
      </c>
      <c r="B29" s="28" t="s">
        <v>962</v>
      </c>
      <c r="C29" s="28" t="s">
        <v>374</v>
      </c>
      <c r="D29" s="28"/>
      <c r="E29" s="61">
        <v>110009066278</v>
      </c>
    </row>
    <row r="30" spans="1:5" x14ac:dyDescent="0.25">
      <c r="A30" s="28" t="s">
        <v>1056</v>
      </c>
      <c r="B30" s="28" t="s">
        <v>1057</v>
      </c>
      <c r="C30" s="28" t="s">
        <v>374</v>
      </c>
      <c r="D30" s="28"/>
      <c r="E30" s="61">
        <v>110006785149</v>
      </c>
    </row>
    <row r="31" spans="1:5" x14ac:dyDescent="0.25">
      <c r="A31" s="28" t="s">
        <v>1058</v>
      </c>
      <c r="B31" s="28" t="s">
        <v>1059</v>
      </c>
      <c r="C31" s="28" t="s">
        <v>374</v>
      </c>
      <c r="D31" s="28"/>
      <c r="E31" s="61">
        <v>110006785229</v>
      </c>
    </row>
    <row r="32" spans="1:5" x14ac:dyDescent="0.25">
      <c r="A32" s="28" t="s">
        <v>1060</v>
      </c>
      <c r="B32" s="28" t="s">
        <v>657</v>
      </c>
      <c r="C32" s="28" t="s">
        <v>418</v>
      </c>
      <c r="D32" s="28"/>
      <c r="E32" s="61">
        <v>110009001828</v>
      </c>
    </row>
    <row r="33" spans="1:5" x14ac:dyDescent="0.25">
      <c r="A33" s="28" t="s">
        <v>1073</v>
      </c>
      <c r="B33" s="28" t="s">
        <v>1074</v>
      </c>
      <c r="C33" s="28" t="s">
        <v>374</v>
      </c>
      <c r="D33" s="28"/>
      <c r="E33" s="61">
        <v>110055979455</v>
      </c>
    </row>
    <row r="34" spans="1:5" x14ac:dyDescent="0.25">
      <c r="A34" s="28" t="s">
        <v>1075</v>
      </c>
      <c r="B34" s="28" t="s">
        <v>1076</v>
      </c>
      <c r="C34" s="28" t="s">
        <v>469</v>
      </c>
      <c r="D34" s="28"/>
      <c r="E34" s="61">
        <v>110002455370</v>
      </c>
    </row>
    <row r="35" spans="1:5" x14ac:dyDescent="0.25">
      <c r="A35" s="28" t="s">
        <v>1085</v>
      </c>
      <c r="B35" s="28" t="s">
        <v>1086</v>
      </c>
      <c r="C35" s="28" t="s">
        <v>366</v>
      </c>
      <c r="D35" s="28"/>
      <c r="E35" s="61">
        <v>110011373628</v>
      </c>
    </row>
    <row r="36" spans="1:5" x14ac:dyDescent="0.25">
      <c r="A36" s="28" t="s">
        <v>1087</v>
      </c>
      <c r="B36" s="28" t="s">
        <v>968</v>
      </c>
      <c r="C36" s="28" t="s">
        <v>324</v>
      </c>
      <c r="D36" s="28"/>
      <c r="E36" s="61">
        <v>110013680837</v>
      </c>
    </row>
    <row r="37" spans="1:5" x14ac:dyDescent="0.25">
      <c r="A37" s="28" t="s">
        <v>1091</v>
      </c>
      <c r="B37" s="28" t="s">
        <v>1092</v>
      </c>
      <c r="C37" s="28" t="s">
        <v>366</v>
      </c>
      <c r="D37" s="28"/>
      <c r="E37" s="61">
        <v>110001103939</v>
      </c>
    </row>
    <row r="38" spans="1:5" x14ac:dyDescent="0.25">
      <c r="A38" s="28" t="s">
        <v>1093</v>
      </c>
      <c r="B38" s="28" t="s">
        <v>1094</v>
      </c>
      <c r="C38" s="28" t="s">
        <v>366</v>
      </c>
      <c r="D38" s="28"/>
      <c r="E38" s="61">
        <v>110000730638</v>
      </c>
    </row>
    <row r="39" spans="1:5" x14ac:dyDescent="0.25">
      <c r="A39" s="28" t="s">
        <v>1116</v>
      </c>
      <c r="B39" s="28" t="s">
        <v>1117</v>
      </c>
      <c r="C39" s="28" t="s">
        <v>450</v>
      </c>
      <c r="D39" s="28" t="s">
        <v>716</v>
      </c>
      <c r="E39" s="61">
        <v>110000326601</v>
      </c>
    </row>
    <row r="40" spans="1:5" x14ac:dyDescent="0.25">
      <c r="A40" s="28" t="s">
        <v>1122</v>
      </c>
      <c r="B40" s="28" t="s">
        <v>1123</v>
      </c>
      <c r="C40" s="28" t="s">
        <v>491</v>
      </c>
      <c r="D40" s="28"/>
      <c r="E40" s="61">
        <v>110071151044</v>
      </c>
    </row>
    <row r="41" spans="1:5" x14ac:dyDescent="0.25">
      <c r="A41" s="28" t="s">
        <v>1124</v>
      </c>
      <c r="B41" s="28" t="s">
        <v>1125</v>
      </c>
      <c r="C41" s="28" t="s">
        <v>294</v>
      </c>
      <c r="D41" s="28"/>
      <c r="E41" s="61">
        <v>110070548118</v>
      </c>
    </row>
    <row r="42" spans="1:5" x14ac:dyDescent="0.25">
      <c r="A42" s="28" t="s">
        <v>1131</v>
      </c>
      <c r="B42" s="28" t="s">
        <v>962</v>
      </c>
      <c r="C42" s="28" t="s">
        <v>374</v>
      </c>
      <c r="D42" s="28"/>
      <c r="E42" s="61">
        <v>110043452019</v>
      </c>
    </row>
    <row r="43" spans="1:5" x14ac:dyDescent="0.25">
      <c r="A43" s="28" t="s">
        <v>1136</v>
      </c>
      <c r="B43" s="28" t="s">
        <v>1137</v>
      </c>
      <c r="C43" s="28" t="s">
        <v>427</v>
      </c>
      <c r="D43" s="28" t="s">
        <v>719</v>
      </c>
      <c r="E43" s="61">
        <v>110000593206</v>
      </c>
    </row>
    <row r="44" spans="1:5" x14ac:dyDescent="0.25">
      <c r="A44" s="28" t="s">
        <v>1140</v>
      </c>
      <c r="B44" s="28" t="s">
        <v>1141</v>
      </c>
      <c r="C44" s="28" t="s">
        <v>374</v>
      </c>
      <c r="D44" s="28"/>
      <c r="E44" s="61">
        <v>110000510894</v>
      </c>
    </row>
    <row r="45" spans="1:5" x14ac:dyDescent="0.25">
      <c r="A45" s="28" t="s">
        <v>1142</v>
      </c>
      <c r="B45" s="28" t="s">
        <v>1143</v>
      </c>
      <c r="C45" s="28" t="s">
        <v>308</v>
      </c>
      <c r="D45" s="28"/>
      <c r="E45" s="61">
        <v>110070741217</v>
      </c>
    </row>
    <row r="46" spans="1:5" x14ac:dyDescent="0.25">
      <c r="A46" s="28" t="s">
        <v>1148</v>
      </c>
      <c r="B46" s="28" t="s">
        <v>1149</v>
      </c>
      <c r="C46" s="28" t="s">
        <v>324</v>
      </c>
      <c r="D46" s="28"/>
      <c r="E46" s="61">
        <v>110009937499</v>
      </c>
    </row>
    <row r="47" spans="1:5" x14ac:dyDescent="0.25">
      <c r="A47" s="28" t="s">
        <v>1152</v>
      </c>
      <c r="B47" s="28" t="s">
        <v>1153</v>
      </c>
      <c r="C47" s="28" t="s">
        <v>338</v>
      </c>
      <c r="D47" s="28"/>
      <c r="E47" s="61">
        <v>110009838168</v>
      </c>
    </row>
    <row r="48" spans="1:5" x14ac:dyDescent="0.25">
      <c r="A48" s="28" t="s">
        <v>1156</v>
      </c>
      <c r="B48" s="28" t="s">
        <v>1157</v>
      </c>
      <c r="C48" s="28" t="s">
        <v>366</v>
      </c>
      <c r="D48" s="28"/>
      <c r="E48" s="61">
        <v>110064616296</v>
      </c>
    </row>
    <row r="49" spans="1:5" x14ac:dyDescent="0.25">
      <c r="A49" s="28" t="s">
        <v>1158</v>
      </c>
      <c r="B49" s="28" t="s">
        <v>1159</v>
      </c>
      <c r="C49" s="28" t="s">
        <v>324</v>
      </c>
      <c r="D49" s="28"/>
      <c r="E49" s="61">
        <v>110000732324</v>
      </c>
    </row>
    <row r="50" spans="1:5" x14ac:dyDescent="0.25">
      <c r="A50" s="28" t="s">
        <v>1164</v>
      </c>
      <c r="B50" s="28" t="s">
        <v>968</v>
      </c>
      <c r="C50" s="28" t="s">
        <v>294</v>
      </c>
      <c r="D50" s="28"/>
      <c r="E50" s="61">
        <v>110070546529</v>
      </c>
    </row>
    <row r="51" spans="1:5" x14ac:dyDescent="0.25">
      <c r="A51" s="28" t="s">
        <v>1165</v>
      </c>
      <c r="B51" s="28" t="s">
        <v>1166</v>
      </c>
      <c r="C51" s="28" t="s">
        <v>338</v>
      </c>
      <c r="D51" s="28"/>
      <c r="E51" s="61">
        <v>110014480445</v>
      </c>
    </row>
    <row r="52" spans="1:5" x14ac:dyDescent="0.25">
      <c r="A52" s="28" t="s">
        <v>1169</v>
      </c>
      <c r="B52" s="28" t="s">
        <v>1170</v>
      </c>
      <c r="C52" s="28" t="s">
        <v>1171</v>
      </c>
      <c r="D52" s="28"/>
      <c r="E52" s="61">
        <v>110020728943</v>
      </c>
    </row>
    <row r="53" spans="1:5" x14ac:dyDescent="0.25">
      <c r="A53" s="28" t="s">
        <v>1174</v>
      </c>
      <c r="B53" s="28" t="s">
        <v>1175</v>
      </c>
      <c r="C53" s="28" t="s">
        <v>506</v>
      </c>
      <c r="D53" s="28"/>
      <c r="E53" s="61">
        <v>110043668563</v>
      </c>
    </row>
    <row r="54" spans="1:5" x14ac:dyDescent="0.25">
      <c r="A54" s="28" t="s">
        <v>1179</v>
      </c>
      <c r="B54" s="28" t="s">
        <v>1180</v>
      </c>
      <c r="C54" s="28" t="s">
        <v>450</v>
      </c>
      <c r="D54" s="28"/>
      <c r="E54" s="61">
        <v>110041145926</v>
      </c>
    </row>
    <row r="55" spans="1:5" x14ac:dyDescent="0.25">
      <c r="A55" s="28" t="s">
        <v>1186</v>
      </c>
      <c r="B55" s="28" t="s">
        <v>1187</v>
      </c>
      <c r="C55" s="28" t="s">
        <v>478</v>
      </c>
      <c r="D55" s="28"/>
      <c r="E55" s="61">
        <v>110064631849</v>
      </c>
    </row>
    <row r="56" spans="1:5" x14ac:dyDescent="0.25">
      <c r="A56" s="28" t="s">
        <v>1196</v>
      </c>
      <c r="B56" s="28" t="s">
        <v>1197</v>
      </c>
      <c r="C56" s="28" t="s">
        <v>1171</v>
      </c>
      <c r="D56" s="28"/>
      <c r="E56" s="61">
        <v>110000867054</v>
      </c>
    </row>
    <row r="57" spans="1:5" x14ac:dyDescent="0.25">
      <c r="A57" s="28" t="s">
        <v>1198</v>
      </c>
      <c r="B57" s="28" t="s">
        <v>1199</v>
      </c>
      <c r="C57" s="28" t="s">
        <v>374</v>
      </c>
      <c r="D57" s="28"/>
      <c r="E57" s="61">
        <v>110010062699</v>
      </c>
    </row>
    <row r="58" spans="1:5" x14ac:dyDescent="0.25">
      <c r="A58" s="28" t="s">
        <v>1200</v>
      </c>
      <c r="B58" s="28" t="s">
        <v>1201</v>
      </c>
      <c r="C58" s="28" t="s">
        <v>324</v>
      </c>
      <c r="D58" s="28"/>
      <c r="E58" s="61">
        <v>110009938737</v>
      </c>
    </row>
    <row r="59" spans="1:5" x14ac:dyDescent="0.25">
      <c r="A59" s="28" t="s">
        <v>1202</v>
      </c>
      <c r="B59" s="28" t="s">
        <v>1203</v>
      </c>
      <c r="C59" s="28" t="s">
        <v>491</v>
      </c>
      <c r="D59" s="28" t="s">
        <v>722</v>
      </c>
      <c r="E59" s="61">
        <v>110000538525</v>
      </c>
    </row>
    <row r="60" spans="1:5" x14ac:dyDescent="0.25">
      <c r="A60" s="28" t="s">
        <v>1204</v>
      </c>
      <c r="B60" s="28" t="s">
        <v>1205</v>
      </c>
      <c r="C60" s="28" t="s">
        <v>374</v>
      </c>
      <c r="D60" s="28"/>
      <c r="E60" s="61">
        <v>110015944077</v>
      </c>
    </row>
    <row r="61" spans="1:5" x14ac:dyDescent="0.25">
      <c r="A61" s="28" t="s">
        <v>1208</v>
      </c>
      <c r="B61" s="28" t="s">
        <v>446</v>
      </c>
      <c r="C61" s="28" t="s">
        <v>303</v>
      </c>
      <c r="D61" s="28"/>
      <c r="E61" s="61">
        <v>110070227146</v>
      </c>
    </row>
    <row r="62" spans="1:5" x14ac:dyDescent="0.25">
      <c r="A62" s="28" t="s">
        <v>1210</v>
      </c>
      <c r="B62" s="28" t="s">
        <v>657</v>
      </c>
      <c r="C62" s="28" t="s">
        <v>418</v>
      </c>
      <c r="D62" s="28"/>
      <c r="E62" s="61">
        <v>110017237373</v>
      </c>
    </row>
    <row r="63" spans="1:5" x14ac:dyDescent="0.25">
      <c r="A63" s="28" t="s">
        <v>1216</v>
      </c>
      <c r="B63" s="28" t="s">
        <v>1217</v>
      </c>
      <c r="C63" s="28" t="s">
        <v>338</v>
      </c>
      <c r="D63" s="28"/>
      <c r="E63" s="61">
        <v>110070210646</v>
      </c>
    </row>
    <row r="64" spans="1:5" x14ac:dyDescent="0.25">
      <c r="A64" s="28" t="s">
        <v>1220</v>
      </c>
      <c r="B64" s="28" t="s">
        <v>1221</v>
      </c>
      <c r="C64" s="28" t="s">
        <v>338</v>
      </c>
      <c r="D64" s="28"/>
      <c r="E64" s="61">
        <v>110009834581</v>
      </c>
    </row>
    <row r="65" spans="1:5" x14ac:dyDescent="0.25">
      <c r="A65" s="28" t="s">
        <v>1225</v>
      </c>
      <c r="B65" s="28" t="s">
        <v>1098</v>
      </c>
      <c r="C65" s="28" t="s">
        <v>324</v>
      </c>
      <c r="D65" s="28"/>
      <c r="E65" s="61">
        <v>110000761104</v>
      </c>
    </row>
    <row r="66" spans="1:5" x14ac:dyDescent="0.25">
      <c r="A66" s="28" t="s">
        <v>1229</v>
      </c>
      <c r="B66" s="28" t="s">
        <v>358</v>
      </c>
      <c r="C66" s="28" t="s">
        <v>275</v>
      </c>
      <c r="D66" s="28"/>
      <c r="E66" s="61">
        <v>110064411417</v>
      </c>
    </row>
    <row r="67" spans="1:5" x14ac:dyDescent="0.25">
      <c r="A67" s="28" t="s">
        <v>1232</v>
      </c>
      <c r="B67" s="28" t="s">
        <v>968</v>
      </c>
      <c r="C67" s="28" t="s">
        <v>294</v>
      </c>
      <c r="D67" s="28"/>
      <c r="E67" s="61">
        <v>110070884090</v>
      </c>
    </row>
    <row r="68" spans="1:5" x14ac:dyDescent="0.25">
      <c r="A68" s="28" t="s">
        <v>1237</v>
      </c>
      <c r="B68" s="28" t="s">
        <v>1238</v>
      </c>
      <c r="C68" s="28" t="s">
        <v>324</v>
      </c>
      <c r="D68" s="28"/>
      <c r="E68" s="61">
        <v>110045085457</v>
      </c>
    </row>
    <row r="69" spans="1:5" x14ac:dyDescent="0.25">
      <c r="A69" s="28" t="s">
        <v>1241</v>
      </c>
      <c r="B69" s="28" t="s">
        <v>1242</v>
      </c>
      <c r="C69" s="28" t="s">
        <v>338</v>
      </c>
      <c r="D69" s="28"/>
      <c r="E69" s="61">
        <v>110029618297</v>
      </c>
    </row>
    <row r="70" spans="1:5" x14ac:dyDescent="0.25">
      <c r="A70" s="28" t="s">
        <v>1245</v>
      </c>
      <c r="B70" s="28" t="s">
        <v>1246</v>
      </c>
      <c r="C70" s="28" t="s">
        <v>366</v>
      </c>
      <c r="D70" s="28"/>
      <c r="E70" s="61">
        <v>110010058034</v>
      </c>
    </row>
    <row r="71" spans="1:5" x14ac:dyDescent="0.25">
      <c r="A71" s="28" t="s">
        <v>1247</v>
      </c>
      <c r="B71" s="28" t="s">
        <v>1248</v>
      </c>
      <c r="C71" s="28" t="s">
        <v>1249</v>
      </c>
      <c r="D71" s="28"/>
      <c r="E71" s="61">
        <v>110022284240</v>
      </c>
    </row>
    <row r="72" spans="1:5" x14ac:dyDescent="0.25">
      <c r="A72" s="28" t="s">
        <v>1252</v>
      </c>
      <c r="B72" s="28" t="s">
        <v>1253</v>
      </c>
      <c r="C72" s="28" t="s">
        <v>1171</v>
      </c>
      <c r="D72" s="28"/>
      <c r="E72" s="61">
        <v>110022302417</v>
      </c>
    </row>
    <row r="73" spans="1:5" x14ac:dyDescent="0.25">
      <c r="A73" s="28" t="s">
        <v>1254</v>
      </c>
      <c r="B73" s="28" t="s">
        <v>1255</v>
      </c>
      <c r="C73" s="28" t="s">
        <v>366</v>
      </c>
      <c r="D73" s="28"/>
      <c r="E73" s="61">
        <v>110037256812</v>
      </c>
    </row>
    <row r="74" spans="1:5" x14ac:dyDescent="0.25">
      <c r="A74" s="28" t="s">
        <v>1257</v>
      </c>
      <c r="B74" s="28" t="s">
        <v>1258</v>
      </c>
      <c r="C74" s="28" t="s">
        <v>366</v>
      </c>
      <c r="D74" s="28"/>
      <c r="E74" s="61">
        <v>110001177958</v>
      </c>
    </row>
    <row r="75" spans="1:5" x14ac:dyDescent="0.25">
      <c r="A75" s="28" t="s">
        <v>1259</v>
      </c>
      <c r="B75" s="28" t="s">
        <v>1260</v>
      </c>
      <c r="C75" s="28" t="s">
        <v>374</v>
      </c>
      <c r="D75" s="28"/>
      <c r="E75" s="61">
        <v>110028190419</v>
      </c>
    </row>
    <row r="76" spans="1:5" x14ac:dyDescent="0.25">
      <c r="A76" s="28" t="s">
        <v>1279</v>
      </c>
      <c r="B76" s="28" t="s">
        <v>1280</v>
      </c>
      <c r="C76" s="28" t="s">
        <v>374</v>
      </c>
      <c r="D76" s="28"/>
      <c r="E76" s="61">
        <v>110015940776</v>
      </c>
    </row>
    <row r="77" spans="1:5" x14ac:dyDescent="0.25">
      <c r="A77" s="28" t="s">
        <v>1281</v>
      </c>
      <c r="B77" s="28" t="s">
        <v>1282</v>
      </c>
      <c r="C77" s="28" t="s">
        <v>366</v>
      </c>
      <c r="D77" s="28"/>
      <c r="E77" s="61">
        <v>110045402079</v>
      </c>
    </row>
    <row r="78" spans="1:5" x14ac:dyDescent="0.25">
      <c r="A78" s="28" t="s">
        <v>1287</v>
      </c>
      <c r="B78" s="28" t="s">
        <v>1205</v>
      </c>
      <c r="C78" s="28" t="s">
        <v>374</v>
      </c>
      <c r="D78" s="28"/>
      <c r="E78" s="61">
        <v>110010062644</v>
      </c>
    </row>
    <row r="79" spans="1:5" x14ac:dyDescent="0.25">
      <c r="A79" s="28" t="s">
        <v>1291</v>
      </c>
      <c r="B79" s="28" t="s">
        <v>1292</v>
      </c>
      <c r="C79" s="28" t="s">
        <v>366</v>
      </c>
      <c r="D79" s="28"/>
      <c r="E79" s="61">
        <v>110028004175</v>
      </c>
    </row>
    <row r="80" spans="1:5" x14ac:dyDescent="0.25">
      <c r="A80" s="28" t="s">
        <v>1295</v>
      </c>
      <c r="B80" s="28" t="s">
        <v>964</v>
      </c>
      <c r="C80" s="28" t="s">
        <v>374</v>
      </c>
      <c r="D80" s="28"/>
      <c r="E80" s="61">
        <v>110039276404</v>
      </c>
    </row>
    <row r="81" spans="1:5" x14ac:dyDescent="0.25">
      <c r="A81" s="28" t="s">
        <v>1296</v>
      </c>
      <c r="B81" s="28" t="s">
        <v>1297</v>
      </c>
      <c r="C81" s="28" t="s">
        <v>374</v>
      </c>
      <c r="D81" s="28"/>
      <c r="E81" s="61">
        <v>110024409460</v>
      </c>
    </row>
    <row r="82" spans="1:5" x14ac:dyDescent="0.25">
      <c r="A82" s="28" t="s">
        <v>1298</v>
      </c>
      <c r="B82" s="28" t="s">
        <v>1299</v>
      </c>
      <c r="C82" s="28" t="s">
        <v>366</v>
      </c>
      <c r="D82" s="28"/>
      <c r="E82" s="61">
        <v>110010058757</v>
      </c>
    </row>
    <row r="83" spans="1:5" x14ac:dyDescent="0.25">
      <c r="A83" s="28" t="s">
        <v>1303</v>
      </c>
      <c r="B83" s="28" t="s">
        <v>1304</v>
      </c>
      <c r="C83" s="28" t="s">
        <v>374</v>
      </c>
      <c r="D83" s="28"/>
      <c r="E83" s="61">
        <v>110010062528</v>
      </c>
    </row>
    <row r="84" spans="1:5" x14ac:dyDescent="0.25">
      <c r="A84" s="28" t="s">
        <v>1305</v>
      </c>
      <c r="B84" s="28" t="s">
        <v>293</v>
      </c>
      <c r="C84" s="28" t="s">
        <v>294</v>
      </c>
      <c r="D84" s="28"/>
      <c r="E84" s="61">
        <v>110070602296</v>
      </c>
    </row>
    <row r="85" spans="1:5" x14ac:dyDescent="0.25">
      <c r="A85" s="28" t="s">
        <v>1313</v>
      </c>
      <c r="B85" s="28" t="s">
        <v>1314</v>
      </c>
      <c r="C85" s="28" t="s">
        <v>374</v>
      </c>
      <c r="D85" s="28"/>
      <c r="E85" s="61">
        <v>110064629442</v>
      </c>
    </row>
    <row r="86" spans="1:5" x14ac:dyDescent="0.25">
      <c r="A86" s="28" t="s">
        <v>1327</v>
      </c>
      <c r="B86" s="28" t="s">
        <v>1328</v>
      </c>
      <c r="C86" s="28" t="s">
        <v>366</v>
      </c>
      <c r="D86" s="28"/>
      <c r="E86" s="61">
        <v>110017972764</v>
      </c>
    </row>
    <row r="87" spans="1:5" x14ac:dyDescent="0.25">
      <c r="A87" s="28" t="s">
        <v>1329</v>
      </c>
      <c r="B87" s="28" t="s">
        <v>1330</v>
      </c>
      <c r="C87" s="28" t="s">
        <v>374</v>
      </c>
      <c r="D87" s="28"/>
      <c r="E87" s="61">
        <v>110039713067</v>
      </c>
    </row>
    <row r="88" spans="1:5" x14ac:dyDescent="0.25">
      <c r="A88" s="28" t="s">
        <v>1331</v>
      </c>
      <c r="B88" s="28" t="s">
        <v>1286</v>
      </c>
      <c r="C88" s="28" t="s">
        <v>1171</v>
      </c>
      <c r="D88" s="28"/>
      <c r="E88" s="61">
        <v>110005726802</v>
      </c>
    </row>
    <row r="89" spans="1:5" x14ac:dyDescent="0.25">
      <c r="A89" s="28" t="s">
        <v>1336</v>
      </c>
      <c r="B89" s="28" t="s">
        <v>1337</v>
      </c>
      <c r="C89" s="28" t="s">
        <v>366</v>
      </c>
      <c r="D89" s="28"/>
      <c r="E89" s="61">
        <v>110000730460</v>
      </c>
    </row>
    <row r="90" spans="1:5" x14ac:dyDescent="0.25">
      <c r="A90" s="28" t="s">
        <v>1342</v>
      </c>
      <c r="B90" s="28" t="s">
        <v>1343</v>
      </c>
      <c r="C90" s="28" t="s">
        <v>366</v>
      </c>
      <c r="D90" s="28"/>
      <c r="E90" s="61">
        <v>110064622519</v>
      </c>
    </row>
    <row r="91" spans="1:5" x14ac:dyDescent="0.25">
      <c r="A91" s="28" t="s">
        <v>1344</v>
      </c>
      <c r="B91" s="28" t="s">
        <v>1345</v>
      </c>
      <c r="C91" s="28" t="s">
        <v>366</v>
      </c>
      <c r="D91" s="28"/>
      <c r="E91" s="61">
        <v>110039689851</v>
      </c>
    </row>
    <row r="92" spans="1:5" x14ac:dyDescent="0.25">
      <c r="A92" s="28" t="s">
        <v>1350</v>
      </c>
      <c r="B92" s="28" t="s">
        <v>1351</v>
      </c>
      <c r="C92" s="28" t="s">
        <v>1352</v>
      </c>
      <c r="D92" s="28"/>
      <c r="E92" s="61">
        <v>110015408600</v>
      </c>
    </row>
    <row r="93" spans="1:5" x14ac:dyDescent="0.25">
      <c r="A93" s="28" t="s">
        <v>1358</v>
      </c>
      <c r="B93" s="28" t="s">
        <v>1359</v>
      </c>
      <c r="C93" s="28" t="s">
        <v>374</v>
      </c>
      <c r="D93" s="28"/>
      <c r="E93" s="61">
        <v>110017206432</v>
      </c>
    </row>
    <row r="94" spans="1:5" x14ac:dyDescent="0.25">
      <c r="A94" s="28" t="s">
        <v>1360</v>
      </c>
      <c r="B94" s="28" t="s">
        <v>1361</v>
      </c>
      <c r="C94" s="28" t="s">
        <v>366</v>
      </c>
      <c r="D94" s="28"/>
      <c r="E94" s="61">
        <v>110006783463</v>
      </c>
    </row>
    <row r="95" spans="1:5" x14ac:dyDescent="0.25">
      <c r="A95" s="28" t="s">
        <v>1365</v>
      </c>
      <c r="B95" s="28" t="s">
        <v>1366</v>
      </c>
      <c r="C95" s="28" t="s">
        <v>506</v>
      </c>
      <c r="D95" s="28"/>
      <c r="E95" s="61">
        <v>110008479397</v>
      </c>
    </row>
    <row r="96" spans="1:5" x14ac:dyDescent="0.25">
      <c r="A96" s="28" t="s">
        <v>1368</v>
      </c>
      <c r="B96" s="28" t="s">
        <v>657</v>
      </c>
      <c r="C96" s="28" t="s">
        <v>418</v>
      </c>
      <c r="D96" s="28"/>
      <c r="E96" s="61">
        <v>110041903223</v>
      </c>
    </row>
    <row r="97" spans="1:5" x14ac:dyDescent="0.25">
      <c r="A97" s="28" t="s">
        <v>1371</v>
      </c>
      <c r="B97" s="28" t="s">
        <v>1372</v>
      </c>
      <c r="C97" s="28" t="s">
        <v>366</v>
      </c>
      <c r="D97" s="28"/>
      <c r="E97" s="61">
        <v>110040078279</v>
      </c>
    </row>
    <row r="98" spans="1:5" x14ac:dyDescent="0.25">
      <c r="A98" s="28" t="s">
        <v>1376</v>
      </c>
      <c r="B98" s="28" t="s">
        <v>1377</v>
      </c>
      <c r="C98" s="28" t="s">
        <v>601</v>
      </c>
      <c r="D98" s="28"/>
      <c r="E98" s="61">
        <v>110020069076</v>
      </c>
    </row>
    <row r="99" spans="1:5" x14ac:dyDescent="0.25">
      <c r="A99" s="28" t="s">
        <v>1379</v>
      </c>
      <c r="B99" s="28" t="s">
        <v>1380</v>
      </c>
      <c r="C99" s="28" t="s">
        <v>374</v>
      </c>
      <c r="D99" s="28"/>
      <c r="E99" s="61">
        <v>110010677829</v>
      </c>
    </row>
    <row r="100" spans="1:5" x14ac:dyDescent="0.25">
      <c r="A100" s="28" t="s">
        <v>1381</v>
      </c>
      <c r="B100" s="28" t="s">
        <v>1382</v>
      </c>
      <c r="C100" s="28" t="s">
        <v>374</v>
      </c>
      <c r="D100" s="28"/>
      <c r="E100" s="61">
        <v>110000914725</v>
      </c>
    </row>
    <row r="101" spans="1:5" x14ac:dyDescent="0.25">
      <c r="A101" s="28" t="s">
        <v>1386</v>
      </c>
      <c r="B101" s="28" t="s">
        <v>1314</v>
      </c>
      <c r="C101" s="28" t="s">
        <v>374</v>
      </c>
      <c r="D101" s="28"/>
      <c r="E101" s="61">
        <v>110059716776</v>
      </c>
    </row>
    <row r="102" spans="1:5" x14ac:dyDescent="0.25">
      <c r="A102" s="28" t="s">
        <v>1391</v>
      </c>
      <c r="B102" s="28" t="s">
        <v>358</v>
      </c>
      <c r="C102" s="28" t="s">
        <v>275</v>
      </c>
      <c r="D102" s="28"/>
      <c r="E102" s="61">
        <v>110005791107</v>
      </c>
    </row>
    <row r="103" spans="1:5" x14ac:dyDescent="0.25">
      <c r="A103" s="28" t="s">
        <v>1396</v>
      </c>
      <c r="B103" s="28" t="s">
        <v>1397</v>
      </c>
      <c r="C103" s="28" t="s">
        <v>345</v>
      </c>
      <c r="D103" s="28" t="s">
        <v>738</v>
      </c>
      <c r="E103" s="61">
        <v>110041963168</v>
      </c>
    </row>
    <row r="104" spans="1:5" x14ac:dyDescent="0.25">
      <c r="A104" s="28" t="s">
        <v>1402</v>
      </c>
      <c r="B104" s="28" t="s">
        <v>1403</v>
      </c>
      <c r="C104" s="28" t="s">
        <v>294</v>
      </c>
      <c r="D104" s="28"/>
      <c r="E104" s="61">
        <v>110070548097</v>
      </c>
    </row>
    <row r="105" spans="1:5" x14ac:dyDescent="0.25">
      <c r="A105" s="28" t="s">
        <v>1406</v>
      </c>
      <c r="B105" s="28" t="s">
        <v>1407</v>
      </c>
      <c r="C105" s="28" t="s">
        <v>324</v>
      </c>
      <c r="D105" s="28"/>
      <c r="E105" s="61">
        <v>110000732226</v>
      </c>
    </row>
    <row r="106" spans="1:5" x14ac:dyDescent="0.25">
      <c r="A106" s="28" t="s">
        <v>1408</v>
      </c>
      <c r="B106" s="28" t="s">
        <v>1409</v>
      </c>
      <c r="C106" s="28" t="s">
        <v>366</v>
      </c>
      <c r="D106" s="28"/>
      <c r="E106" s="61">
        <v>110000517637</v>
      </c>
    </row>
    <row r="107" spans="1:5" x14ac:dyDescent="0.25">
      <c r="A107" s="28" t="s">
        <v>1412</v>
      </c>
      <c r="B107" s="28" t="s">
        <v>1403</v>
      </c>
      <c r="C107" s="28" t="s">
        <v>294</v>
      </c>
      <c r="D107" s="28"/>
      <c r="E107" s="61">
        <v>110070685409</v>
      </c>
    </row>
    <row r="108" spans="1:5" x14ac:dyDescent="0.25">
      <c r="A108" s="28" t="s">
        <v>1413</v>
      </c>
      <c r="B108" s="28" t="s">
        <v>1414</v>
      </c>
      <c r="C108" s="28" t="s">
        <v>1415</v>
      </c>
      <c r="D108" s="28"/>
      <c r="E108" s="61">
        <v>110070246981</v>
      </c>
    </row>
    <row r="109" spans="1:5" x14ac:dyDescent="0.25">
      <c r="A109" s="28" t="s">
        <v>1416</v>
      </c>
      <c r="B109" s="28" t="s">
        <v>1417</v>
      </c>
      <c r="C109" s="28" t="s">
        <v>366</v>
      </c>
      <c r="D109" s="28"/>
      <c r="E109" s="61">
        <v>110017217545</v>
      </c>
    </row>
    <row r="110" spans="1:5" x14ac:dyDescent="0.25">
      <c r="A110" s="28" t="s">
        <v>1418</v>
      </c>
      <c r="B110" s="28" t="s">
        <v>1041</v>
      </c>
      <c r="C110" s="28" t="s">
        <v>366</v>
      </c>
      <c r="D110" s="28"/>
      <c r="E110" s="61">
        <v>110028243791</v>
      </c>
    </row>
    <row r="111" spans="1:5" x14ac:dyDescent="0.25">
      <c r="A111" s="28" t="s">
        <v>1425</v>
      </c>
      <c r="B111" s="28" t="s">
        <v>1426</v>
      </c>
      <c r="C111" s="28" t="s">
        <v>366</v>
      </c>
      <c r="D111" s="28"/>
      <c r="E111" s="61">
        <v>110013819706</v>
      </c>
    </row>
    <row r="112" spans="1:5" x14ac:dyDescent="0.25">
      <c r="A112" s="28" t="s">
        <v>1429</v>
      </c>
      <c r="B112" s="28" t="s">
        <v>1430</v>
      </c>
      <c r="C112" s="28" t="s">
        <v>324</v>
      </c>
      <c r="D112" s="28"/>
      <c r="E112" s="61">
        <v>110055043705</v>
      </c>
    </row>
    <row r="113" spans="1:5" x14ac:dyDescent="0.25">
      <c r="A113" s="28" t="s">
        <v>1431</v>
      </c>
      <c r="B113" s="28" t="s">
        <v>1314</v>
      </c>
      <c r="C113" s="28" t="s">
        <v>374</v>
      </c>
      <c r="D113" s="28"/>
      <c r="E113" s="61">
        <v>110043316612</v>
      </c>
    </row>
    <row r="114" spans="1:5" x14ac:dyDescent="0.25">
      <c r="A114" s="28" t="s">
        <v>1444</v>
      </c>
      <c r="B114" s="28" t="s">
        <v>1445</v>
      </c>
      <c r="C114" s="28" t="s">
        <v>366</v>
      </c>
      <c r="D114" s="28"/>
      <c r="E114" s="61">
        <v>110000524987</v>
      </c>
    </row>
    <row r="115" spans="1:5" x14ac:dyDescent="0.25">
      <c r="A115" s="28" t="s">
        <v>1446</v>
      </c>
      <c r="B115" s="28" t="s">
        <v>1228</v>
      </c>
      <c r="C115" s="28" t="s">
        <v>1128</v>
      </c>
      <c r="D115" s="28"/>
      <c r="E115" s="61">
        <v>110070159157</v>
      </c>
    </row>
  </sheetData>
  <autoFilter ref="A1:E1" xr:uid="{1A0D7984-A5E6-4E31-BDF1-0E5744AADFAC}"/>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3129B-FC47-4DA9-9E9B-585494C3FF9A}">
  <sheetPr>
    <tabColor theme="8" tint="0.59999389629810485"/>
  </sheetPr>
  <dimension ref="A1:AC2420"/>
  <sheetViews>
    <sheetView zoomScale="80" zoomScaleNormal="80" workbookViewId="0"/>
  </sheetViews>
  <sheetFormatPr defaultColWidth="8.5703125" defaultRowHeight="15" x14ac:dyDescent="0.25"/>
  <cols>
    <col min="1" max="1" width="18.85546875" style="61" customWidth="1"/>
    <col min="2" max="2" width="7.42578125" style="28" customWidth="1"/>
    <col min="3" max="3" width="17.5703125" style="28" bestFit="1" customWidth="1"/>
    <col min="4" max="4" width="62.5703125" style="28" customWidth="1"/>
    <col min="5" max="5" width="53.5703125" style="28" customWidth="1"/>
    <col min="6" max="6" width="29.140625" style="28" customWidth="1"/>
    <col min="7" max="7" width="16.5703125" style="28" customWidth="1"/>
    <col min="8" max="8" width="16.42578125" style="28" customWidth="1"/>
    <col min="9" max="10" width="29.85546875" style="28" customWidth="1"/>
    <col min="11" max="11" width="19.42578125" style="28" customWidth="1"/>
    <col min="12" max="12" width="16.42578125" style="61" customWidth="1"/>
    <col min="13" max="13" width="52.140625" style="28" customWidth="1"/>
    <col min="14" max="14" width="18.5703125" style="28" customWidth="1"/>
    <col min="15" max="15" width="147.5703125" style="28" customWidth="1"/>
    <col min="16" max="18" width="39.42578125" style="28" customWidth="1"/>
    <col min="19" max="19" width="29.85546875" style="28" bestFit="1" customWidth="1"/>
    <col min="20" max="20" width="29.85546875" style="28" customWidth="1"/>
    <col min="21" max="21" width="38.42578125" style="28" customWidth="1"/>
    <col min="22" max="23" width="29.85546875" style="28" customWidth="1"/>
    <col min="24" max="24" width="17.5703125" style="28" bestFit="1" customWidth="1"/>
    <col min="25" max="25" width="86.140625" style="28" bestFit="1" customWidth="1"/>
    <col min="26" max="26" width="17" style="28" bestFit="1" customWidth="1"/>
    <col min="27" max="27" width="20.85546875" style="60" bestFit="1" customWidth="1"/>
    <col min="28" max="28" width="13.140625" style="28" bestFit="1" customWidth="1"/>
    <col min="29" max="30" width="22.85546875" style="28" bestFit="1" customWidth="1"/>
    <col min="31" max="31" width="27.140625" style="28" bestFit="1" customWidth="1"/>
    <col min="32" max="32" width="23.42578125" style="28" bestFit="1" customWidth="1"/>
    <col min="33" max="33" width="25.5703125" style="28" bestFit="1" customWidth="1"/>
    <col min="34" max="34" width="14.140625" style="28" bestFit="1" customWidth="1"/>
    <col min="35" max="35" width="24.42578125" style="28" bestFit="1" customWidth="1"/>
    <col min="36" max="36" width="22.85546875" style="28" bestFit="1" customWidth="1"/>
    <col min="37" max="38" width="22.42578125" style="28" bestFit="1" customWidth="1"/>
    <col min="39" max="39" width="43.42578125" style="28" bestFit="1" customWidth="1"/>
    <col min="40" max="40" width="22.5703125" style="28" bestFit="1" customWidth="1"/>
    <col min="41" max="41" width="18.5703125" style="28" bestFit="1" customWidth="1"/>
    <col min="42" max="42" width="27.5703125" style="28" bestFit="1" customWidth="1"/>
    <col min="43" max="43" width="31.5703125" style="28" bestFit="1" customWidth="1"/>
    <col min="44" max="44" width="22.5703125" style="28" bestFit="1" customWidth="1"/>
    <col min="45" max="45" width="17.42578125" style="28" bestFit="1" customWidth="1"/>
    <col min="46" max="46" width="26.5703125" style="28" bestFit="1" customWidth="1"/>
    <col min="47" max="47" width="24.140625" style="28" bestFit="1" customWidth="1"/>
    <col min="48" max="48" width="40" style="28" bestFit="1" customWidth="1"/>
    <col min="49" max="49" width="17.85546875" style="28" bestFit="1" customWidth="1"/>
    <col min="50" max="50" width="28.42578125" style="28" bestFit="1" customWidth="1"/>
    <col min="51" max="51" width="22.5703125" style="28" bestFit="1" customWidth="1"/>
    <col min="52" max="52" width="18.5703125" style="28" bestFit="1" customWidth="1"/>
    <col min="53" max="53" width="24.5703125" style="28" bestFit="1" customWidth="1"/>
    <col min="54" max="54" width="30.140625" style="28" bestFit="1" customWidth="1"/>
    <col min="55" max="55" width="30.5703125" style="28" bestFit="1" customWidth="1"/>
    <col min="56" max="57" width="33.5703125" style="28" bestFit="1" customWidth="1"/>
    <col min="58" max="58" width="34" style="28" bestFit="1" customWidth="1"/>
    <col min="59" max="59" width="26.42578125" style="28" bestFit="1" customWidth="1"/>
    <col min="60" max="60" width="17.5703125" style="28" bestFit="1" customWidth="1"/>
    <col min="61" max="61" width="23.42578125" style="28" bestFit="1" customWidth="1"/>
    <col min="62" max="63" width="33.5703125" style="28" bestFit="1" customWidth="1"/>
    <col min="64" max="64" width="29.5703125" style="28" bestFit="1" customWidth="1"/>
    <col min="65" max="65" width="30" style="28" bestFit="1" customWidth="1"/>
    <col min="66" max="66" width="30.5703125" style="28" bestFit="1" customWidth="1"/>
    <col min="67" max="67" width="33.5703125" style="28" bestFit="1" customWidth="1"/>
    <col min="68" max="68" width="33.42578125" style="28" bestFit="1" customWidth="1"/>
    <col min="69" max="69" width="34" style="28" bestFit="1" customWidth="1"/>
    <col min="70" max="70" width="22.5703125" style="28" bestFit="1" customWidth="1"/>
    <col min="71" max="71" width="20" style="28" bestFit="1" customWidth="1"/>
    <col min="72" max="72" width="20.140625" style="28" bestFit="1" customWidth="1"/>
    <col min="73" max="73" width="28.140625" style="28" bestFit="1" customWidth="1"/>
    <col min="74" max="75" width="33.5703125" style="28" bestFit="1" customWidth="1"/>
    <col min="76" max="76" width="28.5703125" style="28" bestFit="1" customWidth="1"/>
    <col min="77" max="77" width="28.42578125" style="28" bestFit="1" customWidth="1"/>
    <col min="78" max="78" width="30.42578125" style="28" bestFit="1" customWidth="1"/>
    <col min="79" max="79" width="27" style="28" bestFit="1" customWidth="1"/>
    <col min="80" max="80" width="34.5703125" style="28" bestFit="1" customWidth="1"/>
    <col min="81" max="81" width="25.140625" style="28" bestFit="1" customWidth="1"/>
    <col min="82" max="82" width="23.5703125" style="28" bestFit="1" customWidth="1"/>
    <col min="83" max="83" width="19.42578125" style="28" bestFit="1" customWidth="1"/>
    <col min="84" max="84" width="20.5703125" style="28" bestFit="1" customWidth="1"/>
    <col min="85" max="85" width="25.5703125" style="28" bestFit="1" customWidth="1"/>
    <col min="86" max="86" width="27.42578125" style="28" bestFit="1" customWidth="1"/>
    <col min="87" max="87" width="18.5703125" style="28" bestFit="1" customWidth="1"/>
    <col min="88" max="88" width="25.140625" style="28" bestFit="1" customWidth="1"/>
    <col min="89" max="89" width="23.5703125" style="28" bestFit="1" customWidth="1"/>
    <col min="90" max="90" width="19.42578125" style="28" bestFit="1" customWidth="1"/>
    <col min="91" max="91" width="20.5703125" style="28" bestFit="1" customWidth="1"/>
    <col min="92" max="92" width="25.5703125" style="28" bestFit="1" customWidth="1"/>
    <col min="93" max="93" width="27.42578125" style="28" bestFit="1" customWidth="1"/>
    <col min="94" max="94" width="18.5703125" style="28" bestFit="1" customWidth="1"/>
    <col min="95" max="16384" width="8.5703125" style="28"/>
  </cols>
  <sheetData>
    <row r="1" spans="1:29" s="189" customFormat="1" ht="45" x14ac:dyDescent="0.25">
      <c r="A1" s="186" t="s">
        <v>284</v>
      </c>
      <c r="B1" s="166" t="s">
        <v>1447</v>
      </c>
      <c r="C1" s="166" t="s">
        <v>1448</v>
      </c>
      <c r="D1" s="166" t="s">
        <v>276</v>
      </c>
      <c r="E1" s="166" t="s">
        <v>277</v>
      </c>
      <c r="F1" s="166" t="s">
        <v>278</v>
      </c>
      <c r="G1" s="166" t="s">
        <v>279</v>
      </c>
      <c r="H1" s="166" t="s">
        <v>280</v>
      </c>
      <c r="I1" s="166" t="s">
        <v>281</v>
      </c>
      <c r="J1" s="166" t="s">
        <v>282</v>
      </c>
      <c r="K1" s="166" t="s">
        <v>283</v>
      </c>
      <c r="L1" s="186" t="s">
        <v>284</v>
      </c>
      <c r="M1" s="166" t="s">
        <v>285</v>
      </c>
      <c r="N1" s="166" t="s">
        <v>1449</v>
      </c>
      <c r="O1" s="166" t="s">
        <v>1450</v>
      </c>
      <c r="P1" s="166" t="s">
        <v>288</v>
      </c>
      <c r="Q1" s="166" t="s">
        <v>1451</v>
      </c>
      <c r="R1" s="166" t="s">
        <v>291</v>
      </c>
      <c r="S1" s="166" t="s">
        <v>1452</v>
      </c>
      <c r="T1" s="166" t="s">
        <v>1453</v>
      </c>
      <c r="U1" s="166" t="s">
        <v>1454</v>
      </c>
      <c r="V1" s="166" t="s">
        <v>1455</v>
      </c>
      <c r="W1" s="166" t="s">
        <v>1456</v>
      </c>
      <c r="X1" s="166" t="s">
        <v>1457</v>
      </c>
      <c r="Y1" s="166" t="s">
        <v>1458</v>
      </c>
      <c r="Z1" s="186" t="s">
        <v>746</v>
      </c>
      <c r="AA1" s="194" t="s">
        <v>1459</v>
      </c>
      <c r="AB1" s="166" t="s">
        <v>1460</v>
      </c>
      <c r="AC1" s="300" t="s">
        <v>1461</v>
      </c>
    </row>
    <row r="2" spans="1:29" x14ac:dyDescent="0.25">
      <c r="A2" s="61">
        <v>110000509851</v>
      </c>
      <c r="B2" s="28">
        <v>2015</v>
      </c>
      <c r="C2" s="68">
        <f>DATE(B2, 1, 1)</f>
        <v>42005</v>
      </c>
      <c r="D2" s="28" t="s">
        <v>961</v>
      </c>
      <c r="E2" s="28" t="s">
        <v>1462</v>
      </c>
      <c r="F2" s="28" t="s">
        <v>962</v>
      </c>
      <c r="G2" s="28" t="s">
        <v>374</v>
      </c>
      <c r="H2" s="28">
        <v>85009</v>
      </c>
      <c r="I2" s="28">
        <v>33.424239999999998</v>
      </c>
      <c r="J2" s="28">
        <v>-112.10626999999999</v>
      </c>
      <c r="L2" s="61">
        <v>110000509851</v>
      </c>
      <c r="M2" s="28" t="s">
        <v>263</v>
      </c>
      <c r="N2" s="28">
        <v>4952</v>
      </c>
      <c r="O2" s="28" t="str">
        <f>IFERROR(VLOOKUP(N2, 'SIC &amp; NAICS Codes'!A:B, 2, FALSE), "")</f>
        <v>Sewerage Systems</v>
      </c>
      <c r="S2" s="28">
        <v>6.5850173380000001</v>
      </c>
      <c r="T2" s="315">
        <f>_xlfn.MAXIFS('Raw Period DMR Data'!$O:$O,'Raw Period DMR Data'!$A:$A,'Raw Annual DMR Data'!B2,'Raw Period DMR Data'!$C:$C,X2)/S2</f>
        <v>0</v>
      </c>
      <c r="U2" s="28" t="str">
        <f>+IF(COUNTIFS('Raw Period DMR Data'!$A:$A,B2, 'Raw Period DMR Data'!C:C,'Raw Annual DMR Data'!X2, 'Raw Period DMR Data'!M:M, "&gt;0")&gt;0,_xlfn.MAXIFS('Raw Period DMR Data'!M:M,'Raw Period DMR Data'!$A:$A,'Raw Annual DMR Data'!B2,'Raw Period DMR Data'!C:C,'Raw Annual DMR Data'!X2), "N/A - Period DMR Data Not Available")</f>
        <v>N/A - Period DMR Data Not Available</v>
      </c>
      <c r="V2" s="28" t="str" cm="1">
        <f t="array" ref="V2">IFERROR(INDEX('Raw Period DMR Data'!N:N,MATCH(1,(B2='Raw Period DMR Data'!$A:$A)*(U2='Raw Period DMR Data'!M:M)*(X2='Raw Period DMR Data'!C:C),0),1), "N/A")</f>
        <v>N/A</v>
      </c>
      <c r="W2" s="28" t="s">
        <v>1463</v>
      </c>
      <c r="X2" s="28" t="s">
        <v>1464</v>
      </c>
      <c r="Z2" s="28">
        <v>15070102009185</v>
      </c>
      <c r="AA2" s="28"/>
      <c r="AB2" s="28" t="s">
        <v>1465</v>
      </c>
      <c r="AC2" s="28" t="s">
        <v>263</v>
      </c>
    </row>
    <row r="3" spans="1:29" x14ac:dyDescent="0.25">
      <c r="A3" s="61">
        <v>110000509851</v>
      </c>
      <c r="B3" s="28">
        <v>2016</v>
      </c>
      <c r="C3" s="68">
        <f t="shared" ref="C3:C66" si="0">DATE(B3, 1, 1)</f>
        <v>42370</v>
      </c>
      <c r="D3" s="28" t="s">
        <v>961</v>
      </c>
      <c r="E3" s="28" t="s">
        <v>1462</v>
      </c>
      <c r="F3" s="28" t="s">
        <v>962</v>
      </c>
      <c r="G3" s="28" t="s">
        <v>374</v>
      </c>
      <c r="H3" s="28">
        <v>85009</v>
      </c>
      <c r="I3" s="28">
        <v>33.424239999999998</v>
      </c>
      <c r="J3" s="28">
        <v>-112.10626999999999</v>
      </c>
      <c r="L3" s="61">
        <v>110000509851</v>
      </c>
      <c r="M3" s="28" t="s">
        <v>263</v>
      </c>
      <c r="N3" s="28">
        <v>4952</v>
      </c>
      <c r="O3" s="28" t="str">
        <f>IFERROR(VLOOKUP(N3, 'SIC &amp; NAICS Codes'!A:B, 2, FALSE), "")</f>
        <v>Sewerage Systems</v>
      </c>
      <c r="S3" s="28">
        <v>5.8702435550000001</v>
      </c>
      <c r="T3" s="315">
        <f>_xlfn.MAXIFS('Raw Period DMR Data'!$O:$O,'Raw Period DMR Data'!$A:$A,'Raw Annual DMR Data'!B3,'Raw Period DMR Data'!$C:$C,X3)/S3</f>
        <v>0</v>
      </c>
      <c r="U3" s="28" t="str">
        <f>+IF(COUNTIFS('Raw Period DMR Data'!$A:$A,B3, 'Raw Period DMR Data'!C:C,'Raw Annual DMR Data'!X3, 'Raw Period DMR Data'!M:M, "&gt;0")&gt;0,_xlfn.MAXIFS('Raw Period DMR Data'!M:M,'Raw Period DMR Data'!$A:$A,'Raw Annual DMR Data'!B3,'Raw Period DMR Data'!C:C,'Raw Annual DMR Data'!X3), "N/A - Period DMR Data Not Available")</f>
        <v>N/A - Period DMR Data Not Available</v>
      </c>
      <c r="V3" s="28" t="str" cm="1">
        <f t="array" ref="V3">IFERROR(INDEX('Raw Period DMR Data'!N:N,MATCH(1,(B3='Raw Period DMR Data'!$A:$A)*(U3='Raw Period DMR Data'!M:M)*(X3='Raw Period DMR Data'!C:C),0),1), "N/A")</f>
        <v>N/A</v>
      </c>
      <c r="W3" s="28" t="s">
        <v>1463</v>
      </c>
      <c r="X3" s="28" t="s">
        <v>1464</v>
      </c>
      <c r="Z3" s="28">
        <v>15070102009185</v>
      </c>
      <c r="AA3" s="28"/>
      <c r="AB3" s="28" t="s">
        <v>1465</v>
      </c>
      <c r="AC3" s="28" t="s">
        <v>263</v>
      </c>
    </row>
    <row r="4" spans="1:29" x14ac:dyDescent="0.25">
      <c r="A4" s="61">
        <v>110000509851</v>
      </c>
      <c r="B4" s="28">
        <v>2017</v>
      </c>
      <c r="C4" s="68">
        <f t="shared" si="0"/>
        <v>42736</v>
      </c>
      <c r="D4" s="28" t="s">
        <v>961</v>
      </c>
      <c r="E4" s="28" t="s">
        <v>1462</v>
      </c>
      <c r="F4" s="28" t="s">
        <v>962</v>
      </c>
      <c r="G4" s="28" t="s">
        <v>374</v>
      </c>
      <c r="H4" s="28">
        <v>85009</v>
      </c>
      <c r="I4" s="28">
        <v>33.424239999999998</v>
      </c>
      <c r="J4" s="28">
        <v>-112.10626999999999</v>
      </c>
      <c r="L4" s="61">
        <v>110000509851</v>
      </c>
      <c r="M4" s="28" t="s">
        <v>263</v>
      </c>
      <c r="N4" s="28">
        <v>4952</v>
      </c>
      <c r="O4" s="28" t="str">
        <f>IFERROR(VLOOKUP(N4, 'SIC &amp; NAICS Codes'!A:B, 2, FALSE), "")</f>
        <v>Sewerage Systems</v>
      </c>
      <c r="S4" s="28">
        <v>5.9932655175000003</v>
      </c>
      <c r="T4" s="315">
        <f>_xlfn.MAXIFS('Raw Period DMR Data'!$O:$O,'Raw Period DMR Data'!$A:$A,'Raw Annual DMR Data'!B4,'Raw Period DMR Data'!$C:$C,X4)/S4</f>
        <v>0</v>
      </c>
      <c r="U4" s="28" t="str">
        <f>+IF(COUNTIFS('Raw Period DMR Data'!$A:$A,B4, 'Raw Period DMR Data'!C:C,'Raw Annual DMR Data'!X4, 'Raw Period DMR Data'!M:M, "&gt;0")&gt;0,_xlfn.MAXIFS('Raw Period DMR Data'!M:M,'Raw Period DMR Data'!$A:$A,'Raw Annual DMR Data'!B4,'Raw Period DMR Data'!C:C,'Raw Annual DMR Data'!X4), "N/A - Period DMR Data Not Available")</f>
        <v>N/A - Period DMR Data Not Available</v>
      </c>
      <c r="V4" s="28" t="str" cm="1">
        <f t="array" ref="V4">IFERROR(INDEX('Raw Period DMR Data'!N:N,MATCH(1,(B4='Raw Period DMR Data'!$A:$A)*(U4='Raw Period DMR Data'!M:M)*(X4='Raw Period DMR Data'!C:C),0),1), "N/A")</f>
        <v>N/A</v>
      </c>
      <c r="W4" s="28" t="s">
        <v>1463</v>
      </c>
      <c r="X4" s="28" t="s">
        <v>1464</v>
      </c>
      <c r="Z4" s="28">
        <v>15070102009185</v>
      </c>
      <c r="AA4" s="28"/>
      <c r="AB4" s="28" t="s">
        <v>1465</v>
      </c>
      <c r="AC4" s="28" t="s">
        <v>263</v>
      </c>
    </row>
    <row r="5" spans="1:29" x14ac:dyDescent="0.25">
      <c r="A5" s="61">
        <v>110000509851</v>
      </c>
      <c r="B5" s="28">
        <v>2018</v>
      </c>
      <c r="C5" s="68">
        <f t="shared" si="0"/>
        <v>43101</v>
      </c>
      <c r="D5" s="28" t="s">
        <v>961</v>
      </c>
      <c r="E5" s="28" t="s">
        <v>1462</v>
      </c>
      <c r="F5" s="28" t="s">
        <v>962</v>
      </c>
      <c r="G5" s="28" t="s">
        <v>374</v>
      </c>
      <c r="H5" s="28">
        <v>85009</v>
      </c>
      <c r="I5" s="28">
        <v>33.424239999999998</v>
      </c>
      <c r="J5" s="28">
        <v>-112.10626999999999</v>
      </c>
      <c r="L5" s="61">
        <v>110000509851</v>
      </c>
      <c r="M5" s="28" t="s">
        <v>263</v>
      </c>
      <c r="N5" s="28">
        <v>4952</v>
      </c>
      <c r="O5" s="28" t="str">
        <f>IFERROR(VLOOKUP(N5, 'SIC &amp; NAICS Codes'!A:B, 2, FALSE), "")</f>
        <v>Sewerage Systems</v>
      </c>
      <c r="S5" s="28">
        <v>5.5338902870000002</v>
      </c>
      <c r="T5" s="315">
        <f>_xlfn.MAXIFS('Raw Period DMR Data'!$O:$O,'Raw Period DMR Data'!$A:$A,'Raw Annual DMR Data'!B5,'Raw Period DMR Data'!$C:$C,X5)/S5</f>
        <v>0</v>
      </c>
      <c r="U5" s="28" t="str">
        <f>+IF(COUNTIFS('Raw Period DMR Data'!$A:$A,B5, 'Raw Period DMR Data'!C:C,'Raw Annual DMR Data'!X5, 'Raw Period DMR Data'!M:M, "&gt;0")&gt;0,_xlfn.MAXIFS('Raw Period DMR Data'!M:M,'Raw Period DMR Data'!$A:$A,'Raw Annual DMR Data'!B5,'Raw Period DMR Data'!C:C,'Raw Annual DMR Data'!X5), "N/A - Period DMR Data Not Available")</f>
        <v>N/A - Period DMR Data Not Available</v>
      </c>
      <c r="V5" s="28" t="str" cm="1">
        <f t="array" ref="V5">IFERROR(INDEX('Raw Period DMR Data'!N:N,MATCH(1,(B5='Raw Period DMR Data'!$A:$A)*(U5='Raw Period DMR Data'!M:M)*(X5='Raw Period DMR Data'!C:C),0),1), "N/A")</f>
        <v>N/A</v>
      </c>
      <c r="W5" s="28" t="s">
        <v>1463</v>
      </c>
      <c r="X5" s="28" t="s">
        <v>1464</v>
      </c>
      <c r="Z5" s="28">
        <v>15070102009185</v>
      </c>
      <c r="AA5" s="28"/>
      <c r="AB5" s="28" t="s">
        <v>1465</v>
      </c>
      <c r="AC5" s="28" t="s">
        <v>263</v>
      </c>
    </row>
    <row r="6" spans="1:29" x14ac:dyDescent="0.25">
      <c r="A6" s="61">
        <v>110070549382</v>
      </c>
      <c r="B6" s="28">
        <v>2018</v>
      </c>
      <c r="C6" s="68">
        <f t="shared" si="0"/>
        <v>43101</v>
      </c>
      <c r="D6" s="28" t="s">
        <v>96</v>
      </c>
      <c r="E6" s="28" t="s">
        <v>292</v>
      </c>
      <c r="F6" s="28" t="s">
        <v>293</v>
      </c>
      <c r="G6" s="28" t="s">
        <v>294</v>
      </c>
      <c r="H6" s="28">
        <v>22203</v>
      </c>
      <c r="I6" s="28">
        <v>38.882449999999999</v>
      </c>
      <c r="J6" s="28">
        <v>-77.108000000000004</v>
      </c>
      <c r="L6" s="61">
        <v>110070549382</v>
      </c>
      <c r="M6" s="28" t="s">
        <v>264</v>
      </c>
      <c r="N6" s="28">
        <v>1794</v>
      </c>
      <c r="O6" s="28" t="str">
        <f>IFERROR(VLOOKUP(N6, 'SIC &amp; NAICS Codes'!A:B, 2, FALSE), "")</f>
        <v>Excavation Work</v>
      </c>
      <c r="S6" s="28">
        <v>2.8342079999999902E-2</v>
      </c>
      <c r="T6" s="315">
        <f>_xlfn.MAXIFS('Raw Period DMR Data'!$O:$O,'Raw Period DMR Data'!$A:$A,'Raw Annual DMR Data'!B6,'Raw Period DMR Data'!$C:$C,X6)/S6</f>
        <v>0</v>
      </c>
      <c r="U6" s="28" t="str">
        <f>+IF(COUNTIFS('Raw Period DMR Data'!$A:$A,B6, 'Raw Period DMR Data'!C:C,'Raw Annual DMR Data'!X6, 'Raw Period DMR Data'!M:M, "&gt;0")&gt;0,_xlfn.MAXIFS('Raw Period DMR Data'!M:M,'Raw Period DMR Data'!$A:$A,'Raw Annual DMR Data'!B6,'Raw Period DMR Data'!C:C,'Raw Annual DMR Data'!X6), "N/A - Period DMR Data Not Available")</f>
        <v>N/A - Period DMR Data Not Available</v>
      </c>
      <c r="V6" s="28" t="str" cm="1">
        <f t="array" ref="V6">IFERROR(INDEX('Raw Period DMR Data'!N:N,MATCH(1,(B6='Raw Period DMR Data'!$A:$A)*(U6='Raw Period DMR Data'!M:M)*(X6='Raw Period DMR Data'!C:C),0),1), "N/A")</f>
        <v>N/A</v>
      </c>
      <c r="W6" s="28" t="s">
        <v>1463</v>
      </c>
      <c r="X6" s="28" t="s">
        <v>761</v>
      </c>
      <c r="Y6" s="28" t="s">
        <v>762</v>
      </c>
      <c r="Z6" s="61"/>
    </row>
    <row r="7" spans="1:29" x14ac:dyDescent="0.25">
      <c r="A7" s="61">
        <v>110070549382</v>
      </c>
      <c r="B7" s="28">
        <v>2018</v>
      </c>
      <c r="C7" s="68">
        <f t="shared" si="0"/>
        <v>43101</v>
      </c>
      <c r="D7" s="28" t="s">
        <v>96</v>
      </c>
      <c r="E7" s="28" t="s">
        <v>292</v>
      </c>
      <c r="F7" s="28" t="s">
        <v>293</v>
      </c>
      <c r="G7" s="28" t="s">
        <v>294</v>
      </c>
      <c r="H7" s="28">
        <v>22203</v>
      </c>
      <c r="I7" s="28">
        <v>38.882449999999999</v>
      </c>
      <c r="J7" s="28">
        <v>-77.108000000000004</v>
      </c>
      <c r="L7" s="61">
        <v>110070549382</v>
      </c>
      <c r="M7" s="28" t="s">
        <v>264</v>
      </c>
      <c r="N7" s="28">
        <v>1794</v>
      </c>
      <c r="O7" s="28" t="str">
        <f>IFERROR(VLOOKUP(N7, 'SIC &amp; NAICS Codes'!A:B, 2, FALSE), "")</f>
        <v>Excavation Work</v>
      </c>
      <c r="S7" s="302">
        <v>7.2853679999999907E-2</v>
      </c>
      <c r="T7" s="315">
        <f>_xlfn.MAXIFS('Raw Period DMR Data'!$O:$O,'Raw Period DMR Data'!$A:$A,'Raw Annual DMR Data'!B7,'Raw Period DMR Data'!$C:$C,X7)/S7</f>
        <v>0</v>
      </c>
      <c r="U7" s="28" t="str">
        <f>+IF(COUNTIFS('Raw Period DMR Data'!$A:$A,B7, 'Raw Period DMR Data'!C:C,'Raw Annual DMR Data'!X7, 'Raw Period DMR Data'!M:M, "&gt;0")&gt;0,_xlfn.MAXIFS('Raw Period DMR Data'!M:M,'Raw Period DMR Data'!$A:$A,'Raw Annual DMR Data'!B7,'Raw Period DMR Data'!C:C,'Raw Annual DMR Data'!X7), "N/A - Period DMR Data Not Available")</f>
        <v>N/A - Period DMR Data Not Available</v>
      </c>
      <c r="V7" s="28" t="str" cm="1">
        <f t="array" ref="V7">IFERROR(INDEX('Raw Period DMR Data'!N:N,MATCH(1,(B7='Raw Period DMR Data'!$A:$A)*(U7='Raw Period DMR Data'!M:M)*(X7='Raw Period DMR Data'!C:C),0),1), "N/A")</f>
        <v>N/A</v>
      </c>
      <c r="W7" s="28" t="s">
        <v>1463</v>
      </c>
      <c r="X7" s="28" t="s">
        <v>761</v>
      </c>
      <c r="Y7" s="28" t="s">
        <v>762</v>
      </c>
      <c r="AA7" s="28"/>
      <c r="AB7" s="28" t="s">
        <v>1465</v>
      </c>
      <c r="AC7" s="28" t="s">
        <v>1466</v>
      </c>
    </row>
    <row r="8" spans="1:29" x14ac:dyDescent="0.25">
      <c r="A8" s="61">
        <v>110070549382</v>
      </c>
      <c r="B8" s="28">
        <v>2019</v>
      </c>
      <c r="C8" s="68">
        <f t="shared" si="0"/>
        <v>43466</v>
      </c>
      <c r="D8" s="28" t="s">
        <v>96</v>
      </c>
      <c r="E8" s="28" t="s">
        <v>292</v>
      </c>
      <c r="F8" s="28" t="s">
        <v>293</v>
      </c>
      <c r="G8" s="28" t="s">
        <v>294</v>
      </c>
      <c r="H8" s="28">
        <v>22203</v>
      </c>
      <c r="I8" s="28">
        <v>38.882449999999999</v>
      </c>
      <c r="J8" s="28">
        <v>-77.108000000000004</v>
      </c>
      <c r="L8" s="61">
        <v>110070549382</v>
      </c>
      <c r="M8" s="28" t="s">
        <v>264</v>
      </c>
      <c r="N8" s="28">
        <v>1794</v>
      </c>
      <c r="O8" s="28" t="str">
        <f>IFERROR(VLOOKUP(N8, 'SIC &amp; NAICS Codes'!A:B, 2, FALSE), "")</f>
        <v>Excavation Work</v>
      </c>
      <c r="S8" s="28">
        <v>4.2240599999999904E-3</v>
      </c>
      <c r="T8" s="315">
        <f>_xlfn.MAXIFS('Raw Period DMR Data'!$O:$O,'Raw Period DMR Data'!$A:$A,'Raw Annual DMR Data'!B8,'Raw Period DMR Data'!$C:$C,X8)/S8</f>
        <v>0</v>
      </c>
      <c r="U8" s="28" t="str">
        <f>+IF(COUNTIFS('Raw Period DMR Data'!$A:$A,B8, 'Raw Period DMR Data'!C:C,'Raw Annual DMR Data'!X8, 'Raw Period DMR Data'!M:M, "&gt;0")&gt;0,_xlfn.MAXIFS('Raw Period DMR Data'!M:M,'Raw Period DMR Data'!$A:$A,'Raw Annual DMR Data'!B8,'Raw Period DMR Data'!C:C,'Raw Annual DMR Data'!X8), "N/A - Period DMR Data Not Available")</f>
        <v>N/A - Period DMR Data Not Available</v>
      </c>
      <c r="V8" s="28" t="str" cm="1">
        <f t="array" ref="V8">IFERROR(INDEX('Raw Period DMR Data'!N:N,MATCH(1,(B8='Raw Period DMR Data'!$A:$A)*(U8='Raw Period DMR Data'!M:M)*(X8='Raw Period DMR Data'!C:C),0),1), "N/A")</f>
        <v>N/A</v>
      </c>
      <c r="W8" s="28" t="s">
        <v>1463</v>
      </c>
      <c r="X8" s="28" t="s">
        <v>761</v>
      </c>
      <c r="Y8" s="28" t="s">
        <v>762</v>
      </c>
      <c r="AA8" s="28"/>
      <c r="AB8" s="28" t="s">
        <v>1465</v>
      </c>
      <c r="AC8" s="28" t="s">
        <v>1466</v>
      </c>
    </row>
    <row r="9" spans="1:29" x14ac:dyDescent="0.25">
      <c r="A9" s="61">
        <v>110070549382</v>
      </c>
      <c r="B9" s="28">
        <v>2019</v>
      </c>
      <c r="C9" s="68">
        <f t="shared" si="0"/>
        <v>43466</v>
      </c>
      <c r="D9" s="28" t="s">
        <v>96</v>
      </c>
      <c r="E9" s="28" t="s">
        <v>292</v>
      </c>
      <c r="F9" s="28" t="s">
        <v>293</v>
      </c>
      <c r="G9" s="28" t="s">
        <v>294</v>
      </c>
      <c r="H9" s="28">
        <v>22203</v>
      </c>
      <c r="I9" s="28">
        <v>38.882449999999999</v>
      </c>
      <c r="J9" s="28">
        <v>-77.108000000000004</v>
      </c>
      <c r="L9" s="61">
        <v>110070549382</v>
      </c>
      <c r="M9" s="28" t="s">
        <v>264</v>
      </c>
      <c r="N9" s="28">
        <v>1794</v>
      </c>
      <c r="O9" s="28" t="str">
        <f>IFERROR(VLOOKUP(N9, 'SIC &amp; NAICS Codes'!A:B, 2, FALSE), "")</f>
        <v>Excavation Work</v>
      </c>
      <c r="S9" s="28">
        <v>4.1026647272727201E-2</v>
      </c>
      <c r="T9" s="315">
        <f>_xlfn.MAXIFS('Raw Period DMR Data'!$O:$O,'Raw Period DMR Data'!$A:$A,'Raw Annual DMR Data'!B9,'Raw Period DMR Data'!$C:$C,X9)/S9</f>
        <v>0</v>
      </c>
      <c r="U9" s="28" t="str">
        <f>+IF(COUNTIFS('Raw Period DMR Data'!$A:$A,B9, 'Raw Period DMR Data'!C:C,'Raw Annual DMR Data'!X9, 'Raw Period DMR Data'!M:M, "&gt;0")&gt;0,_xlfn.MAXIFS('Raw Period DMR Data'!M:M,'Raw Period DMR Data'!$A:$A,'Raw Annual DMR Data'!B9,'Raw Period DMR Data'!C:C,'Raw Annual DMR Data'!X9), "N/A - Period DMR Data Not Available")</f>
        <v>N/A - Period DMR Data Not Available</v>
      </c>
      <c r="V9" s="28" t="str" cm="1">
        <f t="array" ref="V9">IFERROR(INDEX('Raw Period DMR Data'!N:N,MATCH(1,(B9='Raw Period DMR Data'!$A:$A)*(U9='Raw Period DMR Data'!M:M)*(X9='Raw Period DMR Data'!C:C),0),1), "N/A")</f>
        <v>N/A</v>
      </c>
      <c r="W9" s="28" t="s">
        <v>1463</v>
      </c>
      <c r="X9" s="28" t="s">
        <v>761</v>
      </c>
      <c r="Y9" s="28" t="s">
        <v>762</v>
      </c>
      <c r="AA9" s="28"/>
      <c r="AB9" s="28" t="s">
        <v>1465</v>
      </c>
      <c r="AC9" s="28" t="s">
        <v>1466</v>
      </c>
    </row>
    <row r="10" spans="1:29" x14ac:dyDescent="0.25">
      <c r="A10" s="61">
        <v>110070549382</v>
      </c>
      <c r="B10" s="28">
        <v>2020</v>
      </c>
      <c r="C10" s="68">
        <f t="shared" si="0"/>
        <v>43831</v>
      </c>
      <c r="D10" s="28" t="s">
        <v>96</v>
      </c>
      <c r="E10" s="28" t="s">
        <v>292</v>
      </c>
      <c r="F10" s="28" t="s">
        <v>293</v>
      </c>
      <c r="G10" s="28" t="s">
        <v>294</v>
      </c>
      <c r="H10" s="28">
        <v>22203</v>
      </c>
      <c r="I10" s="28">
        <v>38.882449999999999</v>
      </c>
      <c r="J10" s="28">
        <v>-77.108000000000004</v>
      </c>
      <c r="L10" s="61">
        <v>110070549382</v>
      </c>
      <c r="M10" s="28" t="s">
        <v>264</v>
      </c>
      <c r="N10" s="28">
        <v>1794</v>
      </c>
      <c r="O10" s="28" t="str">
        <f>IFERROR(VLOOKUP(N10, 'SIC &amp; NAICS Codes'!A:B, 2, FALSE), "")</f>
        <v>Excavation Work</v>
      </c>
      <c r="S10" s="28">
        <v>1.76002499999999E-5</v>
      </c>
      <c r="T10" s="315">
        <f>_xlfn.MAXIFS('Raw Period DMR Data'!$O:$O,'Raw Period DMR Data'!$A:$A,'Raw Annual DMR Data'!B10,'Raw Period DMR Data'!$C:$C,X10)/S10</f>
        <v>0</v>
      </c>
      <c r="U10" s="28" t="str">
        <f>+IF(COUNTIFS('Raw Period DMR Data'!$A:$A,B10, 'Raw Period DMR Data'!C:C,'Raw Annual DMR Data'!X10, 'Raw Period DMR Data'!M:M, "&gt;0")&gt;0,_xlfn.MAXIFS('Raw Period DMR Data'!M:M,'Raw Period DMR Data'!$A:$A,'Raw Annual DMR Data'!B10,'Raw Period DMR Data'!C:C,'Raw Annual DMR Data'!X10), "N/A - Period DMR Data Not Available")</f>
        <v>N/A - Period DMR Data Not Available</v>
      </c>
      <c r="V10" s="28" t="str" cm="1">
        <f t="array" ref="V10">IFERROR(INDEX('Raw Period DMR Data'!N:N,MATCH(1,(B10='Raw Period DMR Data'!$A:$A)*(U10='Raw Period DMR Data'!M:M)*(X10='Raw Period DMR Data'!C:C),0),1), "N/A")</f>
        <v>N/A</v>
      </c>
      <c r="W10" s="28" t="s">
        <v>1463</v>
      </c>
      <c r="X10" s="28" t="s">
        <v>761</v>
      </c>
      <c r="Y10" s="28" t="s">
        <v>762</v>
      </c>
      <c r="AA10" s="28"/>
      <c r="AB10" s="28" t="s">
        <v>1465</v>
      </c>
      <c r="AC10" s="28" t="s">
        <v>1466</v>
      </c>
    </row>
    <row r="11" spans="1:29" x14ac:dyDescent="0.25">
      <c r="A11" s="61">
        <v>110066929033</v>
      </c>
      <c r="B11" s="28">
        <v>2016</v>
      </c>
      <c r="C11" s="68">
        <f t="shared" si="0"/>
        <v>42370</v>
      </c>
      <c r="D11" s="28" t="s">
        <v>99</v>
      </c>
      <c r="E11" s="28" t="s">
        <v>297</v>
      </c>
      <c r="F11" s="28" t="s">
        <v>298</v>
      </c>
      <c r="G11" s="28" t="s">
        <v>299</v>
      </c>
      <c r="H11" s="28">
        <v>72903</v>
      </c>
      <c r="I11" s="28">
        <v>35.327162000000001</v>
      </c>
      <c r="J11" s="28">
        <v>-94.380183000000002</v>
      </c>
      <c r="L11" s="61">
        <v>110066929033</v>
      </c>
      <c r="M11" s="28" t="s">
        <v>265</v>
      </c>
      <c r="N11" s="28">
        <v>3585</v>
      </c>
      <c r="O11" s="28" t="str">
        <f>IFERROR(VLOOKUP(N11, 'SIC &amp; NAICS Codes'!A:B, 2, FALSE), "")</f>
        <v>Air-Conditioning and Warm Air Heating Equipment and Commercial and Industrial Refrigeration Equipment (except motor vehicle air-conditioning)</v>
      </c>
      <c r="S11" s="28">
        <v>3.39138321995464E-3</v>
      </c>
      <c r="T11" s="315">
        <f>_xlfn.MAXIFS('Raw Period DMR Data'!$O:$O,'Raw Period DMR Data'!$A:$A,'Raw Annual DMR Data'!B11,'Raw Period DMR Data'!$C:$C,X11)/S11</f>
        <v>0</v>
      </c>
      <c r="U11" s="28" t="str">
        <f>+IF(COUNTIFS('Raw Period DMR Data'!$A:$A,B11, 'Raw Period DMR Data'!C:C,'Raw Annual DMR Data'!X11, 'Raw Period DMR Data'!M:M, "&gt;0")&gt;0,_xlfn.MAXIFS('Raw Period DMR Data'!M:M,'Raw Period DMR Data'!$A:$A,'Raw Annual DMR Data'!B11,'Raw Period DMR Data'!C:C,'Raw Annual DMR Data'!X11), "N/A - Period DMR Data Not Available")</f>
        <v>N/A - Period DMR Data Not Available</v>
      </c>
      <c r="V11" s="28" t="str" cm="1">
        <f t="array" ref="V11">IFERROR(INDEX('Raw Period DMR Data'!N:N,MATCH(1,(B11='Raw Period DMR Data'!$A:$A)*(U11='Raw Period DMR Data'!M:M)*(X11='Raw Period DMR Data'!C:C),0),1), "N/A")</f>
        <v>N/A</v>
      </c>
      <c r="W11" s="28" t="s">
        <v>1463</v>
      </c>
      <c r="X11" s="28" t="s">
        <v>764</v>
      </c>
      <c r="Y11" s="28" t="s">
        <v>765</v>
      </c>
      <c r="Z11" s="61">
        <v>11110104000749</v>
      </c>
      <c r="AA11" s="28"/>
    </row>
    <row r="12" spans="1:29" x14ac:dyDescent="0.25">
      <c r="A12" s="61">
        <v>110066929033</v>
      </c>
      <c r="B12" s="28">
        <v>2017</v>
      </c>
      <c r="C12" s="68">
        <f t="shared" si="0"/>
        <v>42736</v>
      </c>
      <c r="D12" s="28" t="s">
        <v>99</v>
      </c>
      <c r="E12" s="28" t="s">
        <v>297</v>
      </c>
      <c r="F12" s="28" t="s">
        <v>298</v>
      </c>
      <c r="G12" s="28" t="s">
        <v>299</v>
      </c>
      <c r="H12" s="28">
        <v>72903</v>
      </c>
      <c r="I12" s="28">
        <v>35.327162000000001</v>
      </c>
      <c r="J12" s="28">
        <v>-94.380183000000002</v>
      </c>
      <c r="L12" s="61">
        <v>110066929033</v>
      </c>
      <c r="M12" s="28" t="s">
        <v>265</v>
      </c>
      <c r="N12" s="28">
        <v>3585</v>
      </c>
      <c r="O12" s="28" t="str">
        <f>IFERROR(VLOOKUP(N12, 'SIC &amp; NAICS Codes'!A:B, 2, FALSE), "")</f>
        <v>Air-Conditioning and Warm Air Heating Equipment and Commercial and Industrial Refrigeration Equipment (except motor vehicle air-conditioning)</v>
      </c>
      <c r="S12" s="28">
        <v>1.0802721088435301E-3</v>
      </c>
      <c r="T12" s="315">
        <f>_xlfn.MAXIFS('Raw Period DMR Data'!$O:$O,'Raw Period DMR Data'!$A:$A,'Raw Annual DMR Data'!B12,'Raw Period DMR Data'!$C:$C,X12)/S12</f>
        <v>0</v>
      </c>
      <c r="U12" s="28" t="str">
        <f>+IF(COUNTIFS('Raw Period DMR Data'!$A:$A,B12, 'Raw Period DMR Data'!C:C,'Raw Annual DMR Data'!X12, 'Raw Period DMR Data'!M:M, "&gt;0")&gt;0,_xlfn.MAXIFS('Raw Period DMR Data'!M:M,'Raw Period DMR Data'!$A:$A,'Raw Annual DMR Data'!B12,'Raw Period DMR Data'!C:C,'Raw Annual DMR Data'!X12), "N/A - Period DMR Data Not Available")</f>
        <v>N/A - Period DMR Data Not Available</v>
      </c>
      <c r="V12" s="28" t="str" cm="1">
        <f t="array" ref="V12">IFERROR(INDEX('Raw Period DMR Data'!N:N,MATCH(1,(B12='Raw Period DMR Data'!$A:$A)*(U12='Raw Period DMR Data'!M:M)*(X12='Raw Period DMR Data'!C:C),0),1), "N/A")</f>
        <v>N/A</v>
      </c>
      <c r="W12" s="28" t="s">
        <v>1463</v>
      </c>
      <c r="X12" s="28" t="s">
        <v>764</v>
      </c>
      <c r="Y12" s="28" t="s">
        <v>765</v>
      </c>
      <c r="Z12" s="61">
        <v>11110104000749</v>
      </c>
      <c r="AA12" s="28"/>
    </row>
    <row r="13" spans="1:29" x14ac:dyDescent="0.25">
      <c r="A13" s="61">
        <v>110066929033</v>
      </c>
      <c r="B13" s="28">
        <v>2015</v>
      </c>
      <c r="C13" s="68">
        <f t="shared" si="0"/>
        <v>42005</v>
      </c>
      <c r="D13" s="28" t="s">
        <v>99</v>
      </c>
      <c r="E13" s="28" t="s">
        <v>297</v>
      </c>
      <c r="F13" s="28" t="s">
        <v>298</v>
      </c>
      <c r="G13" s="28" t="s">
        <v>299</v>
      </c>
      <c r="H13" s="28">
        <v>72903</v>
      </c>
      <c r="I13" s="28">
        <v>35.327162000000001</v>
      </c>
      <c r="J13" s="28">
        <v>-94.380183000000002</v>
      </c>
      <c r="L13" s="61">
        <v>110066929033</v>
      </c>
      <c r="M13" s="28" t="s">
        <v>265</v>
      </c>
      <c r="N13" s="28">
        <v>3585</v>
      </c>
      <c r="O13" s="28" t="str">
        <f>IFERROR(VLOOKUP(N13, 'SIC &amp; NAICS Codes'!A:B, 2, FALSE), "")</f>
        <v>Air-Conditioning and Warm Air Heating Equipment and Commercial and Industrial Refrigeration Equipment (except motor vehicle air-conditioning)</v>
      </c>
      <c r="S13" s="28">
        <v>4.1723356009070199E-4</v>
      </c>
      <c r="T13" s="315">
        <f>_xlfn.MAXIFS('Raw Period DMR Data'!$O:$O,'Raw Period DMR Data'!$A:$A,'Raw Annual DMR Data'!B13,'Raw Period DMR Data'!$C:$C,X13)/S13</f>
        <v>0</v>
      </c>
      <c r="U13" s="28" t="str">
        <f>+IF(COUNTIFS('Raw Period DMR Data'!$A:$A,B13, 'Raw Period DMR Data'!C:C,'Raw Annual DMR Data'!X13, 'Raw Period DMR Data'!M:M, "&gt;0")&gt;0,_xlfn.MAXIFS('Raw Period DMR Data'!M:M,'Raw Period DMR Data'!$A:$A,'Raw Annual DMR Data'!B13,'Raw Period DMR Data'!C:C,'Raw Annual DMR Data'!X13), "N/A - Period DMR Data Not Available")</f>
        <v>N/A - Period DMR Data Not Available</v>
      </c>
      <c r="V13" s="28" t="str" cm="1">
        <f t="array" ref="V13">IFERROR(INDEX('Raw Period DMR Data'!N:N,MATCH(1,(B13='Raw Period DMR Data'!$A:$A)*(U13='Raw Period DMR Data'!M:M)*(X13='Raw Period DMR Data'!C:C),0),1), "N/A")</f>
        <v>N/A</v>
      </c>
      <c r="W13" s="28" t="s">
        <v>1463</v>
      </c>
      <c r="X13" s="28" t="s">
        <v>764</v>
      </c>
      <c r="Y13" s="28" t="s">
        <v>765</v>
      </c>
      <c r="Z13" s="28">
        <v>11110104000749</v>
      </c>
      <c r="AA13" s="28"/>
      <c r="AB13" s="28" t="s">
        <v>1465</v>
      </c>
      <c r="AC13" s="28" t="s">
        <v>1466</v>
      </c>
    </row>
    <row r="14" spans="1:29" x14ac:dyDescent="0.25">
      <c r="A14" s="61">
        <v>110066929033</v>
      </c>
      <c r="B14" s="28">
        <v>2016</v>
      </c>
      <c r="C14" s="68">
        <f t="shared" si="0"/>
        <v>42370</v>
      </c>
      <c r="D14" s="28" t="s">
        <v>99</v>
      </c>
      <c r="E14" s="28" t="s">
        <v>297</v>
      </c>
      <c r="F14" s="28" t="s">
        <v>298</v>
      </c>
      <c r="G14" s="28" t="s">
        <v>299</v>
      </c>
      <c r="H14" s="28">
        <v>72903</v>
      </c>
      <c r="I14" s="28">
        <v>35.327162000000001</v>
      </c>
      <c r="J14" s="28">
        <v>-94.380183000000002</v>
      </c>
      <c r="L14" s="61">
        <v>110066929033</v>
      </c>
      <c r="M14" s="28" t="s">
        <v>265</v>
      </c>
      <c r="N14" s="28">
        <v>3585</v>
      </c>
      <c r="O14" s="28" t="str">
        <f>IFERROR(VLOOKUP(N14, 'SIC &amp; NAICS Codes'!A:B, 2, FALSE), "")</f>
        <v>Air-Conditioning and Warm Air Heating Equipment and Commercial and Industrial Refrigeration Equipment (except motor vehicle air-conditioning)</v>
      </c>
      <c r="S14" s="28">
        <v>5.4394557823129203E-3</v>
      </c>
      <c r="T14" s="315">
        <f>_xlfn.MAXIFS('Raw Period DMR Data'!$O:$O,'Raw Period DMR Data'!$A:$A,'Raw Annual DMR Data'!B14,'Raw Period DMR Data'!$C:$C,X14)/S14</f>
        <v>0</v>
      </c>
      <c r="U14" s="28" t="str">
        <f>+IF(COUNTIFS('Raw Period DMR Data'!$A:$A,B14, 'Raw Period DMR Data'!C:C,'Raw Annual DMR Data'!X14, 'Raw Period DMR Data'!M:M, "&gt;0")&gt;0,_xlfn.MAXIFS('Raw Period DMR Data'!M:M,'Raw Period DMR Data'!$A:$A,'Raw Annual DMR Data'!B14,'Raw Period DMR Data'!C:C,'Raw Annual DMR Data'!X14), "N/A - Period DMR Data Not Available")</f>
        <v>N/A - Period DMR Data Not Available</v>
      </c>
      <c r="V14" s="28" t="str" cm="1">
        <f t="array" ref="V14">IFERROR(INDEX('Raw Period DMR Data'!N:N,MATCH(1,(B14='Raw Period DMR Data'!$A:$A)*(U14='Raw Period DMR Data'!M:M)*(X14='Raw Period DMR Data'!C:C),0),1), "N/A")</f>
        <v>N/A</v>
      </c>
      <c r="W14" s="28" t="s">
        <v>1463</v>
      </c>
      <c r="X14" s="28" t="s">
        <v>764</v>
      </c>
      <c r="Y14" s="28" t="s">
        <v>765</v>
      </c>
      <c r="Z14" s="28">
        <v>11110104000749</v>
      </c>
      <c r="AA14" s="28"/>
      <c r="AB14" s="28" t="s">
        <v>1465</v>
      </c>
      <c r="AC14" s="28" t="s">
        <v>1466</v>
      </c>
    </row>
    <row r="15" spans="1:29" x14ac:dyDescent="0.25">
      <c r="A15" s="61">
        <v>110066929033</v>
      </c>
      <c r="B15" s="28">
        <v>2017</v>
      </c>
      <c r="C15" s="68">
        <f t="shared" si="0"/>
        <v>42736</v>
      </c>
      <c r="D15" s="28" t="s">
        <v>99</v>
      </c>
      <c r="E15" s="28" t="s">
        <v>297</v>
      </c>
      <c r="F15" s="28" t="s">
        <v>298</v>
      </c>
      <c r="G15" s="28" t="s">
        <v>299</v>
      </c>
      <c r="H15" s="28">
        <v>72903</v>
      </c>
      <c r="I15" s="28">
        <v>35.327162000000001</v>
      </c>
      <c r="J15" s="28">
        <v>-94.380183000000002</v>
      </c>
      <c r="L15" s="61">
        <v>110066929033</v>
      </c>
      <c r="M15" s="28" t="s">
        <v>265</v>
      </c>
      <c r="N15" s="28">
        <v>3585</v>
      </c>
      <c r="O15" s="28" t="str">
        <f>IFERROR(VLOOKUP(N15, 'SIC &amp; NAICS Codes'!A:B, 2, FALSE), "")</f>
        <v>Air-Conditioning and Warm Air Heating Equipment and Commercial and Industrial Refrigeration Equipment (except motor vehicle air-conditioning)</v>
      </c>
      <c r="S15" s="28">
        <v>1.1963718820861601E-3</v>
      </c>
      <c r="T15" s="315">
        <f>_xlfn.MAXIFS('Raw Period DMR Data'!$O:$O,'Raw Period DMR Data'!$A:$A,'Raw Annual DMR Data'!B15,'Raw Period DMR Data'!$C:$C,X15)/S15</f>
        <v>0</v>
      </c>
      <c r="U15" s="28" t="str">
        <f>+IF(COUNTIFS('Raw Period DMR Data'!$A:$A,B15, 'Raw Period DMR Data'!C:C,'Raw Annual DMR Data'!X15, 'Raw Period DMR Data'!M:M, "&gt;0")&gt;0,_xlfn.MAXIFS('Raw Period DMR Data'!M:M,'Raw Period DMR Data'!$A:$A,'Raw Annual DMR Data'!B15,'Raw Period DMR Data'!C:C,'Raw Annual DMR Data'!X15), "N/A - Period DMR Data Not Available")</f>
        <v>N/A - Period DMR Data Not Available</v>
      </c>
      <c r="V15" s="28" t="str" cm="1">
        <f t="array" ref="V15">IFERROR(INDEX('Raw Period DMR Data'!N:N,MATCH(1,(B15='Raw Period DMR Data'!$A:$A)*(U15='Raw Period DMR Data'!M:M)*(X15='Raw Period DMR Data'!C:C),0),1), "N/A")</f>
        <v>N/A</v>
      </c>
      <c r="W15" s="28" t="s">
        <v>1463</v>
      </c>
      <c r="X15" s="28" t="s">
        <v>764</v>
      </c>
      <c r="Y15" s="28" t="s">
        <v>765</v>
      </c>
      <c r="Z15" s="28">
        <v>11110104000749</v>
      </c>
      <c r="AA15" s="28"/>
      <c r="AB15" s="28" t="s">
        <v>1465</v>
      </c>
      <c r="AC15" s="28" t="s">
        <v>1466</v>
      </c>
    </row>
    <row r="16" spans="1:29" x14ac:dyDescent="0.25">
      <c r="A16" s="61">
        <v>110066929033</v>
      </c>
      <c r="B16" s="28">
        <v>2018</v>
      </c>
      <c r="C16" s="68">
        <f t="shared" si="0"/>
        <v>43101</v>
      </c>
      <c r="D16" s="28" t="s">
        <v>99</v>
      </c>
      <c r="E16" s="28" t="s">
        <v>297</v>
      </c>
      <c r="F16" s="28" t="s">
        <v>298</v>
      </c>
      <c r="G16" s="28" t="s">
        <v>299</v>
      </c>
      <c r="H16" s="28">
        <v>72903</v>
      </c>
      <c r="I16" s="28">
        <v>35.327162000000001</v>
      </c>
      <c r="J16" s="28">
        <v>-94.380183000000002</v>
      </c>
      <c r="L16" s="61">
        <v>110066929033</v>
      </c>
      <c r="M16" s="28" t="s">
        <v>265</v>
      </c>
      <c r="N16" s="28">
        <v>3585</v>
      </c>
      <c r="O16" s="28" t="str">
        <f>IFERROR(VLOOKUP(N16, 'SIC &amp; NAICS Codes'!A:B, 2, FALSE), "")</f>
        <v>Air-Conditioning and Warm Air Heating Equipment and Commercial and Industrial Refrigeration Equipment (except motor vehicle air-conditioning)</v>
      </c>
      <c r="S16" s="302">
        <v>5.1768707482993095E-4</v>
      </c>
      <c r="T16" s="315">
        <f>_xlfn.MAXIFS('Raw Period DMR Data'!$O:$O,'Raw Period DMR Data'!$A:$A,'Raw Annual DMR Data'!B16,'Raw Period DMR Data'!$C:$C,X16)/S16</f>
        <v>0</v>
      </c>
      <c r="U16" s="28" t="str">
        <f>+IF(COUNTIFS('Raw Period DMR Data'!$A:$A,B16, 'Raw Period DMR Data'!C:C,'Raw Annual DMR Data'!X16, 'Raw Period DMR Data'!M:M, "&gt;0")&gt;0,_xlfn.MAXIFS('Raw Period DMR Data'!M:M,'Raw Period DMR Data'!$A:$A,'Raw Annual DMR Data'!B16,'Raw Period DMR Data'!C:C,'Raw Annual DMR Data'!X16), "N/A - Period DMR Data Not Available")</f>
        <v>N/A - Period DMR Data Not Available</v>
      </c>
      <c r="V16" s="28" t="str" cm="1">
        <f t="array" ref="V16">IFERROR(INDEX('Raw Period DMR Data'!N:N,MATCH(1,(B16='Raw Period DMR Data'!$A:$A)*(U16='Raw Period DMR Data'!M:M)*(X16='Raw Period DMR Data'!C:C),0),1), "N/A")</f>
        <v>N/A</v>
      </c>
      <c r="W16" s="28" t="s">
        <v>1463</v>
      </c>
      <c r="X16" s="28" t="s">
        <v>764</v>
      </c>
      <c r="Y16" s="28" t="s">
        <v>765</v>
      </c>
      <c r="Z16" s="28">
        <v>11110104000749</v>
      </c>
      <c r="AA16" s="28"/>
      <c r="AB16" s="28" t="s">
        <v>1465</v>
      </c>
      <c r="AC16" s="28" t="s">
        <v>1466</v>
      </c>
    </row>
    <row r="17" spans="1:29" x14ac:dyDescent="0.25">
      <c r="A17" s="61">
        <v>110066929033</v>
      </c>
      <c r="B17" s="28">
        <v>2019</v>
      </c>
      <c r="C17" s="68">
        <f t="shared" si="0"/>
        <v>43466</v>
      </c>
      <c r="D17" s="28" t="s">
        <v>99</v>
      </c>
      <c r="E17" s="28" t="s">
        <v>297</v>
      </c>
      <c r="F17" s="28" t="s">
        <v>298</v>
      </c>
      <c r="G17" s="28" t="s">
        <v>299</v>
      </c>
      <c r="H17" s="28">
        <v>72903</v>
      </c>
      <c r="I17" s="28">
        <v>35.327162000000001</v>
      </c>
      <c r="J17" s="28">
        <v>-94.380183000000002</v>
      </c>
      <c r="L17" s="61">
        <v>110066929033</v>
      </c>
      <c r="M17" s="28" t="s">
        <v>265</v>
      </c>
      <c r="N17" s="28">
        <v>3585</v>
      </c>
      <c r="O17" s="28" t="str">
        <f>IFERROR(VLOOKUP(N17, 'SIC &amp; NAICS Codes'!A:B, 2, FALSE), "")</f>
        <v>Air-Conditioning and Warm Air Heating Equipment and Commercial and Industrial Refrigeration Equipment (except motor vehicle air-conditioning)</v>
      </c>
      <c r="S17" s="28">
        <v>5.7823129251700597E-4</v>
      </c>
      <c r="T17" s="315">
        <f>_xlfn.MAXIFS('Raw Period DMR Data'!$O:$O,'Raw Period DMR Data'!$A:$A,'Raw Annual DMR Data'!B17,'Raw Period DMR Data'!$C:$C,X17)/S17</f>
        <v>0</v>
      </c>
      <c r="U17" s="28" t="str">
        <f>+IF(COUNTIFS('Raw Period DMR Data'!$A:$A,B17, 'Raw Period DMR Data'!C:C,'Raw Annual DMR Data'!X17, 'Raw Period DMR Data'!M:M, "&gt;0")&gt;0,_xlfn.MAXIFS('Raw Period DMR Data'!M:M,'Raw Period DMR Data'!$A:$A,'Raw Annual DMR Data'!B17,'Raw Period DMR Data'!C:C,'Raw Annual DMR Data'!X17), "N/A - Period DMR Data Not Available")</f>
        <v>N/A - Period DMR Data Not Available</v>
      </c>
      <c r="V17" s="28" t="str" cm="1">
        <f t="array" ref="V17">IFERROR(INDEX('Raw Period DMR Data'!N:N,MATCH(1,(B17='Raw Period DMR Data'!$A:$A)*(U17='Raw Period DMR Data'!M:M)*(X17='Raw Period DMR Data'!C:C),0),1), "N/A")</f>
        <v>N/A</v>
      </c>
      <c r="W17" s="28" t="s">
        <v>1463</v>
      </c>
      <c r="X17" s="28" t="s">
        <v>764</v>
      </c>
      <c r="Y17" s="28" t="s">
        <v>765</v>
      </c>
      <c r="Z17" s="28">
        <v>11110104000749</v>
      </c>
      <c r="AA17" s="28"/>
      <c r="AB17" s="28" t="s">
        <v>1465</v>
      </c>
      <c r="AC17" s="28" t="s">
        <v>1466</v>
      </c>
    </row>
    <row r="18" spans="1:29" x14ac:dyDescent="0.25">
      <c r="A18" s="61">
        <v>110002042021</v>
      </c>
      <c r="B18" s="28">
        <v>2015</v>
      </c>
      <c r="C18" s="68">
        <f t="shared" si="0"/>
        <v>42005</v>
      </c>
      <c r="D18" s="28" t="s">
        <v>963</v>
      </c>
      <c r="E18" s="28" t="s">
        <v>1467</v>
      </c>
      <c r="F18" s="28" t="s">
        <v>964</v>
      </c>
      <c r="G18" s="28" t="s">
        <v>374</v>
      </c>
      <c r="H18" s="28">
        <v>85705</v>
      </c>
      <c r="I18" s="28">
        <v>32.279809999999998</v>
      </c>
      <c r="J18" s="28">
        <v>-111.02198</v>
      </c>
      <c r="L18" s="61">
        <v>110002042021</v>
      </c>
      <c r="M18" s="28" t="s">
        <v>263</v>
      </c>
      <c r="N18" s="28">
        <v>4952</v>
      </c>
      <c r="O18" s="28" t="str">
        <f>IFERROR(VLOOKUP(N18, 'SIC &amp; NAICS Codes'!A:B, 2, FALSE), "")</f>
        <v>Sewerage Systems</v>
      </c>
      <c r="S18" s="28">
        <v>0.284603991</v>
      </c>
      <c r="T18" s="315">
        <f>_xlfn.MAXIFS('Raw Period DMR Data'!$O:$O,'Raw Period DMR Data'!$A:$A,'Raw Annual DMR Data'!B18,'Raw Period DMR Data'!$C:$C,X18)/S18</f>
        <v>0</v>
      </c>
      <c r="U18" s="28" t="str">
        <f>+IF(COUNTIFS('Raw Period DMR Data'!$A:$A,B18, 'Raw Period DMR Data'!C:C,'Raw Annual DMR Data'!X18, 'Raw Period DMR Data'!M:M, "&gt;0")&gt;0,_xlfn.MAXIFS('Raw Period DMR Data'!M:M,'Raw Period DMR Data'!$A:$A,'Raw Annual DMR Data'!B18,'Raw Period DMR Data'!C:C,'Raw Annual DMR Data'!X18), "N/A - Period DMR Data Not Available")</f>
        <v>N/A - Period DMR Data Not Available</v>
      </c>
      <c r="V18" s="28" t="str" cm="1">
        <f t="array" ref="V18">IFERROR(INDEX('Raw Period DMR Data'!N:N,MATCH(1,(B18='Raw Period DMR Data'!$A:$A)*(U18='Raw Period DMR Data'!M:M)*(X18='Raw Period DMR Data'!C:C),0),1), "N/A")</f>
        <v>N/A</v>
      </c>
      <c r="W18" s="28" t="s">
        <v>1463</v>
      </c>
      <c r="X18" s="28" t="s">
        <v>1468</v>
      </c>
      <c r="Z18" s="28">
        <v>15050301001090</v>
      </c>
      <c r="AA18" s="28"/>
      <c r="AB18" s="28" t="s">
        <v>1465</v>
      </c>
      <c r="AC18" s="28" t="s">
        <v>1466</v>
      </c>
    </row>
    <row r="19" spans="1:29" x14ac:dyDescent="0.25">
      <c r="A19" s="61">
        <v>110002042021</v>
      </c>
      <c r="B19" s="28">
        <v>2016</v>
      </c>
      <c r="C19" s="68">
        <f t="shared" si="0"/>
        <v>42370</v>
      </c>
      <c r="D19" s="28" t="s">
        <v>963</v>
      </c>
      <c r="E19" s="28" t="s">
        <v>1467</v>
      </c>
      <c r="F19" s="28" t="s">
        <v>964</v>
      </c>
      <c r="G19" s="28" t="s">
        <v>374</v>
      </c>
      <c r="H19" s="28">
        <v>85705</v>
      </c>
      <c r="I19" s="28">
        <v>32.279809999999998</v>
      </c>
      <c r="J19" s="28">
        <v>-111.02198</v>
      </c>
      <c r="L19" s="61">
        <v>110002042021</v>
      </c>
      <c r="M19" s="28" t="s">
        <v>263</v>
      </c>
      <c r="N19" s="28">
        <v>4952</v>
      </c>
      <c r="O19" s="28" t="str">
        <f>IFERROR(VLOOKUP(N19, 'SIC &amp; NAICS Codes'!A:B, 2, FALSE), "")</f>
        <v>Sewerage Systems</v>
      </c>
      <c r="S19" s="28">
        <v>0.33897911175000001</v>
      </c>
      <c r="T19" s="315">
        <f>_xlfn.MAXIFS('Raw Period DMR Data'!$O:$O,'Raw Period DMR Data'!$A:$A,'Raw Annual DMR Data'!B19,'Raw Period DMR Data'!$C:$C,X19)/S19</f>
        <v>0</v>
      </c>
      <c r="U19" s="28" t="str">
        <f>+IF(COUNTIFS('Raw Period DMR Data'!$A:$A,B19, 'Raw Period DMR Data'!C:C,'Raw Annual DMR Data'!X19, 'Raw Period DMR Data'!M:M, "&gt;0")&gt;0,_xlfn.MAXIFS('Raw Period DMR Data'!M:M,'Raw Period DMR Data'!$A:$A,'Raw Annual DMR Data'!B19,'Raw Period DMR Data'!C:C,'Raw Annual DMR Data'!X19), "N/A - Period DMR Data Not Available")</f>
        <v>N/A - Period DMR Data Not Available</v>
      </c>
      <c r="V19" s="28" t="str" cm="1">
        <f t="array" ref="V19">IFERROR(INDEX('Raw Period DMR Data'!N:N,MATCH(1,(B19='Raw Period DMR Data'!$A:$A)*(U19='Raw Period DMR Data'!M:M)*(X19='Raw Period DMR Data'!C:C),0),1), "N/A")</f>
        <v>N/A</v>
      </c>
      <c r="W19" s="28" t="s">
        <v>1463</v>
      </c>
      <c r="X19" s="28" t="s">
        <v>1468</v>
      </c>
      <c r="Z19" s="28">
        <v>15050301001090</v>
      </c>
      <c r="AA19" s="28"/>
      <c r="AB19" s="28" t="s">
        <v>1465</v>
      </c>
      <c r="AC19" s="28" t="s">
        <v>1466</v>
      </c>
    </row>
    <row r="20" spans="1:29" x14ac:dyDescent="0.25">
      <c r="A20" s="61">
        <v>110002042021</v>
      </c>
      <c r="B20" s="28">
        <v>2017</v>
      </c>
      <c r="C20" s="68">
        <f t="shared" si="0"/>
        <v>42736</v>
      </c>
      <c r="D20" s="28" t="s">
        <v>963</v>
      </c>
      <c r="E20" s="28" t="s">
        <v>1467</v>
      </c>
      <c r="F20" s="28" t="s">
        <v>964</v>
      </c>
      <c r="G20" s="28" t="s">
        <v>374</v>
      </c>
      <c r="H20" s="28">
        <v>85705</v>
      </c>
      <c r="I20" s="28">
        <v>32.279809999999998</v>
      </c>
      <c r="J20" s="28">
        <v>-111.02198</v>
      </c>
      <c r="L20" s="61">
        <v>110002042021</v>
      </c>
      <c r="M20" s="28" t="s">
        <v>263</v>
      </c>
      <c r="N20" s="28">
        <v>4952</v>
      </c>
      <c r="O20" s="28" t="str">
        <f>IFERROR(VLOOKUP(N20, 'SIC &amp; NAICS Codes'!A:B, 2, FALSE), "")</f>
        <v>Sewerage Systems</v>
      </c>
      <c r="S20" s="28">
        <v>0.37827308925000003</v>
      </c>
      <c r="T20" s="315">
        <f>_xlfn.MAXIFS('Raw Period DMR Data'!$O:$O,'Raw Period DMR Data'!$A:$A,'Raw Annual DMR Data'!B20,'Raw Period DMR Data'!$C:$C,X20)/S20</f>
        <v>0</v>
      </c>
      <c r="U20" s="28" t="str">
        <f>+IF(COUNTIFS('Raw Period DMR Data'!$A:$A,B20, 'Raw Period DMR Data'!C:C,'Raw Annual DMR Data'!X20, 'Raw Period DMR Data'!M:M, "&gt;0")&gt;0,_xlfn.MAXIFS('Raw Period DMR Data'!M:M,'Raw Period DMR Data'!$A:$A,'Raw Annual DMR Data'!B20,'Raw Period DMR Data'!C:C,'Raw Annual DMR Data'!X20), "N/A - Period DMR Data Not Available")</f>
        <v>N/A - Period DMR Data Not Available</v>
      </c>
      <c r="V20" s="28" t="str" cm="1">
        <f t="array" ref="V20">IFERROR(INDEX('Raw Period DMR Data'!N:N,MATCH(1,(B20='Raw Period DMR Data'!$A:$A)*(U20='Raw Period DMR Data'!M:M)*(X20='Raw Period DMR Data'!C:C),0),1), "N/A")</f>
        <v>N/A</v>
      </c>
      <c r="W20" s="28" t="s">
        <v>1463</v>
      </c>
      <c r="X20" s="28" t="s">
        <v>1468</v>
      </c>
      <c r="Z20" s="28">
        <v>15050301001090</v>
      </c>
      <c r="AA20" s="28"/>
      <c r="AB20" s="28" t="s">
        <v>1465</v>
      </c>
      <c r="AC20" s="28" t="s">
        <v>1466</v>
      </c>
    </row>
    <row r="21" spans="1:29" x14ac:dyDescent="0.25">
      <c r="A21" s="61">
        <v>110002042021</v>
      </c>
      <c r="B21" s="28">
        <v>2018</v>
      </c>
      <c r="C21" s="68">
        <f t="shared" si="0"/>
        <v>43101</v>
      </c>
      <c r="D21" s="28" t="s">
        <v>963</v>
      </c>
      <c r="E21" s="28" t="s">
        <v>1467</v>
      </c>
      <c r="F21" s="28" t="s">
        <v>964</v>
      </c>
      <c r="G21" s="28" t="s">
        <v>374</v>
      </c>
      <c r="H21" s="28">
        <v>85705</v>
      </c>
      <c r="I21" s="28">
        <v>32.279809999999998</v>
      </c>
      <c r="J21" s="28">
        <v>-111.02198</v>
      </c>
      <c r="L21" s="61">
        <v>110002042021</v>
      </c>
      <c r="M21" s="28" t="s">
        <v>263</v>
      </c>
      <c r="N21" s="28">
        <v>4952</v>
      </c>
      <c r="O21" s="28" t="str">
        <f>IFERROR(VLOOKUP(N21, 'SIC &amp; NAICS Codes'!A:B, 2, FALSE), "")</f>
        <v>Sewerage Systems</v>
      </c>
      <c r="S21" s="28">
        <v>0.80570447160000003</v>
      </c>
      <c r="T21" s="315">
        <f>_xlfn.MAXIFS('Raw Period DMR Data'!$O:$O,'Raw Period DMR Data'!$A:$A,'Raw Annual DMR Data'!B21,'Raw Period DMR Data'!$C:$C,X21)/S21</f>
        <v>0</v>
      </c>
      <c r="U21" s="28" t="str">
        <f>+IF(COUNTIFS('Raw Period DMR Data'!$A:$A,B21, 'Raw Period DMR Data'!C:C,'Raw Annual DMR Data'!X21, 'Raw Period DMR Data'!M:M, "&gt;0")&gt;0,_xlfn.MAXIFS('Raw Period DMR Data'!M:M,'Raw Period DMR Data'!$A:$A,'Raw Annual DMR Data'!B21,'Raw Period DMR Data'!C:C,'Raw Annual DMR Data'!X21), "N/A - Period DMR Data Not Available")</f>
        <v>N/A - Period DMR Data Not Available</v>
      </c>
      <c r="V21" s="28" t="str" cm="1">
        <f t="array" ref="V21">IFERROR(INDEX('Raw Period DMR Data'!N:N,MATCH(1,(B21='Raw Period DMR Data'!$A:$A)*(U21='Raw Period DMR Data'!M:M)*(X21='Raw Period DMR Data'!C:C),0),1), "N/A")</f>
        <v>N/A</v>
      </c>
      <c r="W21" s="28" t="s">
        <v>1463</v>
      </c>
      <c r="X21" s="28" t="s">
        <v>1468</v>
      </c>
      <c r="Z21" s="28">
        <v>15050301001090</v>
      </c>
      <c r="AA21" s="28"/>
      <c r="AB21" s="28" t="s">
        <v>1465</v>
      </c>
      <c r="AC21" s="28" t="s">
        <v>1466</v>
      </c>
    </row>
    <row r="22" spans="1:29" x14ac:dyDescent="0.25">
      <c r="A22" s="61">
        <v>110006368206</v>
      </c>
      <c r="B22" s="28">
        <v>2016</v>
      </c>
      <c r="C22" s="68">
        <f t="shared" si="0"/>
        <v>42370</v>
      </c>
      <c r="D22" s="28" t="s">
        <v>965</v>
      </c>
      <c r="E22" s="28" t="s">
        <v>1469</v>
      </c>
      <c r="F22" s="28" t="s">
        <v>966</v>
      </c>
      <c r="G22" s="28" t="s">
        <v>491</v>
      </c>
      <c r="H22" s="28">
        <v>19112</v>
      </c>
      <c r="I22" s="28">
        <v>39.884791999999997</v>
      </c>
      <c r="J22" s="28">
        <v>-75.191112000000004</v>
      </c>
      <c r="L22" s="61">
        <v>110006368206</v>
      </c>
      <c r="M22" s="28" t="s">
        <v>265</v>
      </c>
      <c r="N22" s="28">
        <v>3731</v>
      </c>
      <c r="O22" s="28" t="str">
        <f>IFERROR(VLOOKUP(N22, 'SIC &amp; NAICS Codes'!A:B, 2, FALSE), "")</f>
        <v>Ship Building and Repairing (except repairs in floating drydocks)</v>
      </c>
      <c r="S22" s="28">
        <v>0.61209670723200005</v>
      </c>
      <c r="T22" s="315">
        <f>_xlfn.MAXIFS('Raw Period DMR Data'!$O:$O,'Raw Period DMR Data'!$A:$A,'Raw Annual DMR Data'!B22,'Raw Period DMR Data'!$C:$C,X22)/S22</f>
        <v>0</v>
      </c>
      <c r="U22" s="28" t="str">
        <f>+IF(COUNTIFS('Raw Period DMR Data'!$A:$A,B22, 'Raw Period DMR Data'!C:C,'Raw Annual DMR Data'!X22, 'Raw Period DMR Data'!M:M, "&gt;0")&gt;0,_xlfn.MAXIFS('Raw Period DMR Data'!M:M,'Raw Period DMR Data'!$A:$A,'Raw Annual DMR Data'!B22,'Raw Period DMR Data'!C:C,'Raw Annual DMR Data'!X22), "N/A - Period DMR Data Not Available")</f>
        <v>N/A - Period DMR Data Not Available</v>
      </c>
      <c r="V22" s="28" t="str" cm="1">
        <f t="array" ref="V22">IFERROR(INDEX('Raw Period DMR Data'!N:N,MATCH(1,(B22='Raw Period DMR Data'!$A:$A)*(U22='Raw Period DMR Data'!M:M)*(X22='Raw Period DMR Data'!C:C),0),1), "N/A")</f>
        <v>N/A</v>
      </c>
      <c r="W22" s="28" t="s">
        <v>1463</v>
      </c>
      <c r="X22" s="28" t="s">
        <v>1470</v>
      </c>
      <c r="Y22" s="28" t="s">
        <v>1471</v>
      </c>
      <c r="Z22" s="28">
        <v>2040203000001</v>
      </c>
      <c r="AA22" s="28"/>
      <c r="AB22" s="28" t="s">
        <v>1465</v>
      </c>
      <c r="AC22" s="28" t="s">
        <v>1466</v>
      </c>
    </row>
    <row r="23" spans="1:29" x14ac:dyDescent="0.25">
      <c r="A23" s="61">
        <v>110006368206</v>
      </c>
      <c r="B23" s="28">
        <v>2017</v>
      </c>
      <c r="C23" s="68">
        <f t="shared" si="0"/>
        <v>42736</v>
      </c>
      <c r="D23" s="28" t="s">
        <v>965</v>
      </c>
      <c r="E23" s="28" t="s">
        <v>1469</v>
      </c>
      <c r="F23" s="28" t="s">
        <v>966</v>
      </c>
      <c r="G23" s="28" t="s">
        <v>491</v>
      </c>
      <c r="H23" s="28">
        <v>19112</v>
      </c>
      <c r="I23" s="28">
        <v>39.884791999999997</v>
      </c>
      <c r="J23" s="28">
        <v>-75.191112000000004</v>
      </c>
      <c r="L23" s="61">
        <v>110006368206</v>
      </c>
      <c r="M23" s="28" t="s">
        <v>265</v>
      </c>
      <c r="N23" s="28">
        <v>3731</v>
      </c>
      <c r="O23" s="28" t="str">
        <f>IFERROR(VLOOKUP(N23, 'SIC &amp; NAICS Codes'!A:B, 2, FALSE), "")</f>
        <v>Ship Building and Repairing (except repairs in floating drydocks)</v>
      </c>
      <c r="S23" s="28">
        <v>0.60041955225599997</v>
      </c>
      <c r="T23" s="315">
        <f>_xlfn.MAXIFS('Raw Period DMR Data'!$O:$O,'Raw Period DMR Data'!$A:$A,'Raw Annual DMR Data'!B23,'Raw Period DMR Data'!$C:$C,X23)/S23</f>
        <v>0</v>
      </c>
      <c r="U23" s="28" t="str">
        <f>+IF(COUNTIFS('Raw Period DMR Data'!$A:$A,B23, 'Raw Period DMR Data'!C:C,'Raw Annual DMR Data'!X23, 'Raw Period DMR Data'!M:M, "&gt;0")&gt;0,_xlfn.MAXIFS('Raw Period DMR Data'!M:M,'Raw Period DMR Data'!$A:$A,'Raw Annual DMR Data'!B23,'Raw Period DMR Data'!C:C,'Raw Annual DMR Data'!X23), "N/A - Period DMR Data Not Available")</f>
        <v>N/A - Period DMR Data Not Available</v>
      </c>
      <c r="V23" s="28" t="str" cm="1">
        <f t="array" ref="V23">IFERROR(INDEX('Raw Period DMR Data'!N:N,MATCH(1,(B23='Raw Period DMR Data'!$A:$A)*(U23='Raw Period DMR Data'!M:M)*(X23='Raw Period DMR Data'!C:C),0),1), "N/A")</f>
        <v>N/A</v>
      </c>
      <c r="W23" s="28" t="s">
        <v>1463</v>
      </c>
      <c r="X23" s="28" t="s">
        <v>1470</v>
      </c>
      <c r="Y23" s="28" t="s">
        <v>1471</v>
      </c>
      <c r="Z23" s="28">
        <v>2040203000001</v>
      </c>
      <c r="AA23" s="28"/>
      <c r="AB23" s="28" t="s">
        <v>1465</v>
      </c>
      <c r="AC23" s="28" t="s">
        <v>1466</v>
      </c>
    </row>
    <row r="24" spans="1:29" x14ac:dyDescent="0.25">
      <c r="A24" s="61">
        <v>110006368206</v>
      </c>
      <c r="B24" s="28">
        <v>2018</v>
      </c>
      <c r="C24" s="68">
        <f t="shared" si="0"/>
        <v>43101</v>
      </c>
      <c r="D24" s="28" t="s">
        <v>965</v>
      </c>
      <c r="E24" s="28" t="s">
        <v>1469</v>
      </c>
      <c r="F24" s="28" t="s">
        <v>966</v>
      </c>
      <c r="G24" s="28" t="s">
        <v>491</v>
      </c>
      <c r="H24" s="28">
        <v>19112</v>
      </c>
      <c r="I24" s="28">
        <v>39.884791999999997</v>
      </c>
      <c r="J24" s="28">
        <v>-75.191112000000004</v>
      </c>
      <c r="L24" s="61">
        <v>110006368206</v>
      </c>
      <c r="M24" s="28" t="s">
        <v>265</v>
      </c>
      <c r="N24" s="28">
        <v>3731</v>
      </c>
      <c r="O24" s="28" t="str">
        <f>IFERROR(VLOOKUP(N24, 'SIC &amp; NAICS Codes'!A:B, 2, FALSE), "")</f>
        <v>Ship Building and Repairing (except repairs in floating drydocks)</v>
      </c>
      <c r="S24" s="302">
        <v>0.58253875200000005</v>
      </c>
      <c r="T24" s="315">
        <f>_xlfn.MAXIFS('Raw Period DMR Data'!$O:$O,'Raw Period DMR Data'!$A:$A,'Raw Annual DMR Data'!B24,'Raw Period DMR Data'!$C:$C,X24)/S24</f>
        <v>0</v>
      </c>
      <c r="U24" s="28" t="str">
        <f>+IF(COUNTIFS('Raw Period DMR Data'!$A:$A,B24, 'Raw Period DMR Data'!C:C,'Raw Annual DMR Data'!X24, 'Raw Period DMR Data'!M:M, "&gt;0")&gt;0,_xlfn.MAXIFS('Raw Period DMR Data'!M:M,'Raw Period DMR Data'!$A:$A,'Raw Annual DMR Data'!B24,'Raw Period DMR Data'!C:C,'Raw Annual DMR Data'!X24), "N/A - Period DMR Data Not Available")</f>
        <v>N/A - Period DMR Data Not Available</v>
      </c>
      <c r="V24" s="28" t="str" cm="1">
        <f t="array" ref="V24">IFERROR(INDEX('Raw Period DMR Data'!N:N,MATCH(1,(B24='Raw Period DMR Data'!$A:$A)*(U24='Raw Period DMR Data'!M:M)*(X24='Raw Period DMR Data'!C:C),0),1), "N/A")</f>
        <v>N/A</v>
      </c>
      <c r="W24" s="28" t="s">
        <v>1463</v>
      </c>
      <c r="X24" s="28" t="s">
        <v>1470</v>
      </c>
      <c r="Y24" s="28" t="s">
        <v>1471</v>
      </c>
      <c r="Z24" s="302" t="s">
        <v>1472</v>
      </c>
      <c r="AA24" s="28"/>
      <c r="AB24" s="28" t="s">
        <v>1465</v>
      </c>
      <c r="AC24" s="28" t="s">
        <v>1466</v>
      </c>
    </row>
    <row r="25" spans="1:29" x14ac:dyDescent="0.25">
      <c r="A25" s="61">
        <v>110006368206</v>
      </c>
      <c r="B25" s="28">
        <v>2019</v>
      </c>
      <c r="C25" s="68">
        <f t="shared" si="0"/>
        <v>43466</v>
      </c>
      <c r="D25" s="28" t="s">
        <v>965</v>
      </c>
      <c r="E25" s="28" t="s">
        <v>1469</v>
      </c>
      <c r="F25" s="28" t="s">
        <v>966</v>
      </c>
      <c r="G25" s="28" t="s">
        <v>491</v>
      </c>
      <c r="H25" s="28">
        <v>19112</v>
      </c>
      <c r="I25" s="28">
        <v>39.884791999999997</v>
      </c>
      <c r="J25" s="28">
        <v>-75.191112000000004</v>
      </c>
      <c r="L25" s="61">
        <v>110006368206</v>
      </c>
      <c r="M25" s="28" t="s">
        <v>265</v>
      </c>
      <c r="N25" s="28">
        <v>3731</v>
      </c>
      <c r="O25" s="28" t="str">
        <f>IFERROR(VLOOKUP(N25, 'SIC &amp; NAICS Codes'!A:B, 2, FALSE), "")</f>
        <v>Ship Building and Repairing (except repairs in floating drydocks)</v>
      </c>
      <c r="S25" s="28">
        <v>0.30695100526079999</v>
      </c>
      <c r="T25" s="315">
        <f>_xlfn.MAXIFS('Raw Period DMR Data'!$O:$O,'Raw Period DMR Data'!$A:$A,'Raw Annual DMR Data'!B25,'Raw Period DMR Data'!$C:$C,X25)/S25</f>
        <v>0</v>
      </c>
      <c r="U25" s="28" t="str">
        <f>+IF(COUNTIFS('Raw Period DMR Data'!$A:$A,B25, 'Raw Period DMR Data'!C:C,'Raw Annual DMR Data'!X25, 'Raw Period DMR Data'!M:M, "&gt;0")&gt;0,_xlfn.MAXIFS('Raw Period DMR Data'!M:M,'Raw Period DMR Data'!$A:$A,'Raw Annual DMR Data'!B25,'Raw Period DMR Data'!C:C,'Raw Annual DMR Data'!X25), "N/A - Period DMR Data Not Available")</f>
        <v>N/A - Period DMR Data Not Available</v>
      </c>
      <c r="V25" s="28" t="str" cm="1">
        <f t="array" ref="V25">IFERROR(INDEX('Raw Period DMR Data'!N:N,MATCH(1,(B25='Raw Period DMR Data'!$A:$A)*(U25='Raw Period DMR Data'!M:M)*(X25='Raw Period DMR Data'!C:C),0),1), "N/A")</f>
        <v>N/A</v>
      </c>
      <c r="W25" s="28" t="s">
        <v>1463</v>
      </c>
      <c r="X25" s="28" t="s">
        <v>1470</v>
      </c>
      <c r="Y25" s="28" t="s">
        <v>1471</v>
      </c>
      <c r="Z25" s="28">
        <v>2040203000001</v>
      </c>
      <c r="AA25" s="28"/>
      <c r="AB25" s="28" t="s">
        <v>1465</v>
      </c>
      <c r="AC25" s="28" t="s">
        <v>1466</v>
      </c>
    </row>
    <row r="26" spans="1:29" x14ac:dyDescent="0.25">
      <c r="A26" s="61">
        <v>110006368206</v>
      </c>
      <c r="B26" s="28">
        <v>2020</v>
      </c>
      <c r="C26" s="68">
        <f t="shared" si="0"/>
        <v>43831</v>
      </c>
      <c r="D26" s="28" t="s">
        <v>965</v>
      </c>
      <c r="E26" s="28" t="s">
        <v>1469</v>
      </c>
      <c r="F26" s="28" t="s">
        <v>966</v>
      </c>
      <c r="G26" s="28" t="s">
        <v>491</v>
      </c>
      <c r="H26" s="28">
        <v>19112</v>
      </c>
      <c r="I26" s="28">
        <v>39.884791999999997</v>
      </c>
      <c r="J26" s="28">
        <v>-75.191112000000004</v>
      </c>
      <c r="L26" s="61">
        <v>110006368206</v>
      </c>
      <c r="M26" s="28" t="s">
        <v>265</v>
      </c>
      <c r="N26" s="28">
        <v>3731</v>
      </c>
      <c r="O26" s="28" t="str">
        <f>IFERROR(VLOOKUP(N26, 'SIC &amp; NAICS Codes'!A:B, 2, FALSE), "")</f>
        <v>Ship Building and Repairing (except repairs in floating drydocks)</v>
      </c>
      <c r="S26" s="28">
        <v>0.12272661319680001</v>
      </c>
      <c r="T26" s="315">
        <f>_xlfn.MAXIFS('Raw Period DMR Data'!$O:$O,'Raw Period DMR Data'!$A:$A,'Raw Annual DMR Data'!B26,'Raw Period DMR Data'!$C:$C,X26)/S26</f>
        <v>0</v>
      </c>
      <c r="U26" s="28" t="str">
        <f>+IF(COUNTIFS('Raw Period DMR Data'!$A:$A,B26, 'Raw Period DMR Data'!C:C,'Raw Annual DMR Data'!X26, 'Raw Period DMR Data'!M:M, "&gt;0")&gt;0,_xlfn.MAXIFS('Raw Period DMR Data'!M:M,'Raw Period DMR Data'!$A:$A,'Raw Annual DMR Data'!B26,'Raw Period DMR Data'!C:C,'Raw Annual DMR Data'!X26), "N/A - Period DMR Data Not Available")</f>
        <v>N/A - Period DMR Data Not Available</v>
      </c>
      <c r="V26" s="28" t="str" cm="1">
        <f t="array" ref="V26">IFERROR(INDEX('Raw Period DMR Data'!N:N,MATCH(1,(B26='Raw Period DMR Data'!$A:$A)*(U26='Raw Period DMR Data'!M:M)*(X26='Raw Period DMR Data'!C:C),0),1), "N/A")</f>
        <v>N/A</v>
      </c>
      <c r="W26" s="28" t="s">
        <v>1463</v>
      </c>
      <c r="X26" s="28" t="s">
        <v>1470</v>
      </c>
      <c r="Y26" s="28" t="s">
        <v>1471</v>
      </c>
      <c r="Z26" s="28">
        <v>2040203000001</v>
      </c>
      <c r="AA26" s="28"/>
      <c r="AB26" s="28" t="s">
        <v>1465</v>
      </c>
      <c r="AC26" s="28" t="s">
        <v>1466</v>
      </c>
    </row>
    <row r="27" spans="1:29" x14ac:dyDescent="0.25">
      <c r="A27" s="61">
        <v>110000606602</v>
      </c>
      <c r="B27" s="28">
        <v>2017</v>
      </c>
      <c r="C27" s="68">
        <f t="shared" si="0"/>
        <v>42736</v>
      </c>
      <c r="D27" s="28" t="s">
        <v>100</v>
      </c>
      <c r="E27" s="28" t="s">
        <v>301</v>
      </c>
      <c r="F27" s="28" t="s">
        <v>302</v>
      </c>
      <c r="G27" s="28" t="s">
        <v>303</v>
      </c>
      <c r="H27" s="28">
        <v>70805</v>
      </c>
      <c r="I27" s="28">
        <v>30.493749999999999</v>
      </c>
      <c r="J27" s="28">
        <v>-91.178740000000005</v>
      </c>
      <c r="K27" s="28" t="s">
        <v>304</v>
      </c>
      <c r="L27" s="61">
        <v>110000606602</v>
      </c>
      <c r="M27" s="28" t="s">
        <v>254</v>
      </c>
      <c r="N27" s="28">
        <v>2899</v>
      </c>
      <c r="O27" s="28" t="str">
        <f>IFERROR(VLOOKUP(N27, 'SIC &amp; NAICS Codes'!A:B, 2, FALSE), "")</f>
        <v>Chemicals and Chemical Preparations, NEC (table salt)</v>
      </c>
      <c r="S27" s="28">
        <v>1.2190476190476101</v>
      </c>
      <c r="T27" s="315">
        <f>_xlfn.MAXIFS('Raw Period DMR Data'!$O:$O,'Raw Period DMR Data'!$A:$A,'Raw Annual DMR Data'!B27,'Raw Period DMR Data'!$C:$C,X27)/S27</f>
        <v>0</v>
      </c>
      <c r="U27" s="28" t="str">
        <f>+IF(COUNTIFS('Raw Period DMR Data'!$A:$A,B27, 'Raw Period DMR Data'!C:C,'Raw Annual DMR Data'!X27, 'Raw Period DMR Data'!M:M, "&gt;0")&gt;0,_xlfn.MAXIFS('Raw Period DMR Data'!M:M,'Raw Period DMR Data'!$A:$A,'Raw Annual DMR Data'!B27,'Raw Period DMR Data'!C:C,'Raw Annual DMR Data'!X27), "N/A - Period DMR Data Not Available")</f>
        <v>N/A - Period DMR Data Not Available</v>
      </c>
      <c r="V27" s="28" t="str" cm="1">
        <f t="array" ref="V27">IFERROR(INDEX('Raw Period DMR Data'!N:N,MATCH(1,(B27='Raw Period DMR Data'!$A:$A)*(U27='Raw Period DMR Data'!M:M)*(X27='Raw Period DMR Data'!C:C),0),1), "N/A")</f>
        <v>N/A</v>
      </c>
      <c r="W27" s="28" t="s">
        <v>1463</v>
      </c>
      <c r="X27" s="28" t="s">
        <v>766</v>
      </c>
      <c r="Y27" s="28" t="s">
        <v>767</v>
      </c>
      <c r="Z27" s="61">
        <v>8070100000180</v>
      </c>
      <c r="AA27" s="28"/>
    </row>
    <row r="28" spans="1:29" x14ac:dyDescent="0.25">
      <c r="A28" s="61">
        <v>110070885683</v>
      </c>
      <c r="B28" s="28">
        <v>2020</v>
      </c>
      <c r="C28" s="68">
        <f t="shared" si="0"/>
        <v>43831</v>
      </c>
      <c r="D28" s="28" t="s">
        <v>967</v>
      </c>
      <c r="E28" s="28" t="s">
        <v>1473</v>
      </c>
      <c r="F28" s="28" t="s">
        <v>968</v>
      </c>
      <c r="G28" s="28" t="s">
        <v>294</v>
      </c>
      <c r="H28" s="28">
        <v>22314</v>
      </c>
      <c r="I28" s="28">
        <v>38.810879999999997</v>
      </c>
      <c r="J28" s="28">
        <v>-77.042289999999994</v>
      </c>
      <c r="L28" s="61">
        <v>110070885683</v>
      </c>
      <c r="M28" s="28" t="s">
        <v>265</v>
      </c>
      <c r="N28" s="28">
        <v>1794</v>
      </c>
      <c r="O28" s="28" t="str">
        <f>IFERROR(VLOOKUP(N28, 'SIC &amp; NAICS Codes'!A:B, 2, FALSE), "")</f>
        <v>Excavation Work</v>
      </c>
      <c r="S28" s="28">
        <v>0.24413116692299899</v>
      </c>
      <c r="T28" s="315">
        <f>_xlfn.MAXIFS('Raw Period DMR Data'!$O:$O,'Raw Period DMR Data'!$A:$A,'Raw Annual DMR Data'!B28,'Raw Period DMR Data'!$C:$C,X28)/S28</f>
        <v>0</v>
      </c>
      <c r="U28" s="28" t="str">
        <f>+IF(COUNTIFS('Raw Period DMR Data'!$A:$A,B28, 'Raw Period DMR Data'!C:C,'Raw Annual DMR Data'!X28, 'Raw Period DMR Data'!M:M, "&gt;0")&gt;0,_xlfn.MAXIFS('Raw Period DMR Data'!M:M,'Raw Period DMR Data'!$A:$A,'Raw Annual DMR Data'!B28,'Raw Period DMR Data'!C:C,'Raw Annual DMR Data'!X28), "N/A - Period DMR Data Not Available")</f>
        <v>N/A - Period DMR Data Not Available</v>
      </c>
      <c r="V28" s="28" t="str" cm="1">
        <f t="array" ref="V28">IFERROR(INDEX('Raw Period DMR Data'!N:N,MATCH(1,(B28='Raw Period DMR Data'!$A:$A)*(U28='Raw Period DMR Data'!M:M)*(X28='Raw Period DMR Data'!C:C),0),1), "N/A")</f>
        <v>N/A</v>
      </c>
      <c r="W28" s="28" t="s">
        <v>1463</v>
      </c>
      <c r="X28" s="28" t="s">
        <v>1474</v>
      </c>
      <c r="Y28" s="28" t="s">
        <v>1475</v>
      </c>
      <c r="AA28" s="28"/>
      <c r="AB28" s="28" t="s">
        <v>1465</v>
      </c>
      <c r="AC28" s="28" t="s">
        <v>1466</v>
      </c>
    </row>
    <row r="29" spans="1:29" x14ac:dyDescent="0.25">
      <c r="A29" s="61">
        <v>110070549134</v>
      </c>
      <c r="B29" s="28">
        <v>2019</v>
      </c>
      <c r="C29" s="68">
        <f t="shared" si="0"/>
        <v>43466</v>
      </c>
      <c r="D29" s="28" t="s">
        <v>101</v>
      </c>
      <c r="E29" s="28" t="s">
        <v>306</v>
      </c>
      <c r="F29" s="28" t="s">
        <v>307</v>
      </c>
      <c r="G29" s="28" t="s">
        <v>308</v>
      </c>
      <c r="H29" s="28">
        <v>2129</v>
      </c>
      <c r="L29" s="61">
        <v>110070549134</v>
      </c>
      <c r="M29" s="28" t="s">
        <v>264</v>
      </c>
      <c r="O29" s="28" t="str">
        <f>IFERROR(VLOOKUP(N29, 'SIC &amp; NAICS Codes'!A:B, 2, FALSE), "")</f>
        <v/>
      </c>
      <c r="S29" s="28">
        <v>1.578672024E-2</v>
      </c>
      <c r="T29" s="315">
        <f>_xlfn.MAXIFS('Raw Period DMR Data'!$O:$O,'Raw Period DMR Data'!$A:$A,'Raw Annual DMR Data'!B29,'Raw Period DMR Data'!$C:$C,X29)/S29</f>
        <v>0</v>
      </c>
      <c r="U29" s="28" t="str">
        <f>+IF(COUNTIFS('Raw Period DMR Data'!$A:$A,B29, 'Raw Period DMR Data'!C:C,'Raw Annual DMR Data'!X29, 'Raw Period DMR Data'!M:M, "&gt;0")&gt;0,_xlfn.MAXIFS('Raw Period DMR Data'!M:M,'Raw Period DMR Data'!$A:$A,'Raw Annual DMR Data'!B29,'Raw Period DMR Data'!C:C,'Raw Annual DMR Data'!X29), "N/A - Period DMR Data Not Available")</f>
        <v>N/A - Period DMR Data Not Available</v>
      </c>
      <c r="V29" s="28" t="str" cm="1">
        <f t="array" ref="V29">IFERROR(INDEX('Raw Period DMR Data'!N:N,MATCH(1,(B29='Raw Period DMR Data'!$A:$A)*(U29='Raw Period DMR Data'!M:M)*(X29='Raw Period DMR Data'!C:C),0),1), "N/A")</f>
        <v>N/A</v>
      </c>
      <c r="W29" s="28" t="s">
        <v>1463</v>
      </c>
      <c r="X29" s="28" t="s">
        <v>768</v>
      </c>
      <c r="Y29" s="28" t="s">
        <v>769</v>
      </c>
      <c r="Z29" s="61"/>
    </row>
    <row r="30" spans="1:29" x14ac:dyDescent="0.25">
      <c r="A30" s="61">
        <v>110064632312</v>
      </c>
      <c r="B30" s="28">
        <v>2015</v>
      </c>
      <c r="C30" s="68">
        <f t="shared" si="0"/>
        <v>42005</v>
      </c>
      <c r="D30" s="28" t="s">
        <v>102</v>
      </c>
      <c r="E30" s="28" t="s">
        <v>309</v>
      </c>
      <c r="F30" s="28" t="s">
        <v>310</v>
      </c>
      <c r="G30" s="28" t="s">
        <v>311</v>
      </c>
      <c r="H30" s="28">
        <v>25112</v>
      </c>
      <c r="I30" s="28">
        <v>38.386439000000003</v>
      </c>
      <c r="J30" s="28">
        <v>-81.798439999999999</v>
      </c>
      <c r="L30" s="61">
        <v>110064632312</v>
      </c>
      <c r="M30" s="28" t="s">
        <v>251</v>
      </c>
      <c r="N30" s="28">
        <v>2869</v>
      </c>
      <c r="O30" s="28" t="str">
        <f>IFERROR(VLOOKUP(N30, 'SIC &amp; NAICS Codes'!A:B, 2, FALSE), "")</f>
        <v>Industrial Organic Chemicals, NEC (aliphatics)</v>
      </c>
      <c r="S30" s="28">
        <v>0.25480725623582701</v>
      </c>
      <c r="T30" s="315">
        <f>_xlfn.MAXIFS('Raw Period DMR Data'!$O:$O,'Raw Period DMR Data'!$A:$A,'Raw Annual DMR Data'!B30,'Raw Period DMR Data'!$C:$C,X30)/S30</f>
        <v>0</v>
      </c>
      <c r="U30" s="28" t="str">
        <f>+IF(COUNTIFS('Raw Period DMR Data'!$A:$A,B30, 'Raw Period DMR Data'!C:C,'Raw Annual DMR Data'!X30, 'Raw Period DMR Data'!M:M, "&gt;0")&gt;0,_xlfn.MAXIFS('Raw Period DMR Data'!M:M,'Raw Period DMR Data'!$A:$A,'Raw Annual DMR Data'!B30,'Raw Period DMR Data'!C:C,'Raw Annual DMR Data'!X30), "N/A - Period DMR Data Not Available")</f>
        <v>N/A - Period DMR Data Not Available</v>
      </c>
      <c r="V30" s="28" t="str" cm="1">
        <f t="array" ref="V30">IFERROR(INDEX('Raw Period DMR Data'!N:N,MATCH(1,(B30='Raw Period DMR Data'!$A:$A)*(U30='Raw Period DMR Data'!M:M)*(X30='Raw Period DMR Data'!C:C),0),1), "N/A")</f>
        <v>N/A</v>
      </c>
      <c r="W30" s="28" t="s">
        <v>1463</v>
      </c>
      <c r="X30" s="28" t="s">
        <v>770</v>
      </c>
      <c r="Y30" s="28" t="s">
        <v>771</v>
      </c>
      <c r="Z30" s="61">
        <v>5050008000998</v>
      </c>
    </row>
    <row r="31" spans="1:29" x14ac:dyDescent="0.25">
      <c r="A31" s="61">
        <v>110064632312</v>
      </c>
      <c r="B31" s="28">
        <v>2015</v>
      </c>
      <c r="C31" s="68">
        <f t="shared" si="0"/>
        <v>42005</v>
      </c>
      <c r="D31" s="28" t="s">
        <v>102</v>
      </c>
      <c r="E31" s="28" t="s">
        <v>309</v>
      </c>
      <c r="F31" s="28" t="s">
        <v>310</v>
      </c>
      <c r="G31" s="28" t="s">
        <v>311</v>
      </c>
      <c r="H31" s="28">
        <v>25112</v>
      </c>
      <c r="I31" s="28">
        <v>38.386439000000003</v>
      </c>
      <c r="J31" s="28">
        <v>-81.798439999999999</v>
      </c>
      <c r="L31" s="61">
        <v>110064632312</v>
      </c>
      <c r="M31" s="28" t="s">
        <v>251</v>
      </c>
      <c r="N31" s="28">
        <v>2869</v>
      </c>
      <c r="O31" s="28" t="str">
        <f>IFERROR(VLOOKUP(N31, 'SIC &amp; NAICS Codes'!A:B, 2, FALSE), "")</f>
        <v>Industrial Organic Chemicals, NEC (aliphatics)</v>
      </c>
      <c r="S31" s="28">
        <v>0.351383219954648</v>
      </c>
      <c r="T31" s="315">
        <f>_xlfn.MAXIFS('Raw Period DMR Data'!$O:$O,'Raw Period DMR Data'!$A:$A,'Raw Annual DMR Data'!B31,'Raw Period DMR Data'!$C:$C,X31)/S31</f>
        <v>0</v>
      </c>
      <c r="U31" s="28" t="str">
        <f>+IF(COUNTIFS('Raw Period DMR Data'!$A:$A,B31, 'Raw Period DMR Data'!C:C,'Raw Annual DMR Data'!X31, 'Raw Period DMR Data'!M:M, "&gt;0")&gt;0,_xlfn.MAXIFS('Raw Period DMR Data'!M:M,'Raw Period DMR Data'!$A:$A,'Raw Annual DMR Data'!B31,'Raw Period DMR Data'!C:C,'Raw Annual DMR Data'!X31), "N/A - Period DMR Data Not Available")</f>
        <v>N/A - Period DMR Data Not Available</v>
      </c>
      <c r="V31" s="28" t="str" cm="1">
        <f t="array" ref="V31">IFERROR(INDEX('Raw Period DMR Data'!N:N,MATCH(1,(B31='Raw Period DMR Data'!$A:$A)*(U31='Raw Period DMR Data'!M:M)*(X31='Raw Period DMR Data'!C:C),0),1), "N/A")</f>
        <v>N/A</v>
      </c>
      <c r="W31" s="28" t="s">
        <v>1463</v>
      </c>
      <c r="X31" s="28" t="s">
        <v>770</v>
      </c>
      <c r="Y31" s="28" t="s">
        <v>771</v>
      </c>
      <c r="Z31" s="61">
        <v>5050008000998</v>
      </c>
    </row>
    <row r="32" spans="1:29" x14ac:dyDescent="0.25">
      <c r="A32" s="61">
        <v>110064632312</v>
      </c>
      <c r="B32" s="28">
        <v>2015</v>
      </c>
      <c r="C32" s="68">
        <f t="shared" si="0"/>
        <v>42005</v>
      </c>
      <c r="D32" s="28" t="s">
        <v>102</v>
      </c>
      <c r="E32" s="28" t="s">
        <v>309</v>
      </c>
      <c r="F32" s="28" t="s">
        <v>310</v>
      </c>
      <c r="G32" s="28" t="s">
        <v>311</v>
      </c>
      <c r="H32" s="28">
        <v>25112</v>
      </c>
      <c r="I32" s="28">
        <v>38.386439000000003</v>
      </c>
      <c r="J32" s="28">
        <v>-81.798439999999999</v>
      </c>
      <c r="L32" s="61">
        <v>110064632312</v>
      </c>
      <c r="M32" s="28" t="s">
        <v>251</v>
      </c>
      <c r="N32" s="28">
        <v>2869</v>
      </c>
      <c r="O32" s="28" t="str">
        <f>IFERROR(VLOOKUP(N32, 'SIC &amp; NAICS Codes'!A:B, 2, FALSE), "")</f>
        <v>Industrial Organic Chemicals, NEC (aliphatics)</v>
      </c>
      <c r="S32" s="28">
        <v>1.4375770649999999</v>
      </c>
      <c r="T32" s="315">
        <f>_xlfn.MAXIFS('Raw Period DMR Data'!$O:$O,'Raw Period DMR Data'!$A:$A,'Raw Annual DMR Data'!B32,'Raw Period DMR Data'!$C:$C,X32)/S32</f>
        <v>0</v>
      </c>
      <c r="U32" s="28" t="str">
        <f>+IF(COUNTIFS('Raw Period DMR Data'!$A:$A,B32, 'Raw Period DMR Data'!C:C,'Raw Annual DMR Data'!X32, 'Raw Period DMR Data'!M:M, "&gt;0")&gt;0,_xlfn.MAXIFS('Raw Period DMR Data'!M:M,'Raw Period DMR Data'!$A:$A,'Raw Annual DMR Data'!B32,'Raw Period DMR Data'!C:C,'Raw Annual DMR Data'!X32), "N/A - Period DMR Data Not Available")</f>
        <v>N/A - Period DMR Data Not Available</v>
      </c>
      <c r="V32" s="28" t="str" cm="1">
        <f t="array" ref="V32">IFERROR(INDEX('Raw Period DMR Data'!N:N,MATCH(1,(B32='Raw Period DMR Data'!$A:$A)*(U32='Raw Period DMR Data'!M:M)*(X32='Raw Period DMR Data'!C:C),0),1), "N/A")</f>
        <v>N/A</v>
      </c>
      <c r="W32" s="28" t="s">
        <v>1463</v>
      </c>
      <c r="X32" s="28" t="s">
        <v>770</v>
      </c>
      <c r="Y32" s="28" t="s">
        <v>771</v>
      </c>
      <c r="Z32" s="61">
        <v>5050008000998</v>
      </c>
    </row>
    <row r="33" spans="1:29" x14ac:dyDescent="0.25">
      <c r="A33" s="61">
        <v>110064632312</v>
      </c>
      <c r="B33" s="28">
        <v>2016</v>
      </c>
      <c r="C33" s="68">
        <f t="shared" si="0"/>
        <v>42370</v>
      </c>
      <c r="D33" s="28" t="s">
        <v>102</v>
      </c>
      <c r="E33" s="28" t="s">
        <v>309</v>
      </c>
      <c r="F33" s="28" t="s">
        <v>310</v>
      </c>
      <c r="G33" s="28" t="s">
        <v>311</v>
      </c>
      <c r="H33" s="28">
        <v>25112</v>
      </c>
      <c r="I33" s="28">
        <v>38.386439000000003</v>
      </c>
      <c r="J33" s="28">
        <v>-81.798439999999999</v>
      </c>
      <c r="L33" s="61">
        <v>110064632312</v>
      </c>
      <c r="M33" s="28" t="s">
        <v>251</v>
      </c>
      <c r="N33" s="28">
        <v>2869</v>
      </c>
      <c r="O33" s="28" t="str">
        <f>IFERROR(VLOOKUP(N33, 'SIC &amp; NAICS Codes'!A:B, 2, FALSE), "")</f>
        <v>Industrial Organic Chemicals, NEC (aliphatics)</v>
      </c>
      <c r="S33" s="28">
        <v>4.6770582625000001</v>
      </c>
      <c r="T33" s="315">
        <f>_xlfn.MAXIFS('Raw Period DMR Data'!$O:$O,'Raw Period DMR Data'!$A:$A,'Raw Annual DMR Data'!B33,'Raw Period DMR Data'!$C:$C,X33)/S33</f>
        <v>0</v>
      </c>
      <c r="U33" s="28" t="str">
        <f>+IF(COUNTIFS('Raw Period DMR Data'!$A:$A,B33, 'Raw Period DMR Data'!C:C,'Raw Annual DMR Data'!X33, 'Raw Period DMR Data'!M:M, "&gt;0")&gt;0,_xlfn.MAXIFS('Raw Period DMR Data'!M:M,'Raw Period DMR Data'!$A:$A,'Raw Annual DMR Data'!B33,'Raw Period DMR Data'!C:C,'Raw Annual DMR Data'!X33), "N/A - Period DMR Data Not Available")</f>
        <v>N/A - Period DMR Data Not Available</v>
      </c>
      <c r="V33" s="28" t="str" cm="1">
        <f t="array" ref="V33">IFERROR(INDEX('Raw Period DMR Data'!N:N,MATCH(1,(B33='Raw Period DMR Data'!$A:$A)*(U33='Raw Period DMR Data'!M:M)*(X33='Raw Period DMR Data'!C:C),0),1), "N/A")</f>
        <v>N/A</v>
      </c>
      <c r="W33" s="28" t="s">
        <v>1463</v>
      </c>
      <c r="X33" s="28" t="s">
        <v>770</v>
      </c>
      <c r="Y33" s="28" t="s">
        <v>771</v>
      </c>
      <c r="Z33" s="61">
        <v>5050008000998</v>
      </c>
      <c r="AA33" s="28"/>
    </row>
    <row r="34" spans="1:29" x14ac:dyDescent="0.25">
      <c r="A34" s="61">
        <v>110064632312</v>
      </c>
      <c r="B34" s="28">
        <v>2016</v>
      </c>
      <c r="C34" s="68">
        <f t="shared" si="0"/>
        <v>42370</v>
      </c>
      <c r="D34" s="28" t="s">
        <v>102</v>
      </c>
      <c r="E34" s="28" t="s">
        <v>309</v>
      </c>
      <c r="F34" s="28" t="s">
        <v>310</v>
      </c>
      <c r="G34" s="28" t="s">
        <v>311</v>
      </c>
      <c r="H34" s="28">
        <v>25112</v>
      </c>
      <c r="I34" s="28">
        <v>38.386439000000003</v>
      </c>
      <c r="J34" s="28">
        <v>-81.798439999999999</v>
      </c>
      <c r="L34" s="61">
        <v>110064632312</v>
      </c>
      <c r="M34" s="28" t="s">
        <v>251</v>
      </c>
      <c r="N34" s="28">
        <v>2869</v>
      </c>
      <c r="O34" s="28" t="str">
        <f>IFERROR(VLOOKUP(N34, 'SIC &amp; NAICS Codes'!A:B, 2, FALSE), "")</f>
        <v>Industrial Organic Chemicals, NEC (aliphatics)</v>
      </c>
      <c r="S34" s="28">
        <v>2.12650793650793</v>
      </c>
      <c r="T34" s="315">
        <f>_xlfn.MAXIFS('Raw Period DMR Data'!$O:$O,'Raw Period DMR Data'!$A:$A,'Raw Annual DMR Data'!B34,'Raw Period DMR Data'!$C:$C,X34)/S34</f>
        <v>0</v>
      </c>
      <c r="U34" s="28" t="str">
        <f>+IF(COUNTIFS('Raw Period DMR Data'!$A:$A,B34, 'Raw Period DMR Data'!C:C,'Raw Annual DMR Data'!X34, 'Raw Period DMR Data'!M:M, "&gt;0")&gt;0,_xlfn.MAXIFS('Raw Period DMR Data'!M:M,'Raw Period DMR Data'!$A:$A,'Raw Annual DMR Data'!B34,'Raw Period DMR Data'!C:C,'Raw Annual DMR Data'!X34), "N/A - Period DMR Data Not Available")</f>
        <v>N/A - Period DMR Data Not Available</v>
      </c>
      <c r="V34" s="28" t="str" cm="1">
        <f t="array" ref="V34">IFERROR(INDEX('Raw Period DMR Data'!N:N,MATCH(1,(B34='Raw Period DMR Data'!$A:$A)*(U34='Raw Period DMR Data'!M:M)*(X34='Raw Period DMR Data'!C:C),0),1), "N/A")</f>
        <v>N/A</v>
      </c>
      <c r="W34" s="28" t="s">
        <v>1463</v>
      </c>
      <c r="X34" s="28" t="s">
        <v>770</v>
      </c>
      <c r="Y34" s="28" t="s">
        <v>771</v>
      </c>
      <c r="Z34" s="61">
        <v>5050008000998</v>
      </c>
      <c r="AA34" s="28"/>
    </row>
    <row r="35" spans="1:29" x14ac:dyDescent="0.25">
      <c r="A35" s="61">
        <v>110064632312</v>
      </c>
      <c r="B35" s="28">
        <v>2017</v>
      </c>
      <c r="C35" s="68">
        <f t="shared" si="0"/>
        <v>42736</v>
      </c>
      <c r="D35" s="28" t="s">
        <v>102</v>
      </c>
      <c r="E35" s="28" t="s">
        <v>309</v>
      </c>
      <c r="F35" s="28" t="s">
        <v>310</v>
      </c>
      <c r="G35" s="28" t="s">
        <v>311</v>
      </c>
      <c r="H35" s="28">
        <v>25112</v>
      </c>
      <c r="I35" s="28">
        <v>38.386439000000003</v>
      </c>
      <c r="J35" s="28">
        <v>-81.798439999999999</v>
      </c>
      <c r="L35" s="61">
        <v>110064632312</v>
      </c>
      <c r="M35" s="28" t="s">
        <v>251</v>
      </c>
      <c r="N35" s="28">
        <v>2869</v>
      </c>
      <c r="O35" s="28" t="str">
        <f>IFERROR(VLOOKUP(N35, 'SIC &amp; NAICS Codes'!A:B, 2, FALSE), "")</f>
        <v>Industrial Organic Chemicals, NEC (aliphatics)</v>
      </c>
      <c r="S35" s="28">
        <v>1.8369614512471599</v>
      </c>
      <c r="T35" s="315">
        <f>_xlfn.MAXIFS('Raw Period DMR Data'!$O:$O,'Raw Period DMR Data'!$A:$A,'Raw Annual DMR Data'!B35,'Raw Period DMR Data'!$C:$C,X35)/S35</f>
        <v>0</v>
      </c>
      <c r="U35" s="28" t="str">
        <f>+IF(COUNTIFS('Raw Period DMR Data'!$A:$A,B35, 'Raw Period DMR Data'!C:C,'Raw Annual DMR Data'!X35, 'Raw Period DMR Data'!M:M, "&gt;0")&gt;0,_xlfn.MAXIFS('Raw Period DMR Data'!M:M,'Raw Period DMR Data'!$A:$A,'Raw Annual DMR Data'!B35,'Raw Period DMR Data'!C:C,'Raw Annual DMR Data'!X35), "N/A - Period DMR Data Not Available")</f>
        <v>N/A - Period DMR Data Not Available</v>
      </c>
      <c r="V35" s="28" t="str" cm="1">
        <f t="array" ref="V35">IFERROR(INDEX('Raw Period DMR Data'!N:N,MATCH(1,(B35='Raw Period DMR Data'!$A:$A)*(U35='Raw Period DMR Data'!M:M)*(X35='Raw Period DMR Data'!C:C),0),1), "N/A")</f>
        <v>N/A</v>
      </c>
      <c r="W35" s="28" t="s">
        <v>1463</v>
      </c>
      <c r="X35" s="28" t="s">
        <v>770</v>
      </c>
      <c r="Y35" s="28" t="s">
        <v>771</v>
      </c>
      <c r="Z35" s="61">
        <v>5050008000998</v>
      </c>
      <c r="AA35" s="28"/>
    </row>
    <row r="36" spans="1:29" x14ac:dyDescent="0.25">
      <c r="A36" s="61">
        <v>110064632312</v>
      </c>
      <c r="B36" s="28">
        <v>2017</v>
      </c>
      <c r="C36" s="68">
        <f t="shared" si="0"/>
        <v>42736</v>
      </c>
      <c r="D36" s="28" t="s">
        <v>102</v>
      </c>
      <c r="E36" s="28" t="s">
        <v>309</v>
      </c>
      <c r="F36" s="28" t="s">
        <v>310</v>
      </c>
      <c r="G36" s="28" t="s">
        <v>311</v>
      </c>
      <c r="H36" s="28">
        <v>25112</v>
      </c>
      <c r="I36" s="28">
        <v>38.386439000000003</v>
      </c>
      <c r="J36" s="28">
        <v>-81.798439999999999</v>
      </c>
      <c r="L36" s="61">
        <v>110064632312</v>
      </c>
      <c r="M36" s="28" t="s">
        <v>251</v>
      </c>
      <c r="N36" s="28">
        <v>2869</v>
      </c>
      <c r="O36" s="28" t="str">
        <f>IFERROR(VLOOKUP(N36, 'SIC &amp; NAICS Codes'!A:B, 2, FALSE), "")</f>
        <v>Industrial Organic Chemicals, NEC (aliphatics)</v>
      </c>
      <c r="S36" s="28">
        <v>1.6374572375000001</v>
      </c>
      <c r="T36" s="315">
        <f>_xlfn.MAXIFS('Raw Period DMR Data'!$O:$O,'Raw Period DMR Data'!$A:$A,'Raw Annual DMR Data'!B36,'Raw Period DMR Data'!$C:$C,X36)/S36</f>
        <v>0</v>
      </c>
      <c r="U36" s="28" t="str">
        <f>+IF(COUNTIFS('Raw Period DMR Data'!$A:$A,B36, 'Raw Period DMR Data'!C:C,'Raw Annual DMR Data'!X36, 'Raw Period DMR Data'!M:M, "&gt;0")&gt;0,_xlfn.MAXIFS('Raw Period DMR Data'!M:M,'Raw Period DMR Data'!$A:$A,'Raw Annual DMR Data'!B36,'Raw Period DMR Data'!C:C,'Raw Annual DMR Data'!X36), "N/A - Period DMR Data Not Available")</f>
        <v>N/A - Period DMR Data Not Available</v>
      </c>
      <c r="V36" s="28" t="str" cm="1">
        <f t="array" ref="V36">IFERROR(INDEX('Raw Period DMR Data'!N:N,MATCH(1,(B36='Raw Period DMR Data'!$A:$A)*(U36='Raw Period DMR Data'!M:M)*(X36='Raw Period DMR Data'!C:C),0),1), "N/A")</f>
        <v>N/A</v>
      </c>
      <c r="W36" s="28" t="s">
        <v>1463</v>
      </c>
      <c r="X36" s="28" t="s">
        <v>770</v>
      </c>
      <c r="Y36" s="28" t="s">
        <v>771</v>
      </c>
      <c r="Z36" s="61">
        <v>5050008000998</v>
      </c>
      <c r="AA36" s="28"/>
    </row>
    <row r="37" spans="1:29" x14ac:dyDescent="0.25">
      <c r="A37" s="61">
        <v>110064632312</v>
      </c>
      <c r="B37" s="28">
        <v>2018</v>
      </c>
      <c r="C37" s="68">
        <f t="shared" si="0"/>
        <v>43101</v>
      </c>
      <c r="D37" s="28" t="s">
        <v>102</v>
      </c>
      <c r="E37" s="28" t="s">
        <v>309</v>
      </c>
      <c r="F37" s="28" t="s">
        <v>310</v>
      </c>
      <c r="G37" s="28" t="s">
        <v>311</v>
      </c>
      <c r="H37" s="28">
        <v>25112</v>
      </c>
      <c r="I37" s="28">
        <v>38.386439000000003</v>
      </c>
      <c r="J37" s="28">
        <v>-81.798439999999999</v>
      </c>
      <c r="L37" s="61">
        <v>110064632312</v>
      </c>
      <c r="M37" s="28" t="s">
        <v>251</v>
      </c>
      <c r="N37" s="28">
        <v>2869</v>
      </c>
      <c r="O37" s="28" t="str">
        <f>IFERROR(VLOOKUP(N37, 'SIC &amp; NAICS Codes'!A:B, 2, FALSE), "")</f>
        <v>Industrial Organic Chemicals, NEC (aliphatics)</v>
      </c>
      <c r="S37" s="28">
        <v>1.0687799124999999</v>
      </c>
      <c r="T37" s="315">
        <f>_xlfn.MAXIFS('Raw Period DMR Data'!$O:$O,'Raw Period DMR Data'!$A:$A,'Raw Annual DMR Data'!B37,'Raw Period DMR Data'!$C:$C,X37)/S37</f>
        <v>0</v>
      </c>
      <c r="U37" s="28" t="str">
        <f>+IF(COUNTIFS('Raw Period DMR Data'!$A:$A,B37, 'Raw Period DMR Data'!C:C,'Raw Annual DMR Data'!X37, 'Raw Period DMR Data'!M:M, "&gt;0")&gt;0,_xlfn.MAXIFS('Raw Period DMR Data'!M:M,'Raw Period DMR Data'!$A:$A,'Raw Annual DMR Data'!B37,'Raw Period DMR Data'!C:C,'Raw Annual DMR Data'!X37), "N/A - Period DMR Data Not Available")</f>
        <v>N/A - Period DMR Data Not Available</v>
      </c>
      <c r="V37" s="28" t="str" cm="1">
        <f t="array" ref="V37">IFERROR(INDEX('Raw Period DMR Data'!N:N,MATCH(1,(B37='Raw Period DMR Data'!$A:$A)*(U37='Raw Period DMR Data'!M:M)*(X37='Raw Period DMR Data'!C:C),0),1), "N/A")</f>
        <v>N/A</v>
      </c>
      <c r="W37" s="28" t="s">
        <v>1463</v>
      </c>
      <c r="X37" s="28" t="s">
        <v>770</v>
      </c>
      <c r="Y37" s="28" t="s">
        <v>771</v>
      </c>
      <c r="Z37" s="61">
        <v>5050008000998</v>
      </c>
    </row>
    <row r="38" spans="1:29" x14ac:dyDescent="0.25">
      <c r="A38" s="61">
        <v>110064632312</v>
      </c>
      <c r="B38" s="28">
        <v>2018</v>
      </c>
      <c r="C38" s="68">
        <f t="shared" si="0"/>
        <v>43101</v>
      </c>
      <c r="D38" s="28" t="s">
        <v>102</v>
      </c>
      <c r="E38" s="28" t="s">
        <v>309</v>
      </c>
      <c r="F38" s="28" t="s">
        <v>310</v>
      </c>
      <c r="G38" s="28" t="s">
        <v>311</v>
      </c>
      <c r="H38" s="28">
        <v>25112</v>
      </c>
      <c r="I38" s="28">
        <v>38.386439000000003</v>
      </c>
      <c r="J38" s="28">
        <v>-81.798439999999999</v>
      </c>
      <c r="L38" s="61">
        <v>110064632312</v>
      </c>
      <c r="M38" s="28" t="s">
        <v>251</v>
      </c>
      <c r="N38" s="28">
        <v>2869</v>
      </c>
      <c r="O38" s="28" t="str">
        <f>IFERROR(VLOOKUP(N38, 'SIC &amp; NAICS Codes'!A:B, 2, FALSE), "")</f>
        <v>Industrial Organic Chemicals, NEC (aliphatics)</v>
      </c>
      <c r="S38" s="28">
        <v>0.59589569160997702</v>
      </c>
      <c r="T38" s="315">
        <f>_xlfn.MAXIFS('Raw Period DMR Data'!$O:$O,'Raw Period DMR Data'!$A:$A,'Raw Annual DMR Data'!B38,'Raw Period DMR Data'!$C:$C,X38)/S38</f>
        <v>0</v>
      </c>
      <c r="U38" s="28" t="str">
        <f>+IF(COUNTIFS('Raw Period DMR Data'!$A:$A,B38, 'Raw Period DMR Data'!C:C,'Raw Annual DMR Data'!X38, 'Raw Period DMR Data'!M:M, "&gt;0")&gt;0,_xlfn.MAXIFS('Raw Period DMR Data'!M:M,'Raw Period DMR Data'!$A:$A,'Raw Annual DMR Data'!B38,'Raw Period DMR Data'!C:C,'Raw Annual DMR Data'!X38), "N/A - Period DMR Data Not Available")</f>
        <v>N/A - Period DMR Data Not Available</v>
      </c>
      <c r="V38" s="28" t="str" cm="1">
        <f t="array" ref="V38">IFERROR(INDEX('Raw Period DMR Data'!N:N,MATCH(1,(B38='Raw Period DMR Data'!$A:$A)*(U38='Raw Period DMR Data'!M:M)*(X38='Raw Period DMR Data'!C:C),0),1), "N/A")</f>
        <v>N/A</v>
      </c>
      <c r="W38" s="28" t="s">
        <v>1463</v>
      </c>
      <c r="X38" s="28" t="s">
        <v>770</v>
      </c>
      <c r="Y38" s="28" t="s">
        <v>771</v>
      </c>
      <c r="Z38" s="61">
        <v>5050008000998</v>
      </c>
    </row>
    <row r="39" spans="1:29" x14ac:dyDescent="0.25">
      <c r="A39" s="61">
        <v>110064632312</v>
      </c>
      <c r="B39" s="28">
        <v>2019</v>
      </c>
      <c r="C39" s="68">
        <f t="shared" si="0"/>
        <v>43466</v>
      </c>
      <c r="D39" s="28" t="s">
        <v>102</v>
      </c>
      <c r="E39" s="28" t="s">
        <v>309</v>
      </c>
      <c r="F39" s="28" t="s">
        <v>310</v>
      </c>
      <c r="G39" s="28" t="s">
        <v>311</v>
      </c>
      <c r="H39" s="28">
        <v>25112</v>
      </c>
      <c r="I39" s="28">
        <v>38.386439000000003</v>
      </c>
      <c r="J39" s="28">
        <v>-81.798439999999999</v>
      </c>
      <c r="L39" s="61">
        <v>110064632312</v>
      </c>
      <c r="M39" s="28" t="s">
        <v>251</v>
      </c>
      <c r="N39" s="28">
        <v>2869</v>
      </c>
      <c r="O39" s="28" t="str">
        <f>IFERROR(VLOOKUP(N39, 'SIC &amp; NAICS Codes'!A:B, 2, FALSE), "")</f>
        <v>Industrial Organic Chemicals, NEC (aliphatics)</v>
      </c>
      <c r="S39" s="28">
        <v>0.57910499999999998</v>
      </c>
      <c r="T39" s="315">
        <f>_xlfn.MAXIFS('Raw Period DMR Data'!$O:$O,'Raw Period DMR Data'!$A:$A,'Raw Annual DMR Data'!B39,'Raw Period DMR Data'!$C:$C,X39)/S39</f>
        <v>0</v>
      </c>
      <c r="U39" s="28" t="str">
        <f>+IF(COUNTIFS('Raw Period DMR Data'!$A:$A,B39, 'Raw Period DMR Data'!C:C,'Raw Annual DMR Data'!X39, 'Raw Period DMR Data'!M:M, "&gt;0")&gt;0,_xlfn.MAXIFS('Raw Period DMR Data'!M:M,'Raw Period DMR Data'!$A:$A,'Raw Annual DMR Data'!B39,'Raw Period DMR Data'!C:C,'Raw Annual DMR Data'!X39), "N/A - Period DMR Data Not Available")</f>
        <v>N/A - Period DMR Data Not Available</v>
      </c>
      <c r="V39" s="28" t="str" cm="1">
        <f t="array" ref="V39">IFERROR(INDEX('Raw Period DMR Data'!N:N,MATCH(1,(B39='Raw Period DMR Data'!$A:$A)*(U39='Raw Period DMR Data'!M:M)*(X39='Raw Period DMR Data'!C:C),0),1), "N/A")</f>
        <v>N/A</v>
      </c>
      <c r="W39" s="28" t="s">
        <v>1463</v>
      </c>
      <c r="X39" s="28" t="s">
        <v>770</v>
      </c>
      <c r="Y39" s="28" t="s">
        <v>771</v>
      </c>
      <c r="Z39" s="61">
        <v>5050008000998</v>
      </c>
    </row>
    <row r="40" spans="1:29" x14ac:dyDescent="0.25">
      <c r="A40" s="61">
        <v>110064632312</v>
      </c>
      <c r="B40" s="28">
        <v>2019</v>
      </c>
      <c r="C40" s="68">
        <f t="shared" si="0"/>
        <v>43466</v>
      </c>
      <c r="D40" s="28" t="s">
        <v>102</v>
      </c>
      <c r="E40" s="28" t="s">
        <v>309</v>
      </c>
      <c r="F40" s="28" t="s">
        <v>310</v>
      </c>
      <c r="G40" s="28" t="s">
        <v>311</v>
      </c>
      <c r="H40" s="28">
        <v>25112</v>
      </c>
      <c r="I40" s="28">
        <v>38.386439000000003</v>
      </c>
      <c r="J40" s="28">
        <v>-81.798439999999999</v>
      </c>
      <c r="L40" s="61">
        <v>110064632312</v>
      </c>
      <c r="M40" s="28" t="s">
        <v>251</v>
      </c>
      <c r="N40" s="28">
        <v>2869</v>
      </c>
      <c r="O40" s="28" t="str">
        <f>IFERROR(VLOOKUP(N40, 'SIC &amp; NAICS Codes'!A:B, 2, FALSE), "")</f>
        <v>Industrial Organic Chemicals, NEC (aliphatics)</v>
      </c>
      <c r="S40" s="28">
        <v>0.16621315192743699</v>
      </c>
      <c r="T40" s="315">
        <f>_xlfn.MAXIFS('Raw Period DMR Data'!$O:$O,'Raw Period DMR Data'!$A:$A,'Raw Annual DMR Data'!B40,'Raw Period DMR Data'!$C:$C,X40)/S40</f>
        <v>0</v>
      </c>
      <c r="U40" s="28" t="str">
        <f>+IF(COUNTIFS('Raw Period DMR Data'!$A:$A,B40, 'Raw Period DMR Data'!C:C,'Raw Annual DMR Data'!X40, 'Raw Period DMR Data'!M:M, "&gt;0")&gt;0,_xlfn.MAXIFS('Raw Period DMR Data'!M:M,'Raw Period DMR Data'!$A:$A,'Raw Annual DMR Data'!B40,'Raw Period DMR Data'!C:C,'Raw Annual DMR Data'!X40), "N/A - Period DMR Data Not Available")</f>
        <v>N/A - Period DMR Data Not Available</v>
      </c>
      <c r="V40" s="28" t="str" cm="1">
        <f t="array" ref="V40">IFERROR(INDEX('Raw Period DMR Data'!N:N,MATCH(1,(B40='Raw Period DMR Data'!$A:$A)*(U40='Raw Period DMR Data'!M:M)*(X40='Raw Period DMR Data'!C:C),0),1), "N/A")</f>
        <v>N/A</v>
      </c>
      <c r="W40" s="28" t="s">
        <v>1463</v>
      </c>
      <c r="X40" s="28" t="s">
        <v>770</v>
      </c>
      <c r="Y40" s="28" t="s">
        <v>771</v>
      </c>
      <c r="Z40" s="61">
        <v>5050008000998</v>
      </c>
    </row>
    <row r="41" spans="1:29" x14ac:dyDescent="0.25">
      <c r="A41" s="61">
        <v>110064632312</v>
      </c>
      <c r="B41" s="28">
        <v>2019</v>
      </c>
      <c r="C41" s="68">
        <f t="shared" si="0"/>
        <v>43466</v>
      </c>
      <c r="D41" s="28" t="s">
        <v>102</v>
      </c>
      <c r="E41" s="28" t="s">
        <v>309</v>
      </c>
      <c r="F41" s="28" t="s">
        <v>310</v>
      </c>
      <c r="G41" s="28" t="s">
        <v>311</v>
      </c>
      <c r="H41" s="28">
        <v>25112</v>
      </c>
      <c r="I41" s="28">
        <v>38.386439000000003</v>
      </c>
      <c r="J41" s="28">
        <v>-81.798439999999999</v>
      </c>
      <c r="L41" s="61">
        <v>110064632312</v>
      </c>
      <c r="M41" s="28" t="s">
        <v>251</v>
      </c>
      <c r="N41" s="28">
        <v>2869</v>
      </c>
      <c r="O41" s="28" t="str">
        <f>IFERROR(VLOOKUP(N41, 'SIC &amp; NAICS Codes'!A:B, 2, FALSE), "")</f>
        <v>Industrial Organic Chemicals, NEC (aliphatics)</v>
      </c>
      <c r="S41" s="28">
        <v>8.2176870748299297E-2</v>
      </c>
      <c r="T41" s="315">
        <f>_xlfn.MAXIFS('Raw Period DMR Data'!$O:$O,'Raw Period DMR Data'!$A:$A,'Raw Annual DMR Data'!B41,'Raw Period DMR Data'!$C:$C,X41)/S41</f>
        <v>0</v>
      </c>
      <c r="U41" s="28" t="str">
        <f>+IF(COUNTIFS('Raw Period DMR Data'!$A:$A,B41, 'Raw Period DMR Data'!C:C,'Raw Annual DMR Data'!X41, 'Raw Period DMR Data'!M:M, "&gt;0")&gt;0,_xlfn.MAXIFS('Raw Period DMR Data'!M:M,'Raw Period DMR Data'!$A:$A,'Raw Annual DMR Data'!B41,'Raw Period DMR Data'!C:C,'Raw Annual DMR Data'!X41), "N/A - Period DMR Data Not Available")</f>
        <v>N/A - Period DMR Data Not Available</v>
      </c>
      <c r="V41" s="28" t="str" cm="1">
        <f t="array" ref="V41">IFERROR(INDEX('Raw Period DMR Data'!N:N,MATCH(1,(B41='Raw Period DMR Data'!$A:$A)*(U41='Raw Period DMR Data'!M:M)*(X41='Raw Period DMR Data'!C:C),0),1), "N/A")</f>
        <v>N/A</v>
      </c>
      <c r="W41" s="28" t="s">
        <v>1463</v>
      </c>
      <c r="X41" s="28" t="s">
        <v>770</v>
      </c>
      <c r="Y41" s="28" t="s">
        <v>771</v>
      </c>
      <c r="Z41" s="61">
        <v>5050008000998</v>
      </c>
    </row>
    <row r="42" spans="1:29" x14ac:dyDescent="0.25">
      <c r="A42" s="61">
        <v>110064632312</v>
      </c>
      <c r="B42" s="28">
        <v>2020</v>
      </c>
      <c r="C42" s="68">
        <f t="shared" si="0"/>
        <v>43831</v>
      </c>
      <c r="D42" s="28" t="s">
        <v>102</v>
      </c>
      <c r="E42" s="28" t="s">
        <v>309</v>
      </c>
      <c r="F42" s="28" t="s">
        <v>310</v>
      </c>
      <c r="G42" s="28" t="s">
        <v>311</v>
      </c>
      <c r="H42" s="28">
        <v>25112</v>
      </c>
      <c r="I42" s="28">
        <v>38.386439000000003</v>
      </c>
      <c r="J42" s="28">
        <v>-81.798439999999999</v>
      </c>
      <c r="L42" s="61">
        <v>110064632312</v>
      </c>
      <c r="M42" s="28" t="s">
        <v>251</v>
      </c>
      <c r="N42" s="28">
        <v>2869</v>
      </c>
      <c r="O42" s="28" t="str">
        <f>IFERROR(VLOOKUP(N42, 'SIC &amp; NAICS Codes'!A:B, 2, FALSE), "")</f>
        <v>Industrial Organic Chemicals, NEC (aliphatics)</v>
      </c>
      <c r="S42" s="28">
        <v>0.206802721088435</v>
      </c>
      <c r="T42" s="315">
        <f>_xlfn.MAXIFS('Raw Period DMR Data'!$O:$O,'Raw Period DMR Data'!$A:$A,'Raw Annual DMR Data'!B42,'Raw Period DMR Data'!$C:$C,X42)/S42</f>
        <v>0</v>
      </c>
      <c r="U42" s="28" t="str">
        <f>+IF(COUNTIFS('Raw Period DMR Data'!$A:$A,B42, 'Raw Period DMR Data'!C:C,'Raw Annual DMR Data'!X42, 'Raw Period DMR Data'!M:M, "&gt;0")&gt;0,_xlfn.MAXIFS('Raw Period DMR Data'!M:M,'Raw Period DMR Data'!$A:$A,'Raw Annual DMR Data'!B42,'Raw Period DMR Data'!C:C,'Raw Annual DMR Data'!X42), "N/A - Period DMR Data Not Available")</f>
        <v>N/A - Period DMR Data Not Available</v>
      </c>
      <c r="V42" s="28" t="str" cm="1">
        <f t="array" ref="V42">IFERROR(INDEX('Raw Period DMR Data'!N:N,MATCH(1,(B42='Raw Period DMR Data'!$A:$A)*(U42='Raw Period DMR Data'!M:M)*(X42='Raw Period DMR Data'!C:C),0),1), "N/A")</f>
        <v>N/A</v>
      </c>
      <c r="W42" s="28" t="s">
        <v>1463</v>
      </c>
      <c r="X42" s="28" t="s">
        <v>770</v>
      </c>
      <c r="Y42" s="28" t="s">
        <v>771</v>
      </c>
      <c r="Z42" s="61">
        <v>5050008000998</v>
      </c>
    </row>
    <row r="43" spans="1:29" x14ac:dyDescent="0.25">
      <c r="A43" s="61">
        <v>110000846602</v>
      </c>
      <c r="B43" s="28">
        <v>2015</v>
      </c>
      <c r="C43" s="68">
        <f t="shared" si="0"/>
        <v>42005</v>
      </c>
      <c r="D43" s="28" t="s">
        <v>103</v>
      </c>
      <c r="E43" s="28" t="s">
        <v>313</v>
      </c>
      <c r="F43" s="28" t="s">
        <v>314</v>
      </c>
      <c r="G43" s="28" t="s">
        <v>303</v>
      </c>
      <c r="H43" s="28" t="s">
        <v>315</v>
      </c>
      <c r="I43" s="28">
        <v>30.27083</v>
      </c>
      <c r="J43" s="28">
        <v>-92.037279999999996</v>
      </c>
      <c r="L43" s="61">
        <v>110000846602</v>
      </c>
      <c r="M43" s="28" t="s">
        <v>253</v>
      </c>
      <c r="N43" s="28">
        <v>2821</v>
      </c>
      <c r="O43" s="28" t="str">
        <f>IFERROR(VLOOKUP(N43, 'SIC &amp; NAICS Codes'!A:B, 2, FALSE), "")</f>
        <v>Plastics Materials, Synthetic and Resins, and Nonvulcanizable Elastomers</v>
      </c>
      <c r="S43" s="28">
        <v>4.3039992000000003E-3</v>
      </c>
      <c r="T43" s="315">
        <f>_xlfn.MAXIFS('Raw Period DMR Data'!$O:$O,'Raw Period DMR Data'!$A:$A,'Raw Annual DMR Data'!B43,'Raw Period DMR Data'!$C:$C,X43)/S43</f>
        <v>0</v>
      </c>
      <c r="U43" s="28" t="str">
        <f>+IF(COUNTIFS('Raw Period DMR Data'!$A:$A,B43, 'Raw Period DMR Data'!C:C,'Raw Annual DMR Data'!X43, 'Raw Period DMR Data'!M:M, "&gt;0")&gt;0,_xlfn.MAXIFS('Raw Period DMR Data'!M:M,'Raw Period DMR Data'!$A:$A,'Raw Annual DMR Data'!B43,'Raw Period DMR Data'!C:C,'Raw Annual DMR Data'!X43), "N/A - Period DMR Data Not Available")</f>
        <v>N/A - Period DMR Data Not Available</v>
      </c>
      <c r="V43" s="28" t="str" cm="1">
        <f t="array" ref="V43">IFERROR(INDEX('Raw Period DMR Data'!N:N,MATCH(1,(B43='Raw Period DMR Data'!$A:$A)*(U43='Raw Period DMR Data'!M:M)*(X43='Raw Period DMR Data'!C:C),0),1), "N/A")</f>
        <v>N/A</v>
      </c>
      <c r="W43" s="28" t="s">
        <v>1463</v>
      </c>
      <c r="X43" s="28" t="s">
        <v>772</v>
      </c>
      <c r="Y43" s="28" t="s">
        <v>773</v>
      </c>
      <c r="Z43" s="61">
        <v>8080103002791</v>
      </c>
    </row>
    <row r="44" spans="1:29" x14ac:dyDescent="0.25">
      <c r="A44" s="61">
        <v>110000846602</v>
      </c>
      <c r="B44" s="28">
        <v>2019</v>
      </c>
      <c r="C44" s="68">
        <f t="shared" si="0"/>
        <v>43466</v>
      </c>
      <c r="D44" s="28" t="s">
        <v>103</v>
      </c>
      <c r="E44" s="28" t="s">
        <v>313</v>
      </c>
      <c r="F44" s="28" t="s">
        <v>314</v>
      </c>
      <c r="G44" s="28" t="s">
        <v>303</v>
      </c>
      <c r="H44" s="28" t="s">
        <v>315</v>
      </c>
      <c r="I44" s="28">
        <v>30.27083</v>
      </c>
      <c r="J44" s="28">
        <v>-92.037279999999996</v>
      </c>
      <c r="L44" s="61">
        <v>110000846602</v>
      </c>
      <c r="M44" s="28" t="s">
        <v>253</v>
      </c>
      <c r="N44" s="28">
        <v>2821</v>
      </c>
      <c r="O44" s="28" t="str">
        <f>IFERROR(VLOOKUP(N44, 'SIC &amp; NAICS Codes'!A:B, 2, FALSE), "")</f>
        <v>Plastics Materials, Synthetic and Resins, and Nonvulcanizable Elastomers</v>
      </c>
      <c r="S44" s="28">
        <v>1.0139258E-2</v>
      </c>
      <c r="T44" s="315">
        <f>_xlfn.MAXIFS('Raw Period DMR Data'!$O:$O,'Raw Period DMR Data'!$A:$A,'Raw Annual DMR Data'!B44,'Raw Period DMR Data'!$C:$C,X44)/S44</f>
        <v>0</v>
      </c>
      <c r="U44" s="28" t="str">
        <f>+IF(COUNTIFS('Raw Period DMR Data'!$A:$A,B44, 'Raw Period DMR Data'!C:C,'Raw Annual DMR Data'!X44, 'Raw Period DMR Data'!M:M, "&gt;0")&gt;0,_xlfn.MAXIFS('Raw Period DMR Data'!M:M,'Raw Period DMR Data'!$A:$A,'Raw Annual DMR Data'!B44,'Raw Period DMR Data'!C:C,'Raw Annual DMR Data'!X44), "N/A - Period DMR Data Not Available")</f>
        <v>N/A - Period DMR Data Not Available</v>
      </c>
      <c r="V44" s="28" t="str" cm="1">
        <f t="array" ref="V44">IFERROR(INDEX('Raw Period DMR Data'!N:N,MATCH(1,(B44='Raw Period DMR Data'!$A:$A)*(U44='Raw Period DMR Data'!M:M)*(X44='Raw Period DMR Data'!C:C),0),1), "N/A")</f>
        <v>N/A</v>
      </c>
      <c r="W44" s="28" t="s">
        <v>1463</v>
      </c>
      <c r="X44" s="28" t="s">
        <v>772</v>
      </c>
      <c r="Y44" s="28" t="s">
        <v>773</v>
      </c>
      <c r="Z44" s="61">
        <v>8080103002791</v>
      </c>
    </row>
    <row r="45" spans="1:29" x14ac:dyDescent="0.25">
      <c r="A45" s="61">
        <v>110000846602</v>
      </c>
      <c r="B45" s="28">
        <v>2020</v>
      </c>
      <c r="C45" s="68">
        <f t="shared" si="0"/>
        <v>43831</v>
      </c>
      <c r="D45" s="28" t="s">
        <v>103</v>
      </c>
      <c r="E45" s="28" t="s">
        <v>313</v>
      </c>
      <c r="F45" s="28" t="s">
        <v>314</v>
      </c>
      <c r="G45" s="28" t="s">
        <v>303</v>
      </c>
      <c r="H45" s="28" t="s">
        <v>315</v>
      </c>
      <c r="I45" s="28">
        <v>30.27083</v>
      </c>
      <c r="J45" s="28">
        <v>-92.037279999999996</v>
      </c>
      <c r="L45" s="61">
        <v>110000846602</v>
      </c>
      <c r="M45" s="28" t="s">
        <v>253</v>
      </c>
      <c r="N45" s="28">
        <v>2821</v>
      </c>
      <c r="O45" s="28" t="str">
        <f>IFERROR(VLOOKUP(N45, 'SIC &amp; NAICS Codes'!A:B, 2, FALSE), "")</f>
        <v>Plastics Materials, Synthetic and Resins, and Nonvulcanizable Elastomers</v>
      </c>
      <c r="S45" s="28">
        <v>7.9824892999999994E-3</v>
      </c>
      <c r="T45" s="315">
        <f>_xlfn.MAXIFS('Raw Period DMR Data'!$O:$O,'Raw Period DMR Data'!$A:$A,'Raw Annual DMR Data'!B45,'Raw Period DMR Data'!$C:$C,X45)/S45</f>
        <v>0</v>
      </c>
      <c r="U45" s="28" t="str">
        <f>+IF(COUNTIFS('Raw Period DMR Data'!$A:$A,B45, 'Raw Period DMR Data'!C:C,'Raw Annual DMR Data'!X45, 'Raw Period DMR Data'!M:M, "&gt;0")&gt;0,_xlfn.MAXIFS('Raw Period DMR Data'!M:M,'Raw Period DMR Data'!$A:$A,'Raw Annual DMR Data'!B45,'Raw Period DMR Data'!C:C,'Raw Annual DMR Data'!X45), "N/A - Period DMR Data Not Available")</f>
        <v>N/A - Period DMR Data Not Available</v>
      </c>
      <c r="V45" s="28" t="str" cm="1">
        <f t="array" ref="V45">IFERROR(INDEX('Raw Period DMR Data'!N:N,MATCH(1,(B45='Raw Period DMR Data'!$A:$A)*(U45='Raw Period DMR Data'!M:M)*(X45='Raw Period DMR Data'!C:C),0),1), "N/A")</f>
        <v>N/A</v>
      </c>
      <c r="W45" s="28" t="s">
        <v>1463</v>
      </c>
      <c r="X45" s="28" t="s">
        <v>772</v>
      </c>
      <c r="Y45" s="28" t="s">
        <v>773</v>
      </c>
      <c r="Z45" s="61">
        <v>8080103002791</v>
      </c>
    </row>
    <row r="46" spans="1:29" x14ac:dyDescent="0.25">
      <c r="A46" s="61">
        <v>110000846602</v>
      </c>
      <c r="B46" s="28">
        <v>2016</v>
      </c>
      <c r="C46" s="68">
        <f t="shared" si="0"/>
        <v>42370</v>
      </c>
      <c r="D46" s="28" t="s">
        <v>103</v>
      </c>
      <c r="E46" s="28" t="s">
        <v>313</v>
      </c>
      <c r="F46" s="28" t="s">
        <v>314</v>
      </c>
      <c r="G46" s="28" t="s">
        <v>303</v>
      </c>
      <c r="H46" s="28" t="s">
        <v>315</v>
      </c>
      <c r="I46" s="28">
        <v>30.27083</v>
      </c>
      <c r="J46" s="28">
        <v>-92.037279999999996</v>
      </c>
      <c r="L46" s="61">
        <v>110000846602</v>
      </c>
      <c r="M46" s="28" t="s">
        <v>253</v>
      </c>
      <c r="N46" s="28">
        <v>2821</v>
      </c>
      <c r="O46" s="28" t="str">
        <f>IFERROR(VLOOKUP(N46, 'SIC &amp; NAICS Codes'!A:B, 2, FALSE), "")</f>
        <v>Plastics Materials, Synthetic and Resins, and Nonvulcanizable Elastomers</v>
      </c>
      <c r="S46" s="28">
        <v>2.6315615602500002E-3</v>
      </c>
      <c r="T46" s="315">
        <f>_xlfn.MAXIFS('Raw Period DMR Data'!$O:$O,'Raw Period DMR Data'!$A:$A,'Raw Annual DMR Data'!B46,'Raw Period DMR Data'!$C:$C,X46)/S46</f>
        <v>0</v>
      </c>
      <c r="U46" s="28" t="str">
        <f>+IF(COUNTIFS('Raw Period DMR Data'!$A:$A,B46, 'Raw Period DMR Data'!C:C,'Raw Annual DMR Data'!X46, 'Raw Period DMR Data'!M:M, "&gt;0")&gt;0,_xlfn.MAXIFS('Raw Period DMR Data'!M:M,'Raw Period DMR Data'!$A:$A,'Raw Annual DMR Data'!B46,'Raw Period DMR Data'!C:C,'Raw Annual DMR Data'!X46), "N/A - Period DMR Data Not Available")</f>
        <v>N/A - Period DMR Data Not Available</v>
      </c>
      <c r="V46" s="28" t="str" cm="1">
        <f t="array" ref="V46">IFERROR(INDEX('Raw Period DMR Data'!N:N,MATCH(1,(B46='Raw Period DMR Data'!$A:$A)*(U46='Raw Period DMR Data'!M:M)*(X46='Raw Period DMR Data'!C:C),0),1), "N/A")</f>
        <v>N/A</v>
      </c>
      <c r="W46" s="28" t="s">
        <v>1463</v>
      </c>
      <c r="X46" s="28" t="s">
        <v>772</v>
      </c>
      <c r="Y46" s="28" t="s">
        <v>773</v>
      </c>
      <c r="Z46" s="28">
        <v>8080103002791</v>
      </c>
      <c r="AA46" s="28"/>
      <c r="AB46" s="28" t="s">
        <v>1465</v>
      </c>
      <c r="AC46" s="28" t="s">
        <v>1466</v>
      </c>
    </row>
    <row r="47" spans="1:29" x14ac:dyDescent="0.25">
      <c r="A47" s="61">
        <v>110000846602</v>
      </c>
      <c r="B47" s="28">
        <v>2017</v>
      </c>
      <c r="C47" s="68">
        <f t="shared" si="0"/>
        <v>42736</v>
      </c>
      <c r="D47" s="28" t="s">
        <v>103</v>
      </c>
      <c r="E47" s="28" t="s">
        <v>313</v>
      </c>
      <c r="F47" s="28" t="s">
        <v>314</v>
      </c>
      <c r="G47" s="28" t="s">
        <v>303</v>
      </c>
      <c r="H47" s="28" t="s">
        <v>315</v>
      </c>
      <c r="I47" s="28">
        <v>30.27083</v>
      </c>
      <c r="J47" s="28">
        <v>-92.037279999999996</v>
      </c>
      <c r="L47" s="61">
        <v>110000846602</v>
      </c>
      <c r="M47" s="28" t="s">
        <v>253</v>
      </c>
      <c r="N47" s="28">
        <v>2821</v>
      </c>
      <c r="O47" s="28" t="str">
        <f>IFERROR(VLOOKUP(N47, 'SIC &amp; NAICS Codes'!A:B, 2, FALSE), "")</f>
        <v>Plastics Materials, Synthetic and Resins, and Nonvulcanizable Elastomers</v>
      </c>
      <c r="S47" s="28">
        <v>2.6538591845000001E-3</v>
      </c>
      <c r="T47" s="315">
        <f>_xlfn.MAXIFS('Raw Period DMR Data'!$O:$O,'Raw Period DMR Data'!$A:$A,'Raw Annual DMR Data'!B47,'Raw Period DMR Data'!$C:$C,X47)/S47</f>
        <v>0</v>
      </c>
      <c r="U47" s="28" t="str">
        <f>+IF(COUNTIFS('Raw Period DMR Data'!$A:$A,B47, 'Raw Period DMR Data'!C:C,'Raw Annual DMR Data'!X47, 'Raw Period DMR Data'!M:M, "&gt;0")&gt;0,_xlfn.MAXIFS('Raw Period DMR Data'!M:M,'Raw Period DMR Data'!$A:$A,'Raw Annual DMR Data'!B47,'Raw Period DMR Data'!C:C,'Raw Annual DMR Data'!X47), "N/A - Period DMR Data Not Available")</f>
        <v>N/A - Period DMR Data Not Available</v>
      </c>
      <c r="V47" s="28" t="str" cm="1">
        <f t="array" ref="V47">IFERROR(INDEX('Raw Period DMR Data'!N:N,MATCH(1,(B47='Raw Period DMR Data'!$A:$A)*(U47='Raw Period DMR Data'!M:M)*(X47='Raw Period DMR Data'!C:C),0),1), "N/A")</f>
        <v>N/A</v>
      </c>
      <c r="W47" s="28" t="s">
        <v>1463</v>
      </c>
      <c r="X47" s="28" t="s">
        <v>772</v>
      </c>
      <c r="Y47" s="28" t="s">
        <v>773</v>
      </c>
      <c r="Z47" s="28">
        <v>8080103002791</v>
      </c>
      <c r="AA47" s="28"/>
      <c r="AB47" s="28" t="s">
        <v>1465</v>
      </c>
      <c r="AC47" s="28" t="s">
        <v>1466</v>
      </c>
    </row>
    <row r="48" spans="1:29" x14ac:dyDescent="0.25">
      <c r="A48" s="61">
        <v>110000846602</v>
      </c>
      <c r="B48" s="28">
        <v>2018</v>
      </c>
      <c r="C48" s="68">
        <f t="shared" si="0"/>
        <v>43101</v>
      </c>
      <c r="D48" s="28" t="s">
        <v>103</v>
      </c>
      <c r="E48" s="28" t="s">
        <v>313</v>
      </c>
      <c r="F48" s="28" t="s">
        <v>314</v>
      </c>
      <c r="G48" s="28" t="s">
        <v>303</v>
      </c>
      <c r="H48" s="28" t="s">
        <v>315</v>
      </c>
      <c r="I48" s="28">
        <v>30.27083</v>
      </c>
      <c r="J48" s="28">
        <v>-92.037279999999996</v>
      </c>
      <c r="L48" s="61">
        <v>110000846602</v>
      </c>
      <c r="M48" s="28" t="s">
        <v>253</v>
      </c>
      <c r="N48" s="28">
        <v>2821</v>
      </c>
      <c r="O48" s="28" t="str">
        <f>IFERROR(VLOOKUP(N48, 'SIC &amp; NAICS Codes'!A:B, 2, FALSE), "")</f>
        <v>Plastics Materials, Synthetic and Resins, and Nonvulcanizable Elastomers</v>
      </c>
      <c r="S48" s="28">
        <v>5.9714998750000003E-3</v>
      </c>
      <c r="T48" s="315">
        <f>_xlfn.MAXIFS('Raw Period DMR Data'!$O:$O,'Raw Period DMR Data'!$A:$A,'Raw Annual DMR Data'!B48,'Raw Period DMR Data'!$C:$C,X48)/S48</f>
        <v>0</v>
      </c>
      <c r="U48" s="28" t="str">
        <f>+IF(COUNTIFS('Raw Period DMR Data'!$A:$A,B48, 'Raw Period DMR Data'!C:C,'Raw Annual DMR Data'!X48, 'Raw Period DMR Data'!M:M, "&gt;0")&gt;0,_xlfn.MAXIFS('Raw Period DMR Data'!M:M,'Raw Period DMR Data'!$A:$A,'Raw Annual DMR Data'!B48,'Raw Period DMR Data'!C:C,'Raw Annual DMR Data'!X48), "N/A - Period DMR Data Not Available")</f>
        <v>N/A - Period DMR Data Not Available</v>
      </c>
      <c r="V48" s="28" t="str" cm="1">
        <f t="array" ref="V48">IFERROR(INDEX('Raw Period DMR Data'!N:N,MATCH(1,(B48='Raw Period DMR Data'!$A:$A)*(U48='Raw Period DMR Data'!M:M)*(X48='Raw Period DMR Data'!C:C),0),1), "N/A")</f>
        <v>N/A</v>
      </c>
      <c r="W48" s="28" t="s">
        <v>1463</v>
      </c>
      <c r="X48" s="28" t="s">
        <v>772</v>
      </c>
      <c r="Y48" s="28" t="s">
        <v>773</v>
      </c>
      <c r="Z48" s="302" t="s">
        <v>1476</v>
      </c>
      <c r="AA48" s="28"/>
      <c r="AB48" s="28" t="s">
        <v>1465</v>
      </c>
      <c r="AC48" s="28" t="s">
        <v>1466</v>
      </c>
    </row>
    <row r="49" spans="1:29" x14ac:dyDescent="0.25">
      <c r="A49" s="61">
        <v>110070545578</v>
      </c>
      <c r="B49" s="28">
        <v>2019</v>
      </c>
      <c r="C49" s="68">
        <f t="shared" si="0"/>
        <v>43466</v>
      </c>
      <c r="D49" s="28" t="s">
        <v>969</v>
      </c>
      <c r="E49" s="28" t="s">
        <v>1477</v>
      </c>
      <c r="F49" s="28" t="s">
        <v>293</v>
      </c>
      <c r="G49" s="28" t="s">
        <v>294</v>
      </c>
      <c r="H49" s="28">
        <v>22205</v>
      </c>
      <c r="I49" s="28">
        <v>38.845162999999999</v>
      </c>
      <c r="J49" s="28">
        <v>-77.050687999999994</v>
      </c>
      <c r="L49" s="61">
        <v>110070545578</v>
      </c>
      <c r="M49" s="28" t="s">
        <v>265</v>
      </c>
      <c r="N49" s="28">
        <v>1794</v>
      </c>
      <c r="O49" s="28" t="str">
        <f>IFERROR(VLOOKUP(N49, 'SIC &amp; NAICS Codes'!A:B, 2, FALSE), "")</f>
        <v>Excavation Work</v>
      </c>
      <c r="S49" s="28">
        <v>0.60161238705749898</v>
      </c>
      <c r="T49" s="315">
        <f>_xlfn.MAXIFS('Raw Period DMR Data'!$O:$O,'Raw Period DMR Data'!$A:$A,'Raw Annual DMR Data'!B49,'Raw Period DMR Data'!$C:$C,X49)/S49</f>
        <v>0</v>
      </c>
      <c r="U49" s="28" t="str">
        <f>+IF(COUNTIFS('Raw Period DMR Data'!$A:$A,B49, 'Raw Period DMR Data'!C:C,'Raw Annual DMR Data'!X49, 'Raw Period DMR Data'!M:M, "&gt;0")&gt;0,_xlfn.MAXIFS('Raw Period DMR Data'!M:M,'Raw Period DMR Data'!$A:$A,'Raw Annual DMR Data'!B49,'Raw Period DMR Data'!C:C,'Raw Annual DMR Data'!X49), "N/A - Period DMR Data Not Available")</f>
        <v>N/A - Period DMR Data Not Available</v>
      </c>
      <c r="V49" s="28" t="str" cm="1">
        <f t="array" ref="V49">IFERROR(INDEX('Raw Period DMR Data'!N:N,MATCH(1,(B49='Raw Period DMR Data'!$A:$A)*(U49='Raw Period DMR Data'!M:M)*(X49='Raw Period DMR Data'!C:C),0),1), "N/A")</f>
        <v>N/A</v>
      </c>
      <c r="W49" s="28" t="s">
        <v>1463</v>
      </c>
      <c r="X49" s="28" t="s">
        <v>1478</v>
      </c>
      <c r="Y49" s="28" t="s">
        <v>1475</v>
      </c>
      <c r="AA49" s="28"/>
      <c r="AB49" s="28" t="s">
        <v>1465</v>
      </c>
      <c r="AC49" s="28" t="s">
        <v>1466</v>
      </c>
    </row>
    <row r="50" spans="1:29" x14ac:dyDescent="0.25">
      <c r="A50" s="61">
        <v>110070545578</v>
      </c>
      <c r="B50" s="28">
        <v>2020</v>
      </c>
      <c r="C50" s="68">
        <f t="shared" si="0"/>
        <v>43831</v>
      </c>
      <c r="D50" s="28" t="s">
        <v>969</v>
      </c>
      <c r="E50" s="28" t="s">
        <v>1477</v>
      </c>
      <c r="F50" s="28" t="s">
        <v>293</v>
      </c>
      <c r="G50" s="28" t="s">
        <v>294</v>
      </c>
      <c r="H50" s="28">
        <v>22205</v>
      </c>
      <c r="I50" s="28">
        <v>38.845162999999999</v>
      </c>
      <c r="J50" s="28">
        <v>-77.050687999999994</v>
      </c>
      <c r="L50" s="61">
        <v>110070545578</v>
      </c>
      <c r="M50" s="28" t="s">
        <v>265</v>
      </c>
      <c r="N50" s="28">
        <v>1794</v>
      </c>
      <c r="O50" s="28" t="str">
        <f>IFERROR(VLOOKUP(N50, 'SIC &amp; NAICS Codes'!A:B, 2, FALSE), "")</f>
        <v>Excavation Work</v>
      </c>
      <c r="S50" s="28">
        <v>7.2228360149999898E-3</v>
      </c>
      <c r="T50" s="315">
        <f>_xlfn.MAXIFS('Raw Period DMR Data'!$O:$O,'Raw Period DMR Data'!$A:$A,'Raw Annual DMR Data'!B50,'Raw Period DMR Data'!$C:$C,X50)/S50</f>
        <v>0</v>
      </c>
      <c r="U50" s="28" t="str">
        <f>+IF(COUNTIFS('Raw Period DMR Data'!$A:$A,B50, 'Raw Period DMR Data'!C:C,'Raw Annual DMR Data'!X50, 'Raw Period DMR Data'!M:M, "&gt;0")&gt;0,_xlfn.MAXIFS('Raw Period DMR Data'!M:M,'Raw Period DMR Data'!$A:$A,'Raw Annual DMR Data'!B50,'Raw Period DMR Data'!C:C,'Raw Annual DMR Data'!X50), "N/A - Period DMR Data Not Available")</f>
        <v>N/A - Period DMR Data Not Available</v>
      </c>
      <c r="V50" s="28" t="str" cm="1">
        <f t="array" ref="V50">IFERROR(INDEX('Raw Period DMR Data'!N:N,MATCH(1,(B50='Raw Period DMR Data'!$A:$A)*(U50='Raw Period DMR Data'!M:M)*(X50='Raw Period DMR Data'!C:C),0),1), "N/A")</f>
        <v>N/A</v>
      </c>
      <c r="W50" s="28" t="s">
        <v>1463</v>
      </c>
      <c r="X50" s="28" t="s">
        <v>1478</v>
      </c>
      <c r="Y50" s="28" t="s">
        <v>1475</v>
      </c>
      <c r="AA50" s="28"/>
      <c r="AB50" s="28" t="s">
        <v>1465</v>
      </c>
      <c r="AC50" s="28" t="s">
        <v>1466</v>
      </c>
    </row>
    <row r="51" spans="1:29" x14ac:dyDescent="0.25">
      <c r="A51" s="61">
        <v>110015943559</v>
      </c>
      <c r="B51" s="28">
        <v>2016</v>
      </c>
      <c r="C51" s="68">
        <f t="shared" si="0"/>
        <v>42370</v>
      </c>
      <c r="D51" s="28" t="s">
        <v>970</v>
      </c>
      <c r="E51" s="28" t="s">
        <v>1479</v>
      </c>
      <c r="F51" s="28" t="s">
        <v>962</v>
      </c>
      <c r="G51" s="28" t="s">
        <v>374</v>
      </c>
      <c r="H51" s="28" t="s">
        <v>1480</v>
      </c>
      <c r="I51" s="28">
        <v>33.846469999999997</v>
      </c>
      <c r="J51" s="28">
        <v>-112.13712</v>
      </c>
      <c r="L51" s="61">
        <v>110015943559</v>
      </c>
      <c r="M51" s="28" t="s">
        <v>263</v>
      </c>
      <c r="N51" s="28">
        <v>4952</v>
      </c>
      <c r="O51" s="28" t="str">
        <f>IFERROR(VLOOKUP(N51, 'SIC &amp; NAICS Codes'!A:B, 2, FALSE), "")</f>
        <v>Sewerage Systems</v>
      </c>
      <c r="S51" s="28">
        <v>0.40510855000000001</v>
      </c>
      <c r="T51" s="315">
        <f>_xlfn.MAXIFS('Raw Period DMR Data'!$O:$O,'Raw Period DMR Data'!$A:$A,'Raw Annual DMR Data'!B51,'Raw Period DMR Data'!$C:$C,X51)/S51</f>
        <v>0</v>
      </c>
      <c r="U51" s="28" t="str">
        <f>+IF(COUNTIFS('Raw Period DMR Data'!$A:$A,B51, 'Raw Period DMR Data'!C:C,'Raw Annual DMR Data'!X51, 'Raw Period DMR Data'!M:M, "&gt;0")&gt;0,_xlfn.MAXIFS('Raw Period DMR Data'!M:M,'Raw Period DMR Data'!$A:$A,'Raw Annual DMR Data'!B51,'Raw Period DMR Data'!C:C,'Raw Annual DMR Data'!X51), "N/A - Period DMR Data Not Available")</f>
        <v>N/A - Period DMR Data Not Available</v>
      </c>
      <c r="V51" s="28" t="str" cm="1">
        <f t="array" ref="V51">IFERROR(INDEX('Raw Period DMR Data'!N:N,MATCH(1,(B51='Raw Period DMR Data'!$A:$A)*(U51='Raw Period DMR Data'!M:M)*(X51='Raw Period DMR Data'!C:C),0),1), "N/A")</f>
        <v>N/A</v>
      </c>
      <c r="W51" s="28" t="s">
        <v>1463</v>
      </c>
      <c r="X51" s="28" t="s">
        <v>1481</v>
      </c>
      <c r="Z51" s="28">
        <v>15070104000290</v>
      </c>
      <c r="AA51" s="28"/>
      <c r="AB51" s="28" t="s">
        <v>1465</v>
      </c>
      <c r="AC51" s="28" t="s">
        <v>1466</v>
      </c>
    </row>
    <row r="52" spans="1:29" x14ac:dyDescent="0.25">
      <c r="A52" s="61">
        <v>110010062314</v>
      </c>
      <c r="B52" s="28">
        <v>2016</v>
      </c>
      <c r="C52" s="68">
        <f t="shared" si="0"/>
        <v>42370</v>
      </c>
      <c r="D52" s="28" t="s">
        <v>971</v>
      </c>
      <c r="E52" s="28" t="s">
        <v>1482</v>
      </c>
      <c r="F52" s="28" t="s">
        <v>972</v>
      </c>
      <c r="G52" s="28" t="s">
        <v>374</v>
      </c>
      <c r="H52" s="28">
        <v>85220</v>
      </c>
      <c r="I52" s="28">
        <v>33.358879999999999</v>
      </c>
      <c r="J52" s="28">
        <v>-111.55722</v>
      </c>
      <c r="L52" s="61">
        <v>110010062314</v>
      </c>
      <c r="M52" s="28" t="s">
        <v>263</v>
      </c>
      <c r="N52" s="28">
        <v>4952</v>
      </c>
      <c r="O52" s="28" t="str">
        <f>IFERROR(VLOOKUP(N52, 'SIC &amp; NAICS Codes'!A:B, 2, FALSE), "")</f>
        <v>Sewerage Systems</v>
      </c>
      <c r="S52" s="28">
        <v>9.6361368749999995E-2</v>
      </c>
      <c r="T52" s="315">
        <f>_xlfn.MAXIFS('Raw Period DMR Data'!$O:$O,'Raw Period DMR Data'!$A:$A,'Raw Annual DMR Data'!B52,'Raw Period DMR Data'!$C:$C,X52)/S52</f>
        <v>0</v>
      </c>
      <c r="U52" s="28" t="str">
        <f>+IF(COUNTIFS('Raw Period DMR Data'!$A:$A,B52, 'Raw Period DMR Data'!C:C,'Raw Annual DMR Data'!X52, 'Raw Period DMR Data'!M:M, "&gt;0")&gt;0,_xlfn.MAXIFS('Raw Period DMR Data'!M:M,'Raw Period DMR Data'!$A:$A,'Raw Annual DMR Data'!B52,'Raw Period DMR Data'!C:C,'Raw Annual DMR Data'!X52), "N/A - Period DMR Data Not Available")</f>
        <v>N/A - Period DMR Data Not Available</v>
      </c>
      <c r="V52" s="28" t="str" cm="1">
        <f t="array" ref="V52">IFERROR(INDEX('Raw Period DMR Data'!N:N,MATCH(1,(B52='Raw Period DMR Data'!$A:$A)*(U52='Raw Period DMR Data'!M:M)*(X52='Raw Period DMR Data'!C:C),0),1), "N/A")</f>
        <v>N/A</v>
      </c>
      <c r="W52" s="28" t="s">
        <v>1463</v>
      </c>
      <c r="X52" s="28" t="s">
        <v>1483</v>
      </c>
      <c r="Z52" s="28">
        <v>15070102000561</v>
      </c>
      <c r="AA52" s="28"/>
      <c r="AB52" s="28" t="s">
        <v>1465</v>
      </c>
      <c r="AC52" s="28" t="s">
        <v>263</v>
      </c>
    </row>
    <row r="53" spans="1:29" x14ac:dyDescent="0.25">
      <c r="A53" s="61">
        <v>110010062314</v>
      </c>
      <c r="B53" s="28">
        <v>2017</v>
      </c>
      <c r="C53" s="68">
        <f t="shared" si="0"/>
        <v>42736</v>
      </c>
      <c r="D53" s="28" t="s">
        <v>971</v>
      </c>
      <c r="E53" s="28" t="s">
        <v>1482</v>
      </c>
      <c r="F53" s="28" t="s">
        <v>972</v>
      </c>
      <c r="G53" s="28" t="s">
        <v>374</v>
      </c>
      <c r="H53" s="28">
        <v>85220</v>
      </c>
      <c r="I53" s="28">
        <v>33.358879999999999</v>
      </c>
      <c r="J53" s="28">
        <v>-111.55722</v>
      </c>
      <c r="L53" s="61">
        <v>110010062314</v>
      </c>
      <c r="M53" s="28" t="s">
        <v>263</v>
      </c>
      <c r="N53" s="28">
        <v>4952</v>
      </c>
      <c r="O53" s="28" t="str">
        <f>IFERROR(VLOOKUP(N53, 'SIC &amp; NAICS Codes'!A:B, 2, FALSE), "")</f>
        <v>Sewerage Systems</v>
      </c>
      <c r="S53" s="28">
        <v>0.24411546749999999</v>
      </c>
      <c r="T53" s="315">
        <f>_xlfn.MAXIFS('Raw Period DMR Data'!$O:$O,'Raw Period DMR Data'!$A:$A,'Raw Annual DMR Data'!B53,'Raw Period DMR Data'!$C:$C,X53)/S53</f>
        <v>0</v>
      </c>
      <c r="U53" s="28" t="str">
        <f>+IF(COUNTIFS('Raw Period DMR Data'!$A:$A,B53, 'Raw Period DMR Data'!C:C,'Raw Annual DMR Data'!X53, 'Raw Period DMR Data'!M:M, "&gt;0")&gt;0,_xlfn.MAXIFS('Raw Period DMR Data'!M:M,'Raw Period DMR Data'!$A:$A,'Raw Annual DMR Data'!B53,'Raw Period DMR Data'!C:C,'Raw Annual DMR Data'!X53), "N/A - Period DMR Data Not Available")</f>
        <v>N/A - Period DMR Data Not Available</v>
      </c>
      <c r="V53" s="28" t="str" cm="1">
        <f t="array" ref="V53">IFERROR(INDEX('Raw Period DMR Data'!N:N,MATCH(1,(B53='Raw Period DMR Data'!$A:$A)*(U53='Raw Period DMR Data'!M:M)*(X53='Raw Period DMR Data'!C:C),0),1), "N/A")</f>
        <v>N/A</v>
      </c>
      <c r="W53" s="28" t="s">
        <v>1463</v>
      </c>
      <c r="X53" s="28" t="s">
        <v>1483</v>
      </c>
      <c r="Z53" s="28">
        <v>15070102000561</v>
      </c>
      <c r="AA53" s="28"/>
      <c r="AB53" s="28" t="s">
        <v>1465</v>
      </c>
      <c r="AC53" s="28" t="s">
        <v>263</v>
      </c>
    </row>
    <row r="54" spans="1:29" x14ac:dyDescent="0.25">
      <c r="A54" s="61">
        <v>110010062314</v>
      </c>
      <c r="B54" s="28">
        <v>2018</v>
      </c>
      <c r="C54" s="68">
        <f t="shared" si="0"/>
        <v>43101</v>
      </c>
      <c r="D54" s="28" t="s">
        <v>971</v>
      </c>
      <c r="E54" s="28" t="s">
        <v>1482</v>
      </c>
      <c r="F54" s="28" t="s">
        <v>972</v>
      </c>
      <c r="G54" s="28" t="s">
        <v>374</v>
      </c>
      <c r="H54" s="28">
        <v>85220</v>
      </c>
      <c r="I54" s="28">
        <v>33.358879999999999</v>
      </c>
      <c r="J54" s="28">
        <v>-111.55722</v>
      </c>
      <c r="L54" s="61">
        <v>110010062314</v>
      </c>
      <c r="M54" s="28" t="s">
        <v>263</v>
      </c>
      <c r="N54" s="28">
        <v>4952</v>
      </c>
      <c r="O54" s="28" t="str">
        <f>IFERROR(VLOOKUP(N54, 'SIC &amp; NAICS Codes'!A:B, 2, FALSE), "")</f>
        <v>Sewerage Systems</v>
      </c>
      <c r="S54" s="28">
        <v>0.22698455749999999</v>
      </c>
      <c r="T54" s="315">
        <f>_xlfn.MAXIFS('Raw Period DMR Data'!$O:$O,'Raw Period DMR Data'!$A:$A,'Raw Annual DMR Data'!B54,'Raw Period DMR Data'!$C:$C,X54)/S54</f>
        <v>0</v>
      </c>
      <c r="U54" s="28" t="str">
        <f>+IF(COUNTIFS('Raw Period DMR Data'!$A:$A,B54, 'Raw Period DMR Data'!C:C,'Raw Annual DMR Data'!X54, 'Raw Period DMR Data'!M:M, "&gt;0")&gt;0,_xlfn.MAXIFS('Raw Period DMR Data'!M:M,'Raw Period DMR Data'!$A:$A,'Raw Annual DMR Data'!B54,'Raw Period DMR Data'!C:C,'Raw Annual DMR Data'!X54), "N/A - Period DMR Data Not Available")</f>
        <v>N/A - Period DMR Data Not Available</v>
      </c>
      <c r="V54" s="28" t="str" cm="1">
        <f t="array" ref="V54">IFERROR(INDEX('Raw Period DMR Data'!N:N,MATCH(1,(B54='Raw Period DMR Data'!$A:$A)*(U54='Raw Period DMR Data'!M:M)*(X54='Raw Period DMR Data'!C:C),0),1), "N/A")</f>
        <v>N/A</v>
      </c>
      <c r="W54" s="28" t="s">
        <v>1463</v>
      </c>
      <c r="X54" s="28" t="s">
        <v>1483</v>
      </c>
      <c r="Z54" s="28">
        <v>15070102000561</v>
      </c>
      <c r="AA54" s="28"/>
      <c r="AB54" s="28" t="s">
        <v>1465</v>
      </c>
      <c r="AC54" s="28" t="s">
        <v>263</v>
      </c>
    </row>
    <row r="55" spans="1:29" x14ac:dyDescent="0.25">
      <c r="A55" s="61">
        <v>110000604490</v>
      </c>
      <c r="B55" s="28">
        <v>2015</v>
      </c>
      <c r="C55" s="68">
        <f t="shared" si="0"/>
        <v>42005</v>
      </c>
      <c r="D55" s="28" t="s">
        <v>973</v>
      </c>
      <c r="E55" s="28" t="s">
        <v>1484</v>
      </c>
      <c r="F55" s="28" t="s">
        <v>974</v>
      </c>
      <c r="G55" s="28" t="s">
        <v>541</v>
      </c>
      <c r="H55" s="28" t="s">
        <v>1485</v>
      </c>
      <c r="I55" s="28">
        <v>33.071649999999998</v>
      </c>
      <c r="J55" s="28">
        <v>-81.476479999999995</v>
      </c>
      <c r="K55" s="28" t="s">
        <v>698</v>
      </c>
      <c r="L55" s="61">
        <v>110000604490</v>
      </c>
      <c r="M55" s="28" t="s">
        <v>265</v>
      </c>
      <c r="N55" s="28">
        <v>2819</v>
      </c>
      <c r="O55" s="28" t="str">
        <f>IFERROR(VLOOKUP(N55, 'SIC &amp; NAICS Codes'!A:B, 2, FALSE), "")</f>
        <v>Industrial Inorganic Chemicals, NEC (recovering sulfur from natural gas)</v>
      </c>
      <c r="S55" s="28">
        <v>0.82766439909296996</v>
      </c>
      <c r="T55" s="315">
        <f>_xlfn.MAXIFS('Raw Period DMR Data'!$O:$O,'Raw Period DMR Data'!$A:$A,'Raw Annual DMR Data'!B55,'Raw Period DMR Data'!$C:$C,X55)/S55</f>
        <v>0</v>
      </c>
      <c r="U55" s="28" t="str">
        <f>+IF(COUNTIFS('Raw Period DMR Data'!$A:$A,B55, 'Raw Period DMR Data'!C:C,'Raw Annual DMR Data'!X55, 'Raw Period DMR Data'!M:M, "&gt;0")&gt;0,_xlfn.MAXIFS('Raw Period DMR Data'!M:M,'Raw Period DMR Data'!$A:$A,'Raw Annual DMR Data'!B55,'Raw Period DMR Data'!C:C,'Raw Annual DMR Data'!X55), "N/A - Period DMR Data Not Available")</f>
        <v>N/A - Period DMR Data Not Available</v>
      </c>
      <c r="V55" s="28" t="str" cm="1">
        <f t="array" ref="V55">IFERROR(INDEX('Raw Period DMR Data'!N:N,MATCH(1,(B55='Raw Period DMR Data'!$A:$A)*(U55='Raw Period DMR Data'!M:M)*(X55='Raw Period DMR Data'!C:C),0),1), "N/A")</f>
        <v>N/A</v>
      </c>
      <c r="W55" s="28" t="s">
        <v>1463</v>
      </c>
      <c r="X55" s="28" t="s">
        <v>1486</v>
      </c>
      <c r="Y55" s="28" t="s">
        <v>1487</v>
      </c>
      <c r="Z55" s="28">
        <v>3060106002119</v>
      </c>
      <c r="AA55" s="28"/>
      <c r="AB55" s="28" t="s">
        <v>1465</v>
      </c>
      <c r="AC55" s="28" t="s">
        <v>1466</v>
      </c>
    </row>
    <row r="56" spans="1:29" x14ac:dyDescent="0.25">
      <c r="A56" s="61">
        <v>110000604490</v>
      </c>
      <c r="B56" s="28">
        <v>2016</v>
      </c>
      <c r="C56" s="68">
        <f t="shared" si="0"/>
        <v>42370</v>
      </c>
      <c r="D56" s="28" t="s">
        <v>973</v>
      </c>
      <c r="E56" s="28" t="s">
        <v>1484</v>
      </c>
      <c r="F56" s="28" t="s">
        <v>974</v>
      </c>
      <c r="G56" s="28" t="s">
        <v>541</v>
      </c>
      <c r="H56" s="28" t="s">
        <v>1485</v>
      </c>
      <c r="I56" s="28">
        <v>33.071649999999998</v>
      </c>
      <c r="J56" s="28">
        <v>-81.476479999999995</v>
      </c>
      <c r="K56" s="28" t="s">
        <v>698</v>
      </c>
      <c r="L56" s="61">
        <v>110000604490</v>
      </c>
      <c r="M56" s="28" t="s">
        <v>265</v>
      </c>
      <c r="N56" s="28">
        <v>2819</v>
      </c>
      <c r="O56" s="28" t="str">
        <f>IFERROR(VLOOKUP(N56, 'SIC &amp; NAICS Codes'!A:B, 2, FALSE), "")</f>
        <v>Industrial Inorganic Chemicals, NEC (recovering sulfur from natural gas)</v>
      </c>
      <c r="S56" s="28">
        <v>0.82766439909296996</v>
      </c>
      <c r="T56" s="315">
        <f>_xlfn.MAXIFS('Raw Period DMR Data'!$O:$O,'Raw Period DMR Data'!$A:$A,'Raw Annual DMR Data'!B56,'Raw Period DMR Data'!$C:$C,X56)/S56</f>
        <v>0</v>
      </c>
      <c r="U56" s="28" t="str">
        <f>+IF(COUNTIFS('Raw Period DMR Data'!$A:$A,B56, 'Raw Period DMR Data'!C:C,'Raw Annual DMR Data'!X56, 'Raw Period DMR Data'!M:M, "&gt;0")&gt;0,_xlfn.MAXIFS('Raw Period DMR Data'!M:M,'Raw Period DMR Data'!$A:$A,'Raw Annual DMR Data'!B56,'Raw Period DMR Data'!C:C,'Raw Annual DMR Data'!X56), "N/A - Period DMR Data Not Available")</f>
        <v>N/A - Period DMR Data Not Available</v>
      </c>
      <c r="V56" s="28" t="str" cm="1">
        <f t="array" ref="V56">IFERROR(INDEX('Raw Period DMR Data'!N:N,MATCH(1,(B56='Raw Period DMR Data'!$A:$A)*(U56='Raw Period DMR Data'!M:M)*(X56='Raw Period DMR Data'!C:C),0),1), "N/A")</f>
        <v>N/A</v>
      </c>
      <c r="W56" s="28" t="s">
        <v>1463</v>
      </c>
      <c r="X56" s="28" t="s">
        <v>1486</v>
      </c>
      <c r="Y56" s="28" t="s">
        <v>1487</v>
      </c>
      <c r="Z56" s="28">
        <v>3060106002119</v>
      </c>
      <c r="AA56" s="28"/>
      <c r="AB56" s="28" t="s">
        <v>1465</v>
      </c>
      <c r="AC56" s="28" t="s">
        <v>1466</v>
      </c>
    </row>
    <row r="57" spans="1:29" x14ac:dyDescent="0.25">
      <c r="A57" s="61">
        <v>110000604490</v>
      </c>
      <c r="B57" s="28">
        <v>2017</v>
      </c>
      <c r="C57" s="68">
        <f t="shared" si="0"/>
        <v>42736</v>
      </c>
      <c r="D57" s="28" t="s">
        <v>973</v>
      </c>
      <c r="E57" s="28" t="s">
        <v>1484</v>
      </c>
      <c r="F57" s="28" t="s">
        <v>974</v>
      </c>
      <c r="G57" s="28" t="s">
        <v>541</v>
      </c>
      <c r="H57" s="28" t="s">
        <v>1485</v>
      </c>
      <c r="I57" s="28">
        <v>33.071649999999998</v>
      </c>
      <c r="J57" s="28">
        <v>-81.476479999999995</v>
      </c>
      <c r="K57" s="28" t="s">
        <v>698</v>
      </c>
      <c r="L57" s="61">
        <v>110000604490</v>
      </c>
      <c r="M57" s="28" t="s">
        <v>265</v>
      </c>
      <c r="N57" s="28">
        <v>2819</v>
      </c>
      <c r="O57" s="28" t="str">
        <f>IFERROR(VLOOKUP(N57, 'SIC &amp; NAICS Codes'!A:B, 2, FALSE), "")</f>
        <v>Industrial Inorganic Chemicals, NEC (recovering sulfur from natural gas)</v>
      </c>
      <c r="S57" s="28">
        <v>0.82766439909296996</v>
      </c>
      <c r="T57" s="315">
        <f>_xlfn.MAXIFS('Raw Period DMR Data'!$O:$O,'Raw Period DMR Data'!$A:$A,'Raw Annual DMR Data'!B57,'Raw Period DMR Data'!$C:$C,X57)/S57</f>
        <v>0</v>
      </c>
      <c r="U57" s="28" t="str">
        <f>+IF(COUNTIFS('Raw Period DMR Data'!$A:$A,B57, 'Raw Period DMR Data'!C:C,'Raw Annual DMR Data'!X57, 'Raw Period DMR Data'!M:M, "&gt;0")&gt;0,_xlfn.MAXIFS('Raw Period DMR Data'!M:M,'Raw Period DMR Data'!$A:$A,'Raw Annual DMR Data'!B57,'Raw Period DMR Data'!C:C,'Raw Annual DMR Data'!X57), "N/A - Period DMR Data Not Available")</f>
        <v>N/A - Period DMR Data Not Available</v>
      </c>
      <c r="V57" s="28" t="str" cm="1">
        <f t="array" ref="V57">IFERROR(INDEX('Raw Period DMR Data'!N:N,MATCH(1,(B57='Raw Period DMR Data'!$A:$A)*(U57='Raw Period DMR Data'!M:M)*(X57='Raw Period DMR Data'!C:C),0),1), "N/A")</f>
        <v>N/A</v>
      </c>
      <c r="W57" s="28" t="s">
        <v>1463</v>
      </c>
      <c r="X57" s="28" t="s">
        <v>1486</v>
      </c>
      <c r="Y57" s="28" t="s">
        <v>1487</v>
      </c>
      <c r="Z57" s="28">
        <v>3060106002119</v>
      </c>
      <c r="AA57" s="28"/>
      <c r="AB57" s="28" t="s">
        <v>1465</v>
      </c>
      <c r="AC57" s="28" t="s">
        <v>1466</v>
      </c>
    </row>
    <row r="58" spans="1:29" x14ac:dyDescent="0.25">
      <c r="A58" s="61">
        <v>110000597596</v>
      </c>
      <c r="B58" s="28">
        <v>2015</v>
      </c>
      <c r="C58" s="68">
        <f t="shared" si="0"/>
        <v>42005</v>
      </c>
      <c r="D58" s="28" t="s">
        <v>975</v>
      </c>
      <c r="E58" s="28" t="s">
        <v>1488</v>
      </c>
      <c r="F58" s="28" t="s">
        <v>976</v>
      </c>
      <c r="G58" s="28" t="s">
        <v>303</v>
      </c>
      <c r="H58" s="28">
        <v>71422</v>
      </c>
      <c r="I58" s="28">
        <v>32.039444000000003</v>
      </c>
      <c r="J58" s="28">
        <v>-92.655000000000001</v>
      </c>
      <c r="K58" s="28" t="s">
        <v>699</v>
      </c>
      <c r="L58" s="61">
        <v>110000597596</v>
      </c>
      <c r="M58" s="28" t="s">
        <v>265</v>
      </c>
      <c r="N58" s="28">
        <v>2821</v>
      </c>
      <c r="O58" s="28" t="str">
        <f>IFERROR(VLOOKUP(N58, 'SIC &amp; NAICS Codes'!A:B, 2, FALSE), "")</f>
        <v>Plastics Materials, Synthetic and Resins, and Nonvulcanizable Elastomers</v>
      </c>
      <c r="S58" s="28">
        <v>0.29795918367346902</v>
      </c>
      <c r="T58" s="315">
        <f>_xlfn.MAXIFS('Raw Period DMR Data'!$O:$O,'Raw Period DMR Data'!$A:$A,'Raw Annual DMR Data'!B58,'Raw Period DMR Data'!$C:$C,X58)/S58</f>
        <v>0</v>
      </c>
      <c r="U58" s="28" t="str">
        <f>+IF(COUNTIFS('Raw Period DMR Data'!$A:$A,B58, 'Raw Period DMR Data'!C:C,'Raw Annual DMR Data'!X58, 'Raw Period DMR Data'!M:M, "&gt;0")&gt;0,_xlfn.MAXIFS('Raw Period DMR Data'!M:M,'Raw Period DMR Data'!$A:$A,'Raw Annual DMR Data'!B58,'Raw Period DMR Data'!C:C,'Raw Annual DMR Data'!X58), "N/A - Period DMR Data Not Available")</f>
        <v>N/A - Period DMR Data Not Available</v>
      </c>
      <c r="V58" s="28" t="str" cm="1">
        <f t="array" ref="V58">IFERROR(INDEX('Raw Period DMR Data'!N:N,MATCH(1,(B58='Raw Period DMR Data'!$A:$A)*(U58='Raw Period DMR Data'!M:M)*(X58='Raw Period DMR Data'!C:C),0),1), "N/A")</f>
        <v>N/A</v>
      </c>
      <c r="W58" s="28" t="s">
        <v>1463</v>
      </c>
      <c r="X58" s="28" t="s">
        <v>1489</v>
      </c>
      <c r="Y58" s="28" t="s">
        <v>1490</v>
      </c>
      <c r="Z58" s="28">
        <v>8040303000231</v>
      </c>
      <c r="AA58" s="28"/>
      <c r="AB58" s="28" t="s">
        <v>1465</v>
      </c>
      <c r="AC58" s="28" t="s">
        <v>1466</v>
      </c>
    </row>
    <row r="59" spans="1:29" x14ac:dyDescent="0.25">
      <c r="A59" s="61">
        <v>110000496981</v>
      </c>
      <c r="B59" s="28">
        <v>2019</v>
      </c>
      <c r="C59" s="68">
        <f t="shared" si="0"/>
        <v>43466</v>
      </c>
      <c r="D59" s="28" t="s">
        <v>104</v>
      </c>
      <c r="E59" s="28" t="s">
        <v>317</v>
      </c>
      <c r="F59" s="28" t="s">
        <v>318</v>
      </c>
      <c r="G59" s="28" t="s">
        <v>319</v>
      </c>
      <c r="H59" s="28" t="s">
        <v>320</v>
      </c>
      <c r="I59" s="28">
        <v>40.506320000000002</v>
      </c>
      <c r="J59" s="28">
        <v>-81.474299999999999</v>
      </c>
      <c r="K59" s="28" t="s">
        <v>321</v>
      </c>
      <c r="L59" s="61">
        <v>110000496981</v>
      </c>
      <c r="M59" s="28" t="s">
        <v>251</v>
      </c>
      <c r="N59" s="28">
        <v>2869</v>
      </c>
      <c r="O59" s="28" t="str">
        <f>IFERROR(VLOOKUP(N59, 'SIC &amp; NAICS Codes'!A:B, 2, FALSE), "")</f>
        <v>Industrial Organic Chemicals, NEC (aliphatics)</v>
      </c>
      <c r="S59" s="28">
        <v>2.31636</v>
      </c>
      <c r="T59" s="315">
        <f>_xlfn.MAXIFS('Raw Period DMR Data'!$O:$O,'Raw Period DMR Data'!$A:$A,'Raw Annual DMR Data'!B59,'Raw Period DMR Data'!$C:$C,X59)/S59</f>
        <v>0</v>
      </c>
      <c r="U59" s="28" t="str">
        <f>+IF(COUNTIFS('Raw Period DMR Data'!$A:$A,B59, 'Raw Period DMR Data'!C:C,'Raw Annual DMR Data'!X59, 'Raw Period DMR Data'!M:M, "&gt;0")&gt;0,_xlfn.MAXIFS('Raw Period DMR Data'!M:M,'Raw Period DMR Data'!$A:$A,'Raw Annual DMR Data'!B59,'Raw Period DMR Data'!C:C,'Raw Annual DMR Data'!X59), "N/A - Period DMR Data Not Available")</f>
        <v>N/A - Period DMR Data Not Available</v>
      </c>
      <c r="V59" s="28" t="str" cm="1">
        <f t="array" ref="V59">IFERROR(INDEX('Raw Period DMR Data'!N:N,MATCH(1,(B59='Raw Period DMR Data'!$A:$A)*(U59='Raw Period DMR Data'!M:M)*(X59='Raw Period DMR Data'!C:C),0),1), "N/A")</f>
        <v>N/A</v>
      </c>
      <c r="W59" s="28" t="s">
        <v>1463</v>
      </c>
      <c r="X59" s="28" t="s">
        <v>774</v>
      </c>
      <c r="Y59" s="28" t="s">
        <v>775</v>
      </c>
      <c r="Z59" s="61">
        <v>5040001000298</v>
      </c>
    </row>
    <row r="60" spans="1:29" x14ac:dyDescent="0.25">
      <c r="A60" s="61">
        <v>110000496981</v>
      </c>
      <c r="B60" s="28">
        <v>2020</v>
      </c>
      <c r="C60" s="68">
        <f t="shared" si="0"/>
        <v>43831</v>
      </c>
      <c r="D60" s="28" t="s">
        <v>104</v>
      </c>
      <c r="E60" s="28" t="s">
        <v>317</v>
      </c>
      <c r="F60" s="28" t="s">
        <v>318</v>
      </c>
      <c r="G60" s="28" t="s">
        <v>319</v>
      </c>
      <c r="H60" s="28" t="s">
        <v>320</v>
      </c>
      <c r="I60" s="28">
        <v>40.506320000000002</v>
      </c>
      <c r="J60" s="28">
        <v>-81.474299999999999</v>
      </c>
      <c r="K60" s="28" t="s">
        <v>321</v>
      </c>
      <c r="L60" s="61">
        <v>110000496981</v>
      </c>
      <c r="M60" s="28" t="s">
        <v>251</v>
      </c>
      <c r="N60" s="28">
        <v>2869</v>
      </c>
      <c r="O60" s="28" t="str">
        <f>IFERROR(VLOOKUP(N60, 'SIC &amp; NAICS Codes'!A:B, 2, FALSE), "")</f>
        <v>Industrial Organic Chemicals, NEC (aliphatics)</v>
      </c>
      <c r="S60" s="28">
        <v>0.76859999999999995</v>
      </c>
      <c r="T60" s="315">
        <f>_xlfn.MAXIFS('Raw Period DMR Data'!$O:$O,'Raw Period DMR Data'!$A:$A,'Raw Annual DMR Data'!B60,'Raw Period DMR Data'!$C:$C,X60)/S60</f>
        <v>0</v>
      </c>
      <c r="U60" s="28" t="str">
        <f>+IF(COUNTIFS('Raw Period DMR Data'!$A:$A,B60, 'Raw Period DMR Data'!C:C,'Raw Annual DMR Data'!X60, 'Raw Period DMR Data'!M:M, "&gt;0")&gt;0,_xlfn.MAXIFS('Raw Period DMR Data'!M:M,'Raw Period DMR Data'!$A:$A,'Raw Annual DMR Data'!B60,'Raw Period DMR Data'!C:C,'Raw Annual DMR Data'!X60), "N/A - Period DMR Data Not Available")</f>
        <v>N/A - Period DMR Data Not Available</v>
      </c>
      <c r="V60" s="28" t="str" cm="1">
        <f t="array" ref="V60">IFERROR(INDEX('Raw Period DMR Data'!N:N,MATCH(1,(B60='Raw Period DMR Data'!$A:$A)*(U60='Raw Period DMR Data'!M:M)*(X60='Raw Period DMR Data'!C:C),0),1), "N/A")</f>
        <v>N/A</v>
      </c>
      <c r="W60" s="28" t="s">
        <v>1463</v>
      </c>
      <c r="X60" s="28" t="s">
        <v>774</v>
      </c>
      <c r="Y60" s="28" t="s">
        <v>775</v>
      </c>
      <c r="Z60" s="61">
        <v>5040001000298</v>
      </c>
    </row>
    <row r="61" spans="1:29" x14ac:dyDescent="0.25">
      <c r="A61" s="61">
        <v>110000380061</v>
      </c>
      <c r="B61" s="28">
        <v>2015</v>
      </c>
      <c r="C61" s="68">
        <f t="shared" si="0"/>
        <v>42005</v>
      </c>
      <c r="D61" s="28" t="s">
        <v>105</v>
      </c>
      <c r="E61" s="28" t="s">
        <v>322</v>
      </c>
      <c r="F61" s="28" t="s">
        <v>323</v>
      </c>
      <c r="G61" s="28" t="s">
        <v>324</v>
      </c>
      <c r="H61" s="28">
        <v>42029</v>
      </c>
      <c r="I61" s="28">
        <v>37.056699000000002</v>
      </c>
      <c r="J61" s="28">
        <v>-88.365727000000007</v>
      </c>
      <c r="K61" s="28" t="s">
        <v>325</v>
      </c>
      <c r="L61" s="61">
        <v>110000380061</v>
      </c>
      <c r="M61" s="28" t="s">
        <v>253</v>
      </c>
      <c r="N61" s="28">
        <v>2819</v>
      </c>
      <c r="O61" s="28" t="str">
        <f>IFERROR(VLOOKUP(N61, 'SIC &amp; NAICS Codes'!A:B, 2, FALSE), "")</f>
        <v>Industrial Inorganic Chemicals, NEC (recovering sulfur from natural gas)</v>
      </c>
      <c r="S61" s="28">
        <v>14.843537414965899</v>
      </c>
      <c r="T61" s="315">
        <f>_xlfn.MAXIFS('Raw Period DMR Data'!$O:$O,'Raw Period DMR Data'!$A:$A,'Raw Annual DMR Data'!B61,'Raw Period DMR Data'!$C:$C,X61)/S61</f>
        <v>0</v>
      </c>
      <c r="U61" s="28" t="str">
        <f>+IF(COUNTIFS('Raw Period DMR Data'!$A:$A,B61, 'Raw Period DMR Data'!C:C,'Raw Annual DMR Data'!X61, 'Raw Period DMR Data'!M:M, "&gt;0")&gt;0,_xlfn.MAXIFS('Raw Period DMR Data'!M:M,'Raw Period DMR Data'!$A:$A,'Raw Annual DMR Data'!B61,'Raw Period DMR Data'!C:C,'Raw Annual DMR Data'!X61), "N/A - Period DMR Data Not Available")</f>
        <v>N/A - Period DMR Data Not Available</v>
      </c>
      <c r="V61" s="28" t="str" cm="1">
        <f t="array" ref="V61">IFERROR(INDEX('Raw Period DMR Data'!N:N,MATCH(1,(B61='Raw Period DMR Data'!$A:$A)*(U61='Raw Period DMR Data'!M:M)*(X61='Raw Period DMR Data'!C:C),0),1), "N/A")</f>
        <v>N/A</v>
      </c>
      <c r="W61" s="28" t="s">
        <v>1463</v>
      </c>
      <c r="X61" s="28" t="s">
        <v>776</v>
      </c>
      <c r="Y61" s="28" t="s">
        <v>777</v>
      </c>
      <c r="Z61" s="61">
        <v>6040006000329</v>
      </c>
    </row>
    <row r="62" spans="1:29" x14ac:dyDescent="0.25">
      <c r="A62" s="61">
        <v>110000380061</v>
      </c>
      <c r="B62" s="28">
        <v>2016</v>
      </c>
      <c r="C62" s="68">
        <f t="shared" si="0"/>
        <v>42370</v>
      </c>
      <c r="D62" s="28" t="s">
        <v>105</v>
      </c>
      <c r="E62" s="28" t="s">
        <v>322</v>
      </c>
      <c r="F62" s="28" t="s">
        <v>323</v>
      </c>
      <c r="G62" s="28" t="s">
        <v>324</v>
      </c>
      <c r="H62" s="28">
        <v>42029</v>
      </c>
      <c r="I62" s="28">
        <v>37.056699000000002</v>
      </c>
      <c r="J62" s="28">
        <v>-88.365727000000007</v>
      </c>
      <c r="K62" s="28" t="s">
        <v>325</v>
      </c>
      <c r="L62" s="61">
        <v>110000380061</v>
      </c>
      <c r="M62" s="28" t="s">
        <v>253</v>
      </c>
      <c r="N62" s="28">
        <v>2819</v>
      </c>
      <c r="O62" s="28" t="str">
        <f>IFERROR(VLOOKUP(N62, 'SIC &amp; NAICS Codes'!A:B, 2, FALSE), "")</f>
        <v>Industrial Inorganic Chemicals, NEC (recovering sulfur from natural gas)</v>
      </c>
      <c r="S62" s="28">
        <v>6.93333333333333</v>
      </c>
      <c r="T62" s="315">
        <f>_xlfn.MAXIFS('Raw Period DMR Data'!$O:$O,'Raw Period DMR Data'!$A:$A,'Raw Annual DMR Data'!B62,'Raw Period DMR Data'!$C:$C,X62)/S62</f>
        <v>0</v>
      </c>
      <c r="U62" s="28" t="str">
        <f>+IF(COUNTIFS('Raw Period DMR Data'!$A:$A,B62, 'Raw Period DMR Data'!C:C,'Raw Annual DMR Data'!X62, 'Raw Period DMR Data'!M:M, "&gt;0")&gt;0,_xlfn.MAXIFS('Raw Period DMR Data'!M:M,'Raw Period DMR Data'!$A:$A,'Raw Annual DMR Data'!B62,'Raw Period DMR Data'!C:C,'Raw Annual DMR Data'!X62), "N/A - Period DMR Data Not Available")</f>
        <v>N/A - Period DMR Data Not Available</v>
      </c>
      <c r="V62" s="28" t="str" cm="1">
        <f t="array" ref="V62">IFERROR(INDEX('Raw Period DMR Data'!N:N,MATCH(1,(B62='Raw Period DMR Data'!$A:$A)*(U62='Raw Period DMR Data'!M:M)*(X62='Raw Period DMR Data'!C:C),0),1), "N/A")</f>
        <v>N/A</v>
      </c>
      <c r="W62" s="28" t="s">
        <v>1463</v>
      </c>
      <c r="X62" s="28" t="s">
        <v>776</v>
      </c>
      <c r="Y62" s="28" t="s">
        <v>777</v>
      </c>
      <c r="Z62" s="61">
        <v>6040006000329</v>
      </c>
      <c r="AA62" s="28"/>
    </row>
    <row r="63" spans="1:29" x14ac:dyDescent="0.25">
      <c r="A63" s="61">
        <v>110000380061</v>
      </c>
      <c r="B63" s="28">
        <v>2017</v>
      </c>
      <c r="C63" s="68">
        <f t="shared" si="0"/>
        <v>42736</v>
      </c>
      <c r="D63" s="28" t="s">
        <v>105</v>
      </c>
      <c r="E63" s="28" t="s">
        <v>322</v>
      </c>
      <c r="F63" s="28" t="s">
        <v>323</v>
      </c>
      <c r="G63" s="28" t="s">
        <v>324</v>
      </c>
      <c r="H63" s="28">
        <v>42029</v>
      </c>
      <c r="I63" s="28">
        <v>37.056699000000002</v>
      </c>
      <c r="J63" s="28">
        <v>-88.365727000000007</v>
      </c>
      <c r="K63" s="28" t="s">
        <v>325</v>
      </c>
      <c r="L63" s="61">
        <v>110000380061</v>
      </c>
      <c r="M63" s="28" t="s">
        <v>253</v>
      </c>
      <c r="N63" s="28">
        <v>2819</v>
      </c>
      <c r="O63" s="28" t="str">
        <f>IFERROR(VLOOKUP(N63, 'SIC &amp; NAICS Codes'!A:B, 2, FALSE), "")</f>
        <v>Industrial Inorganic Chemicals, NEC (recovering sulfur from natural gas)</v>
      </c>
      <c r="S63" s="28">
        <v>71.180045351473893</v>
      </c>
      <c r="T63" s="315">
        <f>_xlfn.MAXIFS('Raw Period DMR Data'!$O:$O,'Raw Period DMR Data'!$A:$A,'Raw Annual DMR Data'!B63,'Raw Period DMR Data'!$C:$C,X63)/S63</f>
        <v>0</v>
      </c>
      <c r="U63" s="28" t="str">
        <f>+IF(COUNTIFS('Raw Period DMR Data'!$A:$A,B63, 'Raw Period DMR Data'!C:C,'Raw Annual DMR Data'!X63, 'Raw Period DMR Data'!M:M, "&gt;0")&gt;0,_xlfn.MAXIFS('Raw Period DMR Data'!M:M,'Raw Period DMR Data'!$A:$A,'Raw Annual DMR Data'!B63,'Raw Period DMR Data'!C:C,'Raw Annual DMR Data'!X63), "N/A - Period DMR Data Not Available")</f>
        <v>N/A - Period DMR Data Not Available</v>
      </c>
      <c r="V63" s="28" t="str" cm="1">
        <f t="array" ref="V63">IFERROR(INDEX('Raw Period DMR Data'!N:N,MATCH(1,(B63='Raw Period DMR Data'!$A:$A)*(U63='Raw Period DMR Data'!M:M)*(X63='Raw Period DMR Data'!C:C),0),1), "N/A")</f>
        <v>N/A</v>
      </c>
      <c r="W63" s="28" t="s">
        <v>1463</v>
      </c>
      <c r="X63" s="28" t="s">
        <v>776</v>
      </c>
      <c r="Y63" s="28" t="s">
        <v>777</v>
      </c>
      <c r="Z63" s="61">
        <v>6040006000329</v>
      </c>
      <c r="AA63" s="28"/>
    </row>
    <row r="64" spans="1:29" x14ac:dyDescent="0.25">
      <c r="A64" s="61">
        <v>110000380061</v>
      </c>
      <c r="B64" s="28">
        <v>2018</v>
      </c>
      <c r="C64" s="68">
        <f t="shared" si="0"/>
        <v>43101</v>
      </c>
      <c r="D64" s="28" t="s">
        <v>105</v>
      </c>
      <c r="E64" s="28" t="s">
        <v>322</v>
      </c>
      <c r="F64" s="28" t="s">
        <v>323</v>
      </c>
      <c r="G64" s="28" t="s">
        <v>324</v>
      </c>
      <c r="H64" s="28">
        <v>42029</v>
      </c>
      <c r="I64" s="28">
        <v>37.056699000000002</v>
      </c>
      <c r="J64" s="28">
        <v>-88.365727000000007</v>
      </c>
      <c r="K64" s="28" t="s">
        <v>325</v>
      </c>
      <c r="L64" s="61">
        <v>110000380061</v>
      </c>
      <c r="M64" s="28" t="s">
        <v>253</v>
      </c>
      <c r="N64" s="28">
        <v>2819</v>
      </c>
      <c r="O64" s="28" t="str">
        <f>IFERROR(VLOOKUP(N64, 'SIC &amp; NAICS Codes'!A:B, 2, FALSE), "")</f>
        <v>Industrial Inorganic Chemicals, NEC (recovering sulfur from natural gas)</v>
      </c>
      <c r="S64" s="28">
        <v>11.6285714285714</v>
      </c>
      <c r="T64" s="315">
        <f>_xlfn.MAXIFS('Raw Period DMR Data'!$O:$O,'Raw Period DMR Data'!$A:$A,'Raw Annual DMR Data'!B64,'Raw Period DMR Data'!$C:$C,X64)/S64</f>
        <v>0</v>
      </c>
      <c r="U64" s="28" t="str">
        <f>+IF(COUNTIFS('Raw Period DMR Data'!$A:$A,B64, 'Raw Period DMR Data'!C:C,'Raw Annual DMR Data'!X64, 'Raw Period DMR Data'!M:M, "&gt;0")&gt;0,_xlfn.MAXIFS('Raw Period DMR Data'!M:M,'Raw Period DMR Data'!$A:$A,'Raw Annual DMR Data'!B64,'Raw Period DMR Data'!C:C,'Raw Annual DMR Data'!X64), "N/A - Period DMR Data Not Available")</f>
        <v>N/A - Period DMR Data Not Available</v>
      </c>
      <c r="V64" s="28" t="str" cm="1">
        <f t="array" ref="V64">IFERROR(INDEX('Raw Period DMR Data'!N:N,MATCH(1,(B64='Raw Period DMR Data'!$A:$A)*(U64='Raw Period DMR Data'!M:M)*(X64='Raw Period DMR Data'!C:C),0),1), "N/A")</f>
        <v>N/A</v>
      </c>
      <c r="W64" s="28" t="s">
        <v>1463</v>
      </c>
      <c r="X64" s="28" t="s">
        <v>776</v>
      </c>
      <c r="Y64" s="28" t="s">
        <v>777</v>
      </c>
      <c r="Z64" s="61">
        <v>6040006000329</v>
      </c>
    </row>
    <row r="65" spans="1:29" x14ac:dyDescent="0.25">
      <c r="A65" s="61">
        <v>110000380061</v>
      </c>
      <c r="B65" s="28">
        <v>2019</v>
      </c>
      <c r="C65" s="68">
        <f t="shared" si="0"/>
        <v>43466</v>
      </c>
      <c r="D65" s="28" t="s">
        <v>105</v>
      </c>
      <c r="E65" s="28" t="s">
        <v>322</v>
      </c>
      <c r="F65" s="28" t="s">
        <v>323</v>
      </c>
      <c r="G65" s="28" t="s">
        <v>324</v>
      </c>
      <c r="H65" s="28">
        <v>42029</v>
      </c>
      <c r="I65" s="28">
        <v>37.056699000000002</v>
      </c>
      <c r="J65" s="28">
        <v>-88.365727000000007</v>
      </c>
      <c r="K65" s="28" t="s">
        <v>325</v>
      </c>
      <c r="L65" s="61">
        <v>110000380061</v>
      </c>
      <c r="M65" s="28" t="s">
        <v>253</v>
      </c>
      <c r="N65" s="28">
        <v>2819</v>
      </c>
      <c r="O65" s="28" t="str">
        <f>IFERROR(VLOOKUP(N65, 'SIC &amp; NAICS Codes'!A:B, 2, FALSE), "")</f>
        <v>Industrial Inorganic Chemicals, NEC (recovering sulfur from natural gas)</v>
      </c>
      <c r="S65" s="28">
        <v>62.121088435374098</v>
      </c>
      <c r="T65" s="315">
        <f>_xlfn.MAXIFS('Raw Period DMR Data'!$O:$O,'Raw Period DMR Data'!$A:$A,'Raw Annual DMR Data'!B65,'Raw Period DMR Data'!$C:$C,X65)/S65</f>
        <v>0</v>
      </c>
      <c r="U65" s="28" t="str">
        <f>+IF(COUNTIFS('Raw Period DMR Data'!$A:$A,B65, 'Raw Period DMR Data'!C:C,'Raw Annual DMR Data'!X65, 'Raw Period DMR Data'!M:M, "&gt;0")&gt;0,_xlfn.MAXIFS('Raw Period DMR Data'!M:M,'Raw Period DMR Data'!$A:$A,'Raw Annual DMR Data'!B65,'Raw Period DMR Data'!C:C,'Raw Annual DMR Data'!X65), "N/A - Period DMR Data Not Available")</f>
        <v>N/A - Period DMR Data Not Available</v>
      </c>
      <c r="V65" s="28" t="str" cm="1">
        <f t="array" ref="V65">IFERROR(INDEX('Raw Period DMR Data'!N:N,MATCH(1,(B65='Raw Period DMR Data'!$A:$A)*(U65='Raw Period DMR Data'!M:M)*(X65='Raw Period DMR Data'!C:C),0),1), "N/A")</f>
        <v>N/A</v>
      </c>
      <c r="W65" s="28" t="s">
        <v>1463</v>
      </c>
      <c r="X65" s="28" t="s">
        <v>776</v>
      </c>
      <c r="Y65" s="28" t="s">
        <v>777</v>
      </c>
      <c r="Z65" s="61">
        <v>6040006000329</v>
      </c>
    </row>
    <row r="66" spans="1:29" x14ac:dyDescent="0.25">
      <c r="A66" s="61">
        <v>110000380061</v>
      </c>
      <c r="B66" s="28">
        <v>2020</v>
      </c>
      <c r="C66" s="68">
        <f t="shared" si="0"/>
        <v>43831</v>
      </c>
      <c r="D66" s="28" t="s">
        <v>105</v>
      </c>
      <c r="E66" s="28" t="s">
        <v>322</v>
      </c>
      <c r="F66" s="28" t="s">
        <v>323</v>
      </c>
      <c r="G66" s="28" t="s">
        <v>324</v>
      </c>
      <c r="H66" s="28">
        <v>42029</v>
      </c>
      <c r="I66" s="28">
        <v>37.056699000000002</v>
      </c>
      <c r="J66" s="28">
        <v>-88.365727000000007</v>
      </c>
      <c r="K66" s="28" t="s">
        <v>325</v>
      </c>
      <c r="L66" s="61">
        <v>110000380061</v>
      </c>
      <c r="M66" s="28" t="s">
        <v>253</v>
      </c>
      <c r="N66" s="28">
        <v>2819</v>
      </c>
      <c r="O66" s="28" t="str">
        <f>IFERROR(VLOOKUP(N66, 'SIC &amp; NAICS Codes'!A:B, 2, FALSE), "")</f>
        <v>Industrial Inorganic Chemicals, NEC (recovering sulfur from natural gas)</v>
      </c>
      <c r="S66" s="28">
        <v>30.189569160997699</v>
      </c>
      <c r="T66" s="315">
        <f>_xlfn.MAXIFS('Raw Period DMR Data'!$O:$O,'Raw Period DMR Data'!$A:$A,'Raw Annual DMR Data'!B66,'Raw Period DMR Data'!$C:$C,X66)/S66</f>
        <v>0</v>
      </c>
      <c r="U66" s="28" t="str">
        <f>+IF(COUNTIFS('Raw Period DMR Data'!$A:$A,B66, 'Raw Period DMR Data'!C:C,'Raw Annual DMR Data'!X66, 'Raw Period DMR Data'!M:M, "&gt;0")&gt;0,_xlfn.MAXIFS('Raw Period DMR Data'!M:M,'Raw Period DMR Data'!$A:$A,'Raw Annual DMR Data'!B66,'Raw Period DMR Data'!C:C,'Raw Annual DMR Data'!X66), "N/A - Period DMR Data Not Available")</f>
        <v>N/A - Period DMR Data Not Available</v>
      </c>
      <c r="V66" s="28" t="str" cm="1">
        <f t="array" ref="V66">IFERROR(INDEX('Raw Period DMR Data'!N:N,MATCH(1,(B66='Raw Period DMR Data'!$A:$A)*(U66='Raw Period DMR Data'!M:M)*(X66='Raw Period DMR Data'!C:C),0),1), "N/A")</f>
        <v>N/A</v>
      </c>
      <c r="W66" s="28" t="s">
        <v>1463</v>
      </c>
      <c r="X66" s="28" t="s">
        <v>776</v>
      </c>
      <c r="Y66" s="28" t="s">
        <v>777</v>
      </c>
      <c r="Z66" s="61">
        <v>6040006000329</v>
      </c>
    </row>
    <row r="67" spans="1:29" x14ac:dyDescent="0.25">
      <c r="A67" s="61">
        <v>110000380061</v>
      </c>
      <c r="B67" s="28">
        <v>2015</v>
      </c>
      <c r="C67" s="68">
        <f t="shared" ref="C67:C130" si="1">DATE(B67, 1, 1)</f>
        <v>42005</v>
      </c>
      <c r="D67" s="28" t="s">
        <v>1491</v>
      </c>
      <c r="E67" s="28" t="s">
        <v>322</v>
      </c>
      <c r="F67" s="28" t="s">
        <v>323</v>
      </c>
      <c r="G67" s="28" t="s">
        <v>324</v>
      </c>
      <c r="H67" s="28">
        <v>42029</v>
      </c>
      <c r="I67" s="28">
        <v>37.056699000000002</v>
      </c>
      <c r="J67" s="28">
        <v>-88.365727000000007</v>
      </c>
      <c r="K67" s="28" t="s">
        <v>325</v>
      </c>
      <c r="L67" s="61">
        <v>110000380061</v>
      </c>
      <c r="M67" s="28" t="s">
        <v>253</v>
      </c>
      <c r="N67" s="28">
        <v>2819</v>
      </c>
      <c r="O67" s="28" t="str">
        <f>IFERROR(VLOOKUP(N67, 'SIC &amp; NAICS Codes'!A:B, 2, FALSE), "")</f>
        <v>Industrial Inorganic Chemicals, NEC (recovering sulfur from natural gas)</v>
      </c>
      <c r="S67" s="28">
        <v>20.5256235827664</v>
      </c>
      <c r="T67" s="315">
        <f>_xlfn.MAXIFS('Raw Period DMR Data'!$O:$O,'Raw Period DMR Data'!$A:$A,'Raw Annual DMR Data'!B67,'Raw Period DMR Data'!$C:$C,X67)/S67</f>
        <v>0</v>
      </c>
      <c r="U67" s="28" t="str">
        <f>+IF(COUNTIFS('Raw Period DMR Data'!$A:$A,B67, 'Raw Period DMR Data'!C:C,'Raw Annual DMR Data'!X67, 'Raw Period DMR Data'!M:M, "&gt;0")&gt;0,_xlfn.MAXIFS('Raw Period DMR Data'!M:M,'Raw Period DMR Data'!$A:$A,'Raw Annual DMR Data'!B67,'Raw Period DMR Data'!C:C,'Raw Annual DMR Data'!X67), "N/A - Period DMR Data Not Available")</f>
        <v>N/A - Period DMR Data Not Available</v>
      </c>
      <c r="V67" s="28" t="str" cm="1">
        <f t="array" ref="V67">IFERROR(INDEX('Raw Period DMR Data'!N:N,MATCH(1,(B67='Raw Period DMR Data'!$A:$A)*(U67='Raw Period DMR Data'!M:M)*(X67='Raw Period DMR Data'!C:C),0),1), "N/A")</f>
        <v>N/A</v>
      </c>
      <c r="W67" s="28" t="s">
        <v>1463</v>
      </c>
      <c r="X67" s="28" t="s">
        <v>776</v>
      </c>
      <c r="Y67" s="28" t="s">
        <v>777</v>
      </c>
      <c r="Z67" s="28">
        <v>6040006000329</v>
      </c>
      <c r="AA67" s="28"/>
      <c r="AB67" s="28" t="s">
        <v>1465</v>
      </c>
      <c r="AC67" s="28" t="s">
        <v>1466</v>
      </c>
    </row>
    <row r="68" spans="1:29" x14ac:dyDescent="0.25">
      <c r="A68" s="61">
        <v>110000380061</v>
      </c>
      <c r="B68" s="28">
        <v>2016</v>
      </c>
      <c r="C68" s="68">
        <f t="shared" si="1"/>
        <v>42370</v>
      </c>
      <c r="D68" s="28" t="s">
        <v>1491</v>
      </c>
      <c r="E68" s="28" t="s">
        <v>322</v>
      </c>
      <c r="F68" s="28" t="s">
        <v>323</v>
      </c>
      <c r="G68" s="28" t="s">
        <v>324</v>
      </c>
      <c r="H68" s="28">
        <v>42029</v>
      </c>
      <c r="I68" s="28">
        <v>37.056699000000002</v>
      </c>
      <c r="J68" s="28">
        <v>-88.365727000000007</v>
      </c>
      <c r="K68" s="28" t="s">
        <v>325</v>
      </c>
      <c r="L68" s="61">
        <v>110000380061</v>
      </c>
      <c r="M68" s="28" t="s">
        <v>253</v>
      </c>
      <c r="N68" s="28">
        <v>2819</v>
      </c>
      <c r="O68" s="28" t="str">
        <f>IFERROR(VLOOKUP(N68, 'SIC &amp; NAICS Codes'!A:B, 2, FALSE), "")</f>
        <v>Industrial Inorganic Chemicals, NEC (recovering sulfur from natural gas)</v>
      </c>
      <c r="S68" s="28">
        <v>9.2503401360544206</v>
      </c>
      <c r="T68" s="315">
        <f>_xlfn.MAXIFS('Raw Period DMR Data'!$O:$O,'Raw Period DMR Data'!$A:$A,'Raw Annual DMR Data'!B68,'Raw Period DMR Data'!$C:$C,X68)/S68</f>
        <v>0</v>
      </c>
      <c r="U68" s="28" t="str">
        <f>+IF(COUNTIFS('Raw Period DMR Data'!$A:$A,B68, 'Raw Period DMR Data'!C:C,'Raw Annual DMR Data'!X68, 'Raw Period DMR Data'!M:M, "&gt;0")&gt;0,_xlfn.MAXIFS('Raw Period DMR Data'!M:M,'Raw Period DMR Data'!$A:$A,'Raw Annual DMR Data'!B68,'Raw Period DMR Data'!C:C,'Raw Annual DMR Data'!X68), "N/A - Period DMR Data Not Available")</f>
        <v>N/A - Period DMR Data Not Available</v>
      </c>
      <c r="V68" s="28" t="str" cm="1">
        <f t="array" ref="V68">IFERROR(INDEX('Raw Period DMR Data'!N:N,MATCH(1,(B68='Raw Period DMR Data'!$A:$A)*(U68='Raw Period DMR Data'!M:M)*(X68='Raw Period DMR Data'!C:C),0),1), "N/A")</f>
        <v>N/A</v>
      </c>
      <c r="W68" s="28" t="s">
        <v>1463</v>
      </c>
      <c r="X68" s="28" t="s">
        <v>776</v>
      </c>
      <c r="Y68" s="28" t="s">
        <v>777</v>
      </c>
      <c r="Z68" s="28">
        <v>6040006000329</v>
      </c>
      <c r="AA68" s="28"/>
      <c r="AB68" s="28" t="s">
        <v>1465</v>
      </c>
      <c r="AC68" s="28" t="s">
        <v>1466</v>
      </c>
    </row>
    <row r="69" spans="1:29" x14ac:dyDescent="0.25">
      <c r="A69" s="61">
        <v>110000380061</v>
      </c>
      <c r="B69" s="28">
        <v>2017</v>
      </c>
      <c r="C69" s="68">
        <f t="shared" si="1"/>
        <v>42736</v>
      </c>
      <c r="D69" s="28" t="s">
        <v>1491</v>
      </c>
      <c r="E69" s="28" t="s">
        <v>322</v>
      </c>
      <c r="F69" s="28" t="s">
        <v>323</v>
      </c>
      <c r="G69" s="28" t="s">
        <v>324</v>
      </c>
      <c r="H69" s="28">
        <v>42029</v>
      </c>
      <c r="I69" s="28">
        <v>37.056699000000002</v>
      </c>
      <c r="J69" s="28">
        <v>-88.365727000000007</v>
      </c>
      <c r="K69" s="28" t="s">
        <v>325</v>
      </c>
      <c r="L69" s="61">
        <v>110000380061</v>
      </c>
      <c r="M69" s="28" t="s">
        <v>253</v>
      </c>
      <c r="N69" s="28">
        <v>2819</v>
      </c>
      <c r="O69" s="28" t="str">
        <f>IFERROR(VLOOKUP(N69, 'SIC &amp; NAICS Codes'!A:B, 2, FALSE), "")</f>
        <v>Industrial Inorganic Chemicals, NEC (recovering sulfur from natural gas)</v>
      </c>
      <c r="S69" s="28">
        <v>72.164172335600895</v>
      </c>
      <c r="T69" s="315">
        <f>_xlfn.MAXIFS('Raw Period DMR Data'!$O:$O,'Raw Period DMR Data'!$A:$A,'Raw Annual DMR Data'!B69,'Raw Period DMR Data'!$C:$C,X69)/S69</f>
        <v>0</v>
      </c>
      <c r="U69" s="28" t="str">
        <f>+IF(COUNTIFS('Raw Period DMR Data'!$A:$A,B69, 'Raw Period DMR Data'!C:C,'Raw Annual DMR Data'!X69, 'Raw Period DMR Data'!M:M, "&gt;0")&gt;0,_xlfn.MAXIFS('Raw Period DMR Data'!M:M,'Raw Period DMR Data'!$A:$A,'Raw Annual DMR Data'!B69,'Raw Period DMR Data'!C:C,'Raw Annual DMR Data'!X69), "N/A - Period DMR Data Not Available")</f>
        <v>N/A - Period DMR Data Not Available</v>
      </c>
      <c r="V69" s="28" t="str" cm="1">
        <f t="array" ref="V69">IFERROR(INDEX('Raw Period DMR Data'!N:N,MATCH(1,(B69='Raw Period DMR Data'!$A:$A)*(U69='Raw Period DMR Data'!M:M)*(X69='Raw Period DMR Data'!C:C),0),1), "N/A")</f>
        <v>N/A</v>
      </c>
      <c r="W69" s="28" t="s">
        <v>1463</v>
      </c>
      <c r="X69" s="28" t="s">
        <v>776</v>
      </c>
      <c r="Y69" s="28" t="s">
        <v>777</v>
      </c>
      <c r="Z69" s="28">
        <v>6040006000329</v>
      </c>
      <c r="AA69" s="28"/>
      <c r="AB69" s="28" t="s">
        <v>1465</v>
      </c>
      <c r="AC69" s="28" t="s">
        <v>1466</v>
      </c>
    </row>
    <row r="70" spans="1:29" x14ac:dyDescent="0.25">
      <c r="A70" s="61">
        <v>110000380061</v>
      </c>
      <c r="B70" s="28">
        <v>2018</v>
      </c>
      <c r="C70" s="68">
        <f t="shared" si="1"/>
        <v>43101</v>
      </c>
      <c r="D70" s="28" t="s">
        <v>1491</v>
      </c>
      <c r="E70" s="28" t="s">
        <v>322</v>
      </c>
      <c r="F70" s="28" t="s">
        <v>323</v>
      </c>
      <c r="G70" s="28" t="s">
        <v>324</v>
      </c>
      <c r="H70" s="28">
        <v>42029</v>
      </c>
      <c r="I70" s="28">
        <v>37.056699000000002</v>
      </c>
      <c r="J70" s="28">
        <v>-88.365727000000007</v>
      </c>
      <c r="K70" s="28" t="s">
        <v>325</v>
      </c>
      <c r="L70" s="61">
        <v>110000380061</v>
      </c>
      <c r="M70" s="28" t="s">
        <v>253</v>
      </c>
      <c r="N70" s="28">
        <v>2819</v>
      </c>
      <c r="O70" s="28" t="str">
        <f>IFERROR(VLOOKUP(N70, 'SIC &amp; NAICS Codes'!A:B, 2, FALSE), "")</f>
        <v>Industrial Inorganic Chemicals, NEC (recovering sulfur from natural gas)</v>
      </c>
      <c r="S70" s="302">
        <v>12.812244897959101</v>
      </c>
      <c r="T70" s="315">
        <f>_xlfn.MAXIFS('Raw Period DMR Data'!$O:$O,'Raw Period DMR Data'!$A:$A,'Raw Annual DMR Data'!B70,'Raw Period DMR Data'!$C:$C,X70)/S70</f>
        <v>0</v>
      </c>
      <c r="U70" s="28" t="str">
        <f>+IF(COUNTIFS('Raw Period DMR Data'!$A:$A,B70, 'Raw Period DMR Data'!C:C,'Raw Annual DMR Data'!X70, 'Raw Period DMR Data'!M:M, "&gt;0")&gt;0,_xlfn.MAXIFS('Raw Period DMR Data'!M:M,'Raw Period DMR Data'!$A:$A,'Raw Annual DMR Data'!B70,'Raw Period DMR Data'!C:C,'Raw Annual DMR Data'!X70), "N/A - Period DMR Data Not Available")</f>
        <v>N/A - Period DMR Data Not Available</v>
      </c>
      <c r="V70" s="28" t="str" cm="1">
        <f t="array" ref="V70">IFERROR(INDEX('Raw Period DMR Data'!N:N,MATCH(1,(B70='Raw Period DMR Data'!$A:$A)*(U70='Raw Period DMR Data'!M:M)*(X70='Raw Period DMR Data'!C:C),0),1), "N/A")</f>
        <v>N/A</v>
      </c>
      <c r="W70" s="28" t="s">
        <v>1463</v>
      </c>
      <c r="X70" s="28" t="s">
        <v>776</v>
      </c>
      <c r="Y70" s="28" t="s">
        <v>777</v>
      </c>
      <c r="Z70" s="302" t="s">
        <v>1492</v>
      </c>
      <c r="AA70" s="28"/>
      <c r="AB70" s="28" t="s">
        <v>1465</v>
      </c>
      <c r="AC70" s="28" t="s">
        <v>1466</v>
      </c>
    </row>
    <row r="71" spans="1:29" x14ac:dyDescent="0.25">
      <c r="A71" s="61">
        <v>110017413217</v>
      </c>
      <c r="B71" s="28">
        <v>2019</v>
      </c>
      <c r="C71" s="68">
        <f t="shared" si="1"/>
        <v>43466</v>
      </c>
      <c r="D71" s="28" t="s">
        <v>977</v>
      </c>
      <c r="E71" s="28" t="s">
        <v>1493</v>
      </c>
      <c r="F71" s="28" t="s">
        <v>978</v>
      </c>
      <c r="G71" s="28" t="s">
        <v>979</v>
      </c>
      <c r="H71" s="28">
        <v>37389</v>
      </c>
      <c r="I71" s="28">
        <v>35.377800000000001</v>
      </c>
      <c r="J71" s="28">
        <v>-86.045599999999993</v>
      </c>
      <c r="K71" s="28" t="s">
        <v>700</v>
      </c>
      <c r="L71" s="61">
        <v>110017413217</v>
      </c>
      <c r="M71" s="28" t="s">
        <v>6750</v>
      </c>
      <c r="N71" s="28">
        <v>9711</v>
      </c>
      <c r="O71" s="28" t="str">
        <f>IFERROR(VLOOKUP(N71, 'SIC &amp; NAICS Codes'!A:B, 2, FALSE), "")</f>
        <v>National Security</v>
      </c>
      <c r="S71" s="28">
        <v>14.0861662955</v>
      </c>
      <c r="T71" s="315">
        <f>_xlfn.MAXIFS('Raw Period DMR Data'!$O:$O,'Raw Period DMR Data'!$A:$A,'Raw Annual DMR Data'!B71,'Raw Period DMR Data'!$C:$C,X71)/S71</f>
        <v>0</v>
      </c>
      <c r="U71" s="28" t="str">
        <f>+IF(COUNTIFS('Raw Period DMR Data'!$A:$A,B71, 'Raw Period DMR Data'!C:C,'Raw Annual DMR Data'!X71, 'Raw Period DMR Data'!M:M, "&gt;0")&gt;0,_xlfn.MAXIFS('Raw Period DMR Data'!M:M,'Raw Period DMR Data'!$A:$A,'Raw Annual DMR Data'!B71,'Raw Period DMR Data'!C:C,'Raw Annual DMR Data'!X71), "N/A - Period DMR Data Not Available")</f>
        <v>N/A - Period DMR Data Not Available</v>
      </c>
      <c r="V71" s="28" t="str" cm="1">
        <f t="array" ref="V71">IFERROR(INDEX('Raw Period DMR Data'!N:N,MATCH(1,(B71='Raw Period DMR Data'!$A:$A)*(U71='Raw Period DMR Data'!M:M)*(X71='Raw Period DMR Data'!C:C),0),1), "N/A")</f>
        <v>N/A</v>
      </c>
      <c r="W71" s="28" t="s">
        <v>1463</v>
      </c>
      <c r="X71" s="28" t="s">
        <v>1494</v>
      </c>
      <c r="Y71" s="28" t="s">
        <v>1495</v>
      </c>
      <c r="Z71" s="28">
        <v>6030003000915</v>
      </c>
      <c r="AA71" s="28"/>
      <c r="AB71" s="28" t="s">
        <v>1465</v>
      </c>
      <c r="AC71" s="28" t="s">
        <v>1466</v>
      </c>
    </row>
    <row r="72" spans="1:29" x14ac:dyDescent="0.25">
      <c r="A72" s="61">
        <v>110017413217</v>
      </c>
      <c r="B72" s="28">
        <v>2020</v>
      </c>
      <c r="C72" s="68">
        <f t="shared" si="1"/>
        <v>43831</v>
      </c>
      <c r="D72" s="28" t="s">
        <v>977</v>
      </c>
      <c r="E72" s="28" t="s">
        <v>1493</v>
      </c>
      <c r="F72" s="28" t="s">
        <v>978</v>
      </c>
      <c r="G72" s="28" t="s">
        <v>979</v>
      </c>
      <c r="H72" s="28">
        <v>37389</v>
      </c>
      <c r="I72" s="28">
        <v>35.377800000000001</v>
      </c>
      <c r="J72" s="28">
        <v>-86.045599999999993</v>
      </c>
      <c r="K72" s="28" t="s">
        <v>700</v>
      </c>
      <c r="L72" s="61">
        <v>110017413217</v>
      </c>
      <c r="M72" s="28" t="s">
        <v>6750</v>
      </c>
      <c r="N72" s="28">
        <v>9711</v>
      </c>
      <c r="O72" s="28" t="str">
        <f>IFERROR(VLOOKUP(N72, 'SIC &amp; NAICS Codes'!A:B, 2, FALSE), "")</f>
        <v>National Security</v>
      </c>
      <c r="S72" s="28">
        <v>13.107383179625</v>
      </c>
      <c r="T72" s="315">
        <f>_xlfn.MAXIFS('Raw Period DMR Data'!$O:$O,'Raw Period DMR Data'!$A:$A,'Raw Annual DMR Data'!B72,'Raw Period DMR Data'!$C:$C,X72)/S72</f>
        <v>0</v>
      </c>
      <c r="U72" s="28" t="str">
        <f>+IF(COUNTIFS('Raw Period DMR Data'!$A:$A,B72, 'Raw Period DMR Data'!C:C,'Raw Annual DMR Data'!X72, 'Raw Period DMR Data'!M:M, "&gt;0")&gt;0,_xlfn.MAXIFS('Raw Period DMR Data'!M:M,'Raw Period DMR Data'!$A:$A,'Raw Annual DMR Data'!B72,'Raw Period DMR Data'!C:C,'Raw Annual DMR Data'!X72), "N/A - Period DMR Data Not Available")</f>
        <v>N/A - Period DMR Data Not Available</v>
      </c>
      <c r="V72" s="28" t="str" cm="1">
        <f t="array" ref="V72">IFERROR(INDEX('Raw Period DMR Data'!N:N,MATCH(1,(B72='Raw Period DMR Data'!$A:$A)*(U72='Raw Period DMR Data'!M:M)*(X72='Raw Period DMR Data'!C:C),0),1), "N/A")</f>
        <v>N/A</v>
      </c>
      <c r="W72" s="28" t="s">
        <v>1463</v>
      </c>
      <c r="X72" s="28" t="s">
        <v>1494</v>
      </c>
      <c r="Y72" s="28" t="s">
        <v>1495</v>
      </c>
      <c r="Z72" s="28">
        <v>6030003000915</v>
      </c>
      <c r="AA72" s="28"/>
      <c r="AB72" s="28" t="s">
        <v>1465</v>
      </c>
      <c r="AC72" s="28" t="s">
        <v>1466</v>
      </c>
    </row>
    <row r="73" spans="1:29" x14ac:dyDescent="0.25">
      <c r="A73" s="61">
        <v>110070381611</v>
      </c>
      <c r="B73" s="28">
        <v>2019</v>
      </c>
      <c r="C73" s="68">
        <f t="shared" si="1"/>
        <v>43466</v>
      </c>
      <c r="D73" s="28" t="s">
        <v>106</v>
      </c>
      <c r="E73" s="28" t="s">
        <v>326</v>
      </c>
      <c r="F73" s="28" t="s">
        <v>327</v>
      </c>
      <c r="G73" s="28" t="s">
        <v>328</v>
      </c>
      <c r="H73" s="28">
        <v>30340</v>
      </c>
      <c r="I73" s="28">
        <v>33.905000000000001</v>
      </c>
      <c r="J73" s="28">
        <v>-84.240278000000004</v>
      </c>
      <c r="L73" s="61">
        <v>110070381611</v>
      </c>
      <c r="M73" s="28" t="s">
        <v>252</v>
      </c>
      <c r="N73" s="28">
        <v>4959</v>
      </c>
      <c r="O73" s="28" t="str">
        <f>IFERROR(VLOOKUP(N73, 'SIC &amp; NAICS Codes'!A:B, 2, FALSE), "")</f>
        <v>Sanitary Services, NEC (vacuuming of runways)</v>
      </c>
      <c r="S73" s="28">
        <v>1.20737715E-2</v>
      </c>
      <c r="T73" s="315">
        <f>_xlfn.MAXIFS('Raw Period DMR Data'!$O:$O,'Raw Period DMR Data'!$A:$A,'Raw Annual DMR Data'!B73,'Raw Period DMR Data'!$C:$C,X73)/S73</f>
        <v>0</v>
      </c>
      <c r="U73" s="28" t="str">
        <f>+IF(COUNTIFS('Raw Period DMR Data'!$A:$A,B73, 'Raw Period DMR Data'!C:C,'Raw Annual DMR Data'!X73, 'Raw Period DMR Data'!M:M, "&gt;0")&gt;0,_xlfn.MAXIFS('Raw Period DMR Data'!M:M,'Raw Period DMR Data'!$A:$A,'Raw Annual DMR Data'!B73,'Raw Period DMR Data'!C:C,'Raw Annual DMR Data'!X73), "N/A - Period DMR Data Not Available")</f>
        <v>N/A - Period DMR Data Not Available</v>
      </c>
      <c r="V73" s="28" t="str" cm="1">
        <f t="array" ref="V73">IFERROR(INDEX('Raw Period DMR Data'!N:N,MATCH(1,(B73='Raw Period DMR Data'!$A:$A)*(U73='Raw Period DMR Data'!M:M)*(X73='Raw Period DMR Data'!C:C),0),1), "N/A")</f>
        <v>N/A</v>
      </c>
      <c r="W73" s="28" t="s">
        <v>1463</v>
      </c>
      <c r="X73" s="28" t="s">
        <v>778</v>
      </c>
      <c r="Y73" s="28" t="s">
        <v>779</v>
      </c>
      <c r="Z73" s="61"/>
    </row>
    <row r="74" spans="1:29" x14ac:dyDescent="0.25">
      <c r="A74" s="61">
        <v>110070381611</v>
      </c>
      <c r="B74" s="28">
        <v>2020</v>
      </c>
      <c r="C74" s="68">
        <f t="shared" si="1"/>
        <v>43831</v>
      </c>
      <c r="D74" s="28" t="s">
        <v>106</v>
      </c>
      <c r="E74" s="28" t="s">
        <v>326</v>
      </c>
      <c r="F74" s="28" t="s">
        <v>327</v>
      </c>
      <c r="G74" s="28" t="s">
        <v>328</v>
      </c>
      <c r="H74" s="28">
        <v>30340</v>
      </c>
      <c r="I74" s="28">
        <v>33.905000000000001</v>
      </c>
      <c r="J74" s="28">
        <v>-84.240278000000004</v>
      </c>
      <c r="L74" s="61">
        <v>110070381611</v>
      </c>
      <c r="M74" s="28" t="s">
        <v>252</v>
      </c>
      <c r="N74" s="28">
        <v>4959</v>
      </c>
      <c r="O74" s="28" t="str">
        <f>IFERROR(VLOOKUP(N74, 'SIC &amp; NAICS Codes'!A:B, 2, FALSE), "")</f>
        <v>Sanitary Services, NEC (vacuuming of runways)</v>
      </c>
      <c r="S74" s="28">
        <v>8.0405019950000003E-2</v>
      </c>
      <c r="T74" s="315">
        <f>_xlfn.MAXIFS('Raw Period DMR Data'!$O:$O,'Raw Period DMR Data'!$A:$A,'Raw Annual DMR Data'!B74,'Raw Period DMR Data'!$C:$C,X74)/S74</f>
        <v>0</v>
      </c>
      <c r="U74" s="28" t="str">
        <f>+IF(COUNTIFS('Raw Period DMR Data'!$A:$A,B74, 'Raw Period DMR Data'!C:C,'Raw Annual DMR Data'!X74, 'Raw Period DMR Data'!M:M, "&gt;0")&gt;0,_xlfn.MAXIFS('Raw Period DMR Data'!M:M,'Raw Period DMR Data'!$A:$A,'Raw Annual DMR Data'!B74,'Raw Period DMR Data'!C:C,'Raw Annual DMR Data'!X74), "N/A - Period DMR Data Not Available")</f>
        <v>N/A - Period DMR Data Not Available</v>
      </c>
      <c r="V74" s="28" t="str" cm="1">
        <f t="array" ref="V74">IFERROR(INDEX('Raw Period DMR Data'!N:N,MATCH(1,(B74='Raw Period DMR Data'!$A:$A)*(U74='Raw Period DMR Data'!M:M)*(X74='Raw Period DMR Data'!C:C),0),1), "N/A")</f>
        <v>N/A</v>
      </c>
      <c r="W74" s="28" t="s">
        <v>1463</v>
      </c>
      <c r="X74" s="28" t="s">
        <v>778</v>
      </c>
      <c r="Y74" s="28" t="s">
        <v>779</v>
      </c>
      <c r="Z74" s="61"/>
    </row>
    <row r="75" spans="1:29" x14ac:dyDescent="0.25">
      <c r="A75" s="61">
        <v>110070381611</v>
      </c>
      <c r="B75" s="28">
        <v>2019</v>
      </c>
      <c r="C75" s="68">
        <f t="shared" si="1"/>
        <v>43466</v>
      </c>
      <c r="D75" s="28" t="s">
        <v>106</v>
      </c>
      <c r="E75" s="28" t="s">
        <v>326</v>
      </c>
      <c r="F75" s="28" t="s">
        <v>327</v>
      </c>
      <c r="G75" s="28" t="s">
        <v>328</v>
      </c>
      <c r="H75" s="28">
        <v>30340</v>
      </c>
      <c r="I75" s="28">
        <v>33.905000000000001</v>
      </c>
      <c r="J75" s="28">
        <v>-84.240278000000004</v>
      </c>
      <c r="L75" s="61">
        <v>110070381611</v>
      </c>
      <c r="M75" s="28" t="s">
        <v>252</v>
      </c>
      <c r="O75" s="28" t="str">
        <f>IFERROR(VLOOKUP(N75, 'SIC &amp; NAICS Codes'!A:B, 2, FALSE), "")</f>
        <v/>
      </c>
      <c r="S75" s="28">
        <v>2.5481187749999998E-2</v>
      </c>
      <c r="T75" s="315">
        <f>_xlfn.MAXIFS('Raw Period DMR Data'!$O:$O,'Raw Period DMR Data'!$A:$A,'Raw Annual DMR Data'!B75,'Raw Period DMR Data'!$C:$C,X75)/S75</f>
        <v>0</v>
      </c>
      <c r="U75" s="28" t="str">
        <f>+IF(COUNTIFS('Raw Period DMR Data'!$A:$A,B75, 'Raw Period DMR Data'!C:C,'Raw Annual DMR Data'!X75, 'Raw Period DMR Data'!M:M, "&gt;0")&gt;0,_xlfn.MAXIFS('Raw Period DMR Data'!M:M,'Raw Period DMR Data'!$A:$A,'Raw Annual DMR Data'!B75,'Raw Period DMR Data'!C:C,'Raw Annual DMR Data'!X75), "N/A - Period DMR Data Not Available")</f>
        <v>N/A - Period DMR Data Not Available</v>
      </c>
      <c r="V75" s="28" t="str" cm="1">
        <f t="array" ref="V75">IFERROR(INDEX('Raw Period DMR Data'!N:N,MATCH(1,(B75='Raw Period DMR Data'!$A:$A)*(U75='Raw Period DMR Data'!M:M)*(X75='Raw Period DMR Data'!C:C),0),1), "N/A")</f>
        <v>N/A</v>
      </c>
      <c r="W75" s="28" t="s">
        <v>1463</v>
      </c>
      <c r="X75" s="28" t="s">
        <v>778</v>
      </c>
      <c r="Y75" s="28" t="s">
        <v>779</v>
      </c>
      <c r="AA75" s="28"/>
      <c r="AB75" s="28" t="s">
        <v>1465</v>
      </c>
      <c r="AC75" s="28" t="s">
        <v>1466</v>
      </c>
    </row>
    <row r="76" spans="1:29" x14ac:dyDescent="0.25">
      <c r="A76" s="61">
        <v>110070381611</v>
      </c>
      <c r="B76" s="28">
        <v>2020</v>
      </c>
      <c r="C76" s="68">
        <f t="shared" si="1"/>
        <v>43831</v>
      </c>
      <c r="D76" s="28" t="s">
        <v>106</v>
      </c>
      <c r="E76" s="28" t="s">
        <v>326</v>
      </c>
      <c r="F76" s="28" t="s">
        <v>327</v>
      </c>
      <c r="G76" s="28" t="s">
        <v>328</v>
      </c>
      <c r="H76" s="28">
        <v>30340</v>
      </c>
      <c r="I76" s="28">
        <v>33.905000000000001</v>
      </c>
      <c r="J76" s="28">
        <v>-84.240278000000004</v>
      </c>
      <c r="L76" s="61">
        <v>110070381611</v>
      </c>
      <c r="M76" s="28" t="s">
        <v>252</v>
      </c>
      <c r="O76" s="28" t="str">
        <f>IFERROR(VLOOKUP(N76, 'SIC &amp; NAICS Codes'!A:B, 2, FALSE), "")</f>
        <v/>
      </c>
      <c r="S76" s="28">
        <v>8.4865623525000003E-2</v>
      </c>
      <c r="T76" s="315">
        <f>_xlfn.MAXIFS('Raw Period DMR Data'!$O:$O,'Raw Period DMR Data'!$A:$A,'Raw Annual DMR Data'!B76,'Raw Period DMR Data'!$C:$C,X76)/S76</f>
        <v>0</v>
      </c>
      <c r="U76" s="28" t="str">
        <f>+IF(COUNTIFS('Raw Period DMR Data'!$A:$A,B76, 'Raw Period DMR Data'!C:C,'Raw Annual DMR Data'!X76, 'Raw Period DMR Data'!M:M, "&gt;0")&gt;0,_xlfn.MAXIFS('Raw Period DMR Data'!M:M,'Raw Period DMR Data'!$A:$A,'Raw Annual DMR Data'!B76,'Raw Period DMR Data'!C:C,'Raw Annual DMR Data'!X76), "N/A - Period DMR Data Not Available")</f>
        <v>N/A - Period DMR Data Not Available</v>
      </c>
      <c r="V76" s="28" t="str" cm="1">
        <f t="array" ref="V76">IFERROR(INDEX('Raw Period DMR Data'!N:N,MATCH(1,(B76='Raw Period DMR Data'!$A:$A)*(U76='Raw Period DMR Data'!M:M)*(X76='Raw Period DMR Data'!C:C),0),1), "N/A")</f>
        <v>N/A</v>
      </c>
      <c r="W76" s="28" t="s">
        <v>1463</v>
      </c>
      <c r="X76" s="28" t="s">
        <v>778</v>
      </c>
      <c r="Y76" s="28" t="s">
        <v>779</v>
      </c>
      <c r="AA76" s="28"/>
      <c r="AB76" s="28" t="s">
        <v>1465</v>
      </c>
      <c r="AC76" s="28" t="s">
        <v>1466</v>
      </c>
    </row>
    <row r="77" spans="1:29" x14ac:dyDescent="0.25">
      <c r="A77" s="61">
        <v>110000732244</v>
      </c>
      <c r="B77" s="28">
        <v>2017</v>
      </c>
      <c r="C77" s="68">
        <f t="shared" si="1"/>
        <v>42736</v>
      </c>
      <c r="D77" s="28" t="s">
        <v>107</v>
      </c>
      <c r="E77" s="28" t="s">
        <v>330</v>
      </c>
      <c r="F77" s="28" t="s">
        <v>331</v>
      </c>
      <c r="G77" s="28" t="s">
        <v>324</v>
      </c>
      <c r="H77" s="28">
        <v>41101</v>
      </c>
      <c r="I77" s="28">
        <v>38.474601999999997</v>
      </c>
      <c r="J77" s="28">
        <v>-82.623778999999999</v>
      </c>
      <c r="L77" s="61">
        <v>110000732244</v>
      </c>
      <c r="M77" s="28" t="s">
        <v>263</v>
      </c>
      <c r="N77" s="28">
        <v>4952</v>
      </c>
      <c r="O77" s="28" t="str">
        <f>IFERROR(VLOOKUP(N77, 'SIC &amp; NAICS Codes'!A:B, 2, FALSE), "")</f>
        <v>Sewerage Systems</v>
      </c>
      <c r="S77" s="28">
        <v>3.6817641249999999</v>
      </c>
      <c r="T77" s="315">
        <f>_xlfn.MAXIFS('Raw Period DMR Data'!$O:$O,'Raw Period DMR Data'!$A:$A,'Raw Annual DMR Data'!B77,'Raw Period DMR Data'!$C:$C,X77)/S77</f>
        <v>0</v>
      </c>
      <c r="U77" s="28" t="str">
        <f>+IF(COUNTIFS('Raw Period DMR Data'!$A:$A,B77, 'Raw Period DMR Data'!C:C,'Raw Annual DMR Data'!X77, 'Raw Period DMR Data'!M:M, "&gt;0")&gt;0,_xlfn.MAXIFS('Raw Period DMR Data'!M:M,'Raw Period DMR Data'!$A:$A,'Raw Annual DMR Data'!B77,'Raw Period DMR Data'!C:C,'Raw Annual DMR Data'!X77), "N/A - Period DMR Data Not Available")</f>
        <v>N/A - Period DMR Data Not Available</v>
      </c>
      <c r="V77" s="28" t="str" cm="1">
        <f t="array" ref="V77">IFERROR(INDEX('Raw Period DMR Data'!N:N,MATCH(1,(B77='Raw Period DMR Data'!$A:$A)*(U77='Raw Period DMR Data'!M:M)*(X77='Raw Period DMR Data'!C:C),0),1), "N/A")</f>
        <v>N/A</v>
      </c>
      <c r="W77" s="28" t="s">
        <v>1463</v>
      </c>
      <c r="X77" s="28" t="s">
        <v>780</v>
      </c>
      <c r="Y77" s="28" t="s">
        <v>781</v>
      </c>
      <c r="Z77" s="61">
        <v>5090103000899</v>
      </c>
      <c r="AA77" s="28"/>
    </row>
    <row r="78" spans="1:29" x14ac:dyDescent="0.25">
      <c r="A78" s="61">
        <v>110000732244</v>
      </c>
      <c r="B78" s="28">
        <v>2018</v>
      </c>
      <c r="C78" s="68">
        <f t="shared" si="1"/>
        <v>43101</v>
      </c>
      <c r="D78" s="28" t="s">
        <v>107</v>
      </c>
      <c r="E78" s="28" t="s">
        <v>330</v>
      </c>
      <c r="F78" s="28" t="s">
        <v>331</v>
      </c>
      <c r="G78" s="28" t="s">
        <v>324</v>
      </c>
      <c r="H78" s="28">
        <v>41101</v>
      </c>
      <c r="I78" s="28">
        <v>38.474601999999997</v>
      </c>
      <c r="J78" s="28">
        <v>-82.623778999999999</v>
      </c>
      <c r="L78" s="61">
        <v>110000732244</v>
      </c>
      <c r="M78" s="28" t="s">
        <v>263</v>
      </c>
      <c r="N78" s="28">
        <v>4952</v>
      </c>
      <c r="O78" s="28" t="str">
        <f>IFERROR(VLOOKUP(N78, 'SIC &amp; NAICS Codes'!A:B, 2, FALSE), "")</f>
        <v>Sewerage Systems</v>
      </c>
      <c r="S78" s="28">
        <v>9.5048919999999999</v>
      </c>
      <c r="T78" s="315">
        <f>_xlfn.MAXIFS('Raw Period DMR Data'!$O:$O,'Raw Period DMR Data'!$A:$A,'Raw Annual DMR Data'!B78,'Raw Period DMR Data'!$C:$C,X78)/S78</f>
        <v>0</v>
      </c>
      <c r="U78" s="28" t="str">
        <f>+IF(COUNTIFS('Raw Period DMR Data'!$A:$A,B78, 'Raw Period DMR Data'!C:C,'Raw Annual DMR Data'!X78, 'Raw Period DMR Data'!M:M, "&gt;0")&gt;0,_xlfn.MAXIFS('Raw Period DMR Data'!M:M,'Raw Period DMR Data'!$A:$A,'Raw Annual DMR Data'!B78,'Raw Period DMR Data'!C:C,'Raw Annual DMR Data'!X78), "N/A - Period DMR Data Not Available")</f>
        <v>N/A - Period DMR Data Not Available</v>
      </c>
      <c r="V78" s="28" t="str" cm="1">
        <f t="array" ref="V78">IFERROR(INDEX('Raw Period DMR Data'!N:N,MATCH(1,(B78='Raw Period DMR Data'!$A:$A)*(U78='Raw Period DMR Data'!M:M)*(X78='Raw Period DMR Data'!C:C),0),1), "N/A")</f>
        <v>N/A</v>
      </c>
      <c r="W78" s="28" t="s">
        <v>1463</v>
      </c>
      <c r="X78" s="28" t="s">
        <v>780</v>
      </c>
      <c r="Y78" s="28" t="s">
        <v>781</v>
      </c>
      <c r="Z78" s="302" t="s">
        <v>1496</v>
      </c>
      <c r="AA78" s="28"/>
      <c r="AB78" s="28" t="s">
        <v>1465</v>
      </c>
      <c r="AC78" s="28" t="s">
        <v>263</v>
      </c>
    </row>
    <row r="79" spans="1:29" x14ac:dyDescent="0.25">
      <c r="A79" s="61">
        <v>110000732244</v>
      </c>
      <c r="B79" s="28">
        <v>2019</v>
      </c>
      <c r="C79" s="68">
        <f t="shared" si="1"/>
        <v>43466</v>
      </c>
      <c r="D79" s="28" t="s">
        <v>107</v>
      </c>
      <c r="E79" s="28" t="s">
        <v>330</v>
      </c>
      <c r="F79" s="28" t="s">
        <v>331</v>
      </c>
      <c r="G79" s="28" t="s">
        <v>324</v>
      </c>
      <c r="H79" s="28">
        <v>41101</v>
      </c>
      <c r="I79" s="28">
        <v>38.474601999999997</v>
      </c>
      <c r="J79" s="28">
        <v>-82.623778999999999</v>
      </c>
      <c r="L79" s="61">
        <v>110000732244</v>
      </c>
      <c r="M79" s="28" t="s">
        <v>263</v>
      </c>
      <c r="N79" s="28">
        <v>4952</v>
      </c>
      <c r="O79" s="28" t="str">
        <f>IFERROR(VLOOKUP(N79, 'SIC &amp; NAICS Codes'!A:B, 2, FALSE), "")</f>
        <v>Sewerage Systems</v>
      </c>
      <c r="S79" s="28">
        <v>24.038535</v>
      </c>
      <c r="T79" s="315">
        <f>_xlfn.MAXIFS('Raw Period DMR Data'!$O:$O,'Raw Period DMR Data'!$A:$A,'Raw Annual DMR Data'!B79,'Raw Period DMR Data'!$C:$C,X79)/S79</f>
        <v>0</v>
      </c>
      <c r="U79" s="28" t="str">
        <f>+IF(COUNTIFS('Raw Period DMR Data'!$A:$A,B79, 'Raw Period DMR Data'!C:C,'Raw Annual DMR Data'!X79, 'Raw Period DMR Data'!M:M, "&gt;0")&gt;0,_xlfn.MAXIFS('Raw Period DMR Data'!M:M,'Raw Period DMR Data'!$A:$A,'Raw Annual DMR Data'!B79,'Raw Period DMR Data'!C:C,'Raw Annual DMR Data'!X79), "N/A - Period DMR Data Not Available")</f>
        <v>N/A - Period DMR Data Not Available</v>
      </c>
      <c r="V79" s="28" t="str" cm="1">
        <f t="array" ref="V79">IFERROR(INDEX('Raw Period DMR Data'!N:N,MATCH(1,(B79='Raw Period DMR Data'!$A:$A)*(U79='Raw Period DMR Data'!M:M)*(X79='Raw Period DMR Data'!C:C),0),1), "N/A")</f>
        <v>N/A</v>
      </c>
      <c r="W79" s="28" t="s">
        <v>1463</v>
      </c>
      <c r="X79" s="28" t="s">
        <v>780</v>
      </c>
      <c r="Y79" s="28" t="s">
        <v>781</v>
      </c>
      <c r="Z79" s="28">
        <v>5090103000899</v>
      </c>
      <c r="AA79" s="28"/>
      <c r="AB79" s="28" t="s">
        <v>1465</v>
      </c>
      <c r="AC79" s="28" t="s">
        <v>263</v>
      </c>
    </row>
    <row r="80" spans="1:29" x14ac:dyDescent="0.25">
      <c r="A80" s="61">
        <v>110003250277</v>
      </c>
      <c r="B80" s="28">
        <v>2016</v>
      </c>
      <c r="C80" s="68">
        <f t="shared" si="1"/>
        <v>42370</v>
      </c>
      <c r="D80" s="28" t="s">
        <v>980</v>
      </c>
      <c r="E80" s="28" t="s">
        <v>1497</v>
      </c>
      <c r="F80" s="28" t="s">
        <v>981</v>
      </c>
      <c r="G80" s="28" t="s">
        <v>324</v>
      </c>
      <c r="H80" s="28">
        <v>42206</v>
      </c>
      <c r="I80" s="28">
        <v>36.864350000000002</v>
      </c>
      <c r="J80" s="28">
        <v>-86.705910000000003</v>
      </c>
      <c r="L80" s="61">
        <v>110003250277</v>
      </c>
      <c r="M80" s="28" t="s">
        <v>263</v>
      </c>
      <c r="N80" s="28">
        <v>4952</v>
      </c>
      <c r="O80" s="28" t="str">
        <f>IFERROR(VLOOKUP(N80, 'SIC &amp; NAICS Codes'!A:B, 2, FALSE), "")</f>
        <v>Sewerage Systems</v>
      </c>
      <c r="S80" s="28">
        <v>0.1208834375</v>
      </c>
      <c r="T80" s="315">
        <f>_xlfn.MAXIFS('Raw Period DMR Data'!$O:$O,'Raw Period DMR Data'!$A:$A,'Raw Annual DMR Data'!B80,'Raw Period DMR Data'!$C:$C,X80)/S80</f>
        <v>0</v>
      </c>
      <c r="U80" s="28" t="str">
        <f>+IF(COUNTIFS('Raw Period DMR Data'!$A:$A,B80, 'Raw Period DMR Data'!C:C,'Raw Annual DMR Data'!X80, 'Raw Period DMR Data'!M:M, "&gt;0")&gt;0,_xlfn.MAXIFS('Raw Period DMR Data'!M:M,'Raw Period DMR Data'!$A:$A,'Raw Annual DMR Data'!B80,'Raw Period DMR Data'!C:C,'Raw Annual DMR Data'!X80), "N/A - Period DMR Data Not Available")</f>
        <v>N/A - Period DMR Data Not Available</v>
      </c>
      <c r="V80" s="28" t="str" cm="1">
        <f t="array" ref="V80">IFERROR(INDEX('Raw Period DMR Data'!N:N,MATCH(1,(B80='Raw Period DMR Data'!$A:$A)*(U80='Raw Period DMR Data'!M:M)*(X80='Raw Period DMR Data'!C:C),0),1), "N/A")</f>
        <v>N/A</v>
      </c>
      <c r="W80" s="28" t="s">
        <v>1463</v>
      </c>
      <c r="X80" s="28" t="s">
        <v>1498</v>
      </c>
      <c r="Y80" s="28" t="s">
        <v>1499</v>
      </c>
      <c r="Z80" s="28">
        <v>5110002001791</v>
      </c>
      <c r="AA80" s="28"/>
      <c r="AB80" s="28" t="s">
        <v>1465</v>
      </c>
      <c r="AC80" s="28" t="s">
        <v>263</v>
      </c>
    </row>
    <row r="81" spans="1:29" x14ac:dyDescent="0.25">
      <c r="A81" s="61">
        <v>110003250277</v>
      </c>
      <c r="B81" s="28">
        <v>2017</v>
      </c>
      <c r="C81" s="68">
        <f t="shared" si="1"/>
        <v>42736</v>
      </c>
      <c r="D81" s="28" t="s">
        <v>980</v>
      </c>
      <c r="E81" s="28" t="s">
        <v>1497</v>
      </c>
      <c r="F81" s="28" t="s">
        <v>981</v>
      </c>
      <c r="G81" s="28" t="s">
        <v>324</v>
      </c>
      <c r="H81" s="28">
        <v>42206</v>
      </c>
      <c r="I81" s="28">
        <v>36.864350000000002</v>
      </c>
      <c r="J81" s="28">
        <v>-86.705910000000003</v>
      </c>
      <c r="L81" s="61">
        <v>110003250277</v>
      </c>
      <c r="M81" s="28" t="s">
        <v>263</v>
      </c>
      <c r="N81" s="28">
        <v>4952</v>
      </c>
      <c r="O81" s="28" t="str">
        <f>IFERROR(VLOOKUP(N81, 'SIC &amp; NAICS Codes'!A:B, 2, FALSE), "")</f>
        <v>Sewerage Systems</v>
      </c>
      <c r="S81" s="28">
        <v>0.161638425</v>
      </c>
      <c r="T81" s="315">
        <f>_xlfn.MAXIFS('Raw Period DMR Data'!$O:$O,'Raw Period DMR Data'!$A:$A,'Raw Annual DMR Data'!B81,'Raw Period DMR Data'!$C:$C,X81)/S81</f>
        <v>0</v>
      </c>
      <c r="U81" s="28" t="str">
        <f>+IF(COUNTIFS('Raw Period DMR Data'!$A:$A,B81, 'Raw Period DMR Data'!C:C,'Raw Annual DMR Data'!X81, 'Raw Period DMR Data'!M:M, "&gt;0")&gt;0,_xlfn.MAXIFS('Raw Period DMR Data'!M:M,'Raw Period DMR Data'!$A:$A,'Raw Annual DMR Data'!B81,'Raw Period DMR Data'!C:C,'Raw Annual DMR Data'!X81), "N/A - Period DMR Data Not Available")</f>
        <v>N/A - Period DMR Data Not Available</v>
      </c>
      <c r="V81" s="28" t="str" cm="1">
        <f t="array" ref="V81">IFERROR(INDEX('Raw Period DMR Data'!N:N,MATCH(1,(B81='Raw Period DMR Data'!$A:$A)*(U81='Raw Period DMR Data'!M:M)*(X81='Raw Period DMR Data'!C:C),0),1), "N/A")</f>
        <v>N/A</v>
      </c>
      <c r="W81" s="28" t="s">
        <v>1463</v>
      </c>
      <c r="X81" s="28" t="s">
        <v>1498</v>
      </c>
      <c r="Y81" s="28" t="s">
        <v>1499</v>
      </c>
      <c r="Z81" s="28">
        <v>5110002001791</v>
      </c>
      <c r="AA81" s="28"/>
      <c r="AB81" s="28" t="s">
        <v>1465</v>
      </c>
      <c r="AC81" s="28" t="s">
        <v>263</v>
      </c>
    </row>
    <row r="82" spans="1:29" x14ac:dyDescent="0.25">
      <c r="A82" s="61">
        <v>110003250277</v>
      </c>
      <c r="B82" s="28">
        <v>2018</v>
      </c>
      <c r="C82" s="68">
        <f t="shared" si="1"/>
        <v>43101</v>
      </c>
      <c r="D82" s="28" t="s">
        <v>980</v>
      </c>
      <c r="E82" s="28" t="s">
        <v>1497</v>
      </c>
      <c r="F82" s="28" t="s">
        <v>981</v>
      </c>
      <c r="G82" s="28" t="s">
        <v>324</v>
      </c>
      <c r="H82" s="28">
        <v>42206</v>
      </c>
      <c r="I82" s="28">
        <v>36.864350000000002</v>
      </c>
      <c r="J82" s="28">
        <v>-86.705910000000003</v>
      </c>
      <c r="L82" s="61">
        <v>110003250277</v>
      </c>
      <c r="M82" s="28" t="s">
        <v>263</v>
      </c>
      <c r="N82" s="28">
        <v>4952</v>
      </c>
      <c r="O82" s="28" t="str">
        <f>IFERROR(VLOOKUP(N82, 'SIC &amp; NAICS Codes'!A:B, 2, FALSE), "")</f>
        <v>Sewerage Systems</v>
      </c>
      <c r="S82" s="28">
        <v>0.1416063125</v>
      </c>
      <c r="T82" s="315">
        <f>_xlfn.MAXIFS('Raw Period DMR Data'!$O:$O,'Raw Period DMR Data'!$A:$A,'Raw Annual DMR Data'!B82,'Raw Period DMR Data'!$C:$C,X82)/S82</f>
        <v>0</v>
      </c>
      <c r="U82" s="28" t="str">
        <f>+IF(COUNTIFS('Raw Period DMR Data'!$A:$A,B82, 'Raw Period DMR Data'!C:C,'Raw Annual DMR Data'!X82, 'Raw Period DMR Data'!M:M, "&gt;0")&gt;0,_xlfn.MAXIFS('Raw Period DMR Data'!M:M,'Raw Period DMR Data'!$A:$A,'Raw Annual DMR Data'!B82,'Raw Period DMR Data'!C:C,'Raw Annual DMR Data'!X82), "N/A - Period DMR Data Not Available")</f>
        <v>N/A - Period DMR Data Not Available</v>
      </c>
      <c r="V82" s="28" t="str" cm="1">
        <f t="array" ref="V82">IFERROR(INDEX('Raw Period DMR Data'!N:N,MATCH(1,(B82='Raw Period DMR Data'!$A:$A)*(U82='Raw Period DMR Data'!M:M)*(X82='Raw Period DMR Data'!C:C),0),1), "N/A")</f>
        <v>N/A</v>
      </c>
      <c r="W82" s="28" t="s">
        <v>1463</v>
      </c>
      <c r="X82" s="28" t="s">
        <v>1498</v>
      </c>
      <c r="Y82" s="28" t="s">
        <v>1499</v>
      </c>
      <c r="Z82" s="302" t="s">
        <v>1500</v>
      </c>
      <c r="AA82" s="28"/>
      <c r="AB82" s="28" t="s">
        <v>1465</v>
      </c>
      <c r="AC82" s="28" t="s">
        <v>263</v>
      </c>
    </row>
    <row r="83" spans="1:29" x14ac:dyDescent="0.25">
      <c r="A83" s="61">
        <v>110003250277</v>
      </c>
      <c r="B83" s="28">
        <v>2019</v>
      </c>
      <c r="C83" s="68">
        <f t="shared" si="1"/>
        <v>43466</v>
      </c>
      <c r="D83" s="28" t="s">
        <v>980</v>
      </c>
      <c r="E83" s="28" t="s">
        <v>1497</v>
      </c>
      <c r="F83" s="28" t="s">
        <v>981</v>
      </c>
      <c r="G83" s="28" t="s">
        <v>324</v>
      </c>
      <c r="H83" s="28">
        <v>42206</v>
      </c>
      <c r="I83" s="28">
        <v>36.864350000000002</v>
      </c>
      <c r="J83" s="28">
        <v>-86.705910000000003</v>
      </c>
      <c r="L83" s="61">
        <v>110003250277</v>
      </c>
      <c r="M83" s="28" t="s">
        <v>263</v>
      </c>
      <c r="N83" s="28">
        <v>4952</v>
      </c>
      <c r="O83" s="28" t="str">
        <f>IFERROR(VLOOKUP(N83, 'SIC &amp; NAICS Codes'!A:B, 2, FALSE), "")</f>
        <v>Sewerage Systems</v>
      </c>
      <c r="S83" s="28">
        <v>0.22104399999999999</v>
      </c>
      <c r="T83" s="315">
        <f>_xlfn.MAXIFS('Raw Period DMR Data'!$O:$O,'Raw Period DMR Data'!$A:$A,'Raw Annual DMR Data'!B83,'Raw Period DMR Data'!$C:$C,X83)/S83</f>
        <v>0</v>
      </c>
      <c r="U83" s="28" t="str">
        <f>+IF(COUNTIFS('Raw Period DMR Data'!$A:$A,B83, 'Raw Period DMR Data'!C:C,'Raw Annual DMR Data'!X83, 'Raw Period DMR Data'!M:M, "&gt;0")&gt;0,_xlfn.MAXIFS('Raw Period DMR Data'!M:M,'Raw Period DMR Data'!$A:$A,'Raw Annual DMR Data'!B83,'Raw Period DMR Data'!C:C,'Raw Annual DMR Data'!X83), "N/A - Period DMR Data Not Available")</f>
        <v>N/A - Period DMR Data Not Available</v>
      </c>
      <c r="V83" s="28" t="str" cm="1">
        <f t="array" ref="V83">IFERROR(INDEX('Raw Period DMR Data'!N:N,MATCH(1,(B83='Raw Period DMR Data'!$A:$A)*(U83='Raw Period DMR Data'!M:M)*(X83='Raw Period DMR Data'!C:C),0),1), "N/A")</f>
        <v>N/A</v>
      </c>
      <c r="W83" s="28" t="s">
        <v>1463</v>
      </c>
      <c r="X83" s="28" t="s">
        <v>1498</v>
      </c>
      <c r="Y83" s="28" t="s">
        <v>1499</v>
      </c>
      <c r="Z83" s="28">
        <v>5110002001791</v>
      </c>
      <c r="AA83" s="28"/>
      <c r="AB83" s="28" t="s">
        <v>1465</v>
      </c>
      <c r="AC83" s="28" t="s">
        <v>263</v>
      </c>
    </row>
    <row r="84" spans="1:29" x14ac:dyDescent="0.25">
      <c r="A84" s="61">
        <v>110022421789</v>
      </c>
      <c r="B84" s="28">
        <v>2016</v>
      </c>
      <c r="C84" s="68">
        <f t="shared" si="1"/>
        <v>42370</v>
      </c>
      <c r="D84" s="28" t="s">
        <v>982</v>
      </c>
      <c r="E84" s="28" t="s">
        <v>1501</v>
      </c>
      <c r="F84" s="28" t="s">
        <v>983</v>
      </c>
      <c r="G84" s="28" t="s">
        <v>374</v>
      </c>
      <c r="H84" s="28" t="s">
        <v>1502</v>
      </c>
      <c r="I84" s="28">
        <v>33.402509999999999</v>
      </c>
      <c r="J84" s="28">
        <v>-112.34045999999999</v>
      </c>
      <c r="L84" s="61">
        <v>110022421789</v>
      </c>
      <c r="M84" s="28" t="s">
        <v>263</v>
      </c>
      <c r="N84" s="28">
        <v>4952</v>
      </c>
      <c r="O84" s="28" t="str">
        <f>IFERROR(VLOOKUP(N84, 'SIC &amp; NAICS Codes'!A:B, 2, FALSE), "")</f>
        <v>Sewerage Systems</v>
      </c>
      <c r="S84" s="28">
        <v>7.8719294499999997</v>
      </c>
      <c r="T84" s="315">
        <f>_xlfn.MAXIFS('Raw Period DMR Data'!$O:$O,'Raw Period DMR Data'!$A:$A,'Raw Annual DMR Data'!B84,'Raw Period DMR Data'!$C:$C,X84)/S84</f>
        <v>0</v>
      </c>
      <c r="U84" s="28" t="str">
        <f>+IF(COUNTIFS('Raw Period DMR Data'!$A:$A,B84, 'Raw Period DMR Data'!C:C,'Raw Annual DMR Data'!X84, 'Raw Period DMR Data'!M:M, "&gt;0")&gt;0,_xlfn.MAXIFS('Raw Period DMR Data'!M:M,'Raw Period DMR Data'!$A:$A,'Raw Annual DMR Data'!B84,'Raw Period DMR Data'!C:C,'Raw Annual DMR Data'!X84), "N/A - Period DMR Data Not Available")</f>
        <v>N/A - Period DMR Data Not Available</v>
      </c>
      <c r="V84" s="28" t="str" cm="1">
        <f t="array" ref="V84">IFERROR(INDEX('Raw Period DMR Data'!N:N,MATCH(1,(B84='Raw Period DMR Data'!$A:$A)*(U84='Raw Period DMR Data'!M:M)*(X84='Raw Period DMR Data'!C:C),0),1), "N/A")</f>
        <v>N/A</v>
      </c>
      <c r="W84" s="28" t="s">
        <v>1463</v>
      </c>
      <c r="X84" s="28" t="s">
        <v>1503</v>
      </c>
      <c r="Z84" s="28">
        <v>15050100000998</v>
      </c>
      <c r="AA84" s="28"/>
      <c r="AB84" s="28" t="s">
        <v>1465</v>
      </c>
      <c r="AC84" s="28" t="s">
        <v>263</v>
      </c>
    </row>
    <row r="85" spans="1:29" x14ac:dyDescent="0.25">
      <c r="A85" s="61">
        <v>110022421789</v>
      </c>
      <c r="B85" s="28">
        <v>2017</v>
      </c>
      <c r="C85" s="68">
        <f t="shared" si="1"/>
        <v>42736</v>
      </c>
      <c r="D85" s="28" t="s">
        <v>982</v>
      </c>
      <c r="E85" s="28" t="s">
        <v>1501</v>
      </c>
      <c r="F85" s="28" t="s">
        <v>983</v>
      </c>
      <c r="G85" s="28" t="s">
        <v>374</v>
      </c>
      <c r="H85" s="28" t="s">
        <v>1502</v>
      </c>
      <c r="I85" s="28">
        <v>33.402509999999999</v>
      </c>
      <c r="J85" s="28">
        <v>-112.34045999999999</v>
      </c>
      <c r="L85" s="61">
        <v>110022421789</v>
      </c>
      <c r="M85" s="28" t="s">
        <v>263</v>
      </c>
      <c r="N85" s="28">
        <v>4952</v>
      </c>
      <c r="O85" s="28" t="str">
        <f>IFERROR(VLOOKUP(N85, 'SIC &amp; NAICS Codes'!A:B, 2, FALSE), "")</f>
        <v>Sewerage Systems</v>
      </c>
      <c r="S85" s="28">
        <v>7.9092306250000002</v>
      </c>
      <c r="T85" s="315">
        <f>_xlfn.MAXIFS('Raw Period DMR Data'!$O:$O,'Raw Period DMR Data'!$A:$A,'Raw Annual DMR Data'!B85,'Raw Period DMR Data'!$C:$C,X85)/S85</f>
        <v>0</v>
      </c>
      <c r="U85" s="28" t="str">
        <f>+IF(COUNTIFS('Raw Period DMR Data'!$A:$A,B85, 'Raw Period DMR Data'!C:C,'Raw Annual DMR Data'!X85, 'Raw Period DMR Data'!M:M, "&gt;0")&gt;0,_xlfn.MAXIFS('Raw Period DMR Data'!M:M,'Raw Period DMR Data'!$A:$A,'Raw Annual DMR Data'!B85,'Raw Period DMR Data'!C:C,'Raw Annual DMR Data'!X85), "N/A - Period DMR Data Not Available")</f>
        <v>N/A - Period DMR Data Not Available</v>
      </c>
      <c r="V85" s="28" t="str" cm="1">
        <f t="array" ref="V85">IFERROR(INDEX('Raw Period DMR Data'!N:N,MATCH(1,(B85='Raw Period DMR Data'!$A:$A)*(U85='Raw Period DMR Data'!M:M)*(X85='Raw Period DMR Data'!C:C),0),1), "N/A")</f>
        <v>N/A</v>
      </c>
      <c r="W85" s="28" t="s">
        <v>1463</v>
      </c>
      <c r="X85" s="28" t="s">
        <v>1503</v>
      </c>
      <c r="Z85" s="28">
        <v>15050100000998</v>
      </c>
      <c r="AA85" s="28"/>
      <c r="AB85" s="28" t="s">
        <v>1465</v>
      </c>
      <c r="AC85" s="28" t="s">
        <v>263</v>
      </c>
    </row>
    <row r="86" spans="1:29" x14ac:dyDescent="0.25">
      <c r="A86" s="61">
        <v>110000760310</v>
      </c>
      <c r="B86" s="28">
        <v>2015</v>
      </c>
      <c r="C86" s="68">
        <f t="shared" si="1"/>
        <v>42005</v>
      </c>
      <c r="D86" s="28" t="s">
        <v>108</v>
      </c>
      <c r="E86" s="28" t="s">
        <v>336</v>
      </c>
      <c r="F86" s="28" t="s">
        <v>337</v>
      </c>
      <c r="G86" s="28" t="s">
        <v>338</v>
      </c>
      <c r="H86" s="28" t="s">
        <v>339</v>
      </c>
      <c r="I86" s="28">
        <v>39.852224</v>
      </c>
      <c r="J86" s="28">
        <v>-75.234432999999996</v>
      </c>
      <c r="L86" s="61">
        <v>110000760310</v>
      </c>
      <c r="M86" s="28" t="s">
        <v>264</v>
      </c>
      <c r="N86" s="28">
        <v>5171</v>
      </c>
      <c r="O86" s="28" t="str">
        <f>IFERROR(VLOOKUP(N86, 'SIC &amp; NAICS Codes'!A:B, 2, FALSE), "")</f>
        <v>Petroleum Bulk Stations and Terminals (except petroleum sold via retail method)</v>
      </c>
      <c r="S86" s="28">
        <v>9.4792410549999997E-2</v>
      </c>
      <c r="T86" s="315">
        <f>_xlfn.MAXIFS('Raw Period DMR Data'!$O:$O,'Raw Period DMR Data'!$A:$A,'Raw Annual DMR Data'!B86,'Raw Period DMR Data'!$C:$C,X86)/S86</f>
        <v>0</v>
      </c>
      <c r="U86" s="28" t="str">
        <f>+IF(COUNTIFS('Raw Period DMR Data'!$A:$A,B86, 'Raw Period DMR Data'!C:C,'Raw Annual DMR Data'!X86, 'Raw Period DMR Data'!M:M, "&gt;0")&gt;0,_xlfn.MAXIFS('Raw Period DMR Data'!M:M,'Raw Period DMR Data'!$A:$A,'Raw Annual DMR Data'!B86,'Raw Period DMR Data'!C:C,'Raw Annual DMR Data'!X86), "N/A - Period DMR Data Not Available")</f>
        <v>N/A - Period DMR Data Not Available</v>
      </c>
      <c r="V86" s="28" t="str" cm="1">
        <f t="array" ref="V86">IFERROR(INDEX('Raw Period DMR Data'!N:N,MATCH(1,(B86='Raw Period DMR Data'!$A:$A)*(U86='Raw Period DMR Data'!M:M)*(X86='Raw Period DMR Data'!C:C),0),1), "N/A")</f>
        <v>N/A</v>
      </c>
      <c r="W86" s="28" t="s">
        <v>1463</v>
      </c>
      <c r="X86" s="28" t="s">
        <v>782</v>
      </c>
      <c r="Y86" s="28" t="s">
        <v>783</v>
      </c>
      <c r="Z86" s="61">
        <v>2040202000029</v>
      </c>
    </row>
    <row r="87" spans="1:29" x14ac:dyDescent="0.25">
      <c r="A87" s="61">
        <v>110000760310</v>
      </c>
      <c r="B87" s="28">
        <v>2016</v>
      </c>
      <c r="C87" s="68">
        <f t="shared" si="1"/>
        <v>42370</v>
      </c>
      <c r="D87" s="28" t="s">
        <v>108</v>
      </c>
      <c r="E87" s="28" t="s">
        <v>336</v>
      </c>
      <c r="F87" s="28" t="s">
        <v>337</v>
      </c>
      <c r="G87" s="28" t="s">
        <v>338</v>
      </c>
      <c r="H87" s="28" t="s">
        <v>339</v>
      </c>
      <c r="I87" s="28">
        <v>39.852224</v>
      </c>
      <c r="J87" s="28">
        <v>-75.234432999999996</v>
      </c>
      <c r="L87" s="61">
        <v>110000760310</v>
      </c>
      <c r="M87" s="28" t="s">
        <v>264</v>
      </c>
      <c r="N87" s="28">
        <v>5171</v>
      </c>
      <c r="O87" s="28" t="str">
        <f>IFERROR(VLOOKUP(N87, 'SIC &amp; NAICS Codes'!A:B, 2, FALSE), "")</f>
        <v>Petroleum Bulk Stations and Terminals (except petroleum sold via retail method)</v>
      </c>
      <c r="S87" s="28">
        <v>4.0159001399999998E-2</v>
      </c>
      <c r="T87" s="315">
        <f>_xlfn.MAXIFS('Raw Period DMR Data'!$O:$O,'Raw Period DMR Data'!$A:$A,'Raw Annual DMR Data'!B87,'Raw Period DMR Data'!$C:$C,X87)/S87</f>
        <v>0</v>
      </c>
      <c r="U87" s="28" t="str">
        <f>+IF(COUNTIFS('Raw Period DMR Data'!$A:$A,B87, 'Raw Period DMR Data'!C:C,'Raw Annual DMR Data'!X87, 'Raw Period DMR Data'!M:M, "&gt;0")&gt;0,_xlfn.MAXIFS('Raw Period DMR Data'!M:M,'Raw Period DMR Data'!$A:$A,'Raw Annual DMR Data'!B87,'Raw Period DMR Data'!C:C,'Raw Annual DMR Data'!X87), "N/A - Period DMR Data Not Available")</f>
        <v>N/A - Period DMR Data Not Available</v>
      </c>
      <c r="V87" s="28" t="str" cm="1">
        <f t="array" ref="V87">IFERROR(INDEX('Raw Period DMR Data'!N:N,MATCH(1,(B87='Raw Period DMR Data'!$A:$A)*(U87='Raw Period DMR Data'!M:M)*(X87='Raw Period DMR Data'!C:C),0),1), "N/A")</f>
        <v>N/A</v>
      </c>
      <c r="W87" s="28" t="s">
        <v>1463</v>
      </c>
      <c r="X87" s="28" t="s">
        <v>782</v>
      </c>
      <c r="Y87" s="28" t="s">
        <v>783</v>
      </c>
      <c r="Z87" s="61">
        <v>2040202000029</v>
      </c>
      <c r="AA87" s="28"/>
    </row>
    <row r="88" spans="1:29" x14ac:dyDescent="0.25">
      <c r="A88" s="61">
        <v>110000760310</v>
      </c>
      <c r="B88" s="28">
        <v>2017</v>
      </c>
      <c r="C88" s="68">
        <f t="shared" si="1"/>
        <v>42736</v>
      </c>
      <c r="D88" s="28" t="s">
        <v>108</v>
      </c>
      <c r="E88" s="28" t="s">
        <v>336</v>
      </c>
      <c r="F88" s="28" t="s">
        <v>337</v>
      </c>
      <c r="G88" s="28" t="s">
        <v>338</v>
      </c>
      <c r="H88" s="28" t="s">
        <v>339</v>
      </c>
      <c r="I88" s="28">
        <v>39.852224</v>
      </c>
      <c r="J88" s="28">
        <v>-75.234432999999996</v>
      </c>
      <c r="L88" s="61">
        <v>110000760310</v>
      </c>
      <c r="M88" s="28" t="s">
        <v>264</v>
      </c>
      <c r="N88" s="28">
        <v>5171</v>
      </c>
      <c r="O88" s="28" t="str">
        <f>IFERROR(VLOOKUP(N88, 'SIC &amp; NAICS Codes'!A:B, 2, FALSE), "")</f>
        <v>Petroleum Bulk Stations and Terminals (except petroleum sold via retail method)</v>
      </c>
      <c r="S88" s="28">
        <v>5.7606791599999997E-3</v>
      </c>
      <c r="T88" s="315">
        <f>_xlfn.MAXIFS('Raw Period DMR Data'!$O:$O,'Raw Period DMR Data'!$A:$A,'Raw Annual DMR Data'!B88,'Raw Period DMR Data'!$C:$C,X88)/S88</f>
        <v>0</v>
      </c>
      <c r="U88" s="28" t="str">
        <f>+IF(COUNTIFS('Raw Period DMR Data'!$A:$A,B88, 'Raw Period DMR Data'!C:C,'Raw Annual DMR Data'!X88, 'Raw Period DMR Data'!M:M, "&gt;0")&gt;0,_xlfn.MAXIFS('Raw Period DMR Data'!M:M,'Raw Period DMR Data'!$A:$A,'Raw Annual DMR Data'!B88,'Raw Period DMR Data'!C:C,'Raw Annual DMR Data'!X88), "N/A - Period DMR Data Not Available")</f>
        <v>N/A - Period DMR Data Not Available</v>
      </c>
      <c r="V88" s="28" t="str" cm="1">
        <f t="array" ref="V88">IFERROR(INDEX('Raw Period DMR Data'!N:N,MATCH(1,(B88='Raw Period DMR Data'!$A:$A)*(U88='Raw Period DMR Data'!M:M)*(X88='Raw Period DMR Data'!C:C),0),1), "N/A")</f>
        <v>N/A</v>
      </c>
      <c r="W88" s="28" t="s">
        <v>1463</v>
      </c>
      <c r="X88" s="28" t="s">
        <v>782</v>
      </c>
      <c r="Y88" s="28" t="s">
        <v>783</v>
      </c>
      <c r="Z88" s="61">
        <v>2040202000029</v>
      </c>
      <c r="AA88" s="28"/>
    </row>
    <row r="89" spans="1:29" x14ac:dyDescent="0.25">
      <c r="A89" s="61">
        <v>110000760310</v>
      </c>
      <c r="B89" s="28">
        <v>2016</v>
      </c>
      <c r="C89" s="68">
        <f t="shared" si="1"/>
        <v>42370</v>
      </c>
      <c r="D89" s="28" t="s">
        <v>108</v>
      </c>
      <c r="E89" s="28" t="s">
        <v>336</v>
      </c>
      <c r="F89" s="28" t="s">
        <v>337</v>
      </c>
      <c r="G89" s="28" t="s">
        <v>338</v>
      </c>
      <c r="H89" s="28" t="s">
        <v>339</v>
      </c>
      <c r="I89" s="28">
        <v>39.852224</v>
      </c>
      <c r="J89" s="28">
        <v>-75.234432999999996</v>
      </c>
      <c r="L89" s="61">
        <v>110000760310</v>
      </c>
      <c r="M89" s="28" t="s">
        <v>264</v>
      </c>
      <c r="N89" s="28">
        <v>5171</v>
      </c>
      <c r="O89" s="28" t="str">
        <f>IFERROR(VLOOKUP(N89, 'SIC &amp; NAICS Codes'!A:B, 2, FALSE), "")</f>
        <v>Petroleum Bulk Stations and Terminals (except petroleum sold via retail method)</v>
      </c>
      <c r="S89" s="28">
        <v>4.3554676299999998E-2</v>
      </c>
      <c r="T89" s="315">
        <f>_xlfn.MAXIFS('Raw Period DMR Data'!$O:$O,'Raw Period DMR Data'!$A:$A,'Raw Annual DMR Data'!B89,'Raw Period DMR Data'!$C:$C,X89)/S89</f>
        <v>0</v>
      </c>
      <c r="U89" s="28" t="str">
        <f>+IF(COUNTIFS('Raw Period DMR Data'!$A:$A,B89, 'Raw Period DMR Data'!C:C,'Raw Annual DMR Data'!X89, 'Raw Period DMR Data'!M:M, "&gt;0")&gt;0,_xlfn.MAXIFS('Raw Period DMR Data'!M:M,'Raw Period DMR Data'!$A:$A,'Raw Annual DMR Data'!B89,'Raw Period DMR Data'!C:C,'Raw Annual DMR Data'!X89), "N/A - Period DMR Data Not Available")</f>
        <v>N/A - Period DMR Data Not Available</v>
      </c>
      <c r="V89" s="28" t="str" cm="1">
        <f t="array" ref="V89">IFERROR(INDEX('Raw Period DMR Data'!N:N,MATCH(1,(B89='Raw Period DMR Data'!$A:$A)*(U89='Raw Period DMR Data'!M:M)*(X89='Raw Period DMR Data'!C:C),0),1), "N/A")</f>
        <v>N/A</v>
      </c>
      <c r="W89" s="28" t="s">
        <v>1463</v>
      </c>
      <c r="X89" s="28" t="s">
        <v>782</v>
      </c>
      <c r="Y89" s="28" t="s">
        <v>783</v>
      </c>
      <c r="Z89" s="28">
        <v>2040202000029</v>
      </c>
      <c r="AA89" s="28"/>
      <c r="AB89" s="28" t="s">
        <v>1465</v>
      </c>
      <c r="AC89" s="28" t="s">
        <v>1466</v>
      </c>
    </row>
    <row r="90" spans="1:29" x14ac:dyDescent="0.25">
      <c r="A90" s="61">
        <v>110000760310</v>
      </c>
      <c r="B90" s="28">
        <v>2017</v>
      </c>
      <c r="C90" s="68">
        <f t="shared" si="1"/>
        <v>42736</v>
      </c>
      <c r="D90" s="28" t="s">
        <v>108</v>
      </c>
      <c r="E90" s="28" t="s">
        <v>336</v>
      </c>
      <c r="F90" s="28" t="s">
        <v>337</v>
      </c>
      <c r="G90" s="28" t="s">
        <v>338</v>
      </c>
      <c r="H90" s="28" t="s">
        <v>339</v>
      </c>
      <c r="I90" s="28">
        <v>39.852224</v>
      </c>
      <c r="J90" s="28">
        <v>-75.234432999999996</v>
      </c>
      <c r="L90" s="61">
        <v>110000760310</v>
      </c>
      <c r="M90" s="28" t="s">
        <v>264</v>
      </c>
      <c r="N90" s="28">
        <v>5171</v>
      </c>
      <c r="O90" s="28" t="str">
        <f>IFERROR(VLOOKUP(N90, 'SIC &amp; NAICS Codes'!A:B, 2, FALSE), "")</f>
        <v>Petroleum Bulk Stations and Terminals (except petroleum sold via retail method)</v>
      </c>
      <c r="S90" s="28">
        <v>9.0371454850000001E-3</v>
      </c>
      <c r="T90" s="315">
        <f>_xlfn.MAXIFS('Raw Period DMR Data'!$O:$O,'Raw Period DMR Data'!$A:$A,'Raw Annual DMR Data'!B90,'Raw Period DMR Data'!$C:$C,X90)/S90</f>
        <v>0</v>
      </c>
      <c r="U90" s="28" t="str">
        <f>+IF(COUNTIFS('Raw Period DMR Data'!$A:$A,B90, 'Raw Period DMR Data'!C:C,'Raw Annual DMR Data'!X90, 'Raw Period DMR Data'!M:M, "&gt;0")&gt;0,_xlfn.MAXIFS('Raw Period DMR Data'!M:M,'Raw Period DMR Data'!$A:$A,'Raw Annual DMR Data'!B90,'Raw Period DMR Data'!C:C,'Raw Annual DMR Data'!X90), "N/A - Period DMR Data Not Available")</f>
        <v>N/A - Period DMR Data Not Available</v>
      </c>
      <c r="V90" s="28" t="str" cm="1">
        <f t="array" ref="V90">IFERROR(INDEX('Raw Period DMR Data'!N:N,MATCH(1,(B90='Raw Period DMR Data'!$A:$A)*(U90='Raw Period DMR Data'!M:M)*(X90='Raw Period DMR Data'!C:C),0),1), "N/A")</f>
        <v>N/A</v>
      </c>
      <c r="W90" s="28" t="s">
        <v>1463</v>
      </c>
      <c r="X90" s="28" t="s">
        <v>782</v>
      </c>
      <c r="Y90" s="28" t="s">
        <v>783</v>
      </c>
      <c r="Z90" s="28">
        <v>2040202000029</v>
      </c>
      <c r="AA90" s="28"/>
      <c r="AB90" s="28" t="s">
        <v>1465</v>
      </c>
      <c r="AC90" s="28" t="s">
        <v>1466</v>
      </c>
    </row>
    <row r="91" spans="1:29" x14ac:dyDescent="0.25">
      <c r="A91" s="61">
        <v>110000760310</v>
      </c>
      <c r="B91" s="28">
        <v>2018</v>
      </c>
      <c r="C91" s="68">
        <f t="shared" si="1"/>
        <v>43101</v>
      </c>
      <c r="D91" s="28" t="s">
        <v>108</v>
      </c>
      <c r="E91" s="28" t="s">
        <v>336</v>
      </c>
      <c r="F91" s="28" t="s">
        <v>337</v>
      </c>
      <c r="G91" s="28" t="s">
        <v>338</v>
      </c>
      <c r="H91" s="28" t="s">
        <v>339</v>
      </c>
      <c r="I91" s="28">
        <v>39.852224</v>
      </c>
      <c r="J91" s="28">
        <v>-75.234432999999996</v>
      </c>
      <c r="L91" s="61">
        <v>110000760310</v>
      </c>
      <c r="M91" s="28" t="s">
        <v>264</v>
      </c>
      <c r="N91" s="28">
        <v>5171</v>
      </c>
      <c r="O91" s="28" t="str">
        <f>IFERROR(VLOOKUP(N91, 'SIC &amp; NAICS Codes'!A:B, 2, FALSE), "")</f>
        <v>Petroleum Bulk Stations and Terminals (except petroleum sold via retail method)</v>
      </c>
      <c r="S91" s="28">
        <v>9.5602040975000004E-3</v>
      </c>
      <c r="T91" s="315">
        <f>_xlfn.MAXIFS('Raw Period DMR Data'!$O:$O,'Raw Period DMR Data'!$A:$A,'Raw Annual DMR Data'!B91,'Raw Period DMR Data'!$C:$C,X91)/S91</f>
        <v>0</v>
      </c>
      <c r="U91" s="28" t="str">
        <f>+IF(COUNTIFS('Raw Period DMR Data'!$A:$A,B91, 'Raw Period DMR Data'!C:C,'Raw Annual DMR Data'!X91, 'Raw Period DMR Data'!M:M, "&gt;0")&gt;0,_xlfn.MAXIFS('Raw Period DMR Data'!M:M,'Raw Period DMR Data'!$A:$A,'Raw Annual DMR Data'!B91,'Raw Period DMR Data'!C:C,'Raw Annual DMR Data'!X91), "N/A - Period DMR Data Not Available")</f>
        <v>N/A - Period DMR Data Not Available</v>
      </c>
      <c r="V91" s="28" t="str" cm="1">
        <f t="array" ref="V91">IFERROR(INDEX('Raw Period DMR Data'!N:N,MATCH(1,(B91='Raw Period DMR Data'!$A:$A)*(U91='Raw Period DMR Data'!M:M)*(X91='Raw Period DMR Data'!C:C),0),1), "N/A")</f>
        <v>N/A</v>
      </c>
      <c r="W91" s="28" t="s">
        <v>1463</v>
      </c>
      <c r="X91" s="28" t="s">
        <v>782</v>
      </c>
      <c r="Y91" s="28" t="s">
        <v>783</v>
      </c>
      <c r="Z91" s="302" t="s">
        <v>1504</v>
      </c>
      <c r="AA91" s="28"/>
      <c r="AB91" s="28" t="s">
        <v>1465</v>
      </c>
      <c r="AC91" s="28" t="s">
        <v>1466</v>
      </c>
    </row>
    <row r="92" spans="1:29" x14ac:dyDescent="0.25">
      <c r="A92" s="61">
        <v>110000760310</v>
      </c>
      <c r="B92" s="28">
        <v>2019</v>
      </c>
      <c r="C92" s="68">
        <f t="shared" si="1"/>
        <v>43466</v>
      </c>
      <c r="D92" s="28" t="s">
        <v>108</v>
      </c>
      <c r="E92" s="28" t="s">
        <v>336</v>
      </c>
      <c r="F92" s="28" t="s">
        <v>337</v>
      </c>
      <c r="G92" s="28" t="s">
        <v>338</v>
      </c>
      <c r="H92" s="28" t="s">
        <v>339</v>
      </c>
      <c r="I92" s="28">
        <v>39.852224</v>
      </c>
      <c r="J92" s="28">
        <v>-75.234432999999996</v>
      </c>
      <c r="L92" s="61">
        <v>110000760310</v>
      </c>
      <c r="M92" s="28" t="s">
        <v>264</v>
      </c>
      <c r="N92" s="28">
        <v>5171</v>
      </c>
      <c r="O92" s="28" t="str">
        <f>IFERROR(VLOOKUP(N92, 'SIC &amp; NAICS Codes'!A:B, 2, FALSE), "")</f>
        <v>Petroleum Bulk Stations and Terminals (except petroleum sold via retail method)</v>
      </c>
      <c r="S92" s="28">
        <v>1.8436557105000001E-2</v>
      </c>
      <c r="T92" s="315">
        <f>_xlfn.MAXIFS('Raw Period DMR Data'!$O:$O,'Raw Period DMR Data'!$A:$A,'Raw Annual DMR Data'!B92,'Raw Period DMR Data'!$C:$C,X92)/S92</f>
        <v>0</v>
      </c>
      <c r="U92" s="28" t="str">
        <f>+IF(COUNTIFS('Raw Period DMR Data'!$A:$A,B92, 'Raw Period DMR Data'!C:C,'Raw Annual DMR Data'!X92, 'Raw Period DMR Data'!M:M, "&gt;0")&gt;0,_xlfn.MAXIFS('Raw Period DMR Data'!M:M,'Raw Period DMR Data'!$A:$A,'Raw Annual DMR Data'!B92,'Raw Period DMR Data'!C:C,'Raw Annual DMR Data'!X92), "N/A - Period DMR Data Not Available")</f>
        <v>N/A - Period DMR Data Not Available</v>
      </c>
      <c r="V92" s="28" t="str" cm="1">
        <f t="array" ref="V92">IFERROR(INDEX('Raw Period DMR Data'!N:N,MATCH(1,(B92='Raw Period DMR Data'!$A:$A)*(U92='Raw Period DMR Data'!M:M)*(X92='Raw Period DMR Data'!C:C),0),1), "N/A")</f>
        <v>N/A</v>
      </c>
      <c r="W92" s="28" t="s">
        <v>1463</v>
      </c>
      <c r="X92" s="28" t="s">
        <v>782</v>
      </c>
      <c r="Y92" s="28" t="s">
        <v>783</v>
      </c>
      <c r="Z92" s="28">
        <v>2040202000029</v>
      </c>
      <c r="AA92" s="28"/>
      <c r="AB92" s="28" t="s">
        <v>1465</v>
      </c>
      <c r="AC92" s="28" t="s">
        <v>1466</v>
      </c>
    </row>
    <row r="93" spans="1:29" x14ac:dyDescent="0.25">
      <c r="A93" s="61">
        <v>110000760310</v>
      </c>
      <c r="B93" s="28">
        <v>2020</v>
      </c>
      <c r="C93" s="68">
        <f t="shared" si="1"/>
        <v>43831</v>
      </c>
      <c r="D93" s="28" t="s">
        <v>108</v>
      </c>
      <c r="E93" s="28" t="s">
        <v>336</v>
      </c>
      <c r="F93" s="28" t="s">
        <v>337</v>
      </c>
      <c r="G93" s="28" t="s">
        <v>338</v>
      </c>
      <c r="H93" s="28" t="s">
        <v>339</v>
      </c>
      <c r="I93" s="28">
        <v>39.852224</v>
      </c>
      <c r="J93" s="28">
        <v>-75.234432999999996</v>
      </c>
      <c r="L93" s="61">
        <v>110000760310</v>
      </c>
      <c r="M93" s="28" t="s">
        <v>264</v>
      </c>
      <c r="N93" s="28">
        <v>5171</v>
      </c>
      <c r="O93" s="28" t="str">
        <f>IFERROR(VLOOKUP(N93, 'SIC &amp; NAICS Codes'!A:B, 2, FALSE), "")</f>
        <v>Petroleum Bulk Stations and Terminals (except petroleum sold via retail method)</v>
      </c>
      <c r="S93" s="28">
        <v>9.3903124799999994E-3</v>
      </c>
      <c r="T93" s="315">
        <f>_xlfn.MAXIFS('Raw Period DMR Data'!$O:$O,'Raw Period DMR Data'!$A:$A,'Raw Annual DMR Data'!B93,'Raw Period DMR Data'!$C:$C,X93)/S93</f>
        <v>0</v>
      </c>
      <c r="U93" s="28" t="str">
        <f>+IF(COUNTIFS('Raw Period DMR Data'!$A:$A,B93, 'Raw Period DMR Data'!C:C,'Raw Annual DMR Data'!X93, 'Raw Period DMR Data'!M:M, "&gt;0")&gt;0,_xlfn.MAXIFS('Raw Period DMR Data'!M:M,'Raw Period DMR Data'!$A:$A,'Raw Annual DMR Data'!B93,'Raw Period DMR Data'!C:C,'Raw Annual DMR Data'!X93), "N/A - Period DMR Data Not Available")</f>
        <v>N/A - Period DMR Data Not Available</v>
      </c>
      <c r="V93" s="28" t="str" cm="1">
        <f t="array" ref="V93">IFERROR(INDEX('Raw Period DMR Data'!N:N,MATCH(1,(B93='Raw Period DMR Data'!$A:$A)*(U93='Raw Period DMR Data'!M:M)*(X93='Raw Period DMR Data'!C:C),0),1), "N/A")</f>
        <v>N/A</v>
      </c>
      <c r="W93" s="28" t="s">
        <v>1463</v>
      </c>
      <c r="X93" s="28" t="s">
        <v>782</v>
      </c>
      <c r="Y93" s="28" t="s">
        <v>783</v>
      </c>
      <c r="Z93" s="28">
        <v>2040202000029</v>
      </c>
      <c r="AA93" s="28"/>
      <c r="AB93" s="28" t="s">
        <v>1465</v>
      </c>
      <c r="AC93" s="28" t="s">
        <v>1466</v>
      </c>
    </row>
    <row r="94" spans="1:29" x14ac:dyDescent="0.25">
      <c r="A94" s="61">
        <v>110070828339</v>
      </c>
      <c r="B94" s="28">
        <v>2019</v>
      </c>
      <c r="C94" s="68">
        <f t="shared" si="1"/>
        <v>43466</v>
      </c>
      <c r="D94" s="28" t="s">
        <v>984</v>
      </c>
      <c r="E94" s="28" t="s">
        <v>1505</v>
      </c>
      <c r="F94" s="28" t="s">
        <v>985</v>
      </c>
      <c r="G94" s="28" t="s">
        <v>979</v>
      </c>
      <c r="H94" s="28">
        <v>37660</v>
      </c>
      <c r="I94" s="28">
        <v>36.550454999999999</v>
      </c>
      <c r="J94" s="28">
        <v>-82.634793999999999</v>
      </c>
      <c r="L94" s="61">
        <v>110070828339</v>
      </c>
      <c r="M94" s="28" t="s">
        <v>265</v>
      </c>
      <c r="N94" s="28">
        <v>2892</v>
      </c>
      <c r="O94" s="28" t="str">
        <f>IFERROR(VLOOKUP(N94, 'SIC &amp; NAICS Codes'!A:B, 2, FALSE), "")</f>
        <v>Explosives</v>
      </c>
      <c r="S94" s="28">
        <v>4.5521541950113296</v>
      </c>
      <c r="T94" s="315">
        <f>_xlfn.MAXIFS('Raw Period DMR Data'!$O:$O,'Raw Period DMR Data'!$A:$A,'Raw Annual DMR Data'!B94,'Raw Period DMR Data'!$C:$C,X94)/S94</f>
        <v>0</v>
      </c>
      <c r="U94" s="28" t="str">
        <f>+IF(COUNTIFS('Raw Period DMR Data'!$A:$A,B94, 'Raw Period DMR Data'!C:C,'Raw Annual DMR Data'!X94, 'Raw Period DMR Data'!M:M, "&gt;0")&gt;0,_xlfn.MAXIFS('Raw Period DMR Data'!M:M,'Raw Period DMR Data'!$A:$A,'Raw Annual DMR Data'!B94,'Raw Period DMR Data'!C:C,'Raw Annual DMR Data'!X94), "N/A - Period DMR Data Not Available")</f>
        <v>N/A - Period DMR Data Not Available</v>
      </c>
      <c r="V94" s="28" t="str" cm="1">
        <f t="array" ref="V94">IFERROR(INDEX('Raw Period DMR Data'!N:N,MATCH(1,(B94='Raw Period DMR Data'!$A:$A)*(U94='Raw Period DMR Data'!M:M)*(X94='Raw Period DMR Data'!C:C),0),1), "N/A")</f>
        <v>N/A</v>
      </c>
      <c r="W94" s="28" t="s">
        <v>1463</v>
      </c>
      <c r="X94" s="28" t="s">
        <v>1506</v>
      </c>
      <c r="Y94" s="28" t="s">
        <v>1507</v>
      </c>
      <c r="Z94" s="28">
        <v>6010104000630</v>
      </c>
      <c r="AA94" s="28"/>
      <c r="AB94" s="28" t="s">
        <v>1465</v>
      </c>
      <c r="AC94" s="28" t="s">
        <v>1466</v>
      </c>
    </row>
    <row r="95" spans="1:29" x14ac:dyDescent="0.25">
      <c r="A95" s="61">
        <v>110070828339</v>
      </c>
      <c r="B95" s="28">
        <v>2020</v>
      </c>
      <c r="C95" s="68">
        <f t="shared" si="1"/>
        <v>43831</v>
      </c>
      <c r="D95" s="28" t="s">
        <v>984</v>
      </c>
      <c r="E95" s="28" t="s">
        <v>1505</v>
      </c>
      <c r="F95" s="28" t="s">
        <v>985</v>
      </c>
      <c r="G95" s="28" t="s">
        <v>979</v>
      </c>
      <c r="H95" s="28">
        <v>37660</v>
      </c>
      <c r="I95" s="28">
        <v>36.550454999999999</v>
      </c>
      <c r="J95" s="28">
        <v>-82.634793999999999</v>
      </c>
      <c r="L95" s="61">
        <v>110070828339</v>
      </c>
      <c r="M95" s="28" t="s">
        <v>265</v>
      </c>
      <c r="N95" s="28">
        <v>2892</v>
      </c>
      <c r="O95" s="28" t="str">
        <f>IFERROR(VLOOKUP(N95, 'SIC &amp; NAICS Codes'!A:B, 2, FALSE), "")</f>
        <v>Explosives</v>
      </c>
      <c r="S95" s="28">
        <v>1.2414965986394499</v>
      </c>
      <c r="T95" s="315">
        <f>_xlfn.MAXIFS('Raw Period DMR Data'!$O:$O,'Raw Period DMR Data'!$A:$A,'Raw Annual DMR Data'!B95,'Raw Period DMR Data'!$C:$C,X95)/S95</f>
        <v>0</v>
      </c>
      <c r="U95" s="28" t="str">
        <f>+IF(COUNTIFS('Raw Period DMR Data'!$A:$A,B95, 'Raw Period DMR Data'!C:C,'Raw Annual DMR Data'!X95, 'Raw Period DMR Data'!M:M, "&gt;0")&gt;0,_xlfn.MAXIFS('Raw Period DMR Data'!M:M,'Raw Period DMR Data'!$A:$A,'Raw Annual DMR Data'!B95,'Raw Period DMR Data'!C:C,'Raw Annual DMR Data'!X95), "N/A - Period DMR Data Not Available")</f>
        <v>N/A - Period DMR Data Not Available</v>
      </c>
      <c r="V95" s="28" t="str" cm="1">
        <f t="array" ref="V95">IFERROR(INDEX('Raw Period DMR Data'!N:N,MATCH(1,(B95='Raw Period DMR Data'!$A:$A)*(U95='Raw Period DMR Data'!M:M)*(X95='Raw Period DMR Data'!C:C),0),1), "N/A")</f>
        <v>N/A</v>
      </c>
      <c r="W95" s="28" t="s">
        <v>1463</v>
      </c>
      <c r="X95" s="28" t="s">
        <v>1506</v>
      </c>
      <c r="Y95" s="28" t="s">
        <v>1507</v>
      </c>
      <c r="Z95" s="28">
        <v>6010104000630</v>
      </c>
      <c r="AA95" s="28"/>
      <c r="AB95" s="28" t="s">
        <v>1465</v>
      </c>
      <c r="AC95" s="28" t="s">
        <v>1466</v>
      </c>
    </row>
    <row r="96" spans="1:29" x14ac:dyDescent="0.25">
      <c r="A96" s="61">
        <v>110000378467</v>
      </c>
      <c r="B96" s="28">
        <v>2015</v>
      </c>
      <c r="C96" s="68">
        <f t="shared" si="1"/>
        <v>42005</v>
      </c>
      <c r="D96" s="28" t="s">
        <v>986</v>
      </c>
      <c r="E96" s="28" t="s">
        <v>1508</v>
      </c>
      <c r="F96" s="28" t="s">
        <v>987</v>
      </c>
      <c r="G96" s="28" t="s">
        <v>324</v>
      </c>
      <c r="H96" s="28">
        <v>40216</v>
      </c>
      <c r="I96" s="28">
        <v>38.195278000000002</v>
      </c>
      <c r="J96" s="28">
        <v>-85.872221999999994</v>
      </c>
      <c r="K96" s="28" t="s">
        <v>701</v>
      </c>
      <c r="L96" s="61">
        <v>110000378467</v>
      </c>
      <c r="M96" s="28" t="s">
        <v>265</v>
      </c>
      <c r="N96" s="28">
        <v>2869</v>
      </c>
      <c r="O96" s="28" t="str">
        <f>IFERROR(VLOOKUP(N96, 'SIC &amp; NAICS Codes'!A:B, 2, FALSE), "")</f>
        <v>Industrial Organic Chemicals, NEC (aliphatics)</v>
      </c>
      <c r="S96" s="28">
        <v>0.70408163265306101</v>
      </c>
      <c r="T96" s="315">
        <f>_xlfn.MAXIFS('Raw Period DMR Data'!$O:$O,'Raw Period DMR Data'!$A:$A,'Raw Annual DMR Data'!B96,'Raw Period DMR Data'!$C:$C,X96)/S96</f>
        <v>0</v>
      </c>
      <c r="U96" s="28" t="str">
        <f>+IF(COUNTIFS('Raw Period DMR Data'!$A:$A,B96, 'Raw Period DMR Data'!C:C,'Raw Annual DMR Data'!X96, 'Raw Period DMR Data'!M:M, "&gt;0")&gt;0,_xlfn.MAXIFS('Raw Period DMR Data'!M:M,'Raw Period DMR Data'!$A:$A,'Raw Annual DMR Data'!B96,'Raw Period DMR Data'!C:C,'Raw Annual DMR Data'!X96), "N/A - Period DMR Data Not Available")</f>
        <v>N/A - Period DMR Data Not Available</v>
      </c>
      <c r="V96" s="28" t="str" cm="1">
        <f t="array" ref="V96">IFERROR(INDEX('Raw Period DMR Data'!N:N,MATCH(1,(B96='Raw Period DMR Data'!$A:$A)*(U96='Raw Period DMR Data'!M:M)*(X96='Raw Period DMR Data'!C:C),0),1), "N/A")</f>
        <v>N/A</v>
      </c>
      <c r="W96" s="28" t="s">
        <v>1463</v>
      </c>
      <c r="X96" s="28" t="s">
        <v>1509</v>
      </c>
      <c r="Y96" s="28" t="s">
        <v>830</v>
      </c>
      <c r="Z96" s="28">
        <v>5140101000007</v>
      </c>
      <c r="AA96" s="28"/>
      <c r="AB96" s="28" t="s">
        <v>1465</v>
      </c>
      <c r="AC96" s="28" t="s">
        <v>1466</v>
      </c>
    </row>
    <row r="97" spans="1:29" x14ac:dyDescent="0.25">
      <c r="A97" s="61">
        <v>110000378467</v>
      </c>
      <c r="B97" s="28">
        <v>2016</v>
      </c>
      <c r="C97" s="68">
        <f t="shared" si="1"/>
        <v>42370</v>
      </c>
      <c r="D97" s="28" t="s">
        <v>986</v>
      </c>
      <c r="E97" s="28" t="s">
        <v>1508</v>
      </c>
      <c r="F97" s="28" t="s">
        <v>987</v>
      </c>
      <c r="G97" s="28" t="s">
        <v>324</v>
      </c>
      <c r="H97" s="28">
        <v>40216</v>
      </c>
      <c r="I97" s="28">
        <v>38.195278000000002</v>
      </c>
      <c r="J97" s="28">
        <v>-85.872221999999994</v>
      </c>
      <c r="K97" s="28" t="s">
        <v>701</v>
      </c>
      <c r="L97" s="61">
        <v>110000378467</v>
      </c>
      <c r="M97" s="28" t="s">
        <v>265</v>
      </c>
      <c r="N97" s="28">
        <v>2869</v>
      </c>
      <c r="O97" s="28" t="str">
        <f>IFERROR(VLOOKUP(N97, 'SIC &amp; NAICS Codes'!A:B, 2, FALSE), "")</f>
        <v>Industrial Organic Chemicals, NEC (aliphatics)</v>
      </c>
      <c r="S97" s="28">
        <v>0.61995464852607696</v>
      </c>
      <c r="T97" s="315">
        <f>_xlfn.MAXIFS('Raw Period DMR Data'!$O:$O,'Raw Period DMR Data'!$A:$A,'Raw Annual DMR Data'!B97,'Raw Period DMR Data'!$C:$C,X97)/S97</f>
        <v>0</v>
      </c>
      <c r="U97" s="28" t="str">
        <f>+IF(COUNTIFS('Raw Period DMR Data'!$A:$A,B97, 'Raw Period DMR Data'!C:C,'Raw Annual DMR Data'!X97, 'Raw Period DMR Data'!M:M, "&gt;0")&gt;0,_xlfn.MAXIFS('Raw Period DMR Data'!M:M,'Raw Period DMR Data'!$A:$A,'Raw Annual DMR Data'!B97,'Raw Period DMR Data'!C:C,'Raw Annual DMR Data'!X97), "N/A - Period DMR Data Not Available")</f>
        <v>N/A - Period DMR Data Not Available</v>
      </c>
      <c r="V97" s="28" t="str" cm="1">
        <f t="array" ref="V97">IFERROR(INDEX('Raw Period DMR Data'!N:N,MATCH(1,(B97='Raw Period DMR Data'!$A:$A)*(U97='Raw Period DMR Data'!M:M)*(X97='Raw Period DMR Data'!C:C),0),1), "N/A")</f>
        <v>N/A</v>
      </c>
      <c r="W97" s="28" t="s">
        <v>1463</v>
      </c>
      <c r="X97" s="28" t="s">
        <v>1509</v>
      </c>
      <c r="Y97" s="28" t="s">
        <v>830</v>
      </c>
      <c r="Z97" s="28">
        <v>5140101000007</v>
      </c>
      <c r="AA97" s="28"/>
      <c r="AB97" s="28" t="s">
        <v>1465</v>
      </c>
      <c r="AC97" s="28" t="s">
        <v>1466</v>
      </c>
    </row>
    <row r="98" spans="1:29" x14ac:dyDescent="0.25">
      <c r="A98" s="61">
        <v>110000378467</v>
      </c>
      <c r="B98" s="28">
        <v>2017</v>
      </c>
      <c r="C98" s="68">
        <f t="shared" si="1"/>
        <v>42736</v>
      </c>
      <c r="D98" s="28" t="s">
        <v>986</v>
      </c>
      <c r="E98" s="28" t="s">
        <v>1508</v>
      </c>
      <c r="F98" s="28" t="s">
        <v>987</v>
      </c>
      <c r="G98" s="28" t="s">
        <v>324</v>
      </c>
      <c r="H98" s="28">
        <v>40216</v>
      </c>
      <c r="I98" s="28">
        <v>38.195278000000002</v>
      </c>
      <c r="J98" s="28">
        <v>-85.872221999999994</v>
      </c>
      <c r="K98" s="28" t="s">
        <v>701</v>
      </c>
      <c r="L98" s="61">
        <v>110000378467</v>
      </c>
      <c r="M98" s="28" t="s">
        <v>265</v>
      </c>
      <c r="N98" s="28">
        <v>2869</v>
      </c>
      <c r="O98" s="28" t="str">
        <f>IFERROR(VLOOKUP(N98, 'SIC &amp; NAICS Codes'!A:B, 2, FALSE), "")</f>
        <v>Industrial Organic Chemicals, NEC (aliphatics)</v>
      </c>
      <c r="S98" s="28">
        <v>0.64081632653061205</v>
      </c>
      <c r="T98" s="315">
        <f>_xlfn.MAXIFS('Raw Period DMR Data'!$O:$O,'Raw Period DMR Data'!$A:$A,'Raw Annual DMR Data'!B98,'Raw Period DMR Data'!$C:$C,X98)/S98</f>
        <v>0</v>
      </c>
      <c r="U98" s="28" t="str">
        <f>+IF(COUNTIFS('Raw Period DMR Data'!$A:$A,B98, 'Raw Period DMR Data'!C:C,'Raw Annual DMR Data'!X98, 'Raw Period DMR Data'!M:M, "&gt;0")&gt;0,_xlfn.MAXIFS('Raw Period DMR Data'!M:M,'Raw Period DMR Data'!$A:$A,'Raw Annual DMR Data'!B98,'Raw Period DMR Data'!C:C,'Raw Annual DMR Data'!X98), "N/A - Period DMR Data Not Available")</f>
        <v>N/A - Period DMR Data Not Available</v>
      </c>
      <c r="V98" s="28" t="str" cm="1">
        <f t="array" ref="V98">IFERROR(INDEX('Raw Period DMR Data'!N:N,MATCH(1,(B98='Raw Period DMR Data'!$A:$A)*(U98='Raw Period DMR Data'!M:M)*(X98='Raw Period DMR Data'!C:C),0),1), "N/A")</f>
        <v>N/A</v>
      </c>
      <c r="W98" s="28" t="s">
        <v>1463</v>
      </c>
      <c r="X98" s="28" t="s">
        <v>1509</v>
      </c>
      <c r="Y98" s="28" t="s">
        <v>830</v>
      </c>
      <c r="Z98" s="28">
        <v>5140101000007</v>
      </c>
      <c r="AA98" s="28"/>
      <c r="AB98" s="28" t="s">
        <v>1465</v>
      </c>
      <c r="AC98" s="28" t="s">
        <v>1466</v>
      </c>
    </row>
    <row r="99" spans="1:29" x14ac:dyDescent="0.25">
      <c r="A99" s="61">
        <v>110000378467</v>
      </c>
      <c r="B99" s="28">
        <v>2018</v>
      </c>
      <c r="C99" s="68">
        <f t="shared" si="1"/>
        <v>43101</v>
      </c>
      <c r="D99" s="28" t="s">
        <v>986</v>
      </c>
      <c r="E99" s="28" t="s">
        <v>1508</v>
      </c>
      <c r="F99" s="28" t="s">
        <v>987</v>
      </c>
      <c r="G99" s="28" t="s">
        <v>324</v>
      </c>
      <c r="H99" s="28">
        <v>40216</v>
      </c>
      <c r="I99" s="28">
        <v>38.195278000000002</v>
      </c>
      <c r="J99" s="28">
        <v>-85.872221999999994</v>
      </c>
      <c r="K99" s="28" t="s">
        <v>701</v>
      </c>
      <c r="L99" s="61">
        <v>110000378467</v>
      </c>
      <c r="M99" s="28" t="s">
        <v>265</v>
      </c>
      <c r="N99" s="28">
        <v>2869</v>
      </c>
      <c r="O99" s="28" t="str">
        <f>IFERROR(VLOOKUP(N99, 'SIC &amp; NAICS Codes'!A:B, 2, FALSE), "")</f>
        <v>Industrial Organic Chemicals, NEC (aliphatics)</v>
      </c>
      <c r="S99" s="302">
        <v>0.51768707482993104</v>
      </c>
      <c r="T99" s="315">
        <f>_xlfn.MAXIFS('Raw Period DMR Data'!$O:$O,'Raw Period DMR Data'!$A:$A,'Raw Annual DMR Data'!B99,'Raw Period DMR Data'!$C:$C,X99)/S99</f>
        <v>0</v>
      </c>
      <c r="U99" s="28" t="str">
        <f>+IF(COUNTIFS('Raw Period DMR Data'!$A:$A,B99, 'Raw Period DMR Data'!C:C,'Raw Annual DMR Data'!X99, 'Raw Period DMR Data'!M:M, "&gt;0")&gt;0,_xlfn.MAXIFS('Raw Period DMR Data'!M:M,'Raw Period DMR Data'!$A:$A,'Raw Annual DMR Data'!B99,'Raw Period DMR Data'!C:C,'Raw Annual DMR Data'!X99), "N/A - Period DMR Data Not Available")</f>
        <v>N/A - Period DMR Data Not Available</v>
      </c>
      <c r="V99" s="28" t="str" cm="1">
        <f t="array" ref="V99">IFERROR(INDEX('Raw Period DMR Data'!N:N,MATCH(1,(B99='Raw Period DMR Data'!$A:$A)*(U99='Raw Period DMR Data'!M:M)*(X99='Raw Period DMR Data'!C:C),0),1), "N/A")</f>
        <v>N/A</v>
      </c>
      <c r="W99" s="28" t="s">
        <v>1463</v>
      </c>
      <c r="X99" s="28" t="s">
        <v>1509</v>
      </c>
      <c r="Y99" s="28" t="s">
        <v>830</v>
      </c>
      <c r="Z99" s="302" t="s">
        <v>1510</v>
      </c>
      <c r="AA99" s="28"/>
      <c r="AB99" s="28" t="s">
        <v>1465</v>
      </c>
      <c r="AC99" s="28" t="s">
        <v>1466</v>
      </c>
    </row>
    <row r="100" spans="1:29" x14ac:dyDescent="0.25">
      <c r="A100" s="61">
        <v>110000378467</v>
      </c>
      <c r="B100" s="28">
        <v>2019</v>
      </c>
      <c r="C100" s="68">
        <f t="shared" si="1"/>
        <v>43466</v>
      </c>
      <c r="D100" s="28" t="s">
        <v>986</v>
      </c>
      <c r="E100" s="28" t="s">
        <v>1508</v>
      </c>
      <c r="F100" s="28" t="s">
        <v>987</v>
      </c>
      <c r="G100" s="28" t="s">
        <v>324</v>
      </c>
      <c r="H100" s="28">
        <v>40216</v>
      </c>
      <c r="I100" s="28">
        <v>38.195278000000002</v>
      </c>
      <c r="J100" s="28">
        <v>-85.872221999999994</v>
      </c>
      <c r="K100" s="28" t="s">
        <v>701</v>
      </c>
      <c r="L100" s="61">
        <v>110000378467</v>
      </c>
      <c r="M100" s="28" t="s">
        <v>265</v>
      </c>
      <c r="N100" s="28">
        <v>2869</v>
      </c>
      <c r="O100" s="28" t="str">
        <f>IFERROR(VLOOKUP(N100, 'SIC &amp; NAICS Codes'!A:B, 2, FALSE), "")</f>
        <v>Industrial Organic Chemicals, NEC (aliphatics)</v>
      </c>
      <c r="S100" s="28">
        <v>0.72448979591836704</v>
      </c>
      <c r="T100" s="315">
        <f>_xlfn.MAXIFS('Raw Period DMR Data'!$O:$O,'Raw Period DMR Data'!$A:$A,'Raw Annual DMR Data'!B100,'Raw Period DMR Data'!$C:$C,X100)/S100</f>
        <v>0</v>
      </c>
      <c r="U100" s="28" t="str">
        <f>+IF(COUNTIFS('Raw Period DMR Data'!$A:$A,B100, 'Raw Period DMR Data'!C:C,'Raw Annual DMR Data'!X100, 'Raw Period DMR Data'!M:M, "&gt;0")&gt;0,_xlfn.MAXIFS('Raw Period DMR Data'!M:M,'Raw Period DMR Data'!$A:$A,'Raw Annual DMR Data'!B100,'Raw Period DMR Data'!C:C,'Raw Annual DMR Data'!X100), "N/A - Period DMR Data Not Available")</f>
        <v>N/A - Period DMR Data Not Available</v>
      </c>
      <c r="V100" s="28" t="str" cm="1">
        <f t="array" ref="V100">IFERROR(INDEX('Raw Period DMR Data'!N:N,MATCH(1,(B100='Raw Period DMR Data'!$A:$A)*(U100='Raw Period DMR Data'!M:M)*(X100='Raw Period DMR Data'!C:C),0),1), "N/A")</f>
        <v>N/A</v>
      </c>
      <c r="W100" s="28" t="s">
        <v>1463</v>
      </c>
      <c r="X100" s="28" t="s">
        <v>1509</v>
      </c>
      <c r="Y100" s="28" t="s">
        <v>830</v>
      </c>
      <c r="Z100" s="28">
        <v>5140101000007</v>
      </c>
      <c r="AA100" s="28"/>
      <c r="AB100" s="28" t="s">
        <v>1465</v>
      </c>
      <c r="AC100" s="28" t="s">
        <v>1466</v>
      </c>
    </row>
    <row r="101" spans="1:29" x14ac:dyDescent="0.25">
      <c r="A101" s="61">
        <v>110000378467</v>
      </c>
      <c r="B101" s="28">
        <v>2020</v>
      </c>
      <c r="C101" s="68">
        <f t="shared" si="1"/>
        <v>43831</v>
      </c>
      <c r="D101" s="28" t="s">
        <v>986</v>
      </c>
      <c r="E101" s="28" t="s">
        <v>1508</v>
      </c>
      <c r="F101" s="28" t="s">
        <v>987</v>
      </c>
      <c r="G101" s="28" t="s">
        <v>324</v>
      </c>
      <c r="H101" s="28">
        <v>40216</v>
      </c>
      <c r="I101" s="28">
        <v>38.195278000000002</v>
      </c>
      <c r="J101" s="28">
        <v>-85.872221999999994</v>
      </c>
      <c r="K101" s="28" t="s">
        <v>701</v>
      </c>
      <c r="L101" s="61">
        <v>110000378467</v>
      </c>
      <c r="M101" s="28" t="s">
        <v>265</v>
      </c>
      <c r="N101" s="28">
        <v>2869</v>
      </c>
      <c r="O101" s="28" t="str">
        <f>IFERROR(VLOOKUP(N101, 'SIC &amp; NAICS Codes'!A:B, 2, FALSE), "")</f>
        <v>Industrial Organic Chemicals, NEC (aliphatics)</v>
      </c>
      <c r="S101" s="28">
        <v>0.48979591836734598</v>
      </c>
      <c r="T101" s="315">
        <f>_xlfn.MAXIFS('Raw Period DMR Data'!$O:$O,'Raw Period DMR Data'!$A:$A,'Raw Annual DMR Data'!B101,'Raw Period DMR Data'!$C:$C,X101)/S101</f>
        <v>0</v>
      </c>
      <c r="U101" s="28" t="str">
        <f>+IF(COUNTIFS('Raw Period DMR Data'!$A:$A,B101, 'Raw Period DMR Data'!C:C,'Raw Annual DMR Data'!X101, 'Raw Period DMR Data'!M:M, "&gt;0")&gt;0,_xlfn.MAXIFS('Raw Period DMR Data'!M:M,'Raw Period DMR Data'!$A:$A,'Raw Annual DMR Data'!B101,'Raw Period DMR Data'!C:C,'Raw Annual DMR Data'!X101), "N/A - Period DMR Data Not Available")</f>
        <v>N/A - Period DMR Data Not Available</v>
      </c>
      <c r="V101" s="28" t="str" cm="1">
        <f t="array" ref="V101">IFERROR(INDEX('Raw Period DMR Data'!N:N,MATCH(1,(B101='Raw Period DMR Data'!$A:$A)*(U101='Raw Period DMR Data'!M:M)*(X101='Raw Period DMR Data'!C:C),0),1), "N/A")</f>
        <v>N/A</v>
      </c>
      <c r="W101" s="28" t="s">
        <v>1463</v>
      </c>
      <c r="X101" s="28" t="s">
        <v>1509</v>
      </c>
      <c r="Y101" s="28" t="s">
        <v>830</v>
      </c>
      <c r="Z101" s="28">
        <v>5140101000007</v>
      </c>
      <c r="AA101" s="28"/>
      <c r="AB101" s="28" t="s">
        <v>1465</v>
      </c>
      <c r="AC101" s="28" t="s">
        <v>1466</v>
      </c>
    </row>
    <row r="102" spans="1:29" x14ac:dyDescent="0.25">
      <c r="A102" s="61">
        <v>110000378467</v>
      </c>
      <c r="B102" s="28">
        <v>2020</v>
      </c>
      <c r="C102" s="68">
        <f t="shared" si="1"/>
        <v>43831</v>
      </c>
      <c r="D102" s="28" t="s">
        <v>986</v>
      </c>
      <c r="E102" s="28" t="s">
        <v>1508</v>
      </c>
      <c r="F102" s="28" t="s">
        <v>987</v>
      </c>
      <c r="G102" s="28" t="s">
        <v>324</v>
      </c>
      <c r="H102" s="28">
        <v>40216</v>
      </c>
      <c r="I102" s="28">
        <v>38.195278000000002</v>
      </c>
      <c r="J102" s="28">
        <v>-85.872221999999994</v>
      </c>
      <c r="K102" s="28" t="s">
        <v>701</v>
      </c>
      <c r="L102" s="61">
        <v>110000378467</v>
      </c>
      <c r="M102" s="28" t="s">
        <v>265</v>
      </c>
      <c r="N102" s="28">
        <v>2869</v>
      </c>
      <c r="O102" s="28" t="str">
        <f>IFERROR(VLOOKUP(N102, 'SIC &amp; NAICS Codes'!A:B, 2, FALSE), "")</f>
        <v>Industrial Organic Chemicals, NEC (aliphatics)</v>
      </c>
      <c r="S102" s="28">
        <v>0.57936507936507897</v>
      </c>
      <c r="T102" s="315">
        <f>_xlfn.MAXIFS('Raw Period DMR Data'!$O:$O,'Raw Period DMR Data'!$A:$A,'Raw Annual DMR Data'!B102,'Raw Period DMR Data'!$C:$C,X102)/S102</f>
        <v>0</v>
      </c>
      <c r="U102" s="28" t="str">
        <f>+IF(COUNTIFS('Raw Period DMR Data'!$A:$A,B102, 'Raw Period DMR Data'!C:C,'Raw Annual DMR Data'!X102, 'Raw Period DMR Data'!M:M, "&gt;0")&gt;0,_xlfn.MAXIFS('Raw Period DMR Data'!M:M,'Raw Period DMR Data'!$A:$A,'Raw Annual DMR Data'!B102,'Raw Period DMR Data'!C:C,'Raw Annual DMR Data'!X102), "N/A - Period DMR Data Not Available")</f>
        <v>N/A - Period DMR Data Not Available</v>
      </c>
      <c r="V102" s="28" t="str" cm="1">
        <f t="array" ref="V102">IFERROR(INDEX('Raw Period DMR Data'!N:N,MATCH(1,(B102='Raw Period DMR Data'!$A:$A)*(U102='Raw Period DMR Data'!M:M)*(X102='Raw Period DMR Data'!C:C),0),1), "N/A")</f>
        <v>N/A</v>
      </c>
      <c r="W102" s="28" t="s">
        <v>1463</v>
      </c>
      <c r="X102" s="28" t="s">
        <v>1509</v>
      </c>
      <c r="Y102" s="28" t="s">
        <v>830</v>
      </c>
      <c r="Z102" s="28">
        <v>5140101000007</v>
      </c>
      <c r="AA102" s="28"/>
      <c r="AB102" s="28" t="s">
        <v>1465</v>
      </c>
      <c r="AC102" s="28" t="s">
        <v>1466</v>
      </c>
    </row>
    <row r="103" spans="1:29" x14ac:dyDescent="0.25">
      <c r="A103" s="61">
        <v>110000449266</v>
      </c>
      <c r="B103" s="28">
        <v>2015</v>
      </c>
      <c r="C103" s="68">
        <f t="shared" si="1"/>
        <v>42005</v>
      </c>
      <c r="D103" s="28" t="s">
        <v>988</v>
      </c>
      <c r="E103" s="28" t="s">
        <v>1511</v>
      </c>
      <c r="F103" s="28" t="s">
        <v>314</v>
      </c>
      <c r="G103" s="28" t="s">
        <v>303</v>
      </c>
      <c r="H103" s="28">
        <v>70507</v>
      </c>
      <c r="I103" s="28">
        <v>30.275200000000002</v>
      </c>
      <c r="J103" s="28">
        <v>-92.036231000000001</v>
      </c>
      <c r="K103" s="28" t="s">
        <v>702</v>
      </c>
      <c r="L103" s="61">
        <v>110000449266</v>
      </c>
      <c r="M103" s="28" t="s">
        <v>263</v>
      </c>
      <c r="N103" s="28">
        <v>4952</v>
      </c>
      <c r="O103" s="28" t="str">
        <f>IFERROR(VLOOKUP(N103, 'SIC &amp; NAICS Codes'!A:B, 2, FALSE), "")</f>
        <v>Sewerage Systems</v>
      </c>
      <c r="S103" s="28">
        <v>3.0147525000000001E-2</v>
      </c>
      <c r="T103" s="315">
        <f>_xlfn.MAXIFS('Raw Period DMR Data'!$O:$O,'Raw Period DMR Data'!$A:$A,'Raw Annual DMR Data'!B103,'Raw Period DMR Data'!$C:$C,X103)/S103</f>
        <v>0</v>
      </c>
      <c r="U103" s="28" t="str">
        <f>+IF(COUNTIFS('Raw Period DMR Data'!$A:$A,B103, 'Raw Period DMR Data'!C:C,'Raw Annual DMR Data'!X103, 'Raw Period DMR Data'!M:M, "&gt;0")&gt;0,_xlfn.MAXIFS('Raw Period DMR Data'!M:M,'Raw Period DMR Data'!$A:$A,'Raw Annual DMR Data'!B103,'Raw Period DMR Data'!C:C,'Raw Annual DMR Data'!X103), "N/A - Period DMR Data Not Available")</f>
        <v>N/A - Period DMR Data Not Available</v>
      </c>
      <c r="V103" s="28" t="str" cm="1">
        <f t="array" ref="V103">IFERROR(INDEX('Raw Period DMR Data'!N:N,MATCH(1,(B103='Raw Period DMR Data'!$A:$A)*(U103='Raw Period DMR Data'!M:M)*(X103='Raw Period DMR Data'!C:C),0),1), "N/A")</f>
        <v>N/A</v>
      </c>
      <c r="W103" s="28" t="s">
        <v>1463</v>
      </c>
      <c r="X103" s="28" t="s">
        <v>1512</v>
      </c>
      <c r="Z103" s="28">
        <v>8080103002791</v>
      </c>
      <c r="AA103" s="28"/>
      <c r="AB103" s="28" t="s">
        <v>1465</v>
      </c>
      <c r="AC103" s="28" t="s">
        <v>1466</v>
      </c>
    </row>
    <row r="104" spans="1:29" x14ac:dyDescent="0.25">
      <c r="A104" s="61">
        <v>110006644765</v>
      </c>
      <c r="B104" s="28">
        <v>2018</v>
      </c>
      <c r="C104" s="68">
        <f t="shared" si="1"/>
        <v>43101</v>
      </c>
      <c r="D104" s="28" t="s">
        <v>109</v>
      </c>
      <c r="E104" s="28" t="s">
        <v>341</v>
      </c>
      <c r="F104" s="28" t="s">
        <v>342</v>
      </c>
      <c r="G104" s="28" t="s">
        <v>324</v>
      </c>
      <c r="H104" s="28">
        <v>40906</v>
      </c>
      <c r="I104" s="28">
        <v>36.848332999999997</v>
      </c>
      <c r="J104" s="28">
        <v>-83.905000000000001</v>
      </c>
      <c r="L104" s="61">
        <v>110006644765</v>
      </c>
      <c r="M104" s="28" t="s">
        <v>263</v>
      </c>
      <c r="N104" s="28">
        <v>4952</v>
      </c>
      <c r="O104" s="28" t="str">
        <f>IFERROR(VLOOKUP(N104, 'SIC &amp; NAICS Codes'!A:B, 2, FALSE), "")</f>
        <v>Sewerage Systems</v>
      </c>
      <c r="S104" s="28">
        <v>8.8417600000000007</v>
      </c>
      <c r="T104" s="315">
        <f>_xlfn.MAXIFS('Raw Period DMR Data'!$O:$O,'Raw Period DMR Data'!$A:$A,'Raw Annual DMR Data'!B104,'Raw Period DMR Data'!$C:$C,X104)/S104</f>
        <v>0</v>
      </c>
      <c r="U104" s="28" t="str">
        <f>+IF(COUNTIFS('Raw Period DMR Data'!$A:$A,B104, 'Raw Period DMR Data'!C:C,'Raw Annual DMR Data'!X104, 'Raw Period DMR Data'!M:M, "&gt;0")&gt;0,_xlfn.MAXIFS('Raw Period DMR Data'!M:M,'Raw Period DMR Data'!$A:$A,'Raw Annual DMR Data'!B104,'Raw Period DMR Data'!C:C,'Raw Annual DMR Data'!X104), "N/A - Period DMR Data Not Available")</f>
        <v>N/A - Period DMR Data Not Available</v>
      </c>
      <c r="V104" s="28" t="str" cm="1">
        <f t="array" ref="V104">IFERROR(INDEX('Raw Period DMR Data'!N:N,MATCH(1,(B104='Raw Period DMR Data'!$A:$A)*(U104='Raw Period DMR Data'!M:M)*(X104='Raw Period DMR Data'!C:C),0),1), "N/A")</f>
        <v>N/A</v>
      </c>
      <c r="W104" s="28" t="s">
        <v>1463</v>
      </c>
      <c r="X104" s="28" t="s">
        <v>784</v>
      </c>
      <c r="Y104" s="28" t="s">
        <v>785</v>
      </c>
      <c r="Z104" s="61">
        <v>5130101000215</v>
      </c>
    </row>
    <row r="105" spans="1:29" x14ac:dyDescent="0.25">
      <c r="A105" s="61">
        <v>110000463533</v>
      </c>
      <c r="B105" s="28">
        <v>2015</v>
      </c>
      <c r="C105" s="68">
        <f t="shared" si="1"/>
        <v>42005</v>
      </c>
      <c r="D105" s="28" t="s">
        <v>989</v>
      </c>
      <c r="E105" s="28" t="s">
        <v>1513</v>
      </c>
      <c r="F105" s="28" t="s">
        <v>990</v>
      </c>
      <c r="G105" s="28" t="s">
        <v>362</v>
      </c>
      <c r="H105" s="28" t="s">
        <v>1514</v>
      </c>
      <c r="I105" s="28">
        <v>29.793299999999999</v>
      </c>
      <c r="J105" s="28">
        <v>-95.064959999999999</v>
      </c>
      <c r="K105" s="28" t="s">
        <v>703</v>
      </c>
      <c r="L105" s="61">
        <v>110000463533</v>
      </c>
      <c r="M105" s="28" t="s">
        <v>265</v>
      </c>
      <c r="N105" s="28">
        <v>3731</v>
      </c>
      <c r="O105" s="28" t="str">
        <f>IFERROR(VLOOKUP(N105, 'SIC &amp; NAICS Codes'!A:B, 2, FALSE), "")</f>
        <v>Ship Building and Repairing (except repairs in floating drydocks)</v>
      </c>
      <c r="S105" s="28">
        <v>3.8456735499999999E-2</v>
      </c>
      <c r="T105" s="315">
        <f>_xlfn.MAXIFS('Raw Period DMR Data'!$O:$O,'Raw Period DMR Data'!$A:$A,'Raw Annual DMR Data'!B105,'Raw Period DMR Data'!$C:$C,X105)/S105</f>
        <v>0</v>
      </c>
      <c r="U105" s="28" t="str">
        <f>+IF(COUNTIFS('Raw Period DMR Data'!$A:$A,B105, 'Raw Period DMR Data'!C:C,'Raw Annual DMR Data'!X105, 'Raw Period DMR Data'!M:M, "&gt;0")&gt;0,_xlfn.MAXIFS('Raw Period DMR Data'!M:M,'Raw Period DMR Data'!$A:$A,'Raw Annual DMR Data'!B105,'Raw Period DMR Data'!C:C,'Raw Annual DMR Data'!X105), "N/A - Period DMR Data Not Available")</f>
        <v>N/A - Period DMR Data Not Available</v>
      </c>
      <c r="V105" s="28" t="str" cm="1">
        <f t="array" ref="V105">IFERROR(INDEX('Raw Period DMR Data'!N:N,MATCH(1,(B105='Raw Period DMR Data'!$A:$A)*(U105='Raw Period DMR Data'!M:M)*(X105='Raw Period DMR Data'!C:C),0),1), "N/A")</f>
        <v>N/A</v>
      </c>
      <c r="W105" s="28" t="s">
        <v>1463</v>
      </c>
      <c r="X105" s="28" t="s">
        <v>1515</v>
      </c>
      <c r="Y105" s="28" t="s">
        <v>1516</v>
      </c>
      <c r="Z105" s="28">
        <v>12040104000885</v>
      </c>
      <c r="AA105" s="28"/>
      <c r="AB105" s="28" t="s">
        <v>1465</v>
      </c>
      <c r="AC105" s="28" t="s">
        <v>1466</v>
      </c>
    </row>
    <row r="106" spans="1:29" x14ac:dyDescent="0.25">
      <c r="A106" s="61">
        <v>110000463533</v>
      </c>
      <c r="B106" s="28">
        <v>2016</v>
      </c>
      <c r="C106" s="68">
        <f t="shared" si="1"/>
        <v>42370</v>
      </c>
      <c r="D106" s="28" t="s">
        <v>989</v>
      </c>
      <c r="E106" s="28" t="s">
        <v>1513</v>
      </c>
      <c r="F106" s="28" t="s">
        <v>990</v>
      </c>
      <c r="G106" s="28" t="s">
        <v>362</v>
      </c>
      <c r="H106" s="28" t="s">
        <v>1514</v>
      </c>
      <c r="I106" s="28">
        <v>29.793299999999999</v>
      </c>
      <c r="J106" s="28">
        <v>-95.064959999999999</v>
      </c>
      <c r="K106" s="28" t="s">
        <v>703</v>
      </c>
      <c r="L106" s="61">
        <v>110000463533</v>
      </c>
      <c r="M106" s="28" t="s">
        <v>265</v>
      </c>
      <c r="N106" s="28">
        <v>3731</v>
      </c>
      <c r="O106" s="28" t="str">
        <f>IFERROR(VLOOKUP(N106, 'SIC &amp; NAICS Codes'!A:B, 2, FALSE), "")</f>
        <v>Ship Building and Repairing (except repairs in floating drydocks)</v>
      </c>
      <c r="S106" s="28">
        <v>3.3061218000000003E-2</v>
      </c>
      <c r="T106" s="315">
        <f>_xlfn.MAXIFS('Raw Period DMR Data'!$O:$O,'Raw Period DMR Data'!$A:$A,'Raw Annual DMR Data'!B106,'Raw Period DMR Data'!$C:$C,X106)/S106</f>
        <v>0</v>
      </c>
      <c r="U106" s="28" t="str">
        <f>+IF(COUNTIFS('Raw Period DMR Data'!$A:$A,B106, 'Raw Period DMR Data'!C:C,'Raw Annual DMR Data'!X106, 'Raw Period DMR Data'!M:M, "&gt;0")&gt;0,_xlfn.MAXIFS('Raw Period DMR Data'!M:M,'Raw Period DMR Data'!$A:$A,'Raw Annual DMR Data'!B106,'Raw Period DMR Data'!C:C,'Raw Annual DMR Data'!X106), "N/A - Period DMR Data Not Available")</f>
        <v>N/A - Period DMR Data Not Available</v>
      </c>
      <c r="V106" s="28" t="str" cm="1">
        <f t="array" ref="V106">IFERROR(INDEX('Raw Period DMR Data'!N:N,MATCH(1,(B106='Raw Period DMR Data'!$A:$A)*(U106='Raw Period DMR Data'!M:M)*(X106='Raw Period DMR Data'!C:C),0),1), "N/A")</f>
        <v>N/A</v>
      </c>
      <c r="W106" s="28" t="s">
        <v>1463</v>
      </c>
      <c r="X106" s="28" t="s">
        <v>1515</v>
      </c>
      <c r="Y106" s="28" t="s">
        <v>1516</v>
      </c>
      <c r="Z106" s="28">
        <v>12040104000885</v>
      </c>
      <c r="AA106" s="28"/>
      <c r="AB106" s="28" t="s">
        <v>1465</v>
      </c>
      <c r="AC106" s="28" t="s">
        <v>1466</v>
      </c>
    </row>
    <row r="107" spans="1:29" x14ac:dyDescent="0.25">
      <c r="A107" s="61">
        <v>110000452082</v>
      </c>
      <c r="B107" s="28">
        <v>2015</v>
      </c>
      <c r="C107" s="68">
        <f t="shared" si="1"/>
        <v>42005</v>
      </c>
      <c r="D107" s="28" t="s">
        <v>991</v>
      </c>
      <c r="E107" s="28" t="s">
        <v>1517</v>
      </c>
      <c r="F107" s="28" t="s">
        <v>992</v>
      </c>
      <c r="G107" s="28" t="s">
        <v>299</v>
      </c>
      <c r="H107" s="28">
        <v>723016413</v>
      </c>
      <c r="I107" s="28">
        <v>35.136057000000001</v>
      </c>
      <c r="J107" s="28">
        <v>-90.096892999999994</v>
      </c>
      <c r="K107" s="28" t="s">
        <v>704</v>
      </c>
      <c r="L107" s="61">
        <v>110000452082</v>
      </c>
      <c r="M107" s="28" t="s">
        <v>254</v>
      </c>
      <c r="N107" s="28">
        <v>2869</v>
      </c>
      <c r="O107" s="28" t="str">
        <f>IFERROR(VLOOKUP(N107, 'SIC &amp; NAICS Codes'!A:B, 2, FALSE), "")</f>
        <v>Industrial Organic Chemicals, NEC (aliphatics)</v>
      </c>
      <c r="S107" s="28">
        <v>2.8798185941043001E-2</v>
      </c>
      <c r="T107" s="315">
        <f>_xlfn.MAXIFS('Raw Period DMR Data'!$O:$O,'Raw Period DMR Data'!$A:$A,'Raw Annual DMR Data'!B107,'Raw Period DMR Data'!$C:$C,X107)/S107</f>
        <v>0</v>
      </c>
      <c r="U107" s="28" t="str">
        <f>+IF(COUNTIFS('Raw Period DMR Data'!$A:$A,B107, 'Raw Period DMR Data'!C:C,'Raw Annual DMR Data'!X107, 'Raw Period DMR Data'!M:M, "&gt;0")&gt;0,_xlfn.MAXIFS('Raw Period DMR Data'!M:M,'Raw Period DMR Data'!$A:$A,'Raw Annual DMR Data'!B107,'Raw Period DMR Data'!C:C,'Raw Annual DMR Data'!X107), "N/A - Period DMR Data Not Available")</f>
        <v>N/A - Period DMR Data Not Available</v>
      </c>
      <c r="V107" s="28" t="str" cm="1">
        <f t="array" ref="V107">IFERROR(INDEX('Raw Period DMR Data'!N:N,MATCH(1,(B107='Raw Period DMR Data'!$A:$A)*(U107='Raw Period DMR Data'!M:M)*(X107='Raw Period DMR Data'!C:C),0),1), "N/A")</f>
        <v>N/A</v>
      </c>
      <c r="W107" s="28" t="s">
        <v>1463</v>
      </c>
      <c r="X107" s="28" t="s">
        <v>1518</v>
      </c>
      <c r="Y107" s="28" t="s">
        <v>1519</v>
      </c>
      <c r="Z107" s="28">
        <v>8010100000818</v>
      </c>
      <c r="AA107" s="28"/>
      <c r="AB107" s="28" t="s">
        <v>1465</v>
      </c>
      <c r="AC107" s="28" t="s">
        <v>1466</v>
      </c>
    </row>
    <row r="108" spans="1:29" x14ac:dyDescent="0.25">
      <c r="A108" s="61">
        <v>110000452082</v>
      </c>
      <c r="B108" s="28">
        <v>2015</v>
      </c>
      <c r="C108" s="68">
        <f t="shared" si="1"/>
        <v>42005</v>
      </c>
      <c r="D108" s="28" t="s">
        <v>991</v>
      </c>
      <c r="E108" s="28" t="s">
        <v>1517</v>
      </c>
      <c r="F108" s="28" t="s">
        <v>992</v>
      </c>
      <c r="G108" s="28" t="s">
        <v>299</v>
      </c>
      <c r="H108" s="28">
        <v>723016413</v>
      </c>
      <c r="I108" s="28">
        <v>35.136057000000001</v>
      </c>
      <c r="J108" s="28">
        <v>-90.096892999999994</v>
      </c>
      <c r="K108" s="28" t="s">
        <v>704</v>
      </c>
      <c r="L108" s="61">
        <v>110000452082</v>
      </c>
      <c r="M108" s="28" t="s">
        <v>254</v>
      </c>
      <c r="N108" s="28">
        <v>2869</v>
      </c>
      <c r="O108" s="28" t="str">
        <f>IFERROR(VLOOKUP(N108, 'SIC &amp; NAICS Codes'!A:B, 2, FALSE), "")</f>
        <v>Industrial Organic Chemicals, NEC (aliphatics)</v>
      </c>
      <c r="S108" s="28">
        <v>4.1723356009070199E-2</v>
      </c>
      <c r="T108" s="315">
        <f>_xlfn.MAXIFS('Raw Period DMR Data'!$O:$O,'Raw Period DMR Data'!$A:$A,'Raw Annual DMR Data'!B108,'Raw Period DMR Data'!$C:$C,X108)/S108</f>
        <v>0</v>
      </c>
      <c r="U108" s="28" t="str">
        <f>+IF(COUNTIFS('Raw Period DMR Data'!$A:$A,B108, 'Raw Period DMR Data'!C:C,'Raw Annual DMR Data'!X108, 'Raw Period DMR Data'!M:M, "&gt;0")&gt;0,_xlfn.MAXIFS('Raw Period DMR Data'!M:M,'Raw Period DMR Data'!$A:$A,'Raw Annual DMR Data'!B108,'Raw Period DMR Data'!C:C,'Raw Annual DMR Data'!X108), "N/A - Period DMR Data Not Available")</f>
        <v>N/A - Period DMR Data Not Available</v>
      </c>
      <c r="V108" s="28" t="str" cm="1">
        <f t="array" ref="V108">IFERROR(INDEX('Raw Period DMR Data'!N:N,MATCH(1,(B108='Raw Period DMR Data'!$A:$A)*(U108='Raw Period DMR Data'!M:M)*(X108='Raw Period DMR Data'!C:C),0),1), "N/A")</f>
        <v>N/A</v>
      </c>
      <c r="W108" s="28" t="s">
        <v>1463</v>
      </c>
      <c r="X108" s="28" t="s">
        <v>1518</v>
      </c>
      <c r="Y108" s="28" t="s">
        <v>1519</v>
      </c>
      <c r="Z108" s="28">
        <v>8010100000818</v>
      </c>
      <c r="AA108" s="28"/>
      <c r="AB108" s="28" t="s">
        <v>1465</v>
      </c>
      <c r="AC108" s="28" t="s">
        <v>1466</v>
      </c>
    </row>
    <row r="109" spans="1:29" x14ac:dyDescent="0.25">
      <c r="A109" s="61">
        <v>110000452082</v>
      </c>
      <c r="B109" s="28">
        <v>2016</v>
      </c>
      <c r="C109" s="68">
        <f t="shared" si="1"/>
        <v>42370</v>
      </c>
      <c r="D109" s="28" t="s">
        <v>991</v>
      </c>
      <c r="E109" s="28" t="s">
        <v>1517</v>
      </c>
      <c r="F109" s="28" t="s">
        <v>992</v>
      </c>
      <c r="G109" s="28" t="s">
        <v>299</v>
      </c>
      <c r="H109" s="28">
        <v>723016413</v>
      </c>
      <c r="I109" s="28">
        <v>35.136057000000001</v>
      </c>
      <c r="J109" s="28">
        <v>-90.096892999999994</v>
      </c>
      <c r="K109" s="28" t="s">
        <v>704</v>
      </c>
      <c r="L109" s="61">
        <v>110000452082</v>
      </c>
      <c r="M109" s="28" t="s">
        <v>254</v>
      </c>
      <c r="N109" s="28">
        <v>2869</v>
      </c>
      <c r="O109" s="28" t="str">
        <f>IFERROR(VLOOKUP(N109, 'SIC &amp; NAICS Codes'!A:B, 2, FALSE), "")</f>
        <v>Industrial Organic Chemicals, NEC (aliphatics)</v>
      </c>
      <c r="S109" s="28">
        <v>0.11517006802721</v>
      </c>
      <c r="T109" s="315">
        <f>_xlfn.MAXIFS('Raw Period DMR Data'!$O:$O,'Raw Period DMR Data'!$A:$A,'Raw Annual DMR Data'!B109,'Raw Period DMR Data'!$C:$C,X109)/S109</f>
        <v>0</v>
      </c>
      <c r="U109" s="28" t="str">
        <f>+IF(COUNTIFS('Raw Period DMR Data'!$A:$A,B109, 'Raw Period DMR Data'!C:C,'Raw Annual DMR Data'!X109, 'Raw Period DMR Data'!M:M, "&gt;0")&gt;0,_xlfn.MAXIFS('Raw Period DMR Data'!M:M,'Raw Period DMR Data'!$A:$A,'Raw Annual DMR Data'!B109,'Raw Period DMR Data'!C:C,'Raw Annual DMR Data'!X109), "N/A - Period DMR Data Not Available")</f>
        <v>N/A - Period DMR Data Not Available</v>
      </c>
      <c r="V109" s="28" t="str" cm="1">
        <f t="array" ref="V109">IFERROR(INDEX('Raw Period DMR Data'!N:N,MATCH(1,(B109='Raw Period DMR Data'!$A:$A)*(U109='Raw Period DMR Data'!M:M)*(X109='Raw Period DMR Data'!C:C),0),1), "N/A")</f>
        <v>N/A</v>
      </c>
      <c r="W109" s="28" t="s">
        <v>1463</v>
      </c>
      <c r="X109" s="28" t="s">
        <v>1518</v>
      </c>
      <c r="Y109" s="28" t="s">
        <v>1519</v>
      </c>
      <c r="Z109" s="28">
        <v>8010100000818</v>
      </c>
      <c r="AA109" s="28"/>
      <c r="AB109" s="28" t="s">
        <v>1465</v>
      </c>
      <c r="AC109" s="28" t="s">
        <v>1466</v>
      </c>
    </row>
    <row r="110" spans="1:29" x14ac:dyDescent="0.25">
      <c r="A110" s="61">
        <v>110000452082</v>
      </c>
      <c r="B110" s="28">
        <v>2017</v>
      </c>
      <c r="C110" s="68">
        <f t="shared" si="1"/>
        <v>42736</v>
      </c>
      <c r="D110" s="28" t="s">
        <v>991</v>
      </c>
      <c r="E110" s="28" t="s">
        <v>1517</v>
      </c>
      <c r="F110" s="28" t="s">
        <v>992</v>
      </c>
      <c r="G110" s="28" t="s">
        <v>299</v>
      </c>
      <c r="H110" s="28">
        <v>723016413</v>
      </c>
      <c r="I110" s="28">
        <v>35.136057000000001</v>
      </c>
      <c r="J110" s="28">
        <v>-90.096892999999994</v>
      </c>
      <c r="K110" s="28" t="s">
        <v>704</v>
      </c>
      <c r="L110" s="61">
        <v>110000452082</v>
      </c>
      <c r="M110" s="28" t="s">
        <v>254</v>
      </c>
      <c r="N110" s="28">
        <v>2869</v>
      </c>
      <c r="O110" s="28" t="str">
        <f>IFERROR(VLOOKUP(N110, 'SIC &amp; NAICS Codes'!A:B, 2, FALSE), "")</f>
        <v>Industrial Organic Chemicals, NEC (aliphatics)</v>
      </c>
      <c r="S110" s="28">
        <v>0.21866213151927399</v>
      </c>
      <c r="T110" s="315">
        <f>_xlfn.MAXIFS('Raw Period DMR Data'!$O:$O,'Raw Period DMR Data'!$A:$A,'Raw Annual DMR Data'!B110,'Raw Period DMR Data'!$C:$C,X110)/S110</f>
        <v>0</v>
      </c>
      <c r="U110" s="28" t="str">
        <f>+IF(COUNTIFS('Raw Period DMR Data'!$A:$A,B110, 'Raw Period DMR Data'!C:C,'Raw Annual DMR Data'!X110, 'Raw Period DMR Data'!M:M, "&gt;0")&gt;0,_xlfn.MAXIFS('Raw Period DMR Data'!M:M,'Raw Period DMR Data'!$A:$A,'Raw Annual DMR Data'!B110,'Raw Period DMR Data'!C:C,'Raw Annual DMR Data'!X110), "N/A - Period DMR Data Not Available")</f>
        <v>N/A - Period DMR Data Not Available</v>
      </c>
      <c r="V110" s="28" t="str" cm="1">
        <f t="array" ref="V110">IFERROR(INDEX('Raw Period DMR Data'!N:N,MATCH(1,(B110='Raw Period DMR Data'!$A:$A)*(U110='Raw Period DMR Data'!M:M)*(X110='Raw Period DMR Data'!C:C),0),1), "N/A")</f>
        <v>N/A</v>
      </c>
      <c r="W110" s="28" t="s">
        <v>1463</v>
      </c>
      <c r="X110" s="28" t="s">
        <v>1518</v>
      </c>
      <c r="Y110" s="28" t="s">
        <v>1519</v>
      </c>
      <c r="Z110" s="28">
        <v>8010100000818</v>
      </c>
      <c r="AA110" s="28"/>
      <c r="AB110" s="28" t="s">
        <v>1465</v>
      </c>
      <c r="AC110" s="28" t="s">
        <v>1466</v>
      </c>
    </row>
    <row r="111" spans="1:29" x14ac:dyDescent="0.25">
      <c r="A111" s="61">
        <v>110000452082</v>
      </c>
      <c r="B111" s="28">
        <v>2018</v>
      </c>
      <c r="C111" s="68">
        <f t="shared" si="1"/>
        <v>43101</v>
      </c>
      <c r="D111" s="28" t="s">
        <v>991</v>
      </c>
      <c r="E111" s="28" t="s">
        <v>1517</v>
      </c>
      <c r="F111" s="28" t="s">
        <v>992</v>
      </c>
      <c r="G111" s="28" t="s">
        <v>299</v>
      </c>
      <c r="H111" s="28">
        <v>723016413</v>
      </c>
      <c r="I111" s="28">
        <v>35.136057000000001</v>
      </c>
      <c r="J111" s="28">
        <v>-90.096892999999994</v>
      </c>
      <c r="K111" s="28" t="s">
        <v>704</v>
      </c>
      <c r="L111" s="61">
        <v>110000452082</v>
      </c>
      <c r="M111" s="28" t="s">
        <v>254</v>
      </c>
      <c r="N111" s="28">
        <v>2869</v>
      </c>
      <c r="O111" s="28" t="str">
        <f>IFERROR(VLOOKUP(N111, 'SIC &amp; NAICS Codes'!A:B, 2, FALSE), "")</f>
        <v>Industrial Organic Chemicals, NEC (aliphatics)</v>
      </c>
      <c r="S111" s="302">
        <v>0.19040816326530599</v>
      </c>
      <c r="T111" s="315">
        <f>_xlfn.MAXIFS('Raw Period DMR Data'!$O:$O,'Raw Period DMR Data'!$A:$A,'Raw Annual DMR Data'!B111,'Raw Period DMR Data'!$C:$C,X111)/S111</f>
        <v>0</v>
      </c>
      <c r="U111" s="28" t="str">
        <f>+IF(COUNTIFS('Raw Period DMR Data'!$A:$A,B111, 'Raw Period DMR Data'!C:C,'Raw Annual DMR Data'!X111, 'Raw Period DMR Data'!M:M, "&gt;0")&gt;0,_xlfn.MAXIFS('Raw Period DMR Data'!M:M,'Raw Period DMR Data'!$A:$A,'Raw Annual DMR Data'!B111,'Raw Period DMR Data'!C:C,'Raw Annual DMR Data'!X111), "N/A - Period DMR Data Not Available")</f>
        <v>N/A - Period DMR Data Not Available</v>
      </c>
      <c r="V111" s="28" t="str" cm="1">
        <f t="array" ref="V111">IFERROR(INDEX('Raw Period DMR Data'!N:N,MATCH(1,(B111='Raw Period DMR Data'!$A:$A)*(U111='Raw Period DMR Data'!M:M)*(X111='Raw Period DMR Data'!C:C),0),1), "N/A")</f>
        <v>N/A</v>
      </c>
      <c r="W111" s="28" t="s">
        <v>1463</v>
      </c>
      <c r="X111" s="28" t="s">
        <v>1518</v>
      </c>
      <c r="Y111" s="28" t="s">
        <v>1519</v>
      </c>
      <c r="Z111" s="302" t="s">
        <v>1520</v>
      </c>
      <c r="AA111" s="28"/>
      <c r="AB111" s="28" t="s">
        <v>1465</v>
      </c>
      <c r="AC111" s="28" t="s">
        <v>1466</v>
      </c>
    </row>
    <row r="112" spans="1:29" x14ac:dyDescent="0.25">
      <c r="A112" s="61">
        <v>110000452082</v>
      </c>
      <c r="B112" s="28">
        <v>2019</v>
      </c>
      <c r="C112" s="68">
        <f t="shared" si="1"/>
        <v>43466</v>
      </c>
      <c r="D112" s="28" t="s">
        <v>991</v>
      </c>
      <c r="E112" s="28" t="s">
        <v>1517</v>
      </c>
      <c r="F112" s="28" t="s">
        <v>992</v>
      </c>
      <c r="G112" s="28" t="s">
        <v>299</v>
      </c>
      <c r="H112" s="28">
        <v>723016413</v>
      </c>
      <c r="I112" s="28">
        <v>35.136057000000001</v>
      </c>
      <c r="J112" s="28">
        <v>-90.096892999999994</v>
      </c>
      <c r="K112" s="28" t="s">
        <v>704</v>
      </c>
      <c r="L112" s="61">
        <v>110000452082</v>
      </c>
      <c r="M112" s="28" t="s">
        <v>254</v>
      </c>
      <c r="N112" s="28">
        <v>2869</v>
      </c>
      <c r="O112" s="28" t="str">
        <f>IFERROR(VLOOKUP(N112, 'SIC &amp; NAICS Codes'!A:B, 2, FALSE), "")</f>
        <v>Industrial Organic Chemicals, NEC (aliphatics)</v>
      </c>
      <c r="S112" s="28">
        <v>3.0997732426303801E-2</v>
      </c>
      <c r="T112" s="315">
        <f>_xlfn.MAXIFS('Raw Period DMR Data'!$O:$O,'Raw Period DMR Data'!$A:$A,'Raw Annual DMR Data'!B112,'Raw Period DMR Data'!$C:$C,X112)/S112</f>
        <v>0</v>
      </c>
      <c r="U112" s="28" t="str">
        <f>+IF(COUNTIFS('Raw Period DMR Data'!$A:$A,B112, 'Raw Period DMR Data'!C:C,'Raw Annual DMR Data'!X112, 'Raw Period DMR Data'!M:M, "&gt;0")&gt;0,_xlfn.MAXIFS('Raw Period DMR Data'!M:M,'Raw Period DMR Data'!$A:$A,'Raw Annual DMR Data'!B112,'Raw Period DMR Data'!C:C,'Raw Annual DMR Data'!X112), "N/A - Period DMR Data Not Available")</f>
        <v>N/A - Period DMR Data Not Available</v>
      </c>
      <c r="V112" s="28" t="str" cm="1">
        <f t="array" ref="V112">IFERROR(INDEX('Raw Period DMR Data'!N:N,MATCH(1,(B112='Raw Period DMR Data'!$A:$A)*(U112='Raw Period DMR Data'!M:M)*(X112='Raw Period DMR Data'!C:C),0),1), "N/A")</f>
        <v>N/A</v>
      </c>
      <c r="W112" s="28" t="s">
        <v>1463</v>
      </c>
      <c r="X112" s="28" t="s">
        <v>1518</v>
      </c>
      <c r="Y112" s="28" t="s">
        <v>1519</v>
      </c>
      <c r="Z112" s="28">
        <v>8010100000818</v>
      </c>
      <c r="AA112" s="28"/>
      <c r="AB112" s="28" t="s">
        <v>1465</v>
      </c>
      <c r="AC112" s="28" t="s">
        <v>1466</v>
      </c>
    </row>
    <row r="113" spans="1:29" x14ac:dyDescent="0.25">
      <c r="A113" s="61">
        <v>110000452082</v>
      </c>
      <c r="B113" s="28">
        <v>2020</v>
      </c>
      <c r="C113" s="68">
        <f t="shared" si="1"/>
        <v>43831</v>
      </c>
      <c r="D113" s="28" t="s">
        <v>991</v>
      </c>
      <c r="E113" s="28" t="s">
        <v>1517</v>
      </c>
      <c r="F113" s="28" t="s">
        <v>992</v>
      </c>
      <c r="G113" s="28" t="s">
        <v>299</v>
      </c>
      <c r="H113" s="28">
        <v>723016413</v>
      </c>
      <c r="I113" s="28">
        <v>35.136057000000001</v>
      </c>
      <c r="J113" s="28">
        <v>-90.096892999999994</v>
      </c>
      <c r="K113" s="28" t="s">
        <v>704</v>
      </c>
      <c r="L113" s="61">
        <v>110000452082</v>
      </c>
      <c r="M113" s="28" t="s">
        <v>254</v>
      </c>
      <c r="N113" s="28">
        <v>2869</v>
      </c>
      <c r="O113" s="28" t="str">
        <f>IFERROR(VLOOKUP(N113, 'SIC &amp; NAICS Codes'!A:B, 2, FALSE), "")</f>
        <v>Industrial Organic Chemicals, NEC (aliphatics)</v>
      </c>
      <c r="S113" s="28">
        <v>4.1519274376417198E-2</v>
      </c>
      <c r="T113" s="315">
        <f>_xlfn.MAXIFS('Raw Period DMR Data'!$O:$O,'Raw Period DMR Data'!$A:$A,'Raw Annual DMR Data'!B113,'Raw Period DMR Data'!$C:$C,X113)/S113</f>
        <v>0</v>
      </c>
      <c r="U113" s="28" t="str">
        <f>+IF(COUNTIFS('Raw Period DMR Data'!$A:$A,B113, 'Raw Period DMR Data'!C:C,'Raw Annual DMR Data'!X113, 'Raw Period DMR Data'!M:M, "&gt;0")&gt;0,_xlfn.MAXIFS('Raw Period DMR Data'!M:M,'Raw Period DMR Data'!$A:$A,'Raw Annual DMR Data'!B113,'Raw Period DMR Data'!C:C,'Raw Annual DMR Data'!X113), "N/A - Period DMR Data Not Available")</f>
        <v>N/A - Period DMR Data Not Available</v>
      </c>
      <c r="V113" s="28" t="str" cm="1">
        <f t="array" ref="V113">IFERROR(INDEX('Raw Period DMR Data'!N:N,MATCH(1,(B113='Raw Period DMR Data'!$A:$A)*(U113='Raw Period DMR Data'!M:M)*(X113='Raw Period DMR Data'!C:C),0),1), "N/A")</f>
        <v>N/A</v>
      </c>
      <c r="W113" s="28" t="s">
        <v>1463</v>
      </c>
      <c r="X113" s="28" t="s">
        <v>1518</v>
      </c>
      <c r="Y113" s="28" t="s">
        <v>1519</v>
      </c>
      <c r="Z113" s="28">
        <v>8010100000818</v>
      </c>
      <c r="AA113" s="28"/>
      <c r="AB113" s="28" t="s">
        <v>1465</v>
      </c>
      <c r="AC113" s="28" t="s">
        <v>1466</v>
      </c>
    </row>
    <row r="114" spans="1:29" x14ac:dyDescent="0.25">
      <c r="A114" s="61">
        <v>110030443544</v>
      </c>
      <c r="B114" s="28">
        <v>2020</v>
      </c>
      <c r="C114" s="68">
        <f t="shared" si="1"/>
        <v>43831</v>
      </c>
      <c r="D114" s="28" t="s">
        <v>993</v>
      </c>
      <c r="E114" s="28" t="s">
        <v>1521</v>
      </c>
      <c r="F114" s="28" t="s">
        <v>994</v>
      </c>
      <c r="G114" s="28" t="s">
        <v>324</v>
      </c>
      <c r="H114" s="28">
        <v>40360</v>
      </c>
      <c r="I114" s="28">
        <v>38.127222000000003</v>
      </c>
      <c r="J114" s="28">
        <v>-83.769443999999993</v>
      </c>
      <c r="L114" s="61">
        <v>110030443544</v>
      </c>
      <c r="M114" s="28" t="s">
        <v>263</v>
      </c>
      <c r="N114" s="28">
        <v>4952</v>
      </c>
      <c r="O114" s="28" t="str">
        <f>IFERROR(VLOOKUP(N114, 'SIC &amp; NAICS Codes'!A:B, 2, FALSE), "")</f>
        <v>Sewerage Systems</v>
      </c>
      <c r="S114" s="28">
        <v>8.6345312499999993E-2</v>
      </c>
      <c r="T114" s="315">
        <f>_xlfn.MAXIFS('Raw Period DMR Data'!$O:$O,'Raw Period DMR Data'!$A:$A,'Raw Annual DMR Data'!B114,'Raw Period DMR Data'!$C:$C,X114)/S114</f>
        <v>0</v>
      </c>
      <c r="U114" s="28" t="str">
        <f>+IF(COUNTIFS('Raw Period DMR Data'!$A:$A,B114, 'Raw Period DMR Data'!C:C,'Raw Annual DMR Data'!X114, 'Raw Period DMR Data'!M:M, "&gt;0")&gt;0,_xlfn.MAXIFS('Raw Period DMR Data'!M:M,'Raw Period DMR Data'!$A:$A,'Raw Annual DMR Data'!B114,'Raw Period DMR Data'!C:C,'Raw Annual DMR Data'!X114), "N/A - Period DMR Data Not Available")</f>
        <v>N/A - Period DMR Data Not Available</v>
      </c>
      <c r="V114" s="28" t="str" cm="1">
        <f t="array" ref="V114">IFERROR(INDEX('Raw Period DMR Data'!N:N,MATCH(1,(B114='Raw Period DMR Data'!$A:$A)*(U114='Raw Period DMR Data'!M:M)*(X114='Raw Period DMR Data'!C:C),0),1), "N/A")</f>
        <v>N/A</v>
      </c>
      <c r="W114" s="28" t="s">
        <v>1463</v>
      </c>
      <c r="X114" s="28" t="s">
        <v>1522</v>
      </c>
      <c r="Y114" s="28" t="s">
        <v>1523</v>
      </c>
      <c r="Z114" s="28">
        <v>5100101000134</v>
      </c>
      <c r="AA114" s="28"/>
      <c r="AB114" s="28" t="s">
        <v>1465</v>
      </c>
      <c r="AC114" s="28" t="s">
        <v>263</v>
      </c>
    </row>
    <row r="115" spans="1:29" x14ac:dyDescent="0.25">
      <c r="A115" s="61">
        <v>110000443226</v>
      </c>
      <c r="B115" s="28">
        <v>2018</v>
      </c>
      <c r="C115" s="68">
        <f t="shared" si="1"/>
        <v>43101</v>
      </c>
      <c r="D115" s="28" t="s">
        <v>110</v>
      </c>
      <c r="E115" s="28" t="s">
        <v>351</v>
      </c>
      <c r="F115" s="28" t="s">
        <v>352</v>
      </c>
      <c r="G115" s="28" t="s">
        <v>349</v>
      </c>
      <c r="H115" s="28">
        <v>64120</v>
      </c>
      <c r="I115" s="28">
        <v>39.121471999999997</v>
      </c>
      <c r="J115" s="28">
        <v>-94.473416999999998</v>
      </c>
      <c r="K115" s="28" t="s">
        <v>353</v>
      </c>
      <c r="L115" s="61">
        <v>110000443226</v>
      </c>
      <c r="M115" s="28" t="s">
        <v>254</v>
      </c>
      <c r="N115" s="28">
        <v>2879</v>
      </c>
      <c r="O115" s="28" t="str">
        <f>IFERROR(VLOOKUP(N115, 'SIC &amp; NAICS Codes'!A:B, 2, FALSE), "")</f>
        <v>Pesticides and Agricultural Chemicals, NEC</v>
      </c>
      <c r="S115" s="28">
        <v>4.9659863945578202</v>
      </c>
      <c r="T115" s="315">
        <f>_xlfn.MAXIFS('Raw Period DMR Data'!$O:$O,'Raw Period DMR Data'!$A:$A,'Raw Annual DMR Data'!B115,'Raw Period DMR Data'!$C:$C,X115)/S115</f>
        <v>0</v>
      </c>
      <c r="U115" s="28" t="str">
        <f>+IF(COUNTIFS('Raw Period DMR Data'!$A:$A,B115, 'Raw Period DMR Data'!C:C,'Raw Annual DMR Data'!X115, 'Raw Period DMR Data'!M:M, "&gt;0")&gt;0,_xlfn.MAXIFS('Raw Period DMR Data'!M:M,'Raw Period DMR Data'!$A:$A,'Raw Annual DMR Data'!B115,'Raw Period DMR Data'!C:C,'Raw Annual DMR Data'!X115), "N/A - Period DMR Data Not Available")</f>
        <v>N/A - Period DMR Data Not Available</v>
      </c>
      <c r="V115" s="28" t="str" cm="1">
        <f t="array" ref="V115">IFERROR(INDEX('Raw Period DMR Data'!N:N,MATCH(1,(B115='Raw Period DMR Data'!$A:$A)*(U115='Raw Period DMR Data'!M:M)*(X115='Raw Period DMR Data'!C:C),0),1), "N/A")</f>
        <v>N/A</v>
      </c>
      <c r="W115" s="28" t="s">
        <v>1463</v>
      </c>
      <c r="X115" s="28" t="s">
        <v>786</v>
      </c>
      <c r="Y115" s="28" t="s">
        <v>787</v>
      </c>
      <c r="Z115" s="61">
        <v>10300101003208</v>
      </c>
    </row>
    <row r="116" spans="1:29" x14ac:dyDescent="0.25">
      <c r="A116" s="61">
        <v>110000443226</v>
      </c>
      <c r="B116" s="28">
        <v>2020</v>
      </c>
      <c r="C116" s="68">
        <f t="shared" si="1"/>
        <v>43831</v>
      </c>
      <c r="D116" s="28" t="s">
        <v>110</v>
      </c>
      <c r="E116" s="28" t="s">
        <v>351</v>
      </c>
      <c r="F116" s="28" t="s">
        <v>352</v>
      </c>
      <c r="G116" s="28" t="s">
        <v>349</v>
      </c>
      <c r="H116" s="28">
        <v>64120</v>
      </c>
      <c r="I116" s="28">
        <v>39.121471999999997</v>
      </c>
      <c r="J116" s="28">
        <v>-94.473416999999998</v>
      </c>
      <c r="K116" s="28" t="s">
        <v>353</v>
      </c>
      <c r="L116" s="61">
        <v>110000443226</v>
      </c>
      <c r="M116" s="28" t="s">
        <v>254</v>
      </c>
      <c r="N116" s="28">
        <v>2879</v>
      </c>
      <c r="O116" s="28" t="str">
        <f>IFERROR(VLOOKUP(N116, 'SIC &amp; NAICS Codes'!A:B, 2, FALSE), "")</f>
        <v>Pesticides and Agricultural Chemicals, NEC</v>
      </c>
      <c r="S116" s="28">
        <v>3.3106575963718798</v>
      </c>
      <c r="T116" s="315">
        <f>_xlfn.MAXIFS('Raw Period DMR Data'!$O:$O,'Raw Period DMR Data'!$A:$A,'Raw Annual DMR Data'!B116,'Raw Period DMR Data'!$C:$C,X116)/S116</f>
        <v>0</v>
      </c>
      <c r="U116" s="28" t="str">
        <f>+IF(COUNTIFS('Raw Period DMR Data'!$A:$A,B116, 'Raw Period DMR Data'!C:C,'Raw Annual DMR Data'!X116, 'Raw Period DMR Data'!M:M, "&gt;0")&gt;0,_xlfn.MAXIFS('Raw Period DMR Data'!M:M,'Raw Period DMR Data'!$A:$A,'Raw Annual DMR Data'!B116,'Raw Period DMR Data'!C:C,'Raw Annual DMR Data'!X116), "N/A - Period DMR Data Not Available")</f>
        <v>N/A - Period DMR Data Not Available</v>
      </c>
      <c r="V116" s="28" t="str" cm="1">
        <f t="array" ref="V116">IFERROR(INDEX('Raw Period DMR Data'!N:N,MATCH(1,(B116='Raw Period DMR Data'!$A:$A)*(U116='Raw Period DMR Data'!M:M)*(X116='Raw Period DMR Data'!C:C),0),1), "N/A")</f>
        <v>N/A</v>
      </c>
      <c r="W116" s="28" t="s">
        <v>1463</v>
      </c>
      <c r="X116" s="28" t="s">
        <v>786</v>
      </c>
      <c r="Y116" s="28" t="s">
        <v>787</v>
      </c>
      <c r="Z116" s="61">
        <v>10300101003208</v>
      </c>
    </row>
    <row r="117" spans="1:29" x14ac:dyDescent="0.25">
      <c r="A117" s="61">
        <v>110000463178</v>
      </c>
      <c r="B117" s="28">
        <v>2015</v>
      </c>
      <c r="C117" s="68">
        <f t="shared" si="1"/>
        <v>42005</v>
      </c>
      <c r="D117" s="28" t="s">
        <v>995</v>
      </c>
      <c r="E117" s="28" t="s">
        <v>1524</v>
      </c>
      <c r="F117" s="28" t="s">
        <v>615</v>
      </c>
      <c r="G117" s="28" t="s">
        <v>362</v>
      </c>
      <c r="H117" s="28">
        <v>77520</v>
      </c>
      <c r="I117" s="28">
        <v>29.739339999999999</v>
      </c>
      <c r="J117" s="28">
        <v>-95.022403999999995</v>
      </c>
      <c r="K117" s="28" t="s">
        <v>705</v>
      </c>
      <c r="L117" s="61">
        <v>110000463178</v>
      </c>
      <c r="M117" s="28" t="s">
        <v>265</v>
      </c>
      <c r="N117" s="28">
        <v>2869</v>
      </c>
      <c r="O117" s="28" t="str">
        <f>IFERROR(VLOOKUP(N117, 'SIC &amp; NAICS Codes'!A:B, 2, FALSE), "")</f>
        <v>Industrial Organic Chemicals, NEC (aliphatics)</v>
      </c>
      <c r="S117" s="28">
        <v>16.785528750000001</v>
      </c>
      <c r="T117" s="315">
        <f>_xlfn.MAXIFS('Raw Period DMR Data'!$O:$O,'Raw Period DMR Data'!$A:$A,'Raw Annual DMR Data'!B117,'Raw Period DMR Data'!$C:$C,X117)/S117</f>
        <v>0</v>
      </c>
      <c r="U117" s="28" t="str">
        <f>+IF(COUNTIFS('Raw Period DMR Data'!$A:$A,B117, 'Raw Period DMR Data'!C:C,'Raw Annual DMR Data'!X117, 'Raw Period DMR Data'!M:M, "&gt;0")&gt;0,_xlfn.MAXIFS('Raw Period DMR Data'!M:M,'Raw Period DMR Data'!$A:$A,'Raw Annual DMR Data'!B117,'Raw Period DMR Data'!C:C,'Raw Annual DMR Data'!X117), "N/A - Period DMR Data Not Available")</f>
        <v>N/A - Period DMR Data Not Available</v>
      </c>
      <c r="V117" s="28" t="str" cm="1">
        <f t="array" ref="V117">IFERROR(INDEX('Raw Period DMR Data'!N:N,MATCH(1,(B117='Raw Period DMR Data'!$A:$A)*(U117='Raw Period DMR Data'!M:M)*(X117='Raw Period DMR Data'!C:C),0),1), "N/A")</f>
        <v>N/A</v>
      </c>
      <c r="W117" s="28" t="s">
        <v>1463</v>
      </c>
      <c r="X117" s="28" t="s">
        <v>1525</v>
      </c>
      <c r="Y117" s="28" t="s">
        <v>1526</v>
      </c>
      <c r="Z117" s="28">
        <v>12040104000831</v>
      </c>
      <c r="AA117" s="28"/>
      <c r="AB117" s="28" t="s">
        <v>1465</v>
      </c>
      <c r="AC117" s="28" t="s">
        <v>1466</v>
      </c>
    </row>
    <row r="118" spans="1:29" x14ac:dyDescent="0.25">
      <c r="A118" s="61">
        <v>110055992993</v>
      </c>
      <c r="B118" s="28">
        <v>2020</v>
      </c>
      <c r="C118" s="68">
        <f t="shared" si="1"/>
        <v>43831</v>
      </c>
      <c r="D118" s="28" t="s">
        <v>996</v>
      </c>
      <c r="E118" s="28" t="s">
        <v>1527</v>
      </c>
      <c r="F118" s="28" t="s">
        <v>388</v>
      </c>
      <c r="G118" s="28" t="s">
        <v>366</v>
      </c>
      <c r="H118" s="28">
        <v>92223</v>
      </c>
      <c r="I118" s="28">
        <v>33.926245999999999</v>
      </c>
      <c r="J118" s="28">
        <v>-116.992552</v>
      </c>
      <c r="L118" s="61">
        <v>110055992993</v>
      </c>
      <c r="M118" s="28" t="s">
        <v>263</v>
      </c>
      <c r="N118" s="28">
        <v>4952</v>
      </c>
      <c r="O118" s="28" t="str">
        <f>IFERROR(VLOOKUP(N118, 'SIC &amp; NAICS Codes'!A:B, 2, FALSE), "")</f>
        <v>Sewerage Systems</v>
      </c>
      <c r="S118" s="28">
        <v>0.14352663225000001</v>
      </c>
      <c r="T118" s="315">
        <f>_xlfn.MAXIFS('Raw Period DMR Data'!$O:$O,'Raw Period DMR Data'!$A:$A,'Raw Annual DMR Data'!B118,'Raw Period DMR Data'!$C:$C,X118)/S118</f>
        <v>0</v>
      </c>
      <c r="U118" s="28" t="str">
        <f>+IF(COUNTIFS('Raw Period DMR Data'!$A:$A,B118, 'Raw Period DMR Data'!C:C,'Raw Annual DMR Data'!X118, 'Raw Period DMR Data'!M:M, "&gt;0")&gt;0,_xlfn.MAXIFS('Raw Period DMR Data'!M:M,'Raw Period DMR Data'!$A:$A,'Raw Annual DMR Data'!B118,'Raw Period DMR Data'!C:C,'Raw Annual DMR Data'!X118), "N/A - Period DMR Data Not Available")</f>
        <v>N/A - Period DMR Data Not Available</v>
      </c>
      <c r="V118" s="28" t="str" cm="1">
        <f t="array" ref="V118">IFERROR(INDEX('Raw Period DMR Data'!N:N,MATCH(1,(B118='Raw Period DMR Data'!$A:$A)*(U118='Raw Period DMR Data'!M:M)*(X118='Raw Period DMR Data'!C:C),0),1), "N/A")</f>
        <v>N/A</v>
      </c>
      <c r="W118" s="28" t="s">
        <v>1463</v>
      </c>
      <c r="X118" s="28" t="s">
        <v>1528</v>
      </c>
      <c r="Y118" s="28" t="s">
        <v>1529</v>
      </c>
      <c r="Z118" s="28">
        <v>18070203002360</v>
      </c>
      <c r="AA118" s="28"/>
      <c r="AB118" s="28" t="s">
        <v>1465</v>
      </c>
      <c r="AC118" s="28" t="s">
        <v>263</v>
      </c>
    </row>
    <row r="119" spans="1:29" x14ac:dyDescent="0.25">
      <c r="A119" s="61">
        <v>110004087880</v>
      </c>
      <c r="B119" s="28">
        <v>2019</v>
      </c>
      <c r="C119" s="68">
        <f t="shared" si="1"/>
        <v>43466</v>
      </c>
      <c r="D119" s="28" t="s">
        <v>997</v>
      </c>
      <c r="E119" s="28" t="s">
        <v>1530</v>
      </c>
      <c r="F119" s="28" t="s">
        <v>998</v>
      </c>
      <c r="G119" s="28" t="s">
        <v>999</v>
      </c>
      <c r="H119" s="28" t="s">
        <v>1531</v>
      </c>
      <c r="I119" s="28">
        <v>43.270670000000003</v>
      </c>
      <c r="J119" s="28">
        <v>-71.590410000000006</v>
      </c>
      <c r="L119" s="61">
        <v>110004087880</v>
      </c>
      <c r="M119" s="28" t="s">
        <v>265</v>
      </c>
      <c r="O119" s="28" t="str">
        <f>IFERROR(VLOOKUP(N119, 'SIC &amp; NAICS Codes'!A:B, 2, FALSE), "")</f>
        <v/>
      </c>
      <c r="S119" s="28">
        <v>6.6567552000000004E-3</v>
      </c>
      <c r="T119" s="315">
        <f>_xlfn.MAXIFS('Raw Period DMR Data'!$O:$O,'Raw Period DMR Data'!$A:$A,'Raw Annual DMR Data'!B119,'Raw Period DMR Data'!$C:$C,X119)/S119</f>
        <v>0</v>
      </c>
      <c r="U119" s="28" t="str">
        <f>+IF(COUNTIFS('Raw Period DMR Data'!$A:$A,B119, 'Raw Period DMR Data'!C:C,'Raw Annual DMR Data'!X119, 'Raw Period DMR Data'!M:M, "&gt;0")&gt;0,_xlfn.MAXIFS('Raw Period DMR Data'!M:M,'Raw Period DMR Data'!$A:$A,'Raw Annual DMR Data'!B119,'Raw Period DMR Data'!C:C,'Raw Annual DMR Data'!X119), "N/A - Period DMR Data Not Available")</f>
        <v>N/A - Period DMR Data Not Available</v>
      </c>
      <c r="V119" s="28" t="str" cm="1">
        <f t="array" ref="V119">IFERROR(INDEX('Raw Period DMR Data'!N:N,MATCH(1,(B119='Raw Period DMR Data'!$A:$A)*(U119='Raw Period DMR Data'!M:M)*(X119='Raw Period DMR Data'!C:C),0),1), "N/A")</f>
        <v>N/A</v>
      </c>
      <c r="W119" s="28" t="s">
        <v>1463</v>
      </c>
      <c r="X119" s="28" t="s">
        <v>1532</v>
      </c>
      <c r="Y119" s="28" t="s">
        <v>1533</v>
      </c>
      <c r="Z119" s="28">
        <v>1070006001950</v>
      </c>
      <c r="AA119" s="28"/>
      <c r="AB119" s="28" t="s">
        <v>1465</v>
      </c>
      <c r="AC119" s="28" t="s">
        <v>1466</v>
      </c>
    </row>
    <row r="120" spans="1:29" x14ac:dyDescent="0.25">
      <c r="A120" s="61">
        <v>110004087880</v>
      </c>
      <c r="B120" s="28">
        <v>2020</v>
      </c>
      <c r="C120" s="68">
        <f t="shared" si="1"/>
        <v>43831</v>
      </c>
      <c r="D120" s="28" t="s">
        <v>997</v>
      </c>
      <c r="E120" s="28" t="s">
        <v>1530</v>
      </c>
      <c r="F120" s="28" t="s">
        <v>998</v>
      </c>
      <c r="G120" s="28" t="s">
        <v>999</v>
      </c>
      <c r="H120" s="28" t="s">
        <v>1531</v>
      </c>
      <c r="I120" s="28">
        <v>43.270670000000003</v>
      </c>
      <c r="J120" s="28">
        <v>-71.590410000000006</v>
      </c>
      <c r="L120" s="61">
        <v>110004087880</v>
      </c>
      <c r="M120" s="28" t="s">
        <v>265</v>
      </c>
      <c r="O120" s="28" t="str">
        <f>IFERROR(VLOOKUP(N120, 'SIC &amp; NAICS Codes'!A:B, 2, FALSE), "")</f>
        <v/>
      </c>
      <c r="S120" s="28">
        <v>6.653791545E-3</v>
      </c>
      <c r="T120" s="315">
        <f>_xlfn.MAXIFS('Raw Period DMR Data'!$O:$O,'Raw Period DMR Data'!$A:$A,'Raw Annual DMR Data'!B120,'Raw Period DMR Data'!$C:$C,X120)/S120</f>
        <v>0</v>
      </c>
      <c r="U120" s="28" t="str">
        <f>+IF(COUNTIFS('Raw Period DMR Data'!$A:$A,B120, 'Raw Period DMR Data'!C:C,'Raw Annual DMR Data'!X120, 'Raw Period DMR Data'!M:M, "&gt;0")&gt;0,_xlfn.MAXIFS('Raw Period DMR Data'!M:M,'Raw Period DMR Data'!$A:$A,'Raw Annual DMR Data'!B120,'Raw Period DMR Data'!C:C,'Raw Annual DMR Data'!X120), "N/A - Period DMR Data Not Available")</f>
        <v>N/A - Period DMR Data Not Available</v>
      </c>
      <c r="V120" s="28" t="str" cm="1">
        <f t="array" ref="V120">IFERROR(INDEX('Raw Period DMR Data'!N:N,MATCH(1,(B120='Raw Period DMR Data'!$A:$A)*(U120='Raw Period DMR Data'!M:M)*(X120='Raw Period DMR Data'!C:C),0),1), "N/A")</f>
        <v>N/A</v>
      </c>
      <c r="W120" s="28" t="s">
        <v>1463</v>
      </c>
      <c r="X120" s="28" t="s">
        <v>1532</v>
      </c>
      <c r="Y120" s="28" t="s">
        <v>1533</v>
      </c>
      <c r="Z120" s="28">
        <v>1070006001950</v>
      </c>
      <c r="AA120" s="28"/>
      <c r="AB120" s="28" t="s">
        <v>1465</v>
      </c>
      <c r="AC120" s="28" t="s">
        <v>1466</v>
      </c>
    </row>
    <row r="121" spans="1:29" x14ac:dyDescent="0.25">
      <c r="A121" s="61">
        <v>110001855635</v>
      </c>
      <c r="B121" s="28">
        <v>2020</v>
      </c>
      <c r="C121" s="68">
        <f t="shared" si="1"/>
        <v>43831</v>
      </c>
      <c r="D121" s="28" t="s">
        <v>1000</v>
      </c>
      <c r="E121" s="28" t="s">
        <v>1534</v>
      </c>
      <c r="F121" s="28" t="s">
        <v>1001</v>
      </c>
      <c r="G121" s="28" t="s">
        <v>324</v>
      </c>
      <c r="H121" s="28">
        <v>42025</v>
      </c>
      <c r="I121" s="28">
        <v>36.866140000000001</v>
      </c>
      <c r="J121" s="28">
        <v>-88.342470000000006</v>
      </c>
      <c r="L121" s="61">
        <v>110001855635</v>
      </c>
      <c r="M121" s="28" t="s">
        <v>263</v>
      </c>
      <c r="N121" s="28">
        <v>4952</v>
      </c>
      <c r="O121" s="28" t="str">
        <f>IFERROR(VLOOKUP(N121, 'SIC &amp; NAICS Codes'!A:B, 2, FALSE), "")</f>
        <v>Sewerage Systems</v>
      </c>
      <c r="S121" s="28">
        <v>2.8873872500000002</v>
      </c>
      <c r="T121" s="315">
        <f>_xlfn.MAXIFS('Raw Period DMR Data'!$O:$O,'Raw Period DMR Data'!$A:$A,'Raw Annual DMR Data'!B121,'Raw Period DMR Data'!$C:$C,X121)/S121</f>
        <v>0</v>
      </c>
      <c r="U121" s="28" t="str">
        <f>+IF(COUNTIFS('Raw Period DMR Data'!$A:$A,B121, 'Raw Period DMR Data'!C:C,'Raw Annual DMR Data'!X121, 'Raw Period DMR Data'!M:M, "&gt;0")&gt;0,_xlfn.MAXIFS('Raw Period DMR Data'!M:M,'Raw Period DMR Data'!$A:$A,'Raw Annual DMR Data'!B121,'Raw Period DMR Data'!C:C,'Raw Annual DMR Data'!X121), "N/A - Period DMR Data Not Available")</f>
        <v>N/A - Period DMR Data Not Available</v>
      </c>
      <c r="V121" s="28" t="str" cm="1">
        <f t="array" ref="V121">IFERROR(INDEX('Raw Period DMR Data'!N:N,MATCH(1,(B121='Raw Period DMR Data'!$A:$A)*(U121='Raw Period DMR Data'!M:M)*(X121='Raw Period DMR Data'!C:C),0),1), "N/A")</f>
        <v>N/A</v>
      </c>
      <c r="W121" s="28" t="s">
        <v>1463</v>
      </c>
      <c r="X121" s="28" t="s">
        <v>1535</v>
      </c>
      <c r="Y121" s="28" t="s">
        <v>1536</v>
      </c>
      <c r="Z121" s="28">
        <v>6040006000045</v>
      </c>
      <c r="AA121" s="28"/>
      <c r="AB121" s="28" t="s">
        <v>1465</v>
      </c>
      <c r="AC121" s="28" t="s">
        <v>263</v>
      </c>
    </row>
    <row r="122" spans="1:29" x14ac:dyDescent="0.25">
      <c r="A122" s="61">
        <v>110000597355</v>
      </c>
      <c r="B122" s="28">
        <v>2015</v>
      </c>
      <c r="C122" s="68">
        <f t="shared" si="1"/>
        <v>42005</v>
      </c>
      <c r="D122" s="28" t="s">
        <v>1002</v>
      </c>
      <c r="E122" s="28" t="s">
        <v>1537</v>
      </c>
      <c r="F122" s="28" t="s">
        <v>1003</v>
      </c>
      <c r="G122" s="28" t="s">
        <v>303</v>
      </c>
      <c r="H122" s="28">
        <v>70726</v>
      </c>
      <c r="I122" s="28">
        <v>30.486615</v>
      </c>
      <c r="J122" s="28">
        <v>-90.925387999999998</v>
      </c>
      <c r="K122" s="28" t="s">
        <v>706</v>
      </c>
      <c r="L122" s="61">
        <v>110000597355</v>
      </c>
      <c r="M122" s="28" t="s">
        <v>265</v>
      </c>
      <c r="N122" s="28">
        <v>2899</v>
      </c>
      <c r="O122" s="28" t="str">
        <f>IFERROR(VLOOKUP(N122, 'SIC &amp; NAICS Codes'!A:B, 2, FALSE), "")</f>
        <v>Chemicals and Chemical Preparations, NEC (table salt)</v>
      </c>
      <c r="S122" s="28">
        <v>1.6553287981859399E-2</v>
      </c>
      <c r="T122" s="315">
        <f>_xlfn.MAXIFS('Raw Period DMR Data'!$O:$O,'Raw Period DMR Data'!$A:$A,'Raw Annual DMR Data'!B122,'Raw Period DMR Data'!$C:$C,X122)/S122</f>
        <v>0</v>
      </c>
      <c r="U122" s="28" t="str">
        <f>+IF(COUNTIFS('Raw Period DMR Data'!$A:$A,B122, 'Raw Period DMR Data'!C:C,'Raw Annual DMR Data'!X122, 'Raw Period DMR Data'!M:M, "&gt;0")&gt;0,_xlfn.MAXIFS('Raw Period DMR Data'!M:M,'Raw Period DMR Data'!$A:$A,'Raw Annual DMR Data'!B122,'Raw Period DMR Data'!C:C,'Raw Annual DMR Data'!X122), "N/A - Period DMR Data Not Available")</f>
        <v>N/A - Period DMR Data Not Available</v>
      </c>
      <c r="V122" s="28" t="str" cm="1">
        <f t="array" ref="V122">IFERROR(INDEX('Raw Period DMR Data'!N:N,MATCH(1,(B122='Raw Period DMR Data'!$A:$A)*(U122='Raw Period DMR Data'!M:M)*(X122='Raw Period DMR Data'!C:C),0),1), "N/A")</f>
        <v>N/A</v>
      </c>
      <c r="W122" s="28" t="s">
        <v>1463</v>
      </c>
      <c r="X122" s="28" t="s">
        <v>1538</v>
      </c>
      <c r="Y122" s="28" t="s">
        <v>1539</v>
      </c>
      <c r="Z122" s="28">
        <v>8070202000867</v>
      </c>
      <c r="AA122" s="28"/>
      <c r="AB122" s="28" t="s">
        <v>1465</v>
      </c>
      <c r="AC122" s="28" t="s">
        <v>1466</v>
      </c>
    </row>
    <row r="123" spans="1:29" x14ac:dyDescent="0.25">
      <c r="A123" s="61">
        <v>110000597355</v>
      </c>
      <c r="B123" s="28">
        <v>2016</v>
      </c>
      <c r="C123" s="68">
        <f t="shared" si="1"/>
        <v>42370</v>
      </c>
      <c r="D123" s="28" t="s">
        <v>1002</v>
      </c>
      <c r="E123" s="28" t="s">
        <v>1537</v>
      </c>
      <c r="F123" s="28" t="s">
        <v>1003</v>
      </c>
      <c r="G123" s="28" t="s">
        <v>303</v>
      </c>
      <c r="H123" s="28">
        <v>70726</v>
      </c>
      <c r="I123" s="28">
        <v>30.486615</v>
      </c>
      <c r="J123" s="28">
        <v>-90.925387999999998</v>
      </c>
      <c r="K123" s="28" t="s">
        <v>706</v>
      </c>
      <c r="L123" s="61">
        <v>110000597355</v>
      </c>
      <c r="M123" s="28" t="s">
        <v>265</v>
      </c>
      <c r="N123" s="28">
        <v>2899</v>
      </c>
      <c r="O123" s="28" t="str">
        <f>IFERROR(VLOOKUP(N123, 'SIC &amp; NAICS Codes'!A:B, 2, FALSE), "")</f>
        <v>Chemicals and Chemical Preparations, NEC (table salt)</v>
      </c>
      <c r="S123" s="28">
        <v>2.4829931972789099E-2</v>
      </c>
      <c r="T123" s="315">
        <f>_xlfn.MAXIFS('Raw Period DMR Data'!$O:$O,'Raw Period DMR Data'!$A:$A,'Raw Annual DMR Data'!B123,'Raw Period DMR Data'!$C:$C,X123)/S123</f>
        <v>0</v>
      </c>
      <c r="U123" s="28" t="str">
        <f>+IF(COUNTIFS('Raw Period DMR Data'!$A:$A,B123, 'Raw Period DMR Data'!C:C,'Raw Annual DMR Data'!X123, 'Raw Period DMR Data'!M:M, "&gt;0")&gt;0,_xlfn.MAXIFS('Raw Period DMR Data'!M:M,'Raw Period DMR Data'!$A:$A,'Raw Annual DMR Data'!B123,'Raw Period DMR Data'!C:C,'Raw Annual DMR Data'!X123), "N/A - Period DMR Data Not Available")</f>
        <v>N/A - Period DMR Data Not Available</v>
      </c>
      <c r="V123" s="28" t="str" cm="1">
        <f t="array" ref="V123">IFERROR(INDEX('Raw Period DMR Data'!N:N,MATCH(1,(B123='Raw Period DMR Data'!$A:$A)*(U123='Raw Period DMR Data'!M:M)*(X123='Raw Period DMR Data'!C:C),0),1), "N/A")</f>
        <v>N/A</v>
      </c>
      <c r="W123" s="28" t="s">
        <v>1463</v>
      </c>
      <c r="X123" s="28" t="s">
        <v>1538</v>
      </c>
      <c r="Y123" s="28" t="s">
        <v>1539</v>
      </c>
      <c r="Z123" s="28">
        <v>8070202000867</v>
      </c>
      <c r="AA123" s="28"/>
      <c r="AB123" s="28" t="s">
        <v>1465</v>
      </c>
      <c r="AC123" s="28" t="s">
        <v>1466</v>
      </c>
    </row>
    <row r="124" spans="1:29" x14ac:dyDescent="0.25">
      <c r="A124" s="61">
        <v>110000597355</v>
      </c>
      <c r="B124" s="28">
        <v>2017</v>
      </c>
      <c r="C124" s="68">
        <f t="shared" si="1"/>
        <v>42736</v>
      </c>
      <c r="D124" s="28" t="s">
        <v>1002</v>
      </c>
      <c r="E124" s="28" t="s">
        <v>1537</v>
      </c>
      <c r="F124" s="28" t="s">
        <v>1003</v>
      </c>
      <c r="G124" s="28" t="s">
        <v>303</v>
      </c>
      <c r="H124" s="28">
        <v>70726</v>
      </c>
      <c r="I124" s="28">
        <v>30.486615</v>
      </c>
      <c r="J124" s="28">
        <v>-90.925387999999998</v>
      </c>
      <c r="K124" s="28" t="s">
        <v>706</v>
      </c>
      <c r="L124" s="61">
        <v>110000597355</v>
      </c>
      <c r="M124" s="28" t="s">
        <v>265</v>
      </c>
      <c r="N124" s="28">
        <v>2899</v>
      </c>
      <c r="O124" s="28" t="str">
        <f>IFERROR(VLOOKUP(N124, 'SIC &amp; NAICS Codes'!A:B, 2, FALSE), "")</f>
        <v>Chemicals and Chemical Preparations, NEC (table salt)</v>
      </c>
      <c r="S124" s="28">
        <v>1.6553287981859399E-2</v>
      </c>
      <c r="T124" s="315">
        <f>_xlfn.MAXIFS('Raw Period DMR Data'!$O:$O,'Raw Period DMR Data'!$A:$A,'Raw Annual DMR Data'!B124,'Raw Period DMR Data'!$C:$C,X124)/S124</f>
        <v>0</v>
      </c>
      <c r="U124" s="28" t="str">
        <f>+IF(COUNTIFS('Raw Period DMR Data'!$A:$A,B124, 'Raw Period DMR Data'!C:C,'Raw Annual DMR Data'!X124, 'Raw Period DMR Data'!M:M, "&gt;0")&gt;0,_xlfn.MAXIFS('Raw Period DMR Data'!M:M,'Raw Period DMR Data'!$A:$A,'Raw Annual DMR Data'!B124,'Raw Period DMR Data'!C:C,'Raw Annual DMR Data'!X124), "N/A - Period DMR Data Not Available")</f>
        <v>N/A - Period DMR Data Not Available</v>
      </c>
      <c r="V124" s="28" t="str" cm="1">
        <f t="array" ref="V124">IFERROR(INDEX('Raw Period DMR Data'!N:N,MATCH(1,(B124='Raw Period DMR Data'!$A:$A)*(U124='Raw Period DMR Data'!M:M)*(X124='Raw Period DMR Data'!C:C),0),1), "N/A")</f>
        <v>N/A</v>
      </c>
      <c r="W124" s="28" t="s">
        <v>1463</v>
      </c>
      <c r="X124" s="28" t="s">
        <v>1538</v>
      </c>
      <c r="Y124" s="28" t="s">
        <v>1539</v>
      </c>
      <c r="Z124" s="28">
        <v>8070202000867</v>
      </c>
      <c r="AA124" s="28"/>
      <c r="AB124" s="28" t="s">
        <v>1465</v>
      </c>
      <c r="AC124" s="28" t="s">
        <v>1466</v>
      </c>
    </row>
    <row r="125" spans="1:29" x14ac:dyDescent="0.25">
      <c r="A125" s="61">
        <v>110000597355</v>
      </c>
      <c r="B125" s="28">
        <v>2019</v>
      </c>
      <c r="C125" s="68">
        <f t="shared" si="1"/>
        <v>43466</v>
      </c>
      <c r="D125" s="28" t="s">
        <v>1002</v>
      </c>
      <c r="E125" s="28" t="s">
        <v>1537</v>
      </c>
      <c r="F125" s="28" t="s">
        <v>1003</v>
      </c>
      <c r="G125" s="28" t="s">
        <v>303</v>
      </c>
      <c r="H125" s="28">
        <v>70726</v>
      </c>
      <c r="I125" s="28">
        <v>30.486615</v>
      </c>
      <c r="J125" s="28">
        <v>-90.925387999999998</v>
      </c>
      <c r="K125" s="28" t="s">
        <v>706</v>
      </c>
      <c r="L125" s="61">
        <v>110000597355</v>
      </c>
      <c r="M125" s="28" t="s">
        <v>265</v>
      </c>
      <c r="N125" s="28">
        <v>2899</v>
      </c>
      <c r="O125" s="28" t="str">
        <f>IFERROR(VLOOKUP(N125, 'SIC &amp; NAICS Codes'!A:B, 2, FALSE), "")</f>
        <v>Chemicals and Chemical Preparations, NEC (table salt)</v>
      </c>
      <c r="S125" s="28">
        <v>3.3106575963718798E-2</v>
      </c>
      <c r="T125" s="315">
        <f>_xlfn.MAXIFS('Raw Period DMR Data'!$O:$O,'Raw Period DMR Data'!$A:$A,'Raw Annual DMR Data'!B125,'Raw Period DMR Data'!$C:$C,X125)/S125</f>
        <v>0</v>
      </c>
      <c r="U125" s="28" t="str">
        <f>+IF(COUNTIFS('Raw Period DMR Data'!$A:$A,B125, 'Raw Period DMR Data'!C:C,'Raw Annual DMR Data'!X125, 'Raw Period DMR Data'!M:M, "&gt;0")&gt;0,_xlfn.MAXIFS('Raw Period DMR Data'!M:M,'Raw Period DMR Data'!$A:$A,'Raw Annual DMR Data'!B125,'Raw Period DMR Data'!C:C,'Raw Annual DMR Data'!X125), "N/A - Period DMR Data Not Available")</f>
        <v>N/A - Period DMR Data Not Available</v>
      </c>
      <c r="V125" s="28" t="str" cm="1">
        <f t="array" ref="V125">IFERROR(INDEX('Raw Period DMR Data'!N:N,MATCH(1,(B125='Raw Period DMR Data'!$A:$A)*(U125='Raw Period DMR Data'!M:M)*(X125='Raw Period DMR Data'!C:C),0),1), "N/A")</f>
        <v>N/A</v>
      </c>
      <c r="W125" s="28" t="s">
        <v>1463</v>
      </c>
      <c r="X125" s="28" t="s">
        <v>1538</v>
      </c>
      <c r="Y125" s="28" t="s">
        <v>1539</v>
      </c>
      <c r="Z125" s="28">
        <v>8070202000867</v>
      </c>
      <c r="AA125" s="28"/>
      <c r="AB125" s="28" t="s">
        <v>1465</v>
      </c>
      <c r="AC125" s="28" t="s">
        <v>1466</v>
      </c>
    </row>
    <row r="126" spans="1:29" x14ac:dyDescent="0.25">
      <c r="A126" s="61">
        <v>110000597355</v>
      </c>
      <c r="B126" s="28">
        <v>2020</v>
      </c>
      <c r="C126" s="68">
        <f t="shared" si="1"/>
        <v>43831</v>
      </c>
      <c r="D126" s="28" t="s">
        <v>1002</v>
      </c>
      <c r="E126" s="28" t="s">
        <v>1537</v>
      </c>
      <c r="F126" s="28" t="s">
        <v>1003</v>
      </c>
      <c r="G126" s="28" t="s">
        <v>303</v>
      </c>
      <c r="H126" s="28">
        <v>70726</v>
      </c>
      <c r="I126" s="28">
        <v>30.486615</v>
      </c>
      <c r="J126" s="28">
        <v>-90.925387999999998</v>
      </c>
      <c r="K126" s="28" t="s">
        <v>706</v>
      </c>
      <c r="L126" s="61">
        <v>110000597355</v>
      </c>
      <c r="M126" s="28" t="s">
        <v>265</v>
      </c>
      <c r="N126" s="28">
        <v>2899</v>
      </c>
      <c r="O126" s="28" t="str">
        <f>IFERROR(VLOOKUP(N126, 'SIC &amp; NAICS Codes'!A:B, 2, FALSE), "")</f>
        <v>Chemicals and Chemical Preparations, NEC (table salt)</v>
      </c>
      <c r="S126" s="28">
        <v>3.3106575963718798E-2</v>
      </c>
      <c r="T126" s="315">
        <f>_xlfn.MAXIFS('Raw Period DMR Data'!$O:$O,'Raw Period DMR Data'!$A:$A,'Raw Annual DMR Data'!B126,'Raw Period DMR Data'!$C:$C,X126)/S126</f>
        <v>0</v>
      </c>
      <c r="U126" s="28" t="str">
        <f>+IF(COUNTIFS('Raw Period DMR Data'!$A:$A,B126, 'Raw Period DMR Data'!C:C,'Raw Annual DMR Data'!X126, 'Raw Period DMR Data'!M:M, "&gt;0")&gt;0,_xlfn.MAXIFS('Raw Period DMR Data'!M:M,'Raw Period DMR Data'!$A:$A,'Raw Annual DMR Data'!B126,'Raw Period DMR Data'!C:C,'Raw Annual DMR Data'!X126), "N/A - Period DMR Data Not Available")</f>
        <v>N/A - Period DMR Data Not Available</v>
      </c>
      <c r="V126" s="28" t="str" cm="1">
        <f t="array" ref="V126">IFERROR(INDEX('Raw Period DMR Data'!N:N,MATCH(1,(B126='Raw Period DMR Data'!$A:$A)*(U126='Raw Period DMR Data'!M:M)*(X126='Raw Period DMR Data'!C:C),0),1), "N/A")</f>
        <v>N/A</v>
      </c>
      <c r="W126" s="28" t="s">
        <v>1463</v>
      </c>
      <c r="X126" s="28" t="s">
        <v>1538</v>
      </c>
      <c r="Y126" s="28" t="s">
        <v>1539</v>
      </c>
      <c r="Z126" s="28">
        <v>8070202000867</v>
      </c>
      <c r="AA126" s="28"/>
      <c r="AB126" s="28" t="s">
        <v>1465</v>
      </c>
      <c r="AC126" s="28" t="s">
        <v>1466</v>
      </c>
    </row>
    <row r="127" spans="1:29" x14ac:dyDescent="0.25">
      <c r="A127" s="61">
        <v>110040000398</v>
      </c>
      <c r="B127" s="28">
        <v>2020</v>
      </c>
      <c r="C127" s="68">
        <f t="shared" si="1"/>
        <v>43831</v>
      </c>
      <c r="D127" s="28" t="s">
        <v>1004</v>
      </c>
      <c r="E127" s="28" t="s">
        <v>1540</v>
      </c>
      <c r="F127" s="28" t="s">
        <v>608</v>
      </c>
      <c r="G127" s="28" t="s">
        <v>324</v>
      </c>
      <c r="H127" s="28">
        <v>40403</v>
      </c>
      <c r="I127" s="28">
        <v>37.608496000000002</v>
      </c>
      <c r="J127" s="28">
        <v>-84.287074000000004</v>
      </c>
      <c r="L127" s="61">
        <v>110040000398</v>
      </c>
      <c r="M127" s="28" t="s">
        <v>263</v>
      </c>
      <c r="N127" s="28">
        <v>4952</v>
      </c>
      <c r="O127" s="28" t="str">
        <f>IFERROR(VLOOKUP(N127, 'SIC &amp; NAICS Codes'!A:B, 2, FALSE), "")</f>
        <v>Sewerage Systems</v>
      </c>
      <c r="S127" s="28">
        <v>2.8480137874999998</v>
      </c>
      <c r="T127" s="315">
        <f>_xlfn.MAXIFS('Raw Period DMR Data'!$O:$O,'Raw Period DMR Data'!$A:$A,'Raw Annual DMR Data'!B127,'Raw Period DMR Data'!$C:$C,X127)/S127</f>
        <v>0</v>
      </c>
      <c r="U127" s="28" t="str">
        <f>+IF(COUNTIFS('Raw Period DMR Data'!$A:$A,B127, 'Raw Period DMR Data'!C:C,'Raw Annual DMR Data'!X127, 'Raw Period DMR Data'!M:M, "&gt;0")&gt;0,_xlfn.MAXIFS('Raw Period DMR Data'!M:M,'Raw Period DMR Data'!$A:$A,'Raw Annual DMR Data'!B127,'Raw Period DMR Data'!C:C,'Raw Annual DMR Data'!X127), "N/A - Period DMR Data Not Available")</f>
        <v>N/A - Period DMR Data Not Available</v>
      </c>
      <c r="V127" s="28" t="str" cm="1">
        <f t="array" ref="V127">IFERROR(INDEX('Raw Period DMR Data'!N:N,MATCH(1,(B127='Raw Period DMR Data'!$A:$A)*(U127='Raw Period DMR Data'!M:M)*(X127='Raw Period DMR Data'!C:C),0),1), "N/A")</f>
        <v>N/A</v>
      </c>
      <c r="W127" s="28" t="s">
        <v>1463</v>
      </c>
      <c r="X127" s="28" t="s">
        <v>1541</v>
      </c>
      <c r="Y127" s="28" t="s">
        <v>1542</v>
      </c>
      <c r="Z127" s="28">
        <v>5100205000154</v>
      </c>
      <c r="AA127" s="28"/>
      <c r="AB127" s="28" t="s">
        <v>1465</v>
      </c>
      <c r="AC127" s="28" t="s">
        <v>263</v>
      </c>
    </row>
    <row r="128" spans="1:29" x14ac:dyDescent="0.25">
      <c r="A128" s="61">
        <v>110029593731</v>
      </c>
      <c r="B128" s="28">
        <v>2019</v>
      </c>
      <c r="C128" s="68">
        <f t="shared" si="1"/>
        <v>43466</v>
      </c>
      <c r="D128" s="28" t="s">
        <v>111</v>
      </c>
      <c r="E128" s="28" t="s">
        <v>355</v>
      </c>
      <c r="F128" s="28" t="s">
        <v>356</v>
      </c>
      <c r="G128" s="28" t="s">
        <v>338</v>
      </c>
      <c r="H128" s="28">
        <v>8010</v>
      </c>
      <c r="I128" s="28">
        <v>40.067799999999998</v>
      </c>
      <c r="J128" s="28">
        <v>-74.923670000000001</v>
      </c>
      <c r="L128" s="61">
        <v>110029593731</v>
      </c>
      <c r="M128" s="28" t="s">
        <v>263</v>
      </c>
      <c r="N128" s="28">
        <v>4952</v>
      </c>
      <c r="O128" s="28" t="str">
        <f>IFERROR(VLOOKUP(N128, 'SIC &amp; NAICS Codes'!A:B, 2, FALSE), "")</f>
        <v>Sewerage Systems</v>
      </c>
      <c r="S128" s="28">
        <v>5.4931360909090898E-2</v>
      </c>
      <c r="T128" s="315">
        <f>_xlfn.MAXIFS('Raw Period DMR Data'!$O:$O,'Raw Period DMR Data'!$A:$A,'Raw Annual DMR Data'!B128,'Raw Period DMR Data'!$C:$C,X128)/S128</f>
        <v>0</v>
      </c>
      <c r="U128" s="28" t="str">
        <f>+IF(COUNTIFS('Raw Period DMR Data'!$A:$A,B128, 'Raw Period DMR Data'!C:C,'Raw Annual DMR Data'!X128, 'Raw Period DMR Data'!M:M, "&gt;0")&gt;0,_xlfn.MAXIFS('Raw Period DMR Data'!M:M,'Raw Period DMR Data'!$A:$A,'Raw Annual DMR Data'!B128,'Raw Period DMR Data'!C:C,'Raw Annual DMR Data'!X128), "N/A - Period DMR Data Not Available")</f>
        <v>N/A - Period DMR Data Not Available</v>
      </c>
      <c r="V128" s="28" t="str" cm="1">
        <f t="array" ref="V128">IFERROR(INDEX('Raw Period DMR Data'!N:N,MATCH(1,(B128='Raw Period DMR Data'!$A:$A)*(U128='Raw Period DMR Data'!M:M)*(X128='Raw Period DMR Data'!C:C),0),1), "N/A")</f>
        <v>N/A</v>
      </c>
      <c r="W128" s="28" t="s">
        <v>1463</v>
      </c>
      <c r="X128" s="28" t="s">
        <v>788</v>
      </c>
      <c r="Y128" s="28" t="s">
        <v>789</v>
      </c>
      <c r="Z128" s="61">
        <v>2040202001996</v>
      </c>
    </row>
    <row r="129" spans="1:29" x14ac:dyDescent="0.25">
      <c r="A129" s="61">
        <v>110029593731</v>
      </c>
      <c r="B129" s="28">
        <v>2020</v>
      </c>
      <c r="C129" s="68">
        <f t="shared" si="1"/>
        <v>43831</v>
      </c>
      <c r="D129" s="28" t="s">
        <v>111</v>
      </c>
      <c r="E129" s="28" t="s">
        <v>355</v>
      </c>
      <c r="F129" s="28" t="s">
        <v>356</v>
      </c>
      <c r="G129" s="28" t="s">
        <v>338</v>
      </c>
      <c r="H129" s="28">
        <v>8010</v>
      </c>
      <c r="I129" s="28">
        <v>40.067799999999998</v>
      </c>
      <c r="J129" s="28">
        <v>-74.923670000000001</v>
      </c>
      <c r="L129" s="61">
        <v>110029593731</v>
      </c>
      <c r="M129" s="28" t="s">
        <v>263</v>
      </c>
      <c r="N129" s="28">
        <v>4952</v>
      </c>
      <c r="O129" s="28" t="str">
        <f>IFERROR(VLOOKUP(N129, 'SIC &amp; NAICS Codes'!A:B, 2, FALSE), "")</f>
        <v>Sewerage Systems</v>
      </c>
      <c r="S129" s="28">
        <v>0.14601318799999999</v>
      </c>
      <c r="T129" s="315">
        <f>_xlfn.MAXIFS('Raw Period DMR Data'!$O:$O,'Raw Period DMR Data'!$A:$A,'Raw Annual DMR Data'!B129,'Raw Period DMR Data'!$C:$C,X129)/S129</f>
        <v>0</v>
      </c>
      <c r="U129" s="28" t="str">
        <f>+IF(COUNTIFS('Raw Period DMR Data'!$A:$A,B129, 'Raw Period DMR Data'!C:C,'Raw Annual DMR Data'!X129, 'Raw Period DMR Data'!M:M, "&gt;0")&gt;0,_xlfn.MAXIFS('Raw Period DMR Data'!M:M,'Raw Period DMR Data'!$A:$A,'Raw Annual DMR Data'!B129,'Raw Period DMR Data'!C:C,'Raw Annual DMR Data'!X129), "N/A - Period DMR Data Not Available")</f>
        <v>N/A - Period DMR Data Not Available</v>
      </c>
      <c r="V129" s="28" t="str" cm="1">
        <f t="array" ref="V129">IFERROR(INDEX('Raw Period DMR Data'!N:N,MATCH(1,(B129='Raw Period DMR Data'!$A:$A)*(U129='Raw Period DMR Data'!M:M)*(X129='Raw Period DMR Data'!C:C),0),1), "N/A")</f>
        <v>N/A</v>
      </c>
      <c r="W129" s="28" t="s">
        <v>1463</v>
      </c>
      <c r="X129" s="28" t="s">
        <v>788</v>
      </c>
      <c r="Y129" s="28" t="s">
        <v>789</v>
      </c>
      <c r="Z129" s="61">
        <v>2040202001996</v>
      </c>
    </row>
    <row r="130" spans="1:29" x14ac:dyDescent="0.25">
      <c r="A130" s="61">
        <v>110029593731</v>
      </c>
      <c r="B130" s="28">
        <v>2017</v>
      </c>
      <c r="C130" s="68">
        <f t="shared" si="1"/>
        <v>42736</v>
      </c>
      <c r="D130" s="28" t="s">
        <v>111</v>
      </c>
      <c r="E130" s="28" t="s">
        <v>355</v>
      </c>
      <c r="F130" s="28" t="s">
        <v>356</v>
      </c>
      <c r="G130" s="28" t="s">
        <v>338</v>
      </c>
      <c r="H130" s="28">
        <v>8010</v>
      </c>
      <c r="I130" s="28">
        <v>40.067799999999998</v>
      </c>
      <c r="J130" s="28">
        <v>-74.923670000000001</v>
      </c>
      <c r="L130" s="61">
        <v>110029593731</v>
      </c>
      <c r="M130" s="28" t="s">
        <v>263</v>
      </c>
      <c r="N130" s="28">
        <v>4952</v>
      </c>
      <c r="O130" s="28" t="str">
        <f>IFERROR(VLOOKUP(N130, 'SIC &amp; NAICS Codes'!A:B, 2, FALSE), "")</f>
        <v>Sewerage Systems</v>
      </c>
      <c r="S130" s="28">
        <v>4.7391984999999998E-2</v>
      </c>
      <c r="T130" s="315">
        <f>_xlfn.MAXIFS('Raw Period DMR Data'!$O:$O,'Raw Period DMR Data'!$A:$A,'Raw Annual DMR Data'!B130,'Raw Period DMR Data'!$C:$C,X130)/S130</f>
        <v>0</v>
      </c>
      <c r="U130" s="28" t="str">
        <f>+IF(COUNTIFS('Raw Period DMR Data'!$A:$A,B130, 'Raw Period DMR Data'!C:C,'Raw Annual DMR Data'!X130, 'Raw Period DMR Data'!M:M, "&gt;0")&gt;0,_xlfn.MAXIFS('Raw Period DMR Data'!M:M,'Raw Period DMR Data'!$A:$A,'Raw Annual DMR Data'!B130,'Raw Period DMR Data'!C:C,'Raw Annual DMR Data'!X130), "N/A - Period DMR Data Not Available")</f>
        <v>N/A - Period DMR Data Not Available</v>
      </c>
      <c r="V130" s="28" t="str" cm="1">
        <f t="array" ref="V130">IFERROR(INDEX('Raw Period DMR Data'!N:N,MATCH(1,(B130='Raw Period DMR Data'!$A:$A)*(U130='Raw Period DMR Data'!M:M)*(X130='Raw Period DMR Data'!C:C),0),1), "N/A")</f>
        <v>N/A</v>
      </c>
      <c r="W130" s="28" t="s">
        <v>1463</v>
      </c>
      <c r="X130" s="28" t="s">
        <v>788</v>
      </c>
      <c r="Y130" s="28" t="s">
        <v>789</v>
      </c>
      <c r="Z130" s="28">
        <v>2040202001996</v>
      </c>
      <c r="AA130" s="28"/>
      <c r="AB130" s="28" t="s">
        <v>1465</v>
      </c>
      <c r="AC130" s="28" t="s">
        <v>263</v>
      </c>
    </row>
    <row r="131" spans="1:29" x14ac:dyDescent="0.25">
      <c r="A131" s="61">
        <v>110029593731</v>
      </c>
      <c r="B131" s="28">
        <v>2018</v>
      </c>
      <c r="C131" s="68">
        <f t="shared" ref="C131:C194" si="2">DATE(B131, 1, 1)</f>
        <v>43101</v>
      </c>
      <c r="D131" s="28" t="s">
        <v>111</v>
      </c>
      <c r="E131" s="28" t="s">
        <v>355</v>
      </c>
      <c r="F131" s="28" t="s">
        <v>356</v>
      </c>
      <c r="G131" s="28" t="s">
        <v>338</v>
      </c>
      <c r="H131" s="302" t="s">
        <v>1543</v>
      </c>
      <c r="I131" s="28">
        <v>40.067799999999998</v>
      </c>
      <c r="J131" s="28">
        <v>-74.923670000000001</v>
      </c>
      <c r="L131" s="61">
        <v>110029593731</v>
      </c>
      <c r="M131" s="28" t="s">
        <v>263</v>
      </c>
      <c r="N131" s="28">
        <v>4952</v>
      </c>
      <c r="O131" s="28" t="str">
        <f>IFERROR(VLOOKUP(N131, 'SIC &amp; NAICS Codes'!A:B, 2, FALSE), "")</f>
        <v>Sewerage Systems</v>
      </c>
      <c r="S131" s="28">
        <v>0.13864398224999999</v>
      </c>
      <c r="T131" s="315">
        <f>_xlfn.MAXIFS('Raw Period DMR Data'!$O:$O,'Raw Period DMR Data'!$A:$A,'Raw Annual DMR Data'!B131,'Raw Period DMR Data'!$C:$C,X131)/S131</f>
        <v>0</v>
      </c>
      <c r="U131" s="28" t="str">
        <f>+IF(COUNTIFS('Raw Period DMR Data'!$A:$A,B131, 'Raw Period DMR Data'!C:C,'Raw Annual DMR Data'!X131, 'Raw Period DMR Data'!M:M, "&gt;0")&gt;0,_xlfn.MAXIFS('Raw Period DMR Data'!M:M,'Raw Period DMR Data'!$A:$A,'Raw Annual DMR Data'!B131,'Raw Period DMR Data'!C:C,'Raw Annual DMR Data'!X131), "N/A - Period DMR Data Not Available")</f>
        <v>N/A - Period DMR Data Not Available</v>
      </c>
      <c r="V131" s="28" t="str" cm="1">
        <f t="array" ref="V131">IFERROR(INDEX('Raw Period DMR Data'!N:N,MATCH(1,(B131='Raw Period DMR Data'!$A:$A)*(U131='Raw Period DMR Data'!M:M)*(X131='Raw Period DMR Data'!C:C),0),1), "N/A")</f>
        <v>N/A</v>
      </c>
      <c r="W131" s="28" t="s">
        <v>1463</v>
      </c>
      <c r="X131" s="28" t="s">
        <v>788</v>
      </c>
      <c r="Y131" s="28" t="s">
        <v>789</v>
      </c>
      <c r="Z131" s="302" t="s">
        <v>1544</v>
      </c>
      <c r="AA131" s="28"/>
      <c r="AB131" s="28" t="s">
        <v>1465</v>
      </c>
      <c r="AC131" s="28" t="s">
        <v>263</v>
      </c>
    </row>
    <row r="132" spans="1:29" x14ac:dyDescent="0.25">
      <c r="A132" s="61">
        <v>110064611969</v>
      </c>
      <c r="B132" s="28">
        <v>2019</v>
      </c>
      <c r="C132" s="68">
        <f t="shared" si="2"/>
        <v>43466</v>
      </c>
      <c r="D132" s="28" t="s">
        <v>1005</v>
      </c>
      <c r="E132" s="28" t="s">
        <v>1545</v>
      </c>
      <c r="F132" s="28" t="s">
        <v>446</v>
      </c>
      <c r="G132" s="28" t="s">
        <v>303</v>
      </c>
      <c r="H132" s="28">
        <v>70669</v>
      </c>
      <c r="I132" s="28">
        <v>30.23771</v>
      </c>
      <c r="J132" s="28">
        <v>-93.258650000000003</v>
      </c>
      <c r="L132" s="61">
        <v>110064611969</v>
      </c>
      <c r="M132" s="28" t="s">
        <v>265</v>
      </c>
      <c r="N132" s="28">
        <v>2819</v>
      </c>
      <c r="O132" s="28" t="str">
        <f>IFERROR(VLOOKUP(N132, 'SIC &amp; NAICS Codes'!A:B, 2, FALSE), "")</f>
        <v>Industrial Inorganic Chemicals, NEC (recovering sulfur from natural gas)</v>
      </c>
      <c r="S132" s="28">
        <v>2.3156629999999998</v>
      </c>
      <c r="T132" s="315">
        <f>_xlfn.MAXIFS('Raw Period DMR Data'!$O:$O,'Raw Period DMR Data'!$A:$A,'Raw Annual DMR Data'!B132,'Raw Period DMR Data'!$C:$C,X132)/S132</f>
        <v>0</v>
      </c>
      <c r="U132" s="28" t="str">
        <f>+IF(COUNTIFS('Raw Period DMR Data'!$A:$A,B132, 'Raw Period DMR Data'!C:C,'Raw Annual DMR Data'!X132, 'Raw Period DMR Data'!M:M, "&gt;0")&gt;0,_xlfn.MAXIFS('Raw Period DMR Data'!M:M,'Raw Period DMR Data'!$A:$A,'Raw Annual DMR Data'!B132,'Raw Period DMR Data'!C:C,'Raw Annual DMR Data'!X132), "N/A - Period DMR Data Not Available")</f>
        <v>N/A - Period DMR Data Not Available</v>
      </c>
      <c r="V132" s="28" t="str" cm="1">
        <f t="array" ref="V132">IFERROR(INDEX('Raw Period DMR Data'!N:N,MATCH(1,(B132='Raw Period DMR Data'!$A:$A)*(U132='Raw Period DMR Data'!M:M)*(X132='Raw Period DMR Data'!C:C),0),1), "N/A")</f>
        <v>N/A</v>
      </c>
      <c r="W132" s="28" t="s">
        <v>1463</v>
      </c>
      <c r="X132" s="28" t="s">
        <v>1546</v>
      </c>
      <c r="Z132" s="28">
        <v>8080206001241</v>
      </c>
      <c r="AA132" s="28"/>
      <c r="AB132" s="28" t="s">
        <v>1465</v>
      </c>
      <c r="AC132" s="28" t="s">
        <v>1466</v>
      </c>
    </row>
    <row r="133" spans="1:29" x14ac:dyDescent="0.25">
      <c r="A133" s="61">
        <v>110064611969</v>
      </c>
      <c r="B133" s="28">
        <v>2020</v>
      </c>
      <c r="C133" s="68">
        <f t="shared" si="2"/>
        <v>43831</v>
      </c>
      <c r="D133" s="28" t="s">
        <v>1005</v>
      </c>
      <c r="E133" s="28" t="s">
        <v>1545</v>
      </c>
      <c r="F133" s="28" t="s">
        <v>446</v>
      </c>
      <c r="G133" s="28" t="s">
        <v>303</v>
      </c>
      <c r="H133" s="28">
        <v>70669</v>
      </c>
      <c r="I133" s="28">
        <v>30.23771</v>
      </c>
      <c r="J133" s="28">
        <v>-93.258650000000003</v>
      </c>
      <c r="L133" s="61">
        <v>110064611969</v>
      </c>
      <c r="M133" s="28" t="s">
        <v>265</v>
      </c>
      <c r="N133" s="28">
        <v>2819</v>
      </c>
      <c r="O133" s="28" t="str">
        <f>IFERROR(VLOOKUP(N133, 'SIC &amp; NAICS Codes'!A:B, 2, FALSE), "")</f>
        <v>Industrial Inorganic Chemicals, NEC (recovering sulfur from natural gas)</v>
      </c>
      <c r="S133" s="28">
        <v>0.417233560090702</v>
      </c>
      <c r="T133" s="315">
        <f>_xlfn.MAXIFS('Raw Period DMR Data'!$O:$O,'Raw Period DMR Data'!$A:$A,'Raw Annual DMR Data'!B133,'Raw Period DMR Data'!$C:$C,X133)/S133</f>
        <v>0</v>
      </c>
      <c r="U133" s="28" t="str">
        <f>+IF(COUNTIFS('Raw Period DMR Data'!$A:$A,B133, 'Raw Period DMR Data'!C:C,'Raw Annual DMR Data'!X133, 'Raw Period DMR Data'!M:M, "&gt;0")&gt;0,_xlfn.MAXIFS('Raw Period DMR Data'!M:M,'Raw Period DMR Data'!$A:$A,'Raw Annual DMR Data'!B133,'Raw Period DMR Data'!C:C,'Raw Annual DMR Data'!X133), "N/A - Period DMR Data Not Available")</f>
        <v>N/A - Period DMR Data Not Available</v>
      </c>
      <c r="V133" s="28" t="str" cm="1">
        <f t="array" ref="V133">IFERROR(INDEX('Raw Period DMR Data'!N:N,MATCH(1,(B133='Raw Period DMR Data'!$A:$A)*(U133='Raw Period DMR Data'!M:M)*(X133='Raw Period DMR Data'!C:C),0),1), "N/A")</f>
        <v>N/A</v>
      </c>
      <c r="W133" s="28" t="s">
        <v>1463</v>
      </c>
      <c r="X133" s="28" t="s">
        <v>1546</v>
      </c>
      <c r="Z133" s="28">
        <v>8080206001241</v>
      </c>
      <c r="AA133" s="28"/>
      <c r="AB133" s="28" t="s">
        <v>1465</v>
      </c>
      <c r="AC133" s="28" t="s">
        <v>1466</v>
      </c>
    </row>
    <row r="134" spans="1:29" x14ac:dyDescent="0.25">
      <c r="A134" s="61">
        <v>110064611969</v>
      </c>
      <c r="B134" s="28">
        <v>2020</v>
      </c>
      <c r="C134" s="68">
        <f t="shared" si="2"/>
        <v>43831</v>
      </c>
      <c r="D134" s="28" t="s">
        <v>1005</v>
      </c>
      <c r="E134" s="28" t="s">
        <v>1545</v>
      </c>
      <c r="F134" s="28" t="s">
        <v>446</v>
      </c>
      <c r="G134" s="28" t="s">
        <v>303</v>
      </c>
      <c r="H134" s="28">
        <v>70669</v>
      </c>
      <c r="I134" s="28">
        <v>30.23771</v>
      </c>
      <c r="J134" s="28">
        <v>-93.258650000000003</v>
      </c>
      <c r="L134" s="61">
        <v>110064611969</v>
      </c>
      <c r="M134" s="28" t="s">
        <v>265</v>
      </c>
      <c r="N134" s="28">
        <v>2819</v>
      </c>
      <c r="O134" s="28" t="str">
        <f>IFERROR(VLOOKUP(N134, 'SIC &amp; NAICS Codes'!A:B, 2, FALSE), "")</f>
        <v>Industrial Inorganic Chemicals, NEC (recovering sulfur from natural gas)</v>
      </c>
      <c r="S134" s="28">
        <v>1.7032499999999999</v>
      </c>
      <c r="T134" s="315">
        <f>_xlfn.MAXIFS('Raw Period DMR Data'!$O:$O,'Raw Period DMR Data'!$A:$A,'Raw Annual DMR Data'!B134,'Raw Period DMR Data'!$C:$C,X134)/S134</f>
        <v>0</v>
      </c>
      <c r="U134" s="28" t="str">
        <f>+IF(COUNTIFS('Raw Period DMR Data'!$A:$A,B134, 'Raw Period DMR Data'!C:C,'Raw Annual DMR Data'!X134, 'Raw Period DMR Data'!M:M, "&gt;0")&gt;0,_xlfn.MAXIFS('Raw Period DMR Data'!M:M,'Raw Period DMR Data'!$A:$A,'Raw Annual DMR Data'!B134,'Raw Period DMR Data'!C:C,'Raw Annual DMR Data'!X134), "N/A - Period DMR Data Not Available")</f>
        <v>N/A - Period DMR Data Not Available</v>
      </c>
      <c r="V134" s="28" t="str" cm="1">
        <f t="array" ref="V134">IFERROR(INDEX('Raw Period DMR Data'!N:N,MATCH(1,(B134='Raw Period DMR Data'!$A:$A)*(U134='Raw Period DMR Data'!M:M)*(X134='Raw Period DMR Data'!C:C),0),1), "N/A")</f>
        <v>N/A</v>
      </c>
      <c r="W134" s="28" t="s">
        <v>1463</v>
      </c>
      <c r="X134" s="28" t="s">
        <v>1546</v>
      </c>
      <c r="Z134" s="28">
        <v>8080206001241</v>
      </c>
      <c r="AA134" s="28"/>
      <c r="AB134" s="28" t="s">
        <v>1465</v>
      </c>
      <c r="AC134" s="28" t="s">
        <v>1466</v>
      </c>
    </row>
    <row r="135" spans="1:29" x14ac:dyDescent="0.25">
      <c r="A135" s="61">
        <v>110000487633</v>
      </c>
      <c r="B135" s="28">
        <v>2019</v>
      </c>
      <c r="C135" s="68">
        <f t="shared" si="2"/>
        <v>43466</v>
      </c>
      <c r="D135" s="28" t="s">
        <v>1006</v>
      </c>
      <c r="E135" s="28" t="s">
        <v>1547</v>
      </c>
      <c r="F135" s="28" t="s">
        <v>1007</v>
      </c>
      <c r="G135" s="28" t="s">
        <v>1008</v>
      </c>
      <c r="H135" s="28">
        <v>97230</v>
      </c>
      <c r="I135" s="28">
        <v>45.543847</v>
      </c>
      <c r="J135" s="28">
        <v>-122.46656299999999</v>
      </c>
      <c r="K135" s="28" t="s">
        <v>707</v>
      </c>
      <c r="L135" s="61">
        <v>110000487633</v>
      </c>
      <c r="M135" s="28" t="s">
        <v>265</v>
      </c>
      <c r="N135" s="28">
        <v>3728</v>
      </c>
      <c r="O135" s="28" t="str">
        <f>IFERROR(VLOOKUP(N135, 'SIC &amp; NAICS Codes'!A:B, 2, FALSE), "")</f>
        <v>Aircraft Parts and Auxiliary Equipment, NEC (fluid power aircraft subassemblies)</v>
      </c>
      <c r="S135" s="28">
        <v>9.9867679200000004E-3</v>
      </c>
      <c r="T135" s="315">
        <f>_xlfn.MAXIFS('Raw Period DMR Data'!$O:$O,'Raw Period DMR Data'!$A:$A,'Raw Annual DMR Data'!B135,'Raw Period DMR Data'!$C:$C,X135)/S135</f>
        <v>0</v>
      </c>
      <c r="U135" s="28" t="str">
        <f>+IF(COUNTIFS('Raw Period DMR Data'!$A:$A,B135, 'Raw Period DMR Data'!C:C,'Raw Annual DMR Data'!X135, 'Raw Period DMR Data'!M:M, "&gt;0")&gt;0,_xlfn.MAXIFS('Raw Period DMR Data'!M:M,'Raw Period DMR Data'!$A:$A,'Raw Annual DMR Data'!B135,'Raw Period DMR Data'!C:C,'Raw Annual DMR Data'!X135), "N/A - Period DMR Data Not Available")</f>
        <v>N/A - Period DMR Data Not Available</v>
      </c>
      <c r="V135" s="28" t="str" cm="1">
        <f t="array" ref="V135">IFERROR(INDEX('Raw Period DMR Data'!N:N,MATCH(1,(B135='Raw Period DMR Data'!$A:$A)*(U135='Raw Period DMR Data'!M:M)*(X135='Raw Period DMR Data'!C:C),0),1), "N/A")</f>
        <v>N/A</v>
      </c>
      <c r="W135" s="28" t="s">
        <v>1463</v>
      </c>
      <c r="X135" s="28" t="s">
        <v>1548</v>
      </c>
      <c r="Y135" s="28" t="s">
        <v>1549</v>
      </c>
      <c r="Z135" s="28">
        <v>17090012000380</v>
      </c>
      <c r="AA135" s="28"/>
      <c r="AB135" s="28" t="s">
        <v>1465</v>
      </c>
      <c r="AC135" s="28" t="s">
        <v>1466</v>
      </c>
    </row>
    <row r="136" spans="1:29" x14ac:dyDescent="0.25">
      <c r="A136" s="61">
        <v>110000487633</v>
      </c>
      <c r="B136" s="28">
        <v>2020</v>
      </c>
      <c r="C136" s="68">
        <f t="shared" si="2"/>
        <v>43831</v>
      </c>
      <c r="D136" s="28" t="s">
        <v>1006</v>
      </c>
      <c r="E136" s="28" t="s">
        <v>1547</v>
      </c>
      <c r="F136" s="28" t="s">
        <v>1007</v>
      </c>
      <c r="G136" s="28" t="s">
        <v>1008</v>
      </c>
      <c r="H136" s="28">
        <v>97230</v>
      </c>
      <c r="I136" s="28">
        <v>45.543847</v>
      </c>
      <c r="J136" s="28">
        <v>-122.46656299999999</v>
      </c>
      <c r="K136" s="28" t="s">
        <v>707</v>
      </c>
      <c r="L136" s="61">
        <v>110000487633</v>
      </c>
      <c r="M136" s="28" t="s">
        <v>265</v>
      </c>
      <c r="N136" s="28">
        <v>3728</v>
      </c>
      <c r="O136" s="28" t="str">
        <f>IFERROR(VLOOKUP(N136, 'SIC &amp; NAICS Codes'!A:B, 2, FALSE), "")</f>
        <v>Aircraft Parts and Auxiliary Equipment, NEC (fluid power aircraft subassemblies)</v>
      </c>
      <c r="S136" s="28">
        <v>1.4124711599999999E-2</v>
      </c>
      <c r="T136" s="315">
        <f>_xlfn.MAXIFS('Raw Period DMR Data'!$O:$O,'Raw Period DMR Data'!$A:$A,'Raw Annual DMR Data'!B136,'Raw Period DMR Data'!$C:$C,X136)/S136</f>
        <v>0</v>
      </c>
      <c r="U136" s="28" t="str">
        <f>+IF(COUNTIFS('Raw Period DMR Data'!$A:$A,B136, 'Raw Period DMR Data'!C:C,'Raw Annual DMR Data'!X136, 'Raw Period DMR Data'!M:M, "&gt;0")&gt;0,_xlfn.MAXIFS('Raw Period DMR Data'!M:M,'Raw Period DMR Data'!$A:$A,'Raw Annual DMR Data'!B136,'Raw Period DMR Data'!C:C,'Raw Annual DMR Data'!X136), "N/A - Period DMR Data Not Available")</f>
        <v>N/A - Period DMR Data Not Available</v>
      </c>
      <c r="V136" s="28" t="str" cm="1">
        <f t="array" ref="V136">IFERROR(INDEX('Raw Period DMR Data'!N:N,MATCH(1,(B136='Raw Period DMR Data'!$A:$A)*(U136='Raw Period DMR Data'!M:M)*(X136='Raw Period DMR Data'!C:C),0),1), "N/A")</f>
        <v>N/A</v>
      </c>
      <c r="W136" s="28" t="s">
        <v>1463</v>
      </c>
      <c r="X136" s="28" t="s">
        <v>1548</v>
      </c>
      <c r="Y136" s="28" t="s">
        <v>1549</v>
      </c>
      <c r="Z136" s="28">
        <v>17090012000380</v>
      </c>
      <c r="AA136" s="28"/>
      <c r="AB136" s="28" t="s">
        <v>1465</v>
      </c>
      <c r="AC136" s="28" t="s">
        <v>1466</v>
      </c>
    </row>
    <row r="137" spans="1:29" x14ac:dyDescent="0.25">
      <c r="A137" s="61">
        <v>110013682942</v>
      </c>
      <c r="B137" s="28">
        <v>2018</v>
      </c>
      <c r="C137" s="68">
        <f t="shared" si="2"/>
        <v>43101</v>
      </c>
      <c r="D137" s="28" t="s">
        <v>1009</v>
      </c>
      <c r="E137" s="28" t="s">
        <v>1550</v>
      </c>
      <c r="F137" s="28" t="s">
        <v>1010</v>
      </c>
      <c r="G137" s="28" t="s">
        <v>366</v>
      </c>
      <c r="H137" s="28">
        <v>95670</v>
      </c>
      <c r="I137" s="28">
        <v>38.538333000000002</v>
      </c>
      <c r="J137" s="28">
        <v>-121.316389</v>
      </c>
      <c r="L137" s="61">
        <v>110013682942</v>
      </c>
      <c r="M137" s="28" t="s">
        <v>265</v>
      </c>
      <c r="N137" s="28">
        <v>9999</v>
      </c>
      <c r="O137" s="28" t="str">
        <f>IFERROR(VLOOKUP(N137, 'SIC &amp; NAICS Codes'!A:B, 2, FALSE), "")</f>
        <v>Nonclassifiable Establishments</v>
      </c>
      <c r="S137" s="28">
        <v>0.120646875</v>
      </c>
      <c r="T137" s="315">
        <f>_xlfn.MAXIFS('Raw Period DMR Data'!$O:$O,'Raw Period DMR Data'!$A:$A,'Raw Annual DMR Data'!B137,'Raw Period DMR Data'!$C:$C,X137)/S137</f>
        <v>0</v>
      </c>
      <c r="U137" s="28" t="str">
        <f>+IF(COUNTIFS('Raw Period DMR Data'!$A:$A,B137, 'Raw Period DMR Data'!C:C,'Raw Annual DMR Data'!X137, 'Raw Period DMR Data'!M:M, "&gt;0")&gt;0,_xlfn.MAXIFS('Raw Period DMR Data'!M:M,'Raw Period DMR Data'!$A:$A,'Raw Annual DMR Data'!B137,'Raw Period DMR Data'!C:C,'Raw Annual DMR Data'!X137), "N/A - Period DMR Data Not Available")</f>
        <v>N/A - Period DMR Data Not Available</v>
      </c>
      <c r="V137" s="28" t="str" cm="1">
        <f t="array" ref="V137">IFERROR(INDEX('Raw Period DMR Data'!N:N,MATCH(1,(B137='Raw Period DMR Data'!$A:$A)*(U137='Raw Period DMR Data'!M:M)*(X137='Raw Period DMR Data'!C:C),0),1), "N/A")</f>
        <v>N/A</v>
      </c>
      <c r="W137" s="28" t="s">
        <v>1463</v>
      </c>
      <c r="X137" s="28" t="s">
        <v>1551</v>
      </c>
      <c r="Y137" s="28" t="s">
        <v>1552</v>
      </c>
      <c r="Z137" s="28">
        <v>18020163016075</v>
      </c>
      <c r="AA137" s="28"/>
      <c r="AB137" s="28" t="s">
        <v>1465</v>
      </c>
      <c r="AC137" s="28" t="s">
        <v>1466</v>
      </c>
    </row>
    <row r="138" spans="1:29" x14ac:dyDescent="0.25">
      <c r="A138" s="61">
        <v>110042072351</v>
      </c>
      <c r="B138" s="28">
        <v>2016</v>
      </c>
      <c r="C138" s="68">
        <f t="shared" si="2"/>
        <v>42370</v>
      </c>
      <c r="D138" s="28" t="s">
        <v>112</v>
      </c>
      <c r="E138" s="28" t="s">
        <v>357</v>
      </c>
      <c r="F138" s="28" t="s">
        <v>358</v>
      </c>
      <c r="G138" s="28" t="s">
        <v>275</v>
      </c>
      <c r="H138" s="28">
        <v>83706</v>
      </c>
      <c r="I138" s="28">
        <v>43.603453999999999</v>
      </c>
      <c r="J138" s="28">
        <v>-116.202736</v>
      </c>
      <c r="L138" s="61">
        <v>110042072351</v>
      </c>
      <c r="M138" s="28" t="s">
        <v>264</v>
      </c>
      <c r="N138" s="28">
        <v>7216</v>
      </c>
      <c r="O138" s="28" t="str">
        <f>IFERROR(VLOOKUP(N138, 'SIC &amp; NAICS Codes'!A:B, 2, FALSE), "")</f>
        <v>Drycleaning Plants, Except Rug Cleaning</v>
      </c>
      <c r="S138" s="28">
        <v>2.16554210797038E-2</v>
      </c>
      <c r="T138" s="315">
        <f>_xlfn.MAXIFS('Raw Period DMR Data'!$O:$O,'Raw Period DMR Data'!$A:$A,'Raw Annual DMR Data'!B138,'Raw Period DMR Data'!$C:$C,X138)/S138</f>
        <v>0</v>
      </c>
      <c r="U138" s="28" t="str">
        <f>+IF(COUNTIFS('Raw Period DMR Data'!$A:$A,B138, 'Raw Period DMR Data'!C:C,'Raw Annual DMR Data'!X138, 'Raw Period DMR Data'!M:M, "&gt;0")&gt;0,_xlfn.MAXIFS('Raw Period DMR Data'!M:M,'Raw Period DMR Data'!$A:$A,'Raw Annual DMR Data'!B138,'Raw Period DMR Data'!C:C,'Raw Annual DMR Data'!X138), "N/A - Period DMR Data Not Available")</f>
        <v>N/A - Period DMR Data Not Available</v>
      </c>
      <c r="V138" s="28" t="str" cm="1">
        <f t="array" ref="V138">IFERROR(INDEX('Raw Period DMR Data'!N:N,MATCH(1,(B138='Raw Period DMR Data'!$A:$A)*(U138='Raw Period DMR Data'!M:M)*(X138='Raw Period DMR Data'!C:C),0),1), "N/A")</f>
        <v>N/A</v>
      </c>
      <c r="W138" s="28" t="s">
        <v>1463</v>
      </c>
      <c r="X138" s="28" t="s">
        <v>790</v>
      </c>
      <c r="Y138" s="28" t="s">
        <v>791</v>
      </c>
      <c r="Z138" s="61">
        <v>17050114000332</v>
      </c>
      <c r="AA138" s="28"/>
    </row>
    <row r="139" spans="1:29" x14ac:dyDescent="0.25">
      <c r="A139" s="61">
        <v>110000746649</v>
      </c>
      <c r="B139" s="28">
        <v>2019</v>
      </c>
      <c r="C139" s="68">
        <f t="shared" si="2"/>
        <v>43466</v>
      </c>
      <c r="D139" s="28" t="s">
        <v>1011</v>
      </c>
      <c r="E139" s="28" t="s">
        <v>1553</v>
      </c>
      <c r="F139" s="28" t="s">
        <v>1012</v>
      </c>
      <c r="G139" s="28" t="s">
        <v>366</v>
      </c>
      <c r="H139" s="28" t="s">
        <v>1554</v>
      </c>
      <c r="I139" s="28">
        <v>33.801231000000001</v>
      </c>
      <c r="J139" s="28">
        <v>-118.25785999999999</v>
      </c>
      <c r="L139" s="61">
        <v>110000746649</v>
      </c>
      <c r="M139" s="28" t="s">
        <v>265</v>
      </c>
      <c r="N139" s="28">
        <v>5171</v>
      </c>
      <c r="O139" s="28" t="str">
        <f>IFERROR(VLOOKUP(N139, 'SIC &amp; NAICS Codes'!A:B, 2, FALSE), "")</f>
        <v>Petroleum Bulk Stations and Terminals (except petroleum sold via retail method)</v>
      </c>
      <c r="S139" s="28">
        <v>7.034835538125E-3</v>
      </c>
      <c r="T139" s="315">
        <f>_xlfn.MAXIFS('Raw Period DMR Data'!$O:$O,'Raw Period DMR Data'!$A:$A,'Raw Annual DMR Data'!B139,'Raw Period DMR Data'!$C:$C,X139)/S139</f>
        <v>0</v>
      </c>
      <c r="U139" s="28" t="str">
        <f>+IF(COUNTIFS('Raw Period DMR Data'!$A:$A,B139, 'Raw Period DMR Data'!C:C,'Raw Annual DMR Data'!X139, 'Raw Period DMR Data'!M:M, "&gt;0")&gt;0,_xlfn.MAXIFS('Raw Period DMR Data'!M:M,'Raw Period DMR Data'!$A:$A,'Raw Annual DMR Data'!B139,'Raw Period DMR Data'!C:C,'Raw Annual DMR Data'!X139), "N/A - Period DMR Data Not Available")</f>
        <v>N/A - Period DMR Data Not Available</v>
      </c>
      <c r="V139" s="28" t="str" cm="1">
        <f t="array" ref="V139">IFERROR(INDEX('Raw Period DMR Data'!N:N,MATCH(1,(B139='Raw Period DMR Data'!$A:$A)*(U139='Raw Period DMR Data'!M:M)*(X139='Raw Period DMR Data'!C:C),0),1), "N/A")</f>
        <v>N/A</v>
      </c>
      <c r="W139" s="28" t="s">
        <v>1463</v>
      </c>
      <c r="X139" s="28" t="s">
        <v>1555</v>
      </c>
      <c r="Y139" s="28" t="s">
        <v>1556</v>
      </c>
      <c r="Z139" s="28">
        <v>18070106002149</v>
      </c>
      <c r="AA139" s="28"/>
      <c r="AB139" s="28" t="s">
        <v>1465</v>
      </c>
      <c r="AC139" s="28" t="s">
        <v>1466</v>
      </c>
    </row>
    <row r="140" spans="1:29" x14ac:dyDescent="0.25">
      <c r="A140" s="61">
        <v>110000463631</v>
      </c>
      <c r="B140" s="28">
        <v>2017</v>
      </c>
      <c r="C140" s="68">
        <f t="shared" si="2"/>
        <v>42736</v>
      </c>
      <c r="D140" s="28" t="s">
        <v>113</v>
      </c>
      <c r="E140" s="28" t="s">
        <v>360</v>
      </c>
      <c r="F140" s="28" t="s">
        <v>361</v>
      </c>
      <c r="G140" s="28" t="s">
        <v>362</v>
      </c>
      <c r="H140" s="28">
        <v>77571</v>
      </c>
      <c r="I140" s="28">
        <v>29.704027</v>
      </c>
      <c r="J140" s="28">
        <v>-95.079931999999999</v>
      </c>
      <c r="K140" s="28" t="s">
        <v>363</v>
      </c>
      <c r="L140" s="61">
        <v>110000463631</v>
      </c>
      <c r="M140" s="28" t="s">
        <v>253</v>
      </c>
      <c r="N140" s="28">
        <v>2821</v>
      </c>
      <c r="O140" s="28" t="str">
        <f>IFERROR(VLOOKUP(N140, 'SIC &amp; NAICS Codes'!A:B, 2, FALSE), "")</f>
        <v>Plastics Materials, Synthetic and Resins, and Nonvulcanizable Elastomers</v>
      </c>
      <c r="S140" s="28">
        <v>0.39065759637188202</v>
      </c>
      <c r="T140" s="315">
        <f>_xlfn.MAXIFS('Raw Period DMR Data'!$O:$O,'Raw Period DMR Data'!$A:$A,'Raw Annual DMR Data'!B140,'Raw Period DMR Data'!$C:$C,X140)/S140</f>
        <v>0</v>
      </c>
      <c r="U140" s="28" t="str">
        <f>+IF(COUNTIFS('Raw Period DMR Data'!$A:$A,B140, 'Raw Period DMR Data'!C:C,'Raw Annual DMR Data'!X140, 'Raw Period DMR Data'!M:M, "&gt;0")&gt;0,_xlfn.MAXIFS('Raw Period DMR Data'!M:M,'Raw Period DMR Data'!$A:$A,'Raw Annual DMR Data'!B140,'Raw Period DMR Data'!C:C,'Raw Annual DMR Data'!X140), "N/A - Period DMR Data Not Available")</f>
        <v>N/A - Period DMR Data Not Available</v>
      </c>
      <c r="V140" s="28" t="str" cm="1">
        <f t="array" ref="V140">IFERROR(INDEX('Raw Period DMR Data'!N:N,MATCH(1,(B140='Raw Period DMR Data'!$A:$A)*(U140='Raw Period DMR Data'!M:M)*(X140='Raw Period DMR Data'!C:C),0),1), "N/A")</f>
        <v>N/A</v>
      </c>
      <c r="W140" s="28" t="s">
        <v>1463</v>
      </c>
      <c r="X140" s="28" t="s">
        <v>792</v>
      </c>
      <c r="Y140" s="28" t="s">
        <v>793</v>
      </c>
      <c r="Z140" s="61">
        <v>12040104000870</v>
      </c>
      <c r="AA140" s="28"/>
    </row>
    <row r="141" spans="1:29" x14ac:dyDescent="0.25">
      <c r="A141" s="61">
        <v>110000463631</v>
      </c>
      <c r="B141" s="28">
        <v>2018</v>
      </c>
      <c r="C141" s="68">
        <f t="shared" si="2"/>
        <v>43101</v>
      </c>
      <c r="D141" s="28" t="s">
        <v>113</v>
      </c>
      <c r="E141" s="28" t="s">
        <v>360</v>
      </c>
      <c r="F141" s="28" t="s">
        <v>361</v>
      </c>
      <c r="G141" s="28" t="s">
        <v>362</v>
      </c>
      <c r="H141" s="28">
        <v>77571</v>
      </c>
      <c r="I141" s="28">
        <v>29.704027</v>
      </c>
      <c r="J141" s="28">
        <v>-95.079931999999999</v>
      </c>
      <c r="K141" s="28" t="s">
        <v>363</v>
      </c>
      <c r="L141" s="61">
        <v>110000463631</v>
      </c>
      <c r="M141" s="28" t="s">
        <v>253</v>
      </c>
      <c r="N141" s="28">
        <v>2821</v>
      </c>
      <c r="O141" s="28" t="str">
        <f>IFERROR(VLOOKUP(N141, 'SIC &amp; NAICS Codes'!A:B, 2, FALSE), "")</f>
        <v>Plastics Materials, Synthetic and Resins, and Nonvulcanizable Elastomers</v>
      </c>
      <c r="S141" s="28">
        <v>0.52804988662131502</v>
      </c>
      <c r="T141" s="315">
        <f>_xlfn.MAXIFS('Raw Period DMR Data'!$O:$O,'Raw Period DMR Data'!$A:$A,'Raw Annual DMR Data'!B141,'Raw Period DMR Data'!$C:$C,X141)/S141</f>
        <v>0</v>
      </c>
      <c r="U141" s="28" t="str">
        <f>+IF(COUNTIFS('Raw Period DMR Data'!$A:$A,B141, 'Raw Period DMR Data'!C:C,'Raw Annual DMR Data'!X141, 'Raw Period DMR Data'!M:M, "&gt;0")&gt;0,_xlfn.MAXIFS('Raw Period DMR Data'!M:M,'Raw Period DMR Data'!$A:$A,'Raw Annual DMR Data'!B141,'Raw Period DMR Data'!C:C,'Raw Annual DMR Data'!X141), "N/A - Period DMR Data Not Available")</f>
        <v>N/A - Period DMR Data Not Available</v>
      </c>
      <c r="V141" s="28" t="str" cm="1">
        <f t="array" ref="V141">IFERROR(INDEX('Raw Period DMR Data'!N:N,MATCH(1,(B141='Raw Period DMR Data'!$A:$A)*(U141='Raw Period DMR Data'!M:M)*(X141='Raw Period DMR Data'!C:C),0),1), "N/A")</f>
        <v>N/A</v>
      </c>
      <c r="W141" s="28" t="s">
        <v>1463</v>
      </c>
      <c r="X141" s="28" t="s">
        <v>792</v>
      </c>
      <c r="Y141" s="28" t="s">
        <v>793</v>
      </c>
      <c r="Z141" s="61">
        <v>12040104000870</v>
      </c>
    </row>
    <row r="142" spans="1:29" x14ac:dyDescent="0.25">
      <c r="A142" s="61">
        <v>110000463631</v>
      </c>
      <c r="B142" s="28">
        <v>2020</v>
      </c>
      <c r="C142" s="68">
        <f t="shared" si="2"/>
        <v>43831</v>
      </c>
      <c r="D142" s="28" t="s">
        <v>113</v>
      </c>
      <c r="E142" s="28" t="s">
        <v>360</v>
      </c>
      <c r="F142" s="28" t="s">
        <v>361</v>
      </c>
      <c r="G142" s="28" t="s">
        <v>362</v>
      </c>
      <c r="H142" s="28">
        <v>77571</v>
      </c>
      <c r="I142" s="28">
        <v>29.704027</v>
      </c>
      <c r="J142" s="28">
        <v>-95.079931999999999</v>
      </c>
      <c r="K142" s="28" t="s">
        <v>363</v>
      </c>
      <c r="L142" s="61">
        <v>110000463631</v>
      </c>
      <c r="M142" s="28" t="s">
        <v>253</v>
      </c>
      <c r="N142" s="28">
        <v>2821</v>
      </c>
      <c r="O142" s="28" t="str">
        <f>IFERROR(VLOOKUP(N142, 'SIC &amp; NAICS Codes'!A:B, 2, FALSE), "")</f>
        <v>Plastics Materials, Synthetic and Resins, and Nonvulcanizable Elastomers</v>
      </c>
      <c r="S142" s="28">
        <v>8.9387755102040806E-2</v>
      </c>
      <c r="T142" s="315">
        <f>_xlfn.MAXIFS('Raw Period DMR Data'!$O:$O,'Raw Period DMR Data'!$A:$A,'Raw Annual DMR Data'!B142,'Raw Period DMR Data'!$C:$C,X142)/S142</f>
        <v>0</v>
      </c>
      <c r="U142" s="28" t="str">
        <f>+IF(COUNTIFS('Raw Period DMR Data'!$A:$A,B142, 'Raw Period DMR Data'!C:C,'Raw Annual DMR Data'!X142, 'Raw Period DMR Data'!M:M, "&gt;0")&gt;0,_xlfn.MAXIFS('Raw Period DMR Data'!M:M,'Raw Period DMR Data'!$A:$A,'Raw Annual DMR Data'!B142,'Raw Period DMR Data'!C:C,'Raw Annual DMR Data'!X142), "N/A - Period DMR Data Not Available")</f>
        <v>N/A - Period DMR Data Not Available</v>
      </c>
      <c r="V142" s="28" t="str" cm="1">
        <f t="array" ref="V142">IFERROR(INDEX('Raw Period DMR Data'!N:N,MATCH(1,(B142='Raw Period DMR Data'!$A:$A)*(U142='Raw Period DMR Data'!M:M)*(X142='Raw Period DMR Data'!C:C),0),1), "N/A")</f>
        <v>N/A</v>
      </c>
      <c r="W142" s="28" t="s">
        <v>1463</v>
      </c>
      <c r="X142" s="28" t="s">
        <v>792</v>
      </c>
      <c r="Y142" s="28" t="s">
        <v>793</v>
      </c>
      <c r="Z142" s="61">
        <v>12040104000870</v>
      </c>
    </row>
    <row r="143" spans="1:29" x14ac:dyDescent="0.25">
      <c r="A143" s="61">
        <v>110030476465</v>
      </c>
      <c r="B143" s="28">
        <v>2017</v>
      </c>
      <c r="C143" s="68">
        <f t="shared" si="2"/>
        <v>42736</v>
      </c>
      <c r="D143" s="28" t="s">
        <v>114</v>
      </c>
      <c r="E143" s="28" t="s">
        <v>364</v>
      </c>
      <c r="F143" s="28" t="s">
        <v>365</v>
      </c>
      <c r="G143" s="28" t="s">
        <v>366</v>
      </c>
      <c r="H143" s="28">
        <v>92227</v>
      </c>
      <c r="I143" s="28">
        <v>33.017359999999996</v>
      </c>
      <c r="J143" s="28">
        <v>-115.50923</v>
      </c>
      <c r="L143" s="61">
        <v>110030476465</v>
      </c>
      <c r="M143" s="28" t="s">
        <v>263</v>
      </c>
      <c r="N143" s="28">
        <v>4952</v>
      </c>
      <c r="O143" s="28" t="str">
        <f>IFERROR(VLOOKUP(N143, 'SIC &amp; NAICS Codes'!A:B, 2, FALSE), "")</f>
        <v>Sewerage Systems</v>
      </c>
      <c r="S143" s="28">
        <v>3.3847362499999999E-2</v>
      </c>
      <c r="T143" s="315">
        <f>_xlfn.MAXIFS('Raw Period DMR Data'!$O:$O,'Raw Period DMR Data'!$A:$A,'Raw Annual DMR Data'!B143,'Raw Period DMR Data'!$C:$C,X143)/S143</f>
        <v>0</v>
      </c>
      <c r="U143" s="28" t="str">
        <f>+IF(COUNTIFS('Raw Period DMR Data'!$A:$A,B143, 'Raw Period DMR Data'!C:C,'Raw Annual DMR Data'!X143, 'Raw Period DMR Data'!M:M, "&gt;0")&gt;0,_xlfn.MAXIFS('Raw Period DMR Data'!M:M,'Raw Period DMR Data'!$A:$A,'Raw Annual DMR Data'!B143,'Raw Period DMR Data'!C:C,'Raw Annual DMR Data'!X143), "N/A - Period DMR Data Not Available")</f>
        <v>N/A - Period DMR Data Not Available</v>
      </c>
      <c r="V143" s="28" t="str" cm="1">
        <f t="array" ref="V143">IFERROR(INDEX('Raw Period DMR Data'!N:N,MATCH(1,(B143='Raw Period DMR Data'!$A:$A)*(U143='Raw Period DMR Data'!M:M)*(X143='Raw Period DMR Data'!C:C),0),1), "N/A")</f>
        <v>N/A</v>
      </c>
      <c r="W143" s="28" t="s">
        <v>1463</v>
      </c>
      <c r="X143" s="28" t="s">
        <v>794</v>
      </c>
      <c r="Y143" s="28" t="s">
        <v>795</v>
      </c>
      <c r="Z143" s="61">
        <v>18100204010970</v>
      </c>
      <c r="AA143" s="28"/>
    </row>
    <row r="144" spans="1:29" x14ac:dyDescent="0.25">
      <c r="A144" s="61">
        <v>110030476465</v>
      </c>
      <c r="B144" s="28">
        <v>2018</v>
      </c>
      <c r="C144" s="68">
        <f t="shared" si="2"/>
        <v>43101</v>
      </c>
      <c r="D144" s="28" t="s">
        <v>114</v>
      </c>
      <c r="E144" s="28" t="s">
        <v>364</v>
      </c>
      <c r="F144" s="28" t="s">
        <v>365</v>
      </c>
      <c r="G144" s="28" t="s">
        <v>366</v>
      </c>
      <c r="H144" s="28">
        <v>92227</v>
      </c>
      <c r="I144" s="28">
        <v>33.017359999999996</v>
      </c>
      <c r="J144" s="28">
        <v>-115.50923</v>
      </c>
      <c r="L144" s="61">
        <v>110030476465</v>
      </c>
      <c r="M144" s="28" t="s">
        <v>263</v>
      </c>
      <c r="N144" s="28">
        <v>4952</v>
      </c>
      <c r="O144" s="28" t="str">
        <f>IFERROR(VLOOKUP(N144, 'SIC &amp; NAICS Codes'!A:B, 2, FALSE), "")</f>
        <v>Sewerage Systems</v>
      </c>
      <c r="S144" s="28">
        <v>3.3709210000000003E-2</v>
      </c>
      <c r="T144" s="315">
        <f>_xlfn.MAXIFS('Raw Period DMR Data'!$O:$O,'Raw Period DMR Data'!$A:$A,'Raw Annual DMR Data'!B144,'Raw Period DMR Data'!$C:$C,X144)/S144</f>
        <v>0</v>
      </c>
      <c r="U144" s="28" t="str">
        <f>+IF(COUNTIFS('Raw Period DMR Data'!$A:$A,B144, 'Raw Period DMR Data'!C:C,'Raw Annual DMR Data'!X144, 'Raw Period DMR Data'!M:M, "&gt;0")&gt;0,_xlfn.MAXIFS('Raw Period DMR Data'!M:M,'Raw Period DMR Data'!$A:$A,'Raw Annual DMR Data'!B144,'Raw Period DMR Data'!C:C,'Raw Annual DMR Data'!X144), "N/A - Period DMR Data Not Available")</f>
        <v>N/A - Period DMR Data Not Available</v>
      </c>
      <c r="V144" s="28" t="str" cm="1">
        <f t="array" ref="V144">IFERROR(INDEX('Raw Period DMR Data'!N:N,MATCH(1,(B144='Raw Period DMR Data'!$A:$A)*(U144='Raw Period DMR Data'!M:M)*(X144='Raw Period DMR Data'!C:C),0),1), "N/A")</f>
        <v>N/A</v>
      </c>
      <c r="W144" s="28" t="s">
        <v>1463</v>
      </c>
      <c r="X144" s="28" t="s">
        <v>794</v>
      </c>
      <c r="Y144" s="28" t="s">
        <v>795</v>
      </c>
      <c r="Z144" s="61">
        <v>18100204010970</v>
      </c>
    </row>
    <row r="145" spans="1:29" x14ac:dyDescent="0.25">
      <c r="A145" s="61">
        <v>110030476465</v>
      </c>
      <c r="B145" s="28">
        <v>2019</v>
      </c>
      <c r="C145" s="68">
        <f t="shared" si="2"/>
        <v>43466</v>
      </c>
      <c r="D145" s="28" t="s">
        <v>114</v>
      </c>
      <c r="E145" s="28" t="s">
        <v>364</v>
      </c>
      <c r="F145" s="28" t="s">
        <v>365</v>
      </c>
      <c r="G145" s="28" t="s">
        <v>366</v>
      </c>
      <c r="H145" s="28">
        <v>92227</v>
      </c>
      <c r="I145" s="28">
        <v>33.017359999999996</v>
      </c>
      <c r="J145" s="28">
        <v>-115.50923</v>
      </c>
      <c r="L145" s="61">
        <v>110030476465</v>
      </c>
      <c r="M145" s="28" t="s">
        <v>263</v>
      </c>
      <c r="N145" s="28">
        <v>4952</v>
      </c>
      <c r="O145" s="28" t="str">
        <f>IFERROR(VLOOKUP(N145, 'SIC &amp; NAICS Codes'!A:B, 2, FALSE), "")</f>
        <v>Sewerage Systems</v>
      </c>
      <c r="S145" s="28">
        <v>4.1860207500000003E-2</v>
      </c>
      <c r="T145" s="315">
        <f>_xlfn.MAXIFS('Raw Period DMR Data'!$O:$O,'Raw Period DMR Data'!$A:$A,'Raw Annual DMR Data'!B145,'Raw Period DMR Data'!$C:$C,X145)/S145</f>
        <v>0</v>
      </c>
      <c r="U145" s="28" t="str">
        <f>+IF(COUNTIFS('Raw Period DMR Data'!$A:$A,B145, 'Raw Period DMR Data'!C:C,'Raw Annual DMR Data'!X145, 'Raw Period DMR Data'!M:M, "&gt;0")&gt;0,_xlfn.MAXIFS('Raw Period DMR Data'!M:M,'Raw Period DMR Data'!$A:$A,'Raw Annual DMR Data'!B145,'Raw Period DMR Data'!C:C,'Raw Annual DMR Data'!X145), "N/A - Period DMR Data Not Available")</f>
        <v>N/A - Period DMR Data Not Available</v>
      </c>
      <c r="V145" s="28" t="str" cm="1">
        <f t="array" ref="V145">IFERROR(INDEX('Raw Period DMR Data'!N:N,MATCH(1,(B145='Raw Period DMR Data'!$A:$A)*(U145='Raw Period DMR Data'!M:M)*(X145='Raw Period DMR Data'!C:C),0),1), "N/A")</f>
        <v>N/A</v>
      </c>
      <c r="W145" s="28" t="s">
        <v>1463</v>
      </c>
      <c r="X145" s="28" t="s">
        <v>794</v>
      </c>
      <c r="Y145" s="28" t="s">
        <v>795</v>
      </c>
      <c r="Z145" s="61">
        <v>18100204010970</v>
      </c>
    </row>
    <row r="146" spans="1:29" x14ac:dyDescent="0.25">
      <c r="A146" s="61">
        <v>110000614746</v>
      </c>
      <c r="B146" s="28">
        <v>2019</v>
      </c>
      <c r="C146" s="68">
        <f t="shared" si="2"/>
        <v>43466</v>
      </c>
      <c r="D146" s="28" t="s">
        <v>1013</v>
      </c>
      <c r="E146" s="28" t="s">
        <v>1557</v>
      </c>
      <c r="F146" s="28" t="s">
        <v>1014</v>
      </c>
      <c r="G146" s="28" t="s">
        <v>349</v>
      </c>
      <c r="H146" s="28">
        <v>64068</v>
      </c>
      <c r="I146" s="28">
        <v>39.248446999999999</v>
      </c>
      <c r="J146" s="28">
        <v>-94.293233000000001</v>
      </c>
      <c r="L146" s="61">
        <v>110000614746</v>
      </c>
      <c r="M146" s="28" t="s">
        <v>6750</v>
      </c>
      <c r="N146" s="28">
        <v>4953</v>
      </c>
      <c r="O146" s="28" t="str">
        <f>IFERROR(VLOOKUP(N146, 'SIC &amp; NAICS Codes'!A:B, 2, FALSE), "")</f>
        <v>Refuse Systems (hazardous waste treatment and disposal)</v>
      </c>
      <c r="S146" s="28">
        <v>3.6966123961249903E-2</v>
      </c>
      <c r="T146" s="315">
        <f>_xlfn.MAXIFS('Raw Period DMR Data'!$O:$O,'Raw Period DMR Data'!$A:$A,'Raw Annual DMR Data'!B146,'Raw Period DMR Data'!$C:$C,X146)/S146</f>
        <v>0</v>
      </c>
      <c r="U146" s="28" t="str">
        <f>+IF(COUNTIFS('Raw Period DMR Data'!$A:$A,B146, 'Raw Period DMR Data'!C:C,'Raw Annual DMR Data'!X146, 'Raw Period DMR Data'!M:M, "&gt;0")&gt;0,_xlfn.MAXIFS('Raw Period DMR Data'!M:M,'Raw Period DMR Data'!$A:$A,'Raw Annual DMR Data'!B146,'Raw Period DMR Data'!C:C,'Raw Annual DMR Data'!X146), "N/A - Period DMR Data Not Available")</f>
        <v>N/A - Period DMR Data Not Available</v>
      </c>
      <c r="V146" s="28" t="str" cm="1">
        <f t="array" ref="V146">IFERROR(INDEX('Raw Period DMR Data'!N:N,MATCH(1,(B146='Raw Period DMR Data'!$A:$A)*(U146='Raw Period DMR Data'!M:M)*(X146='Raw Period DMR Data'!C:C),0),1), "N/A")</f>
        <v>N/A</v>
      </c>
      <c r="W146" s="28" t="s">
        <v>1463</v>
      </c>
      <c r="X146" s="28" t="s">
        <v>1558</v>
      </c>
      <c r="Y146" s="28" t="s">
        <v>1559</v>
      </c>
      <c r="Z146" s="28">
        <v>10300101002099</v>
      </c>
      <c r="AA146" s="28"/>
      <c r="AB146" s="28" t="s">
        <v>1465</v>
      </c>
      <c r="AC146" s="28" t="s">
        <v>1466</v>
      </c>
    </row>
    <row r="147" spans="1:29" x14ac:dyDescent="0.25">
      <c r="A147" s="61">
        <v>110000614746</v>
      </c>
      <c r="B147" s="28">
        <v>2020</v>
      </c>
      <c r="C147" s="68">
        <f t="shared" si="2"/>
        <v>43831</v>
      </c>
      <c r="D147" s="28" t="s">
        <v>1013</v>
      </c>
      <c r="E147" s="28" t="s">
        <v>1557</v>
      </c>
      <c r="F147" s="28" t="s">
        <v>1014</v>
      </c>
      <c r="G147" s="28" t="s">
        <v>349</v>
      </c>
      <c r="H147" s="28">
        <v>64068</v>
      </c>
      <c r="I147" s="28">
        <v>39.248446999999999</v>
      </c>
      <c r="J147" s="28">
        <v>-94.293233000000001</v>
      </c>
      <c r="L147" s="61">
        <v>110000614746</v>
      </c>
      <c r="M147" s="28" t="s">
        <v>6750</v>
      </c>
      <c r="N147" s="28">
        <v>4953</v>
      </c>
      <c r="O147" s="28" t="str">
        <f>IFERROR(VLOOKUP(N147, 'SIC &amp; NAICS Codes'!A:B, 2, FALSE), "")</f>
        <v>Refuse Systems (hazardous waste treatment and disposal)</v>
      </c>
      <c r="S147" s="28">
        <v>2.25365904142499E-2</v>
      </c>
      <c r="T147" s="315">
        <f>_xlfn.MAXIFS('Raw Period DMR Data'!$O:$O,'Raw Period DMR Data'!$A:$A,'Raw Annual DMR Data'!B147,'Raw Period DMR Data'!$C:$C,X147)/S147</f>
        <v>0</v>
      </c>
      <c r="U147" s="28" t="str">
        <f>+IF(COUNTIFS('Raw Period DMR Data'!$A:$A,B147, 'Raw Period DMR Data'!C:C,'Raw Annual DMR Data'!X147, 'Raw Period DMR Data'!M:M, "&gt;0")&gt;0,_xlfn.MAXIFS('Raw Period DMR Data'!M:M,'Raw Period DMR Data'!$A:$A,'Raw Annual DMR Data'!B147,'Raw Period DMR Data'!C:C,'Raw Annual DMR Data'!X147), "N/A - Period DMR Data Not Available")</f>
        <v>N/A - Period DMR Data Not Available</v>
      </c>
      <c r="V147" s="28" t="str" cm="1">
        <f t="array" ref="V147">IFERROR(INDEX('Raw Period DMR Data'!N:N,MATCH(1,(B147='Raw Period DMR Data'!$A:$A)*(U147='Raw Period DMR Data'!M:M)*(X147='Raw Period DMR Data'!C:C),0),1), "N/A")</f>
        <v>N/A</v>
      </c>
      <c r="W147" s="28" t="s">
        <v>1463</v>
      </c>
      <c r="X147" s="28" t="s">
        <v>1558</v>
      </c>
      <c r="Y147" s="28" t="s">
        <v>1559</v>
      </c>
      <c r="Z147" s="28">
        <v>10300101002099</v>
      </c>
      <c r="AA147" s="28"/>
      <c r="AB147" s="28" t="s">
        <v>1465</v>
      </c>
      <c r="AC147" s="28" t="s">
        <v>1466</v>
      </c>
    </row>
    <row r="148" spans="1:29" x14ac:dyDescent="0.25">
      <c r="A148" s="61">
        <v>110005972965</v>
      </c>
      <c r="B148" s="28">
        <v>2019</v>
      </c>
      <c r="C148" s="68">
        <f t="shared" si="2"/>
        <v>43466</v>
      </c>
      <c r="D148" s="28" t="s">
        <v>1015</v>
      </c>
      <c r="E148" s="28" t="s">
        <v>1560</v>
      </c>
      <c r="F148" s="28" t="s">
        <v>1016</v>
      </c>
      <c r="G148" s="28" t="s">
        <v>366</v>
      </c>
      <c r="H148" s="28" t="s">
        <v>1561</v>
      </c>
      <c r="I148" s="28">
        <v>37.499200000000002</v>
      </c>
      <c r="J148" s="28">
        <v>-122.411</v>
      </c>
      <c r="L148" s="61">
        <v>110005972965</v>
      </c>
      <c r="M148" s="28" t="s">
        <v>6750</v>
      </c>
      <c r="N148" s="28">
        <v>4953</v>
      </c>
      <c r="O148" s="28" t="str">
        <f>IFERROR(VLOOKUP(N148, 'SIC &amp; NAICS Codes'!A:B, 2, FALSE), "")</f>
        <v>Refuse Systems (hazardous waste treatment and disposal)</v>
      </c>
      <c r="S148" s="28">
        <v>2.4279058502499901E-4</v>
      </c>
      <c r="T148" s="315">
        <f>_xlfn.MAXIFS('Raw Period DMR Data'!$O:$O,'Raw Period DMR Data'!$A:$A,'Raw Annual DMR Data'!B148,'Raw Period DMR Data'!$C:$C,X148)/S148</f>
        <v>0</v>
      </c>
      <c r="U148" s="28" t="str">
        <f>+IF(COUNTIFS('Raw Period DMR Data'!$A:$A,B148, 'Raw Period DMR Data'!C:C,'Raw Annual DMR Data'!X148, 'Raw Period DMR Data'!M:M, "&gt;0")&gt;0,_xlfn.MAXIFS('Raw Period DMR Data'!M:M,'Raw Period DMR Data'!$A:$A,'Raw Annual DMR Data'!B148,'Raw Period DMR Data'!C:C,'Raw Annual DMR Data'!X148), "N/A - Period DMR Data Not Available")</f>
        <v>N/A - Period DMR Data Not Available</v>
      </c>
      <c r="V148" s="28" t="str" cm="1">
        <f t="array" ref="V148">IFERROR(INDEX('Raw Period DMR Data'!N:N,MATCH(1,(B148='Raw Period DMR Data'!$A:$A)*(U148='Raw Period DMR Data'!M:M)*(X148='Raw Period DMR Data'!C:C),0),1), "N/A")</f>
        <v>N/A</v>
      </c>
      <c r="W148" s="28" t="s">
        <v>1463</v>
      </c>
      <c r="X148" s="28" t="s">
        <v>1562</v>
      </c>
      <c r="Y148" s="28" t="s">
        <v>1563</v>
      </c>
      <c r="Z148" s="28">
        <v>18050006000165</v>
      </c>
      <c r="AA148" s="28"/>
      <c r="AB148" s="28" t="s">
        <v>1465</v>
      </c>
      <c r="AC148" s="28" t="s">
        <v>1466</v>
      </c>
    </row>
    <row r="149" spans="1:29" x14ac:dyDescent="0.25">
      <c r="A149" s="61">
        <v>110017980443</v>
      </c>
      <c r="B149" s="28">
        <v>2017</v>
      </c>
      <c r="C149" s="68">
        <f t="shared" si="2"/>
        <v>42736</v>
      </c>
      <c r="D149" s="28" t="s">
        <v>44</v>
      </c>
      <c r="E149" s="28" t="s">
        <v>367</v>
      </c>
      <c r="F149" s="28" t="s">
        <v>368</v>
      </c>
      <c r="G149" s="28" t="s">
        <v>349</v>
      </c>
      <c r="H149" s="28">
        <v>63630</v>
      </c>
      <c r="I149" s="28">
        <v>37.983333000000002</v>
      </c>
      <c r="J149" s="28">
        <v>-90.690832999999998</v>
      </c>
      <c r="K149" s="28" t="s">
        <v>369</v>
      </c>
      <c r="L149" s="61">
        <v>110017980443</v>
      </c>
      <c r="M149" s="28" t="s">
        <v>251</v>
      </c>
      <c r="N149" s="28">
        <v>2899</v>
      </c>
      <c r="O149" s="28" t="str">
        <f>IFERROR(VLOOKUP(N149, 'SIC &amp; NAICS Codes'!A:B, 2, FALSE), "")</f>
        <v>Chemicals and Chemical Preparations, NEC (table salt)</v>
      </c>
      <c r="S149" s="28">
        <v>0.130298625</v>
      </c>
      <c r="T149" s="315">
        <f>_xlfn.MAXIFS('Raw Period DMR Data'!$O:$O,'Raw Period DMR Data'!$A:$A,'Raw Annual DMR Data'!B149,'Raw Period DMR Data'!$C:$C,X149)/S149</f>
        <v>0</v>
      </c>
      <c r="U149" s="28" t="str">
        <f>+IF(COUNTIFS('Raw Period DMR Data'!$A:$A,B149, 'Raw Period DMR Data'!C:C,'Raw Annual DMR Data'!X149, 'Raw Period DMR Data'!M:M, "&gt;0")&gt;0,_xlfn.MAXIFS('Raw Period DMR Data'!M:M,'Raw Period DMR Data'!$A:$A,'Raw Annual DMR Data'!B149,'Raw Period DMR Data'!C:C,'Raw Annual DMR Data'!X149), "N/A - Period DMR Data Not Available")</f>
        <v>N/A - Period DMR Data Not Available</v>
      </c>
      <c r="V149" s="28" t="str" cm="1">
        <f t="array" ref="V149">IFERROR(INDEX('Raw Period DMR Data'!N:N,MATCH(1,(B149='Raw Period DMR Data'!$A:$A)*(U149='Raw Period DMR Data'!M:M)*(X149='Raw Period DMR Data'!C:C),0),1), "N/A")</f>
        <v>N/A</v>
      </c>
      <c r="W149" s="28" t="s">
        <v>1463</v>
      </c>
      <c r="X149" s="28" t="s">
        <v>796</v>
      </c>
      <c r="Y149" s="28" t="s">
        <v>797</v>
      </c>
      <c r="Z149" s="61">
        <v>7140104001615</v>
      </c>
      <c r="AA149" s="28"/>
    </row>
    <row r="150" spans="1:29" x14ac:dyDescent="0.25">
      <c r="A150" s="61">
        <v>110017980443</v>
      </c>
      <c r="B150" s="28">
        <v>2015</v>
      </c>
      <c r="C150" s="68">
        <f t="shared" si="2"/>
        <v>42005</v>
      </c>
      <c r="D150" s="28" t="s">
        <v>44</v>
      </c>
      <c r="E150" s="28" t="s">
        <v>367</v>
      </c>
      <c r="F150" s="28" t="s">
        <v>368</v>
      </c>
      <c r="G150" s="28" t="s">
        <v>349</v>
      </c>
      <c r="H150" s="28">
        <v>63630</v>
      </c>
      <c r="I150" s="28">
        <v>37.983333000000002</v>
      </c>
      <c r="J150" s="28">
        <v>-90.690832999999998</v>
      </c>
      <c r="K150" s="28" t="s">
        <v>369</v>
      </c>
      <c r="L150" s="61">
        <v>110017980443</v>
      </c>
      <c r="M150" s="28" t="s">
        <v>251</v>
      </c>
      <c r="N150" s="28">
        <v>2899</v>
      </c>
      <c r="O150" s="28" t="str">
        <f>IFERROR(VLOOKUP(N150, 'SIC &amp; NAICS Codes'!A:B, 2, FALSE), "")</f>
        <v>Chemicals and Chemical Preparations, NEC (table salt)</v>
      </c>
      <c r="S150" s="28">
        <v>0.15940960504000001</v>
      </c>
      <c r="T150" s="315">
        <f>_xlfn.MAXIFS('Raw Period DMR Data'!$O:$O,'Raw Period DMR Data'!$A:$A,'Raw Annual DMR Data'!B150,'Raw Period DMR Data'!$C:$C,X150)/S150</f>
        <v>0</v>
      </c>
      <c r="U150" s="28" t="str">
        <f>+IF(COUNTIFS('Raw Period DMR Data'!$A:$A,B150, 'Raw Period DMR Data'!C:C,'Raw Annual DMR Data'!X150, 'Raw Period DMR Data'!M:M, "&gt;0")&gt;0,_xlfn.MAXIFS('Raw Period DMR Data'!M:M,'Raw Period DMR Data'!$A:$A,'Raw Annual DMR Data'!B150,'Raw Period DMR Data'!C:C,'Raw Annual DMR Data'!X150), "N/A - Period DMR Data Not Available")</f>
        <v>N/A - Period DMR Data Not Available</v>
      </c>
      <c r="V150" s="28" t="str" cm="1">
        <f t="array" ref="V150">IFERROR(INDEX('Raw Period DMR Data'!N:N,MATCH(1,(B150='Raw Period DMR Data'!$A:$A)*(U150='Raw Period DMR Data'!M:M)*(X150='Raw Period DMR Data'!C:C),0),1), "N/A")</f>
        <v>N/A</v>
      </c>
      <c r="W150" s="28" t="s">
        <v>1463</v>
      </c>
      <c r="X150" s="28" t="s">
        <v>796</v>
      </c>
      <c r="Y150" s="28" t="s">
        <v>1564</v>
      </c>
      <c r="Z150" s="28">
        <v>7140104001615</v>
      </c>
      <c r="AA150" s="28"/>
      <c r="AB150" s="28" t="s">
        <v>1465</v>
      </c>
      <c r="AC150" s="28" t="s">
        <v>1466</v>
      </c>
    </row>
    <row r="151" spans="1:29" x14ac:dyDescent="0.25">
      <c r="A151" s="61">
        <v>110017980443</v>
      </c>
      <c r="B151" s="28">
        <v>2016</v>
      </c>
      <c r="C151" s="68">
        <f t="shared" si="2"/>
        <v>42370</v>
      </c>
      <c r="D151" s="28" t="s">
        <v>44</v>
      </c>
      <c r="E151" s="28" t="s">
        <v>367</v>
      </c>
      <c r="F151" s="28" t="s">
        <v>368</v>
      </c>
      <c r="G151" s="28" t="s">
        <v>349</v>
      </c>
      <c r="H151" s="28">
        <v>63630</v>
      </c>
      <c r="I151" s="28">
        <v>37.983333000000002</v>
      </c>
      <c r="J151" s="28">
        <v>-90.690832999999998</v>
      </c>
      <c r="K151" s="28" t="s">
        <v>369</v>
      </c>
      <c r="L151" s="61">
        <v>110017980443</v>
      </c>
      <c r="M151" s="28" t="s">
        <v>251</v>
      </c>
      <c r="N151" s="28">
        <v>2899</v>
      </c>
      <c r="O151" s="28" t="str">
        <f>IFERROR(VLOOKUP(N151, 'SIC &amp; NAICS Codes'!A:B, 2, FALSE), "")</f>
        <v>Chemicals and Chemical Preparations, NEC (table salt)</v>
      </c>
      <c r="S151" s="28">
        <v>0.107437225</v>
      </c>
      <c r="T151" s="315">
        <f>_xlfn.MAXIFS('Raw Period DMR Data'!$O:$O,'Raw Period DMR Data'!$A:$A,'Raw Annual DMR Data'!B151,'Raw Period DMR Data'!$C:$C,X151)/S151</f>
        <v>0</v>
      </c>
      <c r="U151" s="28" t="str">
        <f>+IF(COUNTIFS('Raw Period DMR Data'!$A:$A,B151, 'Raw Period DMR Data'!C:C,'Raw Annual DMR Data'!X151, 'Raw Period DMR Data'!M:M, "&gt;0")&gt;0,_xlfn.MAXIFS('Raw Period DMR Data'!M:M,'Raw Period DMR Data'!$A:$A,'Raw Annual DMR Data'!B151,'Raw Period DMR Data'!C:C,'Raw Annual DMR Data'!X151), "N/A - Period DMR Data Not Available")</f>
        <v>N/A - Period DMR Data Not Available</v>
      </c>
      <c r="V151" s="28" t="str" cm="1">
        <f t="array" ref="V151">IFERROR(INDEX('Raw Period DMR Data'!N:N,MATCH(1,(B151='Raw Period DMR Data'!$A:$A)*(U151='Raw Period DMR Data'!M:M)*(X151='Raw Period DMR Data'!C:C),0),1), "N/A")</f>
        <v>N/A</v>
      </c>
      <c r="W151" s="28" t="s">
        <v>1463</v>
      </c>
      <c r="X151" s="28" t="s">
        <v>796</v>
      </c>
      <c r="Y151" s="28" t="s">
        <v>1564</v>
      </c>
      <c r="Z151" s="28">
        <v>7140104001615</v>
      </c>
      <c r="AA151" s="28"/>
      <c r="AB151" s="28" t="s">
        <v>1465</v>
      </c>
      <c r="AC151" s="28" t="s">
        <v>1466</v>
      </c>
    </row>
    <row r="152" spans="1:29" x14ac:dyDescent="0.25">
      <c r="A152" s="61">
        <v>110017980443</v>
      </c>
      <c r="B152" s="28">
        <v>2017</v>
      </c>
      <c r="C152" s="68">
        <f t="shared" si="2"/>
        <v>42736</v>
      </c>
      <c r="D152" s="28" t="s">
        <v>44</v>
      </c>
      <c r="E152" s="28" t="s">
        <v>367</v>
      </c>
      <c r="F152" s="28" t="s">
        <v>368</v>
      </c>
      <c r="G152" s="28" t="s">
        <v>349</v>
      </c>
      <c r="H152" s="28">
        <v>63630</v>
      </c>
      <c r="I152" s="28">
        <v>37.983333000000002</v>
      </c>
      <c r="J152" s="28">
        <v>-90.690832999999998</v>
      </c>
      <c r="K152" s="28" t="s">
        <v>369</v>
      </c>
      <c r="L152" s="61">
        <v>110017980443</v>
      </c>
      <c r="M152" s="28" t="s">
        <v>251</v>
      </c>
      <c r="N152" s="28">
        <v>2899</v>
      </c>
      <c r="O152" s="28" t="str">
        <f>IFERROR(VLOOKUP(N152, 'SIC &amp; NAICS Codes'!A:B, 2, FALSE), "")</f>
        <v>Chemicals and Chemical Preparations, NEC (table salt)</v>
      </c>
      <c r="S152" s="28">
        <v>0.15519940570999999</v>
      </c>
      <c r="T152" s="315">
        <f>_xlfn.MAXIFS('Raw Period DMR Data'!$O:$O,'Raw Period DMR Data'!$A:$A,'Raw Annual DMR Data'!B152,'Raw Period DMR Data'!$C:$C,X152)/S152</f>
        <v>0</v>
      </c>
      <c r="U152" s="28" t="str">
        <f>+IF(COUNTIFS('Raw Period DMR Data'!$A:$A,B152, 'Raw Period DMR Data'!C:C,'Raw Annual DMR Data'!X152, 'Raw Period DMR Data'!M:M, "&gt;0")&gt;0,_xlfn.MAXIFS('Raw Period DMR Data'!M:M,'Raw Period DMR Data'!$A:$A,'Raw Annual DMR Data'!B152,'Raw Period DMR Data'!C:C,'Raw Annual DMR Data'!X152), "N/A - Period DMR Data Not Available")</f>
        <v>N/A - Period DMR Data Not Available</v>
      </c>
      <c r="V152" s="28" t="str" cm="1">
        <f t="array" ref="V152">IFERROR(INDEX('Raw Period DMR Data'!N:N,MATCH(1,(B152='Raw Period DMR Data'!$A:$A)*(U152='Raw Period DMR Data'!M:M)*(X152='Raw Period DMR Data'!C:C),0),1), "N/A")</f>
        <v>N/A</v>
      </c>
      <c r="W152" s="28" t="s">
        <v>1463</v>
      </c>
      <c r="X152" s="28" t="s">
        <v>796</v>
      </c>
      <c r="Y152" s="28" t="s">
        <v>1564</v>
      </c>
      <c r="Z152" s="28">
        <v>7140104001615</v>
      </c>
      <c r="AA152" s="28"/>
      <c r="AB152" s="28" t="s">
        <v>1465</v>
      </c>
      <c r="AC152" s="28" t="s">
        <v>1466</v>
      </c>
    </row>
    <row r="153" spans="1:29" x14ac:dyDescent="0.25">
      <c r="A153" s="61">
        <v>110017980443</v>
      </c>
      <c r="B153" s="28">
        <v>2018</v>
      </c>
      <c r="C153" s="68">
        <f t="shared" si="2"/>
        <v>43101</v>
      </c>
      <c r="D153" s="28" t="s">
        <v>44</v>
      </c>
      <c r="E153" s="28" t="s">
        <v>367</v>
      </c>
      <c r="F153" s="28" t="s">
        <v>368</v>
      </c>
      <c r="G153" s="28" t="s">
        <v>349</v>
      </c>
      <c r="H153" s="28">
        <v>63630</v>
      </c>
      <c r="I153" s="28">
        <v>37.983333000000002</v>
      </c>
      <c r="J153" s="28">
        <v>-90.690832999999998</v>
      </c>
      <c r="K153" s="28" t="s">
        <v>369</v>
      </c>
      <c r="L153" s="61">
        <v>110017980443</v>
      </c>
      <c r="M153" s="28" t="s">
        <v>251</v>
      </c>
      <c r="N153" s="28">
        <v>2899</v>
      </c>
      <c r="O153" s="28" t="str">
        <f>IFERROR(VLOOKUP(N153, 'SIC &amp; NAICS Codes'!A:B, 2, FALSE), "")</f>
        <v>Chemicals and Chemical Preparations, NEC (table salt)</v>
      </c>
      <c r="S153" s="28">
        <v>6.1429399359999998E-2</v>
      </c>
      <c r="T153" s="315">
        <f>_xlfn.MAXIFS('Raw Period DMR Data'!$O:$O,'Raw Period DMR Data'!$A:$A,'Raw Annual DMR Data'!B153,'Raw Period DMR Data'!$C:$C,X153)/S153</f>
        <v>0</v>
      </c>
      <c r="U153" s="28" t="str">
        <f>+IF(COUNTIFS('Raw Period DMR Data'!$A:$A,B153, 'Raw Period DMR Data'!C:C,'Raw Annual DMR Data'!X153, 'Raw Period DMR Data'!M:M, "&gt;0")&gt;0,_xlfn.MAXIFS('Raw Period DMR Data'!M:M,'Raw Period DMR Data'!$A:$A,'Raw Annual DMR Data'!B153,'Raw Period DMR Data'!C:C,'Raw Annual DMR Data'!X153), "N/A - Period DMR Data Not Available")</f>
        <v>N/A - Period DMR Data Not Available</v>
      </c>
      <c r="V153" s="28" t="str" cm="1">
        <f t="array" ref="V153">IFERROR(INDEX('Raw Period DMR Data'!N:N,MATCH(1,(B153='Raw Period DMR Data'!$A:$A)*(U153='Raw Period DMR Data'!M:M)*(X153='Raw Period DMR Data'!C:C),0),1), "N/A")</f>
        <v>N/A</v>
      </c>
      <c r="W153" s="28" t="s">
        <v>1463</v>
      </c>
      <c r="X153" s="28" t="s">
        <v>796</v>
      </c>
      <c r="Y153" s="28" t="s">
        <v>1564</v>
      </c>
      <c r="Z153" s="302" t="s">
        <v>1565</v>
      </c>
      <c r="AA153" s="28"/>
      <c r="AB153" s="28" t="s">
        <v>1465</v>
      </c>
      <c r="AC153" s="28" t="s">
        <v>1466</v>
      </c>
    </row>
    <row r="154" spans="1:29" x14ac:dyDescent="0.25">
      <c r="A154" s="61">
        <v>110017980443</v>
      </c>
      <c r="B154" s="28">
        <v>2018</v>
      </c>
      <c r="C154" s="68">
        <f t="shared" si="2"/>
        <v>43101</v>
      </c>
      <c r="D154" s="28" t="s">
        <v>44</v>
      </c>
      <c r="E154" s="28" t="s">
        <v>367</v>
      </c>
      <c r="F154" s="28" t="s">
        <v>368</v>
      </c>
      <c r="G154" s="28" t="s">
        <v>349</v>
      </c>
      <c r="H154" s="28">
        <v>63630</v>
      </c>
      <c r="I154" s="28">
        <v>37.983333000000002</v>
      </c>
      <c r="J154" s="28">
        <v>-90.690832999999998</v>
      </c>
      <c r="K154" s="28" t="s">
        <v>369</v>
      </c>
      <c r="L154" s="61">
        <v>110017980443</v>
      </c>
      <c r="M154" s="28" t="s">
        <v>251</v>
      </c>
      <c r="N154" s="28">
        <v>2899</v>
      </c>
      <c r="O154" s="28" t="str">
        <f>IFERROR(VLOOKUP(N154, 'SIC &amp; NAICS Codes'!A:B, 2, FALSE), "")</f>
        <v>Chemicals and Chemical Preparations, NEC (table salt)</v>
      </c>
      <c r="S154" s="28">
        <v>3.4273402100000001E-3</v>
      </c>
      <c r="T154" s="315">
        <f>_xlfn.MAXIFS('Raw Period DMR Data'!$O:$O,'Raw Period DMR Data'!$A:$A,'Raw Annual DMR Data'!B154,'Raw Period DMR Data'!$C:$C,X154)/S154</f>
        <v>0</v>
      </c>
      <c r="U154" s="28" t="str">
        <f>+IF(COUNTIFS('Raw Period DMR Data'!$A:$A,B154, 'Raw Period DMR Data'!C:C,'Raw Annual DMR Data'!X154, 'Raw Period DMR Data'!M:M, "&gt;0")&gt;0,_xlfn.MAXIFS('Raw Period DMR Data'!M:M,'Raw Period DMR Data'!$A:$A,'Raw Annual DMR Data'!B154,'Raw Period DMR Data'!C:C,'Raw Annual DMR Data'!X154), "N/A - Period DMR Data Not Available")</f>
        <v>N/A - Period DMR Data Not Available</v>
      </c>
      <c r="V154" s="28" t="str" cm="1">
        <f t="array" ref="V154">IFERROR(INDEX('Raw Period DMR Data'!N:N,MATCH(1,(B154='Raw Period DMR Data'!$A:$A)*(U154='Raw Period DMR Data'!M:M)*(X154='Raw Period DMR Data'!C:C),0),1), "N/A")</f>
        <v>N/A</v>
      </c>
      <c r="W154" s="28" t="s">
        <v>1463</v>
      </c>
      <c r="X154" s="28" t="s">
        <v>796</v>
      </c>
      <c r="Y154" s="28" t="s">
        <v>1564</v>
      </c>
      <c r="Z154" s="302" t="s">
        <v>1565</v>
      </c>
      <c r="AA154" s="28"/>
      <c r="AB154" s="28" t="s">
        <v>1465</v>
      </c>
      <c r="AC154" s="28" t="s">
        <v>1466</v>
      </c>
    </row>
    <row r="155" spans="1:29" x14ac:dyDescent="0.25">
      <c r="A155" s="61">
        <v>110017980443</v>
      </c>
      <c r="B155" s="28">
        <v>2019</v>
      </c>
      <c r="C155" s="68">
        <f t="shared" si="2"/>
        <v>43466</v>
      </c>
      <c r="D155" s="28" t="s">
        <v>44</v>
      </c>
      <c r="E155" s="28" t="s">
        <v>367</v>
      </c>
      <c r="F155" s="28" t="s">
        <v>368</v>
      </c>
      <c r="G155" s="28" t="s">
        <v>349</v>
      </c>
      <c r="H155" s="28">
        <v>63630</v>
      </c>
      <c r="I155" s="28">
        <v>37.983333000000002</v>
      </c>
      <c r="J155" s="28">
        <v>-90.690832999999998</v>
      </c>
      <c r="K155" s="28" t="s">
        <v>369</v>
      </c>
      <c r="L155" s="61">
        <v>110017980443</v>
      </c>
      <c r="M155" s="28" t="s">
        <v>251</v>
      </c>
      <c r="N155" s="28">
        <v>2899</v>
      </c>
      <c r="O155" s="28" t="str">
        <f>IFERROR(VLOOKUP(N155, 'SIC &amp; NAICS Codes'!A:B, 2, FALSE), "")</f>
        <v>Chemicals and Chemical Preparations, NEC (table salt)</v>
      </c>
      <c r="S155" s="28">
        <v>0.1438499147775</v>
      </c>
      <c r="T155" s="315">
        <f>_xlfn.MAXIFS('Raw Period DMR Data'!$O:$O,'Raw Period DMR Data'!$A:$A,'Raw Annual DMR Data'!B155,'Raw Period DMR Data'!$C:$C,X155)/S155</f>
        <v>0</v>
      </c>
      <c r="U155" s="28" t="str">
        <f>+IF(COUNTIFS('Raw Period DMR Data'!$A:$A,B155, 'Raw Period DMR Data'!C:C,'Raw Annual DMR Data'!X155, 'Raw Period DMR Data'!M:M, "&gt;0")&gt;0,_xlfn.MAXIFS('Raw Period DMR Data'!M:M,'Raw Period DMR Data'!$A:$A,'Raw Annual DMR Data'!B155,'Raw Period DMR Data'!C:C,'Raw Annual DMR Data'!X155), "N/A - Period DMR Data Not Available")</f>
        <v>N/A - Period DMR Data Not Available</v>
      </c>
      <c r="V155" s="28" t="str" cm="1">
        <f t="array" ref="V155">IFERROR(INDEX('Raw Period DMR Data'!N:N,MATCH(1,(B155='Raw Period DMR Data'!$A:$A)*(U155='Raw Period DMR Data'!M:M)*(X155='Raw Period DMR Data'!C:C),0),1), "N/A")</f>
        <v>N/A</v>
      </c>
      <c r="W155" s="28" t="s">
        <v>1463</v>
      </c>
      <c r="X155" s="28" t="s">
        <v>796</v>
      </c>
      <c r="Y155" s="28" t="s">
        <v>1564</v>
      </c>
      <c r="Z155" s="28">
        <v>7140104001615</v>
      </c>
      <c r="AA155" s="28"/>
      <c r="AB155" s="28" t="s">
        <v>1465</v>
      </c>
      <c r="AC155" s="28" t="s">
        <v>1466</v>
      </c>
    </row>
    <row r="156" spans="1:29" x14ac:dyDescent="0.25">
      <c r="A156" s="61">
        <v>110017980443</v>
      </c>
      <c r="B156" s="28">
        <v>2019</v>
      </c>
      <c r="C156" s="68">
        <f t="shared" si="2"/>
        <v>43466</v>
      </c>
      <c r="D156" s="28" t="s">
        <v>44</v>
      </c>
      <c r="E156" s="28" t="s">
        <v>367</v>
      </c>
      <c r="F156" s="28" t="s">
        <v>368</v>
      </c>
      <c r="G156" s="28" t="s">
        <v>349</v>
      </c>
      <c r="H156" s="28">
        <v>63630</v>
      </c>
      <c r="I156" s="28">
        <v>37.983333000000002</v>
      </c>
      <c r="J156" s="28">
        <v>-90.690832999999998</v>
      </c>
      <c r="K156" s="28" t="s">
        <v>369</v>
      </c>
      <c r="L156" s="61">
        <v>110017980443</v>
      </c>
      <c r="M156" s="28" t="s">
        <v>251</v>
      </c>
      <c r="N156" s="28">
        <v>2899</v>
      </c>
      <c r="O156" s="28" t="str">
        <f>IFERROR(VLOOKUP(N156, 'SIC &amp; NAICS Codes'!A:B, 2, FALSE), "")</f>
        <v>Chemicals and Chemical Preparations, NEC (table salt)</v>
      </c>
      <c r="S156" s="28">
        <v>9.4349849425000003E-3</v>
      </c>
      <c r="T156" s="315">
        <f>_xlfn.MAXIFS('Raw Period DMR Data'!$O:$O,'Raw Period DMR Data'!$A:$A,'Raw Annual DMR Data'!B156,'Raw Period DMR Data'!$C:$C,X156)/S156</f>
        <v>0</v>
      </c>
      <c r="U156" s="28" t="str">
        <f>+IF(COUNTIFS('Raw Period DMR Data'!$A:$A,B156, 'Raw Period DMR Data'!C:C,'Raw Annual DMR Data'!X156, 'Raw Period DMR Data'!M:M, "&gt;0")&gt;0,_xlfn.MAXIFS('Raw Period DMR Data'!M:M,'Raw Period DMR Data'!$A:$A,'Raw Annual DMR Data'!B156,'Raw Period DMR Data'!C:C,'Raw Annual DMR Data'!X156), "N/A - Period DMR Data Not Available")</f>
        <v>N/A - Period DMR Data Not Available</v>
      </c>
      <c r="V156" s="28" t="str" cm="1">
        <f t="array" ref="V156">IFERROR(INDEX('Raw Period DMR Data'!N:N,MATCH(1,(B156='Raw Period DMR Data'!$A:$A)*(U156='Raw Period DMR Data'!M:M)*(X156='Raw Period DMR Data'!C:C),0),1), "N/A")</f>
        <v>N/A</v>
      </c>
      <c r="W156" s="28" t="s">
        <v>1463</v>
      </c>
      <c r="X156" s="28" t="s">
        <v>796</v>
      </c>
      <c r="Y156" s="28" t="s">
        <v>1564</v>
      </c>
      <c r="Z156" s="28">
        <v>7140104001615</v>
      </c>
      <c r="AA156" s="28"/>
      <c r="AB156" s="28" t="s">
        <v>1465</v>
      </c>
      <c r="AC156" s="28" t="s">
        <v>1466</v>
      </c>
    </row>
    <row r="157" spans="1:29" x14ac:dyDescent="0.25">
      <c r="A157" s="61">
        <v>110017980443</v>
      </c>
      <c r="B157" s="28">
        <v>2020</v>
      </c>
      <c r="C157" s="68">
        <f t="shared" si="2"/>
        <v>43831</v>
      </c>
      <c r="D157" s="28" t="s">
        <v>44</v>
      </c>
      <c r="E157" s="28" t="s">
        <v>367</v>
      </c>
      <c r="F157" s="28" t="s">
        <v>368</v>
      </c>
      <c r="G157" s="28" t="s">
        <v>349</v>
      </c>
      <c r="H157" s="28">
        <v>63630</v>
      </c>
      <c r="I157" s="28">
        <v>37.983333000000002</v>
      </c>
      <c r="J157" s="28">
        <v>-90.690832999999998</v>
      </c>
      <c r="K157" s="28" t="s">
        <v>369</v>
      </c>
      <c r="L157" s="61">
        <v>110017980443</v>
      </c>
      <c r="M157" s="28" t="s">
        <v>251</v>
      </c>
      <c r="N157" s="28">
        <v>2899</v>
      </c>
      <c r="O157" s="28" t="str">
        <f>IFERROR(VLOOKUP(N157, 'SIC &amp; NAICS Codes'!A:B, 2, FALSE), "")</f>
        <v>Chemicals and Chemical Preparations, NEC (table salt)</v>
      </c>
      <c r="S157" s="28">
        <v>2.38932263266666E-2</v>
      </c>
      <c r="T157" s="315">
        <f>_xlfn.MAXIFS('Raw Period DMR Data'!$O:$O,'Raw Period DMR Data'!$A:$A,'Raw Annual DMR Data'!B157,'Raw Period DMR Data'!$C:$C,X157)/S157</f>
        <v>0</v>
      </c>
      <c r="U157" s="28" t="str">
        <f>+IF(COUNTIFS('Raw Period DMR Data'!$A:$A,B157, 'Raw Period DMR Data'!C:C,'Raw Annual DMR Data'!X157, 'Raw Period DMR Data'!M:M, "&gt;0")&gt;0,_xlfn.MAXIFS('Raw Period DMR Data'!M:M,'Raw Period DMR Data'!$A:$A,'Raw Annual DMR Data'!B157,'Raw Period DMR Data'!C:C,'Raw Annual DMR Data'!X157), "N/A - Period DMR Data Not Available")</f>
        <v>N/A - Period DMR Data Not Available</v>
      </c>
      <c r="V157" s="28" t="str" cm="1">
        <f t="array" ref="V157">IFERROR(INDEX('Raw Period DMR Data'!N:N,MATCH(1,(B157='Raw Period DMR Data'!$A:$A)*(U157='Raw Period DMR Data'!M:M)*(X157='Raw Period DMR Data'!C:C),0),1), "N/A")</f>
        <v>N/A</v>
      </c>
      <c r="W157" s="28" t="s">
        <v>1463</v>
      </c>
      <c r="X157" s="28" t="s">
        <v>796</v>
      </c>
      <c r="Y157" s="28" t="s">
        <v>1564</v>
      </c>
      <c r="Z157" s="28">
        <v>7140104001615</v>
      </c>
      <c r="AA157" s="28"/>
      <c r="AB157" s="28" t="s">
        <v>1465</v>
      </c>
      <c r="AC157" s="28" t="s">
        <v>1466</v>
      </c>
    </row>
    <row r="158" spans="1:29" x14ac:dyDescent="0.25">
      <c r="A158" s="61">
        <v>110017980443</v>
      </c>
      <c r="B158" s="28">
        <v>2020</v>
      </c>
      <c r="C158" s="68">
        <f t="shared" si="2"/>
        <v>43831</v>
      </c>
      <c r="D158" s="28" t="s">
        <v>44</v>
      </c>
      <c r="E158" s="28" t="s">
        <v>367</v>
      </c>
      <c r="F158" s="28" t="s">
        <v>368</v>
      </c>
      <c r="G158" s="28" t="s">
        <v>349</v>
      </c>
      <c r="H158" s="28">
        <v>63630</v>
      </c>
      <c r="I158" s="28">
        <v>37.983333000000002</v>
      </c>
      <c r="J158" s="28">
        <v>-90.690832999999998</v>
      </c>
      <c r="K158" s="28" t="s">
        <v>369</v>
      </c>
      <c r="L158" s="61">
        <v>110017980443</v>
      </c>
      <c r="M158" s="28" t="s">
        <v>251</v>
      </c>
      <c r="N158" s="28">
        <v>2899</v>
      </c>
      <c r="O158" s="28" t="str">
        <f>IFERROR(VLOOKUP(N158, 'SIC &amp; NAICS Codes'!A:B, 2, FALSE), "")</f>
        <v>Chemicals and Chemical Preparations, NEC (table salt)</v>
      </c>
      <c r="S158" s="28">
        <v>1.7127882000000001E-3</v>
      </c>
      <c r="T158" s="315">
        <f>_xlfn.MAXIFS('Raw Period DMR Data'!$O:$O,'Raw Period DMR Data'!$A:$A,'Raw Annual DMR Data'!B158,'Raw Period DMR Data'!$C:$C,X158)/S158</f>
        <v>0</v>
      </c>
      <c r="U158" s="28" t="str">
        <f>+IF(COUNTIFS('Raw Period DMR Data'!$A:$A,B158, 'Raw Period DMR Data'!C:C,'Raw Annual DMR Data'!X158, 'Raw Period DMR Data'!M:M, "&gt;0")&gt;0,_xlfn.MAXIFS('Raw Period DMR Data'!M:M,'Raw Period DMR Data'!$A:$A,'Raw Annual DMR Data'!B158,'Raw Period DMR Data'!C:C,'Raw Annual DMR Data'!X158), "N/A - Period DMR Data Not Available")</f>
        <v>N/A - Period DMR Data Not Available</v>
      </c>
      <c r="V158" s="28" t="str" cm="1">
        <f t="array" ref="V158">IFERROR(INDEX('Raw Period DMR Data'!N:N,MATCH(1,(B158='Raw Period DMR Data'!$A:$A)*(U158='Raw Period DMR Data'!M:M)*(X158='Raw Period DMR Data'!C:C),0),1), "N/A")</f>
        <v>N/A</v>
      </c>
      <c r="W158" s="28" t="s">
        <v>1463</v>
      </c>
      <c r="X158" s="28" t="s">
        <v>796</v>
      </c>
      <c r="Y158" s="28" t="s">
        <v>1564</v>
      </c>
      <c r="Z158" s="28">
        <v>7140104001615</v>
      </c>
      <c r="AA158" s="28"/>
      <c r="AB158" s="28" t="s">
        <v>1465</v>
      </c>
      <c r="AC158" s="28" t="s">
        <v>1466</v>
      </c>
    </row>
    <row r="159" spans="1:29" x14ac:dyDescent="0.25">
      <c r="A159" s="61">
        <v>110002014677</v>
      </c>
      <c r="B159" s="28">
        <v>2019</v>
      </c>
      <c r="C159" s="68">
        <f t="shared" si="2"/>
        <v>43466</v>
      </c>
      <c r="D159" s="28" t="s">
        <v>1017</v>
      </c>
      <c r="E159" s="28" t="s">
        <v>1566</v>
      </c>
      <c r="F159" s="28" t="s">
        <v>1018</v>
      </c>
      <c r="G159" s="28" t="s">
        <v>308</v>
      </c>
      <c r="H159" s="28">
        <v>2135</v>
      </c>
      <c r="I159" s="28">
        <v>42.356434999999998</v>
      </c>
      <c r="J159" s="28">
        <v>-71.145904000000002</v>
      </c>
      <c r="L159" s="61">
        <v>110002014677</v>
      </c>
      <c r="M159" s="28" t="s">
        <v>265</v>
      </c>
      <c r="O159" s="28" t="str">
        <f>IFERROR(VLOOKUP(N159, 'SIC &amp; NAICS Codes'!A:B, 2, FALSE), "")</f>
        <v/>
      </c>
      <c r="S159" s="28">
        <v>8.08669035E-3</v>
      </c>
      <c r="T159" s="315">
        <f>_xlfn.MAXIFS('Raw Period DMR Data'!$O:$O,'Raw Period DMR Data'!$A:$A,'Raw Annual DMR Data'!B159,'Raw Period DMR Data'!$C:$C,X159)/S159</f>
        <v>0</v>
      </c>
      <c r="U159" s="28" t="str">
        <f>+IF(COUNTIFS('Raw Period DMR Data'!$A:$A,B159, 'Raw Period DMR Data'!C:C,'Raw Annual DMR Data'!X159, 'Raw Period DMR Data'!M:M, "&gt;0")&gt;0,_xlfn.MAXIFS('Raw Period DMR Data'!M:M,'Raw Period DMR Data'!$A:$A,'Raw Annual DMR Data'!B159,'Raw Period DMR Data'!C:C,'Raw Annual DMR Data'!X159), "N/A - Period DMR Data Not Available")</f>
        <v>N/A - Period DMR Data Not Available</v>
      </c>
      <c r="V159" s="28" t="str" cm="1">
        <f t="array" ref="V159">IFERROR(INDEX('Raw Period DMR Data'!N:N,MATCH(1,(B159='Raw Period DMR Data'!$A:$A)*(U159='Raw Period DMR Data'!M:M)*(X159='Raw Period DMR Data'!C:C),0),1), "N/A")</f>
        <v>N/A</v>
      </c>
      <c r="W159" s="28" t="s">
        <v>1463</v>
      </c>
      <c r="X159" s="28" t="s">
        <v>1567</v>
      </c>
      <c r="Y159" s="28" t="s">
        <v>1568</v>
      </c>
      <c r="Z159" s="28">
        <v>1090001000111</v>
      </c>
      <c r="AA159" s="28"/>
      <c r="AB159" s="28" t="s">
        <v>1465</v>
      </c>
      <c r="AC159" s="28" t="s">
        <v>1466</v>
      </c>
    </row>
    <row r="160" spans="1:29" x14ac:dyDescent="0.25">
      <c r="A160" s="61">
        <v>110002014677</v>
      </c>
      <c r="B160" s="28">
        <v>2020</v>
      </c>
      <c r="C160" s="68">
        <f t="shared" si="2"/>
        <v>43831</v>
      </c>
      <c r="D160" s="28" t="s">
        <v>1017</v>
      </c>
      <c r="E160" s="28" t="s">
        <v>1566</v>
      </c>
      <c r="F160" s="28" t="s">
        <v>1018</v>
      </c>
      <c r="G160" s="28" t="s">
        <v>308</v>
      </c>
      <c r="H160" s="28">
        <v>2135</v>
      </c>
      <c r="I160" s="28">
        <v>42.356434999999998</v>
      </c>
      <c r="J160" s="28">
        <v>-71.145904000000002</v>
      </c>
      <c r="L160" s="61">
        <v>110002014677</v>
      </c>
      <c r="M160" s="28" t="s">
        <v>265</v>
      </c>
      <c r="O160" s="28" t="str">
        <f>IFERROR(VLOOKUP(N160, 'SIC &amp; NAICS Codes'!A:B, 2, FALSE), "")</f>
        <v/>
      </c>
      <c r="S160" s="28">
        <v>6.3054315E-3</v>
      </c>
      <c r="T160" s="315">
        <f>_xlfn.MAXIFS('Raw Period DMR Data'!$O:$O,'Raw Period DMR Data'!$A:$A,'Raw Annual DMR Data'!B160,'Raw Period DMR Data'!$C:$C,X160)/S160</f>
        <v>0</v>
      </c>
      <c r="U160" s="28" t="str">
        <f>+IF(COUNTIFS('Raw Period DMR Data'!$A:$A,B160, 'Raw Period DMR Data'!C:C,'Raw Annual DMR Data'!X160, 'Raw Period DMR Data'!M:M, "&gt;0")&gt;0,_xlfn.MAXIFS('Raw Period DMR Data'!M:M,'Raw Period DMR Data'!$A:$A,'Raw Annual DMR Data'!B160,'Raw Period DMR Data'!C:C,'Raw Annual DMR Data'!X160), "N/A - Period DMR Data Not Available")</f>
        <v>N/A - Period DMR Data Not Available</v>
      </c>
      <c r="V160" s="28" t="str" cm="1">
        <f t="array" ref="V160">IFERROR(INDEX('Raw Period DMR Data'!N:N,MATCH(1,(B160='Raw Period DMR Data'!$A:$A)*(U160='Raw Period DMR Data'!M:M)*(X160='Raw Period DMR Data'!C:C),0),1), "N/A")</f>
        <v>N/A</v>
      </c>
      <c r="W160" s="28" t="s">
        <v>1463</v>
      </c>
      <c r="X160" s="28" t="s">
        <v>1567</v>
      </c>
      <c r="Y160" s="28" t="s">
        <v>1568</v>
      </c>
      <c r="Z160" s="28">
        <v>1090001000111</v>
      </c>
      <c r="AA160" s="28"/>
      <c r="AB160" s="28" t="s">
        <v>1465</v>
      </c>
      <c r="AC160" s="28" t="s">
        <v>1466</v>
      </c>
    </row>
    <row r="161" spans="1:29" x14ac:dyDescent="0.25">
      <c r="A161" s="61">
        <v>110009938265</v>
      </c>
      <c r="B161" s="28">
        <v>2019</v>
      </c>
      <c r="C161" s="68">
        <f t="shared" si="2"/>
        <v>43466</v>
      </c>
      <c r="D161" s="28" t="s">
        <v>1019</v>
      </c>
      <c r="E161" s="28" t="s">
        <v>1569</v>
      </c>
      <c r="F161" s="28" t="s">
        <v>1020</v>
      </c>
      <c r="G161" s="28" t="s">
        <v>324</v>
      </c>
      <c r="H161" s="28">
        <v>42717</v>
      </c>
      <c r="I161" s="28">
        <v>36.787260000000003</v>
      </c>
      <c r="J161" s="28">
        <v>-85.369240000000005</v>
      </c>
      <c r="L161" s="61">
        <v>110009938265</v>
      </c>
      <c r="M161" s="28" t="s">
        <v>263</v>
      </c>
      <c r="N161" s="28">
        <v>4952</v>
      </c>
      <c r="O161" s="28" t="str">
        <f>IFERROR(VLOOKUP(N161, 'SIC &amp; NAICS Codes'!A:B, 2, FALSE), "")</f>
        <v>Sewerage Systems</v>
      </c>
      <c r="S161" s="28">
        <v>0.3134680225</v>
      </c>
      <c r="T161" s="315">
        <f>_xlfn.MAXIFS('Raw Period DMR Data'!$O:$O,'Raw Period DMR Data'!$A:$A,'Raw Annual DMR Data'!B161,'Raw Period DMR Data'!$C:$C,X161)/S161</f>
        <v>0</v>
      </c>
      <c r="U161" s="28" t="str">
        <f>+IF(COUNTIFS('Raw Period DMR Data'!$A:$A,B161, 'Raw Period DMR Data'!C:C,'Raw Annual DMR Data'!X161, 'Raw Period DMR Data'!M:M, "&gt;0")&gt;0,_xlfn.MAXIFS('Raw Period DMR Data'!M:M,'Raw Period DMR Data'!$A:$A,'Raw Annual DMR Data'!B161,'Raw Period DMR Data'!C:C,'Raw Annual DMR Data'!X161), "N/A - Period DMR Data Not Available")</f>
        <v>N/A - Period DMR Data Not Available</v>
      </c>
      <c r="V161" s="28" t="str" cm="1">
        <f t="array" ref="V161">IFERROR(INDEX('Raw Period DMR Data'!N:N,MATCH(1,(B161='Raw Period DMR Data'!$A:$A)*(U161='Raw Period DMR Data'!M:M)*(X161='Raw Period DMR Data'!C:C),0),1), "N/A")</f>
        <v>N/A</v>
      </c>
      <c r="W161" s="28" t="s">
        <v>1463</v>
      </c>
      <c r="X161" s="28" t="s">
        <v>1570</v>
      </c>
      <c r="Y161" s="28" t="s">
        <v>785</v>
      </c>
      <c r="Z161" s="28">
        <v>5130103000018</v>
      </c>
      <c r="AA161" s="28"/>
      <c r="AB161" s="28" t="s">
        <v>1465</v>
      </c>
      <c r="AC161" s="28" t="s">
        <v>263</v>
      </c>
    </row>
    <row r="162" spans="1:29" x14ac:dyDescent="0.25">
      <c r="A162" s="61">
        <v>110009938265</v>
      </c>
      <c r="B162" s="28">
        <v>2020</v>
      </c>
      <c r="C162" s="68">
        <f t="shared" si="2"/>
        <v>43831</v>
      </c>
      <c r="D162" s="28" t="s">
        <v>1019</v>
      </c>
      <c r="E162" s="28" t="s">
        <v>1569</v>
      </c>
      <c r="F162" s="28" t="s">
        <v>1020</v>
      </c>
      <c r="G162" s="28" t="s">
        <v>324</v>
      </c>
      <c r="H162" s="28">
        <v>42717</v>
      </c>
      <c r="I162" s="28">
        <v>36.787260000000003</v>
      </c>
      <c r="J162" s="28">
        <v>-85.369240000000005</v>
      </c>
      <c r="L162" s="61">
        <v>110009938265</v>
      </c>
      <c r="M162" s="28" t="s">
        <v>263</v>
      </c>
      <c r="N162" s="28">
        <v>4952</v>
      </c>
      <c r="O162" s="28" t="str">
        <f>IFERROR(VLOOKUP(N162, 'SIC &amp; NAICS Codes'!A:B, 2, FALSE), "")</f>
        <v>Sewerage Systems</v>
      </c>
      <c r="S162" s="28">
        <v>0.29253791875000001</v>
      </c>
      <c r="T162" s="315">
        <f>_xlfn.MAXIFS('Raw Period DMR Data'!$O:$O,'Raw Period DMR Data'!$A:$A,'Raw Annual DMR Data'!B162,'Raw Period DMR Data'!$C:$C,X162)/S162</f>
        <v>0</v>
      </c>
      <c r="U162" s="28" t="str">
        <f>+IF(COUNTIFS('Raw Period DMR Data'!$A:$A,B162, 'Raw Period DMR Data'!C:C,'Raw Annual DMR Data'!X162, 'Raw Period DMR Data'!M:M, "&gt;0")&gt;0,_xlfn.MAXIFS('Raw Period DMR Data'!M:M,'Raw Period DMR Data'!$A:$A,'Raw Annual DMR Data'!B162,'Raw Period DMR Data'!C:C,'Raw Annual DMR Data'!X162), "N/A - Period DMR Data Not Available")</f>
        <v>N/A - Period DMR Data Not Available</v>
      </c>
      <c r="V162" s="28" t="str" cm="1">
        <f t="array" ref="V162">IFERROR(INDEX('Raw Period DMR Data'!N:N,MATCH(1,(B162='Raw Period DMR Data'!$A:$A)*(U162='Raw Period DMR Data'!M:M)*(X162='Raw Period DMR Data'!C:C),0),1), "N/A")</f>
        <v>N/A</v>
      </c>
      <c r="W162" s="28" t="s">
        <v>1463</v>
      </c>
      <c r="X162" s="28" t="s">
        <v>1570</v>
      </c>
      <c r="Y162" s="28" t="s">
        <v>785</v>
      </c>
      <c r="Z162" s="28">
        <v>5130103000018</v>
      </c>
      <c r="AA162" s="28"/>
      <c r="AB162" s="28" t="s">
        <v>1465</v>
      </c>
      <c r="AC162" s="28" t="s">
        <v>263</v>
      </c>
    </row>
    <row r="163" spans="1:29" x14ac:dyDescent="0.25">
      <c r="A163" s="61">
        <v>110055988016</v>
      </c>
      <c r="B163" s="28">
        <v>2019</v>
      </c>
      <c r="C163" s="68">
        <f t="shared" si="2"/>
        <v>43466</v>
      </c>
      <c r="D163" s="28" t="s">
        <v>115</v>
      </c>
      <c r="E163" s="28" t="s">
        <v>370</v>
      </c>
      <c r="F163" s="28" t="s">
        <v>371</v>
      </c>
      <c r="G163" s="28" t="s">
        <v>366</v>
      </c>
      <c r="H163" s="28">
        <v>94010</v>
      </c>
      <c r="I163" s="28">
        <v>37.591898999999998</v>
      </c>
      <c r="J163" s="28">
        <v>-122.358101</v>
      </c>
      <c r="L163" s="61">
        <v>110055988016</v>
      </c>
      <c r="M163" s="28" t="s">
        <v>263</v>
      </c>
      <c r="N163" s="28">
        <v>4952</v>
      </c>
      <c r="O163" s="28" t="str">
        <f>IFERROR(VLOOKUP(N163, 'SIC &amp; NAICS Codes'!A:B, 2, FALSE), "")</f>
        <v>Sewerage Systems</v>
      </c>
      <c r="S163" s="28">
        <v>1.0326899375</v>
      </c>
      <c r="T163" s="315">
        <f>_xlfn.MAXIFS('Raw Period DMR Data'!$O:$O,'Raw Period DMR Data'!$A:$A,'Raw Annual DMR Data'!B163,'Raw Period DMR Data'!$C:$C,X163)/S163</f>
        <v>0</v>
      </c>
      <c r="U163" s="28" t="str">
        <f>+IF(COUNTIFS('Raw Period DMR Data'!$A:$A,B163, 'Raw Period DMR Data'!C:C,'Raw Annual DMR Data'!X163, 'Raw Period DMR Data'!M:M, "&gt;0")&gt;0,_xlfn.MAXIFS('Raw Period DMR Data'!M:M,'Raw Period DMR Data'!$A:$A,'Raw Annual DMR Data'!B163,'Raw Period DMR Data'!C:C,'Raw Annual DMR Data'!X163), "N/A - Period DMR Data Not Available")</f>
        <v>N/A - Period DMR Data Not Available</v>
      </c>
      <c r="V163" s="28" t="str" cm="1">
        <f t="array" ref="V163">IFERROR(INDEX('Raw Period DMR Data'!N:N,MATCH(1,(B163='Raw Period DMR Data'!$A:$A)*(U163='Raw Period DMR Data'!M:M)*(X163='Raw Period DMR Data'!C:C),0),1), "N/A")</f>
        <v>N/A</v>
      </c>
      <c r="W163" s="28" t="s">
        <v>1463</v>
      </c>
      <c r="X163" s="28" t="s">
        <v>798</v>
      </c>
      <c r="Y163" s="28" t="s">
        <v>799</v>
      </c>
      <c r="Z163" s="61">
        <v>18050004001800</v>
      </c>
    </row>
    <row r="164" spans="1:29" x14ac:dyDescent="0.25">
      <c r="A164" s="61">
        <v>110015972562</v>
      </c>
      <c r="B164" s="28">
        <v>2015</v>
      </c>
      <c r="C164" s="68">
        <f t="shared" si="2"/>
        <v>42005</v>
      </c>
      <c r="D164" s="28" t="s">
        <v>1021</v>
      </c>
      <c r="E164" s="28" t="s">
        <v>1571</v>
      </c>
      <c r="F164" s="28" t="s">
        <v>657</v>
      </c>
      <c r="G164" s="28" t="s">
        <v>418</v>
      </c>
      <c r="H164" s="28">
        <v>89109</v>
      </c>
      <c r="I164" s="28">
        <v>36.116160999999998</v>
      </c>
      <c r="J164" s="28">
        <v>-115.172741</v>
      </c>
      <c r="L164" s="61">
        <v>110015972562</v>
      </c>
      <c r="M164" s="28" t="s">
        <v>264</v>
      </c>
      <c r="N164" s="28">
        <v>7011</v>
      </c>
      <c r="O164" s="28" t="str">
        <f>IFERROR(VLOOKUP(N164, 'SIC &amp; NAICS Codes'!A:B, 2, FALSE), "")</f>
        <v>Hotels and Motels (hotels, except casino hotels, and motels)</v>
      </c>
      <c r="S164" s="28">
        <v>0.240485955299999</v>
      </c>
      <c r="T164" s="315">
        <f>_xlfn.MAXIFS('Raw Period DMR Data'!$O:$O,'Raw Period DMR Data'!$A:$A,'Raw Annual DMR Data'!B164,'Raw Period DMR Data'!$C:$C,X164)/S164</f>
        <v>0</v>
      </c>
      <c r="U164" s="28" t="str">
        <f>+IF(COUNTIFS('Raw Period DMR Data'!$A:$A,B164, 'Raw Period DMR Data'!C:C,'Raw Annual DMR Data'!X164, 'Raw Period DMR Data'!M:M, "&gt;0")&gt;0,_xlfn.MAXIFS('Raw Period DMR Data'!M:M,'Raw Period DMR Data'!$A:$A,'Raw Annual DMR Data'!B164,'Raw Period DMR Data'!C:C,'Raw Annual DMR Data'!X164), "N/A - Period DMR Data Not Available")</f>
        <v>N/A - Period DMR Data Not Available</v>
      </c>
      <c r="V164" s="28" t="str" cm="1">
        <f t="array" ref="V164">IFERROR(INDEX('Raw Period DMR Data'!N:N,MATCH(1,(B164='Raw Period DMR Data'!$A:$A)*(U164='Raw Period DMR Data'!M:M)*(X164='Raw Period DMR Data'!C:C),0),1), "N/A")</f>
        <v>N/A</v>
      </c>
      <c r="W164" s="28" t="s">
        <v>1463</v>
      </c>
      <c r="X164" s="28" t="s">
        <v>1572</v>
      </c>
      <c r="Y164" s="28" t="s">
        <v>1573</v>
      </c>
      <c r="Z164" s="28">
        <v>15010015000432</v>
      </c>
      <c r="AA164" s="28"/>
      <c r="AB164" s="28" t="s">
        <v>1465</v>
      </c>
      <c r="AC164" s="28" t="s">
        <v>1466</v>
      </c>
    </row>
    <row r="165" spans="1:29" x14ac:dyDescent="0.25">
      <c r="A165" s="61">
        <v>110015972562</v>
      </c>
      <c r="B165" s="28">
        <v>2015</v>
      </c>
      <c r="C165" s="68">
        <f t="shared" si="2"/>
        <v>42005</v>
      </c>
      <c r="D165" s="28" t="s">
        <v>1021</v>
      </c>
      <c r="E165" s="28" t="s">
        <v>1571</v>
      </c>
      <c r="F165" s="28" t="s">
        <v>657</v>
      </c>
      <c r="G165" s="28" t="s">
        <v>418</v>
      </c>
      <c r="H165" s="28">
        <v>89109</v>
      </c>
      <c r="I165" s="28">
        <v>36.116160999999998</v>
      </c>
      <c r="J165" s="28">
        <v>-115.172741</v>
      </c>
      <c r="L165" s="61">
        <v>110015972562</v>
      </c>
      <c r="M165" s="28" t="s">
        <v>264</v>
      </c>
      <c r="N165" s="28">
        <v>7011</v>
      </c>
      <c r="O165" s="28" t="str">
        <f>IFERROR(VLOOKUP(N165, 'SIC &amp; NAICS Codes'!A:B, 2, FALSE), "")</f>
        <v>Hotels and Motels (hotels, except casino hotels, and motels)</v>
      </c>
      <c r="S165" s="28">
        <v>1.07374507549999E-2</v>
      </c>
      <c r="T165" s="315">
        <f>_xlfn.MAXIFS('Raw Period DMR Data'!$O:$O,'Raw Period DMR Data'!$A:$A,'Raw Annual DMR Data'!B165,'Raw Period DMR Data'!$C:$C,X165)/S165</f>
        <v>0</v>
      </c>
      <c r="U165" s="28" t="str">
        <f>+IF(COUNTIFS('Raw Period DMR Data'!$A:$A,B165, 'Raw Period DMR Data'!C:C,'Raw Annual DMR Data'!X165, 'Raw Period DMR Data'!M:M, "&gt;0")&gt;0,_xlfn.MAXIFS('Raw Period DMR Data'!M:M,'Raw Period DMR Data'!$A:$A,'Raw Annual DMR Data'!B165,'Raw Period DMR Data'!C:C,'Raw Annual DMR Data'!X165), "N/A - Period DMR Data Not Available")</f>
        <v>N/A - Period DMR Data Not Available</v>
      </c>
      <c r="V165" s="28" t="str" cm="1">
        <f t="array" ref="V165">IFERROR(INDEX('Raw Period DMR Data'!N:N,MATCH(1,(B165='Raw Period DMR Data'!$A:$A)*(U165='Raw Period DMR Data'!M:M)*(X165='Raw Period DMR Data'!C:C),0),1), "N/A")</f>
        <v>N/A</v>
      </c>
      <c r="W165" s="28" t="s">
        <v>1463</v>
      </c>
      <c r="X165" s="28" t="s">
        <v>1572</v>
      </c>
      <c r="Y165" s="28" t="s">
        <v>1573</v>
      </c>
      <c r="Z165" s="28">
        <v>15010015000432</v>
      </c>
      <c r="AA165" s="28"/>
      <c r="AB165" s="28" t="s">
        <v>1465</v>
      </c>
      <c r="AC165" s="28" t="s">
        <v>1466</v>
      </c>
    </row>
    <row r="166" spans="1:29" x14ac:dyDescent="0.25">
      <c r="A166" s="61">
        <v>110015972562</v>
      </c>
      <c r="B166" s="28">
        <v>2016</v>
      </c>
      <c r="C166" s="68">
        <f t="shared" si="2"/>
        <v>42370</v>
      </c>
      <c r="D166" s="28" t="s">
        <v>1021</v>
      </c>
      <c r="E166" s="28" t="s">
        <v>1571</v>
      </c>
      <c r="F166" s="28" t="s">
        <v>657</v>
      </c>
      <c r="G166" s="28" t="s">
        <v>418</v>
      </c>
      <c r="H166" s="28">
        <v>89109</v>
      </c>
      <c r="I166" s="28">
        <v>36.116160999999998</v>
      </c>
      <c r="J166" s="28">
        <v>-115.172741</v>
      </c>
      <c r="L166" s="61">
        <v>110015972562</v>
      </c>
      <c r="M166" s="28" t="s">
        <v>264</v>
      </c>
      <c r="N166" s="28">
        <v>7011</v>
      </c>
      <c r="O166" s="28" t="str">
        <f>IFERROR(VLOOKUP(N166, 'SIC &amp; NAICS Codes'!A:B, 2, FALSE), "")</f>
        <v>Hotels and Motels (hotels, except casino hotels, and motels)</v>
      </c>
      <c r="S166" s="28">
        <v>1.9703091912499901E-2</v>
      </c>
      <c r="T166" s="315">
        <f>_xlfn.MAXIFS('Raw Period DMR Data'!$O:$O,'Raw Period DMR Data'!$A:$A,'Raw Annual DMR Data'!B166,'Raw Period DMR Data'!$C:$C,X166)/S166</f>
        <v>0</v>
      </c>
      <c r="U166" s="28" t="str">
        <f>+IF(COUNTIFS('Raw Period DMR Data'!$A:$A,B166, 'Raw Period DMR Data'!C:C,'Raw Annual DMR Data'!X166, 'Raw Period DMR Data'!M:M, "&gt;0")&gt;0,_xlfn.MAXIFS('Raw Period DMR Data'!M:M,'Raw Period DMR Data'!$A:$A,'Raw Annual DMR Data'!B166,'Raw Period DMR Data'!C:C,'Raw Annual DMR Data'!X166), "N/A - Period DMR Data Not Available")</f>
        <v>N/A - Period DMR Data Not Available</v>
      </c>
      <c r="V166" s="28" t="str" cm="1">
        <f t="array" ref="V166">IFERROR(INDEX('Raw Period DMR Data'!N:N,MATCH(1,(B166='Raw Period DMR Data'!$A:$A)*(U166='Raw Period DMR Data'!M:M)*(X166='Raw Period DMR Data'!C:C),0),1), "N/A")</f>
        <v>N/A</v>
      </c>
      <c r="W166" s="28" t="s">
        <v>1463</v>
      </c>
      <c r="X166" s="28" t="s">
        <v>1572</v>
      </c>
      <c r="Y166" s="28" t="s">
        <v>1573</v>
      </c>
      <c r="Z166" s="28">
        <v>15010015000432</v>
      </c>
      <c r="AA166" s="28"/>
      <c r="AB166" s="28" t="s">
        <v>1465</v>
      </c>
      <c r="AC166" s="28" t="s">
        <v>1466</v>
      </c>
    </row>
    <row r="167" spans="1:29" x14ac:dyDescent="0.25">
      <c r="A167" s="61">
        <v>110015972562</v>
      </c>
      <c r="B167" s="28">
        <v>2016</v>
      </c>
      <c r="C167" s="68">
        <f t="shared" si="2"/>
        <v>42370</v>
      </c>
      <c r="D167" s="28" t="s">
        <v>1021</v>
      </c>
      <c r="E167" s="28" t="s">
        <v>1571</v>
      </c>
      <c r="F167" s="28" t="s">
        <v>657</v>
      </c>
      <c r="G167" s="28" t="s">
        <v>418</v>
      </c>
      <c r="H167" s="28">
        <v>89109</v>
      </c>
      <c r="I167" s="28">
        <v>36.116160999999998</v>
      </c>
      <c r="J167" s="28">
        <v>-115.172741</v>
      </c>
      <c r="L167" s="61">
        <v>110015972562</v>
      </c>
      <c r="M167" s="28" t="s">
        <v>264</v>
      </c>
      <c r="N167" s="28">
        <v>7011</v>
      </c>
      <c r="O167" s="28" t="str">
        <f>IFERROR(VLOOKUP(N167, 'SIC &amp; NAICS Codes'!A:B, 2, FALSE), "")</f>
        <v>Hotels and Motels (hotels, except casino hotels, and motels)</v>
      </c>
      <c r="S167" s="28">
        <v>0.21334909499999899</v>
      </c>
      <c r="T167" s="315">
        <f>_xlfn.MAXIFS('Raw Period DMR Data'!$O:$O,'Raw Period DMR Data'!$A:$A,'Raw Annual DMR Data'!B167,'Raw Period DMR Data'!$C:$C,X167)/S167</f>
        <v>0</v>
      </c>
      <c r="U167" s="28" t="str">
        <f>+IF(COUNTIFS('Raw Period DMR Data'!$A:$A,B167, 'Raw Period DMR Data'!C:C,'Raw Annual DMR Data'!X167, 'Raw Period DMR Data'!M:M, "&gt;0")&gt;0,_xlfn.MAXIFS('Raw Period DMR Data'!M:M,'Raw Period DMR Data'!$A:$A,'Raw Annual DMR Data'!B167,'Raw Period DMR Data'!C:C,'Raw Annual DMR Data'!X167), "N/A - Period DMR Data Not Available")</f>
        <v>N/A - Period DMR Data Not Available</v>
      </c>
      <c r="V167" s="28" t="str" cm="1">
        <f t="array" ref="V167">IFERROR(INDEX('Raw Period DMR Data'!N:N,MATCH(1,(B167='Raw Period DMR Data'!$A:$A)*(U167='Raw Period DMR Data'!M:M)*(X167='Raw Period DMR Data'!C:C),0),1), "N/A")</f>
        <v>N/A</v>
      </c>
      <c r="W167" s="28" t="s">
        <v>1463</v>
      </c>
      <c r="X167" s="28" t="s">
        <v>1572</v>
      </c>
      <c r="Y167" s="28" t="s">
        <v>1573</v>
      </c>
      <c r="Z167" s="28">
        <v>15010015000432</v>
      </c>
      <c r="AA167" s="28"/>
      <c r="AB167" s="28" t="s">
        <v>1465</v>
      </c>
      <c r="AC167" s="28" t="s">
        <v>1466</v>
      </c>
    </row>
    <row r="168" spans="1:29" x14ac:dyDescent="0.25">
      <c r="A168" s="61">
        <v>110015972562</v>
      </c>
      <c r="B168" s="28">
        <v>2017</v>
      </c>
      <c r="C168" s="68">
        <f t="shared" si="2"/>
        <v>42736</v>
      </c>
      <c r="D168" s="28" t="s">
        <v>1021</v>
      </c>
      <c r="E168" s="28" t="s">
        <v>1571</v>
      </c>
      <c r="F168" s="28" t="s">
        <v>657</v>
      </c>
      <c r="G168" s="28" t="s">
        <v>418</v>
      </c>
      <c r="H168" s="28">
        <v>89109</v>
      </c>
      <c r="I168" s="28">
        <v>36.116160999999998</v>
      </c>
      <c r="J168" s="28">
        <v>-115.172741</v>
      </c>
      <c r="L168" s="61">
        <v>110015972562</v>
      </c>
      <c r="M168" s="28" t="s">
        <v>264</v>
      </c>
      <c r="N168" s="28">
        <v>7011</v>
      </c>
      <c r="O168" s="28" t="str">
        <f>IFERROR(VLOOKUP(N168, 'SIC &amp; NAICS Codes'!A:B, 2, FALSE), "")</f>
        <v>Hotels and Motels (hotels, except casino hotels, and motels)</v>
      </c>
      <c r="S168" s="28">
        <v>0.156011218187499</v>
      </c>
      <c r="T168" s="315">
        <f>_xlfn.MAXIFS('Raw Period DMR Data'!$O:$O,'Raw Period DMR Data'!$A:$A,'Raw Annual DMR Data'!B168,'Raw Period DMR Data'!$C:$C,X168)/S168</f>
        <v>0</v>
      </c>
      <c r="U168" s="28" t="str">
        <f>+IF(COUNTIFS('Raw Period DMR Data'!$A:$A,B168, 'Raw Period DMR Data'!C:C,'Raw Annual DMR Data'!X168, 'Raw Period DMR Data'!M:M, "&gt;0")&gt;0,_xlfn.MAXIFS('Raw Period DMR Data'!M:M,'Raw Period DMR Data'!$A:$A,'Raw Annual DMR Data'!B168,'Raw Period DMR Data'!C:C,'Raw Annual DMR Data'!X168), "N/A - Period DMR Data Not Available")</f>
        <v>N/A - Period DMR Data Not Available</v>
      </c>
      <c r="V168" s="28" t="str" cm="1">
        <f t="array" ref="V168">IFERROR(INDEX('Raw Period DMR Data'!N:N,MATCH(1,(B168='Raw Period DMR Data'!$A:$A)*(U168='Raw Period DMR Data'!M:M)*(X168='Raw Period DMR Data'!C:C),0),1), "N/A")</f>
        <v>N/A</v>
      </c>
      <c r="W168" s="28" t="s">
        <v>1463</v>
      </c>
      <c r="X168" s="28" t="s">
        <v>1572</v>
      </c>
      <c r="Y168" s="28" t="s">
        <v>1573</v>
      </c>
      <c r="Z168" s="28">
        <v>15010015000432</v>
      </c>
      <c r="AA168" s="28"/>
      <c r="AB168" s="28" t="s">
        <v>1465</v>
      </c>
      <c r="AC168" s="28" t="s">
        <v>1466</v>
      </c>
    </row>
    <row r="169" spans="1:29" x14ac:dyDescent="0.25">
      <c r="A169" s="61">
        <v>110015972562</v>
      </c>
      <c r="B169" s="28">
        <v>2017</v>
      </c>
      <c r="C169" s="68">
        <f t="shared" si="2"/>
        <v>42736</v>
      </c>
      <c r="D169" s="28" t="s">
        <v>1021</v>
      </c>
      <c r="E169" s="28" t="s">
        <v>1571</v>
      </c>
      <c r="F169" s="28" t="s">
        <v>657</v>
      </c>
      <c r="G169" s="28" t="s">
        <v>418</v>
      </c>
      <c r="H169" s="28">
        <v>89109</v>
      </c>
      <c r="I169" s="28">
        <v>36.116160999999998</v>
      </c>
      <c r="J169" s="28">
        <v>-115.172741</v>
      </c>
      <c r="L169" s="61">
        <v>110015972562</v>
      </c>
      <c r="M169" s="28" t="s">
        <v>264</v>
      </c>
      <c r="N169" s="28">
        <v>7011</v>
      </c>
      <c r="O169" s="28" t="str">
        <f>IFERROR(VLOOKUP(N169, 'SIC &amp; NAICS Codes'!A:B, 2, FALSE), "")</f>
        <v>Hotels and Motels (hotels, except casino hotels, and motels)</v>
      </c>
      <c r="S169" s="28">
        <v>2.10698080999999E-2</v>
      </c>
      <c r="T169" s="315">
        <f>_xlfn.MAXIFS('Raw Period DMR Data'!$O:$O,'Raw Period DMR Data'!$A:$A,'Raw Annual DMR Data'!B169,'Raw Period DMR Data'!$C:$C,X169)/S169</f>
        <v>0</v>
      </c>
      <c r="U169" s="28" t="str">
        <f>+IF(COUNTIFS('Raw Period DMR Data'!$A:$A,B169, 'Raw Period DMR Data'!C:C,'Raw Annual DMR Data'!X169, 'Raw Period DMR Data'!M:M, "&gt;0")&gt;0,_xlfn.MAXIFS('Raw Period DMR Data'!M:M,'Raw Period DMR Data'!$A:$A,'Raw Annual DMR Data'!B169,'Raw Period DMR Data'!C:C,'Raw Annual DMR Data'!X169), "N/A - Period DMR Data Not Available")</f>
        <v>N/A - Period DMR Data Not Available</v>
      </c>
      <c r="V169" s="28" t="str" cm="1">
        <f t="array" ref="V169">IFERROR(INDEX('Raw Period DMR Data'!N:N,MATCH(1,(B169='Raw Period DMR Data'!$A:$A)*(U169='Raw Period DMR Data'!M:M)*(X169='Raw Period DMR Data'!C:C),0),1), "N/A")</f>
        <v>N/A</v>
      </c>
      <c r="W169" s="28" t="s">
        <v>1463</v>
      </c>
      <c r="X169" s="28" t="s">
        <v>1572</v>
      </c>
      <c r="Y169" s="28" t="s">
        <v>1573</v>
      </c>
      <c r="Z169" s="28">
        <v>15010015000432</v>
      </c>
      <c r="AA169" s="28"/>
      <c r="AB169" s="28" t="s">
        <v>1465</v>
      </c>
      <c r="AC169" s="28" t="s">
        <v>1466</v>
      </c>
    </row>
    <row r="170" spans="1:29" x14ac:dyDescent="0.25">
      <c r="A170" s="61">
        <v>110015972562</v>
      </c>
      <c r="B170" s="28">
        <v>2018</v>
      </c>
      <c r="C170" s="68">
        <f t="shared" si="2"/>
        <v>43101</v>
      </c>
      <c r="D170" s="28" t="s">
        <v>1021</v>
      </c>
      <c r="E170" s="28" t="s">
        <v>1571</v>
      </c>
      <c r="F170" s="28" t="s">
        <v>657</v>
      </c>
      <c r="G170" s="28" t="s">
        <v>418</v>
      </c>
      <c r="H170" s="28">
        <v>89109</v>
      </c>
      <c r="I170" s="28">
        <v>36.116160999999998</v>
      </c>
      <c r="J170" s="28">
        <v>-115.172741</v>
      </c>
      <c r="L170" s="61">
        <v>110015972562</v>
      </c>
      <c r="M170" s="28" t="s">
        <v>264</v>
      </c>
      <c r="N170" s="28">
        <v>7011</v>
      </c>
      <c r="O170" s="28" t="str">
        <f>IFERROR(VLOOKUP(N170, 'SIC &amp; NAICS Codes'!A:B, 2, FALSE), "")</f>
        <v>Hotels and Motels (hotels, except casino hotels, and motels)</v>
      </c>
      <c r="S170" s="302">
        <v>0.25447569379999901</v>
      </c>
      <c r="T170" s="315">
        <f>_xlfn.MAXIFS('Raw Period DMR Data'!$O:$O,'Raw Period DMR Data'!$A:$A,'Raw Annual DMR Data'!B170,'Raw Period DMR Data'!$C:$C,X170)/S170</f>
        <v>0</v>
      </c>
      <c r="U170" s="28" t="str">
        <f>+IF(COUNTIFS('Raw Period DMR Data'!$A:$A,B170, 'Raw Period DMR Data'!C:C,'Raw Annual DMR Data'!X170, 'Raw Period DMR Data'!M:M, "&gt;0")&gt;0,_xlfn.MAXIFS('Raw Period DMR Data'!M:M,'Raw Period DMR Data'!$A:$A,'Raw Annual DMR Data'!B170,'Raw Period DMR Data'!C:C,'Raw Annual DMR Data'!X170), "N/A - Period DMR Data Not Available")</f>
        <v>N/A - Period DMR Data Not Available</v>
      </c>
      <c r="V170" s="28" t="str" cm="1">
        <f t="array" ref="V170">IFERROR(INDEX('Raw Period DMR Data'!N:N,MATCH(1,(B170='Raw Period DMR Data'!$A:$A)*(U170='Raw Period DMR Data'!M:M)*(X170='Raw Period DMR Data'!C:C),0),1), "N/A")</f>
        <v>N/A</v>
      </c>
      <c r="W170" s="28" t="s">
        <v>1463</v>
      </c>
      <c r="X170" s="28" t="s">
        <v>1572</v>
      </c>
      <c r="Y170" s="28" t="s">
        <v>1573</v>
      </c>
      <c r="Z170" s="28">
        <v>15010015000432</v>
      </c>
      <c r="AA170" s="28"/>
      <c r="AB170" s="28" t="s">
        <v>1465</v>
      </c>
      <c r="AC170" s="28" t="s">
        <v>1466</v>
      </c>
    </row>
    <row r="171" spans="1:29" x14ac:dyDescent="0.25">
      <c r="A171" s="61">
        <v>110015972562</v>
      </c>
      <c r="B171" s="28">
        <v>2018</v>
      </c>
      <c r="C171" s="68">
        <f t="shared" si="2"/>
        <v>43101</v>
      </c>
      <c r="D171" s="28" t="s">
        <v>1021</v>
      </c>
      <c r="E171" s="28" t="s">
        <v>1571</v>
      </c>
      <c r="F171" s="28" t="s">
        <v>657</v>
      </c>
      <c r="G171" s="28" t="s">
        <v>418</v>
      </c>
      <c r="H171" s="28">
        <v>89109</v>
      </c>
      <c r="I171" s="28">
        <v>36.116160999999998</v>
      </c>
      <c r="J171" s="28">
        <v>-115.172741</v>
      </c>
      <c r="L171" s="61">
        <v>110015972562</v>
      </c>
      <c r="M171" s="28" t="s">
        <v>264</v>
      </c>
      <c r="N171" s="28">
        <v>7011</v>
      </c>
      <c r="O171" s="28" t="str">
        <f>IFERROR(VLOOKUP(N171, 'SIC &amp; NAICS Codes'!A:B, 2, FALSE), "")</f>
        <v>Hotels and Motels (hotels, except casino hotels, and motels)</v>
      </c>
      <c r="S171" s="302">
        <v>1.0105968924999899E-2</v>
      </c>
      <c r="T171" s="315">
        <f>_xlfn.MAXIFS('Raw Period DMR Data'!$O:$O,'Raw Period DMR Data'!$A:$A,'Raw Annual DMR Data'!B171,'Raw Period DMR Data'!$C:$C,X171)/S171</f>
        <v>0</v>
      </c>
      <c r="U171" s="28" t="str">
        <f>+IF(COUNTIFS('Raw Period DMR Data'!$A:$A,B171, 'Raw Period DMR Data'!C:C,'Raw Annual DMR Data'!X171, 'Raw Period DMR Data'!M:M, "&gt;0")&gt;0,_xlfn.MAXIFS('Raw Period DMR Data'!M:M,'Raw Period DMR Data'!$A:$A,'Raw Annual DMR Data'!B171,'Raw Period DMR Data'!C:C,'Raw Annual DMR Data'!X171), "N/A - Period DMR Data Not Available")</f>
        <v>N/A - Period DMR Data Not Available</v>
      </c>
      <c r="V171" s="28" t="str" cm="1">
        <f t="array" ref="V171">IFERROR(INDEX('Raw Period DMR Data'!N:N,MATCH(1,(B171='Raw Period DMR Data'!$A:$A)*(U171='Raw Period DMR Data'!M:M)*(X171='Raw Period DMR Data'!C:C),0),1), "N/A")</f>
        <v>N/A</v>
      </c>
      <c r="W171" s="28" t="s">
        <v>1463</v>
      </c>
      <c r="X171" s="28" t="s">
        <v>1572</v>
      </c>
      <c r="Y171" s="28" t="s">
        <v>1573</v>
      </c>
      <c r="Z171" s="28">
        <v>15010015000432</v>
      </c>
      <c r="AA171" s="28"/>
      <c r="AB171" s="28" t="s">
        <v>1465</v>
      </c>
      <c r="AC171" s="28" t="s">
        <v>1466</v>
      </c>
    </row>
    <row r="172" spans="1:29" x14ac:dyDescent="0.25">
      <c r="A172" s="61">
        <v>110015972562</v>
      </c>
      <c r="B172" s="28">
        <v>2019</v>
      </c>
      <c r="C172" s="68">
        <f t="shared" si="2"/>
        <v>43466</v>
      </c>
      <c r="D172" s="28" t="s">
        <v>1021</v>
      </c>
      <c r="E172" s="28" t="s">
        <v>1571</v>
      </c>
      <c r="F172" s="28" t="s">
        <v>657</v>
      </c>
      <c r="G172" s="28" t="s">
        <v>418</v>
      </c>
      <c r="H172" s="28">
        <v>89109</v>
      </c>
      <c r="I172" s="28">
        <v>36.116160999999998</v>
      </c>
      <c r="J172" s="28">
        <v>-115.172741</v>
      </c>
      <c r="L172" s="61">
        <v>110015972562</v>
      </c>
      <c r="M172" s="28" t="s">
        <v>264</v>
      </c>
      <c r="N172" s="28">
        <v>7011</v>
      </c>
      <c r="O172" s="28" t="str">
        <f>IFERROR(VLOOKUP(N172, 'SIC &amp; NAICS Codes'!A:B, 2, FALSE), "")</f>
        <v>Hotels and Motels (hotels, except casino hotels, and motels)</v>
      </c>
      <c r="S172" s="28">
        <v>0.25301521369999902</v>
      </c>
      <c r="T172" s="315">
        <f>_xlfn.MAXIFS('Raw Period DMR Data'!$O:$O,'Raw Period DMR Data'!$A:$A,'Raw Annual DMR Data'!B172,'Raw Period DMR Data'!$C:$C,X172)/S172</f>
        <v>0</v>
      </c>
      <c r="U172" s="28" t="str">
        <f>+IF(COUNTIFS('Raw Period DMR Data'!$A:$A,B172, 'Raw Period DMR Data'!C:C,'Raw Annual DMR Data'!X172, 'Raw Period DMR Data'!M:M, "&gt;0")&gt;0,_xlfn.MAXIFS('Raw Period DMR Data'!M:M,'Raw Period DMR Data'!$A:$A,'Raw Annual DMR Data'!B172,'Raw Period DMR Data'!C:C,'Raw Annual DMR Data'!X172), "N/A - Period DMR Data Not Available")</f>
        <v>N/A - Period DMR Data Not Available</v>
      </c>
      <c r="V172" s="28" t="str" cm="1">
        <f t="array" ref="V172">IFERROR(INDEX('Raw Period DMR Data'!N:N,MATCH(1,(B172='Raw Period DMR Data'!$A:$A)*(U172='Raw Period DMR Data'!M:M)*(X172='Raw Period DMR Data'!C:C),0),1), "N/A")</f>
        <v>N/A</v>
      </c>
      <c r="W172" s="28" t="s">
        <v>1463</v>
      </c>
      <c r="X172" s="28" t="s">
        <v>1572</v>
      </c>
      <c r="Y172" s="28" t="s">
        <v>1573</v>
      </c>
      <c r="Z172" s="28">
        <v>15010015000432</v>
      </c>
      <c r="AA172" s="28"/>
      <c r="AB172" s="28" t="s">
        <v>1465</v>
      </c>
      <c r="AC172" s="28" t="s">
        <v>1466</v>
      </c>
    </row>
    <row r="173" spans="1:29" x14ac:dyDescent="0.25">
      <c r="A173" s="61">
        <v>110015972562</v>
      </c>
      <c r="B173" s="28">
        <v>2019</v>
      </c>
      <c r="C173" s="68">
        <f t="shared" si="2"/>
        <v>43466</v>
      </c>
      <c r="D173" s="28" t="s">
        <v>1021</v>
      </c>
      <c r="E173" s="28" t="s">
        <v>1571</v>
      </c>
      <c r="F173" s="28" t="s">
        <v>657</v>
      </c>
      <c r="G173" s="28" t="s">
        <v>418</v>
      </c>
      <c r="H173" s="28">
        <v>89109</v>
      </c>
      <c r="I173" s="28">
        <v>36.116160999999998</v>
      </c>
      <c r="J173" s="28">
        <v>-115.172741</v>
      </c>
      <c r="L173" s="61">
        <v>110015972562</v>
      </c>
      <c r="M173" s="28" t="s">
        <v>264</v>
      </c>
      <c r="N173" s="28">
        <v>7011</v>
      </c>
      <c r="O173" s="28" t="str">
        <f>IFERROR(VLOOKUP(N173, 'SIC &amp; NAICS Codes'!A:B, 2, FALSE), "")</f>
        <v>Hotels and Motels (hotels, except casino hotels, and motels)</v>
      </c>
      <c r="S173" s="28">
        <v>5.8473452512499899E-2</v>
      </c>
      <c r="T173" s="315">
        <f>_xlfn.MAXIFS('Raw Period DMR Data'!$O:$O,'Raw Period DMR Data'!$A:$A,'Raw Annual DMR Data'!B173,'Raw Period DMR Data'!$C:$C,X173)/S173</f>
        <v>0</v>
      </c>
      <c r="U173" s="28" t="str">
        <f>+IF(COUNTIFS('Raw Period DMR Data'!$A:$A,B173, 'Raw Period DMR Data'!C:C,'Raw Annual DMR Data'!X173, 'Raw Period DMR Data'!M:M, "&gt;0")&gt;0,_xlfn.MAXIFS('Raw Period DMR Data'!M:M,'Raw Period DMR Data'!$A:$A,'Raw Annual DMR Data'!B173,'Raw Period DMR Data'!C:C,'Raw Annual DMR Data'!X173), "N/A - Period DMR Data Not Available")</f>
        <v>N/A - Period DMR Data Not Available</v>
      </c>
      <c r="V173" s="28" t="str" cm="1">
        <f t="array" ref="V173">IFERROR(INDEX('Raw Period DMR Data'!N:N,MATCH(1,(B173='Raw Period DMR Data'!$A:$A)*(U173='Raw Period DMR Data'!M:M)*(X173='Raw Period DMR Data'!C:C),0),1), "N/A")</f>
        <v>N/A</v>
      </c>
      <c r="W173" s="28" t="s">
        <v>1463</v>
      </c>
      <c r="X173" s="28" t="s">
        <v>1572</v>
      </c>
      <c r="Y173" s="28" t="s">
        <v>1573</v>
      </c>
      <c r="Z173" s="28">
        <v>15010015000432</v>
      </c>
      <c r="AA173" s="28"/>
      <c r="AB173" s="28" t="s">
        <v>1465</v>
      </c>
      <c r="AC173" s="28" t="s">
        <v>1466</v>
      </c>
    </row>
    <row r="174" spans="1:29" x14ac:dyDescent="0.25">
      <c r="A174" s="61">
        <v>110015972562</v>
      </c>
      <c r="B174" s="28">
        <v>2020</v>
      </c>
      <c r="C174" s="68">
        <f t="shared" si="2"/>
        <v>43831</v>
      </c>
      <c r="D174" s="28" t="s">
        <v>1021</v>
      </c>
      <c r="E174" s="28" t="s">
        <v>1571</v>
      </c>
      <c r="F174" s="28" t="s">
        <v>657</v>
      </c>
      <c r="G174" s="28" t="s">
        <v>418</v>
      </c>
      <c r="H174" s="28">
        <v>89109</v>
      </c>
      <c r="I174" s="28">
        <v>36.116160999999998</v>
      </c>
      <c r="J174" s="28">
        <v>-115.172741</v>
      </c>
      <c r="L174" s="61">
        <v>110015972562</v>
      </c>
      <c r="M174" s="28" t="s">
        <v>264</v>
      </c>
      <c r="N174" s="28">
        <v>7011</v>
      </c>
      <c r="O174" s="28" t="str">
        <f>IFERROR(VLOOKUP(N174, 'SIC &amp; NAICS Codes'!A:B, 2, FALSE), "")</f>
        <v>Hotels and Motels (hotels, except casino hotels, and motels)</v>
      </c>
      <c r="S174" s="28">
        <v>0.28724449216249898</v>
      </c>
      <c r="T174" s="315">
        <f>_xlfn.MAXIFS('Raw Period DMR Data'!$O:$O,'Raw Period DMR Data'!$A:$A,'Raw Annual DMR Data'!B174,'Raw Period DMR Data'!$C:$C,X174)/S174</f>
        <v>0</v>
      </c>
      <c r="U174" s="28" t="str">
        <f>+IF(COUNTIFS('Raw Period DMR Data'!$A:$A,B174, 'Raw Period DMR Data'!C:C,'Raw Annual DMR Data'!X174, 'Raw Period DMR Data'!M:M, "&gt;0")&gt;0,_xlfn.MAXIFS('Raw Period DMR Data'!M:M,'Raw Period DMR Data'!$A:$A,'Raw Annual DMR Data'!B174,'Raw Period DMR Data'!C:C,'Raw Annual DMR Data'!X174), "N/A - Period DMR Data Not Available")</f>
        <v>N/A - Period DMR Data Not Available</v>
      </c>
      <c r="V174" s="28" t="str" cm="1">
        <f t="array" ref="V174">IFERROR(INDEX('Raw Period DMR Data'!N:N,MATCH(1,(B174='Raw Period DMR Data'!$A:$A)*(U174='Raw Period DMR Data'!M:M)*(X174='Raw Period DMR Data'!C:C),0),1), "N/A")</f>
        <v>N/A</v>
      </c>
      <c r="W174" s="28" t="s">
        <v>1463</v>
      </c>
      <c r="X174" s="28" t="s">
        <v>1572</v>
      </c>
      <c r="Y174" s="28" t="s">
        <v>1573</v>
      </c>
      <c r="Z174" s="28">
        <v>15010015000432</v>
      </c>
      <c r="AA174" s="28"/>
      <c r="AB174" s="28" t="s">
        <v>1465</v>
      </c>
      <c r="AC174" s="28" t="s">
        <v>1466</v>
      </c>
    </row>
    <row r="175" spans="1:29" x14ac:dyDescent="0.25">
      <c r="A175" s="61">
        <v>110015972562</v>
      </c>
      <c r="B175" s="28">
        <v>2020</v>
      </c>
      <c r="C175" s="68">
        <f t="shared" si="2"/>
        <v>43831</v>
      </c>
      <c r="D175" s="28" t="s">
        <v>1021</v>
      </c>
      <c r="E175" s="28" t="s">
        <v>1571</v>
      </c>
      <c r="F175" s="28" t="s">
        <v>657</v>
      </c>
      <c r="G175" s="28" t="s">
        <v>418</v>
      </c>
      <c r="H175" s="28">
        <v>89109</v>
      </c>
      <c r="I175" s="28">
        <v>36.116160999999998</v>
      </c>
      <c r="J175" s="28">
        <v>-115.172741</v>
      </c>
      <c r="L175" s="61">
        <v>110015972562</v>
      </c>
      <c r="M175" s="28" t="s">
        <v>264</v>
      </c>
      <c r="N175" s="28">
        <v>7011</v>
      </c>
      <c r="O175" s="28" t="str">
        <f>IFERROR(VLOOKUP(N175, 'SIC &amp; NAICS Codes'!A:B, 2, FALSE), "")</f>
        <v>Hotels and Motels (hotels, except casino hotels, and motels)</v>
      </c>
      <c r="S175" s="28">
        <v>3.1545571524999899E-2</v>
      </c>
      <c r="T175" s="315">
        <f>_xlfn.MAXIFS('Raw Period DMR Data'!$O:$O,'Raw Period DMR Data'!$A:$A,'Raw Annual DMR Data'!B175,'Raw Period DMR Data'!$C:$C,X175)/S175</f>
        <v>0</v>
      </c>
      <c r="U175" s="28" t="str">
        <f>+IF(COUNTIFS('Raw Period DMR Data'!$A:$A,B175, 'Raw Period DMR Data'!C:C,'Raw Annual DMR Data'!X175, 'Raw Period DMR Data'!M:M, "&gt;0")&gt;0,_xlfn.MAXIFS('Raw Period DMR Data'!M:M,'Raw Period DMR Data'!$A:$A,'Raw Annual DMR Data'!B175,'Raw Period DMR Data'!C:C,'Raw Annual DMR Data'!X175), "N/A - Period DMR Data Not Available")</f>
        <v>N/A - Period DMR Data Not Available</v>
      </c>
      <c r="V175" s="28" t="str" cm="1">
        <f t="array" ref="V175">IFERROR(INDEX('Raw Period DMR Data'!N:N,MATCH(1,(B175='Raw Period DMR Data'!$A:$A)*(U175='Raw Period DMR Data'!M:M)*(X175='Raw Period DMR Data'!C:C),0),1), "N/A")</f>
        <v>N/A</v>
      </c>
      <c r="W175" s="28" t="s">
        <v>1463</v>
      </c>
      <c r="X175" s="28" t="s">
        <v>1572</v>
      </c>
      <c r="Y175" s="28" t="s">
        <v>1573</v>
      </c>
      <c r="Z175" s="28">
        <v>15010015000432</v>
      </c>
      <c r="AA175" s="28"/>
      <c r="AB175" s="28" t="s">
        <v>1465</v>
      </c>
      <c r="AC175" s="28" t="s">
        <v>1466</v>
      </c>
    </row>
    <row r="176" spans="1:29" x14ac:dyDescent="0.25">
      <c r="A176" s="61">
        <v>110000730825</v>
      </c>
      <c r="B176" s="28">
        <v>2015</v>
      </c>
      <c r="C176" s="68">
        <f t="shared" si="2"/>
        <v>42005</v>
      </c>
      <c r="D176" s="28" t="s">
        <v>1022</v>
      </c>
      <c r="E176" s="28" t="s">
        <v>1574</v>
      </c>
      <c r="F176" s="28" t="s">
        <v>1023</v>
      </c>
      <c r="G176" s="28" t="s">
        <v>366</v>
      </c>
      <c r="H176" s="28">
        <v>92231</v>
      </c>
      <c r="I176" s="28">
        <v>32.664450000000002</v>
      </c>
      <c r="J176" s="28">
        <v>-115.55970499999999</v>
      </c>
      <c r="L176" s="61">
        <v>110000730825</v>
      </c>
      <c r="M176" s="28" t="s">
        <v>263</v>
      </c>
      <c r="N176" s="28">
        <v>4952</v>
      </c>
      <c r="O176" s="28" t="str">
        <f>IFERROR(VLOOKUP(N176, 'SIC &amp; NAICS Codes'!A:B, 2, FALSE), "")</f>
        <v>Sewerage Systems</v>
      </c>
      <c r="S176" s="28">
        <v>0.15852999374999999</v>
      </c>
      <c r="T176" s="315">
        <f>_xlfn.MAXIFS('Raw Period DMR Data'!$O:$O,'Raw Period DMR Data'!$A:$A,'Raw Annual DMR Data'!B176,'Raw Period DMR Data'!$C:$C,X176)/S176</f>
        <v>0</v>
      </c>
      <c r="U176" s="28" t="str">
        <f>+IF(COUNTIFS('Raw Period DMR Data'!$A:$A,B176, 'Raw Period DMR Data'!C:C,'Raw Annual DMR Data'!X176, 'Raw Period DMR Data'!M:M, "&gt;0")&gt;0,_xlfn.MAXIFS('Raw Period DMR Data'!M:M,'Raw Period DMR Data'!$A:$A,'Raw Annual DMR Data'!B176,'Raw Period DMR Data'!C:C,'Raw Annual DMR Data'!X176), "N/A - Period DMR Data Not Available")</f>
        <v>N/A - Period DMR Data Not Available</v>
      </c>
      <c r="V176" s="28" t="str" cm="1">
        <f t="array" ref="V176">IFERROR(INDEX('Raw Period DMR Data'!N:N,MATCH(1,(B176='Raw Period DMR Data'!$A:$A)*(U176='Raw Period DMR Data'!M:M)*(X176='Raw Period DMR Data'!C:C),0),1), "N/A")</f>
        <v>N/A</v>
      </c>
      <c r="W176" s="28" t="s">
        <v>1463</v>
      </c>
      <c r="X176" s="28" t="s">
        <v>1575</v>
      </c>
      <c r="Y176" s="28" t="s">
        <v>795</v>
      </c>
      <c r="Z176" s="28">
        <v>18100204012549</v>
      </c>
      <c r="AA176" s="28"/>
      <c r="AB176" s="28" t="s">
        <v>1465</v>
      </c>
      <c r="AC176" s="28" t="s">
        <v>263</v>
      </c>
    </row>
    <row r="177" spans="1:29" x14ac:dyDescent="0.25">
      <c r="A177" s="61">
        <v>110000730825</v>
      </c>
      <c r="B177" s="28">
        <v>2016</v>
      </c>
      <c r="C177" s="68">
        <f t="shared" si="2"/>
        <v>42370</v>
      </c>
      <c r="D177" s="28" t="s">
        <v>1022</v>
      </c>
      <c r="E177" s="28" t="s">
        <v>1574</v>
      </c>
      <c r="F177" s="28" t="s">
        <v>1023</v>
      </c>
      <c r="G177" s="28" t="s">
        <v>366</v>
      </c>
      <c r="H177" s="28">
        <v>92231</v>
      </c>
      <c r="I177" s="28">
        <v>32.664450000000002</v>
      </c>
      <c r="J177" s="28">
        <v>-115.55970499999999</v>
      </c>
      <c r="L177" s="61">
        <v>110000730825</v>
      </c>
      <c r="M177" s="28" t="s">
        <v>263</v>
      </c>
      <c r="N177" s="28">
        <v>4952</v>
      </c>
      <c r="O177" s="28" t="str">
        <f>IFERROR(VLOOKUP(N177, 'SIC &amp; NAICS Codes'!A:B, 2, FALSE), "")</f>
        <v>Sewerage Systems</v>
      </c>
      <c r="S177" s="28">
        <v>0.15380517825000001</v>
      </c>
      <c r="T177" s="315">
        <f>_xlfn.MAXIFS('Raw Period DMR Data'!$O:$O,'Raw Period DMR Data'!$A:$A,'Raw Annual DMR Data'!B177,'Raw Period DMR Data'!$C:$C,X177)/S177</f>
        <v>0</v>
      </c>
      <c r="U177" s="28" t="str">
        <f>+IF(COUNTIFS('Raw Period DMR Data'!$A:$A,B177, 'Raw Period DMR Data'!C:C,'Raw Annual DMR Data'!X177, 'Raw Period DMR Data'!M:M, "&gt;0")&gt;0,_xlfn.MAXIFS('Raw Period DMR Data'!M:M,'Raw Period DMR Data'!$A:$A,'Raw Annual DMR Data'!B177,'Raw Period DMR Data'!C:C,'Raw Annual DMR Data'!X177), "N/A - Period DMR Data Not Available")</f>
        <v>N/A - Period DMR Data Not Available</v>
      </c>
      <c r="V177" s="28" t="str" cm="1">
        <f t="array" ref="V177">IFERROR(INDEX('Raw Period DMR Data'!N:N,MATCH(1,(B177='Raw Period DMR Data'!$A:$A)*(U177='Raw Period DMR Data'!M:M)*(X177='Raw Period DMR Data'!C:C),0),1), "N/A")</f>
        <v>N/A</v>
      </c>
      <c r="W177" s="28" t="s">
        <v>1463</v>
      </c>
      <c r="X177" s="28" t="s">
        <v>1575</v>
      </c>
      <c r="Y177" s="28" t="s">
        <v>795</v>
      </c>
      <c r="Z177" s="28">
        <v>18100204012549</v>
      </c>
      <c r="AA177" s="28"/>
      <c r="AB177" s="28" t="s">
        <v>1465</v>
      </c>
      <c r="AC177" s="28" t="s">
        <v>263</v>
      </c>
    </row>
    <row r="178" spans="1:29" x14ac:dyDescent="0.25">
      <c r="A178" s="61">
        <v>110000730825</v>
      </c>
      <c r="B178" s="28">
        <v>2017</v>
      </c>
      <c r="C178" s="68">
        <f t="shared" si="2"/>
        <v>42736</v>
      </c>
      <c r="D178" s="28" t="s">
        <v>1022</v>
      </c>
      <c r="E178" s="28" t="s">
        <v>1574</v>
      </c>
      <c r="F178" s="28" t="s">
        <v>1023</v>
      </c>
      <c r="G178" s="28" t="s">
        <v>366</v>
      </c>
      <c r="H178" s="28">
        <v>92231</v>
      </c>
      <c r="I178" s="28">
        <v>32.664450000000002</v>
      </c>
      <c r="J178" s="28">
        <v>-115.55970499999999</v>
      </c>
      <c r="L178" s="61">
        <v>110000730825</v>
      </c>
      <c r="M178" s="28" t="s">
        <v>263</v>
      </c>
      <c r="N178" s="28">
        <v>4952</v>
      </c>
      <c r="O178" s="28" t="str">
        <f>IFERROR(VLOOKUP(N178, 'SIC &amp; NAICS Codes'!A:B, 2, FALSE), "")</f>
        <v>Sewerage Systems</v>
      </c>
      <c r="S178" s="28">
        <v>0.14174446499999999</v>
      </c>
      <c r="T178" s="315">
        <f>_xlfn.MAXIFS('Raw Period DMR Data'!$O:$O,'Raw Period DMR Data'!$A:$A,'Raw Annual DMR Data'!B178,'Raw Period DMR Data'!$C:$C,X178)/S178</f>
        <v>0</v>
      </c>
      <c r="U178" s="28" t="str">
        <f>+IF(COUNTIFS('Raw Period DMR Data'!$A:$A,B178, 'Raw Period DMR Data'!C:C,'Raw Annual DMR Data'!X178, 'Raw Period DMR Data'!M:M, "&gt;0")&gt;0,_xlfn.MAXIFS('Raw Period DMR Data'!M:M,'Raw Period DMR Data'!$A:$A,'Raw Annual DMR Data'!B178,'Raw Period DMR Data'!C:C,'Raw Annual DMR Data'!X178), "N/A - Period DMR Data Not Available")</f>
        <v>N/A - Period DMR Data Not Available</v>
      </c>
      <c r="V178" s="28" t="str" cm="1">
        <f t="array" ref="V178">IFERROR(INDEX('Raw Period DMR Data'!N:N,MATCH(1,(B178='Raw Period DMR Data'!$A:$A)*(U178='Raw Period DMR Data'!M:M)*(X178='Raw Period DMR Data'!C:C),0),1), "N/A")</f>
        <v>N/A</v>
      </c>
      <c r="W178" s="28" t="s">
        <v>1463</v>
      </c>
      <c r="X178" s="28" t="s">
        <v>1575</v>
      </c>
      <c r="Y178" s="28" t="s">
        <v>795</v>
      </c>
      <c r="Z178" s="28">
        <v>18100204012549</v>
      </c>
      <c r="AA178" s="28"/>
      <c r="AB178" s="28" t="s">
        <v>1465</v>
      </c>
      <c r="AC178" s="28" t="s">
        <v>263</v>
      </c>
    </row>
    <row r="179" spans="1:29" x14ac:dyDescent="0.25">
      <c r="A179" s="61">
        <v>110000730825</v>
      </c>
      <c r="B179" s="28">
        <v>2018</v>
      </c>
      <c r="C179" s="68">
        <f t="shared" si="2"/>
        <v>43101</v>
      </c>
      <c r="D179" s="28" t="s">
        <v>1022</v>
      </c>
      <c r="E179" s="28" t="s">
        <v>1574</v>
      </c>
      <c r="F179" s="28" t="s">
        <v>1023</v>
      </c>
      <c r="G179" s="28" t="s">
        <v>366</v>
      </c>
      <c r="H179" s="28">
        <v>92231</v>
      </c>
      <c r="I179" s="28">
        <v>32.664450000000002</v>
      </c>
      <c r="J179" s="28">
        <v>-115.55970499999999</v>
      </c>
      <c r="L179" s="61">
        <v>110000730825</v>
      </c>
      <c r="M179" s="28" t="s">
        <v>263</v>
      </c>
      <c r="N179" s="28">
        <v>4952</v>
      </c>
      <c r="O179" s="28" t="str">
        <f>IFERROR(VLOOKUP(N179, 'SIC &amp; NAICS Codes'!A:B, 2, FALSE), "")</f>
        <v>Sewerage Systems</v>
      </c>
      <c r="S179" s="28">
        <v>1.5573240562499999</v>
      </c>
      <c r="T179" s="315">
        <f>_xlfn.MAXIFS('Raw Period DMR Data'!$O:$O,'Raw Period DMR Data'!$A:$A,'Raw Annual DMR Data'!B179,'Raw Period DMR Data'!$C:$C,X179)/S179</f>
        <v>0</v>
      </c>
      <c r="U179" s="28" t="str">
        <f>+IF(COUNTIFS('Raw Period DMR Data'!$A:$A,B179, 'Raw Period DMR Data'!C:C,'Raw Annual DMR Data'!X179, 'Raw Period DMR Data'!M:M, "&gt;0")&gt;0,_xlfn.MAXIFS('Raw Period DMR Data'!M:M,'Raw Period DMR Data'!$A:$A,'Raw Annual DMR Data'!B179,'Raw Period DMR Data'!C:C,'Raw Annual DMR Data'!X179), "N/A - Period DMR Data Not Available")</f>
        <v>N/A - Period DMR Data Not Available</v>
      </c>
      <c r="V179" s="28" t="str" cm="1">
        <f t="array" ref="V179">IFERROR(INDEX('Raw Period DMR Data'!N:N,MATCH(1,(B179='Raw Period DMR Data'!$A:$A)*(U179='Raw Period DMR Data'!M:M)*(X179='Raw Period DMR Data'!C:C),0),1), "N/A")</f>
        <v>N/A</v>
      </c>
      <c r="W179" s="28" t="s">
        <v>1463</v>
      </c>
      <c r="X179" s="28" t="s">
        <v>1575</v>
      </c>
      <c r="Y179" s="28" t="s">
        <v>795</v>
      </c>
      <c r="Z179" s="28">
        <v>18100204012549</v>
      </c>
      <c r="AA179" s="28"/>
      <c r="AB179" s="28" t="s">
        <v>1465</v>
      </c>
      <c r="AC179" s="28" t="s">
        <v>263</v>
      </c>
    </row>
    <row r="180" spans="1:29" x14ac:dyDescent="0.25">
      <c r="A180" s="61">
        <v>110000730825</v>
      </c>
      <c r="B180" s="28">
        <v>2019</v>
      </c>
      <c r="C180" s="68">
        <f t="shared" si="2"/>
        <v>43466</v>
      </c>
      <c r="D180" s="28" t="s">
        <v>1022</v>
      </c>
      <c r="E180" s="28" t="s">
        <v>1574</v>
      </c>
      <c r="F180" s="28" t="s">
        <v>1023</v>
      </c>
      <c r="G180" s="28" t="s">
        <v>366</v>
      </c>
      <c r="H180" s="28">
        <v>92231</v>
      </c>
      <c r="I180" s="28">
        <v>32.664450000000002</v>
      </c>
      <c r="J180" s="28">
        <v>-115.55970499999999</v>
      </c>
      <c r="L180" s="61">
        <v>110000730825</v>
      </c>
      <c r="M180" s="28" t="s">
        <v>263</v>
      </c>
      <c r="N180" s="28">
        <v>4952</v>
      </c>
      <c r="O180" s="28" t="str">
        <f>IFERROR(VLOOKUP(N180, 'SIC &amp; NAICS Codes'!A:B, 2, FALSE), "")</f>
        <v>Sewerage Systems</v>
      </c>
      <c r="S180" s="28">
        <v>0.153245660625</v>
      </c>
      <c r="T180" s="315">
        <f>_xlfn.MAXIFS('Raw Period DMR Data'!$O:$O,'Raw Period DMR Data'!$A:$A,'Raw Annual DMR Data'!B180,'Raw Period DMR Data'!$C:$C,X180)/S180</f>
        <v>0</v>
      </c>
      <c r="U180" s="28" t="str">
        <f>+IF(COUNTIFS('Raw Period DMR Data'!$A:$A,B180, 'Raw Period DMR Data'!C:C,'Raw Annual DMR Data'!X180, 'Raw Period DMR Data'!M:M, "&gt;0")&gt;0,_xlfn.MAXIFS('Raw Period DMR Data'!M:M,'Raw Period DMR Data'!$A:$A,'Raw Annual DMR Data'!B180,'Raw Period DMR Data'!C:C,'Raw Annual DMR Data'!X180), "N/A - Period DMR Data Not Available")</f>
        <v>N/A - Period DMR Data Not Available</v>
      </c>
      <c r="V180" s="28" t="str" cm="1">
        <f t="array" ref="V180">IFERROR(INDEX('Raw Period DMR Data'!N:N,MATCH(1,(B180='Raw Period DMR Data'!$A:$A)*(U180='Raw Period DMR Data'!M:M)*(X180='Raw Period DMR Data'!C:C),0),1), "N/A")</f>
        <v>N/A</v>
      </c>
      <c r="W180" s="28" t="s">
        <v>1463</v>
      </c>
      <c r="X180" s="28" t="s">
        <v>1575</v>
      </c>
      <c r="Y180" s="28" t="s">
        <v>795</v>
      </c>
      <c r="Z180" s="28">
        <v>18100204012549</v>
      </c>
      <c r="AA180" s="28"/>
      <c r="AB180" s="28" t="s">
        <v>1465</v>
      </c>
      <c r="AC180" s="28" t="s">
        <v>263</v>
      </c>
    </row>
    <row r="181" spans="1:29" x14ac:dyDescent="0.25">
      <c r="A181" s="61">
        <v>110000730825</v>
      </c>
      <c r="B181" s="28">
        <v>2020</v>
      </c>
      <c r="C181" s="68">
        <f t="shared" si="2"/>
        <v>43831</v>
      </c>
      <c r="D181" s="28" t="s">
        <v>1022</v>
      </c>
      <c r="E181" s="28" t="s">
        <v>1574</v>
      </c>
      <c r="F181" s="28" t="s">
        <v>1023</v>
      </c>
      <c r="G181" s="28" t="s">
        <v>366</v>
      </c>
      <c r="H181" s="28">
        <v>92231</v>
      </c>
      <c r="I181" s="28">
        <v>32.664450000000002</v>
      </c>
      <c r="J181" s="28">
        <v>-115.55970499999999</v>
      </c>
      <c r="L181" s="61">
        <v>110000730825</v>
      </c>
      <c r="M181" s="28" t="s">
        <v>263</v>
      </c>
      <c r="N181" s="28">
        <v>4952</v>
      </c>
      <c r="O181" s="28" t="str">
        <f>IFERROR(VLOOKUP(N181, 'SIC &amp; NAICS Codes'!A:B, 2, FALSE), "")</f>
        <v>Sewerage Systems</v>
      </c>
      <c r="S181" s="28">
        <v>0.14752614712500001</v>
      </c>
      <c r="T181" s="315">
        <f>_xlfn.MAXIFS('Raw Period DMR Data'!$O:$O,'Raw Period DMR Data'!$A:$A,'Raw Annual DMR Data'!B181,'Raw Period DMR Data'!$C:$C,X181)/S181</f>
        <v>0</v>
      </c>
      <c r="U181" s="28" t="str">
        <f>+IF(COUNTIFS('Raw Period DMR Data'!$A:$A,B181, 'Raw Period DMR Data'!C:C,'Raw Annual DMR Data'!X181, 'Raw Period DMR Data'!M:M, "&gt;0")&gt;0,_xlfn.MAXIFS('Raw Period DMR Data'!M:M,'Raw Period DMR Data'!$A:$A,'Raw Annual DMR Data'!B181,'Raw Period DMR Data'!C:C,'Raw Annual DMR Data'!X181), "N/A - Period DMR Data Not Available")</f>
        <v>N/A - Period DMR Data Not Available</v>
      </c>
      <c r="V181" s="28" t="str" cm="1">
        <f t="array" ref="V181">IFERROR(INDEX('Raw Period DMR Data'!N:N,MATCH(1,(B181='Raw Period DMR Data'!$A:$A)*(U181='Raw Period DMR Data'!M:M)*(X181='Raw Period DMR Data'!C:C),0),1), "N/A")</f>
        <v>N/A</v>
      </c>
      <c r="W181" s="28" t="s">
        <v>1463</v>
      </c>
      <c r="X181" s="28" t="s">
        <v>1575</v>
      </c>
      <c r="Y181" s="28" t="s">
        <v>795</v>
      </c>
      <c r="Z181" s="28">
        <v>18100204012549</v>
      </c>
      <c r="AA181" s="28"/>
      <c r="AB181" s="28" t="s">
        <v>1465</v>
      </c>
      <c r="AC181" s="28" t="s">
        <v>263</v>
      </c>
    </row>
    <row r="182" spans="1:29" x14ac:dyDescent="0.25">
      <c r="A182" s="61">
        <v>110002043217</v>
      </c>
      <c r="B182" s="28">
        <v>2016</v>
      </c>
      <c r="C182" s="68">
        <f t="shared" si="2"/>
        <v>42370</v>
      </c>
      <c r="D182" s="28" t="s">
        <v>1024</v>
      </c>
      <c r="E182" s="28" t="s">
        <v>1576</v>
      </c>
      <c r="F182" s="28" t="s">
        <v>1025</v>
      </c>
      <c r="G182" s="28" t="s">
        <v>366</v>
      </c>
      <c r="H182" s="28">
        <v>92233</v>
      </c>
      <c r="I182" s="28">
        <v>33.147531999999998</v>
      </c>
      <c r="J182" s="28">
        <v>-115.54533000000001</v>
      </c>
      <c r="L182" s="61">
        <v>110002043217</v>
      </c>
      <c r="M182" s="28" t="s">
        <v>263</v>
      </c>
      <c r="N182" s="28">
        <v>4952</v>
      </c>
      <c r="O182" s="28" t="str">
        <f>IFERROR(VLOOKUP(N182, 'SIC &amp; NAICS Codes'!A:B, 2, FALSE), "")</f>
        <v>Sewerage Systems</v>
      </c>
      <c r="S182" s="28">
        <v>4.35180375E-3</v>
      </c>
      <c r="T182" s="315">
        <f>_xlfn.MAXIFS('Raw Period DMR Data'!$O:$O,'Raw Period DMR Data'!$A:$A,'Raw Annual DMR Data'!B182,'Raw Period DMR Data'!$C:$C,X182)/S182</f>
        <v>0</v>
      </c>
      <c r="U182" s="28" t="str">
        <f>+IF(COUNTIFS('Raw Period DMR Data'!$A:$A,B182, 'Raw Period DMR Data'!C:C,'Raw Annual DMR Data'!X182, 'Raw Period DMR Data'!M:M, "&gt;0")&gt;0,_xlfn.MAXIFS('Raw Period DMR Data'!M:M,'Raw Period DMR Data'!$A:$A,'Raw Annual DMR Data'!B182,'Raw Period DMR Data'!C:C,'Raw Annual DMR Data'!X182), "N/A - Period DMR Data Not Available")</f>
        <v>N/A - Period DMR Data Not Available</v>
      </c>
      <c r="V182" s="28" t="str" cm="1">
        <f t="array" ref="V182">IFERROR(INDEX('Raw Period DMR Data'!N:N,MATCH(1,(B182='Raw Period DMR Data'!$A:$A)*(U182='Raw Period DMR Data'!M:M)*(X182='Raw Period DMR Data'!C:C),0),1), "N/A")</f>
        <v>N/A</v>
      </c>
      <c r="W182" s="28" t="s">
        <v>1463</v>
      </c>
      <c r="X182" s="28" t="s">
        <v>1577</v>
      </c>
      <c r="Y182" s="28" t="s">
        <v>1578</v>
      </c>
      <c r="Z182" s="28">
        <v>18100204011103</v>
      </c>
      <c r="AA182" s="28"/>
      <c r="AB182" s="28" t="s">
        <v>1465</v>
      </c>
      <c r="AC182" s="28" t="s">
        <v>263</v>
      </c>
    </row>
    <row r="183" spans="1:29" x14ac:dyDescent="0.25">
      <c r="A183" s="61">
        <v>110002043217</v>
      </c>
      <c r="B183" s="28">
        <v>2017</v>
      </c>
      <c r="C183" s="68">
        <f t="shared" si="2"/>
        <v>42736</v>
      </c>
      <c r="D183" s="28" t="s">
        <v>1024</v>
      </c>
      <c r="E183" s="28" t="s">
        <v>1576</v>
      </c>
      <c r="F183" s="28" t="s">
        <v>1025</v>
      </c>
      <c r="G183" s="28" t="s">
        <v>366</v>
      </c>
      <c r="H183" s="28">
        <v>92233</v>
      </c>
      <c r="I183" s="28">
        <v>33.147531999999998</v>
      </c>
      <c r="J183" s="28">
        <v>-115.54533000000001</v>
      </c>
      <c r="L183" s="61">
        <v>110002043217</v>
      </c>
      <c r="M183" s="28" t="s">
        <v>263</v>
      </c>
      <c r="N183" s="28">
        <v>4952</v>
      </c>
      <c r="O183" s="28" t="str">
        <f>IFERROR(VLOOKUP(N183, 'SIC &amp; NAICS Codes'!A:B, 2, FALSE), "")</f>
        <v>Sewerage Systems</v>
      </c>
      <c r="S183" s="28">
        <v>4.2827274999999998E-3</v>
      </c>
      <c r="T183" s="315">
        <f>_xlfn.MAXIFS('Raw Period DMR Data'!$O:$O,'Raw Period DMR Data'!$A:$A,'Raw Annual DMR Data'!B183,'Raw Period DMR Data'!$C:$C,X183)/S183</f>
        <v>0</v>
      </c>
      <c r="U183" s="28" t="str">
        <f>+IF(COUNTIFS('Raw Period DMR Data'!$A:$A,B183, 'Raw Period DMR Data'!C:C,'Raw Annual DMR Data'!X183, 'Raw Period DMR Data'!M:M, "&gt;0")&gt;0,_xlfn.MAXIFS('Raw Period DMR Data'!M:M,'Raw Period DMR Data'!$A:$A,'Raw Annual DMR Data'!B183,'Raw Period DMR Data'!C:C,'Raw Annual DMR Data'!X183), "N/A - Period DMR Data Not Available")</f>
        <v>N/A - Period DMR Data Not Available</v>
      </c>
      <c r="V183" s="28" t="str" cm="1">
        <f t="array" ref="V183">IFERROR(INDEX('Raw Period DMR Data'!N:N,MATCH(1,(B183='Raw Period DMR Data'!$A:$A)*(U183='Raw Period DMR Data'!M:M)*(X183='Raw Period DMR Data'!C:C),0),1), "N/A")</f>
        <v>N/A</v>
      </c>
      <c r="W183" s="28" t="s">
        <v>1463</v>
      </c>
      <c r="X183" s="28" t="s">
        <v>1577</v>
      </c>
      <c r="Y183" s="28" t="s">
        <v>1578</v>
      </c>
      <c r="Z183" s="28">
        <v>18100204011103</v>
      </c>
      <c r="AA183" s="28"/>
      <c r="AB183" s="28" t="s">
        <v>1465</v>
      </c>
      <c r="AC183" s="28" t="s">
        <v>263</v>
      </c>
    </row>
    <row r="184" spans="1:29" x14ac:dyDescent="0.25">
      <c r="A184" s="61">
        <v>110002043217</v>
      </c>
      <c r="B184" s="28">
        <v>2018</v>
      </c>
      <c r="C184" s="68">
        <f t="shared" si="2"/>
        <v>43101</v>
      </c>
      <c r="D184" s="28" t="s">
        <v>1024</v>
      </c>
      <c r="E184" s="28" t="s">
        <v>1576</v>
      </c>
      <c r="F184" s="28" t="s">
        <v>1025</v>
      </c>
      <c r="G184" s="28" t="s">
        <v>366</v>
      </c>
      <c r="H184" s="28">
        <v>92233</v>
      </c>
      <c r="I184" s="28">
        <v>33.147531999999998</v>
      </c>
      <c r="J184" s="28">
        <v>-115.54533000000001</v>
      </c>
      <c r="L184" s="61">
        <v>110002043217</v>
      </c>
      <c r="M184" s="28" t="s">
        <v>263</v>
      </c>
      <c r="N184" s="28">
        <v>4952</v>
      </c>
      <c r="O184" s="28" t="str">
        <f>IFERROR(VLOOKUP(N184, 'SIC &amp; NAICS Codes'!A:B, 2, FALSE), "")</f>
        <v>Sewerage Systems</v>
      </c>
      <c r="S184" s="28">
        <v>4.0754987499999999E-3</v>
      </c>
      <c r="T184" s="315">
        <f>_xlfn.MAXIFS('Raw Period DMR Data'!$O:$O,'Raw Period DMR Data'!$A:$A,'Raw Annual DMR Data'!B184,'Raw Period DMR Data'!$C:$C,X184)/S184</f>
        <v>0</v>
      </c>
      <c r="U184" s="28" t="str">
        <f>+IF(COUNTIFS('Raw Period DMR Data'!$A:$A,B184, 'Raw Period DMR Data'!C:C,'Raw Annual DMR Data'!X184, 'Raw Period DMR Data'!M:M, "&gt;0")&gt;0,_xlfn.MAXIFS('Raw Period DMR Data'!M:M,'Raw Period DMR Data'!$A:$A,'Raw Annual DMR Data'!B184,'Raw Period DMR Data'!C:C,'Raw Annual DMR Data'!X184), "N/A - Period DMR Data Not Available")</f>
        <v>N/A - Period DMR Data Not Available</v>
      </c>
      <c r="V184" s="28" t="str" cm="1">
        <f t="array" ref="V184">IFERROR(INDEX('Raw Period DMR Data'!N:N,MATCH(1,(B184='Raw Period DMR Data'!$A:$A)*(U184='Raw Period DMR Data'!M:M)*(X184='Raw Period DMR Data'!C:C),0),1), "N/A")</f>
        <v>N/A</v>
      </c>
      <c r="W184" s="28" t="s">
        <v>1463</v>
      </c>
      <c r="X184" s="28" t="s">
        <v>1577</v>
      </c>
      <c r="Y184" s="28" t="s">
        <v>1578</v>
      </c>
      <c r="Z184" s="28">
        <v>18100204011103</v>
      </c>
      <c r="AA184" s="28"/>
      <c r="AB184" s="28" t="s">
        <v>1465</v>
      </c>
      <c r="AC184" s="28" t="s">
        <v>263</v>
      </c>
    </row>
    <row r="185" spans="1:29" x14ac:dyDescent="0.25">
      <c r="A185" s="61">
        <v>110002043217</v>
      </c>
      <c r="B185" s="28">
        <v>2019</v>
      </c>
      <c r="C185" s="68">
        <f t="shared" si="2"/>
        <v>43466</v>
      </c>
      <c r="D185" s="28" t="s">
        <v>1024</v>
      </c>
      <c r="E185" s="28" t="s">
        <v>1576</v>
      </c>
      <c r="F185" s="28" t="s">
        <v>1025</v>
      </c>
      <c r="G185" s="28" t="s">
        <v>366</v>
      </c>
      <c r="H185" s="28">
        <v>92233</v>
      </c>
      <c r="I185" s="28">
        <v>33.147531999999998</v>
      </c>
      <c r="J185" s="28">
        <v>-115.54533000000001</v>
      </c>
      <c r="L185" s="61">
        <v>110002043217</v>
      </c>
      <c r="M185" s="28" t="s">
        <v>263</v>
      </c>
      <c r="N185" s="28">
        <v>4952</v>
      </c>
      <c r="O185" s="28" t="str">
        <f>IFERROR(VLOOKUP(N185, 'SIC &amp; NAICS Codes'!A:B, 2, FALSE), "")</f>
        <v>Sewerage Systems</v>
      </c>
      <c r="S185" s="28">
        <v>4.1445750000000002E-3</v>
      </c>
      <c r="T185" s="315">
        <f>_xlfn.MAXIFS('Raw Period DMR Data'!$O:$O,'Raw Period DMR Data'!$A:$A,'Raw Annual DMR Data'!B185,'Raw Period DMR Data'!$C:$C,X185)/S185</f>
        <v>0</v>
      </c>
      <c r="U185" s="28" t="str">
        <f>+IF(COUNTIFS('Raw Period DMR Data'!$A:$A,B185, 'Raw Period DMR Data'!C:C,'Raw Annual DMR Data'!X185, 'Raw Period DMR Data'!M:M, "&gt;0")&gt;0,_xlfn.MAXIFS('Raw Period DMR Data'!M:M,'Raw Period DMR Data'!$A:$A,'Raw Annual DMR Data'!B185,'Raw Period DMR Data'!C:C,'Raw Annual DMR Data'!X185), "N/A - Period DMR Data Not Available")</f>
        <v>N/A - Period DMR Data Not Available</v>
      </c>
      <c r="V185" s="28" t="str" cm="1">
        <f t="array" ref="V185">IFERROR(INDEX('Raw Period DMR Data'!N:N,MATCH(1,(B185='Raw Period DMR Data'!$A:$A)*(U185='Raw Period DMR Data'!M:M)*(X185='Raw Period DMR Data'!C:C),0),1), "N/A")</f>
        <v>N/A</v>
      </c>
      <c r="W185" s="28" t="s">
        <v>1463</v>
      </c>
      <c r="X185" s="28" t="s">
        <v>1577</v>
      </c>
      <c r="Y185" s="28" t="s">
        <v>1578</v>
      </c>
      <c r="Z185" s="28">
        <v>18100204011103</v>
      </c>
      <c r="AA185" s="28"/>
      <c r="AB185" s="28" t="s">
        <v>1465</v>
      </c>
      <c r="AC185" s="28" t="s">
        <v>263</v>
      </c>
    </row>
    <row r="186" spans="1:29" x14ac:dyDescent="0.25">
      <c r="A186" s="61">
        <v>110054612558</v>
      </c>
      <c r="B186" s="28">
        <v>2016</v>
      </c>
      <c r="C186" s="68">
        <f t="shared" si="2"/>
        <v>42370</v>
      </c>
      <c r="D186" s="28" t="s">
        <v>1026</v>
      </c>
      <c r="E186" s="28" t="s">
        <v>1579</v>
      </c>
      <c r="F186" s="28" t="s">
        <v>1027</v>
      </c>
      <c r="G186" s="28" t="s">
        <v>349</v>
      </c>
      <c r="H186" s="28">
        <v>63353</v>
      </c>
      <c r="I186" s="28">
        <v>39.423425000000002</v>
      </c>
      <c r="J186" s="28">
        <v>-91.025666000000001</v>
      </c>
      <c r="L186" s="61">
        <v>110054612558</v>
      </c>
      <c r="M186" s="28" t="s">
        <v>265</v>
      </c>
      <c r="N186" s="28">
        <v>2869</v>
      </c>
      <c r="O186" s="28" t="str">
        <f>IFERROR(VLOOKUP(N186, 'SIC &amp; NAICS Codes'!A:B, 2, FALSE), "")</f>
        <v>Industrial Organic Chemicals, NEC (aliphatics)</v>
      </c>
      <c r="S186" s="28">
        <v>7.4489795918367296E-2</v>
      </c>
      <c r="T186" s="315">
        <f>_xlfn.MAXIFS('Raw Period DMR Data'!$O:$O,'Raw Period DMR Data'!$A:$A,'Raw Annual DMR Data'!B186,'Raw Period DMR Data'!$C:$C,X186)/S186</f>
        <v>0</v>
      </c>
      <c r="U186" s="28" t="str">
        <f>+IF(COUNTIFS('Raw Period DMR Data'!$A:$A,B186, 'Raw Period DMR Data'!C:C,'Raw Annual DMR Data'!X186, 'Raw Period DMR Data'!M:M, "&gt;0")&gt;0,_xlfn.MAXIFS('Raw Period DMR Data'!M:M,'Raw Period DMR Data'!$A:$A,'Raw Annual DMR Data'!B186,'Raw Period DMR Data'!C:C,'Raw Annual DMR Data'!X186), "N/A - Period DMR Data Not Available")</f>
        <v>N/A - Period DMR Data Not Available</v>
      </c>
      <c r="V186" s="28" t="str" cm="1">
        <f t="array" ref="V186">IFERROR(INDEX('Raw Period DMR Data'!N:N,MATCH(1,(B186='Raw Period DMR Data'!$A:$A)*(U186='Raw Period DMR Data'!M:M)*(X186='Raw Period DMR Data'!C:C),0),1), "N/A")</f>
        <v>N/A</v>
      </c>
      <c r="W186" s="28" t="s">
        <v>1463</v>
      </c>
      <c r="X186" s="28" t="s">
        <v>1580</v>
      </c>
      <c r="Y186" s="28" t="s">
        <v>1581</v>
      </c>
      <c r="Z186" s="28">
        <v>7110004000345</v>
      </c>
      <c r="AA186" s="28"/>
      <c r="AB186" s="28" t="s">
        <v>1465</v>
      </c>
      <c r="AC186" s="28" t="s">
        <v>1466</v>
      </c>
    </row>
    <row r="187" spans="1:29" x14ac:dyDescent="0.25">
      <c r="A187" s="61">
        <v>110054612558</v>
      </c>
      <c r="B187" s="28">
        <v>2017</v>
      </c>
      <c r="C187" s="68">
        <f t="shared" si="2"/>
        <v>42736</v>
      </c>
      <c r="D187" s="28" t="s">
        <v>1026</v>
      </c>
      <c r="E187" s="28" t="s">
        <v>1579</v>
      </c>
      <c r="F187" s="28" t="s">
        <v>1027</v>
      </c>
      <c r="G187" s="28" t="s">
        <v>349</v>
      </c>
      <c r="H187" s="28">
        <v>63353</v>
      </c>
      <c r="I187" s="28">
        <v>39.423425000000002</v>
      </c>
      <c r="J187" s="28">
        <v>-91.025666000000001</v>
      </c>
      <c r="L187" s="61">
        <v>110054612558</v>
      </c>
      <c r="M187" s="28" t="s">
        <v>265</v>
      </c>
      <c r="N187" s="28">
        <v>2869</v>
      </c>
      <c r="O187" s="28" t="str">
        <f>IFERROR(VLOOKUP(N187, 'SIC &amp; NAICS Codes'!A:B, 2, FALSE), "")</f>
        <v>Industrial Organic Chemicals, NEC (aliphatics)</v>
      </c>
      <c r="S187" s="28">
        <v>5.7936507936507897E-2</v>
      </c>
      <c r="T187" s="315">
        <f>_xlfn.MAXIFS('Raw Period DMR Data'!$O:$O,'Raw Period DMR Data'!$A:$A,'Raw Annual DMR Data'!B187,'Raw Period DMR Data'!$C:$C,X187)/S187</f>
        <v>0</v>
      </c>
      <c r="U187" s="28" t="str">
        <f>+IF(COUNTIFS('Raw Period DMR Data'!$A:$A,B187, 'Raw Period DMR Data'!C:C,'Raw Annual DMR Data'!X187, 'Raw Period DMR Data'!M:M, "&gt;0")&gt;0,_xlfn.MAXIFS('Raw Period DMR Data'!M:M,'Raw Period DMR Data'!$A:$A,'Raw Annual DMR Data'!B187,'Raw Period DMR Data'!C:C,'Raw Annual DMR Data'!X187), "N/A - Period DMR Data Not Available")</f>
        <v>N/A - Period DMR Data Not Available</v>
      </c>
      <c r="V187" s="28" t="str" cm="1">
        <f t="array" ref="V187">IFERROR(INDEX('Raw Period DMR Data'!N:N,MATCH(1,(B187='Raw Period DMR Data'!$A:$A)*(U187='Raw Period DMR Data'!M:M)*(X187='Raw Period DMR Data'!C:C),0),1), "N/A")</f>
        <v>N/A</v>
      </c>
      <c r="W187" s="28" t="s">
        <v>1463</v>
      </c>
      <c r="X187" s="28" t="s">
        <v>1580</v>
      </c>
      <c r="Y187" s="28" t="s">
        <v>1581</v>
      </c>
      <c r="Z187" s="28">
        <v>7110004000345</v>
      </c>
      <c r="AA187" s="28"/>
      <c r="AB187" s="28" t="s">
        <v>1465</v>
      </c>
      <c r="AC187" s="28" t="s">
        <v>1466</v>
      </c>
    </row>
    <row r="188" spans="1:29" x14ac:dyDescent="0.25">
      <c r="A188" s="61">
        <v>110054612558</v>
      </c>
      <c r="B188" s="28">
        <v>2018</v>
      </c>
      <c r="C188" s="68">
        <f t="shared" si="2"/>
        <v>43101</v>
      </c>
      <c r="D188" s="28" t="s">
        <v>1026</v>
      </c>
      <c r="E188" s="28" t="s">
        <v>1579</v>
      </c>
      <c r="F188" s="28" t="s">
        <v>1027</v>
      </c>
      <c r="G188" s="28" t="s">
        <v>349</v>
      </c>
      <c r="H188" s="28">
        <v>63353</v>
      </c>
      <c r="I188" s="28">
        <v>39.423425000000002</v>
      </c>
      <c r="J188" s="28">
        <v>-91.025666000000001</v>
      </c>
      <c r="L188" s="61">
        <v>110054612558</v>
      </c>
      <c r="M188" s="28" t="s">
        <v>265</v>
      </c>
      <c r="N188" s="28">
        <v>2869</v>
      </c>
      <c r="O188" s="28" t="str">
        <f>IFERROR(VLOOKUP(N188, 'SIC &amp; NAICS Codes'!A:B, 2, FALSE), "")</f>
        <v>Industrial Organic Chemicals, NEC (aliphatics)</v>
      </c>
      <c r="S188" s="302">
        <v>6.3183673469387705E-2</v>
      </c>
      <c r="T188" s="315">
        <f>_xlfn.MAXIFS('Raw Period DMR Data'!$O:$O,'Raw Period DMR Data'!$A:$A,'Raw Annual DMR Data'!B188,'Raw Period DMR Data'!$C:$C,X188)/S188</f>
        <v>0</v>
      </c>
      <c r="U188" s="28" t="str">
        <f>+IF(COUNTIFS('Raw Period DMR Data'!$A:$A,B188, 'Raw Period DMR Data'!C:C,'Raw Annual DMR Data'!X188, 'Raw Period DMR Data'!M:M, "&gt;0")&gt;0,_xlfn.MAXIFS('Raw Period DMR Data'!M:M,'Raw Period DMR Data'!$A:$A,'Raw Annual DMR Data'!B188,'Raw Period DMR Data'!C:C,'Raw Annual DMR Data'!X188), "N/A - Period DMR Data Not Available")</f>
        <v>N/A - Period DMR Data Not Available</v>
      </c>
      <c r="V188" s="28" t="str" cm="1">
        <f t="array" ref="V188">IFERROR(INDEX('Raw Period DMR Data'!N:N,MATCH(1,(B188='Raw Period DMR Data'!$A:$A)*(U188='Raw Period DMR Data'!M:M)*(X188='Raw Period DMR Data'!C:C),0),1), "N/A")</f>
        <v>N/A</v>
      </c>
      <c r="W188" s="28" t="s">
        <v>1463</v>
      </c>
      <c r="X188" s="28" t="s">
        <v>1580</v>
      </c>
      <c r="Y188" s="28" t="s">
        <v>1581</v>
      </c>
      <c r="Z188" s="302" t="s">
        <v>1582</v>
      </c>
      <c r="AA188" s="28"/>
      <c r="AB188" s="28" t="s">
        <v>1465</v>
      </c>
      <c r="AC188" s="28" t="s">
        <v>1466</v>
      </c>
    </row>
    <row r="189" spans="1:29" x14ac:dyDescent="0.25">
      <c r="A189" s="61">
        <v>110054612558</v>
      </c>
      <c r="B189" s="28">
        <v>2019</v>
      </c>
      <c r="C189" s="68">
        <f t="shared" si="2"/>
        <v>43466</v>
      </c>
      <c r="D189" s="28" t="s">
        <v>1026</v>
      </c>
      <c r="E189" s="28" t="s">
        <v>1579</v>
      </c>
      <c r="F189" s="28" t="s">
        <v>1027</v>
      </c>
      <c r="G189" s="28" t="s">
        <v>349</v>
      </c>
      <c r="H189" s="28">
        <v>63353</v>
      </c>
      <c r="I189" s="28">
        <v>39.423425000000002</v>
      </c>
      <c r="J189" s="28">
        <v>-91.025666000000001</v>
      </c>
      <c r="L189" s="61">
        <v>110054612558</v>
      </c>
      <c r="M189" s="28" t="s">
        <v>265</v>
      </c>
      <c r="N189" s="28">
        <v>2869</v>
      </c>
      <c r="O189" s="28" t="str">
        <f>IFERROR(VLOOKUP(N189, 'SIC &amp; NAICS Codes'!A:B, 2, FALSE), "")</f>
        <v>Industrial Organic Chemicals, NEC (aliphatics)</v>
      </c>
      <c r="S189" s="28">
        <v>5.7142857142857099E-2</v>
      </c>
      <c r="T189" s="315">
        <f>_xlfn.MAXIFS('Raw Period DMR Data'!$O:$O,'Raw Period DMR Data'!$A:$A,'Raw Annual DMR Data'!B189,'Raw Period DMR Data'!$C:$C,X189)/S189</f>
        <v>0</v>
      </c>
      <c r="U189" s="28" t="str">
        <f>+IF(COUNTIFS('Raw Period DMR Data'!$A:$A,B189, 'Raw Period DMR Data'!C:C,'Raw Annual DMR Data'!X189, 'Raw Period DMR Data'!M:M, "&gt;0")&gt;0,_xlfn.MAXIFS('Raw Period DMR Data'!M:M,'Raw Period DMR Data'!$A:$A,'Raw Annual DMR Data'!B189,'Raw Period DMR Data'!C:C,'Raw Annual DMR Data'!X189), "N/A - Period DMR Data Not Available")</f>
        <v>N/A - Period DMR Data Not Available</v>
      </c>
      <c r="V189" s="28" t="str" cm="1">
        <f t="array" ref="V189">IFERROR(INDEX('Raw Period DMR Data'!N:N,MATCH(1,(B189='Raw Period DMR Data'!$A:$A)*(U189='Raw Period DMR Data'!M:M)*(X189='Raw Period DMR Data'!C:C),0),1), "N/A")</f>
        <v>N/A</v>
      </c>
      <c r="W189" s="28" t="s">
        <v>1463</v>
      </c>
      <c r="X189" s="28" t="s">
        <v>1580</v>
      </c>
      <c r="Y189" s="28" t="s">
        <v>1581</v>
      </c>
      <c r="Z189" s="28">
        <v>7110004000345</v>
      </c>
      <c r="AA189" s="28"/>
      <c r="AB189" s="28" t="s">
        <v>1465</v>
      </c>
      <c r="AC189" s="28" t="s">
        <v>1466</v>
      </c>
    </row>
    <row r="190" spans="1:29" x14ac:dyDescent="0.25">
      <c r="A190" s="61">
        <v>110054612558</v>
      </c>
      <c r="B190" s="28">
        <v>2020</v>
      </c>
      <c r="C190" s="68">
        <f t="shared" si="2"/>
        <v>43831</v>
      </c>
      <c r="D190" s="28" t="s">
        <v>1026</v>
      </c>
      <c r="E190" s="28" t="s">
        <v>1579</v>
      </c>
      <c r="F190" s="28" t="s">
        <v>1027</v>
      </c>
      <c r="G190" s="28" t="s">
        <v>349</v>
      </c>
      <c r="H190" s="28">
        <v>63353</v>
      </c>
      <c r="I190" s="28">
        <v>39.423425000000002</v>
      </c>
      <c r="J190" s="28">
        <v>-91.025666000000001</v>
      </c>
      <c r="L190" s="61">
        <v>110054612558</v>
      </c>
      <c r="M190" s="28" t="s">
        <v>265</v>
      </c>
      <c r="N190" s="28">
        <v>2869</v>
      </c>
      <c r="O190" s="28" t="str">
        <f>IFERROR(VLOOKUP(N190, 'SIC &amp; NAICS Codes'!A:B, 2, FALSE), "")</f>
        <v>Industrial Organic Chemicals, NEC (aliphatics)</v>
      </c>
      <c r="S190" s="28">
        <v>3.07233560090702E-2</v>
      </c>
      <c r="T190" s="315">
        <f>_xlfn.MAXIFS('Raw Period DMR Data'!$O:$O,'Raw Period DMR Data'!$A:$A,'Raw Annual DMR Data'!B190,'Raw Period DMR Data'!$C:$C,X190)/S190</f>
        <v>0</v>
      </c>
      <c r="U190" s="28" t="str">
        <f>+IF(COUNTIFS('Raw Period DMR Data'!$A:$A,B190, 'Raw Period DMR Data'!C:C,'Raw Annual DMR Data'!X190, 'Raw Period DMR Data'!M:M, "&gt;0")&gt;0,_xlfn.MAXIFS('Raw Period DMR Data'!M:M,'Raw Period DMR Data'!$A:$A,'Raw Annual DMR Data'!B190,'Raw Period DMR Data'!C:C,'Raw Annual DMR Data'!X190), "N/A - Period DMR Data Not Available")</f>
        <v>N/A - Period DMR Data Not Available</v>
      </c>
      <c r="V190" s="28" t="str" cm="1">
        <f t="array" ref="V190">IFERROR(INDEX('Raw Period DMR Data'!N:N,MATCH(1,(B190='Raw Period DMR Data'!$A:$A)*(U190='Raw Period DMR Data'!M:M)*(X190='Raw Period DMR Data'!C:C),0),1), "N/A")</f>
        <v>N/A</v>
      </c>
      <c r="W190" s="28" t="s">
        <v>1463</v>
      </c>
      <c r="X190" s="28" t="s">
        <v>1580</v>
      </c>
      <c r="Y190" s="28" t="s">
        <v>1581</v>
      </c>
      <c r="Z190" s="28">
        <v>7110004000345</v>
      </c>
      <c r="AA190" s="28"/>
      <c r="AB190" s="28" t="s">
        <v>1465</v>
      </c>
      <c r="AC190" s="28" t="s">
        <v>1466</v>
      </c>
    </row>
    <row r="191" spans="1:29" x14ac:dyDescent="0.25">
      <c r="A191" s="61">
        <v>110010062546</v>
      </c>
      <c r="B191" s="28">
        <v>2016</v>
      </c>
      <c r="C191" s="68">
        <f t="shared" si="2"/>
        <v>42370</v>
      </c>
      <c r="D191" s="28" t="s">
        <v>116</v>
      </c>
      <c r="E191" s="28" t="s">
        <v>372</v>
      </c>
      <c r="F191" s="28" t="s">
        <v>373</v>
      </c>
      <c r="G191" s="28" t="s">
        <v>374</v>
      </c>
      <c r="H191" s="28">
        <v>86020</v>
      </c>
      <c r="I191" s="28">
        <v>36.30301</v>
      </c>
      <c r="J191" s="28">
        <v>-111.45966</v>
      </c>
      <c r="L191" s="61">
        <v>110010062546</v>
      </c>
      <c r="M191" s="28" t="s">
        <v>263</v>
      </c>
      <c r="N191" s="28">
        <v>4952</v>
      </c>
      <c r="O191" s="28" t="str">
        <f>IFERROR(VLOOKUP(N191, 'SIC &amp; NAICS Codes'!A:B, 2, FALSE), "")</f>
        <v>Sewerage Systems</v>
      </c>
      <c r="S191" s="28">
        <v>9.4545908639999995E-2</v>
      </c>
      <c r="T191" s="315">
        <f>_xlfn.MAXIFS('Raw Period DMR Data'!$O:$O,'Raw Period DMR Data'!$A:$A,'Raw Annual DMR Data'!B191,'Raw Period DMR Data'!$C:$C,X191)/S191</f>
        <v>0</v>
      </c>
      <c r="U191" s="28" t="str">
        <f>+IF(COUNTIFS('Raw Period DMR Data'!$A:$A,B191, 'Raw Period DMR Data'!C:C,'Raw Annual DMR Data'!X191, 'Raw Period DMR Data'!M:M, "&gt;0")&gt;0,_xlfn.MAXIFS('Raw Period DMR Data'!M:M,'Raw Period DMR Data'!$A:$A,'Raw Annual DMR Data'!B191,'Raw Period DMR Data'!C:C,'Raw Annual DMR Data'!X191), "N/A - Period DMR Data Not Available")</f>
        <v>N/A - Period DMR Data Not Available</v>
      </c>
      <c r="V191" s="28" t="str" cm="1">
        <f t="array" ref="V191">IFERROR(INDEX('Raw Period DMR Data'!N:N,MATCH(1,(B191='Raw Period DMR Data'!$A:$A)*(U191='Raw Period DMR Data'!M:M)*(X191='Raw Period DMR Data'!C:C),0),1), "N/A")</f>
        <v>N/A</v>
      </c>
      <c r="W191" s="28" t="s">
        <v>1463</v>
      </c>
      <c r="X191" s="28" t="s">
        <v>800</v>
      </c>
      <c r="Y191" s="28" t="s">
        <v>801</v>
      </c>
      <c r="Z191" s="61">
        <v>15020016000585</v>
      </c>
      <c r="AA191" s="28"/>
    </row>
    <row r="192" spans="1:29" x14ac:dyDescent="0.25">
      <c r="A192" s="61">
        <v>110000736776</v>
      </c>
      <c r="B192" s="28">
        <v>2020</v>
      </c>
      <c r="C192" s="68">
        <f t="shared" si="2"/>
        <v>43831</v>
      </c>
      <c r="D192" s="28" t="s">
        <v>1028</v>
      </c>
      <c r="E192" s="28" t="s">
        <v>1583</v>
      </c>
      <c r="F192" s="28" t="s">
        <v>1029</v>
      </c>
      <c r="G192" s="28" t="s">
        <v>324</v>
      </c>
      <c r="H192" s="28">
        <v>42718</v>
      </c>
      <c r="I192" s="28">
        <v>37.349167000000001</v>
      </c>
      <c r="J192" s="28">
        <v>-85.379444000000007</v>
      </c>
      <c r="L192" s="61">
        <v>110000736776</v>
      </c>
      <c r="M192" s="28" t="s">
        <v>263</v>
      </c>
      <c r="N192" s="28">
        <v>4952</v>
      </c>
      <c r="O192" s="28" t="str">
        <f>IFERROR(VLOOKUP(N192, 'SIC &amp; NAICS Codes'!A:B, 2, FALSE), "")</f>
        <v>Sewerage Systems</v>
      </c>
      <c r="S192" s="28">
        <v>2.0066650625000002</v>
      </c>
      <c r="T192" s="315">
        <f>_xlfn.MAXIFS('Raw Period DMR Data'!$O:$O,'Raw Period DMR Data'!$A:$A,'Raw Annual DMR Data'!B192,'Raw Period DMR Data'!$C:$C,X192)/S192</f>
        <v>0</v>
      </c>
      <c r="U192" s="28" t="str">
        <f>+IF(COUNTIFS('Raw Period DMR Data'!$A:$A,B192, 'Raw Period DMR Data'!C:C,'Raw Annual DMR Data'!X192, 'Raw Period DMR Data'!M:M, "&gt;0")&gt;0,_xlfn.MAXIFS('Raw Period DMR Data'!M:M,'Raw Period DMR Data'!$A:$A,'Raw Annual DMR Data'!B192,'Raw Period DMR Data'!C:C,'Raw Annual DMR Data'!X192), "N/A - Period DMR Data Not Available")</f>
        <v>N/A - Period DMR Data Not Available</v>
      </c>
      <c r="V192" s="28" t="str" cm="1">
        <f t="array" ref="V192">IFERROR(INDEX('Raw Period DMR Data'!N:N,MATCH(1,(B192='Raw Period DMR Data'!$A:$A)*(U192='Raw Period DMR Data'!M:M)*(X192='Raw Period DMR Data'!C:C),0),1), "N/A")</f>
        <v>N/A</v>
      </c>
      <c r="W192" s="28" t="s">
        <v>1463</v>
      </c>
      <c r="X192" s="28" t="s">
        <v>1584</v>
      </c>
      <c r="Y192" s="28" t="s">
        <v>1585</v>
      </c>
      <c r="Z192" s="28">
        <v>5110001002599</v>
      </c>
      <c r="AA192" s="28"/>
      <c r="AB192" s="28" t="s">
        <v>1465</v>
      </c>
      <c r="AC192" s="28" t="s">
        <v>263</v>
      </c>
    </row>
    <row r="193" spans="1:29" x14ac:dyDescent="0.25">
      <c r="A193" s="61">
        <v>110001545070</v>
      </c>
      <c r="B193" s="28">
        <v>2020</v>
      </c>
      <c r="C193" s="68">
        <f t="shared" si="2"/>
        <v>43831</v>
      </c>
      <c r="D193" s="28" t="s">
        <v>117</v>
      </c>
      <c r="E193" s="28" t="s">
        <v>375</v>
      </c>
      <c r="F193" s="28" t="s">
        <v>376</v>
      </c>
      <c r="G193" s="28" t="s">
        <v>338</v>
      </c>
      <c r="H193" s="28">
        <v>7305</v>
      </c>
      <c r="I193" s="28">
        <v>40.724868000000001</v>
      </c>
      <c r="J193" s="28">
        <v>-74.045564999999996</v>
      </c>
      <c r="L193" s="61">
        <v>110001545070</v>
      </c>
      <c r="M193" s="28" t="s">
        <v>259</v>
      </c>
      <c r="N193" s="28">
        <v>7216</v>
      </c>
      <c r="O193" s="28" t="str">
        <f>IFERROR(VLOOKUP(N193, 'SIC &amp; NAICS Codes'!A:B, 2, FALSE), "")</f>
        <v>Drycleaning Plants, Except Rug Cleaning</v>
      </c>
      <c r="S193" s="28">
        <v>1.02466011046666E-4</v>
      </c>
      <c r="T193" s="315">
        <f>_xlfn.MAXIFS('Raw Period DMR Data'!$O:$O,'Raw Period DMR Data'!$A:$A,'Raw Annual DMR Data'!B193,'Raw Period DMR Data'!$C:$C,X193)/S193</f>
        <v>0</v>
      </c>
      <c r="U193" s="28" t="str">
        <f>+IF(COUNTIFS('Raw Period DMR Data'!$A:$A,B193, 'Raw Period DMR Data'!C:C,'Raw Annual DMR Data'!X193, 'Raw Period DMR Data'!M:M, "&gt;0")&gt;0,_xlfn.MAXIFS('Raw Period DMR Data'!M:M,'Raw Period DMR Data'!$A:$A,'Raw Annual DMR Data'!B193,'Raw Period DMR Data'!C:C,'Raw Annual DMR Data'!X193), "N/A - Period DMR Data Not Available")</f>
        <v>N/A - Period DMR Data Not Available</v>
      </c>
      <c r="V193" s="28" t="str" cm="1">
        <f t="array" ref="V193">IFERROR(INDEX('Raw Period DMR Data'!N:N,MATCH(1,(B193='Raw Period DMR Data'!$A:$A)*(U193='Raw Period DMR Data'!M:M)*(X193='Raw Period DMR Data'!C:C),0),1), "N/A")</f>
        <v>N/A</v>
      </c>
      <c r="W193" s="28" t="s">
        <v>1463</v>
      </c>
      <c r="X193" s="28" t="s">
        <v>802</v>
      </c>
      <c r="Y193" s="28" t="s">
        <v>803</v>
      </c>
      <c r="Z193" s="61"/>
    </row>
    <row r="194" spans="1:29" x14ac:dyDescent="0.25">
      <c r="A194" s="61">
        <v>110006700711</v>
      </c>
      <c r="B194" s="28">
        <v>2015</v>
      </c>
      <c r="C194" s="68">
        <f t="shared" si="2"/>
        <v>42005</v>
      </c>
      <c r="D194" s="28" t="s">
        <v>1030</v>
      </c>
      <c r="E194" s="28" t="s">
        <v>1586</v>
      </c>
      <c r="F194" s="28" t="s">
        <v>1031</v>
      </c>
      <c r="G194" s="28" t="s">
        <v>450</v>
      </c>
      <c r="H194" s="28" t="s">
        <v>1587</v>
      </c>
      <c r="I194" s="28">
        <v>43.068139000000002</v>
      </c>
      <c r="J194" s="28">
        <v>-76.176861000000002</v>
      </c>
      <c r="L194" s="61">
        <v>110006700711</v>
      </c>
      <c r="M194" s="28" t="s">
        <v>265</v>
      </c>
      <c r="N194" s="28">
        <v>5311</v>
      </c>
      <c r="O194" s="28" t="str">
        <f>IFERROR(VLOOKUP(N194, 'SIC &amp; NAICS Codes'!A:B, 2, FALSE), "")</f>
        <v>Department Stores (except discount department stores and supercenters-general merchandise and groceries)</v>
      </c>
      <c r="S194" s="28">
        <v>4.3167007137499901E-2</v>
      </c>
      <c r="T194" s="315">
        <f>_xlfn.MAXIFS('Raw Period DMR Data'!$O:$O,'Raw Period DMR Data'!$A:$A,'Raw Annual DMR Data'!B194,'Raw Period DMR Data'!$C:$C,X194)/S194</f>
        <v>0</v>
      </c>
      <c r="U194" s="28" t="str">
        <f>+IF(COUNTIFS('Raw Period DMR Data'!$A:$A,B194, 'Raw Period DMR Data'!C:C,'Raw Annual DMR Data'!X194, 'Raw Period DMR Data'!M:M, "&gt;0")&gt;0,_xlfn.MAXIFS('Raw Period DMR Data'!M:M,'Raw Period DMR Data'!$A:$A,'Raw Annual DMR Data'!B194,'Raw Period DMR Data'!C:C,'Raw Annual DMR Data'!X194), "N/A - Period DMR Data Not Available")</f>
        <v>N/A - Period DMR Data Not Available</v>
      </c>
      <c r="V194" s="28" t="str" cm="1">
        <f t="array" ref="V194">IFERROR(INDEX('Raw Period DMR Data'!N:N,MATCH(1,(B194='Raw Period DMR Data'!$A:$A)*(U194='Raw Period DMR Data'!M:M)*(X194='Raw Period DMR Data'!C:C),0),1), "N/A")</f>
        <v>N/A</v>
      </c>
      <c r="W194" s="28" t="s">
        <v>1463</v>
      </c>
      <c r="X194" s="28" t="s">
        <v>1588</v>
      </c>
      <c r="Y194" s="28" t="s">
        <v>1589</v>
      </c>
      <c r="Z194" s="28">
        <v>4140201000441</v>
      </c>
      <c r="AA194" s="28"/>
      <c r="AB194" s="28" t="s">
        <v>1465</v>
      </c>
      <c r="AC194" s="28" t="s">
        <v>1466</v>
      </c>
    </row>
    <row r="195" spans="1:29" x14ac:dyDescent="0.25">
      <c r="A195" s="61">
        <v>110015632216</v>
      </c>
      <c r="B195" s="28">
        <v>2017</v>
      </c>
      <c r="C195" s="68">
        <f t="shared" ref="C195:C258" si="3">DATE(B195, 1, 1)</f>
        <v>42736</v>
      </c>
      <c r="D195" s="28" t="s">
        <v>1032</v>
      </c>
      <c r="E195" s="28" t="s">
        <v>1590</v>
      </c>
      <c r="F195" s="28" t="s">
        <v>1033</v>
      </c>
      <c r="G195" s="28" t="s">
        <v>324</v>
      </c>
      <c r="H195" s="28">
        <v>41008</v>
      </c>
      <c r="I195" s="28">
        <v>38.627777999999999</v>
      </c>
      <c r="J195" s="28">
        <v>-85.115832999999995</v>
      </c>
      <c r="L195" s="61">
        <v>110015632216</v>
      </c>
      <c r="M195" s="28" t="s">
        <v>263</v>
      </c>
      <c r="N195" s="28">
        <v>4952</v>
      </c>
      <c r="O195" s="28" t="str">
        <f>IFERROR(VLOOKUP(N195, 'SIC &amp; NAICS Codes'!A:B, 2, FALSE), "")</f>
        <v>Sewerage Systems</v>
      </c>
      <c r="S195" s="28">
        <v>3.1740536874999998</v>
      </c>
      <c r="T195" s="315">
        <f>_xlfn.MAXIFS('Raw Period DMR Data'!$O:$O,'Raw Period DMR Data'!$A:$A,'Raw Annual DMR Data'!B195,'Raw Period DMR Data'!$C:$C,X195)/S195</f>
        <v>0</v>
      </c>
      <c r="U195" s="28" t="str">
        <f>+IF(COUNTIFS('Raw Period DMR Data'!$A:$A,B195, 'Raw Period DMR Data'!C:C,'Raw Annual DMR Data'!X195, 'Raw Period DMR Data'!M:M, "&gt;0")&gt;0,_xlfn.MAXIFS('Raw Period DMR Data'!M:M,'Raw Period DMR Data'!$A:$A,'Raw Annual DMR Data'!B195,'Raw Period DMR Data'!C:C,'Raw Annual DMR Data'!X195), "N/A - Period DMR Data Not Available")</f>
        <v>N/A - Period DMR Data Not Available</v>
      </c>
      <c r="V195" s="28" t="str" cm="1">
        <f t="array" ref="V195">IFERROR(INDEX('Raw Period DMR Data'!N:N,MATCH(1,(B195='Raw Period DMR Data'!$A:$A)*(U195='Raw Period DMR Data'!M:M)*(X195='Raw Period DMR Data'!C:C),0),1), "N/A")</f>
        <v>N/A</v>
      </c>
      <c r="W195" s="28" t="s">
        <v>1463</v>
      </c>
      <c r="X195" s="28" t="s">
        <v>1591</v>
      </c>
      <c r="Y195" s="28" t="s">
        <v>1592</v>
      </c>
      <c r="Z195" s="28">
        <v>5100205000002</v>
      </c>
      <c r="AA195" s="28"/>
      <c r="AB195" s="28" t="s">
        <v>1465</v>
      </c>
      <c r="AC195" s="28" t="s">
        <v>263</v>
      </c>
    </row>
    <row r="196" spans="1:29" x14ac:dyDescent="0.25">
      <c r="A196" s="61">
        <v>110015632216</v>
      </c>
      <c r="B196" s="28">
        <v>2018</v>
      </c>
      <c r="C196" s="68">
        <f t="shared" si="3"/>
        <v>43101</v>
      </c>
      <c r="D196" s="28" t="s">
        <v>1032</v>
      </c>
      <c r="E196" s="28" t="s">
        <v>1590</v>
      </c>
      <c r="F196" s="28" t="s">
        <v>1033</v>
      </c>
      <c r="G196" s="28" t="s">
        <v>324</v>
      </c>
      <c r="H196" s="28">
        <v>41008</v>
      </c>
      <c r="I196" s="28">
        <v>38.627777999999999</v>
      </c>
      <c r="J196" s="28">
        <v>-85.115832999999995</v>
      </c>
      <c r="L196" s="61">
        <v>110015632216</v>
      </c>
      <c r="M196" s="28" t="s">
        <v>263</v>
      </c>
      <c r="N196" s="28">
        <v>4952</v>
      </c>
      <c r="O196" s="28" t="str">
        <f>IFERROR(VLOOKUP(N196, 'SIC &amp; NAICS Codes'!A:B, 2, FALSE), "")</f>
        <v>Sewerage Systems</v>
      </c>
      <c r="S196" s="28">
        <v>4.6591930625</v>
      </c>
      <c r="T196" s="315">
        <f>_xlfn.MAXIFS('Raw Period DMR Data'!$O:$O,'Raw Period DMR Data'!$A:$A,'Raw Annual DMR Data'!B196,'Raw Period DMR Data'!$C:$C,X196)/S196</f>
        <v>0</v>
      </c>
      <c r="U196" s="28" t="str">
        <f>+IF(COUNTIFS('Raw Period DMR Data'!$A:$A,B196, 'Raw Period DMR Data'!C:C,'Raw Annual DMR Data'!X196, 'Raw Period DMR Data'!M:M, "&gt;0")&gt;0,_xlfn.MAXIFS('Raw Period DMR Data'!M:M,'Raw Period DMR Data'!$A:$A,'Raw Annual DMR Data'!B196,'Raw Period DMR Data'!C:C,'Raw Annual DMR Data'!X196), "N/A - Period DMR Data Not Available")</f>
        <v>N/A - Period DMR Data Not Available</v>
      </c>
      <c r="V196" s="28" t="str" cm="1">
        <f t="array" ref="V196">IFERROR(INDEX('Raw Period DMR Data'!N:N,MATCH(1,(B196='Raw Period DMR Data'!$A:$A)*(U196='Raw Period DMR Data'!M:M)*(X196='Raw Period DMR Data'!C:C),0),1), "N/A")</f>
        <v>N/A</v>
      </c>
      <c r="W196" s="28" t="s">
        <v>1463</v>
      </c>
      <c r="X196" s="28" t="s">
        <v>1591</v>
      </c>
      <c r="Y196" s="28" t="s">
        <v>1592</v>
      </c>
      <c r="Z196" s="302" t="s">
        <v>1593</v>
      </c>
      <c r="AA196" s="28"/>
      <c r="AB196" s="28" t="s">
        <v>1465</v>
      </c>
      <c r="AC196" s="28" t="s">
        <v>263</v>
      </c>
    </row>
    <row r="197" spans="1:29" x14ac:dyDescent="0.25">
      <c r="A197" s="61">
        <v>110015632216</v>
      </c>
      <c r="B197" s="28">
        <v>2019</v>
      </c>
      <c r="C197" s="68">
        <f t="shared" si="3"/>
        <v>43466</v>
      </c>
      <c r="D197" s="28" t="s">
        <v>1032</v>
      </c>
      <c r="E197" s="28" t="s">
        <v>1590</v>
      </c>
      <c r="F197" s="28" t="s">
        <v>1033</v>
      </c>
      <c r="G197" s="28" t="s">
        <v>324</v>
      </c>
      <c r="H197" s="28">
        <v>41008</v>
      </c>
      <c r="I197" s="28">
        <v>38.627777999999999</v>
      </c>
      <c r="J197" s="28">
        <v>-85.115832999999995</v>
      </c>
      <c r="L197" s="61">
        <v>110015632216</v>
      </c>
      <c r="M197" s="28" t="s">
        <v>263</v>
      </c>
      <c r="N197" s="28">
        <v>4952</v>
      </c>
      <c r="O197" s="28" t="str">
        <f>IFERROR(VLOOKUP(N197, 'SIC &amp; NAICS Codes'!A:B, 2, FALSE), "")</f>
        <v>Sewerage Systems</v>
      </c>
      <c r="S197" s="28">
        <v>5.8714812500000004</v>
      </c>
      <c r="T197" s="315">
        <f>_xlfn.MAXIFS('Raw Period DMR Data'!$O:$O,'Raw Period DMR Data'!$A:$A,'Raw Annual DMR Data'!B197,'Raw Period DMR Data'!$C:$C,X197)/S197</f>
        <v>0</v>
      </c>
      <c r="U197" s="28" t="str">
        <f>+IF(COUNTIFS('Raw Period DMR Data'!$A:$A,B197, 'Raw Period DMR Data'!C:C,'Raw Annual DMR Data'!X197, 'Raw Period DMR Data'!M:M, "&gt;0")&gt;0,_xlfn.MAXIFS('Raw Period DMR Data'!M:M,'Raw Period DMR Data'!$A:$A,'Raw Annual DMR Data'!B197,'Raw Period DMR Data'!C:C,'Raw Annual DMR Data'!X197), "N/A - Period DMR Data Not Available")</f>
        <v>N/A - Period DMR Data Not Available</v>
      </c>
      <c r="V197" s="28" t="str" cm="1">
        <f t="array" ref="V197">IFERROR(INDEX('Raw Period DMR Data'!N:N,MATCH(1,(B197='Raw Period DMR Data'!$A:$A)*(U197='Raw Period DMR Data'!M:M)*(X197='Raw Period DMR Data'!C:C),0),1), "N/A")</f>
        <v>N/A</v>
      </c>
      <c r="W197" s="28" t="s">
        <v>1463</v>
      </c>
      <c r="X197" s="28" t="s">
        <v>1591</v>
      </c>
      <c r="Y197" s="28" t="s">
        <v>1592</v>
      </c>
      <c r="Z197" s="28">
        <v>5100205000002</v>
      </c>
      <c r="AA197" s="28"/>
      <c r="AB197" s="28" t="s">
        <v>1465</v>
      </c>
      <c r="AC197" s="28" t="s">
        <v>263</v>
      </c>
    </row>
    <row r="198" spans="1:29" x14ac:dyDescent="0.25">
      <c r="A198" s="61">
        <v>110015632216</v>
      </c>
      <c r="B198" s="28">
        <v>2020</v>
      </c>
      <c r="C198" s="68">
        <f t="shared" si="3"/>
        <v>43831</v>
      </c>
      <c r="D198" s="28" t="s">
        <v>1032</v>
      </c>
      <c r="E198" s="28" t="s">
        <v>1590</v>
      </c>
      <c r="F198" s="28" t="s">
        <v>1033</v>
      </c>
      <c r="G198" s="28" t="s">
        <v>324</v>
      </c>
      <c r="H198" s="28">
        <v>41008</v>
      </c>
      <c r="I198" s="28">
        <v>38.627777999999999</v>
      </c>
      <c r="J198" s="28">
        <v>-85.115832999999995</v>
      </c>
      <c r="L198" s="61">
        <v>110015632216</v>
      </c>
      <c r="M198" s="28" t="s">
        <v>263</v>
      </c>
      <c r="N198" s="28">
        <v>4952</v>
      </c>
      <c r="O198" s="28" t="str">
        <f>IFERROR(VLOOKUP(N198, 'SIC &amp; NAICS Codes'!A:B, 2, FALSE), "")</f>
        <v>Sewerage Systems</v>
      </c>
      <c r="S198" s="28">
        <v>3.557426875</v>
      </c>
      <c r="T198" s="315">
        <f>_xlfn.MAXIFS('Raw Period DMR Data'!$O:$O,'Raw Period DMR Data'!$A:$A,'Raw Annual DMR Data'!B198,'Raw Period DMR Data'!$C:$C,X198)/S198</f>
        <v>0</v>
      </c>
      <c r="U198" s="28" t="str">
        <f>+IF(COUNTIFS('Raw Period DMR Data'!$A:$A,B198, 'Raw Period DMR Data'!C:C,'Raw Annual DMR Data'!X198, 'Raw Period DMR Data'!M:M, "&gt;0")&gt;0,_xlfn.MAXIFS('Raw Period DMR Data'!M:M,'Raw Period DMR Data'!$A:$A,'Raw Annual DMR Data'!B198,'Raw Period DMR Data'!C:C,'Raw Annual DMR Data'!X198), "N/A - Period DMR Data Not Available")</f>
        <v>N/A - Period DMR Data Not Available</v>
      </c>
      <c r="V198" s="28" t="str" cm="1">
        <f t="array" ref="V198">IFERROR(INDEX('Raw Period DMR Data'!N:N,MATCH(1,(B198='Raw Period DMR Data'!$A:$A)*(U198='Raw Period DMR Data'!M:M)*(X198='Raw Period DMR Data'!C:C),0),1), "N/A")</f>
        <v>N/A</v>
      </c>
      <c r="W198" s="28" t="s">
        <v>1463</v>
      </c>
      <c r="X198" s="28" t="s">
        <v>1591</v>
      </c>
      <c r="Y198" s="28" t="s">
        <v>1592</v>
      </c>
      <c r="Z198" s="28">
        <v>5100205000002</v>
      </c>
      <c r="AA198" s="28"/>
      <c r="AB198" s="28" t="s">
        <v>1465</v>
      </c>
      <c r="AC198" s="28" t="s">
        <v>263</v>
      </c>
    </row>
    <row r="199" spans="1:29" x14ac:dyDescent="0.25">
      <c r="A199" s="61">
        <v>110022287210</v>
      </c>
      <c r="B199" s="28">
        <v>2015</v>
      </c>
      <c r="C199" s="68">
        <f t="shared" si="3"/>
        <v>42005</v>
      </c>
      <c r="D199" s="28" t="s">
        <v>1034</v>
      </c>
      <c r="E199" s="28" t="s">
        <v>1594</v>
      </c>
      <c r="F199" s="28" t="s">
        <v>1035</v>
      </c>
      <c r="G199" s="28" t="s">
        <v>374</v>
      </c>
      <c r="H199" s="28" t="s">
        <v>1595</v>
      </c>
      <c r="I199" s="28">
        <v>32.9011</v>
      </c>
      <c r="J199" s="28">
        <v>-111.78749999999999</v>
      </c>
      <c r="L199" s="61">
        <v>110022287210</v>
      </c>
      <c r="M199" s="28" t="s">
        <v>263</v>
      </c>
      <c r="N199" s="28">
        <v>4952</v>
      </c>
      <c r="O199" s="28" t="str">
        <f>IFERROR(VLOOKUP(N199, 'SIC &amp; NAICS Codes'!A:B, 2, FALSE), "")</f>
        <v>Sewerage Systems</v>
      </c>
      <c r="S199" s="28">
        <v>12.102159</v>
      </c>
      <c r="T199" s="315">
        <f>_xlfn.MAXIFS('Raw Period DMR Data'!$O:$O,'Raw Period DMR Data'!$A:$A,'Raw Annual DMR Data'!B199,'Raw Period DMR Data'!$C:$C,X199)/S199</f>
        <v>0</v>
      </c>
      <c r="U199" s="28" t="str">
        <f>+IF(COUNTIFS('Raw Period DMR Data'!$A:$A,B199, 'Raw Period DMR Data'!C:C,'Raw Annual DMR Data'!X199, 'Raw Period DMR Data'!M:M, "&gt;0")&gt;0,_xlfn.MAXIFS('Raw Period DMR Data'!M:M,'Raw Period DMR Data'!$A:$A,'Raw Annual DMR Data'!B199,'Raw Period DMR Data'!C:C,'Raw Annual DMR Data'!X199), "N/A - Period DMR Data Not Available")</f>
        <v>N/A - Period DMR Data Not Available</v>
      </c>
      <c r="V199" s="28" t="str" cm="1">
        <f t="array" ref="V199">IFERROR(INDEX('Raw Period DMR Data'!N:N,MATCH(1,(B199='Raw Period DMR Data'!$A:$A)*(U199='Raw Period DMR Data'!M:M)*(X199='Raw Period DMR Data'!C:C),0),1), "N/A")</f>
        <v>N/A</v>
      </c>
      <c r="W199" s="28" t="s">
        <v>1463</v>
      </c>
      <c r="X199" s="28" t="s">
        <v>1596</v>
      </c>
      <c r="Z199" s="28">
        <v>15040005001144</v>
      </c>
      <c r="AA199" s="28"/>
      <c r="AB199" s="28" t="s">
        <v>1465</v>
      </c>
      <c r="AC199" s="28" t="s">
        <v>263</v>
      </c>
    </row>
    <row r="200" spans="1:29" x14ac:dyDescent="0.25">
      <c r="A200" s="61">
        <v>110022287210</v>
      </c>
      <c r="B200" s="28">
        <v>2016</v>
      </c>
      <c r="C200" s="68">
        <f t="shared" si="3"/>
        <v>42370</v>
      </c>
      <c r="D200" s="28" t="s">
        <v>1034</v>
      </c>
      <c r="E200" s="28" t="s">
        <v>1594</v>
      </c>
      <c r="F200" s="28" t="s">
        <v>1035</v>
      </c>
      <c r="G200" s="28" t="s">
        <v>374</v>
      </c>
      <c r="H200" s="28" t="s">
        <v>1595</v>
      </c>
      <c r="I200" s="28">
        <v>32.9011</v>
      </c>
      <c r="J200" s="28">
        <v>-111.78749999999999</v>
      </c>
      <c r="L200" s="61">
        <v>110022287210</v>
      </c>
      <c r="M200" s="28" t="s">
        <v>263</v>
      </c>
      <c r="N200" s="28">
        <v>4952</v>
      </c>
      <c r="O200" s="28" t="str">
        <f>IFERROR(VLOOKUP(N200, 'SIC &amp; NAICS Codes'!A:B, 2, FALSE), "")</f>
        <v>Sewerage Systems</v>
      </c>
      <c r="S200" s="28">
        <v>12.682399500000001</v>
      </c>
      <c r="T200" s="315">
        <f>_xlfn.MAXIFS('Raw Period DMR Data'!$O:$O,'Raw Period DMR Data'!$A:$A,'Raw Annual DMR Data'!B200,'Raw Period DMR Data'!$C:$C,X200)/S200</f>
        <v>0</v>
      </c>
      <c r="U200" s="28" t="str">
        <f>+IF(COUNTIFS('Raw Period DMR Data'!$A:$A,B200, 'Raw Period DMR Data'!C:C,'Raw Annual DMR Data'!X200, 'Raw Period DMR Data'!M:M, "&gt;0")&gt;0,_xlfn.MAXIFS('Raw Period DMR Data'!M:M,'Raw Period DMR Data'!$A:$A,'Raw Annual DMR Data'!B200,'Raw Period DMR Data'!C:C,'Raw Annual DMR Data'!X200), "N/A - Period DMR Data Not Available")</f>
        <v>N/A - Period DMR Data Not Available</v>
      </c>
      <c r="V200" s="28" t="str" cm="1">
        <f t="array" ref="V200">IFERROR(INDEX('Raw Period DMR Data'!N:N,MATCH(1,(B200='Raw Period DMR Data'!$A:$A)*(U200='Raw Period DMR Data'!M:M)*(X200='Raw Period DMR Data'!C:C),0),1), "N/A")</f>
        <v>N/A</v>
      </c>
      <c r="W200" s="28" t="s">
        <v>1463</v>
      </c>
      <c r="X200" s="28" t="s">
        <v>1596</v>
      </c>
      <c r="Z200" s="28">
        <v>15040005001144</v>
      </c>
      <c r="AA200" s="28"/>
      <c r="AB200" s="28" t="s">
        <v>1465</v>
      </c>
      <c r="AC200" s="28" t="s">
        <v>263</v>
      </c>
    </row>
    <row r="201" spans="1:29" x14ac:dyDescent="0.25">
      <c r="A201" s="61">
        <v>110022287210</v>
      </c>
      <c r="B201" s="28">
        <v>2017</v>
      </c>
      <c r="C201" s="68">
        <f t="shared" si="3"/>
        <v>42736</v>
      </c>
      <c r="D201" s="28" t="s">
        <v>1034</v>
      </c>
      <c r="E201" s="28" t="s">
        <v>1594</v>
      </c>
      <c r="F201" s="28" t="s">
        <v>1035</v>
      </c>
      <c r="G201" s="28" t="s">
        <v>374</v>
      </c>
      <c r="H201" s="28" t="s">
        <v>1595</v>
      </c>
      <c r="I201" s="28">
        <v>32.9011</v>
      </c>
      <c r="J201" s="28">
        <v>-111.78749999999999</v>
      </c>
      <c r="L201" s="61">
        <v>110022287210</v>
      </c>
      <c r="M201" s="28" t="s">
        <v>263</v>
      </c>
      <c r="N201" s="28">
        <v>4952</v>
      </c>
      <c r="O201" s="28" t="str">
        <f>IFERROR(VLOOKUP(N201, 'SIC &amp; NAICS Codes'!A:B, 2, FALSE), "")</f>
        <v>Sewerage Systems</v>
      </c>
      <c r="S201" s="28">
        <v>12.323202999999999</v>
      </c>
      <c r="T201" s="315">
        <f>_xlfn.MAXIFS('Raw Period DMR Data'!$O:$O,'Raw Period DMR Data'!$A:$A,'Raw Annual DMR Data'!B201,'Raw Period DMR Data'!$C:$C,X201)/S201</f>
        <v>0</v>
      </c>
      <c r="U201" s="28" t="str">
        <f>+IF(COUNTIFS('Raw Period DMR Data'!$A:$A,B201, 'Raw Period DMR Data'!C:C,'Raw Annual DMR Data'!X201, 'Raw Period DMR Data'!M:M, "&gt;0")&gt;0,_xlfn.MAXIFS('Raw Period DMR Data'!M:M,'Raw Period DMR Data'!$A:$A,'Raw Annual DMR Data'!B201,'Raw Period DMR Data'!C:C,'Raw Annual DMR Data'!X201), "N/A - Period DMR Data Not Available")</f>
        <v>N/A - Period DMR Data Not Available</v>
      </c>
      <c r="V201" s="28" t="str" cm="1">
        <f t="array" ref="V201">IFERROR(INDEX('Raw Period DMR Data'!N:N,MATCH(1,(B201='Raw Period DMR Data'!$A:$A)*(U201='Raw Period DMR Data'!M:M)*(X201='Raw Period DMR Data'!C:C),0),1), "N/A")</f>
        <v>N/A</v>
      </c>
      <c r="W201" s="28" t="s">
        <v>1463</v>
      </c>
      <c r="X201" s="28" t="s">
        <v>1596</v>
      </c>
      <c r="Z201" s="28">
        <v>15040005001144</v>
      </c>
      <c r="AA201" s="28"/>
      <c r="AB201" s="28" t="s">
        <v>1465</v>
      </c>
      <c r="AC201" s="28" t="s">
        <v>263</v>
      </c>
    </row>
    <row r="202" spans="1:29" x14ac:dyDescent="0.25">
      <c r="A202" s="61">
        <v>110022287210</v>
      </c>
      <c r="B202" s="28">
        <v>2018</v>
      </c>
      <c r="C202" s="68">
        <f t="shared" si="3"/>
        <v>43101</v>
      </c>
      <c r="D202" s="28" t="s">
        <v>1034</v>
      </c>
      <c r="E202" s="28" t="s">
        <v>1594</v>
      </c>
      <c r="F202" s="28" t="s">
        <v>1035</v>
      </c>
      <c r="G202" s="28" t="s">
        <v>374</v>
      </c>
      <c r="H202" s="28" t="s">
        <v>1595</v>
      </c>
      <c r="I202" s="28">
        <v>32.9011</v>
      </c>
      <c r="J202" s="28">
        <v>-111.78749999999999</v>
      </c>
      <c r="L202" s="61">
        <v>110022287210</v>
      </c>
      <c r="M202" s="28" t="s">
        <v>263</v>
      </c>
      <c r="N202" s="28">
        <v>4952</v>
      </c>
      <c r="O202" s="28" t="str">
        <f>IFERROR(VLOOKUP(N202, 'SIC &amp; NAICS Codes'!A:B, 2, FALSE), "")</f>
        <v>Sewerage Systems</v>
      </c>
      <c r="S202" s="28">
        <v>9.9469799999999999</v>
      </c>
      <c r="T202" s="315">
        <f>_xlfn.MAXIFS('Raw Period DMR Data'!$O:$O,'Raw Period DMR Data'!$A:$A,'Raw Annual DMR Data'!B202,'Raw Period DMR Data'!$C:$C,X202)/S202</f>
        <v>0</v>
      </c>
      <c r="U202" s="28" t="str">
        <f>+IF(COUNTIFS('Raw Period DMR Data'!$A:$A,B202, 'Raw Period DMR Data'!C:C,'Raw Annual DMR Data'!X202, 'Raw Period DMR Data'!M:M, "&gt;0")&gt;0,_xlfn.MAXIFS('Raw Period DMR Data'!M:M,'Raw Period DMR Data'!$A:$A,'Raw Annual DMR Data'!B202,'Raw Period DMR Data'!C:C,'Raw Annual DMR Data'!X202), "N/A - Period DMR Data Not Available")</f>
        <v>N/A - Period DMR Data Not Available</v>
      </c>
      <c r="V202" s="28" t="str" cm="1">
        <f t="array" ref="V202">IFERROR(INDEX('Raw Period DMR Data'!N:N,MATCH(1,(B202='Raw Period DMR Data'!$A:$A)*(U202='Raw Period DMR Data'!M:M)*(X202='Raw Period DMR Data'!C:C),0),1), "N/A")</f>
        <v>N/A</v>
      </c>
      <c r="W202" s="28" t="s">
        <v>1463</v>
      </c>
      <c r="X202" s="28" t="s">
        <v>1596</v>
      </c>
      <c r="Z202" s="28">
        <v>15040005001144</v>
      </c>
      <c r="AA202" s="28"/>
      <c r="AB202" s="28" t="s">
        <v>1465</v>
      </c>
      <c r="AC202" s="28" t="s">
        <v>263</v>
      </c>
    </row>
    <row r="203" spans="1:29" x14ac:dyDescent="0.25">
      <c r="A203" s="61">
        <v>110000613685</v>
      </c>
      <c r="B203" s="28">
        <v>2016</v>
      </c>
      <c r="C203" s="68">
        <f t="shared" si="3"/>
        <v>42370</v>
      </c>
      <c r="D203" s="28" t="s">
        <v>1036</v>
      </c>
      <c r="E203" s="28" t="s">
        <v>1597</v>
      </c>
      <c r="F203" s="28" t="s">
        <v>446</v>
      </c>
      <c r="G203" s="28" t="s">
        <v>303</v>
      </c>
      <c r="H203" s="28">
        <v>70669</v>
      </c>
      <c r="I203" s="28">
        <v>30.318283999999998</v>
      </c>
      <c r="J203" s="28">
        <v>-93.303511999999998</v>
      </c>
      <c r="L203" s="61">
        <v>110000613685</v>
      </c>
      <c r="M203" s="28" t="s">
        <v>6750</v>
      </c>
      <c r="N203" s="28">
        <v>4953</v>
      </c>
      <c r="O203" s="28" t="str">
        <f>IFERROR(VLOOKUP(N203, 'SIC &amp; NAICS Codes'!A:B, 2, FALSE), "")</f>
        <v>Refuse Systems (hazardous waste treatment and disposal)</v>
      </c>
      <c r="S203" s="28">
        <v>0.37646556250000002</v>
      </c>
      <c r="T203" s="315">
        <f>_xlfn.MAXIFS('Raw Period DMR Data'!$O:$O,'Raw Period DMR Data'!$A:$A,'Raw Annual DMR Data'!B203,'Raw Period DMR Data'!$C:$C,X203)/S203</f>
        <v>0</v>
      </c>
      <c r="U203" s="28" t="str">
        <f>+IF(COUNTIFS('Raw Period DMR Data'!$A:$A,B203, 'Raw Period DMR Data'!C:C,'Raw Annual DMR Data'!X203, 'Raw Period DMR Data'!M:M, "&gt;0")&gt;0,_xlfn.MAXIFS('Raw Period DMR Data'!M:M,'Raw Period DMR Data'!$A:$A,'Raw Annual DMR Data'!B203,'Raw Period DMR Data'!C:C,'Raw Annual DMR Data'!X203), "N/A - Period DMR Data Not Available")</f>
        <v>N/A - Period DMR Data Not Available</v>
      </c>
      <c r="V203" s="28" t="str" cm="1">
        <f t="array" ref="V203">IFERROR(INDEX('Raw Period DMR Data'!N:N,MATCH(1,(B203='Raw Period DMR Data'!$A:$A)*(U203='Raw Period DMR Data'!M:M)*(X203='Raw Period DMR Data'!C:C),0),1), "N/A")</f>
        <v>N/A</v>
      </c>
      <c r="W203" s="28" t="s">
        <v>1463</v>
      </c>
      <c r="X203" s="28" t="s">
        <v>1598</v>
      </c>
      <c r="Y203" s="28">
        <v>317</v>
      </c>
      <c r="Z203" s="28">
        <v>8080205000075</v>
      </c>
      <c r="AA203" s="28"/>
      <c r="AB203" s="28" t="s">
        <v>1465</v>
      </c>
      <c r="AC203" s="28" t="s">
        <v>1466</v>
      </c>
    </row>
    <row r="204" spans="1:29" x14ac:dyDescent="0.25">
      <c r="A204" s="61">
        <v>110000613685</v>
      </c>
      <c r="B204" s="28">
        <v>2016</v>
      </c>
      <c r="C204" s="68">
        <f t="shared" si="3"/>
        <v>42370</v>
      </c>
      <c r="D204" s="28" t="s">
        <v>1036</v>
      </c>
      <c r="E204" s="28" t="s">
        <v>1597</v>
      </c>
      <c r="F204" s="28" t="s">
        <v>446</v>
      </c>
      <c r="G204" s="28" t="s">
        <v>303</v>
      </c>
      <c r="H204" s="28">
        <v>70669</v>
      </c>
      <c r="I204" s="28">
        <v>30.318283999999998</v>
      </c>
      <c r="J204" s="28">
        <v>-93.303511999999998</v>
      </c>
      <c r="L204" s="61">
        <v>110000613685</v>
      </c>
      <c r="M204" s="28" t="s">
        <v>6750</v>
      </c>
      <c r="N204" s="28">
        <v>4953</v>
      </c>
      <c r="O204" s="28" t="str">
        <f>IFERROR(VLOOKUP(N204, 'SIC &amp; NAICS Codes'!A:B, 2, FALSE), "")</f>
        <v>Refuse Systems (hazardous waste treatment and disposal)</v>
      </c>
      <c r="S204" s="28">
        <v>1.0741356875000001</v>
      </c>
      <c r="T204" s="315">
        <f>_xlfn.MAXIFS('Raw Period DMR Data'!$O:$O,'Raw Period DMR Data'!$A:$A,'Raw Annual DMR Data'!B204,'Raw Period DMR Data'!$C:$C,X204)/S204</f>
        <v>0</v>
      </c>
      <c r="U204" s="28" t="str">
        <f>+IF(COUNTIFS('Raw Period DMR Data'!$A:$A,B204, 'Raw Period DMR Data'!C:C,'Raw Annual DMR Data'!X204, 'Raw Period DMR Data'!M:M, "&gt;0")&gt;0,_xlfn.MAXIFS('Raw Period DMR Data'!M:M,'Raw Period DMR Data'!$A:$A,'Raw Annual DMR Data'!B204,'Raw Period DMR Data'!C:C,'Raw Annual DMR Data'!X204), "N/A - Period DMR Data Not Available")</f>
        <v>N/A - Period DMR Data Not Available</v>
      </c>
      <c r="V204" s="28" t="str" cm="1">
        <f t="array" ref="V204">IFERROR(INDEX('Raw Period DMR Data'!N:N,MATCH(1,(B204='Raw Period DMR Data'!$A:$A)*(U204='Raw Period DMR Data'!M:M)*(X204='Raw Period DMR Data'!C:C),0),1), "N/A")</f>
        <v>N/A</v>
      </c>
      <c r="W204" s="28" t="s">
        <v>1463</v>
      </c>
      <c r="X204" s="28" t="s">
        <v>1598</v>
      </c>
      <c r="Y204" s="28">
        <v>317</v>
      </c>
      <c r="Z204" s="28">
        <v>8080205000075</v>
      </c>
      <c r="AA204" s="28"/>
      <c r="AB204" s="28" t="s">
        <v>1465</v>
      </c>
      <c r="AC204" s="28" t="s">
        <v>1466</v>
      </c>
    </row>
    <row r="205" spans="1:29" x14ac:dyDescent="0.25">
      <c r="A205" s="61">
        <v>110000613685</v>
      </c>
      <c r="B205" s="28">
        <v>2016</v>
      </c>
      <c r="C205" s="68">
        <f t="shared" si="3"/>
        <v>42370</v>
      </c>
      <c r="D205" s="28" t="s">
        <v>1036</v>
      </c>
      <c r="E205" s="28" t="s">
        <v>1597</v>
      </c>
      <c r="F205" s="28" t="s">
        <v>446</v>
      </c>
      <c r="G205" s="28" t="s">
        <v>303</v>
      </c>
      <c r="H205" s="28">
        <v>70669</v>
      </c>
      <c r="I205" s="28">
        <v>30.318283999999998</v>
      </c>
      <c r="J205" s="28">
        <v>-93.303511999999998</v>
      </c>
      <c r="L205" s="61">
        <v>110000613685</v>
      </c>
      <c r="M205" s="28" t="s">
        <v>6750</v>
      </c>
      <c r="N205" s="28">
        <v>4953</v>
      </c>
      <c r="O205" s="28" t="str">
        <f>IFERROR(VLOOKUP(N205, 'SIC &amp; NAICS Codes'!A:B, 2, FALSE), "")</f>
        <v>Refuse Systems (hazardous waste treatment and disposal)</v>
      </c>
      <c r="S205" s="28">
        <v>1.4540550624999999</v>
      </c>
      <c r="T205" s="315">
        <f>_xlfn.MAXIFS('Raw Period DMR Data'!$O:$O,'Raw Period DMR Data'!$A:$A,'Raw Annual DMR Data'!B205,'Raw Period DMR Data'!$C:$C,X205)/S205</f>
        <v>0</v>
      </c>
      <c r="U205" s="28" t="str">
        <f>+IF(COUNTIFS('Raw Period DMR Data'!$A:$A,B205, 'Raw Period DMR Data'!C:C,'Raw Annual DMR Data'!X205, 'Raw Period DMR Data'!M:M, "&gt;0")&gt;0,_xlfn.MAXIFS('Raw Period DMR Data'!M:M,'Raw Period DMR Data'!$A:$A,'Raw Annual DMR Data'!B205,'Raw Period DMR Data'!C:C,'Raw Annual DMR Data'!X205), "N/A - Period DMR Data Not Available")</f>
        <v>N/A - Period DMR Data Not Available</v>
      </c>
      <c r="V205" s="28" t="str" cm="1">
        <f t="array" ref="V205">IFERROR(INDEX('Raw Period DMR Data'!N:N,MATCH(1,(B205='Raw Period DMR Data'!$A:$A)*(U205='Raw Period DMR Data'!M:M)*(X205='Raw Period DMR Data'!C:C),0),1), "N/A")</f>
        <v>N/A</v>
      </c>
      <c r="W205" s="28" t="s">
        <v>1463</v>
      </c>
      <c r="X205" s="28" t="s">
        <v>1598</v>
      </c>
      <c r="Y205" s="28">
        <v>317</v>
      </c>
      <c r="Z205" s="28">
        <v>8080205000075</v>
      </c>
      <c r="AA205" s="28"/>
      <c r="AB205" s="28" t="s">
        <v>1465</v>
      </c>
      <c r="AC205" s="28" t="s">
        <v>1466</v>
      </c>
    </row>
    <row r="206" spans="1:29" x14ac:dyDescent="0.25">
      <c r="A206" s="61">
        <v>110000613685</v>
      </c>
      <c r="B206" s="28">
        <v>2018</v>
      </c>
      <c r="C206" s="68">
        <f t="shared" si="3"/>
        <v>43101</v>
      </c>
      <c r="D206" s="28" t="s">
        <v>1036</v>
      </c>
      <c r="E206" s="28" t="s">
        <v>1597</v>
      </c>
      <c r="F206" s="28" t="s">
        <v>446</v>
      </c>
      <c r="G206" s="28" t="s">
        <v>303</v>
      </c>
      <c r="H206" s="28">
        <v>70669</v>
      </c>
      <c r="I206" s="28">
        <v>30.318283999999998</v>
      </c>
      <c r="J206" s="28">
        <v>-93.303511999999998</v>
      </c>
      <c r="L206" s="61">
        <v>110000613685</v>
      </c>
      <c r="M206" s="28" t="s">
        <v>6750</v>
      </c>
      <c r="N206" s="28">
        <v>4953</v>
      </c>
      <c r="O206" s="28" t="str">
        <f>IFERROR(VLOOKUP(N206, 'SIC &amp; NAICS Codes'!A:B, 2, FALSE), "")</f>
        <v>Refuse Systems (hazardous waste treatment and disposal)</v>
      </c>
      <c r="S206" s="28">
        <v>1.1121276250000001</v>
      </c>
      <c r="T206" s="315">
        <f>_xlfn.MAXIFS('Raw Period DMR Data'!$O:$O,'Raw Period DMR Data'!$A:$A,'Raw Annual DMR Data'!B206,'Raw Period DMR Data'!$C:$C,X206)/S206</f>
        <v>0</v>
      </c>
      <c r="U206" s="28" t="str">
        <f>+IF(COUNTIFS('Raw Period DMR Data'!$A:$A,B206, 'Raw Period DMR Data'!C:C,'Raw Annual DMR Data'!X206, 'Raw Period DMR Data'!M:M, "&gt;0")&gt;0,_xlfn.MAXIFS('Raw Period DMR Data'!M:M,'Raw Period DMR Data'!$A:$A,'Raw Annual DMR Data'!B206,'Raw Period DMR Data'!C:C,'Raw Annual DMR Data'!X206), "N/A - Period DMR Data Not Available")</f>
        <v>N/A - Period DMR Data Not Available</v>
      </c>
      <c r="V206" s="28" t="str" cm="1">
        <f t="array" ref="V206">IFERROR(INDEX('Raw Period DMR Data'!N:N,MATCH(1,(B206='Raw Period DMR Data'!$A:$A)*(U206='Raw Period DMR Data'!M:M)*(X206='Raw Period DMR Data'!C:C),0),1), "N/A")</f>
        <v>N/A</v>
      </c>
      <c r="W206" s="28" t="s">
        <v>1463</v>
      </c>
      <c r="X206" s="28" t="s">
        <v>1598</v>
      </c>
      <c r="Y206" s="302" t="s">
        <v>1599</v>
      </c>
      <c r="Z206" s="302" t="s">
        <v>1600</v>
      </c>
      <c r="AA206" s="28"/>
      <c r="AB206" s="28" t="s">
        <v>1465</v>
      </c>
      <c r="AC206" s="28" t="s">
        <v>1466</v>
      </c>
    </row>
    <row r="207" spans="1:29" x14ac:dyDescent="0.25">
      <c r="A207" s="61">
        <v>110000613685</v>
      </c>
      <c r="B207" s="28">
        <v>2018</v>
      </c>
      <c r="C207" s="68">
        <f t="shared" si="3"/>
        <v>43101</v>
      </c>
      <c r="D207" s="28" t="s">
        <v>1036</v>
      </c>
      <c r="E207" s="28" t="s">
        <v>1597</v>
      </c>
      <c r="F207" s="28" t="s">
        <v>446</v>
      </c>
      <c r="G207" s="28" t="s">
        <v>303</v>
      </c>
      <c r="H207" s="28">
        <v>70669</v>
      </c>
      <c r="I207" s="28">
        <v>30.318283999999998</v>
      </c>
      <c r="J207" s="28">
        <v>-93.303511999999998</v>
      </c>
      <c r="L207" s="61">
        <v>110000613685</v>
      </c>
      <c r="M207" s="28" t="s">
        <v>6750</v>
      </c>
      <c r="N207" s="28">
        <v>4953</v>
      </c>
      <c r="O207" s="28" t="str">
        <f>IFERROR(VLOOKUP(N207, 'SIC &amp; NAICS Codes'!A:B, 2, FALSE), "")</f>
        <v>Refuse Systems (hazardous waste treatment and disposal)</v>
      </c>
      <c r="S207" s="28">
        <v>0.82200737499999998</v>
      </c>
      <c r="T207" s="315">
        <f>_xlfn.MAXIFS('Raw Period DMR Data'!$O:$O,'Raw Period DMR Data'!$A:$A,'Raw Annual DMR Data'!B207,'Raw Period DMR Data'!$C:$C,X207)/S207</f>
        <v>0</v>
      </c>
      <c r="U207" s="28" t="str">
        <f>+IF(COUNTIFS('Raw Period DMR Data'!$A:$A,B207, 'Raw Period DMR Data'!C:C,'Raw Annual DMR Data'!X207, 'Raw Period DMR Data'!M:M, "&gt;0")&gt;0,_xlfn.MAXIFS('Raw Period DMR Data'!M:M,'Raw Period DMR Data'!$A:$A,'Raw Annual DMR Data'!B207,'Raw Period DMR Data'!C:C,'Raw Annual DMR Data'!X207), "N/A - Period DMR Data Not Available")</f>
        <v>N/A - Period DMR Data Not Available</v>
      </c>
      <c r="V207" s="28" t="str" cm="1">
        <f t="array" ref="V207">IFERROR(INDEX('Raw Period DMR Data'!N:N,MATCH(1,(B207='Raw Period DMR Data'!$A:$A)*(U207='Raw Period DMR Data'!M:M)*(X207='Raw Period DMR Data'!C:C),0),1), "N/A")</f>
        <v>N/A</v>
      </c>
      <c r="W207" s="28" t="s">
        <v>1463</v>
      </c>
      <c r="X207" s="28" t="s">
        <v>1598</v>
      </c>
      <c r="Y207" s="302" t="s">
        <v>1599</v>
      </c>
      <c r="Z207" s="302" t="s">
        <v>1600</v>
      </c>
      <c r="AA207" s="28"/>
      <c r="AB207" s="28" t="s">
        <v>1465</v>
      </c>
      <c r="AC207" s="28" t="s">
        <v>1466</v>
      </c>
    </row>
    <row r="208" spans="1:29" x14ac:dyDescent="0.25">
      <c r="A208" s="61">
        <v>110000613685</v>
      </c>
      <c r="B208" s="28">
        <v>2018</v>
      </c>
      <c r="C208" s="68">
        <f t="shared" si="3"/>
        <v>43101</v>
      </c>
      <c r="D208" s="28" t="s">
        <v>1036</v>
      </c>
      <c r="E208" s="28" t="s">
        <v>1597</v>
      </c>
      <c r="F208" s="28" t="s">
        <v>446</v>
      </c>
      <c r="G208" s="28" t="s">
        <v>303</v>
      </c>
      <c r="H208" s="28">
        <v>70669</v>
      </c>
      <c r="I208" s="28">
        <v>30.318283999999998</v>
      </c>
      <c r="J208" s="28">
        <v>-93.303511999999998</v>
      </c>
      <c r="L208" s="61">
        <v>110000613685</v>
      </c>
      <c r="M208" s="28" t="s">
        <v>6750</v>
      </c>
      <c r="N208" s="28">
        <v>4953</v>
      </c>
      <c r="O208" s="28" t="str">
        <f>IFERROR(VLOOKUP(N208, 'SIC &amp; NAICS Codes'!A:B, 2, FALSE), "")</f>
        <v>Refuse Systems (hazardous waste treatment and disposal)</v>
      </c>
      <c r="S208" s="28">
        <v>0.28666643749999998</v>
      </c>
      <c r="T208" s="315">
        <f>_xlfn.MAXIFS('Raw Period DMR Data'!$O:$O,'Raw Period DMR Data'!$A:$A,'Raw Annual DMR Data'!B208,'Raw Period DMR Data'!$C:$C,X208)/S208</f>
        <v>0</v>
      </c>
      <c r="U208" s="28" t="str">
        <f>+IF(COUNTIFS('Raw Period DMR Data'!$A:$A,B208, 'Raw Period DMR Data'!C:C,'Raw Annual DMR Data'!X208, 'Raw Period DMR Data'!M:M, "&gt;0")&gt;0,_xlfn.MAXIFS('Raw Period DMR Data'!M:M,'Raw Period DMR Data'!$A:$A,'Raw Annual DMR Data'!B208,'Raw Period DMR Data'!C:C,'Raw Annual DMR Data'!X208), "N/A - Period DMR Data Not Available")</f>
        <v>N/A - Period DMR Data Not Available</v>
      </c>
      <c r="V208" s="28" t="str" cm="1">
        <f t="array" ref="V208">IFERROR(INDEX('Raw Period DMR Data'!N:N,MATCH(1,(B208='Raw Period DMR Data'!$A:$A)*(U208='Raw Period DMR Data'!M:M)*(X208='Raw Period DMR Data'!C:C),0),1), "N/A")</f>
        <v>N/A</v>
      </c>
      <c r="W208" s="28" t="s">
        <v>1463</v>
      </c>
      <c r="X208" s="28" t="s">
        <v>1598</v>
      </c>
      <c r="Y208" s="302" t="s">
        <v>1599</v>
      </c>
      <c r="Z208" s="302" t="s">
        <v>1600</v>
      </c>
      <c r="AA208" s="28"/>
      <c r="AB208" s="28" t="s">
        <v>1465</v>
      </c>
      <c r="AC208" s="28" t="s">
        <v>1466</v>
      </c>
    </row>
    <row r="209" spans="1:29" x14ac:dyDescent="0.25">
      <c r="A209" s="61">
        <v>110000613685</v>
      </c>
      <c r="B209" s="28">
        <v>2020</v>
      </c>
      <c r="C209" s="68">
        <f t="shared" si="3"/>
        <v>43831</v>
      </c>
      <c r="D209" s="28" t="s">
        <v>1036</v>
      </c>
      <c r="E209" s="28" t="s">
        <v>1597</v>
      </c>
      <c r="F209" s="28" t="s">
        <v>446</v>
      </c>
      <c r="G209" s="28" t="s">
        <v>303</v>
      </c>
      <c r="H209" s="28">
        <v>70669</v>
      </c>
      <c r="I209" s="28">
        <v>30.318283999999998</v>
      </c>
      <c r="J209" s="28">
        <v>-93.303511999999998</v>
      </c>
      <c r="L209" s="61">
        <v>110000613685</v>
      </c>
      <c r="M209" s="28" t="s">
        <v>6750</v>
      </c>
      <c r="N209" s="28">
        <v>4953</v>
      </c>
      <c r="O209" s="28" t="str">
        <f>IFERROR(VLOOKUP(N209, 'SIC &amp; NAICS Codes'!A:B, 2, FALSE), "")</f>
        <v>Refuse Systems (hazardous waste treatment and disposal)</v>
      </c>
      <c r="S209" s="28">
        <v>0.38682699999999998</v>
      </c>
      <c r="T209" s="315">
        <f>_xlfn.MAXIFS('Raw Period DMR Data'!$O:$O,'Raw Period DMR Data'!$A:$A,'Raw Annual DMR Data'!B209,'Raw Period DMR Data'!$C:$C,X209)/S209</f>
        <v>0</v>
      </c>
      <c r="U209" s="28" t="str">
        <f>+IF(COUNTIFS('Raw Period DMR Data'!$A:$A,B209, 'Raw Period DMR Data'!C:C,'Raw Annual DMR Data'!X209, 'Raw Period DMR Data'!M:M, "&gt;0")&gt;0,_xlfn.MAXIFS('Raw Period DMR Data'!M:M,'Raw Period DMR Data'!$A:$A,'Raw Annual DMR Data'!B209,'Raw Period DMR Data'!C:C,'Raw Annual DMR Data'!X209), "N/A - Period DMR Data Not Available")</f>
        <v>N/A - Period DMR Data Not Available</v>
      </c>
      <c r="V209" s="28" t="str" cm="1">
        <f t="array" ref="V209">IFERROR(INDEX('Raw Period DMR Data'!N:N,MATCH(1,(B209='Raw Period DMR Data'!$A:$A)*(U209='Raw Period DMR Data'!M:M)*(X209='Raw Period DMR Data'!C:C),0),1), "N/A")</f>
        <v>N/A</v>
      </c>
      <c r="W209" s="28" t="s">
        <v>1463</v>
      </c>
      <c r="X209" s="28" t="s">
        <v>1598</v>
      </c>
      <c r="Y209" s="28">
        <v>317</v>
      </c>
      <c r="Z209" s="28">
        <v>8080205000075</v>
      </c>
      <c r="AA209" s="28"/>
      <c r="AB209" s="28" t="s">
        <v>1465</v>
      </c>
      <c r="AC209" s="28" t="s">
        <v>1466</v>
      </c>
    </row>
    <row r="210" spans="1:29" x14ac:dyDescent="0.25">
      <c r="A210" s="61">
        <v>110000613685</v>
      </c>
      <c r="B210" s="28">
        <v>2020</v>
      </c>
      <c r="C210" s="68">
        <f t="shared" si="3"/>
        <v>43831</v>
      </c>
      <c r="D210" s="28" t="s">
        <v>1036</v>
      </c>
      <c r="E210" s="28" t="s">
        <v>1597</v>
      </c>
      <c r="F210" s="28" t="s">
        <v>446</v>
      </c>
      <c r="G210" s="28" t="s">
        <v>303</v>
      </c>
      <c r="H210" s="28">
        <v>70669</v>
      </c>
      <c r="I210" s="28">
        <v>30.318283999999998</v>
      </c>
      <c r="J210" s="28">
        <v>-93.303511999999998</v>
      </c>
      <c r="L210" s="61">
        <v>110000613685</v>
      </c>
      <c r="M210" s="28" t="s">
        <v>6750</v>
      </c>
      <c r="N210" s="28">
        <v>4953</v>
      </c>
      <c r="O210" s="28" t="str">
        <f>IFERROR(VLOOKUP(N210, 'SIC &amp; NAICS Codes'!A:B, 2, FALSE), "")</f>
        <v>Refuse Systems (hazardous waste treatment and disposal)</v>
      </c>
      <c r="S210" s="28">
        <v>0.52152568749999995</v>
      </c>
      <c r="T210" s="315">
        <f>_xlfn.MAXIFS('Raw Period DMR Data'!$O:$O,'Raw Period DMR Data'!$A:$A,'Raw Annual DMR Data'!B210,'Raw Period DMR Data'!$C:$C,X210)/S210</f>
        <v>0</v>
      </c>
      <c r="U210" s="28" t="str">
        <f>+IF(COUNTIFS('Raw Period DMR Data'!$A:$A,B210, 'Raw Period DMR Data'!C:C,'Raw Annual DMR Data'!X210, 'Raw Period DMR Data'!M:M, "&gt;0")&gt;0,_xlfn.MAXIFS('Raw Period DMR Data'!M:M,'Raw Period DMR Data'!$A:$A,'Raw Annual DMR Data'!B210,'Raw Period DMR Data'!C:C,'Raw Annual DMR Data'!X210), "N/A - Period DMR Data Not Available")</f>
        <v>N/A - Period DMR Data Not Available</v>
      </c>
      <c r="V210" s="28" t="str" cm="1">
        <f t="array" ref="V210">IFERROR(INDEX('Raw Period DMR Data'!N:N,MATCH(1,(B210='Raw Period DMR Data'!$A:$A)*(U210='Raw Period DMR Data'!M:M)*(X210='Raw Period DMR Data'!C:C),0),1), "N/A")</f>
        <v>N/A</v>
      </c>
      <c r="W210" s="28" t="s">
        <v>1463</v>
      </c>
      <c r="X210" s="28" t="s">
        <v>1598</v>
      </c>
      <c r="Y210" s="28">
        <v>317</v>
      </c>
      <c r="Z210" s="28">
        <v>8080205000075</v>
      </c>
      <c r="AA210" s="28"/>
      <c r="AB210" s="28" t="s">
        <v>1465</v>
      </c>
      <c r="AC210" s="28" t="s">
        <v>1466</v>
      </c>
    </row>
    <row r="211" spans="1:29" x14ac:dyDescent="0.25">
      <c r="A211" s="61">
        <v>110000613685</v>
      </c>
      <c r="B211" s="28">
        <v>2020</v>
      </c>
      <c r="C211" s="68">
        <f t="shared" si="3"/>
        <v>43831</v>
      </c>
      <c r="D211" s="28" t="s">
        <v>1036</v>
      </c>
      <c r="E211" s="28" t="s">
        <v>1597</v>
      </c>
      <c r="F211" s="28" t="s">
        <v>446</v>
      </c>
      <c r="G211" s="28" t="s">
        <v>303</v>
      </c>
      <c r="H211" s="28">
        <v>70669</v>
      </c>
      <c r="I211" s="28">
        <v>30.318283999999998</v>
      </c>
      <c r="J211" s="28">
        <v>-93.303511999999998</v>
      </c>
      <c r="L211" s="61">
        <v>110000613685</v>
      </c>
      <c r="M211" s="28" t="s">
        <v>6750</v>
      </c>
      <c r="N211" s="28">
        <v>4953</v>
      </c>
      <c r="O211" s="28" t="str">
        <f>IFERROR(VLOOKUP(N211, 'SIC &amp; NAICS Codes'!A:B, 2, FALSE), "")</f>
        <v>Refuse Systems (hazardous waste treatment and disposal)</v>
      </c>
      <c r="S211" s="28">
        <v>0.1346986875</v>
      </c>
      <c r="T211" s="315">
        <f>_xlfn.MAXIFS('Raw Period DMR Data'!$O:$O,'Raw Period DMR Data'!$A:$A,'Raw Annual DMR Data'!B211,'Raw Period DMR Data'!$C:$C,X211)/S211</f>
        <v>0</v>
      </c>
      <c r="U211" s="28" t="str">
        <f>+IF(COUNTIFS('Raw Period DMR Data'!$A:$A,B211, 'Raw Period DMR Data'!C:C,'Raw Annual DMR Data'!X211, 'Raw Period DMR Data'!M:M, "&gt;0")&gt;0,_xlfn.MAXIFS('Raw Period DMR Data'!M:M,'Raw Period DMR Data'!$A:$A,'Raw Annual DMR Data'!B211,'Raw Period DMR Data'!C:C,'Raw Annual DMR Data'!X211), "N/A - Period DMR Data Not Available")</f>
        <v>N/A - Period DMR Data Not Available</v>
      </c>
      <c r="V211" s="28" t="str" cm="1">
        <f t="array" ref="V211">IFERROR(INDEX('Raw Period DMR Data'!N:N,MATCH(1,(B211='Raw Period DMR Data'!$A:$A)*(U211='Raw Period DMR Data'!M:M)*(X211='Raw Period DMR Data'!C:C),0),1), "N/A")</f>
        <v>N/A</v>
      </c>
      <c r="W211" s="28" t="s">
        <v>1463</v>
      </c>
      <c r="X211" s="28" t="s">
        <v>1598</v>
      </c>
      <c r="Y211" s="28">
        <v>317</v>
      </c>
      <c r="Z211" s="28">
        <v>8080205000075</v>
      </c>
      <c r="AA211" s="28"/>
      <c r="AB211" s="28" t="s">
        <v>1465</v>
      </c>
      <c r="AC211" s="28" t="s">
        <v>1466</v>
      </c>
    </row>
    <row r="212" spans="1:29" x14ac:dyDescent="0.25">
      <c r="A212" s="61">
        <v>110043485421</v>
      </c>
      <c r="B212" s="28">
        <v>2017</v>
      </c>
      <c r="C212" s="68">
        <f t="shared" si="3"/>
        <v>42736</v>
      </c>
      <c r="D212" s="28" t="s">
        <v>1037</v>
      </c>
      <c r="E212" s="28" t="s">
        <v>1601</v>
      </c>
      <c r="F212" s="28" t="s">
        <v>987</v>
      </c>
      <c r="G212" s="28" t="s">
        <v>324</v>
      </c>
      <c r="H212" s="28">
        <v>40291</v>
      </c>
      <c r="I212" s="28">
        <v>38.122354000000001</v>
      </c>
      <c r="J212" s="28">
        <v>-85.587648000000002</v>
      </c>
      <c r="L212" s="61">
        <v>110043485421</v>
      </c>
      <c r="M212" s="28" t="s">
        <v>263</v>
      </c>
      <c r="N212" s="28">
        <v>4952</v>
      </c>
      <c r="O212" s="28" t="str">
        <f>IFERROR(VLOOKUP(N212, 'SIC &amp; NAICS Codes'!A:B, 2, FALSE), "")</f>
        <v>Sewerage Systems</v>
      </c>
      <c r="S212" s="28">
        <v>15.9462523125</v>
      </c>
      <c r="T212" s="315">
        <f>_xlfn.MAXIFS('Raw Period DMR Data'!$O:$O,'Raw Period DMR Data'!$A:$A,'Raw Annual DMR Data'!B212,'Raw Period DMR Data'!$C:$C,X212)/S212</f>
        <v>0</v>
      </c>
      <c r="U212" s="28" t="str">
        <f>+IF(COUNTIFS('Raw Period DMR Data'!$A:$A,B212, 'Raw Period DMR Data'!C:C,'Raw Annual DMR Data'!X212, 'Raw Period DMR Data'!M:M, "&gt;0")&gt;0,_xlfn.MAXIFS('Raw Period DMR Data'!M:M,'Raw Period DMR Data'!$A:$A,'Raw Annual DMR Data'!B212,'Raw Period DMR Data'!C:C,'Raw Annual DMR Data'!X212), "N/A - Period DMR Data Not Available")</f>
        <v>N/A - Period DMR Data Not Available</v>
      </c>
      <c r="V212" s="28" t="str" cm="1">
        <f t="array" ref="V212">IFERROR(INDEX('Raw Period DMR Data'!N:N,MATCH(1,(B212='Raw Period DMR Data'!$A:$A)*(U212='Raw Period DMR Data'!M:M)*(X212='Raw Period DMR Data'!C:C),0),1), "N/A")</f>
        <v>N/A</v>
      </c>
      <c r="W212" s="28" t="s">
        <v>1463</v>
      </c>
      <c r="X212" s="28" t="s">
        <v>1602</v>
      </c>
      <c r="Y212" s="28" t="s">
        <v>1603</v>
      </c>
      <c r="Z212" s="28">
        <v>5140102000566</v>
      </c>
      <c r="AA212" s="28"/>
      <c r="AB212" s="28" t="s">
        <v>1465</v>
      </c>
      <c r="AC212" s="28" t="s">
        <v>263</v>
      </c>
    </row>
    <row r="213" spans="1:29" x14ac:dyDescent="0.25">
      <c r="A213" s="61">
        <v>110043485421</v>
      </c>
      <c r="B213" s="28">
        <v>2018</v>
      </c>
      <c r="C213" s="68">
        <f t="shared" si="3"/>
        <v>43101</v>
      </c>
      <c r="D213" s="28" t="s">
        <v>1037</v>
      </c>
      <c r="E213" s="28" t="s">
        <v>1601</v>
      </c>
      <c r="F213" s="28" t="s">
        <v>987</v>
      </c>
      <c r="G213" s="28" t="s">
        <v>324</v>
      </c>
      <c r="H213" s="28">
        <v>40291</v>
      </c>
      <c r="I213" s="28">
        <v>38.122354000000001</v>
      </c>
      <c r="J213" s="28">
        <v>-85.587648000000002</v>
      </c>
      <c r="L213" s="61">
        <v>110043485421</v>
      </c>
      <c r="M213" s="28" t="s">
        <v>263</v>
      </c>
      <c r="N213" s="28">
        <v>4952</v>
      </c>
      <c r="O213" s="28" t="str">
        <f>IFERROR(VLOOKUP(N213, 'SIC &amp; NAICS Codes'!A:B, 2, FALSE), "")</f>
        <v>Sewerage Systems</v>
      </c>
      <c r="S213" s="28">
        <v>26.356043187499999</v>
      </c>
      <c r="T213" s="315">
        <f>_xlfn.MAXIFS('Raw Period DMR Data'!$O:$O,'Raw Period DMR Data'!$A:$A,'Raw Annual DMR Data'!B213,'Raw Period DMR Data'!$C:$C,X213)/S213</f>
        <v>0</v>
      </c>
      <c r="U213" s="28" t="str">
        <f>+IF(COUNTIFS('Raw Period DMR Data'!$A:$A,B213, 'Raw Period DMR Data'!C:C,'Raw Annual DMR Data'!X213, 'Raw Period DMR Data'!M:M, "&gt;0")&gt;0,_xlfn.MAXIFS('Raw Period DMR Data'!M:M,'Raw Period DMR Data'!$A:$A,'Raw Annual DMR Data'!B213,'Raw Period DMR Data'!C:C,'Raw Annual DMR Data'!X213), "N/A - Period DMR Data Not Available")</f>
        <v>N/A - Period DMR Data Not Available</v>
      </c>
      <c r="V213" s="28" t="str" cm="1">
        <f t="array" ref="V213">IFERROR(INDEX('Raw Period DMR Data'!N:N,MATCH(1,(B213='Raw Period DMR Data'!$A:$A)*(U213='Raw Period DMR Data'!M:M)*(X213='Raw Period DMR Data'!C:C),0),1), "N/A")</f>
        <v>N/A</v>
      </c>
      <c r="W213" s="28" t="s">
        <v>1463</v>
      </c>
      <c r="X213" s="28" t="s">
        <v>1602</v>
      </c>
      <c r="Y213" s="28" t="s">
        <v>1603</v>
      </c>
      <c r="Z213" s="302" t="s">
        <v>1604</v>
      </c>
      <c r="AA213" s="28"/>
      <c r="AB213" s="28" t="s">
        <v>1465</v>
      </c>
      <c r="AC213" s="28" t="s">
        <v>263</v>
      </c>
    </row>
    <row r="214" spans="1:29" x14ac:dyDescent="0.25">
      <c r="A214" s="61">
        <v>110043485421</v>
      </c>
      <c r="B214" s="28">
        <v>2019</v>
      </c>
      <c r="C214" s="68">
        <f t="shared" si="3"/>
        <v>43466</v>
      </c>
      <c r="D214" s="28" t="s">
        <v>1037</v>
      </c>
      <c r="E214" s="28" t="s">
        <v>1601</v>
      </c>
      <c r="F214" s="28" t="s">
        <v>987</v>
      </c>
      <c r="G214" s="28" t="s">
        <v>324</v>
      </c>
      <c r="H214" s="28">
        <v>40291</v>
      </c>
      <c r="I214" s="28">
        <v>38.122354000000001</v>
      </c>
      <c r="J214" s="28">
        <v>-85.587648000000002</v>
      </c>
      <c r="L214" s="61">
        <v>110043485421</v>
      </c>
      <c r="M214" s="28" t="s">
        <v>263</v>
      </c>
      <c r="N214" s="28">
        <v>4952</v>
      </c>
      <c r="O214" s="28" t="str">
        <f>IFERROR(VLOOKUP(N214, 'SIC &amp; NAICS Codes'!A:B, 2, FALSE), "")</f>
        <v>Sewerage Systems</v>
      </c>
      <c r="S214" s="28">
        <v>27.7651986875</v>
      </c>
      <c r="T214" s="315">
        <f>_xlfn.MAXIFS('Raw Period DMR Data'!$O:$O,'Raw Period DMR Data'!$A:$A,'Raw Annual DMR Data'!B214,'Raw Period DMR Data'!$C:$C,X214)/S214</f>
        <v>0</v>
      </c>
      <c r="U214" s="28" t="str">
        <f>+IF(COUNTIFS('Raw Period DMR Data'!$A:$A,B214, 'Raw Period DMR Data'!C:C,'Raw Annual DMR Data'!X214, 'Raw Period DMR Data'!M:M, "&gt;0")&gt;0,_xlfn.MAXIFS('Raw Period DMR Data'!M:M,'Raw Period DMR Data'!$A:$A,'Raw Annual DMR Data'!B214,'Raw Period DMR Data'!C:C,'Raw Annual DMR Data'!X214), "N/A - Period DMR Data Not Available")</f>
        <v>N/A - Period DMR Data Not Available</v>
      </c>
      <c r="V214" s="28" t="str" cm="1">
        <f t="array" ref="V214">IFERROR(INDEX('Raw Period DMR Data'!N:N,MATCH(1,(B214='Raw Period DMR Data'!$A:$A)*(U214='Raw Period DMR Data'!M:M)*(X214='Raw Period DMR Data'!C:C),0),1), "N/A")</f>
        <v>N/A</v>
      </c>
      <c r="W214" s="28" t="s">
        <v>1463</v>
      </c>
      <c r="X214" s="28" t="s">
        <v>1602</v>
      </c>
      <c r="Y214" s="28" t="s">
        <v>1603</v>
      </c>
      <c r="Z214" s="28">
        <v>5140102000566</v>
      </c>
      <c r="AA214" s="28"/>
      <c r="AB214" s="28" t="s">
        <v>1465</v>
      </c>
      <c r="AC214" s="28" t="s">
        <v>263</v>
      </c>
    </row>
    <row r="215" spans="1:29" x14ac:dyDescent="0.25">
      <c r="A215" s="61">
        <v>110043485421</v>
      </c>
      <c r="B215" s="28">
        <v>2020</v>
      </c>
      <c r="C215" s="68">
        <f t="shared" si="3"/>
        <v>43831</v>
      </c>
      <c r="D215" s="28" t="s">
        <v>1037</v>
      </c>
      <c r="E215" s="28" t="s">
        <v>1601</v>
      </c>
      <c r="F215" s="28" t="s">
        <v>987</v>
      </c>
      <c r="G215" s="28" t="s">
        <v>324</v>
      </c>
      <c r="H215" s="28">
        <v>40291</v>
      </c>
      <c r="I215" s="28">
        <v>38.122354000000001</v>
      </c>
      <c r="J215" s="28">
        <v>-85.587648000000002</v>
      </c>
      <c r="L215" s="61">
        <v>110043485421</v>
      </c>
      <c r="M215" s="28" t="s">
        <v>263</v>
      </c>
      <c r="N215" s="28">
        <v>4952</v>
      </c>
      <c r="O215" s="28" t="str">
        <f>IFERROR(VLOOKUP(N215, 'SIC &amp; NAICS Codes'!A:B, 2, FALSE), "")</f>
        <v>Sewerage Systems</v>
      </c>
      <c r="S215" s="28">
        <v>25.751626000000002</v>
      </c>
      <c r="T215" s="315">
        <f>_xlfn.MAXIFS('Raw Period DMR Data'!$O:$O,'Raw Period DMR Data'!$A:$A,'Raw Annual DMR Data'!B215,'Raw Period DMR Data'!$C:$C,X215)/S215</f>
        <v>0</v>
      </c>
      <c r="U215" s="28" t="str">
        <f>+IF(COUNTIFS('Raw Period DMR Data'!$A:$A,B215, 'Raw Period DMR Data'!C:C,'Raw Annual DMR Data'!X215, 'Raw Period DMR Data'!M:M, "&gt;0")&gt;0,_xlfn.MAXIFS('Raw Period DMR Data'!M:M,'Raw Period DMR Data'!$A:$A,'Raw Annual DMR Data'!B215,'Raw Period DMR Data'!C:C,'Raw Annual DMR Data'!X215), "N/A - Period DMR Data Not Available")</f>
        <v>N/A - Period DMR Data Not Available</v>
      </c>
      <c r="V215" s="28" t="str" cm="1">
        <f t="array" ref="V215">IFERROR(INDEX('Raw Period DMR Data'!N:N,MATCH(1,(B215='Raw Period DMR Data'!$A:$A)*(U215='Raw Period DMR Data'!M:M)*(X215='Raw Period DMR Data'!C:C),0),1), "N/A")</f>
        <v>N/A</v>
      </c>
      <c r="W215" s="28" t="s">
        <v>1463</v>
      </c>
      <c r="X215" s="28" t="s">
        <v>1602</v>
      </c>
      <c r="Y215" s="28" t="s">
        <v>1603</v>
      </c>
      <c r="Z215" s="28">
        <v>5140102000566</v>
      </c>
      <c r="AA215" s="28"/>
      <c r="AB215" s="28" t="s">
        <v>1465</v>
      </c>
      <c r="AC215" s="28" t="s">
        <v>263</v>
      </c>
    </row>
    <row r="216" spans="1:29" x14ac:dyDescent="0.25">
      <c r="A216" s="61">
        <v>110064265496</v>
      </c>
      <c r="B216" s="28">
        <v>2019</v>
      </c>
      <c r="C216" s="68">
        <f t="shared" si="3"/>
        <v>43466</v>
      </c>
      <c r="D216" s="28" t="s">
        <v>1038</v>
      </c>
      <c r="E216" s="28" t="s">
        <v>1605</v>
      </c>
      <c r="F216" s="28" t="s">
        <v>1039</v>
      </c>
      <c r="G216" s="28" t="s">
        <v>324</v>
      </c>
      <c r="H216" s="28">
        <v>42330</v>
      </c>
      <c r="I216" s="28">
        <v>37.304611999999999</v>
      </c>
      <c r="J216" s="28">
        <v>-87.145292999999995</v>
      </c>
      <c r="L216" s="61">
        <v>110064265496</v>
      </c>
      <c r="M216" s="28" t="s">
        <v>263</v>
      </c>
      <c r="N216" s="28">
        <v>4952</v>
      </c>
      <c r="O216" s="28" t="str">
        <f>IFERROR(VLOOKUP(N216, 'SIC &amp; NAICS Codes'!A:B, 2, FALSE), "")</f>
        <v>Sewerage Systems</v>
      </c>
      <c r="S216" s="28">
        <v>5.6711601250000001</v>
      </c>
      <c r="T216" s="315">
        <f>_xlfn.MAXIFS('Raw Period DMR Data'!$O:$O,'Raw Period DMR Data'!$A:$A,'Raw Annual DMR Data'!B216,'Raw Period DMR Data'!$C:$C,X216)/S216</f>
        <v>0</v>
      </c>
      <c r="U216" s="28" t="str">
        <f>+IF(COUNTIFS('Raw Period DMR Data'!$A:$A,B216, 'Raw Period DMR Data'!C:C,'Raw Annual DMR Data'!X216, 'Raw Period DMR Data'!M:M, "&gt;0")&gt;0,_xlfn.MAXIFS('Raw Period DMR Data'!M:M,'Raw Period DMR Data'!$A:$A,'Raw Annual DMR Data'!B216,'Raw Period DMR Data'!C:C,'Raw Annual DMR Data'!X216), "N/A - Period DMR Data Not Available")</f>
        <v>N/A - Period DMR Data Not Available</v>
      </c>
      <c r="V216" s="28" t="str" cm="1">
        <f t="array" ref="V216">IFERROR(INDEX('Raw Period DMR Data'!N:N,MATCH(1,(B216='Raw Period DMR Data'!$A:$A)*(U216='Raw Period DMR Data'!M:M)*(X216='Raw Period DMR Data'!C:C),0),1), "N/A")</f>
        <v>N/A</v>
      </c>
      <c r="W216" s="28" t="s">
        <v>1463</v>
      </c>
      <c r="X216" s="28" t="s">
        <v>1606</v>
      </c>
      <c r="Y216" s="28" t="s">
        <v>1607</v>
      </c>
      <c r="Z216" s="28">
        <v>5110003001454</v>
      </c>
      <c r="AA216" s="28"/>
      <c r="AB216" s="28" t="s">
        <v>1465</v>
      </c>
      <c r="AC216" s="28" t="s">
        <v>263</v>
      </c>
    </row>
    <row r="217" spans="1:29" x14ac:dyDescent="0.25">
      <c r="A217" s="61">
        <v>110064265496</v>
      </c>
      <c r="B217" s="28">
        <v>2020</v>
      </c>
      <c r="C217" s="68">
        <f t="shared" si="3"/>
        <v>43831</v>
      </c>
      <c r="D217" s="28" t="s">
        <v>1038</v>
      </c>
      <c r="E217" s="28" t="s">
        <v>1605</v>
      </c>
      <c r="F217" s="28" t="s">
        <v>1039</v>
      </c>
      <c r="G217" s="28" t="s">
        <v>324</v>
      </c>
      <c r="H217" s="28">
        <v>42330</v>
      </c>
      <c r="I217" s="28">
        <v>37.304611999999999</v>
      </c>
      <c r="J217" s="28">
        <v>-87.145292999999995</v>
      </c>
      <c r="L217" s="61">
        <v>110064265496</v>
      </c>
      <c r="M217" s="28" t="s">
        <v>263</v>
      </c>
      <c r="N217" s="28">
        <v>4952</v>
      </c>
      <c r="O217" s="28" t="str">
        <f>IFERROR(VLOOKUP(N217, 'SIC &amp; NAICS Codes'!A:B, 2, FALSE), "")</f>
        <v>Sewerage Systems</v>
      </c>
      <c r="S217" s="28">
        <v>3.5401578124999999</v>
      </c>
      <c r="T217" s="315">
        <f>_xlfn.MAXIFS('Raw Period DMR Data'!$O:$O,'Raw Period DMR Data'!$A:$A,'Raw Annual DMR Data'!B217,'Raw Period DMR Data'!$C:$C,X217)/S217</f>
        <v>0</v>
      </c>
      <c r="U217" s="28" t="str">
        <f>+IF(COUNTIFS('Raw Period DMR Data'!$A:$A,B217, 'Raw Period DMR Data'!C:C,'Raw Annual DMR Data'!X217, 'Raw Period DMR Data'!M:M, "&gt;0")&gt;0,_xlfn.MAXIFS('Raw Period DMR Data'!M:M,'Raw Period DMR Data'!$A:$A,'Raw Annual DMR Data'!B217,'Raw Period DMR Data'!C:C,'Raw Annual DMR Data'!X217), "N/A - Period DMR Data Not Available")</f>
        <v>N/A - Period DMR Data Not Available</v>
      </c>
      <c r="V217" s="28" t="str" cm="1">
        <f t="array" ref="V217">IFERROR(INDEX('Raw Period DMR Data'!N:N,MATCH(1,(B217='Raw Period DMR Data'!$A:$A)*(U217='Raw Period DMR Data'!M:M)*(X217='Raw Period DMR Data'!C:C),0),1), "N/A")</f>
        <v>N/A</v>
      </c>
      <c r="W217" s="28" t="s">
        <v>1463</v>
      </c>
      <c r="X217" s="28" t="s">
        <v>1606</v>
      </c>
      <c r="Y217" s="28" t="s">
        <v>1607</v>
      </c>
      <c r="Z217" s="28">
        <v>5110003001454</v>
      </c>
      <c r="AA217" s="28"/>
      <c r="AB217" s="28" t="s">
        <v>1465</v>
      </c>
      <c r="AC217" s="28" t="s">
        <v>263</v>
      </c>
    </row>
    <row r="218" spans="1:29" x14ac:dyDescent="0.25">
      <c r="A218" s="61">
        <v>110001866641</v>
      </c>
      <c r="B218" s="28">
        <v>2015</v>
      </c>
      <c r="C218" s="68">
        <f t="shared" si="3"/>
        <v>42005</v>
      </c>
      <c r="D218" s="28" t="s">
        <v>118</v>
      </c>
      <c r="E218" s="28" t="s">
        <v>377</v>
      </c>
      <c r="F218" s="28" t="s">
        <v>378</v>
      </c>
      <c r="G218" s="28" t="s">
        <v>362</v>
      </c>
      <c r="H218" s="28">
        <v>77979</v>
      </c>
      <c r="I218" s="28">
        <v>28.65</v>
      </c>
      <c r="J218" s="28">
        <v>-96.541700000000006</v>
      </c>
      <c r="L218" s="61">
        <v>110001866641</v>
      </c>
      <c r="M218" s="28" t="s">
        <v>252</v>
      </c>
      <c r="N218" s="28">
        <v>4491</v>
      </c>
      <c r="O218" s="28" t="str">
        <f>IFERROR(VLOOKUP(N218, 'SIC &amp; NAICS Codes'!A:B, 2, FALSE), "")</f>
        <v>Marine Cargo Handling (dock and pier operations)</v>
      </c>
      <c r="S218" s="28">
        <v>5.2233000000000002E-3</v>
      </c>
      <c r="T218" s="315">
        <f>_xlfn.MAXIFS('Raw Period DMR Data'!$O:$O,'Raw Period DMR Data'!$A:$A,'Raw Annual DMR Data'!B218,'Raw Period DMR Data'!$C:$C,X218)/S218</f>
        <v>0</v>
      </c>
      <c r="U218" s="28" t="str">
        <f>+IF(COUNTIFS('Raw Period DMR Data'!$A:$A,B218, 'Raw Period DMR Data'!C:C,'Raw Annual DMR Data'!X218, 'Raw Period DMR Data'!M:M, "&gt;0")&gt;0,_xlfn.MAXIFS('Raw Period DMR Data'!M:M,'Raw Period DMR Data'!$A:$A,'Raw Annual DMR Data'!B218,'Raw Period DMR Data'!C:C,'Raw Annual DMR Data'!X218), "N/A - Period DMR Data Not Available")</f>
        <v>N/A - Period DMR Data Not Available</v>
      </c>
      <c r="V218" s="28" t="str" cm="1">
        <f t="array" ref="V218">IFERROR(INDEX('Raw Period DMR Data'!N:N,MATCH(1,(B218='Raw Period DMR Data'!$A:$A)*(U218='Raw Period DMR Data'!M:M)*(X218='Raw Period DMR Data'!C:C),0),1), "N/A")</f>
        <v>N/A</v>
      </c>
      <c r="W218" s="28" t="s">
        <v>1463</v>
      </c>
      <c r="X218" s="28" t="s">
        <v>804</v>
      </c>
      <c r="Y218" s="28" t="s">
        <v>805</v>
      </c>
      <c r="Z218" s="61">
        <v>12100401000758</v>
      </c>
    </row>
    <row r="219" spans="1:29" x14ac:dyDescent="0.25">
      <c r="A219" s="61">
        <v>110001866641</v>
      </c>
      <c r="B219" s="28">
        <v>2020</v>
      </c>
      <c r="C219" s="68">
        <f t="shared" si="3"/>
        <v>43831</v>
      </c>
      <c r="D219" s="28" t="s">
        <v>118</v>
      </c>
      <c r="E219" s="28" t="s">
        <v>377</v>
      </c>
      <c r="F219" s="28" t="s">
        <v>378</v>
      </c>
      <c r="G219" s="28" t="s">
        <v>362</v>
      </c>
      <c r="H219" s="28">
        <v>77979</v>
      </c>
      <c r="I219" s="28">
        <v>28.65</v>
      </c>
      <c r="J219" s="28">
        <v>-96.541700000000006</v>
      </c>
      <c r="L219" s="61">
        <v>110001866641</v>
      </c>
      <c r="M219" s="28" t="s">
        <v>252</v>
      </c>
      <c r="N219" s="28">
        <v>4491</v>
      </c>
      <c r="O219" s="28" t="str">
        <f>IFERROR(VLOOKUP(N219, 'SIC &amp; NAICS Codes'!A:B, 2, FALSE), "")</f>
        <v>Marine Cargo Handling (dock and pier operations)</v>
      </c>
      <c r="S219" s="28">
        <v>0.13293245510000001</v>
      </c>
      <c r="T219" s="315">
        <f>_xlfn.MAXIFS('Raw Period DMR Data'!$O:$O,'Raw Period DMR Data'!$A:$A,'Raw Annual DMR Data'!B219,'Raw Period DMR Data'!$C:$C,X219)/S219</f>
        <v>0</v>
      </c>
      <c r="U219" s="28" t="str">
        <f>+IF(COUNTIFS('Raw Period DMR Data'!$A:$A,B219, 'Raw Period DMR Data'!C:C,'Raw Annual DMR Data'!X219, 'Raw Period DMR Data'!M:M, "&gt;0")&gt;0,_xlfn.MAXIFS('Raw Period DMR Data'!M:M,'Raw Period DMR Data'!$A:$A,'Raw Annual DMR Data'!B219,'Raw Period DMR Data'!C:C,'Raw Annual DMR Data'!X219), "N/A - Period DMR Data Not Available")</f>
        <v>N/A - Period DMR Data Not Available</v>
      </c>
      <c r="V219" s="28" t="str" cm="1">
        <f t="array" ref="V219">IFERROR(INDEX('Raw Period DMR Data'!N:N,MATCH(1,(B219='Raw Period DMR Data'!$A:$A)*(U219='Raw Period DMR Data'!M:M)*(X219='Raw Period DMR Data'!C:C),0),1), "N/A")</f>
        <v>N/A</v>
      </c>
      <c r="W219" s="28" t="s">
        <v>1463</v>
      </c>
      <c r="X219" s="28" t="s">
        <v>804</v>
      </c>
      <c r="Y219" s="28" t="s">
        <v>805</v>
      </c>
      <c r="Z219" s="61">
        <v>12100401000758</v>
      </c>
    </row>
    <row r="220" spans="1:29" x14ac:dyDescent="0.25">
      <c r="A220" s="61">
        <v>110009721836</v>
      </c>
      <c r="B220" s="28">
        <v>2019</v>
      </c>
      <c r="C220" s="68">
        <f t="shared" si="3"/>
        <v>43466</v>
      </c>
      <c r="D220" s="28" t="s">
        <v>119</v>
      </c>
      <c r="E220" s="28" t="s">
        <v>380</v>
      </c>
      <c r="F220" s="28" t="s">
        <v>381</v>
      </c>
      <c r="G220" s="28" t="s">
        <v>338</v>
      </c>
      <c r="H220" s="28">
        <v>8014</v>
      </c>
      <c r="I220" s="28">
        <v>39.799250000000001</v>
      </c>
      <c r="J220" s="28">
        <v>-75.33296</v>
      </c>
      <c r="L220" s="61">
        <v>110009721836</v>
      </c>
      <c r="M220" s="28" t="s">
        <v>252</v>
      </c>
      <c r="N220" s="28">
        <v>4213</v>
      </c>
      <c r="O220" s="28" t="str">
        <f>IFERROR(VLOOKUP(N220, 'SIC &amp; NAICS Codes'!A:B, 2, FALSE), "")</f>
        <v>Trucking, Except Local (general freight, truckload)</v>
      </c>
      <c r="S220" s="28">
        <v>1.1472392531999999E-2</v>
      </c>
      <c r="T220" s="315">
        <f>_xlfn.MAXIFS('Raw Period DMR Data'!$O:$O,'Raw Period DMR Data'!$A:$A,'Raw Annual DMR Data'!B220,'Raw Period DMR Data'!$C:$C,X220)/S220</f>
        <v>0</v>
      </c>
      <c r="U220" s="28" t="str">
        <f>+IF(COUNTIFS('Raw Period DMR Data'!$A:$A,B220, 'Raw Period DMR Data'!C:C,'Raw Annual DMR Data'!X220, 'Raw Period DMR Data'!M:M, "&gt;0")&gt;0,_xlfn.MAXIFS('Raw Period DMR Data'!M:M,'Raw Period DMR Data'!$A:$A,'Raw Annual DMR Data'!B220,'Raw Period DMR Data'!C:C,'Raw Annual DMR Data'!X220), "N/A - Period DMR Data Not Available")</f>
        <v>N/A - Period DMR Data Not Available</v>
      </c>
      <c r="V220" s="28" t="str" cm="1">
        <f t="array" ref="V220">IFERROR(INDEX('Raw Period DMR Data'!N:N,MATCH(1,(B220='Raw Period DMR Data'!$A:$A)*(U220='Raw Period DMR Data'!M:M)*(X220='Raw Period DMR Data'!C:C),0),1), "N/A")</f>
        <v>N/A</v>
      </c>
      <c r="W220" s="28" t="s">
        <v>1463</v>
      </c>
      <c r="X220" s="28" t="s">
        <v>806</v>
      </c>
      <c r="Y220" s="28" t="s">
        <v>807</v>
      </c>
      <c r="Z220" s="61">
        <v>2040202002003</v>
      </c>
    </row>
    <row r="221" spans="1:29" x14ac:dyDescent="0.25">
      <c r="A221" s="61">
        <v>110009721836</v>
      </c>
      <c r="B221" s="28">
        <v>2020</v>
      </c>
      <c r="C221" s="68">
        <f t="shared" si="3"/>
        <v>43831</v>
      </c>
      <c r="D221" s="28" t="s">
        <v>119</v>
      </c>
      <c r="E221" s="28" t="s">
        <v>380</v>
      </c>
      <c r="F221" s="28" t="s">
        <v>381</v>
      </c>
      <c r="G221" s="28" t="s">
        <v>338</v>
      </c>
      <c r="H221" s="28">
        <v>8014</v>
      </c>
      <c r="I221" s="28">
        <v>39.799250000000001</v>
      </c>
      <c r="J221" s="28">
        <v>-75.33296</v>
      </c>
      <c r="L221" s="61">
        <v>110009721836</v>
      </c>
      <c r="M221" s="28" t="s">
        <v>252</v>
      </c>
      <c r="N221" s="28">
        <v>4213</v>
      </c>
      <c r="O221" s="28" t="str">
        <f>IFERROR(VLOOKUP(N221, 'SIC &amp; NAICS Codes'!A:B, 2, FALSE), "")</f>
        <v>Trucking, Except Local (general freight, truckload)</v>
      </c>
      <c r="S221" s="28">
        <v>8.7584593263600005E-2</v>
      </c>
      <c r="T221" s="315">
        <f>_xlfn.MAXIFS('Raw Period DMR Data'!$O:$O,'Raw Period DMR Data'!$A:$A,'Raw Annual DMR Data'!B221,'Raw Period DMR Data'!$C:$C,X221)/S221</f>
        <v>0</v>
      </c>
      <c r="U221" s="28" t="str">
        <f>+IF(COUNTIFS('Raw Period DMR Data'!$A:$A,B221, 'Raw Period DMR Data'!C:C,'Raw Annual DMR Data'!X221, 'Raw Period DMR Data'!M:M, "&gt;0")&gt;0,_xlfn.MAXIFS('Raw Period DMR Data'!M:M,'Raw Period DMR Data'!$A:$A,'Raw Annual DMR Data'!B221,'Raw Period DMR Data'!C:C,'Raw Annual DMR Data'!X221), "N/A - Period DMR Data Not Available")</f>
        <v>N/A - Period DMR Data Not Available</v>
      </c>
      <c r="V221" s="28" t="str" cm="1">
        <f t="array" ref="V221">IFERROR(INDEX('Raw Period DMR Data'!N:N,MATCH(1,(B221='Raw Period DMR Data'!$A:$A)*(U221='Raw Period DMR Data'!M:M)*(X221='Raw Period DMR Data'!C:C),0),1), "N/A")</f>
        <v>N/A</v>
      </c>
      <c r="W221" s="28" t="s">
        <v>1463</v>
      </c>
      <c r="X221" s="28" t="s">
        <v>806</v>
      </c>
      <c r="Y221" s="28" t="s">
        <v>807</v>
      </c>
      <c r="Z221" s="61">
        <v>2040202002003</v>
      </c>
    </row>
    <row r="222" spans="1:29" x14ac:dyDescent="0.25">
      <c r="A222" s="61">
        <v>110009721836</v>
      </c>
      <c r="B222" s="28">
        <v>2017</v>
      </c>
      <c r="C222" s="68">
        <f t="shared" si="3"/>
        <v>42736</v>
      </c>
      <c r="D222" s="28" t="s">
        <v>119</v>
      </c>
      <c r="E222" s="28" t="s">
        <v>380</v>
      </c>
      <c r="F222" s="28" t="s">
        <v>381</v>
      </c>
      <c r="G222" s="28" t="s">
        <v>338</v>
      </c>
      <c r="H222" s="28">
        <v>8014</v>
      </c>
      <c r="I222" s="28">
        <v>39.799250000000001</v>
      </c>
      <c r="J222" s="28">
        <v>-75.33296</v>
      </c>
      <c r="L222" s="61">
        <v>110009721836</v>
      </c>
      <c r="M222" s="28" t="s">
        <v>252</v>
      </c>
      <c r="N222" s="28">
        <v>4213</v>
      </c>
      <c r="O222" s="28" t="str">
        <f>IFERROR(VLOOKUP(N222, 'SIC &amp; NAICS Codes'!A:B, 2, FALSE), "")</f>
        <v>Trucking, Except Local (general freight, truckload)</v>
      </c>
      <c r="S222" s="28">
        <v>4.1146337207314199E-2</v>
      </c>
      <c r="T222" s="315">
        <f>_xlfn.MAXIFS('Raw Period DMR Data'!$O:$O,'Raw Period DMR Data'!$A:$A,'Raw Annual DMR Data'!B222,'Raw Period DMR Data'!$C:$C,X222)/S222</f>
        <v>0</v>
      </c>
      <c r="U222" s="28" t="str">
        <f>+IF(COUNTIFS('Raw Period DMR Data'!$A:$A,B222, 'Raw Period DMR Data'!C:C,'Raw Annual DMR Data'!X222, 'Raw Period DMR Data'!M:M, "&gt;0")&gt;0,_xlfn.MAXIFS('Raw Period DMR Data'!M:M,'Raw Period DMR Data'!$A:$A,'Raw Annual DMR Data'!B222,'Raw Period DMR Data'!C:C,'Raw Annual DMR Data'!X222), "N/A - Period DMR Data Not Available")</f>
        <v>N/A - Period DMR Data Not Available</v>
      </c>
      <c r="V222" s="28" t="str" cm="1">
        <f t="array" ref="V222">IFERROR(INDEX('Raw Period DMR Data'!N:N,MATCH(1,(B222='Raw Period DMR Data'!$A:$A)*(U222='Raw Period DMR Data'!M:M)*(X222='Raw Period DMR Data'!C:C),0),1), "N/A")</f>
        <v>N/A</v>
      </c>
      <c r="W222" s="28" t="s">
        <v>1463</v>
      </c>
      <c r="X222" s="28" t="s">
        <v>806</v>
      </c>
      <c r="Y222" s="28" t="s">
        <v>807</v>
      </c>
      <c r="Z222" s="28">
        <v>2040202002003</v>
      </c>
      <c r="AA222" s="28"/>
      <c r="AB222" s="28" t="s">
        <v>1465</v>
      </c>
      <c r="AC222" s="28" t="s">
        <v>1466</v>
      </c>
    </row>
    <row r="223" spans="1:29" x14ac:dyDescent="0.25">
      <c r="A223" s="61">
        <v>110009721836</v>
      </c>
      <c r="B223" s="28">
        <v>2018</v>
      </c>
      <c r="C223" s="68">
        <f t="shared" si="3"/>
        <v>43101</v>
      </c>
      <c r="D223" s="28" t="s">
        <v>119</v>
      </c>
      <c r="E223" s="28" t="s">
        <v>380</v>
      </c>
      <c r="F223" s="28" t="s">
        <v>381</v>
      </c>
      <c r="G223" s="28" t="s">
        <v>338</v>
      </c>
      <c r="H223" s="302" t="s">
        <v>1608</v>
      </c>
      <c r="I223" s="28">
        <v>39.799250000000001</v>
      </c>
      <c r="J223" s="28">
        <v>-75.33296</v>
      </c>
      <c r="L223" s="61">
        <v>110009721836</v>
      </c>
      <c r="M223" s="28" t="s">
        <v>252</v>
      </c>
      <c r="N223" s="28">
        <v>4213</v>
      </c>
      <c r="O223" s="28" t="str">
        <f>IFERROR(VLOOKUP(N223, 'SIC &amp; NAICS Codes'!A:B, 2, FALSE), "")</f>
        <v>Trucking, Except Local (general freight, truckload)</v>
      </c>
      <c r="S223" s="302">
        <v>5.2971456135736297E-2</v>
      </c>
      <c r="T223" s="315">
        <f>_xlfn.MAXIFS('Raw Period DMR Data'!$O:$O,'Raw Period DMR Data'!$A:$A,'Raw Annual DMR Data'!B223,'Raw Period DMR Data'!$C:$C,X223)/S223</f>
        <v>0</v>
      </c>
      <c r="U223" s="28" t="str">
        <f>+IF(COUNTIFS('Raw Period DMR Data'!$A:$A,B223, 'Raw Period DMR Data'!C:C,'Raw Annual DMR Data'!X223, 'Raw Period DMR Data'!M:M, "&gt;0")&gt;0,_xlfn.MAXIFS('Raw Period DMR Data'!M:M,'Raw Period DMR Data'!$A:$A,'Raw Annual DMR Data'!B223,'Raw Period DMR Data'!C:C,'Raw Annual DMR Data'!X223), "N/A - Period DMR Data Not Available")</f>
        <v>N/A - Period DMR Data Not Available</v>
      </c>
      <c r="V223" s="28" t="str" cm="1">
        <f t="array" ref="V223">IFERROR(INDEX('Raw Period DMR Data'!N:N,MATCH(1,(B223='Raw Period DMR Data'!$A:$A)*(U223='Raw Period DMR Data'!M:M)*(X223='Raw Period DMR Data'!C:C),0),1), "N/A")</f>
        <v>N/A</v>
      </c>
      <c r="W223" s="28" t="s">
        <v>1463</v>
      </c>
      <c r="X223" s="28" t="s">
        <v>806</v>
      </c>
      <c r="Y223" s="28" t="s">
        <v>807</v>
      </c>
      <c r="Z223" s="302" t="s">
        <v>1609</v>
      </c>
      <c r="AA223" s="28"/>
      <c r="AB223" s="28" t="s">
        <v>1465</v>
      </c>
      <c r="AC223" s="28" t="s">
        <v>1466</v>
      </c>
    </row>
    <row r="224" spans="1:29" x14ac:dyDescent="0.25">
      <c r="A224" s="61">
        <v>110009721836</v>
      </c>
      <c r="B224" s="28">
        <v>2019</v>
      </c>
      <c r="C224" s="68">
        <f t="shared" si="3"/>
        <v>43466</v>
      </c>
      <c r="D224" s="28" t="s">
        <v>119</v>
      </c>
      <c r="E224" s="28" t="s">
        <v>380</v>
      </c>
      <c r="F224" s="28" t="s">
        <v>381</v>
      </c>
      <c r="G224" s="28" t="s">
        <v>338</v>
      </c>
      <c r="H224" s="28">
        <v>8014</v>
      </c>
      <c r="I224" s="28">
        <v>39.799250000000001</v>
      </c>
      <c r="J224" s="28">
        <v>-75.33296</v>
      </c>
      <c r="L224" s="61">
        <v>110009721836</v>
      </c>
      <c r="M224" s="28" t="s">
        <v>252</v>
      </c>
      <c r="N224" s="28">
        <v>4213</v>
      </c>
      <c r="O224" s="28" t="str">
        <f>IFERROR(VLOOKUP(N224, 'SIC &amp; NAICS Codes'!A:B, 2, FALSE), "")</f>
        <v>Trucking, Except Local (general freight, truckload)</v>
      </c>
      <c r="S224" s="28">
        <v>2.9362426617225001E-2</v>
      </c>
      <c r="T224" s="315">
        <f>_xlfn.MAXIFS('Raw Period DMR Data'!$O:$O,'Raw Period DMR Data'!$A:$A,'Raw Annual DMR Data'!B224,'Raw Period DMR Data'!$C:$C,X224)/S224</f>
        <v>0</v>
      </c>
      <c r="U224" s="28" t="str">
        <f>+IF(COUNTIFS('Raw Period DMR Data'!$A:$A,B224, 'Raw Period DMR Data'!C:C,'Raw Annual DMR Data'!X224, 'Raw Period DMR Data'!M:M, "&gt;0")&gt;0,_xlfn.MAXIFS('Raw Period DMR Data'!M:M,'Raw Period DMR Data'!$A:$A,'Raw Annual DMR Data'!B224,'Raw Period DMR Data'!C:C,'Raw Annual DMR Data'!X224), "N/A - Period DMR Data Not Available")</f>
        <v>N/A - Period DMR Data Not Available</v>
      </c>
      <c r="V224" s="28" t="str" cm="1">
        <f t="array" ref="V224">IFERROR(INDEX('Raw Period DMR Data'!N:N,MATCH(1,(B224='Raw Period DMR Data'!$A:$A)*(U224='Raw Period DMR Data'!M:M)*(X224='Raw Period DMR Data'!C:C),0),1), "N/A")</f>
        <v>N/A</v>
      </c>
      <c r="W224" s="28" t="s">
        <v>1463</v>
      </c>
      <c r="X224" s="28" t="s">
        <v>806</v>
      </c>
      <c r="Y224" s="28" t="s">
        <v>807</v>
      </c>
      <c r="Z224" s="28">
        <v>2040202002003</v>
      </c>
      <c r="AA224" s="28"/>
      <c r="AB224" s="28" t="s">
        <v>1465</v>
      </c>
      <c r="AC224" s="28" t="s">
        <v>1466</v>
      </c>
    </row>
    <row r="225" spans="1:29" x14ac:dyDescent="0.25">
      <c r="A225" s="61">
        <v>110009721836</v>
      </c>
      <c r="B225" s="28">
        <v>2020</v>
      </c>
      <c r="C225" s="68">
        <f t="shared" si="3"/>
        <v>43831</v>
      </c>
      <c r="D225" s="28" t="s">
        <v>119</v>
      </c>
      <c r="E225" s="28" t="s">
        <v>380</v>
      </c>
      <c r="F225" s="28" t="s">
        <v>381</v>
      </c>
      <c r="G225" s="28" t="s">
        <v>338</v>
      </c>
      <c r="H225" s="28">
        <v>8014</v>
      </c>
      <c r="I225" s="28">
        <v>39.799250000000001</v>
      </c>
      <c r="J225" s="28">
        <v>-75.33296</v>
      </c>
      <c r="L225" s="61">
        <v>110009721836</v>
      </c>
      <c r="M225" s="28" t="s">
        <v>252</v>
      </c>
      <c r="N225" s="28">
        <v>4213</v>
      </c>
      <c r="O225" s="28" t="str">
        <f>IFERROR(VLOOKUP(N225, 'SIC &amp; NAICS Codes'!A:B, 2, FALSE), "")</f>
        <v>Trucking, Except Local (general freight, truckload)</v>
      </c>
      <c r="S225" s="28">
        <v>0.10107306479655</v>
      </c>
      <c r="T225" s="315">
        <f>_xlfn.MAXIFS('Raw Period DMR Data'!$O:$O,'Raw Period DMR Data'!$A:$A,'Raw Annual DMR Data'!B225,'Raw Period DMR Data'!$C:$C,X225)/S225</f>
        <v>0</v>
      </c>
      <c r="U225" s="28" t="str">
        <f>+IF(COUNTIFS('Raw Period DMR Data'!$A:$A,B225, 'Raw Period DMR Data'!C:C,'Raw Annual DMR Data'!X225, 'Raw Period DMR Data'!M:M, "&gt;0")&gt;0,_xlfn.MAXIFS('Raw Period DMR Data'!M:M,'Raw Period DMR Data'!$A:$A,'Raw Annual DMR Data'!B225,'Raw Period DMR Data'!C:C,'Raw Annual DMR Data'!X225), "N/A - Period DMR Data Not Available")</f>
        <v>N/A - Period DMR Data Not Available</v>
      </c>
      <c r="V225" s="28" t="str" cm="1">
        <f t="array" ref="V225">IFERROR(INDEX('Raw Period DMR Data'!N:N,MATCH(1,(B225='Raw Period DMR Data'!$A:$A)*(U225='Raw Period DMR Data'!M:M)*(X225='Raw Period DMR Data'!C:C),0),1), "N/A")</f>
        <v>N/A</v>
      </c>
      <c r="W225" s="28" t="s">
        <v>1463</v>
      </c>
      <c r="X225" s="28" t="s">
        <v>806</v>
      </c>
      <c r="Y225" s="28" t="s">
        <v>807</v>
      </c>
      <c r="Z225" s="28">
        <v>2040202002003</v>
      </c>
      <c r="AA225" s="28"/>
      <c r="AB225" s="28" t="s">
        <v>1465</v>
      </c>
      <c r="AC225" s="28" t="s">
        <v>1466</v>
      </c>
    </row>
    <row r="226" spans="1:29" x14ac:dyDescent="0.25">
      <c r="A226" s="61">
        <v>110069343954</v>
      </c>
      <c r="B226" s="28">
        <v>2019</v>
      </c>
      <c r="C226" s="68">
        <f t="shared" si="3"/>
        <v>43466</v>
      </c>
      <c r="D226" s="28" t="s">
        <v>120</v>
      </c>
      <c r="E226" s="28" t="s">
        <v>383</v>
      </c>
      <c r="F226" s="28" t="s">
        <v>384</v>
      </c>
      <c r="G226" s="28" t="s">
        <v>385</v>
      </c>
      <c r="H226" s="28">
        <v>67147</v>
      </c>
      <c r="I226" s="28">
        <v>37.845469999999999</v>
      </c>
      <c r="J226" s="28">
        <v>-97.188820000000007</v>
      </c>
      <c r="L226" s="61">
        <v>110069343954</v>
      </c>
      <c r="M226" s="28" t="s">
        <v>6751</v>
      </c>
      <c r="N226" s="28">
        <v>9511</v>
      </c>
      <c r="O226" s="28" t="str">
        <f>IFERROR(VLOOKUP(N226, 'SIC &amp; NAICS Codes'!A:B, 2, FALSE), "")</f>
        <v>Air and Water Resource and Solid Waste Management</v>
      </c>
      <c r="S226" s="28">
        <v>3.9494960999999999E-3</v>
      </c>
      <c r="T226" s="315">
        <f>_xlfn.MAXIFS('Raw Period DMR Data'!$O:$O,'Raw Period DMR Data'!$A:$A,'Raw Annual DMR Data'!B226,'Raw Period DMR Data'!$C:$C,X226)/S226</f>
        <v>0</v>
      </c>
      <c r="U226" s="28" t="str">
        <f>+IF(COUNTIFS('Raw Period DMR Data'!$A:$A,B226, 'Raw Period DMR Data'!C:C,'Raw Annual DMR Data'!X226, 'Raw Period DMR Data'!M:M, "&gt;0")&gt;0,_xlfn.MAXIFS('Raw Period DMR Data'!M:M,'Raw Period DMR Data'!$A:$A,'Raw Annual DMR Data'!B226,'Raw Period DMR Data'!C:C,'Raw Annual DMR Data'!X226), "N/A - Period DMR Data Not Available")</f>
        <v>N/A - Period DMR Data Not Available</v>
      </c>
      <c r="V226" s="28" t="str" cm="1">
        <f t="array" ref="V226">IFERROR(INDEX('Raw Period DMR Data'!N:N,MATCH(1,(B226='Raw Period DMR Data'!$A:$A)*(U226='Raw Period DMR Data'!M:M)*(X226='Raw Period DMR Data'!C:C),0),1), "N/A")</f>
        <v>N/A</v>
      </c>
      <c r="W226" s="28" t="s">
        <v>1463</v>
      </c>
      <c r="X226" s="28" t="s">
        <v>808</v>
      </c>
      <c r="Y226" s="28" t="s">
        <v>809</v>
      </c>
      <c r="Z226" s="61">
        <v>11030017000357</v>
      </c>
    </row>
    <row r="227" spans="1:29" x14ac:dyDescent="0.25">
      <c r="A227" s="61">
        <v>110034393378</v>
      </c>
      <c r="B227" s="28">
        <v>2015</v>
      </c>
      <c r="C227" s="68">
        <f t="shared" si="3"/>
        <v>42005</v>
      </c>
      <c r="D227" s="28" t="s">
        <v>121</v>
      </c>
      <c r="E227" s="28" t="s">
        <v>387</v>
      </c>
      <c r="F227" s="28" t="s">
        <v>388</v>
      </c>
      <c r="G227" s="28" t="s">
        <v>362</v>
      </c>
      <c r="H227" s="28">
        <v>77705</v>
      </c>
      <c r="I227" s="28">
        <v>30.014764</v>
      </c>
      <c r="J227" s="28">
        <v>-94.028836999999996</v>
      </c>
      <c r="K227" s="28" t="s">
        <v>389</v>
      </c>
      <c r="L227" s="61">
        <v>110034393378</v>
      </c>
      <c r="M227" s="28" t="s">
        <v>254</v>
      </c>
      <c r="N227" s="28">
        <v>2822</v>
      </c>
      <c r="O227" s="28" t="str">
        <f>IFERROR(VLOOKUP(N227, 'SIC &amp; NAICS Codes'!A:B, 2, FALSE), "")</f>
        <v>Synthetic Rubber</v>
      </c>
      <c r="S227" s="28">
        <v>7.1836734693877498</v>
      </c>
      <c r="T227" s="315">
        <f>_xlfn.MAXIFS('Raw Period DMR Data'!$O:$O,'Raw Period DMR Data'!$A:$A,'Raw Annual DMR Data'!B227,'Raw Period DMR Data'!$C:$C,X227)/S227</f>
        <v>0</v>
      </c>
      <c r="U227" s="28" t="str">
        <f>+IF(COUNTIFS('Raw Period DMR Data'!$A:$A,B227, 'Raw Period DMR Data'!C:C,'Raw Annual DMR Data'!X227, 'Raw Period DMR Data'!M:M, "&gt;0")&gt;0,_xlfn.MAXIFS('Raw Period DMR Data'!M:M,'Raw Period DMR Data'!$A:$A,'Raw Annual DMR Data'!B227,'Raw Period DMR Data'!C:C,'Raw Annual DMR Data'!X227), "N/A - Period DMR Data Not Available")</f>
        <v>N/A - Period DMR Data Not Available</v>
      </c>
      <c r="V227" s="28" t="str" cm="1">
        <f t="array" ref="V227">IFERROR(INDEX('Raw Period DMR Data'!N:N,MATCH(1,(B227='Raw Period DMR Data'!$A:$A)*(U227='Raw Period DMR Data'!M:M)*(X227='Raw Period DMR Data'!C:C),0),1), "N/A")</f>
        <v>N/A</v>
      </c>
      <c r="W227" s="28" t="s">
        <v>1463</v>
      </c>
      <c r="X227" s="28" t="s">
        <v>810</v>
      </c>
      <c r="Y227" s="28" t="s">
        <v>811</v>
      </c>
      <c r="Z227" s="61">
        <v>12040201000733</v>
      </c>
    </row>
    <row r="228" spans="1:29" x14ac:dyDescent="0.25">
      <c r="A228" s="61">
        <v>110000338830</v>
      </c>
      <c r="B228" s="28">
        <v>2015</v>
      </c>
      <c r="C228" s="68">
        <f t="shared" si="3"/>
        <v>42005</v>
      </c>
      <c r="D228" s="28" t="s">
        <v>1040</v>
      </c>
      <c r="E228" s="28" t="s">
        <v>1610</v>
      </c>
      <c r="F228" s="28" t="s">
        <v>1041</v>
      </c>
      <c r="G228" s="28" t="s">
        <v>478</v>
      </c>
      <c r="H228" s="28">
        <v>19809</v>
      </c>
      <c r="I228" s="28">
        <v>39.752721999999999</v>
      </c>
      <c r="J228" s="28">
        <v>-75.495151000000007</v>
      </c>
      <c r="L228" s="61">
        <v>110000338830</v>
      </c>
      <c r="M228" s="28" t="s">
        <v>265</v>
      </c>
      <c r="N228" s="28">
        <v>2816</v>
      </c>
      <c r="O228" s="28" t="str">
        <f>IFERROR(VLOOKUP(N228, 'SIC &amp; NAICS Codes'!A:B, 2, FALSE), "")</f>
        <v>Inorganic Pigments (except bone and lamp black)</v>
      </c>
      <c r="S228" s="28">
        <v>0.417233560090702</v>
      </c>
      <c r="T228" s="315">
        <f>_xlfn.MAXIFS('Raw Period DMR Data'!$O:$O,'Raw Period DMR Data'!$A:$A,'Raw Annual DMR Data'!B228,'Raw Period DMR Data'!$C:$C,X228)/S228</f>
        <v>0</v>
      </c>
      <c r="U228" s="28" t="str">
        <f>+IF(COUNTIFS('Raw Period DMR Data'!$A:$A,B228, 'Raw Period DMR Data'!C:C,'Raw Annual DMR Data'!X228, 'Raw Period DMR Data'!M:M, "&gt;0")&gt;0,_xlfn.MAXIFS('Raw Period DMR Data'!M:M,'Raw Period DMR Data'!$A:$A,'Raw Annual DMR Data'!B228,'Raw Period DMR Data'!C:C,'Raw Annual DMR Data'!X228), "N/A - Period DMR Data Not Available")</f>
        <v>N/A - Period DMR Data Not Available</v>
      </c>
      <c r="V228" s="28" t="str" cm="1">
        <f t="array" ref="V228">IFERROR(INDEX('Raw Period DMR Data'!N:N,MATCH(1,(B228='Raw Period DMR Data'!$A:$A)*(U228='Raw Period DMR Data'!M:M)*(X228='Raw Period DMR Data'!C:C),0),1), "N/A")</f>
        <v>N/A</v>
      </c>
      <c r="W228" s="28" t="s">
        <v>1463</v>
      </c>
      <c r="X228" s="28" t="s">
        <v>1611</v>
      </c>
      <c r="Y228" s="28" t="s">
        <v>783</v>
      </c>
      <c r="Z228" s="28">
        <v>2040205000834</v>
      </c>
      <c r="AA228" s="28"/>
      <c r="AB228" s="28" t="s">
        <v>1465</v>
      </c>
      <c r="AC228" s="28" t="s">
        <v>1466</v>
      </c>
    </row>
    <row r="229" spans="1:29" x14ac:dyDescent="0.25">
      <c r="A229" s="61">
        <v>110000338830</v>
      </c>
      <c r="B229" s="28">
        <v>2016</v>
      </c>
      <c r="C229" s="68">
        <f t="shared" si="3"/>
        <v>42370</v>
      </c>
      <c r="D229" s="28" t="s">
        <v>1040</v>
      </c>
      <c r="E229" s="28" t="s">
        <v>1610</v>
      </c>
      <c r="F229" s="28" t="s">
        <v>1041</v>
      </c>
      <c r="G229" s="28" t="s">
        <v>478</v>
      </c>
      <c r="H229" s="28">
        <v>19809</v>
      </c>
      <c r="I229" s="28">
        <v>39.752721999999999</v>
      </c>
      <c r="J229" s="28">
        <v>-75.495151000000007</v>
      </c>
      <c r="L229" s="61">
        <v>110000338830</v>
      </c>
      <c r="M229" s="28" t="s">
        <v>265</v>
      </c>
      <c r="N229" s="28">
        <v>2816</v>
      </c>
      <c r="O229" s="28" t="str">
        <f>IFERROR(VLOOKUP(N229, 'SIC &amp; NAICS Codes'!A:B, 2, FALSE), "")</f>
        <v>Inorganic Pigments (except bone and lamp black)</v>
      </c>
      <c r="S229" s="28">
        <v>0.100136054421768</v>
      </c>
      <c r="T229" s="315">
        <f>_xlfn.MAXIFS('Raw Period DMR Data'!$O:$O,'Raw Period DMR Data'!$A:$A,'Raw Annual DMR Data'!B229,'Raw Period DMR Data'!$C:$C,X229)/S229</f>
        <v>0</v>
      </c>
      <c r="U229" s="28" t="str">
        <f>+IF(COUNTIFS('Raw Period DMR Data'!$A:$A,B229, 'Raw Period DMR Data'!C:C,'Raw Annual DMR Data'!X229, 'Raw Period DMR Data'!M:M, "&gt;0")&gt;0,_xlfn.MAXIFS('Raw Period DMR Data'!M:M,'Raw Period DMR Data'!$A:$A,'Raw Annual DMR Data'!B229,'Raw Period DMR Data'!C:C,'Raw Annual DMR Data'!X229), "N/A - Period DMR Data Not Available")</f>
        <v>N/A - Period DMR Data Not Available</v>
      </c>
      <c r="V229" s="28" t="str" cm="1">
        <f t="array" ref="V229">IFERROR(INDEX('Raw Period DMR Data'!N:N,MATCH(1,(B229='Raw Period DMR Data'!$A:$A)*(U229='Raw Period DMR Data'!M:M)*(X229='Raw Period DMR Data'!C:C),0),1), "N/A")</f>
        <v>N/A</v>
      </c>
      <c r="W229" s="28" t="s">
        <v>1463</v>
      </c>
      <c r="X229" s="28" t="s">
        <v>1611</v>
      </c>
      <c r="Y229" s="28" t="s">
        <v>783</v>
      </c>
      <c r="Z229" s="28">
        <v>2040205000834</v>
      </c>
      <c r="AA229" s="28"/>
      <c r="AB229" s="28" t="s">
        <v>1465</v>
      </c>
      <c r="AC229" s="28" t="s">
        <v>1466</v>
      </c>
    </row>
    <row r="230" spans="1:29" x14ac:dyDescent="0.25">
      <c r="A230" s="61">
        <v>110000586081</v>
      </c>
      <c r="B230" s="28">
        <v>2018</v>
      </c>
      <c r="C230" s="68">
        <f t="shared" si="3"/>
        <v>43101</v>
      </c>
      <c r="D230" s="28" t="s">
        <v>122</v>
      </c>
      <c r="E230" s="28" t="s">
        <v>391</v>
      </c>
      <c r="F230" s="28" t="s">
        <v>392</v>
      </c>
      <c r="G230" s="28" t="s">
        <v>311</v>
      </c>
      <c r="H230" s="28">
        <v>26181</v>
      </c>
      <c r="I230" s="28">
        <v>39.271943999999998</v>
      </c>
      <c r="J230" s="28">
        <v>-81.661666999999994</v>
      </c>
      <c r="K230" s="28" t="s">
        <v>393</v>
      </c>
      <c r="L230" s="61">
        <v>110000586081</v>
      </c>
      <c r="M230" s="28" t="s">
        <v>253</v>
      </c>
      <c r="N230" s="28">
        <v>2821</v>
      </c>
      <c r="O230" s="28" t="str">
        <f>IFERROR(VLOOKUP(N230, 'SIC &amp; NAICS Codes'!A:B, 2, FALSE), "")</f>
        <v>Plastics Materials, Synthetic and Resins, and Nonvulcanizable Elastomers</v>
      </c>
      <c r="S230" s="28">
        <v>9.4353741496598609</v>
      </c>
      <c r="T230" s="315">
        <f>_xlfn.MAXIFS('Raw Period DMR Data'!$O:$O,'Raw Period DMR Data'!$A:$A,'Raw Annual DMR Data'!B230,'Raw Period DMR Data'!$C:$C,X230)/S230</f>
        <v>0</v>
      </c>
      <c r="U230" s="28" t="str">
        <f>+IF(COUNTIFS('Raw Period DMR Data'!$A:$A,B230, 'Raw Period DMR Data'!C:C,'Raw Annual DMR Data'!X230, 'Raw Period DMR Data'!M:M, "&gt;0")&gt;0,_xlfn.MAXIFS('Raw Period DMR Data'!M:M,'Raw Period DMR Data'!$A:$A,'Raw Annual DMR Data'!B230,'Raw Period DMR Data'!C:C,'Raw Annual DMR Data'!X230), "N/A - Period DMR Data Not Available")</f>
        <v>N/A - Period DMR Data Not Available</v>
      </c>
      <c r="V230" s="28" t="str" cm="1">
        <f t="array" ref="V230">IFERROR(INDEX('Raw Period DMR Data'!N:N,MATCH(1,(B230='Raw Period DMR Data'!$A:$A)*(U230='Raw Period DMR Data'!M:M)*(X230='Raw Period DMR Data'!C:C),0),1), "N/A")</f>
        <v>N/A</v>
      </c>
      <c r="W230" s="28" t="s">
        <v>1463</v>
      </c>
      <c r="X230" s="28" t="s">
        <v>812</v>
      </c>
      <c r="Y230" s="28" t="s">
        <v>813</v>
      </c>
      <c r="Z230" s="61">
        <v>5030203000005</v>
      </c>
    </row>
    <row r="231" spans="1:29" x14ac:dyDescent="0.25">
      <c r="A231" s="61">
        <v>110000586081</v>
      </c>
      <c r="B231" s="28">
        <v>2018</v>
      </c>
      <c r="C231" s="68">
        <f t="shared" si="3"/>
        <v>43101</v>
      </c>
      <c r="D231" s="28" t="s">
        <v>122</v>
      </c>
      <c r="E231" s="28" t="s">
        <v>391</v>
      </c>
      <c r="F231" s="28" t="s">
        <v>392</v>
      </c>
      <c r="G231" s="28" t="s">
        <v>311</v>
      </c>
      <c r="H231" s="28">
        <v>26181</v>
      </c>
      <c r="I231" s="28">
        <v>39.271943999999998</v>
      </c>
      <c r="J231" s="28">
        <v>-81.661666999999994</v>
      </c>
      <c r="K231" s="28" t="s">
        <v>393</v>
      </c>
      <c r="L231" s="61">
        <v>110000586081</v>
      </c>
      <c r="M231" s="28" t="s">
        <v>253</v>
      </c>
      <c r="N231" s="28">
        <v>2821</v>
      </c>
      <c r="O231" s="28" t="str">
        <f>IFERROR(VLOOKUP(N231, 'SIC &amp; NAICS Codes'!A:B, 2, FALSE), "")</f>
        <v>Plastics Materials, Synthetic and Resins, and Nonvulcanizable Elastomers</v>
      </c>
      <c r="S231" s="28">
        <v>1.15873015873015</v>
      </c>
      <c r="T231" s="315">
        <f>_xlfn.MAXIFS('Raw Period DMR Data'!$O:$O,'Raw Period DMR Data'!$A:$A,'Raw Annual DMR Data'!B231,'Raw Period DMR Data'!$C:$C,X231)/S231</f>
        <v>0</v>
      </c>
      <c r="U231" s="28" t="str">
        <f>+IF(COUNTIFS('Raw Period DMR Data'!$A:$A,B231, 'Raw Period DMR Data'!C:C,'Raw Annual DMR Data'!X231, 'Raw Period DMR Data'!M:M, "&gt;0")&gt;0,_xlfn.MAXIFS('Raw Period DMR Data'!M:M,'Raw Period DMR Data'!$A:$A,'Raw Annual DMR Data'!B231,'Raw Period DMR Data'!C:C,'Raw Annual DMR Data'!X231), "N/A - Period DMR Data Not Available")</f>
        <v>N/A - Period DMR Data Not Available</v>
      </c>
      <c r="V231" s="28" t="str" cm="1">
        <f t="array" ref="V231">IFERROR(INDEX('Raw Period DMR Data'!N:N,MATCH(1,(B231='Raw Period DMR Data'!$A:$A)*(U231='Raw Period DMR Data'!M:M)*(X231='Raw Period DMR Data'!C:C),0),1), "N/A")</f>
        <v>N/A</v>
      </c>
      <c r="W231" s="28" t="s">
        <v>1463</v>
      </c>
      <c r="X231" s="28" t="s">
        <v>812</v>
      </c>
      <c r="Y231" s="28" t="s">
        <v>813</v>
      </c>
      <c r="Z231" s="61">
        <v>5030203000005</v>
      </c>
    </row>
    <row r="232" spans="1:29" x14ac:dyDescent="0.25">
      <c r="A232" s="61">
        <v>110007970142</v>
      </c>
      <c r="B232" s="28">
        <v>2017</v>
      </c>
      <c r="C232" s="68">
        <f t="shared" si="3"/>
        <v>42736</v>
      </c>
      <c r="D232" s="28" t="s">
        <v>123</v>
      </c>
      <c r="E232" s="28" t="s">
        <v>394</v>
      </c>
      <c r="F232" s="28" t="s">
        <v>395</v>
      </c>
      <c r="G232" s="28" t="s">
        <v>338</v>
      </c>
      <c r="H232" s="28">
        <v>8023</v>
      </c>
      <c r="I232" s="28">
        <v>39.682361999999998</v>
      </c>
      <c r="J232" s="28">
        <v>-75.491378999999995</v>
      </c>
      <c r="K232" s="28" t="s">
        <v>396</v>
      </c>
      <c r="L232" s="61">
        <v>110007970142</v>
      </c>
      <c r="M232" s="28" t="s">
        <v>251</v>
      </c>
      <c r="N232" s="28">
        <v>2869</v>
      </c>
      <c r="O232" s="28" t="str">
        <f>IFERROR(VLOOKUP(N232, 'SIC &amp; NAICS Codes'!A:B, 2, FALSE), "")</f>
        <v>Industrial Organic Chemicals, NEC (aliphatics)</v>
      </c>
      <c r="S232" s="28">
        <v>10.55</v>
      </c>
      <c r="T232" s="315">
        <f>_xlfn.MAXIFS('Raw Period DMR Data'!$O:$O,'Raw Period DMR Data'!$A:$A,'Raw Annual DMR Data'!B232,'Raw Period DMR Data'!$C:$C,X232)/S232</f>
        <v>0</v>
      </c>
      <c r="U232" s="28" t="str">
        <f>+IF(COUNTIFS('Raw Period DMR Data'!$A:$A,B232, 'Raw Period DMR Data'!C:C,'Raw Annual DMR Data'!X232, 'Raw Period DMR Data'!M:M, "&gt;0")&gt;0,_xlfn.MAXIFS('Raw Period DMR Data'!M:M,'Raw Period DMR Data'!$A:$A,'Raw Annual DMR Data'!B232,'Raw Period DMR Data'!C:C,'Raw Annual DMR Data'!X232), "N/A - Period DMR Data Not Available")</f>
        <v>N/A - Period DMR Data Not Available</v>
      </c>
      <c r="V232" s="28" t="str" cm="1">
        <f t="array" ref="V232">IFERROR(INDEX('Raw Period DMR Data'!N:N,MATCH(1,(B232='Raw Period DMR Data'!$A:$A)*(U232='Raw Period DMR Data'!M:M)*(X232='Raw Period DMR Data'!C:C),0),1), "N/A")</f>
        <v>N/A</v>
      </c>
      <c r="W232" s="28" t="s">
        <v>1463</v>
      </c>
      <c r="X232" s="28" t="s">
        <v>814</v>
      </c>
      <c r="Y232" s="28" t="s">
        <v>783</v>
      </c>
      <c r="Z232" s="61">
        <v>2040206002333</v>
      </c>
      <c r="AA232" s="28"/>
    </row>
    <row r="233" spans="1:29" x14ac:dyDescent="0.25">
      <c r="A233" s="61">
        <v>110007970142</v>
      </c>
      <c r="B233" s="28">
        <v>2018</v>
      </c>
      <c r="C233" s="68">
        <f t="shared" si="3"/>
        <v>43101</v>
      </c>
      <c r="D233" s="28" t="s">
        <v>123</v>
      </c>
      <c r="E233" s="28" t="s">
        <v>394</v>
      </c>
      <c r="F233" s="28" t="s">
        <v>395</v>
      </c>
      <c r="G233" s="28" t="s">
        <v>338</v>
      </c>
      <c r="H233" s="28">
        <v>8023</v>
      </c>
      <c r="I233" s="28">
        <v>39.682361999999998</v>
      </c>
      <c r="J233" s="28">
        <v>-75.491378999999995</v>
      </c>
      <c r="K233" s="28" t="s">
        <v>396</v>
      </c>
      <c r="L233" s="61">
        <v>110007970142</v>
      </c>
      <c r="M233" s="28" t="s">
        <v>251</v>
      </c>
      <c r="N233" s="28">
        <v>2869</v>
      </c>
      <c r="O233" s="28" t="str">
        <f>IFERROR(VLOOKUP(N233, 'SIC &amp; NAICS Codes'!A:B, 2, FALSE), "")</f>
        <v>Industrial Organic Chemicals, NEC (aliphatics)</v>
      </c>
      <c r="S233" s="28">
        <v>6.2</v>
      </c>
      <c r="T233" s="315">
        <f>_xlfn.MAXIFS('Raw Period DMR Data'!$O:$O,'Raw Period DMR Data'!$A:$A,'Raw Annual DMR Data'!B233,'Raw Period DMR Data'!$C:$C,X233)/S233</f>
        <v>0</v>
      </c>
      <c r="U233" s="28" t="str">
        <f>+IF(COUNTIFS('Raw Period DMR Data'!$A:$A,B233, 'Raw Period DMR Data'!C:C,'Raw Annual DMR Data'!X233, 'Raw Period DMR Data'!M:M, "&gt;0")&gt;0,_xlfn.MAXIFS('Raw Period DMR Data'!M:M,'Raw Period DMR Data'!$A:$A,'Raw Annual DMR Data'!B233,'Raw Period DMR Data'!C:C,'Raw Annual DMR Data'!X233), "N/A - Period DMR Data Not Available")</f>
        <v>N/A - Period DMR Data Not Available</v>
      </c>
      <c r="V233" s="28" t="str" cm="1">
        <f t="array" ref="V233">IFERROR(INDEX('Raw Period DMR Data'!N:N,MATCH(1,(B233='Raw Period DMR Data'!$A:$A)*(U233='Raw Period DMR Data'!M:M)*(X233='Raw Period DMR Data'!C:C),0),1), "N/A")</f>
        <v>N/A</v>
      </c>
      <c r="W233" s="28" t="s">
        <v>1463</v>
      </c>
      <c r="X233" s="28" t="s">
        <v>814</v>
      </c>
      <c r="Y233" s="28" t="s">
        <v>783</v>
      </c>
      <c r="Z233" s="61">
        <v>2040206002333</v>
      </c>
    </row>
    <row r="234" spans="1:29" x14ac:dyDescent="0.25">
      <c r="A234" s="61">
        <v>110007970142</v>
      </c>
      <c r="B234" s="28">
        <v>2019</v>
      </c>
      <c r="C234" s="68">
        <f t="shared" si="3"/>
        <v>43466</v>
      </c>
      <c r="D234" s="28" t="s">
        <v>123</v>
      </c>
      <c r="E234" s="28" t="s">
        <v>394</v>
      </c>
      <c r="F234" s="28" t="s">
        <v>395</v>
      </c>
      <c r="G234" s="28" t="s">
        <v>338</v>
      </c>
      <c r="H234" s="28">
        <v>8023</v>
      </c>
      <c r="I234" s="28">
        <v>39.682361999999998</v>
      </c>
      <c r="J234" s="28">
        <v>-75.491378999999995</v>
      </c>
      <c r="K234" s="28" t="s">
        <v>396</v>
      </c>
      <c r="L234" s="61">
        <v>110007970142</v>
      </c>
      <c r="M234" s="28" t="s">
        <v>251</v>
      </c>
      <c r="N234" s="28">
        <v>2869</v>
      </c>
      <c r="O234" s="28" t="str">
        <f>IFERROR(VLOOKUP(N234, 'SIC &amp; NAICS Codes'!A:B, 2, FALSE), "")</f>
        <v>Industrial Organic Chemicals, NEC (aliphatics)</v>
      </c>
      <c r="S234" s="28">
        <v>10.37</v>
      </c>
      <c r="T234" s="315">
        <f>_xlfn.MAXIFS('Raw Period DMR Data'!$O:$O,'Raw Period DMR Data'!$A:$A,'Raw Annual DMR Data'!B234,'Raw Period DMR Data'!$C:$C,X234)/S234</f>
        <v>0</v>
      </c>
      <c r="U234" s="28" t="str">
        <f>+IF(COUNTIFS('Raw Period DMR Data'!$A:$A,B234, 'Raw Period DMR Data'!C:C,'Raw Annual DMR Data'!X234, 'Raw Period DMR Data'!M:M, "&gt;0")&gt;0,_xlfn.MAXIFS('Raw Period DMR Data'!M:M,'Raw Period DMR Data'!$A:$A,'Raw Annual DMR Data'!B234,'Raw Period DMR Data'!C:C,'Raw Annual DMR Data'!X234), "N/A - Period DMR Data Not Available")</f>
        <v>N/A - Period DMR Data Not Available</v>
      </c>
      <c r="V234" s="28" t="str" cm="1">
        <f t="array" ref="V234">IFERROR(INDEX('Raw Period DMR Data'!N:N,MATCH(1,(B234='Raw Period DMR Data'!$A:$A)*(U234='Raw Period DMR Data'!M:M)*(X234='Raw Period DMR Data'!C:C),0),1), "N/A")</f>
        <v>N/A</v>
      </c>
      <c r="W234" s="28" t="s">
        <v>1463</v>
      </c>
      <c r="X234" s="28" t="s">
        <v>814</v>
      </c>
      <c r="Y234" s="28" t="s">
        <v>783</v>
      </c>
      <c r="Z234" s="61">
        <v>2040206002333</v>
      </c>
    </row>
    <row r="235" spans="1:29" x14ac:dyDescent="0.25">
      <c r="A235" s="61">
        <v>110007970142</v>
      </c>
      <c r="B235" s="28">
        <v>2020</v>
      </c>
      <c r="C235" s="68">
        <f t="shared" si="3"/>
        <v>43831</v>
      </c>
      <c r="D235" s="28" t="s">
        <v>123</v>
      </c>
      <c r="E235" s="28" t="s">
        <v>394</v>
      </c>
      <c r="F235" s="28" t="s">
        <v>395</v>
      </c>
      <c r="G235" s="28" t="s">
        <v>338</v>
      </c>
      <c r="H235" s="28">
        <v>8023</v>
      </c>
      <c r="I235" s="28">
        <v>39.682361999999998</v>
      </c>
      <c r="J235" s="28">
        <v>-75.491378999999995</v>
      </c>
      <c r="K235" s="28" t="s">
        <v>396</v>
      </c>
      <c r="L235" s="61">
        <v>110007970142</v>
      </c>
      <c r="M235" s="28" t="s">
        <v>251</v>
      </c>
      <c r="N235" s="28">
        <v>2869</v>
      </c>
      <c r="O235" s="28" t="str">
        <f>IFERROR(VLOOKUP(N235, 'SIC &amp; NAICS Codes'!A:B, 2, FALSE), "")</f>
        <v>Industrial Organic Chemicals, NEC (aliphatics)</v>
      </c>
      <c r="S235" s="28">
        <v>8.0540000000000003</v>
      </c>
      <c r="T235" s="315">
        <f>_xlfn.MAXIFS('Raw Period DMR Data'!$O:$O,'Raw Period DMR Data'!$A:$A,'Raw Annual DMR Data'!B235,'Raw Period DMR Data'!$C:$C,X235)/S235</f>
        <v>0</v>
      </c>
      <c r="U235" s="28" t="str">
        <f>+IF(COUNTIFS('Raw Period DMR Data'!$A:$A,B235, 'Raw Period DMR Data'!C:C,'Raw Annual DMR Data'!X235, 'Raw Period DMR Data'!M:M, "&gt;0")&gt;0,_xlfn.MAXIFS('Raw Period DMR Data'!M:M,'Raw Period DMR Data'!$A:$A,'Raw Annual DMR Data'!B235,'Raw Period DMR Data'!C:C,'Raw Annual DMR Data'!X235), "N/A - Period DMR Data Not Available")</f>
        <v>N/A - Period DMR Data Not Available</v>
      </c>
      <c r="V235" s="28" t="str" cm="1">
        <f t="array" ref="V235">IFERROR(INDEX('Raw Period DMR Data'!N:N,MATCH(1,(B235='Raw Period DMR Data'!$A:$A)*(U235='Raw Period DMR Data'!M:M)*(X235='Raw Period DMR Data'!C:C),0),1), "N/A")</f>
        <v>N/A</v>
      </c>
      <c r="W235" s="28" t="s">
        <v>1463</v>
      </c>
      <c r="X235" s="28" t="s">
        <v>814</v>
      </c>
      <c r="Y235" s="28" t="s">
        <v>783</v>
      </c>
      <c r="Z235" s="61">
        <v>2040206002333</v>
      </c>
    </row>
    <row r="236" spans="1:29" x14ac:dyDescent="0.25">
      <c r="A236" s="61">
        <v>110000500459</v>
      </c>
      <c r="B236" s="28">
        <v>2015</v>
      </c>
      <c r="C236" s="68">
        <f t="shared" si="3"/>
        <v>42005</v>
      </c>
      <c r="D236" s="28" t="s">
        <v>1042</v>
      </c>
      <c r="E236" s="28" t="s">
        <v>1612</v>
      </c>
      <c r="F236" s="28" t="s">
        <v>1043</v>
      </c>
      <c r="G236" s="28" t="s">
        <v>345</v>
      </c>
      <c r="H236" s="28" t="s">
        <v>1613</v>
      </c>
      <c r="I236" s="28">
        <v>42.468611000000003</v>
      </c>
      <c r="J236" s="28">
        <v>-89.065550000000002</v>
      </c>
      <c r="K236" s="28" t="s">
        <v>708</v>
      </c>
      <c r="L236" s="61">
        <v>110000500459</v>
      </c>
      <c r="M236" s="28" t="s">
        <v>265</v>
      </c>
      <c r="N236" s="28">
        <v>4225</v>
      </c>
      <c r="O236" s="28" t="str">
        <f>IFERROR(VLOOKUP(N236, 'SIC &amp; NAICS Codes'!A:B, 2, FALSE), "")</f>
        <v>General Warehousing and Storage (except self-storage and miniwarehouses)</v>
      </c>
      <c r="S236" s="28">
        <v>9.2420237500000002E-2</v>
      </c>
      <c r="T236" s="315">
        <f>_xlfn.MAXIFS('Raw Period DMR Data'!$O:$O,'Raw Period DMR Data'!$A:$A,'Raw Annual DMR Data'!B236,'Raw Period DMR Data'!$C:$C,X236)/S236</f>
        <v>0</v>
      </c>
      <c r="U236" s="28" t="str">
        <f>+IF(COUNTIFS('Raw Period DMR Data'!$A:$A,B236, 'Raw Period DMR Data'!C:C,'Raw Annual DMR Data'!X236, 'Raw Period DMR Data'!M:M, "&gt;0")&gt;0,_xlfn.MAXIFS('Raw Period DMR Data'!M:M,'Raw Period DMR Data'!$A:$A,'Raw Annual DMR Data'!B236,'Raw Period DMR Data'!C:C,'Raw Annual DMR Data'!X236), "N/A - Period DMR Data Not Available")</f>
        <v>N/A - Period DMR Data Not Available</v>
      </c>
      <c r="V236" s="28" t="str" cm="1">
        <f t="array" ref="V236">IFERROR(INDEX('Raw Period DMR Data'!N:N,MATCH(1,(B236='Raw Period DMR Data'!$A:$A)*(U236='Raw Period DMR Data'!M:M)*(X236='Raw Period DMR Data'!C:C),0),1), "N/A")</f>
        <v>N/A</v>
      </c>
      <c r="W236" s="28" t="s">
        <v>1463</v>
      </c>
      <c r="X236" s="28" t="s">
        <v>1614</v>
      </c>
      <c r="Y236" s="28" t="s">
        <v>1615</v>
      </c>
      <c r="Z236" s="28">
        <v>7090002008421</v>
      </c>
      <c r="AA236" s="28"/>
      <c r="AB236" s="28" t="s">
        <v>1465</v>
      </c>
      <c r="AC236" s="28" t="s">
        <v>1466</v>
      </c>
    </row>
    <row r="237" spans="1:29" x14ac:dyDescent="0.25">
      <c r="A237" s="61">
        <v>110000500459</v>
      </c>
      <c r="B237" s="28">
        <v>2016</v>
      </c>
      <c r="C237" s="68">
        <f t="shared" si="3"/>
        <v>42370</v>
      </c>
      <c r="D237" s="28" t="s">
        <v>1042</v>
      </c>
      <c r="E237" s="28" t="s">
        <v>1612</v>
      </c>
      <c r="F237" s="28" t="s">
        <v>1043</v>
      </c>
      <c r="G237" s="28" t="s">
        <v>345</v>
      </c>
      <c r="H237" s="28" t="s">
        <v>1613</v>
      </c>
      <c r="I237" s="28">
        <v>42.468611000000003</v>
      </c>
      <c r="J237" s="28">
        <v>-89.065550000000002</v>
      </c>
      <c r="K237" s="28" t="s">
        <v>708</v>
      </c>
      <c r="L237" s="61">
        <v>110000500459</v>
      </c>
      <c r="M237" s="28" t="s">
        <v>265</v>
      </c>
      <c r="N237" s="28">
        <v>4225</v>
      </c>
      <c r="O237" s="28" t="str">
        <f>IFERROR(VLOOKUP(N237, 'SIC &amp; NAICS Codes'!A:B, 2, FALSE), "")</f>
        <v>General Warehousing and Storage (except self-storage and miniwarehouses)</v>
      </c>
      <c r="S237" s="28">
        <v>7.7017180000000005E-2</v>
      </c>
      <c r="T237" s="315">
        <f>_xlfn.MAXIFS('Raw Period DMR Data'!$O:$O,'Raw Period DMR Data'!$A:$A,'Raw Annual DMR Data'!B237,'Raw Period DMR Data'!$C:$C,X237)/S237</f>
        <v>0</v>
      </c>
      <c r="U237" s="28" t="str">
        <f>+IF(COUNTIFS('Raw Period DMR Data'!$A:$A,B237, 'Raw Period DMR Data'!C:C,'Raw Annual DMR Data'!X237, 'Raw Period DMR Data'!M:M, "&gt;0")&gt;0,_xlfn.MAXIFS('Raw Period DMR Data'!M:M,'Raw Period DMR Data'!$A:$A,'Raw Annual DMR Data'!B237,'Raw Period DMR Data'!C:C,'Raw Annual DMR Data'!X237), "N/A - Period DMR Data Not Available")</f>
        <v>N/A - Period DMR Data Not Available</v>
      </c>
      <c r="V237" s="28" t="str" cm="1">
        <f t="array" ref="V237">IFERROR(INDEX('Raw Period DMR Data'!N:N,MATCH(1,(B237='Raw Period DMR Data'!$A:$A)*(U237='Raw Period DMR Data'!M:M)*(X237='Raw Period DMR Data'!C:C),0),1), "N/A")</f>
        <v>N/A</v>
      </c>
      <c r="W237" s="28" t="s">
        <v>1463</v>
      </c>
      <c r="X237" s="28" t="s">
        <v>1614</v>
      </c>
      <c r="Y237" s="28" t="s">
        <v>1615</v>
      </c>
      <c r="Z237" s="28">
        <v>7090002008421</v>
      </c>
      <c r="AA237" s="28"/>
      <c r="AB237" s="28" t="s">
        <v>1465</v>
      </c>
      <c r="AC237" s="28" t="s">
        <v>1466</v>
      </c>
    </row>
    <row r="238" spans="1:29" x14ac:dyDescent="0.25">
      <c r="A238" s="61">
        <v>110000500459</v>
      </c>
      <c r="B238" s="28">
        <v>2017</v>
      </c>
      <c r="C238" s="68">
        <f t="shared" si="3"/>
        <v>42736</v>
      </c>
      <c r="D238" s="28" t="s">
        <v>1042</v>
      </c>
      <c r="E238" s="28" t="s">
        <v>1612</v>
      </c>
      <c r="F238" s="28" t="s">
        <v>1043</v>
      </c>
      <c r="G238" s="28" t="s">
        <v>345</v>
      </c>
      <c r="H238" s="28" t="s">
        <v>1613</v>
      </c>
      <c r="I238" s="28">
        <v>42.468611000000003</v>
      </c>
      <c r="J238" s="28">
        <v>-89.065550000000002</v>
      </c>
      <c r="K238" s="28" t="s">
        <v>708</v>
      </c>
      <c r="L238" s="61">
        <v>110000500459</v>
      </c>
      <c r="M238" s="28" t="s">
        <v>265</v>
      </c>
      <c r="N238" s="28">
        <v>4225</v>
      </c>
      <c r="O238" s="28" t="str">
        <f>IFERROR(VLOOKUP(N238, 'SIC &amp; NAICS Codes'!A:B, 2, FALSE), "")</f>
        <v>General Warehousing and Storage (except self-storage and miniwarehouses)</v>
      </c>
      <c r="S238" s="28">
        <v>0.11565446</v>
      </c>
      <c r="T238" s="315">
        <f>_xlfn.MAXIFS('Raw Period DMR Data'!$O:$O,'Raw Period DMR Data'!$A:$A,'Raw Annual DMR Data'!B238,'Raw Period DMR Data'!$C:$C,X238)/S238</f>
        <v>0</v>
      </c>
      <c r="U238" s="28" t="str">
        <f>+IF(COUNTIFS('Raw Period DMR Data'!$A:$A,B238, 'Raw Period DMR Data'!C:C,'Raw Annual DMR Data'!X238, 'Raw Period DMR Data'!M:M, "&gt;0")&gt;0,_xlfn.MAXIFS('Raw Period DMR Data'!M:M,'Raw Period DMR Data'!$A:$A,'Raw Annual DMR Data'!B238,'Raw Period DMR Data'!C:C,'Raw Annual DMR Data'!X238), "N/A - Period DMR Data Not Available")</f>
        <v>N/A - Period DMR Data Not Available</v>
      </c>
      <c r="V238" s="28" t="str" cm="1">
        <f t="array" ref="V238">IFERROR(INDEX('Raw Period DMR Data'!N:N,MATCH(1,(B238='Raw Period DMR Data'!$A:$A)*(U238='Raw Period DMR Data'!M:M)*(X238='Raw Period DMR Data'!C:C),0),1), "N/A")</f>
        <v>N/A</v>
      </c>
      <c r="W238" s="28" t="s">
        <v>1463</v>
      </c>
      <c r="X238" s="28" t="s">
        <v>1614</v>
      </c>
      <c r="Y238" s="28" t="s">
        <v>1615</v>
      </c>
      <c r="Z238" s="28">
        <v>7090002008421</v>
      </c>
      <c r="AA238" s="28"/>
      <c r="AB238" s="28" t="s">
        <v>1465</v>
      </c>
      <c r="AC238" s="28" t="s">
        <v>1466</v>
      </c>
    </row>
    <row r="239" spans="1:29" x14ac:dyDescent="0.25">
      <c r="A239" s="61">
        <v>110000500459</v>
      </c>
      <c r="B239" s="28">
        <v>2018</v>
      </c>
      <c r="C239" s="68">
        <f t="shared" si="3"/>
        <v>43101</v>
      </c>
      <c r="D239" s="28" t="s">
        <v>1042</v>
      </c>
      <c r="E239" s="28" t="s">
        <v>1612</v>
      </c>
      <c r="F239" s="28" t="s">
        <v>1043</v>
      </c>
      <c r="G239" s="28" t="s">
        <v>345</v>
      </c>
      <c r="H239" s="28" t="s">
        <v>1613</v>
      </c>
      <c r="I239" s="28">
        <v>42.468611000000003</v>
      </c>
      <c r="J239" s="28">
        <v>-89.065550000000002</v>
      </c>
      <c r="K239" s="28" t="s">
        <v>708</v>
      </c>
      <c r="L239" s="61">
        <v>110000500459</v>
      </c>
      <c r="M239" s="28" t="s">
        <v>265</v>
      </c>
      <c r="N239" s="28">
        <v>4225</v>
      </c>
      <c r="O239" s="28" t="str">
        <f>IFERROR(VLOOKUP(N239, 'SIC &amp; NAICS Codes'!A:B, 2, FALSE), "")</f>
        <v>General Warehousing and Storage (except self-storage and miniwarehouses)</v>
      </c>
      <c r="S239" s="28">
        <v>0.1152892075</v>
      </c>
      <c r="T239" s="315">
        <f>_xlfn.MAXIFS('Raw Period DMR Data'!$O:$O,'Raw Period DMR Data'!$A:$A,'Raw Annual DMR Data'!B239,'Raw Period DMR Data'!$C:$C,X239)/S239</f>
        <v>0</v>
      </c>
      <c r="U239" s="28" t="str">
        <f>+IF(COUNTIFS('Raw Period DMR Data'!$A:$A,B239, 'Raw Period DMR Data'!C:C,'Raw Annual DMR Data'!X239, 'Raw Period DMR Data'!M:M, "&gt;0")&gt;0,_xlfn.MAXIFS('Raw Period DMR Data'!M:M,'Raw Period DMR Data'!$A:$A,'Raw Annual DMR Data'!B239,'Raw Period DMR Data'!C:C,'Raw Annual DMR Data'!X239), "N/A - Period DMR Data Not Available")</f>
        <v>N/A - Period DMR Data Not Available</v>
      </c>
      <c r="V239" s="28" t="str" cm="1">
        <f t="array" ref="V239">IFERROR(INDEX('Raw Period DMR Data'!N:N,MATCH(1,(B239='Raw Period DMR Data'!$A:$A)*(U239='Raw Period DMR Data'!M:M)*(X239='Raw Period DMR Data'!C:C),0),1), "N/A")</f>
        <v>N/A</v>
      </c>
      <c r="W239" s="28" t="s">
        <v>1463</v>
      </c>
      <c r="X239" s="28" t="s">
        <v>1614</v>
      </c>
      <c r="Y239" s="28" t="s">
        <v>1615</v>
      </c>
      <c r="Z239" s="302" t="s">
        <v>1616</v>
      </c>
      <c r="AA239" s="28"/>
      <c r="AB239" s="28" t="s">
        <v>1465</v>
      </c>
      <c r="AC239" s="28" t="s">
        <v>1466</v>
      </c>
    </row>
    <row r="240" spans="1:29" x14ac:dyDescent="0.25">
      <c r="A240" s="61">
        <v>110000500459</v>
      </c>
      <c r="B240" s="28">
        <v>2019</v>
      </c>
      <c r="C240" s="68">
        <f t="shared" si="3"/>
        <v>43466</v>
      </c>
      <c r="D240" s="28" t="s">
        <v>1042</v>
      </c>
      <c r="E240" s="28" t="s">
        <v>1612</v>
      </c>
      <c r="F240" s="28" t="s">
        <v>1043</v>
      </c>
      <c r="G240" s="28" t="s">
        <v>345</v>
      </c>
      <c r="H240" s="28" t="s">
        <v>1613</v>
      </c>
      <c r="I240" s="28">
        <v>42.468611000000003</v>
      </c>
      <c r="J240" s="28">
        <v>-89.065550000000002</v>
      </c>
      <c r="K240" s="28" t="s">
        <v>708</v>
      </c>
      <c r="L240" s="61">
        <v>110000500459</v>
      </c>
      <c r="M240" s="28" t="s">
        <v>265</v>
      </c>
      <c r="N240" s="28">
        <v>4225</v>
      </c>
      <c r="O240" s="28" t="str">
        <f>IFERROR(VLOOKUP(N240, 'SIC &amp; NAICS Codes'!A:B, 2, FALSE), "")</f>
        <v>General Warehousing and Storage (except self-storage and miniwarehouses)</v>
      </c>
      <c r="S240" s="28">
        <v>9.9973204999999996E-2</v>
      </c>
      <c r="T240" s="315">
        <f>_xlfn.MAXIFS('Raw Period DMR Data'!$O:$O,'Raw Period DMR Data'!$A:$A,'Raw Annual DMR Data'!B240,'Raw Period DMR Data'!$C:$C,X240)/S240</f>
        <v>0</v>
      </c>
      <c r="U240" s="28" t="str">
        <f>+IF(COUNTIFS('Raw Period DMR Data'!$A:$A,B240, 'Raw Period DMR Data'!C:C,'Raw Annual DMR Data'!X240, 'Raw Period DMR Data'!M:M, "&gt;0")&gt;0,_xlfn.MAXIFS('Raw Period DMR Data'!M:M,'Raw Period DMR Data'!$A:$A,'Raw Annual DMR Data'!B240,'Raw Period DMR Data'!C:C,'Raw Annual DMR Data'!X240), "N/A - Period DMR Data Not Available")</f>
        <v>N/A - Period DMR Data Not Available</v>
      </c>
      <c r="V240" s="28" t="str" cm="1">
        <f t="array" ref="V240">IFERROR(INDEX('Raw Period DMR Data'!N:N,MATCH(1,(B240='Raw Period DMR Data'!$A:$A)*(U240='Raw Period DMR Data'!M:M)*(X240='Raw Period DMR Data'!C:C),0),1), "N/A")</f>
        <v>N/A</v>
      </c>
      <c r="W240" s="28" t="s">
        <v>1463</v>
      </c>
      <c r="X240" s="28" t="s">
        <v>1614</v>
      </c>
      <c r="Y240" s="28" t="s">
        <v>1615</v>
      </c>
      <c r="Z240" s="28">
        <v>7090002008421</v>
      </c>
      <c r="AA240" s="28"/>
      <c r="AB240" s="28" t="s">
        <v>1465</v>
      </c>
      <c r="AC240" s="28" t="s">
        <v>1466</v>
      </c>
    </row>
    <row r="241" spans="1:29" x14ac:dyDescent="0.25">
      <c r="A241" s="61">
        <v>110000500459</v>
      </c>
      <c r="B241" s="28">
        <v>2020</v>
      </c>
      <c r="C241" s="68">
        <f t="shared" si="3"/>
        <v>43831</v>
      </c>
      <c r="D241" s="28" t="s">
        <v>1042</v>
      </c>
      <c r="E241" s="28" t="s">
        <v>1612</v>
      </c>
      <c r="F241" s="28" t="s">
        <v>1043</v>
      </c>
      <c r="G241" s="28" t="s">
        <v>345</v>
      </c>
      <c r="H241" s="28" t="s">
        <v>1613</v>
      </c>
      <c r="I241" s="28">
        <v>42.468611000000003</v>
      </c>
      <c r="J241" s="28">
        <v>-89.065550000000002</v>
      </c>
      <c r="K241" s="28" t="s">
        <v>708</v>
      </c>
      <c r="L241" s="61">
        <v>110000500459</v>
      </c>
      <c r="M241" s="28" t="s">
        <v>265</v>
      </c>
      <c r="N241" s="28">
        <v>4225</v>
      </c>
      <c r="O241" s="28" t="str">
        <f>IFERROR(VLOOKUP(N241, 'SIC &amp; NAICS Codes'!A:B, 2, FALSE), "")</f>
        <v>General Warehousing and Storage (except self-storage and miniwarehouses)</v>
      </c>
      <c r="S241" s="28">
        <v>0.1101226825</v>
      </c>
      <c r="T241" s="315">
        <f>_xlfn.MAXIFS('Raw Period DMR Data'!$O:$O,'Raw Period DMR Data'!$A:$A,'Raw Annual DMR Data'!B241,'Raw Period DMR Data'!$C:$C,X241)/S241</f>
        <v>0</v>
      </c>
      <c r="U241" s="28" t="str">
        <f>+IF(COUNTIFS('Raw Period DMR Data'!$A:$A,B241, 'Raw Period DMR Data'!C:C,'Raw Annual DMR Data'!X241, 'Raw Period DMR Data'!M:M, "&gt;0")&gt;0,_xlfn.MAXIFS('Raw Period DMR Data'!M:M,'Raw Period DMR Data'!$A:$A,'Raw Annual DMR Data'!B241,'Raw Period DMR Data'!C:C,'Raw Annual DMR Data'!X241), "N/A - Period DMR Data Not Available")</f>
        <v>N/A - Period DMR Data Not Available</v>
      </c>
      <c r="V241" s="28" t="str" cm="1">
        <f t="array" ref="V241">IFERROR(INDEX('Raw Period DMR Data'!N:N,MATCH(1,(B241='Raw Period DMR Data'!$A:$A)*(U241='Raw Period DMR Data'!M:M)*(X241='Raw Period DMR Data'!C:C),0),1), "N/A")</f>
        <v>N/A</v>
      </c>
      <c r="W241" s="28" t="s">
        <v>1463</v>
      </c>
      <c r="X241" s="28" t="s">
        <v>1614</v>
      </c>
      <c r="Y241" s="28" t="s">
        <v>1615</v>
      </c>
      <c r="Z241" s="28">
        <v>7090002008421</v>
      </c>
      <c r="AA241" s="28"/>
      <c r="AB241" s="28" t="s">
        <v>1465</v>
      </c>
      <c r="AC241" s="28" t="s">
        <v>1466</v>
      </c>
    </row>
    <row r="242" spans="1:29" x14ac:dyDescent="0.25">
      <c r="A242" s="61">
        <v>110000408265</v>
      </c>
      <c r="B242" s="28">
        <v>2015</v>
      </c>
      <c r="C242" s="68">
        <f t="shared" si="3"/>
        <v>42005</v>
      </c>
      <c r="D242" s="28" t="s">
        <v>1044</v>
      </c>
      <c r="E242" s="28" t="s">
        <v>1617</v>
      </c>
      <c r="F242" s="28" t="s">
        <v>1045</v>
      </c>
      <c r="G242" s="28" t="s">
        <v>427</v>
      </c>
      <c r="H242" s="28" t="s">
        <v>1618</v>
      </c>
      <c r="I242" s="28">
        <v>42.592550000000003</v>
      </c>
      <c r="J242" s="28">
        <v>-83.889930000000007</v>
      </c>
      <c r="L242" s="61">
        <v>110000408265</v>
      </c>
      <c r="M242" s="28" t="s">
        <v>265</v>
      </c>
      <c r="N242" s="28">
        <v>2899</v>
      </c>
      <c r="O242" s="28" t="str">
        <f>IFERROR(VLOOKUP(N242, 'SIC &amp; NAICS Codes'!A:B, 2, FALSE), "")</f>
        <v>Chemicals and Chemical Preparations, NEC (table salt)</v>
      </c>
      <c r="S242" s="28">
        <v>1.0545907045E-2</v>
      </c>
      <c r="T242" s="315">
        <f>_xlfn.MAXIFS('Raw Period DMR Data'!$O:$O,'Raw Period DMR Data'!$A:$A,'Raw Annual DMR Data'!B242,'Raw Period DMR Data'!$C:$C,X242)/S242</f>
        <v>0</v>
      </c>
      <c r="U242" s="28" t="str">
        <f>+IF(COUNTIFS('Raw Period DMR Data'!$A:$A,B242, 'Raw Period DMR Data'!C:C,'Raw Annual DMR Data'!X242, 'Raw Period DMR Data'!M:M, "&gt;0")&gt;0,_xlfn.MAXIFS('Raw Period DMR Data'!M:M,'Raw Period DMR Data'!$A:$A,'Raw Annual DMR Data'!B242,'Raw Period DMR Data'!C:C,'Raw Annual DMR Data'!X242), "N/A - Period DMR Data Not Available")</f>
        <v>N/A - Period DMR Data Not Available</v>
      </c>
      <c r="V242" s="28" t="str" cm="1">
        <f t="array" ref="V242">IFERROR(INDEX('Raw Period DMR Data'!N:N,MATCH(1,(B242='Raw Period DMR Data'!$A:$A)*(U242='Raw Period DMR Data'!M:M)*(X242='Raw Period DMR Data'!C:C),0),1), "N/A")</f>
        <v>N/A</v>
      </c>
      <c r="W242" s="28" t="s">
        <v>1463</v>
      </c>
      <c r="X242" s="28" t="s">
        <v>1619</v>
      </c>
      <c r="Y242" s="28" t="s">
        <v>1620</v>
      </c>
      <c r="Z242" s="28">
        <v>4080203000602</v>
      </c>
      <c r="AA242" s="28"/>
      <c r="AB242" s="28" t="s">
        <v>1465</v>
      </c>
      <c r="AC242" s="28" t="s">
        <v>1466</v>
      </c>
    </row>
    <row r="243" spans="1:29" x14ac:dyDescent="0.25">
      <c r="A243" s="61">
        <v>110000408265</v>
      </c>
      <c r="B243" s="28">
        <v>2016</v>
      </c>
      <c r="C243" s="68">
        <f t="shared" si="3"/>
        <v>42370</v>
      </c>
      <c r="D243" s="28" t="s">
        <v>1044</v>
      </c>
      <c r="E243" s="28" t="s">
        <v>1617</v>
      </c>
      <c r="F243" s="28" t="s">
        <v>1045</v>
      </c>
      <c r="G243" s="28" t="s">
        <v>427</v>
      </c>
      <c r="H243" s="28" t="s">
        <v>1618</v>
      </c>
      <c r="I243" s="28">
        <v>42.592550000000003</v>
      </c>
      <c r="J243" s="28">
        <v>-83.889930000000007</v>
      </c>
      <c r="L243" s="61">
        <v>110000408265</v>
      </c>
      <c r="M243" s="28" t="s">
        <v>265</v>
      </c>
      <c r="N243" s="28">
        <v>2899</v>
      </c>
      <c r="O243" s="28" t="str">
        <f>IFERROR(VLOOKUP(N243, 'SIC &amp; NAICS Codes'!A:B, 2, FALSE), "")</f>
        <v>Chemicals and Chemical Preparations, NEC (table salt)</v>
      </c>
      <c r="S243" s="28">
        <v>8.5713172079999993E-3</v>
      </c>
      <c r="T243" s="315">
        <f>_xlfn.MAXIFS('Raw Period DMR Data'!$O:$O,'Raw Period DMR Data'!$A:$A,'Raw Annual DMR Data'!B243,'Raw Period DMR Data'!$C:$C,X243)/S243</f>
        <v>0</v>
      </c>
      <c r="U243" s="28" t="str">
        <f>+IF(COUNTIFS('Raw Period DMR Data'!$A:$A,B243, 'Raw Period DMR Data'!C:C,'Raw Annual DMR Data'!X243, 'Raw Period DMR Data'!M:M, "&gt;0")&gt;0,_xlfn.MAXIFS('Raw Period DMR Data'!M:M,'Raw Period DMR Data'!$A:$A,'Raw Annual DMR Data'!B243,'Raw Period DMR Data'!C:C,'Raw Annual DMR Data'!X243), "N/A - Period DMR Data Not Available")</f>
        <v>N/A - Period DMR Data Not Available</v>
      </c>
      <c r="V243" s="28" t="str" cm="1">
        <f t="array" ref="V243">IFERROR(INDEX('Raw Period DMR Data'!N:N,MATCH(1,(B243='Raw Period DMR Data'!$A:$A)*(U243='Raw Period DMR Data'!M:M)*(X243='Raw Period DMR Data'!C:C),0),1), "N/A")</f>
        <v>N/A</v>
      </c>
      <c r="W243" s="28" t="s">
        <v>1463</v>
      </c>
      <c r="X243" s="28" t="s">
        <v>1619</v>
      </c>
      <c r="Y243" s="28" t="s">
        <v>1620</v>
      </c>
      <c r="Z243" s="28">
        <v>4080203000602</v>
      </c>
      <c r="AA243" s="28"/>
      <c r="AB243" s="28" t="s">
        <v>1465</v>
      </c>
      <c r="AC243" s="28" t="s">
        <v>1466</v>
      </c>
    </row>
    <row r="244" spans="1:29" x14ac:dyDescent="0.25">
      <c r="A244" s="61">
        <v>110000408265</v>
      </c>
      <c r="B244" s="28">
        <v>2017</v>
      </c>
      <c r="C244" s="68">
        <f t="shared" si="3"/>
        <v>42736</v>
      </c>
      <c r="D244" s="28" t="s">
        <v>1044</v>
      </c>
      <c r="E244" s="28" t="s">
        <v>1617</v>
      </c>
      <c r="F244" s="28" t="s">
        <v>1045</v>
      </c>
      <c r="G244" s="28" t="s">
        <v>427</v>
      </c>
      <c r="H244" s="28" t="s">
        <v>1618</v>
      </c>
      <c r="I244" s="28">
        <v>42.592550000000003</v>
      </c>
      <c r="J244" s="28">
        <v>-83.889930000000007</v>
      </c>
      <c r="L244" s="61">
        <v>110000408265</v>
      </c>
      <c r="M244" s="28" t="s">
        <v>265</v>
      </c>
      <c r="N244" s="28">
        <v>2899</v>
      </c>
      <c r="O244" s="28" t="str">
        <f>IFERROR(VLOOKUP(N244, 'SIC &amp; NAICS Codes'!A:B, 2, FALSE), "")</f>
        <v>Chemicals and Chemical Preparations, NEC (table salt)</v>
      </c>
      <c r="S244" s="28">
        <v>7.7366781524999999E-3</v>
      </c>
      <c r="T244" s="315">
        <f>_xlfn.MAXIFS('Raw Period DMR Data'!$O:$O,'Raw Period DMR Data'!$A:$A,'Raw Annual DMR Data'!B244,'Raw Period DMR Data'!$C:$C,X244)/S244</f>
        <v>0</v>
      </c>
      <c r="U244" s="28" t="str">
        <f>+IF(COUNTIFS('Raw Period DMR Data'!$A:$A,B244, 'Raw Period DMR Data'!C:C,'Raw Annual DMR Data'!X244, 'Raw Period DMR Data'!M:M, "&gt;0")&gt;0,_xlfn.MAXIFS('Raw Period DMR Data'!M:M,'Raw Period DMR Data'!$A:$A,'Raw Annual DMR Data'!B244,'Raw Period DMR Data'!C:C,'Raw Annual DMR Data'!X244), "N/A - Period DMR Data Not Available")</f>
        <v>N/A - Period DMR Data Not Available</v>
      </c>
      <c r="V244" s="28" t="str" cm="1">
        <f t="array" ref="V244">IFERROR(INDEX('Raw Period DMR Data'!N:N,MATCH(1,(B244='Raw Period DMR Data'!$A:$A)*(U244='Raw Period DMR Data'!M:M)*(X244='Raw Period DMR Data'!C:C),0),1), "N/A")</f>
        <v>N/A</v>
      </c>
      <c r="W244" s="28" t="s">
        <v>1463</v>
      </c>
      <c r="X244" s="28" t="s">
        <v>1619</v>
      </c>
      <c r="Y244" s="28" t="s">
        <v>1620</v>
      </c>
      <c r="Z244" s="28">
        <v>4080203000602</v>
      </c>
      <c r="AA244" s="28"/>
      <c r="AB244" s="28" t="s">
        <v>1465</v>
      </c>
      <c r="AC244" s="28" t="s">
        <v>1466</v>
      </c>
    </row>
    <row r="245" spans="1:29" x14ac:dyDescent="0.25">
      <c r="A245" s="61">
        <v>110000408265</v>
      </c>
      <c r="B245" s="28">
        <v>2018</v>
      </c>
      <c r="C245" s="68">
        <f t="shared" si="3"/>
        <v>43101</v>
      </c>
      <c r="D245" s="28" t="s">
        <v>1044</v>
      </c>
      <c r="E245" s="28" t="s">
        <v>1617</v>
      </c>
      <c r="F245" s="28" t="s">
        <v>1045</v>
      </c>
      <c r="G245" s="28" t="s">
        <v>427</v>
      </c>
      <c r="H245" s="28" t="s">
        <v>1618</v>
      </c>
      <c r="I245" s="28">
        <v>42.592550000000003</v>
      </c>
      <c r="J245" s="28">
        <v>-83.889930000000007</v>
      </c>
      <c r="L245" s="61">
        <v>110000408265</v>
      </c>
      <c r="M245" s="28" t="s">
        <v>265</v>
      </c>
      <c r="N245" s="28">
        <v>2899</v>
      </c>
      <c r="O245" s="28" t="str">
        <f>IFERROR(VLOOKUP(N245, 'SIC &amp; NAICS Codes'!A:B, 2, FALSE), "")</f>
        <v>Chemicals and Chemical Preparations, NEC (table salt)</v>
      </c>
      <c r="S245" s="28">
        <v>7.2602545249999999E-3</v>
      </c>
      <c r="T245" s="315">
        <f>_xlfn.MAXIFS('Raw Period DMR Data'!$O:$O,'Raw Period DMR Data'!$A:$A,'Raw Annual DMR Data'!B245,'Raw Period DMR Data'!$C:$C,X245)/S245</f>
        <v>0</v>
      </c>
      <c r="U245" s="28" t="str">
        <f>+IF(COUNTIFS('Raw Period DMR Data'!$A:$A,B245, 'Raw Period DMR Data'!C:C,'Raw Annual DMR Data'!X245, 'Raw Period DMR Data'!M:M, "&gt;0")&gt;0,_xlfn.MAXIFS('Raw Period DMR Data'!M:M,'Raw Period DMR Data'!$A:$A,'Raw Annual DMR Data'!B245,'Raw Period DMR Data'!C:C,'Raw Annual DMR Data'!X245), "N/A - Period DMR Data Not Available")</f>
        <v>N/A - Period DMR Data Not Available</v>
      </c>
      <c r="V245" s="28" t="str" cm="1">
        <f t="array" ref="V245">IFERROR(INDEX('Raw Period DMR Data'!N:N,MATCH(1,(B245='Raw Period DMR Data'!$A:$A)*(U245='Raw Period DMR Data'!M:M)*(X245='Raw Period DMR Data'!C:C),0),1), "N/A")</f>
        <v>N/A</v>
      </c>
      <c r="W245" s="28" t="s">
        <v>1463</v>
      </c>
      <c r="X245" s="28" t="s">
        <v>1619</v>
      </c>
      <c r="Y245" s="28" t="s">
        <v>1620</v>
      </c>
      <c r="Z245" s="302" t="s">
        <v>1621</v>
      </c>
      <c r="AA245" s="28"/>
      <c r="AB245" s="28" t="s">
        <v>1465</v>
      </c>
      <c r="AC245" s="28" t="s">
        <v>1466</v>
      </c>
    </row>
    <row r="246" spans="1:29" x14ac:dyDescent="0.25">
      <c r="A246" s="61">
        <v>110000408265</v>
      </c>
      <c r="B246" s="28">
        <v>2019</v>
      </c>
      <c r="C246" s="68">
        <f t="shared" si="3"/>
        <v>43466</v>
      </c>
      <c r="D246" s="28" t="s">
        <v>1044</v>
      </c>
      <c r="E246" s="28" t="s">
        <v>1617</v>
      </c>
      <c r="F246" s="28" t="s">
        <v>1045</v>
      </c>
      <c r="G246" s="28" t="s">
        <v>427</v>
      </c>
      <c r="H246" s="28" t="s">
        <v>1618</v>
      </c>
      <c r="I246" s="28">
        <v>42.592550000000003</v>
      </c>
      <c r="J246" s="28">
        <v>-83.889930000000007</v>
      </c>
      <c r="L246" s="61">
        <v>110000408265</v>
      </c>
      <c r="M246" s="28" t="s">
        <v>265</v>
      </c>
      <c r="N246" s="28">
        <v>2899</v>
      </c>
      <c r="O246" s="28" t="str">
        <f>IFERROR(VLOOKUP(N246, 'SIC &amp; NAICS Codes'!A:B, 2, FALSE), "")</f>
        <v>Chemicals and Chemical Preparations, NEC (table salt)</v>
      </c>
      <c r="S246" s="28">
        <v>9.6483434999999999E-3</v>
      </c>
      <c r="T246" s="315">
        <f>_xlfn.MAXIFS('Raw Period DMR Data'!$O:$O,'Raw Period DMR Data'!$A:$A,'Raw Annual DMR Data'!B246,'Raw Period DMR Data'!$C:$C,X246)/S246</f>
        <v>0</v>
      </c>
      <c r="U246" s="28" t="str">
        <f>+IF(COUNTIFS('Raw Period DMR Data'!$A:$A,B246, 'Raw Period DMR Data'!C:C,'Raw Annual DMR Data'!X246, 'Raw Period DMR Data'!M:M, "&gt;0")&gt;0,_xlfn.MAXIFS('Raw Period DMR Data'!M:M,'Raw Period DMR Data'!$A:$A,'Raw Annual DMR Data'!B246,'Raw Period DMR Data'!C:C,'Raw Annual DMR Data'!X246), "N/A - Period DMR Data Not Available")</f>
        <v>N/A - Period DMR Data Not Available</v>
      </c>
      <c r="V246" s="28" t="str" cm="1">
        <f t="array" ref="V246">IFERROR(INDEX('Raw Period DMR Data'!N:N,MATCH(1,(B246='Raw Period DMR Data'!$A:$A)*(U246='Raw Period DMR Data'!M:M)*(X246='Raw Period DMR Data'!C:C),0),1), "N/A")</f>
        <v>N/A</v>
      </c>
      <c r="W246" s="28" t="s">
        <v>1463</v>
      </c>
      <c r="X246" s="28" t="s">
        <v>1619</v>
      </c>
      <c r="Y246" s="28" t="s">
        <v>1620</v>
      </c>
      <c r="Z246" s="28">
        <v>4080203000602</v>
      </c>
      <c r="AA246" s="28"/>
      <c r="AB246" s="28" t="s">
        <v>1465</v>
      </c>
      <c r="AC246" s="28" t="s">
        <v>1466</v>
      </c>
    </row>
    <row r="247" spans="1:29" x14ac:dyDescent="0.25">
      <c r="A247" s="61">
        <v>110000408265</v>
      </c>
      <c r="B247" s="28">
        <v>2020</v>
      </c>
      <c r="C247" s="68">
        <f t="shared" si="3"/>
        <v>43831</v>
      </c>
      <c r="D247" s="28" t="s">
        <v>1044</v>
      </c>
      <c r="E247" s="28" t="s">
        <v>1617</v>
      </c>
      <c r="F247" s="28" t="s">
        <v>1045</v>
      </c>
      <c r="G247" s="28" t="s">
        <v>427</v>
      </c>
      <c r="H247" s="28" t="s">
        <v>1618</v>
      </c>
      <c r="I247" s="28">
        <v>42.592550000000003</v>
      </c>
      <c r="J247" s="28">
        <v>-83.889930000000007</v>
      </c>
      <c r="L247" s="61">
        <v>110000408265</v>
      </c>
      <c r="M247" s="28" t="s">
        <v>265</v>
      </c>
      <c r="N247" s="28">
        <v>2899</v>
      </c>
      <c r="O247" s="28" t="str">
        <f>IFERROR(VLOOKUP(N247, 'SIC &amp; NAICS Codes'!A:B, 2, FALSE), "")</f>
        <v>Chemicals and Chemical Preparations, NEC (table salt)</v>
      </c>
      <c r="S247" s="28">
        <v>4.5843919999999996E-3</v>
      </c>
      <c r="T247" s="315">
        <f>_xlfn.MAXIFS('Raw Period DMR Data'!$O:$O,'Raw Period DMR Data'!$A:$A,'Raw Annual DMR Data'!B247,'Raw Period DMR Data'!$C:$C,X247)/S247</f>
        <v>0</v>
      </c>
      <c r="U247" s="28" t="str">
        <f>+IF(COUNTIFS('Raw Period DMR Data'!$A:$A,B247, 'Raw Period DMR Data'!C:C,'Raw Annual DMR Data'!X247, 'Raw Period DMR Data'!M:M, "&gt;0")&gt;0,_xlfn.MAXIFS('Raw Period DMR Data'!M:M,'Raw Period DMR Data'!$A:$A,'Raw Annual DMR Data'!B247,'Raw Period DMR Data'!C:C,'Raw Annual DMR Data'!X247), "N/A - Period DMR Data Not Available")</f>
        <v>N/A - Period DMR Data Not Available</v>
      </c>
      <c r="V247" s="28" t="str" cm="1">
        <f t="array" ref="V247">IFERROR(INDEX('Raw Period DMR Data'!N:N,MATCH(1,(B247='Raw Period DMR Data'!$A:$A)*(U247='Raw Period DMR Data'!M:M)*(X247='Raw Period DMR Data'!C:C),0),1), "N/A")</f>
        <v>N/A</v>
      </c>
      <c r="W247" s="28" t="s">
        <v>1463</v>
      </c>
      <c r="X247" s="28" t="s">
        <v>1619</v>
      </c>
      <c r="Y247" s="28" t="s">
        <v>1620</v>
      </c>
      <c r="Z247" s="28">
        <v>4080203000602</v>
      </c>
      <c r="AA247" s="28"/>
      <c r="AB247" s="28" t="s">
        <v>1465</v>
      </c>
      <c r="AC247" s="28" t="s">
        <v>1466</v>
      </c>
    </row>
    <row r="248" spans="1:29" x14ac:dyDescent="0.25">
      <c r="A248" s="61">
        <v>110000575244</v>
      </c>
      <c r="B248" s="28">
        <v>2020</v>
      </c>
      <c r="C248" s="68">
        <f t="shared" si="3"/>
        <v>43831</v>
      </c>
      <c r="D248" s="28" t="s">
        <v>124</v>
      </c>
      <c r="E248" s="28" t="s">
        <v>397</v>
      </c>
      <c r="F248" s="28" t="s">
        <v>398</v>
      </c>
      <c r="G248" s="28" t="s">
        <v>303</v>
      </c>
      <c r="H248" s="28">
        <v>70037</v>
      </c>
      <c r="I248" s="28">
        <v>29.808250000000001</v>
      </c>
      <c r="J248" s="28">
        <v>-90.01</v>
      </c>
      <c r="K248" s="28" t="s">
        <v>399</v>
      </c>
      <c r="L248" s="61">
        <v>110000575244</v>
      </c>
      <c r="M248" s="28" t="s">
        <v>251</v>
      </c>
      <c r="N248" s="28">
        <v>2869</v>
      </c>
      <c r="O248" s="28" t="str">
        <f>IFERROR(VLOOKUP(N248, 'SIC &amp; NAICS Codes'!A:B, 2, FALSE), "")</f>
        <v>Industrial Organic Chemicals, NEC (aliphatics)</v>
      </c>
      <c r="S248" s="28">
        <v>3.1064280387500001E-2</v>
      </c>
      <c r="T248" s="315">
        <f>_xlfn.MAXIFS('Raw Period DMR Data'!$O:$O,'Raw Period DMR Data'!$A:$A,'Raw Annual DMR Data'!B248,'Raw Period DMR Data'!$C:$C,X248)/S248</f>
        <v>0</v>
      </c>
      <c r="U248" s="28" t="str">
        <f>+IF(COUNTIFS('Raw Period DMR Data'!$A:$A,B248, 'Raw Period DMR Data'!C:C,'Raw Annual DMR Data'!X248, 'Raw Period DMR Data'!M:M, "&gt;0")&gt;0,_xlfn.MAXIFS('Raw Period DMR Data'!M:M,'Raw Period DMR Data'!$A:$A,'Raw Annual DMR Data'!B248,'Raw Period DMR Data'!C:C,'Raw Annual DMR Data'!X248), "N/A - Period DMR Data Not Available")</f>
        <v>N/A - Period DMR Data Not Available</v>
      </c>
      <c r="V248" s="28" t="str" cm="1">
        <f t="array" ref="V248">IFERROR(INDEX('Raw Period DMR Data'!N:N,MATCH(1,(B248='Raw Period DMR Data'!$A:$A)*(U248='Raw Period DMR Data'!M:M)*(X248='Raw Period DMR Data'!C:C),0),1), "N/A")</f>
        <v>N/A</v>
      </c>
      <c r="W248" s="28" t="s">
        <v>1463</v>
      </c>
      <c r="X248" s="28" t="s">
        <v>815</v>
      </c>
      <c r="Y248" s="28" t="s">
        <v>816</v>
      </c>
      <c r="Z248" s="61">
        <v>8090301004464</v>
      </c>
    </row>
    <row r="249" spans="1:29" x14ac:dyDescent="0.25">
      <c r="A249" s="61">
        <v>110010062680</v>
      </c>
      <c r="B249" s="28">
        <v>2016</v>
      </c>
      <c r="C249" s="68">
        <f t="shared" si="3"/>
        <v>42370</v>
      </c>
      <c r="D249" s="28" t="s">
        <v>1046</v>
      </c>
      <c r="E249" s="28" t="s">
        <v>1622</v>
      </c>
      <c r="F249" s="28" t="s">
        <v>1047</v>
      </c>
      <c r="G249" s="28" t="s">
        <v>374</v>
      </c>
      <c r="H249" s="28">
        <v>86503</v>
      </c>
      <c r="I249" s="28">
        <v>36.179194000000003</v>
      </c>
      <c r="J249" s="28">
        <v>-109.58580600000001</v>
      </c>
      <c r="L249" s="61">
        <v>110010062680</v>
      </c>
      <c r="M249" s="28" t="s">
        <v>263</v>
      </c>
      <c r="N249" s="28">
        <v>4952</v>
      </c>
      <c r="O249" s="28" t="str">
        <f>IFERROR(VLOOKUP(N249, 'SIC &amp; NAICS Codes'!A:B, 2, FALSE), "")</f>
        <v>Sewerage Systems</v>
      </c>
      <c r="S249" s="28">
        <v>4.1089960000000003</v>
      </c>
      <c r="T249" s="315">
        <f>_xlfn.MAXIFS('Raw Period DMR Data'!$O:$O,'Raw Period DMR Data'!$A:$A,'Raw Annual DMR Data'!B249,'Raw Period DMR Data'!$C:$C,X249)/S249</f>
        <v>0</v>
      </c>
      <c r="U249" s="28" t="str">
        <f>+IF(COUNTIFS('Raw Period DMR Data'!$A:$A,B249, 'Raw Period DMR Data'!C:C,'Raw Annual DMR Data'!X249, 'Raw Period DMR Data'!M:M, "&gt;0")&gt;0,_xlfn.MAXIFS('Raw Period DMR Data'!M:M,'Raw Period DMR Data'!$A:$A,'Raw Annual DMR Data'!B249,'Raw Period DMR Data'!C:C,'Raw Annual DMR Data'!X249), "N/A - Period DMR Data Not Available")</f>
        <v>N/A - Period DMR Data Not Available</v>
      </c>
      <c r="V249" s="28" t="str" cm="1">
        <f t="array" ref="V249">IFERROR(INDEX('Raw Period DMR Data'!N:N,MATCH(1,(B249='Raw Period DMR Data'!$A:$A)*(U249='Raw Period DMR Data'!M:M)*(X249='Raw Period DMR Data'!C:C),0),1), "N/A")</f>
        <v>N/A</v>
      </c>
      <c r="W249" s="28" t="s">
        <v>1463</v>
      </c>
      <c r="X249" s="28" t="s">
        <v>1623</v>
      </c>
      <c r="Y249" s="28" t="s">
        <v>1624</v>
      </c>
      <c r="Z249" s="28">
        <v>14080204000110</v>
      </c>
      <c r="AA249" s="28"/>
      <c r="AB249" s="28" t="s">
        <v>1465</v>
      </c>
      <c r="AC249" s="28" t="s">
        <v>263</v>
      </c>
    </row>
    <row r="250" spans="1:29" x14ac:dyDescent="0.25">
      <c r="A250" s="61">
        <v>110010062680</v>
      </c>
      <c r="B250" s="28">
        <v>2018</v>
      </c>
      <c r="C250" s="68">
        <f t="shared" si="3"/>
        <v>43101</v>
      </c>
      <c r="D250" s="28" t="s">
        <v>1046</v>
      </c>
      <c r="E250" s="28" t="s">
        <v>1622</v>
      </c>
      <c r="F250" s="28" t="s">
        <v>1047</v>
      </c>
      <c r="G250" s="28" t="s">
        <v>374</v>
      </c>
      <c r="H250" s="28">
        <v>86503</v>
      </c>
      <c r="I250" s="28">
        <v>36.179194000000003</v>
      </c>
      <c r="J250" s="28">
        <v>-109.58580600000001</v>
      </c>
      <c r="L250" s="61">
        <v>110010062680</v>
      </c>
      <c r="M250" s="28" t="s">
        <v>263</v>
      </c>
      <c r="N250" s="28">
        <v>4952</v>
      </c>
      <c r="O250" s="28" t="str">
        <f>IFERROR(VLOOKUP(N250, 'SIC &amp; NAICS Codes'!A:B, 2, FALSE), "")</f>
        <v>Sewerage Systems</v>
      </c>
      <c r="S250" s="28">
        <v>0.85419880000000004</v>
      </c>
      <c r="T250" s="315">
        <f>_xlfn.MAXIFS('Raw Period DMR Data'!$O:$O,'Raw Period DMR Data'!$A:$A,'Raw Annual DMR Data'!B250,'Raw Period DMR Data'!$C:$C,X250)/S250</f>
        <v>0</v>
      </c>
      <c r="U250" s="28" t="str">
        <f>+IF(COUNTIFS('Raw Period DMR Data'!$A:$A,B250, 'Raw Period DMR Data'!C:C,'Raw Annual DMR Data'!X250, 'Raw Period DMR Data'!M:M, "&gt;0")&gt;0,_xlfn.MAXIFS('Raw Period DMR Data'!M:M,'Raw Period DMR Data'!$A:$A,'Raw Annual DMR Data'!B250,'Raw Period DMR Data'!C:C,'Raw Annual DMR Data'!X250), "N/A - Period DMR Data Not Available")</f>
        <v>N/A - Period DMR Data Not Available</v>
      </c>
      <c r="V250" s="28" t="str" cm="1">
        <f t="array" ref="V250">IFERROR(INDEX('Raw Period DMR Data'!N:N,MATCH(1,(B250='Raw Period DMR Data'!$A:$A)*(U250='Raw Period DMR Data'!M:M)*(X250='Raw Period DMR Data'!C:C),0),1), "N/A")</f>
        <v>N/A</v>
      </c>
      <c r="W250" s="28" t="s">
        <v>1463</v>
      </c>
      <c r="X250" s="28" t="s">
        <v>1623</v>
      </c>
      <c r="Y250" s="28" t="s">
        <v>1624</v>
      </c>
      <c r="Z250" s="28">
        <v>14080204000110</v>
      </c>
      <c r="AA250" s="28"/>
      <c r="AB250" s="28" t="s">
        <v>1465</v>
      </c>
      <c r="AC250" s="28" t="s">
        <v>263</v>
      </c>
    </row>
    <row r="251" spans="1:29" x14ac:dyDescent="0.25">
      <c r="A251" s="61">
        <v>110064645460</v>
      </c>
      <c r="B251" s="28">
        <v>2015</v>
      </c>
      <c r="C251" s="68">
        <f t="shared" si="3"/>
        <v>42005</v>
      </c>
      <c r="D251" s="28" t="s">
        <v>1048</v>
      </c>
      <c r="E251" s="28" t="s">
        <v>1625</v>
      </c>
      <c r="F251" s="28" t="s">
        <v>1049</v>
      </c>
      <c r="G251" s="28" t="s">
        <v>1050</v>
      </c>
      <c r="H251" s="28">
        <v>59404</v>
      </c>
      <c r="I251" s="28">
        <v>47.52131</v>
      </c>
      <c r="J251" s="28">
        <v>-111.29958000000001</v>
      </c>
      <c r="L251" s="61">
        <v>110064645460</v>
      </c>
      <c r="M251" s="28" t="s">
        <v>263</v>
      </c>
      <c r="N251" s="28">
        <v>4952</v>
      </c>
      <c r="O251" s="28" t="str">
        <f>IFERROR(VLOOKUP(N251, 'SIC &amp; NAICS Codes'!A:B, 2, FALSE), "")</f>
        <v>Sewerage Systems</v>
      </c>
      <c r="S251" s="28">
        <v>3.3097276433333298</v>
      </c>
      <c r="T251" s="315">
        <f>_xlfn.MAXIFS('Raw Period DMR Data'!$O:$O,'Raw Period DMR Data'!$A:$A,'Raw Annual DMR Data'!B251,'Raw Period DMR Data'!$C:$C,X251)/S251</f>
        <v>0</v>
      </c>
      <c r="U251" s="28" t="str">
        <f>+IF(COUNTIFS('Raw Period DMR Data'!$A:$A,B251, 'Raw Period DMR Data'!C:C,'Raw Annual DMR Data'!X251, 'Raw Period DMR Data'!M:M, "&gt;0")&gt;0,_xlfn.MAXIFS('Raw Period DMR Data'!M:M,'Raw Period DMR Data'!$A:$A,'Raw Annual DMR Data'!B251,'Raw Period DMR Data'!C:C,'Raw Annual DMR Data'!X251), "N/A - Period DMR Data Not Available")</f>
        <v>N/A - Period DMR Data Not Available</v>
      </c>
      <c r="V251" s="28" t="str" cm="1">
        <f t="array" ref="V251">IFERROR(INDEX('Raw Period DMR Data'!N:N,MATCH(1,(B251='Raw Period DMR Data'!$A:$A)*(U251='Raw Period DMR Data'!M:M)*(X251='Raw Period DMR Data'!C:C),0),1), "N/A")</f>
        <v>N/A</v>
      </c>
      <c r="W251" s="28" t="s">
        <v>1463</v>
      </c>
      <c r="X251" s="28" t="s">
        <v>1626</v>
      </c>
      <c r="Y251" s="28" t="s">
        <v>1627</v>
      </c>
      <c r="Z251" s="28">
        <v>10030102000105</v>
      </c>
      <c r="AA251" s="28"/>
      <c r="AB251" s="28" t="s">
        <v>1465</v>
      </c>
      <c r="AC251" s="28" t="s">
        <v>1466</v>
      </c>
    </row>
    <row r="252" spans="1:29" x14ac:dyDescent="0.25">
      <c r="A252" s="61">
        <v>110064645460</v>
      </c>
      <c r="B252" s="28">
        <v>2016</v>
      </c>
      <c r="C252" s="68">
        <f t="shared" si="3"/>
        <v>42370</v>
      </c>
      <c r="D252" s="28" t="s">
        <v>1048</v>
      </c>
      <c r="E252" s="28" t="s">
        <v>1625</v>
      </c>
      <c r="F252" s="28" t="s">
        <v>1049</v>
      </c>
      <c r="G252" s="28" t="s">
        <v>1050</v>
      </c>
      <c r="H252" s="28">
        <v>59404</v>
      </c>
      <c r="I252" s="28">
        <v>47.52131</v>
      </c>
      <c r="J252" s="28">
        <v>-111.29958000000001</v>
      </c>
      <c r="L252" s="61">
        <v>110064645460</v>
      </c>
      <c r="M252" s="28" t="s">
        <v>263</v>
      </c>
      <c r="N252" s="28">
        <v>4952</v>
      </c>
      <c r="O252" s="28" t="str">
        <f>IFERROR(VLOOKUP(N252, 'SIC &amp; NAICS Codes'!A:B, 2, FALSE), "")</f>
        <v>Sewerage Systems</v>
      </c>
      <c r="S252" s="28">
        <v>11.51133564</v>
      </c>
      <c r="T252" s="315">
        <f>_xlfn.MAXIFS('Raw Period DMR Data'!$O:$O,'Raw Period DMR Data'!$A:$A,'Raw Annual DMR Data'!B252,'Raw Period DMR Data'!$C:$C,X252)/S252</f>
        <v>0</v>
      </c>
      <c r="U252" s="28" t="str">
        <f>+IF(COUNTIFS('Raw Period DMR Data'!$A:$A,B252, 'Raw Period DMR Data'!C:C,'Raw Annual DMR Data'!X252, 'Raw Period DMR Data'!M:M, "&gt;0")&gt;0,_xlfn.MAXIFS('Raw Period DMR Data'!M:M,'Raw Period DMR Data'!$A:$A,'Raw Annual DMR Data'!B252,'Raw Period DMR Data'!C:C,'Raw Annual DMR Data'!X252), "N/A - Period DMR Data Not Available")</f>
        <v>N/A - Period DMR Data Not Available</v>
      </c>
      <c r="V252" s="28" t="str" cm="1">
        <f t="array" ref="V252">IFERROR(INDEX('Raw Period DMR Data'!N:N,MATCH(1,(B252='Raw Period DMR Data'!$A:$A)*(U252='Raw Period DMR Data'!M:M)*(X252='Raw Period DMR Data'!C:C),0),1), "N/A")</f>
        <v>N/A</v>
      </c>
      <c r="W252" s="28" t="s">
        <v>1463</v>
      </c>
      <c r="X252" s="28" t="s">
        <v>1626</v>
      </c>
      <c r="Y252" s="28" t="s">
        <v>1627</v>
      </c>
      <c r="Z252" s="28">
        <v>10030102000105</v>
      </c>
      <c r="AA252" s="28"/>
      <c r="AB252" s="28" t="s">
        <v>1465</v>
      </c>
      <c r="AC252" s="28" t="s">
        <v>1466</v>
      </c>
    </row>
    <row r="253" spans="1:29" x14ac:dyDescent="0.25">
      <c r="A253" s="61">
        <v>110064645460</v>
      </c>
      <c r="B253" s="28">
        <v>2017</v>
      </c>
      <c r="C253" s="68">
        <f t="shared" si="3"/>
        <v>42736</v>
      </c>
      <c r="D253" s="28" t="s">
        <v>1048</v>
      </c>
      <c r="E253" s="28" t="s">
        <v>1625</v>
      </c>
      <c r="F253" s="28" t="s">
        <v>1049</v>
      </c>
      <c r="G253" s="28" t="s">
        <v>1050</v>
      </c>
      <c r="H253" s="28">
        <v>59404</v>
      </c>
      <c r="I253" s="28">
        <v>47.52131</v>
      </c>
      <c r="J253" s="28">
        <v>-111.29958000000001</v>
      </c>
      <c r="L253" s="61">
        <v>110064645460</v>
      </c>
      <c r="M253" s="28" t="s">
        <v>263</v>
      </c>
      <c r="N253" s="28">
        <v>4952</v>
      </c>
      <c r="O253" s="28" t="str">
        <f>IFERROR(VLOOKUP(N253, 'SIC &amp; NAICS Codes'!A:B, 2, FALSE), "")</f>
        <v>Sewerage Systems</v>
      </c>
      <c r="S253" s="28">
        <v>3.3764575087500002</v>
      </c>
      <c r="T253" s="315">
        <f>_xlfn.MAXIFS('Raw Period DMR Data'!$O:$O,'Raw Period DMR Data'!$A:$A,'Raw Annual DMR Data'!B253,'Raw Period DMR Data'!$C:$C,X253)/S253</f>
        <v>0</v>
      </c>
      <c r="U253" s="28" t="str">
        <f>+IF(COUNTIFS('Raw Period DMR Data'!$A:$A,B253, 'Raw Period DMR Data'!C:C,'Raw Annual DMR Data'!X253, 'Raw Period DMR Data'!M:M, "&gt;0")&gt;0,_xlfn.MAXIFS('Raw Period DMR Data'!M:M,'Raw Period DMR Data'!$A:$A,'Raw Annual DMR Data'!B253,'Raw Period DMR Data'!C:C,'Raw Annual DMR Data'!X253), "N/A - Period DMR Data Not Available")</f>
        <v>N/A - Period DMR Data Not Available</v>
      </c>
      <c r="V253" s="28" t="str" cm="1">
        <f t="array" ref="V253">IFERROR(INDEX('Raw Period DMR Data'!N:N,MATCH(1,(B253='Raw Period DMR Data'!$A:$A)*(U253='Raw Period DMR Data'!M:M)*(X253='Raw Period DMR Data'!C:C),0),1), "N/A")</f>
        <v>N/A</v>
      </c>
      <c r="W253" s="28" t="s">
        <v>1463</v>
      </c>
      <c r="X253" s="28" t="s">
        <v>1626</v>
      </c>
      <c r="Y253" s="28" t="s">
        <v>1627</v>
      </c>
      <c r="Z253" s="28">
        <v>10030102000105</v>
      </c>
      <c r="AA253" s="28"/>
      <c r="AB253" s="28" t="s">
        <v>1465</v>
      </c>
      <c r="AC253" s="28" t="s">
        <v>1466</v>
      </c>
    </row>
    <row r="254" spans="1:29" x14ac:dyDescent="0.25">
      <c r="A254" s="61">
        <v>110064645460</v>
      </c>
      <c r="B254" s="28">
        <v>2018</v>
      </c>
      <c r="C254" s="68">
        <f t="shared" si="3"/>
        <v>43101</v>
      </c>
      <c r="D254" s="28" t="s">
        <v>1048</v>
      </c>
      <c r="E254" s="28" t="s">
        <v>1625</v>
      </c>
      <c r="F254" s="28" t="s">
        <v>1049</v>
      </c>
      <c r="G254" s="28" t="s">
        <v>1050</v>
      </c>
      <c r="H254" s="28">
        <v>59404</v>
      </c>
      <c r="I254" s="28">
        <v>47.52131</v>
      </c>
      <c r="J254" s="28">
        <v>-111.29958000000001</v>
      </c>
      <c r="L254" s="61">
        <v>110064645460</v>
      </c>
      <c r="M254" s="28" t="s">
        <v>263</v>
      </c>
      <c r="N254" s="28">
        <v>4952</v>
      </c>
      <c r="O254" s="28" t="str">
        <f>IFERROR(VLOOKUP(N254, 'SIC &amp; NAICS Codes'!A:B, 2, FALSE), "")</f>
        <v>Sewerage Systems</v>
      </c>
      <c r="S254" s="28">
        <v>3.0390427375</v>
      </c>
      <c r="T254" s="315">
        <f>_xlfn.MAXIFS('Raw Period DMR Data'!$O:$O,'Raw Period DMR Data'!$A:$A,'Raw Annual DMR Data'!B254,'Raw Period DMR Data'!$C:$C,X254)/S254</f>
        <v>0</v>
      </c>
      <c r="U254" s="28" t="str">
        <f>+IF(COUNTIFS('Raw Period DMR Data'!$A:$A,B254, 'Raw Period DMR Data'!C:C,'Raw Annual DMR Data'!X254, 'Raw Period DMR Data'!M:M, "&gt;0")&gt;0,_xlfn.MAXIFS('Raw Period DMR Data'!M:M,'Raw Period DMR Data'!$A:$A,'Raw Annual DMR Data'!B254,'Raw Period DMR Data'!C:C,'Raw Annual DMR Data'!X254), "N/A - Period DMR Data Not Available")</f>
        <v>N/A - Period DMR Data Not Available</v>
      </c>
      <c r="V254" s="28" t="str" cm="1">
        <f t="array" ref="V254">IFERROR(INDEX('Raw Period DMR Data'!N:N,MATCH(1,(B254='Raw Period DMR Data'!$A:$A)*(U254='Raw Period DMR Data'!M:M)*(X254='Raw Period DMR Data'!C:C),0),1), "N/A")</f>
        <v>N/A</v>
      </c>
      <c r="W254" s="28" t="s">
        <v>1463</v>
      </c>
      <c r="X254" s="28" t="s">
        <v>1626</v>
      </c>
      <c r="Y254" s="28" t="s">
        <v>1627</v>
      </c>
      <c r="Z254" s="28">
        <v>10030102000105</v>
      </c>
      <c r="AA254" s="28"/>
      <c r="AB254" s="28" t="s">
        <v>1465</v>
      </c>
      <c r="AC254" s="28" t="s">
        <v>1466</v>
      </c>
    </row>
    <row r="255" spans="1:29" x14ac:dyDescent="0.25">
      <c r="A255" s="61">
        <v>110064645460</v>
      </c>
      <c r="B255" s="28">
        <v>2019</v>
      </c>
      <c r="C255" s="68">
        <f t="shared" si="3"/>
        <v>43466</v>
      </c>
      <c r="D255" s="28" t="s">
        <v>1048</v>
      </c>
      <c r="E255" s="28" t="s">
        <v>1625</v>
      </c>
      <c r="F255" s="28" t="s">
        <v>1049</v>
      </c>
      <c r="G255" s="28" t="s">
        <v>1050</v>
      </c>
      <c r="H255" s="28">
        <v>59404</v>
      </c>
      <c r="I255" s="28">
        <v>47.52131</v>
      </c>
      <c r="J255" s="28">
        <v>-111.29958000000001</v>
      </c>
      <c r="L255" s="61">
        <v>110064645460</v>
      </c>
      <c r="M255" s="28" t="s">
        <v>263</v>
      </c>
      <c r="N255" s="28">
        <v>4952</v>
      </c>
      <c r="O255" s="28" t="str">
        <f>IFERROR(VLOOKUP(N255, 'SIC &amp; NAICS Codes'!A:B, 2, FALSE), "")</f>
        <v>Sewerage Systems</v>
      </c>
      <c r="S255" s="28">
        <v>3.017564755</v>
      </c>
      <c r="T255" s="315">
        <f>_xlfn.MAXIFS('Raw Period DMR Data'!$O:$O,'Raw Period DMR Data'!$A:$A,'Raw Annual DMR Data'!B255,'Raw Period DMR Data'!$C:$C,X255)/S255</f>
        <v>0</v>
      </c>
      <c r="U255" s="28" t="str">
        <f>+IF(COUNTIFS('Raw Period DMR Data'!$A:$A,B255, 'Raw Period DMR Data'!C:C,'Raw Annual DMR Data'!X255, 'Raw Period DMR Data'!M:M, "&gt;0")&gt;0,_xlfn.MAXIFS('Raw Period DMR Data'!M:M,'Raw Period DMR Data'!$A:$A,'Raw Annual DMR Data'!B255,'Raw Period DMR Data'!C:C,'Raw Annual DMR Data'!X255), "N/A - Period DMR Data Not Available")</f>
        <v>N/A - Period DMR Data Not Available</v>
      </c>
      <c r="V255" s="28" t="str" cm="1">
        <f t="array" ref="V255">IFERROR(INDEX('Raw Period DMR Data'!N:N,MATCH(1,(B255='Raw Period DMR Data'!$A:$A)*(U255='Raw Period DMR Data'!M:M)*(X255='Raw Period DMR Data'!C:C),0),1), "N/A")</f>
        <v>N/A</v>
      </c>
      <c r="W255" s="28" t="s">
        <v>1463</v>
      </c>
      <c r="X255" s="28" t="s">
        <v>1626</v>
      </c>
      <c r="Y255" s="28" t="s">
        <v>1627</v>
      </c>
      <c r="Z255" s="28">
        <v>10030102000105</v>
      </c>
      <c r="AA255" s="28"/>
      <c r="AB255" s="28" t="s">
        <v>1465</v>
      </c>
      <c r="AC255" s="28" t="s">
        <v>1466</v>
      </c>
    </row>
    <row r="256" spans="1:29" x14ac:dyDescent="0.25">
      <c r="A256" s="61">
        <v>110022853429</v>
      </c>
      <c r="B256" s="28">
        <v>2016</v>
      </c>
      <c r="C256" s="68">
        <f t="shared" si="3"/>
        <v>42370</v>
      </c>
      <c r="D256" s="28" t="s">
        <v>1051</v>
      </c>
      <c r="E256" s="28" t="s">
        <v>1628</v>
      </c>
      <c r="F256" s="28" t="s">
        <v>1052</v>
      </c>
      <c r="G256" s="28" t="s">
        <v>374</v>
      </c>
      <c r="H256" s="28">
        <v>85296</v>
      </c>
      <c r="I256" s="28">
        <v>33.270409999999998</v>
      </c>
      <c r="J256" s="28">
        <v>-111.73791</v>
      </c>
      <c r="L256" s="61">
        <v>110022853429</v>
      </c>
      <c r="M256" s="28" t="s">
        <v>263</v>
      </c>
      <c r="N256" s="28">
        <v>4952</v>
      </c>
      <c r="O256" s="28" t="str">
        <f>IFERROR(VLOOKUP(N256, 'SIC &amp; NAICS Codes'!A:B, 2, FALSE), "")</f>
        <v>Sewerage Systems</v>
      </c>
      <c r="S256" s="28">
        <v>1.2744568125</v>
      </c>
      <c r="T256" s="315">
        <f>_xlfn.MAXIFS('Raw Period DMR Data'!$O:$O,'Raw Period DMR Data'!$A:$A,'Raw Annual DMR Data'!B256,'Raw Period DMR Data'!$C:$C,X256)/S256</f>
        <v>0</v>
      </c>
      <c r="U256" s="28" t="str">
        <f>+IF(COUNTIFS('Raw Period DMR Data'!$A:$A,B256, 'Raw Period DMR Data'!C:C,'Raw Annual DMR Data'!X256, 'Raw Period DMR Data'!M:M, "&gt;0")&gt;0,_xlfn.MAXIFS('Raw Period DMR Data'!M:M,'Raw Period DMR Data'!$A:$A,'Raw Annual DMR Data'!B256,'Raw Period DMR Data'!C:C,'Raw Annual DMR Data'!X256), "N/A - Period DMR Data Not Available")</f>
        <v>N/A - Period DMR Data Not Available</v>
      </c>
      <c r="V256" s="28" t="str" cm="1">
        <f t="array" ref="V256">IFERROR(INDEX('Raw Period DMR Data'!N:N,MATCH(1,(B256='Raw Period DMR Data'!$A:$A)*(U256='Raw Period DMR Data'!M:M)*(X256='Raw Period DMR Data'!C:C),0),1), "N/A")</f>
        <v>N/A</v>
      </c>
      <c r="W256" s="28" t="s">
        <v>1463</v>
      </c>
      <c r="X256" s="28" t="s">
        <v>1629</v>
      </c>
      <c r="Z256" s="28">
        <v>15030101001352</v>
      </c>
      <c r="AA256" s="28"/>
      <c r="AB256" s="28" t="s">
        <v>1465</v>
      </c>
      <c r="AC256" s="28" t="s">
        <v>263</v>
      </c>
    </row>
    <row r="257" spans="1:29" x14ac:dyDescent="0.25">
      <c r="A257" s="61">
        <v>110015317423</v>
      </c>
      <c r="B257" s="28">
        <v>2015</v>
      </c>
      <c r="C257" s="68">
        <f t="shared" si="3"/>
        <v>42005</v>
      </c>
      <c r="D257" s="28" t="s">
        <v>1053</v>
      </c>
      <c r="E257" s="28" t="s">
        <v>1630</v>
      </c>
      <c r="F257" s="28" t="s">
        <v>1054</v>
      </c>
      <c r="G257" s="28" t="s">
        <v>374</v>
      </c>
      <c r="H257" s="28">
        <v>85383</v>
      </c>
      <c r="I257" s="28">
        <v>33.726889999999997</v>
      </c>
      <c r="J257" s="28">
        <v>-112.33074000000001</v>
      </c>
      <c r="L257" s="61">
        <v>110015317423</v>
      </c>
      <c r="M257" s="28" t="s">
        <v>263</v>
      </c>
      <c r="N257" s="28">
        <v>4952</v>
      </c>
      <c r="O257" s="28" t="str">
        <f>IFERROR(VLOOKUP(N257, 'SIC &amp; NAICS Codes'!A:B, 2, FALSE), "")</f>
        <v>Sewerage Systems</v>
      </c>
      <c r="S257" s="28">
        <v>0.5360317</v>
      </c>
      <c r="T257" s="315">
        <f>_xlfn.MAXIFS('Raw Period DMR Data'!$O:$O,'Raw Period DMR Data'!$A:$A,'Raw Annual DMR Data'!B257,'Raw Period DMR Data'!$C:$C,X257)/S257</f>
        <v>0</v>
      </c>
      <c r="U257" s="28" t="str">
        <f>+IF(COUNTIFS('Raw Period DMR Data'!$A:$A,B257, 'Raw Period DMR Data'!C:C,'Raw Annual DMR Data'!X257, 'Raw Period DMR Data'!M:M, "&gt;0")&gt;0,_xlfn.MAXIFS('Raw Period DMR Data'!M:M,'Raw Period DMR Data'!$A:$A,'Raw Annual DMR Data'!B257,'Raw Period DMR Data'!C:C,'Raw Annual DMR Data'!X257), "N/A - Period DMR Data Not Available")</f>
        <v>N/A - Period DMR Data Not Available</v>
      </c>
      <c r="V257" s="28" t="str" cm="1">
        <f t="array" ref="V257">IFERROR(INDEX('Raw Period DMR Data'!N:N,MATCH(1,(B257='Raw Period DMR Data'!$A:$A)*(U257='Raw Period DMR Data'!M:M)*(X257='Raw Period DMR Data'!C:C),0),1), "N/A")</f>
        <v>N/A</v>
      </c>
      <c r="W257" s="28" t="s">
        <v>1463</v>
      </c>
      <c r="X257" s="28" t="s">
        <v>1631</v>
      </c>
      <c r="Z257" s="28">
        <v>15030104003460</v>
      </c>
      <c r="AA257" s="28"/>
      <c r="AB257" s="28" t="s">
        <v>1465</v>
      </c>
      <c r="AC257" s="28" t="s">
        <v>263</v>
      </c>
    </row>
    <row r="258" spans="1:29" x14ac:dyDescent="0.25">
      <c r="A258" s="61">
        <v>110015317423</v>
      </c>
      <c r="B258" s="28">
        <v>2016</v>
      </c>
      <c r="C258" s="68">
        <f t="shared" si="3"/>
        <v>42370</v>
      </c>
      <c r="D258" s="28" t="s">
        <v>1053</v>
      </c>
      <c r="E258" s="28" t="s">
        <v>1630</v>
      </c>
      <c r="F258" s="28" t="s">
        <v>1054</v>
      </c>
      <c r="G258" s="28" t="s">
        <v>374</v>
      </c>
      <c r="H258" s="28">
        <v>85383</v>
      </c>
      <c r="I258" s="28">
        <v>33.726889999999997</v>
      </c>
      <c r="J258" s="28">
        <v>-112.33074000000001</v>
      </c>
      <c r="L258" s="61">
        <v>110015317423</v>
      </c>
      <c r="M258" s="28" t="s">
        <v>263</v>
      </c>
      <c r="N258" s="28">
        <v>4952</v>
      </c>
      <c r="O258" s="28" t="str">
        <f>IFERROR(VLOOKUP(N258, 'SIC &amp; NAICS Codes'!A:B, 2, FALSE), "")</f>
        <v>Sewerage Systems</v>
      </c>
      <c r="S258" s="28">
        <v>1.009894775</v>
      </c>
      <c r="T258" s="315">
        <f>_xlfn.MAXIFS('Raw Period DMR Data'!$O:$O,'Raw Period DMR Data'!$A:$A,'Raw Annual DMR Data'!B258,'Raw Period DMR Data'!$C:$C,X258)/S258</f>
        <v>0</v>
      </c>
      <c r="U258" s="28" t="str">
        <f>+IF(COUNTIFS('Raw Period DMR Data'!$A:$A,B258, 'Raw Period DMR Data'!C:C,'Raw Annual DMR Data'!X258, 'Raw Period DMR Data'!M:M, "&gt;0")&gt;0,_xlfn.MAXIFS('Raw Period DMR Data'!M:M,'Raw Period DMR Data'!$A:$A,'Raw Annual DMR Data'!B258,'Raw Period DMR Data'!C:C,'Raw Annual DMR Data'!X258), "N/A - Period DMR Data Not Available")</f>
        <v>N/A - Period DMR Data Not Available</v>
      </c>
      <c r="V258" s="28" t="str" cm="1">
        <f t="array" ref="V258">IFERROR(INDEX('Raw Period DMR Data'!N:N,MATCH(1,(B258='Raw Period DMR Data'!$A:$A)*(U258='Raw Period DMR Data'!M:M)*(X258='Raw Period DMR Data'!C:C),0),1), "N/A")</f>
        <v>N/A</v>
      </c>
      <c r="W258" s="28" t="s">
        <v>1463</v>
      </c>
      <c r="X258" s="28" t="s">
        <v>1631</v>
      </c>
      <c r="Z258" s="28">
        <v>15030104003460</v>
      </c>
      <c r="AA258" s="28"/>
      <c r="AB258" s="28" t="s">
        <v>1465</v>
      </c>
      <c r="AC258" s="28" t="s">
        <v>263</v>
      </c>
    </row>
    <row r="259" spans="1:29" x14ac:dyDescent="0.25">
      <c r="A259" s="61">
        <v>110015317423</v>
      </c>
      <c r="B259" s="28">
        <v>2018</v>
      </c>
      <c r="C259" s="68">
        <f t="shared" ref="C259:C322" si="4">DATE(B259, 1, 1)</f>
        <v>43101</v>
      </c>
      <c r="D259" s="28" t="s">
        <v>1053</v>
      </c>
      <c r="E259" s="28" t="s">
        <v>1630</v>
      </c>
      <c r="F259" s="28" t="s">
        <v>1054</v>
      </c>
      <c r="G259" s="28" t="s">
        <v>374</v>
      </c>
      <c r="H259" s="28">
        <v>85383</v>
      </c>
      <c r="I259" s="28">
        <v>33.726889999999997</v>
      </c>
      <c r="J259" s="28">
        <v>-112.33074000000001</v>
      </c>
      <c r="L259" s="61">
        <v>110015317423</v>
      </c>
      <c r="M259" s="28" t="s">
        <v>263</v>
      </c>
      <c r="N259" s="28">
        <v>4952</v>
      </c>
      <c r="O259" s="28" t="str">
        <f>IFERROR(VLOOKUP(N259, 'SIC &amp; NAICS Codes'!A:B, 2, FALSE), "")</f>
        <v>Sewerage Systems</v>
      </c>
      <c r="S259" s="28">
        <v>1.183966925</v>
      </c>
      <c r="T259" s="315">
        <f>_xlfn.MAXIFS('Raw Period DMR Data'!$O:$O,'Raw Period DMR Data'!$A:$A,'Raw Annual DMR Data'!B259,'Raw Period DMR Data'!$C:$C,X259)/S259</f>
        <v>0</v>
      </c>
      <c r="U259" s="28" t="str">
        <f>+IF(COUNTIFS('Raw Period DMR Data'!$A:$A,B259, 'Raw Period DMR Data'!C:C,'Raw Annual DMR Data'!X259, 'Raw Period DMR Data'!M:M, "&gt;0")&gt;0,_xlfn.MAXIFS('Raw Period DMR Data'!M:M,'Raw Period DMR Data'!$A:$A,'Raw Annual DMR Data'!B259,'Raw Period DMR Data'!C:C,'Raw Annual DMR Data'!X259), "N/A - Period DMR Data Not Available")</f>
        <v>N/A - Period DMR Data Not Available</v>
      </c>
      <c r="V259" s="28" t="str" cm="1">
        <f t="array" ref="V259">IFERROR(INDEX('Raw Period DMR Data'!N:N,MATCH(1,(B259='Raw Period DMR Data'!$A:$A)*(U259='Raw Period DMR Data'!M:M)*(X259='Raw Period DMR Data'!C:C),0),1), "N/A")</f>
        <v>N/A</v>
      </c>
      <c r="W259" s="28" t="s">
        <v>1463</v>
      </c>
      <c r="X259" s="28" t="s">
        <v>1631</v>
      </c>
      <c r="Z259" s="28">
        <v>15030104003460</v>
      </c>
      <c r="AA259" s="28"/>
      <c r="AB259" s="28" t="s">
        <v>1465</v>
      </c>
      <c r="AC259" s="28" t="s">
        <v>263</v>
      </c>
    </row>
    <row r="260" spans="1:29" x14ac:dyDescent="0.25">
      <c r="A260" s="61">
        <v>110009066278</v>
      </c>
      <c r="B260" s="28">
        <v>2016</v>
      </c>
      <c r="C260" s="68">
        <f t="shared" si="4"/>
        <v>42370</v>
      </c>
      <c r="D260" s="28" t="s">
        <v>1055</v>
      </c>
      <c r="E260" s="28" t="s">
        <v>1632</v>
      </c>
      <c r="F260" s="28" t="s">
        <v>962</v>
      </c>
      <c r="G260" s="28" t="s">
        <v>374</v>
      </c>
      <c r="H260" s="28" t="s">
        <v>1633</v>
      </c>
      <c r="I260" s="28">
        <v>33.448250000000002</v>
      </c>
      <c r="J260" s="28">
        <v>-112.07706</v>
      </c>
      <c r="L260" s="61">
        <v>110009066278</v>
      </c>
      <c r="M260" s="28" t="s">
        <v>264</v>
      </c>
      <c r="N260" s="28">
        <v>4941</v>
      </c>
      <c r="O260" s="28" t="str">
        <f>IFERROR(VLOOKUP(N260, 'SIC &amp; NAICS Codes'!A:B, 2, FALSE), "")</f>
        <v>Water Supply</v>
      </c>
      <c r="S260" s="28">
        <v>4.4761410000000003E-3</v>
      </c>
      <c r="T260" s="315">
        <f>_xlfn.MAXIFS('Raw Period DMR Data'!$O:$O,'Raw Period DMR Data'!$A:$A,'Raw Annual DMR Data'!B260,'Raw Period DMR Data'!$C:$C,X260)/S260</f>
        <v>0</v>
      </c>
      <c r="U260" s="28" t="str">
        <f>+IF(COUNTIFS('Raw Period DMR Data'!$A:$A,B260, 'Raw Period DMR Data'!C:C,'Raw Annual DMR Data'!X260, 'Raw Period DMR Data'!M:M, "&gt;0")&gt;0,_xlfn.MAXIFS('Raw Period DMR Data'!M:M,'Raw Period DMR Data'!$A:$A,'Raw Annual DMR Data'!B260,'Raw Period DMR Data'!C:C,'Raw Annual DMR Data'!X260), "N/A - Period DMR Data Not Available")</f>
        <v>N/A - Period DMR Data Not Available</v>
      </c>
      <c r="V260" s="28" t="str" cm="1">
        <f t="array" ref="V260">IFERROR(INDEX('Raw Period DMR Data'!N:N,MATCH(1,(B260='Raw Period DMR Data'!$A:$A)*(U260='Raw Period DMR Data'!M:M)*(X260='Raw Period DMR Data'!C:C),0),1), "N/A")</f>
        <v>N/A</v>
      </c>
      <c r="W260" s="28" t="s">
        <v>1463</v>
      </c>
      <c r="X260" s="28" t="s">
        <v>1634</v>
      </c>
      <c r="Z260" s="28">
        <v>15050100002987</v>
      </c>
      <c r="AA260" s="28"/>
      <c r="AB260" s="28" t="s">
        <v>1465</v>
      </c>
      <c r="AC260" s="28" t="s">
        <v>1466</v>
      </c>
    </row>
    <row r="261" spans="1:29" x14ac:dyDescent="0.25">
      <c r="A261" s="61">
        <v>110009066278</v>
      </c>
      <c r="B261" s="28">
        <v>2016</v>
      </c>
      <c r="C261" s="68">
        <f t="shared" si="4"/>
        <v>42370</v>
      </c>
      <c r="D261" s="28" t="s">
        <v>1055</v>
      </c>
      <c r="E261" s="28" t="s">
        <v>1632</v>
      </c>
      <c r="F261" s="28" t="s">
        <v>962</v>
      </c>
      <c r="G261" s="28" t="s">
        <v>374</v>
      </c>
      <c r="H261" s="28" t="s">
        <v>1633</v>
      </c>
      <c r="I261" s="28">
        <v>33.448250000000002</v>
      </c>
      <c r="J261" s="28">
        <v>-112.07706</v>
      </c>
      <c r="L261" s="61">
        <v>110009066278</v>
      </c>
      <c r="M261" s="28" t="s">
        <v>264</v>
      </c>
      <c r="N261" s="28">
        <v>4941</v>
      </c>
      <c r="O261" s="28" t="str">
        <f>IFERROR(VLOOKUP(N261, 'SIC &amp; NAICS Codes'!A:B, 2, FALSE), "")</f>
        <v>Water Supply</v>
      </c>
      <c r="S261" s="28">
        <v>2.6359496999999999E-2</v>
      </c>
      <c r="T261" s="315">
        <f>_xlfn.MAXIFS('Raw Period DMR Data'!$O:$O,'Raw Period DMR Data'!$A:$A,'Raw Annual DMR Data'!B261,'Raw Period DMR Data'!$C:$C,X261)/S261</f>
        <v>0</v>
      </c>
      <c r="U261" s="28" t="str">
        <f>+IF(COUNTIFS('Raw Period DMR Data'!$A:$A,B261, 'Raw Period DMR Data'!C:C,'Raw Annual DMR Data'!X261, 'Raw Period DMR Data'!M:M, "&gt;0")&gt;0,_xlfn.MAXIFS('Raw Period DMR Data'!M:M,'Raw Period DMR Data'!$A:$A,'Raw Annual DMR Data'!B261,'Raw Period DMR Data'!C:C,'Raw Annual DMR Data'!X261), "N/A - Period DMR Data Not Available")</f>
        <v>N/A - Period DMR Data Not Available</v>
      </c>
      <c r="V261" s="28" t="str" cm="1">
        <f t="array" ref="V261">IFERROR(INDEX('Raw Period DMR Data'!N:N,MATCH(1,(B261='Raw Period DMR Data'!$A:$A)*(U261='Raw Period DMR Data'!M:M)*(X261='Raw Period DMR Data'!C:C),0),1), "N/A")</f>
        <v>N/A</v>
      </c>
      <c r="W261" s="28" t="s">
        <v>1463</v>
      </c>
      <c r="X261" s="28" t="s">
        <v>1634</v>
      </c>
      <c r="Z261" s="28">
        <v>15050100002987</v>
      </c>
      <c r="AA261" s="28"/>
      <c r="AB261" s="28" t="s">
        <v>1465</v>
      </c>
      <c r="AC261" s="28" t="s">
        <v>1466</v>
      </c>
    </row>
    <row r="262" spans="1:29" x14ac:dyDescent="0.25">
      <c r="A262" s="61">
        <v>110009066278</v>
      </c>
      <c r="B262" s="28">
        <v>2016</v>
      </c>
      <c r="C262" s="68">
        <f t="shared" si="4"/>
        <v>42370</v>
      </c>
      <c r="D262" s="28" t="s">
        <v>1055</v>
      </c>
      <c r="E262" s="28" t="s">
        <v>1632</v>
      </c>
      <c r="F262" s="28" t="s">
        <v>962</v>
      </c>
      <c r="G262" s="28" t="s">
        <v>374</v>
      </c>
      <c r="H262" s="28" t="s">
        <v>1633</v>
      </c>
      <c r="I262" s="28">
        <v>33.448250000000002</v>
      </c>
      <c r="J262" s="28">
        <v>-112.07706</v>
      </c>
      <c r="L262" s="61">
        <v>110009066278</v>
      </c>
      <c r="M262" s="28" t="s">
        <v>264</v>
      </c>
      <c r="N262" s="28">
        <v>4941</v>
      </c>
      <c r="O262" s="28" t="str">
        <f>IFERROR(VLOOKUP(N262, 'SIC &amp; NAICS Codes'!A:B, 2, FALSE), "")</f>
        <v>Water Supply</v>
      </c>
      <c r="S262" s="28">
        <v>1.255806225E-2</v>
      </c>
      <c r="T262" s="315">
        <f>_xlfn.MAXIFS('Raw Period DMR Data'!$O:$O,'Raw Period DMR Data'!$A:$A,'Raw Annual DMR Data'!B262,'Raw Period DMR Data'!$C:$C,X262)/S262</f>
        <v>0</v>
      </c>
      <c r="U262" s="28" t="str">
        <f>+IF(COUNTIFS('Raw Period DMR Data'!$A:$A,B262, 'Raw Period DMR Data'!C:C,'Raw Annual DMR Data'!X262, 'Raw Period DMR Data'!M:M, "&gt;0")&gt;0,_xlfn.MAXIFS('Raw Period DMR Data'!M:M,'Raw Period DMR Data'!$A:$A,'Raw Annual DMR Data'!B262,'Raw Period DMR Data'!C:C,'Raw Annual DMR Data'!X262), "N/A - Period DMR Data Not Available")</f>
        <v>N/A - Period DMR Data Not Available</v>
      </c>
      <c r="V262" s="28" t="str" cm="1">
        <f t="array" ref="V262">IFERROR(INDEX('Raw Period DMR Data'!N:N,MATCH(1,(B262='Raw Period DMR Data'!$A:$A)*(U262='Raw Period DMR Data'!M:M)*(X262='Raw Period DMR Data'!C:C),0),1), "N/A")</f>
        <v>N/A</v>
      </c>
      <c r="W262" s="28" t="s">
        <v>1463</v>
      </c>
      <c r="X262" s="28" t="s">
        <v>1634</v>
      </c>
      <c r="Z262" s="28">
        <v>15050100002987</v>
      </c>
      <c r="AA262" s="28"/>
      <c r="AB262" s="28" t="s">
        <v>1465</v>
      </c>
      <c r="AC262" s="28" t="s">
        <v>1466</v>
      </c>
    </row>
    <row r="263" spans="1:29" x14ac:dyDescent="0.25">
      <c r="A263" s="61">
        <v>110000730745</v>
      </c>
      <c r="B263" s="28">
        <v>2020</v>
      </c>
      <c r="C263" s="68">
        <f t="shared" si="4"/>
        <v>43831</v>
      </c>
      <c r="D263" s="28" t="s">
        <v>125</v>
      </c>
      <c r="E263" s="28" t="s">
        <v>403</v>
      </c>
      <c r="F263" s="28" t="s">
        <v>404</v>
      </c>
      <c r="G263" s="28" t="s">
        <v>366</v>
      </c>
      <c r="H263" s="28" t="s">
        <v>405</v>
      </c>
      <c r="I263" s="28">
        <v>40.162275000000001</v>
      </c>
      <c r="J263" s="28">
        <v>-122.221378</v>
      </c>
      <c r="L263" s="61">
        <v>110000730745</v>
      </c>
      <c r="M263" s="28" t="s">
        <v>263</v>
      </c>
      <c r="N263" s="28">
        <v>4952</v>
      </c>
      <c r="O263" s="28" t="str">
        <f>IFERROR(VLOOKUP(N263, 'SIC &amp; NAICS Codes'!A:B, 2, FALSE), "")</f>
        <v>Sewerage Systems</v>
      </c>
      <c r="S263" s="28">
        <v>7.5215519999999997E-4</v>
      </c>
      <c r="T263" s="315">
        <f>_xlfn.MAXIFS('Raw Period DMR Data'!$O:$O,'Raw Period DMR Data'!$A:$A,'Raw Annual DMR Data'!B263,'Raw Period DMR Data'!$C:$C,X263)/S263</f>
        <v>0</v>
      </c>
      <c r="U263" s="28" t="str">
        <f>+IF(COUNTIFS('Raw Period DMR Data'!$A:$A,B263, 'Raw Period DMR Data'!C:C,'Raw Annual DMR Data'!X263, 'Raw Period DMR Data'!M:M, "&gt;0")&gt;0,_xlfn.MAXIFS('Raw Period DMR Data'!M:M,'Raw Period DMR Data'!$A:$A,'Raw Annual DMR Data'!B263,'Raw Period DMR Data'!C:C,'Raw Annual DMR Data'!X263), "N/A - Period DMR Data Not Available")</f>
        <v>N/A - Period DMR Data Not Available</v>
      </c>
      <c r="V263" s="28" t="str" cm="1">
        <f t="array" ref="V263">IFERROR(INDEX('Raw Period DMR Data'!N:N,MATCH(1,(B263='Raw Period DMR Data'!$A:$A)*(U263='Raw Period DMR Data'!M:M)*(X263='Raw Period DMR Data'!C:C),0),1), "N/A")</f>
        <v>N/A</v>
      </c>
      <c r="W263" s="28" t="s">
        <v>1463</v>
      </c>
      <c r="X263" s="28" t="s">
        <v>817</v>
      </c>
      <c r="Y263" s="28" t="s">
        <v>818</v>
      </c>
      <c r="Z263" s="61">
        <v>18020155005966</v>
      </c>
    </row>
    <row r="264" spans="1:29" x14ac:dyDescent="0.25">
      <c r="A264" s="61">
        <v>110000730745</v>
      </c>
      <c r="B264" s="28">
        <v>2020</v>
      </c>
      <c r="C264" s="68">
        <f t="shared" si="4"/>
        <v>43831</v>
      </c>
      <c r="D264" s="28" t="s">
        <v>125</v>
      </c>
      <c r="E264" s="28" t="s">
        <v>403</v>
      </c>
      <c r="F264" s="28" t="s">
        <v>404</v>
      </c>
      <c r="G264" s="28" t="s">
        <v>366</v>
      </c>
      <c r="H264" s="28" t="s">
        <v>405</v>
      </c>
      <c r="I264" s="28">
        <v>40.162275000000001</v>
      </c>
      <c r="J264" s="28">
        <v>-122.221378</v>
      </c>
      <c r="L264" s="61">
        <v>110000730745</v>
      </c>
      <c r="M264" s="28" t="s">
        <v>263</v>
      </c>
      <c r="N264" s="28">
        <v>4952</v>
      </c>
      <c r="O264" s="28" t="str">
        <f>IFERROR(VLOOKUP(N264, 'SIC &amp; NAICS Codes'!A:B, 2, FALSE), "")</f>
        <v>Sewerage Systems</v>
      </c>
      <c r="S264" s="28">
        <v>1.1003752000000001E-3</v>
      </c>
      <c r="T264" s="315">
        <f>_xlfn.MAXIFS('Raw Period DMR Data'!$O:$O,'Raw Period DMR Data'!$A:$A,'Raw Annual DMR Data'!B264,'Raw Period DMR Data'!$C:$C,X264)/S264</f>
        <v>0</v>
      </c>
      <c r="U264" s="28" t="str">
        <f>+IF(COUNTIFS('Raw Period DMR Data'!$A:$A,B264, 'Raw Period DMR Data'!C:C,'Raw Annual DMR Data'!X264, 'Raw Period DMR Data'!M:M, "&gt;0")&gt;0,_xlfn.MAXIFS('Raw Period DMR Data'!M:M,'Raw Period DMR Data'!$A:$A,'Raw Annual DMR Data'!B264,'Raw Period DMR Data'!C:C,'Raw Annual DMR Data'!X264), "N/A - Period DMR Data Not Available")</f>
        <v>N/A - Period DMR Data Not Available</v>
      </c>
      <c r="V264" s="28" t="str" cm="1">
        <f t="array" ref="V264">IFERROR(INDEX('Raw Period DMR Data'!N:N,MATCH(1,(B264='Raw Period DMR Data'!$A:$A)*(U264='Raw Period DMR Data'!M:M)*(X264='Raw Period DMR Data'!C:C),0),1), "N/A")</f>
        <v>N/A</v>
      </c>
      <c r="W264" s="28" t="s">
        <v>1463</v>
      </c>
      <c r="X264" s="28" t="s">
        <v>817</v>
      </c>
      <c r="Y264" s="28" t="s">
        <v>818</v>
      </c>
      <c r="Z264" s="28">
        <v>18020155005966</v>
      </c>
      <c r="AA264" s="28"/>
      <c r="AB264" s="28" t="s">
        <v>1465</v>
      </c>
      <c r="AC264" s="28" t="s">
        <v>263</v>
      </c>
    </row>
    <row r="265" spans="1:29" x14ac:dyDescent="0.25">
      <c r="A265" s="61">
        <v>110012330520</v>
      </c>
      <c r="B265" s="28">
        <v>2020</v>
      </c>
      <c r="C265" s="68">
        <f t="shared" si="4"/>
        <v>43831</v>
      </c>
      <c r="D265" s="28" t="s">
        <v>126</v>
      </c>
      <c r="E265" s="28" t="s">
        <v>406</v>
      </c>
      <c r="F265" s="28" t="s">
        <v>407</v>
      </c>
      <c r="G265" s="28" t="s">
        <v>374</v>
      </c>
      <c r="H265" s="28">
        <v>85546</v>
      </c>
      <c r="I265" s="28">
        <v>32.802</v>
      </c>
      <c r="J265" s="28">
        <v>-109.711</v>
      </c>
      <c r="L265" s="61">
        <v>110012330520</v>
      </c>
      <c r="M265" s="28" t="s">
        <v>263</v>
      </c>
      <c r="O265" s="28" t="str">
        <f>IFERROR(VLOOKUP(N265, 'SIC &amp; NAICS Codes'!A:B, 2, FALSE), "")</f>
        <v/>
      </c>
      <c r="S265" s="28">
        <v>0.283212625</v>
      </c>
      <c r="T265" s="315">
        <f>_xlfn.MAXIFS('Raw Period DMR Data'!$O:$O,'Raw Period DMR Data'!$A:$A,'Raw Annual DMR Data'!B265,'Raw Period DMR Data'!$C:$C,X265)/S265</f>
        <v>0</v>
      </c>
      <c r="U265" s="28" t="str">
        <f>+IF(COUNTIFS('Raw Period DMR Data'!$A:$A,B265, 'Raw Period DMR Data'!C:C,'Raw Annual DMR Data'!X265, 'Raw Period DMR Data'!M:M, "&gt;0")&gt;0,_xlfn.MAXIFS('Raw Period DMR Data'!M:M,'Raw Period DMR Data'!$A:$A,'Raw Annual DMR Data'!B265,'Raw Period DMR Data'!C:C,'Raw Annual DMR Data'!X265), "N/A - Period DMR Data Not Available")</f>
        <v>N/A - Period DMR Data Not Available</v>
      </c>
      <c r="V265" s="28" t="str" cm="1">
        <f t="array" ref="V265">IFERROR(INDEX('Raw Period DMR Data'!N:N,MATCH(1,(B265='Raw Period DMR Data'!$A:$A)*(U265='Raw Period DMR Data'!M:M)*(X265='Raw Period DMR Data'!C:C),0),1), "N/A")</f>
        <v>N/A</v>
      </c>
      <c r="W265" s="28" t="s">
        <v>1463</v>
      </c>
      <c r="X265" s="28" t="s">
        <v>819</v>
      </c>
      <c r="Z265" s="61">
        <v>15050100023719</v>
      </c>
    </row>
    <row r="266" spans="1:29" x14ac:dyDescent="0.25">
      <c r="A266" s="61">
        <v>110006785149</v>
      </c>
      <c r="B266" s="28">
        <v>2015</v>
      </c>
      <c r="C266" s="68">
        <f t="shared" si="4"/>
        <v>42005</v>
      </c>
      <c r="D266" s="28" t="s">
        <v>1056</v>
      </c>
      <c r="E266" s="28" t="s">
        <v>1635</v>
      </c>
      <c r="F266" s="28" t="s">
        <v>1057</v>
      </c>
      <c r="G266" s="28" t="s">
        <v>374</v>
      </c>
      <c r="H266" s="28">
        <v>85901</v>
      </c>
      <c r="I266" s="28">
        <v>34.26126</v>
      </c>
      <c r="J266" s="28">
        <v>-110.03482</v>
      </c>
      <c r="L266" s="61">
        <v>110006785149</v>
      </c>
      <c r="M266" s="28" t="s">
        <v>263</v>
      </c>
      <c r="N266" s="28">
        <v>4952</v>
      </c>
      <c r="O266" s="28" t="str">
        <f>IFERROR(VLOOKUP(N266, 'SIC &amp; NAICS Codes'!A:B, 2, FALSE), "")</f>
        <v>Sewerage Systems</v>
      </c>
      <c r="S266" s="28">
        <v>3.9718843750000001</v>
      </c>
      <c r="T266" s="315">
        <f>_xlfn.MAXIFS('Raw Period DMR Data'!$O:$O,'Raw Period DMR Data'!$A:$A,'Raw Annual DMR Data'!B266,'Raw Period DMR Data'!$C:$C,X266)/S266</f>
        <v>0</v>
      </c>
      <c r="U266" s="28" t="str">
        <f>+IF(COUNTIFS('Raw Period DMR Data'!$A:$A,B266, 'Raw Period DMR Data'!C:C,'Raw Annual DMR Data'!X266, 'Raw Period DMR Data'!M:M, "&gt;0")&gt;0,_xlfn.MAXIFS('Raw Period DMR Data'!M:M,'Raw Period DMR Data'!$A:$A,'Raw Annual DMR Data'!B266,'Raw Period DMR Data'!C:C,'Raw Annual DMR Data'!X266), "N/A - Period DMR Data Not Available")</f>
        <v>N/A - Period DMR Data Not Available</v>
      </c>
      <c r="V266" s="28" t="str" cm="1">
        <f t="array" ref="V266">IFERROR(INDEX('Raw Period DMR Data'!N:N,MATCH(1,(B266='Raw Period DMR Data'!$A:$A)*(U266='Raw Period DMR Data'!M:M)*(X266='Raw Period DMR Data'!C:C),0),1), "N/A")</f>
        <v>N/A</v>
      </c>
      <c r="W266" s="28" t="s">
        <v>1463</v>
      </c>
      <c r="X266" s="28" t="s">
        <v>1636</v>
      </c>
      <c r="Y266" s="28" t="s">
        <v>1637</v>
      </c>
      <c r="Z266" s="28">
        <v>15020005000364</v>
      </c>
      <c r="AA266" s="28"/>
      <c r="AB266" s="28" t="s">
        <v>1465</v>
      </c>
      <c r="AC266" s="28" t="s">
        <v>263</v>
      </c>
    </row>
    <row r="267" spans="1:29" x14ac:dyDescent="0.25">
      <c r="A267" s="61">
        <v>110006785149</v>
      </c>
      <c r="B267" s="28">
        <v>2016</v>
      </c>
      <c r="C267" s="68">
        <f t="shared" si="4"/>
        <v>42370</v>
      </c>
      <c r="D267" s="28" t="s">
        <v>1056</v>
      </c>
      <c r="E267" s="28" t="s">
        <v>1635</v>
      </c>
      <c r="F267" s="28" t="s">
        <v>1057</v>
      </c>
      <c r="G267" s="28" t="s">
        <v>374</v>
      </c>
      <c r="H267" s="28">
        <v>85901</v>
      </c>
      <c r="I267" s="28">
        <v>34.26126</v>
      </c>
      <c r="J267" s="28">
        <v>-110.03482</v>
      </c>
      <c r="L267" s="61">
        <v>110006785149</v>
      </c>
      <c r="M267" s="28" t="s">
        <v>263</v>
      </c>
      <c r="N267" s="28">
        <v>4952</v>
      </c>
      <c r="O267" s="28" t="str">
        <f>IFERROR(VLOOKUP(N267, 'SIC &amp; NAICS Codes'!A:B, 2, FALSE), "")</f>
        <v>Sewerage Systems</v>
      </c>
      <c r="S267" s="28">
        <v>1.5749385</v>
      </c>
      <c r="T267" s="315">
        <f>_xlfn.MAXIFS('Raw Period DMR Data'!$O:$O,'Raw Period DMR Data'!$A:$A,'Raw Annual DMR Data'!B267,'Raw Period DMR Data'!$C:$C,X267)/S267</f>
        <v>0</v>
      </c>
      <c r="U267" s="28" t="str">
        <f>+IF(COUNTIFS('Raw Period DMR Data'!$A:$A,B267, 'Raw Period DMR Data'!C:C,'Raw Annual DMR Data'!X267, 'Raw Period DMR Data'!M:M, "&gt;0")&gt;0,_xlfn.MAXIFS('Raw Period DMR Data'!M:M,'Raw Period DMR Data'!$A:$A,'Raw Annual DMR Data'!B267,'Raw Period DMR Data'!C:C,'Raw Annual DMR Data'!X267), "N/A - Period DMR Data Not Available")</f>
        <v>N/A - Period DMR Data Not Available</v>
      </c>
      <c r="V267" s="28" t="str" cm="1">
        <f t="array" ref="V267">IFERROR(INDEX('Raw Period DMR Data'!N:N,MATCH(1,(B267='Raw Period DMR Data'!$A:$A)*(U267='Raw Period DMR Data'!M:M)*(X267='Raw Period DMR Data'!C:C),0),1), "N/A")</f>
        <v>N/A</v>
      </c>
      <c r="W267" s="28" t="s">
        <v>1463</v>
      </c>
      <c r="X267" s="28" t="s">
        <v>1636</v>
      </c>
      <c r="Y267" s="28" t="s">
        <v>1637</v>
      </c>
      <c r="Z267" s="28">
        <v>15020005000364</v>
      </c>
      <c r="AA267" s="28"/>
      <c r="AB267" s="28" t="s">
        <v>1465</v>
      </c>
      <c r="AC267" s="28" t="s">
        <v>263</v>
      </c>
    </row>
    <row r="268" spans="1:29" x14ac:dyDescent="0.25">
      <c r="A268" s="61">
        <v>110006785229</v>
      </c>
      <c r="B268" s="28">
        <v>2016</v>
      </c>
      <c r="C268" s="68">
        <f t="shared" si="4"/>
        <v>42370</v>
      </c>
      <c r="D268" s="28" t="s">
        <v>1058</v>
      </c>
      <c r="E268" s="28" t="s">
        <v>1638</v>
      </c>
      <c r="F268" s="28" t="s">
        <v>1059</v>
      </c>
      <c r="G268" s="28" t="s">
        <v>374</v>
      </c>
      <c r="H268" s="28">
        <v>85350</v>
      </c>
      <c r="I268" s="28">
        <v>32.589804000000001</v>
      </c>
      <c r="J268" s="28">
        <v>-114.726901</v>
      </c>
      <c r="L268" s="61">
        <v>110006785229</v>
      </c>
      <c r="M268" s="28" t="s">
        <v>263</v>
      </c>
      <c r="N268" s="28">
        <v>4952</v>
      </c>
      <c r="O268" s="28" t="str">
        <f>IFERROR(VLOOKUP(N268, 'SIC &amp; NAICS Codes'!A:B, 2, FALSE), "")</f>
        <v>Sewerage Systems</v>
      </c>
      <c r="S268" s="28">
        <v>1.3538945</v>
      </c>
      <c r="T268" s="315">
        <f>_xlfn.MAXIFS('Raw Period DMR Data'!$O:$O,'Raw Period DMR Data'!$A:$A,'Raw Annual DMR Data'!B268,'Raw Period DMR Data'!$C:$C,X268)/S268</f>
        <v>0</v>
      </c>
      <c r="U268" s="28" t="str">
        <f>+IF(COUNTIFS('Raw Period DMR Data'!$A:$A,B268, 'Raw Period DMR Data'!C:C,'Raw Annual DMR Data'!X268, 'Raw Period DMR Data'!M:M, "&gt;0")&gt;0,_xlfn.MAXIFS('Raw Period DMR Data'!M:M,'Raw Period DMR Data'!$A:$A,'Raw Annual DMR Data'!B268,'Raw Period DMR Data'!C:C,'Raw Annual DMR Data'!X268), "N/A - Period DMR Data Not Available")</f>
        <v>N/A - Period DMR Data Not Available</v>
      </c>
      <c r="V268" s="28" t="str" cm="1">
        <f t="array" ref="V268">IFERROR(INDEX('Raw Period DMR Data'!N:N,MATCH(1,(B268='Raw Period DMR Data'!$A:$A)*(U268='Raw Period DMR Data'!M:M)*(X268='Raw Period DMR Data'!C:C),0),1), "N/A")</f>
        <v>N/A</v>
      </c>
      <c r="W268" s="28" t="s">
        <v>1463</v>
      </c>
      <c r="X268" s="28" t="s">
        <v>1639</v>
      </c>
      <c r="Z268" s="28">
        <v>15070102000451</v>
      </c>
      <c r="AA268" s="28"/>
      <c r="AB268" s="28" t="s">
        <v>1465</v>
      </c>
      <c r="AC268" s="28" t="s">
        <v>1466</v>
      </c>
    </row>
    <row r="269" spans="1:29" x14ac:dyDescent="0.25">
      <c r="A269" s="61">
        <v>110006785229</v>
      </c>
      <c r="B269" s="28">
        <v>2017</v>
      </c>
      <c r="C269" s="68">
        <f t="shared" si="4"/>
        <v>42736</v>
      </c>
      <c r="D269" s="28" t="s">
        <v>1058</v>
      </c>
      <c r="E269" s="28" t="s">
        <v>1638</v>
      </c>
      <c r="F269" s="28" t="s">
        <v>1059</v>
      </c>
      <c r="G269" s="28" t="s">
        <v>374</v>
      </c>
      <c r="H269" s="28">
        <v>85350</v>
      </c>
      <c r="I269" s="28">
        <v>32.589804000000001</v>
      </c>
      <c r="J269" s="28">
        <v>-114.726901</v>
      </c>
      <c r="L269" s="61">
        <v>110006785229</v>
      </c>
      <c r="M269" s="28" t="s">
        <v>263</v>
      </c>
      <c r="N269" s="28">
        <v>4952</v>
      </c>
      <c r="O269" s="28" t="str">
        <f>IFERROR(VLOOKUP(N269, 'SIC &amp; NAICS Codes'!A:B, 2, FALSE), "")</f>
        <v>Sewerage Systems</v>
      </c>
      <c r="S269" s="28">
        <v>1.178440825</v>
      </c>
      <c r="T269" s="315">
        <f>_xlfn.MAXIFS('Raw Period DMR Data'!$O:$O,'Raw Period DMR Data'!$A:$A,'Raw Annual DMR Data'!B269,'Raw Period DMR Data'!$C:$C,X269)/S269</f>
        <v>0</v>
      </c>
      <c r="U269" s="28" t="str">
        <f>+IF(COUNTIFS('Raw Period DMR Data'!$A:$A,B269, 'Raw Period DMR Data'!C:C,'Raw Annual DMR Data'!X269, 'Raw Period DMR Data'!M:M, "&gt;0")&gt;0,_xlfn.MAXIFS('Raw Period DMR Data'!M:M,'Raw Period DMR Data'!$A:$A,'Raw Annual DMR Data'!B269,'Raw Period DMR Data'!C:C,'Raw Annual DMR Data'!X269), "N/A - Period DMR Data Not Available")</f>
        <v>N/A - Period DMR Data Not Available</v>
      </c>
      <c r="V269" s="28" t="str" cm="1">
        <f t="array" ref="V269">IFERROR(INDEX('Raw Period DMR Data'!N:N,MATCH(1,(B269='Raw Period DMR Data'!$A:$A)*(U269='Raw Period DMR Data'!M:M)*(X269='Raw Period DMR Data'!C:C),0),1), "N/A")</f>
        <v>N/A</v>
      </c>
      <c r="W269" s="28" t="s">
        <v>1463</v>
      </c>
      <c r="X269" s="28" t="s">
        <v>1639</v>
      </c>
      <c r="Z269" s="28">
        <v>15070102000451</v>
      </c>
      <c r="AA269" s="28"/>
      <c r="AB269" s="28" t="s">
        <v>1465</v>
      </c>
      <c r="AC269" s="28" t="s">
        <v>1466</v>
      </c>
    </row>
    <row r="270" spans="1:29" x14ac:dyDescent="0.25">
      <c r="A270" s="61">
        <v>110006785229</v>
      </c>
      <c r="B270" s="28">
        <v>2018</v>
      </c>
      <c r="C270" s="68">
        <f t="shared" si="4"/>
        <v>43101</v>
      </c>
      <c r="D270" s="28" t="s">
        <v>1058</v>
      </c>
      <c r="E270" s="28" t="s">
        <v>1638</v>
      </c>
      <c r="F270" s="28" t="s">
        <v>1059</v>
      </c>
      <c r="G270" s="28" t="s">
        <v>374</v>
      </c>
      <c r="H270" s="28">
        <v>85350</v>
      </c>
      <c r="I270" s="28">
        <v>32.589804000000001</v>
      </c>
      <c r="J270" s="28">
        <v>-114.726901</v>
      </c>
      <c r="L270" s="61">
        <v>110006785229</v>
      </c>
      <c r="M270" s="28" t="s">
        <v>263</v>
      </c>
      <c r="N270" s="28">
        <v>4952</v>
      </c>
      <c r="O270" s="28" t="str">
        <f>IFERROR(VLOOKUP(N270, 'SIC &amp; NAICS Codes'!A:B, 2, FALSE), "")</f>
        <v>Sewerage Systems</v>
      </c>
      <c r="S270" s="28">
        <v>1.0610112</v>
      </c>
      <c r="T270" s="315">
        <f>_xlfn.MAXIFS('Raw Period DMR Data'!$O:$O,'Raw Period DMR Data'!$A:$A,'Raw Annual DMR Data'!B270,'Raw Period DMR Data'!$C:$C,X270)/S270</f>
        <v>0</v>
      </c>
      <c r="U270" s="28" t="str">
        <f>+IF(COUNTIFS('Raw Period DMR Data'!$A:$A,B270, 'Raw Period DMR Data'!C:C,'Raw Annual DMR Data'!X270, 'Raw Period DMR Data'!M:M, "&gt;0")&gt;0,_xlfn.MAXIFS('Raw Period DMR Data'!M:M,'Raw Period DMR Data'!$A:$A,'Raw Annual DMR Data'!B270,'Raw Period DMR Data'!C:C,'Raw Annual DMR Data'!X270), "N/A - Period DMR Data Not Available")</f>
        <v>N/A - Period DMR Data Not Available</v>
      </c>
      <c r="V270" s="28" t="str" cm="1">
        <f t="array" ref="V270">IFERROR(INDEX('Raw Period DMR Data'!N:N,MATCH(1,(B270='Raw Period DMR Data'!$A:$A)*(U270='Raw Period DMR Data'!M:M)*(X270='Raw Period DMR Data'!C:C),0),1), "N/A")</f>
        <v>N/A</v>
      </c>
      <c r="W270" s="28" t="s">
        <v>1463</v>
      </c>
      <c r="X270" s="28" t="s">
        <v>1639</v>
      </c>
      <c r="Z270" s="28">
        <v>15070102000451</v>
      </c>
      <c r="AA270" s="28"/>
      <c r="AB270" s="28" t="s">
        <v>1465</v>
      </c>
      <c r="AC270" s="28" t="s">
        <v>1466</v>
      </c>
    </row>
    <row r="271" spans="1:29" x14ac:dyDescent="0.25">
      <c r="A271" s="61">
        <v>110009001828</v>
      </c>
      <c r="B271" s="28">
        <v>2016</v>
      </c>
      <c r="C271" s="68">
        <f t="shared" si="4"/>
        <v>42370</v>
      </c>
      <c r="D271" s="28" t="s">
        <v>1060</v>
      </c>
      <c r="E271" s="28" t="s">
        <v>1640</v>
      </c>
      <c r="F271" s="28" t="s">
        <v>657</v>
      </c>
      <c r="G271" s="28" t="s">
        <v>418</v>
      </c>
      <c r="H271" s="28">
        <v>89155</v>
      </c>
      <c r="I271" s="28">
        <v>36.166969999999999</v>
      </c>
      <c r="J271" s="28">
        <v>-115.14576</v>
      </c>
      <c r="L271" s="61">
        <v>110009001828</v>
      </c>
      <c r="M271" s="28" t="s">
        <v>265</v>
      </c>
      <c r="N271" s="28">
        <v>9211</v>
      </c>
      <c r="O271" s="28" t="str">
        <f>IFERROR(VLOOKUP(N271, 'SIC &amp; NAICS Codes'!A:B, 2, FALSE), "")</f>
        <v>Courts</v>
      </c>
      <c r="S271" s="28">
        <v>2.820582E-2</v>
      </c>
      <c r="T271" s="315">
        <f>_xlfn.MAXIFS('Raw Period DMR Data'!$O:$O,'Raw Period DMR Data'!$A:$A,'Raw Annual DMR Data'!B271,'Raw Period DMR Data'!$C:$C,X271)/S271</f>
        <v>0</v>
      </c>
      <c r="U271" s="28" t="str">
        <f>+IF(COUNTIFS('Raw Period DMR Data'!$A:$A,B271, 'Raw Period DMR Data'!C:C,'Raw Annual DMR Data'!X271, 'Raw Period DMR Data'!M:M, "&gt;0")&gt;0,_xlfn.MAXIFS('Raw Period DMR Data'!M:M,'Raw Period DMR Data'!$A:$A,'Raw Annual DMR Data'!B271,'Raw Period DMR Data'!C:C,'Raw Annual DMR Data'!X271), "N/A - Period DMR Data Not Available")</f>
        <v>N/A - Period DMR Data Not Available</v>
      </c>
      <c r="V271" s="28" t="str" cm="1">
        <f t="array" ref="V271">IFERROR(INDEX('Raw Period DMR Data'!N:N,MATCH(1,(B271='Raw Period DMR Data'!$A:$A)*(U271='Raw Period DMR Data'!M:M)*(X271='Raw Period DMR Data'!C:C),0),1), "N/A")</f>
        <v>N/A</v>
      </c>
      <c r="W271" s="28" t="s">
        <v>1463</v>
      </c>
      <c r="X271" s="28" t="s">
        <v>1641</v>
      </c>
      <c r="Y271" s="28" t="s">
        <v>1642</v>
      </c>
      <c r="Z271" s="28">
        <v>15010015000125</v>
      </c>
      <c r="AA271" s="28"/>
      <c r="AB271" s="28" t="s">
        <v>1465</v>
      </c>
      <c r="AC271" s="28" t="s">
        <v>1466</v>
      </c>
    </row>
    <row r="272" spans="1:29" x14ac:dyDescent="0.25">
      <c r="A272" s="61">
        <v>110009001828</v>
      </c>
      <c r="B272" s="28">
        <v>2017</v>
      </c>
      <c r="C272" s="68">
        <f t="shared" si="4"/>
        <v>42736</v>
      </c>
      <c r="D272" s="28" t="s">
        <v>1060</v>
      </c>
      <c r="E272" s="28" t="s">
        <v>1640</v>
      </c>
      <c r="F272" s="28" t="s">
        <v>657</v>
      </c>
      <c r="G272" s="28" t="s">
        <v>418</v>
      </c>
      <c r="H272" s="28">
        <v>89155</v>
      </c>
      <c r="I272" s="28">
        <v>36.166969999999999</v>
      </c>
      <c r="J272" s="28">
        <v>-115.14576</v>
      </c>
      <c r="L272" s="61">
        <v>110009001828</v>
      </c>
      <c r="M272" s="28" t="s">
        <v>265</v>
      </c>
      <c r="N272" s="28">
        <v>9211</v>
      </c>
      <c r="O272" s="28" t="str">
        <f>IFERROR(VLOOKUP(N272, 'SIC &amp; NAICS Codes'!A:B, 2, FALSE), "")</f>
        <v>Courts</v>
      </c>
      <c r="S272" s="28">
        <v>1.9819647833333301E-2</v>
      </c>
      <c r="T272" s="315">
        <f>_xlfn.MAXIFS('Raw Period DMR Data'!$O:$O,'Raw Period DMR Data'!$A:$A,'Raw Annual DMR Data'!B272,'Raw Period DMR Data'!$C:$C,X272)/S272</f>
        <v>0</v>
      </c>
      <c r="U272" s="28" t="str">
        <f>+IF(COUNTIFS('Raw Period DMR Data'!$A:$A,B272, 'Raw Period DMR Data'!C:C,'Raw Annual DMR Data'!X272, 'Raw Period DMR Data'!M:M, "&gt;0")&gt;0,_xlfn.MAXIFS('Raw Period DMR Data'!M:M,'Raw Period DMR Data'!$A:$A,'Raw Annual DMR Data'!B272,'Raw Period DMR Data'!C:C,'Raw Annual DMR Data'!X272), "N/A - Period DMR Data Not Available")</f>
        <v>N/A - Period DMR Data Not Available</v>
      </c>
      <c r="V272" s="28" t="str" cm="1">
        <f t="array" ref="V272">IFERROR(INDEX('Raw Period DMR Data'!N:N,MATCH(1,(B272='Raw Period DMR Data'!$A:$A)*(U272='Raw Period DMR Data'!M:M)*(X272='Raw Period DMR Data'!C:C),0),1), "N/A")</f>
        <v>N/A</v>
      </c>
      <c r="W272" s="28" t="s">
        <v>1463</v>
      </c>
      <c r="X272" s="28" t="s">
        <v>1641</v>
      </c>
      <c r="Y272" s="28" t="s">
        <v>1642</v>
      </c>
      <c r="Z272" s="28">
        <v>15010015000125</v>
      </c>
      <c r="AA272" s="28"/>
      <c r="AB272" s="28" t="s">
        <v>1465</v>
      </c>
      <c r="AC272" s="28" t="s">
        <v>1466</v>
      </c>
    </row>
    <row r="273" spans="1:29" x14ac:dyDescent="0.25">
      <c r="A273" s="61">
        <v>110027363252</v>
      </c>
      <c r="B273" s="28">
        <v>2015</v>
      </c>
      <c r="C273" s="68">
        <f t="shared" si="4"/>
        <v>42005</v>
      </c>
      <c r="D273" s="28" t="s">
        <v>1061</v>
      </c>
      <c r="E273" s="28" t="s">
        <v>1643</v>
      </c>
      <c r="F273" s="28" t="s">
        <v>1062</v>
      </c>
      <c r="G273" s="28" t="s">
        <v>366</v>
      </c>
      <c r="H273" s="28">
        <v>92008</v>
      </c>
      <c r="I273" s="28">
        <v>33.139895000000003</v>
      </c>
      <c r="J273" s="28">
        <v>-117.339645</v>
      </c>
      <c r="L273" s="61">
        <v>110027363252</v>
      </c>
      <c r="M273" s="28" t="s">
        <v>263</v>
      </c>
      <c r="N273" s="28">
        <v>4941</v>
      </c>
      <c r="O273" s="28" t="str">
        <f>IFERROR(VLOOKUP(N273, 'SIC &amp; NAICS Codes'!A:B, 2, FALSE), "")</f>
        <v>Water Supply</v>
      </c>
      <c r="S273" s="28">
        <v>150.53196324000001</v>
      </c>
      <c r="T273" s="315">
        <f>_xlfn.MAXIFS('Raw Period DMR Data'!$O:$O,'Raw Period DMR Data'!$A:$A,'Raw Annual DMR Data'!B273,'Raw Period DMR Data'!$C:$C,X273)/S273</f>
        <v>0</v>
      </c>
      <c r="U273" s="28" t="str">
        <f>+IF(COUNTIFS('Raw Period DMR Data'!$A:$A,B273, 'Raw Period DMR Data'!C:C,'Raw Annual DMR Data'!X273, 'Raw Period DMR Data'!M:M, "&gt;0")&gt;0,_xlfn.MAXIFS('Raw Period DMR Data'!M:M,'Raw Period DMR Data'!$A:$A,'Raw Annual DMR Data'!B273,'Raw Period DMR Data'!C:C,'Raw Annual DMR Data'!X273), "N/A - Period DMR Data Not Available")</f>
        <v>N/A - Period DMR Data Not Available</v>
      </c>
      <c r="V273" s="28" t="str" cm="1">
        <f t="array" ref="V273">IFERROR(INDEX('Raw Period DMR Data'!N:N,MATCH(1,(B273='Raw Period DMR Data'!$A:$A)*(U273='Raw Period DMR Data'!M:M)*(X273='Raw Period DMR Data'!C:C),0),1), "N/A")</f>
        <v>N/A</v>
      </c>
      <c r="W273" s="28" t="s">
        <v>1463</v>
      </c>
      <c r="X273" s="28" t="s">
        <v>1644</v>
      </c>
      <c r="Y273" s="28" t="s">
        <v>926</v>
      </c>
      <c r="Z273" s="28">
        <v>18070303000019</v>
      </c>
      <c r="AA273" s="28"/>
      <c r="AB273" s="28" t="s">
        <v>1465</v>
      </c>
      <c r="AC273" s="28" t="s">
        <v>1466</v>
      </c>
    </row>
    <row r="274" spans="1:29" x14ac:dyDescent="0.25">
      <c r="A274" s="61">
        <v>110027363252</v>
      </c>
      <c r="B274" s="28">
        <v>2016</v>
      </c>
      <c r="C274" s="68">
        <f t="shared" si="4"/>
        <v>42370</v>
      </c>
      <c r="D274" s="28" t="s">
        <v>1061</v>
      </c>
      <c r="E274" s="28" t="s">
        <v>1643</v>
      </c>
      <c r="F274" s="28" t="s">
        <v>1062</v>
      </c>
      <c r="G274" s="28" t="s">
        <v>366</v>
      </c>
      <c r="H274" s="28">
        <v>92008</v>
      </c>
      <c r="I274" s="28">
        <v>33.139895000000003</v>
      </c>
      <c r="J274" s="28">
        <v>-117.339645</v>
      </c>
      <c r="L274" s="61">
        <v>110027363252</v>
      </c>
      <c r="M274" s="28" t="s">
        <v>263</v>
      </c>
      <c r="N274" s="28">
        <v>4941</v>
      </c>
      <c r="O274" s="28" t="str">
        <f>IFERROR(VLOOKUP(N274, 'SIC &amp; NAICS Codes'!A:B, 2, FALSE), "")</f>
        <v>Water Supply</v>
      </c>
      <c r="S274" s="28">
        <v>25.710736645000001</v>
      </c>
      <c r="T274" s="315">
        <f>_xlfn.MAXIFS('Raw Period DMR Data'!$O:$O,'Raw Period DMR Data'!$A:$A,'Raw Annual DMR Data'!B274,'Raw Period DMR Data'!$C:$C,X274)/S274</f>
        <v>0</v>
      </c>
      <c r="U274" s="28" t="str">
        <f>+IF(COUNTIFS('Raw Period DMR Data'!$A:$A,B274, 'Raw Period DMR Data'!C:C,'Raw Annual DMR Data'!X274, 'Raw Period DMR Data'!M:M, "&gt;0")&gt;0,_xlfn.MAXIFS('Raw Period DMR Data'!M:M,'Raw Period DMR Data'!$A:$A,'Raw Annual DMR Data'!B274,'Raw Period DMR Data'!C:C,'Raw Annual DMR Data'!X274), "N/A - Period DMR Data Not Available")</f>
        <v>N/A - Period DMR Data Not Available</v>
      </c>
      <c r="V274" s="28" t="str" cm="1">
        <f t="array" ref="V274">IFERROR(INDEX('Raw Period DMR Data'!N:N,MATCH(1,(B274='Raw Period DMR Data'!$A:$A)*(U274='Raw Period DMR Data'!M:M)*(X274='Raw Period DMR Data'!C:C),0),1), "N/A")</f>
        <v>N/A</v>
      </c>
      <c r="W274" s="28" t="s">
        <v>1463</v>
      </c>
      <c r="X274" s="28" t="s">
        <v>1644</v>
      </c>
      <c r="Y274" s="28" t="s">
        <v>926</v>
      </c>
      <c r="Z274" s="28">
        <v>18070303000019</v>
      </c>
      <c r="AA274" s="28"/>
      <c r="AB274" s="28" t="s">
        <v>1465</v>
      </c>
      <c r="AC274" s="28" t="s">
        <v>1466</v>
      </c>
    </row>
    <row r="275" spans="1:29" x14ac:dyDescent="0.25">
      <c r="A275" s="61">
        <v>110027363252</v>
      </c>
      <c r="B275" s="28">
        <v>2017</v>
      </c>
      <c r="C275" s="68">
        <f t="shared" si="4"/>
        <v>42736</v>
      </c>
      <c r="D275" s="28" t="s">
        <v>1061</v>
      </c>
      <c r="E275" s="28" t="s">
        <v>1643</v>
      </c>
      <c r="F275" s="28" t="s">
        <v>1062</v>
      </c>
      <c r="G275" s="28" t="s">
        <v>366</v>
      </c>
      <c r="H275" s="28">
        <v>92008</v>
      </c>
      <c r="I275" s="28">
        <v>33.139895000000003</v>
      </c>
      <c r="J275" s="28">
        <v>-117.339645</v>
      </c>
      <c r="L275" s="61">
        <v>110027363252</v>
      </c>
      <c r="M275" s="28" t="s">
        <v>263</v>
      </c>
      <c r="N275" s="28">
        <v>4941</v>
      </c>
      <c r="O275" s="28" t="str">
        <f>IFERROR(VLOOKUP(N275, 'SIC &amp; NAICS Codes'!A:B, 2, FALSE), "")</f>
        <v>Water Supply</v>
      </c>
      <c r="S275" s="28">
        <v>8.9083608600000002</v>
      </c>
      <c r="T275" s="315">
        <f>_xlfn.MAXIFS('Raw Period DMR Data'!$O:$O,'Raw Period DMR Data'!$A:$A,'Raw Annual DMR Data'!B275,'Raw Period DMR Data'!$C:$C,X275)/S275</f>
        <v>0</v>
      </c>
      <c r="U275" s="28" t="str">
        <f>+IF(COUNTIFS('Raw Period DMR Data'!$A:$A,B275, 'Raw Period DMR Data'!C:C,'Raw Annual DMR Data'!X275, 'Raw Period DMR Data'!M:M, "&gt;0")&gt;0,_xlfn.MAXIFS('Raw Period DMR Data'!M:M,'Raw Period DMR Data'!$A:$A,'Raw Annual DMR Data'!B275,'Raw Period DMR Data'!C:C,'Raw Annual DMR Data'!X275), "N/A - Period DMR Data Not Available")</f>
        <v>N/A - Period DMR Data Not Available</v>
      </c>
      <c r="V275" s="28" t="str" cm="1">
        <f t="array" ref="V275">IFERROR(INDEX('Raw Period DMR Data'!N:N,MATCH(1,(B275='Raw Period DMR Data'!$A:$A)*(U275='Raw Period DMR Data'!M:M)*(X275='Raw Period DMR Data'!C:C),0),1), "N/A")</f>
        <v>N/A</v>
      </c>
      <c r="W275" s="28" t="s">
        <v>1463</v>
      </c>
      <c r="X275" s="28" t="s">
        <v>1644</v>
      </c>
      <c r="Y275" s="28" t="s">
        <v>926</v>
      </c>
      <c r="Z275" s="28">
        <v>18070303000019</v>
      </c>
      <c r="AA275" s="28"/>
      <c r="AB275" s="28" t="s">
        <v>1465</v>
      </c>
      <c r="AC275" s="28" t="s">
        <v>1466</v>
      </c>
    </row>
    <row r="276" spans="1:29" x14ac:dyDescent="0.25">
      <c r="A276" s="61">
        <v>110027363252</v>
      </c>
      <c r="B276" s="28">
        <v>2018</v>
      </c>
      <c r="C276" s="68">
        <f t="shared" si="4"/>
        <v>43101</v>
      </c>
      <c r="D276" s="28" t="s">
        <v>1061</v>
      </c>
      <c r="E276" s="28" t="s">
        <v>1643</v>
      </c>
      <c r="F276" s="28" t="s">
        <v>1062</v>
      </c>
      <c r="G276" s="28" t="s">
        <v>366</v>
      </c>
      <c r="H276" s="28">
        <v>92008</v>
      </c>
      <c r="I276" s="28">
        <v>33.139895000000003</v>
      </c>
      <c r="J276" s="28">
        <v>-117.339645</v>
      </c>
      <c r="L276" s="61">
        <v>110027363252</v>
      </c>
      <c r="M276" s="28" t="s">
        <v>263</v>
      </c>
      <c r="N276" s="28">
        <v>4941</v>
      </c>
      <c r="O276" s="28" t="str">
        <f>IFERROR(VLOOKUP(N276, 'SIC &amp; NAICS Codes'!A:B, 2, FALSE), "")</f>
        <v>Water Supply</v>
      </c>
      <c r="S276" s="28">
        <v>13.290873072</v>
      </c>
      <c r="T276" s="315">
        <f>_xlfn.MAXIFS('Raw Period DMR Data'!$O:$O,'Raw Period DMR Data'!$A:$A,'Raw Annual DMR Data'!B276,'Raw Period DMR Data'!$C:$C,X276)/S276</f>
        <v>0</v>
      </c>
      <c r="U276" s="28" t="str">
        <f>+IF(COUNTIFS('Raw Period DMR Data'!$A:$A,B276, 'Raw Period DMR Data'!C:C,'Raw Annual DMR Data'!X276, 'Raw Period DMR Data'!M:M, "&gt;0")&gt;0,_xlfn.MAXIFS('Raw Period DMR Data'!M:M,'Raw Period DMR Data'!$A:$A,'Raw Annual DMR Data'!B276,'Raw Period DMR Data'!C:C,'Raw Annual DMR Data'!X276), "N/A - Period DMR Data Not Available")</f>
        <v>N/A - Period DMR Data Not Available</v>
      </c>
      <c r="V276" s="28" t="str" cm="1">
        <f t="array" ref="V276">IFERROR(INDEX('Raw Period DMR Data'!N:N,MATCH(1,(B276='Raw Period DMR Data'!$A:$A)*(U276='Raw Period DMR Data'!M:M)*(X276='Raw Period DMR Data'!C:C),0),1), "N/A")</f>
        <v>N/A</v>
      </c>
      <c r="W276" s="28" t="s">
        <v>1463</v>
      </c>
      <c r="X276" s="28" t="s">
        <v>1644</v>
      </c>
      <c r="Y276" s="28" t="s">
        <v>926</v>
      </c>
      <c r="Z276" s="28">
        <v>18070303000019</v>
      </c>
      <c r="AA276" s="28"/>
      <c r="AB276" s="28" t="s">
        <v>1465</v>
      </c>
      <c r="AC276" s="28" t="s">
        <v>1466</v>
      </c>
    </row>
    <row r="277" spans="1:29" x14ac:dyDescent="0.25">
      <c r="A277" s="61">
        <v>110027363252</v>
      </c>
      <c r="B277" s="28">
        <v>2019</v>
      </c>
      <c r="C277" s="68">
        <f t="shared" si="4"/>
        <v>43466</v>
      </c>
      <c r="D277" s="28" t="s">
        <v>1061</v>
      </c>
      <c r="E277" s="28" t="s">
        <v>1643</v>
      </c>
      <c r="F277" s="28" t="s">
        <v>1062</v>
      </c>
      <c r="G277" s="28" t="s">
        <v>366</v>
      </c>
      <c r="H277" s="28">
        <v>92008</v>
      </c>
      <c r="I277" s="28">
        <v>33.139895000000003</v>
      </c>
      <c r="J277" s="28">
        <v>-117.339645</v>
      </c>
      <c r="L277" s="61">
        <v>110027363252</v>
      </c>
      <c r="M277" s="28" t="s">
        <v>263</v>
      </c>
      <c r="N277" s="28">
        <v>4941</v>
      </c>
      <c r="O277" s="28" t="str">
        <f>IFERROR(VLOOKUP(N277, 'SIC &amp; NAICS Codes'!A:B, 2, FALSE), "")</f>
        <v>Water Supply</v>
      </c>
      <c r="S277" s="28">
        <v>4.0848249900000004</v>
      </c>
      <c r="T277" s="315">
        <f>_xlfn.MAXIFS('Raw Period DMR Data'!$O:$O,'Raw Period DMR Data'!$A:$A,'Raw Annual DMR Data'!B277,'Raw Period DMR Data'!$C:$C,X277)/S277</f>
        <v>0</v>
      </c>
      <c r="U277" s="28" t="str">
        <f>+IF(COUNTIFS('Raw Period DMR Data'!$A:$A,B277, 'Raw Period DMR Data'!C:C,'Raw Annual DMR Data'!X277, 'Raw Period DMR Data'!M:M, "&gt;0")&gt;0,_xlfn.MAXIFS('Raw Period DMR Data'!M:M,'Raw Period DMR Data'!$A:$A,'Raw Annual DMR Data'!B277,'Raw Period DMR Data'!C:C,'Raw Annual DMR Data'!X277), "N/A - Period DMR Data Not Available")</f>
        <v>N/A - Period DMR Data Not Available</v>
      </c>
      <c r="V277" s="28" t="str" cm="1">
        <f t="array" ref="V277">IFERROR(INDEX('Raw Period DMR Data'!N:N,MATCH(1,(B277='Raw Period DMR Data'!$A:$A)*(U277='Raw Period DMR Data'!M:M)*(X277='Raw Period DMR Data'!C:C),0),1), "N/A")</f>
        <v>N/A</v>
      </c>
      <c r="W277" s="28" t="s">
        <v>1463</v>
      </c>
      <c r="X277" s="28" t="s">
        <v>1644</v>
      </c>
      <c r="Y277" s="28" t="s">
        <v>926</v>
      </c>
      <c r="Z277" s="28">
        <v>18070303000019</v>
      </c>
      <c r="AA277" s="28"/>
      <c r="AB277" s="28" t="s">
        <v>1465</v>
      </c>
      <c r="AC277" s="28" t="s">
        <v>1466</v>
      </c>
    </row>
    <row r="278" spans="1:29" x14ac:dyDescent="0.25">
      <c r="A278" s="61">
        <v>110027363252</v>
      </c>
      <c r="B278" s="28">
        <v>2019</v>
      </c>
      <c r="C278" s="68">
        <f t="shared" si="4"/>
        <v>43466</v>
      </c>
      <c r="D278" s="28" t="s">
        <v>1061</v>
      </c>
      <c r="E278" s="28" t="s">
        <v>1643</v>
      </c>
      <c r="F278" s="28" t="s">
        <v>1062</v>
      </c>
      <c r="G278" s="28" t="s">
        <v>366</v>
      </c>
      <c r="H278" s="28">
        <v>92008</v>
      </c>
      <c r="I278" s="28">
        <v>33.139895000000003</v>
      </c>
      <c r="J278" s="28">
        <v>-117.339645</v>
      </c>
      <c r="L278" s="61">
        <v>110027363252</v>
      </c>
      <c r="M278" s="28" t="s">
        <v>263</v>
      </c>
      <c r="N278" s="28">
        <v>4941</v>
      </c>
      <c r="O278" s="28" t="str">
        <f>IFERROR(VLOOKUP(N278, 'SIC &amp; NAICS Codes'!A:B, 2, FALSE), "")</f>
        <v>Water Supply</v>
      </c>
      <c r="S278" s="28">
        <v>0.24899010550967701</v>
      </c>
      <c r="T278" s="315">
        <f>_xlfn.MAXIFS('Raw Period DMR Data'!$O:$O,'Raw Period DMR Data'!$A:$A,'Raw Annual DMR Data'!B278,'Raw Period DMR Data'!$C:$C,X278)/S278</f>
        <v>0</v>
      </c>
      <c r="U278" s="28" t="str">
        <f>+IF(COUNTIFS('Raw Period DMR Data'!$A:$A,B278, 'Raw Period DMR Data'!C:C,'Raw Annual DMR Data'!X278, 'Raw Period DMR Data'!M:M, "&gt;0")&gt;0,_xlfn.MAXIFS('Raw Period DMR Data'!M:M,'Raw Period DMR Data'!$A:$A,'Raw Annual DMR Data'!B278,'Raw Period DMR Data'!C:C,'Raw Annual DMR Data'!X278), "N/A - Period DMR Data Not Available")</f>
        <v>N/A - Period DMR Data Not Available</v>
      </c>
      <c r="V278" s="28" t="str" cm="1">
        <f t="array" ref="V278">IFERROR(INDEX('Raw Period DMR Data'!N:N,MATCH(1,(B278='Raw Period DMR Data'!$A:$A)*(U278='Raw Period DMR Data'!M:M)*(X278='Raw Period DMR Data'!C:C),0),1), "N/A")</f>
        <v>N/A</v>
      </c>
      <c r="W278" s="28" t="s">
        <v>1463</v>
      </c>
      <c r="X278" s="28" t="s">
        <v>1644</v>
      </c>
      <c r="Y278" s="28" t="s">
        <v>926</v>
      </c>
      <c r="Z278" s="28">
        <v>18070303000019</v>
      </c>
      <c r="AA278" s="28"/>
      <c r="AB278" s="28" t="s">
        <v>1465</v>
      </c>
      <c r="AC278" s="28" t="s">
        <v>1466</v>
      </c>
    </row>
    <row r="279" spans="1:29" x14ac:dyDescent="0.25">
      <c r="A279" s="61">
        <v>110027363252</v>
      </c>
      <c r="B279" s="28">
        <v>2020</v>
      </c>
      <c r="C279" s="68">
        <f t="shared" si="4"/>
        <v>43831</v>
      </c>
      <c r="D279" s="28" t="s">
        <v>1061</v>
      </c>
      <c r="E279" s="28" t="s">
        <v>1643</v>
      </c>
      <c r="F279" s="28" t="s">
        <v>1062</v>
      </c>
      <c r="G279" s="28" t="s">
        <v>366</v>
      </c>
      <c r="H279" s="28">
        <v>92008</v>
      </c>
      <c r="I279" s="28">
        <v>33.139895000000003</v>
      </c>
      <c r="J279" s="28">
        <v>-117.339645</v>
      </c>
      <c r="L279" s="61">
        <v>110027363252</v>
      </c>
      <c r="M279" s="28" t="s">
        <v>263</v>
      </c>
      <c r="N279" s="28">
        <v>4941</v>
      </c>
      <c r="O279" s="28" t="str">
        <f>IFERROR(VLOOKUP(N279, 'SIC &amp; NAICS Codes'!A:B, 2, FALSE), "")</f>
        <v>Water Supply</v>
      </c>
      <c r="S279" s="28">
        <v>0.48759175106128999</v>
      </c>
      <c r="T279" s="315">
        <f>_xlfn.MAXIFS('Raw Period DMR Data'!$O:$O,'Raw Period DMR Data'!$A:$A,'Raw Annual DMR Data'!B279,'Raw Period DMR Data'!$C:$C,X279)/S279</f>
        <v>0</v>
      </c>
      <c r="U279" s="28" t="str">
        <f>+IF(COUNTIFS('Raw Period DMR Data'!$A:$A,B279, 'Raw Period DMR Data'!C:C,'Raw Annual DMR Data'!X279, 'Raw Period DMR Data'!M:M, "&gt;0")&gt;0,_xlfn.MAXIFS('Raw Period DMR Data'!M:M,'Raw Period DMR Data'!$A:$A,'Raw Annual DMR Data'!B279,'Raw Period DMR Data'!C:C,'Raw Annual DMR Data'!X279), "N/A - Period DMR Data Not Available")</f>
        <v>N/A - Period DMR Data Not Available</v>
      </c>
      <c r="V279" s="28" t="str" cm="1">
        <f t="array" ref="V279">IFERROR(INDEX('Raw Period DMR Data'!N:N,MATCH(1,(B279='Raw Period DMR Data'!$A:$A)*(U279='Raw Period DMR Data'!M:M)*(X279='Raw Period DMR Data'!C:C),0),1), "N/A")</f>
        <v>N/A</v>
      </c>
      <c r="W279" s="28" t="s">
        <v>1463</v>
      </c>
      <c r="X279" s="28" t="s">
        <v>1644</v>
      </c>
      <c r="Y279" s="28" t="s">
        <v>926</v>
      </c>
      <c r="Z279" s="28">
        <v>18070303000019</v>
      </c>
      <c r="AA279" s="28"/>
      <c r="AB279" s="28" t="s">
        <v>1465</v>
      </c>
      <c r="AC279" s="28" t="s">
        <v>1466</v>
      </c>
    </row>
    <row r="280" spans="1:29" x14ac:dyDescent="0.25">
      <c r="A280" s="61">
        <v>110070670433</v>
      </c>
      <c r="B280" s="28">
        <v>2019</v>
      </c>
      <c r="C280" s="68">
        <f t="shared" si="4"/>
        <v>43466</v>
      </c>
      <c r="D280" s="28" t="s">
        <v>1063</v>
      </c>
      <c r="E280" s="28" t="s">
        <v>1645</v>
      </c>
      <c r="F280" s="28" t="s">
        <v>1064</v>
      </c>
      <c r="G280" s="28" t="s">
        <v>308</v>
      </c>
      <c r="H280" s="28">
        <v>1760</v>
      </c>
      <c r="I280" s="28">
        <v>42.30348</v>
      </c>
      <c r="J280" s="28">
        <v>-70.360669999999999</v>
      </c>
      <c r="L280" s="61">
        <v>110070670433</v>
      </c>
      <c r="M280" s="28" t="s">
        <v>265</v>
      </c>
      <c r="O280" s="28" t="str">
        <f>IFERROR(VLOOKUP(N280, 'SIC &amp; NAICS Codes'!A:B, 2, FALSE), "")</f>
        <v/>
      </c>
      <c r="S280" s="28">
        <v>1.54280385E-2</v>
      </c>
      <c r="T280" s="315">
        <f>_xlfn.MAXIFS('Raw Period DMR Data'!$O:$O,'Raw Period DMR Data'!$A:$A,'Raw Annual DMR Data'!B280,'Raw Period DMR Data'!$C:$C,X280)/S280</f>
        <v>0</v>
      </c>
      <c r="U280" s="28" t="str">
        <f>+IF(COUNTIFS('Raw Period DMR Data'!$A:$A,B280, 'Raw Period DMR Data'!C:C,'Raw Annual DMR Data'!X280, 'Raw Period DMR Data'!M:M, "&gt;0")&gt;0,_xlfn.MAXIFS('Raw Period DMR Data'!M:M,'Raw Period DMR Data'!$A:$A,'Raw Annual DMR Data'!B280,'Raw Period DMR Data'!C:C,'Raw Annual DMR Data'!X280), "N/A - Period DMR Data Not Available")</f>
        <v>N/A - Period DMR Data Not Available</v>
      </c>
      <c r="V280" s="28" t="str" cm="1">
        <f t="array" ref="V280">IFERROR(INDEX('Raw Period DMR Data'!N:N,MATCH(1,(B280='Raw Period DMR Data'!$A:$A)*(U280='Raw Period DMR Data'!M:M)*(X280='Raw Period DMR Data'!C:C),0),1), "N/A")</f>
        <v>N/A</v>
      </c>
      <c r="W280" s="28" t="s">
        <v>1463</v>
      </c>
      <c r="X280" s="28" t="s">
        <v>1646</v>
      </c>
      <c r="Y280" s="28" t="s">
        <v>1647</v>
      </c>
      <c r="AA280" s="28"/>
      <c r="AB280" s="28" t="s">
        <v>1465</v>
      </c>
      <c r="AC280" s="28" t="s">
        <v>1466</v>
      </c>
    </row>
    <row r="281" spans="1:29" x14ac:dyDescent="0.25">
      <c r="A281" s="61">
        <v>110070670433</v>
      </c>
      <c r="B281" s="28">
        <v>2020</v>
      </c>
      <c r="C281" s="68">
        <f t="shared" si="4"/>
        <v>43831</v>
      </c>
      <c r="D281" s="28" t="s">
        <v>1063</v>
      </c>
      <c r="E281" s="28" t="s">
        <v>1645</v>
      </c>
      <c r="F281" s="28" t="s">
        <v>1064</v>
      </c>
      <c r="G281" s="28" t="s">
        <v>308</v>
      </c>
      <c r="H281" s="28">
        <v>1760</v>
      </c>
      <c r="I281" s="28">
        <v>42.30348</v>
      </c>
      <c r="J281" s="28">
        <v>-70.360669999999999</v>
      </c>
      <c r="L281" s="61">
        <v>110070670433</v>
      </c>
      <c r="M281" s="28" t="s">
        <v>265</v>
      </c>
      <c r="O281" s="28" t="str">
        <f>IFERROR(VLOOKUP(N281, 'SIC &amp; NAICS Codes'!A:B, 2, FALSE), "")</f>
        <v/>
      </c>
      <c r="S281" s="28">
        <v>1.3913588084999999E-2</v>
      </c>
      <c r="T281" s="315">
        <f>_xlfn.MAXIFS('Raw Period DMR Data'!$O:$O,'Raw Period DMR Data'!$A:$A,'Raw Annual DMR Data'!B281,'Raw Period DMR Data'!$C:$C,X281)/S281</f>
        <v>0</v>
      </c>
      <c r="U281" s="28" t="str">
        <f>+IF(COUNTIFS('Raw Period DMR Data'!$A:$A,B281, 'Raw Period DMR Data'!C:C,'Raw Annual DMR Data'!X281, 'Raw Period DMR Data'!M:M, "&gt;0")&gt;0,_xlfn.MAXIFS('Raw Period DMR Data'!M:M,'Raw Period DMR Data'!$A:$A,'Raw Annual DMR Data'!B281,'Raw Period DMR Data'!C:C,'Raw Annual DMR Data'!X281), "N/A - Period DMR Data Not Available")</f>
        <v>N/A - Period DMR Data Not Available</v>
      </c>
      <c r="V281" s="28" t="str" cm="1">
        <f t="array" ref="V281">IFERROR(INDEX('Raw Period DMR Data'!N:N,MATCH(1,(B281='Raw Period DMR Data'!$A:$A)*(U281='Raw Period DMR Data'!M:M)*(X281='Raw Period DMR Data'!C:C),0),1), "N/A")</f>
        <v>N/A</v>
      </c>
      <c r="W281" s="28" t="s">
        <v>1463</v>
      </c>
      <c r="X281" s="28" t="s">
        <v>1646</v>
      </c>
      <c r="Y281" s="28" t="s">
        <v>1647</v>
      </c>
      <c r="AA281" s="28"/>
      <c r="AB281" s="28" t="s">
        <v>1465</v>
      </c>
      <c r="AC281" s="28" t="s">
        <v>1466</v>
      </c>
    </row>
    <row r="282" spans="1:29" x14ac:dyDescent="0.25">
      <c r="A282" s="61">
        <v>110000450039</v>
      </c>
      <c r="B282" s="28">
        <v>2020</v>
      </c>
      <c r="C282" s="68">
        <f t="shared" si="4"/>
        <v>43831</v>
      </c>
      <c r="D282" s="28" t="s">
        <v>127</v>
      </c>
      <c r="E282" s="28" t="s">
        <v>408</v>
      </c>
      <c r="F282" s="28" t="s">
        <v>302</v>
      </c>
      <c r="G282" s="28" t="s">
        <v>303</v>
      </c>
      <c r="H282" s="28">
        <v>70807</v>
      </c>
      <c r="I282" s="28">
        <v>30.567550000000001</v>
      </c>
      <c r="J282" s="28">
        <v>-91.206370000000007</v>
      </c>
      <c r="K282" s="28" t="s">
        <v>409</v>
      </c>
      <c r="L282" s="61">
        <v>110000450039</v>
      </c>
      <c r="M282" s="28" t="s">
        <v>6751</v>
      </c>
      <c r="N282" s="28">
        <v>4953</v>
      </c>
      <c r="O282" s="28" t="str">
        <f>IFERROR(VLOOKUP(N282, 'SIC &amp; NAICS Codes'!A:B, 2, FALSE), "")</f>
        <v>Refuse Systems (hazardous waste treatment and disposal)</v>
      </c>
      <c r="S282" s="28">
        <v>1.6326530612244801</v>
      </c>
      <c r="T282" s="315">
        <f>_xlfn.MAXIFS('Raw Period DMR Data'!$O:$O,'Raw Period DMR Data'!$A:$A,'Raw Annual DMR Data'!B282,'Raw Period DMR Data'!$C:$C,X282)/S282</f>
        <v>0</v>
      </c>
      <c r="U282" s="28" t="str">
        <f>+IF(COUNTIFS('Raw Period DMR Data'!$A:$A,B282, 'Raw Period DMR Data'!C:C,'Raw Annual DMR Data'!X282, 'Raw Period DMR Data'!M:M, "&gt;0")&gt;0,_xlfn.MAXIFS('Raw Period DMR Data'!M:M,'Raw Period DMR Data'!$A:$A,'Raw Annual DMR Data'!B282,'Raw Period DMR Data'!C:C,'Raw Annual DMR Data'!X282), "N/A - Period DMR Data Not Available")</f>
        <v>N/A - Period DMR Data Not Available</v>
      </c>
      <c r="V282" s="28" t="str" cm="1">
        <f t="array" ref="V282">IFERROR(INDEX('Raw Period DMR Data'!N:N,MATCH(1,(B282='Raw Period DMR Data'!$A:$A)*(U282='Raw Period DMR Data'!M:M)*(X282='Raw Period DMR Data'!C:C),0),1), "N/A")</f>
        <v>N/A</v>
      </c>
      <c r="W282" s="28" t="s">
        <v>1463</v>
      </c>
      <c r="X282" s="28" t="s">
        <v>820</v>
      </c>
      <c r="Y282" s="28" t="s">
        <v>816</v>
      </c>
      <c r="Z282" s="61">
        <v>8070201000273</v>
      </c>
    </row>
    <row r="283" spans="1:29" x14ac:dyDescent="0.25">
      <c r="A283" s="61">
        <v>110000521221</v>
      </c>
      <c r="B283" s="28">
        <v>2015</v>
      </c>
      <c r="C283" s="68">
        <f t="shared" si="4"/>
        <v>42005</v>
      </c>
      <c r="D283" s="28" t="s">
        <v>128</v>
      </c>
      <c r="E283" s="28" t="s">
        <v>411</v>
      </c>
      <c r="F283" s="28" t="s">
        <v>412</v>
      </c>
      <c r="G283" s="28" t="s">
        <v>299</v>
      </c>
      <c r="H283" s="28">
        <v>71730</v>
      </c>
      <c r="I283" s="28">
        <v>33.2044</v>
      </c>
      <c r="J283" s="28">
        <v>-92.630799999999994</v>
      </c>
      <c r="K283" s="28" t="s">
        <v>413</v>
      </c>
      <c r="L283" s="61">
        <v>110000521221</v>
      </c>
      <c r="M283" s="28" t="s">
        <v>6752</v>
      </c>
      <c r="N283" s="28">
        <v>4953</v>
      </c>
      <c r="O283" s="28" t="str">
        <f>IFERROR(VLOOKUP(N283, 'SIC &amp; NAICS Codes'!A:B, 2, FALSE), "")</f>
        <v>Refuse Systems (hazardous waste treatment and disposal)</v>
      </c>
      <c r="S283" s="28">
        <v>358.444007935</v>
      </c>
      <c r="T283" s="315">
        <f>_xlfn.MAXIFS('Raw Period DMR Data'!$O:$O,'Raw Period DMR Data'!$A:$A,'Raw Annual DMR Data'!B283,'Raw Period DMR Data'!$C:$C,X283)/S283</f>
        <v>0.26582640959605253</v>
      </c>
      <c r="U283" s="28">
        <f>+IF(COUNTIFS('Raw Period DMR Data'!$A:$A,B283, 'Raw Period DMR Data'!C:C,'Raw Annual DMR Data'!X283, 'Raw Period DMR Data'!M:M, "&gt;0")&gt;0,_xlfn.MAXIFS('Raw Period DMR Data'!M:M,'Raw Period DMR Data'!$A:$A,'Raw Annual DMR Data'!B283,'Raw Period DMR Data'!C:C,'Raw Annual DMR Data'!X283), "N/A - Period DMR Data Not Available")</f>
        <v>3.1326174000000004</v>
      </c>
      <c r="V283" s="28" cm="1">
        <f t="array" ref="V283">IFERROR(INDEX('Raw Period DMR Data'!N:N,MATCH(1,(B283='Raw Period DMR Data'!$A:$A)*(U283='Raw Period DMR Data'!M:M)*(X283='Raw Period DMR Data'!C:C),0),1), "N/A")</f>
        <v>90</v>
      </c>
      <c r="W283" s="28">
        <v>9.123000639999999</v>
      </c>
      <c r="X283" s="28" t="s">
        <v>821</v>
      </c>
      <c r="Y283" s="28" t="s">
        <v>822</v>
      </c>
      <c r="Z283" s="61">
        <v>8040202000533</v>
      </c>
    </row>
    <row r="284" spans="1:29" x14ac:dyDescent="0.25">
      <c r="A284" s="61">
        <v>110000521221</v>
      </c>
      <c r="B284" s="28">
        <v>2016</v>
      </c>
      <c r="C284" s="68">
        <f t="shared" si="4"/>
        <v>42370</v>
      </c>
      <c r="D284" s="28" t="s">
        <v>128</v>
      </c>
      <c r="E284" s="28" t="s">
        <v>411</v>
      </c>
      <c r="F284" s="28" t="s">
        <v>412</v>
      </c>
      <c r="G284" s="28" t="s">
        <v>299</v>
      </c>
      <c r="H284" s="28">
        <v>71730</v>
      </c>
      <c r="I284" s="28">
        <v>33.2044</v>
      </c>
      <c r="J284" s="28">
        <v>-92.630799999999994</v>
      </c>
      <c r="K284" s="28" t="s">
        <v>413</v>
      </c>
      <c r="L284" s="61">
        <v>110000521221</v>
      </c>
      <c r="M284" s="28" t="s">
        <v>6752</v>
      </c>
      <c r="N284" s="28">
        <v>4953</v>
      </c>
      <c r="O284" s="28" t="str">
        <f>IFERROR(VLOOKUP(N284, 'SIC &amp; NAICS Codes'!A:B, 2, FALSE), "")</f>
        <v>Refuse Systems (hazardous waste treatment and disposal)</v>
      </c>
      <c r="S284" s="28">
        <v>108.352583344</v>
      </c>
      <c r="T284" s="315">
        <f>_xlfn.MAXIFS('Raw Period DMR Data'!$O:$O,'Raw Period DMR Data'!$A:$A,'Raw Annual DMR Data'!B284,'Raw Period DMR Data'!$C:$C,X284)/S284</f>
        <v>0</v>
      </c>
      <c r="U284" s="28" t="str">
        <f>+IF(COUNTIFS('Raw Period DMR Data'!$A:$A,B284, 'Raw Period DMR Data'!C:C,'Raw Annual DMR Data'!X284, 'Raw Period DMR Data'!M:M, "&gt;0")&gt;0,_xlfn.MAXIFS('Raw Period DMR Data'!M:M,'Raw Period DMR Data'!$A:$A,'Raw Annual DMR Data'!B284,'Raw Period DMR Data'!C:C,'Raw Annual DMR Data'!X284), "N/A - Period DMR Data Not Available")</f>
        <v>N/A - Period DMR Data Not Available</v>
      </c>
      <c r="V284" s="28" t="str" cm="1">
        <f t="array" ref="V284">IFERROR(INDEX('Raw Period DMR Data'!N:N,MATCH(1,(B284='Raw Period DMR Data'!$A:$A)*(U284='Raw Period DMR Data'!M:M)*(X284='Raw Period DMR Data'!C:C),0),1), "N/A")</f>
        <v>N/A</v>
      </c>
      <c r="W284" s="28" t="s">
        <v>1463</v>
      </c>
      <c r="X284" s="28" t="s">
        <v>821</v>
      </c>
      <c r="Y284" s="28" t="s">
        <v>822</v>
      </c>
      <c r="Z284" s="61">
        <v>8040202000533</v>
      </c>
      <c r="AA284" s="28"/>
    </row>
    <row r="285" spans="1:29" x14ac:dyDescent="0.25">
      <c r="A285" s="61">
        <v>110000521221</v>
      </c>
      <c r="B285" s="28">
        <v>2017</v>
      </c>
      <c r="C285" s="68">
        <f t="shared" si="4"/>
        <v>42736</v>
      </c>
      <c r="D285" s="28" t="s">
        <v>128</v>
      </c>
      <c r="E285" s="28" t="s">
        <v>411</v>
      </c>
      <c r="F285" s="28" t="s">
        <v>412</v>
      </c>
      <c r="G285" s="28" t="s">
        <v>299</v>
      </c>
      <c r="H285" s="28">
        <v>71730</v>
      </c>
      <c r="I285" s="28">
        <v>33.2044</v>
      </c>
      <c r="J285" s="28">
        <v>-92.630799999999994</v>
      </c>
      <c r="K285" s="28" t="s">
        <v>413</v>
      </c>
      <c r="L285" s="61">
        <v>110000521221</v>
      </c>
      <c r="M285" s="28" t="s">
        <v>6752</v>
      </c>
      <c r="N285" s="28">
        <v>4953</v>
      </c>
      <c r="O285" s="28" t="str">
        <f>IFERROR(VLOOKUP(N285, 'SIC &amp; NAICS Codes'!A:B, 2, FALSE), "")</f>
        <v>Refuse Systems (hazardous waste treatment and disposal)</v>
      </c>
      <c r="S285" s="28">
        <v>12.926202705</v>
      </c>
      <c r="T285" s="315">
        <f>_xlfn.MAXIFS('Raw Period DMR Data'!$O:$O,'Raw Period DMR Data'!$A:$A,'Raw Annual DMR Data'!B285,'Raw Period DMR Data'!$C:$C,X285)/S285</f>
        <v>0</v>
      </c>
      <c r="U285" s="28" t="str">
        <f>+IF(COUNTIFS('Raw Period DMR Data'!$A:$A,B285, 'Raw Period DMR Data'!C:C,'Raw Annual DMR Data'!X285, 'Raw Period DMR Data'!M:M, "&gt;0")&gt;0,_xlfn.MAXIFS('Raw Period DMR Data'!M:M,'Raw Period DMR Data'!$A:$A,'Raw Annual DMR Data'!B285,'Raw Period DMR Data'!C:C,'Raw Annual DMR Data'!X285), "N/A - Period DMR Data Not Available")</f>
        <v>N/A - Period DMR Data Not Available</v>
      </c>
      <c r="V285" s="28" t="str" cm="1">
        <f t="array" ref="V285">IFERROR(INDEX('Raw Period DMR Data'!N:N,MATCH(1,(B285='Raw Period DMR Data'!$A:$A)*(U285='Raw Period DMR Data'!M:M)*(X285='Raw Period DMR Data'!C:C),0),1), "N/A")</f>
        <v>N/A</v>
      </c>
      <c r="W285" s="28" t="s">
        <v>1463</v>
      </c>
      <c r="X285" s="28" t="s">
        <v>821</v>
      </c>
      <c r="Y285" s="28" t="s">
        <v>822</v>
      </c>
      <c r="Z285" s="61">
        <v>8040202000533</v>
      </c>
      <c r="AA285" s="28"/>
    </row>
    <row r="286" spans="1:29" x14ac:dyDescent="0.25">
      <c r="A286" s="61">
        <v>110000521221</v>
      </c>
      <c r="B286" s="28">
        <v>2018</v>
      </c>
      <c r="C286" s="68">
        <f t="shared" si="4"/>
        <v>43101</v>
      </c>
      <c r="D286" s="28" t="s">
        <v>128</v>
      </c>
      <c r="E286" s="28" t="s">
        <v>411</v>
      </c>
      <c r="F286" s="28" t="s">
        <v>412</v>
      </c>
      <c r="G286" s="28" t="s">
        <v>299</v>
      </c>
      <c r="H286" s="28">
        <v>71730</v>
      </c>
      <c r="I286" s="28">
        <v>33.2044</v>
      </c>
      <c r="J286" s="28">
        <v>-92.630799999999994</v>
      </c>
      <c r="K286" s="28" t="s">
        <v>413</v>
      </c>
      <c r="L286" s="61">
        <v>110000521221</v>
      </c>
      <c r="M286" s="28" t="s">
        <v>6752</v>
      </c>
      <c r="N286" s="28">
        <v>4953</v>
      </c>
      <c r="O286" s="28" t="str">
        <f>IFERROR(VLOOKUP(N286, 'SIC &amp; NAICS Codes'!A:B, 2, FALSE), "")</f>
        <v>Refuse Systems (hazardous waste treatment and disposal)</v>
      </c>
      <c r="S286" s="28">
        <v>6.9223350240000004E-5</v>
      </c>
      <c r="T286" s="315">
        <f>_xlfn.MAXIFS('Raw Period DMR Data'!$O:$O,'Raw Period DMR Data'!$A:$A,'Raw Annual DMR Data'!B286,'Raw Period DMR Data'!$C:$C,X286)/S286</f>
        <v>0</v>
      </c>
      <c r="U286" s="28" t="str">
        <f>+IF(COUNTIFS('Raw Period DMR Data'!$A:$A,B286, 'Raw Period DMR Data'!C:C,'Raw Annual DMR Data'!X286, 'Raw Period DMR Data'!M:M, "&gt;0")&gt;0,_xlfn.MAXIFS('Raw Period DMR Data'!M:M,'Raw Period DMR Data'!$A:$A,'Raw Annual DMR Data'!B286,'Raw Period DMR Data'!C:C,'Raw Annual DMR Data'!X286), "N/A - Period DMR Data Not Available")</f>
        <v>N/A - Period DMR Data Not Available</v>
      </c>
      <c r="V286" s="28" t="str" cm="1">
        <f t="array" ref="V286">IFERROR(INDEX('Raw Period DMR Data'!N:N,MATCH(1,(B286='Raw Period DMR Data'!$A:$A)*(U286='Raw Period DMR Data'!M:M)*(X286='Raw Period DMR Data'!C:C),0),1), "N/A")</f>
        <v>N/A</v>
      </c>
      <c r="W286" s="28" t="s">
        <v>1463</v>
      </c>
      <c r="X286" s="28" t="s">
        <v>821</v>
      </c>
      <c r="Y286" s="28" t="s">
        <v>822</v>
      </c>
      <c r="Z286" s="61">
        <v>8040202000533</v>
      </c>
    </row>
    <row r="287" spans="1:29" x14ac:dyDescent="0.25">
      <c r="A287" s="61">
        <v>110000521221</v>
      </c>
      <c r="B287" s="28">
        <v>2019</v>
      </c>
      <c r="C287" s="68">
        <f t="shared" si="4"/>
        <v>43466</v>
      </c>
      <c r="D287" s="28" t="s">
        <v>128</v>
      </c>
      <c r="E287" s="28" t="s">
        <v>411</v>
      </c>
      <c r="F287" s="28" t="s">
        <v>412</v>
      </c>
      <c r="G287" s="28" t="s">
        <v>299</v>
      </c>
      <c r="H287" s="28">
        <v>71730</v>
      </c>
      <c r="I287" s="28">
        <v>33.2044</v>
      </c>
      <c r="J287" s="28">
        <v>-92.630799999999994</v>
      </c>
      <c r="K287" s="28" t="s">
        <v>413</v>
      </c>
      <c r="L287" s="61">
        <v>110000521221</v>
      </c>
      <c r="M287" s="28" t="s">
        <v>6752</v>
      </c>
      <c r="N287" s="28">
        <v>4953</v>
      </c>
      <c r="O287" s="28" t="str">
        <f>IFERROR(VLOOKUP(N287, 'SIC &amp; NAICS Codes'!A:B, 2, FALSE), "")</f>
        <v>Refuse Systems (hazardous waste treatment and disposal)</v>
      </c>
      <c r="S287" s="28">
        <v>1.9550463679999999E-5</v>
      </c>
      <c r="T287" s="315">
        <f>_xlfn.MAXIFS('Raw Period DMR Data'!$O:$O,'Raw Period DMR Data'!$A:$A,'Raw Annual DMR Data'!B287,'Raw Period DMR Data'!$C:$C,X287)/S287</f>
        <v>0</v>
      </c>
      <c r="U287" s="28" t="str">
        <f>+IF(COUNTIFS('Raw Period DMR Data'!$A:$A,B287, 'Raw Period DMR Data'!C:C,'Raw Annual DMR Data'!X287, 'Raw Period DMR Data'!M:M, "&gt;0")&gt;0,_xlfn.MAXIFS('Raw Period DMR Data'!M:M,'Raw Period DMR Data'!$A:$A,'Raw Annual DMR Data'!B287,'Raw Period DMR Data'!C:C,'Raw Annual DMR Data'!X287), "N/A - Period DMR Data Not Available")</f>
        <v>N/A - Period DMR Data Not Available</v>
      </c>
      <c r="V287" s="28" t="str" cm="1">
        <f t="array" ref="V287">IFERROR(INDEX('Raw Period DMR Data'!N:N,MATCH(1,(B287='Raw Period DMR Data'!$A:$A)*(U287='Raw Period DMR Data'!M:M)*(X287='Raw Period DMR Data'!C:C),0),1), "N/A")</f>
        <v>N/A</v>
      </c>
      <c r="W287" s="28" t="s">
        <v>1463</v>
      </c>
      <c r="X287" s="28" t="s">
        <v>821</v>
      </c>
      <c r="Y287" s="28" t="s">
        <v>822</v>
      </c>
      <c r="Z287" s="61">
        <v>8040202000533</v>
      </c>
    </row>
    <row r="288" spans="1:29" x14ac:dyDescent="0.25">
      <c r="A288" s="61">
        <v>110035769585</v>
      </c>
      <c r="B288" s="28">
        <v>2020</v>
      </c>
      <c r="C288" s="68">
        <f t="shared" si="4"/>
        <v>43831</v>
      </c>
      <c r="D288" s="28" t="s">
        <v>129</v>
      </c>
      <c r="E288" s="28" t="s">
        <v>414</v>
      </c>
      <c r="F288" s="28" t="s">
        <v>415</v>
      </c>
      <c r="G288" s="28" t="s">
        <v>366</v>
      </c>
      <c r="H288" s="28">
        <v>93619</v>
      </c>
      <c r="I288" s="28">
        <v>36.793849999999999</v>
      </c>
      <c r="J288" s="28">
        <v>-119.61344</v>
      </c>
      <c r="L288" s="61">
        <v>110035769585</v>
      </c>
      <c r="M288" s="28" t="s">
        <v>263</v>
      </c>
      <c r="N288" s="28">
        <v>4952</v>
      </c>
      <c r="O288" s="28" t="str">
        <f>IFERROR(VLOOKUP(N288, 'SIC &amp; NAICS Codes'!A:B, 2, FALSE), "")</f>
        <v>Sewerage Systems</v>
      </c>
      <c r="S288" s="28">
        <v>11.416740920000001</v>
      </c>
      <c r="T288" s="315">
        <f>_xlfn.MAXIFS('Raw Period DMR Data'!$O:$O,'Raw Period DMR Data'!$A:$A,'Raw Annual DMR Data'!B288,'Raw Period DMR Data'!$C:$C,X288)/S288</f>
        <v>0</v>
      </c>
      <c r="U288" s="28" t="str">
        <f>+IF(COUNTIFS('Raw Period DMR Data'!$A:$A,B288, 'Raw Period DMR Data'!C:C,'Raw Annual DMR Data'!X288, 'Raw Period DMR Data'!M:M, "&gt;0")&gt;0,_xlfn.MAXIFS('Raw Period DMR Data'!M:M,'Raw Period DMR Data'!$A:$A,'Raw Annual DMR Data'!B288,'Raw Period DMR Data'!C:C,'Raw Annual DMR Data'!X288), "N/A - Period DMR Data Not Available")</f>
        <v>N/A - Period DMR Data Not Available</v>
      </c>
      <c r="V288" s="28" t="str" cm="1">
        <f t="array" ref="V288">IFERROR(INDEX('Raw Period DMR Data'!N:N,MATCH(1,(B288='Raw Period DMR Data'!$A:$A)*(U288='Raw Period DMR Data'!M:M)*(X288='Raw Period DMR Data'!C:C),0),1), "N/A")</f>
        <v>N/A</v>
      </c>
      <c r="W288" s="28" t="s">
        <v>1463</v>
      </c>
      <c r="X288" s="28" t="s">
        <v>823</v>
      </c>
      <c r="Y288" s="28" t="s">
        <v>824</v>
      </c>
      <c r="Z288" s="61">
        <v>18030009008092</v>
      </c>
    </row>
    <row r="289" spans="1:29" x14ac:dyDescent="0.25">
      <c r="A289" s="61">
        <v>110009830273</v>
      </c>
      <c r="B289" s="28">
        <v>2019</v>
      </c>
      <c r="C289" s="68">
        <f t="shared" si="4"/>
        <v>43466</v>
      </c>
      <c r="D289" s="28" t="s">
        <v>130</v>
      </c>
      <c r="E289" s="28" t="s">
        <v>416</v>
      </c>
      <c r="F289" s="28" t="s">
        <v>417</v>
      </c>
      <c r="G289" s="28" t="s">
        <v>418</v>
      </c>
      <c r="H289" s="28">
        <v>89501</v>
      </c>
      <c r="I289" s="28">
        <v>39.526260000000001</v>
      </c>
      <c r="J289" s="28">
        <v>-119.81308</v>
      </c>
      <c r="L289" s="61">
        <v>110009830273</v>
      </c>
      <c r="M289" s="28" t="s">
        <v>265</v>
      </c>
      <c r="N289" s="28">
        <v>7011</v>
      </c>
      <c r="O289" s="28" t="str">
        <f>IFERROR(VLOOKUP(N289, 'SIC &amp; NAICS Codes'!A:B, 2, FALSE), "")</f>
        <v>Hotels and Motels (hotels, except casino hotels, and motels)</v>
      </c>
      <c r="S289" s="28">
        <v>0.41401495609674999</v>
      </c>
      <c r="T289" s="315">
        <f>_xlfn.MAXIFS('Raw Period DMR Data'!$O:$O,'Raw Period DMR Data'!$A:$A,'Raw Annual DMR Data'!B289,'Raw Period DMR Data'!$C:$C,X289)/S289</f>
        <v>0</v>
      </c>
      <c r="U289" s="28" t="str">
        <f>+IF(COUNTIFS('Raw Period DMR Data'!$A:$A,B289, 'Raw Period DMR Data'!C:C,'Raw Annual DMR Data'!X289, 'Raw Period DMR Data'!M:M, "&gt;0")&gt;0,_xlfn.MAXIFS('Raw Period DMR Data'!M:M,'Raw Period DMR Data'!$A:$A,'Raw Annual DMR Data'!B289,'Raw Period DMR Data'!C:C,'Raw Annual DMR Data'!X289), "N/A - Period DMR Data Not Available")</f>
        <v>N/A - Period DMR Data Not Available</v>
      </c>
      <c r="V289" s="28" t="str" cm="1">
        <f t="array" ref="V289">IFERROR(INDEX('Raw Period DMR Data'!N:N,MATCH(1,(B289='Raw Period DMR Data'!$A:$A)*(U289='Raw Period DMR Data'!M:M)*(X289='Raw Period DMR Data'!C:C),0),1), "N/A")</f>
        <v>N/A</v>
      </c>
      <c r="W289" s="28" t="s">
        <v>1463</v>
      </c>
      <c r="X289" s="28" t="s">
        <v>825</v>
      </c>
      <c r="Y289" s="28" t="s">
        <v>826</v>
      </c>
      <c r="Z289" s="61">
        <v>16050102000406</v>
      </c>
    </row>
    <row r="290" spans="1:29" x14ac:dyDescent="0.25">
      <c r="A290" s="61">
        <v>110009696356</v>
      </c>
      <c r="B290" s="28">
        <v>2016</v>
      </c>
      <c r="C290" s="68">
        <f t="shared" si="4"/>
        <v>42370</v>
      </c>
      <c r="D290" s="28" t="s">
        <v>1065</v>
      </c>
      <c r="E290" s="28" t="s">
        <v>1648</v>
      </c>
      <c r="F290" s="28" t="s">
        <v>1066</v>
      </c>
      <c r="G290" s="28" t="s">
        <v>324</v>
      </c>
      <c r="H290" s="28">
        <v>42728</v>
      </c>
      <c r="I290" s="28">
        <v>37.105556</v>
      </c>
      <c r="J290" s="28">
        <v>-85.304167000000007</v>
      </c>
      <c r="L290" s="61">
        <v>110009696356</v>
      </c>
      <c r="M290" s="28" t="s">
        <v>263</v>
      </c>
      <c r="N290" s="28">
        <v>4952</v>
      </c>
      <c r="O290" s="28" t="str">
        <f>IFERROR(VLOOKUP(N290, 'SIC &amp; NAICS Codes'!A:B, 2, FALSE), "")</f>
        <v>Sewerage Systems</v>
      </c>
      <c r="S290" s="28">
        <v>3.0946159999999998</v>
      </c>
      <c r="T290" s="315">
        <f>_xlfn.MAXIFS('Raw Period DMR Data'!$O:$O,'Raw Period DMR Data'!$A:$A,'Raw Annual DMR Data'!B290,'Raw Period DMR Data'!$C:$C,X290)/S290</f>
        <v>0</v>
      </c>
      <c r="U290" s="28" t="str">
        <f>+IF(COUNTIFS('Raw Period DMR Data'!$A:$A,B290, 'Raw Period DMR Data'!C:C,'Raw Annual DMR Data'!X290, 'Raw Period DMR Data'!M:M, "&gt;0")&gt;0,_xlfn.MAXIFS('Raw Period DMR Data'!M:M,'Raw Period DMR Data'!$A:$A,'Raw Annual DMR Data'!B290,'Raw Period DMR Data'!C:C,'Raw Annual DMR Data'!X290), "N/A - Period DMR Data Not Available")</f>
        <v>N/A - Period DMR Data Not Available</v>
      </c>
      <c r="V290" s="28" t="str" cm="1">
        <f t="array" ref="V290">IFERROR(INDEX('Raw Period DMR Data'!N:N,MATCH(1,(B290='Raw Period DMR Data'!$A:$A)*(U290='Raw Period DMR Data'!M:M)*(X290='Raw Period DMR Data'!C:C),0),1), "N/A")</f>
        <v>N/A</v>
      </c>
      <c r="W290" s="28" t="s">
        <v>1463</v>
      </c>
      <c r="X290" s="28" t="s">
        <v>1649</v>
      </c>
      <c r="Y290" s="28" t="s">
        <v>1650</v>
      </c>
      <c r="Z290" s="28">
        <v>5110001000213</v>
      </c>
      <c r="AA290" s="28"/>
      <c r="AB290" s="28" t="s">
        <v>1465</v>
      </c>
      <c r="AC290" s="28" t="s">
        <v>263</v>
      </c>
    </row>
    <row r="291" spans="1:29" x14ac:dyDescent="0.25">
      <c r="A291" s="61">
        <v>110009696356</v>
      </c>
      <c r="B291" s="28">
        <v>2017</v>
      </c>
      <c r="C291" s="68">
        <f t="shared" si="4"/>
        <v>42736</v>
      </c>
      <c r="D291" s="28" t="s">
        <v>1065</v>
      </c>
      <c r="E291" s="28" t="s">
        <v>1648</v>
      </c>
      <c r="F291" s="28" t="s">
        <v>1066</v>
      </c>
      <c r="G291" s="28" t="s">
        <v>324</v>
      </c>
      <c r="H291" s="28">
        <v>42728</v>
      </c>
      <c r="I291" s="28">
        <v>37.105556</v>
      </c>
      <c r="J291" s="28">
        <v>-85.304167000000007</v>
      </c>
      <c r="L291" s="61">
        <v>110009696356</v>
      </c>
      <c r="M291" s="28" t="s">
        <v>263</v>
      </c>
      <c r="N291" s="28">
        <v>4952</v>
      </c>
      <c r="O291" s="28" t="str">
        <f>IFERROR(VLOOKUP(N291, 'SIC &amp; NAICS Codes'!A:B, 2, FALSE), "")</f>
        <v>Sewerage Systems</v>
      </c>
      <c r="S291" s="28">
        <v>2.6343954843750002</v>
      </c>
      <c r="T291" s="315">
        <f>_xlfn.MAXIFS('Raw Period DMR Data'!$O:$O,'Raw Period DMR Data'!$A:$A,'Raw Annual DMR Data'!B291,'Raw Period DMR Data'!$C:$C,X291)/S291</f>
        <v>0</v>
      </c>
      <c r="U291" s="28" t="str">
        <f>+IF(COUNTIFS('Raw Period DMR Data'!$A:$A,B291, 'Raw Period DMR Data'!C:C,'Raw Annual DMR Data'!X291, 'Raw Period DMR Data'!M:M, "&gt;0")&gt;0,_xlfn.MAXIFS('Raw Period DMR Data'!M:M,'Raw Period DMR Data'!$A:$A,'Raw Annual DMR Data'!B291,'Raw Period DMR Data'!C:C,'Raw Annual DMR Data'!X291), "N/A - Period DMR Data Not Available")</f>
        <v>N/A - Period DMR Data Not Available</v>
      </c>
      <c r="V291" s="28" t="str" cm="1">
        <f t="array" ref="V291">IFERROR(INDEX('Raw Period DMR Data'!N:N,MATCH(1,(B291='Raw Period DMR Data'!$A:$A)*(U291='Raw Period DMR Data'!M:M)*(X291='Raw Period DMR Data'!C:C),0),1), "N/A")</f>
        <v>N/A</v>
      </c>
      <c r="W291" s="28" t="s">
        <v>1463</v>
      </c>
      <c r="X291" s="28" t="s">
        <v>1649</v>
      </c>
      <c r="Y291" s="28" t="s">
        <v>1650</v>
      </c>
      <c r="Z291" s="28">
        <v>5110001000213</v>
      </c>
      <c r="AA291" s="28"/>
      <c r="AB291" s="28" t="s">
        <v>1465</v>
      </c>
      <c r="AC291" s="28" t="s">
        <v>263</v>
      </c>
    </row>
    <row r="292" spans="1:29" x14ac:dyDescent="0.25">
      <c r="A292" s="61">
        <v>110009696356</v>
      </c>
      <c r="B292" s="28">
        <v>2018</v>
      </c>
      <c r="C292" s="68">
        <f t="shared" si="4"/>
        <v>43101</v>
      </c>
      <c r="D292" s="28" t="s">
        <v>1065</v>
      </c>
      <c r="E292" s="28" t="s">
        <v>1648</v>
      </c>
      <c r="F292" s="28" t="s">
        <v>1066</v>
      </c>
      <c r="G292" s="28" t="s">
        <v>324</v>
      </c>
      <c r="H292" s="28">
        <v>42728</v>
      </c>
      <c r="I292" s="28">
        <v>37.105556</v>
      </c>
      <c r="J292" s="28">
        <v>-85.304167000000007</v>
      </c>
      <c r="L292" s="61">
        <v>110009696356</v>
      </c>
      <c r="M292" s="28" t="s">
        <v>263</v>
      </c>
      <c r="N292" s="28">
        <v>4952</v>
      </c>
      <c r="O292" s="28" t="str">
        <f>IFERROR(VLOOKUP(N292, 'SIC &amp; NAICS Codes'!A:B, 2, FALSE), "")</f>
        <v>Sewerage Systems</v>
      </c>
      <c r="S292" s="28">
        <v>4.3414423124999999</v>
      </c>
      <c r="T292" s="315">
        <f>_xlfn.MAXIFS('Raw Period DMR Data'!$O:$O,'Raw Period DMR Data'!$A:$A,'Raw Annual DMR Data'!B292,'Raw Period DMR Data'!$C:$C,X292)/S292</f>
        <v>0</v>
      </c>
      <c r="U292" s="28" t="str">
        <f>+IF(COUNTIFS('Raw Period DMR Data'!$A:$A,B292, 'Raw Period DMR Data'!C:C,'Raw Annual DMR Data'!X292, 'Raw Period DMR Data'!M:M, "&gt;0")&gt;0,_xlfn.MAXIFS('Raw Period DMR Data'!M:M,'Raw Period DMR Data'!$A:$A,'Raw Annual DMR Data'!B292,'Raw Period DMR Data'!C:C,'Raw Annual DMR Data'!X292), "N/A - Period DMR Data Not Available")</f>
        <v>N/A - Period DMR Data Not Available</v>
      </c>
      <c r="V292" s="28" t="str" cm="1">
        <f t="array" ref="V292">IFERROR(INDEX('Raw Period DMR Data'!N:N,MATCH(1,(B292='Raw Period DMR Data'!$A:$A)*(U292='Raw Period DMR Data'!M:M)*(X292='Raw Period DMR Data'!C:C),0),1), "N/A")</f>
        <v>N/A</v>
      </c>
      <c r="W292" s="28" t="s">
        <v>1463</v>
      </c>
      <c r="X292" s="28" t="s">
        <v>1649</v>
      </c>
      <c r="Y292" s="28" t="s">
        <v>1650</v>
      </c>
      <c r="Z292" s="302" t="s">
        <v>1651</v>
      </c>
      <c r="AA292" s="28"/>
      <c r="AB292" s="28" t="s">
        <v>1465</v>
      </c>
      <c r="AC292" s="28" t="s">
        <v>263</v>
      </c>
    </row>
    <row r="293" spans="1:29" x14ac:dyDescent="0.25">
      <c r="A293" s="61">
        <v>110009696356</v>
      </c>
      <c r="B293" s="28">
        <v>2019</v>
      </c>
      <c r="C293" s="68">
        <f t="shared" si="4"/>
        <v>43466</v>
      </c>
      <c r="D293" s="28" t="s">
        <v>1065</v>
      </c>
      <c r="E293" s="28" t="s">
        <v>1648</v>
      </c>
      <c r="F293" s="28" t="s">
        <v>1066</v>
      </c>
      <c r="G293" s="28" t="s">
        <v>324</v>
      </c>
      <c r="H293" s="28">
        <v>42728</v>
      </c>
      <c r="I293" s="28">
        <v>37.105556</v>
      </c>
      <c r="J293" s="28">
        <v>-85.304167000000007</v>
      </c>
      <c r="L293" s="61">
        <v>110009696356</v>
      </c>
      <c r="M293" s="28" t="s">
        <v>263</v>
      </c>
      <c r="N293" s="28">
        <v>4952</v>
      </c>
      <c r="O293" s="28" t="str">
        <f>IFERROR(VLOOKUP(N293, 'SIC &amp; NAICS Codes'!A:B, 2, FALSE), "")</f>
        <v>Sewerage Systems</v>
      </c>
      <c r="S293" s="28">
        <v>4.6419240000000004</v>
      </c>
      <c r="T293" s="315">
        <f>_xlfn.MAXIFS('Raw Period DMR Data'!$O:$O,'Raw Period DMR Data'!$A:$A,'Raw Annual DMR Data'!B293,'Raw Period DMR Data'!$C:$C,X293)/S293</f>
        <v>0</v>
      </c>
      <c r="U293" s="28" t="str">
        <f>+IF(COUNTIFS('Raw Period DMR Data'!$A:$A,B293, 'Raw Period DMR Data'!C:C,'Raw Annual DMR Data'!X293, 'Raw Period DMR Data'!M:M, "&gt;0")&gt;0,_xlfn.MAXIFS('Raw Period DMR Data'!M:M,'Raw Period DMR Data'!$A:$A,'Raw Annual DMR Data'!B293,'Raw Period DMR Data'!C:C,'Raw Annual DMR Data'!X293), "N/A - Period DMR Data Not Available")</f>
        <v>N/A - Period DMR Data Not Available</v>
      </c>
      <c r="V293" s="28" t="str" cm="1">
        <f t="array" ref="V293">IFERROR(INDEX('Raw Period DMR Data'!N:N,MATCH(1,(B293='Raw Period DMR Data'!$A:$A)*(U293='Raw Period DMR Data'!M:M)*(X293='Raw Period DMR Data'!C:C),0),1), "N/A")</f>
        <v>N/A</v>
      </c>
      <c r="W293" s="28" t="s">
        <v>1463</v>
      </c>
      <c r="X293" s="28" t="s">
        <v>1649</v>
      </c>
      <c r="Y293" s="28" t="s">
        <v>1650</v>
      </c>
      <c r="Z293" s="28">
        <v>5110001000213</v>
      </c>
      <c r="AA293" s="28"/>
      <c r="AB293" s="28" t="s">
        <v>1465</v>
      </c>
      <c r="AC293" s="28" t="s">
        <v>263</v>
      </c>
    </row>
    <row r="294" spans="1:29" x14ac:dyDescent="0.25">
      <c r="A294" s="61">
        <v>110055984957</v>
      </c>
      <c r="B294" s="28">
        <v>2019</v>
      </c>
      <c r="C294" s="68">
        <f t="shared" si="4"/>
        <v>43466</v>
      </c>
      <c r="D294" s="28" t="s">
        <v>131</v>
      </c>
      <c r="E294" s="28" t="s">
        <v>420</v>
      </c>
      <c r="F294" s="28" t="s">
        <v>421</v>
      </c>
      <c r="G294" s="28" t="s">
        <v>366</v>
      </c>
      <c r="H294" s="28">
        <v>95932</v>
      </c>
      <c r="I294" s="28">
        <v>39.191054000000001</v>
      </c>
      <c r="J294" s="28">
        <v>-122.023129</v>
      </c>
      <c r="L294" s="61">
        <v>110055984957</v>
      </c>
      <c r="M294" s="28" t="s">
        <v>263</v>
      </c>
      <c r="N294" s="28">
        <v>4952</v>
      </c>
      <c r="O294" s="28" t="str">
        <f>IFERROR(VLOOKUP(N294, 'SIC &amp; NAICS Codes'!A:B, 2, FALSE), "")</f>
        <v>Sewerage Systems</v>
      </c>
      <c r="S294" s="28">
        <v>7.7251345333333304E-2</v>
      </c>
      <c r="T294" s="315">
        <f>_xlfn.MAXIFS('Raw Period DMR Data'!$O:$O,'Raw Period DMR Data'!$A:$A,'Raw Annual DMR Data'!B294,'Raw Period DMR Data'!$C:$C,X294)/S294</f>
        <v>0</v>
      </c>
      <c r="U294" s="28" t="str">
        <f>+IF(COUNTIFS('Raw Period DMR Data'!$A:$A,B294, 'Raw Period DMR Data'!C:C,'Raw Annual DMR Data'!X294, 'Raw Period DMR Data'!M:M, "&gt;0")&gt;0,_xlfn.MAXIFS('Raw Period DMR Data'!M:M,'Raw Period DMR Data'!$A:$A,'Raw Annual DMR Data'!B294,'Raw Period DMR Data'!C:C,'Raw Annual DMR Data'!X294), "N/A - Period DMR Data Not Available")</f>
        <v>N/A - Period DMR Data Not Available</v>
      </c>
      <c r="V294" s="28" t="str" cm="1">
        <f t="array" ref="V294">IFERROR(INDEX('Raw Period DMR Data'!N:N,MATCH(1,(B294='Raw Period DMR Data'!$A:$A)*(U294='Raw Period DMR Data'!M:M)*(X294='Raw Period DMR Data'!C:C),0),1), "N/A")</f>
        <v>N/A</v>
      </c>
      <c r="W294" s="28" t="s">
        <v>1463</v>
      </c>
      <c r="X294" s="28" t="s">
        <v>827</v>
      </c>
      <c r="Y294" s="28" t="s">
        <v>828</v>
      </c>
      <c r="Z294" s="61">
        <v>18020104000844</v>
      </c>
    </row>
    <row r="295" spans="1:29" x14ac:dyDescent="0.25">
      <c r="A295" s="61">
        <v>110000595981</v>
      </c>
      <c r="B295" s="28">
        <v>2018</v>
      </c>
      <c r="C295" s="68">
        <f t="shared" si="4"/>
        <v>43101</v>
      </c>
      <c r="D295" s="28" t="s">
        <v>1067</v>
      </c>
      <c r="E295" s="28" t="s">
        <v>1652</v>
      </c>
      <c r="F295" s="28" t="s">
        <v>1068</v>
      </c>
      <c r="G295" s="28" t="s">
        <v>349</v>
      </c>
      <c r="H295" s="28">
        <v>63401</v>
      </c>
      <c r="I295" s="28">
        <v>39.679130000000001</v>
      </c>
      <c r="J295" s="28">
        <v>-91.314239999999998</v>
      </c>
      <c r="K295" s="28" t="s">
        <v>709</v>
      </c>
      <c r="L295" s="61">
        <v>110000595981</v>
      </c>
      <c r="M295" s="28" t="s">
        <v>265</v>
      </c>
      <c r="N295" s="28">
        <v>3241</v>
      </c>
      <c r="O295" s="28" t="str">
        <f>IFERROR(VLOOKUP(N295, 'SIC &amp; NAICS Codes'!A:B, 2, FALSE), "")</f>
        <v>Cement, Hydraulic</v>
      </c>
      <c r="S295" s="28">
        <v>0.12433725</v>
      </c>
      <c r="T295" s="315">
        <f>_xlfn.MAXIFS('Raw Period DMR Data'!$O:$O,'Raw Period DMR Data'!$A:$A,'Raw Annual DMR Data'!B295,'Raw Period DMR Data'!$C:$C,X295)/S295</f>
        <v>0</v>
      </c>
      <c r="U295" s="28" t="str">
        <f>+IF(COUNTIFS('Raw Period DMR Data'!$A:$A,B295, 'Raw Period DMR Data'!C:C,'Raw Annual DMR Data'!X295, 'Raw Period DMR Data'!M:M, "&gt;0")&gt;0,_xlfn.MAXIFS('Raw Period DMR Data'!M:M,'Raw Period DMR Data'!$A:$A,'Raw Annual DMR Data'!B295,'Raw Period DMR Data'!C:C,'Raw Annual DMR Data'!X295), "N/A - Period DMR Data Not Available")</f>
        <v>N/A - Period DMR Data Not Available</v>
      </c>
      <c r="V295" s="28" t="str" cm="1">
        <f t="array" ref="V295">IFERROR(INDEX('Raw Period DMR Data'!N:N,MATCH(1,(B295='Raw Period DMR Data'!$A:$A)*(U295='Raw Period DMR Data'!M:M)*(X295='Raw Period DMR Data'!C:C),0),1), "N/A")</f>
        <v>N/A</v>
      </c>
      <c r="W295" s="28" t="s">
        <v>1463</v>
      </c>
      <c r="X295" s="28" t="s">
        <v>1653</v>
      </c>
      <c r="Y295" s="28" t="s">
        <v>1654</v>
      </c>
      <c r="Z295" s="302" t="s">
        <v>1655</v>
      </c>
      <c r="AA295" s="28"/>
      <c r="AB295" s="28" t="s">
        <v>1465</v>
      </c>
      <c r="AC295" s="28" t="s">
        <v>1466</v>
      </c>
    </row>
    <row r="296" spans="1:29" x14ac:dyDescent="0.25">
      <c r="A296" s="61">
        <v>110000595981</v>
      </c>
      <c r="B296" s="28">
        <v>2019</v>
      </c>
      <c r="C296" s="68">
        <f t="shared" si="4"/>
        <v>43466</v>
      </c>
      <c r="D296" s="28" t="s">
        <v>1067</v>
      </c>
      <c r="E296" s="28" t="s">
        <v>1652</v>
      </c>
      <c r="F296" s="28" t="s">
        <v>1068</v>
      </c>
      <c r="G296" s="28" t="s">
        <v>349</v>
      </c>
      <c r="H296" s="28">
        <v>63401</v>
      </c>
      <c r="I296" s="28">
        <v>39.679130000000001</v>
      </c>
      <c r="J296" s="28">
        <v>-91.314239999999998</v>
      </c>
      <c r="K296" s="28" t="s">
        <v>709</v>
      </c>
      <c r="L296" s="61">
        <v>110000595981</v>
      </c>
      <c r="M296" s="28" t="s">
        <v>265</v>
      </c>
      <c r="N296" s="28">
        <v>3241</v>
      </c>
      <c r="O296" s="28" t="str">
        <f>IFERROR(VLOOKUP(N296, 'SIC &amp; NAICS Codes'!A:B, 2, FALSE), "")</f>
        <v>Cement, Hydraulic</v>
      </c>
      <c r="S296" s="28">
        <v>0.12433725</v>
      </c>
      <c r="T296" s="315">
        <f>_xlfn.MAXIFS('Raw Period DMR Data'!$O:$O,'Raw Period DMR Data'!$A:$A,'Raw Annual DMR Data'!B296,'Raw Period DMR Data'!$C:$C,X296)/S296</f>
        <v>0</v>
      </c>
      <c r="U296" s="28" t="str">
        <f>+IF(COUNTIFS('Raw Period DMR Data'!$A:$A,B296, 'Raw Period DMR Data'!C:C,'Raw Annual DMR Data'!X296, 'Raw Period DMR Data'!M:M, "&gt;0")&gt;0,_xlfn.MAXIFS('Raw Period DMR Data'!M:M,'Raw Period DMR Data'!$A:$A,'Raw Annual DMR Data'!B296,'Raw Period DMR Data'!C:C,'Raw Annual DMR Data'!X296), "N/A - Period DMR Data Not Available")</f>
        <v>N/A - Period DMR Data Not Available</v>
      </c>
      <c r="V296" s="28" t="str" cm="1">
        <f t="array" ref="V296">IFERROR(INDEX('Raw Period DMR Data'!N:N,MATCH(1,(B296='Raw Period DMR Data'!$A:$A)*(U296='Raw Period DMR Data'!M:M)*(X296='Raw Period DMR Data'!C:C),0),1), "N/A")</f>
        <v>N/A</v>
      </c>
      <c r="W296" s="28" t="s">
        <v>1463</v>
      </c>
      <c r="X296" s="28" t="s">
        <v>1653</v>
      </c>
      <c r="Y296" s="28" t="s">
        <v>1654</v>
      </c>
      <c r="Z296" s="28">
        <v>7110004001311</v>
      </c>
      <c r="AA296" s="28"/>
      <c r="AB296" s="28" t="s">
        <v>1465</v>
      </c>
      <c r="AC296" s="28" t="s">
        <v>1466</v>
      </c>
    </row>
    <row r="297" spans="1:29" x14ac:dyDescent="0.25">
      <c r="A297" s="61">
        <v>110000595981</v>
      </c>
      <c r="B297" s="28">
        <v>2020</v>
      </c>
      <c r="C297" s="68">
        <f t="shared" si="4"/>
        <v>43831</v>
      </c>
      <c r="D297" s="28" t="s">
        <v>1067</v>
      </c>
      <c r="E297" s="28" t="s">
        <v>1652</v>
      </c>
      <c r="F297" s="28" t="s">
        <v>1068</v>
      </c>
      <c r="G297" s="28" t="s">
        <v>349</v>
      </c>
      <c r="H297" s="28">
        <v>63401</v>
      </c>
      <c r="I297" s="28">
        <v>39.679130000000001</v>
      </c>
      <c r="J297" s="28">
        <v>-91.314239999999998</v>
      </c>
      <c r="K297" s="28" t="s">
        <v>709</v>
      </c>
      <c r="L297" s="61">
        <v>110000595981</v>
      </c>
      <c r="M297" s="28" t="s">
        <v>265</v>
      </c>
      <c r="N297" s="28">
        <v>3241</v>
      </c>
      <c r="O297" s="28" t="str">
        <f>IFERROR(VLOOKUP(N297, 'SIC &amp; NAICS Codes'!A:B, 2, FALSE), "")</f>
        <v>Cement, Hydraulic</v>
      </c>
      <c r="S297" s="28">
        <v>0.10361437499999999</v>
      </c>
      <c r="T297" s="315">
        <f>_xlfn.MAXIFS('Raw Period DMR Data'!$O:$O,'Raw Period DMR Data'!$A:$A,'Raw Annual DMR Data'!B297,'Raw Period DMR Data'!$C:$C,X297)/S297</f>
        <v>0</v>
      </c>
      <c r="U297" s="28" t="str">
        <f>+IF(COUNTIFS('Raw Period DMR Data'!$A:$A,B297, 'Raw Period DMR Data'!C:C,'Raw Annual DMR Data'!X297, 'Raw Period DMR Data'!M:M, "&gt;0")&gt;0,_xlfn.MAXIFS('Raw Period DMR Data'!M:M,'Raw Period DMR Data'!$A:$A,'Raw Annual DMR Data'!B297,'Raw Period DMR Data'!C:C,'Raw Annual DMR Data'!X297), "N/A - Period DMR Data Not Available")</f>
        <v>N/A - Period DMR Data Not Available</v>
      </c>
      <c r="V297" s="28" t="str" cm="1">
        <f t="array" ref="V297">IFERROR(INDEX('Raw Period DMR Data'!N:N,MATCH(1,(B297='Raw Period DMR Data'!$A:$A)*(U297='Raw Period DMR Data'!M:M)*(X297='Raw Period DMR Data'!C:C),0),1), "N/A")</f>
        <v>N/A</v>
      </c>
      <c r="W297" s="28" t="s">
        <v>1463</v>
      </c>
      <c r="X297" s="28" t="s">
        <v>1653</v>
      </c>
      <c r="Y297" s="28" t="s">
        <v>1654</v>
      </c>
      <c r="Z297" s="28">
        <v>7110004001311</v>
      </c>
      <c r="AA297" s="28"/>
      <c r="AB297" s="28" t="s">
        <v>1465</v>
      </c>
      <c r="AC297" s="28" t="s">
        <v>1466</v>
      </c>
    </row>
    <row r="298" spans="1:29" x14ac:dyDescent="0.25">
      <c r="A298" s="61">
        <v>110000616049</v>
      </c>
      <c r="B298" s="28">
        <v>2016</v>
      </c>
      <c r="C298" s="68">
        <f t="shared" si="4"/>
        <v>42370</v>
      </c>
      <c r="D298" s="28" t="s">
        <v>1069</v>
      </c>
      <c r="E298" s="28" t="s">
        <v>1656</v>
      </c>
      <c r="F298" s="28" t="s">
        <v>1070</v>
      </c>
      <c r="G298" s="28" t="s">
        <v>338</v>
      </c>
      <c r="H298" s="28">
        <v>79302221</v>
      </c>
      <c r="I298" s="28">
        <v>40.798532000000002</v>
      </c>
      <c r="J298" s="28">
        <v>-74.701402000000002</v>
      </c>
      <c r="L298" s="61">
        <v>110000616049</v>
      </c>
      <c r="M298" s="28" t="s">
        <v>265</v>
      </c>
      <c r="N298" s="28">
        <v>1799</v>
      </c>
      <c r="O298" s="28" t="str">
        <f>IFERROR(VLOOKUP(N298, 'SIC &amp; NAICS Codes'!A:B, 2, FALSE), "")</f>
        <v>Special Trade Contractors, NEC (indoor swimming pool construction contractors)</v>
      </c>
      <c r="S298" s="28">
        <v>4.4704634999999998E-3</v>
      </c>
      <c r="T298" s="315">
        <f>_xlfn.MAXIFS('Raw Period DMR Data'!$O:$O,'Raw Period DMR Data'!$A:$A,'Raw Annual DMR Data'!B298,'Raw Period DMR Data'!$C:$C,X298)/S298</f>
        <v>0</v>
      </c>
      <c r="U298" s="28" t="str">
        <f>+IF(COUNTIFS('Raw Period DMR Data'!$A:$A,B298, 'Raw Period DMR Data'!C:C,'Raw Annual DMR Data'!X298, 'Raw Period DMR Data'!M:M, "&gt;0")&gt;0,_xlfn.MAXIFS('Raw Period DMR Data'!M:M,'Raw Period DMR Data'!$A:$A,'Raw Annual DMR Data'!B298,'Raw Period DMR Data'!C:C,'Raw Annual DMR Data'!X298), "N/A - Period DMR Data Not Available")</f>
        <v>N/A - Period DMR Data Not Available</v>
      </c>
      <c r="V298" s="28" t="str" cm="1">
        <f t="array" ref="V298">IFERROR(INDEX('Raw Period DMR Data'!N:N,MATCH(1,(B298='Raw Period DMR Data'!$A:$A)*(U298='Raw Period DMR Data'!M:M)*(X298='Raw Period DMR Data'!C:C),0),1), "N/A")</f>
        <v>N/A</v>
      </c>
      <c r="W298" s="28" t="s">
        <v>1463</v>
      </c>
      <c r="X298" s="28" t="s">
        <v>1657</v>
      </c>
      <c r="Y298" s="28" t="s">
        <v>1658</v>
      </c>
      <c r="Z298" s="28">
        <v>2030105000068</v>
      </c>
      <c r="AA298" s="28"/>
      <c r="AB298" s="28" t="s">
        <v>1465</v>
      </c>
      <c r="AC298" s="28" t="s">
        <v>1466</v>
      </c>
    </row>
    <row r="299" spans="1:29" x14ac:dyDescent="0.25">
      <c r="A299" s="61">
        <v>110000616049</v>
      </c>
      <c r="B299" s="28">
        <v>2017</v>
      </c>
      <c r="C299" s="68">
        <f t="shared" si="4"/>
        <v>42736</v>
      </c>
      <c r="D299" s="28" t="s">
        <v>1069</v>
      </c>
      <c r="E299" s="28" t="s">
        <v>1656</v>
      </c>
      <c r="F299" s="28" t="s">
        <v>1070</v>
      </c>
      <c r="G299" s="28" t="s">
        <v>338</v>
      </c>
      <c r="H299" s="28">
        <v>79302221</v>
      </c>
      <c r="I299" s="28">
        <v>40.798532000000002</v>
      </c>
      <c r="J299" s="28">
        <v>-74.701402000000002</v>
      </c>
      <c r="L299" s="61">
        <v>110000616049</v>
      </c>
      <c r="M299" s="28" t="s">
        <v>265</v>
      </c>
      <c r="N299" s="28">
        <v>1799</v>
      </c>
      <c r="O299" s="28" t="str">
        <f>IFERROR(VLOOKUP(N299, 'SIC &amp; NAICS Codes'!A:B, 2, FALSE), "")</f>
        <v>Special Trade Contractors, NEC (indoor swimming pool construction contractors)</v>
      </c>
      <c r="S299" s="28">
        <v>3.9957298750000004E-3</v>
      </c>
      <c r="T299" s="315">
        <f>_xlfn.MAXIFS('Raw Period DMR Data'!$O:$O,'Raw Period DMR Data'!$A:$A,'Raw Annual DMR Data'!B299,'Raw Period DMR Data'!$C:$C,X299)/S299</f>
        <v>0</v>
      </c>
      <c r="U299" s="28" t="str">
        <f>+IF(COUNTIFS('Raw Period DMR Data'!$A:$A,B299, 'Raw Period DMR Data'!C:C,'Raw Annual DMR Data'!X299, 'Raw Period DMR Data'!M:M, "&gt;0")&gt;0,_xlfn.MAXIFS('Raw Period DMR Data'!M:M,'Raw Period DMR Data'!$A:$A,'Raw Annual DMR Data'!B299,'Raw Period DMR Data'!C:C,'Raw Annual DMR Data'!X299), "N/A - Period DMR Data Not Available")</f>
        <v>N/A - Period DMR Data Not Available</v>
      </c>
      <c r="V299" s="28" t="str" cm="1">
        <f t="array" ref="V299">IFERROR(INDEX('Raw Period DMR Data'!N:N,MATCH(1,(B299='Raw Period DMR Data'!$A:$A)*(U299='Raw Period DMR Data'!M:M)*(X299='Raw Period DMR Data'!C:C),0),1), "N/A")</f>
        <v>N/A</v>
      </c>
      <c r="W299" s="28" t="s">
        <v>1463</v>
      </c>
      <c r="X299" s="28" t="s">
        <v>1657</v>
      </c>
      <c r="Y299" s="28" t="s">
        <v>1658</v>
      </c>
      <c r="Z299" s="28">
        <v>2030105000068</v>
      </c>
      <c r="AA299" s="28"/>
      <c r="AB299" s="28" t="s">
        <v>1465</v>
      </c>
      <c r="AC299" s="28" t="s">
        <v>1466</v>
      </c>
    </row>
    <row r="300" spans="1:29" x14ac:dyDescent="0.25">
      <c r="A300" s="61">
        <v>110000616049</v>
      </c>
      <c r="B300" s="28">
        <v>2018</v>
      </c>
      <c r="C300" s="68">
        <f t="shared" si="4"/>
        <v>43101</v>
      </c>
      <c r="D300" s="28" t="s">
        <v>1069</v>
      </c>
      <c r="E300" s="28" t="s">
        <v>1656</v>
      </c>
      <c r="F300" s="28" t="s">
        <v>1070</v>
      </c>
      <c r="G300" s="28" t="s">
        <v>338</v>
      </c>
      <c r="H300" s="302" t="s">
        <v>1659</v>
      </c>
      <c r="I300" s="28">
        <v>40.798532000000002</v>
      </c>
      <c r="J300" s="28">
        <v>-74.701402000000002</v>
      </c>
      <c r="L300" s="61">
        <v>110000616049</v>
      </c>
      <c r="M300" s="28" t="s">
        <v>265</v>
      </c>
      <c r="N300" s="28">
        <v>1799</v>
      </c>
      <c r="O300" s="28" t="str">
        <f>IFERROR(VLOOKUP(N300, 'SIC &amp; NAICS Codes'!A:B, 2, FALSE), "")</f>
        <v>Special Trade Contractors, NEC (indoor swimming pool construction contractors)</v>
      </c>
      <c r="S300" s="28">
        <v>5.0997197500000004E-3</v>
      </c>
      <c r="T300" s="315">
        <f>_xlfn.MAXIFS('Raw Period DMR Data'!$O:$O,'Raw Period DMR Data'!$A:$A,'Raw Annual DMR Data'!B300,'Raw Period DMR Data'!$C:$C,X300)/S300</f>
        <v>0</v>
      </c>
      <c r="U300" s="28" t="str">
        <f>+IF(COUNTIFS('Raw Period DMR Data'!$A:$A,B300, 'Raw Period DMR Data'!C:C,'Raw Annual DMR Data'!X300, 'Raw Period DMR Data'!M:M, "&gt;0")&gt;0,_xlfn.MAXIFS('Raw Period DMR Data'!M:M,'Raw Period DMR Data'!$A:$A,'Raw Annual DMR Data'!B300,'Raw Period DMR Data'!C:C,'Raw Annual DMR Data'!X300), "N/A - Period DMR Data Not Available")</f>
        <v>N/A - Period DMR Data Not Available</v>
      </c>
      <c r="V300" s="28" t="str" cm="1">
        <f t="array" ref="V300">IFERROR(INDEX('Raw Period DMR Data'!N:N,MATCH(1,(B300='Raw Period DMR Data'!$A:$A)*(U300='Raw Period DMR Data'!M:M)*(X300='Raw Period DMR Data'!C:C),0),1), "N/A")</f>
        <v>N/A</v>
      </c>
      <c r="W300" s="28" t="s">
        <v>1463</v>
      </c>
      <c r="X300" s="28" t="s">
        <v>1657</v>
      </c>
      <c r="Y300" s="28" t="s">
        <v>1658</v>
      </c>
      <c r="Z300" s="302" t="s">
        <v>1660</v>
      </c>
      <c r="AA300" s="28"/>
      <c r="AB300" s="28" t="s">
        <v>1465</v>
      </c>
      <c r="AC300" s="28" t="s">
        <v>1466</v>
      </c>
    </row>
    <row r="301" spans="1:29" x14ac:dyDescent="0.25">
      <c r="A301" s="61">
        <v>110000616049</v>
      </c>
      <c r="B301" s="28">
        <v>2019</v>
      </c>
      <c r="C301" s="68">
        <f t="shared" si="4"/>
        <v>43466</v>
      </c>
      <c r="D301" s="28" t="s">
        <v>1069</v>
      </c>
      <c r="E301" s="28" t="s">
        <v>1656</v>
      </c>
      <c r="F301" s="28" t="s">
        <v>1070</v>
      </c>
      <c r="G301" s="28" t="s">
        <v>338</v>
      </c>
      <c r="H301" s="28">
        <v>79302221</v>
      </c>
      <c r="I301" s="28">
        <v>40.798532000000002</v>
      </c>
      <c r="J301" s="28">
        <v>-74.701402000000002</v>
      </c>
      <c r="L301" s="61">
        <v>110000616049</v>
      </c>
      <c r="M301" s="28" t="s">
        <v>265</v>
      </c>
      <c r="N301" s="28">
        <v>1799</v>
      </c>
      <c r="O301" s="28" t="str">
        <f>IFERROR(VLOOKUP(N301, 'SIC &amp; NAICS Codes'!A:B, 2, FALSE), "")</f>
        <v>Special Trade Contractors, NEC (indoor swimming pool construction contractors)</v>
      </c>
      <c r="S301" s="28">
        <v>3.7992883749999999E-3</v>
      </c>
      <c r="T301" s="315">
        <f>_xlfn.MAXIFS('Raw Period DMR Data'!$O:$O,'Raw Period DMR Data'!$A:$A,'Raw Annual DMR Data'!B301,'Raw Period DMR Data'!$C:$C,X301)/S301</f>
        <v>0</v>
      </c>
      <c r="U301" s="28" t="str">
        <f>+IF(COUNTIFS('Raw Period DMR Data'!$A:$A,B301, 'Raw Period DMR Data'!C:C,'Raw Annual DMR Data'!X301, 'Raw Period DMR Data'!M:M, "&gt;0")&gt;0,_xlfn.MAXIFS('Raw Period DMR Data'!M:M,'Raw Period DMR Data'!$A:$A,'Raw Annual DMR Data'!B301,'Raw Period DMR Data'!C:C,'Raw Annual DMR Data'!X301), "N/A - Period DMR Data Not Available")</f>
        <v>N/A - Period DMR Data Not Available</v>
      </c>
      <c r="V301" s="28" t="str" cm="1">
        <f t="array" ref="V301">IFERROR(INDEX('Raw Period DMR Data'!N:N,MATCH(1,(B301='Raw Period DMR Data'!$A:$A)*(U301='Raw Period DMR Data'!M:M)*(X301='Raw Period DMR Data'!C:C),0),1), "N/A")</f>
        <v>N/A</v>
      </c>
      <c r="W301" s="28" t="s">
        <v>1463</v>
      </c>
      <c r="X301" s="28" t="s">
        <v>1657</v>
      </c>
      <c r="Y301" s="28" t="s">
        <v>1658</v>
      </c>
      <c r="Z301" s="28">
        <v>2030105000068</v>
      </c>
      <c r="AA301" s="28"/>
      <c r="AB301" s="28" t="s">
        <v>1465</v>
      </c>
      <c r="AC301" s="28" t="s">
        <v>1466</v>
      </c>
    </row>
    <row r="302" spans="1:29" x14ac:dyDescent="0.25">
      <c r="A302" s="61">
        <v>110000616049</v>
      </c>
      <c r="B302" s="28">
        <v>2020</v>
      </c>
      <c r="C302" s="68">
        <f t="shared" si="4"/>
        <v>43831</v>
      </c>
      <c r="D302" s="28" t="s">
        <v>1069</v>
      </c>
      <c r="E302" s="28" t="s">
        <v>1656</v>
      </c>
      <c r="F302" s="28" t="s">
        <v>1070</v>
      </c>
      <c r="G302" s="28" t="s">
        <v>338</v>
      </c>
      <c r="H302" s="28">
        <v>79302221</v>
      </c>
      <c r="I302" s="28">
        <v>40.798532000000002</v>
      </c>
      <c r="J302" s="28">
        <v>-74.701402000000002</v>
      </c>
      <c r="L302" s="61">
        <v>110000616049</v>
      </c>
      <c r="M302" s="28" t="s">
        <v>265</v>
      </c>
      <c r="N302" s="28">
        <v>1799</v>
      </c>
      <c r="O302" s="28" t="str">
        <f>IFERROR(VLOOKUP(N302, 'SIC &amp; NAICS Codes'!A:B, 2, FALSE), "")</f>
        <v>Special Trade Contractors, NEC (indoor swimming pool construction contractors)</v>
      </c>
      <c r="S302" s="28">
        <v>3.875556125E-3</v>
      </c>
      <c r="T302" s="315">
        <f>_xlfn.MAXIFS('Raw Period DMR Data'!$O:$O,'Raw Period DMR Data'!$A:$A,'Raw Annual DMR Data'!B302,'Raw Period DMR Data'!$C:$C,X302)/S302</f>
        <v>0</v>
      </c>
      <c r="U302" s="28" t="str">
        <f>+IF(COUNTIFS('Raw Period DMR Data'!$A:$A,B302, 'Raw Period DMR Data'!C:C,'Raw Annual DMR Data'!X302, 'Raw Period DMR Data'!M:M, "&gt;0")&gt;0,_xlfn.MAXIFS('Raw Period DMR Data'!M:M,'Raw Period DMR Data'!$A:$A,'Raw Annual DMR Data'!B302,'Raw Period DMR Data'!C:C,'Raw Annual DMR Data'!X302), "N/A - Period DMR Data Not Available")</f>
        <v>N/A - Period DMR Data Not Available</v>
      </c>
      <c r="V302" s="28" t="str" cm="1">
        <f t="array" ref="V302">IFERROR(INDEX('Raw Period DMR Data'!N:N,MATCH(1,(B302='Raw Period DMR Data'!$A:$A)*(U302='Raw Period DMR Data'!M:M)*(X302='Raw Period DMR Data'!C:C),0),1), "N/A")</f>
        <v>N/A</v>
      </c>
      <c r="W302" s="28" t="s">
        <v>1463</v>
      </c>
      <c r="X302" s="28" t="s">
        <v>1657</v>
      </c>
      <c r="Y302" s="28" t="s">
        <v>1658</v>
      </c>
      <c r="Z302" s="28">
        <v>2030105000068</v>
      </c>
      <c r="AA302" s="28"/>
      <c r="AB302" s="28" t="s">
        <v>1465</v>
      </c>
      <c r="AC302" s="28" t="s">
        <v>1466</v>
      </c>
    </row>
    <row r="303" spans="1:29" x14ac:dyDescent="0.25">
      <c r="A303" s="61">
        <v>110000730451</v>
      </c>
      <c r="B303" s="28">
        <v>2019</v>
      </c>
      <c r="C303" s="68">
        <f t="shared" si="4"/>
        <v>43466</v>
      </c>
      <c r="D303" s="28" t="s">
        <v>1071</v>
      </c>
      <c r="E303" s="28" t="s">
        <v>1661</v>
      </c>
      <c r="F303" s="28" t="s">
        <v>1072</v>
      </c>
      <c r="G303" s="28" t="s">
        <v>366</v>
      </c>
      <c r="H303" s="28">
        <v>96021</v>
      </c>
      <c r="I303" s="28">
        <v>39.916111000000001</v>
      </c>
      <c r="J303" s="28">
        <v>-122.104444</v>
      </c>
      <c r="L303" s="61">
        <v>110000730451</v>
      </c>
      <c r="M303" s="28" t="s">
        <v>263</v>
      </c>
      <c r="N303" s="28">
        <v>4952</v>
      </c>
      <c r="O303" s="28" t="str">
        <f>IFERROR(VLOOKUP(N303, 'SIC &amp; NAICS Codes'!A:B, 2, FALSE), "")</f>
        <v>Sewerage Systems</v>
      </c>
      <c r="S303" s="28">
        <v>6.6041664099999994E-2</v>
      </c>
      <c r="T303" s="315">
        <f>_xlfn.MAXIFS('Raw Period DMR Data'!$O:$O,'Raw Period DMR Data'!$A:$A,'Raw Annual DMR Data'!B303,'Raw Period DMR Data'!$C:$C,X303)/S303</f>
        <v>0</v>
      </c>
      <c r="U303" s="28" t="str">
        <f>+IF(COUNTIFS('Raw Period DMR Data'!$A:$A,B303, 'Raw Period DMR Data'!C:C,'Raw Annual DMR Data'!X303, 'Raw Period DMR Data'!M:M, "&gt;0")&gt;0,_xlfn.MAXIFS('Raw Period DMR Data'!M:M,'Raw Period DMR Data'!$A:$A,'Raw Annual DMR Data'!B303,'Raw Period DMR Data'!C:C,'Raw Annual DMR Data'!X303), "N/A - Period DMR Data Not Available")</f>
        <v>N/A - Period DMR Data Not Available</v>
      </c>
      <c r="V303" s="28" t="str" cm="1">
        <f t="array" ref="V303">IFERROR(INDEX('Raw Period DMR Data'!N:N,MATCH(1,(B303='Raw Period DMR Data'!$A:$A)*(U303='Raw Period DMR Data'!M:M)*(X303='Raw Period DMR Data'!C:C),0),1), "N/A")</f>
        <v>N/A</v>
      </c>
      <c r="W303" s="28" t="s">
        <v>1463</v>
      </c>
      <c r="X303" s="28" t="s">
        <v>1662</v>
      </c>
      <c r="Y303" s="28" t="s">
        <v>818</v>
      </c>
      <c r="Z303" s="28">
        <v>18020157005020</v>
      </c>
      <c r="AA303" s="28"/>
      <c r="AB303" s="28" t="s">
        <v>1465</v>
      </c>
      <c r="AC303" s="28" t="s">
        <v>263</v>
      </c>
    </row>
    <row r="304" spans="1:29" x14ac:dyDescent="0.25">
      <c r="A304" s="61">
        <v>110055979455</v>
      </c>
      <c r="B304" s="28">
        <v>2015</v>
      </c>
      <c r="C304" s="68">
        <f t="shared" si="4"/>
        <v>42005</v>
      </c>
      <c r="D304" s="28" t="s">
        <v>1073</v>
      </c>
      <c r="E304" s="28" t="s">
        <v>1663</v>
      </c>
      <c r="F304" s="28" t="s">
        <v>1074</v>
      </c>
      <c r="G304" s="28" t="s">
        <v>374</v>
      </c>
      <c r="H304" s="28" t="s">
        <v>1664</v>
      </c>
      <c r="I304" s="28">
        <v>34.729709999999997</v>
      </c>
      <c r="J304" s="28">
        <v>-112.04337599999999</v>
      </c>
      <c r="L304" s="61">
        <v>110055979455</v>
      </c>
      <c r="M304" s="28" t="s">
        <v>263</v>
      </c>
      <c r="N304" s="28">
        <v>4952</v>
      </c>
      <c r="O304" s="28" t="str">
        <f>IFERROR(VLOOKUP(N304, 'SIC &amp; NAICS Codes'!A:B, 2, FALSE), "")</f>
        <v>Sewerage Systems</v>
      </c>
      <c r="S304" s="28">
        <v>1.2046897999999999</v>
      </c>
      <c r="T304" s="315">
        <f>_xlfn.MAXIFS('Raw Period DMR Data'!$O:$O,'Raw Period DMR Data'!$A:$A,'Raw Annual DMR Data'!B304,'Raw Period DMR Data'!$C:$C,X304)/S304</f>
        <v>0</v>
      </c>
      <c r="U304" s="28" t="str">
        <f>+IF(COUNTIFS('Raw Period DMR Data'!$A:$A,B304, 'Raw Period DMR Data'!C:C,'Raw Annual DMR Data'!X304, 'Raw Period DMR Data'!M:M, "&gt;0")&gt;0,_xlfn.MAXIFS('Raw Period DMR Data'!M:M,'Raw Period DMR Data'!$A:$A,'Raw Annual DMR Data'!B304,'Raw Period DMR Data'!C:C,'Raw Annual DMR Data'!X304), "N/A - Period DMR Data Not Available")</f>
        <v>N/A - Period DMR Data Not Available</v>
      </c>
      <c r="V304" s="28" t="str" cm="1">
        <f t="array" ref="V304">IFERROR(INDEX('Raw Period DMR Data'!N:N,MATCH(1,(B304='Raw Period DMR Data'!$A:$A)*(U304='Raw Period DMR Data'!M:M)*(X304='Raw Period DMR Data'!C:C),0),1), "N/A")</f>
        <v>N/A</v>
      </c>
      <c r="W304" s="28" t="s">
        <v>1463</v>
      </c>
      <c r="X304" s="28" t="s">
        <v>1665</v>
      </c>
      <c r="Z304" s="28">
        <v>15010007000406</v>
      </c>
      <c r="AA304" s="28"/>
      <c r="AB304" s="28" t="s">
        <v>1465</v>
      </c>
      <c r="AC304" s="28" t="s">
        <v>263</v>
      </c>
    </row>
    <row r="305" spans="1:29" x14ac:dyDescent="0.25">
      <c r="A305" s="61">
        <v>110055979455</v>
      </c>
      <c r="B305" s="28">
        <v>2016</v>
      </c>
      <c r="C305" s="68">
        <f t="shared" si="4"/>
        <v>42370</v>
      </c>
      <c r="D305" s="28" t="s">
        <v>1073</v>
      </c>
      <c r="E305" s="28" t="s">
        <v>1663</v>
      </c>
      <c r="F305" s="28" t="s">
        <v>1074</v>
      </c>
      <c r="G305" s="28" t="s">
        <v>374</v>
      </c>
      <c r="H305" s="28" t="s">
        <v>1664</v>
      </c>
      <c r="I305" s="28">
        <v>34.729709999999997</v>
      </c>
      <c r="J305" s="28">
        <v>-112.04337599999999</v>
      </c>
      <c r="L305" s="61">
        <v>110055979455</v>
      </c>
      <c r="M305" s="28" t="s">
        <v>263</v>
      </c>
      <c r="N305" s="28">
        <v>4952</v>
      </c>
      <c r="O305" s="28" t="str">
        <f>IFERROR(VLOOKUP(N305, 'SIC &amp; NAICS Codes'!A:B, 2, FALSE), "")</f>
        <v>Sewerage Systems</v>
      </c>
      <c r="S305" s="28">
        <v>1.2433725</v>
      </c>
      <c r="T305" s="315">
        <f>_xlfn.MAXIFS('Raw Period DMR Data'!$O:$O,'Raw Period DMR Data'!$A:$A,'Raw Annual DMR Data'!B305,'Raw Period DMR Data'!$C:$C,X305)/S305</f>
        <v>0</v>
      </c>
      <c r="U305" s="28" t="str">
        <f>+IF(COUNTIFS('Raw Period DMR Data'!$A:$A,B305, 'Raw Period DMR Data'!C:C,'Raw Annual DMR Data'!X305, 'Raw Period DMR Data'!M:M, "&gt;0")&gt;0,_xlfn.MAXIFS('Raw Period DMR Data'!M:M,'Raw Period DMR Data'!$A:$A,'Raw Annual DMR Data'!B305,'Raw Period DMR Data'!C:C,'Raw Annual DMR Data'!X305), "N/A - Period DMR Data Not Available")</f>
        <v>N/A - Period DMR Data Not Available</v>
      </c>
      <c r="V305" s="28" t="str" cm="1">
        <f t="array" ref="V305">IFERROR(INDEX('Raw Period DMR Data'!N:N,MATCH(1,(B305='Raw Period DMR Data'!$A:$A)*(U305='Raw Period DMR Data'!M:M)*(X305='Raw Period DMR Data'!C:C),0),1), "N/A")</f>
        <v>N/A</v>
      </c>
      <c r="W305" s="28" t="s">
        <v>1463</v>
      </c>
      <c r="X305" s="28" t="s">
        <v>1665</v>
      </c>
      <c r="Z305" s="28">
        <v>15010007000406</v>
      </c>
      <c r="AA305" s="28"/>
      <c r="AB305" s="28" t="s">
        <v>1465</v>
      </c>
      <c r="AC305" s="28" t="s">
        <v>263</v>
      </c>
    </row>
    <row r="306" spans="1:29" x14ac:dyDescent="0.25">
      <c r="A306" s="61">
        <v>110055979455</v>
      </c>
      <c r="B306" s="28">
        <v>2018</v>
      </c>
      <c r="C306" s="68">
        <f t="shared" si="4"/>
        <v>43101</v>
      </c>
      <c r="D306" s="28" t="s">
        <v>1073</v>
      </c>
      <c r="E306" s="28" t="s">
        <v>1663</v>
      </c>
      <c r="F306" s="28" t="s">
        <v>1074</v>
      </c>
      <c r="G306" s="28" t="s">
        <v>374</v>
      </c>
      <c r="H306" s="28" t="s">
        <v>1664</v>
      </c>
      <c r="I306" s="28">
        <v>34.729709999999997</v>
      </c>
      <c r="J306" s="28">
        <v>-112.04337599999999</v>
      </c>
      <c r="L306" s="61">
        <v>110055979455</v>
      </c>
      <c r="M306" s="28" t="s">
        <v>263</v>
      </c>
      <c r="N306" s="28">
        <v>4952</v>
      </c>
      <c r="O306" s="28" t="str">
        <f>IFERROR(VLOOKUP(N306, 'SIC &amp; NAICS Codes'!A:B, 2, FALSE), "")</f>
        <v>Sewerage Systems</v>
      </c>
      <c r="S306" s="28">
        <v>1.131468975</v>
      </c>
      <c r="T306" s="315">
        <f>_xlfn.MAXIFS('Raw Period DMR Data'!$O:$O,'Raw Period DMR Data'!$A:$A,'Raw Annual DMR Data'!B306,'Raw Period DMR Data'!$C:$C,X306)/S306</f>
        <v>0</v>
      </c>
      <c r="U306" s="28" t="str">
        <f>+IF(COUNTIFS('Raw Period DMR Data'!$A:$A,B306, 'Raw Period DMR Data'!C:C,'Raw Annual DMR Data'!X306, 'Raw Period DMR Data'!M:M, "&gt;0")&gt;0,_xlfn.MAXIFS('Raw Period DMR Data'!M:M,'Raw Period DMR Data'!$A:$A,'Raw Annual DMR Data'!B306,'Raw Period DMR Data'!C:C,'Raw Annual DMR Data'!X306), "N/A - Period DMR Data Not Available")</f>
        <v>N/A - Period DMR Data Not Available</v>
      </c>
      <c r="V306" s="28" t="str" cm="1">
        <f t="array" ref="V306">IFERROR(INDEX('Raw Period DMR Data'!N:N,MATCH(1,(B306='Raw Period DMR Data'!$A:$A)*(U306='Raw Period DMR Data'!M:M)*(X306='Raw Period DMR Data'!C:C),0),1), "N/A")</f>
        <v>N/A</v>
      </c>
      <c r="W306" s="28" t="s">
        <v>1463</v>
      </c>
      <c r="X306" s="28" t="s">
        <v>1665</v>
      </c>
      <c r="Z306" s="28">
        <v>15010007000406</v>
      </c>
      <c r="AA306" s="28"/>
      <c r="AB306" s="28" t="s">
        <v>1465</v>
      </c>
      <c r="AC306" s="28" t="s">
        <v>263</v>
      </c>
    </row>
    <row r="307" spans="1:29" x14ac:dyDescent="0.25">
      <c r="A307" s="61">
        <v>110002455370</v>
      </c>
      <c r="B307" s="28">
        <v>2015</v>
      </c>
      <c r="C307" s="68">
        <f t="shared" si="4"/>
        <v>42005</v>
      </c>
      <c r="D307" s="28" t="s">
        <v>1075</v>
      </c>
      <c r="E307" s="28" t="s">
        <v>1666</v>
      </c>
      <c r="F307" s="28" t="s">
        <v>1076</v>
      </c>
      <c r="G307" s="28" t="s">
        <v>469</v>
      </c>
      <c r="H307" s="28" t="s">
        <v>1667</v>
      </c>
      <c r="I307" s="28">
        <v>39.728720000000003</v>
      </c>
      <c r="J307" s="28">
        <v>-86.137910000000005</v>
      </c>
      <c r="L307" s="61">
        <v>110002455370</v>
      </c>
      <c r="M307" s="28" t="s">
        <v>265</v>
      </c>
      <c r="N307" s="28">
        <v>5014</v>
      </c>
      <c r="O307" s="28" t="str">
        <f>IFERROR(VLOOKUP(N307, 'SIC &amp; NAICS Codes'!A:B, 2, FALSE), "")</f>
        <v>Tires and Tubes (merchant wholesalers except those selling via retail method)</v>
      </c>
      <c r="S307" s="28">
        <v>1.1700930074999999E-2</v>
      </c>
      <c r="T307" s="315">
        <f>_xlfn.MAXIFS('Raw Period DMR Data'!$O:$O,'Raw Period DMR Data'!$A:$A,'Raw Annual DMR Data'!B307,'Raw Period DMR Data'!$C:$C,X307)/S307</f>
        <v>0</v>
      </c>
      <c r="U307" s="28" t="str">
        <f>+IF(COUNTIFS('Raw Period DMR Data'!$A:$A,B307, 'Raw Period DMR Data'!C:C,'Raw Annual DMR Data'!X307, 'Raw Period DMR Data'!M:M, "&gt;0")&gt;0,_xlfn.MAXIFS('Raw Period DMR Data'!M:M,'Raw Period DMR Data'!$A:$A,'Raw Annual DMR Data'!B307,'Raw Period DMR Data'!C:C,'Raw Annual DMR Data'!X307), "N/A - Period DMR Data Not Available")</f>
        <v>N/A - Period DMR Data Not Available</v>
      </c>
      <c r="V307" s="28" t="str" cm="1">
        <f t="array" ref="V307">IFERROR(INDEX('Raw Period DMR Data'!N:N,MATCH(1,(B307='Raw Period DMR Data'!$A:$A)*(U307='Raw Period DMR Data'!M:M)*(X307='Raw Period DMR Data'!C:C),0),1), "N/A")</f>
        <v>N/A</v>
      </c>
      <c r="W307" s="28" t="s">
        <v>1463</v>
      </c>
      <c r="X307" s="28" t="s">
        <v>1668</v>
      </c>
      <c r="Y307" s="28" t="s">
        <v>1669</v>
      </c>
      <c r="Z307" s="28">
        <v>5120201000586</v>
      </c>
      <c r="AA307" s="28"/>
      <c r="AB307" s="28" t="s">
        <v>1465</v>
      </c>
      <c r="AC307" s="28" t="s">
        <v>1466</v>
      </c>
    </row>
    <row r="308" spans="1:29" x14ac:dyDescent="0.25">
      <c r="A308" s="61">
        <v>110002455370</v>
      </c>
      <c r="B308" s="28">
        <v>2016</v>
      </c>
      <c r="C308" s="68">
        <f t="shared" si="4"/>
        <v>42370</v>
      </c>
      <c r="D308" s="28" t="s">
        <v>1075</v>
      </c>
      <c r="E308" s="28" t="s">
        <v>1666</v>
      </c>
      <c r="F308" s="28" t="s">
        <v>1076</v>
      </c>
      <c r="G308" s="28" t="s">
        <v>469</v>
      </c>
      <c r="H308" s="28" t="s">
        <v>1667</v>
      </c>
      <c r="I308" s="28">
        <v>39.728720000000003</v>
      </c>
      <c r="J308" s="28">
        <v>-86.137910000000005</v>
      </c>
      <c r="L308" s="61">
        <v>110002455370</v>
      </c>
      <c r="M308" s="28" t="s">
        <v>265</v>
      </c>
      <c r="N308" s="28">
        <v>5014</v>
      </c>
      <c r="O308" s="28" t="str">
        <f>IFERROR(VLOOKUP(N308, 'SIC &amp; NAICS Codes'!A:B, 2, FALSE), "")</f>
        <v>Tires and Tubes (merchant wholesalers except those selling via retail method)</v>
      </c>
      <c r="S308" s="28">
        <v>1.406760825125E-3</v>
      </c>
      <c r="T308" s="315">
        <f>_xlfn.MAXIFS('Raw Period DMR Data'!$O:$O,'Raw Period DMR Data'!$A:$A,'Raw Annual DMR Data'!B308,'Raw Period DMR Data'!$C:$C,X308)/S308</f>
        <v>0</v>
      </c>
      <c r="U308" s="28" t="str">
        <f>+IF(COUNTIFS('Raw Period DMR Data'!$A:$A,B308, 'Raw Period DMR Data'!C:C,'Raw Annual DMR Data'!X308, 'Raw Period DMR Data'!M:M, "&gt;0")&gt;0,_xlfn.MAXIFS('Raw Period DMR Data'!M:M,'Raw Period DMR Data'!$A:$A,'Raw Annual DMR Data'!B308,'Raw Period DMR Data'!C:C,'Raw Annual DMR Data'!X308), "N/A - Period DMR Data Not Available")</f>
        <v>N/A - Period DMR Data Not Available</v>
      </c>
      <c r="V308" s="28" t="str" cm="1">
        <f t="array" ref="V308">IFERROR(INDEX('Raw Period DMR Data'!N:N,MATCH(1,(B308='Raw Period DMR Data'!$A:$A)*(U308='Raw Period DMR Data'!M:M)*(X308='Raw Period DMR Data'!C:C),0),1), "N/A")</f>
        <v>N/A</v>
      </c>
      <c r="W308" s="28" t="s">
        <v>1463</v>
      </c>
      <c r="X308" s="28" t="s">
        <v>1668</v>
      </c>
      <c r="Y308" s="28" t="s">
        <v>1669</v>
      </c>
      <c r="Z308" s="28">
        <v>5120201000586</v>
      </c>
      <c r="AA308" s="28"/>
      <c r="AB308" s="28" t="s">
        <v>1465</v>
      </c>
      <c r="AC308" s="28" t="s">
        <v>1466</v>
      </c>
    </row>
    <row r="309" spans="1:29" x14ac:dyDescent="0.25">
      <c r="A309" s="61">
        <v>110000344850</v>
      </c>
      <c r="B309" s="28">
        <v>2015</v>
      </c>
      <c r="C309" s="68">
        <f t="shared" si="4"/>
        <v>42005</v>
      </c>
      <c r="D309" s="28" t="s">
        <v>132</v>
      </c>
      <c r="E309" s="28" t="s">
        <v>422</v>
      </c>
      <c r="F309" s="28" t="s">
        <v>423</v>
      </c>
      <c r="G309" s="28" t="s">
        <v>311</v>
      </c>
      <c r="H309" s="28">
        <v>26134</v>
      </c>
      <c r="I309" s="28">
        <v>39.355575000000002</v>
      </c>
      <c r="J309" s="28">
        <v>-81.299837999999994</v>
      </c>
      <c r="K309" s="28" t="s">
        <v>424</v>
      </c>
      <c r="L309" s="61">
        <v>110000344850</v>
      </c>
      <c r="M309" s="28" t="s">
        <v>251</v>
      </c>
      <c r="N309" s="28">
        <v>2869</v>
      </c>
      <c r="O309" s="28" t="str">
        <f>IFERROR(VLOOKUP(N309, 'SIC &amp; NAICS Codes'!A:B, 2, FALSE), "")</f>
        <v>Industrial Organic Chemicals, NEC (aliphatics)</v>
      </c>
      <c r="S309" s="28">
        <v>1.0759637188208599</v>
      </c>
      <c r="T309" s="315">
        <f>_xlfn.MAXIFS('Raw Period DMR Data'!$O:$O,'Raw Period DMR Data'!$A:$A,'Raw Annual DMR Data'!B309,'Raw Period DMR Data'!$C:$C,X309)/S309</f>
        <v>0</v>
      </c>
      <c r="U309" s="28" t="str">
        <f>+IF(COUNTIFS('Raw Period DMR Data'!$A:$A,B309, 'Raw Period DMR Data'!C:C,'Raw Annual DMR Data'!X309, 'Raw Period DMR Data'!M:M, "&gt;0")&gt;0,_xlfn.MAXIFS('Raw Period DMR Data'!M:M,'Raw Period DMR Data'!$A:$A,'Raw Annual DMR Data'!B309,'Raw Period DMR Data'!C:C,'Raw Annual DMR Data'!X309), "N/A - Period DMR Data Not Available")</f>
        <v>N/A - Period DMR Data Not Available</v>
      </c>
      <c r="V309" s="28" t="str" cm="1">
        <f t="array" ref="V309">IFERROR(INDEX('Raw Period DMR Data'!N:N,MATCH(1,(B309='Raw Period DMR Data'!$A:$A)*(U309='Raw Period DMR Data'!M:M)*(X309='Raw Period DMR Data'!C:C),0),1), "N/A")</f>
        <v>N/A</v>
      </c>
      <c r="W309" s="28" t="s">
        <v>1463</v>
      </c>
      <c r="X309" s="28" t="s">
        <v>829</v>
      </c>
      <c r="Y309" s="28" t="s">
        <v>830</v>
      </c>
      <c r="Z309" s="61">
        <v>5030201001962</v>
      </c>
    </row>
    <row r="310" spans="1:29" x14ac:dyDescent="0.25">
      <c r="A310" s="61">
        <v>110000611703</v>
      </c>
      <c r="B310" s="28">
        <v>2019</v>
      </c>
      <c r="C310" s="68">
        <f t="shared" si="4"/>
        <v>43466</v>
      </c>
      <c r="D310" s="28" t="s">
        <v>208</v>
      </c>
      <c r="E310" s="28" t="s">
        <v>647</v>
      </c>
      <c r="F310" s="28" t="s">
        <v>648</v>
      </c>
      <c r="G310" s="28" t="s">
        <v>328</v>
      </c>
      <c r="H310" s="28">
        <v>30721</v>
      </c>
      <c r="I310" s="28">
        <v>34.632592000000002</v>
      </c>
      <c r="J310" s="28">
        <v>-84.927667999999997</v>
      </c>
      <c r="K310" s="28" t="s">
        <v>649</v>
      </c>
      <c r="L310" s="61">
        <v>110000611703</v>
      </c>
      <c r="M310" s="28" t="s">
        <v>253</v>
      </c>
      <c r="N310" s="28">
        <v>2821</v>
      </c>
      <c r="O310" s="28" t="str">
        <f>IFERROR(VLOOKUP(N310, 'SIC &amp; NAICS Codes'!A:B, 2, FALSE), "")</f>
        <v>Plastics Materials, Synthetic and Resins, and Nonvulcanizable Elastomers</v>
      </c>
      <c r="S310" s="28">
        <v>2.1088435374149599E-2</v>
      </c>
      <c r="T310" s="315">
        <f>_xlfn.MAXIFS('Raw Period DMR Data'!$O:$O,'Raw Period DMR Data'!$A:$A,'Raw Annual DMR Data'!B310,'Raw Period DMR Data'!$C:$C,X310)/S310</f>
        <v>0</v>
      </c>
      <c r="U310" s="28" t="str">
        <f>+IF(COUNTIFS('Raw Period DMR Data'!$A:$A,B310, 'Raw Period DMR Data'!C:C,'Raw Annual DMR Data'!X310, 'Raw Period DMR Data'!M:M, "&gt;0")&gt;0,_xlfn.MAXIFS('Raw Period DMR Data'!M:M,'Raw Period DMR Data'!$A:$A,'Raw Annual DMR Data'!B310,'Raw Period DMR Data'!C:C,'Raw Annual DMR Data'!X310), "N/A - Period DMR Data Not Available")</f>
        <v>N/A - Period DMR Data Not Available</v>
      </c>
      <c r="V310" s="28" t="str" cm="1">
        <f t="array" ref="V310">IFERROR(INDEX('Raw Period DMR Data'!N:N,MATCH(1,(B310='Raw Period DMR Data'!$A:$A)*(U310='Raw Period DMR Data'!M:M)*(X310='Raw Period DMR Data'!C:C),0),1), "N/A")</f>
        <v>N/A</v>
      </c>
      <c r="W310" s="28" t="s">
        <v>1463</v>
      </c>
      <c r="X310" s="28" t="s">
        <v>945</v>
      </c>
      <c r="Y310" s="28" t="s">
        <v>946</v>
      </c>
      <c r="Z310" s="28">
        <v>3150101000005</v>
      </c>
      <c r="AA310" s="28"/>
      <c r="AB310" s="28" t="s">
        <v>1465</v>
      </c>
      <c r="AC310" s="28" t="s">
        <v>1466</v>
      </c>
    </row>
    <row r="311" spans="1:29" x14ac:dyDescent="0.25">
      <c r="A311" s="61">
        <v>110070619860</v>
      </c>
      <c r="B311" s="28">
        <v>2020</v>
      </c>
      <c r="C311" s="68">
        <f t="shared" si="4"/>
        <v>43831</v>
      </c>
      <c r="D311" s="28" t="s">
        <v>1077</v>
      </c>
      <c r="E311" s="28" t="s">
        <v>1670</v>
      </c>
      <c r="F311" s="28" t="s">
        <v>1078</v>
      </c>
      <c r="G311" s="28" t="s">
        <v>366</v>
      </c>
      <c r="H311" s="28">
        <v>95682</v>
      </c>
      <c r="I311" s="28">
        <v>38.627777999999999</v>
      </c>
      <c r="J311" s="28">
        <v>-120.984167</v>
      </c>
      <c r="L311" s="61">
        <v>110070619860</v>
      </c>
      <c r="M311" s="28" t="s">
        <v>263</v>
      </c>
      <c r="N311" s="28">
        <v>4952</v>
      </c>
      <c r="O311" s="28" t="str">
        <f>IFERROR(VLOOKUP(N311, 'SIC &amp; NAICS Codes'!A:B, 2, FALSE), "")</f>
        <v>Sewerage Systems</v>
      </c>
      <c r="S311" s="28">
        <v>2.8728150000000001E-2</v>
      </c>
      <c r="T311" s="315">
        <f>_xlfn.MAXIFS('Raw Period DMR Data'!$O:$O,'Raw Period DMR Data'!$A:$A,'Raw Annual DMR Data'!B311,'Raw Period DMR Data'!$C:$C,X311)/S311</f>
        <v>0</v>
      </c>
      <c r="U311" s="28" t="str">
        <f>+IF(COUNTIFS('Raw Period DMR Data'!$A:$A,B311, 'Raw Period DMR Data'!C:C,'Raw Annual DMR Data'!X311, 'Raw Period DMR Data'!M:M, "&gt;0")&gt;0,_xlfn.MAXIFS('Raw Period DMR Data'!M:M,'Raw Period DMR Data'!$A:$A,'Raw Annual DMR Data'!B311,'Raw Period DMR Data'!C:C,'Raw Annual DMR Data'!X311), "N/A - Period DMR Data Not Available")</f>
        <v>N/A - Period DMR Data Not Available</v>
      </c>
      <c r="V311" s="28" t="str" cm="1">
        <f t="array" ref="V311">IFERROR(INDEX('Raw Period DMR Data'!N:N,MATCH(1,(B311='Raw Period DMR Data'!$A:$A)*(U311='Raw Period DMR Data'!M:M)*(X311='Raw Period DMR Data'!C:C),0),1), "N/A")</f>
        <v>N/A</v>
      </c>
      <c r="W311" s="28" t="s">
        <v>1463</v>
      </c>
      <c r="X311" s="28" t="s">
        <v>1671</v>
      </c>
      <c r="Y311" s="28" t="s">
        <v>1672</v>
      </c>
      <c r="AA311" s="28"/>
      <c r="AB311" s="28" t="s">
        <v>1465</v>
      </c>
      <c r="AC311" s="28" t="s">
        <v>1466</v>
      </c>
    </row>
    <row r="312" spans="1:29" x14ac:dyDescent="0.25">
      <c r="A312" s="61">
        <v>110000781609</v>
      </c>
      <c r="B312" s="28">
        <v>2016</v>
      </c>
      <c r="C312" s="68">
        <f t="shared" si="4"/>
        <v>42370</v>
      </c>
      <c r="D312" s="28" t="s">
        <v>133</v>
      </c>
      <c r="E312" s="28" t="s">
        <v>429</v>
      </c>
      <c r="F312" s="28" t="s">
        <v>430</v>
      </c>
      <c r="G312" s="28" t="s">
        <v>366</v>
      </c>
      <c r="H312" s="28" t="s">
        <v>431</v>
      </c>
      <c r="I312" s="28">
        <v>33.892391000000003</v>
      </c>
      <c r="J312" s="28">
        <v>-118.072909</v>
      </c>
      <c r="L312" s="61">
        <v>110000781609</v>
      </c>
      <c r="M312" s="28" t="s">
        <v>252</v>
      </c>
      <c r="N312" s="28">
        <v>4613</v>
      </c>
      <c r="O312" s="28" t="str">
        <f>IFERROR(VLOOKUP(N312, 'SIC &amp; NAICS Codes'!A:B, 2, FALSE), "")</f>
        <v>Refined Petroleum Pipelines</v>
      </c>
      <c r="S312" s="28">
        <v>2.12244897959183E-4</v>
      </c>
      <c r="T312" s="315">
        <f>_xlfn.MAXIFS('Raw Period DMR Data'!$O:$O,'Raw Period DMR Data'!$A:$A,'Raw Annual DMR Data'!B312,'Raw Period DMR Data'!$C:$C,X312)/S312</f>
        <v>0</v>
      </c>
      <c r="U312" s="28" t="str">
        <f>+IF(COUNTIFS('Raw Period DMR Data'!$A:$A,B312, 'Raw Period DMR Data'!C:C,'Raw Annual DMR Data'!X312, 'Raw Period DMR Data'!M:M, "&gt;0")&gt;0,_xlfn.MAXIFS('Raw Period DMR Data'!M:M,'Raw Period DMR Data'!$A:$A,'Raw Annual DMR Data'!B312,'Raw Period DMR Data'!C:C,'Raw Annual DMR Data'!X312), "N/A - Period DMR Data Not Available")</f>
        <v>N/A - Period DMR Data Not Available</v>
      </c>
      <c r="V312" s="28" t="str" cm="1">
        <f t="array" ref="V312">IFERROR(INDEX('Raw Period DMR Data'!N:N,MATCH(1,(B312='Raw Period DMR Data'!$A:$A)*(U312='Raw Period DMR Data'!M:M)*(X312='Raw Period DMR Data'!C:C),0),1), "N/A")</f>
        <v>N/A</v>
      </c>
      <c r="W312" s="28" t="s">
        <v>1463</v>
      </c>
      <c r="X312" s="28" t="s">
        <v>831</v>
      </c>
      <c r="Y312" s="28" t="s">
        <v>832</v>
      </c>
      <c r="Z312" s="61">
        <v>18070106000652</v>
      </c>
      <c r="AA312" s="28"/>
    </row>
    <row r="313" spans="1:29" x14ac:dyDescent="0.25">
      <c r="A313" s="61">
        <v>110000781609</v>
      </c>
      <c r="B313" s="28">
        <v>2017</v>
      </c>
      <c r="C313" s="68">
        <f t="shared" si="4"/>
        <v>42736</v>
      </c>
      <c r="D313" s="28" t="s">
        <v>133</v>
      </c>
      <c r="E313" s="28" t="s">
        <v>429</v>
      </c>
      <c r="F313" s="28" t="s">
        <v>430</v>
      </c>
      <c r="G313" s="28" t="s">
        <v>366</v>
      </c>
      <c r="H313" s="28" t="s">
        <v>431</v>
      </c>
      <c r="I313" s="28">
        <v>33.892391000000003</v>
      </c>
      <c r="J313" s="28">
        <v>-118.072909</v>
      </c>
      <c r="L313" s="61">
        <v>110000781609</v>
      </c>
      <c r="M313" s="28" t="s">
        <v>252</v>
      </c>
      <c r="N313" s="28">
        <v>4613</v>
      </c>
      <c r="O313" s="28" t="str">
        <f>IFERROR(VLOOKUP(N313, 'SIC &amp; NAICS Codes'!A:B, 2, FALSE), "")</f>
        <v>Refined Petroleum Pipelines</v>
      </c>
      <c r="S313" s="28">
        <v>8.7587301587301503E-4</v>
      </c>
      <c r="T313" s="315">
        <f>_xlfn.MAXIFS('Raw Period DMR Data'!$O:$O,'Raw Period DMR Data'!$A:$A,'Raw Annual DMR Data'!B313,'Raw Period DMR Data'!$C:$C,X313)/S313</f>
        <v>0</v>
      </c>
      <c r="U313" s="28" t="str">
        <f>+IF(COUNTIFS('Raw Period DMR Data'!$A:$A,B313, 'Raw Period DMR Data'!C:C,'Raw Annual DMR Data'!X313, 'Raw Period DMR Data'!M:M, "&gt;0")&gt;0,_xlfn.MAXIFS('Raw Period DMR Data'!M:M,'Raw Period DMR Data'!$A:$A,'Raw Annual DMR Data'!B313,'Raw Period DMR Data'!C:C,'Raw Annual DMR Data'!X313), "N/A - Period DMR Data Not Available")</f>
        <v>N/A - Period DMR Data Not Available</v>
      </c>
      <c r="V313" s="28" t="str" cm="1">
        <f t="array" ref="V313">IFERROR(INDEX('Raw Period DMR Data'!N:N,MATCH(1,(B313='Raw Period DMR Data'!$A:$A)*(U313='Raw Period DMR Data'!M:M)*(X313='Raw Period DMR Data'!C:C),0),1), "N/A")</f>
        <v>N/A</v>
      </c>
      <c r="W313" s="28" t="s">
        <v>1463</v>
      </c>
      <c r="X313" s="28" t="s">
        <v>831</v>
      </c>
      <c r="Y313" s="28" t="s">
        <v>832</v>
      </c>
      <c r="Z313" s="61">
        <v>18070106000652</v>
      </c>
      <c r="AA313" s="28"/>
    </row>
    <row r="314" spans="1:29" x14ac:dyDescent="0.25">
      <c r="A314" s="61">
        <v>110000781609</v>
      </c>
      <c r="B314" s="28">
        <v>2018</v>
      </c>
      <c r="C314" s="68">
        <f t="shared" si="4"/>
        <v>43101</v>
      </c>
      <c r="D314" s="28" t="s">
        <v>133</v>
      </c>
      <c r="E314" s="28" t="s">
        <v>429</v>
      </c>
      <c r="F314" s="28" t="s">
        <v>430</v>
      </c>
      <c r="G314" s="28" t="s">
        <v>366</v>
      </c>
      <c r="H314" s="28" t="s">
        <v>431</v>
      </c>
      <c r="I314" s="28">
        <v>33.892391000000003</v>
      </c>
      <c r="J314" s="28">
        <v>-118.072909</v>
      </c>
      <c r="L314" s="61">
        <v>110000781609</v>
      </c>
      <c r="M314" s="28" t="s">
        <v>252</v>
      </c>
      <c r="N314" s="28">
        <v>4613</v>
      </c>
      <c r="O314" s="28" t="str">
        <f>IFERROR(VLOOKUP(N314, 'SIC &amp; NAICS Codes'!A:B, 2, FALSE), "")</f>
        <v>Refined Petroleum Pipelines</v>
      </c>
      <c r="S314" s="28">
        <v>1.86712018140589E-3</v>
      </c>
      <c r="T314" s="315">
        <f>_xlfn.MAXIFS('Raw Period DMR Data'!$O:$O,'Raw Period DMR Data'!$A:$A,'Raw Annual DMR Data'!B314,'Raw Period DMR Data'!$C:$C,X314)/S314</f>
        <v>0</v>
      </c>
      <c r="U314" s="28" t="str">
        <f>+IF(COUNTIFS('Raw Period DMR Data'!$A:$A,B314, 'Raw Period DMR Data'!C:C,'Raw Annual DMR Data'!X314, 'Raw Period DMR Data'!M:M, "&gt;0")&gt;0,_xlfn.MAXIFS('Raw Period DMR Data'!M:M,'Raw Period DMR Data'!$A:$A,'Raw Annual DMR Data'!B314,'Raw Period DMR Data'!C:C,'Raw Annual DMR Data'!X314), "N/A - Period DMR Data Not Available")</f>
        <v>N/A - Period DMR Data Not Available</v>
      </c>
      <c r="V314" s="28" t="str" cm="1">
        <f t="array" ref="V314">IFERROR(INDEX('Raw Period DMR Data'!N:N,MATCH(1,(B314='Raw Period DMR Data'!$A:$A)*(U314='Raw Period DMR Data'!M:M)*(X314='Raw Period DMR Data'!C:C),0),1), "N/A")</f>
        <v>N/A</v>
      </c>
      <c r="W314" s="28" t="s">
        <v>1463</v>
      </c>
      <c r="X314" s="28" t="s">
        <v>831</v>
      </c>
      <c r="Y314" s="28" t="s">
        <v>832</v>
      </c>
      <c r="Z314" s="61">
        <v>18070106000652</v>
      </c>
    </row>
    <row r="315" spans="1:29" x14ac:dyDescent="0.25">
      <c r="A315" s="61">
        <v>110000781609</v>
      </c>
      <c r="B315" s="28">
        <v>2019</v>
      </c>
      <c r="C315" s="68">
        <f t="shared" si="4"/>
        <v>43466</v>
      </c>
      <c r="D315" s="28" t="s">
        <v>133</v>
      </c>
      <c r="E315" s="28" t="s">
        <v>429</v>
      </c>
      <c r="F315" s="28" t="s">
        <v>430</v>
      </c>
      <c r="G315" s="28" t="s">
        <v>366</v>
      </c>
      <c r="H315" s="28" t="s">
        <v>431</v>
      </c>
      <c r="I315" s="28">
        <v>33.892391000000003</v>
      </c>
      <c r="J315" s="28">
        <v>-118.072909</v>
      </c>
      <c r="L315" s="61">
        <v>110000781609</v>
      </c>
      <c r="M315" s="28" t="s">
        <v>252</v>
      </c>
      <c r="N315" s="28">
        <v>4613</v>
      </c>
      <c r="O315" s="28" t="str">
        <f>IFERROR(VLOOKUP(N315, 'SIC &amp; NAICS Codes'!A:B, 2, FALSE), "")</f>
        <v>Refined Petroleum Pipelines</v>
      </c>
      <c r="S315" s="28">
        <v>1.5171428571428499E-3</v>
      </c>
      <c r="T315" s="315">
        <f>_xlfn.MAXIFS('Raw Period DMR Data'!$O:$O,'Raw Period DMR Data'!$A:$A,'Raw Annual DMR Data'!B315,'Raw Period DMR Data'!$C:$C,X315)/S315</f>
        <v>0</v>
      </c>
      <c r="U315" s="28" t="str">
        <f>+IF(COUNTIFS('Raw Period DMR Data'!$A:$A,B315, 'Raw Period DMR Data'!C:C,'Raw Annual DMR Data'!X315, 'Raw Period DMR Data'!M:M, "&gt;0")&gt;0,_xlfn.MAXIFS('Raw Period DMR Data'!M:M,'Raw Period DMR Data'!$A:$A,'Raw Annual DMR Data'!B315,'Raw Period DMR Data'!C:C,'Raw Annual DMR Data'!X315), "N/A - Period DMR Data Not Available")</f>
        <v>N/A - Period DMR Data Not Available</v>
      </c>
      <c r="V315" s="28" t="str" cm="1">
        <f t="array" ref="V315">IFERROR(INDEX('Raw Period DMR Data'!N:N,MATCH(1,(B315='Raw Period DMR Data'!$A:$A)*(U315='Raw Period DMR Data'!M:M)*(X315='Raw Period DMR Data'!C:C),0),1), "N/A")</f>
        <v>N/A</v>
      </c>
      <c r="W315" s="28" t="s">
        <v>1463</v>
      </c>
      <c r="X315" s="28" t="s">
        <v>831</v>
      </c>
      <c r="Y315" s="28" t="s">
        <v>832</v>
      </c>
      <c r="Z315" s="61">
        <v>18070106000652</v>
      </c>
    </row>
    <row r="316" spans="1:29" x14ac:dyDescent="0.25">
      <c r="A316" s="61">
        <v>110000781609</v>
      </c>
      <c r="B316" s="28">
        <v>2020</v>
      </c>
      <c r="C316" s="68">
        <f t="shared" si="4"/>
        <v>43831</v>
      </c>
      <c r="D316" s="28" t="s">
        <v>133</v>
      </c>
      <c r="E316" s="28" t="s">
        <v>429</v>
      </c>
      <c r="F316" s="28" t="s">
        <v>430</v>
      </c>
      <c r="G316" s="28" t="s">
        <v>366</v>
      </c>
      <c r="H316" s="28" t="s">
        <v>431</v>
      </c>
      <c r="I316" s="28">
        <v>33.892391000000003</v>
      </c>
      <c r="J316" s="28">
        <v>-118.072909</v>
      </c>
      <c r="L316" s="61">
        <v>110000781609</v>
      </c>
      <c r="M316" s="28" t="s">
        <v>252</v>
      </c>
      <c r="N316" s="28">
        <v>4613</v>
      </c>
      <c r="O316" s="28" t="str">
        <f>IFERROR(VLOOKUP(N316, 'SIC &amp; NAICS Codes'!A:B, 2, FALSE), "")</f>
        <v>Refined Petroleum Pipelines</v>
      </c>
      <c r="S316" s="28">
        <v>5.71626468769325E-4</v>
      </c>
      <c r="T316" s="315">
        <f>_xlfn.MAXIFS('Raw Period DMR Data'!$O:$O,'Raw Period DMR Data'!$A:$A,'Raw Annual DMR Data'!B316,'Raw Period DMR Data'!$C:$C,X316)/S316</f>
        <v>0</v>
      </c>
      <c r="U316" s="28" t="str">
        <f>+IF(COUNTIFS('Raw Period DMR Data'!$A:$A,B316, 'Raw Period DMR Data'!C:C,'Raw Annual DMR Data'!X316, 'Raw Period DMR Data'!M:M, "&gt;0")&gt;0,_xlfn.MAXIFS('Raw Period DMR Data'!M:M,'Raw Period DMR Data'!$A:$A,'Raw Annual DMR Data'!B316,'Raw Period DMR Data'!C:C,'Raw Annual DMR Data'!X316), "N/A - Period DMR Data Not Available")</f>
        <v>N/A - Period DMR Data Not Available</v>
      </c>
      <c r="V316" s="28" t="str" cm="1">
        <f t="array" ref="V316">IFERROR(INDEX('Raw Period DMR Data'!N:N,MATCH(1,(B316='Raw Period DMR Data'!$A:$A)*(U316='Raw Period DMR Data'!M:M)*(X316='Raw Period DMR Data'!C:C),0),1), "N/A")</f>
        <v>N/A</v>
      </c>
      <c r="W316" s="28" t="s">
        <v>1463</v>
      </c>
      <c r="X316" s="28" t="s">
        <v>831</v>
      </c>
      <c r="Y316" s="28" t="s">
        <v>832</v>
      </c>
      <c r="Z316" s="61">
        <v>18070106000652</v>
      </c>
    </row>
    <row r="317" spans="1:29" x14ac:dyDescent="0.25">
      <c r="A317" s="61">
        <v>110000582003</v>
      </c>
      <c r="B317" s="28">
        <v>2015</v>
      </c>
      <c r="C317" s="68">
        <f t="shared" si="4"/>
        <v>42005</v>
      </c>
      <c r="D317" s="28" t="s">
        <v>1079</v>
      </c>
      <c r="E317" s="28" t="s">
        <v>1673</v>
      </c>
      <c r="F317" s="28" t="s">
        <v>381</v>
      </c>
      <c r="G317" s="28" t="s">
        <v>338</v>
      </c>
      <c r="H317" s="28">
        <v>8014</v>
      </c>
      <c r="I317" s="28">
        <v>39.80142</v>
      </c>
      <c r="J317" s="28">
        <v>-75.354990000000001</v>
      </c>
      <c r="K317" s="28" t="s">
        <v>710</v>
      </c>
      <c r="L317" s="61">
        <v>110000582003</v>
      </c>
      <c r="M317" s="28" t="s">
        <v>265</v>
      </c>
      <c r="N317" s="28">
        <v>2869</v>
      </c>
      <c r="O317" s="28" t="str">
        <f>IFERROR(VLOOKUP(N317, 'SIC &amp; NAICS Codes'!A:B, 2, FALSE), "")</f>
        <v>Industrial Organic Chemicals, NEC (aliphatics)</v>
      </c>
      <c r="S317" s="28">
        <v>0.121</v>
      </c>
      <c r="T317" s="315">
        <f>_xlfn.MAXIFS('Raw Period DMR Data'!$O:$O,'Raw Period DMR Data'!$A:$A,'Raw Annual DMR Data'!B317,'Raw Period DMR Data'!$C:$C,X317)/S317</f>
        <v>0</v>
      </c>
      <c r="U317" s="28" t="str">
        <f>+IF(COUNTIFS('Raw Period DMR Data'!$A:$A,B317, 'Raw Period DMR Data'!C:C,'Raw Annual DMR Data'!X317, 'Raw Period DMR Data'!M:M, "&gt;0")&gt;0,_xlfn.MAXIFS('Raw Period DMR Data'!M:M,'Raw Period DMR Data'!$A:$A,'Raw Annual DMR Data'!B317,'Raw Period DMR Data'!C:C,'Raw Annual DMR Data'!X317), "N/A - Period DMR Data Not Available")</f>
        <v>N/A - Period DMR Data Not Available</v>
      </c>
      <c r="V317" s="28" t="str" cm="1">
        <f t="array" ref="V317">IFERROR(INDEX('Raw Period DMR Data'!N:N,MATCH(1,(B317='Raw Period DMR Data'!$A:$A)*(U317='Raw Period DMR Data'!M:M)*(X317='Raw Period DMR Data'!C:C),0),1), "N/A")</f>
        <v>N/A</v>
      </c>
      <c r="W317" s="28" t="s">
        <v>1463</v>
      </c>
      <c r="X317" s="28" t="s">
        <v>1674</v>
      </c>
      <c r="Y317" s="28" t="s">
        <v>1675</v>
      </c>
      <c r="Z317" s="28">
        <v>2040202001854</v>
      </c>
      <c r="AA317" s="28"/>
      <c r="AB317" s="28" t="s">
        <v>1465</v>
      </c>
      <c r="AC317" s="28" t="s">
        <v>1466</v>
      </c>
    </row>
    <row r="318" spans="1:29" x14ac:dyDescent="0.25">
      <c r="A318" s="61">
        <v>110000582003</v>
      </c>
      <c r="B318" s="28">
        <v>2016</v>
      </c>
      <c r="C318" s="68">
        <f t="shared" si="4"/>
        <v>42370</v>
      </c>
      <c r="D318" s="28" t="s">
        <v>1079</v>
      </c>
      <c r="E318" s="28" t="s">
        <v>1673</v>
      </c>
      <c r="F318" s="28" t="s">
        <v>381</v>
      </c>
      <c r="G318" s="28" t="s">
        <v>338</v>
      </c>
      <c r="H318" s="28">
        <v>8014</v>
      </c>
      <c r="I318" s="28">
        <v>39.80142</v>
      </c>
      <c r="J318" s="28">
        <v>-75.354990000000001</v>
      </c>
      <c r="K318" s="28" t="s">
        <v>710</v>
      </c>
      <c r="L318" s="61">
        <v>110000582003</v>
      </c>
      <c r="M318" s="28" t="s">
        <v>265</v>
      </c>
      <c r="N318" s="28">
        <v>2869</v>
      </c>
      <c r="O318" s="28" t="str">
        <f>IFERROR(VLOOKUP(N318, 'SIC &amp; NAICS Codes'!A:B, 2, FALSE), "")</f>
        <v>Industrial Organic Chemicals, NEC (aliphatics)</v>
      </c>
      <c r="S318" s="28">
        <v>0.39350000000000002</v>
      </c>
      <c r="T318" s="315">
        <f>_xlfn.MAXIFS('Raw Period DMR Data'!$O:$O,'Raw Period DMR Data'!$A:$A,'Raw Annual DMR Data'!B318,'Raw Period DMR Data'!$C:$C,X318)/S318</f>
        <v>0</v>
      </c>
      <c r="U318" s="28" t="str">
        <f>+IF(COUNTIFS('Raw Period DMR Data'!$A:$A,B318, 'Raw Period DMR Data'!C:C,'Raw Annual DMR Data'!X318, 'Raw Period DMR Data'!M:M, "&gt;0")&gt;0,_xlfn.MAXIFS('Raw Period DMR Data'!M:M,'Raw Period DMR Data'!$A:$A,'Raw Annual DMR Data'!B318,'Raw Period DMR Data'!C:C,'Raw Annual DMR Data'!X318), "N/A - Period DMR Data Not Available")</f>
        <v>N/A - Period DMR Data Not Available</v>
      </c>
      <c r="V318" s="28" t="str" cm="1">
        <f t="array" ref="V318">IFERROR(INDEX('Raw Period DMR Data'!N:N,MATCH(1,(B318='Raw Period DMR Data'!$A:$A)*(U318='Raw Period DMR Data'!M:M)*(X318='Raw Period DMR Data'!C:C),0),1), "N/A")</f>
        <v>N/A</v>
      </c>
      <c r="W318" s="28" t="s">
        <v>1463</v>
      </c>
      <c r="X318" s="28" t="s">
        <v>1674</v>
      </c>
      <c r="Y318" s="28" t="s">
        <v>1675</v>
      </c>
      <c r="Z318" s="28">
        <v>2040202001854</v>
      </c>
      <c r="AA318" s="28"/>
      <c r="AB318" s="28" t="s">
        <v>1465</v>
      </c>
      <c r="AC318" s="28" t="s">
        <v>1466</v>
      </c>
    </row>
    <row r="319" spans="1:29" x14ac:dyDescent="0.25">
      <c r="A319" s="61">
        <v>110000582003</v>
      </c>
      <c r="B319" s="28">
        <v>2017</v>
      </c>
      <c r="C319" s="68">
        <f t="shared" si="4"/>
        <v>42736</v>
      </c>
      <c r="D319" s="28" t="s">
        <v>1079</v>
      </c>
      <c r="E319" s="28" t="s">
        <v>1673</v>
      </c>
      <c r="F319" s="28" t="s">
        <v>381</v>
      </c>
      <c r="G319" s="28" t="s">
        <v>338</v>
      </c>
      <c r="H319" s="28">
        <v>8014</v>
      </c>
      <c r="I319" s="28">
        <v>39.80142</v>
      </c>
      <c r="J319" s="28">
        <v>-75.354990000000001</v>
      </c>
      <c r="K319" s="28" t="s">
        <v>710</v>
      </c>
      <c r="L319" s="61">
        <v>110000582003</v>
      </c>
      <c r="M319" s="28" t="s">
        <v>265</v>
      </c>
      <c r="N319" s="28">
        <v>2869</v>
      </c>
      <c r="O319" s="28" t="str">
        <f>IFERROR(VLOOKUP(N319, 'SIC &amp; NAICS Codes'!A:B, 2, FALSE), "")</f>
        <v>Industrial Organic Chemicals, NEC (aliphatics)</v>
      </c>
      <c r="S319" s="28">
        <v>0.59</v>
      </c>
      <c r="T319" s="315">
        <f>_xlfn.MAXIFS('Raw Period DMR Data'!$O:$O,'Raw Period DMR Data'!$A:$A,'Raw Annual DMR Data'!B319,'Raw Period DMR Data'!$C:$C,X319)/S319</f>
        <v>0</v>
      </c>
      <c r="U319" s="28" t="str">
        <f>+IF(COUNTIFS('Raw Period DMR Data'!$A:$A,B319, 'Raw Period DMR Data'!C:C,'Raw Annual DMR Data'!X319, 'Raw Period DMR Data'!M:M, "&gt;0")&gt;0,_xlfn.MAXIFS('Raw Period DMR Data'!M:M,'Raw Period DMR Data'!$A:$A,'Raw Annual DMR Data'!B319,'Raw Period DMR Data'!C:C,'Raw Annual DMR Data'!X319), "N/A - Period DMR Data Not Available")</f>
        <v>N/A - Period DMR Data Not Available</v>
      </c>
      <c r="V319" s="28" t="str" cm="1">
        <f t="array" ref="V319">IFERROR(INDEX('Raw Period DMR Data'!N:N,MATCH(1,(B319='Raw Period DMR Data'!$A:$A)*(U319='Raw Period DMR Data'!M:M)*(X319='Raw Period DMR Data'!C:C),0),1), "N/A")</f>
        <v>N/A</v>
      </c>
      <c r="W319" s="28" t="s">
        <v>1463</v>
      </c>
      <c r="X319" s="28" t="s">
        <v>1674</v>
      </c>
      <c r="Y319" s="28" t="s">
        <v>1675</v>
      </c>
      <c r="Z319" s="28">
        <v>2040202001854</v>
      </c>
      <c r="AA319" s="28"/>
      <c r="AB319" s="28" t="s">
        <v>1465</v>
      </c>
      <c r="AC319" s="28" t="s">
        <v>1466</v>
      </c>
    </row>
    <row r="320" spans="1:29" x14ac:dyDescent="0.25">
      <c r="A320" s="61">
        <v>110000582003</v>
      </c>
      <c r="B320" s="28">
        <v>2018</v>
      </c>
      <c r="C320" s="68">
        <f t="shared" si="4"/>
        <v>43101</v>
      </c>
      <c r="D320" s="28" t="s">
        <v>1079</v>
      </c>
      <c r="E320" s="28" t="s">
        <v>1673</v>
      </c>
      <c r="F320" s="28" t="s">
        <v>381</v>
      </c>
      <c r="G320" s="28" t="s">
        <v>338</v>
      </c>
      <c r="H320" s="302" t="s">
        <v>1608</v>
      </c>
      <c r="I320" s="28">
        <v>39.80142</v>
      </c>
      <c r="J320" s="28">
        <v>-75.354990000000001</v>
      </c>
      <c r="K320" s="28" t="s">
        <v>710</v>
      </c>
      <c r="L320" s="61">
        <v>110000582003</v>
      </c>
      <c r="M320" s="28" t="s">
        <v>265</v>
      </c>
      <c r="N320" s="28">
        <v>2869</v>
      </c>
      <c r="O320" s="28" t="str">
        <f>IFERROR(VLOOKUP(N320, 'SIC &amp; NAICS Codes'!A:B, 2, FALSE), "")</f>
        <v>Industrial Organic Chemicals, NEC (aliphatics)</v>
      </c>
      <c r="S320" s="28">
        <v>0.1825</v>
      </c>
      <c r="T320" s="315">
        <f>_xlfn.MAXIFS('Raw Period DMR Data'!$O:$O,'Raw Period DMR Data'!$A:$A,'Raw Annual DMR Data'!B320,'Raw Period DMR Data'!$C:$C,X320)/S320</f>
        <v>0</v>
      </c>
      <c r="U320" s="28" t="str">
        <f>+IF(COUNTIFS('Raw Period DMR Data'!$A:$A,B320, 'Raw Period DMR Data'!C:C,'Raw Annual DMR Data'!X320, 'Raw Period DMR Data'!M:M, "&gt;0")&gt;0,_xlfn.MAXIFS('Raw Period DMR Data'!M:M,'Raw Period DMR Data'!$A:$A,'Raw Annual DMR Data'!B320,'Raw Period DMR Data'!C:C,'Raw Annual DMR Data'!X320), "N/A - Period DMR Data Not Available")</f>
        <v>N/A - Period DMR Data Not Available</v>
      </c>
      <c r="V320" s="28" t="str" cm="1">
        <f t="array" ref="V320">IFERROR(INDEX('Raw Period DMR Data'!N:N,MATCH(1,(B320='Raw Period DMR Data'!$A:$A)*(U320='Raw Period DMR Data'!M:M)*(X320='Raw Period DMR Data'!C:C),0),1), "N/A")</f>
        <v>N/A</v>
      </c>
      <c r="W320" s="28" t="s">
        <v>1463</v>
      </c>
      <c r="X320" s="28" t="s">
        <v>1674</v>
      </c>
      <c r="Y320" s="28" t="s">
        <v>1675</v>
      </c>
      <c r="Z320" s="302" t="s">
        <v>1676</v>
      </c>
      <c r="AA320" s="28"/>
      <c r="AB320" s="28" t="s">
        <v>1465</v>
      </c>
      <c r="AC320" s="28" t="s">
        <v>1466</v>
      </c>
    </row>
    <row r="321" spans="1:29" x14ac:dyDescent="0.25">
      <c r="A321" s="61">
        <v>110000582003</v>
      </c>
      <c r="B321" s="28">
        <v>2019</v>
      </c>
      <c r="C321" s="68">
        <f t="shared" si="4"/>
        <v>43466</v>
      </c>
      <c r="D321" s="28" t="s">
        <v>1079</v>
      </c>
      <c r="E321" s="28" t="s">
        <v>1673</v>
      </c>
      <c r="F321" s="28" t="s">
        <v>381</v>
      </c>
      <c r="G321" s="28" t="s">
        <v>338</v>
      </c>
      <c r="H321" s="28">
        <v>8014</v>
      </c>
      <c r="I321" s="28">
        <v>39.80142</v>
      </c>
      <c r="J321" s="28">
        <v>-75.354990000000001</v>
      </c>
      <c r="K321" s="28" t="s">
        <v>710</v>
      </c>
      <c r="L321" s="61">
        <v>110000582003</v>
      </c>
      <c r="M321" s="28" t="s">
        <v>265</v>
      </c>
      <c r="N321" s="28">
        <v>2869</v>
      </c>
      <c r="O321" s="28" t="str">
        <f>IFERROR(VLOOKUP(N321, 'SIC &amp; NAICS Codes'!A:B, 2, FALSE), "")</f>
        <v>Industrial Organic Chemicals, NEC (aliphatics)</v>
      </c>
      <c r="S321" s="28">
        <v>0.2135</v>
      </c>
      <c r="T321" s="315">
        <f>_xlfn.MAXIFS('Raw Period DMR Data'!$O:$O,'Raw Period DMR Data'!$A:$A,'Raw Annual DMR Data'!B321,'Raw Period DMR Data'!$C:$C,X321)/S321</f>
        <v>0</v>
      </c>
      <c r="U321" s="28" t="str">
        <f>+IF(COUNTIFS('Raw Period DMR Data'!$A:$A,B321, 'Raw Period DMR Data'!C:C,'Raw Annual DMR Data'!X321, 'Raw Period DMR Data'!M:M, "&gt;0")&gt;0,_xlfn.MAXIFS('Raw Period DMR Data'!M:M,'Raw Period DMR Data'!$A:$A,'Raw Annual DMR Data'!B321,'Raw Period DMR Data'!C:C,'Raw Annual DMR Data'!X321), "N/A - Period DMR Data Not Available")</f>
        <v>N/A - Period DMR Data Not Available</v>
      </c>
      <c r="V321" s="28" t="str" cm="1">
        <f t="array" ref="V321">IFERROR(INDEX('Raw Period DMR Data'!N:N,MATCH(1,(B321='Raw Period DMR Data'!$A:$A)*(U321='Raw Period DMR Data'!M:M)*(X321='Raw Period DMR Data'!C:C),0),1), "N/A")</f>
        <v>N/A</v>
      </c>
      <c r="W321" s="28" t="s">
        <v>1463</v>
      </c>
      <c r="X321" s="28" t="s">
        <v>1674</v>
      </c>
      <c r="Y321" s="28" t="s">
        <v>1675</v>
      </c>
      <c r="Z321" s="28">
        <v>2040202001854</v>
      </c>
      <c r="AA321" s="28"/>
      <c r="AB321" s="28" t="s">
        <v>1465</v>
      </c>
      <c r="AC321" s="28" t="s">
        <v>1466</v>
      </c>
    </row>
    <row r="322" spans="1:29" x14ac:dyDescent="0.25">
      <c r="A322" s="61">
        <v>110000582003</v>
      </c>
      <c r="B322" s="28">
        <v>2020</v>
      </c>
      <c r="C322" s="68">
        <f t="shared" si="4"/>
        <v>43831</v>
      </c>
      <c r="D322" s="28" t="s">
        <v>1079</v>
      </c>
      <c r="E322" s="28" t="s">
        <v>1673</v>
      </c>
      <c r="F322" s="28" t="s">
        <v>381</v>
      </c>
      <c r="G322" s="28" t="s">
        <v>338</v>
      </c>
      <c r="H322" s="28">
        <v>8014</v>
      </c>
      <c r="I322" s="28">
        <v>39.80142</v>
      </c>
      <c r="J322" s="28">
        <v>-75.354990000000001</v>
      </c>
      <c r="K322" s="28" t="s">
        <v>710</v>
      </c>
      <c r="L322" s="61">
        <v>110000582003</v>
      </c>
      <c r="M322" s="28" t="s">
        <v>265</v>
      </c>
      <c r="N322" s="28">
        <v>2869</v>
      </c>
      <c r="O322" s="28" t="str">
        <f>IFERROR(VLOOKUP(N322, 'SIC &amp; NAICS Codes'!A:B, 2, FALSE), "")</f>
        <v>Industrial Organic Chemicals, NEC (aliphatics)</v>
      </c>
      <c r="S322" s="28">
        <v>0.22059999999999999</v>
      </c>
      <c r="T322" s="315">
        <f>_xlfn.MAXIFS('Raw Period DMR Data'!$O:$O,'Raw Period DMR Data'!$A:$A,'Raw Annual DMR Data'!B322,'Raw Period DMR Data'!$C:$C,X322)/S322</f>
        <v>0</v>
      </c>
      <c r="U322" s="28" t="str">
        <f>+IF(COUNTIFS('Raw Period DMR Data'!$A:$A,B322, 'Raw Period DMR Data'!C:C,'Raw Annual DMR Data'!X322, 'Raw Period DMR Data'!M:M, "&gt;0")&gt;0,_xlfn.MAXIFS('Raw Period DMR Data'!M:M,'Raw Period DMR Data'!$A:$A,'Raw Annual DMR Data'!B322,'Raw Period DMR Data'!C:C,'Raw Annual DMR Data'!X322), "N/A - Period DMR Data Not Available")</f>
        <v>N/A - Period DMR Data Not Available</v>
      </c>
      <c r="V322" s="28" t="str" cm="1">
        <f t="array" ref="V322">IFERROR(INDEX('Raw Period DMR Data'!N:N,MATCH(1,(B322='Raw Period DMR Data'!$A:$A)*(U322='Raw Period DMR Data'!M:M)*(X322='Raw Period DMR Data'!C:C),0),1), "N/A")</f>
        <v>N/A</v>
      </c>
      <c r="W322" s="28" t="s">
        <v>1463</v>
      </c>
      <c r="X322" s="28" t="s">
        <v>1674</v>
      </c>
      <c r="Y322" s="28" t="s">
        <v>1675</v>
      </c>
      <c r="Z322" s="28">
        <v>2040202001854</v>
      </c>
      <c r="AA322" s="28"/>
      <c r="AB322" s="28" t="s">
        <v>1465</v>
      </c>
      <c r="AC322" s="28" t="s">
        <v>1466</v>
      </c>
    </row>
    <row r="323" spans="1:29" x14ac:dyDescent="0.25">
      <c r="A323" s="61">
        <v>110006620095</v>
      </c>
      <c r="B323" s="28">
        <v>2018</v>
      </c>
      <c r="C323" s="68">
        <f t="shared" ref="C323:C386" si="5">DATE(B323, 1, 1)</f>
        <v>43101</v>
      </c>
      <c r="D323" s="28" t="s">
        <v>1080</v>
      </c>
      <c r="E323" s="28" t="s">
        <v>1677</v>
      </c>
      <c r="F323" s="28" t="s">
        <v>1081</v>
      </c>
      <c r="G323" s="28" t="s">
        <v>338</v>
      </c>
      <c r="H323" s="302" t="s">
        <v>1678</v>
      </c>
      <c r="I323" s="28">
        <v>40.038871999999998</v>
      </c>
      <c r="J323" s="28">
        <v>-74.975640999999996</v>
      </c>
      <c r="L323" s="61">
        <v>110006620095</v>
      </c>
      <c r="M323" s="28" t="s">
        <v>263</v>
      </c>
      <c r="N323" s="28">
        <v>4952</v>
      </c>
      <c r="O323" s="28" t="str">
        <f>IFERROR(VLOOKUP(N323, 'SIC &amp; NAICS Codes'!A:B, 2, FALSE), "")</f>
        <v>Sewerage Systems</v>
      </c>
      <c r="S323" s="28">
        <v>0.16988026249999999</v>
      </c>
      <c r="T323" s="315">
        <f>_xlfn.MAXIFS('Raw Period DMR Data'!$O:$O,'Raw Period DMR Data'!$A:$A,'Raw Annual DMR Data'!B323,'Raw Period DMR Data'!$C:$C,X323)/S323</f>
        <v>0</v>
      </c>
      <c r="U323" s="28" t="str">
        <f>+IF(COUNTIFS('Raw Period DMR Data'!$A:$A,B323, 'Raw Period DMR Data'!C:C,'Raw Annual DMR Data'!X323, 'Raw Period DMR Data'!M:M, "&gt;0")&gt;0,_xlfn.MAXIFS('Raw Period DMR Data'!M:M,'Raw Period DMR Data'!$A:$A,'Raw Annual DMR Data'!B323,'Raw Period DMR Data'!C:C,'Raw Annual DMR Data'!X323), "N/A - Period DMR Data Not Available")</f>
        <v>N/A - Period DMR Data Not Available</v>
      </c>
      <c r="V323" s="28" t="str" cm="1">
        <f t="array" ref="V323">IFERROR(INDEX('Raw Period DMR Data'!N:N,MATCH(1,(B323='Raw Period DMR Data'!$A:$A)*(U323='Raw Period DMR Data'!M:M)*(X323='Raw Period DMR Data'!C:C),0),1), "N/A")</f>
        <v>N/A</v>
      </c>
      <c r="W323" s="28" t="s">
        <v>1463</v>
      </c>
      <c r="X323" s="28" t="s">
        <v>1679</v>
      </c>
      <c r="Y323" s="28" t="s">
        <v>1680</v>
      </c>
      <c r="Z323" s="302" t="s">
        <v>1681</v>
      </c>
      <c r="AA323" s="28"/>
      <c r="AB323" s="28" t="s">
        <v>1465</v>
      </c>
      <c r="AC323" s="28" t="s">
        <v>263</v>
      </c>
    </row>
    <row r="324" spans="1:29" x14ac:dyDescent="0.25">
      <c r="A324" s="61">
        <v>110006620095</v>
      </c>
      <c r="B324" s="28">
        <v>2019</v>
      </c>
      <c r="C324" s="68">
        <f t="shared" si="5"/>
        <v>43466</v>
      </c>
      <c r="D324" s="28" t="s">
        <v>1080</v>
      </c>
      <c r="E324" s="28" t="s">
        <v>1677</v>
      </c>
      <c r="F324" s="28" t="s">
        <v>1081</v>
      </c>
      <c r="G324" s="28" t="s">
        <v>338</v>
      </c>
      <c r="H324" s="28">
        <v>8075</v>
      </c>
      <c r="I324" s="28">
        <v>40.038871999999998</v>
      </c>
      <c r="J324" s="28">
        <v>-74.975640999999996</v>
      </c>
      <c r="L324" s="61">
        <v>110006620095</v>
      </c>
      <c r="M324" s="28" t="s">
        <v>263</v>
      </c>
      <c r="N324" s="28">
        <v>4952</v>
      </c>
      <c r="O324" s="28" t="str">
        <f>IFERROR(VLOOKUP(N324, 'SIC &amp; NAICS Codes'!A:B, 2, FALSE), "")</f>
        <v>Sewerage Systems</v>
      </c>
      <c r="S324" s="28">
        <v>9.62147E-2</v>
      </c>
      <c r="T324" s="315">
        <f>_xlfn.MAXIFS('Raw Period DMR Data'!$O:$O,'Raw Period DMR Data'!$A:$A,'Raw Annual DMR Data'!B324,'Raw Period DMR Data'!$C:$C,X324)/S324</f>
        <v>0</v>
      </c>
      <c r="U324" s="28" t="str">
        <f>+IF(COUNTIFS('Raw Period DMR Data'!$A:$A,B324, 'Raw Period DMR Data'!C:C,'Raw Annual DMR Data'!X324, 'Raw Period DMR Data'!M:M, "&gt;0")&gt;0,_xlfn.MAXIFS('Raw Period DMR Data'!M:M,'Raw Period DMR Data'!$A:$A,'Raw Annual DMR Data'!B324,'Raw Period DMR Data'!C:C,'Raw Annual DMR Data'!X324), "N/A - Period DMR Data Not Available")</f>
        <v>N/A - Period DMR Data Not Available</v>
      </c>
      <c r="V324" s="28" t="str" cm="1">
        <f t="array" ref="V324">IFERROR(INDEX('Raw Period DMR Data'!N:N,MATCH(1,(B324='Raw Period DMR Data'!$A:$A)*(U324='Raw Period DMR Data'!M:M)*(X324='Raw Period DMR Data'!C:C),0),1), "N/A")</f>
        <v>N/A</v>
      </c>
      <c r="W324" s="28" t="s">
        <v>1463</v>
      </c>
      <c r="X324" s="28" t="s">
        <v>1679</v>
      </c>
      <c r="Y324" s="28" t="s">
        <v>1680</v>
      </c>
      <c r="Z324" s="28">
        <v>2040202001995</v>
      </c>
      <c r="AA324" s="28"/>
      <c r="AB324" s="28" t="s">
        <v>1465</v>
      </c>
      <c r="AC324" s="28" t="s">
        <v>263</v>
      </c>
    </row>
    <row r="325" spans="1:29" x14ac:dyDescent="0.25">
      <c r="A325" s="61">
        <v>110006620095</v>
      </c>
      <c r="B325" s="28">
        <v>2020</v>
      </c>
      <c r="C325" s="68">
        <f t="shared" si="5"/>
        <v>43831</v>
      </c>
      <c r="D325" s="28" t="s">
        <v>1080</v>
      </c>
      <c r="E325" s="28" t="s">
        <v>1677</v>
      </c>
      <c r="F325" s="28" t="s">
        <v>1081</v>
      </c>
      <c r="G325" s="28" t="s">
        <v>338</v>
      </c>
      <c r="H325" s="28">
        <v>8075</v>
      </c>
      <c r="I325" s="28">
        <v>40.038871999999998</v>
      </c>
      <c r="J325" s="28">
        <v>-74.975640999999996</v>
      </c>
      <c r="L325" s="61">
        <v>110006620095</v>
      </c>
      <c r="M325" s="28" t="s">
        <v>263</v>
      </c>
      <c r="N325" s="28">
        <v>4952</v>
      </c>
      <c r="O325" s="28" t="str">
        <f>IFERROR(VLOOKUP(N325, 'SIC &amp; NAICS Codes'!A:B, 2, FALSE), "")</f>
        <v>Sewerage Systems</v>
      </c>
      <c r="S325" s="28">
        <v>9.6589414999999998E-2</v>
      </c>
      <c r="T325" s="315">
        <f>_xlfn.MAXIFS('Raw Period DMR Data'!$O:$O,'Raw Period DMR Data'!$A:$A,'Raw Annual DMR Data'!B325,'Raw Period DMR Data'!$C:$C,X325)/S325</f>
        <v>0</v>
      </c>
      <c r="U325" s="28" t="str">
        <f>+IF(COUNTIFS('Raw Period DMR Data'!$A:$A,B325, 'Raw Period DMR Data'!C:C,'Raw Annual DMR Data'!X325, 'Raw Period DMR Data'!M:M, "&gt;0")&gt;0,_xlfn.MAXIFS('Raw Period DMR Data'!M:M,'Raw Period DMR Data'!$A:$A,'Raw Annual DMR Data'!B325,'Raw Period DMR Data'!C:C,'Raw Annual DMR Data'!X325), "N/A - Period DMR Data Not Available")</f>
        <v>N/A - Period DMR Data Not Available</v>
      </c>
      <c r="V325" s="28" t="str" cm="1">
        <f t="array" ref="V325">IFERROR(INDEX('Raw Period DMR Data'!N:N,MATCH(1,(B325='Raw Period DMR Data'!$A:$A)*(U325='Raw Period DMR Data'!M:M)*(X325='Raw Period DMR Data'!C:C),0),1), "N/A")</f>
        <v>N/A</v>
      </c>
      <c r="W325" s="28" t="s">
        <v>1463</v>
      </c>
      <c r="X325" s="28" t="s">
        <v>1679</v>
      </c>
      <c r="Y325" s="28" t="s">
        <v>1680</v>
      </c>
      <c r="Z325" s="28">
        <v>2040202001995</v>
      </c>
      <c r="AA325" s="28"/>
      <c r="AB325" s="28" t="s">
        <v>1465</v>
      </c>
      <c r="AC325" s="28" t="s">
        <v>263</v>
      </c>
    </row>
    <row r="326" spans="1:29" x14ac:dyDescent="0.25">
      <c r="A326" s="61">
        <v>110070117180</v>
      </c>
      <c r="B326" s="28">
        <v>2016</v>
      </c>
      <c r="C326" s="68">
        <f t="shared" si="5"/>
        <v>42370</v>
      </c>
      <c r="D326" s="28" t="s">
        <v>1682</v>
      </c>
      <c r="E326" s="28" t="s">
        <v>501</v>
      </c>
      <c r="F326" s="28" t="s">
        <v>502</v>
      </c>
      <c r="G326" s="28" t="s">
        <v>303</v>
      </c>
      <c r="H326" s="28">
        <v>70058</v>
      </c>
      <c r="I326" s="28">
        <v>29.910609999999998</v>
      </c>
      <c r="J326" s="28">
        <v>-90.085269999999994</v>
      </c>
      <c r="L326" s="61">
        <v>110070117180</v>
      </c>
      <c r="M326" s="28" t="s">
        <v>252</v>
      </c>
      <c r="N326" s="28">
        <v>4226</v>
      </c>
      <c r="O326" s="28" t="str">
        <f>IFERROR(VLOOKUP(N326, 'SIC &amp; NAICS Codes'!A:B, 2, FALSE), "")</f>
        <v>Special Warehousing and Storage, NEC (warehousing in foreign trade zones)</v>
      </c>
      <c r="S326" s="28">
        <v>4.8292057999999999E-3</v>
      </c>
      <c r="T326" s="315">
        <f>_xlfn.MAXIFS('Raw Period DMR Data'!$O:$O,'Raw Period DMR Data'!$A:$A,'Raw Annual DMR Data'!B326,'Raw Period DMR Data'!$C:$C,X326)/S326</f>
        <v>0</v>
      </c>
      <c r="U326" s="28" t="str">
        <f>+IF(COUNTIFS('Raw Period DMR Data'!$A:$A,B326, 'Raw Period DMR Data'!C:C,'Raw Annual DMR Data'!X326, 'Raw Period DMR Data'!M:M, "&gt;0")&gt;0,_xlfn.MAXIFS('Raw Period DMR Data'!M:M,'Raw Period DMR Data'!$A:$A,'Raw Annual DMR Data'!B326,'Raw Period DMR Data'!C:C,'Raw Annual DMR Data'!X326), "N/A - Period DMR Data Not Available")</f>
        <v>N/A - Period DMR Data Not Available</v>
      </c>
      <c r="V326" s="28" t="str" cm="1">
        <f t="array" ref="V326">IFERROR(INDEX('Raw Period DMR Data'!N:N,MATCH(1,(B326='Raw Period DMR Data'!$A:$A)*(U326='Raw Period DMR Data'!M:M)*(X326='Raw Period DMR Data'!C:C),0),1), "N/A")</f>
        <v>N/A</v>
      </c>
      <c r="W326" s="28" t="s">
        <v>1463</v>
      </c>
      <c r="X326" s="28" t="s">
        <v>873</v>
      </c>
      <c r="Z326" s="28">
        <v>8090100000658</v>
      </c>
      <c r="AA326" s="28"/>
      <c r="AB326" s="28" t="s">
        <v>1465</v>
      </c>
      <c r="AC326" s="28" t="s">
        <v>1466</v>
      </c>
    </row>
    <row r="327" spans="1:29" x14ac:dyDescent="0.25">
      <c r="A327" s="61">
        <v>110070117180</v>
      </c>
      <c r="B327" s="28">
        <v>2016</v>
      </c>
      <c r="C327" s="68">
        <f t="shared" si="5"/>
        <v>42370</v>
      </c>
      <c r="D327" s="28" t="s">
        <v>1682</v>
      </c>
      <c r="E327" s="28" t="s">
        <v>501</v>
      </c>
      <c r="F327" s="28" t="s">
        <v>502</v>
      </c>
      <c r="G327" s="28" t="s">
        <v>303</v>
      </c>
      <c r="H327" s="28">
        <v>70058</v>
      </c>
      <c r="I327" s="28">
        <v>29.910609999999998</v>
      </c>
      <c r="J327" s="28">
        <v>-90.085269999999994</v>
      </c>
      <c r="L327" s="61">
        <v>110070117180</v>
      </c>
      <c r="M327" s="28" t="s">
        <v>252</v>
      </c>
      <c r="N327" s="28">
        <v>4226</v>
      </c>
      <c r="O327" s="28" t="str">
        <f>IFERROR(VLOOKUP(N327, 'SIC &amp; NAICS Codes'!A:B, 2, FALSE), "")</f>
        <v>Special Warehousing and Storage, NEC (warehousing in foreign trade zones)</v>
      </c>
      <c r="S327" s="28">
        <v>8.7176119999999996E-3</v>
      </c>
      <c r="T327" s="315">
        <f>_xlfn.MAXIFS('Raw Period DMR Data'!$O:$O,'Raw Period DMR Data'!$A:$A,'Raw Annual DMR Data'!B327,'Raw Period DMR Data'!$C:$C,X327)/S327</f>
        <v>0</v>
      </c>
      <c r="U327" s="28" t="str">
        <f>+IF(COUNTIFS('Raw Period DMR Data'!$A:$A,B327, 'Raw Period DMR Data'!C:C,'Raw Annual DMR Data'!X327, 'Raw Period DMR Data'!M:M, "&gt;0")&gt;0,_xlfn.MAXIFS('Raw Period DMR Data'!M:M,'Raw Period DMR Data'!$A:$A,'Raw Annual DMR Data'!B327,'Raw Period DMR Data'!C:C,'Raw Annual DMR Data'!X327), "N/A - Period DMR Data Not Available")</f>
        <v>N/A - Period DMR Data Not Available</v>
      </c>
      <c r="V327" s="28" t="str" cm="1">
        <f t="array" ref="V327">IFERROR(INDEX('Raw Period DMR Data'!N:N,MATCH(1,(B327='Raw Period DMR Data'!$A:$A)*(U327='Raw Period DMR Data'!M:M)*(X327='Raw Period DMR Data'!C:C),0),1), "N/A")</f>
        <v>N/A</v>
      </c>
      <c r="W327" s="28" t="s">
        <v>1463</v>
      </c>
      <c r="X327" s="28" t="s">
        <v>873</v>
      </c>
      <c r="Z327" s="28">
        <v>8090100000658</v>
      </c>
      <c r="AA327" s="28"/>
      <c r="AB327" s="28" t="s">
        <v>1465</v>
      </c>
      <c r="AC327" s="28" t="s">
        <v>1466</v>
      </c>
    </row>
    <row r="328" spans="1:29" x14ac:dyDescent="0.25">
      <c r="A328" s="61">
        <v>110070117180</v>
      </c>
      <c r="B328" s="28">
        <v>2017</v>
      </c>
      <c r="C328" s="68">
        <f t="shared" si="5"/>
        <v>42736</v>
      </c>
      <c r="D328" s="28" t="s">
        <v>1682</v>
      </c>
      <c r="E328" s="28" t="s">
        <v>501</v>
      </c>
      <c r="F328" s="28" t="s">
        <v>502</v>
      </c>
      <c r="G328" s="28" t="s">
        <v>303</v>
      </c>
      <c r="H328" s="28">
        <v>70058</v>
      </c>
      <c r="I328" s="28">
        <v>29.910609999999998</v>
      </c>
      <c r="J328" s="28">
        <v>-90.085269999999994</v>
      </c>
      <c r="L328" s="61">
        <v>110070117180</v>
      </c>
      <c r="M328" s="28" t="s">
        <v>252</v>
      </c>
      <c r="N328" s="28">
        <v>4226</v>
      </c>
      <c r="O328" s="28" t="str">
        <f>IFERROR(VLOOKUP(N328, 'SIC &amp; NAICS Codes'!A:B, 2, FALSE), "")</f>
        <v>Special Warehousing and Storage, NEC (warehousing in foreign trade zones)</v>
      </c>
      <c r="S328" s="28">
        <v>1.4353477E-2</v>
      </c>
      <c r="T328" s="315">
        <f>_xlfn.MAXIFS('Raw Period DMR Data'!$O:$O,'Raw Period DMR Data'!$A:$A,'Raw Annual DMR Data'!B328,'Raw Period DMR Data'!$C:$C,X328)/S328</f>
        <v>0</v>
      </c>
      <c r="U328" s="28" t="str">
        <f>+IF(COUNTIFS('Raw Period DMR Data'!$A:$A,B328, 'Raw Period DMR Data'!C:C,'Raw Annual DMR Data'!X328, 'Raw Period DMR Data'!M:M, "&gt;0")&gt;0,_xlfn.MAXIFS('Raw Period DMR Data'!M:M,'Raw Period DMR Data'!$A:$A,'Raw Annual DMR Data'!B328,'Raw Period DMR Data'!C:C,'Raw Annual DMR Data'!X328), "N/A - Period DMR Data Not Available")</f>
        <v>N/A - Period DMR Data Not Available</v>
      </c>
      <c r="V328" s="28" t="str" cm="1">
        <f t="array" ref="V328">IFERROR(INDEX('Raw Period DMR Data'!N:N,MATCH(1,(B328='Raw Period DMR Data'!$A:$A)*(U328='Raw Period DMR Data'!M:M)*(X328='Raw Period DMR Data'!C:C),0),1), "N/A")</f>
        <v>N/A</v>
      </c>
      <c r="W328" s="28" t="s">
        <v>1463</v>
      </c>
      <c r="X328" s="28" t="s">
        <v>873</v>
      </c>
      <c r="Z328" s="28">
        <v>8090100000658</v>
      </c>
      <c r="AA328" s="28"/>
      <c r="AB328" s="28" t="s">
        <v>1465</v>
      </c>
      <c r="AC328" s="28" t="s">
        <v>1466</v>
      </c>
    </row>
    <row r="329" spans="1:29" x14ac:dyDescent="0.25">
      <c r="A329" s="61">
        <v>110070117180</v>
      </c>
      <c r="B329" s="28">
        <v>2017</v>
      </c>
      <c r="C329" s="68">
        <f t="shared" si="5"/>
        <v>42736</v>
      </c>
      <c r="D329" s="28" t="s">
        <v>1682</v>
      </c>
      <c r="E329" s="28" t="s">
        <v>501</v>
      </c>
      <c r="F329" s="28" t="s">
        <v>502</v>
      </c>
      <c r="G329" s="28" t="s">
        <v>303</v>
      </c>
      <c r="H329" s="28">
        <v>70058</v>
      </c>
      <c r="I329" s="28">
        <v>29.910609999999998</v>
      </c>
      <c r="J329" s="28">
        <v>-90.085269999999994</v>
      </c>
      <c r="L329" s="61">
        <v>110070117180</v>
      </c>
      <c r="M329" s="28" t="s">
        <v>252</v>
      </c>
      <c r="N329" s="28">
        <v>4226</v>
      </c>
      <c r="O329" s="28" t="str">
        <f>IFERROR(VLOOKUP(N329, 'SIC &amp; NAICS Codes'!A:B, 2, FALSE), "")</f>
        <v>Special Warehousing and Storage, NEC (warehousing in foreign trade zones)</v>
      </c>
      <c r="S329" s="28">
        <v>2.5923275749999999E-2</v>
      </c>
      <c r="T329" s="315">
        <f>_xlfn.MAXIFS('Raw Period DMR Data'!$O:$O,'Raw Period DMR Data'!$A:$A,'Raw Annual DMR Data'!B329,'Raw Period DMR Data'!$C:$C,X329)/S329</f>
        <v>0</v>
      </c>
      <c r="U329" s="28" t="str">
        <f>+IF(COUNTIFS('Raw Period DMR Data'!$A:$A,B329, 'Raw Period DMR Data'!C:C,'Raw Annual DMR Data'!X329, 'Raw Period DMR Data'!M:M, "&gt;0")&gt;0,_xlfn.MAXIFS('Raw Period DMR Data'!M:M,'Raw Period DMR Data'!$A:$A,'Raw Annual DMR Data'!B329,'Raw Period DMR Data'!C:C,'Raw Annual DMR Data'!X329), "N/A - Period DMR Data Not Available")</f>
        <v>N/A - Period DMR Data Not Available</v>
      </c>
      <c r="V329" s="28" t="str" cm="1">
        <f t="array" ref="V329">IFERROR(INDEX('Raw Period DMR Data'!N:N,MATCH(1,(B329='Raw Period DMR Data'!$A:$A)*(U329='Raw Period DMR Data'!M:M)*(X329='Raw Period DMR Data'!C:C),0),1), "N/A")</f>
        <v>N/A</v>
      </c>
      <c r="W329" s="28" t="s">
        <v>1463</v>
      </c>
      <c r="X329" s="28" t="s">
        <v>873</v>
      </c>
      <c r="Z329" s="28">
        <v>8090100000658</v>
      </c>
      <c r="AA329" s="28"/>
      <c r="AB329" s="28" t="s">
        <v>1465</v>
      </c>
      <c r="AC329" s="28" t="s">
        <v>1466</v>
      </c>
    </row>
    <row r="330" spans="1:29" x14ac:dyDescent="0.25">
      <c r="A330" s="61">
        <v>110070117180</v>
      </c>
      <c r="B330" s="28">
        <v>2018</v>
      </c>
      <c r="C330" s="68">
        <f t="shared" si="5"/>
        <v>43101</v>
      </c>
      <c r="D330" s="28" t="s">
        <v>1682</v>
      </c>
      <c r="E330" s="28" t="s">
        <v>501</v>
      </c>
      <c r="F330" s="28" t="s">
        <v>502</v>
      </c>
      <c r="G330" s="28" t="s">
        <v>303</v>
      </c>
      <c r="H330" s="28">
        <v>70058</v>
      </c>
      <c r="I330" s="28">
        <v>29.910609999999998</v>
      </c>
      <c r="J330" s="28">
        <v>-90.085269999999994</v>
      </c>
      <c r="L330" s="61">
        <v>110070117180</v>
      </c>
      <c r="M330" s="28" t="s">
        <v>252</v>
      </c>
      <c r="N330" s="28">
        <v>4226</v>
      </c>
      <c r="O330" s="28" t="str">
        <f>IFERROR(VLOOKUP(N330, 'SIC &amp; NAICS Codes'!A:B, 2, FALSE), "")</f>
        <v>Special Warehousing and Storage, NEC (warehousing in foreign trade zones)</v>
      </c>
      <c r="S330" s="28">
        <v>2.5006738000000001E-2</v>
      </c>
      <c r="T330" s="315">
        <f>_xlfn.MAXIFS('Raw Period DMR Data'!$O:$O,'Raw Period DMR Data'!$A:$A,'Raw Annual DMR Data'!B330,'Raw Period DMR Data'!$C:$C,X330)/S330</f>
        <v>0</v>
      </c>
      <c r="U330" s="28" t="str">
        <f>+IF(COUNTIFS('Raw Period DMR Data'!$A:$A,B330, 'Raw Period DMR Data'!C:C,'Raw Annual DMR Data'!X330, 'Raw Period DMR Data'!M:M, "&gt;0")&gt;0,_xlfn.MAXIFS('Raw Period DMR Data'!M:M,'Raw Period DMR Data'!$A:$A,'Raw Annual DMR Data'!B330,'Raw Period DMR Data'!C:C,'Raw Annual DMR Data'!X330), "N/A - Period DMR Data Not Available")</f>
        <v>N/A - Period DMR Data Not Available</v>
      </c>
      <c r="V330" s="28" t="str" cm="1">
        <f t="array" ref="V330">IFERROR(INDEX('Raw Period DMR Data'!N:N,MATCH(1,(B330='Raw Period DMR Data'!$A:$A)*(U330='Raw Period DMR Data'!M:M)*(X330='Raw Period DMR Data'!C:C),0),1), "N/A")</f>
        <v>N/A</v>
      </c>
      <c r="W330" s="28" t="s">
        <v>1463</v>
      </c>
      <c r="X330" s="28" t="s">
        <v>873</v>
      </c>
      <c r="Z330" s="302" t="s">
        <v>1683</v>
      </c>
      <c r="AA330" s="28"/>
      <c r="AB330" s="28" t="s">
        <v>1465</v>
      </c>
      <c r="AC330" s="28" t="s">
        <v>1466</v>
      </c>
    </row>
    <row r="331" spans="1:29" x14ac:dyDescent="0.25">
      <c r="A331" s="61">
        <v>110070117180</v>
      </c>
      <c r="B331" s="28">
        <v>2018</v>
      </c>
      <c r="C331" s="68">
        <f t="shared" si="5"/>
        <v>43101</v>
      </c>
      <c r="D331" s="28" t="s">
        <v>1682</v>
      </c>
      <c r="E331" s="28" t="s">
        <v>501</v>
      </c>
      <c r="F331" s="28" t="s">
        <v>502</v>
      </c>
      <c r="G331" s="28" t="s">
        <v>303</v>
      </c>
      <c r="H331" s="28">
        <v>70058</v>
      </c>
      <c r="I331" s="28">
        <v>29.910609999999998</v>
      </c>
      <c r="J331" s="28">
        <v>-90.085269999999994</v>
      </c>
      <c r="L331" s="61">
        <v>110070117180</v>
      </c>
      <c r="M331" s="28" t="s">
        <v>252</v>
      </c>
      <c r="N331" s="28">
        <v>4226</v>
      </c>
      <c r="O331" s="28" t="str">
        <f>IFERROR(VLOOKUP(N331, 'SIC &amp; NAICS Codes'!A:B, 2, FALSE), "")</f>
        <v>Special Warehousing and Storage, NEC (warehousing in foreign trade zones)</v>
      </c>
      <c r="S331" s="28">
        <v>1.7546692249999999E-2</v>
      </c>
      <c r="T331" s="315">
        <f>_xlfn.MAXIFS('Raw Period DMR Data'!$O:$O,'Raw Period DMR Data'!$A:$A,'Raw Annual DMR Data'!B331,'Raw Period DMR Data'!$C:$C,X331)/S331</f>
        <v>0</v>
      </c>
      <c r="U331" s="28" t="str">
        <f>+IF(COUNTIFS('Raw Period DMR Data'!$A:$A,B331, 'Raw Period DMR Data'!C:C,'Raw Annual DMR Data'!X331, 'Raw Period DMR Data'!M:M, "&gt;0")&gt;0,_xlfn.MAXIFS('Raw Period DMR Data'!M:M,'Raw Period DMR Data'!$A:$A,'Raw Annual DMR Data'!B331,'Raw Period DMR Data'!C:C,'Raw Annual DMR Data'!X331), "N/A - Period DMR Data Not Available")</f>
        <v>N/A - Period DMR Data Not Available</v>
      </c>
      <c r="V331" s="28" t="str" cm="1">
        <f t="array" ref="V331">IFERROR(INDEX('Raw Period DMR Data'!N:N,MATCH(1,(B331='Raw Period DMR Data'!$A:$A)*(U331='Raw Period DMR Data'!M:M)*(X331='Raw Period DMR Data'!C:C),0),1), "N/A")</f>
        <v>N/A</v>
      </c>
      <c r="W331" s="28" t="s">
        <v>1463</v>
      </c>
      <c r="X331" s="28" t="s">
        <v>873</v>
      </c>
      <c r="Z331" s="302" t="s">
        <v>1683</v>
      </c>
      <c r="AA331" s="28"/>
      <c r="AB331" s="28" t="s">
        <v>1465</v>
      </c>
      <c r="AC331" s="28" t="s">
        <v>1466</v>
      </c>
    </row>
    <row r="332" spans="1:29" x14ac:dyDescent="0.25">
      <c r="A332" s="61">
        <v>110070117180</v>
      </c>
      <c r="B332" s="28">
        <v>2019</v>
      </c>
      <c r="C332" s="68">
        <f t="shared" si="5"/>
        <v>43466</v>
      </c>
      <c r="D332" s="28" t="s">
        <v>1682</v>
      </c>
      <c r="E332" s="28" t="s">
        <v>501</v>
      </c>
      <c r="F332" s="28" t="s">
        <v>502</v>
      </c>
      <c r="G332" s="28" t="s">
        <v>303</v>
      </c>
      <c r="H332" s="28">
        <v>70058</v>
      </c>
      <c r="I332" s="28">
        <v>29.910609999999998</v>
      </c>
      <c r="J332" s="28">
        <v>-90.085269999999994</v>
      </c>
      <c r="L332" s="61">
        <v>110070117180</v>
      </c>
      <c r="M332" s="28" t="s">
        <v>252</v>
      </c>
      <c r="N332" s="28">
        <v>4226</v>
      </c>
      <c r="O332" s="28" t="str">
        <f>IFERROR(VLOOKUP(N332, 'SIC &amp; NAICS Codes'!A:B, 2, FALSE), "")</f>
        <v>Special Warehousing and Storage, NEC (warehousing in foreign trade zones)</v>
      </c>
      <c r="S332" s="28">
        <v>7.9553640975000006E-2</v>
      </c>
      <c r="T332" s="315">
        <f>_xlfn.MAXIFS('Raw Period DMR Data'!$O:$O,'Raw Period DMR Data'!$A:$A,'Raw Annual DMR Data'!B332,'Raw Period DMR Data'!$C:$C,X332)/S332</f>
        <v>0</v>
      </c>
      <c r="U332" s="28" t="str">
        <f>+IF(COUNTIFS('Raw Period DMR Data'!$A:$A,B332, 'Raw Period DMR Data'!C:C,'Raw Annual DMR Data'!X332, 'Raw Period DMR Data'!M:M, "&gt;0")&gt;0,_xlfn.MAXIFS('Raw Period DMR Data'!M:M,'Raw Period DMR Data'!$A:$A,'Raw Annual DMR Data'!B332,'Raw Period DMR Data'!C:C,'Raw Annual DMR Data'!X332), "N/A - Period DMR Data Not Available")</f>
        <v>N/A - Period DMR Data Not Available</v>
      </c>
      <c r="V332" s="28" t="str" cm="1">
        <f t="array" ref="V332">IFERROR(INDEX('Raw Period DMR Data'!N:N,MATCH(1,(B332='Raw Period DMR Data'!$A:$A)*(U332='Raw Period DMR Data'!M:M)*(X332='Raw Period DMR Data'!C:C),0),1), "N/A")</f>
        <v>N/A</v>
      </c>
      <c r="W332" s="28" t="s">
        <v>1463</v>
      </c>
      <c r="X332" s="28" t="s">
        <v>873</v>
      </c>
      <c r="Z332" s="28">
        <v>8090100000658</v>
      </c>
      <c r="AA332" s="28"/>
      <c r="AB332" s="28" t="s">
        <v>1465</v>
      </c>
      <c r="AC332" s="28" t="s">
        <v>1466</v>
      </c>
    </row>
    <row r="333" spans="1:29" x14ac:dyDescent="0.25">
      <c r="A333" s="61">
        <v>110070117180</v>
      </c>
      <c r="B333" s="28">
        <v>2019</v>
      </c>
      <c r="C333" s="68">
        <f t="shared" si="5"/>
        <v>43466</v>
      </c>
      <c r="D333" s="28" t="s">
        <v>1682</v>
      </c>
      <c r="E333" s="28" t="s">
        <v>501</v>
      </c>
      <c r="F333" s="28" t="s">
        <v>502</v>
      </c>
      <c r="G333" s="28" t="s">
        <v>303</v>
      </c>
      <c r="H333" s="28">
        <v>70058</v>
      </c>
      <c r="I333" s="28">
        <v>29.910609999999998</v>
      </c>
      <c r="J333" s="28">
        <v>-90.085269999999994</v>
      </c>
      <c r="L333" s="61">
        <v>110070117180</v>
      </c>
      <c r="M333" s="28" t="s">
        <v>252</v>
      </c>
      <c r="N333" s="28">
        <v>4226</v>
      </c>
      <c r="O333" s="28" t="str">
        <f>IFERROR(VLOOKUP(N333, 'SIC &amp; NAICS Codes'!A:B, 2, FALSE), "")</f>
        <v>Special Warehousing and Storage, NEC (warehousing in foreign trade zones)</v>
      </c>
      <c r="S333" s="28">
        <v>1.7734958150000001E-2</v>
      </c>
      <c r="T333" s="315">
        <f>_xlfn.MAXIFS('Raw Period DMR Data'!$O:$O,'Raw Period DMR Data'!$A:$A,'Raw Annual DMR Data'!B333,'Raw Period DMR Data'!$C:$C,X333)/S333</f>
        <v>0</v>
      </c>
      <c r="U333" s="28" t="str">
        <f>+IF(COUNTIFS('Raw Period DMR Data'!$A:$A,B333, 'Raw Period DMR Data'!C:C,'Raw Annual DMR Data'!X333, 'Raw Period DMR Data'!M:M, "&gt;0")&gt;0,_xlfn.MAXIFS('Raw Period DMR Data'!M:M,'Raw Period DMR Data'!$A:$A,'Raw Annual DMR Data'!B333,'Raw Period DMR Data'!C:C,'Raw Annual DMR Data'!X333), "N/A - Period DMR Data Not Available")</f>
        <v>N/A - Period DMR Data Not Available</v>
      </c>
      <c r="V333" s="28" t="str" cm="1">
        <f t="array" ref="V333">IFERROR(INDEX('Raw Period DMR Data'!N:N,MATCH(1,(B333='Raw Period DMR Data'!$A:$A)*(U333='Raw Period DMR Data'!M:M)*(X333='Raw Period DMR Data'!C:C),0),1), "N/A")</f>
        <v>N/A</v>
      </c>
      <c r="W333" s="28" t="s">
        <v>1463</v>
      </c>
      <c r="X333" s="28" t="s">
        <v>873</v>
      </c>
      <c r="Z333" s="28">
        <v>8090100000658</v>
      </c>
      <c r="AA333" s="28"/>
      <c r="AB333" s="28" t="s">
        <v>1465</v>
      </c>
      <c r="AC333" s="28" t="s">
        <v>1466</v>
      </c>
    </row>
    <row r="334" spans="1:29" x14ac:dyDescent="0.25">
      <c r="A334" s="61">
        <v>110070117180</v>
      </c>
      <c r="B334" s="28">
        <v>2020</v>
      </c>
      <c r="C334" s="68">
        <f t="shared" si="5"/>
        <v>43831</v>
      </c>
      <c r="D334" s="28" t="s">
        <v>1682</v>
      </c>
      <c r="E334" s="28" t="s">
        <v>501</v>
      </c>
      <c r="F334" s="28" t="s">
        <v>502</v>
      </c>
      <c r="G334" s="28" t="s">
        <v>303</v>
      </c>
      <c r="H334" s="28">
        <v>70058</v>
      </c>
      <c r="I334" s="28">
        <v>29.910609999999998</v>
      </c>
      <c r="J334" s="28">
        <v>-90.085269999999994</v>
      </c>
      <c r="L334" s="61">
        <v>110070117180</v>
      </c>
      <c r="M334" s="28" t="s">
        <v>252</v>
      </c>
      <c r="N334" s="28">
        <v>4226</v>
      </c>
      <c r="O334" s="28" t="str">
        <f>IFERROR(VLOOKUP(N334, 'SIC &amp; NAICS Codes'!A:B, 2, FALSE), "")</f>
        <v>Special Warehousing and Storage, NEC (warehousing in foreign trade zones)</v>
      </c>
      <c r="S334" s="28">
        <v>2.6781070300000001E-2</v>
      </c>
      <c r="T334" s="315">
        <f>_xlfn.MAXIFS('Raw Period DMR Data'!$O:$O,'Raw Period DMR Data'!$A:$A,'Raw Annual DMR Data'!B334,'Raw Period DMR Data'!$C:$C,X334)/S334</f>
        <v>0</v>
      </c>
      <c r="U334" s="28" t="str">
        <f>+IF(COUNTIFS('Raw Period DMR Data'!$A:$A,B334, 'Raw Period DMR Data'!C:C,'Raw Annual DMR Data'!X334, 'Raw Period DMR Data'!M:M, "&gt;0")&gt;0,_xlfn.MAXIFS('Raw Period DMR Data'!M:M,'Raw Period DMR Data'!$A:$A,'Raw Annual DMR Data'!B334,'Raw Period DMR Data'!C:C,'Raw Annual DMR Data'!X334), "N/A - Period DMR Data Not Available")</f>
        <v>N/A - Period DMR Data Not Available</v>
      </c>
      <c r="V334" s="28" t="str" cm="1">
        <f t="array" ref="V334">IFERROR(INDEX('Raw Period DMR Data'!N:N,MATCH(1,(B334='Raw Period DMR Data'!$A:$A)*(U334='Raw Period DMR Data'!M:M)*(X334='Raw Period DMR Data'!C:C),0),1), "N/A")</f>
        <v>N/A</v>
      </c>
      <c r="W334" s="28" t="s">
        <v>1463</v>
      </c>
      <c r="X334" s="28" t="s">
        <v>873</v>
      </c>
      <c r="Z334" s="28">
        <v>8090100000658</v>
      </c>
      <c r="AA334" s="28"/>
      <c r="AB334" s="28" t="s">
        <v>1465</v>
      </c>
      <c r="AC334" s="28" t="s">
        <v>1466</v>
      </c>
    </row>
    <row r="335" spans="1:29" x14ac:dyDescent="0.25">
      <c r="A335" s="61">
        <v>110070117180</v>
      </c>
      <c r="B335" s="28">
        <v>2020</v>
      </c>
      <c r="C335" s="68">
        <f t="shared" si="5"/>
        <v>43831</v>
      </c>
      <c r="D335" s="28" t="s">
        <v>1682</v>
      </c>
      <c r="E335" s="28" t="s">
        <v>501</v>
      </c>
      <c r="F335" s="28" t="s">
        <v>502</v>
      </c>
      <c r="G335" s="28" t="s">
        <v>303</v>
      </c>
      <c r="H335" s="28">
        <v>70058</v>
      </c>
      <c r="I335" s="28">
        <v>29.910609999999998</v>
      </c>
      <c r="J335" s="28">
        <v>-90.085269999999994</v>
      </c>
      <c r="L335" s="61">
        <v>110070117180</v>
      </c>
      <c r="M335" s="28" t="s">
        <v>252</v>
      </c>
      <c r="N335" s="28">
        <v>4226</v>
      </c>
      <c r="O335" s="28" t="str">
        <f>IFERROR(VLOOKUP(N335, 'SIC &amp; NAICS Codes'!A:B, 2, FALSE), "")</f>
        <v>Special Warehousing and Storage, NEC (warehousing in foreign trade zones)</v>
      </c>
      <c r="S335" s="28">
        <v>3.0570347349999999E-2</v>
      </c>
      <c r="T335" s="315">
        <f>_xlfn.MAXIFS('Raw Period DMR Data'!$O:$O,'Raw Period DMR Data'!$A:$A,'Raw Annual DMR Data'!B335,'Raw Period DMR Data'!$C:$C,X335)/S335</f>
        <v>0</v>
      </c>
      <c r="U335" s="28" t="str">
        <f>+IF(COUNTIFS('Raw Period DMR Data'!$A:$A,B335, 'Raw Period DMR Data'!C:C,'Raw Annual DMR Data'!X335, 'Raw Period DMR Data'!M:M, "&gt;0")&gt;0,_xlfn.MAXIFS('Raw Period DMR Data'!M:M,'Raw Period DMR Data'!$A:$A,'Raw Annual DMR Data'!B335,'Raw Period DMR Data'!C:C,'Raw Annual DMR Data'!X335), "N/A - Period DMR Data Not Available")</f>
        <v>N/A - Period DMR Data Not Available</v>
      </c>
      <c r="V335" s="28" t="str" cm="1">
        <f t="array" ref="V335">IFERROR(INDEX('Raw Period DMR Data'!N:N,MATCH(1,(B335='Raw Period DMR Data'!$A:$A)*(U335='Raw Period DMR Data'!M:M)*(X335='Raw Period DMR Data'!C:C),0),1), "N/A")</f>
        <v>N/A</v>
      </c>
      <c r="W335" s="28" t="s">
        <v>1463</v>
      </c>
      <c r="X335" s="28" t="s">
        <v>873</v>
      </c>
      <c r="Z335" s="28">
        <v>8090100000658</v>
      </c>
      <c r="AA335" s="28"/>
      <c r="AB335" s="28" t="s">
        <v>1465</v>
      </c>
      <c r="AC335" s="28" t="s">
        <v>1466</v>
      </c>
    </row>
    <row r="336" spans="1:29" x14ac:dyDescent="0.25">
      <c r="A336" s="61">
        <v>110000732379</v>
      </c>
      <c r="B336" s="28">
        <v>2019</v>
      </c>
      <c r="C336" s="68">
        <f t="shared" si="5"/>
        <v>43466</v>
      </c>
      <c r="D336" s="28" t="s">
        <v>1082</v>
      </c>
      <c r="E336" s="28" t="s">
        <v>1684</v>
      </c>
      <c r="F336" s="28" t="s">
        <v>987</v>
      </c>
      <c r="G336" s="28" t="s">
        <v>324</v>
      </c>
      <c r="H336" s="28">
        <v>40272</v>
      </c>
      <c r="I336" s="28">
        <v>38.08614</v>
      </c>
      <c r="J336" s="28">
        <v>-85.898780000000002</v>
      </c>
      <c r="L336" s="61">
        <v>110000732379</v>
      </c>
      <c r="M336" s="28" t="s">
        <v>263</v>
      </c>
      <c r="N336" s="28">
        <v>4952</v>
      </c>
      <c r="O336" s="28" t="str">
        <f>IFERROR(VLOOKUP(N336, 'SIC &amp; NAICS Codes'!A:B, 2, FALSE), "")</f>
        <v>Sewerage Systems</v>
      </c>
      <c r="S336" s="28">
        <v>212.68922756250001</v>
      </c>
      <c r="T336" s="315">
        <f>_xlfn.MAXIFS('Raw Period DMR Data'!$O:$O,'Raw Period DMR Data'!$A:$A,'Raw Annual DMR Data'!B336,'Raw Period DMR Data'!$C:$C,X336)/S336</f>
        <v>0</v>
      </c>
      <c r="U336" s="28" t="str">
        <f>+IF(COUNTIFS('Raw Period DMR Data'!$A:$A,B336, 'Raw Period DMR Data'!C:C,'Raw Annual DMR Data'!X336, 'Raw Period DMR Data'!M:M, "&gt;0")&gt;0,_xlfn.MAXIFS('Raw Period DMR Data'!M:M,'Raw Period DMR Data'!$A:$A,'Raw Annual DMR Data'!B336,'Raw Period DMR Data'!C:C,'Raw Annual DMR Data'!X336), "N/A - Period DMR Data Not Available")</f>
        <v>N/A - Period DMR Data Not Available</v>
      </c>
      <c r="V336" s="28" t="str" cm="1">
        <f t="array" ref="V336">IFERROR(INDEX('Raw Period DMR Data'!N:N,MATCH(1,(B336='Raw Period DMR Data'!$A:$A)*(U336='Raw Period DMR Data'!M:M)*(X336='Raw Period DMR Data'!C:C),0),1), "N/A")</f>
        <v>N/A</v>
      </c>
      <c r="W336" s="28" t="s">
        <v>1463</v>
      </c>
      <c r="X336" s="28" t="s">
        <v>1685</v>
      </c>
      <c r="Y336" s="28" t="s">
        <v>830</v>
      </c>
      <c r="Z336" s="28">
        <v>5140101000005</v>
      </c>
      <c r="AA336" s="28"/>
      <c r="AB336" s="28" t="s">
        <v>1465</v>
      </c>
      <c r="AC336" s="28" t="s">
        <v>263</v>
      </c>
    </row>
    <row r="337" spans="1:29" x14ac:dyDescent="0.25">
      <c r="A337" s="61">
        <v>110000732379</v>
      </c>
      <c r="B337" s="28">
        <v>2020</v>
      </c>
      <c r="C337" s="68">
        <f t="shared" si="5"/>
        <v>43831</v>
      </c>
      <c r="D337" s="28" t="s">
        <v>1082</v>
      </c>
      <c r="E337" s="28" t="s">
        <v>1684</v>
      </c>
      <c r="F337" s="28" t="s">
        <v>987</v>
      </c>
      <c r="G337" s="28" t="s">
        <v>324</v>
      </c>
      <c r="H337" s="28">
        <v>40272</v>
      </c>
      <c r="I337" s="28">
        <v>38.08614</v>
      </c>
      <c r="J337" s="28">
        <v>-85.898780000000002</v>
      </c>
      <c r="L337" s="61">
        <v>110000732379</v>
      </c>
      <c r="M337" s="28" t="s">
        <v>263</v>
      </c>
      <c r="N337" s="28">
        <v>4952</v>
      </c>
      <c r="O337" s="28" t="str">
        <f>IFERROR(VLOOKUP(N337, 'SIC &amp; NAICS Codes'!A:B, 2, FALSE), "")</f>
        <v>Sewerage Systems</v>
      </c>
      <c r="S337" s="28">
        <v>167.30267749999999</v>
      </c>
      <c r="T337" s="315">
        <f>_xlfn.MAXIFS('Raw Period DMR Data'!$O:$O,'Raw Period DMR Data'!$A:$A,'Raw Annual DMR Data'!B337,'Raw Period DMR Data'!$C:$C,X337)/S337</f>
        <v>0</v>
      </c>
      <c r="U337" s="28" t="str">
        <f>+IF(COUNTIFS('Raw Period DMR Data'!$A:$A,B337, 'Raw Period DMR Data'!C:C,'Raw Annual DMR Data'!X337, 'Raw Period DMR Data'!M:M, "&gt;0")&gt;0,_xlfn.MAXIFS('Raw Period DMR Data'!M:M,'Raw Period DMR Data'!$A:$A,'Raw Annual DMR Data'!B337,'Raw Period DMR Data'!C:C,'Raw Annual DMR Data'!X337), "N/A - Period DMR Data Not Available")</f>
        <v>N/A - Period DMR Data Not Available</v>
      </c>
      <c r="V337" s="28" t="str" cm="1">
        <f t="array" ref="V337">IFERROR(INDEX('Raw Period DMR Data'!N:N,MATCH(1,(B337='Raw Period DMR Data'!$A:$A)*(U337='Raw Period DMR Data'!M:M)*(X337='Raw Period DMR Data'!C:C),0),1), "N/A")</f>
        <v>N/A</v>
      </c>
      <c r="W337" s="28" t="s">
        <v>1463</v>
      </c>
      <c r="X337" s="28" t="s">
        <v>1685</v>
      </c>
      <c r="Y337" s="28" t="s">
        <v>830</v>
      </c>
      <c r="Z337" s="28">
        <v>5140101000005</v>
      </c>
      <c r="AA337" s="28"/>
      <c r="AB337" s="28" t="s">
        <v>1465</v>
      </c>
      <c r="AC337" s="28" t="s">
        <v>263</v>
      </c>
    </row>
    <row r="338" spans="1:29" x14ac:dyDescent="0.25">
      <c r="A338" s="61">
        <v>110070048003</v>
      </c>
      <c r="B338" s="28">
        <v>2018</v>
      </c>
      <c r="C338" s="68">
        <f t="shared" si="5"/>
        <v>43101</v>
      </c>
      <c r="D338" s="28" t="s">
        <v>134</v>
      </c>
      <c r="E338" s="28" t="s">
        <v>433</v>
      </c>
      <c r="F338" s="28" t="s">
        <v>434</v>
      </c>
      <c r="G338" s="28" t="s">
        <v>435</v>
      </c>
      <c r="H338" s="28">
        <v>28203</v>
      </c>
      <c r="I338" s="28">
        <v>35.215859999999999</v>
      </c>
      <c r="J338" s="28">
        <v>-80.856890000000007</v>
      </c>
      <c r="L338" s="61">
        <v>110070048003</v>
      </c>
      <c r="M338" s="28" t="s">
        <v>264</v>
      </c>
      <c r="O338" s="28" t="str">
        <f>IFERROR(VLOOKUP(N338, 'SIC &amp; NAICS Codes'!A:B, 2, FALSE), "")</f>
        <v/>
      </c>
      <c r="S338" s="28">
        <v>4.7309471999999998E-2</v>
      </c>
      <c r="T338" s="315">
        <f>_xlfn.MAXIFS('Raw Period DMR Data'!$O:$O,'Raw Period DMR Data'!$A:$A,'Raw Annual DMR Data'!B338,'Raw Period DMR Data'!$C:$C,X338)/S338</f>
        <v>0</v>
      </c>
      <c r="U338" s="28" t="str">
        <f>+IF(COUNTIFS('Raw Period DMR Data'!$A:$A,B338, 'Raw Period DMR Data'!C:C,'Raw Annual DMR Data'!X338, 'Raw Period DMR Data'!M:M, "&gt;0")&gt;0,_xlfn.MAXIFS('Raw Period DMR Data'!M:M,'Raw Period DMR Data'!$A:$A,'Raw Annual DMR Data'!B338,'Raw Period DMR Data'!C:C,'Raw Annual DMR Data'!X338), "N/A - Period DMR Data Not Available")</f>
        <v>N/A - Period DMR Data Not Available</v>
      </c>
      <c r="V338" s="28" t="str" cm="1">
        <f t="array" ref="V338">IFERROR(INDEX('Raw Period DMR Data'!N:N,MATCH(1,(B338='Raw Period DMR Data'!$A:$A)*(U338='Raw Period DMR Data'!M:M)*(X338='Raw Period DMR Data'!C:C),0),1), "N/A")</f>
        <v>N/A</v>
      </c>
      <c r="W338" s="28" t="s">
        <v>1463</v>
      </c>
      <c r="X338" s="28" t="s">
        <v>833</v>
      </c>
      <c r="Y338" s="28" t="s">
        <v>834</v>
      </c>
      <c r="Z338" s="61">
        <v>3050103000259</v>
      </c>
    </row>
    <row r="339" spans="1:29" x14ac:dyDescent="0.25">
      <c r="A339" s="61">
        <v>110070048003</v>
      </c>
      <c r="B339" s="28">
        <v>2019</v>
      </c>
      <c r="C339" s="68">
        <f t="shared" si="5"/>
        <v>43466</v>
      </c>
      <c r="D339" s="28" t="s">
        <v>134</v>
      </c>
      <c r="E339" s="28" t="s">
        <v>433</v>
      </c>
      <c r="F339" s="28" t="s">
        <v>434</v>
      </c>
      <c r="G339" s="28" t="s">
        <v>435</v>
      </c>
      <c r="H339" s="28">
        <v>28203</v>
      </c>
      <c r="I339" s="28">
        <v>35.215859999999999</v>
      </c>
      <c r="J339" s="28">
        <v>-80.856890000000007</v>
      </c>
      <c r="L339" s="61">
        <v>110070048003</v>
      </c>
      <c r="M339" s="28" t="s">
        <v>264</v>
      </c>
      <c r="O339" s="28" t="str">
        <f>IFERROR(VLOOKUP(N339, 'SIC &amp; NAICS Codes'!A:B, 2, FALSE), "")</f>
        <v/>
      </c>
      <c r="S339" s="28">
        <v>3.5432119290000001E-2</v>
      </c>
      <c r="T339" s="315">
        <f>_xlfn.MAXIFS('Raw Period DMR Data'!$O:$O,'Raw Period DMR Data'!$A:$A,'Raw Annual DMR Data'!B339,'Raw Period DMR Data'!$C:$C,X339)/S339</f>
        <v>0</v>
      </c>
      <c r="U339" s="28" t="str">
        <f>+IF(COUNTIFS('Raw Period DMR Data'!$A:$A,B339, 'Raw Period DMR Data'!C:C,'Raw Annual DMR Data'!X339, 'Raw Period DMR Data'!M:M, "&gt;0")&gt;0,_xlfn.MAXIFS('Raw Period DMR Data'!M:M,'Raw Period DMR Data'!$A:$A,'Raw Annual DMR Data'!B339,'Raw Period DMR Data'!C:C,'Raw Annual DMR Data'!X339), "N/A - Period DMR Data Not Available")</f>
        <v>N/A - Period DMR Data Not Available</v>
      </c>
      <c r="V339" s="28" t="str" cm="1">
        <f t="array" ref="V339">IFERROR(INDEX('Raw Period DMR Data'!N:N,MATCH(1,(B339='Raw Period DMR Data'!$A:$A)*(U339='Raw Period DMR Data'!M:M)*(X339='Raw Period DMR Data'!C:C),0),1), "N/A")</f>
        <v>N/A</v>
      </c>
      <c r="W339" s="28" t="s">
        <v>1463</v>
      </c>
      <c r="X339" s="28" t="s">
        <v>833</v>
      </c>
      <c r="Y339" s="28" t="s">
        <v>834</v>
      </c>
      <c r="Z339" s="61">
        <v>3050103000259</v>
      </c>
    </row>
    <row r="340" spans="1:29" x14ac:dyDescent="0.25">
      <c r="A340" s="61">
        <v>110070048003</v>
      </c>
      <c r="B340" s="28">
        <v>2020</v>
      </c>
      <c r="C340" s="68">
        <f t="shared" si="5"/>
        <v>43831</v>
      </c>
      <c r="D340" s="28" t="s">
        <v>134</v>
      </c>
      <c r="E340" s="28" t="s">
        <v>433</v>
      </c>
      <c r="F340" s="28" t="s">
        <v>434</v>
      </c>
      <c r="G340" s="28" t="s">
        <v>435</v>
      </c>
      <c r="H340" s="28">
        <v>28203</v>
      </c>
      <c r="I340" s="28">
        <v>35.215859999999999</v>
      </c>
      <c r="J340" s="28">
        <v>-80.856890000000007</v>
      </c>
      <c r="L340" s="61">
        <v>110070048003</v>
      </c>
      <c r="M340" s="28" t="s">
        <v>264</v>
      </c>
      <c r="O340" s="28" t="str">
        <f>IFERROR(VLOOKUP(N340, 'SIC &amp; NAICS Codes'!A:B, 2, FALSE), "")</f>
        <v/>
      </c>
      <c r="S340" s="28">
        <v>4.3603200000000002E-2</v>
      </c>
      <c r="T340" s="315">
        <f>_xlfn.MAXIFS('Raw Period DMR Data'!$O:$O,'Raw Period DMR Data'!$A:$A,'Raw Annual DMR Data'!B340,'Raw Period DMR Data'!$C:$C,X340)/S340</f>
        <v>0</v>
      </c>
      <c r="U340" s="28" t="str">
        <f>+IF(COUNTIFS('Raw Period DMR Data'!$A:$A,B340, 'Raw Period DMR Data'!C:C,'Raw Annual DMR Data'!X340, 'Raw Period DMR Data'!M:M, "&gt;0")&gt;0,_xlfn.MAXIFS('Raw Period DMR Data'!M:M,'Raw Period DMR Data'!$A:$A,'Raw Annual DMR Data'!B340,'Raw Period DMR Data'!C:C,'Raw Annual DMR Data'!X340), "N/A - Period DMR Data Not Available")</f>
        <v>N/A - Period DMR Data Not Available</v>
      </c>
      <c r="V340" s="28" t="str" cm="1">
        <f t="array" ref="V340">IFERROR(INDEX('Raw Period DMR Data'!N:N,MATCH(1,(B340='Raw Period DMR Data'!$A:$A)*(U340='Raw Period DMR Data'!M:M)*(X340='Raw Period DMR Data'!C:C),0),1), "N/A")</f>
        <v>N/A</v>
      </c>
      <c r="W340" s="28" t="s">
        <v>1463</v>
      </c>
      <c r="X340" s="28" t="s">
        <v>833</v>
      </c>
      <c r="Y340" s="28" t="s">
        <v>834</v>
      </c>
      <c r="Z340" s="61">
        <v>3050103000259</v>
      </c>
    </row>
    <row r="341" spans="1:29" x14ac:dyDescent="0.25">
      <c r="A341" s="61">
        <v>110000584305</v>
      </c>
      <c r="B341" s="28">
        <v>2018</v>
      </c>
      <c r="C341" s="68">
        <f t="shared" si="5"/>
        <v>43101</v>
      </c>
      <c r="D341" s="28" t="s">
        <v>1083</v>
      </c>
      <c r="E341" s="28" t="s">
        <v>1686</v>
      </c>
      <c r="F341" s="28" t="s">
        <v>1084</v>
      </c>
      <c r="G341" s="28" t="s">
        <v>491</v>
      </c>
      <c r="H341" s="28">
        <v>17961</v>
      </c>
      <c r="I341" s="28">
        <v>40.628785999999998</v>
      </c>
      <c r="J341" s="28">
        <v>-76.058580000000006</v>
      </c>
      <c r="L341" s="61">
        <v>110000584305</v>
      </c>
      <c r="M341" s="28" t="s">
        <v>265</v>
      </c>
      <c r="N341" s="28">
        <v>3951</v>
      </c>
      <c r="O341" s="28" t="str">
        <f>IFERROR(VLOOKUP(N341, 'SIC &amp; NAICS Codes'!A:B, 2, FALSE), "")</f>
        <v xml:space="preserve">Pens, Mechanical Pencils, and Parts </v>
      </c>
      <c r="S341" s="302">
        <v>7.5102040816326498E-3</v>
      </c>
      <c r="T341" s="315">
        <f>_xlfn.MAXIFS('Raw Period DMR Data'!$O:$O,'Raw Period DMR Data'!$A:$A,'Raw Annual DMR Data'!B341,'Raw Period DMR Data'!$C:$C,X341)/S341</f>
        <v>0</v>
      </c>
      <c r="U341" s="28" t="str">
        <f>+IF(COUNTIFS('Raw Period DMR Data'!$A:$A,B341, 'Raw Period DMR Data'!C:C,'Raw Annual DMR Data'!X341, 'Raw Period DMR Data'!M:M, "&gt;0")&gt;0,_xlfn.MAXIFS('Raw Period DMR Data'!M:M,'Raw Period DMR Data'!$A:$A,'Raw Annual DMR Data'!B341,'Raw Period DMR Data'!C:C,'Raw Annual DMR Data'!X341), "N/A - Period DMR Data Not Available")</f>
        <v>N/A - Period DMR Data Not Available</v>
      </c>
      <c r="V341" s="28" t="str" cm="1">
        <f t="array" ref="V341">IFERROR(INDEX('Raw Period DMR Data'!N:N,MATCH(1,(B341='Raw Period DMR Data'!$A:$A)*(U341='Raw Period DMR Data'!M:M)*(X341='Raw Period DMR Data'!C:C),0),1), "N/A")</f>
        <v>N/A</v>
      </c>
      <c r="W341" s="28" t="s">
        <v>1463</v>
      </c>
      <c r="X341" s="28" t="s">
        <v>1687</v>
      </c>
      <c r="Y341" s="28" t="s">
        <v>1688</v>
      </c>
      <c r="Z341" s="302" t="s">
        <v>1689</v>
      </c>
      <c r="AA341" s="28"/>
      <c r="AB341" s="28" t="s">
        <v>1465</v>
      </c>
      <c r="AC341" s="28" t="s">
        <v>1466</v>
      </c>
    </row>
    <row r="342" spans="1:29" x14ac:dyDescent="0.25">
      <c r="A342" s="61">
        <v>110000584305</v>
      </c>
      <c r="B342" s="28">
        <v>2019</v>
      </c>
      <c r="C342" s="68">
        <f t="shared" si="5"/>
        <v>43466</v>
      </c>
      <c r="D342" s="28" t="s">
        <v>1083</v>
      </c>
      <c r="E342" s="28" t="s">
        <v>1686</v>
      </c>
      <c r="F342" s="28" t="s">
        <v>1084</v>
      </c>
      <c r="G342" s="28" t="s">
        <v>491</v>
      </c>
      <c r="H342" s="28">
        <v>17961</v>
      </c>
      <c r="I342" s="28">
        <v>40.628785999999998</v>
      </c>
      <c r="J342" s="28">
        <v>-76.058580000000006</v>
      </c>
      <c r="L342" s="61">
        <v>110000584305</v>
      </c>
      <c r="M342" s="28" t="s">
        <v>265</v>
      </c>
      <c r="N342" s="28">
        <v>3951</v>
      </c>
      <c r="O342" s="28" t="str">
        <f>IFERROR(VLOOKUP(N342, 'SIC &amp; NAICS Codes'!A:B, 2, FALSE), "")</f>
        <v xml:space="preserve">Pens, Mechanical Pencils, and Parts </v>
      </c>
      <c r="S342" s="28">
        <v>7.2448979591836701E-3</v>
      </c>
      <c r="T342" s="315">
        <f>_xlfn.MAXIFS('Raw Period DMR Data'!$O:$O,'Raw Period DMR Data'!$A:$A,'Raw Annual DMR Data'!B342,'Raw Period DMR Data'!$C:$C,X342)/S342</f>
        <v>0</v>
      </c>
      <c r="U342" s="28" t="str">
        <f>+IF(COUNTIFS('Raw Period DMR Data'!$A:$A,B342, 'Raw Period DMR Data'!C:C,'Raw Annual DMR Data'!X342, 'Raw Period DMR Data'!M:M, "&gt;0")&gt;0,_xlfn.MAXIFS('Raw Period DMR Data'!M:M,'Raw Period DMR Data'!$A:$A,'Raw Annual DMR Data'!B342,'Raw Period DMR Data'!C:C,'Raw Annual DMR Data'!X342), "N/A - Period DMR Data Not Available")</f>
        <v>N/A - Period DMR Data Not Available</v>
      </c>
      <c r="V342" s="28" t="str" cm="1">
        <f t="array" ref="V342">IFERROR(INDEX('Raw Period DMR Data'!N:N,MATCH(1,(B342='Raw Period DMR Data'!$A:$A)*(U342='Raw Period DMR Data'!M:M)*(X342='Raw Period DMR Data'!C:C),0),1), "N/A")</f>
        <v>N/A</v>
      </c>
      <c r="W342" s="28" t="s">
        <v>1463</v>
      </c>
      <c r="X342" s="28" t="s">
        <v>1687</v>
      </c>
      <c r="Y342" s="28" t="s">
        <v>1688</v>
      </c>
      <c r="Z342" s="28">
        <v>2040203000412</v>
      </c>
      <c r="AA342" s="28"/>
      <c r="AB342" s="28" t="s">
        <v>1465</v>
      </c>
      <c r="AC342" s="28" t="s">
        <v>1466</v>
      </c>
    </row>
    <row r="343" spans="1:29" x14ac:dyDescent="0.25">
      <c r="A343" s="61">
        <v>110000584305</v>
      </c>
      <c r="B343" s="28">
        <v>2020</v>
      </c>
      <c r="C343" s="68">
        <f t="shared" si="5"/>
        <v>43831</v>
      </c>
      <c r="D343" s="28" t="s">
        <v>1083</v>
      </c>
      <c r="E343" s="28" t="s">
        <v>1686</v>
      </c>
      <c r="F343" s="28" t="s">
        <v>1084</v>
      </c>
      <c r="G343" s="28" t="s">
        <v>491</v>
      </c>
      <c r="H343" s="28">
        <v>17961</v>
      </c>
      <c r="I343" s="28">
        <v>40.628785999999998</v>
      </c>
      <c r="J343" s="28">
        <v>-76.058580000000006</v>
      </c>
      <c r="L343" s="61">
        <v>110000584305</v>
      </c>
      <c r="M343" s="28" t="s">
        <v>265</v>
      </c>
      <c r="N343" s="28">
        <v>3951</v>
      </c>
      <c r="O343" s="28" t="str">
        <f>IFERROR(VLOOKUP(N343, 'SIC &amp; NAICS Codes'!A:B, 2, FALSE), "")</f>
        <v xml:space="preserve">Pens, Mechanical Pencils, and Parts </v>
      </c>
      <c r="S343" s="28">
        <v>5.9931972789115601E-3</v>
      </c>
      <c r="T343" s="315">
        <f>_xlfn.MAXIFS('Raw Period DMR Data'!$O:$O,'Raw Period DMR Data'!$A:$A,'Raw Annual DMR Data'!B343,'Raw Period DMR Data'!$C:$C,X343)/S343</f>
        <v>0</v>
      </c>
      <c r="U343" s="28" t="str">
        <f>+IF(COUNTIFS('Raw Period DMR Data'!$A:$A,B343, 'Raw Period DMR Data'!C:C,'Raw Annual DMR Data'!X343, 'Raw Period DMR Data'!M:M, "&gt;0")&gt;0,_xlfn.MAXIFS('Raw Period DMR Data'!M:M,'Raw Period DMR Data'!$A:$A,'Raw Annual DMR Data'!B343,'Raw Period DMR Data'!C:C,'Raw Annual DMR Data'!X343), "N/A - Period DMR Data Not Available")</f>
        <v>N/A - Period DMR Data Not Available</v>
      </c>
      <c r="V343" s="28" t="str" cm="1">
        <f t="array" ref="V343">IFERROR(INDEX('Raw Period DMR Data'!N:N,MATCH(1,(B343='Raw Period DMR Data'!$A:$A)*(U343='Raw Period DMR Data'!M:M)*(X343='Raw Period DMR Data'!C:C),0),1), "N/A")</f>
        <v>N/A</v>
      </c>
      <c r="W343" s="28" t="s">
        <v>1463</v>
      </c>
      <c r="X343" s="28" t="s">
        <v>1687</v>
      </c>
      <c r="Y343" s="28" t="s">
        <v>1688</v>
      </c>
      <c r="Z343" s="28">
        <v>2040203000412</v>
      </c>
      <c r="AA343" s="28"/>
      <c r="AB343" s="28" t="s">
        <v>1465</v>
      </c>
      <c r="AC343" s="28" t="s">
        <v>1466</v>
      </c>
    </row>
    <row r="344" spans="1:29" x14ac:dyDescent="0.25">
      <c r="A344" s="61">
        <v>110011373628</v>
      </c>
      <c r="B344" s="28">
        <v>2018</v>
      </c>
      <c r="C344" s="68">
        <f t="shared" si="5"/>
        <v>43101</v>
      </c>
      <c r="D344" s="28" t="s">
        <v>1085</v>
      </c>
      <c r="E344" s="28" t="s">
        <v>1690</v>
      </c>
      <c r="F344" s="28" t="s">
        <v>1086</v>
      </c>
      <c r="G344" s="28" t="s">
        <v>366</v>
      </c>
      <c r="H344" s="28">
        <v>95728</v>
      </c>
      <c r="I344" s="28">
        <v>39.325924000000001</v>
      </c>
      <c r="J344" s="28">
        <v>-120.393384</v>
      </c>
      <c r="L344" s="61">
        <v>110011373628</v>
      </c>
      <c r="M344" s="28" t="s">
        <v>263</v>
      </c>
      <c r="N344" s="28">
        <v>4952</v>
      </c>
      <c r="O344" s="28" t="str">
        <f>IFERROR(VLOOKUP(N344, 'SIC &amp; NAICS Codes'!A:B, 2, FALSE), "")</f>
        <v>Sewerage Systems</v>
      </c>
      <c r="S344" s="28">
        <v>1.14666575E-2</v>
      </c>
      <c r="T344" s="315">
        <f>_xlfn.MAXIFS('Raw Period DMR Data'!$O:$O,'Raw Period DMR Data'!$A:$A,'Raw Annual DMR Data'!B344,'Raw Period DMR Data'!$C:$C,X344)/S344</f>
        <v>0</v>
      </c>
      <c r="U344" s="28" t="str">
        <f>+IF(COUNTIFS('Raw Period DMR Data'!$A:$A,B344, 'Raw Period DMR Data'!C:C,'Raw Annual DMR Data'!X344, 'Raw Period DMR Data'!M:M, "&gt;0")&gt;0,_xlfn.MAXIFS('Raw Period DMR Data'!M:M,'Raw Period DMR Data'!$A:$A,'Raw Annual DMR Data'!B344,'Raw Period DMR Data'!C:C,'Raw Annual DMR Data'!X344), "N/A - Period DMR Data Not Available")</f>
        <v>N/A - Period DMR Data Not Available</v>
      </c>
      <c r="V344" s="28" t="str" cm="1">
        <f t="array" ref="V344">IFERROR(INDEX('Raw Period DMR Data'!N:N,MATCH(1,(B344='Raw Period DMR Data'!$A:$A)*(U344='Raw Period DMR Data'!M:M)*(X344='Raw Period DMR Data'!C:C),0),1), "N/A")</f>
        <v>N/A</v>
      </c>
      <c r="W344" s="28" t="s">
        <v>1463</v>
      </c>
      <c r="X344" s="28" t="s">
        <v>1691</v>
      </c>
      <c r="Y344" s="28" t="s">
        <v>1692</v>
      </c>
      <c r="Z344" s="28">
        <v>18020125000098</v>
      </c>
      <c r="AA344" s="28"/>
      <c r="AB344" s="28" t="s">
        <v>1465</v>
      </c>
      <c r="AC344" s="28" t="s">
        <v>263</v>
      </c>
    </row>
    <row r="345" spans="1:29" x14ac:dyDescent="0.25">
      <c r="A345" s="61">
        <v>110027360629</v>
      </c>
      <c r="B345" s="28">
        <v>2015</v>
      </c>
      <c r="C345" s="68">
        <f t="shared" si="5"/>
        <v>42005</v>
      </c>
      <c r="D345" s="28" t="s">
        <v>135</v>
      </c>
      <c r="E345" s="28" t="s">
        <v>439</v>
      </c>
      <c r="F345" s="28" t="s">
        <v>426</v>
      </c>
      <c r="G345" s="28" t="s">
        <v>427</v>
      </c>
      <c r="H345" s="28">
        <v>48674</v>
      </c>
      <c r="I345" s="28">
        <v>43.606082999999998</v>
      </c>
      <c r="J345" s="28">
        <v>-84.219527999999997</v>
      </c>
      <c r="L345" s="61">
        <v>110027360629</v>
      </c>
      <c r="M345" s="28" t="s">
        <v>251</v>
      </c>
      <c r="N345" s="28">
        <v>2869</v>
      </c>
      <c r="O345" s="28" t="str">
        <f>IFERROR(VLOOKUP(N345, 'SIC &amp; NAICS Codes'!A:B, 2, FALSE), "")</f>
        <v>Industrial Organic Chemicals, NEC (aliphatics)</v>
      </c>
      <c r="S345" s="28">
        <v>72.614188532555801</v>
      </c>
      <c r="T345" s="315">
        <f>_xlfn.MAXIFS('Raw Period DMR Data'!$O:$O,'Raw Period DMR Data'!$A:$A,'Raw Annual DMR Data'!B345,'Raw Period DMR Data'!$C:$C,X345)/S345</f>
        <v>0.17021545598321325</v>
      </c>
      <c r="U345" s="28">
        <f>+IF(COUNTIFS('Raw Period DMR Data'!$A:$A,B345, 'Raw Period DMR Data'!C:C,'Raw Annual DMR Data'!X345, 'Raw Period DMR Data'!M:M, "&gt;0")&gt;0,_xlfn.MAXIFS('Raw Period DMR Data'!M:M,'Raw Period DMR Data'!$A:$A,'Raw Annual DMR Data'!B345,'Raw Period DMR Data'!C:C,'Raw Annual DMR Data'!X345), "N/A - Period DMR Data Not Available")</f>
        <v>0.40635759999999999</v>
      </c>
      <c r="V345" s="28" cm="1">
        <f t="array" ref="V345">IFERROR(INDEX('Raw Period DMR Data'!N:N,MATCH(1,(B345='Raw Period DMR Data'!$A:$A)*(U345='Raw Period DMR Data'!M:M)*(X345='Raw Period DMR Data'!C:C),0),1), "N/A")</f>
        <v>31</v>
      </c>
      <c r="W345" s="28">
        <v>0.68220840000000005</v>
      </c>
      <c r="X345" s="28" t="s">
        <v>835</v>
      </c>
      <c r="Y345" s="28" t="s">
        <v>836</v>
      </c>
      <c r="Z345" s="61">
        <v>4080201000005</v>
      </c>
    </row>
    <row r="346" spans="1:29" x14ac:dyDescent="0.25">
      <c r="A346" s="61">
        <v>110027360629</v>
      </c>
      <c r="B346" s="28">
        <v>2017</v>
      </c>
      <c r="C346" s="68">
        <f t="shared" si="5"/>
        <v>42736</v>
      </c>
      <c r="D346" s="28" t="s">
        <v>135</v>
      </c>
      <c r="E346" s="28" t="s">
        <v>439</v>
      </c>
      <c r="F346" s="28" t="s">
        <v>426</v>
      </c>
      <c r="G346" s="28" t="s">
        <v>427</v>
      </c>
      <c r="H346" s="28">
        <v>48674</v>
      </c>
      <c r="I346" s="28">
        <v>43.606082999999998</v>
      </c>
      <c r="J346" s="28">
        <v>-84.219527999999997</v>
      </c>
      <c r="L346" s="61">
        <v>110027360629</v>
      </c>
      <c r="M346" s="28" t="s">
        <v>251</v>
      </c>
      <c r="N346" s="28">
        <v>2869</v>
      </c>
      <c r="O346" s="28" t="str">
        <f>IFERROR(VLOOKUP(N346, 'SIC &amp; NAICS Codes'!A:B, 2, FALSE), "")</f>
        <v>Industrial Organic Chemicals, NEC (aliphatics)</v>
      </c>
      <c r="S346" s="28">
        <v>74.013605442176797</v>
      </c>
      <c r="T346" s="315">
        <f>_xlfn.MAXIFS('Raw Period DMR Data'!$O:$O,'Raw Period DMR Data'!$A:$A,'Raw Annual DMR Data'!B346,'Raw Period DMR Data'!$C:$C,X346)/S346</f>
        <v>0</v>
      </c>
      <c r="U346" s="28" t="str">
        <f>+IF(COUNTIFS('Raw Period DMR Data'!$A:$A,B346, 'Raw Period DMR Data'!C:C,'Raw Annual DMR Data'!X346, 'Raw Period DMR Data'!M:M, "&gt;0")&gt;0,_xlfn.MAXIFS('Raw Period DMR Data'!M:M,'Raw Period DMR Data'!$A:$A,'Raw Annual DMR Data'!B346,'Raw Period DMR Data'!C:C,'Raw Annual DMR Data'!X346), "N/A - Period DMR Data Not Available")</f>
        <v>N/A - Period DMR Data Not Available</v>
      </c>
      <c r="V346" s="28" t="str" cm="1">
        <f t="array" ref="V346">IFERROR(INDEX('Raw Period DMR Data'!N:N,MATCH(1,(B346='Raw Period DMR Data'!$A:$A)*(U346='Raw Period DMR Data'!M:M)*(X346='Raw Period DMR Data'!C:C),0),1), "N/A")</f>
        <v>N/A</v>
      </c>
      <c r="W346" s="28" t="s">
        <v>1463</v>
      </c>
      <c r="X346" s="28" t="s">
        <v>835</v>
      </c>
      <c r="Y346" s="28" t="s">
        <v>836</v>
      </c>
      <c r="Z346" s="61">
        <v>4080201000005</v>
      </c>
      <c r="AA346" s="28"/>
    </row>
    <row r="347" spans="1:29" x14ac:dyDescent="0.25">
      <c r="A347" s="61">
        <v>110027360629</v>
      </c>
      <c r="B347" s="28">
        <v>2018</v>
      </c>
      <c r="C347" s="68">
        <f t="shared" si="5"/>
        <v>43101</v>
      </c>
      <c r="D347" s="28" t="s">
        <v>135</v>
      </c>
      <c r="E347" s="28" t="s">
        <v>439</v>
      </c>
      <c r="F347" s="28" t="s">
        <v>426</v>
      </c>
      <c r="G347" s="28" t="s">
        <v>427</v>
      </c>
      <c r="H347" s="28">
        <v>48674</v>
      </c>
      <c r="I347" s="28">
        <v>43.606082999999998</v>
      </c>
      <c r="J347" s="28">
        <v>-84.219527999999997</v>
      </c>
      <c r="L347" s="61">
        <v>110027360629</v>
      </c>
      <c r="M347" s="28" t="s">
        <v>251</v>
      </c>
      <c r="N347" s="28">
        <v>2869</v>
      </c>
      <c r="O347" s="28" t="str">
        <f>IFERROR(VLOOKUP(N347, 'SIC &amp; NAICS Codes'!A:B, 2, FALSE), "")</f>
        <v>Industrial Organic Chemicals, NEC (aliphatics)</v>
      </c>
      <c r="S347" s="28">
        <v>25.170068027210799</v>
      </c>
      <c r="T347" s="315">
        <f>_xlfn.MAXIFS('Raw Period DMR Data'!$O:$O,'Raw Period DMR Data'!$A:$A,'Raw Annual DMR Data'!B347,'Raw Period DMR Data'!$C:$C,X347)/S347</f>
        <v>0</v>
      </c>
      <c r="U347" s="28" t="str">
        <f>+IF(COUNTIFS('Raw Period DMR Data'!$A:$A,B347, 'Raw Period DMR Data'!C:C,'Raw Annual DMR Data'!X347, 'Raw Period DMR Data'!M:M, "&gt;0")&gt;0,_xlfn.MAXIFS('Raw Period DMR Data'!M:M,'Raw Period DMR Data'!$A:$A,'Raw Annual DMR Data'!B347,'Raw Period DMR Data'!C:C,'Raw Annual DMR Data'!X347), "N/A - Period DMR Data Not Available")</f>
        <v>N/A - Period DMR Data Not Available</v>
      </c>
      <c r="V347" s="28" t="str" cm="1">
        <f t="array" ref="V347">IFERROR(INDEX('Raw Period DMR Data'!N:N,MATCH(1,(B347='Raw Period DMR Data'!$A:$A)*(U347='Raw Period DMR Data'!M:M)*(X347='Raw Period DMR Data'!C:C),0),1), "N/A")</f>
        <v>N/A</v>
      </c>
      <c r="W347" s="28" t="s">
        <v>1463</v>
      </c>
      <c r="X347" s="28" t="s">
        <v>835</v>
      </c>
      <c r="Y347" s="28" t="s">
        <v>836</v>
      </c>
      <c r="Z347" s="61">
        <v>4080201000005</v>
      </c>
    </row>
    <row r="348" spans="1:29" x14ac:dyDescent="0.25">
      <c r="A348" s="61">
        <v>110027360629</v>
      </c>
      <c r="B348" s="28">
        <v>2019</v>
      </c>
      <c r="C348" s="68">
        <f t="shared" si="5"/>
        <v>43466</v>
      </c>
      <c r="D348" s="28" t="s">
        <v>135</v>
      </c>
      <c r="E348" s="28" t="s">
        <v>439</v>
      </c>
      <c r="F348" s="28" t="s">
        <v>426</v>
      </c>
      <c r="G348" s="28" t="s">
        <v>427</v>
      </c>
      <c r="H348" s="28">
        <v>48674</v>
      </c>
      <c r="I348" s="28">
        <v>43.606082999999998</v>
      </c>
      <c r="J348" s="28">
        <v>-84.219527999999997</v>
      </c>
      <c r="L348" s="61">
        <v>110027360629</v>
      </c>
      <c r="M348" s="28" t="s">
        <v>251</v>
      </c>
      <c r="N348" s="28">
        <v>2869</v>
      </c>
      <c r="O348" s="28" t="str">
        <f>IFERROR(VLOOKUP(N348, 'SIC &amp; NAICS Codes'!A:B, 2, FALSE), "")</f>
        <v>Industrial Organic Chemicals, NEC (aliphatics)</v>
      </c>
      <c r="S348" s="28">
        <v>188.027210884353</v>
      </c>
      <c r="T348" s="315">
        <f>_xlfn.MAXIFS('Raw Period DMR Data'!$O:$O,'Raw Period DMR Data'!$A:$A,'Raw Annual DMR Data'!B348,'Raw Period DMR Data'!$C:$C,X348)/S348</f>
        <v>0.16604084337246341</v>
      </c>
      <c r="U348" s="28">
        <f>+IF(COUNTIFS('Raw Period DMR Data'!$A:$A,B348, 'Raw Period DMR Data'!C:C,'Raw Annual DMR Data'!X348, 'Raw Period DMR Data'!M:M, "&gt;0")&gt;0,_xlfn.MAXIFS('Raw Period DMR Data'!M:M,'Raw Period DMR Data'!$A:$A,'Raw Annual DMR Data'!B348,'Raw Period DMR Data'!C:C,'Raw Annual DMR Data'!X348), "N/A - Period DMR Data Not Available")</f>
        <v>1.0264163000000002</v>
      </c>
      <c r="V348" s="28" cm="1">
        <f t="array" ref="V348">IFERROR(INDEX('Raw Period DMR Data'!N:N,MATCH(1,(B348='Raw Period DMR Data'!$A:$A)*(U348='Raw Period DMR Data'!M:M)*(X348='Raw Period DMR Data'!C:C),0),1), "N/A")</f>
        <v>28</v>
      </c>
      <c r="W348" s="28">
        <v>1.2171802999999999</v>
      </c>
      <c r="X348" s="28" t="s">
        <v>835</v>
      </c>
      <c r="Y348" s="28" t="s">
        <v>836</v>
      </c>
      <c r="Z348" s="61">
        <v>4080201000005</v>
      </c>
    </row>
    <row r="349" spans="1:29" x14ac:dyDescent="0.25">
      <c r="A349" s="61">
        <v>110027360629</v>
      </c>
      <c r="B349" s="28">
        <v>2020</v>
      </c>
      <c r="C349" s="68">
        <f t="shared" si="5"/>
        <v>43831</v>
      </c>
      <c r="D349" s="28" t="s">
        <v>135</v>
      </c>
      <c r="E349" s="28" t="s">
        <v>439</v>
      </c>
      <c r="F349" s="28" t="s">
        <v>426</v>
      </c>
      <c r="G349" s="28" t="s">
        <v>427</v>
      </c>
      <c r="H349" s="28">
        <v>48674</v>
      </c>
      <c r="I349" s="28">
        <v>43.606082999999998</v>
      </c>
      <c r="J349" s="28">
        <v>-84.219527999999997</v>
      </c>
      <c r="L349" s="61">
        <v>110027360629</v>
      </c>
      <c r="M349" s="28" t="s">
        <v>251</v>
      </c>
      <c r="N349" s="28">
        <v>2869</v>
      </c>
      <c r="O349" s="28" t="str">
        <f>IFERROR(VLOOKUP(N349, 'SIC &amp; NAICS Codes'!A:B, 2, FALSE), "")</f>
        <v>Industrial Organic Chemicals, NEC (aliphatics)</v>
      </c>
      <c r="S349" s="28">
        <v>102.494331065759</v>
      </c>
      <c r="T349" s="315">
        <f>_xlfn.MAXIFS('Raw Period DMR Data'!$O:$O,'Raw Period DMR Data'!$A:$A,'Raw Annual DMR Data'!B349,'Raw Period DMR Data'!$C:$C,X349)/S349</f>
        <v>0.11969399006515828</v>
      </c>
      <c r="U349" s="28">
        <f>+IF(COUNTIFS('Raw Period DMR Data'!$A:$A,B349, 'Raw Period DMR Data'!C:C,'Raw Annual DMR Data'!X349, 'Raw Period DMR Data'!M:M, "&gt;0")&gt;0,_xlfn.MAXIFS('Raw Period DMR Data'!M:M,'Raw Period DMR Data'!$A:$A,'Raw Annual DMR Data'!B349,'Raw Period DMR Data'!C:C,'Raw Annual DMR Data'!X349), "N/A - Period DMR Data Not Available")</f>
        <v>0.40332960000000007</v>
      </c>
      <c r="V349" s="28" cm="1">
        <f t="array" ref="V349">IFERROR(INDEX('Raw Period DMR Data'!N:N,MATCH(1,(B349='Raw Period DMR Data'!$A:$A)*(U349='Raw Period DMR Data'!M:M)*(X349='Raw Period DMR Data'!C:C),0),1), "N/A")</f>
        <v>31</v>
      </c>
      <c r="W349" s="28">
        <v>0.50120970000000009</v>
      </c>
      <c r="X349" s="28" t="s">
        <v>835</v>
      </c>
      <c r="Y349" s="28" t="s">
        <v>836</v>
      </c>
      <c r="Z349" s="61">
        <v>4080201000005</v>
      </c>
    </row>
    <row r="350" spans="1:29" x14ac:dyDescent="0.25">
      <c r="A350" s="61">
        <v>110040963286</v>
      </c>
      <c r="B350" s="28">
        <v>2017</v>
      </c>
      <c r="C350" s="68">
        <f t="shared" si="5"/>
        <v>42736</v>
      </c>
      <c r="D350" s="28" t="s">
        <v>136</v>
      </c>
      <c r="E350" s="28" t="s">
        <v>440</v>
      </c>
      <c r="F350" s="28" t="s">
        <v>441</v>
      </c>
      <c r="G350" s="28" t="s">
        <v>338</v>
      </c>
      <c r="H350" s="28" t="s">
        <v>442</v>
      </c>
      <c r="I350" s="28">
        <v>40.843611000000003</v>
      </c>
      <c r="J350" s="28">
        <v>-75.066389000000001</v>
      </c>
      <c r="K350" s="28" t="s">
        <v>443</v>
      </c>
      <c r="L350" s="61">
        <v>110040963286</v>
      </c>
      <c r="M350" s="28" t="s">
        <v>254</v>
      </c>
      <c r="N350" s="28">
        <v>2833</v>
      </c>
      <c r="O350" s="28" t="str">
        <f>IFERROR(VLOOKUP(N350, 'SIC &amp; NAICS Codes'!A:B, 2, FALSE), "")</f>
        <v>Medicinal Chemicals and Botanical Products</v>
      </c>
      <c r="S350" s="28">
        <v>3.1001643558</v>
      </c>
      <c r="T350" s="315">
        <f>_xlfn.MAXIFS('Raw Period DMR Data'!$O:$O,'Raw Period DMR Data'!$A:$A,'Raw Annual DMR Data'!B350,'Raw Period DMR Data'!$C:$C,X350)/S350</f>
        <v>0</v>
      </c>
      <c r="U350" s="28" t="str">
        <f>+IF(COUNTIFS('Raw Period DMR Data'!$A:$A,B350, 'Raw Period DMR Data'!C:C,'Raw Annual DMR Data'!X350, 'Raw Period DMR Data'!M:M, "&gt;0")&gt;0,_xlfn.MAXIFS('Raw Period DMR Data'!M:M,'Raw Period DMR Data'!$A:$A,'Raw Annual DMR Data'!B350,'Raw Period DMR Data'!C:C,'Raw Annual DMR Data'!X350), "N/A - Period DMR Data Not Available")</f>
        <v>N/A - Period DMR Data Not Available</v>
      </c>
      <c r="V350" s="28" t="str" cm="1">
        <f t="array" ref="V350">IFERROR(INDEX('Raw Period DMR Data'!N:N,MATCH(1,(B350='Raw Period DMR Data'!$A:$A)*(U350='Raw Period DMR Data'!M:M)*(X350='Raw Period DMR Data'!C:C),0),1), "N/A")</f>
        <v>N/A</v>
      </c>
      <c r="W350" s="28" t="s">
        <v>1463</v>
      </c>
      <c r="X350" s="28" t="s">
        <v>837</v>
      </c>
      <c r="Y350" s="28" t="s">
        <v>838</v>
      </c>
      <c r="Z350" s="61">
        <v>2040105000142</v>
      </c>
      <c r="AA350" s="28"/>
    </row>
    <row r="351" spans="1:29" x14ac:dyDescent="0.25">
      <c r="A351" s="61">
        <v>110040963286</v>
      </c>
      <c r="B351" s="28">
        <v>2015</v>
      </c>
      <c r="C351" s="68">
        <f t="shared" si="5"/>
        <v>42005</v>
      </c>
      <c r="D351" s="28" t="s">
        <v>136</v>
      </c>
      <c r="E351" s="28" t="s">
        <v>440</v>
      </c>
      <c r="F351" s="28" t="s">
        <v>441</v>
      </c>
      <c r="G351" s="28" t="s">
        <v>338</v>
      </c>
      <c r="H351" s="28" t="s">
        <v>442</v>
      </c>
      <c r="I351" s="28">
        <v>40.843611000000003</v>
      </c>
      <c r="J351" s="28">
        <v>-75.066389000000001</v>
      </c>
      <c r="K351" s="28" t="s">
        <v>443</v>
      </c>
      <c r="L351" s="61">
        <v>110040963286</v>
      </c>
      <c r="M351" s="28" t="s">
        <v>265</v>
      </c>
      <c r="N351" s="28">
        <v>2833</v>
      </c>
      <c r="O351" s="28" t="str">
        <f>IFERROR(VLOOKUP(N351, 'SIC &amp; NAICS Codes'!A:B, 2, FALSE), "")</f>
        <v>Medicinal Chemicals and Botanical Products</v>
      </c>
      <c r="S351" s="28">
        <v>0.2110020165</v>
      </c>
      <c r="T351" s="315">
        <f>_xlfn.MAXIFS('Raw Period DMR Data'!$O:$O,'Raw Period DMR Data'!$A:$A,'Raw Annual DMR Data'!B351,'Raw Period DMR Data'!$C:$C,X351)/S351</f>
        <v>0</v>
      </c>
      <c r="U351" s="28" t="str">
        <f>+IF(COUNTIFS('Raw Period DMR Data'!$A:$A,B351, 'Raw Period DMR Data'!C:C,'Raw Annual DMR Data'!X351, 'Raw Period DMR Data'!M:M, "&gt;0")&gt;0,_xlfn.MAXIFS('Raw Period DMR Data'!M:M,'Raw Period DMR Data'!$A:$A,'Raw Annual DMR Data'!B351,'Raw Period DMR Data'!C:C,'Raw Annual DMR Data'!X351), "N/A - Period DMR Data Not Available")</f>
        <v>N/A - Period DMR Data Not Available</v>
      </c>
      <c r="V351" s="28" t="str" cm="1">
        <f t="array" ref="V351">IFERROR(INDEX('Raw Period DMR Data'!N:N,MATCH(1,(B351='Raw Period DMR Data'!$A:$A)*(U351='Raw Period DMR Data'!M:M)*(X351='Raw Period DMR Data'!C:C),0),1), "N/A")</f>
        <v>N/A</v>
      </c>
      <c r="W351" s="28" t="s">
        <v>1463</v>
      </c>
      <c r="X351" s="28" t="s">
        <v>837</v>
      </c>
      <c r="Y351" s="28" t="s">
        <v>838</v>
      </c>
      <c r="Z351" s="28">
        <v>2040105000142</v>
      </c>
      <c r="AA351" s="28"/>
      <c r="AB351" s="28" t="s">
        <v>1465</v>
      </c>
      <c r="AC351" s="28" t="s">
        <v>1466</v>
      </c>
    </row>
    <row r="352" spans="1:29" x14ac:dyDescent="0.25">
      <c r="A352" s="61">
        <v>110040963286</v>
      </c>
      <c r="B352" s="28">
        <v>2016</v>
      </c>
      <c r="C352" s="68">
        <f t="shared" si="5"/>
        <v>42370</v>
      </c>
      <c r="D352" s="28" t="s">
        <v>136</v>
      </c>
      <c r="E352" s="28" t="s">
        <v>440</v>
      </c>
      <c r="F352" s="28" t="s">
        <v>441</v>
      </c>
      <c r="G352" s="28" t="s">
        <v>338</v>
      </c>
      <c r="H352" s="28" t="s">
        <v>442</v>
      </c>
      <c r="I352" s="28">
        <v>40.843611000000003</v>
      </c>
      <c r="J352" s="28">
        <v>-75.066389000000001</v>
      </c>
      <c r="K352" s="28" t="s">
        <v>443</v>
      </c>
      <c r="L352" s="61">
        <v>110040963286</v>
      </c>
      <c r="M352" s="28" t="s">
        <v>265</v>
      </c>
      <c r="N352" s="28">
        <v>2833</v>
      </c>
      <c r="O352" s="28" t="str">
        <f>IFERROR(VLOOKUP(N352, 'SIC &amp; NAICS Codes'!A:B, 2, FALSE), "")</f>
        <v>Medicinal Chemicals and Botanical Products</v>
      </c>
      <c r="S352" s="28">
        <v>0.22038105725000001</v>
      </c>
      <c r="T352" s="315">
        <f>_xlfn.MAXIFS('Raw Period DMR Data'!$O:$O,'Raw Period DMR Data'!$A:$A,'Raw Annual DMR Data'!B352,'Raw Period DMR Data'!$C:$C,X352)/S352</f>
        <v>0</v>
      </c>
      <c r="U352" s="28" t="str">
        <f>+IF(COUNTIFS('Raw Period DMR Data'!$A:$A,B352, 'Raw Period DMR Data'!C:C,'Raw Annual DMR Data'!X352, 'Raw Period DMR Data'!M:M, "&gt;0")&gt;0,_xlfn.MAXIFS('Raw Period DMR Data'!M:M,'Raw Period DMR Data'!$A:$A,'Raw Annual DMR Data'!B352,'Raw Period DMR Data'!C:C,'Raw Annual DMR Data'!X352), "N/A - Period DMR Data Not Available")</f>
        <v>N/A - Period DMR Data Not Available</v>
      </c>
      <c r="V352" s="28" t="str" cm="1">
        <f t="array" ref="V352">IFERROR(INDEX('Raw Period DMR Data'!N:N,MATCH(1,(B352='Raw Period DMR Data'!$A:$A)*(U352='Raw Period DMR Data'!M:M)*(X352='Raw Period DMR Data'!C:C),0),1), "N/A")</f>
        <v>N/A</v>
      </c>
      <c r="W352" s="28" t="s">
        <v>1463</v>
      </c>
      <c r="X352" s="28" t="s">
        <v>837</v>
      </c>
      <c r="Y352" s="28" t="s">
        <v>838</v>
      </c>
      <c r="Z352" s="28">
        <v>2040105000142</v>
      </c>
      <c r="AA352" s="28"/>
      <c r="AB352" s="28" t="s">
        <v>1465</v>
      </c>
      <c r="AC352" s="28" t="s">
        <v>1466</v>
      </c>
    </row>
    <row r="353" spans="1:29" x14ac:dyDescent="0.25">
      <c r="A353" s="61">
        <v>110040963286</v>
      </c>
      <c r="B353" s="28">
        <v>2017</v>
      </c>
      <c r="C353" s="68">
        <f t="shared" si="5"/>
        <v>42736</v>
      </c>
      <c r="D353" s="28" t="s">
        <v>136</v>
      </c>
      <c r="E353" s="28" t="s">
        <v>440</v>
      </c>
      <c r="F353" s="28" t="s">
        <v>441</v>
      </c>
      <c r="G353" s="28" t="s">
        <v>338</v>
      </c>
      <c r="H353" s="28" t="s">
        <v>442</v>
      </c>
      <c r="I353" s="28">
        <v>40.843611000000003</v>
      </c>
      <c r="J353" s="28">
        <v>-75.066389000000001</v>
      </c>
      <c r="K353" s="28" t="s">
        <v>443</v>
      </c>
      <c r="L353" s="61">
        <v>110040963286</v>
      </c>
      <c r="M353" s="28" t="s">
        <v>265</v>
      </c>
      <c r="N353" s="28">
        <v>2833</v>
      </c>
      <c r="O353" s="28" t="str">
        <f>IFERROR(VLOOKUP(N353, 'SIC &amp; NAICS Codes'!A:B, 2, FALSE), "")</f>
        <v>Medicinal Chemicals and Botanical Products</v>
      </c>
      <c r="S353" s="28">
        <v>3.2528293027999999</v>
      </c>
      <c r="T353" s="315">
        <f>_xlfn.MAXIFS('Raw Period DMR Data'!$O:$O,'Raw Period DMR Data'!$A:$A,'Raw Annual DMR Data'!B353,'Raw Period DMR Data'!$C:$C,X353)/S353</f>
        <v>0</v>
      </c>
      <c r="U353" s="28" t="str">
        <f>+IF(COUNTIFS('Raw Period DMR Data'!$A:$A,B353, 'Raw Period DMR Data'!C:C,'Raw Annual DMR Data'!X353, 'Raw Period DMR Data'!M:M, "&gt;0")&gt;0,_xlfn.MAXIFS('Raw Period DMR Data'!M:M,'Raw Period DMR Data'!$A:$A,'Raw Annual DMR Data'!B353,'Raw Period DMR Data'!C:C,'Raw Annual DMR Data'!X353), "N/A - Period DMR Data Not Available")</f>
        <v>N/A - Period DMR Data Not Available</v>
      </c>
      <c r="V353" s="28" t="str" cm="1">
        <f t="array" ref="V353">IFERROR(INDEX('Raw Period DMR Data'!N:N,MATCH(1,(B353='Raw Period DMR Data'!$A:$A)*(U353='Raw Period DMR Data'!M:M)*(X353='Raw Period DMR Data'!C:C),0),1), "N/A")</f>
        <v>N/A</v>
      </c>
      <c r="W353" s="28" t="s">
        <v>1463</v>
      </c>
      <c r="X353" s="28" t="s">
        <v>837</v>
      </c>
      <c r="Y353" s="28" t="s">
        <v>838</v>
      </c>
      <c r="Z353" s="28">
        <v>2040105000142</v>
      </c>
      <c r="AA353" s="28"/>
      <c r="AB353" s="28" t="s">
        <v>1465</v>
      </c>
      <c r="AC353" s="28" t="s">
        <v>1466</v>
      </c>
    </row>
    <row r="354" spans="1:29" x14ac:dyDescent="0.25">
      <c r="A354" s="61">
        <v>110040963286</v>
      </c>
      <c r="B354" s="28">
        <v>2018</v>
      </c>
      <c r="C354" s="68">
        <f t="shared" si="5"/>
        <v>43101</v>
      </c>
      <c r="D354" s="28" t="s">
        <v>136</v>
      </c>
      <c r="E354" s="28" t="s">
        <v>440</v>
      </c>
      <c r="F354" s="28" t="s">
        <v>441</v>
      </c>
      <c r="G354" s="28" t="s">
        <v>338</v>
      </c>
      <c r="H354" s="28" t="s">
        <v>442</v>
      </c>
      <c r="I354" s="28">
        <v>40.843611000000003</v>
      </c>
      <c r="J354" s="28">
        <v>-75.066389000000001</v>
      </c>
      <c r="K354" s="28" t="s">
        <v>443</v>
      </c>
      <c r="L354" s="61">
        <v>110040963286</v>
      </c>
      <c r="M354" s="28" t="s">
        <v>265</v>
      </c>
      <c r="N354" s="28">
        <v>2833</v>
      </c>
      <c r="O354" s="28" t="str">
        <f>IFERROR(VLOOKUP(N354, 'SIC &amp; NAICS Codes'!A:B, 2, FALSE), "")</f>
        <v>Medicinal Chemicals and Botanical Products</v>
      </c>
      <c r="S354" s="28">
        <v>0.16792833800000001</v>
      </c>
      <c r="T354" s="315">
        <f>_xlfn.MAXIFS('Raw Period DMR Data'!$O:$O,'Raw Period DMR Data'!$A:$A,'Raw Annual DMR Data'!B354,'Raw Period DMR Data'!$C:$C,X354)/S354</f>
        <v>0</v>
      </c>
      <c r="U354" s="28" t="str">
        <f>+IF(COUNTIFS('Raw Period DMR Data'!$A:$A,B354, 'Raw Period DMR Data'!C:C,'Raw Annual DMR Data'!X354, 'Raw Period DMR Data'!M:M, "&gt;0")&gt;0,_xlfn.MAXIFS('Raw Period DMR Data'!M:M,'Raw Period DMR Data'!$A:$A,'Raw Annual DMR Data'!B354,'Raw Period DMR Data'!C:C,'Raw Annual DMR Data'!X354), "N/A - Period DMR Data Not Available")</f>
        <v>N/A - Period DMR Data Not Available</v>
      </c>
      <c r="V354" s="28" t="str" cm="1">
        <f t="array" ref="V354">IFERROR(INDEX('Raw Period DMR Data'!N:N,MATCH(1,(B354='Raw Period DMR Data'!$A:$A)*(U354='Raw Period DMR Data'!M:M)*(X354='Raw Period DMR Data'!C:C),0),1), "N/A")</f>
        <v>N/A</v>
      </c>
      <c r="W354" s="28" t="s">
        <v>1463</v>
      </c>
      <c r="X354" s="28" t="s">
        <v>837</v>
      </c>
      <c r="Y354" s="28" t="s">
        <v>838</v>
      </c>
      <c r="Z354" s="302" t="s">
        <v>1693</v>
      </c>
      <c r="AA354" s="28"/>
      <c r="AB354" s="28" t="s">
        <v>1465</v>
      </c>
      <c r="AC354" s="28" t="s">
        <v>1466</v>
      </c>
    </row>
    <row r="355" spans="1:29" x14ac:dyDescent="0.25">
      <c r="A355" s="61">
        <v>110040963286</v>
      </c>
      <c r="B355" s="28">
        <v>2019</v>
      </c>
      <c r="C355" s="68">
        <f t="shared" si="5"/>
        <v>43466</v>
      </c>
      <c r="D355" s="28" t="s">
        <v>136</v>
      </c>
      <c r="E355" s="28" t="s">
        <v>440</v>
      </c>
      <c r="F355" s="28" t="s">
        <v>441</v>
      </c>
      <c r="G355" s="28" t="s">
        <v>338</v>
      </c>
      <c r="H355" s="28" t="s">
        <v>442</v>
      </c>
      <c r="I355" s="28">
        <v>40.843611000000003</v>
      </c>
      <c r="J355" s="28">
        <v>-75.066389000000001</v>
      </c>
      <c r="K355" s="28" t="s">
        <v>443</v>
      </c>
      <c r="L355" s="61">
        <v>110040963286</v>
      </c>
      <c r="M355" s="28" t="s">
        <v>265</v>
      </c>
      <c r="N355" s="28">
        <v>2833</v>
      </c>
      <c r="O355" s="28" t="str">
        <f>IFERROR(VLOOKUP(N355, 'SIC &amp; NAICS Codes'!A:B, 2, FALSE), "")</f>
        <v>Medicinal Chemicals and Botanical Products</v>
      </c>
      <c r="S355" s="28">
        <v>9.1836495874999993E-2</v>
      </c>
      <c r="T355" s="315">
        <f>_xlfn.MAXIFS('Raw Period DMR Data'!$O:$O,'Raw Period DMR Data'!$A:$A,'Raw Annual DMR Data'!B355,'Raw Period DMR Data'!$C:$C,X355)/S355</f>
        <v>0</v>
      </c>
      <c r="U355" s="28" t="str">
        <f>+IF(COUNTIFS('Raw Period DMR Data'!$A:$A,B355, 'Raw Period DMR Data'!C:C,'Raw Annual DMR Data'!X355, 'Raw Period DMR Data'!M:M, "&gt;0")&gt;0,_xlfn.MAXIFS('Raw Period DMR Data'!M:M,'Raw Period DMR Data'!$A:$A,'Raw Annual DMR Data'!B355,'Raw Period DMR Data'!C:C,'Raw Annual DMR Data'!X355), "N/A - Period DMR Data Not Available")</f>
        <v>N/A - Period DMR Data Not Available</v>
      </c>
      <c r="V355" s="28" t="str" cm="1">
        <f t="array" ref="V355">IFERROR(INDEX('Raw Period DMR Data'!N:N,MATCH(1,(B355='Raw Period DMR Data'!$A:$A)*(U355='Raw Period DMR Data'!M:M)*(X355='Raw Period DMR Data'!C:C),0),1), "N/A")</f>
        <v>N/A</v>
      </c>
      <c r="W355" s="28" t="s">
        <v>1463</v>
      </c>
      <c r="X355" s="28" t="s">
        <v>837</v>
      </c>
      <c r="Y355" s="28" t="s">
        <v>838</v>
      </c>
      <c r="Z355" s="28">
        <v>2040105000142</v>
      </c>
      <c r="AA355" s="28"/>
      <c r="AB355" s="28" t="s">
        <v>1465</v>
      </c>
      <c r="AC355" s="28" t="s">
        <v>1466</v>
      </c>
    </row>
    <row r="356" spans="1:29" x14ac:dyDescent="0.25">
      <c r="A356" s="61">
        <v>110040963286</v>
      </c>
      <c r="B356" s="28">
        <v>2020</v>
      </c>
      <c r="C356" s="68">
        <f t="shared" si="5"/>
        <v>43831</v>
      </c>
      <c r="D356" s="28" t="s">
        <v>136</v>
      </c>
      <c r="E356" s="28" t="s">
        <v>440</v>
      </c>
      <c r="F356" s="28" t="s">
        <v>441</v>
      </c>
      <c r="G356" s="28" t="s">
        <v>338</v>
      </c>
      <c r="H356" s="28" t="s">
        <v>442</v>
      </c>
      <c r="I356" s="28">
        <v>40.843611000000003</v>
      </c>
      <c r="J356" s="28">
        <v>-75.066389000000001</v>
      </c>
      <c r="K356" s="28" t="s">
        <v>443</v>
      </c>
      <c r="L356" s="61">
        <v>110040963286</v>
      </c>
      <c r="M356" s="28" t="s">
        <v>265</v>
      </c>
      <c r="N356" s="28">
        <v>2833</v>
      </c>
      <c r="O356" s="28" t="str">
        <f>IFERROR(VLOOKUP(N356, 'SIC &amp; NAICS Codes'!A:B, 2, FALSE), "")</f>
        <v>Medicinal Chemicals and Botanical Products</v>
      </c>
      <c r="S356" s="28">
        <v>8.9447687750000004E-2</v>
      </c>
      <c r="T356" s="315">
        <f>_xlfn.MAXIFS('Raw Period DMR Data'!$O:$O,'Raw Period DMR Data'!$A:$A,'Raw Annual DMR Data'!B356,'Raw Period DMR Data'!$C:$C,X356)/S356</f>
        <v>0</v>
      </c>
      <c r="U356" s="28" t="str">
        <f>+IF(COUNTIFS('Raw Period DMR Data'!$A:$A,B356, 'Raw Period DMR Data'!C:C,'Raw Annual DMR Data'!X356, 'Raw Period DMR Data'!M:M, "&gt;0")&gt;0,_xlfn.MAXIFS('Raw Period DMR Data'!M:M,'Raw Period DMR Data'!$A:$A,'Raw Annual DMR Data'!B356,'Raw Period DMR Data'!C:C,'Raw Annual DMR Data'!X356), "N/A - Period DMR Data Not Available")</f>
        <v>N/A - Period DMR Data Not Available</v>
      </c>
      <c r="V356" s="28" t="str" cm="1">
        <f t="array" ref="V356">IFERROR(INDEX('Raw Period DMR Data'!N:N,MATCH(1,(B356='Raw Period DMR Data'!$A:$A)*(U356='Raw Period DMR Data'!M:M)*(X356='Raw Period DMR Data'!C:C),0),1), "N/A")</f>
        <v>N/A</v>
      </c>
      <c r="W356" s="28" t="s">
        <v>1463</v>
      </c>
      <c r="X356" s="28" t="s">
        <v>837</v>
      </c>
      <c r="Y356" s="28" t="s">
        <v>838</v>
      </c>
      <c r="Z356" s="28">
        <v>2040105000142</v>
      </c>
      <c r="AA356" s="28"/>
      <c r="AB356" s="28" t="s">
        <v>1465</v>
      </c>
      <c r="AC356" s="28" t="s">
        <v>1466</v>
      </c>
    </row>
    <row r="357" spans="1:29" x14ac:dyDescent="0.25">
      <c r="A357" s="61">
        <v>110000494894</v>
      </c>
      <c r="B357" s="28">
        <v>2016</v>
      </c>
      <c r="C357" s="68">
        <f t="shared" si="5"/>
        <v>42370</v>
      </c>
      <c r="D357" s="28" t="s">
        <v>137</v>
      </c>
      <c r="E357" s="28" t="s">
        <v>445</v>
      </c>
      <c r="F357" s="28" t="s">
        <v>446</v>
      </c>
      <c r="G357" s="28" t="s">
        <v>303</v>
      </c>
      <c r="H357" s="28">
        <v>70669</v>
      </c>
      <c r="I357" s="28">
        <v>30.223500000000001</v>
      </c>
      <c r="J357" s="28">
        <v>-93.286900000000003</v>
      </c>
      <c r="K357" s="28" t="s">
        <v>447</v>
      </c>
      <c r="L357" s="61">
        <v>110000494894</v>
      </c>
      <c r="M357" s="28" t="s">
        <v>251</v>
      </c>
      <c r="N357" s="28">
        <v>2869</v>
      </c>
      <c r="O357" s="28" t="str">
        <f>IFERROR(VLOOKUP(N357, 'SIC &amp; NAICS Codes'!A:B, 2, FALSE), "")</f>
        <v>Industrial Organic Chemicals, NEC (aliphatics)</v>
      </c>
      <c r="S357" s="28">
        <v>4849.6683048499999</v>
      </c>
      <c r="T357" s="315">
        <f>_xlfn.MAXIFS('Raw Period DMR Data'!$O:$O,'Raw Period DMR Data'!$A:$A,'Raw Annual DMR Data'!B357,'Raw Period DMR Data'!$C:$C,X357)/S357</f>
        <v>0.46693804708161185</v>
      </c>
      <c r="U357" s="28">
        <f>+IF(COUNTIFS('Raw Period DMR Data'!$A:$A,B357, 'Raw Period DMR Data'!C:C,'Raw Annual DMR Data'!X357, 'Raw Period DMR Data'!M:M, "&gt;0")&gt;0,_xlfn.MAXIFS('Raw Period DMR Data'!M:M,'Raw Period DMR Data'!$A:$A,'Raw Annual DMR Data'!B357,'Raw Period DMR Data'!C:C,'Raw Annual DMR Data'!X357), "N/A - Period DMR Data Not Available")</f>
        <v>74.449057499999995</v>
      </c>
      <c r="V357" s="28" cm="1">
        <f t="array" ref="V357">IFERROR(INDEX('Raw Period DMR Data'!N:N,MATCH(1,(B357='Raw Period DMR Data'!$A:$A)*(U357='Raw Period DMR Data'!M:M)*(X357='Raw Period DMR Data'!C:C),0),1), "N/A")</f>
        <v>61</v>
      </c>
      <c r="W357" s="28">
        <v>74.449057499999995</v>
      </c>
      <c r="X357" s="28" t="s">
        <v>839</v>
      </c>
      <c r="Y357" s="28" t="s">
        <v>840</v>
      </c>
      <c r="Z357" s="61">
        <v>8080206001241</v>
      </c>
      <c r="AA357" s="28"/>
    </row>
    <row r="358" spans="1:29" x14ac:dyDescent="0.25">
      <c r="A358" s="61">
        <v>110000494894</v>
      </c>
      <c r="B358" s="28">
        <v>2017</v>
      </c>
      <c r="C358" s="68">
        <f t="shared" si="5"/>
        <v>42736</v>
      </c>
      <c r="D358" s="28" t="s">
        <v>137</v>
      </c>
      <c r="E358" s="28" t="s">
        <v>445</v>
      </c>
      <c r="F358" s="28" t="s">
        <v>446</v>
      </c>
      <c r="G358" s="28" t="s">
        <v>303</v>
      </c>
      <c r="H358" s="28">
        <v>70669</v>
      </c>
      <c r="I358" s="28">
        <v>30.223500000000001</v>
      </c>
      <c r="J358" s="28">
        <v>-93.286900000000003</v>
      </c>
      <c r="K358" s="28" t="s">
        <v>447</v>
      </c>
      <c r="L358" s="61">
        <v>110000494894</v>
      </c>
      <c r="M358" s="28" t="s">
        <v>251</v>
      </c>
      <c r="N358" s="28">
        <v>2869</v>
      </c>
      <c r="O358" s="28" t="str">
        <f>IFERROR(VLOOKUP(N358, 'SIC &amp; NAICS Codes'!A:B, 2, FALSE), "")</f>
        <v>Industrial Organic Chemicals, NEC (aliphatics)</v>
      </c>
      <c r="S358" s="28">
        <v>11.628938617999999</v>
      </c>
      <c r="T358" s="315">
        <f>_xlfn.MAXIFS('Raw Period DMR Data'!$O:$O,'Raw Period DMR Data'!$A:$A,'Raw Annual DMR Data'!B358,'Raw Period DMR Data'!$C:$C,X358)/S358</f>
        <v>0</v>
      </c>
      <c r="U358" s="28" t="str">
        <f>+IF(COUNTIFS('Raw Period DMR Data'!$A:$A,B358, 'Raw Period DMR Data'!C:C,'Raw Annual DMR Data'!X358, 'Raw Period DMR Data'!M:M, "&gt;0")&gt;0,_xlfn.MAXIFS('Raw Period DMR Data'!M:M,'Raw Period DMR Data'!$A:$A,'Raw Annual DMR Data'!B358,'Raw Period DMR Data'!C:C,'Raw Annual DMR Data'!X358), "N/A - Period DMR Data Not Available")</f>
        <v>N/A - Period DMR Data Not Available</v>
      </c>
      <c r="V358" s="28" t="str" cm="1">
        <f t="array" ref="V358">IFERROR(INDEX('Raw Period DMR Data'!N:N,MATCH(1,(B358='Raw Period DMR Data'!$A:$A)*(U358='Raw Period DMR Data'!M:M)*(X358='Raw Period DMR Data'!C:C),0),1), "N/A")</f>
        <v>N/A</v>
      </c>
      <c r="W358" s="28" t="s">
        <v>1463</v>
      </c>
      <c r="X358" s="28" t="s">
        <v>839</v>
      </c>
      <c r="Y358" s="28" t="s">
        <v>840</v>
      </c>
      <c r="Z358" s="61">
        <v>8080206001241</v>
      </c>
      <c r="AA358" s="28"/>
    </row>
    <row r="359" spans="1:29" x14ac:dyDescent="0.25">
      <c r="A359" s="61">
        <v>110000494894</v>
      </c>
      <c r="B359" s="28">
        <v>2018</v>
      </c>
      <c r="C359" s="68">
        <f t="shared" si="5"/>
        <v>43101</v>
      </c>
      <c r="D359" s="28" t="s">
        <v>137</v>
      </c>
      <c r="E359" s="28" t="s">
        <v>445</v>
      </c>
      <c r="F359" s="28" t="s">
        <v>446</v>
      </c>
      <c r="G359" s="28" t="s">
        <v>303</v>
      </c>
      <c r="H359" s="28">
        <v>70669</v>
      </c>
      <c r="I359" s="28">
        <v>30.223500000000001</v>
      </c>
      <c r="J359" s="28">
        <v>-93.286900000000003</v>
      </c>
      <c r="K359" s="28" t="s">
        <v>447</v>
      </c>
      <c r="L359" s="61">
        <v>110000494894</v>
      </c>
      <c r="M359" s="28" t="s">
        <v>251</v>
      </c>
      <c r="N359" s="28">
        <v>2869</v>
      </c>
      <c r="O359" s="28" t="str">
        <f>IFERROR(VLOOKUP(N359, 'SIC &amp; NAICS Codes'!A:B, 2, FALSE), "")</f>
        <v>Industrial Organic Chemicals, NEC (aliphatics)</v>
      </c>
      <c r="S359" s="28">
        <v>0.69040618009999999</v>
      </c>
      <c r="T359" s="315">
        <f>_xlfn.MAXIFS('Raw Period DMR Data'!$O:$O,'Raw Period DMR Data'!$A:$A,'Raw Annual DMR Data'!B359,'Raw Period DMR Data'!$C:$C,X359)/S359</f>
        <v>0</v>
      </c>
      <c r="U359" s="28" t="str">
        <f>+IF(COUNTIFS('Raw Period DMR Data'!$A:$A,B359, 'Raw Period DMR Data'!C:C,'Raw Annual DMR Data'!X359, 'Raw Period DMR Data'!M:M, "&gt;0")&gt;0,_xlfn.MAXIFS('Raw Period DMR Data'!M:M,'Raw Period DMR Data'!$A:$A,'Raw Annual DMR Data'!B359,'Raw Period DMR Data'!C:C,'Raw Annual DMR Data'!X359), "N/A - Period DMR Data Not Available")</f>
        <v>N/A - Period DMR Data Not Available</v>
      </c>
      <c r="V359" s="28" t="str" cm="1">
        <f t="array" ref="V359">IFERROR(INDEX('Raw Period DMR Data'!N:N,MATCH(1,(B359='Raw Period DMR Data'!$A:$A)*(U359='Raw Period DMR Data'!M:M)*(X359='Raw Period DMR Data'!C:C),0),1), "N/A")</f>
        <v>N/A</v>
      </c>
      <c r="W359" s="28" t="s">
        <v>1463</v>
      </c>
      <c r="X359" s="28" t="s">
        <v>839</v>
      </c>
      <c r="Y359" s="28" t="s">
        <v>840</v>
      </c>
      <c r="Z359" s="61">
        <v>8080206001241</v>
      </c>
    </row>
    <row r="360" spans="1:29" x14ac:dyDescent="0.25">
      <c r="A360" s="61">
        <v>110000494894</v>
      </c>
      <c r="B360" s="28">
        <v>2019</v>
      </c>
      <c r="C360" s="68">
        <f t="shared" si="5"/>
        <v>43466</v>
      </c>
      <c r="D360" s="28" t="s">
        <v>137</v>
      </c>
      <c r="E360" s="28" t="s">
        <v>445</v>
      </c>
      <c r="F360" s="28" t="s">
        <v>446</v>
      </c>
      <c r="G360" s="28" t="s">
        <v>303</v>
      </c>
      <c r="H360" s="28">
        <v>70669</v>
      </c>
      <c r="I360" s="28">
        <v>30.223500000000001</v>
      </c>
      <c r="J360" s="28">
        <v>-93.286900000000003</v>
      </c>
      <c r="K360" s="28" t="s">
        <v>447</v>
      </c>
      <c r="L360" s="61">
        <v>110000494894</v>
      </c>
      <c r="M360" s="28" t="s">
        <v>251</v>
      </c>
      <c r="N360" s="28">
        <v>2869</v>
      </c>
      <c r="O360" s="28" t="str">
        <f>IFERROR(VLOOKUP(N360, 'SIC &amp; NAICS Codes'!A:B, 2, FALSE), "")</f>
        <v>Industrial Organic Chemicals, NEC (aliphatics)</v>
      </c>
      <c r="S360" s="28">
        <v>35.813726774999999</v>
      </c>
      <c r="T360" s="315">
        <f>_xlfn.MAXIFS('Raw Period DMR Data'!$O:$O,'Raw Period DMR Data'!$A:$A,'Raw Annual DMR Data'!B360,'Raw Period DMR Data'!$C:$C,X360)/S360</f>
        <v>0</v>
      </c>
      <c r="U360" s="28" t="str">
        <f>+IF(COUNTIFS('Raw Period DMR Data'!$A:$A,B360, 'Raw Period DMR Data'!C:C,'Raw Annual DMR Data'!X360, 'Raw Period DMR Data'!M:M, "&gt;0")&gt;0,_xlfn.MAXIFS('Raw Period DMR Data'!M:M,'Raw Period DMR Data'!$A:$A,'Raw Annual DMR Data'!B360,'Raw Period DMR Data'!C:C,'Raw Annual DMR Data'!X360), "N/A - Period DMR Data Not Available")</f>
        <v>N/A - Period DMR Data Not Available</v>
      </c>
      <c r="V360" s="28" t="str" cm="1">
        <f t="array" ref="V360">IFERROR(INDEX('Raw Period DMR Data'!N:N,MATCH(1,(B360='Raw Period DMR Data'!$A:$A)*(U360='Raw Period DMR Data'!M:M)*(X360='Raw Period DMR Data'!C:C),0),1), "N/A")</f>
        <v>N/A</v>
      </c>
      <c r="W360" s="28" t="s">
        <v>1463</v>
      </c>
      <c r="X360" s="28" t="s">
        <v>839</v>
      </c>
      <c r="Y360" s="28" t="s">
        <v>840</v>
      </c>
      <c r="Z360" s="61">
        <v>8080206001241</v>
      </c>
    </row>
    <row r="361" spans="1:29" x14ac:dyDescent="0.25">
      <c r="A361" s="61">
        <v>110000494894</v>
      </c>
      <c r="B361" s="28">
        <v>2020</v>
      </c>
      <c r="C361" s="68">
        <f t="shared" si="5"/>
        <v>43831</v>
      </c>
      <c r="D361" s="28" t="s">
        <v>137</v>
      </c>
      <c r="E361" s="28" t="s">
        <v>445</v>
      </c>
      <c r="F361" s="28" t="s">
        <v>446</v>
      </c>
      <c r="G361" s="28" t="s">
        <v>303</v>
      </c>
      <c r="H361" s="28">
        <v>70669</v>
      </c>
      <c r="I361" s="28">
        <v>30.223500000000001</v>
      </c>
      <c r="J361" s="28">
        <v>-93.286900000000003</v>
      </c>
      <c r="K361" s="28" t="s">
        <v>447</v>
      </c>
      <c r="L361" s="61">
        <v>110000494894</v>
      </c>
      <c r="M361" s="28" t="s">
        <v>251</v>
      </c>
      <c r="N361" s="28">
        <v>2869</v>
      </c>
      <c r="O361" s="28" t="str">
        <f>IFERROR(VLOOKUP(N361, 'SIC &amp; NAICS Codes'!A:B, 2, FALSE), "")</f>
        <v>Industrial Organic Chemicals, NEC (aliphatics)</v>
      </c>
      <c r="S361" s="28">
        <v>64273.493855699999</v>
      </c>
      <c r="T361" s="315">
        <f>_xlfn.MAXIFS('Raw Period DMR Data'!$O:$O,'Raw Period DMR Data'!$A:$A,'Raw Annual DMR Data'!B361,'Raw Period DMR Data'!$C:$C,X361)/S361</f>
        <v>0.49858280360906632</v>
      </c>
      <c r="U361" s="28">
        <f>+IF(COUNTIFS('Raw Period DMR Data'!$A:$A,B361, 'Raw Period DMR Data'!C:C,'Raw Annual DMR Data'!X361, 'Raw Period DMR Data'!M:M, "&gt;0")&gt;0,_xlfn.MAXIFS('Raw Period DMR Data'!M:M,'Raw Period DMR Data'!$A:$A,'Raw Annual DMR Data'!B361,'Raw Period DMR Data'!C:C,'Raw Annual DMR Data'!X361), "N/A - Period DMR Data Not Available")</f>
        <v>1053.55475</v>
      </c>
      <c r="V361" s="28" cm="1">
        <f t="array" ref="V361">IFERROR(INDEX('Raw Period DMR Data'!N:N,MATCH(1,(B361='Raw Period DMR Data'!$A:$A)*(U361='Raw Period DMR Data'!M:M)*(X361='Raw Period DMR Data'!C:C),0),1), "N/A")</f>
        <v>61</v>
      </c>
      <c r="W361" s="28">
        <v>1947.7610000000002</v>
      </c>
      <c r="X361" s="28" t="s">
        <v>839</v>
      </c>
      <c r="Y361" s="28" t="s">
        <v>840</v>
      </c>
      <c r="Z361" s="61">
        <v>8080206001241</v>
      </c>
      <c r="AA361" s="60" t="s">
        <v>1694</v>
      </c>
    </row>
    <row r="362" spans="1:29" x14ac:dyDescent="0.25">
      <c r="A362" s="61">
        <v>110013680837</v>
      </c>
      <c r="B362" s="28">
        <v>2018</v>
      </c>
      <c r="C362" s="68">
        <f t="shared" si="5"/>
        <v>43101</v>
      </c>
      <c r="D362" s="28" t="s">
        <v>1087</v>
      </c>
      <c r="E362" s="28" t="s">
        <v>1695</v>
      </c>
      <c r="F362" s="28" t="s">
        <v>968</v>
      </c>
      <c r="G362" s="28" t="s">
        <v>324</v>
      </c>
      <c r="H362" s="28">
        <v>41001</v>
      </c>
      <c r="I362" s="28">
        <v>38.947969999999998</v>
      </c>
      <c r="J362" s="28">
        <v>-84.370490000000004</v>
      </c>
      <c r="L362" s="61">
        <v>110013680837</v>
      </c>
      <c r="M362" s="28" t="s">
        <v>263</v>
      </c>
      <c r="N362" s="28">
        <v>4952</v>
      </c>
      <c r="O362" s="28" t="str">
        <f>IFERROR(VLOOKUP(N362, 'SIC &amp; NAICS Codes'!A:B, 2, FALSE), "")</f>
        <v>Sewerage Systems</v>
      </c>
      <c r="S362" s="28">
        <v>4.2136512499999998</v>
      </c>
      <c r="T362" s="315">
        <f>_xlfn.MAXIFS('Raw Period DMR Data'!$O:$O,'Raw Period DMR Data'!$A:$A,'Raw Annual DMR Data'!B362,'Raw Period DMR Data'!$C:$C,X362)/S362</f>
        <v>0</v>
      </c>
      <c r="U362" s="28" t="str">
        <f>+IF(COUNTIFS('Raw Period DMR Data'!$A:$A,B362, 'Raw Period DMR Data'!C:C,'Raw Annual DMR Data'!X362, 'Raw Period DMR Data'!M:M, "&gt;0")&gt;0,_xlfn.MAXIFS('Raw Period DMR Data'!M:M,'Raw Period DMR Data'!$A:$A,'Raw Annual DMR Data'!B362,'Raw Period DMR Data'!C:C,'Raw Annual DMR Data'!X362), "N/A - Period DMR Data Not Available")</f>
        <v>N/A - Period DMR Data Not Available</v>
      </c>
      <c r="V362" s="28" t="str" cm="1">
        <f t="array" ref="V362">IFERROR(INDEX('Raw Period DMR Data'!N:N,MATCH(1,(B362='Raw Period DMR Data'!$A:$A)*(U362='Raw Period DMR Data'!M:M)*(X362='Raw Period DMR Data'!C:C),0),1), "N/A")</f>
        <v>N/A</v>
      </c>
      <c r="W362" s="28" t="s">
        <v>1463</v>
      </c>
      <c r="X362" s="28" t="s">
        <v>1696</v>
      </c>
      <c r="Y362" s="28" t="s">
        <v>1697</v>
      </c>
      <c r="Z362" s="302" t="s">
        <v>1698</v>
      </c>
      <c r="AA362" s="28"/>
      <c r="AB362" s="28" t="s">
        <v>1465</v>
      </c>
      <c r="AC362" s="28" t="s">
        <v>263</v>
      </c>
    </row>
    <row r="363" spans="1:29" x14ac:dyDescent="0.25">
      <c r="A363" s="61">
        <v>110013680837</v>
      </c>
      <c r="B363" s="28">
        <v>2020</v>
      </c>
      <c r="C363" s="68">
        <f t="shared" si="5"/>
        <v>43831</v>
      </c>
      <c r="D363" s="28" t="s">
        <v>1087</v>
      </c>
      <c r="E363" s="28" t="s">
        <v>1695</v>
      </c>
      <c r="F363" s="28" t="s">
        <v>968</v>
      </c>
      <c r="G363" s="28" t="s">
        <v>324</v>
      </c>
      <c r="H363" s="28">
        <v>41001</v>
      </c>
      <c r="I363" s="28">
        <v>38.947969999999998</v>
      </c>
      <c r="J363" s="28">
        <v>-84.370490000000004</v>
      </c>
      <c r="L363" s="61">
        <v>110013680837</v>
      </c>
      <c r="M363" s="28" t="s">
        <v>263</v>
      </c>
      <c r="N363" s="28">
        <v>4952</v>
      </c>
      <c r="O363" s="28" t="str">
        <f>IFERROR(VLOOKUP(N363, 'SIC &amp; NAICS Codes'!A:B, 2, FALSE), "")</f>
        <v>Sewerage Systems</v>
      </c>
      <c r="S363" s="28">
        <v>7.5293112500000002E-4</v>
      </c>
      <c r="T363" s="315">
        <f>_xlfn.MAXIFS('Raw Period DMR Data'!$O:$O,'Raw Period DMR Data'!$A:$A,'Raw Annual DMR Data'!B363,'Raw Period DMR Data'!$C:$C,X363)/S363</f>
        <v>0</v>
      </c>
      <c r="U363" s="28" t="str">
        <f>+IF(COUNTIFS('Raw Period DMR Data'!$A:$A,B363, 'Raw Period DMR Data'!C:C,'Raw Annual DMR Data'!X363, 'Raw Period DMR Data'!M:M, "&gt;0")&gt;0,_xlfn.MAXIFS('Raw Period DMR Data'!M:M,'Raw Period DMR Data'!$A:$A,'Raw Annual DMR Data'!B363,'Raw Period DMR Data'!C:C,'Raw Annual DMR Data'!X363), "N/A - Period DMR Data Not Available")</f>
        <v>N/A - Period DMR Data Not Available</v>
      </c>
      <c r="V363" s="28" t="str" cm="1">
        <f t="array" ref="V363">IFERROR(INDEX('Raw Period DMR Data'!N:N,MATCH(1,(B363='Raw Period DMR Data'!$A:$A)*(U363='Raw Period DMR Data'!M:M)*(X363='Raw Period DMR Data'!C:C),0),1), "N/A")</f>
        <v>N/A</v>
      </c>
      <c r="W363" s="28" t="s">
        <v>1463</v>
      </c>
      <c r="X363" s="28" t="s">
        <v>1696</v>
      </c>
      <c r="Y363" s="28" t="s">
        <v>1697</v>
      </c>
      <c r="Z363" s="28">
        <v>5090201002390</v>
      </c>
      <c r="AA363" s="28"/>
      <c r="AB363" s="28" t="s">
        <v>1465</v>
      </c>
      <c r="AC363" s="28" t="s">
        <v>263</v>
      </c>
    </row>
    <row r="364" spans="1:29" x14ac:dyDescent="0.25">
      <c r="A364" s="61">
        <v>110000574423</v>
      </c>
      <c r="B364" s="28">
        <v>2018</v>
      </c>
      <c r="C364" s="68">
        <f t="shared" si="5"/>
        <v>43101</v>
      </c>
      <c r="D364" s="28" t="s">
        <v>1088</v>
      </c>
      <c r="E364" s="28" t="s">
        <v>1699</v>
      </c>
      <c r="F364" s="28" t="s">
        <v>985</v>
      </c>
      <c r="G364" s="28" t="s">
        <v>979</v>
      </c>
      <c r="H364" s="28">
        <v>37660</v>
      </c>
      <c r="I364" s="28">
        <v>36.527054999999997</v>
      </c>
      <c r="J364" s="28">
        <v>-82.538579999999996</v>
      </c>
      <c r="K364" s="28" t="s">
        <v>711</v>
      </c>
      <c r="L364" s="61">
        <v>110000574423</v>
      </c>
      <c r="M364" s="28" t="s">
        <v>265</v>
      </c>
      <c r="N364" s="28">
        <v>2869</v>
      </c>
      <c r="O364" s="28" t="str">
        <f>IFERROR(VLOOKUP(N364, 'SIC &amp; NAICS Codes'!A:B, 2, FALSE), "")</f>
        <v>Industrial Organic Chemicals, NEC (aliphatics)</v>
      </c>
      <c r="S364" s="28">
        <v>0.20415154499999999</v>
      </c>
      <c r="T364" s="315">
        <f>_xlfn.MAXIFS('Raw Period DMR Data'!$O:$O,'Raw Period DMR Data'!$A:$A,'Raw Annual DMR Data'!B364,'Raw Period DMR Data'!$C:$C,X364)/S364</f>
        <v>0</v>
      </c>
      <c r="U364" s="28" t="str">
        <f>+IF(COUNTIFS('Raw Period DMR Data'!$A:$A,B364, 'Raw Period DMR Data'!C:C,'Raw Annual DMR Data'!X364, 'Raw Period DMR Data'!M:M, "&gt;0")&gt;0,_xlfn.MAXIFS('Raw Period DMR Data'!M:M,'Raw Period DMR Data'!$A:$A,'Raw Annual DMR Data'!B364,'Raw Period DMR Data'!C:C,'Raw Annual DMR Data'!X364), "N/A - Period DMR Data Not Available")</f>
        <v>N/A - Period DMR Data Not Available</v>
      </c>
      <c r="V364" s="28" t="str" cm="1">
        <f t="array" ref="V364">IFERROR(INDEX('Raw Period DMR Data'!N:N,MATCH(1,(B364='Raw Period DMR Data'!$A:$A)*(U364='Raw Period DMR Data'!M:M)*(X364='Raw Period DMR Data'!C:C),0),1), "N/A")</f>
        <v>N/A</v>
      </c>
      <c r="W364" s="28" t="s">
        <v>1463</v>
      </c>
      <c r="X364" s="28" t="s">
        <v>1700</v>
      </c>
      <c r="Y364" s="28" t="s">
        <v>1701</v>
      </c>
      <c r="Z364" s="302" t="s">
        <v>1702</v>
      </c>
      <c r="AA364" s="28"/>
      <c r="AB364" s="28" t="s">
        <v>1465</v>
      </c>
      <c r="AC364" s="28" t="s">
        <v>1466</v>
      </c>
    </row>
    <row r="365" spans="1:29" x14ac:dyDescent="0.25">
      <c r="A365" s="61">
        <v>110000574423</v>
      </c>
      <c r="B365" s="28">
        <v>2019</v>
      </c>
      <c r="C365" s="68">
        <f t="shared" si="5"/>
        <v>43466</v>
      </c>
      <c r="D365" s="28" t="s">
        <v>1088</v>
      </c>
      <c r="E365" s="28" t="s">
        <v>1699</v>
      </c>
      <c r="F365" s="28" t="s">
        <v>985</v>
      </c>
      <c r="G365" s="28" t="s">
        <v>979</v>
      </c>
      <c r="H365" s="28">
        <v>37660</v>
      </c>
      <c r="I365" s="28">
        <v>36.527054999999997</v>
      </c>
      <c r="J365" s="28">
        <v>-82.538579999999996</v>
      </c>
      <c r="K365" s="28" t="s">
        <v>711</v>
      </c>
      <c r="L365" s="61">
        <v>110000574423</v>
      </c>
      <c r="M365" s="28" t="s">
        <v>265</v>
      </c>
      <c r="N365" s="28">
        <v>2869</v>
      </c>
      <c r="O365" s="28" t="str">
        <f>IFERROR(VLOOKUP(N365, 'SIC &amp; NAICS Codes'!A:B, 2, FALSE), "")</f>
        <v>Industrial Organic Chemicals, NEC (aliphatics)</v>
      </c>
      <c r="S365" s="28">
        <v>0.61316659350000002</v>
      </c>
      <c r="T365" s="315">
        <f>_xlfn.MAXIFS('Raw Period DMR Data'!$O:$O,'Raw Period DMR Data'!$A:$A,'Raw Annual DMR Data'!B365,'Raw Period DMR Data'!$C:$C,X365)/S365</f>
        <v>0</v>
      </c>
      <c r="U365" s="28" t="str">
        <f>+IF(COUNTIFS('Raw Period DMR Data'!$A:$A,B365, 'Raw Period DMR Data'!C:C,'Raw Annual DMR Data'!X365, 'Raw Period DMR Data'!M:M, "&gt;0")&gt;0,_xlfn.MAXIFS('Raw Period DMR Data'!M:M,'Raw Period DMR Data'!$A:$A,'Raw Annual DMR Data'!B365,'Raw Period DMR Data'!C:C,'Raw Annual DMR Data'!X365), "N/A - Period DMR Data Not Available")</f>
        <v>N/A - Period DMR Data Not Available</v>
      </c>
      <c r="V365" s="28" t="str" cm="1">
        <f t="array" ref="V365">IFERROR(INDEX('Raw Period DMR Data'!N:N,MATCH(1,(B365='Raw Period DMR Data'!$A:$A)*(U365='Raw Period DMR Data'!M:M)*(X365='Raw Period DMR Data'!C:C),0),1), "N/A")</f>
        <v>N/A</v>
      </c>
      <c r="W365" s="28" t="s">
        <v>1463</v>
      </c>
      <c r="X365" s="28" t="s">
        <v>1700</v>
      </c>
      <c r="Y365" s="28" t="s">
        <v>1701</v>
      </c>
      <c r="Z365" s="28">
        <v>6010102001273</v>
      </c>
      <c r="AA365" s="28"/>
      <c r="AB365" s="28" t="s">
        <v>1465</v>
      </c>
      <c r="AC365" s="28" t="s">
        <v>1466</v>
      </c>
    </row>
    <row r="366" spans="1:29" x14ac:dyDescent="0.25">
      <c r="A366" s="61">
        <v>110000492173</v>
      </c>
      <c r="B366" s="28">
        <v>2016</v>
      </c>
      <c r="C366" s="68">
        <f t="shared" si="5"/>
        <v>42370</v>
      </c>
      <c r="D366" s="28" t="s">
        <v>138</v>
      </c>
      <c r="E366" s="28" t="s">
        <v>448</v>
      </c>
      <c r="F366" s="28" t="s">
        <v>449</v>
      </c>
      <c r="G366" s="28" t="s">
        <v>450</v>
      </c>
      <c r="H366" s="28">
        <v>14652</v>
      </c>
      <c r="I366" s="28">
        <v>43.197788000000003</v>
      </c>
      <c r="J366" s="28">
        <v>-77.629835999999997</v>
      </c>
      <c r="K366" s="28" t="s">
        <v>451</v>
      </c>
      <c r="L366" s="61">
        <v>110000492173</v>
      </c>
      <c r="M366" s="28" t="s">
        <v>265</v>
      </c>
      <c r="N366" s="28">
        <v>3861</v>
      </c>
      <c r="O366" s="28" t="str">
        <f>IFERROR(VLOOKUP(N366, 'SIC &amp; NAICS Codes'!A:B, 2, FALSE), "")</f>
        <v>Photographic Equipment and Supplies (photographic films, paper, plates and chemicals)</v>
      </c>
      <c r="S366" s="28">
        <v>2.716116E-2</v>
      </c>
      <c r="T366" s="315">
        <f>_xlfn.MAXIFS('Raw Period DMR Data'!$O:$O,'Raw Period DMR Data'!$A:$A,'Raw Annual DMR Data'!B366,'Raw Period DMR Data'!$C:$C,X366)/S366</f>
        <v>0</v>
      </c>
      <c r="U366" s="28" t="str">
        <f>+IF(COUNTIFS('Raw Period DMR Data'!$A:$A,B366, 'Raw Period DMR Data'!C:C,'Raw Annual DMR Data'!X366, 'Raw Period DMR Data'!M:M, "&gt;0")&gt;0,_xlfn.MAXIFS('Raw Period DMR Data'!M:M,'Raw Period DMR Data'!$A:$A,'Raw Annual DMR Data'!B366,'Raw Period DMR Data'!C:C,'Raw Annual DMR Data'!X366), "N/A - Period DMR Data Not Available")</f>
        <v>N/A - Period DMR Data Not Available</v>
      </c>
      <c r="V366" s="28" t="str" cm="1">
        <f t="array" ref="V366">IFERROR(INDEX('Raw Period DMR Data'!N:N,MATCH(1,(B366='Raw Period DMR Data'!$A:$A)*(U366='Raw Period DMR Data'!M:M)*(X366='Raw Period DMR Data'!C:C),0),1), "N/A")</f>
        <v>N/A</v>
      </c>
      <c r="W366" s="28" t="s">
        <v>1463</v>
      </c>
      <c r="X366" s="28" t="s">
        <v>841</v>
      </c>
      <c r="Y366" s="28" t="s">
        <v>842</v>
      </c>
      <c r="Z366" s="61">
        <v>4130003000001</v>
      </c>
      <c r="AA366" s="28"/>
    </row>
    <row r="367" spans="1:29" x14ac:dyDescent="0.25">
      <c r="A367" s="61">
        <v>110000492173</v>
      </c>
      <c r="B367" s="28">
        <v>2015</v>
      </c>
      <c r="C367" s="68">
        <f t="shared" si="5"/>
        <v>42005</v>
      </c>
      <c r="D367" s="28" t="s">
        <v>138</v>
      </c>
      <c r="E367" s="28" t="s">
        <v>448</v>
      </c>
      <c r="F367" s="28" t="s">
        <v>449</v>
      </c>
      <c r="G367" s="28" t="s">
        <v>450</v>
      </c>
      <c r="H367" s="28">
        <v>14652</v>
      </c>
      <c r="I367" s="28">
        <v>43.197788000000003</v>
      </c>
      <c r="J367" s="28">
        <v>-77.629835999999997</v>
      </c>
      <c r="K367" s="28" t="s">
        <v>451</v>
      </c>
      <c r="L367" s="61">
        <v>110000492173</v>
      </c>
      <c r="M367" s="28" t="s">
        <v>265</v>
      </c>
      <c r="N367" s="28">
        <v>3861</v>
      </c>
      <c r="O367" s="28" t="str">
        <f>IFERROR(VLOOKUP(N367, 'SIC &amp; NAICS Codes'!A:B, 2, FALSE), "")</f>
        <v>Photographic Equipment and Supplies (photographic films, paper, plates and chemicals)</v>
      </c>
      <c r="S367" s="28">
        <v>3.6713364499999998E-2</v>
      </c>
      <c r="T367" s="315">
        <f>_xlfn.MAXIFS('Raw Period DMR Data'!$O:$O,'Raw Period DMR Data'!$A:$A,'Raw Annual DMR Data'!B367,'Raw Period DMR Data'!$C:$C,X367)/S367</f>
        <v>0</v>
      </c>
      <c r="U367" s="28" t="str">
        <f>+IF(COUNTIFS('Raw Period DMR Data'!$A:$A,B367, 'Raw Period DMR Data'!C:C,'Raw Annual DMR Data'!X367, 'Raw Period DMR Data'!M:M, "&gt;0")&gt;0,_xlfn.MAXIFS('Raw Period DMR Data'!M:M,'Raw Period DMR Data'!$A:$A,'Raw Annual DMR Data'!B367,'Raw Period DMR Data'!C:C,'Raw Annual DMR Data'!X367), "N/A - Period DMR Data Not Available")</f>
        <v>N/A - Period DMR Data Not Available</v>
      </c>
      <c r="V367" s="28" t="str" cm="1">
        <f t="array" ref="V367">IFERROR(INDEX('Raw Period DMR Data'!N:N,MATCH(1,(B367='Raw Period DMR Data'!$A:$A)*(U367='Raw Period DMR Data'!M:M)*(X367='Raw Period DMR Data'!C:C),0),1), "N/A")</f>
        <v>N/A</v>
      </c>
      <c r="W367" s="28" t="s">
        <v>1463</v>
      </c>
      <c r="X367" s="28" t="s">
        <v>841</v>
      </c>
      <c r="Y367" s="28" t="s">
        <v>842</v>
      </c>
      <c r="Z367" s="28">
        <v>4130003000001</v>
      </c>
      <c r="AA367" s="28"/>
      <c r="AB367" s="28" t="s">
        <v>1465</v>
      </c>
      <c r="AC367" s="28" t="s">
        <v>1466</v>
      </c>
    </row>
    <row r="368" spans="1:29" x14ac:dyDescent="0.25">
      <c r="A368" s="61">
        <v>110000492173</v>
      </c>
      <c r="B368" s="28">
        <v>2016</v>
      </c>
      <c r="C368" s="68">
        <f t="shared" si="5"/>
        <v>42370</v>
      </c>
      <c r="D368" s="28" t="s">
        <v>138</v>
      </c>
      <c r="E368" s="28" t="s">
        <v>448</v>
      </c>
      <c r="F368" s="28" t="s">
        <v>449</v>
      </c>
      <c r="G368" s="28" t="s">
        <v>450</v>
      </c>
      <c r="H368" s="28">
        <v>14652</v>
      </c>
      <c r="I368" s="28">
        <v>43.197788000000003</v>
      </c>
      <c r="J368" s="28">
        <v>-77.629835999999997</v>
      </c>
      <c r="K368" s="28" t="s">
        <v>451</v>
      </c>
      <c r="L368" s="61">
        <v>110000492173</v>
      </c>
      <c r="M368" s="28" t="s">
        <v>265</v>
      </c>
      <c r="N368" s="28">
        <v>3861</v>
      </c>
      <c r="O368" s="28" t="str">
        <f>IFERROR(VLOOKUP(N368, 'SIC &amp; NAICS Codes'!A:B, 2, FALSE), "")</f>
        <v>Photographic Equipment and Supplies (photographic films, paper, plates and chemicals)</v>
      </c>
      <c r="S368" s="28">
        <v>3.2407169999999999E-2</v>
      </c>
      <c r="T368" s="315">
        <f>_xlfn.MAXIFS('Raw Period DMR Data'!$O:$O,'Raw Period DMR Data'!$A:$A,'Raw Annual DMR Data'!B368,'Raw Period DMR Data'!$C:$C,X368)/S368</f>
        <v>0</v>
      </c>
      <c r="U368" s="28" t="str">
        <f>+IF(COUNTIFS('Raw Period DMR Data'!$A:$A,B368, 'Raw Period DMR Data'!C:C,'Raw Annual DMR Data'!X368, 'Raw Period DMR Data'!M:M, "&gt;0")&gt;0,_xlfn.MAXIFS('Raw Period DMR Data'!M:M,'Raw Period DMR Data'!$A:$A,'Raw Annual DMR Data'!B368,'Raw Period DMR Data'!C:C,'Raw Annual DMR Data'!X368), "N/A - Period DMR Data Not Available")</f>
        <v>N/A - Period DMR Data Not Available</v>
      </c>
      <c r="V368" s="28" t="str" cm="1">
        <f t="array" ref="V368">IFERROR(INDEX('Raw Period DMR Data'!N:N,MATCH(1,(B368='Raw Period DMR Data'!$A:$A)*(U368='Raw Period DMR Data'!M:M)*(X368='Raw Period DMR Data'!C:C),0),1), "N/A")</f>
        <v>N/A</v>
      </c>
      <c r="W368" s="28" t="s">
        <v>1463</v>
      </c>
      <c r="X368" s="28" t="s">
        <v>841</v>
      </c>
      <c r="Y368" s="28" t="s">
        <v>842</v>
      </c>
      <c r="Z368" s="28">
        <v>4130003000001</v>
      </c>
      <c r="AA368" s="28"/>
      <c r="AB368" s="28" t="s">
        <v>1465</v>
      </c>
      <c r="AC368" s="28" t="s">
        <v>1466</v>
      </c>
    </row>
    <row r="369" spans="1:29" x14ac:dyDescent="0.25">
      <c r="A369" s="61">
        <v>110000614791</v>
      </c>
      <c r="B369" s="28">
        <v>2017</v>
      </c>
      <c r="C369" s="68">
        <f t="shared" si="5"/>
        <v>42736</v>
      </c>
      <c r="D369" s="28" t="s">
        <v>139</v>
      </c>
      <c r="E369" s="28" t="s">
        <v>453</v>
      </c>
      <c r="F369" s="28" t="s">
        <v>454</v>
      </c>
      <c r="G369" s="28" t="s">
        <v>349</v>
      </c>
      <c r="H369" s="28">
        <v>64801</v>
      </c>
      <c r="I369" s="28">
        <v>37.083666999999998</v>
      </c>
      <c r="J369" s="28">
        <v>-94.550888999999998</v>
      </c>
      <c r="L369" s="61">
        <v>110000614791</v>
      </c>
      <c r="M369" s="28" t="s">
        <v>265</v>
      </c>
      <c r="N369" s="28">
        <v>1629</v>
      </c>
      <c r="O369" s="28" t="str">
        <f>IFERROR(VLOOKUP(N369, 'SIC &amp; NAICS Codes'!A:B, 2, FALSE), "")</f>
        <v>Heavy Construction, NEC (Industrial nonbuilding structures [except petrochemical plants and petroleum refineries])</v>
      </c>
      <c r="S369" s="28">
        <v>0.13468049224799999</v>
      </c>
      <c r="T369" s="315">
        <f>_xlfn.MAXIFS('Raw Period DMR Data'!$O:$O,'Raw Period DMR Data'!$A:$A,'Raw Annual DMR Data'!B369,'Raw Period DMR Data'!$C:$C,X369)/S369</f>
        <v>0</v>
      </c>
      <c r="U369" s="28" t="str">
        <f>+IF(COUNTIFS('Raw Period DMR Data'!$A:$A,B369, 'Raw Period DMR Data'!C:C,'Raw Annual DMR Data'!X369, 'Raw Period DMR Data'!M:M, "&gt;0")&gt;0,_xlfn.MAXIFS('Raw Period DMR Data'!M:M,'Raw Period DMR Data'!$A:$A,'Raw Annual DMR Data'!B369,'Raw Period DMR Data'!C:C,'Raw Annual DMR Data'!X369), "N/A - Period DMR Data Not Available")</f>
        <v>N/A - Period DMR Data Not Available</v>
      </c>
      <c r="V369" s="28" t="str" cm="1">
        <f t="array" ref="V369">IFERROR(INDEX('Raw Period DMR Data'!N:N,MATCH(1,(B369='Raw Period DMR Data'!$A:$A)*(U369='Raw Period DMR Data'!M:M)*(X369='Raw Period DMR Data'!C:C),0),1), "N/A")</f>
        <v>N/A</v>
      </c>
      <c r="W369" s="28" t="s">
        <v>1463</v>
      </c>
      <c r="X369" s="28" t="s">
        <v>843</v>
      </c>
      <c r="Y369" s="28" t="s">
        <v>844</v>
      </c>
      <c r="Z369" s="61">
        <v>11070207001158</v>
      </c>
      <c r="AA369" s="28"/>
    </row>
    <row r="370" spans="1:29" x14ac:dyDescent="0.25">
      <c r="A370" s="61">
        <v>110000614791</v>
      </c>
      <c r="B370" s="28">
        <v>2018</v>
      </c>
      <c r="C370" s="68">
        <f t="shared" si="5"/>
        <v>43101</v>
      </c>
      <c r="D370" s="28" t="s">
        <v>139</v>
      </c>
      <c r="E370" s="28" t="s">
        <v>453</v>
      </c>
      <c r="F370" s="28" t="s">
        <v>454</v>
      </c>
      <c r="G370" s="28" t="s">
        <v>349</v>
      </c>
      <c r="H370" s="28">
        <v>64801</v>
      </c>
      <c r="I370" s="28">
        <v>37.083666999999998</v>
      </c>
      <c r="J370" s="28">
        <v>-94.550888999999998</v>
      </c>
      <c r="L370" s="61">
        <v>110000614791</v>
      </c>
      <c r="M370" s="28" t="s">
        <v>265</v>
      </c>
      <c r="N370" s="28">
        <v>1629</v>
      </c>
      <c r="O370" s="28" t="str">
        <f>IFERROR(VLOOKUP(N370, 'SIC &amp; NAICS Codes'!A:B, 2, FALSE), "")</f>
        <v>Heavy Construction, NEC (Industrial nonbuilding structures [except petrochemical plants and petroleum refineries])</v>
      </c>
      <c r="S370" s="28">
        <v>1.87650125163E-2</v>
      </c>
      <c r="T370" s="315">
        <f>_xlfn.MAXIFS('Raw Period DMR Data'!$O:$O,'Raw Period DMR Data'!$A:$A,'Raw Annual DMR Data'!B370,'Raw Period DMR Data'!$C:$C,X370)/S370</f>
        <v>0</v>
      </c>
      <c r="U370" s="28" t="str">
        <f>+IF(COUNTIFS('Raw Period DMR Data'!$A:$A,B370, 'Raw Period DMR Data'!C:C,'Raw Annual DMR Data'!X370, 'Raw Period DMR Data'!M:M, "&gt;0")&gt;0,_xlfn.MAXIFS('Raw Period DMR Data'!M:M,'Raw Period DMR Data'!$A:$A,'Raw Annual DMR Data'!B370,'Raw Period DMR Data'!C:C,'Raw Annual DMR Data'!X370), "N/A - Period DMR Data Not Available")</f>
        <v>N/A - Period DMR Data Not Available</v>
      </c>
      <c r="V370" s="28" t="str" cm="1">
        <f t="array" ref="V370">IFERROR(INDEX('Raw Period DMR Data'!N:N,MATCH(1,(B370='Raw Period DMR Data'!$A:$A)*(U370='Raw Period DMR Data'!M:M)*(X370='Raw Period DMR Data'!C:C),0),1), "N/A")</f>
        <v>N/A</v>
      </c>
      <c r="W370" s="28" t="s">
        <v>1463</v>
      </c>
      <c r="X370" s="28" t="s">
        <v>843</v>
      </c>
      <c r="Y370" s="28" t="s">
        <v>844</v>
      </c>
      <c r="Z370" s="61">
        <v>11070207001158</v>
      </c>
      <c r="AA370" s="60" t="s">
        <v>1694</v>
      </c>
    </row>
    <row r="371" spans="1:29" x14ac:dyDescent="0.25">
      <c r="A371" s="61">
        <v>110009938719</v>
      </c>
      <c r="B371" s="28">
        <v>2017</v>
      </c>
      <c r="C371" s="68">
        <f t="shared" si="5"/>
        <v>42736</v>
      </c>
      <c r="D371" s="28" t="s">
        <v>1089</v>
      </c>
      <c r="E371" s="28" t="s">
        <v>1703</v>
      </c>
      <c r="F371" s="28" t="s">
        <v>1090</v>
      </c>
      <c r="G371" s="28" t="s">
        <v>324</v>
      </c>
      <c r="H371" s="28">
        <v>42038</v>
      </c>
      <c r="I371" s="28">
        <v>37.075277999999997</v>
      </c>
      <c r="J371" s="28">
        <v>-88.09</v>
      </c>
      <c r="L371" s="61">
        <v>110009938719</v>
      </c>
      <c r="M371" s="28" t="s">
        <v>263</v>
      </c>
      <c r="N371" s="28">
        <v>4952</v>
      </c>
      <c r="O371" s="28" t="str">
        <f>IFERROR(VLOOKUP(N371, 'SIC &amp; NAICS Codes'!A:B, 2, FALSE), "")</f>
        <v>Sewerage Systems</v>
      </c>
      <c r="S371" s="28">
        <v>1.1432119375000001</v>
      </c>
      <c r="T371" s="315">
        <f>_xlfn.MAXIFS('Raw Period DMR Data'!$O:$O,'Raw Period DMR Data'!$A:$A,'Raw Annual DMR Data'!B371,'Raw Period DMR Data'!$C:$C,X371)/S371</f>
        <v>0</v>
      </c>
      <c r="U371" s="28" t="str">
        <f>+IF(COUNTIFS('Raw Period DMR Data'!$A:$A,B371, 'Raw Period DMR Data'!C:C,'Raw Annual DMR Data'!X371, 'Raw Period DMR Data'!M:M, "&gt;0")&gt;0,_xlfn.MAXIFS('Raw Period DMR Data'!M:M,'Raw Period DMR Data'!$A:$A,'Raw Annual DMR Data'!B371,'Raw Period DMR Data'!C:C,'Raw Annual DMR Data'!X371), "N/A - Period DMR Data Not Available")</f>
        <v>N/A - Period DMR Data Not Available</v>
      </c>
      <c r="V371" s="28" t="str" cm="1">
        <f t="array" ref="V371">IFERROR(INDEX('Raw Period DMR Data'!N:N,MATCH(1,(B371='Raw Period DMR Data'!$A:$A)*(U371='Raw Period DMR Data'!M:M)*(X371='Raw Period DMR Data'!C:C),0),1), "N/A")</f>
        <v>N/A</v>
      </c>
      <c r="W371" s="28" t="s">
        <v>1463</v>
      </c>
      <c r="X371" s="28" t="s">
        <v>1704</v>
      </c>
      <c r="Y371" s="28" t="s">
        <v>1705</v>
      </c>
      <c r="Z371" s="28">
        <v>5130205000794</v>
      </c>
      <c r="AA371" s="28"/>
      <c r="AB371" s="28" t="s">
        <v>1465</v>
      </c>
      <c r="AC371" s="28" t="s">
        <v>263</v>
      </c>
    </row>
    <row r="372" spans="1:29" x14ac:dyDescent="0.25">
      <c r="A372" s="61">
        <v>110009938719</v>
      </c>
      <c r="B372" s="28">
        <v>2018</v>
      </c>
      <c r="C372" s="68">
        <f t="shared" si="5"/>
        <v>43101</v>
      </c>
      <c r="D372" s="28" t="s">
        <v>1089</v>
      </c>
      <c r="E372" s="28" t="s">
        <v>1703</v>
      </c>
      <c r="F372" s="28" t="s">
        <v>1090</v>
      </c>
      <c r="G372" s="28" t="s">
        <v>324</v>
      </c>
      <c r="H372" s="28">
        <v>42038</v>
      </c>
      <c r="I372" s="28">
        <v>37.075277999999997</v>
      </c>
      <c r="J372" s="28">
        <v>-88.09</v>
      </c>
      <c r="L372" s="61">
        <v>110009938719</v>
      </c>
      <c r="M372" s="28" t="s">
        <v>263</v>
      </c>
      <c r="N372" s="28">
        <v>4952</v>
      </c>
      <c r="O372" s="28" t="str">
        <f>IFERROR(VLOOKUP(N372, 'SIC &amp; NAICS Codes'!A:B, 2, FALSE), "")</f>
        <v>Sewerage Systems</v>
      </c>
      <c r="S372" s="28">
        <v>2.1966247499999998</v>
      </c>
      <c r="T372" s="315">
        <f>_xlfn.MAXIFS('Raw Period DMR Data'!$O:$O,'Raw Period DMR Data'!$A:$A,'Raw Annual DMR Data'!B372,'Raw Period DMR Data'!$C:$C,X372)/S372</f>
        <v>0</v>
      </c>
      <c r="U372" s="28" t="str">
        <f>+IF(COUNTIFS('Raw Period DMR Data'!$A:$A,B372, 'Raw Period DMR Data'!C:C,'Raw Annual DMR Data'!X372, 'Raw Period DMR Data'!M:M, "&gt;0")&gt;0,_xlfn.MAXIFS('Raw Period DMR Data'!M:M,'Raw Period DMR Data'!$A:$A,'Raw Annual DMR Data'!B372,'Raw Period DMR Data'!C:C,'Raw Annual DMR Data'!X372), "N/A - Period DMR Data Not Available")</f>
        <v>N/A - Period DMR Data Not Available</v>
      </c>
      <c r="V372" s="28" t="str" cm="1">
        <f t="array" ref="V372">IFERROR(INDEX('Raw Period DMR Data'!N:N,MATCH(1,(B372='Raw Period DMR Data'!$A:$A)*(U372='Raw Period DMR Data'!M:M)*(X372='Raw Period DMR Data'!C:C),0),1), "N/A")</f>
        <v>N/A</v>
      </c>
      <c r="W372" s="28" t="s">
        <v>1463</v>
      </c>
      <c r="X372" s="28" t="s">
        <v>1704</v>
      </c>
      <c r="Y372" s="28" t="s">
        <v>1705</v>
      </c>
      <c r="Z372" s="302" t="s">
        <v>1706</v>
      </c>
      <c r="AA372" s="28"/>
      <c r="AB372" s="28" t="s">
        <v>1465</v>
      </c>
      <c r="AC372" s="28" t="s">
        <v>263</v>
      </c>
    </row>
    <row r="373" spans="1:29" x14ac:dyDescent="0.25">
      <c r="A373" s="61">
        <v>110009938719</v>
      </c>
      <c r="B373" s="28">
        <v>2019</v>
      </c>
      <c r="C373" s="68">
        <f t="shared" si="5"/>
        <v>43466</v>
      </c>
      <c r="D373" s="28" t="s">
        <v>1089</v>
      </c>
      <c r="E373" s="28" t="s">
        <v>1703</v>
      </c>
      <c r="F373" s="28" t="s">
        <v>1090</v>
      </c>
      <c r="G373" s="28" t="s">
        <v>324</v>
      </c>
      <c r="H373" s="28">
        <v>42038</v>
      </c>
      <c r="I373" s="28">
        <v>37.075277999999997</v>
      </c>
      <c r="J373" s="28">
        <v>-88.09</v>
      </c>
      <c r="L373" s="61">
        <v>110009938719</v>
      </c>
      <c r="M373" s="28" t="s">
        <v>263</v>
      </c>
      <c r="N373" s="28">
        <v>4952</v>
      </c>
      <c r="O373" s="28" t="str">
        <f>IFERROR(VLOOKUP(N373, 'SIC &amp; NAICS Codes'!A:B, 2, FALSE), "")</f>
        <v>Sewerage Systems</v>
      </c>
      <c r="S373" s="28">
        <v>1.8616049374999999</v>
      </c>
      <c r="T373" s="315">
        <f>_xlfn.MAXIFS('Raw Period DMR Data'!$O:$O,'Raw Period DMR Data'!$A:$A,'Raw Annual DMR Data'!B373,'Raw Period DMR Data'!$C:$C,X373)/S373</f>
        <v>0</v>
      </c>
      <c r="U373" s="28" t="str">
        <f>+IF(COUNTIFS('Raw Period DMR Data'!$A:$A,B373, 'Raw Period DMR Data'!C:C,'Raw Annual DMR Data'!X373, 'Raw Period DMR Data'!M:M, "&gt;0")&gt;0,_xlfn.MAXIFS('Raw Period DMR Data'!M:M,'Raw Period DMR Data'!$A:$A,'Raw Annual DMR Data'!B373,'Raw Period DMR Data'!C:C,'Raw Annual DMR Data'!X373), "N/A - Period DMR Data Not Available")</f>
        <v>N/A - Period DMR Data Not Available</v>
      </c>
      <c r="V373" s="28" t="str" cm="1">
        <f t="array" ref="V373">IFERROR(INDEX('Raw Period DMR Data'!N:N,MATCH(1,(B373='Raw Period DMR Data'!$A:$A)*(U373='Raw Period DMR Data'!M:M)*(X373='Raw Period DMR Data'!C:C),0),1), "N/A")</f>
        <v>N/A</v>
      </c>
      <c r="W373" s="28" t="s">
        <v>1463</v>
      </c>
      <c r="X373" s="28" t="s">
        <v>1704</v>
      </c>
      <c r="Y373" s="28" t="s">
        <v>1705</v>
      </c>
      <c r="Z373" s="28">
        <v>5130205000794</v>
      </c>
      <c r="AA373" s="28"/>
      <c r="AB373" s="28" t="s">
        <v>1465</v>
      </c>
      <c r="AC373" s="28" t="s">
        <v>263</v>
      </c>
    </row>
    <row r="374" spans="1:29" x14ac:dyDescent="0.25">
      <c r="A374" s="61">
        <v>110002672484</v>
      </c>
      <c r="B374" s="28">
        <v>2020</v>
      </c>
      <c r="C374" s="68">
        <f t="shared" si="5"/>
        <v>43831</v>
      </c>
      <c r="D374" s="28" t="s">
        <v>140</v>
      </c>
      <c r="E374" s="28" t="s">
        <v>456</v>
      </c>
      <c r="F374" s="28" t="s">
        <v>457</v>
      </c>
      <c r="G374" s="28" t="s">
        <v>366</v>
      </c>
      <c r="H374" s="28">
        <v>92243</v>
      </c>
      <c r="I374" s="28">
        <v>32.802199999999999</v>
      </c>
      <c r="J374" s="28">
        <v>-115.54</v>
      </c>
      <c r="L374" s="61">
        <v>110002672484</v>
      </c>
      <c r="M374" s="28" t="s">
        <v>265</v>
      </c>
      <c r="N374" s="28">
        <v>921</v>
      </c>
      <c r="O374" s="28" t="str">
        <f>IFERROR(VLOOKUP(N374, 'SIC &amp; NAICS Codes'!A:B, 2, FALSE), "")</f>
        <v>Fish Hatcheries and Preserves (finfish hatcheries)</v>
      </c>
      <c r="S374" s="28">
        <v>0.92064826</v>
      </c>
      <c r="T374" s="315">
        <f>_xlfn.MAXIFS('Raw Period DMR Data'!$O:$O,'Raw Period DMR Data'!$A:$A,'Raw Annual DMR Data'!B374,'Raw Period DMR Data'!$C:$C,X374)/S374</f>
        <v>0</v>
      </c>
      <c r="U374" s="28" t="str">
        <f>+IF(COUNTIFS('Raw Period DMR Data'!$A:$A,B374, 'Raw Period DMR Data'!C:C,'Raw Annual DMR Data'!X374, 'Raw Period DMR Data'!M:M, "&gt;0")&gt;0,_xlfn.MAXIFS('Raw Period DMR Data'!M:M,'Raw Period DMR Data'!$A:$A,'Raw Annual DMR Data'!B374,'Raw Period DMR Data'!C:C,'Raw Annual DMR Data'!X374), "N/A - Period DMR Data Not Available")</f>
        <v>N/A - Period DMR Data Not Available</v>
      </c>
      <c r="V374" s="28" t="str" cm="1">
        <f t="array" ref="V374">IFERROR(INDEX('Raw Period DMR Data'!N:N,MATCH(1,(B374='Raw Period DMR Data'!$A:$A)*(U374='Raw Period DMR Data'!M:M)*(X374='Raw Period DMR Data'!C:C),0),1), "N/A")</f>
        <v>N/A</v>
      </c>
      <c r="W374" s="28" t="s">
        <v>1463</v>
      </c>
      <c r="X374" s="28" t="s">
        <v>845</v>
      </c>
      <c r="Y374" s="28" t="s">
        <v>846</v>
      </c>
      <c r="Z374" s="61">
        <v>18100204011431</v>
      </c>
    </row>
    <row r="375" spans="1:29" x14ac:dyDescent="0.25">
      <c r="A375" s="61">
        <v>110002672484</v>
      </c>
      <c r="B375" s="28">
        <v>2018</v>
      </c>
      <c r="C375" s="68">
        <f t="shared" si="5"/>
        <v>43101</v>
      </c>
      <c r="D375" s="28" t="s">
        <v>140</v>
      </c>
      <c r="E375" s="28" t="s">
        <v>456</v>
      </c>
      <c r="F375" s="28" t="s">
        <v>457</v>
      </c>
      <c r="G375" s="28" t="s">
        <v>366</v>
      </c>
      <c r="H375" s="28">
        <v>92243</v>
      </c>
      <c r="I375" s="28">
        <v>32.802199999999999</v>
      </c>
      <c r="J375" s="28">
        <v>-115.54</v>
      </c>
      <c r="L375" s="61">
        <v>110002672484</v>
      </c>
      <c r="M375" s="28" t="s">
        <v>265</v>
      </c>
      <c r="N375" s="302" t="s">
        <v>1707</v>
      </c>
      <c r="O375" s="28" t="str">
        <f>IFERROR(VLOOKUP(N375, 'SIC &amp; NAICS Codes'!A:B, 2, FALSE), "")</f>
        <v/>
      </c>
      <c r="S375" s="28">
        <v>4.0409606250000002E-3</v>
      </c>
      <c r="T375" s="315">
        <f>_xlfn.MAXIFS('Raw Period DMR Data'!$O:$O,'Raw Period DMR Data'!$A:$A,'Raw Annual DMR Data'!B375,'Raw Period DMR Data'!$C:$C,X375)/S375</f>
        <v>0</v>
      </c>
      <c r="U375" s="28" t="str">
        <f>+IF(COUNTIFS('Raw Period DMR Data'!$A:$A,B375, 'Raw Period DMR Data'!C:C,'Raw Annual DMR Data'!X375, 'Raw Period DMR Data'!M:M, "&gt;0")&gt;0,_xlfn.MAXIFS('Raw Period DMR Data'!M:M,'Raw Period DMR Data'!$A:$A,'Raw Annual DMR Data'!B375,'Raw Period DMR Data'!C:C,'Raw Annual DMR Data'!X375), "N/A - Period DMR Data Not Available")</f>
        <v>N/A - Period DMR Data Not Available</v>
      </c>
      <c r="V375" s="28" t="str" cm="1">
        <f t="array" ref="V375">IFERROR(INDEX('Raw Period DMR Data'!N:N,MATCH(1,(B375='Raw Period DMR Data'!$A:$A)*(U375='Raw Period DMR Data'!M:M)*(X375='Raw Period DMR Data'!C:C),0),1), "N/A")</f>
        <v>N/A</v>
      </c>
      <c r="W375" s="28" t="s">
        <v>1463</v>
      </c>
      <c r="X375" s="28" t="s">
        <v>845</v>
      </c>
      <c r="Y375" s="28" t="s">
        <v>846</v>
      </c>
      <c r="Z375" s="28">
        <v>18100204011431</v>
      </c>
      <c r="AA375" s="28"/>
      <c r="AB375" s="28" t="s">
        <v>1465</v>
      </c>
      <c r="AC375" s="28" t="s">
        <v>1466</v>
      </c>
    </row>
    <row r="376" spans="1:29" x14ac:dyDescent="0.25">
      <c r="A376" s="61">
        <v>110002672484</v>
      </c>
      <c r="B376" s="28">
        <v>2018</v>
      </c>
      <c r="C376" s="68">
        <f t="shared" si="5"/>
        <v>43101</v>
      </c>
      <c r="D376" s="28" t="s">
        <v>140</v>
      </c>
      <c r="E376" s="28" t="s">
        <v>456</v>
      </c>
      <c r="F376" s="28" t="s">
        <v>457</v>
      </c>
      <c r="G376" s="28" t="s">
        <v>366</v>
      </c>
      <c r="H376" s="28">
        <v>92243</v>
      </c>
      <c r="I376" s="28">
        <v>32.802199999999999</v>
      </c>
      <c r="J376" s="28">
        <v>-115.54</v>
      </c>
      <c r="L376" s="61">
        <v>110002672484</v>
      </c>
      <c r="M376" s="28" t="s">
        <v>265</v>
      </c>
      <c r="N376" s="302" t="s">
        <v>1707</v>
      </c>
      <c r="O376" s="28" t="str">
        <f>IFERROR(VLOOKUP(N376, 'SIC &amp; NAICS Codes'!A:B, 2, FALSE), "")</f>
        <v/>
      </c>
      <c r="S376" s="28">
        <v>2.9840940000000001E-3</v>
      </c>
      <c r="T376" s="315">
        <f>_xlfn.MAXIFS('Raw Period DMR Data'!$O:$O,'Raw Period DMR Data'!$A:$A,'Raw Annual DMR Data'!B376,'Raw Period DMR Data'!$C:$C,X376)/S376</f>
        <v>0</v>
      </c>
      <c r="U376" s="28" t="str">
        <f>+IF(COUNTIFS('Raw Period DMR Data'!$A:$A,B376, 'Raw Period DMR Data'!C:C,'Raw Annual DMR Data'!X376, 'Raw Period DMR Data'!M:M, "&gt;0")&gt;0,_xlfn.MAXIFS('Raw Period DMR Data'!M:M,'Raw Period DMR Data'!$A:$A,'Raw Annual DMR Data'!B376,'Raw Period DMR Data'!C:C,'Raw Annual DMR Data'!X376), "N/A - Period DMR Data Not Available")</f>
        <v>N/A - Period DMR Data Not Available</v>
      </c>
      <c r="V376" s="28" t="str" cm="1">
        <f t="array" ref="V376">IFERROR(INDEX('Raw Period DMR Data'!N:N,MATCH(1,(B376='Raw Period DMR Data'!$A:$A)*(U376='Raw Period DMR Data'!M:M)*(X376='Raw Period DMR Data'!C:C),0),1), "N/A")</f>
        <v>N/A</v>
      </c>
      <c r="W376" s="28" t="s">
        <v>1463</v>
      </c>
      <c r="X376" s="28" t="s">
        <v>845</v>
      </c>
      <c r="Y376" s="28" t="s">
        <v>846</v>
      </c>
      <c r="Z376" s="28">
        <v>18100204011431</v>
      </c>
      <c r="AA376" s="28"/>
      <c r="AB376" s="28" t="s">
        <v>1465</v>
      </c>
      <c r="AC376" s="28" t="s">
        <v>1466</v>
      </c>
    </row>
    <row r="377" spans="1:29" x14ac:dyDescent="0.25">
      <c r="A377" s="61">
        <v>110002672484</v>
      </c>
      <c r="B377" s="28">
        <v>2019</v>
      </c>
      <c r="C377" s="68">
        <f t="shared" si="5"/>
        <v>43466</v>
      </c>
      <c r="D377" s="28" t="s">
        <v>140</v>
      </c>
      <c r="E377" s="28" t="s">
        <v>456</v>
      </c>
      <c r="F377" s="28" t="s">
        <v>457</v>
      </c>
      <c r="G377" s="28" t="s">
        <v>366</v>
      </c>
      <c r="H377" s="28">
        <v>92243</v>
      </c>
      <c r="I377" s="28">
        <v>32.802199999999999</v>
      </c>
      <c r="J377" s="28">
        <v>-115.54</v>
      </c>
      <c r="L377" s="61">
        <v>110002672484</v>
      </c>
      <c r="M377" s="28" t="s">
        <v>265</v>
      </c>
      <c r="N377" s="28">
        <v>921</v>
      </c>
      <c r="O377" s="28" t="str">
        <f>IFERROR(VLOOKUP(N377, 'SIC &amp; NAICS Codes'!A:B, 2, FALSE), "")</f>
        <v>Fish Hatcheries and Preserves (finfish hatcheries)</v>
      </c>
      <c r="S377" s="28">
        <v>1.678552875E-3</v>
      </c>
      <c r="T377" s="315">
        <f>_xlfn.MAXIFS('Raw Period DMR Data'!$O:$O,'Raw Period DMR Data'!$A:$A,'Raw Annual DMR Data'!B377,'Raw Period DMR Data'!$C:$C,X377)/S377</f>
        <v>0</v>
      </c>
      <c r="U377" s="28" t="str">
        <f>+IF(COUNTIFS('Raw Period DMR Data'!$A:$A,B377, 'Raw Period DMR Data'!C:C,'Raw Annual DMR Data'!X377, 'Raw Period DMR Data'!M:M, "&gt;0")&gt;0,_xlfn.MAXIFS('Raw Period DMR Data'!M:M,'Raw Period DMR Data'!$A:$A,'Raw Annual DMR Data'!B377,'Raw Period DMR Data'!C:C,'Raw Annual DMR Data'!X377), "N/A - Period DMR Data Not Available")</f>
        <v>N/A - Period DMR Data Not Available</v>
      </c>
      <c r="V377" s="28" t="str" cm="1">
        <f t="array" ref="V377">IFERROR(INDEX('Raw Period DMR Data'!N:N,MATCH(1,(B377='Raw Period DMR Data'!$A:$A)*(U377='Raw Period DMR Data'!M:M)*(X377='Raw Period DMR Data'!C:C),0),1), "N/A")</f>
        <v>N/A</v>
      </c>
      <c r="W377" s="28" t="s">
        <v>1463</v>
      </c>
      <c r="X377" s="28" t="s">
        <v>845</v>
      </c>
      <c r="Y377" s="28" t="s">
        <v>846</v>
      </c>
      <c r="Z377" s="28">
        <v>18100204011431</v>
      </c>
      <c r="AA377" s="28"/>
      <c r="AB377" s="28" t="s">
        <v>1465</v>
      </c>
      <c r="AC377" s="28" t="s">
        <v>1466</v>
      </c>
    </row>
    <row r="378" spans="1:29" x14ac:dyDescent="0.25">
      <c r="A378" s="61">
        <v>110002672484</v>
      </c>
      <c r="B378" s="28">
        <v>2019</v>
      </c>
      <c r="C378" s="68">
        <f t="shared" si="5"/>
        <v>43466</v>
      </c>
      <c r="D378" s="28" t="s">
        <v>140</v>
      </c>
      <c r="E378" s="28" t="s">
        <v>456</v>
      </c>
      <c r="F378" s="28" t="s">
        <v>457</v>
      </c>
      <c r="G378" s="28" t="s">
        <v>366</v>
      </c>
      <c r="H378" s="28">
        <v>92243</v>
      </c>
      <c r="I378" s="28">
        <v>32.802199999999999</v>
      </c>
      <c r="J378" s="28">
        <v>-115.54</v>
      </c>
      <c r="L378" s="61">
        <v>110002672484</v>
      </c>
      <c r="M378" s="28" t="s">
        <v>265</v>
      </c>
      <c r="N378" s="28">
        <v>921</v>
      </c>
      <c r="O378" s="28" t="str">
        <f>IFERROR(VLOOKUP(N378, 'SIC &amp; NAICS Codes'!A:B, 2, FALSE), "")</f>
        <v>Fish Hatcheries and Preserves (finfish hatcheries)</v>
      </c>
      <c r="S378" s="28">
        <v>4.1031292500000004E-3</v>
      </c>
      <c r="T378" s="315">
        <f>_xlfn.MAXIFS('Raw Period DMR Data'!$O:$O,'Raw Period DMR Data'!$A:$A,'Raw Annual DMR Data'!B378,'Raw Period DMR Data'!$C:$C,X378)/S378</f>
        <v>0</v>
      </c>
      <c r="U378" s="28" t="str">
        <f>+IF(COUNTIFS('Raw Period DMR Data'!$A:$A,B378, 'Raw Period DMR Data'!C:C,'Raw Annual DMR Data'!X378, 'Raw Period DMR Data'!M:M, "&gt;0")&gt;0,_xlfn.MAXIFS('Raw Period DMR Data'!M:M,'Raw Period DMR Data'!$A:$A,'Raw Annual DMR Data'!B378,'Raw Period DMR Data'!C:C,'Raw Annual DMR Data'!X378), "N/A - Period DMR Data Not Available")</f>
        <v>N/A - Period DMR Data Not Available</v>
      </c>
      <c r="V378" s="28" t="str" cm="1">
        <f t="array" ref="V378">IFERROR(INDEX('Raw Period DMR Data'!N:N,MATCH(1,(B378='Raw Period DMR Data'!$A:$A)*(U378='Raw Period DMR Data'!M:M)*(X378='Raw Period DMR Data'!C:C),0),1), "N/A")</f>
        <v>N/A</v>
      </c>
      <c r="W378" s="28" t="s">
        <v>1463</v>
      </c>
      <c r="X378" s="28" t="s">
        <v>845</v>
      </c>
      <c r="Y378" s="28" t="s">
        <v>846</v>
      </c>
      <c r="Z378" s="28">
        <v>18100204011431</v>
      </c>
      <c r="AA378" s="28"/>
      <c r="AB378" s="28" t="s">
        <v>1465</v>
      </c>
      <c r="AC378" s="28" t="s">
        <v>1466</v>
      </c>
    </row>
    <row r="379" spans="1:29" x14ac:dyDescent="0.25">
      <c r="A379" s="61">
        <v>110002672484</v>
      </c>
      <c r="B379" s="28">
        <v>2020</v>
      </c>
      <c r="C379" s="68">
        <f t="shared" si="5"/>
        <v>43831</v>
      </c>
      <c r="D379" s="28" t="s">
        <v>140</v>
      </c>
      <c r="E379" s="28" t="s">
        <v>456</v>
      </c>
      <c r="F379" s="28" t="s">
        <v>457</v>
      </c>
      <c r="G379" s="28" t="s">
        <v>366</v>
      </c>
      <c r="H379" s="28">
        <v>92243</v>
      </c>
      <c r="I379" s="28">
        <v>32.802199999999999</v>
      </c>
      <c r="J379" s="28">
        <v>-115.54</v>
      </c>
      <c r="L379" s="61">
        <v>110002672484</v>
      </c>
      <c r="M379" s="28" t="s">
        <v>265</v>
      </c>
      <c r="N379" s="28">
        <v>921</v>
      </c>
      <c r="O379" s="28" t="str">
        <f>IFERROR(VLOOKUP(N379, 'SIC &amp; NAICS Codes'!A:B, 2, FALSE), "")</f>
        <v>Fish Hatcheries and Preserves (finfish hatcheries)</v>
      </c>
      <c r="S379" s="28">
        <v>2.659435625E-3</v>
      </c>
      <c r="T379" s="315">
        <f>_xlfn.MAXIFS('Raw Period DMR Data'!$O:$O,'Raw Period DMR Data'!$A:$A,'Raw Annual DMR Data'!B379,'Raw Period DMR Data'!$C:$C,X379)/S379</f>
        <v>0</v>
      </c>
      <c r="U379" s="28" t="str">
        <f>+IF(COUNTIFS('Raw Period DMR Data'!$A:$A,B379, 'Raw Period DMR Data'!C:C,'Raw Annual DMR Data'!X379, 'Raw Period DMR Data'!M:M, "&gt;0")&gt;0,_xlfn.MAXIFS('Raw Period DMR Data'!M:M,'Raw Period DMR Data'!$A:$A,'Raw Annual DMR Data'!B379,'Raw Period DMR Data'!C:C,'Raw Annual DMR Data'!X379), "N/A - Period DMR Data Not Available")</f>
        <v>N/A - Period DMR Data Not Available</v>
      </c>
      <c r="V379" s="28" t="str" cm="1">
        <f t="array" ref="V379">IFERROR(INDEX('Raw Period DMR Data'!N:N,MATCH(1,(B379='Raw Period DMR Data'!$A:$A)*(U379='Raw Period DMR Data'!M:M)*(X379='Raw Period DMR Data'!C:C),0),1), "N/A")</f>
        <v>N/A</v>
      </c>
      <c r="W379" s="28" t="s">
        <v>1463</v>
      </c>
      <c r="X379" s="28" t="s">
        <v>845</v>
      </c>
      <c r="Y379" s="28" t="s">
        <v>846</v>
      </c>
      <c r="Z379" s="28">
        <v>18100204011431</v>
      </c>
      <c r="AA379" s="28"/>
      <c r="AB379" s="28" t="s">
        <v>1465</v>
      </c>
      <c r="AC379" s="28" t="s">
        <v>1466</v>
      </c>
    </row>
    <row r="380" spans="1:29" x14ac:dyDescent="0.25">
      <c r="A380" s="61">
        <v>110001103939</v>
      </c>
      <c r="B380" s="28">
        <v>2016</v>
      </c>
      <c r="C380" s="68">
        <f t="shared" si="5"/>
        <v>42370</v>
      </c>
      <c r="D380" s="28" t="s">
        <v>1091</v>
      </c>
      <c r="E380" s="28" t="s">
        <v>1708</v>
      </c>
      <c r="F380" s="28" t="s">
        <v>1092</v>
      </c>
      <c r="G380" s="28" t="s">
        <v>366</v>
      </c>
      <c r="H380" s="28">
        <v>95762</v>
      </c>
      <c r="I380" s="28">
        <v>38.63597</v>
      </c>
      <c r="J380" s="28">
        <v>-121.06135999999999</v>
      </c>
      <c r="L380" s="61">
        <v>110001103939</v>
      </c>
      <c r="M380" s="28" t="s">
        <v>263</v>
      </c>
      <c r="N380" s="28">
        <v>4952</v>
      </c>
      <c r="O380" s="28" t="str">
        <f>IFERROR(VLOOKUP(N380, 'SIC &amp; NAICS Codes'!A:B, 2, FALSE), "")</f>
        <v>Sewerage Systems</v>
      </c>
      <c r="S380" s="28">
        <v>0.39458625000000003</v>
      </c>
      <c r="T380" s="315">
        <f>_xlfn.MAXIFS('Raw Period DMR Data'!$O:$O,'Raw Period DMR Data'!$A:$A,'Raw Annual DMR Data'!B380,'Raw Period DMR Data'!$C:$C,X380)/S380</f>
        <v>0</v>
      </c>
      <c r="U380" s="28" t="str">
        <f>+IF(COUNTIFS('Raw Period DMR Data'!$A:$A,B380, 'Raw Period DMR Data'!C:C,'Raw Annual DMR Data'!X380, 'Raw Period DMR Data'!M:M, "&gt;0")&gt;0,_xlfn.MAXIFS('Raw Period DMR Data'!M:M,'Raw Period DMR Data'!$A:$A,'Raw Annual DMR Data'!B380,'Raw Period DMR Data'!C:C,'Raw Annual DMR Data'!X380), "N/A - Period DMR Data Not Available")</f>
        <v>N/A - Period DMR Data Not Available</v>
      </c>
      <c r="V380" s="28" t="str" cm="1">
        <f t="array" ref="V380">IFERROR(INDEX('Raw Period DMR Data'!N:N,MATCH(1,(B380='Raw Period DMR Data'!$A:$A)*(U380='Raw Period DMR Data'!M:M)*(X380='Raw Period DMR Data'!C:C),0),1), "N/A")</f>
        <v>N/A</v>
      </c>
      <c r="W380" s="28" t="s">
        <v>1463</v>
      </c>
      <c r="X380" s="28" t="s">
        <v>1709</v>
      </c>
      <c r="Y380" s="28" t="s">
        <v>1710</v>
      </c>
      <c r="Z380" s="28">
        <v>18040013000751</v>
      </c>
      <c r="AA380" s="28"/>
      <c r="AB380" s="28" t="s">
        <v>1465</v>
      </c>
      <c r="AC380" s="28" t="s">
        <v>263</v>
      </c>
    </row>
    <row r="381" spans="1:29" x14ac:dyDescent="0.25">
      <c r="A381" s="61">
        <v>110000730638</v>
      </c>
      <c r="B381" s="28">
        <v>2015</v>
      </c>
      <c r="C381" s="68">
        <f t="shared" si="5"/>
        <v>42005</v>
      </c>
      <c r="D381" s="28" t="s">
        <v>1093</v>
      </c>
      <c r="E381" s="28" t="s">
        <v>1711</v>
      </c>
      <c r="F381" s="28" t="s">
        <v>1094</v>
      </c>
      <c r="G381" s="28" t="s">
        <v>366</v>
      </c>
      <c r="H381" s="28" t="s">
        <v>1712</v>
      </c>
      <c r="I381" s="28">
        <v>34.418880000000001</v>
      </c>
      <c r="J381" s="28">
        <v>-119.68471</v>
      </c>
      <c r="L381" s="61">
        <v>110000730638</v>
      </c>
      <c r="M381" s="28" t="s">
        <v>263</v>
      </c>
      <c r="N381" s="28">
        <v>4952</v>
      </c>
      <c r="O381" s="28" t="str">
        <f>IFERROR(VLOOKUP(N381, 'SIC &amp; NAICS Codes'!A:B, 2, FALSE), "")</f>
        <v>Sewerage Systems</v>
      </c>
      <c r="S381" s="28">
        <v>1.863677225</v>
      </c>
      <c r="T381" s="315">
        <f>_xlfn.MAXIFS('Raw Period DMR Data'!$O:$O,'Raw Period DMR Data'!$A:$A,'Raw Annual DMR Data'!B381,'Raw Period DMR Data'!$C:$C,X381)/S381</f>
        <v>0</v>
      </c>
      <c r="U381" s="28" t="str">
        <f>+IF(COUNTIFS('Raw Period DMR Data'!$A:$A,B381, 'Raw Period DMR Data'!C:C,'Raw Annual DMR Data'!X381, 'Raw Period DMR Data'!M:M, "&gt;0")&gt;0,_xlfn.MAXIFS('Raw Period DMR Data'!M:M,'Raw Period DMR Data'!$A:$A,'Raw Annual DMR Data'!B381,'Raw Period DMR Data'!C:C,'Raw Annual DMR Data'!X381), "N/A - Period DMR Data Not Available")</f>
        <v>N/A - Period DMR Data Not Available</v>
      </c>
      <c r="V381" s="28" t="str" cm="1">
        <f t="array" ref="V381">IFERROR(INDEX('Raw Period DMR Data'!N:N,MATCH(1,(B381='Raw Period DMR Data'!$A:$A)*(U381='Raw Period DMR Data'!M:M)*(X381='Raw Period DMR Data'!C:C),0),1), "N/A")</f>
        <v>N/A</v>
      </c>
      <c r="W381" s="28" t="s">
        <v>1463</v>
      </c>
      <c r="X381" s="28" t="s">
        <v>1713</v>
      </c>
      <c r="Y381" s="28" t="s">
        <v>926</v>
      </c>
      <c r="Z381" s="28">
        <v>18060013000019</v>
      </c>
      <c r="AA381" s="28"/>
      <c r="AB381" s="28" t="s">
        <v>1465</v>
      </c>
      <c r="AC381" s="28" t="s">
        <v>263</v>
      </c>
    </row>
    <row r="382" spans="1:29" x14ac:dyDescent="0.25">
      <c r="A382" s="61">
        <v>110000730638</v>
      </c>
      <c r="B382" s="28">
        <v>2016</v>
      </c>
      <c r="C382" s="68">
        <f t="shared" si="5"/>
        <v>42370</v>
      </c>
      <c r="D382" s="28" t="s">
        <v>1093</v>
      </c>
      <c r="E382" s="28" t="s">
        <v>1711</v>
      </c>
      <c r="F382" s="28" t="s">
        <v>1094</v>
      </c>
      <c r="G382" s="28" t="s">
        <v>366</v>
      </c>
      <c r="H382" s="28" t="s">
        <v>1712</v>
      </c>
      <c r="I382" s="28">
        <v>34.418880000000001</v>
      </c>
      <c r="J382" s="28">
        <v>-119.68471</v>
      </c>
      <c r="L382" s="61">
        <v>110000730638</v>
      </c>
      <c r="M382" s="28" t="s">
        <v>263</v>
      </c>
      <c r="N382" s="28">
        <v>4952</v>
      </c>
      <c r="O382" s="28" t="str">
        <f>IFERROR(VLOOKUP(N382, 'SIC &amp; NAICS Codes'!A:B, 2, FALSE), "")</f>
        <v>Sewerage Systems</v>
      </c>
      <c r="S382" s="28">
        <v>1.866440275</v>
      </c>
      <c r="T382" s="315">
        <f>_xlfn.MAXIFS('Raw Period DMR Data'!$O:$O,'Raw Period DMR Data'!$A:$A,'Raw Annual DMR Data'!B382,'Raw Period DMR Data'!$C:$C,X382)/S382</f>
        <v>0</v>
      </c>
      <c r="U382" s="28" t="str">
        <f>+IF(COUNTIFS('Raw Period DMR Data'!$A:$A,B382, 'Raw Period DMR Data'!C:C,'Raw Annual DMR Data'!X382, 'Raw Period DMR Data'!M:M, "&gt;0")&gt;0,_xlfn.MAXIFS('Raw Period DMR Data'!M:M,'Raw Period DMR Data'!$A:$A,'Raw Annual DMR Data'!B382,'Raw Period DMR Data'!C:C,'Raw Annual DMR Data'!X382), "N/A - Period DMR Data Not Available")</f>
        <v>N/A - Period DMR Data Not Available</v>
      </c>
      <c r="V382" s="28" t="str" cm="1">
        <f t="array" ref="V382">IFERROR(INDEX('Raw Period DMR Data'!N:N,MATCH(1,(B382='Raw Period DMR Data'!$A:$A)*(U382='Raw Period DMR Data'!M:M)*(X382='Raw Period DMR Data'!C:C),0),1), "N/A")</f>
        <v>N/A</v>
      </c>
      <c r="W382" s="28" t="s">
        <v>1463</v>
      </c>
      <c r="X382" s="28" t="s">
        <v>1713</v>
      </c>
      <c r="Y382" s="28" t="s">
        <v>926</v>
      </c>
      <c r="Z382" s="28">
        <v>18060013000019</v>
      </c>
      <c r="AA382" s="28"/>
      <c r="AB382" s="28" t="s">
        <v>1465</v>
      </c>
      <c r="AC382" s="28" t="s">
        <v>263</v>
      </c>
    </row>
    <row r="383" spans="1:29" x14ac:dyDescent="0.25">
      <c r="A383" s="61">
        <v>110001929904</v>
      </c>
      <c r="B383" s="28">
        <v>2015</v>
      </c>
      <c r="C383" s="68">
        <f t="shared" si="5"/>
        <v>42005</v>
      </c>
      <c r="D383" s="28" t="s">
        <v>141</v>
      </c>
      <c r="E383" s="28" t="s">
        <v>459</v>
      </c>
      <c r="F383" s="28" t="s">
        <v>460</v>
      </c>
      <c r="G383" s="28" t="s">
        <v>311</v>
      </c>
      <c r="H383" s="28" t="s">
        <v>461</v>
      </c>
      <c r="I383" s="28">
        <v>38.360185999999999</v>
      </c>
      <c r="J383" s="28">
        <v>-81.661257000000006</v>
      </c>
      <c r="L383" s="61">
        <v>110001929904</v>
      </c>
      <c r="M383" s="28" t="s">
        <v>254</v>
      </c>
      <c r="N383" s="28">
        <v>2899</v>
      </c>
      <c r="O383" s="28" t="str">
        <f>IFERROR(VLOOKUP(N383, 'SIC &amp; NAICS Codes'!A:B, 2, FALSE), "")</f>
        <v>Chemicals and Chemical Preparations, NEC (table salt)</v>
      </c>
      <c r="S383" s="28">
        <v>0.109478458049886</v>
      </c>
      <c r="T383" s="315">
        <f>_xlfn.MAXIFS('Raw Period DMR Data'!$O:$O,'Raw Period DMR Data'!$A:$A,'Raw Annual DMR Data'!B383,'Raw Period DMR Data'!$C:$C,X383)/S383</f>
        <v>0</v>
      </c>
      <c r="U383" s="28" t="str">
        <f>+IF(COUNTIFS('Raw Period DMR Data'!$A:$A,B383, 'Raw Period DMR Data'!C:C,'Raw Annual DMR Data'!X383, 'Raw Period DMR Data'!M:M, "&gt;0")&gt;0,_xlfn.MAXIFS('Raw Period DMR Data'!M:M,'Raw Period DMR Data'!$A:$A,'Raw Annual DMR Data'!B383,'Raw Period DMR Data'!C:C,'Raw Annual DMR Data'!X383), "N/A - Period DMR Data Not Available")</f>
        <v>N/A - Period DMR Data Not Available</v>
      </c>
      <c r="V383" s="28" t="str" cm="1">
        <f t="array" ref="V383">IFERROR(INDEX('Raw Period DMR Data'!N:N,MATCH(1,(B383='Raw Period DMR Data'!$A:$A)*(U383='Raw Period DMR Data'!M:M)*(X383='Raw Period DMR Data'!C:C),0),1), "N/A")</f>
        <v>N/A</v>
      </c>
      <c r="W383" s="28" t="s">
        <v>1463</v>
      </c>
      <c r="X383" s="28" t="s">
        <v>847</v>
      </c>
      <c r="Y383" s="28" t="s">
        <v>771</v>
      </c>
      <c r="Z383" s="61">
        <v>5050008000062</v>
      </c>
    </row>
    <row r="384" spans="1:29" x14ac:dyDescent="0.25">
      <c r="A384" s="61">
        <v>110001929904</v>
      </c>
      <c r="B384" s="28">
        <v>2016</v>
      </c>
      <c r="C384" s="68">
        <f t="shared" si="5"/>
        <v>42370</v>
      </c>
      <c r="D384" s="28" t="s">
        <v>141</v>
      </c>
      <c r="E384" s="28" t="s">
        <v>459</v>
      </c>
      <c r="F384" s="28" t="s">
        <v>460</v>
      </c>
      <c r="G384" s="28" t="s">
        <v>311</v>
      </c>
      <c r="H384" s="28" t="s">
        <v>461</v>
      </c>
      <c r="I384" s="28">
        <v>38.360185999999999</v>
      </c>
      <c r="J384" s="28">
        <v>-81.661257000000006</v>
      </c>
      <c r="L384" s="61">
        <v>110001929904</v>
      </c>
      <c r="M384" s="28" t="s">
        <v>254</v>
      </c>
      <c r="N384" s="28">
        <v>2899</v>
      </c>
      <c r="O384" s="28" t="str">
        <f>IFERROR(VLOOKUP(N384, 'SIC &amp; NAICS Codes'!A:B, 2, FALSE), "")</f>
        <v>Chemicals and Chemical Preparations, NEC (table salt)</v>
      </c>
      <c r="S384" s="28">
        <v>0.209818594104308</v>
      </c>
      <c r="T384" s="315">
        <f>_xlfn.MAXIFS('Raw Period DMR Data'!$O:$O,'Raw Period DMR Data'!$A:$A,'Raw Annual DMR Data'!B384,'Raw Period DMR Data'!$C:$C,X384)/S384</f>
        <v>0</v>
      </c>
      <c r="U384" s="28" t="str">
        <f>+IF(COUNTIFS('Raw Period DMR Data'!$A:$A,B384, 'Raw Period DMR Data'!C:C,'Raw Annual DMR Data'!X384, 'Raw Period DMR Data'!M:M, "&gt;0")&gt;0,_xlfn.MAXIFS('Raw Period DMR Data'!M:M,'Raw Period DMR Data'!$A:$A,'Raw Annual DMR Data'!B384,'Raw Period DMR Data'!C:C,'Raw Annual DMR Data'!X384), "N/A - Period DMR Data Not Available")</f>
        <v>N/A - Period DMR Data Not Available</v>
      </c>
      <c r="V384" s="28" t="str" cm="1">
        <f t="array" ref="V384">IFERROR(INDEX('Raw Period DMR Data'!N:N,MATCH(1,(B384='Raw Period DMR Data'!$A:$A)*(U384='Raw Period DMR Data'!M:M)*(X384='Raw Period DMR Data'!C:C),0),1), "N/A")</f>
        <v>N/A</v>
      </c>
      <c r="W384" s="28" t="s">
        <v>1463</v>
      </c>
      <c r="X384" s="28" t="s">
        <v>847</v>
      </c>
      <c r="Y384" s="28" t="s">
        <v>771</v>
      </c>
      <c r="Z384" s="61">
        <v>5050008000062</v>
      </c>
      <c r="AA384" s="28"/>
    </row>
    <row r="385" spans="1:29" x14ac:dyDescent="0.25">
      <c r="A385" s="61">
        <v>110001929904</v>
      </c>
      <c r="B385" s="28">
        <v>2017</v>
      </c>
      <c r="C385" s="68">
        <f t="shared" si="5"/>
        <v>42736</v>
      </c>
      <c r="D385" s="28" t="s">
        <v>141</v>
      </c>
      <c r="E385" s="28" t="s">
        <v>459</v>
      </c>
      <c r="F385" s="28" t="s">
        <v>460</v>
      </c>
      <c r="G385" s="28" t="s">
        <v>311</v>
      </c>
      <c r="H385" s="28" t="s">
        <v>461</v>
      </c>
      <c r="I385" s="28">
        <v>38.360185999999999</v>
      </c>
      <c r="J385" s="28">
        <v>-81.661257000000006</v>
      </c>
      <c r="L385" s="61">
        <v>110001929904</v>
      </c>
      <c r="M385" s="28" t="s">
        <v>254</v>
      </c>
      <c r="N385" s="28">
        <v>2899</v>
      </c>
      <c r="O385" s="28" t="str">
        <f>IFERROR(VLOOKUP(N385, 'SIC &amp; NAICS Codes'!A:B, 2, FALSE), "")</f>
        <v>Chemicals and Chemical Preparations, NEC (table salt)</v>
      </c>
      <c r="S385" s="28">
        <v>0.267120181405895</v>
      </c>
      <c r="T385" s="315">
        <f>_xlfn.MAXIFS('Raw Period DMR Data'!$O:$O,'Raw Period DMR Data'!$A:$A,'Raw Annual DMR Data'!B385,'Raw Period DMR Data'!$C:$C,X385)/S385</f>
        <v>0</v>
      </c>
      <c r="U385" s="28" t="str">
        <f>+IF(COUNTIFS('Raw Period DMR Data'!$A:$A,B385, 'Raw Period DMR Data'!C:C,'Raw Annual DMR Data'!X385, 'Raw Period DMR Data'!M:M, "&gt;0")&gt;0,_xlfn.MAXIFS('Raw Period DMR Data'!M:M,'Raw Period DMR Data'!$A:$A,'Raw Annual DMR Data'!B385,'Raw Period DMR Data'!C:C,'Raw Annual DMR Data'!X385), "N/A - Period DMR Data Not Available")</f>
        <v>N/A - Period DMR Data Not Available</v>
      </c>
      <c r="V385" s="28" t="str" cm="1">
        <f t="array" ref="V385">IFERROR(INDEX('Raw Period DMR Data'!N:N,MATCH(1,(B385='Raw Period DMR Data'!$A:$A)*(U385='Raw Period DMR Data'!M:M)*(X385='Raw Period DMR Data'!C:C),0),1), "N/A")</f>
        <v>N/A</v>
      </c>
      <c r="W385" s="28" t="s">
        <v>1463</v>
      </c>
      <c r="X385" s="28" t="s">
        <v>847</v>
      </c>
      <c r="Y385" s="28" t="s">
        <v>771</v>
      </c>
      <c r="Z385" s="61">
        <v>5050008000062</v>
      </c>
      <c r="AA385" s="28"/>
    </row>
    <row r="386" spans="1:29" x14ac:dyDescent="0.25">
      <c r="A386" s="61">
        <v>110001929904</v>
      </c>
      <c r="B386" s="28">
        <v>2018</v>
      </c>
      <c r="C386" s="68">
        <f t="shared" si="5"/>
        <v>43101</v>
      </c>
      <c r="D386" s="28" t="s">
        <v>141</v>
      </c>
      <c r="E386" s="28" t="s">
        <v>459</v>
      </c>
      <c r="F386" s="28" t="s">
        <v>460</v>
      </c>
      <c r="G386" s="28" t="s">
        <v>311</v>
      </c>
      <c r="H386" s="28" t="s">
        <v>461</v>
      </c>
      <c r="I386" s="28">
        <v>38.360185999999999</v>
      </c>
      <c r="J386" s="28">
        <v>-81.661257000000006</v>
      </c>
      <c r="L386" s="61">
        <v>110001929904</v>
      </c>
      <c r="M386" s="28" t="s">
        <v>254</v>
      </c>
      <c r="N386" s="28">
        <v>2899</v>
      </c>
      <c r="O386" s="28" t="str">
        <f>IFERROR(VLOOKUP(N386, 'SIC &amp; NAICS Codes'!A:B, 2, FALSE), "")</f>
        <v>Chemicals and Chemical Preparations, NEC (table salt)</v>
      </c>
      <c r="S386" s="28">
        <v>0.219319727891156</v>
      </c>
      <c r="T386" s="315">
        <f>_xlfn.MAXIFS('Raw Period DMR Data'!$O:$O,'Raw Period DMR Data'!$A:$A,'Raw Annual DMR Data'!B386,'Raw Period DMR Data'!$C:$C,X386)/S386</f>
        <v>0</v>
      </c>
      <c r="U386" s="28" t="str">
        <f>+IF(COUNTIFS('Raw Period DMR Data'!$A:$A,B386, 'Raw Period DMR Data'!C:C,'Raw Annual DMR Data'!X386, 'Raw Period DMR Data'!M:M, "&gt;0")&gt;0,_xlfn.MAXIFS('Raw Period DMR Data'!M:M,'Raw Period DMR Data'!$A:$A,'Raw Annual DMR Data'!B386,'Raw Period DMR Data'!C:C,'Raw Annual DMR Data'!X386), "N/A - Period DMR Data Not Available")</f>
        <v>N/A - Period DMR Data Not Available</v>
      </c>
      <c r="V386" s="28" t="str" cm="1">
        <f t="array" ref="V386">IFERROR(INDEX('Raw Period DMR Data'!N:N,MATCH(1,(B386='Raw Period DMR Data'!$A:$A)*(U386='Raw Period DMR Data'!M:M)*(X386='Raw Period DMR Data'!C:C),0),1), "N/A")</f>
        <v>N/A</v>
      </c>
      <c r="W386" s="28" t="s">
        <v>1463</v>
      </c>
      <c r="X386" s="28" t="s">
        <v>847</v>
      </c>
      <c r="Y386" s="28" t="s">
        <v>771</v>
      </c>
      <c r="Z386" s="61">
        <v>5050008000062</v>
      </c>
    </row>
    <row r="387" spans="1:29" x14ac:dyDescent="0.25">
      <c r="A387" s="61">
        <v>110000737365</v>
      </c>
      <c r="B387" s="28">
        <v>2015</v>
      </c>
      <c r="C387" s="68">
        <f t="shared" ref="C387:C450" si="6">DATE(B387, 1, 1)</f>
        <v>42005</v>
      </c>
      <c r="D387" s="28" t="s">
        <v>1095</v>
      </c>
      <c r="E387" s="28" t="s">
        <v>1714</v>
      </c>
      <c r="F387" s="28" t="s">
        <v>1096</v>
      </c>
      <c r="G387" s="28" t="s">
        <v>450</v>
      </c>
      <c r="H387" s="28">
        <v>14132</v>
      </c>
      <c r="I387" s="28">
        <v>43.129750000000001</v>
      </c>
      <c r="J387" s="28">
        <v>-78.939679999999996</v>
      </c>
      <c r="L387" s="61">
        <v>110000737365</v>
      </c>
      <c r="M387" s="28" t="s">
        <v>265</v>
      </c>
      <c r="N387" s="28">
        <v>9511</v>
      </c>
      <c r="O387" s="28" t="str">
        <f>IFERROR(VLOOKUP(N387, 'SIC &amp; NAICS Codes'!A:B, 2, FALSE), "")</f>
        <v>Air and Water Resource and Solid Waste Management</v>
      </c>
      <c r="S387" s="28">
        <v>0.225638516874999</v>
      </c>
      <c r="T387" s="315">
        <f>_xlfn.MAXIFS('Raw Period DMR Data'!$O:$O,'Raw Period DMR Data'!$A:$A,'Raw Annual DMR Data'!B387,'Raw Period DMR Data'!$C:$C,X387)/S387</f>
        <v>0</v>
      </c>
      <c r="U387" s="28" t="str">
        <f>+IF(COUNTIFS('Raw Period DMR Data'!$A:$A,B387, 'Raw Period DMR Data'!C:C,'Raw Annual DMR Data'!X387, 'Raw Period DMR Data'!M:M, "&gt;0")&gt;0,_xlfn.MAXIFS('Raw Period DMR Data'!M:M,'Raw Period DMR Data'!$A:$A,'Raw Annual DMR Data'!B387,'Raw Period DMR Data'!C:C,'Raw Annual DMR Data'!X387), "N/A - Period DMR Data Not Available")</f>
        <v>N/A - Period DMR Data Not Available</v>
      </c>
      <c r="V387" s="28" t="str" cm="1">
        <f t="array" ref="V387">IFERROR(INDEX('Raw Period DMR Data'!N:N,MATCH(1,(B387='Raw Period DMR Data'!$A:$A)*(U387='Raw Period DMR Data'!M:M)*(X387='Raw Period DMR Data'!C:C),0),1), "N/A")</f>
        <v>N/A</v>
      </c>
      <c r="W387" s="28" t="s">
        <v>1463</v>
      </c>
      <c r="X387" s="28" t="s">
        <v>1715</v>
      </c>
      <c r="Y387" s="28" t="s">
        <v>1716</v>
      </c>
      <c r="Z387" s="28">
        <v>4120104000390</v>
      </c>
      <c r="AA387" s="28"/>
      <c r="AB387" s="28" t="s">
        <v>1465</v>
      </c>
      <c r="AC387" s="28" t="s">
        <v>1466</v>
      </c>
    </row>
    <row r="388" spans="1:29" x14ac:dyDescent="0.25">
      <c r="A388" s="61">
        <v>110000737365</v>
      </c>
      <c r="B388" s="28">
        <v>2016</v>
      </c>
      <c r="C388" s="68">
        <f t="shared" si="6"/>
        <v>42370</v>
      </c>
      <c r="D388" s="28" t="s">
        <v>1095</v>
      </c>
      <c r="E388" s="28" t="s">
        <v>1714</v>
      </c>
      <c r="F388" s="28" t="s">
        <v>1096</v>
      </c>
      <c r="G388" s="28" t="s">
        <v>450</v>
      </c>
      <c r="H388" s="28">
        <v>14132</v>
      </c>
      <c r="I388" s="28">
        <v>43.129750000000001</v>
      </c>
      <c r="J388" s="28">
        <v>-78.939679999999996</v>
      </c>
      <c r="L388" s="61">
        <v>110000737365</v>
      </c>
      <c r="M388" s="28" t="s">
        <v>265</v>
      </c>
      <c r="N388" s="28">
        <v>9511</v>
      </c>
      <c r="O388" s="28" t="str">
        <f>IFERROR(VLOOKUP(N388, 'SIC &amp; NAICS Codes'!A:B, 2, FALSE), "")</f>
        <v>Air and Water Resource and Solid Waste Management</v>
      </c>
      <c r="S388" s="28">
        <v>0.220183565412499</v>
      </c>
      <c r="T388" s="315">
        <f>_xlfn.MAXIFS('Raw Period DMR Data'!$O:$O,'Raw Period DMR Data'!$A:$A,'Raw Annual DMR Data'!B388,'Raw Period DMR Data'!$C:$C,X388)/S388</f>
        <v>0</v>
      </c>
      <c r="U388" s="28" t="str">
        <f>+IF(COUNTIFS('Raw Period DMR Data'!$A:$A,B388, 'Raw Period DMR Data'!C:C,'Raw Annual DMR Data'!X388, 'Raw Period DMR Data'!M:M, "&gt;0")&gt;0,_xlfn.MAXIFS('Raw Period DMR Data'!M:M,'Raw Period DMR Data'!$A:$A,'Raw Annual DMR Data'!B388,'Raw Period DMR Data'!C:C,'Raw Annual DMR Data'!X388), "N/A - Period DMR Data Not Available")</f>
        <v>N/A - Period DMR Data Not Available</v>
      </c>
      <c r="V388" s="28" t="str" cm="1">
        <f t="array" ref="V388">IFERROR(INDEX('Raw Period DMR Data'!N:N,MATCH(1,(B388='Raw Period DMR Data'!$A:$A)*(U388='Raw Period DMR Data'!M:M)*(X388='Raw Period DMR Data'!C:C),0),1), "N/A")</f>
        <v>N/A</v>
      </c>
      <c r="W388" s="28" t="s">
        <v>1463</v>
      </c>
      <c r="X388" s="28" t="s">
        <v>1715</v>
      </c>
      <c r="Y388" s="28" t="s">
        <v>1716</v>
      </c>
      <c r="Z388" s="28">
        <v>4120104000390</v>
      </c>
      <c r="AA388" s="28"/>
      <c r="AB388" s="28" t="s">
        <v>1465</v>
      </c>
      <c r="AC388" s="28" t="s">
        <v>1466</v>
      </c>
    </row>
    <row r="389" spans="1:29" x14ac:dyDescent="0.25">
      <c r="A389" s="61">
        <v>110000737365</v>
      </c>
      <c r="B389" s="28">
        <v>2017</v>
      </c>
      <c r="C389" s="68">
        <f t="shared" si="6"/>
        <v>42736</v>
      </c>
      <c r="D389" s="28" t="s">
        <v>1095</v>
      </c>
      <c r="E389" s="28" t="s">
        <v>1714</v>
      </c>
      <c r="F389" s="28" t="s">
        <v>1096</v>
      </c>
      <c r="G389" s="28" t="s">
        <v>450</v>
      </c>
      <c r="H389" s="28">
        <v>14132</v>
      </c>
      <c r="I389" s="28">
        <v>43.129750000000001</v>
      </c>
      <c r="J389" s="28">
        <v>-78.939679999999996</v>
      </c>
      <c r="L389" s="61">
        <v>110000737365</v>
      </c>
      <c r="M389" s="28" t="s">
        <v>265</v>
      </c>
      <c r="N389" s="28">
        <v>9511</v>
      </c>
      <c r="O389" s="28" t="str">
        <f>IFERROR(VLOOKUP(N389, 'SIC &amp; NAICS Codes'!A:B, 2, FALSE), "")</f>
        <v>Air and Water Resource and Solid Waste Management</v>
      </c>
      <c r="S389" s="28">
        <v>0.123411616137999</v>
      </c>
      <c r="T389" s="315">
        <f>_xlfn.MAXIFS('Raw Period DMR Data'!$O:$O,'Raw Period DMR Data'!$A:$A,'Raw Annual DMR Data'!B389,'Raw Period DMR Data'!$C:$C,X389)/S389</f>
        <v>0</v>
      </c>
      <c r="U389" s="28" t="str">
        <f>+IF(COUNTIFS('Raw Period DMR Data'!$A:$A,B389, 'Raw Period DMR Data'!C:C,'Raw Annual DMR Data'!X389, 'Raw Period DMR Data'!M:M, "&gt;0")&gt;0,_xlfn.MAXIFS('Raw Period DMR Data'!M:M,'Raw Period DMR Data'!$A:$A,'Raw Annual DMR Data'!B389,'Raw Period DMR Data'!C:C,'Raw Annual DMR Data'!X389), "N/A - Period DMR Data Not Available")</f>
        <v>N/A - Period DMR Data Not Available</v>
      </c>
      <c r="V389" s="28" t="str" cm="1">
        <f t="array" ref="V389">IFERROR(INDEX('Raw Period DMR Data'!N:N,MATCH(1,(B389='Raw Period DMR Data'!$A:$A)*(U389='Raw Period DMR Data'!M:M)*(X389='Raw Period DMR Data'!C:C),0),1), "N/A")</f>
        <v>N/A</v>
      </c>
      <c r="W389" s="28" t="s">
        <v>1463</v>
      </c>
      <c r="X389" s="28" t="s">
        <v>1715</v>
      </c>
      <c r="Y389" s="28" t="s">
        <v>1716</v>
      </c>
      <c r="Z389" s="28">
        <v>4120104000390</v>
      </c>
      <c r="AA389" s="28"/>
      <c r="AB389" s="28" t="s">
        <v>1465</v>
      </c>
      <c r="AC389" s="28" t="s">
        <v>1466</v>
      </c>
    </row>
    <row r="390" spans="1:29" x14ac:dyDescent="0.25">
      <c r="A390" s="61">
        <v>110000737365</v>
      </c>
      <c r="B390" s="28">
        <v>2018</v>
      </c>
      <c r="C390" s="68">
        <f t="shared" si="6"/>
        <v>43101</v>
      </c>
      <c r="D390" s="28" t="s">
        <v>1095</v>
      </c>
      <c r="E390" s="28" t="s">
        <v>1714</v>
      </c>
      <c r="F390" s="28" t="s">
        <v>1096</v>
      </c>
      <c r="G390" s="28" t="s">
        <v>450</v>
      </c>
      <c r="H390" s="28">
        <v>14132</v>
      </c>
      <c r="I390" s="28">
        <v>43.129750000000001</v>
      </c>
      <c r="J390" s="28">
        <v>-78.939679999999996</v>
      </c>
      <c r="L390" s="61">
        <v>110000737365</v>
      </c>
      <c r="M390" s="28" t="s">
        <v>265</v>
      </c>
      <c r="N390" s="28">
        <v>9511</v>
      </c>
      <c r="O390" s="28" t="str">
        <f>IFERROR(VLOOKUP(N390, 'SIC &amp; NAICS Codes'!A:B, 2, FALSE), "")</f>
        <v>Air and Water Resource and Solid Waste Management</v>
      </c>
      <c r="S390" s="302">
        <v>3.1599345322799899E-2</v>
      </c>
      <c r="T390" s="315">
        <f>_xlfn.MAXIFS('Raw Period DMR Data'!$O:$O,'Raw Period DMR Data'!$A:$A,'Raw Annual DMR Data'!B390,'Raw Period DMR Data'!$C:$C,X390)/S390</f>
        <v>0</v>
      </c>
      <c r="U390" s="28" t="str">
        <f>+IF(COUNTIFS('Raw Period DMR Data'!$A:$A,B390, 'Raw Period DMR Data'!C:C,'Raw Annual DMR Data'!X390, 'Raw Period DMR Data'!M:M, "&gt;0")&gt;0,_xlfn.MAXIFS('Raw Period DMR Data'!M:M,'Raw Period DMR Data'!$A:$A,'Raw Annual DMR Data'!B390,'Raw Period DMR Data'!C:C,'Raw Annual DMR Data'!X390), "N/A - Period DMR Data Not Available")</f>
        <v>N/A - Period DMR Data Not Available</v>
      </c>
      <c r="V390" s="28" t="str" cm="1">
        <f t="array" ref="V390">IFERROR(INDEX('Raw Period DMR Data'!N:N,MATCH(1,(B390='Raw Period DMR Data'!$A:$A)*(U390='Raw Period DMR Data'!M:M)*(X390='Raw Period DMR Data'!C:C),0),1), "N/A")</f>
        <v>N/A</v>
      </c>
      <c r="W390" s="28" t="s">
        <v>1463</v>
      </c>
      <c r="X390" s="28" t="s">
        <v>1715</v>
      </c>
      <c r="Y390" s="28" t="s">
        <v>1716</v>
      </c>
      <c r="Z390" s="302" t="s">
        <v>1717</v>
      </c>
      <c r="AA390" s="28"/>
      <c r="AB390" s="28" t="s">
        <v>1465</v>
      </c>
      <c r="AC390" s="28" t="s">
        <v>1466</v>
      </c>
    </row>
    <row r="391" spans="1:29" x14ac:dyDescent="0.25">
      <c r="A391" s="61">
        <v>110000737365</v>
      </c>
      <c r="B391" s="28">
        <v>2019</v>
      </c>
      <c r="C391" s="68">
        <f t="shared" si="6"/>
        <v>43466</v>
      </c>
      <c r="D391" s="28" t="s">
        <v>1095</v>
      </c>
      <c r="E391" s="28" t="s">
        <v>1714</v>
      </c>
      <c r="F391" s="28" t="s">
        <v>1096</v>
      </c>
      <c r="G391" s="28" t="s">
        <v>450</v>
      </c>
      <c r="H391" s="28">
        <v>14132</v>
      </c>
      <c r="I391" s="28">
        <v>43.129750000000001</v>
      </c>
      <c r="J391" s="28">
        <v>-78.939679999999996</v>
      </c>
      <c r="L391" s="61">
        <v>110000737365</v>
      </c>
      <c r="M391" s="28" t="s">
        <v>265</v>
      </c>
      <c r="N391" s="28">
        <v>9511</v>
      </c>
      <c r="O391" s="28" t="str">
        <f>IFERROR(VLOOKUP(N391, 'SIC &amp; NAICS Codes'!A:B, 2, FALSE), "")</f>
        <v>Air and Water Resource and Solid Waste Management</v>
      </c>
      <c r="S391" s="28">
        <v>1.6588352903224898E-2</v>
      </c>
      <c r="T391" s="315">
        <f>_xlfn.MAXIFS('Raw Period DMR Data'!$O:$O,'Raw Period DMR Data'!$A:$A,'Raw Annual DMR Data'!B391,'Raw Period DMR Data'!$C:$C,X391)/S391</f>
        <v>0</v>
      </c>
      <c r="U391" s="28" t="str">
        <f>+IF(COUNTIFS('Raw Period DMR Data'!$A:$A,B391, 'Raw Period DMR Data'!C:C,'Raw Annual DMR Data'!X391, 'Raw Period DMR Data'!M:M, "&gt;0")&gt;0,_xlfn.MAXIFS('Raw Period DMR Data'!M:M,'Raw Period DMR Data'!$A:$A,'Raw Annual DMR Data'!B391,'Raw Period DMR Data'!C:C,'Raw Annual DMR Data'!X391), "N/A - Period DMR Data Not Available")</f>
        <v>N/A - Period DMR Data Not Available</v>
      </c>
      <c r="V391" s="28" t="str" cm="1">
        <f t="array" ref="V391">IFERROR(INDEX('Raw Period DMR Data'!N:N,MATCH(1,(B391='Raw Period DMR Data'!$A:$A)*(U391='Raw Period DMR Data'!M:M)*(X391='Raw Period DMR Data'!C:C),0),1), "N/A")</f>
        <v>N/A</v>
      </c>
      <c r="W391" s="28" t="s">
        <v>1463</v>
      </c>
      <c r="X391" s="28" t="s">
        <v>1715</v>
      </c>
      <c r="Y391" s="28" t="s">
        <v>1716</v>
      </c>
      <c r="Z391" s="28">
        <v>4120104000390</v>
      </c>
      <c r="AA391" s="28"/>
      <c r="AB391" s="28" t="s">
        <v>1465</v>
      </c>
      <c r="AC391" s="28" t="s">
        <v>1466</v>
      </c>
    </row>
    <row r="392" spans="1:29" x14ac:dyDescent="0.25">
      <c r="A392" s="61">
        <v>110000737365</v>
      </c>
      <c r="B392" s="28">
        <v>2020</v>
      </c>
      <c r="C392" s="68">
        <f t="shared" si="6"/>
        <v>43831</v>
      </c>
      <c r="D392" s="28" t="s">
        <v>1095</v>
      </c>
      <c r="E392" s="28" t="s">
        <v>1714</v>
      </c>
      <c r="F392" s="28" t="s">
        <v>1096</v>
      </c>
      <c r="G392" s="28" t="s">
        <v>450</v>
      </c>
      <c r="H392" s="28">
        <v>14132</v>
      </c>
      <c r="I392" s="28">
        <v>43.129750000000001</v>
      </c>
      <c r="J392" s="28">
        <v>-78.939679999999996</v>
      </c>
      <c r="L392" s="61">
        <v>110000737365</v>
      </c>
      <c r="M392" s="28" t="s">
        <v>265</v>
      </c>
      <c r="N392" s="28">
        <v>9511</v>
      </c>
      <c r="O392" s="28" t="str">
        <f>IFERROR(VLOOKUP(N392, 'SIC &amp; NAICS Codes'!A:B, 2, FALSE), "")</f>
        <v>Air and Water Resource and Solid Waste Management</v>
      </c>
      <c r="S392" s="28">
        <v>8.3648012681249908E-3</v>
      </c>
      <c r="T392" s="315">
        <f>_xlfn.MAXIFS('Raw Period DMR Data'!$O:$O,'Raw Period DMR Data'!$A:$A,'Raw Annual DMR Data'!B392,'Raw Period DMR Data'!$C:$C,X392)/S392</f>
        <v>0</v>
      </c>
      <c r="U392" s="28" t="str">
        <f>+IF(COUNTIFS('Raw Period DMR Data'!$A:$A,B392, 'Raw Period DMR Data'!C:C,'Raw Annual DMR Data'!X392, 'Raw Period DMR Data'!M:M, "&gt;0")&gt;0,_xlfn.MAXIFS('Raw Period DMR Data'!M:M,'Raw Period DMR Data'!$A:$A,'Raw Annual DMR Data'!B392,'Raw Period DMR Data'!C:C,'Raw Annual DMR Data'!X392), "N/A - Period DMR Data Not Available")</f>
        <v>N/A - Period DMR Data Not Available</v>
      </c>
      <c r="V392" s="28" t="str" cm="1">
        <f t="array" ref="V392">IFERROR(INDEX('Raw Period DMR Data'!N:N,MATCH(1,(B392='Raw Period DMR Data'!$A:$A)*(U392='Raw Period DMR Data'!M:M)*(X392='Raw Period DMR Data'!C:C),0),1), "N/A")</f>
        <v>N/A</v>
      </c>
      <c r="W392" s="28" t="s">
        <v>1463</v>
      </c>
      <c r="X392" s="28" t="s">
        <v>1715</v>
      </c>
      <c r="Y392" s="28" t="s">
        <v>1716</v>
      </c>
      <c r="Z392" s="28">
        <v>4120104000390</v>
      </c>
      <c r="AA392" s="28"/>
      <c r="AB392" s="28" t="s">
        <v>1465</v>
      </c>
      <c r="AC392" s="28" t="s">
        <v>1466</v>
      </c>
    </row>
    <row r="393" spans="1:29" x14ac:dyDescent="0.25">
      <c r="A393" s="61">
        <v>110000379787</v>
      </c>
      <c r="B393" s="28">
        <v>2015</v>
      </c>
      <c r="C393" s="68">
        <f t="shared" si="6"/>
        <v>42005</v>
      </c>
      <c r="D393" s="28" t="s">
        <v>1097</v>
      </c>
      <c r="E393" s="28" t="s">
        <v>1718</v>
      </c>
      <c r="F393" s="28" t="s">
        <v>1098</v>
      </c>
      <c r="G393" s="28" t="s">
        <v>324</v>
      </c>
      <c r="H393" s="28" t="s">
        <v>1719</v>
      </c>
      <c r="I393" s="28">
        <v>38.643056000000001</v>
      </c>
      <c r="J393" s="28">
        <v>-83.740278000000004</v>
      </c>
      <c r="L393" s="61">
        <v>110000379787</v>
      </c>
      <c r="M393" s="28" t="s">
        <v>265</v>
      </c>
      <c r="N393" s="28">
        <v>3566</v>
      </c>
      <c r="O393" s="28" t="str">
        <f>IFERROR(VLOOKUP(N393, 'SIC &amp; NAICS Codes'!A:B, 2, FALSE), "")</f>
        <v>Speed Changers, Industrial High-Speed Drives, and Gears</v>
      </c>
      <c r="S393" s="28">
        <v>0.11353864499999999</v>
      </c>
      <c r="T393" s="315">
        <f>_xlfn.MAXIFS('Raw Period DMR Data'!$O:$O,'Raw Period DMR Data'!$A:$A,'Raw Annual DMR Data'!B393,'Raw Period DMR Data'!$C:$C,X393)/S393</f>
        <v>0</v>
      </c>
      <c r="U393" s="28" t="str">
        <f>+IF(COUNTIFS('Raw Period DMR Data'!$A:$A,B393, 'Raw Period DMR Data'!C:C,'Raw Annual DMR Data'!X393, 'Raw Period DMR Data'!M:M, "&gt;0")&gt;0,_xlfn.MAXIFS('Raw Period DMR Data'!M:M,'Raw Period DMR Data'!$A:$A,'Raw Annual DMR Data'!B393,'Raw Period DMR Data'!C:C,'Raw Annual DMR Data'!X393), "N/A - Period DMR Data Not Available")</f>
        <v>N/A - Period DMR Data Not Available</v>
      </c>
      <c r="V393" s="28" t="str" cm="1">
        <f t="array" ref="V393">IFERROR(INDEX('Raw Period DMR Data'!N:N,MATCH(1,(B393='Raw Period DMR Data'!$A:$A)*(U393='Raw Period DMR Data'!M:M)*(X393='Raw Period DMR Data'!C:C),0),1), "N/A")</f>
        <v>N/A</v>
      </c>
      <c r="W393" s="28" t="s">
        <v>1463</v>
      </c>
      <c r="X393" s="28" t="s">
        <v>1720</v>
      </c>
      <c r="Y393" s="28" t="s">
        <v>1721</v>
      </c>
      <c r="Z393" s="28">
        <v>5090201002312</v>
      </c>
      <c r="AA393" s="28"/>
      <c r="AB393" s="28" t="s">
        <v>1465</v>
      </c>
      <c r="AC393" s="28" t="s">
        <v>1466</v>
      </c>
    </row>
    <row r="394" spans="1:29" x14ac:dyDescent="0.25">
      <c r="A394" s="61">
        <v>110000379787</v>
      </c>
      <c r="B394" s="28">
        <v>2016</v>
      </c>
      <c r="C394" s="68">
        <f t="shared" si="6"/>
        <v>42370</v>
      </c>
      <c r="D394" s="28" t="s">
        <v>1097</v>
      </c>
      <c r="E394" s="28" t="s">
        <v>1718</v>
      </c>
      <c r="F394" s="28" t="s">
        <v>1098</v>
      </c>
      <c r="G394" s="28" t="s">
        <v>324</v>
      </c>
      <c r="H394" s="28" t="s">
        <v>1719</v>
      </c>
      <c r="I394" s="28">
        <v>38.643056000000001</v>
      </c>
      <c r="J394" s="28">
        <v>-83.740278000000004</v>
      </c>
      <c r="L394" s="61">
        <v>110000379787</v>
      </c>
      <c r="M394" s="28" t="s">
        <v>265</v>
      </c>
      <c r="N394" s="28">
        <v>3566</v>
      </c>
      <c r="O394" s="28" t="str">
        <f>IFERROR(VLOOKUP(N394, 'SIC &amp; NAICS Codes'!A:B, 2, FALSE), "")</f>
        <v>Speed Changers, Industrial High-Speed Drives, and Gears</v>
      </c>
      <c r="S394" s="28">
        <v>0.31024480384615299</v>
      </c>
      <c r="T394" s="315">
        <f>_xlfn.MAXIFS('Raw Period DMR Data'!$O:$O,'Raw Period DMR Data'!$A:$A,'Raw Annual DMR Data'!B394,'Raw Period DMR Data'!$C:$C,X394)/S394</f>
        <v>0</v>
      </c>
      <c r="U394" s="28" t="str">
        <f>+IF(COUNTIFS('Raw Period DMR Data'!$A:$A,B394, 'Raw Period DMR Data'!C:C,'Raw Annual DMR Data'!X394, 'Raw Period DMR Data'!M:M, "&gt;0")&gt;0,_xlfn.MAXIFS('Raw Period DMR Data'!M:M,'Raw Period DMR Data'!$A:$A,'Raw Annual DMR Data'!B394,'Raw Period DMR Data'!C:C,'Raw Annual DMR Data'!X394), "N/A - Period DMR Data Not Available")</f>
        <v>N/A - Period DMR Data Not Available</v>
      </c>
      <c r="V394" s="28" t="str" cm="1">
        <f t="array" ref="V394">IFERROR(INDEX('Raw Period DMR Data'!N:N,MATCH(1,(B394='Raw Period DMR Data'!$A:$A)*(U394='Raw Period DMR Data'!M:M)*(X394='Raw Period DMR Data'!C:C),0),1), "N/A")</f>
        <v>N/A</v>
      </c>
      <c r="W394" s="28" t="s">
        <v>1463</v>
      </c>
      <c r="X394" s="28" t="s">
        <v>1720</v>
      </c>
      <c r="Y394" s="28" t="s">
        <v>1721</v>
      </c>
      <c r="Z394" s="28">
        <v>5090201002312</v>
      </c>
      <c r="AA394" s="28"/>
      <c r="AB394" s="28" t="s">
        <v>1465</v>
      </c>
      <c r="AC394" s="28" t="s">
        <v>1466</v>
      </c>
    </row>
    <row r="395" spans="1:29" x14ac:dyDescent="0.25">
      <c r="A395" s="61">
        <v>110000379787</v>
      </c>
      <c r="B395" s="28">
        <v>2017</v>
      </c>
      <c r="C395" s="68">
        <f t="shared" si="6"/>
        <v>42736</v>
      </c>
      <c r="D395" s="28" t="s">
        <v>1097</v>
      </c>
      <c r="E395" s="28" t="s">
        <v>1718</v>
      </c>
      <c r="F395" s="28" t="s">
        <v>1098</v>
      </c>
      <c r="G395" s="28" t="s">
        <v>324</v>
      </c>
      <c r="H395" s="28" t="s">
        <v>1719</v>
      </c>
      <c r="I395" s="28">
        <v>38.643056000000001</v>
      </c>
      <c r="J395" s="28">
        <v>-83.740278000000004</v>
      </c>
      <c r="L395" s="61">
        <v>110000379787</v>
      </c>
      <c r="M395" s="28" t="s">
        <v>265</v>
      </c>
      <c r="N395" s="28">
        <v>3566</v>
      </c>
      <c r="O395" s="28" t="str">
        <f>IFERROR(VLOOKUP(N395, 'SIC &amp; NAICS Codes'!A:B, 2, FALSE), "")</f>
        <v>Speed Changers, Industrial High-Speed Drives, and Gears</v>
      </c>
      <c r="S395" s="28">
        <v>0.39331827499999999</v>
      </c>
      <c r="T395" s="315">
        <f>_xlfn.MAXIFS('Raw Period DMR Data'!$O:$O,'Raw Period DMR Data'!$A:$A,'Raw Annual DMR Data'!B395,'Raw Period DMR Data'!$C:$C,X395)/S395</f>
        <v>0</v>
      </c>
      <c r="U395" s="28" t="str">
        <f>+IF(COUNTIFS('Raw Period DMR Data'!$A:$A,B395, 'Raw Period DMR Data'!C:C,'Raw Annual DMR Data'!X395, 'Raw Period DMR Data'!M:M, "&gt;0")&gt;0,_xlfn.MAXIFS('Raw Period DMR Data'!M:M,'Raw Period DMR Data'!$A:$A,'Raw Annual DMR Data'!B395,'Raw Period DMR Data'!C:C,'Raw Annual DMR Data'!X395), "N/A - Period DMR Data Not Available")</f>
        <v>N/A - Period DMR Data Not Available</v>
      </c>
      <c r="V395" s="28" t="str" cm="1">
        <f t="array" ref="V395">IFERROR(INDEX('Raw Period DMR Data'!N:N,MATCH(1,(B395='Raw Period DMR Data'!$A:$A)*(U395='Raw Period DMR Data'!M:M)*(X395='Raw Period DMR Data'!C:C),0),1), "N/A")</f>
        <v>N/A</v>
      </c>
      <c r="W395" s="28" t="s">
        <v>1463</v>
      </c>
      <c r="X395" s="28" t="s">
        <v>1720</v>
      </c>
      <c r="Y395" s="28" t="s">
        <v>1721</v>
      </c>
      <c r="Z395" s="28">
        <v>5090201002312</v>
      </c>
      <c r="AA395" s="28"/>
      <c r="AB395" s="28" t="s">
        <v>1465</v>
      </c>
      <c r="AC395" s="28" t="s">
        <v>1466</v>
      </c>
    </row>
    <row r="396" spans="1:29" x14ac:dyDescent="0.25">
      <c r="A396" s="61">
        <v>110000379787</v>
      </c>
      <c r="B396" s="28">
        <v>2018</v>
      </c>
      <c r="C396" s="68">
        <f t="shared" si="6"/>
        <v>43101</v>
      </c>
      <c r="D396" s="28" t="s">
        <v>1097</v>
      </c>
      <c r="E396" s="28" t="s">
        <v>1718</v>
      </c>
      <c r="F396" s="28" t="s">
        <v>1098</v>
      </c>
      <c r="G396" s="28" t="s">
        <v>324</v>
      </c>
      <c r="H396" s="28" t="s">
        <v>1719</v>
      </c>
      <c r="I396" s="28">
        <v>38.643056000000001</v>
      </c>
      <c r="J396" s="28">
        <v>-83.740278000000004</v>
      </c>
      <c r="L396" s="61">
        <v>110000379787</v>
      </c>
      <c r="M396" s="28" t="s">
        <v>265</v>
      </c>
      <c r="N396" s="28">
        <v>3566</v>
      </c>
      <c r="O396" s="28" t="str">
        <f>IFERROR(VLOOKUP(N396, 'SIC &amp; NAICS Codes'!A:B, 2, FALSE), "")</f>
        <v>Speed Changers, Industrial High-Speed Drives, and Gears</v>
      </c>
      <c r="S396" s="28">
        <v>0.2910381125</v>
      </c>
      <c r="T396" s="315">
        <f>_xlfn.MAXIFS('Raw Period DMR Data'!$O:$O,'Raw Period DMR Data'!$A:$A,'Raw Annual DMR Data'!B396,'Raw Period DMR Data'!$C:$C,X396)/S396</f>
        <v>0</v>
      </c>
      <c r="U396" s="28" t="str">
        <f>+IF(COUNTIFS('Raw Period DMR Data'!$A:$A,B396, 'Raw Period DMR Data'!C:C,'Raw Annual DMR Data'!X396, 'Raw Period DMR Data'!M:M, "&gt;0")&gt;0,_xlfn.MAXIFS('Raw Period DMR Data'!M:M,'Raw Period DMR Data'!$A:$A,'Raw Annual DMR Data'!B396,'Raw Period DMR Data'!C:C,'Raw Annual DMR Data'!X396), "N/A - Period DMR Data Not Available")</f>
        <v>N/A - Period DMR Data Not Available</v>
      </c>
      <c r="V396" s="28" t="str" cm="1">
        <f t="array" ref="V396">IFERROR(INDEX('Raw Period DMR Data'!N:N,MATCH(1,(B396='Raw Period DMR Data'!$A:$A)*(U396='Raw Period DMR Data'!M:M)*(X396='Raw Period DMR Data'!C:C),0),1), "N/A")</f>
        <v>N/A</v>
      </c>
      <c r="W396" s="28" t="s">
        <v>1463</v>
      </c>
      <c r="X396" s="28" t="s">
        <v>1720</v>
      </c>
      <c r="Y396" s="28" t="s">
        <v>1721</v>
      </c>
      <c r="Z396" s="302" t="s">
        <v>1722</v>
      </c>
      <c r="AA396" s="28"/>
      <c r="AB396" s="28" t="s">
        <v>1465</v>
      </c>
      <c r="AC396" s="28" t="s">
        <v>1466</v>
      </c>
    </row>
    <row r="397" spans="1:29" x14ac:dyDescent="0.25">
      <c r="A397" s="61">
        <v>110000379787</v>
      </c>
      <c r="B397" s="28">
        <v>2019</v>
      </c>
      <c r="C397" s="68">
        <f t="shared" si="6"/>
        <v>43466</v>
      </c>
      <c r="D397" s="28" t="s">
        <v>1097</v>
      </c>
      <c r="E397" s="28" t="s">
        <v>1718</v>
      </c>
      <c r="F397" s="28" t="s">
        <v>1098</v>
      </c>
      <c r="G397" s="28" t="s">
        <v>324</v>
      </c>
      <c r="H397" s="28" t="s">
        <v>1719</v>
      </c>
      <c r="I397" s="28">
        <v>38.643056000000001</v>
      </c>
      <c r="J397" s="28">
        <v>-83.740278000000004</v>
      </c>
      <c r="L397" s="61">
        <v>110000379787</v>
      </c>
      <c r="M397" s="28" t="s">
        <v>265</v>
      </c>
      <c r="N397" s="28">
        <v>3566</v>
      </c>
      <c r="O397" s="28" t="str">
        <f>IFERROR(VLOOKUP(N397, 'SIC &amp; NAICS Codes'!A:B, 2, FALSE), "")</f>
        <v>Speed Changers, Industrial High-Speed Drives, and Gears</v>
      </c>
      <c r="S397" s="28">
        <v>0.17549152500000001</v>
      </c>
      <c r="T397" s="315">
        <f>_xlfn.MAXIFS('Raw Period DMR Data'!$O:$O,'Raw Period DMR Data'!$A:$A,'Raw Annual DMR Data'!B397,'Raw Period DMR Data'!$C:$C,X397)/S397</f>
        <v>0</v>
      </c>
      <c r="U397" s="28" t="str">
        <f>+IF(COUNTIFS('Raw Period DMR Data'!$A:$A,B397, 'Raw Period DMR Data'!C:C,'Raw Annual DMR Data'!X397, 'Raw Period DMR Data'!M:M, "&gt;0")&gt;0,_xlfn.MAXIFS('Raw Period DMR Data'!M:M,'Raw Period DMR Data'!$A:$A,'Raw Annual DMR Data'!B397,'Raw Period DMR Data'!C:C,'Raw Annual DMR Data'!X397), "N/A - Period DMR Data Not Available")</f>
        <v>N/A - Period DMR Data Not Available</v>
      </c>
      <c r="V397" s="28" t="str" cm="1">
        <f t="array" ref="V397">IFERROR(INDEX('Raw Period DMR Data'!N:N,MATCH(1,(B397='Raw Period DMR Data'!$A:$A)*(U397='Raw Period DMR Data'!M:M)*(X397='Raw Period DMR Data'!C:C),0),1), "N/A")</f>
        <v>N/A</v>
      </c>
      <c r="W397" s="28" t="s">
        <v>1463</v>
      </c>
      <c r="X397" s="28" t="s">
        <v>1720</v>
      </c>
      <c r="Y397" s="28" t="s">
        <v>1721</v>
      </c>
      <c r="Z397" s="28">
        <v>5090201002312</v>
      </c>
      <c r="AA397" s="28"/>
      <c r="AB397" s="28" t="s">
        <v>1465</v>
      </c>
      <c r="AC397" s="28" t="s">
        <v>1466</v>
      </c>
    </row>
    <row r="398" spans="1:29" x14ac:dyDescent="0.25">
      <c r="A398" s="61">
        <v>110000379787</v>
      </c>
      <c r="B398" s="28">
        <v>2020</v>
      </c>
      <c r="C398" s="68">
        <f t="shared" si="6"/>
        <v>43831</v>
      </c>
      <c r="D398" s="28" t="s">
        <v>1097</v>
      </c>
      <c r="E398" s="28" t="s">
        <v>1718</v>
      </c>
      <c r="F398" s="28" t="s">
        <v>1098</v>
      </c>
      <c r="G398" s="28" t="s">
        <v>324</v>
      </c>
      <c r="H398" s="28" t="s">
        <v>1719</v>
      </c>
      <c r="I398" s="28">
        <v>38.643056000000001</v>
      </c>
      <c r="J398" s="28">
        <v>-83.740278000000004</v>
      </c>
      <c r="L398" s="61">
        <v>110000379787</v>
      </c>
      <c r="M398" s="28" t="s">
        <v>265</v>
      </c>
      <c r="N398" s="28">
        <v>3566</v>
      </c>
      <c r="O398" s="28" t="str">
        <f>IFERROR(VLOOKUP(N398, 'SIC &amp; NAICS Codes'!A:B, 2, FALSE), "")</f>
        <v>Speed Changers, Industrial High-Speed Drives, and Gears</v>
      </c>
      <c r="S398" s="28">
        <v>5.6084237500000002E-2</v>
      </c>
      <c r="T398" s="315">
        <f>_xlfn.MAXIFS('Raw Period DMR Data'!$O:$O,'Raw Period DMR Data'!$A:$A,'Raw Annual DMR Data'!B398,'Raw Period DMR Data'!$C:$C,X398)/S398</f>
        <v>0</v>
      </c>
      <c r="U398" s="28" t="str">
        <f>+IF(COUNTIFS('Raw Period DMR Data'!$A:$A,B398, 'Raw Period DMR Data'!C:C,'Raw Annual DMR Data'!X398, 'Raw Period DMR Data'!M:M, "&gt;0")&gt;0,_xlfn.MAXIFS('Raw Period DMR Data'!M:M,'Raw Period DMR Data'!$A:$A,'Raw Annual DMR Data'!B398,'Raw Period DMR Data'!C:C,'Raw Annual DMR Data'!X398), "N/A - Period DMR Data Not Available")</f>
        <v>N/A - Period DMR Data Not Available</v>
      </c>
      <c r="V398" s="28" t="str" cm="1">
        <f t="array" ref="V398">IFERROR(INDEX('Raw Period DMR Data'!N:N,MATCH(1,(B398='Raw Period DMR Data'!$A:$A)*(U398='Raw Period DMR Data'!M:M)*(X398='Raw Period DMR Data'!C:C),0),1), "N/A")</f>
        <v>N/A</v>
      </c>
      <c r="W398" s="28" t="s">
        <v>1463</v>
      </c>
      <c r="X398" s="28" t="s">
        <v>1720</v>
      </c>
      <c r="Y398" s="28" t="s">
        <v>1721</v>
      </c>
      <c r="Z398" s="28">
        <v>5090201002312</v>
      </c>
      <c r="AA398" s="28"/>
      <c r="AB398" s="28" t="s">
        <v>1465</v>
      </c>
      <c r="AC398" s="28" t="s">
        <v>1466</v>
      </c>
    </row>
    <row r="399" spans="1:29" x14ac:dyDescent="0.25">
      <c r="A399" s="61">
        <v>110010134185</v>
      </c>
      <c r="B399" s="28">
        <v>2017</v>
      </c>
      <c r="C399" s="68">
        <f t="shared" si="6"/>
        <v>42736</v>
      </c>
      <c r="D399" s="28" t="s">
        <v>1099</v>
      </c>
      <c r="E399" s="28" t="s">
        <v>1723</v>
      </c>
      <c r="F399" s="28" t="s">
        <v>1100</v>
      </c>
      <c r="G399" s="28" t="s">
        <v>1101</v>
      </c>
      <c r="H399" s="28">
        <v>0</v>
      </c>
      <c r="I399" s="28">
        <v>37.041677</v>
      </c>
      <c r="J399" s="28">
        <v>-109.500685</v>
      </c>
      <c r="L399" s="61">
        <v>110010134185</v>
      </c>
      <c r="M399" s="28" t="s">
        <v>265</v>
      </c>
      <c r="N399" s="28">
        <v>1311</v>
      </c>
      <c r="O399" s="28" t="str">
        <f>IFERROR(VLOOKUP(N399, 'SIC &amp; NAICS Codes'!A:B, 2, FALSE), "")</f>
        <v>Crude Petroleum and Natural Gas</v>
      </c>
      <c r="S399" s="28">
        <v>1.9632794999999998E-3</v>
      </c>
      <c r="T399" s="315">
        <f>_xlfn.MAXIFS('Raw Period DMR Data'!$O:$O,'Raw Period DMR Data'!$A:$A,'Raw Annual DMR Data'!B399,'Raw Period DMR Data'!$C:$C,X399)/S399</f>
        <v>0</v>
      </c>
      <c r="U399" s="28" t="str">
        <f>+IF(COUNTIFS('Raw Period DMR Data'!$A:$A,B399, 'Raw Period DMR Data'!C:C,'Raw Annual DMR Data'!X399, 'Raw Period DMR Data'!M:M, "&gt;0")&gt;0,_xlfn.MAXIFS('Raw Period DMR Data'!M:M,'Raw Period DMR Data'!$A:$A,'Raw Annual DMR Data'!B399,'Raw Period DMR Data'!C:C,'Raw Annual DMR Data'!X399), "N/A - Period DMR Data Not Available")</f>
        <v>N/A - Period DMR Data Not Available</v>
      </c>
      <c r="V399" s="28" t="str" cm="1">
        <f t="array" ref="V399">IFERROR(INDEX('Raw Period DMR Data'!N:N,MATCH(1,(B399='Raw Period DMR Data'!$A:$A)*(U399='Raw Period DMR Data'!M:M)*(X399='Raw Period DMR Data'!C:C),0),1), "N/A")</f>
        <v>N/A</v>
      </c>
      <c r="W399" s="28" t="s">
        <v>1463</v>
      </c>
      <c r="X399" s="28" t="s">
        <v>1724</v>
      </c>
      <c r="Y399" s="28" t="s">
        <v>1725</v>
      </c>
      <c r="Z399" s="28">
        <v>14080201000184</v>
      </c>
      <c r="AA399" s="28"/>
      <c r="AB399" s="28" t="s">
        <v>1465</v>
      </c>
      <c r="AC399" s="28" t="s">
        <v>1466</v>
      </c>
    </row>
    <row r="400" spans="1:29" x14ac:dyDescent="0.25">
      <c r="A400" s="61">
        <v>110010134185</v>
      </c>
      <c r="B400" s="28">
        <v>2017</v>
      </c>
      <c r="C400" s="68">
        <f t="shared" si="6"/>
        <v>42736</v>
      </c>
      <c r="D400" s="28" t="s">
        <v>1099</v>
      </c>
      <c r="E400" s="28" t="s">
        <v>1723</v>
      </c>
      <c r="F400" s="28" t="s">
        <v>1100</v>
      </c>
      <c r="G400" s="28" t="s">
        <v>1101</v>
      </c>
      <c r="H400" s="28">
        <v>0</v>
      </c>
      <c r="I400" s="28">
        <v>37.041677</v>
      </c>
      <c r="J400" s="28">
        <v>-109.500685</v>
      </c>
      <c r="L400" s="61">
        <v>110010134185</v>
      </c>
      <c r="M400" s="28" t="s">
        <v>265</v>
      </c>
      <c r="N400" s="28">
        <v>1311</v>
      </c>
      <c r="O400" s="28" t="str">
        <f>IFERROR(VLOOKUP(N400, 'SIC &amp; NAICS Codes'!A:B, 2, FALSE), "")</f>
        <v>Crude Petroleum and Natural Gas</v>
      </c>
      <c r="S400" s="28">
        <v>6.5442650000000001E-4</v>
      </c>
      <c r="T400" s="315">
        <f>_xlfn.MAXIFS('Raw Period DMR Data'!$O:$O,'Raw Period DMR Data'!$A:$A,'Raw Annual DMR Data'!B400,'Raw Period DMR Data'!$C:$C,X400)/S400</f>
        <v>0</v>
      </c>
      <c r="U400" s="28" t="str">
        <f>+IF(COUNTIFS('Raw Period DMR Data'!$A:$A,B400, 'Raw Period DMR Data'!C:C,'Raw Annual DMR Data'!X400, 'Raw Period DMR Data'!M:M, "&gt;0")&gt;0,_xlfn.MAXIFS('Raw Period DMR Data'!M:M,'Raw Period DMR Data'!$A:$A,'Raw Annual DMR Data'!B400,'Raw Period DMR Data'!C:C,'Raw Annual DMR Data'!X400), "N/A - Period DMR Data Not Available")</f>
        <v>N/A - Period DMR Data Not Available</v>
      </c>
      <c r="V400" s="28" t="str" cm="1">
        <f t="array" ref="V400">IFERROR(INDEX('Raw Period DMR Data'!N:N,MATCH(1,(B400='Raw Period DMR Data'!$A:$A)*(U400='Raw Period DMR Data'!M:M)*(X400='Raw Period DMR Data'!C:C),0),1), "N/A")</f>
        <v>N/A</v>
      </c>
      <c r="W400" s="28" t="s">
        <v>1463</v>
      </c>
      <c r="X400" s="28" t="s">
        <v>1724</v>
      </c>
      <c r="Y400" s="28" t="s">
        <v>1725</v>
      </c>
      <c r="Z400" s="28">
        <v>14080201000184</v>
      </c>
      <c r="AA400" s="28"/>
      <c r="AB400" s="28" t="s">
        <v>1465</v>
      </c>
      <c r="AC400" s="28" t="s">
        <v>1466</v>
      </c>
    </row>
    <row r="401" spans="1:29" x14ac:dyDescent="0.25">
      <c r="A401" s="61">
        <v>110060340162</v>
      </c>
      <c r="B401" s="28">
        <v>2019</v>
      </c>
      <c r="C401" s="68">
        <f t="shared" si="6"/>
        <v>43466</v>
      </c>
      <c r="D401" s="28" t="s">
        <v>142</v>
      </c>
      <c r="E401" s="28" t="s">
        <v>462</v>
      </c>
      <c r="F401" s="28" t="s">
        <v>463</v>
      </c>
      <c r="G401" s="28" t="s">
        <v>362</v>
      </c>
      <c r="H401" s="28">
        <v>77503</v>
      </c>
      <c r="I401" s="28">
        <v>29.741954</v>
      </c>
      <c r="J401" s="28">
        <v>-95.165228999999997</v>
      </c>
      <c r="L401" s="61">
        <v>110060340162</v>
      </c>
      <c r="M401" s="28" t="s">
        <v>251</v>
      </c>
      <c r="N401" s="28">
        <v>2869</v>
      </c>
      <c r="O401" s="28" t="str">
        <f>IFERROR(VLOOKUP(N401, 'SIC &amp; NAICS Codes'!A:B, 2, FALSE), "")</f>
        <v>Industrial Organic Chemicals, NEC (aliphatics)</v>
      </c>
      <c r="S401" s="28">
        <v>0.82891499999999996</v>
      </c>
      <c r="T401" s="315">
        <f>_xlfn.MAXIFS('Raw Period DMR Data'!$O:$O,'Raw Period DMR Data'!$A:$A,'Raw Annual DMR Data'!B401,'Raw Period DMR Data'!$C:$C,X401)/S401</f>
        <v>0</v>
      </c>
      <c r="U401" s="28" t="str">
        <f>+IF(COUNTIFS('Raw Period DMR Data'!$A:$A,B401, 'Raw Period DMR Data'!C:C,'Raw Annual DMR Data'!X401, 'Raw Period DMR Data'!M:M, "&gt;0")&gt;0,_xlfn.MAXIFS('Raw Period DMR Data'!M:M,'Raw Period DMR Data'!$A:$A,'Raw Annual DMR Data'!B401,'Raw Period DMR Data'!C:C,'Raw Annual DMR Data'!X401), "N/A - Period DMR Data Not Available")</f>
        <v>N/A - Period DMR Data Not Available</v>
      </c>
      <c r="V401" s="28" t="str" cm="1">
        <f t="array" ref="V401">IFERROR(INDEX('Raw Period DMR Data'!N:N,MATCH(1,(B401='Raw Period DMR Data'!$A:$A)*(U401='Raw Period DMR Data'!M:M)*(X401='Raw Period DMR Data'!C:C),0),1), "N/A")</f>
        <v>N/A</v>
      </c>
      <c r="W401" s="28" t="s">
        <v>1463</v>
      </c>
      <c r="X401" s="28" t="s">
        <v>848</v>
      </c>
      <c r="Y401" s="28" t="s">
        <v>849</v>
      </c>
      <c r="Z401" s="61">
        <v>12040104000620</v>
      </c>
    </row>
    <row r="402" spans="1:29" x14ac:dyDescent="0.25">
      <c r="A402" s="61">
        <v>110060340162</v>
      </c>
      <c r="B402" s="28">
        <v>2020</v>
      </c>
      <c r="C402" s="68">
        <f t="shared" si="6"/>
        <v>43831</v>
      </c>
      <c r="D402" s="28" t="s">
        <v>142</v>
      </c>
      <c r="E402" s="28" t="s">
        <v>462</v>
      </c>
      <c r="F402" s="28" t="s">
        <v>463</v>
      </c>
      <c r="G402" s="28" t="s">
        <v>362</v>
      </c>
      <c r="H402" s="28">
        <v>77503</v>
      </c>
      <c r="I402" s="28">
        <v>29.741954</v>
      </c>
      <c r="J402" s="28">
        <v>-95.165228999999997</v>
      </c>
      <c r="L402" s="61">
        <v>110060340162</v>
      </c>
      <c r="M402" s="28" t="s">
        <v>265</v>
      </c>
      <c r="N402" s="28">
        <v>2869</v>
      </c>
      <c r="O402" s="28" t="str">
        <f>IFERROR(VLOOKUP(N402, 'SIC &amp; NAICS Codes'!A:B, 2, FALSE), "")</f>
        <v>Industrial Organic Chemicals, NEC (aliphatics)</v>
      </c>
      <c r="S402" s="28">
        <v>0.75983875000000001</v>
      </c>
      <c r="T402" s="315">
        <f>_xlfn.MAXIFS('Raw Period DMR Data'!$O:$O,'Raw Period DMR Data'!$A:$A,'Raw Annual DMR Data'!B402,'Raw Period DMR Data'!$C:$C,X402)/S402</f>
        <v>0</v>
      </c>
      <c r="U402" s="28" t="str">
        <f>+IF(COUNTIFS('Raw Period DMR Data'!$A:$A,B402, 'Raw Period DMR Data'!C:C,'Raw Annual DMR Data'!X402, 'Raw Period DMR Data'!M:M, "&gt;0")&gt;0,_xlfn.MAXIFS('Raw Period DMR Data'!M:M,'Raw Period DMR Data'!$A:$A,'Raw Annual DMR Data'!B402,'Raw Period DMR Data'!C:C,'Raw Annual DMR Data'!X402), "N/A - Period DMR Data Not Available")</f>
        <v>N/A - Period DMR Data Not Available</v>
      </c>
      <c r="V402" s="28" t="str" cm="1">
        <f t="array" ref="V402">IFERROR(INDEX('Raw Period DMR Data'!N:N,MATCH(1,(B402='Raw Period DMR Data'!$A:$A)*(U402='Raw Period DMR Data'!M:M)*(X402='Raw Period DMR Data'!C:C),0),1), "N/A")</f>
        <v>N/A</v>
      </c>
      <c r="W402" s="28" t="s">
        <v>1463</v>
      </c>
      <c r="X402" s="28" t="s">
        <v>848</v>
      </c>
      <c r="Y402" s="28" t="s">
        <v>849</v>
      </c>
      <c r="Z402" s="28">
        <v>12040104000620</v>
      </c>
      <c r="AA402" s="28"/>
      <c r="AB402" s="28" t="s">
        <v>1465</v>
      </c>
      <c r="AC402" s="28" t="s">
        <v>1466</v>
      </c>
    </row>
    <row r="403" spans="1:29" x14ac:dyDescent="0.25">
      <c r="A403" s="61">
        <v>110000433013</v>
      </c>
      <c r="B403" s="28">
        <v>2015</v>
      </c>
      <c r="C403" s="68">
        <f t="shared" si="6"/>
        <v>42005</v>
      </c>
      <c r="D403" s="28" t="s">
        <v>1102</v>
      </c>
      <c r="E403" s="28" t="s">
        <v>1726</v>
      </c>
      <c r="F403" s="28" t="s">
        <v>1103</v>
      </c>
      <c r="G403" s="28" t="s">
        <v>345</v>
      </c>
      <c r="H403" s="28" t="s">
        <v>1727</v>
      </c>
      <c r="I403" s="28">
        <v>41.412897000000001</v>
      </c>
      <c r="J403" s="28">
        <v>-88.329773000000003</v>
      </c>
      <c r="K403" s="28" t="s">
        <v>712</v>
      </c>
      <c r="L403" s="61">
        <v>110000433013</v>
      </c>
      <c r="M403" s="28" t="s">
        <v>265</v>
      </c>
      <c r="N403" s="28">
        <v>2821</v>
      </c>
      <c r="O403" s="28" t="str">
        <f>IFERROR(VLOOKUP(N403, 'SIC &amp; NAICS Codes'!A:B, 2, FALSE), "")</f>
        <v>Plastics Materials, Synthetic and Resins, and Nonvulcanizable Elastomers</v>
      </c>
      <c r="S403" s="28">
        <v>0.793197278911564</v>
      </c>
      <c r="T403" s="315">
        <f>_xlfn.MAXIFS('Raw Period DMR Data'!$O:$O,'Raw Period DMR Data'!$A:$A,'Raw Annual DMR Data'!B403,'Raw Period DMR Data'!$C:$C,X403)/S403</f>
        <v>0</v>
      </c>
      <c r="U403" s="28" t="str">
        <f>+IF(COUNTIFS('Raw Period DMR Data'!$A:$A,B403, 'Raw Period DMR Data'!C:C,'Raw Annual DMR Data'!X403, 'Raw Period DMR Data'!M:M, "&gt;0")&gt;0,_xlfn.MAXIFS('Raw Period DMR Data'!M:M,'Raw Period DMR Data'!$A:$A,'Raw Annual DMR Data'!B403,'Raw Period DMR Data'!C:C,'Raw Annual DMR Data'!X403), "N/A - Period DMR Data Not Available")</f>
        <v>N/A - Period DMR Data Not Available</v>
      </c>
      <c r="V403" s="28" t="str" cm="1">
        <f t="array" ref="V403">IFERROR(INDEX('Raw Period DMR Data'!N:N,MATCH(1,(B403='Raw Period DMR Data'!$A:$A)*(U403='Raw Period DMR Data'!M:M)*(X403='Raw Period DMR Data'!C:C),0),1), "N/A")</f>
        <v>N/A</v>
      </c>
      <c r="W403" s="28" t="s">
        <v>1463</v>
      </c>
      <c r="X403" s="28" t="s">
        <v>1728</v>
      </c>
      <c r="Y403" s="28" t="s">
        <v>1729</v>
      </c>
      <c r="Z403" s="28">
        <v>7120005000248</v>
      </c>
      <c r="AA403" s="28"/>
      <c r="AB403" s="28" t="s">
        <v>1465</v>
      </c>
      <c r="AC403" s="28" t="s">
        <v>1466</v>
      </c>
    </row>
    <row r="404" spans="1:29" x14ac:dyDescent="0.25">
      <c r="A404" s="61">
        <v>110000433013</v>
      </c>
      <c r="B404" s="28">
        <v>2015</v>
      </c>
      <c r="C404" s="68">
        <f t="shared" si="6"/>
        <v>42005</v>
      </c>
      <c r="D404" s="28" t="s">
        <v>1102</v>
      </c>
      <c r="E404" s="28" t="s">
        <v>1726</v>
      </c>
      <c r="F404" s="28" t="s">
        <v>1103</v>
      </c>
      <c r="G404" s="28" t="s">
        <v>345</v>
      </c>
      <c r="H404" s="28" t="s">
        <v>1727</v>
      </c>
      <c r="I404" s="28">
        <v>41.412897000000001</v>
      </c>
      <c r="J404" s="28">
        <v>-88.329773000000003</v>
      </c>
      <c r="K404" s="28" t="s">
        <v>712</v>
      </c>
      <c r="L404" s="61">
        <v>110000433013</v>
      </c>
      <c r="M404" s="28" t="s">
        <v>265</v>
      </c>
      <c r="N404" s="28">
        <v>2821</v>
      </c>
      <c r="O404" s="28" t="str">
        <f>IFERROR(VLOOKUP(N404, 'SIC &amp; NAICS Codes'!A:B, 2, FALSE), "")</f>
        <v>Plastics Materials, Synthetic and Resins, and Nonvulcanizable Elastomers</v>
      </c>
      <c r="S404" s="28">
        <v>0.41632653061224401</v>
      </c>
      <c r="T404" s="315">
        <f>_xlfn.MAXIFS('Raw Period DMR Data'!$O:$O,'Raw Period DMR Data'!$A:$A,'Raw Annual DMR Data'!B404,'Raw Period DMR Data'!$C:$C,X404)/S404</f>
        <v>0</v>
      </c>
      <c r="U404" s="28" t="str">
        <f>+IF(COUNTIFS('Raw Period DMR Data'!$A:$A,B404, 'Raw Period DMR Data'!C:C,'Raw Annual DMR Data'!X404, 'Raw Period DMR Data'!M:M, "&gt;0")&gt;0,_xlfn.MAXIFS('Raw Period DMR Data'!M:M,'Raw Period DMR Data'!$A:$A,'Raw Annual DMR Data'!B404,'Raw Period DMR Data'!C:C,'Raw Annual DMR Data'!X404), "N/A - Period DMR Data Not Available")</f>
        <v>N/A - Period DMR Data Not Available</v>
      </c>
      <c r="V404" s="28" t="str" cm="1">
        <f t="array" ref="V404">IFERROR(INDEX('Raw Period DMR Data'!N:N,MATCH(1,(B404='Raw Period DMR Data'!$A:$A)*(U404='Raw Period DMR Data'!M:M)*(X404='Raw Period DMR Data'!C:C),0),1), "N/A")</f>
        <v>N/A</v>
      </c>
      <c r="W404" s="28" t="s">
        <v>1463</v>
      </c>
      <c r="X404" s="28" t="s">
        <v>1728</v>
      </c>
      <c r="Y404" s="28" t="s">
        <v>1729</v>
      </c>
      <c r="Z404" s="28">
        <v>7120005000248</v>
      </c>
      <c r="AA404" s="28"/>
      <c r="AB404" s="28" t="s">
        <v>1465</v>
      </c>
      <c r="AC404" s="28" t="s">
        <v>1466</v>
      </c>
    </row>
    <row r="405" spans="1:29" x14ac:dyDescent="0.25">
      <c r="A405" s="61">
        <v>110000433013</v>
      </c>
      <c r="B405" s="28">
        <v>2016</v>
      </c>
      <c r="C405" s="68">
        <f t="shared" si="6"/>
        <v>42370</v>
      </c>
      <c r="D405" s="28" t="s">
        <v>1102</v>
      </c>
      <c r="E405" s="28" t="s">
        <v>1726</v>
      </c>
      <c r="F405" s="28" t="s">
        <v>1103</v>
      </c>
      <c r="G405" s="28" t="s">
        <v>345</v>
      </c>
      <c r="H405" s="28" t="s">
        <v>1727</v>
      </c>
      <c r="I405" s="28">
        <v>41.412897000000001</v>
      </c>
      <c r="J405" s="28">
        <v>-88.329773000000003</v>
      </c>
      <c r="K405" s="28" t="s">
        <v>712</v>
      </c>
      <c r="L405" s="61">
        <v>110000433013</v>
      </c>
      <c r="M405" s="28" t="s">
        <v>265</v>
      </c>
      <c r="N405" s="28">
        <v>2821</v>
      </c>
      <c r="O405" s="28" t="str">
        <f>IFERROR(VLOOKUP(N405, 'SIC &amp; NAICS Codes'!A:B, 2, FALSE), "")</f>
        <v>Plastics Materials, Synthetic and Resins, and Nonvulcanizable Elastomers</v>
      </c>
      <c r="S405" s="28">
        <v>0.33333333333333298</v>
      </c>
      <c r="T405" s="315">
        <f>_xlfn.MAXIFS('Raw Period DMR Data'!$O:$O,'Raw Period DMR Data'!$A:$A,'Raw Annual DMR Data'!B405,'Raw Period DMR Data'!$C:$C,X405)/S405</f>
        <v>0</v>
      </c>
      <c r="U405" s="28" t="str">
        <f>+IF(COUNTIFS('Raw Period DMR Data'!$A:$A,B405, 'Raw Period DMR Data'!C:C,'Raw Annual DMR Data'!X405, 'Raw Period DMR Data'!M:M, "&gt;0")&gt;0,_xlfn.MAXIFS('Raw Period DMR Data'!M:M,'Raw Period DMR Data'!$A:$A,'Raw Annual DMR Data'!B405,'Raw Period DMR Data'!C:C,'Raw Annual DMR Data'!X405), "N/A - Period DMR Data Not Available")</f>
        <v>N/A - Period DMR Data Not Available</v>
      </c>
      <c r="V405" s="28" t="str" cm="1">
        <f t="array" ref="V405">IFERROR(INDEX('Raw Period DMR Data'!N:N,MATCH(1,(B405='Raw Period DMR Data'!$A:$A)*(U405='Raw Period DMR Data'!M:M)*(X405='Raw Period DMR Data'!C:C),0),1), "N/A")</f>
        <v>N/A</v>
      </c>
      <c r="W405" s="28" t="s">
        <v>1463</v>
      </c>
      <c r="X405" s="28" t="s">
        <v>1728</v>
      </c>
      <c r="Y405" s="28" t="s">
        <v>1729</v>
      </c>
      <c r="Z405" s="28">
        <v>7120005000248</v>
      </c>
      <c r="AA405" s="28"/>
      <c r="AB405" s="28" t="s">
        <v>1465</v>
      </c>
      <c r="AC405" s="28" t="s">
        <v>1466</v>
      </c>
    </row>
    <row r="406" spans="1:29" x14ac:dyDescent="0.25">
      <c r="A406" s="61">
        <v>110000433013</v>
      </c>
      <c r="B406" s="28">
        <v>2016</v>
      </c>
      <c r="C406" s="68">
        <f t="shared" si="6"/>
        <v>42370</v>
      </c>
      <c r="D406" s="28" t="s">
        <v>1102</v>
      </c>
      <c r="E406" s="28" t="s">
        <v>1726</v>
      </c>
      <c r="F406" s="28" t="s">
        <v>1103</v>
      </c>
      <c r="G406" s="28" t="s">
        <v>345</v>
      </c>
      <c r="H406" s="28" t="s">
        <v>1727</v>
      </c>
      <c r="I406" s="28">
        <v>41.412897000000001</v>
      </c>
      <c r="J406" s="28">
        <v>-88.329773000000003</v>
      </c>
      <c r="K406" s="28" t="s">
        <v>712</v>
      </c>
      <c r="L406" s="61">
        <v>110000433013</v>
      </c>
      <c r="M406" s="28" t="s">
        <v>265</v>
      </c>
      <c r="N406" s="28">
        <v>2821</v>
      </c>
      <c r="O406" s="28" t="str">
        <f>IFERROR(VLOOKUP(N406, 'SIC &amp; NAICS Codes'!A:B, 2, FALSE), "")</f>
        <v>Plastics Materials, Synthetic and Resins, and Nonvulcanizable Elastomers</v>
      </c>
      <c r="S406" s="28">
        <v>0.82993197278911501</v>
      </c>
      <c r="T406" s="315">
        <f>_xlfn.MAXIFS('Raw Period DMR Data'!$O:$O,'Raw Period DMR Data'!$A:$A,'Raw Annual DMR Data'!B406,'Raw Period DMR Data'!$C:$C,X406)/S406</f>
        <v>0</v>
      </c>
      <c r="U406" s="28" t="str">
        <f>+IF(COUNTIFS('Raw Period DMR Data'!$A:$A,B406, 'Raw Period DMR Data'!C:C,'Raw Annual DMR Data'!X406, 'Raw Period DMR Data'!M:M, "&gt;0")&gt;0,_xlfn.MAXIFS('Raw Period DMR Data'!M:M,'Raw Period DMR Data'!$A:$A,'Raw Annual DMR Data'!B406,'Raw Period DMR Data'!C:C,'Raw Annual DMR Data'!X406), "N/A - Period DMR Data Not Available")</f>
        <v>N/A - Period DMR Data Not Available</v>
      </c>
      <c r="V406" s="28" t="str" cm="1">
        <f t="array" ref="V406">IFERROR(INDEX('Raw Period DMR Data'!N:N,MATCH(1,(B406='Raw Period DMR Data'!$A:$A)*(U406='Raw Period DMR Data'!M:M)*(X406='Raw Period DMR Data'!C:C),0),1), "N/A")</f>
        <v>N/A</v>
      </c>
      <c r="W406" s="28" t="s">
        <v>1463</v>
      </c>
      <c r="X406" s="28" t="s">
        <v>1728</v>
      </c>
      <c r="Y406" s="28" t="s">
        <v>1729</v>
      </c>
      <c r="Z406" s="28">
        <v>7120005000248</v>
      </c>
      <c r="AA406" s="28"/>
      <c r="AB406" s="28" t="s">
        <v>1465</v>
      </c>
      <c r="AC406" s="28" t="s">
        <v>1466</v>
      </c>
    </row>
    <row r="407" spans="1:29" x14ac:dyDescent="0.25">
      <c r="A407" s="61">
        <v>110000433013</v>
      </c>
      <c r="B407" s="28">
        <v>2017</v>
      </c>
      <c r="C407" s="68">
        <f t="shared" si="6"/>
        <v>42736</v>
      </c>
      <c r="D407" s="28" t="s">
        <v>1102</v>
      </c>
      <c r="E407" s="28" t="s">
        <v>1726</v>
      </c>
      <c r="F407" s="28" t="s">
        <v>1103</v>
      </c>
      <c r="G407" s="28" t="s">
        <v>345</v>
      </c>
      <c r="H407" s="28" t="s">
        <v>1727</v>
      </c>
      <c r="I407" s="28">
        <v>41.412897000000001</v>
      </c>
      <c r="J407" s="28">
        <v>-88.329773000000003</v>
      </c>
      <c r="K407" s="28" t="s">
        <v>712</v>
      </c>
      <c r="L407" s="61">
        <v>110000433013</v>
      </c>
      <c r="M407" s="28" t="s">
        <v>265</v>
      </c>
      <c r="N407" s="28">
        <v>2821</v>
      </c>
      <c r="O407" s="28" t="str">
        <f>IFERROR(VLOOKUP(N407, 'SIC &amp; NAICS Codes'!A:B, 2, FALSE), "")</f>
        <v>Plastics Materials, Synthetic and Resins, and Nonvulcanizable Elastomers</v>
      </c>
      <c r="S407" s="28">
        <v>1.2517006802721</v>
      </c>
      <c r="T407" s="315">
        <f>_xlfn.MAXIFS('Raw Period DMR Data'!$O:$O,'Raw Period DMR Data'!$A:$A,'Raw Annual DMR Data'!B407,'Raw Period DMR Data'!$C:$C,X407)/S407</f>
        <v>0</v>
      </c>
      <c r="U407" s="28" t="str">
        <f>+IF(COUNTIFS('Raw Period DMR Data'!$A:$A,B407, 'Raw Period DMR Data'!C:C,'Raw Annual DMR Data'!X407, 'Raw Period DMR Data'!M:M, "&gt;0")&gt;0,_xlfn.MAXIFS('Raw Period DMR Data'!M:M,'Raw Period DMR Data'!$A:$A,'Raw Annual DMR Data'!B407,'Raw Period DMR Data'!C:C,'Raw Annual DMR Data'!X407), "N/A - Period DMR Data Not Available")</f>
        <v>N/A - Period DMR Data Not Available</v>
      </c>
      <c r="V407" s="28" t="str" cm="1">
        <f t="array" ref="V407">IFERROR(INDEX('Raw Period DMR Data'!N:N,MATCH(1,(B407='Raw Period DMR Data'!$A:$A)*(U407='Raw Period DMR Data'!M:M)*(X407='Raw Period DMR Data'!C:C),0),1), "N/A")</f>
        <v>N/A</v>
      </c>
      <c r="W407" s="28" t="s">
        <v>1463</v>
      </c>
      <c r="X407" s="28" t="s">
        <v>1728</v>
      </c>
      <c r="Y407" s="28" t="s">
        <v>1729</v>
      </c>
      <c r="Z407" s="28">
        <v>7120005000248</v>
      </c>
      <c r="AA407" s="28"/>
      <c r="AB407" s="28" t="s">
        <v>1465</v>
      </c>
      <c r="AC407" s="28" t="s">
        <v>1466</v>
      </c>
    </row>
    <row r="408" spans="1:29" x14ac:dyDescent="0.25">
      <c r="A408" s="61">
        <v>110000433013</v>
      </c>
      <c r="B408" s="28">
        <v>2017</v>
      </c>
      <c r="C408" s="68">
        <f t="shared" si="6"/>
        <v>42736</v>
      </c>
      <c r="D408" s="28" t="s">
        <v>1102</v>
      </c>
      <c r="E408" s="28" t="s">
        <v>1726</v>
      </c>
      <c r="F408" s="28" t="s">
        <v>1103</v>
      </c>
      <c r="G408" s="28" t="s">
        <v>345</v>
      </c>
      <c r="H408" s="28" t="s">
        <v>1727</v>
      </c>
      <c r="I408" s="28">
        <v>41.412897000000001</v>
      </c>
      <c r="J408" s="28">
        <v>-88.329773000000003</v>
      </c>
      <c r="K408" s="28" t="s">
        <v>712</v>
      </c>
      <c r="L408" s="61">
        <v>110000433013</v>
      </c>
      <c r="M408" s="28" t="s">
        <v>265</v>
      </c>
      <c r="N408" s="28">
        <v>2821</v>
      </c>
      <c r="O408" s="28" t="str">
        <f>IFERROR(VLOOKUP(N408, 'SIC &amp; NAICS Codes'!A:B, 2, FALSE), "")</f>
        <v>Plastics Materials, Synthetic and Resins, and Nonvulcanizable Elastomers</v>
      </c>
      <c r="S408" s="28">
        <v>0.37551020408163199</v>
      </c>
      <c r="T408" s="315">
        <f>_xlfn.MAXIFS('Raw Period DMR Data'!$O:$O,'Raw Period DMR Data'!$A:$A,'Raw Annual DMR Data'!B408,'Raw Period DMR Data'!$C:$C,X408)/S408</f>
        <v>0</v>
      </c>
      <c r="U408" s="28" t="str">
        <f>+IF(COUNTIFS('Raw Period DMR Data'!$A:$A,B408, 'Raw Period DMR Data'!C:C,'Raw Annual DMR Data'!X408, 'Raw Period DMR Data'!M:M, "&gt;0")&gt;0,_xlfn.MAXIFS('Raw Period DMR Data'!M:M,'Raw Period DMR Data'!$A:$A,'Raw Annual DMR Data'!B408,'Raw Period DMR Data'!C:C,'Raw Annual DMR Data'!X408), "N/A - Period DMR Data Not Available")</f>
        <v>N/A - Period DMR Data Not Available</v>
      </c>
      <c r="V408" s="28" t="str" cm="1">
        <f t="array" ref="V408">IFERROR(INDEX('Raw Period DMR Data'!N:N,MATCH(1,(B408='Raw Period DMR Data'!$A:$A)*(U408='Raw Period DMR Data'!M:M)*(X408='Raw Period DMR Data'!C:C),0),1), "N/A")</f>
        <v>N/A</v>
      </c>
      <c r="W408" s="28" t="s">
        <v>1463</v>
      </c>
      <c r="X408" s="28" t="s">
        <v>1728</v>
      </c>
      <c r="Y408" s="28" t="s">
        <v>1729</v>
      </c>
      <c r="Z408" s="28">
        <v>7120005000248</v>
      </c>
      <c r="AA408" s="28"/>
      <c r="AB408" s="28" t="s">
        <v>1465</v>
      </c>
      <c r="AC408" s="28" t="s">
        <v>1466</v>
      </c>
    </row>
    <row r="409" spans="1:29" x14ac:dyDescent="0.25">
      <c r="A409" s="61">
        <v>110000433013</v>
      </c>
      <c r="B409" s="28">
        <v>2018</v>
      </c>
      <c r="C409" s="68">
        <f t="shared" si="6"/>
        <v>43101</v>
      </c>
      <c r="D409" s="28" t="s">
        <v>1102</v>
      </c>
      <c r="E409" s="28" t="s">
        <v>1726</v>
      </c>
      <c r="F409" s="28" t="s">
        <v>1103</v>
      </c>
      <c r="G409" s="28" t="s">
        <v>345</v>
      </c>
      <c r="H409" s="28" t="s">
        <v>1727</v>
      </c>
      <c r="I409" s="28">
        <v>41.412897000000001</v>
      </c>
      <c r="J409" s="28">
        <v>-88.329773000000003</v>
      </c>
      <c r="K409" s="28" t="s">
        <v>712</v>
      </c>
      <c r="L409" s="61">
        <v>110000433013</v>
      </c>
      <c r="M409" s="28" t="s">
        <v>265</v>
      </c>
      <c r="N409" s="28">
        <v>2821</v>
      </c>
      <c r="O409" s="28" t="str">
        <f>IFERROR(VLOOKUP(N409, 'SIC &amp; NAICS Codes'!A:B, 2, FALSE), "")</f>
        <v>Plastics Materials, Synthetic and Resins, and Nonvulcanizable Elastomers</v>
      </c>
      <c r="S409" s="302">
        <v>0.72312925170067999</v>
      </c>
      <c r="T409" s="315">
        <f>_xlfn.MAXIFS('Raw Period DMR Data'!$O:$O,'Raw Period DMR Data'!$A:$A,'Raw Annual DMR Data'!B409,'Raw Period DMR Data'!$C:$C,X409)/S409</f>
        <v>0</v>
      </c>
      <c r="U409" s="28" t="str">
        <f>+IF(COUNTIFS('Raw Period DMR Data'!$A:$A,B409, 'Raw Period DMR Data'!C:C,'Raw Annual DMR Data'!X409, 'Raw Period DMR Data'!M:M, "&gt;0")&gt;0,_xlfn.MAXIFS('Raw Period DMR Data'!M:M,'Raw Period DMR Data'!$A:$A,'Raw Annual DMR Data'!B409,'Raw Period DMR Data'!C:C,'Raw Annual DMR Data'!X409), "N/A - Period DMR Data Not Available")</f>
        <v>N/A - Period DMR Data Not Available</v>
      </c>
      <c r="V409" s="28" t="str" cm="1">
        <f t="array" ref="V409">IFERROR(INDEX('Raw Period DMR Data'!N:N,MATCH(1,(B409='Raw Period DMR Data'!$A:$A)*(U409='Raw Period DMR Data'!M:M)*(X409='Raw Period DMR Data'!C:C),0),1), "N/A")</f>
        <v>N/A</v>
      </c>
      <c r="W409" s="28" t="s">
        <v>1463</v>
      </c>
      <c r="X409" s="28" t="s">
        <v>1728</v>
      </c>
      <c r="Y409" s="28" t="s">
        <v>1729</v>
      </c>
      <c r="Z409" s="302" t="s">
        <v>1730</v>
      </c>
      <c r="AA409" s="28"/>
      <c r="AB409" s="28" t="s">
        <v>1465</v>
      </c>
      <c r="AC409" s="28" t="s">
        <v>1466</v>
      </c>
    </row>
    <row r="410" spans="1:29" x14ac:dyDescent="0.25">
      <c r="A410" s="61">
        <v>110000433013</v>
      </c>
      <c r="B410" s="28">
        <v>2018</v>
      </c>
      <c r="C410" s="68">
        <f t="shared" si="6"/>
        <v>43101</v>
      </c>
      <c r="D410" s="28" t="s">
        <v>1102</v>
      </c>
      <c r="E410" s="28" t="s">
        <v>1726</v>
      </c>
      <c r="F410" s="28" t="s">
        <v>1103</v>
      </c>
      <c r="G410" s="28" t="s">
        <v>345</v>
      </c>
      <c r="H410" s="28" t="s">
        <v>1727</v>
      </c>
      <c r="I410" s="28">
        <v>41.412897000000001</v>
      </c>
      <c r="J410" s="28">
        <v>-88.329773000000003</v>
      </c>
      <c r="K410" s="28" t="s">
        <v>712</v>
      </c>
      <c r="L410" s="61">
        <v>110000433013</v>
      </c>
      <c r="M410" s="28" t="s">
        <v>265</v>
      </c>
      <c r="N410" s="28">
        <v>2821</v>
      </c>
      <c r="O410" s="28" t="str">
        <f>IFERROR(VLOOKUP(N410, 'SIC &amp; NAICS Codes'!A:B, 2, FALSE), "")</f>
        <v>Plastics Materials, Synthetic and Resins, and Nonvulcanizable Elastomers</v>
      </c>
      <c r="S410" s="302">
        <v>0.70476190476190403</v>
      </c>
      <c r="T410" s="315">
        <f>_xlfn.MAXIFS('Raw Period DMR Data'!$O:$O,'Raw Period DMR Data'!$A:$A,'Raw Annual DMR Data'!B410,'Raw Period DMR Data'!$C:$C,X410)/S410</f>
        <v>0</v>
      </c>
      <c r="U410" s="28" t="str">
        <f>+IF(COUNTIFS('Raw Period DMR Data'!$A:$A,B410, 'Raw Period DMR Data'!C:C,'Raw Annual DMR Data'!X410, 'Raw Period DMR Data'!M:M, "&gt;0")&gt;0,_xlfn.MAXIFS('Raw Period DMR Data'!M:M,'Raw Period DMR Data'!$A:$A,'Raw Annual DMR Data'!B410,'Raw Period DMR Data'!C:C,'Raw Annual DMR Data'!X410), "N/A - Period DMR Data Not Available")</f>
        <v>N/A - Period DMR Data Not Available</v>
      </c>
      <c r="V410" s="28" t="str" cm="1">
        <f t="array" ref="V410">IFERROR(INDEX('Raw Period DMR Data'!N:N,MATCH(1,(B410='Raw Period DMR Data'!$A:$A)*(U410='Raw Period DMR Data'!M:M)*(X410='Raw Period DMR Data'!C:C),0),1), "N/A")</f>
        <v>N/A</v>
      </c>
      <c r="W410" s="28" t="s">
        <v>1463</v>
      </c>
      <c r="X410" s="28" t="s">
        <v>1728</v>
      </c>
      <c r="Y410" s="28" t="s">
        <v>1729</v>
      </c>
      <c r="Z410" s="302" t="s">
        <v>1730</v>
      </c>
      <c r="AA410" s="28"/>
      <c r="AB410" s="28" t="s">
        <v>1465</v>
      </c>
      <c r="AC410" s="28" t="s">
        <v>1466</v>
      </c>
    </row>
    <row r="411" spans="1:29" x14ac:dyDescent="0.25">
      <c r="A411" s="61">
        <v>110000433013</v>
      </c>
      <c r="B411" s="28">
        <v>2019</v>
      </c>
      <c r="C411" s="68">
        <f t="shared" si="6"/>
        <v>43466</v>
      </c>
      <c r="D411" s="28" t="s">
        <v>1102</v>
      </c>
      <c r="E411" s="28" t="s">
        <v>1726</v>
      </c>
      <c r="F411" s="28" t="s">
        <v>1103</v>
      </c>
      <c r="G411" s="28" t="s">
        <v>345</v>
      </c>
      <c r="H411" s="28" t="s">
        <v>1727</v>
      </c>
      <c r="I411" s="28">
        <v>41.412897000000001</v>
      </c>
      <c r="J411" s="28">
        <v>-88.329773000000003</v>
      </c>
      <c r="K411" s="28" t="s">
        <v>712</v>
      </c>
      <c r="L411" s="61">
        <v>110000433013</v>
      </c>
      <c r="M411" s="28" t="s">
        <v>265</v>
      </c>
      <c r="N411" s="28">
        <v>2821</v>
      </c>
      <c r="O411" s="28" t="str">
        <f>IFERROR(VLOOKUP(N411, 'SIC &amp; NAICS Codes'!A:B, 2, FALSE), "")</f>
        <v>Plastics Materials, Synthetic and Resins, and Nonvulcanizable Elastomers</v>
      </c>
      <c r="S411" s="28">
        <v>1.07891156462585</v>
      </c>
      <c r="T411" s="315">
        <f>_xlfn.MAXIFS('Raw Period DMR Data'!$O:$O,'Raw Period DMR Data'!$A:$A,'Raw Annual DMR Data'!B411,'Raw Period DMR Data'!$C:$C,X411)/S411</f>
        <v>0</v>
      </c>
      <c r="U411" s="28" t="str">
        <f>+IF(COUNTIFS('Raw Period DMR Data'!$A:$A,B411, 'Raw Period DMR Data'!C:C,'Raw Annual DMR Data'!X411, 'Raw Period DMR Data'!M:M, "&gt;0")&gt;0,_xlfn.MAXIFS('Raw Period DMR Data'!M:M,'Raw Period DMR Data'!$A:$A,'Raw Annual DMR Data'!B411,'Raw Period DMR Data'!C:C,'Raw Annual DMR Data'!X411), "N/A - Period DMR Data Not Available")</f>
        <v>N/A - Period DMR Data Not Available</v>
      </c>
      <c r="V411" s="28" t="str" cm="1">
        <f t="array" ref="V411">IFERROR(INDEX('Raw Period DMR Data'!N:N,MATCH(1,(B411='Raw Period DMR Data'!$A:$A)*(U411='Raw Period DMR Data'!M:M)*(X411='Raw Period DMR Data'!C:C),0),1), "N/A")</f>
        <v>N/A</v>
      </c>
      <c r="W411" s="28" t="s">
        <v>1463</v>
      </c>
      <c r="X411" s="28" t="s">
        <v>1728</v>
      </c>
      <c r="Y411" s="28" t="s">
        <v>1729</v>
      </c>
      <c r="Z411" s="28">
        <v>7120005000248</v>
      </c>
      <c r="AA411" s="28"/>
      <c r="AB411" s="28" t="s">
        <v>1465</v>
      </c>
      <c r="AC411" s="28" t="s">
        <v>1466</v>
      </c>
    </row>
    <row r="412" spans="1:29" x14ac:dyDescent="0.25">
      <c r="A412" s="61">
        <v>110000433013</v>
      </c>
      <c r="B412" s="28">
        <v>2019</v>
      </c>
      <c r="C412" s="68">
        <f t="shared" si="6"/>
        <v>43466</v>
      </c>
      <c r="D412" s="28" t="s">
        <v>1102</v>
      </c>
      <c r="E412" s="28" t="s">
        <v>1726</v>
      </c>
      <c r="F412" s="28" t="s">
        <v>1103</v>
      </c>
      <c r="G412" s="28" t="s">
        <v>345</v>
      </c>
      <c r="H412" s="28" t="s">
        <v>1727</v>
      </c>
      <c r="I412" s="28">
        <v>41.412897000000001</v>
      </c>
      <c r="J412" s="28">
        <v>-88.329773000000003</v>
      </c>
      <c r="K412" s="28" t="s">
        <v>712</v>
      </c>
      <c r="L412" s="61">
        <v>110000433013</v>
      </c>
      <c r="M412" s="28" t="s">
        <v>265</v>
      </c>
      <c r="N412" s="28">
        <v>2821</v>
      </c>
      <c r="O412" s="28" t="str">
        <f>IFERROR(VLOOKUP(N412, 'SIC &amp; NAICS Codes'!A:B, 2, FALSE), "")</f>
        <v>Plastics Materials, Synthetic and Resins, and Nonvulcanizable Elastomers</v>
      </c>
      <c r="S412" s="28">
        <v>0.176734693877551</v>
      </c>
      <c r="T412" s="315">
        <f>_xlfn.MAXIFS('Raw Period DMR Data'!$O:$O,'Raw Period DMR Data'!$A:$A,'Raw Annual DMR Data'!B412,'Raw Period DMR Data'!$C:$C,X412)/S412</f>
        <v>0</v>
      </c>
      <c r="U412" s="28" t="str">
        <f>+IF(COUNTIFS('Raw Period DMR Data'!$A:$A,B412, 'Raw Period DMR Data'!C:C,'Raw Annual DMR Data'!X412, 'Raw Period DMR Data'!M:M, "&gt;0")&gt;0,_xlfn.MAXIFS('Raw Period DMR Data'!M:M,'Raw Period DMR Data'!$A:$A,'Raw Annual DMR Data'!B412,'Raw Period DMR Data'!C:C,'Raw Annual DMR Data'!X412), "N/A - Period DMR Data Not Available")</f>
        <v>N/A - Period DMR Data Not Available</v>
      </c>
      <c r="V412" s="28" t="str" cm="1">
        <f t="array" ref="V412">IFERROR(INDEX('Raw Period DMR Data'!N:N,MATCH(1,(B412='Raw Period DMR Data'!$A:$A)*(U412='Raw Period DMR Data'!M:M)*(X412='Raw Period DMR Data'!C:C),0),1), "N/A")</f>
        <v>N/A</v>
      </c>
      <c r="W412" s="28" t="s">
        <v>1463</v>
      </c>
      <c r="X412" s="28" t="s">
        <v>1728</v>
      </c>
      <c r="Y412" s="28" t="s">
        <v>1729</v>
      </c>
      <c r="Z412" s="28">
        <v>7120005000248</v>
      </c>
      <c r="AA412" s="28"/>
      <c r="AB412" s="28" t="s">
        <v>1465</v>
      </c>
      <c r="AC412" s="28" t="s">
        <v>1466</v>
      </c>
    </row>
    <row r="413" spans="1:29" x14ac:dyDescent="0.25">
      <c r="A413" s="61">
        <v>110000433013</v>
      </c>
      <c r="B413" s="28">
        <v>2020</v>
      </c>
      <c r="C413" s="68">
        <f t="shared" si="6"/>
        <v>43831</v>
      </c>
      <c r="D413" s="28" t="s">
        <v>1102</v>
      </c>
      <c r="E413" s="28" t="s">
        <v>1726</v>
      </c>
      <c r="F413" s="28" t="s">
        <v>1103</v>
      </c>
      <c r="G413" s="28" t="s">
        <v>345</v>
      </c>
      <c r="H413" s="28" t="s">
        <v>1727</v>
      </c>
      <c r="I413" s="28">
        <v>41.412897000000001</v>
      </c>
      <c r="J413" s="28">
        <v>-88.329773000000003</v>
      </c>
      <c r="K413" s="28" t="s">
        <v>712</v>
      </c>
      <c r="L413" s="61">
        <v>110000433013</v>
      </c>
      <c r="M413" s="28" t="s">
        <v>265</v>
      </c>
      <c r="N413" s="28">
        <v>2821</v>
      </c>
      <c r="O413" s="28" t="str">
        <f>IFERROR(VLOOKUP(N413, 'SIC &amp; NAICS Codes'!A:B, 2, FALSE), "")</f>
        <v>Plastics Materials, Synthetic and Resins, and Nonvulcanizable Elastomers</v>
      </c>
      <c r="S413" s="28">
        <v>0.82993197278911501</v>
      </c>
      <c r="T413" s="315">
        <f>_xlfn.MAXIFS('Raw Period DMR Data'!$O:$O,'Raw Period DMR Data'!$A:$A,'Raw Annual DMR Data'!B413,'Raw Period DMR Data'!$C:$C,X413)/S413</f>
        <v>0</v>
      </c>
      <c r="U413" s="28" t="str">
        <f>+IF(COUNTIFS('Raw Period DMR Data'!$A:$A,B413, 'Raw Period DMR Data'!C:C,'Raw Annual DMR Data'!X413, 'Raw Period DMR Data'!M:M, "&gt;0")&gt;0,_xlfn.MAXIFS('Raw Period DMR Data'!M:M,'Raw Period DMR Data'!$A:$A,'Raw Annual DMR Data'!B413,'Raw Period DMR Data'!C:C,'Raw Annual DMR Data'!X413), "N/A - Period DMR Data Not Available")</f>
        <v>N/A - Period DMR Data Not Available</v>
      </c>
      <c r="V413" s="28" t="str" cm="1">
        <f t="array" ref="V413">IFERROR(INDEX('Raw Period DMR Data'!N:N,MATCH(1,(B413='Raw Period DMR Data'!$A:$A)*(U413='Raw Period DMR Data'!M:M)*(X413='Raw Period DMR Data'!C:C),0),1), "N/A")</f>
        <v>N/A</v>
      </c>
      <c r="W413" s="28" t="s">
        <v>1463</v>
      </c>
      <c r="X413" s="28" t="s">
        <v>1728</v>
      </c>
      <c r="Y413" s="28" t="s">
        <v>1729</v>
      </c>
      <c r="Z413" s="28">
        <v>7120005000248</v>
      </c>
      <c r="AA413" s="28"/>
      <c r="AB413" s="28" t="s">
        <v>1465</v>
      </c>
      <c r="AC413" s="28" t="s">
        <v>1466</v>
      </c>
    </row>
    <row r="414" spans="1:29" x14ac:dyDescent="0.25">
      <c r="A414" s="61">
        <v>110000433013</v>
      </c>
      <c r="B414" s="28">
        <v>2020</v>
      </c>
      <c r="C414" s="68">
        <f t="shared" si="6"/>
        <v>43831</v>
      </c>
      <c r="D414" s="28" t="s">
        <v>1102</v>
      </c>
      <c r="E414" s="28" t="s">
        <v>1726</v>
      </c>
      <c r="F414" s="28" t="s">
        <v>1103</v>
      </c>
      <c r="G414" s="28" t="s">
        <v>345</v>
      </c>
      <c r="H414" s="28" t="s">
        <v>1727</v>
      </c>
      <c r="I414" s="28">
        <v>41.412897000000001</v>
      </c>
      <c r="J414" s="28">
        <v>-88.329773000000003</v>
      </c>
      <c r="K414" s="28" t="s">
        <v>712</v>
      </c>
      <c r="L414" s="61">
        <v>110000433013</v>
      </c>
      <c r="M414" s="28" t="s">
        <v>265</v>
      </c>
      <c r="N414" s="28">
        <v>2821</v>
      </c>
      <c r="O414" s="28" t="str">
        <f>IFERROR(VLOOKUP(N414, 'SIC &amp; NAICS Codes'!A:B, 2, FALSE), "")</f>
        <v>Plastics Materials, Synthetic and Resins, and Nonvulcanizable Elastomers</v>
      </c>
      <c r="S414" s="28">
        <v>0.82993197278911501</v>
      </c>
      <c r="T414" s="315">
        <f>_xlfn.MAXIFS('Raw Period DMR Data'!$O:$O,'Raw Period DMR Data'!$A:$A,'Raw Annual DMR Data'!B414,'Raw Period DMR Data'!$C:$C,X414)/S414</f>
        <v>0</v>
      </c>
      <c r="U414" s="28" t="str">
        <f>+IF(COUNTIFS('Raw Period DMR Data'!$A:$A,B414, 'Raw Period DMR Data'!C:C,'Raw Annual DMR Data'!X414, 'Raw Period DMR Data'!M:M, "&gt;0")&gt;0,_xlfn.MAXIFS('Raw Period DMR Data'!M:M,'Raw Period DMR Data'!$A:$A,'Raw Annual DMR Data'!B414,'Raw Period DMR Data'!C:C,'Raw Annual DMR Data'!X414), "N/A - Period DMR Data Not Available")</f>
        <v>N/A - Period DMR Data Not Available</v>
      </c>
      <c r="V414" s="28" t="str" cm="1">
        <f t="array" ref="V414">IFERROR(INDEX('Raw Period DMR Data'!N:N,MATCH(1,(B414='Raw Period DMR Data'!$A:$A)*(U414='Raw Period DMR Data'!M:M)*(X414='Raw Period DMR Data'!C:C),0),1), "N/A")</f>
        <v>N/A</v>
      </c>
      <c r="W414" s="28" t="s">
        <v>1463</v>
      </c>
      <c r="X414" s="28" t="s">
        <v>1728</v>
      </c>
      <c r="Y414" s="28" t="s">
        <v>1729</v>
      </c>
      <c r="Z414" s="28">
        <v>7120005000248</v>
      </c>
      <c r="AA414" s="28"/>
      <c r="AB414" s="28" t="s">
        <v>1465</v>
      </c>
      <c r="AC414" s="28" t="s">
        <v>1466</v>
      </c>
    </row>
    <row r="415" spans="1:29" x14ac:dyDescent="0.25">
      <c r="A415" s="61">
        <v>110000597266</v>
      </c>
      <c r="B415" s="28">
        <v>2015</v>
      </c>
      <c r="C415" s="68">
        <f t="shared" si="6"/>
        <v>42005</v>
      </c>
      <c r="D415" s="28" t="s">
        <v>1104</v>
      </c>
      <c r="E415" s="28" t="s">
        <v>1731</v>
      </c>
      <c r="F415" s="28" t="s">
        <v>446</v>
      </c>
      <c r="G415" s="28" t="s">
        <v>303</v>
      </c>
      <c r="H415" s="28">
        <v>70669</v>
      </c>
      <c r="I415" s="28">
        <v>30.193916000000002</v>
      </c>
      <c r="J415" s="28">
        <v>-93.321347000000003</v>
      </c>
      <c r="K415" s="28" t="s">
        <v>713</v>
      </c>
      <c r="L415" s="61">
        <v>110000597266</v>
      </c>
      <c r="M415" s="28" t="s">
        <v>265</v>
      </c>
      <c r="N415" s="28">
        <v>2821</v>
      </c>
      <c r="O415" s="28" t="str">
        <f>IFERROR(VLOOKUP(N415, 'SIC &amp; NAICS Codes'!A:B, 2, FALSE), "")</f>
        <v>Plastics Materials, Synthetic and Resins, and Nonvulcanizable Elastomers</v>
      </c>
      <c r="S415" s="28">
        <v>0.82766439909296996</v>
      </c>
      <c r="T415" s="315">
        <f>_xlfn.MAXIFS('Raw Period DMR Data'!$O:$O,'Raw Period DMR Data'!$A:$A,'Raw Annual DMR Data'!B415,'Raw Period DMR Data'!$C:$C,X415)/S415</f>
        <v>0</v>
      </c>
      <c r="U415" s="28" t="str">
        <f>+IF(COUNTIFS('Raw Period DMR Data'!$A:$A,B415, 'Raw Period DMR Data'!C:C,'Raw Annual DMR Data'!X415, 'Raw Period DMR Data'!M:M, "&gt;0")&gt;0,_xlfn.MAXIFS('Raw Period DMR Data'!M:M,'Raw Period DMR Data'!$A:$A,'Raw Annual DMR Data'!B415,'Raw Period DMR Data'!C:C,'Raw Annual DMR Data'!X415), "N/A - Period DMR Data Not Available")</f>
        <v>N/A - Period DMR Data Not Available</v>
      </c>
      <c r="V415" s="28" t="str" cm="1">
        <f t="array" ref="V415">IFERROR(INDEX('Raw Period DMR Data'!N:N,MATCH(1,(B415='Raw Period DMR Data'!$A:$A)*(U415='Raw Period DMR Data'!M:M)*(X415='Raw Period DMR Data'!C:C),0),1), "N/A")</f>
        <v>N/A</v>
      </c>
      <c r="W415" s="28" t="s">
        <v>1463</v>
      </c>
      <c r="X415" s="28" t="s">
        <v>1732</v>
      </c>
      <c r="Y415" s="28">
        <v>315</v>
      </c>
      <c r="Z415" s="28">
        <v>8080206000583</v>
      </c>
      <c r="AA415" s="28"/>
      <c r="AB415" s="28" t="s">
        <v>1465</v>
      </c>
      <c r="AC415" s="28" t="s">
        <v>1466</v>
      </c>
    </row>
    <row r="416" spans="1:29" x14ac:dyDescent="0.25">
      <c r="A416" s="61">
        <v>110000597266</v>
      </c>
      <c r="B416" s="28">
        <v>2016</v>
      </c>
      <c r="C416" s="68">
        <f t="shared" si="6"/>
        <v>42370</v>
      </c>
      <c r="D416" s="28" t="s">
        <v>1104</v>
      </c>
      <c r="E416" s="28" t="s">
        <v>1731</v>
      </c>
      <c r="F416" s="28" t="s">
        <v>446</v>
      </c>
      <c r="G416" s="28" t="s">
        <v>303</v>
      </c>
      <c r="H416" s="28">
        <v>70669</v>
      </c>
      <c r="I416" s="28">
        <v>30.193916000000002</v>
      </c>
      <c r="J416" s="28">
        <v>-93.321347000000003</v>
      </c>
      <c r="K416" s="28" t="s">
        <v>713</v>
      </c>
      <c r="L416" s="61">
        <v>110000597266</v>
      </c>
      <c r="M416" s="28" t="s">
        <v>265</v>
      </c>
      <c r="N416" s="28">
        <v>2821</v>
      </c>
      <c r="O416" s="28" t="str">
        <f>IFERROR(VLOOKUP(N416, 'SIC &amp; NAICS Codes'!A:B, 2, FALSE), "")</f>
        <v>Plastics Materials, Synthetic and Resins, and Nonvulcanizable Elastomers</v>
      </c>
      <c r="S416" s="28">
        <v>0.82766439909296996</v>
      </c>
      <c r="T416" s="315">
        <f>_xlfn.MAXIFS('Raw Period DMR Data'!$O:$O,'Raw Period DMR Data'!$A:$A,'Raw Annual DMR Data'!B416,'Raw Period DMR Data'!$C:$C,X416)/S416</f>
        <v>0</v>
      </c>
      <c r="U416" s="28" t="str">
        <f>+IF(COUNTIFS('Raw Period DMR Data'!$A:$A,B416, 'Raw Period DMR Data'!C:C,'Raw Annual DMR Data'!X416, 'Raw Period DMR Data'!M:M, "&gt;0")&gt;0,_xlfn.MAXIFS('Raw Period DMR Data'!M:M,'Raw Period DMR Data'!$A:$A,'Raw Annual DMR Data'!B416,'Raw Period DMR Data'!C:C,'Raw Annual DMR Data'!X416), "N/A - Period DMR Data Not Available")</f>
        <v>N/A - Period DMR Data Not Available</v>
      </c>
      <c r="V416" s="28" t="str" cm="1">
        <f t="array" ref="V416">IFERROR(INDEX('Raw Period DMR Data'!N:N,MATCH(1,(B416='Raw Period DMR Data'!$A:$A)*(U416='Raw Period DMR Data'!M:M)*(X416='Raw Period DMR Data'!C:C),0),1), "N/A")</f>
        <v>N/A</v>
      </c>
      <c r="W416" s="28" t="s">
        <v>1463</v>
      </c>
      <c r="X416" s="28" t="s">
        <v>1732</v>
      </c>
      <c r="Y416" s="28">
        <v>315</v>
      </c>
      <c r="Z416" s="28">
        <v>8080206000583</v>
      </c>
      <c r="AA416" s="28"/>
      <c r="AB416" s="28" t="s">
        <v>1465</v>
      </c>
      <c r="AC416" s="28" t="s">
        <v>1466</v>
      </c>
    </row>
    <row r="417" spans="1:29" x14ac:dyDescent="0.25">
      <c r="A417" s="61">
        <v>110000597266</v>
      </c>
      <c r="B417" s="28">
        <v>2017</v>
      </c>
      <c r="C417" s="68">
        <f t="shared" si="6"/>
        <v>42736</v>
      </c>
      <c r="D417" s="28" t="s">
        <v>1104</v>
      </c>
      <c r="E417" s="28" t="s">
        <v>1731</v>
      </c>
      <c r="F417" s="28" t="s">
        <v>446</v>
      </c>
      <c r="G417" s="28" t="s">
        <v>303</v>
      </c>
      <c r="H417" s="28">
        <v>70669</v>
      </c>
      <c r="I417" s="28">
        <v>30.193916000000002</v>
      </c>
      <c r="J417" s="28">
        <v>-93.321347000000003</v>
      </c>
      <c r="K417" s="28" t="s">
        <v>713</v>
      </c>
      <c r="L417" s="61">
        <v>110000597266</v>
      </c>
      <c r="M417" s="28" t="s">
        <v>265</v>
      </c>
      <c r="N417" s="28">
        <v>2821</v>
      </c>
      <c r="O417" s="28" t="str">
        <f>IFERROR(VLOOKUP(N417, 'SIC &amp; NAICS Codes'!A:B, 2, FALSE), "")</f>
        <v>Plastics Materials, Synthetic and Resins, and Nonvulcanizable Elastomers</v>
      </c>
      <c r="S417" s="28">
        <v>0.82766439909296996</v>
      </c>
      <c r="T417" s="315">
        <f>_xlfn.MAXIFS('Raw Period DMR Data'!$O:$O,'Raw Period DMR Data'!$A:$A,'Raw Annual DMR Data'!B417,'Raw Period DMR Data'!$C:$C,X417)/S417</f>
        <v>0</v>
      </c>
      <c r="U417" s="28" t="str">
        <f>+IF(COUNTIFS('Raw Period DMR Data'!$A:$A,B417, 'Raw Period DMR Data'!C:C,'Raw Annual DMR Data'!X417, 'Raw Period DMR Data'!M:M, "&gt;0")&gt;0,_xlfn.MAXIFS('Raw Period DMR Data'!M:M,'Raw Period DMR Data'!$A:$A,'Raw Annual DMR Data'!B417,'Raw Period DMR Data'!C:C,'Raw Annual DMR Data'!X417), "N/A - Period DMR Data Not Available")</f>
        <v>N/A - Period DMR Data Not Available</v>
      </c>
      <c r="V417" s="28" t="str" cm="1">
        <f t="array" ref="V417">IFERROR(INDEX('Raw Period DMR Data'!N:N,MATCH(1,(B417='Raw Period DMR Data'!$A:$A)*(U417='Raw Period DMR Data'!M:M)*(X417='Raw Period DMR Data'!C:C),0),1), "N/A")</f>
        <v>N/A</v>
      </c>
      <c r="W417" s="28" t="s">
        <v>1463</v>
      </c>
      <c r="X417" s="28" t="s">
        <v>1732</v>
      </c>
      <c r="Y417" s="28">
        <v>315</v>
      </c>
      <c r="Z417" s="28">
        <v>8080206000583</v>
      </c>
      <c r="AA417" s="28"/>
      <c r="AB417" s="28" t="s">
        <v>1465</v>
      </c>
      <c r="AC417" s="28" t="s">
        <v>1466</v>
      </c>
    </row>
    <row r="418" spans="1:29" x14ac:dyDescent="0.25">
      <c r="A418" s="61">
        <v>110000597266</v>
      </c>
      <c r="B418" s="28">
        <v>2018</v>
      </c>
      <c r="C418" s="68">
        <f t="shared" si="6"/>
        <v>43101</v>
      </c>
      <c r="D418" s="28" t="s">
        <v>1104</v>
      </c>
      <c r="E418" s="28" t="s">
        <v>1731</v>
      </c>
      <c r="F418" s="28" t="s">
        <v>446</v>
      </c>
      <c r="G418" s="28" t="s">
        <v>303</v>
      </c>
      <c r="H418" s="28">
        <v>70669</v>
      </c>
      <c r="I418" s="28">
        <v>30.193916000000002</v>
      </c>
      <c r="J418" s="28">
        <v>-93.321347000000003</v>
      </c>
      <c r="K418" s="28" t="s">
        <v>713</v>
      </c>
      <c r="L418" s="61">
        <v>110000597266</v>
      </c>
      <c r="M418" s="28" t="s">
        <v>265</v>
      </c>
      <c r="N418" s="28">
        <v>2821</v>
      </c>
      <c r="O418" s="28" t="str">
        <f>IFERROR(VLOOKUP(N418, 'SIC &amp; NAICS Codes'!A:B, 2, FALSE), "")</f>
        <v>Plastics Materials, Synthetic and Resins, and Nonvulcanizable Elastomers</v>
      </c>
      <c r="S418" s="302">
        <v>0.82766439909296996</v>
      </c>
      <c r="T418" s="315">
        <f>_xlfn.MAXIFS('Raw Period DMR Data'!$O:$O,'Raw Period DMR Data'!$A:$A,'Raw Annual DMR Data'!B418,'Raw Period DMR Data'!$C:$C,X418)/S418</f>
        <v>0</v>
      </c>
      <c r="U418" s="28" t="str">
        <f>+IF(COUNTIFS('Raw Period DMR Data'!$A:$A,B418, 'Raw Period DMR Data'!C:C,'Raw Annual DMR Data'!X418, 'Raw Period DMR Data'!M:M, "&gt;0")&gt;0,_xlfn.MAXIFS('Raw Period DMR Data'!M:M,'Raw Period DMR Data'!$A:$A,'Raw Annual DMR Data'!B418,'Raw Period DMR Data'!C:C,'Raw Annual DMR Data'!X418), "N/A - Period DMR Data Not Available")</f>
        <v>N/A - Period DMR Data Not Available</v>
      </c>
      <c r="V418" s="28" t="str" cm="1">
        <f t="array" ref="V418">IFERROR(INDEX('Raw Period DMR Data'!N:N,MATCH(1,(B418='Raw Period DMR Data'!$A:$A)*(U418='Raw Period DMR Data'!M:M)*(X418='Raw Period DMR Data'!C:C),0),1), "N/A")</f>
        <v>N/A</v>
      </c>
      <c r="W418" s="28" t="s">
        <v>1463</v>
      </c>
      <c r="X418" s="28" t="s">
        <v>1732</v>
      </c>
      <c r="Y418" s="302" t="s">
        <v>1733</v>
      </c>
      <c r="Z418" s="302" t="s">
        <v>1734</v>
      </c>
      <c r="AA418" s="28"/>
      <c r="AB418" s="28" t="s">
        <v>1465</v>
      </c>
      <c r="AC418" s="28" t="s">
        <v>1466</v>
      </c>
    </row>
    <row r="419" spans="1:29" x14ac:dyDescent="0.25">
      <c r="A419" s="61">
        <v>110000597266</v>
      </c>
      <c r="B419" s="28">
        <v>2019</v>
      </c>
      <c r="C419" s="68">
        <f t="shared" si="6"/>
        <v>43466</v>
      </c>
      <c r="D419" s="28" t="s">
        <v>1104</v>
      </c>
      <c r="E419" s="28" t="s">
        <v>1731</v>
      </c>
      <c r="F419" s="28" t="s">
        <v>446</v>
      </c>
      <c r="G419" s="28" t="s">
        <v>303</v>
      </c>
      <c r="H419" s="28">
        <v>70669</v>
      </c>
      <c r="I419" s="28">
        <v>30.193916000000002</v>
      </c>
      <c r="J419" s="28">
        <v>-93.321347000000003</v>
      </c>
      <c r="K419" s="28" t="s">
        <v>713</v>
      </c>
      <c r="L419" s="61">
        <v>110000597266</v>
      </c>
      <c r="M419" s="28" t="s">
        <v>265</v>
      </c>
      <c r="N419" s="28">
        <v>2821</v>
      </c>
      <c r="O419" s="28" t="str">
        <f>IFERROR(VLOOKUP(N419, 'SIC &amp; NAICS Codes'!A:B, 2, FALSE), "")</f>
        <v>Plastics Materials, Synthetic and Resins, and Nonvulcanizable Elastomers</v>
      </c>
      <c r="S419" s="28">
        <v>0.41383219954648498</v>
      </c>
      <c r="T419" s="315">
        <f>_xlfn.MAXIFS('Raw Period DMR Data'!$O:$O,'Raw Period DMR Data'!$A:$A,'Raw Annual DMR Data'!B419,'Raw Period DMR Data'!$C:$C,X419)/S419</f>
        <v>0</v>
      </c>
      <c r="U419" s="28" t="str">
        <f>+IF(COUNTIFS('Raw Period DMR Data'!$A:$A,B419, 'Raw Period DMR Data'!C:C,'Raw Annual DMR Data'!X419, 'Raw Period DMR Data'!M:M, "&gt;0")&gt;0,_xlfn.MAXIFS('Raw Period DMR Data'!M:M,'Raw Period DMR Data'!$A:$A,'Raw Annual DMR Data'!B419,'Raw Period DMR Data'!C:C,'Raw Annual DMR Data'!X419), "N/A - Period DMR Data Not Available")</f>
        <v>N/A - Period DMR Data Not Available</v>
      </c>
      <c r="V419" s="28" t="str" cm="1">
        <f t="array" ref="V419">IFERROR(INDEX('Raw Period DMR Data'!N:N,MATCH(1,(B419='Raw Period DMR Data'!$A:$A)*(U419='Raw Period DMR Data'!M:M)*(X419='Raw Period DMR Data'!C:C),0),1), "N/A")</f>
        <v>N/A</v>
      </c>
      <c r="W419" s="28" t="s">
        <v>1463</v>
      </c>
      <c r="X419" s="28" t="s">
        <v>1732</v>
      </c>
      <c r="Y419" s="28">
        <v>315</v>
      </c>
      <c r="Z419" s="28">
        <v>8080206000583</v>
      </c>
      <c r="AA419" s="28"/>
      <c r="AB419" s="28" t="s">
        <v>1465</v>
      </c>
      <c r="AC419" s="28" t="s">
        <v>1466</v>
      </c>
    </row>
    <row r="420" spans="1:29" x14ac:dyDescent="0.25">
      <c r="A420" s="61">
        <v>110000597266</v>
      </c>
      <c r="B420" s="28">
        <v>2020</v>
      </c>
      <c r="C420" s="68">
        <f t="shared" si="6"/>
        <v>43831</v>
      </c>
      <c r="D420" s="28" t="s">
        <v>1104</v>
      </c>
      <c r="E420" s="28" t="s">
        <v>1731</v>
      </c>
      <c r="F420" s="28" t="s">
        <v>446</v>
      </c>
      <c r="G420" s="28" t="s">
        <v>303</v>
      </c>
      <c r="H420" s="28">
        <v>70669</v>
      </c>
      <c r="I420" s="28">
        <v>30.193916000000002</v>
      </c>
      <c r="J420" s="28">
        <v>-93.321347000000003</v>
      </c>
      <c r="K420" s="28" t="s">
        <v>713</v>
      </c>
      <c r="L420" s="61">
        <v>110000597266</v>
      </c>
      <c r="M420" s="28" t="s">
        <v>265</v>
      </c>
      <c r="N420" s="28">
        <v>2821</v>
      </c>
      <c r="O420" s="28" t="str">
        <f>IFERROR(VLOOKUP(N420, 'SIC &amp; NAICS Codes'!A:B, 2, FALSE), "")</f>
        <v>Plastics Materials, Synthetic and Resins, and Nonvulcanizable Elastomers</v>
      </c>
      <c r="S420" s="28">
        <v>4.1383219954648496</v>
      </c>
      <c r="T420" s="315">
        <f>_xlfn.MAXIFS('Raw Period DMR Data'!$O:$O,'Raw Period DMR Data'!$A:$A,'Raw Annual DMR Data'!B420,'Raw Period DMR Data'!$C:$C,X420)/S420</f>
        <v>0</v>
      </c>
      <c r="U420" s="28" t="str">
        <f>+IF(COUNTIFS('Raw Period DMR Data'!$A:$A,B420, 'Raw Period DMR Data'!C:C,'Raw Annual DMR Data'!X420, 'Raw Period DMR Data'!M:M, "&gt;0")&gt;0,_xlfn.MAXIFS('Raw Period DMR Data'!M:M,'Raw Period DMR Data'!$A:$A,'Raw Annual DMR Data'!B420,'Raw Period DMR Data'!C:C,'Raw Annual DMR Data'!X420), "N/A - Period DMR Data Not Available")</f>
        <v>N/A - Period DMR Data Not Available</v>
      </c>
      <c r="V420" s="28" t="str" cm="1">
        <f t="array" ref="V420">IFERROR(INDEX('Raw Period DMR Data'!N:N,MATCH(1,(B420='Raw Period DMR Data'!$A:$A)*(U420='Raw Period DMR Data'!M:M)*(X420='Raw Period DMR Data'!C:C),0),1), "N/A")</f>
        <v>N/A</v>
      </c>
      <c r="W420" s="28" t="s">
        <v>1463</v>
      </c>
      <c r="X420" s="28" t="s">
        <v>1732</v>
      </c>
      <c r="Y420" s="28">
        <v>315</v>
      </c>
      <c r="Z420" s="28">
        <v>8080206000583</v>
      </c>
      <c r="AA420" s="28"/>
      <c r="AB420" s="28" t="s">
        <v>1465</v>
      </c>
      <c r="AC420" s="28" t="s">
        <v>1466</v>
      </c>
    </row>
    <row r="421" spans="1:29" x14ac:dyDescent="0.25">
      <c r="A421" s="61">
        <v>110000746211</v>
      </c>
      <c r="B421" s="28">
        <v>2015</v>
      </c>
      <c r="C421" s="68">
        <f t="shared" si="6"/>
        <v>42005</v>
      </c>
      <c r="D421" s="28" t="s">
        <v>1105</v>
      </c>
      <c r="E421" s="28" t="s">
        <v>1735</v>
      </c>
      <c r="F421" s="28" t="s">
        <v>1106</v>
      </c>
      <c r="G421" s="28" t="s">
        <v>345</v>
      </c>
      <c r="H421" s="28">
        <v>61953</v>
      </c>
      <c r="I421" s="28">
        <v>39.795811999999998</v>
      </c>
      <c r="J421" s="28">
        <v>-88.347945999999993</v>
      </c>
      <c r="K421" s="28" t="s">
        <v>714</v>
      </c>
      <c r="L421" s="61">
        <v>110000746211</v>
      </c>
      <c r="M421" s="28" t="s">
        <v>253</v>
      </c>
      <c r="N421" s="28">
        <v>2869</v>
      </c>
      <c r="O421" s="28" t="str">
        <f>IFERROR(VLOOKUP(N421, 'SIC &amp; NAICS Codes'!A:B, 2, FALSE), "")</f>
        <v>Industrial Organic Chemicals, NEC (aliphatics)</v>
      </c>
      <c r="S421" s="28">
        <v>5.5453514739229002</v>
      </c>
      <c r="T421" s="315">
        <f>_xlfn.MAXIFS('Raw Period DMR Data'!$O:$O,'Raw Period DMR Data'!$A:$A,'Raw Annual DMR Data'!B421,'Raw Period DMR Data'!$C:$C,X421)/S421</f>
        <v>0</v>
      </c>
      <c r="U421" s="28" t="str">
        <f>+IF(COUNTIFS('Raw Period DMR Data'!$A:$A,B421, 'Raw Period DMR Data'!C:C,'Raw Annual DMR Data'!X421, 'Raw Period DMR Data'!M:M, "&gt;0")&gt;0,_xlfn.MAXIFS('Raw Period DMR Data'!M:M,'Raw Period DMR Data'!$A:$A,'Raw Annual DMR Data'!B421,'Raw Period DMR Data'!C:C,'Raw Annual DMR Data'!X421), "N/A - Period DMR Data Not Available")</f>
        <v>N/A - Period DMR Data Not Available</v>
      </c>
      <c r="V421" s="28" t="str" cm="1">
        <f t="array" ref="V421">IFERROR(INDEX('Raw Period DMR Data'!N:N,MATCH(1,(B421='Raw Period DMR Data'!$A:$A)*(U421='Raw Period DMR Data'!M:M)*(X421='Raw Period DMR Data'!C:C),0),1), "N/A")</f>
        <v>N/A</v>
      </c>
      <c r="W421" s="28" t="s">
        <v>1463</v>
      </c>
      <c r="X421" s="28" t="s">
        <v>1736</v>
      </c>
      <c r="Y421" s="28" t="s">
        <v>1737</v>
      </c>
      <c r="Z421" s="28">
        <v>7140201000696</v>
      </c>
      <c r="AA421" s="28"/>
      <c r="AB421" s="28" t="s">
        <v>1465</v>
      </c>
      <c r="AC421" s="28" t="s">
        <v>1466</v>
      </c>
    </row>
    <row r="422" spans="1:29" x14ac:dyDescent="0.25">
      <c r="A422" s="61">
        <v>110000746211</v>
      </c>
      <c r="B422" s="28">
        <v>2016</v>
      </c>
      <c r="C422" s="68">
        <f t="shared" si="6"/>
        <v>42370</v>
      </c>
      <c r="D422" s="28" t="s">
        <v>1105</v>
      </c>
      <c r="E422" s="28" t="s">
        <v>1735</v>
      </c>
      <c r="F422" s="28" t="s">
        <v>1106</v>
      </c>
      <c r="G422" s="28" t="s">
        <v>345</v>
      </c>
      <c r="H422" s="28">
        <v>61953</v>
      </c>
      <c r="I422" s="28">
        <v>39.795811999999998</v>
      </c>
      <c r="J422" s="28">
        <v>-88.347945999999993</v>
      </c>
      <c r="K422" s="28" t="s">
        <v>714</v>
      </c>
      <c r="L422" s="61">
        <v>110000746211</v>
      </c>
      <c r="M422" s="28" t="s">
        <v>253</v>
      </c>
      <c r="N422" s="28">
        <v>2869</v>
      </c>
      <c r="O422" s="28" t="str">
        <f>IFERROR(VLOOKUP(N422, 'SIC &amp; NAICS Codes'!A:B, 2, FALSE), "")</f>
        <v>Industrial Organic Chemicals, NEC (aliphatics)</v>
      </c>
      <c r="S422" s="28">
        <v>4.8004535147392202</v>
      </c>
      <c r="T422" s="315">
        <f>_xlfn.MAXIFS('Raw Period DMR Data'!$O:$O,'Raw Period DMR Data'!$A:$A,'Raw Annual DMR Data'!B422,'Raw Period DMR Data'!$C:$C,X422)/S422</f>
        <v>0</v>
      </c>
      <c r="U422" s="28" t="str">
        <f>+IF(COUNTIFS('Raw Period DMR Data'!$A:$A,B422, 'Raw Period DMR Data'!C:C,'Raw Annual DMR Data'!X422, 'Raw Period DMR Data'!M:M, "&gt;0")&gt;0,_xlfn.MAXIFS('Raw Period DMR Data'!M:M,'Raw Period DMR Data'!$A:$A,'Raw Annual DMR Data'!B422,'Raw Period DMR Data'!C:C,'Raw Annual DMR Data'!X422), "N/A - Period DMR Data Not Available")</f>
        <v>N/A - Period DMR Data Not Available</v>
      </c>
      <c r="V422" s="28" t="str" cm="1">
        <f t="array" ref="V422">IFERROR(INDEX('Raw Period DMR Data'!N:N,MATCH(1,(B422='Raw Period DMR Data'!$A:$A)*(U422='Raw Period DMR Data'!M:M)*(X422='Raw Period DMR Data'!C:C),0),1), "N/A")</f>
        <v>N/A</v>
      </c>
      <c r="W422" s="28" t="s">
        <v>1463</v>
      </c>
      <c r="X422" s="28" t="s">
        <v>1736</v>
      </c>
      <c r="Y422" s="28" t="s">
        <v>1737</v>
      </c>
      <c r="Z422" s="28">
        <v>7140201000696</v>
      </c>
      <c r="AA422" s="28"/>
      <c r="AB422" s="28" t="s">
        <v>1465</v>
      </c>
      <c r="AC422" s="28" t="s">
        <v>1466</v>
      </c>
    </row>
    <row r="423" spans="1:29" x14ac:dyDescent="0.25">
      <c r="A423" s="61">
        <v>110000746211</v>
      </c>
      <c r="B423" s="28">
        <v>2017</v>
      </c>
      <c r="C423" s="68">
        <f t="shared" si="6"/>
        <v>42736</v>
      </c>
      <c r="D423" s="28" t="s">
        <v>1105</v>
      </c>
      <c r="E423" s="28" t="s">
        <v>1735</v>
      </c>
      <c r="F423" s="28" t="s">
        <v>1106</v>
      </c>
      <c r="G423" s="28" t="s">
        <v>345</v>
      </c>
      <c r="H423" s="28">
        <v>61953</v>
      </c>
      <c r="I423" s="28">
        <v>39.795811999999998</v>
      </c>
      <c r="J423" s="28">
        <v>-88.347945999999993</v>
      </c>
      <c r="K423" s="28" t="s">
        <v>714</v>
      </c>
      <c r="L423" s="61">
        <v>110000746211</v>
      </c>
      <c r="M423" s="28" t="s">
        <v>253</v>
      </c>
      <c r="N423" s="28">
        <v>2869</v>
      </c>
      <c r="O423" s="28" t="str">
        <f>IFERROR(VLOOKUP(N423, 'SIC &amp; NAICS Codes'!A:B, 2, FALSE), "")</f>
        <v>Industrial Organic Chemicals, NEC (aliphatics)</v>
      </c>
      <c r="S423" s="28">
        <v>9.26984126984126</v>
      </c>
      <c r="T423" s="315">
        <f>_xlfn.MAXIFS('Raw Period DMR Data'!$O:$O,'Raw Period DMR Data'!$A:$A,'Raw Annual DMR Data'!B423,'Raw Period DMR Data'!$C:$C,X423)/S423</f>
        <v>0</v>
      </c>
      <c r="U423" s="28" t="str">
        <f>+IF(COUNTIFS('Raw Period DMR Data'!$A:$A,B423, 'Raw Period DMR Data'!C:C,'Raw Annual DMR Data'!X423, 'Raw Period DMR Data'!M:M, "&gt;0")&gt;0,_xlfn.MAXIFS('Raw Period DMR Data'!M:M,'Raw Period DMR Data'!$A:$A,'Raw Annual DMR Data'!B423,'Raw Period DMR Data'!C:C,'Raw Annual DMR Data'!X423), "N/A - Period DMR Data Not Available")</f>
        <v>N/A - Period DMR Data Not Available</v>
      </c>
      <c r="V423" s="28" t="str" cm="1">
        <f t="array" ref="V423">IFERROR(INDEX('Raw Period DMR Data'!N:N,MATCH(1,(B423='Raw Period DMR Data'!$A:$A)*(U423='Raw Period DMR Data'!M:M)*(X423='Raw Period DMR Data'!C:C),0),1), "N/A")</f>
        <v>N/A</v>
      </c>
      <c r="W423" s="28" t="s">
        <v>1463</v>
      </c>
      <c r="X423" s="28" t="s">
        <v>1736</v>
      </c>
      <c r="Y423" s="28" t="s">
        <v>1737</v>
      </c>
      <c r="Z423" s="28">
        <v>7140201000696</v>
      </c>
      <c r="AA423" s="28"/>
      <c r="AB423" s="28" t="s">
        <v>1465</v>
      </c>
      <c r="AC423" s="28" t="s">
        <v>1466</v>
      </c>
    </row>
    <row r="424" spans="1:29" x14ac:dyDescent="0.25">
      <c r="A424" s="61">
        <v>110000746211</v>
      </c>
      <c r="B424" s="28">
        <v>2018</v>
      </c>
      <c r="C424" s="68">
        <f t="shared" si="6"/>
        <v>43101</v>
      </c>
      <c r="D424" s="28" t="s">
        <v>1105</v>
      </c>
      <c r="E424" s="28" t="s">
        <v>1735</v>
      </c>
      <c r="F424" s="28" t="s">
        <v>1106</v>
      </c>
      <c r="G424" s="28" t="s">
        <v>345</v>
      </c>
      <c r="H424" s="28">
        <v>61953</v>
      </c>
      <c r="I424" s="28">
        <v>39.795811999999998</v>
      </c>
      <c r="J424" s="28">
        <v>-88.347945999999993</v>
      </c>
      <c r="K424" s="28" t="s">
        <v>714</v>
      </c>
      <c r="L424" s="61">
        <v>110000746211</v>
      </c>
      <c r="M424" s="28" t="s">
        <v>253</v>
      </c>
      <c r="N424" s="28">
        <v>2869</v>
      </c>
      <c r="O424" s="28" t="str">
        <f>IFERROR(VLOOKUP(N424, 'SIC &amp; NAICS Codes'!A:B, 2, FALSE), "")</f>
        <v>Industrial Organic Chemicals, NEC (aliphatics)</v>
      </c>
      <c r="S424" s="302">
        <v>9.26984126984126</v>
      </c>
      <c r="T424" s="315">
        <f>_xlfn.MAXIFS('Raw Period DMR Data'!$O:$O,'Raw Period DMR Data'!$A:$A,'Raw Annual DMR Data'!B424,'Raw Period DMR Data'!$C:$C,X424)/S424</f>
        <v>0</v>
      </c>
      <c r="U424" s="28" t="str">
        <f>+IF(COUNTIFS('Raw Period DMR Data'!$A:$A,B424, 'Raw Period DMR Data'!C:C,'Raw Annual DMR Data'!X424, 'Raw Period DMR Data'!M:M, "&gt;0")&gt;0,_xlfn.MAXIFS('Raw Period DMR Data'!M:M,'Raw Period DMR Data'!$A:$A,'Raw Annual DMR Data'!B424,'Raw Period DMR Data'!C:C,'Raw Annual DMR Data'!X424), "N/A - Period DMR Data Not Available")</f>
        <v>N/A - Period DMR Data Not Available</v>
      </c>
      <c r="V424" s="28" t="str" cm="1">
        <f t="array" ref="V424">IFERROR(INDEX('Raw Period DMR Data'!N:N,MATCH(1,(B424='Raw Period DMR Data'!$A:$A)*(U424='Raw Period DMR Data'!M:M)*(X424='Raw Period DMR Data'!C:C),0),1), "N/A")</f>
        <v>N/A</v>
      </c>
      <c r="W424" s="28" t="s">
        <v>1463</v>
      </c>
      <c r="X424" s="28" t="s">
        <v>1736</v>
      </c>
      <c r="Y424" s="28" t="s">
        <v>1737</v>
      </c>
      <c r="Z424" s="302" t="s">
        <v>1738</v>
      </c>
      <c r="AA424" s="28"/>
      <c r="AB424" s="28" t="s">
        <v>1465</v>
      </c>
      <c r="AC424" s="28" t="s">
        <v>1466</v>
      </c>
    </row>
    <row r="425" spans="1:29" x14ac:dyDescent="0.25">
      <c r="A425" s="61">
        <v>110000746211</v>
      </c>
      <c r="B425" s="28">
        <v>2019</v>
      </c>
      <c r="C425" s="68">
        <f t="shared" si="6"/>
        <v>43466</v>
      </c>
      <c r="D425" s="28" t="s">
        <v>1105</v>
      </c>
      <c r="E425" s="28" t="s">
        <v>1735</v>
      </c>
      <c r="F425" s="28" t="s">
        <v>1106</v>
      </c>
      <c r="G425" s="28" t="s">
        <v>345</v>
      </c>
      <c r="H425" s="28">
        <v>61953</v>
      </c>
      <c r="I425" s="28">
        <v>39.795811999999998</v>
      </c>
      <c r="J425" s="28">
        <v>-88.347945999999993</v>
      </c>
      <c r="K425" s="28" t="s">
        <v>714</v>
      </c>
      <c r="L425" s="61">
        <v>110000746211</v>
      </c>
      <c r="M425" s="28" t="s">
        <v>253</v>
      </c>
      <c r="N425" s="28">
        <v>2869</v>
      </c>
      <c r="O425" s="28" t="str">
        <f>IFERROR(VLOOKUP(N425, 'SIC &amp; NAICS Codes'!A:B, 2, FALSE), "")</f>
        <v>Industrial Organic Chemicals, NEC (aliphatics)</v>
      </c>
      <c r="S425" s="28">
        <v>3.3934240362811701</v>
      </c>
      <c r="T425" s="315">
        <f>_xlfn.MAXIFS('Raw Period DMR Data'!$O:$O,'Raw Period DMR Data'!$A:$A,'Raw Annual DMR Data'!B425,'Raw Period DMR Data'!$C:$C,X425)/S425</f>
        <v>0</v>
      </c>
      <c r="U425" s="28" t="str">
        <f>+IF(COUNTIFS('Raw Period DMR Data'!$A:$A,B425, 'Raw Period DMR Data'!C:C,'Raw Annual DMR Data'!X425, 'Raw Period DMR Data'!M:M, "&gt;0")&gt;0,_xlfn.MAXIFS('Raw Period DMR Data'!M:M,'Raw Period DMR Data'!$A:$A,'Raw Annual DMR Data'!B425,'Raw Period DMR Data'!C:C,'Raw Annual DMR Data'!X425), "N/A - Period DMR Data Not Available")</f>
        <v>N/A - Period DMR Data Not Available</v>
      </c>
      <c r="V425" s="28" t="str" cm="1">
        <f t="array" ref="V425">IFERROR(INDEX('Raw Period DMR Data'!N:N,MATCH(1,(B425='Raw Period DMR Data'!$A:$A)*(U425='Raw Period DMR Data'!M:M)*(X425='Raw Period DMR Data'!C:C),0),1), "N/A")</f>
        <v>N/A</v>
      </c>
      <c r="W425" s="28" t="s">
        <v>1463</v>
      </c>
      <c r="X425" s="28" t="s">
        <v>1736</v>
      </c>
      <c r="Y425" s="28" t="s">
        <v>1737</v>
      </c>
      <c r="Z425" s="28">
        <v>7140201000696</v>
      </c>
      <c r="AA425" s="28"/>
      <c r="AB425" s="28" t="s">
        <v>1465</v>
      </c>
      <c r="AC425" s="28" t="s">
        <v>1466</v>
      </c>
    </row>
    <row r="426" spans="1:29" x14ac:dyDescent="0.25">
      <c r="A426" s="61">
        <v>110000746211</v>
      </c>
      <c r="B426" s="28">
        <v>2020</v>
      </c>
      <c r="C426" s="68">
        <f t="shared" si="6"/>
        <v>43831</v>
      </c>
      <c r="D426" s="28" t="s">
        <v>1105</v>
      </c>
      <c r="E426" s="28" t="s">
        <v>1735</v>
      </c>
      <c r="F426" s="28" t="s">
        <v>1106</v>
      </c>
      <c r="G426" s="28" t="s">
        <v>345</v>
      </c>
      <c r="H426" s="28">
        <v>61953</v>
      </c>
      <c r="I426" s="28">
        <v>39.795811999999998</v>
      </c>
      <c r="J426" s="28">
        <v>-88.347945999999993</v>
      </c>
      <c r="K426" s="28" t="s">
        <v>714</v>
      </c>
      <c r="L426" s="61">
        <v>110000746211</v>
      </c>
      <c r="M426" s="28" t="s">
        <v>253</v>
      </c>
      <c r="N426" s="28">
        <v>2869</v>
      </c>
      <c r="O426" s="28" t="str">
        <f>IFERROR(VLOOKUP(N426, 'SIC &amp; NAICS Codes'!A:B, 2, FALSE), "")</f>
        <v>Industrial Organic Chemicals, NEC (aliphatics)</v>
      </c>
      <c r="S426" s="28">
        <v>7.6145124716553196</v>
      </c>
      <c r="T426" s="315">
        <f>_xlfn.MAXIFS('Raw Period DMR Data'!$O:$O,'Raw Period DMR Data'!$A:$A,'Raw Annual DMR Data'!B426,'Raw Period DMR Data'!$C:$C,X426)/S426</f>
        <v>0</v>
      </c>
      <c r="U426" s="28" t="str">
        <f>+IF(COUNTIFS('Raw Period DMR Data'!$A:$A,B426, 'Raw Period DMR Data'!C:C,'Raw Annual DMR Data'!X426, 'Raw Period DMR Data'!M:M, "&gt;0")&gt;0,_xlfn.MAXIFS('Raw Period DMR Data'!M:M,'Raw Period DMR Data'!$A:$A,'Raw Annual DMR Data'!B426,'Raw Period DMR Data'!C:C,'Raw Annual DMR Data'!X426), "N/A - Period DMR Data Not Available")</f>
        <v>N/A - Period DMR Data Not Available</v>
      </c>
      <c r="V426" s="28" t="str" cm="1">
        <f t="array" ref="V426">IFERROR(INDEX('Raw Period DMR Data'!N:N,MATCH(1,(B426='Raw Period DMR Data'!$A:$A)*(U426='Raw Period DMR Data'!M:M)*(X426='Raw Period DMR Data'!C:C),0),1), "N/A")</f>
        <v>N/A</v>
      </c>
      <c r="W426" s="28" t="s">
        <v>1463</v>
      </c>
      <c r="X426" s="28" t="s">
        <v>1736</v>
      </c>
      <c r="Y426" s="28" t="s">
        <v>1737</v>
      </c>
      <c r="Z426" s="28">
        <v>7140201000696</v>
      </c>
      <c r="AA426" s="28"/>
      <c r="AB426" s="28" t="s">
        <v>1465</v>
      </c>
      <c r="AC426" s="28" t="s">
        <v>1466</v>
      </c>
    </row>
    <row r="427" spans="1:29" x14ac:dyDescent="0.25">
      <c r="A427" s="61">
        <v>110034641635</v>
      </c>
      <c r="B427" s="28">
        <v>2016</v>
      </c>
      <c r="C427" s="68">
        <f t="shared" si="6"/>
        <v>42370</v>
      </c>
      <c r="D427" s="28" t="s">
        <v>143</v>
      </c>
      <c r="E427" s="28" t="s">
        <v>464</v>
      </c>
      <c r="F427" s="28" t="s">
        <v>465</v>
      </c>
      <c r="G427" s="28" t="s">
        <v>362</v>
      </c>
      <c r="H427" s="28">
        <v>77571</v>
      </c>
      <c r="I427" s="28">
        <v>29.717471</v>
      </c>
      <c r="J427" s="28">
        <v>-95.068008000000006</v>
      </c>
      <c r="K427" s="28" t="s">
        <v>466</v>
      </c>
      <c r="L427" s="61">
        <v>110034641635</v>
      </c>
      <c r="M427" s="28" t="s">
        <v>251</v>
      </c>
      <c r="N427" s="28">
        <v>2869</v>
      </c>
      <c r="O427" s="28" t="str">
        <f>IFERROR(VLOOKUP(N427, 'SIC &amp; NAICS Codes'!A:B, 2, FALSE), "")</f>
        <v>Industrial Organic Chemicals, NEC (aliphatics)</v>
      </c>
      <c r="S427" s="28">
        <v>21.188208616779999</v>
      </c>
      <c r="T427" s="315">
        <f>_xlfn.MAXIFS('Raw Period DMR Data'!$O:$O,'Raw Period DMR Data'!$A:$A,'Raw Annual DMR Data'!B427,'Raw Period DMR Data'!$C:$C,X427)/S427</f>
        <v>0</v>
      </c>
      <c r="U427" s="28" t="str">
        <f>+IF(COUNTIFS('Raw Period DMR Data'!$A:$A,B427, 'Raw Period DMR Data'!C:C,'Raw Annual DMR Data'!X427, 'Raw Period DMR Data'!M:M, "&gt;0")&gt;0,_xlfn.MAXIFS('Raw Period DMR Data'!M:M,'Raw Period DMR Data'!$A:$A,'Raw Annual DMR Data'!B427,'Raw Period DMR Data'!C:C,'Raw Annual DMR Data'!X427), "N/A - Period DMR Data Not Available")</f>
        <v>N/A - Period DMR Data Not Available</v>
      </c>
      <c r="V427" s="28" t="str" cm="1">
        <f t="array" ref="V427">IFERROR(INDEX('Raw Period DMR Data'!N:N,MATCH(1,(B427='Raw Period DMR Data'!$A:$A)*(U427='Raw Period DMR Data'!M:M)*(X427='Raw Period DMR Data'!C:C),0),1), "N/A")</f>
        <v>N/A</v>
      </c>
      <c r="W427" s="28" t="s">
        <v>1463</v>
      </c>
      <c r="X427" s="28" t="s">
        <v>850</v>
      </c>
      <c r="Y427" s="28" t="s">
        <v>851</v>
      </c>
      <c r="Z427" s="61">
        <v>12040104000907</v>
      </c>
      <c r="AA427" s="28"/>
    </row>
    <row r="428" spans="1:29" x14ac:dyDescent="0.25">
      <c r="A428" s="61">
        <v>110034641635</v>
      </c>
      <c r="B428" s="28">
        <v>2016</v>
      </c>
      <c r="C428" s="68">
        <f t="shared" si="6"/>
        <v>42370</v>
      </c>
      <c r="D428" s="28" t="s">
        <v>143</v>
      </c>
      <c r="E428" s="28" t="s">
        <v>464</v>
      </c>
      <c r="F428" s="28" t="s">
        <v>465</v>
      </c>
      <c r="G428" s="28" t="s">
        <v>362</v>
      </c>
      <c r="H428" s="28">
        <v>77571</v>
      </c>
      <c r="I428" s="28">
        <v>29.717471</v>
      </c>
      <c r="J428" s="28">
        <v>-95.068008000000006</v>
      </c>
      <c r="K428" s="28" t="s">
        <v>466</v>
      </c>
      <c r="L428" s="61">
        <v>110034641635</v>
      </c>
      <c r="M428" s="28" t="s">
        <v>251</v>
      </c>
      <c r="N428" s="28">
        <v>2869</v>
      </c>
      <c r="O428" s="28" t="str">
        <f>IFERROR(VLOOKUP(N428, 'SIC &amp; NAICS Codes'!A:B, 2, FALSE), "")</f>
        <v>Industrial Organic Chemicals, NEC (aliphatics)</v>
      </c>
      <c r="S428" s="28">
        <v>1.39047619047619</v>
      </c>
      <c r="T428" s="315">
        <f>_xlfn.MAXIFS('Raw Period DMR Data'!$O:$O,'Raw Period DMR Data'!$A:$A,'Raw Annual DMR Data'!B428,'Raw Period DMR Data'!$C:$C,X428)/S428</f>
        <v>0</v>
      </c>
      <c r="U428" s="28" t="str">
        <f>+IF(COUNTIFS('Raw Period DMR Data'!$A:$A,B428, 'Raw Period DMR Data'!C:C,'Raw Annual DMR Data'!X428, 'Raw Period DMR Data'!M:M, "&gt;0")&gt;0,_xlfn.MAXIFS('Raw Period DMR Data'!M:M,'Raw Period DMR Data'!$A:$A,'Raw Annual DMR Data'!B428,'Raw Period DMR Data'!C:C,'Raw Annual DMR Data'!X428), "N/A - Period DMR Data Not Available")</f>
        <v>N/A - Period DMR Data Not Available</v>
      </c>
      <c r="V428" s="28" t="str" cm="1">
        <f t="array" ref="V428">IFERROR(INDEX('Raw Period DMR Data'!N:N,MATCH(1,(B428='Raw Period DMR Data'!$A:$A)*(U428='Raw Period DMR Data'!M:M)*(X428='Raw Period DMR Data'!C:C),0),1), "N/A")</f>
        <v>N/A</v>
      </c>
      <c r="W428" s="28" t="s">
        <v>1463</v>
      </c>
      <c r="X428" s="28" t="s">
        <v>850</v>
      </c>
      <c r="Y428" s="28" t="s">
        <v>851</v>
      </c>
      <c r="Z428" s="61">
        <v>12040104000907</v>
      </c>
      <c r="AA428" s="28"/>
    </row>
    <row r="429" spans="1:29" x14ac:dyDescent="0.25">
      <c r="A429" s="61">
        <v>110034641635</v>
      </c>
      <c r="B429" s="28">
        <v>2016</v>
      </c>
      <c r="C429" s="68">
        <f t="shared" si="6"/>
        <v>42370</v>
      </c>
      <c r="D429" s="28" t="s">
        <v>143</v>
      </c>
      <c r="E429" s="28" t="s">
        <v>464</v>
      </c>
      <c r="F429" s="28" t="s">
        <v>465</v>
      </c>
      <c r="G429" s="28" t="s">
        <v>362</v>
      </c>
      <c r="H429" s="28">
        <v>77571</v>
      </c>
      <c r="I429" s="28">
        <v>29.717471</v>
      </c>
      <c r="J429" s="28">
        <v>-95.068008000000006</v>
      </c>
      <c r="K429" s="28" t="s">
        <v>466</v>
      </c>
      <c r="L429" s="61">
        <v>110034641635</v>
      </c>
      <c r="M429" s="28" t="s">
        <v>251</v>
      </c>
      <c r="N429" s="28">
        <v>2869</v>
      </c>
      <c r="O429" s="28" t="str">
        <f>IFERROR(VLOOKUP(N429, 'SIC &amp; NAICS Codes'!A:B, 2, FALSE), "")</f>
        <v>Industrial Organic Chemicals, NEC (aliphatics)</v>
      </c>
      <c r="S429" s="28">
        <v>1.11569160997732</v>
      </c>
      <c r="T429" s="315">
        <f>_xlfn.MAXIFS('Raw Period DMR Data'!$O:$O,'Raw Period DMR Data'!$A:$A,'Raw Annual DMR Data'!B429,'Raw Period DMR Data'!$C:$C,X429)/S429</f>
        <v>0</v>
      </c>
      <c r="U429" s="28" t="str">
        <f>+IF(COUNTIFS('Raw Period DMR Data'!$A:$A,B429, 'Raw Period DMR Data'!C:C,'Raw Annual DMR Data'!X429, 'Raw Period DMR Data'!M:M, "&gt;0")&gt;0,_xlfn.MAXIFS('Raw Period DMR Data'!M:M,'Raw Period DMR Data'!$A:$A,'Raw Annual DMR Data'!B429,'Raw Period DMR Data'!C:C,'Raw Annual DMR Data'!X429), "N/A - Period DMR Data Not Available")</f>
        <v>N/A - Period DMR Data Not Available</v>
      </c>
      <c r="V429" s="28" t="str" cm="1">
        <f t="array" ref="V429">IFERROR(INDEX('Raw Period DMR Data'!N:N,MATCH(1,(B429='Raw Period DMR Data'!$A:$A)*(U429='Raw Period DMR Data'!M:M)*(X429='Raw Period DMR Data'!C:C),0),1), "N/A")</f>
        <v>N/A</v>
      </c>
      <c r="W429" s="28" t="s">
        <v>1463</v>
      </c>
      <c r="X429" s="28" t="s">
        <v>850</v>
      </c>
      <c r="Y429" s="28" t="s">
        <v>851</v>
      </c>
      <c r="Z429" s="61">
        <v>12040104000907</v>
      </c>
      <c r="AA429" s="28"/>
    </row>
    <row r="430" spans="1:29" x14ac:dyDescent="0.25">
      <c r="A430" s="61">
        <v>110034641635</v>
      </c>
      <c r="B430" s="28">
        <v>2017</v>
      </c>
      <c r="C430" s="68">
        <f t="shared" si="6"/>
        <v>42736</v>
      </c>
      <c r="D430" s="28" t="s">
        <v>143</v>
      </c>
      <c r="E430" s="28" t="s">
        <v>464</v>
      </c>
      <c r="F430" s="28" t="s">
        <v>465</v>
      </c>
      <c r="G430" s="28" t="s">
        <v>362</v>
      </c>
      <c r="H430" s="28">
        <v>77571</v>
      </c>
      <c r="I430" s="28">
        <v>29.717471</v>
      </c>
      <c r="J430" s="28">
        <v>-95.068008000000006</v>
      </c>
      <c r="K430" s="28" t="s">
        <v>466</v>
      </c>
      <c r="L430" s="61">
        <v>110034641635</v>
      </c>
      <c r="M430" s="28" t="s">
        <v>251</v>
      </c>
      <c r="N430" s="28">
        <v>2869</v>
      </c>
      <c r="O430" s="28" t="str">
        <f>IFERROR(VLOOKUP(N430, 'SIC &amp; NAICS Codes'!A:B, 2, FALSE), "")</f>
        <v>Industrial Organic Chemicals, NEC (aliphatics)</v>
      </c>
      <c r="S430" s="28">
        <v>3.50631045</v>
      </c>
      <c r="T430" s="315">
        <f>_xlfn.MAXIFS('Raw Period DMR Data'!$O:$O,'Raw Period DMR Data'!$A:$A,'Raw Annual DMR Data'!B430,'Raw Period DMR Data'!$C:$C,X430)/S430</f>
        <v>0</v>
      </c>
      <c r="U430" s="28" t="str">
        <f>+IF(COUNTIFS('Raw Period DMR Data'!$A:$A,B430, 'Raw Period DMR Data'!C:C,'Raw Annual DMR Data'!X430, 'Raw Period DMR Data'!M:M, "&gt;0")&gt;0,_xlfn.MAXIFS('Raw Period DMR Data'!M:M,'Raw Period DMR Data'!$A:$A,'Raw Annual DMR Data'!B430,'Raw Period DMR Data'!C:C,'Raw Annual DMR Data'!X430), "N/A - Period DMR Data Not Available")</f>
        <v>N/A - Period DMR Data Not Available</v>
      </c>
      <c r="V430" s="28" t="str" cm="1">
        <f t="array" ref="V430">IFERROR(INDEX('Raw Period DMR Data'!N:N,MATCH(1,(B430='Raw Period DMR Data'!$A:$A)*(U430='Raw Period DMR Data'!M:M)*(X430='Raw Period DMR Data'!C:C),0),1), "N/A")</f>
        <v>N/A</v>
      </c>
      <c r="W430" s="28" t="s">
        <v>1463</v>
      </c>
      <c r="X430" s="28" t="s">
        <v>850</v>
      </c>
      <c r="Y430" s="28" t="s">
        <v>851</v>
      </c>
      <c r="Z430" s="61">
        <v>12040104000907</v>
      </c>
      <c r="AA430" s="28"/>
    </row>
    <row r="431" spans="1:29" x14ac:dyDescent="0.25">
      <c r="A431" s="61">
        <v>110034641635</v>
      </c>
      <c r="B431" s="28">
        <v>2017</v>
      </c>
      <c r="C431" s="68">
        <f t="shared" si="6"/>
        <v>42736</v>
      </c>
      <c r="D431" s="28" t="s">
        <v>143</v>
      </c>
      <c r="E431" s="28" t="s">
        <v>464</v>
      </c>
      <c r="F431" s="28" t="s">
        <v>465</v>
      </c>
      <c r="G431" s="28" t="s">
        <v>362</v>
      </c>
      <c r="H431" s="28">
        <v>77571</v>
      </c>
      <c r="I431" s="28">
        <v>29.717471</v>
      </c>
      <c r="J431" s="28">
        <v>-95.068008000000006</v>
      </c>
      <c r="K431" s="28" t="s">
        <v>466</v>
      </c>
      <c r="L431" s="61">
        <v>110034641635</v>
      </c>
      <c r="M431" s="28" t="s">
        <v>251</v>
      </c>
      <c r="N431" s="28">
        <v>2869</v>
      </c>
      <c r="O431" s="28" t="str">
        <f>IFERROR(VLOOKUP(N431, 'SIC &amp; NAICS Codes'!A:B, 2, FALSE), "")</f>
        <v>Industrial Organic Chemicals, NEC (aliphatics)</v>
      </c>
      <c r="S431" s="28">
        <v>1.14217687074829</v>
      </c>
      <c r="T431" s="315">
        <f>_xlfn.MAXIFS('Raw Period DMR Data'!$O:$O,'Raw Period DMR Data'!$A:$A,'Raw Annual DMR Data'!B431,'Raw Period DMR Data'!$C:$C,X431)/S431</f>
        <v>0</v>
      </c>
      <c r="U431" s="28" t="str">
        <f>+IF(COUNTIFS('Raw Period DMR Data'!$A:$A,B431, 'Raw Period DMR Data'!C:C,'Raw Annual DMR Data'!X431, 'Raw Period DMR Data'!M:M, "&gt;0")&gt;0,_xlfn.MAXIFS('Raw Period DMR Data'!M:M,'Raw Period DMR Data'!$A:$A,'Raw Annual DMR Data'!B431,'Raw Period DMR Data'!C:C,'Raw Annual DMR Data'!X431), "N/A - Period DMR Data Not Available")</f>
        <v>N/A - Period DMR Data Not Available</v>
      </c>
      <c r="V431" s="28" t="str" cm="1">
        <f t="array" ref="V431">IFERROR(INDEX('Raw Period DMR Data'!N:N,MATCH(1,(B431='Raw Period DMR Data'!$A:$A)*(U431='Raw Period DMR Data'!M:M)*(X431='Raw Period DMR Data'!C:C),0),1), "N/A")</f>
        <v>N/A</v>
      </c>
      <c r="W431" s="28" t="s">
        <v>1463</v>
      </c>
      <c r="X431" s="28" t="s">
        <v>850</v>
      </c>
      <c r="Y431" s="28" t="s">
        <v>851</v>
      </c>
      <c r="Z431" s="61">
        <v>12040104000907</v>
      </c>
      <c r="AA431" s="28"/>
    </row>
    <row r="432" spans="1:29" x14ac:dyDescent="0.25">
      <c r="A432" s="61">
        <v>110034641635</v>
      </c>
      <c r="B432" s="28">
        <v>2017</v>
      </c>
      <c r="C432" s="68">
        <f t="shared" si="6"/>
        <v>42736</v>
      </c>
      <c r="D432" s="28" t="s">
        <v>143</v>
      </c>
      <c r="E432" s="28" t="s">
        <v>464</v>
      </c>
      <c r="F432" s="28" t="s">
        <v>465</v>
      </c>
      <c r="G432" s="28" t="s">
        <v>362</v>
      </c>
      <c r="H432" s="28">
        <v>77571</v>
      </c>
      <c r="I432" s="28">
        <v>29.717471</v>
      </c>
      <c r="J432" s="28">
        <v>-95.068008000000006</v>
      </c>
      <c r="K432" s="28" t="s">
        <v>466</v>
      </c>
      <c r="L432" s="61">
        <v>110034641635</v>
      </c>
      <c r="M432" s="28" t="s">
        <v>251</v>
      </c>
      <c r="N432" s="28">
        <v>2869</v>
      </c>
      <c r="O432" s="28" t="str">
        <f>IFERROR(VLOOKUP(N432, 'SIC &amp; NAICS Codes'!A:B, 2, FALSE), "")</f>
        <v>Industrial Organic Chemicals, NEC (aliphatics)</v>
      </c>
      <c r="S432" s="28">
        <v>0.28140589569160901</v>
      </c>
      <c r="T432" s="315">
        <f>_xlfn.MAXIFS('Raw Period DMR Data'!$O:$O,'Raw Period DMR Data'!$A:$A,'Raw Annual DMR Data'!B432,'Raw Period DMR Data'!$C:$C,X432)/S432</f>
        <v>0</v>
      </c>
      <c r="U432" s="28" t="str">
        <f>+IF(COUNTIFS('Raw Period DMR Data'!$A:$A,B432, 'Raw Period DMR Data'!C:C,'Raw Annual DMR Data'!X432, 'Raw Period DMR Data'!M:M, "&gt;0")&gt;0,_xlfn.MAXIFS('Raw Period DMR Data'!M:M,'Raw Period DMR Data'!$A:$A,'Raw Annual DMR Data'!B432,'Raw Period DMR Data'!C:C,'Raw Annual DMR Data'!X432), "N/A - Period DMR Data Not Available")</f>
        <v>N/A - Period DMR Data Not Available</v>
      </c>
      <c r="V432" s="28" t="str" cm="1">
        <f t="array" ref="V432">IFERROR(INDEX('Raw Period DMR Data'!N:N,MATCH(1,(B432='Raw Period DMR Data'!$A:$A)*(U432='Raw Period DMR Data'!M:M)*(X432='Raw Period DMR Data'!C:C),0),1), "N/A")</f>
        <v>N/A</v>
      </c>
      <c r="W432" s="28" t="s">
        <v>1463</v>
      </c>
      <c r="X432" s="28" t="s">
        <v>850</v>
      </c>
      <c r="Y432" s="28" t="s">
        <v>851</v>
      </c>
      <c r="Z432" s="61">
        <v>12040104000907</v>
      </c>
      <c r="AA432" s="28"/>
    </row>
    <row r="433" spans="1:29" x14ac:dyDescent="0.25">
      <c r="A433" s="61">
        <v>110034641635</v>
      </c>
      <c r="B433" s="28">
        <v>2017</v>
      </c>
      <c r="C433" s="68">
        <f t="shared" si="6"/>
        <v>42736</v>
      </c>
      <c r="D433" s="28" t="s">
        <v>143</v>
      </c>
      <c r="E433" s="28" t="s">
        <v>464</v>
      </c>
      <c r="F433" s="28" t="s">
        <v>465</v>
      </c>
      <c r="G433" s="28" t="s">
        <v>362</v>
      </c>
      <c r="H433" s="28">
        <v>77571</v>
      </c>
      <c r="I433" s="28">
        <v>29.717471</v>
      </c>
      <c r="J433" s="28">
        <v>-95.068008000000006</v>
      </c>
      <c r="K433" s="28" t="s">
        <v>466</v>
      </c>
      <c r="L433" s="61">
        <v>110034641635</v>
      </c>
      <c r="M433" s="28" t="s">
        <v>251</v>
      </c>
      <c r="N433" s="28">
        <v>2869</v>
      </c>
      <c r="O433" s="28" t="str">
        <f>IFERROR(VLOOKUP(N433, 'SIC &amp; NAICS Codes'!A:B, 2, FALSE), "")</f>
        <v>Industrial Organic Chemicals, NEC (aliphatics)</v>
      </c>
      <c r="S433" s="28">
        <v>9.9319727891156395E-2</v>
      </c>
      <c r="T433" s="315">
        <f>_xlfn.MAXIFS('Raw Period DMR Data'!$O:$O,'Raw Period DMR Data'!$A:$A,'Raw Annual DMR Data'!B433,'Raw Period DMR Data'!$C:$C,X433)/S433</f>
        <v>0</v>
      </c>
      <c r="U433" s="28" t="str">
        <f>+IF(COUNTIFS('Raw Period DMR Data'!$A:$A,B433, 'Raw Period DMR Data'!C:C,'Raw Annual DMR Data'!X433, 'Raw Period DMR Data'!M:M, "&gt;0")&gt;0,_xlfn.MAXIFS('Raw Period DMR Data'!M:M,'Raw Period DMR Data'!$A:$A,'Raw Annual DMR Data'!B433,'Raw Period DMR Data'!C:C,'Raw Annual DMR Data'!X433), "N/A - Period DMR Data Not Available")</f>
        <v>N/A - Period DMR Data Not Available</v>
      </c>
      <c r="V433" s="28" t="str" cm="1">
        <f t="array" ref="V433">IFERROR(INDEX('Raw Period DMR Data'!N:N,MATCH(1,(B433='Raw Period DMR Data'!$A:$A)*(U433='Raw Period DMR Data'!M:M)*(X433='Raw Period DMR Data'!C:C),0),1), "N/A")</f>
        <v>N/A</v>
      </c>
      <c r="W433" s="28" t="s">
        <v>1463</v>
      </c>
      <c r="X433" s="28" t="s">
        <v>850</v>
      </c>
      <c r="Y433" s="28" t="s">
        <v>851</v>
      </c>
      <c r="Z433" s="61">
        <v>12040104000907</v>
      </c>
      <c r="AA433" s="28"/>
    </row>
    <row r="434" spans="1:29" x14ac:dyDescent="0.25">
      <c r="A434" s="61">
        <v>110034641635</v>
      </c>
      <c r="B434" s="28">
        <v>2018</v>
      </c>
      <c r="C434" s="68">
        <f t="shared" si="6"/>
        <v>43101</v>
      </c>
      <c r="D434" s="28" t="s">
        <v>143</v>
      </c>
      <c r="E434" s="28" t="s">
        <v>464</v>
      </c>
      <c r="F434" s="28" t="s">
        <v>465</v>
      </c>
      <c r="G434" s="28" t="s">
        <v>362</v>
      </c>
      <c r="H434" s="28">
        <v>77571</v>
      </c>
      <c r="I434" s="28">
        <v>29.717471</v>
      </c>
      <c r="J434" s="28">
        <v>-95.068008000000006</v>
      </c>
      <c r="K434" s="28" t="s">
        <v>466</v>
      </c>
      <c r="L434" s="61">
        <v>110034641635</v>
      </c>
      <c r="M434" s="28" t="s">
        <v>251</v>
      </c>
      <c r="N434" s="28">
        <v>2869</v>
      </c>
      <c r="O434" s="28" t="str">
        <f>IFERROR(VLOOKUP(N434, 'SIC &amp; NAICS Codes'!A:B, 2, FALSE), "")</f>
        <v>Industrial Organic Chemicals, NEC (aliphatics)</v>
      </c>
      <c r="S434" s="28">
        <v>24.167016825000001</v>
      </c>
      <c r="T434" s="315">
        <f>_xlfn.MAXIFS('Raw Period DMR Data'!$O:$O,'Raw Period DMR Data'!$A:$A,'Raw Annual DMR Data'!B434,'Raw Period DMR Data'!$C:$C,X434)/S434</f>
        <v>0</v>
      </c>
      <c r="U434" s="28" t="str">
        <f>+IF(COUNTIFS('Raw Period DMR Data'!$A:$A,B434, 'Raw Period DMR Data'!C:C,'Raw Annual DMR Data'!X434, 'Raw Period DMR Data'!M:M, "&gt;0")&gt;0,_xlfn.MAXIFS('Raw Period DMR Data'!M:M,'Raw Period DMR Data'!$A:$A,'Raw Annual DMR Data'!B434,'Raw Period DMR Data'!C:C,'Raw Annual DMR Data'!X434), "N/A - Period DMR Data Not Available")</f>
        <v>N/A - Period DMR Data Not Available</v>
      </c>
      <c r="V434" s="28" t="str" cm="1">
        <f t="array" ref="V434">IFERROR(INDEX('Raw Period DMR Data'!N:N,MATCH(1,(B434='Raw Period DMR Data'!$A:$A)*(U434='Raw Period DMR Data'!M:M)*(X434='Raw Period DMR Data'!C:C),0),1), "N/A")</f>
        <v>N/A</v>
      </c>
      <c r="W434" s="28" t="s">
        <v>1463</v>
      </c>
      <c r="X434" s="28" t="s">
        <v>850</v>
      </c>
      <c r="Y434" s="28" t="s">
        <v>851</v>
      </c>
      <c r="Z434" s="61">
        <v>12040104000907</v>
      </c>
    </row>
    <row r="435" spans="1:29" x14ac:dyDescent="0.25">
      <c r="A435" s="61">
        <v>110034641635</v>
      </c>
      <c r="B435" s="28">
        <v>2018</v>
      </c>
      <c r="C435" s="68">
        <f t="shared" si="6"/>
        <v>43101</v>
      </c>
      <c r="D435" s="28" t="s">
        <v>143</v>
      </c>
      <c r="E435" s="28" t="s">
        <v>464</v>
      </c>
      <c r="F435" s="28" t="s">
        <v>465</v>
      </c>
      <c r="G435" s="28" t="s">
        <v>362</v>
      </c>
      <c r="H435" s="28">
        <v>77571</v>
      </c>
      <c r="I435" s="28">
        <v>29.717471</v>
      </c>
      <c r="J435" s="28">
        <v>-95.068008000000006</v>
      </c>
      <c r="K435" s="28" t="s">
        <v>466</v>
      </c>
      <c r="L435" s="61">
        <v>110034641635</v>
      </c>
      <c r="M435" s="28" t="s">
        <v>251</v>
      </c>
      <c r="N435" s="28">
        <v>2869</v>
      </c>
      <c r="O435" s="28" t="str">
        <f>IFERROR(VLOOKUP(N435, 'SIC &amp; NAICS Codes'!A:B, 2, FALSE), "")</f>
        <v>Industrial Organic Chemicals, NEC (aliphatics)</v>
      </c>
      <c r="S435" s="28">
        <v>1.3242630385487499</v>
      </c>
      <c r="T435" s="315">
        <f>_xlfn.MAXIFS('Raw Period DMR Data'!$O:$O,'Raw Period DMR Data'!$A:$A,'Raw Annual DMR Data'!B435,'Raw Period DMR Data'!$C:$C,X435)/S435</f>
        <v>0</v>
      </c>
      <c r="U435" s="28" t="str">
        <f>+IF(COUNTIFS('Raw Period DMR Data'!$A:$A,B435, 'Raw Period DMR Data'!C:C,'Raw Annual DMR Data'!X435, 'Raw Period DMR Data'!M:M, "&gt;0")&gt;0,_xlfn.MAXIFS('Raw Period DMR Data'!M:M,'Raw Period DMR Data'!$A:$A,'Raw Annual DMR Data'!B435,'Raw Period DMR Data'!C:C,'Raw Annual DMR Data'!X435), "N/A - Period DMR Data Not Available")</f>
        <v>N/A - Period DMR Data Not Available</v>
      </c>
      <c r="V435" s="28" t="str" cm="1">
        <f t="array" ref="V435">IFERROR(INDEX('Raw Period DMR Data'!N:N,MATCH(1,(B435='Raw Period DMR Data'!$A:$A)*(U435='Raw Period DMR Data'!M:M)*(X435='Raw Period DMR Data'!C:C),0),1), "N/A")</f>
        <v>N/A</v>
      </c>
      <c r="W435" s="28" t="s">
        <v>1463</v>
      </c>
      <c r="X435" s="28" t="s">
        <v>850</v>
      </c>
      <c r="Y435" s="28" t="s">
        <v>851</v>
      </c>
      <c r="Z435" s="61">
        <v>12040104000907</v>
      </c>
    </row>
    <row r="436" spans="1:29" x14ac:dyDescent="0.25">
      <c r="A436" s="61">
        <v>110034641635</v>
      </c>
      <c r="B436" s="28">
        <v>2018</v>
      </c>
      <c r="C436" s="68">
        <f t="shared" si="6"/>
        <v>43101</v>
      </c>
      <c r="D436" s="28" t="s">
        <v>143</v>
      </c>
      <c r="E436" s="28" t="s">
        <v>464</v>
      </c>
      <c r="F436" s="28" t="s">
        <v>465</v>
      </c>
      <c r="G436" s="28" t="s">
        <v>362</v>
      </c>
      <c r="H436" s="28">
        <v>77571</v>
      </c>
      <c r="I436" s="28">
        <v>29.717471</v>
      </c>
      <c r="J436" s="28">
        <v>-95.068008000000006</v>
      </c>
      <c r="K436" s="28" t="s">
        <v>466</v>
      </c>
      <c r="L436" s="61">
        <v>110034641635</v>
      </c>
      <c r="M436" s="28" t="s">
        <v>251</v>
      </c>
      <c r="N436" s="28">
        <v>2869</v>
      </c>
      <c r="O436" s="28" t="str">
        <f>IFERROR(VLOOKUP(N436, 'SIC &amp; NAICS Codes'!A:B, 2, FALSE), "")</f>
        <v>Industrial Organic Chemicals, NEC (aliphatics)</v>
      </c>
      <c r="S436" s="28">
        <v>1.2712925170067999</v>
      </c>
      <c r="T436" s="315">
        <f>_xlfn.MAXIFS('Raw Period DMR Data'!$O:$O,'Raw Period DMR Data'!$A:$A,'Raw Annual DMR Data'!B436,'Raw Period DMR Data'!$C:$C,X436)/S436</f>
        <v>0</v>
      </c>
      <c r="U436" s="28" t="str">
        <f>+IF(COUNTIFS('Raw Period DMR Data'!$A:$A,B436, 'Raw Period DMR Data'!C:C,'Raw Annual DMR Data'!X436, 'Raw Period DMR Data'!M:M, "&gt;0")&gt;0,_xlfn.MAXIFS('Raw Period DMR Data'!M:M,'Raw Period DMR Data'!$A:$A,'Raw Annual DMR Data'!B436,'Raw Period DMR Data'!C:C,'Raw Annual DMR Data'!X436), "N/A - Period DMR Data Not Available")</f>
        <v>N/A - Period DMR Data Not Available</v>
      </c>
      <c r="V436" s="28" t="str" cm="1">
        <f t="array" ref="V436">IFERROR(INDEX('Raw Period DMR Data'!N:N,MATCH(1,(B436='Raw Period DMR Data'!$A:$A)*(U436='Raw Period DMR Data'!M:M)*(X436='Raw Period DMR Data'!C:C),0),1), "N/A")</f>
        <v>N/A</v>
      </c>
      <c r="W436" s="28" t="s">
        <v>1463</v>
      </c>
      <c r="X436" s="28" t="s">
        <v>850</v>
      </c>
      <c r="Y436" s="28" t="s">
        <v>851</v>
      </c>
      <c r="Z436" s="61">
        <v>12040104000907</v>
      </c>
    </row>
    <row r="437" spans="1:29" x14ac:dyDescent="0.25">
      <c r="A437" s="61">
        <v>110034641635</v>
      </c>
      <c r="B437" s="28">
        <v>2018</v>
      </c>
      <c r="C437" s="68">
        <f t="shared" si="6"/>
        <v>43101</v>
      </c>
      <c r="D437" s="28" t="s">
        <v>143</v>
      </c>
      <c r="E437" s="28" t="s">
        <v>464</v>
      </c>
      <c r="F437" s="28" t="s">
        <v>465</v>
      </c>
      <c r="G437" s="28" t="s">
        <v>362</v>
      </c>
      <c r="H437" s="28">
        <v>77571</v>
      </c>
      <c r="I437" s="28">
        <v>29.717471</v>
      </c>
      <c r="J437" s="28">
        <v>-95.068008000000006</v>
      </c>
      <c r="K437" s="28" t="s">
        <v>466</v>
      </c>
      <c r="L437" s="61">
        <v>110034641635</v>
      </c>
      <c r="M437" s="28" t="s">
        <v>251</v>
      </c>
      <c r="N437" s="28">
        <v>2869</v>
      </c>
      <c r="O437" s="28" t="str">
        <f>IFERROR(VLOOKUP(N437, 'SIC &amp; NAICS Codes'!A:B, 2, FALSE), "")</f>
        <v>Industrial Organic Chemicals, NEC (aliphatics)</v>
      </c>
      <c r="S437" s="28">
        <v>1.12562358276643</v>
      </c>
      <c r="T437" s="315">
        <f>_xlfn.MAXIFS('Raw Period DMR Data'!$O:$O,'Raw Period DMR Data'!$A:$A,'Raw Annual DMR Data'!B437,'Raw Period DMR Data'!$C:$C,X437)/S437</f>
        <v>0</v>
      </c>
      <c r="U437" s="28" t="str">
        <f>+IF(COUNTIFS('Raw Period DMR Data'!$A:$A,B437, 'Raw Period DMR Data'!C:C,'Raw Annual DMR Data'!X437, 'Raw Period DMR Data'!M:M, "&gt;0")&gt;0,_xlfn.MAXIFS('Raw Period DMR Data'!M:M,'Raw Period DMR Data'!$A:$A,'Raw Annual DMR Data'!B437,'Raw Period DMR Data'!C:C,'Raw Annual DMR Data'!X437), "N/A - Period DMR Data Not Available")</f>
        <v>N/A - Period DMR Data Not Available</v>
      </c>
      <c r="V437" s="28" t="str" cm="1">
        <f t="array" ref="V437">IFERROR(INDEX('Raw Period DMR Data'!N:N,MATCH(1,(B437='Raw Period DMR Data'!$A:$A)*(U437='Raw Period DMR Data'!M:M)*(X437='Raw Period DMR Data'!C:C),0),1), "N/A")</f>
        <v>N/A</v>
      </c>
      <c r="W437" s="28" t="s">
        <v>1463</v>
      </c>
      <c r="X437" s="28" t="s">
        <v>850</v>
      </c>
      <c r="Y437" s="28" t="s">
        <v>851</v>
      </c>
      <c r="Z437" s="61">
        <v>12040104000907</v>
      </c>
    </row>
    <row r="438" spans="1:29" x14ac:dyDescent="0.25">
      <c r="A438" s="61">
        <v>110034641635</v>
      </c>
      <c r="B438" s="28">
        <v>2019</v>
      </c>
      <c r="C438" s="68">
        <f t="shared" si="6"/>
        <v>43466</v>
      </c>
      <c r="D438" s="28" t="s">
        <v>143</v>
      </c>
      <c r="E438" s="28" t="s">
        <v>464</v>
      </c>
      <c r="F438" s="28" t="s">
        <v>465</v>
      </c>
      <c r="G438" s="28" t="s">
        <v>362</v>
      </c>
      <c r="H438" s="28">
        <v>77571</v>
      </c>
      <c r="I438" s="28">
        <v>29.717471</v>
      </c>
      <c r="J438" s="28">
        <v>-95.068008000000006</v>
      </c>
      <c r="K438" s="28" t="s">
        <v>466</v>
      </c>
      <c r="L438" s="61">
        <v>110034641635</v>
      </c>
      <c r="M438" s="28" t="s">
        <v>251</v>
      </c>
      <c r="N438" s="28">
        <v>2869</v>
      </c>
      <c r="O438" s="28" t="str">
        <f>IFERROR(VLOOKUP(N438, 'SIC &amp; NAICS Codes'!A:B, 2, FALSE), "")</f>
        <v>Industrial Organic Chemicals, NEC (aliphatics)</v>
      </c>
      <c r="S438" s="28">
        <v>4.4208800000000004</v>
      </c>
      <c r="T438" s="315">
        <f>_xlfn.MAXIFS('Raw Period DMR Data'!$O:$O,'Raw Period DMR Data'!$A:$A,'Raw Annual DMR Data'!B438,'Raw Period DMR Data'!$C:$C,X438)/S438</f>
        <v>0</v>
      </c>
      <c r="U438" s="28" t="str">
        <f>+IF(COUNTIFS('Raw Period DMR Data'!$A:$A,B438, 'Raw Period DMR Data'!C:C,'Raw Annual DMR Data'!X438, 'Raw Period DMR Data'!M:M, "&gt;0")&gt;0,_xlfn.MAXIFS('Raw Period DMR Data'!M:M,'Raw Period DMR Data'!$A:$A,'Raw Annual DMR Data'!B438,'Raw Period DMR Data'!C:C,'Raw Annual DMR Data'!X438), "N/A - Period DMR Data Not Available")</f>
        <v>N/A - Period DMR Data Not Available</v>
      </c>
      <c r="V438" s="28" t="str" cm="1">
        <f t="array" ref="V438">IFERROR(INDEX('Raw Period DMR Data'!N:N,MATCH(1,(B438='Raw Period DMR Data'!$A:$A)*(U438='Raw Period DMR Data'!M:M)*(X438='Raw Period DMR Data'!C:C),0),1), "N/A")</f>
        <v>N/A</v>
      </c>
      <c r="W438" s="28" t="s">
        <v>1463</v>
      </c>
      <c r="X438" s="28" t="s">
        <v>850</v>
      </c>
      <c r="Y438" s="28" t="s">
        <v>851</v>
      </c>
      <c r="Z438" s="61">
        <v>12040104000907</v>
      </c>
    </row>
    <row r="439" spans="1:29" x14ac:dyDescent="0.25">
      <c r="A439" s="61">
        <v>110034641635</v>
      </c>
      <c r="B439" s="28">
        <v>2019</v>
      </c>
      <c r="C439" s="68">
        <f t="shared" si="6"/>
        <v>43466</v>
      </c>
      <c r="D439" s="28" t="s">
        <v>143</v>
      </c>
      <c r="E439" s="28" t="s">
        <v>464</v>
      </c>
      <c r="F439" s="28" t="s">
        <v>465</v>
      </c>
      <c r="G439" s="28" t="s">
        <v>362</v>
      </c>
      <c r="H439" s="28">
        <v>77571</v>
      </c>
      <c r="I439" s="28">
        <v>29.717471</v>
      </c>
      <c r="J439" s="28">
        <v>-95.068008000000006</v>
      </c>
      <c r="K439" s="28" t="s">
        <v>466</v>
      </c>
      <c r="L439" s="61">
        <v>110034641635</v>
      </c>
      <c r="M439" s="28" t="s">
        <v>251</v>
      </c>
      <c r="N439" s="28">
        <v>2869</v>
      </c>
      <c r="O439" s="28" t="str">
        <f>IFERROR(VLOOKUP(N439, 'SIC &amp; NAICS Codes'!A:B, 2, FALSE), "")</f>
        <v>Industrial Organic Chemicals, NEC (aliphatics)</v>
      </c>
      <c r="S439" s="28">
        <v>2.3174603174603101</v>
      </c>
      <c r="T439" s="315">
        <f>_xlfn.MAXIFS('Raw Period DMR Data'!$O:$O,'Raw Period DMR Data'!$A:$A,'Raw Annual DMR Data'!B439,'Raw Period DMR Data'!$C:$C,X439)/S439</f>
        <v>0</v>
      </c>
      <c r="U439" s="28" t="str">
        <f>+IF(COUNTIFS('Raw Period DMR Data'!$A:$A,B439, 'Raw Period DMR Data'!C:C,'Raw Annual DMR Data'!X439, 'Raw Period DMR Data'!M:M, "&gt;0")&gt;0,_xlfn.MAXIFS('Raw Period DMR Data'!M:M,'Raw Period DMR Data'!$A:$A,'Raw Annual DMR Data'!B439,'Raw Period DMR Data'!C:C,'Raw Annual DMR Data'!X439), "N/A - Period DMR Data Not Available")</f>
        <v>N/A - Period DMR Data Not Available</v>
      </c>
      <c r="V439" s="28" t="str" cm="1">
        <f t="array" ref="V439">IFERROR(INDEX('Raw Period DMR Data'!N:N,MATCH(1,(B439='Raw Period DMR Data'!$A:$A)*(U439='Raw Period DMR Data'!M:M)*(X439='Raw Period DMR Data'!C:C),0),1), "N/A")</f>
        <v>N/A</v>
      </c>
      <c r="W439" s="28" t="s">
        <v>1463</v>
      </c>
      <c r="X439" s="28" t="s">
        <v>850</v>
      </c>
      <c r="Y439" s="28" t="s">
        <v>851</v>
      </c>
      <c r="Z439" s="61">
        <v>12040104000907</v>
      </c>
    </row>
    <row r="440" spans="1:29" x14ac:dyDescent="0.25">
      <c r="A440" s="61">
        <v>110034641635</v>
      </c>
      <c r="B440" s="28">
        <v>2019</v>
      </c>
      <c r="C440" s="68">
        <f t="shared" si="6"/>
        <v>43466</v>
      </c>
      <c r="D440" s="28" t="s">
        <v>143</v>
      </c>
      <c r="E440" s="28" t="s">
        <v>464</v>
      </c>
      <c r="F440" s="28" t="s">
        <v>465</v>
      </c>
      <c r="G440" s="28" t="s">
        <v>362</v>
      </c>
      <c r="H440" s="28">
        <v>77571</v>
      </c>
      <c r="I440" s="28">
        <v>29.717471</v>
      </c>
      <c r="J440" s="28">
        <v>-95.068008000000006</v>
      </c>
      <c r="K440" s="28" t="s">
        <v>466</v>
      </c>
      <c r="L440" s="61">
        <v>110034641635</v>
      </c>
      <c r="M440" s="28" t="s">
        <v>251</v>
      </c>
      <c r="N440" s="28">
        <v>2869</v>
      </c>
      <c r="O440" s="28" t="str">
        <f>IFERROR(VLOOKUP(N440, 'SIC &amp; NAICS Codes'!A:B, 2, FALSE), "")</f>
        <v>Industrial Organic Chemicals, NEC (aliphatics)</v>
      </c>
      <c r="S440" s="28">
        <v>1.8208616780045299</v>
      </c>
      <c r="T440" s="315">
        <f>_xlfn.MAXIFS('Raw Period DMR Data'!$O:$O,'Raw Period DMR Data'!$A:$A,'Raw Annual DMR Data'!B440,'Raw Period DMR Data'!$C:$C,X440)/S440</f>
        <v>0</v>
      </c>
      <c r="U440" s="28" t="str">
        <f>+IF(COUNTIFS('Raw Period DMR Data'!$A:$A,B440, 'Raw Period DMR Data'!C:C,'Raw Annual DMR Data'!X440, 'Raw Period DMR Data'!M:M, "&gt;0")&gt;0,_xlfn.MAXIFS('Raw Period DMR Data'!M:M,'Raw Period DMR Data'!$A:$A,'Raw Annual DMR Data'!B440,'Raw Period DMR Data'!C:C,'Raw Annual DMR Data'!X440), "N/A - Period DMR Data Not Available")</f>
        <v>N/A - Period DMR Data Not Available</v>
      </c>
      <c r="V440" s="28" t="str" cm="1">
        <f t="array" ref="V440">IFERROR(INDEX('Raw Period DMR Data'!N:N,MATCH(1,(B440='Raw Period DMR Data'!$A:$A)*(U440='Raw Period DMR Data'!M:M)*(X440='Raw Period DMR Data'!C:C),0),1), "N/A")</f>
        <v>N/A</v>
      </c>
      <c r="W440" s="28" t="s">
        <v>1463</v>
      </c>
      <c r="X440" s="28" t="s">
        <v>850</v>
      </c>
      <c r="Y440" s="28" t="s">
        <v>851</v>
      </c>
      <c r="Z440" s="61">
        <v>12040104000907</v>
      </c>
    </row>
    <row r="441" spans="1:29" x14ac:dyDescent="0.25">
      <c r="A441" s="61">
        <v>110034641635</v>
      </c>
      <c r="B441" s="28">
        <v>2019</v>
      </c>
      <c r="C441" s="68">
        <f t="shared" si="6"/>
        <v>43466</v>
      </c>
      <c r="D441" s="28" t="s">
        <v>143</v>
      </c>
      <c r="E441" s="28" t="s">
        <v>464</v>
      </c>
      <c r="F441" s="28" t="s">
        <v>465</v>
      </c>
      <c r="G441" s="28" t="s">
        <v>362</v>
      </c>
      <c r="H441" s="28">
        <v>77571</v>
      </c>
      <c r="I441" s="28">
        <v>29.717471</v>
      </c>
      <c r="J441" s="28">
        <v>-95.068008000000006</v>
      </c>
      <c r="K441" s="28" t="s">
        <v>466</v>
      </c>
      <c r="L441" s="61">
        <v>110034641635</v>
      </c>
      <c r="M441" s="28" t="s">
        <v>251</v>
      </c>
      <c r="N441" s="28">
        <v>2869</v>
      </c>
      <c r="O441" s="28" t="str">
        <f>IFERROR(VLOOKUP(N441, 'SIC &amp; NAICS Codes'!A:B, 2, FALSE), "")</f>
        <v>Industrial Organic Chemicals, NEC (aliphatics)</v>
      </c>
      <c r="S441" s="28">
        <v>0.94353741496598598</v>
      </c>
      <c r="T441" s="315">
        <f>_xlfn.MAXIFS('Raw Period DMR Data'!$O:$O,'Raw Period DMR Data'!$A:$A,'Raw Annual DMR Data'!B441,'Raw Period DMR Data'!$C:$C,X441)/S441</f>
        <v>0</v>
      </c>
      <c r="U441" s="28" t="str">
        <f>+IF(COUNTIFS('Raw Period DMR Data'!$A:$A,B441, 'Raw Period DMR Data'!C:C,'Raw Annual DMR Data'!X441, 'Raw Period DMR Data'!M:M, "&gt;0")&gt;0,_xlfn.MAXIFS('Raw Period DMR Data'!M:M,'Raw Period DMR Data'!$A:$A,'Raw Annual DMR Data'!B441,'Raw Period DMR Data'!C:C,'Raw Annual DMR Data'!X441), "N/A - Period DMR Data Not Available")</f>
        <v>N/A - Period DMR Data Not Available</v>
      </c>
      <c r="V441" s="28" t="str" cm="1">
        <f t="array" ref="V441">IFERROR(INDEX('Raw Period DMR Data'!N:N,MATCH(1,(B441='Raw Period DMR Data'!$A:$A)*(U441='Raw Period DMR Data'!M:M)*(X441='Raw Period DMR Data'!C:C),0),1), "N/A")</f>
        <v>N/A</v>
      </c>
      <c r="W441" s="28" t="s">
        <v>1463</v>
      </c>
      <c r="X441" s="28" t="s">
        <v>850</v>
      </c>
      <c r="Y441" s="28" t="s">
        <v>851</v>
      </c>
      <c r="Z441" s="61">
        <v>12040104000907</v>
      </c>
    </row>
    <row r="442" spans="1:29" x14ac:dyDescent="0.25">
      <c r="A442" s="61">
        <v>110001143584</v>
      </c>
      <c r="B442" s="28">
        <v>2015</v>
      </c>
      <c r="C442" s="68">
        <f t="shared" si="6"/>
        <v>42005</v>
      </c>
      <c r="D442" s="28" t="s">
        <v>144</v>
      </c>
      <c r="E442" s="28" t="s">
        <v>467</v>
      </c>
      <c r="F442" s="28" t="s">
        <v>302</v>
      </c>
      <c r="G442" s="28" t="s">
        <v>303</v>
      </c>
      <c r="H442" s="28">
        <v>70805</v>
      </c>
      <c r="I442" s="28">
        <v>30.498353999999999</v>
      </c>
      <c r="J442" s="28">
        <v>-91.181038000000001</v>
      </c>
      <c r="L442" s="61">
        <v>110001143584</v>
      </c>
      <c r="M442" s="28" t="s">
        <v>254</v>
      </c>
      <c r="N442" s="28">
        <v>2869</v>
      </c>
      <c r="O442" s="28" t="str">
        <f>IFERROR(VLOOKUP(N442, 'SIC &amp; NAICS Codes'!A:B, 2, FALSE), "")</f>
        <v>Industrial Organic Chemicals, NEC (aliphatics)</v>
      </c>
      <c r="S442" s="28">
        <v>9.4908874999999997E-3</v>
      </c>
      <c r="T442" s="315">
        <f>_xlfn.MAXIFS('Raw Period DMR Data'!$O:$O,'Raw Period DMR Data'!$A:$A,'Raw Annual DMR Data'!B442,'Raw Period DMR Data'!$C:$C,X442)/S442</f>
        <v>0</v>
      </c>
      <c r="U442" s="28" t="str">
        <f>+IF(COUNTIFS('Raw Period DMR Data'!$A:$A,B442, 'Raw Period DMR Data'!C:C,'Raw Annual DMR Data'!X442, 'Raw Period DMR Data'!M:M, "&gt;0")&gt;0,_xlfn.MAXIFS('Raw Period DMR Data'!M:M,'Raw Period DMR Data'!$A:$A,'Raw Annual DMR Data'!B442,'Raw Period DMR Data'!C:C,'Raw Annual DMR Data'!X442), "N/A - Period DMR Data Not Available")</f>
        <v>N/A - Period DMR Data Not Available</v>
      </c>
      <c r="V442" s="28" t="str" cm="1">
        <f t="array" ref="V442">IFERROR(INDEX('Raw Period DMR Data'!N:N,MATCH(1,(B442='Raw Period DMR Data'!$A:$A)*(U442='Raw Period DMR Data'!M:M)*(X442='Raw Period DMR Data'!C:C),0),1), "N/A")</f>
        <v>N/A</v>
      </c>
      <c r="W442" s="28" t="s">
        <v>1463</v>
      </c>
      <c r="X442" s="28" t="s">
        <v>852</v>
      </c>
      <c r="Y442" s="28">
        <v>701</v>
      </c>
      <c r="Z442" s="61">
        <v>8070201006480</v>
      </c>
    </row>
    <row r="443" spans="1:29" x14ac:dyDescent="0.25">
      <c r="A443" s="61">
        <v>110001143584</v>
      </c>
      <c r="B443" s="28">
        <v>2015</v>
      </c>
      <c r="C443" s="68">
        <f t="shared" si="6"/>
        <v>42005</v>
      </c>
      <c r="D443" s="28" t="s">
        <v>144</v>
      </c>
      <c r="E443" s="28" t="s">
        <v>467</v>
      </c>
      <c r="F443" s="28" t="s">
        <v>302</v>
      </c>
      <c r="G443" s="28" t="s">
        <v>303</v>
      </c>
      <c r="H443" s="28">
        <v>70805</v>
      </c>
      <c r="I443" s="28">
        <v>30.498353999999999</v>
      </c>
      <c r="J443" s="28">
        <v>-91.181038000000001</v>
      </c>
      <c r="L443" s="61">
        <v>110001143584</v>
      </c>
      <c r="M443" s="28" t="s">
        <v>254</v>
      </c>
      <c r="N443" s="28">
        <v>2869</v>
      </c>
      <c r="O443" s="28" t="str">
        <f>IFERROR(VLOOKUP(N443, 'SIC &amp; NAICS Codes'!A:B, 2, FALSE), "")</f>
        <v>Industrial Organic Chemicals, NEC (aliphatics)</v>
      </c>
      <c r="S443" s="28">
        <v>1.2407759899999999</v>
      </c>
      <c r="T443" s="315">
        <f>_xlfn.MAXIFS('Raw Period DMR Data'!$O:$O,'Raw Period DMR Data'!$A:$A,'Raw Annual DMR Data'!B443,'Raw Period DMR Data'!$C:$C,X443)/S443</f>
        <v>0</v>
      </c>
      <c r="U443" s="28" t="str">
        <f>+IF(COUNTIFS('Raw Period DMR Data'!$A:$A,B443, 'Raw Period DMR Data'!C:C,'Raw Annual DMR Data'!X443, 'Raw Period DMR Data'!M:M, "&gt;0")&gt;0,_xlfn.MAXIFS('Raw Period DMR Data'!M:M,'Raw Period DMR Data'!$A:$A,'Raw Annual DMR Data'!B443,'Raw Period DMR Data'!C:C,'Raw Annual DMR Data'!X443), "N/A - Period DMR Data Not Available")</f>
        <v>N/A - Period DMR Data Not Available</v>
      </c>
      <c r="V443" s="28" t="str" cm="1">
        <f t="array" ref="V443">IFERROR(INDEX('Raw Period DMR Data'!N:N,MATCH(1,(B443='Raw Period DMR Data'!$A:$A)*(U443='Raw Period DMR Data'!M:M)*(X443='Raw Period DMR Data'!C:C),0),1), "N/A")</f>
        <v>N/A</v>
      </c>
      <c r="W443" s="28" t="s">
        <v>1463</v>
      </c>
      <c r="X443" s="28" t="s">
        <v>852</v>
      </c>
      <c r="Y443" s="28">
        <v>701</v>
      </c>
      <c r="Z443" s="61">
        <v>8070201006480</v>
      </c>
    </row>
    <row r="444" spans="1:29" x14ac:dyDescent="0.25">
      <c r="A444" s="61">
        <v>110001143584</v>
      </c>
      <c r="B444" s="28">
        <v>2016</v>
      </c>
      <c r="C444" s="68">
        <f t="shared" si="6"/>
        <v>42370</v>
      </c>
      <c r="D444" s="28" t="s">
        <v>144</v>
      </c>
      <c r="E444" s="28" t="s">
        <v>467</v>
      </c>
      <c r="F444" s="28" t="s">
        <v>302</v>
      </c>
      <c r="G444" s="28" t="s">
        <v>303</v>
      </c>
      <c r="H444" s="28">
        <v>70805</v>
      </c>
      <c r="I444" s="28">
        <v>30.498353999999999</v>
      </c>
      <c r="J444" s="28">
        <v>-91.181038000000001</v>
      </c>
      <c r="L444" s="61">
        <v>110001143584</v>
      </c>
      <c r="M444" s="28" t="s">
        <v>254</v>
      </c>
      <c r="N444" s="28">
        <v>2869</v>
      </c>
      <c r="O444" s="28" t="str">
        <f>IFERROR(VLOOKUP(N444, 'SIC &amp; NAICS Codes'!A:B, 2, FALSE), "")</f>
        <v>Industrial Organic Chemicals, NEC (aliphatics)</v>
      </c>
      <c r="S444" s="28">
        <v>0.42782990500000001</v>
      </c>
      <c r="T444" s="315">
        <f>_xlfn.MAXIFS('Raw Period DMR Data'!$O:$O,'Raw Period DMR Data'!$A:$A,'Raw Annual DMR Data'!B444,'Raw Period DMR Data'!$C:$C,X444)/S444</f>
        <v>0</v>
      </c>
      <c r="U444" s="28" t="str">
        <f>+IF(COUNTIFS('Raw Period DMR Data'!$A:$A,B444, 'Raw Period DMR Data'!C:C,'Raw Annual DMR Data'!X444, 'Raw Period DMR Data'!M:M, "&gt;0")&gt;0,_xlfn.MAXIFS('Raw Period DMR Data'!M:M,'Raw Period DMR Data'!$A:$A,'Raw Annual DMR Data'!B444,'Raw Period DMR Data'!C:C,'Raw Annual DMR Data'!X444), "N/A - Period DMR Data Not Available")</f>
        <v>N/A - Period DMR Data Not Available</v>
      </c>
      <c r="V444" s="28" t="str" cm="1">
        <f t="array" ref="V444">IFERROR(INDEX('Raw Period DMR Data'!N:N,MATCH(1,(B444='Raw Period DMR Data'!$A:$A)*(U444='Raw Period DMR Data'!M:M)*(X444='Raw Period DMR Data'!C:C),0),1), "N/A")</f>
        <v>N/A</v>
      </c>
      <c r="W444" s="28" t="s">
        <v>1463</v>
      </c>
      <c r="X444" s="28" t="s">
        <v>852</v>
      </c>
      <c r="Y444" s="28">
        <v>701</v>
      </c>
      <c r="Z444" s="61">
        <v>8070201006480</v>
      </c>
      <c r="AA444" s="28"/>
    </row>
    <row r="445" spans="1:29" x14ac:dyDescent="0.25">
      <c r="A445" s="61">
        <v>110001143584</v>
      </c>
      <c r="B445" s="28">
        <v>2016</v>
      </c>
      <c r="C445" s="68">
        <f t="shared" si="6"/>
        <v>42370</v>
      </c>
      <c r="D445" s="28" t="s">
        <v>144</v>
      </c>
      <c r="E445" s="28" t="s">
        <v>467</v>
      </c>
      <c r="F445" s="28" t="s">
        <v>302</v>
      </c>
      <c r="G445" s="28" t="s">
        <v>303</v>
      </c>
      <c r="H445" s="28">
        <v>70805</v>
      </c>
      <c r="I445" s="28">
        <v>30.498353999999999</v>
      </c>
      <c r="J445" s="28">
        <v>-91.181038000000001</v>
      </c>
      <c r="L445" s="61">
        <v>110001143584</v>
      </c>
      <c r="M445" s="28" t="s">
        <v>254</v>
      </c>
      <c r="N445" s="28">
        <v>2869</v>
      </c>
      <c r="O445" s="28" t="str">
        <f>IFERROR(VLOOKUP(N445, 'SIC &amp; NAICS Codes'!A:B, 2, FALSE), "")</f>
        <v>Industrial Organic Chemicals, NEC (aliphatics)</v>
      </c>
      <c r="S445" s="28">
        <v>5.6790139999999996E-3</v>
      </c>
      <c r="T445" s="315">
        <f>_xlfn.MAXIFS('Raw Period DMR Data'!$O:$O,'Raw Period DMR Data'!$A:$A,'Raw Annual DMR Data'!B445,'Raw Period DMR Data'!$C:$C,X445)/S445</f>
        <v>0</v>
      </c>
      <c r="U445" s="28" t="str">
        <f>+IF(COUNTIFS('Raw Period DMR Data'!$A:$A,B445, 'Raw Period DMR Data'!C:C,'Raw Annual DMR Data'!X445, 'Raw Period DMR Data'!M:M, "&gt;0")&gt;0,_xlfn.MAXIFS('Raw Period DMR Data'!M:M,'Raw Period DMR Data'!$A:$A,'Raw Annual DMR Data'!B445,'Raw Period DMR Data'!C:C,'Raw Annual DMR Data'!X445), "N/A - Period DMR Data Not Available")</f>
        <v>N/A - Period DMR Data Not Available</v>
      </c>
      <c r="V445" s="28" t="str" cm="1">
        <f t="array" ref="V445">IFERROR(INDEX('Raw Period DMR Data'!N:N,MATCH(1,(B445='Raw Period DMR Data'!$A:$A)*(U445='Raw Period DMR Data'!M:M)*(X445='Raw Period DMR Data'!C:C),0),1), "N/A")</f>
        <v>N/A</v>
      </c>
      <c r="W445" s="28" t="s">
        <v>1463</v>
      </c>
      <c r="X445" s="28" t="s">
        <v>852</v>
      </c>
      <c r="Y445" s="28">
        <v>701</v>
      </c>
      <c r="Z445" s="61">
        <v>8070201006480</v>
      </c>
      <c r="AA445" s="28"/>
    </row>
    <row r="446" spans="1:29" x14ac:dyDescent="0.25">
      <c r="A446" s="61">
        <v>110001143584</v>
      </c>
      <c r="B446" s="28">
        <v>2017</v>
      </c>
      <c r="C446" s="68">
        <f t="shared" si="6"/>
        <v>42736</v>
      </c>
      <c r="D446" s="28" t="s">
        <v>144</v>
      </c>
      <c r="E446" s="28" t="s">
        <v>467</v>
      </c>
      <c r="F446" s="28" t="s">
        <v>302</v>
      </c>
      <c r="G446" s="28" t="s">
        <v>303</v>
      </c>
      <c r="H446" s="28">
        <v>70805</v>
      </c>
      <c r="I446" s="28">
        <v>30.498353999999999</v>
      </c>
      <c r="J446" s="28">
        <v>-91.181038000000001</v>
      </c>
      <c r="L446" s="61">
        <v>110001143584</v>
      </c>
      <c r="M446" s="28" t="s">
        <v>254</v>
      </c>
      <c r="N446" s="28">
        <v>2869</v>
      </c>
      <c r="O446" s="28" t="str">
        <f>IFERROR(VLOOKUP(N446, 'SIC &amp; NAICS Codes'!A:B, 2, FALSE), "")</f>
        <v>Industrial Organic Chemicals, NEC (aliphatics)</v>
      </c>
      <c r="S446" s="28">
        <v>0.24335279000000001</v>
      </c>
      <c r="T446" s="315">
        <f>_xlfn.MAXIFS('Raw Period DMR Data'!$O:$O,'Raw Period DMR Data'!$A:$A,'Raw Annual DMR Data'!B446,'Raw Period DMR Data'!$C:$C,X446)/S446</f>
        <v>0</v>
      </c>
      <c r="U446" s="28" t="str">
        <f>+IF(COUNTIFS('Raw Period DMR Data'!$A:$A,B446, 'Raw Period DMR Data'!C:C,'Raw Annual DMR Data'!X446, 'Raw Period DMR Data'!M:M, "&gt;0")&gt;0,_xlfn.MAXIFS('Raw Period DMR Data'!M:M,'Raw Period DMR Data'!$A:$A,'Raw Annual DMR Data'!B446,'Raw Period DMR Data'!C:C,'Raw Annual DMR Data'!X446), "N/A - Period DMR Data Not Available")</f>
        <v>N/A - Period DMR Data Not Available</v>
      </c>
      <c r="V446" s="28" t="str" cm="1">
        <f t="array" ref="V446">IFERROR(INDEX('Raw Period DMR Data'!N:N,MATCH(1,(B446='Raw Period DMR Data'!$A:$A)*(U446='Raw Period DMR Data'!M:M)*(X446='Raw Period DMR Data'!C:C),0),1), "N/A")</f>
        <v>N/A</v>
      </c>
      <c r="W446" s="28" t="s">
        <v>1463</v>
      </c>
      <c r="X446" s="28" t="s">
        <v>852</v>
      </c>
      <c r="Y446" s="28">
        <v>701</v>
      </c>
      <c r="Z446" s="61">
        <v>8070201006480</v>
      </c>
      <c r="AA446" s="28"/>
    </row>
    <row r="447" spans="1:29" x14ac:dyDescent="0.25">
      <c r="A447" s="61">
        <v>110001143584</v>
      </c>
      <c r="B447" s="28">
        <v>2017</v>
      </c>
      <c r="C447" s="68">
        <f t="shared" si="6"/>
        <v>42736</v>
      </c>
      <c r="D447" s="28" t="s">
        <v>144</v>
      </c>
      <c r="E447" s="28" t="s">
        <v>467</v>
      </c>
      <c r="F447" s="28" t="s">
        <v>302</v>
      </c>
      <c r="G447" s="28" t="s">
        <v>303</v>
      </c>
      <c r="H447" s="28">
        <v>70805</v>
      </c>
      <c r="I447" s="28">
        <v>30.498353999999999</v>
      </c>
      <c r="J447" s="28">
        <v>-91.181038000000001</v>
      </c>
      <c r="L447" s="61">
        <v>110001143584</v>
      </c>
      <c r="M447" s="28" t="s">
        <v>254</v>
      </c>
      <c r="N447" s="28">
        <v>2869</v>
      </c>
      <c r="O447" s="28" t="str">
        <f>IFERROR(VLOOKUP(N447, 'SIC &amp; NAICS Codes'!A:B, 2, FALSE), "")</f>
        <v>Industrial Organic Chemicals, NEC (aliphatics)</v>
      </c>
      <c r="S447" s="28">
        <v>2.8303268610000001E-2</v>
      </c>
      <c r="T447" s="315">
        <f>_xlfn.MAXIFS('Raw Period DMR Data'!$O:$O,'Raw Period DMR Data'!$A:$A,'Raw Annual DMR Data'!B447,'Raw Period DMR Data'!$C:$C,X447)/S447</f>
        <v>0</v>
      </c>
      <c r="U447" s="28" t="str">
        <f>+IF(COUNTIFS('Raw Period DMR Data'!$A:$A,B447, 'Raw Period DMR Data'!C:C,'Raw Annual DMR Data'!X447, 'Raw Period DMR Data'!M:M, "&gt;0")&gt;0,_xlfn.MAXIFS('Raw Period DMR Data'!M:M,'Raw Period DMR Data'!$A:$A,'Raw Annual DMR Data'!B447,'Raw Period DMR Data'!C:C,'Raw Annual DMR Data'!X447), "N/A - Period DMR Data Not Available")</f>
        <v>N/A - Period DMR Data Not Available</v>
      </c>
      <c r="V447" s="28" t="str" cm="1">
        <f t="array" ref="V447">IFERROR(INDEX('Raw Period DMR Data'!N:N,MATCH(1,(B447='Raw Period DMR Data'!$A:$A)*(U447='Raw Period DMR Data'!M:M)*(X447='Raw Period DMR Data'!C:C),0),1), "N/A")</f>
        <v>N/A</v>
      </c>
      <c r="W447" s="28" t="s">
        <v>1463</v>
      </c>
      <c r="X447" s="28" t="s">
        <v>852</v>
      </c>
      <c r="Y447" s="28">
        <v>701</v>
      </c>
      <c r="Z447" s="61">
        <v>8070201006480</v>
      </c>
      <c r="AA447" s="28"/>
    </row>
    <row r="448" spans="1:29" x14ac:dyDescent="0.25">
      <c r="A448" s="61">
        <v>110001143584</v>
      </c>
      <c r="B448" s="28">
        <v>2015</v>
      </c>
      <c r="C448" s="68">
        <f t="shared" si="6"/>
        <v>42005</v>
      </c>
      <c r="D448" s="28" t="s">
        <v>144</v>
      </c>
      <c r="E448" s="28" t="s">
        <v>467</v>
      </c>
      <c r="F448" s="28" t="s">
        <v>302</v>
      </c>
      <c r="G448" s="28" t="s">
        <v>303</v>
      </c>
      <c r="H448" s="28">
        <v>70805</v>
      </c>
      <c r="I448" s="28">
        <v>30.494948000000001</v>
      </c>
      <c r="J448" s="28">
        <v>-91.178173999999999</v>
      </c>
      <c r="L448" s="61">
        <v>110001143584</v>
      </c>
      <c r="M448" s="28" t="s">
        <v>254</v>
      </c>
      <c r="N448" s="28">
        <v>2869</v>
      </c>
      <c r="O448" s="28" t="str">
        <f>IFERROR(VLOOKUP(N448, 'SIC &amp; NAICS Codes'!A:B, 2, FALSE), "")</f>
        <v>Industrial Organic Chemicals, NEC (aliphatics)</v>
      </c>
      <c r="S448" s="28">
        <v>2.2189562499999999E-2</v>
      </c>
      <c r="T448" s="315">
        <f>_xlfn.MAXIFS('Raw Period DMR Data'!$O:$O,'Raw Period DMR Data'!$A:$A,'Raw Annual DMR Data'!B448,'Raw Period DMR Data'!$C:$C,X448)/S448</f>
        <v>0</v>
      </c>
      <c r="U448" s="28" t="str">
        <f>+IF(COUNTIFS('Raw Period DMR Data'!$A:$A,B448, 'Raw Period DMR Data'!C:C,'Raw Annual DMR Data'!X448, 'Raw Period DMR Data'!M:M, "&gt;0")&gt;0,_xlfn.MAXIFS('Raw Period DMR Data'!M:M,'Raw Period DMR Data'!$A:$A,'Raw Annual DMR Data'!B448,'Raw Period DMR Data'!C:C,'Raw Annual DMR Data'!X448), "N/A - Period DMR Data Not Available")</f>
        <v>N/A - Period DMR Data Not Available</v>
      </c>
      <c r="V448" s="28" t="str" cm="1">
        <f t="array" ref="V448">IFERROR(INDEX('Raw Period DMR Data'!N:N,MATCH(1,(B448='Raw Period DMR Data'!$A:$A)*(U448='Raw Period DMR Data'!M:M)*(X448='Raw Period DMR Data'!C:C),0),1), "N/A")</f>
        <v>N/A</v>
      </c>
      <c r="W448" s="28" t="s">
        <v>1463</v>
      </c>
      <c r="X448" s="28" t="s">
        <v>852</v>
      </c>
      <c r="Y448" s="28">
        <v>701</v>
      </c>
      <c r="Z448" s="28">
        <v>8070201006480</v>
      </c>
      <c r="AA448" s="28"/>
      <c r="AB448" s="28" t="s">
        <v>1465</v>
      </c>
      <c r="AC448" s="28" t="s">
        <v>1466</v>
      </c>
    </row>
    <row r="449" spans="1:29" x14ac:dyDescent="0.25">
      <c r="A449" s="61">
        <v>110001143584</v>
      </c>
      <c r="B449" s="28">
        <v>2017</v>
      </c>
      <c r="C449" s="68">
        <f t="shared" si="6"/>
        <v>42736</v>
      </c>
      <c r="D449" s="28" t="s">
        <v>144</v>
      </c>
      <c r="E449" s="28" t="s">
        <v>467</v>
      </c>
      <c r="F449" s="28" t="s">
        <v>302</v>
      </c>
      <c r="G449" s="28" t="s">
        <v>303</v>
      </c>
      <c r="H449" s="28">
        <v>70805</v>
      </c>
      <c r="I449" s="28">
        <v>30.494948000000001</v>
      </c>
      <c r="J449" s="28">
        <v>-91.178173999999999</v>
      </c>
      <c r="L449" s="61">
        <v>110001143584</v>
      </c>
      <c r="M449" s="28" t="s">
        <v>254</v>
      </c>
      <c r="N449" s="28">
        <v>2869</v>
      </c>
      <c r="O449" s="28" t="str">
        <f>IFERROR(VLOOKUP(N449, 'SIC &amp; NAICS Codes'!A:B, 2, FALSE), "")</f>
        <v>Industrial Organic Chemicals, NEC (aliphatics)</v>
      </c>
      <c r="S449" s="28">
        <v>0.29991961499999997</v>
      </c>
      <c r="T449" s="315">
        <f>_xlfn.MAXIFS('Raw Period DMR Data'!$O:$O,'Raw Period DMR Data'!$A:$A,'Raw Annual DMR Data'!B449,'Raw Period DMR Data'!$C:$C,X449)/S449</f>
        <v>0</v>
      </c>
      <c r="U449" s="28" t="str">
        <f>+IF(COUNTIFS('Raw Period DMR Data'!$A:$A,B449, 'Raw Period DMR Data'!C:C,'Raw Annual DMR Data'!X449, 'Raw Period DMR Data'!M:M, "&gt;0")&gt;0,_xlfn.MAXIFS('Raw Period DMR Data'!M:M,'Raw Period DMR Data'!$A:$A,'Raw Annual DMR Data'!B449,'Raw Period DMR Data'!C:C,'Raw Annual DMR Data'!X449), "N/A - Period DMR Data Not Available")</f>
        <v>N/A - Period DMR Data Not Available</v>
      </c>
      <c r="V449" s="28" t="str" cm="1">
        <f t="array" ref="V449">IFERROR(INDEX('Raw Period DMR Data'!N:N,MATCH(1,(B449='Raw Period DMR Data'!$A:$A)*(U449='Raw Period DMR Data'!M:M)*(X449='Raw Period DMR Data'!C:C),0),1), "N/A")</f>
        <v>N/A</v>
      </c>
      <c r="W449" s="28" t="s">
        <v>1463</v>
      </c>
      <c r="X449" s="28" t="s">
        <v>852</v>
      </c>
      <c r="Y449" s="28">
        <v>701</v>
      </c>
      <c r="Z449" s="28">
        <v>8070201006480</v>
      </c>
      <c r="AA449" s="28"/>
      <c r="AB449" s="28" t="s">
        <v>1465</v>
      </c>
      <c r="AC449" s="28" t="s">
        <v>1466</v>
      </c>
    </row>
    <row r="450" spans="1:29" x14ac:dyDescent="0.25">
      <c r="A450" s="61">
        <v>110001143584</v>
      </c>
      <c r="B450" s="28">
        <v>2017</v>
      </c>
      <c r="C450" s="68">
        <f t="shared" si="6"/>
        <v>42736</v>
      </c>
      <c r="D450" s="28" t="s">
        <v>144</v>
      </c>
      <c r="E450" s="28" t="s">
        <v>467</v>
      </c>
      <c r="F450" s="28" t="s">
        <v>302</v>
      </c>
      <c r="G450" s="28" t="s">
        <v>303</v>
      </c>
      <c r="H450" s="28">
        <v>70805</v>
      </c>
      <c r="I450" s="28">
        <v>30.494948000000001</v>
      </c>
      <c r="J450" s="28">
        <v>-91.178173999999999</v>
      </c>
      <c r="L450" s="61">
        <v>110001143584</v>
      </c>
      <c r="M450" s="28" t="s">
        <v>254</v>
      </c>
      <c r="N450" s="28">
        <v>2869</v>
      </c>
      <c r="O450" s="28" t="str">
        <f>IFERROR(VLOOKUP(N450, 'SIC &amp; NAICS Codes'!A:B, 2, FALSE), "")</f>
        <v>Industrial Organic Chemicals, NEC (aliphatics)</v>
      </c>
      <c r="S450" s="28">
        <v>4.5922443610000002E-2</v>
      </c>
      <c r="T450" s="315">
        <f>_xlfn.MAXIFS('Raw Period DMR Data'!$O:$O,'Raw Period DMR Data'!$A:$A,'Raw Annual DMR Data'!B450,'Raw Period DMR Data'!$C:$C,X450)/S450</f>
        <v>0</v>
      </c>
      <c r="U450" s="28" t="str">
        <f>+IF(COUNTIFS('Raw Period DMR Data'!$A:$A,B450, 'Raw Period DMR Data'!C:C,'Raw Annual DMR Data'!X450, 'Raw Period DMR Data'!M:M, "&gt;0")&gt;0,_xlfn.MAXIFS('Raw Period DMR Data'!M:M,'Raw Period DMR Data'!$A:$A,'Raw Annual DMR Data'!B450,'Raw Period DMR Data'!C:C,'Raw Annual DMR Data'!X450), "N/A - Period DMR Data Not Available")</f>
        <v>N/A - Period DMR Data Not Available</v>
      </c>
      <c r="V450" s="28" t="str" cm="1">
        <f t="array" ref="V450">IFERROR(INDEX('Raw Period DMR Data'!N:N,MATCH(1,(B450='Raw Period DMR Data'!$A:$A)*(U450='Raw Period DMR Data'!M:M)*(X450='Raw Period DMR Data'!C:C),0),1), "N/A")</f>
        <v>N/A</v>
      </c>
      <c r="W450" s="28" t="s">
        <v>1463</v>
      </c>
      <c r="X450" s="28" t="s">
        <v>852</v>
      </c>
      <c r="Y450" s="28">
        <v>701</v>
      </c>
      <c r="Z450" s="28">
        <v>8070201006480</v>
      </c>
      <c r="AA450" s="28"/>
      <c r="AB450" s="28" t="s">
        <v>1465</v>
      </c>
      <c r="AC450" s="28" t="s">
        <v>1466</v>
      </c>
    </row>
    <row r="451" spans="1:29" x14ac:dyDescent="0.25">
      <c r="A451" s="61">
        <v>110001143584</v>
      </c>
      <c r="B451" s="28">
        <v>2018</v>
      </c>
      <c r="C451" s="68">
        <f t="shared" ref="C451:C514" si="7">DATE(B451, 1, 1)</f>
        <v>43101</v>
      </c>
      <c r="D451" s="28" t="s">
        <v>144</v>
      </c>
      <c r="E451" s="28" t="s">
        <v>467</v>
      </c>
      <c r="F451" s="28" t="s">
        <v>302</v>
      </c>
      <c r="G451" s="28" t="s">
        <v>303</v>
      </c>
      <c r="H451" s="28">
        <v>70805</v>
      </c>
      <c r="I451" s="28">
        <v>30.494948000000001</v>
      </c>
      <c r="J451" s="28">
        <v>-91.178173999999999</v>
      </c>
      <c r="L451" s="61">
        <v>110001143584</v>
      </c>
      <c r="M451" s="28" t="s">
        <v>254</v>
      </c>
      <c r="N451" s="28">
        <v>2869</v>
      </c>
      <c r="O451" s="28" t="str">
        <f>IFERROR(VLOOKUP(N451, 'SIC &amp; NAICS Codes'!A:B, 2, FALSE), "")</f>
        <v>Industrial Organic Chemicals, NEC (aliphatics)</v>
      </c>
      <c r="S451" s="28">
        <v>6.9710843100000003E-2</v>
      </c>
      <c r="T451" s="315">
        <f>_xlfn.MAXIFS('Raw Period DMR Data'!$O:$O,'Raw Period DMR Data'!$A:$A,'Raw Annual DMR Data'!B451,'Raw Period DMR Data'!$C:$C,X451)/S451</f>
        <v>0</v>
      </c>
      <c r="U451" s="28" t="str">
        <f>+IF(COUNTIFS('Raw Period DMR Data'!$A:$A,B451, 'Raw Period DMR Data'!C:C,'Raw Annual DMR Data'!X451, 'Raw Period DMR Data'!M:M, "&gt;0")&gt;0,_xlfn.MAXIFS('Raw Period DMR Data'!M:M,'Raw Period DMR Data'!$A:$A,'Raw Annual DMR Data'!B451,'Raw Period DMR Data'!C:C,'Raw Annual DMR Data'!X451), "N/A - Period DMR Data Not Available")</f>
        <v>N/A - Period DMR Data Not Available</v>
      </c>
      <c r="V451" s="28" t="str" cm="1">
        <f t="array" ref="V451">IFERROR(INDEX('Raw Period DMR Data'!N:N,MATCH(1,(B451='Raw Period DMR Data'!$A:$A)*(U451='Raw Period DMR Data'!M:M)*(X451='Raw Period DMR Data'!C:C),0),1), "N/A")</f>
        <v>N/A</v>
      </c>
      <c r="W451" s="28" t="s">
        <v>1463</v>
      </c>
      <c r="X451" s="28" t="s">
        <v>852</v>
      </c>
      <c r="Y451" s="302" t="s">
        <v>1739</v>
      </c>
      <c r="Z451" s="302" t="s">
        <v>1740</v>
      </c>
      <c r="AA451" s="28"/>
      <c r="AB451" s="28" t="s">
        <v>1465</v>
      </c>
      <c r="AC451" s="28" t="s">
        <v>1466</v>
      </c>
    </row>
    <row r="452" spans="1:29" x14ac:dyDescent="0.25">
      <c r="A452" s="61">
        <v>110001143584</v>
      </c>
      <c r="B452" s="28">
        <v>2018</v>
      </c>
      <c r="C452" s="68">
        <f t="shared" si="7"/>
        <v>43101</v>
      </c>
      <c r="D452" s="28" t="s">
        <v>144</v>
      </c>
      <c r="E452" s="28" t="s">
        <v>467</v>
      </c>
      <c r="F452" s="28" t="s">
        <v>302</v>
      </c>
      <c r="G452" s="28" t="s">
        <v>303</v>
      </c>
      <c r="H452" s="28">
        <v>70805</v>
      </c>
      <c r="I452" s="28">
        <v>30.494948000000001</v>
      </c>
      <c r="J452" s="28">
        <v>-91.178173999999999</v>
      </c>
      <c r="L452" s="61">
        <v>110001143584</v>
      </c>
      <c r="M452" s="28" t="s">
        <v>254</v>
      </c>
      <c r="N452" s="28">
        <v>2869</v>
      </c>
      <c r="O452" s="28" t="str">
        <f>IFERROR(VLOOKUP(N452, 'SIC &amp; NAICS Codes'!A:B, 2, FALSE), "")</f>
        <v>Industrial Organic Chemicals, NEC (aliphatics)</v>
      </c>
      <c r="S452" s="28">
        <v>0.47827827750000002</v>
      </c>
      <c r="T452" s="315">
        <f>_xlfn.MAXIFS('Raw Period DMR Data'!$O:$O,'Raw Period DMR Data'!$A:$A,'Raw Annual DMR Data'!B452,'Raw Period DMR Data'!$C:$C,X452)/S452</f>
        <v>0</v>
      </c>
      <c r="U452" s="28" t="str">
        <f>+IF(COUNTIFS('Raw Period DMR Data'!$A:$A,B452, 'Raw Period DMR Data'!C:C,'Raw Annual DMR Data'!X452, 'Raw Period DMR Data'!M:M, "&gt;0")&gt;0,_xlfn.MAXIFS('Raw Period DMR Data'!M:M,'Raw Period DMR Data'!$A:$A,'Raw Annual DMR Data'!B452,'Raw Period DMR Data'!C:C,'Raw Annual DMR Data'!X452), "N/A - Period DMR Data Not Available")</f>
        <v>N/A - Period DMR Data Not Available</v>
      </c>
      <c r="V452" s="28" t="str" cm="1">
        <f t="array" ref="V452">IFERROR(INDEX('Raw Period DMR Data'!N:N,MATCH(1,(B452='Raw Period DMR Data'!$A:$A)*(U452='Raw Period DMR Data'!M:M)*(X452='Raw Period DMR Data'!C:C),0),1), "N/A")</f>
        <v>N/A</v>
      </c>
      <c r="W452" s="28" t="s">
        <v>1463</v>
      </c>
      <c r="X452" s="28" t="s">
        <v>852</v>
      </c>
      <c r="Y452" s="302" t="s">
        <v>1739</v>
      </c>
      <c r="Z452" s="302" t="s">
        <v>1740</v>
      </c>
      <c r="AA452" s="28"/>
      <c r="AB452" s="28" t="s">
        <v>1465</v>
      </c>
      <c r="AC452" s="28" t="s">
        <v>1466</v>
      </c>
    </row>
    <row r="453" spans="1:29" x14ac:dyDescent="0.25">
      <c r="A453" s="61">
        <v>110001143584</v>
      </c>
      <c r="B453" s="28">
        <v>2019</v>
      </c>
      <c r="C453" s="68">
        <f t="shared" si="7"/>
        <v>43466</v>
      </c>
      <c r="D453" s="28" t="s">
        <v>144</v>
      </c>
      <c r="E453" s="28" t="s">
        <v>467</v>
      </c>
      <c r="F453" s="28" t="s">
        <v>302</v>
      </c>
      <c r="G453" s="28" t="s">
        <v>303</v>
      </c>
      <c r="H453" s="28">
        <v>70805</v>
      </c>
      <c r="I453" s="28">
        <v>30.494948000000001</v>
      </c>
      <c r="J453" s="28">
        <v>-91.178173999999999</v>
      </c>
      <c r="L453" s="61">
        <v>110001143584</v>
      </c>
      <c r="M453" s="28" t="s">
        <v>254</v>
      </c>
      <c r="N453" s="28">
        <v>2869</v>
      </c>
      <c r="O453" s="28" t="str">
        <f>IFERROR(VLOOKUP(N453, 'SIC &amp; NAICS Codes'!A:B, 2, FALSE), "")</f>
        <v>Industrial Organic Chemicals, NEC (aliphatics)</v>
      </c>
      <c r="S453" s="28">
        <v>2.5131169875000001E-2</v>
      </c>
      <c r="T453" s="315">
        <f>_xlfn.MAXIFS('Raw Period DMR Data'!$O:$O,'Raw Period DMR Data'!$A:$A,'Raw Annual DMR Data'!B453,'Raw Period DMR Data'!$C:$C,X453)/S453</f>
        <v>0</v>
      </c>
      <c r="U453" s="28" t="str">
        <f>+IF(COUNTIFS('Raw Period DMR Data'!$A:$A,B453, 'Raw Period DMR Data'!C:C,'Raw Annual DMR Data'!X453, 'Raw Period DMR Data'!M:M, "&gt;0")&gt;0,_xlfn.MAXIFS('Raw Period DMR Data'!M:M,'Raw Period DMR Data'!$A:$A,'Raw Annual DMR Data'!B453,'Raw Period DMR Data'!C:C,'Raw Annual DMR Data'!X453), "N/A - Period DMR Data Not Available")</f>
        <v>N/A - Period DMR Data Not Available</v>
      </c>
      <c r="V453" s="28" t="str" cm="1">
        <f t="array" ref="V453">IFERROR(INDEX('Raw Period DMR Data'!N:N,MATCH(1,(B453='Raw Period DMR Data'!$A:$A)*(U453='Raw Period DMR Data'!M:M)*(X453='Raw Period DMR Data'!C:C),0),1), "N/A")</f>
        <v>N/A</v>
      </c>
      <c r="W453" s="28" t="s">
        <v>1463</v>
      </c>
      <c r="X453" s="28" t="s">
        <v>852</v>
      </c>
      <c r="Y453" s="28">
        <v>701</v>
      </c>
      <c r="Z453" s="28">
        <v>8070201006480</v>
      </c>
      <c r="AA453" s="28"/>
      <c r="AB453" s="28" t="s">
        <v>1465</v>
      </c>
      <c r="AC453" s="28" t="s">
        <v>1466</v>
      </c>
    </row>
    <row r="454" spans="1:29" x14ac:dyDescent="0.25">
      <c r="A454" s="61">
        <v>110001143584</v>
      </c>
      <c r="B454" s="28">
        <v>2019</v>
      </c>
      <c r="C454" s="68">
        <f t="shared" si="7"/>
        <v>43466</v>
      </c>
      <c r="D454" s="28" t="s">
        <v>144</v>
      </c>
      <c r="E454" s="28" t="s">
        <v>467</v>
      </c>
      <c r="F454" s="28" t="s">
        <v>302</v>
      </c>
      <c r="G454" s="28" t="s">
        <v>303</v>
      </c>
      <c r="H454" s="28">
        <v>70805</v>
      </c>
      <c r="I454" s="28">
        <v>30.494948000000001</v>
      </c>
      <c r="J454" s="28">
        <v>-91.178173999999999</v>
      </c>
      <c r="L454" s="61">
        <v>110001143584</v>
      </c>
      <c r="M454" s="28" t="s">
        <v>254</v>
      </c>
      <c r="N454" s="28">
        <v>2869</v>
      </c>
      <c r="O454" s="28" t="str">
        <f>IFERROR(VLOOKUP(N454, 'SIC &amp; NAICS Codes'!A:B, 2, FALSE), "")</f>
        <v>Industrial Organic Chemicals, NEC (aliphatics)</v>
      </c>
      <c r="S454" s="28">
        <v>3.4569256625000002</v>
      </c>
      <c r="T454" s="315">
        <f>_xlfn.MAXIFS('Raw Period DMR Data'!$O:$O,'Raw Period DMR Data'!$A:$A,'Raw Annual DMR Data'!B454,'Raw Period DMR Data'!$C:$C,X454)/S454</f>
        <v>0</v>
      </c>
      <c r="U454" s="28" t="str">
        <f>+IF(COUNTIFS('Raw Period DMR Data'!$A:$A,B454, 'Raw Period DMR Data'!C:C,'Raw Annual DMR Data'!X454, 'Raw Period DMR Data'!M:M, "&gt;0")&gt;0,_xlfn.MAXIFS('Raw Period DMR Data'!M:M,'Raw Period DMR Data'!$A:$A,'Raw Annual DMR Data'!B454,'Raw Period DMR Data'!C:C,'Raw Annual DMR Data'!X454), "N/A - Period DMR Data Not Available")</f>
        <v>N/A - Period DMR Data Not Available</v>
      </c>
      <c r="V454" s="28" t="str" cm="1">
        <f t="array" ref="V454">IFERROR(INDEX('Raw Period DMR Data'!N:N,MATCH(1,(B454='Raw Period DMR Data'!$A:$A)*(U454='Raw Period DMR Data'!M:M)*(X454='Raw Period DMR Data'!C:C),0),1), "N/A")</f>
        <v>N/A</v>
      </c>
      <c r="W454" s="28" t="s">
        <v>1463</v>
      </c>
      <c r="X454" s="28" t="s">
        <v>852</v>
      </c>
      <c r="Y454" s="28">
        <v>701</v>
      </c>
      <c r="Z454" s="28">
        <v>8070201006480</v>
      </c>
      <c r="AA454" s="28"/>
      <c r="AB454" s="28" t="s">
        <v>1465</v>
      </c>
      <c r="AC454" s="28" t="s">
        <v>1466</v>
      </c>
    </row>
    <row r="455" spans="1:29" x14ac:dyDescent="0.25">
      <c r="A455" s="61">
        <v>110001143584</v>
      </c>
      <c r="B455" s="28">
        <v>2020</v>
      </c>
      <c r="C455" s="68">
        <f t="shared" si="7"/>
        <v>43831</v>
      </c>
      <c r="D455" s="28" t="s">
        <v>144</v>
      </c>
      <c r="E455" s="28" t="s">
        <v>467</v>
      </c>
      <c r="F455" s="28" t="s">
        <v>302</v>
      </c>
      <c r="G455" s="28" t="s">
        <v>303</v>
      </c>
      <c r="H455" s="28">
        <v>70805</v>
      </c>
      <c r="I455" s="28">
        <v>30.494948000000001</v>
      </c>
      <c r="J455" s="28">
        <v>-91.178173999999999</v>
      </c>
      <c r="L455" s="61">
        <v>110001143584</v>
      </c>
      <c r="M455" s="28" t="s">
        <v>254</v>
      </c>
      <c r="N455" s="28">
        <v>2869</v>
      </c>
      <c r="O455" s="28" t="str">
        <f>IFERROR(VLOOKUP(N455, 'SIC &amp; NAICS Codes'!A:B, 2, FALSE), "")</f>
        <v>Industrial Organic Chemicals, NEC (aliphatics)</v>
      </c>
      <c r="S455" s="28">
        <v>1.02510993428571</v>
      </c>
      <c r="T455" s="315">
        <f>_xlfn.MAXIFS('Raw Period DMR Data'!$O:$O,'Raw Period DMR Data'!$A:$A,'Raw Annual DMR Data'!B455,'Raw Period DMR Data'!$C:$C,X455)/S455</f>
        <v>0</v>
      </c>
      <c r="U455" s="28" t="str">
        <f>+IF(COUNTIFS('Raw Period DMR Data'!$A:$A,B455, 'Raw Period DMR Data'!C:C,'Raw Annual DMR Data'!X455, 'Raw Period DMR Data'!M:M, "&gt;0")&gt;0,_xlfn.MAXIFS('Raw Period DMR Data'!M:M,'Raw Period DMR Data'!$A:$A,'Raw Annual DMR Data'!B455,'Raw Period DMR Data'!C:C,'Raw Annual DMR Data'!X455), "N/A - Period DMR Data Not Available")</f>
        <v>N/A - Period DMR Data Not Available</v>
      </c>
      <c r="V455" s="28" t="str" cm="1">
        <f t="array" ref="V455">IFERROR(INDEX('Raw Period DMR Data'!N:N,MATCH(1,(B455='Raw Period DMR Data'!$A:$A)*(U455='Raw Period DMR Data'!M:M)*(X455='Raw Period DMR Data'!C:C),0),1), "N/A")</f>
        <v>N/A</v>
      </c>
      <c r="W455" s="28" t="s">
        <v>1463</v>
      </c>
      <c r="X455" s="28" t="s">
        <v>852</v>
      </c>
      <c r="Y455" s="28">
        <v>701</v>
      </c>
      <c r="Z455" s="28">
        <v>8070201006480</v>
      </c>
      <c r="AA455" s="28"/>
      <c r="AB455" s="28" t="s">
        <v>1465</v>
      </c>
      <c r="AC455" s="28" t="s">
        <v>1466</v>
      </c>
    </row>
    <row r="456" spans="1:29" x14ac:dyDescent="0.25">
      <c r="A456" s="61">
        <v>110001143584</v>
      </c>
      <c r="B456" s="28">
        <v>2020</v>
      </c>
      <c r="C456" s="68">
        <f t="shared" si="7"/>
        <v>43831</v>
      </c>
      <c r="D456" s="28" t="s">
        <v>144</v>
      </c>
      <c r="E456" s="28" t="s">
        <v>467</v>
      </c>
      <c r="F456" s="28" t="s">
        <v>302</v>
      </c>
      <c r="G456" s="28" t="s">
        <v>303</v>
      </c>
      <c r="H456" s="28">
        <v>70805</v>
      </c>
      <c r="I456" s="28">
        <v>30.494948000000001</v>
      </c>
      <c r="J456" s="28">
        <v>-91.178173999999999</v>
      </c>
      <c r="L456" s="61">
        <v>110001143584</v>
      </c>
      <c r="M456" s="28" t="s">
        <v>254</v>
      </c>
      <c r="N456" s="28">
        <v>2869</v>
      </c>
      <c r="O456" s="28" t="str">
        <f>IFERROR(VLOOKUP(N456, 'SIC &amp; NAICS Codes'!A:B, 2, FALSE), "")</f>
        <v>Industrial Organic Chemicals, NEC (aliphatics)</v>
      </c>
      <c r="S456" s="28">
        <v>2.1882192112500001E-2</v>
      </c>
      <c r="T456" s="315">
        <f>_xlfn.MAXIFS('Raw Period DMR Data'!$O:$O,'Raw Period DMR Data'!$A:$A,'Raw Annual DMR Data'!B456,'Raw Period DMR Data'!$C:$C,X456)/S456</f>
        <v>0</v>
      </c>
      <c r="U456" s="28" t="str">
        <f>+IF(COUNTIFS('Raw Period DMR Data'!$A:$A,B456, 'Raw Period DMR Data'!C:C,'Raw Annual DMR Data'!X456, 'Raw Period DMR Data'!M:M, "&gt;0")&gt;0,_xlfn.MAXIFS('Raw Period DMR Data'!M:M,'Raw Period DMR Data'!$A:$A,'Raw Annual DMR Data'!B456,'Raw Period DMR Data'!C:C,'Raw Annual DMR Data'!X456), "N/A - Period DMR Data Not Available")</f>
        <v>N/A - Period DMR Data Not Available</v>
      </c>
      <c r="V456" s="28" t="str" cm="1">
        <f t="array" ref="V456">IFERROR(INDEX('Raw Period DMR Data'!N:N,MATCH(1,(B456='Raw Period DMR Data'!$A:$A)*(U456='Raw Period DMR Data'!M:M)*(X456='Raw Period DMR Data'!C:C),0),1), "N/A")</f>
        <v>N/A</v>
      </c>
      <c r="W456" s="28" t="s">
        <v>1463</v>
      </c>
      <c r="X456" s="28" t="s">
        <v>852</v>
      </c>
      <c r="Y456" s="28">
        <v>701</v>
      </c>
      <c r="Z456" s="28">
        <v>8070201006480</v>
      </c>
      <c r="AA456" s="28"/>
      <c r="AB456" s="28" t="s">
        <v>1465</v>
      </c>
      <c r="AC456" s="28" t="s">
        <v>1466</v>
      </c>
    </row>
    <row r="457" spans="1:29" x14ac:dyDescent="0.25">
      <c r="A457" s="61">
        <v>110001143584</v>
      </c>
      <c r="B457" s="28">
        <v>2020</v>
      </c>
      <c r="C457" s="68">
        <f t="shared" si="7"/>
        <v>43831</v>
      </c>
      <c r="D457" s="28" t="s">
        <v>144</v>
      </c>
      <c r="E457" s="28" t="s">
        <v>467</v>
      </c>
      <c r="F457" s="28" t="s">
        <v>302</v>
      </c>
      <c r="G457" s="28" t="s">
        <v>303</v>
      </c>
      <c r="H457" s="28">
        <v>70805</v>
      </c>
      <c r="I457" s="28">
        <v>30.494948000000001</v>
      </c>
      <c r="J457" s="28">
        <v>-91.178173999999999</v>
      </c>
      <c r="L457" s="61">
        <v>110001143584</v>
      </c>
      <c r="M457" s="28" t="s">
        <v>254</v>
      </c>
      <c r="N457" s="28">
        <v>2869</v>
      </c>
      <c r="O457" s="28" t="str">
        <f>IFERROR(VLOOKUP(N457, 'SIC &amp; NAICS Codes'!A:B, 2, FALSE), "")</f>
        <v>Industrial Organic Chemicals, NEC (aliphatics)</v>
      </c>
      <c r="S457" s="28">
        <v>0.64317964285714202</v>
      </c>
      <c r="T457" s="315">
        <f>_xlfn.MAXIFS('Raw Period DMR Data'!$O:$O,'Raw Period DMR Data'!$A:$A,'Raw Annual DMR Data'!B457,'Raw Period DMR Data'!$C:$C,X457)/S457</f>
        <v>0</v>
      </c>
      <c r="U457" s="28" t="str">
        <f>+IF(COUNTIFS('Raw Period DMR Data'!$A:$A,B457, 'Raw Period DMR Data'!C:C,'Raw Annual DMR Data'!X457, 'Raw Period DMR Data'!M:M, "&gt;0")&gt;0,_xlfn.MAXIFS('Raw Period DMR Data'!M:M,'Raw Period DMR Data'!$A:$A,'Raw Annual DMR Data'!B457,'Raw Period DMR Data'!C:C,'Raw Annual DMR Data'!X457), "N/A - Period DMR Data Not Available")</f>
        <v>N/A - Period DMR Data Not Available</v>
      </c>
      <c r="V457" s="28" t="str" cm="1">
        <f t="array" ref="V457">IFERROR(INDEX('Raw Period DMR Data'!N:N,MATCH(1,(B457='Raw Period DMR Data'!$A:$A)*(U457='Raw Period DMR Data'!M:M)*(X457='Raw Period DMR Data'!C:C),0),1), "N/A")</f>
        <v>N/A</v>
      </c>
      <c r="W457" s="28" t="s">
        <v>1463</v>
      </c>
      <c r="X457" s="28" t="s">
        <v>852</v>
      </c>
      <c r="Y457" s="28">
        <v>701</v>
      </c>
      <c r="Z457" s="28">
        <v>8070201006480</v>
      </c>
      <c r="AA457" s="28"/>
      <c r="AB457" s="28" t="s">
        <v>1465</v>
      </c>
      <c r="AC457" s="28" t="s">
        <v>1466</v>
      </c>
    </row>
    <row r="458" spans="1:29" x14ac:dyDescent="0.25">
      <c r="A458" s="61">
        <v>110070212717</v>
      </c>
      <c r="B458" s="28">
        <v>2016</v>
      </c>
      <c r="C458" s="68">
        <f t="shared" si="7"/>
        <v>42370</v>
      </c>
      <c r="D458" s="28" t="s">
        <v>1107</v>
      </c>
      <c r="E458" s="28" t="s">
        <v>1741</v>
      </c>
      <c r="F458" s="28" t="s">
        <v>1108</v>
      </c>
      <c r="G458" s="28" t="s">
        <v>338</v>
      </c>
      <c r="H458" s="28">
        <v>8872</v>
      </c>
      <c r="I458" s="28">
        <v>40.665252000000002</v>
      </c>
      <c r="J458" s="28">
        <v>-74.200059999999993</v>
      </c>
      <c r="L458" s="61">
        <v>110070212717</v>
      </c>
      <c r="M458" s="28" t="s">
        <v>265</v>
      </c>
      <c r="N458" s="28">
        <v>2851</v>
      </c>
      <c r="O458" s="28" t="str">
        <f>IFERROR(VLOOKUP(N458, 'SIC &amp; NAICS Codes'!A:B, 2, FALSE), "")</f>
        <v>Paints, Varnishes, Lacquers, Enamels and Allied Products</v>
      </c>
      <c r="S458" s="28">
        <v>7.1385099999999896E-4</v>
      </c>
      <c r="T458" s="315">
        <f>_xlfn.MAXIFS('Raw Period DMR Data'!$O:$O,'Raw Period DMR Data'!$A:$A,'Raw Annual DMR Data'!B458,'Raw Period DMR Data'!$C:$C,X458)/S458</f>
        <v>0</v>
      </c>
      <c r="U458" s="28" t="str">
        <f>+IF(COUNTIFS('Raw Period DMR Data'!$A:$A,B458, 'Raw Period DMR Data'!C:C,'Raw Annual DMR Data'!X458, 'Raw Period DMR Data'!M:M, "&gt;0")&gt;0,_xlfn.MAXIFS('Raw Period DMR Data'!M:M,'Raw Period DMR Data'!$A:$A,'Raw Annual DMR Data'!B458,'Raw Period DMR Data'!C:C,'Raw Annual DMR Data'!X458), "N/A - Period DMR Data Not Available")</f>
        <v>N/A - Period DMR Data Not Available</v>
      </c>
      <c r="V458" s="28" t="str" cm="1">
        <f t="array" ref="V458">IFERROR(INDEX('Raw Period DMR Data'!N:N,MATCH(1,(B458='Raw Period DMR Data'!$A:$A)*(U458='Raw Period DMR Data'!M:M)*(X458='Raw Period DMR Data'!C:C),0),1), "N/A")</f>
        <v>N/A</v>
      </c>
      <c r="W458" s="28" t="s">
        <v>1463</v>
      </c>
      <c r="X458" s="28" t="s">
        <v>1742</v>
      </c>
      <c r="Y458" s="28" t="s">
        <v>1743</v>
      </c>
      <c r="Z458" s="28">
        <v>2030104000356</v>
      </c>
      <c r="AA458" s="28"/>
      <c r="AB458" s="28" t="s">
        <v>1465</v>
      </c>
      <c r="AC458" s="28" t="s">
        <v>1466</v>
      </c>
    </row>
    <row r="459" spans="1:29" x14ac:dyDescent="0.25">
      <c r="A459" s="61">
        <v>110070212717</v>
      </c>
      <c r="B459" s="28">
        <v>2018</v>
      </c>
      <c r="C459" s="68">
        <f t="shared" si="7"/>
        <v>43101</v>
      </c>
      <c r="D459" s="28" t="s">
        <v>1107</v>
      </c>
      <c r="E459" s="28" t="s">
        <v>1741</v>
      </c>
      <c r="F459" s="28" t="s">
        <v>1108</v>
      </c>
      <c r="G459" s="28" t="s">
        <v>338</v>
      </c>
      <c r="H459" s="302" t="s">
        <v>1744</v>
      </c>
      <c r="I459" s="28">
        <v>40.665252000000002</v>
      </c>
      <c r="J459" s="28">
        <v>-74.200059999999993</v>
      </c>
      <c r="L459" s="61">
        <v>110070212717</v>
      </c>
      <c r="M459" s="28" t="s">
        <v>265</v>
      </c>
      <c r="N459" s="28">
        <v>2851</v>
      </c>
      <c r="O459" s="28" t="str">
        <f>IFERROR(VLOOKUP(N459, 'SIC &amp; NAICS Codes'!A:B, 2, FALSE), "")</f>
        <v>Paints, Varnishes, Lacquers, Enamels and Allied Products</v>
      </c>
      <c r="S459" s="302">
        <v>1.77563812499999E-4</v>
      </c>
      <c r="T459" s="315">
        <f>_xlfn.MAXIFS('Raw Period DMR Data'!$O:$O,'Raw Period DMR Data'!$A:$A,'Raw Annual DMR Data'!B459,'Raw Period DMR Data'!$C:$C,X459)/S459</f>
        <v>0</v>
      </c>
      <c r="U459" s="28" t="str">
        <f>+IF(COUNTIFS('Raw Period DMR Data'!$A:$A,B459, 'Raw Period DMR Data'!C:C,'Raw Annual DMR Data'!X459, 'Raw Period DMR Data'!M:M, "&gt;0")&gt;0,_xlfn.MAXIFS('Raw Period DMR Data'!M:M,'Raw Period DMR Data'!$A:$A,'Raw Annual DMR Data'!B459,'Raw Period DMR Data'!C:C,'Raw Annual DMR Data'!X459), "N/A - Period DMR Data Not Available")</f>
        <v>N/A - Period DMR Data Not Available</v>
      </c>
      <c r="V459" s="28" t="str" cm="1">
        <f t="array" ref="V459">IFERROR(INDEX('Raw Period DMR Data'!N:N,MATCH(1,(B459='Raw Period DMR Data'!$A:$A)*(U459='Raw Period DMR Data'!M:M)*(X459='Raw Period DMR Data'!C:C),0),1), "N/A")</f>
        <v>N/A</v>
      </c>
      <c r="W459" s="28" t="s">
        <v>1463</v>
      </c>
      <c r="X459" s="28" t="s">
        <v>1742</v>
      </c>
      <c r="Y459" s="28" t="s">
        <v>1743</v>
      </c>
      <c r="Z459" s="302" t="s">
        <v>1745</v>
      </c>
      <c r="AA459" s="28"/>
      <c r="AB459" s="28" t="s">
        <v>1465</v>
      </c>
      <c r="AC459" s="28" t="s">
        <v>1466</v>
      </c>
    </row>
    <row r="460" spans="1:29" x14ac:dyDescent="0.25">
      <c r="A460" s="61">
        <v>110070212717</v>
      </c>
      <c r="B460" s="28">
        <v>2019</v>
      </c>
      <c r="C460" s="68">
        <f t="shared" si="7"/>
        <v>43466</v>
      </c>
      <c r="D460" s="28" t="s">
        <v>1107</v>
      </c>
      <c r="E460" s="28" t="s">
        <v>1741</v>
      </c>
      <c r="F460" s="28" t="s">
        <v>1108</v>
      </c>
      <c r="G460" s="28" t="s">
        <v>338</v>
      </c>
      <c r="H460" s="28">
        <v>8872</v>
      </c>
      <c r="I460" s="28">
        <v>40.665252000000002</v>
      </c>
      <c r="J460" s="28">
        <v>-74.200059999999993</v>
      </c>
      <c r="L460" s="61">
        <v>110070212717</v>
      </c>
      <c r="M460" s="28" t="s">
        <v>265</v>
      </c>
      <c r="N460" s="28">
        <v>2851</v>
      </c>
      <c r="O460" s="28" t="str">
        <f>IFERROR(VLOOKUP(N460, 'SIC &amp; NAICS Codes'!A:B, 2, FALSE), "")</f>
        <v>Paints, Varnishes, Lacquers, Enamels and Allied Products</v>
      </c>
      <c r="S460" s="28">
        <v>4.7532029999999901E-4</v>
      </c>
      <c r="T460" s="315">
        <f>_xlfn.MAXIFS('Raw Period DMR Data'!$O:$O,'Raw Period DMR Data'!$A:$A,'Raw Annual DMR Data'!B460,'Raw Period DMR Data'!$C:$C,X460)/S460</f>
        <v>0</v>
      </c>
      <c r="U460" s="28" t="str">
        <f>+IF(COUNTIFS('Raw Period DMR Data'!$A:$A,B460, 'Raw Period DMR Data'!C:C,'Raw Annual DMR Data'!X460, 'Raw Period DMR Data'!M:M, "&gt;0")&gt;0,_xlfn.MAXIFS('Raw Period DMR Data'!M:M,'Raw Period DMR Data'!$A:$A,'Raw Annual DMR Data'!B460,'Raw Period DMR Data'!C:C,'Raw Annual DMR Data'!X460), "N/A - Period DMR Data Not Available")</f>
        <v>N/A - Period DMR Data Not Available</v>
      </c>
      <c r="V460" s="28" t="str" cm="1">
        <f t="array" ref="V460">IFERROR(INDEX('Raw Period DMR Data'!N:N,MATCH(1,(B460='Raw Period DMR Data'!$A:$A)*(U460='Raw Period DMR Data'!M:M)*(X460='Raw Period DMR Data'!C:C),0),1), "N/A")</f>
        <v>N/A</v>
      </c>
      <c r="W460" s="28" t="s">
        <v>1463</v>
      </c>
      <c r="X460" s="28" t="s">
        <v>1742</v>
      </c>
      <c r="Y460" s="28" t="s">
        <v>1743</v>
      </c>
      <c r="Z460" s="28">
        <v>2030104000356</v>
      </c>
      <c r="AA460" s="28"/>
      <c r="AB460" s="28" t="s">
        <v>1465</v>
      </c>
      <c r="AC460" s="28" t="s">
        <v>1466</v>
      </c>
    </row>
    <row r="461" spans="1:29" x14ac:dyDescent="0.25">
      <c r="A461" s="61">
        <v>110070212717</v>
      </c>
      <c r="B461" s="28">
        <v>2020</v>
      </c>
      <c r="C461" s="68">
        <f t="shared" si="7"/>
        <v>43831</v>
      </c>
      <c r="D461" s="28" t="s">
        <v>1107</v>
      </c>
      <c r="E461" s="28" t="s">
        <v>1741</v>
      </c>
      <c r="F461" s="28" t="s">
        <v>1108</v>
      </c>
      <c r="G461" s="28" t="s">
        <v>338</v>
      </c>
      <c r="H461" s="28">
        <v>8872</v>
      </c>
      <c r="I461" s="28">
        <v>40.665252000000002</v>
      </c>
      <c r="J461" s="28">
        <v>-74.200059999999993</v>
      </c>
      <c r="L461" s="61">
        <v>110070212717</v>
      </c>
      <c r="M461" s="28" t="s">
        <v>265</v>
      </c>
      <c r="N461" s="28">
        <v>2851</v>
      </c>
      <c r="O461" s="28" t="str">
        <f>IFERROR(VLOOKUP(N461, 'SIC &amp; NAICS Codes'!A:B, 2, FALSE), "")</f>
        <v>Paints, Varnishes, Lacquers, Enamels and Allied Products</v>
      </c>
      <c r="S461" s="28">
        <v>5.7286429199999902E-4</v>
      </c>
      <c r="T461" s="315">
        <f>_xlfn.MAXIFS('Raw Period DMR Data'!$O:$O,'Raw Period DMR Data'!$A:$A,'Raw Annual DMR Data'!B461,'Raw Period DMR Data'!$C:$C,X461)/S461</f>
        <v>0</v>
      </c>
      <c r="U461" s="28" t="str">
        <f>+IF(COUNTIFS('Raw Period DMR Data'!$A:$A,B461, 'Raw Period DMR Data'!C:C,'Raw Annual DMR Data'!X461, 'Raw Period DMR Data'!M:M, "&gt;0")&gt;0,_xlfn.MAXIFS('Raw Period DMR Data'!M:M,'Raw Period DMR Data'!$A:$A,'Raw Annual DMR Data'!B461,'Raw Period DMR Data'!C:C,'Raw Annual DMR Data'!X461), "N/A - Period DMR Data Not Available")</f>
        <v>N/A - Period DMR Data Not Available</v>
      </c>
      <c r="V461" s="28" t="str" cm="1">
        <f t="array" ref="V461">IFERROR(INDEX('Raw Period DMR Data'!N:N,MATCH(1,(B461='Raw Period DMR Data'!$A:$A)*(U461='Raw Period DMR Data'!M:M)*(X461='Raw Period DMR Data'!C:C),0),1), "N/A")</f>
        <v>N/A</v>
      </c>
      <c r="W461" s="28" t="s">
        <v>1463</v>
      </c>
      <c r="X461" s="28" t="s">
        <v>1742</v>
      </c>
      <c r="Y461" s="28" t="s">
        <v>1743</v>
      </c>
      <c r="Z461" s="28">
        <v>2030104000356</v>
      </c>
      <c r="AA461" s="28"/>
      <c r="AB461" s="28" t="s">
        <v>1465</v>
      </c>
      <c r="AC461" s="28" t="s">
        <v>1466</v>
      </c>
    </row>
    <row r="462" spans="1:29" x14ac:dyDescent="0.25">
      <c r="A462" s="61">
        <v>110000404296</v>
      </c>
      <c r="B462" s="28">
        <v>2018</v>
      </c>
      <c r="C462" s="68">
        <f t="shared" si="7"/>
        <v>43101</v>
      </c>
      <c r="D462" s="28" t="s">
        <v>145</v>
      </c>
      <c r="E462" s="28" t="s">
        <v>468</v>
      </c>
      <c r="F462" s="28" t="s">
        <v>314</v>
      </c>
      <c r="G462" s="28" t="s">
        <v>469</v>
      </c>
      <c r="H462" s="28">
        <v>479099201</v>
      </c>
      <c r="I462" s="28">
        <v>40.390543999999998</v>
      </c>
      <c r="J462" s="28">
        <v>-86.936173999999994</v>
      </c>
      <c r="K462" s="28" t="s">
        <v>470</v>
      </c>
      <c r="L462" s="61">
        <v>110000404296</v>
      </c>
      <c r="M462" s="28" t="s">
        <v>254</v>
      </c>
      <c r="N462" s="28">
        <v>2833</v>
      </c>
      <c r="O462" s="28" t="str">
        <f>IFERROR(VLOOKUP(N462, 'SIC &amp; NAICS Codes'!A:B, 2, FALSE), "")</f>
        <v>Medicinal Chemicals and Botanical Products</v>
      </c>
      <c r="S462" s="28">
        <v>0.104308390022675</v>
      </c>
      <c r="T462" s="315">
        <f>_xlfn.MAXIFS('Raw Period DMR Data'!$O:$O,'Raw Period DMR Data'!$A:$A,'Raw Annual DMR Data'!B462,'Raw Period DMR Data'!$C:$C,X462)/S462</f>
        <v>0</v>
      </c>
      <c r="U462" s="28" t="str">
        <f>+IF(COUNTIFS('Raw Period DMR Data'!$A:$A,B462, 'Raw Period DMR Data'!C:C,'Raw Annual DMR Data'!X462, 'Raw Period DMR Data'!M:M, "&gt;0")&gt;0,_xlfn.MAXIFS('Raw Period DMR Data'!M:M,'Raw Period DMR Data'!$A:$A,'Raw Annual DMR Data'!B462,'Raw Period DMR Data'!C:C,'Raw Annual DMR Data'!X462), "N/A - Period DMR Data Not Available")</f>
        <v>N/A - Period DMR Data Not Available</v>
      </c>
      <c r="V462" s="28" t="str" cm="1">
        <f t="array" ref="V462">IFERROR(INDEX('Raw Period DMR Data'!N:N,MATCH(1,(B462='Raw Period DMR Data'!$A:$A)*(U462='Raw Period DMR Data'!M:M)*(X462='Raw Period DMR Data'!C:C),0),1), "N/A")</f>
        <v>N/A</v>
      </c>
      <c r="W462" s="28" t="s">
        <v>1463</v>
      </c>
      <c r="X462" s="28" t="s">
        <v>853</v>
      </c>
      <c r="Y462" s="28" t="s">
        <v>854</v>
      </c>
      <c r="Z462" s="61">
        <v>5120108000208</v>
      </c>
    </row>
    <row r="463" spans="1:29" x14ac:dyDescent="0.25">
      <c r="A463" s="61">
        <v>110000404296</v>
      </c>
      <c r="B463" s="28">
        <v>2015</v>
      </c>
      <c r="C463" s="68">
        <f t="shared" si="7"/>
        <v>42005</v>
      </c>
      <c r="D463" s="28" t="s">
        <v>145</v>
      </c>
      <c r="E463" s="28" t="s">
        <v>468</v>
      </c>
      <c r="F463" s="28" t="s">
        <v>314</v>
      </c>
      <c r="G463" s="28" t="s">
        <v>469</v>
      </c>
      <c r="H463" s="28">
        <v>479099201</v>
      </c>
      <c r="I463" s="28">
        <v>40.390543999999998</v>
      </c>
      <c r="J463" s="28">
        <v>-86.936173999999994</v>
      </c>
      <c r="K463" s="28" t="s">
        <v>470</v>
      </c>
      <c r="L463" s="61">
        <v>110000404296</v>
      </c>
      <c r="M463" s="28" t="s">
        <v>254</v>
      </c>
      <c r="N463" s="28">
        <v>2833</v>
      </c>
      <c r="O463" s="28" t="str">
        <f>IFERROR(VLOOKUP(N463, 'SIC &amp; NAICS Codes'!A:B, 2, FALSE), "")</f>
        <v>Medicinal Chemicals and Botanical Products</v>
      </c>
      <c r="S463" s="28">
        <v>0.122344671201814</v>
      </c>
      <c r="T463" s="315">
        <f>_xlfn.MAXIFS('Raw Period DMR Data'!$O:$O,'Raw Period DMR Data'!$A:$A,'Raw Annual DMR Data'!B463,'Raw Period DMR Data'!$C:$C,X463)/S463</f>
        <v>0</v>
      </c>
      <c r="U463" s="28" t="str">
        <f>+IF(COUNTIFS('Raw Period DMR Data'!$A:$A,B463, 'Raw Period DMR Data'!C:C,'Raw Annual DMR Data'!X463, 'Raw Period DMR Data'!M:M, "&gt;0")&gt;0,_xlfn.MAXIFS('Raw Period DMR Data'!M:M,'Raw Period DMR Data'!$A:$A,'Raw Annual DMR Data'!B463,'Raw Period DMR Data'!C:C,'Raw Annual DMR Data'!X463), "N/A - Period DMR Data Not Available")</f>
        <v>N/A - Period DMR Data Not Available</v>
      </c>
      <c r="V463" s="28" t="str" cm="1">
        <f t="array" ref="V463">IFERROR(INDEX('Raw Period DMR Data'!N:N,MATCH(1,(B463='Raw Period DMR Data'!$A:$A)*(U463='Raw Period DMR Data'!M:M)*(X463='Raw Period DMR Data'!C:C),0),1), "N/A")</f>
        <v>N/A</v>
      </c>
      <c r="W463" s="28" t="s">
        <v>1463</v>
      </c>
      <c r="X463" s="28" t="s">
        <v>853</v>
      </c>
      <c r="Y463" s="28" t="s">
        <v>854</v>
      </c>
      <c r="Z463" s="28">
        <v>5120108000208</v>
      </c>
      <c r="AA463" s="28"/>
      <c r="AB463" s="28" t="s">
        <v>1465</v>
      </c>
      <c r="AC463" s="28" t="s">
        <v>1466</v>
      </c>
    </row>
    <row r="464" spans="1:29" x14ac:dyDescent="0.25">
      <c r="A464" s="61">
        <v>110000404296</v>
      </c>
      <c r="B464" s="28">
        <v>2016</v>
      </c>
      <c r="C464" s="68">
        <f t="shared" si="7"/>
        <v>42370</v>
      </c>
      <c r="D464" s="28" t="s">
        <v>145</v>
      </c>
      <c r="E464" s="28" t="s">
        <v>468</v>
      </c>
      <c r="F464" s="28" t="s">
        <v>314</v>
      </c>
      <c r="G464" s="28" t="s">
        <v>469</v>
      </c>
      <c r="H464" s="28">
        <v>479099201</v>
      </c>
      <c r="I464" s="28">
        <v>40.390543999999998</v>
      </c>
      <c r="J464" s="28">
        <v>-86.936173999999994</v>
      </c>
      <c r="K464" s="28" t="s">
        <v>470</v>
      </c>
      <c r="L464" s="61">
        <v>110000404296</v>
      </c>
      <c r="M464" s="28" t="s">
        <v>254</v>
      </c>
      <c r="N464" s="28">
        <v>2833</v>
      </c>
      <c r="O464" s="28" t="str">
        <f>IFERROR(VLOOKUP(N464, 'SIC &amp; NAICS Codes'!A:B, 2, FALSE), "")</f>
        <v>Medicinal Chemicals and Botanical Products</v>
      </c>
      <c r="S464" s="28">
        <v>0.23648752834467099</v>
      </c>
      <c r="T464" s="315">
        <f>_xlfn.MAXIFS('Raw Period DMR Data'!$O:$O,'Raw Period DMR Data'!$A:$A,'Raw Annual DMR Data'!B464,'Raw Period DMR Data'!$C:$C,X464)/S464</f>
        <v>0</v>
      </c>
      <c r="U464" s="28" t="str">
        <f>+IF(COUNTIFS('Raw Period DMR Data'!$A:$A,B464, 'Raw Period DMR Data'!C:C,'Raw Annual DMR Data'!X464, 'Raw Period DMR Data'!M:M, "&gt;0")&gt;0,_xlfn.MAXIFS('Raw Period DMR Data'!M:M,'Raw Period DMR Data'!$A:$A,'Raw Annual DMR Data'!B464,'Raw Period DMR Data'!C:C,'Raw Annual DMR Data'!X464), "N/A - Period DMR Data Not Available")</f>
        <v>N/A - Period DMR Data Not Available</v>
      </c>
      <c r="V464" s="28" t="str" cm="1">
        <f t="array" ref="V464">IFERROR(INDEX('Raw Period DMR Data'!N:N,MATCH(1,(B464='Raw Period DMR Data'!$A:$A)*(U464='Raw Period DMR Data'!M:M)*(X464='Raw Period DMR Data'!C:C),0),1), "N/A")</f>
        <v>N/A</v>
      </c>
      <c r="W464" s="28" t="s">
        <v>1463</v>
      </c>
      <c r="X464" s="28" t="s">
        <v>853</v>
      </c>
      <c r="Y464" s="28" t="s">
        <v>854</v>
      </c>
      <c r="Z464" s="28">
        <v>5120108000208</v>
      </c>
      <c r="AA464" s="28"/>
      <c r="AB464" s="28" t="s">
        <v>1465</v>
      </c>
      <c r="AC464" s="28" t="s">
        <v>1466</v>
      </c>
    </row>
    <row r="465" spans="1:29" x14ac:dyDescent="0.25">
      <c r="A465" s="61">
        <v>110000404296</v>
      </c>
      <c r="B465" s="28">
        <v>2017</v>
      </c>
      <c r="C465" s="68">
        <f t="shared" si="7"/>
        <v>42736</v>
      </c>
      <c r="D465" s="28" t="s">
        <v>145</v>
      </c>
      <c r="E465" s="28" t="s">
        <v>468</v>
      </c>
      <c r="F465" s="28" t="s">
        <v>314</v>
      </c>
      <c r="G465" s="28" t="s">
        <v>469</v>
      </c>
      <c r="H465" s="28">
        <v>479099201</v>
      </c>
      <c r="I465" s="28">
        <v>40.390543999999998</v>
      </c>
      <c r="J465" s="28">
        <v>-86.936173999999994</v>
      </c>
      <c r="K465" s="28" t="s">
        <v>470</v>
      </c>
      <c r="L465" s="61">
        <v>110000404296</v>
      </c>
      <c r="M465" s="28" t="s">
        <v>254</v>
      </c>
      <c r="N465" s="28">
        <v>2833</v>
      </c>
      <c r="O465" s="28" t="str">
        <f>IFERROR(VLOOKUP(N465, 'SIC &amp; NAICS Codes'!A:B, 2, FALSE), "")</f>
        <v>Medicinal Chemicals and Botanical Products</v>
      </c>
      <c r="S465" s="28">
        <v>0.12529705215419501</v>
      </c>
      <c r="T465" s="315">
        <f>_xlfn.MAXIFS('Raw Period DMR Data'!$O:$O,'Raw Period DMR Data'!$A:$A,'Raw Annual DMR Data'!B465,'Raw Period DMR Data'!$C:$C,X465)/S465</f>
        <v>0</v>
      </c>
      <c r="U465" s="28" t="str">
        <f>+IF(COUNTIFS('Raw Period DMR Data'!$A:$A,B465, 'Raw Period DMR Data'!C:C,'Raw Annual DMR Data'!X465, 'Raw Period DMR Data'!M:M, "&gt;0")&gt;0,_xlfn.MAXIFS('Raw Period DMR Data'!M:M,'Raw Period DMR Data'!$A:$A,'Raw Annual DMR Data'!B465,'Raw Period DMR Data'!C:C,'Raw Annual DMR Data'!X465), "N/A - Period DMR Data Not Available")</f>
        <v>N/A - Period DMR Data Not Available</v>
      </c>
      <c r="V465" s="28" t="str" cm="1">
        <f t="array" ref="V465">IFERROR(INDEX('Raw Period DMR Data'!N:N,MATCH(1,(B465='Raw Period DMR Data'!$A:$A)*(U465='Raw Period DMR Data'!M:M)*(X465='Raw Period DMR Data'!C:C),0),1), "N/A")</f>
        <v>N/A</v>
      </c>
      <c r="W465" s="28" t="s">
        <v>1463</v>
      </c>
      <c r="X465" s="28" t="s">
        <v>853</v>
      </c>
      <c r="Y465" s="28" t="s">
        <v>854</v>
      </c>
      <c r="Z465" s="28">
        <v>5120108000208</v>
      </c>
      <c r="AA465" s="28"/>
      <c r="AB465" s="28" t="s">
        <v>1465</v>
      </c>
      <c r="AC465" s="28" t="s">
        <v>1466</v>
      </c>
    </row>
    <row r="466" spans="1:29" x14ac:dyDescent="0.25">
      <c r="A466" s="61">
        <v>110000404296</v>
      </c>
      <c r="B466" s="28">
        <v>2018</v>
      </c>
      <c r="C466" s="68">
        <f t="shared" si="7"/>
        <v>43101</v>
      </c>
      <c r="D466" s="28" t="s">
        <v>145</v>
      </c>
      <c r="E466" s="28" t="s">
        <v>468</v>
      </c>
      <c r="F466" s="28" t="s">
        <v>314</v>
      </c>
      <c r="G466" s="28" t="s">
        <v>469</v>
      </c>
      <c r="H466" s="28">
        <v>479099201</v>
      </c>
      <c r="I466" s="28">
        <v>40.390543999999998</v>
      </c>
      <c r="J466" s="28">
        <v>-86.936173999999994</v>
      </c>
      <c r="K466" s="28" t="s">
        <v>470</v>
      </c>
      <c r="L466" s="61">
        <v>110000404296</v>
      </c>
      <c r="M466" s="28" t="s">
        <v>254</v>
      </c>
      <c r="N466" s="28">
        <v>2833</v>
      </c>
      <c r="O466" s="28" t="str">
        <f>IFERROR(VLOOKUP(N466, 'SIC &amp; NAICS Codes'!A:B, 2, FALSE), "")</f>
        <v>Medicinal Chemicals and Botanical Products</v>
      </c>
      <c r="S466" s="302">
        <v>0.40134693877550998</v>
      </c>
      <c r="T466" s="315">
        <f>_xlfn.MAXIFS('Raw Period DMR Data'!$O:$O,'Raw Period DMR Data'!$A:$A,'Raw Annual DMR Data'!B466,'Raw Period DMR Data'!$C:$C,X466)/S466</f>
        <v>0</v>
      </c>
      <c r="U466" s="28" t="str">
        <f>+IF(COUNTIFS('Raw Period DMR Data'!$A:$A,B466, 'Raw Period DMR Data'!C:C,'Raw Annual DMR Data'!X466, 'Raw Period DMR Data'!M:M, "&gt;0")&gt;0,_xlfn.MAXIFS('Raw Period DMR Data'!M:M,'Raw Period DMR Data'!$A:$A,'Raw Annual DMR Data'!B466,'Raw Period DMR Data'!C:C,'Raw Annual DMR Data'!X466), "N/A - Period DMR Data Not Available")</f>
        <v>N/A - Period DMR Data Not Available</v>
      </c>
      <c r="V466" s="28" t="str" cm="1">
        <f t="array" ref="V466">IFERROR(INDEX('Raw Period DMR Data'!N:N,MATCH(1,(B466='Raw Period DMR Data'!$A:$A)*(U466='Raw Period DMR Data'!M:M)*(X466='Raw Period DMR Data'!C:C),0),1), "N/A")</f>
        <v>N/A</v>
      </c>
      <c r="W466" s="28" t="s">
        <v>1463</v>
      </c>
      <c r="X466" s="28" t="s">
        <v>853</v>
      </c>
      <c r="Y466" s="28" t="s">
        <v>854</v>
      </c>
      <c r="Z466" s="302" t="s">
        <v>1746</v>
      </c>
      <c r="AA466" s="28"/>
      <c r="AB466" s="28" t="s">
        <v>1465</v>
      </c>
      <c r="AC466" s="28" t="s">
        <v>1466</v>
      </c>
    </row>
    <row r="467" spans="1:29" x14ac:dyDescent="0.25">
      <c r="A467" s="61">
        <v>110000404296</v>
      </c>
      <c r="B467" s="28">
        <v>2019</v>
      </c>
      <c r="C467" s="68">
        <f t="shared" si="7"/>
        <v>43466</v>
      </c>
      <c r="D467" s="28" t="s">
        <v>145</v>
      </c>
      <c r="E467" s="28" t="s">
        <v>468</v>
      </c>
      <c r="F467" s="28" t="s">
        <v>314</v>
      </c>
      <c r="G467" s="28" t="s">
        <v>469</v>
      </c>
      <c r="H467" s="28">
        <v>479099201</v>
      </c>
      <c r="I467" s="28">
        <v>40.390543999999998</v>
      </c>
      <c r="J467" s="28">
        <v>-86.936173999999994</v>
      </c>
      <c r="K467" s="28" t="s">
        <v>470</v>
      </c>
      <c r="L467" s="61">
        <v>110000404296</v>
      </c>
      <c r="M467" s="28" t="s">
        <v>254</v>
      </c>
      <c r="N467" s="28">
        <v>2833</v>
      </c>
      <c r="O467" s="28" t="str">
        <f>IFERROR(VLOOKUP(N467, 'SIC &amp; NAICS Codes'!A:B, 2, FALSE), "")</f>
        <v>Medicinal Chemicals and Botanical Products</v>
      </c>
      <c r="S467" s="28">
        <v>0.62655555555555498</v>
      </c>
      <c r="T467" s="315">
        <f>_xlfn.MAXIFS('Raw Period DMR Data'!$O:$O,'Raw Period DMR Data'!$A:$A,'Raw Annual DMR Data'!B467,'Raw Period DMR Data'!$C:$C,X467)/S467</f>
        <v>0</v>
      </c>
      <c r="U467" s="28" t="str">
        <f>+IF(COUNTIFS('Raw Period DMR Data'!$A:$A,B467, 'Raw Period DMR Data'!C:C,'Raw Annual DMR Data'!X467, 'Raw Period DMR Data'!M:M, "&gt;0")&gt;0,_xlfn.MAXIFS('Raw Period DMR Data'!M:M,'Raw Period DMR Data'!$A:$A,'Raw Annual DMR Data'!B467,'Raw Period DMR Data'!C:C,'Raw Annual DMR Data'!X467), "N/A - Period DMR Data Not Available")</f>
        <v>N/A - Period DMR Data Not Available</v>
      </c>
      <c r="V467" s="28" t="str" cm="1">
        <f t="array" ref="V467">IFERROR(INDEX('Raw Period DMR Data'!N:N,MATCH(1,(B467='Raw Period DMR Data'!$A:$A)*(U467='Raw Period DMR Data'!M:M)*(X467='Raw Period DMR Data'!C:C),0),1), "N/A")</f>
        <v>N/A</v>
      </c>
      <c r="W467" s="28" t="s">
        <v>1463</v>
      </c>
      <c r="X467" s="28" t="s">
        <v>853</v>
      </c>
      <c r="Y467" s="28" t="s">
        <v>854</v>
      </c>
      <c r="Z467" s="28">
        <v>5120108000208</v>
      </c>
      <c r="AA467" s="28"/>
      <c r="AB467" s="28" t="s">
        <v>1465</v>
      </c>
      <c r="AC467" s="28" t="s">
        <v>1466</v>
      </c>
    </row>
    <row r="468" spans="1:29" x14ac:dyDescent="0.25">
      <c r="A468" s="61">
        <v>110000404296</v>
      </c>
      <c r="B468" s="28">
        <v>2020</v>
      </c>
      <c r="C468" s="68">
        <f t="shared" si="7"/>
        <v>43831</v>
      </c>
      <c r="D468" s="28" t="s">
        <v>145</v>
      </c>
      <c r="E468" s="28" t="s">
        <v>468</v>
      </c>
      <c r="F468" s="28" t="s">
        <v>314</v>
      </c>
      <c r="G468" s="28" t="s">
        <v>469</v>
      </c>
      <c r="H468" s="28">
        <v>479099201</v>
      </c>
      <c r="I468" s="28">
        <v>40.390543999999998</v>
      </c>
      <c r="J468" s="28">
        <v>-86.936173999999994</v>
      </c>
      <c r="K468" s="28" t="s">
        <v>470</v>
      </c>
      <c r="L468" s="61">
        <v>110000404296</v>
      </c>
      <c r="M468" s="28" t="s">
        <v>254</v>
      </c>
      <c r="N468" s="28">
        <v>2833</v>
      </c>
      <c r="O468" s="28" t="str">
        <f>IFERROR(VLOOKUP(N468, 'SIC &amp; NAICS Codes'!A:B, 2, FALSE), "")</f>
        <v>Medicinal Chemicals and Botanical Products</v>
      </c>
      <c r="S468" s="28">
        <v>0.72459863945578196</v>
      </c>
      <c r="T468" s="315">
        <f>_xlfn.MAXIFS('Raw Period DMR Data'!$O:$O,'Raw Period DMR Data'!$A:$A,'Raw Annual DMR Data'!B468,'Raw Period DMR Data'!$C:$C,X468)/S468</f>
        <v>0</v>
      </c>
      <c r="U468" s="28" t="str">
        <f>+IF(COUNTIFS('Raw Period DMR Data'!$A:$A,B468, 'Raw Period DMR Data'!C:C,'Raw Annual DMR Data'!X468, 'Raw Period DMR Data'!M:M, "&gt;0")&gt;0,_xlfn.MAXIFS('Raw Period DMR Data'!M:M,'Raw Period DMR Data'!$A:$A,'Raw Annual DMR Data'!B468,'Raw Period DMR Data'!C:C,'Raw Annual DMR Data'!X468), "N/A - Period DMR Data Not Available")</f>
        <v>N/A - Period DMR Data Not Available</v>
      </c>
      <c r="V468" s="28" t="str" cm="1">
        <f t="array" ref="V468">IFERROR(INDEX('Raw Period DMR Data'!N:N,MATCH(1,(B468='Raw Period DMR Data'!$A:$A)*(U468='Raw Period DMR Data'!M:M)*(X468='Raw Period DMR Data'!C:C),0),1), "N/A")</f>
        <v>N/A</v>
      </c>
      <c r="W468" s="28" t="s">
        <v>1463</v>
      </c>
      <c r="X468" s="28" t="s">
        <v>853</v>
      </c>
      <c r="Y468" s="28" t="s">
        <v>854</v>
      </c>
      <c r="Z468" s="28">
        <v>5120108000208</v>
      </c>
      <c r="AA468" s="28"/>
      <c r="AB468" s="28" t="s">
        <v>1465</v>
      </c>
      <c r="AC468" s="28" t="s">
        <v>1466</v>
      </c>
    </row>
    <row r="469" spans="1:29" x14ac:dyDescent="0.25">
      <c r="A469" s="61">
        <v>110037107154</v>
      </c>
      <c r="B469" s="28">
        <v>2015</v>
      </c>
      <c r="C469" s="68">
        <f t="shared" si="7"/>
        <v>42005</v>
      </c>
      <c r="D469" s="28" t="s">
        <v>146</v>
      </c>
      <c r="E469" s="28" t="s">
        <v>471</v>
      </c>
      <c r="F469" s="28" t="s">
        <v>472</v>
      </c>
      <c r="G469" s="28" t="s">
        <v>450</v>
      </c>
      <c r="H469" s="28">
        <v>11222</v>
      </c>
      <c r="I469" s="28">
        <v>40.73095</v>
      </c>
      <c r="J469" s="28">
        <v>-73.942520000000002</v>
      </c>
      <c r="L469" s="61">
        <v>110037107154</v>
      </c>
      <c r="M469" s="28" t="s">
        <v>264</v>
      </c>
      <c r="N469" s="28">
        <v>4959</v>
      </c>
      <c r="O469" s="28" t="str">
        <f>IFERROR(VLOOKUP(N469, 'SIC &amp; NAICS Codes'!A:B, 2, FALSE), "")</f>
        <v>Sanitary Services, NEC (vacuuming of runways)</v>
      </c>
      <c r="S469" s="28">
        <v>0.32415724099999998</v>
      </c>
      <c r="T469" s="315">
        <f>_xlfn.MAXIFS('Raw Period DMR Data'!$O:$O,'Raw Period DMR Data'!$A:$A,'Raw Annual DMR Data'!B469,'Raw Period DMR Data'!$C:$C,X469)/S469</f>
        <v>0</v>
      </c>
      <c r="U469" s="28" t="str">
        <f>+IF(COUNTIFS('Raw Period DMR Data'!$A:$A,B469, 'Raw Period DMR Data'!C:C,'Raw Annual DMR Data'!X469, 'Raw Period DMR Data'!M:M, "&gt;0")&gt;0,_xlfn.MAXIFS('Raw Period DMR Data'!M:M,'Raw Period DMR Data'!$A:$A,'Raw Annual DMR Data'!B469,'Raw Period DMR Data'!C:C,'Raw Annual DMR Data'!X469), "N/A - Period DMR Data Not Available")</f>
        <v>N/A - Period DMR Data Not Available</v>
      </c>
      <c r="V469" s="28" t="str" cm="1">
        <f t="array" ref="V469">IFERROR(INDEX('Raw Period DMR Data'!N:N,MATCH(1,(B469='Raw Period DMR Data'!$A:$A)*(U469='Raw Period DMR Data'!M:M)*(X469='Raw Period DMR Data'!C:C),0),1), "N/A")</f>
        <v>N/A</v>
      </c>
      <c r="W469" s="28" t="s">
        <v>1463</v>
      </c>
      <c r="X469" s="28" t="s">
        <v>855</v>
      </c>
      <c r="Y469" s="28" t="s">
        <v>856</v>
      </c>
      <c r="Z469" s="61">
        <v>2030101001969</v>
      </c>
    </row>
    <row r="470" spans="1:29" x14ac:dyDescent="0.25">
      <c r="A470" s="61">
        <v>110037107154</v>
      </c>
      <c r="B470" s="28">
        <v>2016</v>
      </c>
      <c r="C470" s="68">
        <f t="shared" si="7"/>
        <v>42370</v>
      </c>
      <c r="D470" s="28" t="s">
        <v>146</v>
      </c>
      <c r="E470" s="28" t="s">
        <v>471</v>
      </c>
      <c r="F470" s="28" t="s">
        <v>472</v>
      </c>
      <c r="G470" s="28" t="s">
        <v>450</v>
      </c>
      <c r="H470" s="28">
        <v>11222</v>
      </c>
      <c r="I470" s="28">
        <v>40.73095</v>
      </c>
      <c r="J470" s="28">
        <v>-73.942520000000002</v>
      </c>
      <c r="L470" s="61">
        <v>110037107154</v>
      </c>
      <c r="M470" s="28" t="s">
        <v>264</v>
      </c>
      <c r="N470" s="28">
        <v>4959</v>
      </c>
      <c r="O470" s="28" t="str">
        <f>IFERROR(VLOOKUP(N470, 'SIC &amp; NAICS Codes'!A:B, 2, FALSE), "")</f>
        <v>Sanitary Services, NEC (vacuuming of runways)</v>
      </c>
      <c r="S470" s="28">
        <v>0.30854127725000002</v>
      </c>
      <c r="T470" s="315">
        <f>_xlfn.MAXIFS('Raw Period DMR Data'!$O:$O,'Raw Period DMR Data'!$A:$A,'Raw Annual DMR Data'!B470,'Raw Period DMR Data'!$C:$C,X470)/S470</f>
        <v>0</v>
      </c>
      <c r="U470" s="28" t="str">
        <f>+IF(COUNTIFS('Raw Period DMR Data'!$A:$A,B470, 'Raw Period DMR Data'!C:C,'Raw Annual DMR Data'!X470, 'Raw Period DMR Data'!M:M, "&gt;0")&gt;0,_xlfn.MAXIFS('Raw Period DMR Data'!M:M,'Raw Period DMR Data'!$A:$A,'Raw Annual DMR Data'!B470,'Raw Period DMR Data'!C:C,'Raw Annual DMR Data'!X470), "N/A - Period DMR Data Not Available")</f>
        <v>N/A - Period DMR Data Not Available</v>
      </c>
      <c r="V470" s="28" t="str" cm="1">
        <f t="array" ref="V470">IFERROR(INDEX('Raw Period DMR Data'!N:N,MATCH(1,(B470='Raw Period DMR Data'!$A:$A)*(U470='Raw Period DMR Data'!M:M)*(X470='Raw Period DMR Data'!C:C),0),1), "N/A")</f>
        <v>N/A</v>
      </c>
      <c r="W470" s="28" t="s">
        <v>1463</v>
      </c>
      <c r="X470" s="28" t="s">
        <v>855</v>
      </c>
      <c r="Y470" s="28" t="s">
        <v>856</v>
      </c>
      <c r="Z470" s="61">
        <v>2030101001969</v>
      </c>
      <c r="AA470" s="28"/>
    </row>
    <row r="471" spans="1:29" x14ac:dyDescent="0.25">
      <c r="A471" s="61">
        <v>110037107154</v>
      </c>
      <c r="B471" s="28">
        <v>2017</v>
      </c>
      <c r="C471" s="68">
        <f t="shared" si="7"/>
        <v>42736</v>
      </c>
      <c r="D471" s="28" t="s">
        <v>146</v>
      </c>
      <c r="E471" s="28" t="s">
        <v>471</v>
      </c>
      <c r="F471" s="28" t="s">
        <v>472</v>
      </c>
      <c r="G471" s="28" t="s">
        <v>450</v>
      </c>
      <c r="H471" s="28">
        <v>11222</v>
      </c>
      <c r="I471" s="28">
        <v>40.73095</v>
      </c>
      <c r="J471" s="28">
        <v>-73.942520000000002</v>
      </c>
      <c r="L471" s="61">
        <v>110037107154</v>
      </c>
      <c r="M471" s="28" t="s">
        <v>264</v>
      </c>
      <c r="N471" s="28">
        <v>4959</v>
      </c>
      <c r="O471" s="28" t="str">
        <f>IFERROR(VLOOKUP(N471, 'SIC &amp; NAICS Codes'!A:B, 2, FALSE), "")</f>
        <v>Sanitary Services, NEC (vacuuming of runways)</v>
      </c>
      <c r="S471" s="28">
        <v>0.274386478125</v>
      </c>
      <c r="T471" s="315">
        <f>_xlfn.MAXIFS('Raw Period DMR Data'!$O:$O,'Raw Period DMR Data'!$A:$A,'Raw Annual DMR Data'!B471,'Raw Period DMR Data'!$C:$C,X471)/S471</f>
        <v>0</v>
      </c>
      <c r="U471" s="28" t="str">
        <f>+IF(COUNTIFS('Raw Period DMR Data'!$A:$A,B471, 'Raw Period DMR Data'!C:C,'Raw Annual DMR Data'!X471, 'Raw Period DMR Data'!M:M, "&gt;0")&gt;0,_xlfn.MAXIFS('Raw Period DMR Data'!M:M,'Raw Period DMR Data'!$A:$A,'Raw Annual DMR Data'!B471,'Raw Period DMR Data'!C:C,'Raw Annual DMR Data'!X471), "N/A - Period DMR Data Not Available")</f>
        <v>N/A - Period DMR Data Not Available</v>
      </c>
      <c r="V471" s="28" t="str" cm="1">
        <f t="array" ref="V471">IFERROR(INDEX('Raw Period DMR Data'!N:N,MATCH(1,(B471='Raw Period DMR Data'!$A:$A)*(U471='Raw Period DMR Data'!M:M)*(X471='Raw Period DMR Data'!C:C),0),1), "N/A")</f>
        <v>N/A</v>
      </c>
      <c r="W471" s="28" t="s">
        <v>1463</v>
      </c>
      <c r="X471" s="28" t="s">
        <v>855</v>
      </c>
      <c r="Y471" s="28" t="s">
        <v>856</v>
      </c>
      <c r="Z471" s="61">
        <v>2030101001969</v>
      </c>
      <c r="AA471" s="28"/>
    </row>
    <row r="472" spans="1:29" x14ac:dyDescent="0.25">
      <c r="A472" s="61">
        <v>110037107154</v>
      </c>
      <c r="B472" s="28">
        <v>2018</v>
      </c>
      <c r="C472" s="68">
        <f t="shared" si="7"/>
        <v>43101</v>
      </c>
      <c r="D472" s="28" t="s">
        <v>146</v>
      </c>
      <c r="E472" s="28" t="s">
        <v>471</v>
      </c>
      <c r="F472" s="28" t="s">
        <v>472</v>
      </c>
      <c r="G472" s="28" t="s">
        <v>450</v>
      </c>
      <c r="H472" s="28">
        <v>11222</v>
      </c>
      <c r="I472" s="28">
        <v>40.73095</v>
      </c>
      <c r="J472" s="28">
        <v>-73.942520000000002</v>
      </c>
      <c r="L472" s="61">
        <v>110037107154</v>
      </c>
      <c r="M472" s="28" t="s">
        <v>264</v>
      </c>
      <c r="N472" s="28">
        <v>4959</v>
      </c>
      <c r="O472" s="28" t="str">
        <f>IFERROR(VLOOKUP(N472, 'SIC &amp; NAICS Codes'!A:B, 2, FALSE), "")</f>
        <v>Sanitary Services, NEC (vacuuming of runways)</v>
      </c>
      <c r="S472" s="28">
        <v>0.19730637249999999</v>
      </c>
      <c r="T472" s="315">
        <f>_xlfn.MAXIFS('Raw Period DMR Data'!$O:$O,'Raw Period DMR Data'!$A:$A,'Raw Annual DMR Data'!B472,'Raw Period DMR Data'!$C:$C,X472)/S472</f>
        <v>0</v>
      </c>
      <c r="U472" s="28" t="str">
        <f>+IF(COUNTIFS('Raw Period DMR Data'!$A:$A,B472, 'Raw Period DMR Data'!C:C,'Raw Annual DMR Data'!X472, 'Raw Period DMR Data'!M:M, "&gt;0")&gt;0,_xlfn.MAXIFS('Raw Period DMR Data'!M:M,'Raw Period DMR Data'!$A:$A,'Raw Annual DMR Data'!B472,'Raw Period DMR Data'!C:C,'Raw Annual DMR Data'!X472), "N/A - Period DMR Data Not Available")</f>
        <v>N/A - Period DMR Data Not Available</v>
      </c>
      <c r="V472" s="28" t="str" cm="1">
        <f t="array" ref="V472">IFERROR(INDEX('Raw Period DMR Data'!N:N,MATCH(1,(B472='Raw Period DMR Data'!$A:$A)*(U472='Raw Period DMR Data'!M:M)*(X472='Raw Period DMR Data'!C:C),0),1), "N/A")</f>
        <v>N/A</v>
      </c>
      <c r="W472" s="28" t="s">
        <v>1463</v>
      </c>
      <c r="X472" s="28" t="s">
        <v>855</v>
      </c>
      <c r="Y472" s="28" t="s">
        <v>856</v>
      </c>
      <c r="Z472" s="61">
        <v>2030101001969</v>
      </c>
    </row>
    <row r="473" spans="1:29" x14ac:dyDescent="0.25">
      <c r="A473" s="61">
        <v>110037107154</v>
      </c>
      <c r="B473" s="28">
        <v>2019</v>
      </c>
      <c r="C473" s="68">
        <f t="shared" si="7"/>
        <v>43466</v>
      </c>
      <c r="D473" s="28" t="s">
        <v>146</v>
      </c>
      <c r="E473" s="28" t="s">
        <v>471</v>
      </c>
      <c r="F473" s="28" t="s">
        <v>472</v>
      </c>
      <c r="G473" s="28" t="s">
        <v>450</v>
      </c>
      <c r="H473" s="28">
        <v>11222</v>
      </c>
      <c r="I473" s="28">
        <v>40.73095</v>
      </c>
      <c r="J473" s="28">
        <v>-73.942520000000002</v>
      </c>
      <c r="L473" s="61">
        <v>110037107154</v>
      </c>
      <c r="M473" s="28" t="s">
        <v>264</v>
      </c>
      <c r="N473" s="28">
        <v>4959</v>
      </c>
      <c r="O473" s="28" t="str">
        <f>IFERROR(VLOOKUP(N473, 'SIC &amp; NAICS Codes'!A:B, 2, FALSE), "")</f>
        <v>Sanitary Services, NEC (vacuuming of runways)</v>
      </c>
      <c r="S473" s="28">
        <v>0.2635650685</v>
      </c>
      <c r="T473" s="315">
        <f>_xlfn.MAXIFS('Raw Period DMR Data'!$O:$O,'Raw Period DMR Data'!$A:$A,'Raw Annual DMR Data'!B473,'Raw Period DMR Data'!$C:$C,X473)/S473</f>
        <v>0</v>
      </c>
      <c r="U473" s="28" t="str">
        <f>+IF(COUNTIFS('Raw Period DMR Data'!$A:$A,B473, 'Raw Period DMR Data'!C:C,'Raw Annual DMR Data'!X473, 'Raw Period DMR Data'!M:M, "&gt;0")&gt;0,_xlfn.MAXIFS('Raw Period DMR Data'!M:M,'Raw Period DMR Data'!$A:$A,'Raw Annual DMR Data'!B473,'Raw Period DMR Data'!C:C,'Raw Annual DMR Data'!X473), "N/A - Period DMR Data Not Available")</f>
        <v>N/A - Period DMR Data Not Available</v>
      </c>
      <c r="V473" s="28" t="str" cm="1">
        <f t="array" ref="V473">IFERROR(INDEX('Raw Period DMR Data'!N:N,MATCH(1,(B473='Raw Period DMR Data'!$A:$A)*(U473='Raw Period DMR Data'!M:M)*(X473='Raw Period DMR Data'!C:C),0),1), "N/A")</f>
        <v>N/A</v>
      </c>
      <c r="W473" s="28" t="s">
        <v>1463</v>
      </c>
      <c r="X473" s="28" t="s">
        <v>855</v>
      </c>
      <c r="Y473" s="28" t="s">
        <v>856</v>
      </c>
      <c r="Z473" s="61">
        <v>2030101001969</v>
      </c>
    </row>
    <row r="474" spans="1:29" x14ac:dyDescent="0.25">
      <c r="A474" s="61">
        <v>110037107154</v>
      </c>
      <c r="B474" s="28">
        <v>2020</v>
      </c>
      <c r="C474" s="68">
        <f t="shared" si="7"/>
        <v>43831</v>
      </c>
      <c r="D474" s="28" t="s">
        <v>146</v>
      </c>
      <c r="E474" s="28" t="s">
        <v>471</v>
      </c>
      <c r="F474" s="28" t="s">
        <v>472</v>
      </c>
      <c r="G474" s="28" t="s">
        <v>450</v>
      </c>
      <c r="H474" s="28">
        <v>11222</v>
      </c>
      <c r="I474" s="28">
        <v>40.73095</v>
      </c>
      <c r="J474" s="28">
        <v>-73.942520000000002</v>
      </c>
      <c r="L474" s="61">
        <v>110037107154</v>
      </c>
      <c r="M474" s="28" t="s">
        <v>264</v>
      </c>
      <c r="N474" s="28">
        <v>4959</v>
      </c>
      <c r="O474" s="28" t="str">
        <f>IFERROR(VLOOKUP(N474, 'SIC &amp; NAICS Codes'!A:B, 2, FALSE), "")</f>
        <v>Sanitary Services, NEC (vacuuming of runways)</v>
      </c>
      <c r="S474" s="28">
        <v>0.43039878450000002</v>
      </c>
      <c r="T474" s="315">
        <f>_xlfn.MAXIFS('Raw Period DMR Data'!$O:$O,'Raw Period DMR Data'!$A:$A,'Raw Annual DMR Data'!B474,'Raw Period DMR Data'!$C:$C,X474)/S474</f>
        <v>0</v>
      </c>
      <c r="U474" s="28" t="str">
        <f>+IF(COUNTIFS('Raw Period DMR Data'!$A:$A,B474, 'Raw Period DMR Data'!C:C,'Raw Annual DMR Data'!X474, 'Raw Period DMR Data'!M:M, "&gt;0")&gt;0,_xlfn.MAXIFS('Raw Period DMR Data'!M:M,'Raw Period DMR Data'!$A:$A,'Raw Annual DMR Data'!B474,'Raw Period DMR Data'!C:C,'Raw Annual DMR Data'!X474), "N/A - Period DMR Data Not Available")</f>
        <v>N/A - Period DMR Data Not Available</v>
      </c>
      <c r="V474" s="28" t="str" cm="1">
        <f t="array" ref="V474">IFERROR(INDEX('Raw Period DMR Data'!N:N,MATCH(1,(B474='Raw Period DMR Data'!$A:$A)*(U474='Raw Period DMR Data'!M:M)*(X474='Raw Period DMR Data'!C:C),0),1), "N/A")</f>
        <v>N/A</v>
      </c>
      <c r="W474" s="28" t="s">
        <v>1463</v>
      </c>
      <c r="X474" s="28" t="s">
        <v>855</v>
      </c>
      <c r="Y474" s="28" t="s">
        <v>856</v>
      </c>
      <c r="Z474" s="61">
        <v>2030101001969</v>
      </c>
    </row>
    <row r="475" spans="1:29" x14ac:dyDescent="0.25">
      <c r="A475" s="61">
        <v>110037107154</v>
      </c>
      <c r="B475" s="28">
        <v>2015</v>
      </c>
      <c r="C475" s="68">
        <f t="shared" si="7"/>
        <v>42005</v>
      </c>
      <c r="D475" s="28" t="s">
        <v>146</v>
      </c>
      <c r="E475" s="28" t="s">
        <v>471</v>
      </c>
      <c r="F475" s="28" t="s">
        <v>472</v>
      </c>
      <c r="G475" s="28" t="s">
        <v>450</v>
      </c>
      <c r="H475" s="28">
        <v>11222</v>
      </c>
      <c r="I475" s="28">
        <v>40.73095</v>
      </c>
      <c r="J475" s="28">
        <v>-73.942520000000002</v>
      </c>
      <c r="L475" s="61">
        <v>110037107154</v>
      </c>
      <c r="M475" s="28" t="s">
        <v>264</v>
      </c>
      <c r="N475" s="28">
        <v>4959</v>
      </c>
      <c r="O475" s="28" t="str">
        <f>IFERROR(VLOOKUP(N475, 'SIC &amp; NAICS Codes'!A:B, 2, FALSE), "")</f>
        <v>Sanitary Services, NEC (vacuuming of runways)</v>
      </c>
      <c r="S475" s="28">
        <v>0.33509494475000001</v>
      </c>
      <c r="T475" s="315">
        <f>_xlfn.MAXIFS('Raw Period DMR Data'!$O:$O,'Raw Period DMR Data'!$A:$A,'Raw Annual DMR Data'!B475,'Raw Period DMR Data'!$C:$C,X475)/S475</f>
        <v>0</v>
      </c>
      <c r="U475" s="28" t="str">
        <f>+IF(COUNTIFS('Raw Period DMR Data'!$A:$A,B475, 'Raw Period DMR Data'!C:C,'Raw Annual DMR Data'!X475, 'Raw Period DMR Data'!M:M, "&gt;0")&gt;0,_xlfn.MAXIFS('Raw Period DMR Data'!M:M,'Raw Period DMR Data'!$A:$A,'Raw Annual DMR Data'!B475,'Raw Period DMR Data'!C:C,'Raw Annual DMR Data'!X475), "N/A - Period DMR Data Not Available")</f>
        <v>N/A - Period DMR Data Not Available</v>
      </c>
      <c r="V475" s="28" t="str" cm="1">
        <f t="array" ref="V475">IFERROR(INDEX('Raw Period DMR Data'!N:N,MATCH(1,(B475='Raw Period DMR Data'!$A:$A)*(U475='Raw Period DMR Data'!M:M)*(X475='Raw Period DMR Data'!C:C),0),1), "N/A")</f>
        <v>N/A</v>
      </c>
      <c r="W475" s="28" t="s">
        <v>1463</v>
      </c>
      <c r="X475" s="28" t="s">
        <v>855</v>
      </c>
      <c r="Y475" s="28" t="s">
        <v>856</v>
      </c>
      <c r="Z475" s="28">
        <v>2030101001969</v>
      </c>
      <c r="AA475" s="28"/>
      <c r="AB475" s="28" t="s">
        <v>1465</v>
      </c>
      <c r="AC475" s="28" t="s">
        <v>1466</v>
      </c>
    </row>
    <row r="476" spans="1:29" x14ac:dyDescent="0.25">
      <c r="A476" s="61">
        <v>110037107154</v>
      </c>
      <c r="B476" s="28">
        <v>2016</v>
      </c>
      <c r="C476" s="68">
        <f t="shared" si="7"/>
        <v>42370</v>
      </c>
      <c r="D476" s="28" t="s">
        <v>146</v>
      </c>
      <c r="E476" s="28" t="s">
        <v>471</v>
      </c>
      <c r="F476" s="28" t="s">
        <v>472</v>
      </c>
      <c r="G476" s="28" t="s">
        <v>450</v>
      </c>
      <c r="H476" s="28">
        <v>11222</v>
      </c>
      <c r="I476" s="28">
        <v>40.73095</v>
      </c>
      <c r="J476" s="28">
        <v>-73.942520000000002</v>
      </c>
      <c r="L476" s="61">
        <v>110037107154</v>
      </c>
      <c r="M476" s="28" t="s">
        <v>264</v>
      </c>
      <c r="N476" s="28">
        <v>4959</v>
      </c>
      <c r="O476" s="28" t="str">
        <f>IFERROR(VLOOKUP(N476, 'SIC &amp; NAICS Codes'!A:B, 2, FALSE), "")</f>
        <v>Sanitary Services, NEC (vacuuming of runways)</v>
      </c>
      <c r="S476" s="28">
        <v>0.3239532295</v>
      </c>
      <c r="T476" s="315">
        <f>_xlfn.MAXIFS('Raw Period DMR Data'!$O:$O,'Raw Period DMR Data'!$A:$A,'Raw Annual DMR Data'!B476,'Raw Period DMR Data'!$C:$C,X476)/S476</f>
        <v>0</v>
      </c>
      <c r="U476" s="28" t="str">
        <f>+IF(COUNTIFS('Raw Period DMR Data'!$A:$A,B476, 'Raw Period DMR Data'!C:C,'Raw Annual DMR Data'!X476, 'Raw Period DMR Data'!M:M, "&gt;0")&gt;0,_xlfn.MAXIFS('Raw Period DMR Data'!M:M,'Raw Period DMR Data'!$A:$A,'Raw Annual DMR Data'!B476,'Raw Period DMR Data'!C:C,'Raw Annual DMR Data'!X476), "N/A - Period DMR Data Not Available")</f>
        <v>N/A - Period DMR Data Not Available</v>
      </c>
      <c r="V476" s="28" t="str" cm="1">
        <f t="array" ref="V476">IFERROR(INDEX('Raw Period DMR Data'!N:N,MATCH(1,(B476='Raw Period DMR Data'!$A:$A)*(U476='Raw Period DMR Data'!M:M)*(X476='Raw Period DMR Data'!C:C),0),1), "N/A")</f>
        <v>N/A</v>
      </c>
      <c r="W476" s="28" t="s">
        <v>1463</v>
      </c>
      <c r="X476" s="28" t="s">
        <v>855</v>
      </c>
      <c r="Y476" s="28" t="s">
        <v>856</v>
      </c>
      <c r="Z476" s="28">
        <v>2030101001969</v>
      </c>
      <c r="AA476" s="28"/>
      <c r="AB476" s="28" t="s">
        <v>1465</v>
      </c>
      <c r="AC476" s="28" t="s">
        <v>1466</v>
      </c>
    </row>
    <row r="477" spans="1:29" x14ac:dyDescent="0.25">
      <c r="A477" s="61">
        <v>110037107154</v>
      </c>
      <c r="B477" s="28">
        <v>2017</v>
      </c>
      <c r="C477" s="68">
        <f t="shared" si="7"/>
        <v>42736</v>
      </c>
      <c r="D477" s="28" t="s">
        <v>146</v>
      </c>
      <c r="E477" s="28" t="s">
        <v>471</v>
      </c>
      <c r="F477" s="28" t="s">
        <v>472</v>
      </c>
      <c r="G477" s="28" t="s">
        <v>450</v>
      </c>
      <c r="H477" s="28">
        <v>11222</v>
      </c>
      <c r="I477" s="28">
        <v>40.73095</v>
      </c>
      <c r="J477" s="28">
        <v>-73.942520000000002</v>
      </c>
      <c r="L477" s="61">
        <v>110037107154</v>
      </c>
      <c r="M477" s="28" t="s">
        <v>264</v>
      </c>
      <c r="N477" s="28">
        <v>4959</v>
      </c>
      <c r="O477" s="28" t="str">
        <f>IFERROR(VLOOKUP(N477, 'SIC &amp; NAICS Codes'!A:B, 2, FALSE), "")</f>
        <v>Sanitary Services, NEC (vacuuming of runways)</v>
      </c>
      <c r="S477" s="28">
        <v>0.36439377812500001</v>
      </c>
      <c r="T477" s="315">
        <f>_xlfn.MAXIFS('Raw Period DMR Data'!$O:$O,'Raw Period DMR Data'!$A:$A,'Raw Annual DMR Data'!B477,'Raw Period DMR Data'!$C:$C,X477)/S477</f>
        <v>0</v>
      </c>
      <c r="U477" s="28" t="str">
        <f>+IF(COUNTIFS('Raw Period DMR Data'!$A:$A,B477, 'Raw Period DMR Data'!C:C,'Raw Annual DMR Data'!X477, 'Raw Period DMR Data'!M:M, "&gt;0")&gt;0,_xlfn.MAXIFS('Raw Period DMR Data'!M:M,'Raw Period DMR Data'!$A:$A,'Raw Annual DMR Data'!B477,'Raw Period DMR Data'!C:C,'Raw Annual DMR Data'!X477), "N/A - Period DMR Data Not Available")</f>
        <v>N/A - Period DMR Data Not Available</v>
      </c>
      <c r="V477" s="28" t="str" cm="1">
        <f t="array" ref="V477">IFERROR(INDEX('Raw Period DMR Data'!N:N,MATCH(1,(B477='Raw Period DMR Data'!$A:$A)*(U477='Raw Period DMR Data'!M:M)*(X477='Raw Period DMR Data'!C:C),0),1), "N/A")</f>
        <v>N/A</v>
      </c>
      <c r="W477" s="28" t="s">
        <v>1463</v>
      </c>
      <c r="X477" s="28" t="s">
        <v>855</v>
      </c>
      <c r="Y477" s="28" t="s">
        <v>856</v>
      </c>
      <c r="Z477" s="28">
        <v>2030101001969</v>
      </c>
      <c r="AA477" s="28"/>
      <c r="AB477" s="28" t="s">
        <v>1465</v>
      </c>
      <c r="AC477" s="28" t="s">
        <v>1466</v>
      </c>
    </row>
    <row r="478" spans="1:29" x14ac:dyDescent="0.25">
      <c r="A478" s="61">
        <v>110037107154</v>
      </c>
      <c r="B478" s="28">
        <v>2018</v>
      </c>
      <c r="C478" s="68">
        <f t="shared" si="7"/>
        <v>43101</v>
      </c>
      <c r="D478" s="28" t="s">
        <v>146</v>
      </c>
      <c r="E478" s="28" t="s">
        <v>471</v>
      </c>
      <c r="F478" s="28" t="s">
        <v>472</v>
      </c>
      <c r="G478" s="28" t="s">
        <v>450</v>
      </c>
      <c r="H478" s="28">
        <v>11222</v>
      </c>
      <c r="I478" s="28">
        <v>40.73095</v>
      </c>
      <c r="J478" s="28">
        <v>-73.942520000000002</v>
      </c>
      <c r="L478" s="61">
        <v>110037107154</v>
      </c>
      <c r="M478" s="28" t="s">
        <v>264</v>
      </c>
      <c r="N478" s="28">
        <v>4959</v>
      </c>
      <c r="O478" s="28" t="str">
        <f>IFERROR(VLOOKUP(N478, 'SIC &amp; NAICS Codes'!A:B, 2, FALSE), "")</f>
        <v>Sanitary Services, NEC (vacuuming of runways)</v>
      </c>
      <c r="S478" s="28">
        <v>0.25551021000000002</v>
      </c>
      <c r="T478" s="315">
        <f>_xlfn.MAXIFS('Raw Period DMR Data'!$O:$O,'Raw Period DMR Data'!$A:$A,'Raw Annual DMR Data'!B478,'Raw Period DMR Data'!$C:$C,X478)/S478</f>
        <v>0</v>
      </c>
      <c r="U478" s="28" t="str">
        <f>+IF(COUNTIFS('Raw Period DMR Data'!$A:$A,B478, 'Raw Period DMR Data'!C:C,'Raw Annual DMR Data'!X478, 'Raw Period DMR Data'!M:M, "&gt;0")&gt;0,_xlfn.MAXIFS('Raw Period DMR Data'!M:M,'Raw Period DMR Data'!$A:$A,'Raw Annual DMR Data'!B478,'Raw Period DMR Data'!C:C,'Raw Annual DMR Data'!X478), "N/A - Period DMR Data Not Available")</f>
        <v>N/A - Period DMR Data Not Available</v>
      </c>
      <c r="V478" s="28" t="str" cm="1">
        <f t="array" ref="V478">IFERROR(INDEX('Raw Period DMR Data'!N:N,MATCH(1,(B478='Raw Period DMR Data'!$A:$A)*(U478='Raw Period DMR Data'!M:M)*(X478='Raw Period DMR Data'!C:C),0),1), "N/A")</f>
        <v>N/A</v>
      </c>
      <c r="W478" s="28" t="s">
        <v>1463</v>
      </c>
      <c r="X478" s="28" t="s">
        <v>855</v>
      </c>
      <c r="Y478" s="28" t="s">
        <v>856</v>
      </c>
      <c r="Z478" s="302" t="s">
        <v>1747</v>
      </c>
      <c r="AA478" s="28"/>
      <c r="AB478" s="28" t="s">
        <v>1465</v>
      </c>
      <c r="AC478" s="28" t="s">
        <v>1466</v>
      </c>
    </row>
    <row r="479" spans="1:29" x14ac:dyDescent="0.25">
      <c r="A479" s="61">
        <v>110037107154</v>
      </c>
      <c r="B479" s="28">
        <v>2019</v>
      </c>
      <c r="C479" s="68">
        <f t="shared" si="7"/>
        <v>43466</v>
      </c>
      <c r="D479" s="28" t="s">
        <v>146</v>
      </c>
      <c r="E479" s="28" t="s">
        <v>471</v>
      </c>
      <c r="F479" s="28" t="s">
        <v>472</v>
      </c>
      <c r="G479" s="28" t="s">
        <v>450</v>
      </c>
      <c r="H479" s="28">
        <v>11222</v>
      </c>
      <c r="I479" s="28">
        <v>40.73095</v>
      </c>
      <c r="J479" s="28">
        <v>-73.942520000000002</v>
      </c>
      <c r="L479" s="61">
        <v>110037107154</v>
      </c>
      <c r="M479" s="28" t="s">
        <v>264</v>
      </c>
      <c r="N479" s="28">
        <v>4959</v>
      </c>
      <c r="O479" s="28" t="str">
        <f>IFERROR(VLOOKUP(N479, 'SIC &amp; NAICS Codes'!A:B, 2, FALSE), "")</f>
        <v>Sanitary Services, NEC (vacuuming of runways)</v>
      </c>
      <c r="S479" s="28">
        <v>0.2731032685</v>
      </c>
      <c r="T479" s="315">
        <f>_xlfn.MAXIFS('Raw Period DMR Data'!$O:$O,'Raw Period DMR Data'!$A:$A,'Raw Annual DMR Data'!B479,'Raw Period DMR Data'!$C:$C,X479)/S479</f>
        <v>0</v>
      </c>
      <c r="U479" s="28" t="str">
        <f>+IF(COUNTIFS('Raw Period DMR Data'!$A:$A,B479, 'Raw Period DMR Data'!C:C,'Raw Annual DMR Data'!X479, 'Raw Period DMR Data'!M:M, "&gt;0")&gt;0,_xlfn.MAXIFS('Raw Period DMR Data'!M:M,'Raw Period DMR Data'!$A:$A,'Raw Annual DMR Data'!B479,'Raw Period DMR Data'!C:C,'Raw Annual DMR Data'!X479), "N/A - Period DMR Data Not Available")</f>
        <v>N/A - Period DMR Data Not Available</v>
      </c>
      <c r="V479" s="28" t="str" cm="1">
        <f t="array" ref="V479">IFERROR(INDEX('Raw Period DMR Data'!N:N,MATCH(1,(B479='Raw Period DMR Data'!$A:$A)*(U479='Raw Period DMR Data'!M:M)*(X479='Raw Period DMR Data'!C:C),0),1), "N/A")</f>
        <v>N/A</v>
      </c>
      <c r="W479" s="28" t="s">
        <v>1463</v>
      </c>
      <c r="X479" s="28" t="s">
        <v>855</v>
      </c>
      <c r="Y479" s="28" t="s">
        <v>856</v>
      </c>
      <c r="Z479" s="28">
        <v>2030101001969</v>
      </c>
      <c r="AA479" s="28"/>
      <c r="AB479" s="28" t="s">
        <v>1465</v>
      </c>
      <c r="AC479" s="28" t="s">
        <v>1466</v>
      </c>
    </row>
    <row r="480" spans="1:29" x14ac:dyDescent="0.25">
      <c r="A480" s="61">
        <v>110037107154</v>
      </c>
      <c r="B480" s="28">
        <v>2020</v>
      </c>
      <c r="C480" s="68">
        <f t="shared" si="7"/>
        <v>43831</v>
      </c>
      <c r="D480" s="28" t="s">
        <v>146</v>
      </c>
      <c r="E480" s="28" t="s">
        <v>471</v>
      </c>
      <c r="F480" s="28" t="s">
        <v>472</v>
      </c>
      <c r="G480" s="28" t="s">
        <v>450</v>
      </c>
      <c r="H480" s="28">
        <v>11222</v>
      </c>
      <c r="I480" s="28">
        <v>40.73095</v>
      </c>
      <c r="J480" s="28">
        <v>-73.942520000000002</v>
      </c>
      <c r="L480" s="61">
        <v>110037107154</v>
      </c>
      <c r="M480" s="28" t="s">
        <v>264</v>
      </c>
      <c r="N480" s="28">
        <v>4959</v>
      </c>
      <c r="O480" s="28" t="str">
        <f>IFERROR(VLOOKUP(N480, 'SIC &amp; NAICS Codes'!A:B, 2, FALSE), "")</f>
        <v>Sanitary Services, NEC (vacuuming of runways)</v>
      </c>
      <c r="S480" s="28">
        <v>0.50330734700000002</v>
      </c>
      <c r="T480" s="315">
        <f>_xlfn.MAXIFS('Raw Period DMR Data'!$O:$O,'Raw Period DMR Data'!$A:$A,'Raw Annual DMR Data'!B480,'Raw Period DMR Data'!$C:$C,X480)/S480</f>
        <v>0</v>
      </c>
      <c r="U480" s="28" t="str">
        <f>+IF(COUNTIFS('Raw Period DMR Data'!$A:$A,B480, 'Raw Period DMR Data'!C:C,'Raw Annual DMR Data'!X480, 'Raw Period DMR Data'!M:M, "&gt;0")&gt;0,_xlfn.MAXIFS('Raw Period DMR Data'!M:M,'Raw Period DMR Data'!$A:$A,'Raw Annual DMR Data'!B480,'Raw Period DMR Data'!C:C,'Raw Annual DMR Data'!X480), "N/A - Period DMR Data Not Available")</f>
        <v>N/A - Period DMR Data Not Available</v>
      </c>
      <c r="V480" s="28" t="str" cm="1">
        <f t="array" ref="V480">IFERROR(INDEX('Raw Period DMR Data'!N:N,MATCH(1,(B480='Raw Period DMR Data'!$A:$A)*(U480='Raw Period DMR Data'!M:M)*(X480='Raw Period DMR Data'!C:C),0),1), "N/A")</f>
        <v>N/A</v>
      </c>
      <c r="W480" s="28" t="s">
        <v>1463</v>
      </c>
      <c r="X480" s="28" t="s">
        <v>855</v>
      </c>
      <c r="Y480" s="28" t="s">
        <v>856</v>
      </c>
      <c r="Z480" s="28">
        <v>2030101001969</v>
      </c>
      <c r="AA480" s="28"/>
      <c r="AB480" s="28" t="s">
        <v>1465</v>
      </c>
      <c r="AC480" s="28" t="s">
        <v>1466</v>
      </c>
    </row>
    <row r="481" spans="1:29" x14ac:dyDescent="0.25">
      <c r="A481" s="61">
        <v>110000321651</v>
      </c>
      <c r="B481" s="28">
        <v>2015</v>
      </c>
      <c r="C481" s="68">
        <f t="shared" si="7"/>
        <v>42005</v>
      </c>
      <c r="D481" s="28" t="s">
        <v>1109</v>
      </c>
      <c r="E481" s="28" t="s">
        <v>1748</v>
      </c>
      <c r="F481" s="28" t="s">
        <v>1110</v>
      </c>
      <c r="G481" s="28" t="s">
        <v>338</v>
      </c>
      <c r="H481" s="28">
        <v>8536</v>
      </c>
      <c r="I481" s="28">
        <v>40.331944</v>
      </c>
      <c r="J481" s="28">
        <v>-74.619721999999996</v>
      </c>
      <c r="L481" s="61">
        <v>110000321651</v>
      </c>
      <c r="M481" s="28" t="s">
        <v>265</v>
      </c>
      <c r="N481" s="28">
        <v>2869</v>
      </c>
      <c r="O481" s="28" t="str">
        <f>IFERROR(VLOOKUP(N481, 'SIC &amp; NAICS Codes'!A:B, 2, FALSE), "")</f>
        <v>Industrial Organic Chemicals, NEC (aliphatics)</v>
      </c>
      <c r="S481" s="28">
        <v>5.7349999999999996E-3</v>
      </c>
      <c r="T481" s="315">
        <f>_xlfn.MAXIFS('Raw Period DMR Data'!$O:$O,'Raw Period DMR Data'!$A:$A,'Raw Annual DMR Data'!B481,'Raw Period DMR Data'!$C:$C,X481)/S481</f>
        <v>0</v>
      </c>
      <c r="U481" s="28" t="str">
        <f>+IF(COUNTIFS('Raw Period DMR Data'!$A:$A,B481, 'Raw Period DMR Data'!C:C,'Raw Annual DMR Data'!X481, 'Raw Period DMR Data'!M:M, "&gt;0")&gt;0,_xlfn.MAXIFS('Raw Period DMR Data'!M:M,'Raw Period DMR Data'!$A:$A,'Raw Annual DMR Data'!B481,'Raw Period DMR Data'!C:C,'Raw Annual DMR Data'!X481), "N/A - Period DMR Data Not Available")</f>
        <v>N/A - Period DMR Data Not Available</v>
      </c>
      <c r="V481" s="28" t="str" cm="1">
        <f t="array" ref="V481">IFERROR(INDEX('Raw Period DMR Data'!N:N,MATCH(1,(B481='Raw Period DMR Data'!$A:$A)*(U481='Raw Period DMR Data'!M:M)*(X481='Raw Period DMR Data'!C:C),0),1), "N/A")</f>
        <v>N/A</v>
      </c>
      <c r="W481" s="28" t="s">
        <v>1463</v>
      </c>
      <c r="X481" s="28" t="s">
        <v>1749</v>
      </c>
      <c r="Y481" s="28" t="s">
        <v>1750</v>
      </c>
      <c r="Z481" s="28">
        <v>2060002000003</v>
      </c>
      <c r="AA481" s="28"/>
      <c r="AB481" s="28" t="s">
        <v>1465</v>
      </c>
      <c r="AC481" s="28" t="s">
        <v>1466</v>
      </c>
    </row>
    <row r="482" spans="1:29" x14ac:dyDescent="0.25">
      <c r="A482" s="61">
        <v>110000321651</v>
      </c>
      <c r="B482" s="28">
        <v>2016</v>
      </c>
      <c r="C482" s="68">
        <f t="shared" si="7"/>
        <v>42370</v>
      </c>
      <c r="D482" s="28" t="s">
        <v>1109</v>
      </c>
      <c r="E482" s="28" t="s">
        <v>1748</v>
      </c>
      <c r="F482" s="28" t="s">
        <v>1110</v>
      </c>
      <c r="G482" s="28" t="s">
        <v>338</v>
      </c>
      <c r="H482" s="28">
        <v>8536</v>
      </c>
      <c r="I482" s="28">
        <v>40.331944</v>
      </c>
      <c r="J482" s="28">
        <v>-74.619721999999996</v>
      </c>
      <c r="L482" s="61">
        <v>110000321651</v>
      </c>
      <c r="M482" s="28" t="s">
        <v>265</v>
      </c>
      <c r="N482" s="28">
        <v>2869</v>
      </c>
      <c r="O482" s="28" t="str">
        <f>IFERROR(VLOOKUP(N482, 'SIC &amp; NAICS Codes'!A:B, 2, FALSE), "")</f>
        <v>Industrial Organic Chemicals, NEC (aliphatics)</v>
      </c>
      <c r="S482" s="28">
        <v>1.8E-3</v>
      </c>
      <c r="T482" s="315">
        <f>_xlfn.MAXIFS('Raw Period DMR Data'!$O:$O,'Raw Period DMR Data'!$A:$A,'Raw Annual DMR Data'!B482,'Raw Period DMR Data'!$C:$C,X482)/S482</f>
        <v>0</v>
      </c>
      <c r="U482" s="28" t="str">
        <f>+IF(COUNTIFS('Raw Period DMR Data'!$A:$A,B482, 'Raw Period DMR Data'!C:C,'Raw Annual DMR Data'!X482, 'Raw Period DMR Data'!M:M, "&gt;0")&gt;0,_xlfn.MAXIFS('Raw Period DMR Data'!M:M,'Raw Period DMR Data'!$A:$A,'Raw Annual DMR Data'!B482,'Raw Period DMR Data'!C:C,'Raw Annual DMR Data'!X482), "N/A - Period DMR Data Not Available")</f>
        <v>N/A - Period DMR Data Not Available</v>
      </c>
      <c r="V482" s="28" t="str" cm="1">
        <f t="array" ref="V482">IFERROR(INDEX('Raw Period DMR Data'!N:N,MATCH(1,(B482='Raw Period DMR Data'!$A:$A)*(U482='Raw Period DMR Data'!M:M)*(X482='Raw Period DMR Data'!C:C),0),1), "N/A")</f>
        <v>N/A</v>
      </c>
      <c r="W482" s="28" t="s">
        <v>1463</v>
      </c>
      <c r="X482" s="28" t="s">
        <v>1749</v>
      </c>
      <c r="Y482" s="28" t="s">
        <v>1750</v>
      </c>
      <c r="Z482" s="28">
        <v>2060002000003</v>
      </c>
      <c r="AA482" s="28"/>
      <c r="AB482" s="28" t="s">
        <v>1465</v>
      </c>
      <c r="AC482" s="28" t="s">
        <v>1466</v>
      </c>
    </row>
    <row r="483" spans="1:29" x14ac:dyDescent="0.25">
      <c r="A483" s="61">
        <v>110000321651</v>
      </c>
      <c r="B483" s="28">
        <v>2017</v>
      </c>
      <c r="C483" s="68">
        <f t="shared" si="7"/>
        <v>42736</v>
      </c>
      <c r="D483" s="28" t="s">
        <v>1109</v>
      </c>
      <c r="E483" s="28" t="s">
        <v>1748</v>
      </c>
      <c r="F483" s="28" t="s">
        <v>1110</v>
      </c>
      <c r="G483" s="28" t="s">
        <v>338</v>
      </c>
      <c r="H483" s="28">
        <v>8536</v>
      </c>
      <c r="I483" s="28">
        <v>40.331944</v>
      </c>
      <c r="J483" s="28">
        <v>-74.619721999999996</v>
      </c>
      <c r="L483" s="61">
        <v>110000321651</v>
      </c>
      <c r="M483" s="28" t="s">
        <v>265</v>
      </c>
      <c r="N483" s="28">
        <v>2869</v>
      </c>
      <c r="O483" s="28" t="str">
        <f>IFERROR(VLOOKUP(N483, 'SIC &amp; NAICS Codes'!A:B, 2, FALSE), "")</f>
        <v>Industrial Organic Chemicals, NEC (aliphatics)</v>
      </c>
      <c r="S483" s="28">
        <v>1.7049999999999999E-3</v>
      </c>
      <c r="T483" s="315">
        <f>_xlfn.MAXIFS('Raw Period DMR Data'!$O:$O,'Raw Period DMR Data'!$A:$A,'Raw Annual DMR Data'!B483,'Raw Period DMR Data'!$C:$C,X483)/S483</f>
        <v>0</v>
      </c>
      <c r="U483" s="28" t="str">
        <f>+IF(COUNTIFS('Raw Period DMR Data'!$A:$A,B483, 'Raw Period DMR Data'!C:C,'Raw Annual DMR Data'!X483, 'Raw Period DMR Data'!M:M, "&gt;0")&gt;0,_xlfn.MAXIFS('Raw Period DMR Data'!M:M,'Raw Period DMR Data'!$A:$A,'Raw Annual DMR Data'!B483,'Raw Period DMR Data'!C:C,'Raw Annual DMR Data'!X483), "N/A - Period DMR Data Not Available")</f>
        <v>N/A - Period DMR Data Not Available</v>
      </c>
      <c r="V483" s="28" t="str" cm="1">
        <f t="array" ref="V483">IFERROR(INDEX('Raw Period DMR Data'!N:N,MATCH(1,(B483='Raw Period DMR Data'!$A:$A)*(U483='Raw Period DMR Data'!M:M)*(X483='Raw Period DMR Data'!C:C),0),1), "N/A")</f>
        <v>N/A</v>
      </c>
      <c r="W483" s="28" t="s">
        <v>1463</v>
      </c>
      <c r="X483" s="28" t="s">
        <v>1749</v>
      </c>
      <c r="Y483" s="28" t="s">
        <v>1750</v>
      </c>
      <c r="Z483" s="28">
        <v>2060002000003</v>
      </c>
      <c r="AA483" s="28"/>
      <c r="AB483" s="28" t="s">
        <v>1465</v>
      </c>
      <c r="AC483" s="28" t="s">
        <v>1466</v>
      </c>
    </row>
    <row r="484" spans="1:29" x14ac:dyDescent="0.25">
      <c r="A484" s="61">
        <v>110000321651</v>
      </c>
      <c r="B484" s="28">
        <v>2018</v>
      </c>
      <c r="C484" s="68">
        <f t="shared" si="7"/>
        <v>43101</v>
      </c>
      <c r="D484" s="28" t="s">
        <v>1109</v>
      </c>
      <c r="E484" s="28" t="s">
        <v>1748</v>
      </c>
      <c r="F484" s="28" t="s">
        <v>1110</v>
      </c>
      <c r="G484" s="28" t="s">
        <v>338</v>
      </c>
      <c r="H484" s="302" t="s">
        <v>1751</v>
      </c>
      <c r="I484" s="28">
        <v>40.331944</v>
      </c>
      <c r="J484" s="28">
        <v>-74.619721999999996</v>
      </c>
      <c r="L484" s="61">
        <v>110000321651</v>
      </c>
      <c r="M484" s="28" t="s">
        <v>265</v>
      </c>
      <c r="N484" s="28">
        <v>2869</v>
      </c>
      <c r="O484" s="28" t="str">
        <f>IFERROR(VLOOKUP(N484, 'SIC &amp; NAICS Codes'!A:B, 2, FALSE), "")</f>
        <v>Industrial Organic Chemicals, NEC (aliphatics)</v>
      </c>
      <c r="S484" s="28">
        <v>1.5499999999999999E-3</v>
      </c>
      <c r="T484" s="315">
        <f>_xlfn.MAXIFS('Raw Period DMR Data'!$O:$O,'Raw Period DMR Data'!$A:$A,'Raw Annual DMR Data'!B484,'Raw Period DMR Data'!$C:$C,X484)/S484</f>
        <v>0</v>
      </c>
      <c r="U484" s="28" t="str">
        <f>+IF(COUNTIFS('Raw Period DMR Data'!$A:$A,B484, 'Raw Period DMR Data'!C:C,'Raw Annual DMR Data'!X484, 'Raw Period DMR Data'!M:M, "&gt;0")&gt;0,_xlfn.MAXIFS('Raw Period DMR Data'!M:M,'Raw Period DMR Data'!$A:$A,'Raw Annual DMR Data'!B484,'Raw Period DMR Data'!C:C,'Raw Annual DMR Data'!X484), "N/A - Period DMR Data Not Available")</f>
        <v>N/A - Period DMR Data Not Available</v>
      </c>
      <c r="V484" s="28" t="str" cm="1">
        <f t="array" ref="V484">IFERROR(INDEX('Raw Period DMR Data'!N:N,MATCH(1,(B484='Raw Period DMR Data'!$A:$A)*(U484='Raw Period DMR Data'!M:M)*(X484='Raw Period DMR Data'!C:C),0),1), "N/A")</f>
        <v>N/A</v>
      </c>
      <c r="W484" s="28" t="s">
        <v>1463</v>
      </c>
      <c r="X484" s="28" t="s">
        <v>1749</v>
      </c>
      <c r="Y484" s="28" t="s">
        <v>1750</v>
      </c>
      <c r="Z484" s="302" t="s">
        <v>1752</v>
      </c>
      <c r="AA484" s="28"/>
      <c r="AB484" s="28" t="s">
        <v>1465</v>
      </c>
      <c r="AC484" s="28" t="s">
        <v>1466</v>
      </c>
    </row>
    <row r="485" spans="1:29" x14ac:dyDescent="0.25">
      <c r="A485" s="61">
        <v>110000321651</v>
      </c>
      <c r="B485" s="28">
        <v>2019</v>
      </c>
      <c r="C485" s="68">
        <f t="shared" si="7"/>
        <v>43466</v>
      </c>
      <c r="D485" s="28" t="s">
        <v>1109</v>
      </c>
      <c r="E485" s="28" t="s">
        <v>1748</v>
      </c>
      <c r="F485" s="28" t="s">
        <v>1110</v>
      </c>
      <c r="G485" s="28" t="s">
        <v>338</v>
      </c>
      <c r="H485" s="28">
        <v>8536</v>
      </c>
      <c r="I485" s="28">
        <v>40.331944</v>
      </c>
      <c r="J485" s="28">
        <v>-74.619721999999996</v>
      </c>
      <c r="L485" s="61">
        <v>110000321651</v>
      </c>
      <c r="M485" s="28" t="s">
        <v>265</v>
      </c>
      <c r="N485" s="28">
        <v>2869</v>
      </c>
      <c r="O485" s="28" t="str">
        <f>IFERROR(VLOOKUP(N485, 'SIC &amp; NAICS Codes'!A:B, 2, FALSE), "")</f>
        <v>Industrial Organic Chemicals, NEC (aliphatics)</v>
      </c>
      <c r="S485" s="28">
        <v>6.9199999999999999E-3</v>
      </c>
      <c r="T485" s="315">
        <f>_xlfn.MAXIFS('Raw Period DMR Data'!$O:$O,'Raw Period DMR Data'!$A:$A,'Raw Annual DMR Data'!B485,'Raw Period DMR Data'!$C:$C,X485)/S485</f>
        <v>0</v>
      </c>
      <c r="U485" s="28" t="str">
        <f>+IF(COUNTIFS('Raw Period DMR Data'!$A:$A,B485, 'Raw Period DMR Data'!C:C,'Raw Annual DMR Data'!X485, 'Raw Period DMR Data'!M:M, "&gt;0")&gt;0,_xlfn.MAXIFS('Raw Period DMR Data'!M:M,'Raw Period DMR Data'!$A:$A,'Raw Annual DMR Data'!B485,'Raw Period DMR Data'!C:C,'Raw Annual DMR Data'!X485), "N/A - Period DMR Data Not Available")</f>
        <v>N/A - Period DMR Data Not Available</v>
      </c>
      <c r="V485" s="28" t="str" cm="1">
        <f t="array" ref="V485">IFERROR(INDEX('Raw Period DMR Data'!N:N,MATCH(1,(B485='Raw Period DMR Data'!$A:$A)*(U485='Raw Period DMR Data'!M:M)*(X485='Raw Period DMR Data'!C:C),0),1), "N/A")</f>
        <v>N/A</v>
      </c>
      <c r="W485" s="28" t="s">
        <v>1463</v>
      </c>
      <c r="X485" s="28" t="s">
        <v>1749</v>
      </c>
      <c r="Y485" s="28" t="s">
        <v>1750</v>
      </c>
      <c r="Z485" s="28">
        <v>2060002000003</v>
      </c>
      <c r="AA485" s="28"/>
      <c r="AB485" s="28" t="s">
        <v>1465</v>
      </c>
      <c r="AC485" s="28" t="s">
        <v>1466</v>
      </c>
    </row>
    <row r="486" spans="1:29" x14ac:dyDescent="0.25">
      <c r="A486" s="61">
        <v>110000321651</v>
      </c>
      <c r="B486" s="28">
        <v>2020</v>
      </c>
      <c r="C486" s="68">
        <f t="shared" si="7"/>
        <v>43831</v>
      </c>
      <c r="D486" s="28" t="s">
        <v>1109</v>
      </c>
      <c r="E486" s="28" t="s">
        <v>1748</v>
      </c>
      <c r="F486" s="28" t="s">
        <v>1110</v>
      </c>
      <c r="G486" s="28" t="s">
        <v>338</v>
      </c>
      <c r="H486" s="28">
        <v>8536</v>
      </c>
      <c r="I486" s="28">
        <v>40.331944</v>
      </c>
      <c r="J486" s="28">
        <v>-74.619721999999996</v>
      </c>
      <c r="L486" s="61">
        <v>110000321651</v>
      </c>
      <c r="M486" s="28" t="s">
        <v>265</v>
      </c>
      <c r="N486" s="28">
        <v>2869</v>
      </c>
      <c r="O486" s="28" t="str">
        <f>IFERROR(VLOOKUP(N486, 'SIC &amp; NAICS Codes'!A:B, 2, FALSE), "")</f>
        <v>Industrial Organic Chemicals, NEC (aliphatics)</v>
      </c>
      <c r="S486" s="28">
        <v>6.9199999999999999E-3</v>
      </c>
      <c r="T486" s="315">
        <f>_xlfn.MAXIFS('Raw Period DMR Data'!$O:$O,'Raw Period DMR Data'!$A:$A,'Raw Annual DMR Data'!B486,'Raw Period DMR Data'!$C:$C,X486)/S486</f>
        <v>0</v>
      </c>
      <c r="U486" s="28" t="str">
        <f>+IF(COUNTIFS('Raw Period DMR Data'!$A:$A,B486, 'Raw Period DMR Data'!C:C,'Raw Annual DMR Data'!X486, 'Raw Period DMR Data'!M:M, "&gt;0")&gt;0,_xlfn.MAXIFS('Raw Period DMR Data'!M:M,'Raw Period DMR Data'!$A:$A,'Raw Annual DMR Data'!B486,'Raw Period DMR Data'!C:C,'Raw Annual DMR Data'!X486), "N/A - Period DMR Data Not Available")</f>
        <v>N/A - Period DMR Data Not Available</v>
      </c>
      <c r="V486" s="28" t="str" cm="1">
        <f t="array" ref="V486">IFERROR(INDEX('Raw Period DMR Data'!N:N,MATCH(1,(B486='Raw Period DMR Data'!$A:$A)*(U486='Raw Period DMR Data'!M:M)*(X486='Raw Period DMR Data'!C:C),0),1), "N/A")</f>
        <v>N/A</v>
      </c>
      <c r="W486" s="28" t="s">
        <v>1463</v>
      </c>
      <c r="X486" s="28" t="s">
        <v>1749</v>
      </c>
      <c r="Y486" s="28" t="s">
        <v>1750</v>
      </c>
      <c r="Z486" s="28">
        <v>2060002000003</v>
      </c>
      <c r="AA486" s="28"/>
      <c r="AB486" s="28" t="s">
        <v>1465</v>
      </c>
      <c r="AC486" s="28" t="s">
        <v>1466</v>
      </c>
    </row>
    <row r="487" spans="1:29" x14ac:dyDescent="0.25">
      <c r="A487" s="61">
        <v>110000319904</v>
      </c>
      <c r="B487" s="28">
        <v>2016</v>
      </c>
      <c r="C487" s="68">
        <f t="shared" si="7"/>
        <v>42370</v>
      </c>
      <c r="D487" s="28" t="s">
        <v>1111</v>
      </c>
      <c r="E487" s="28" t="s">
        <v>1753</v>
      </c>
      <c r="F487" s="28" t="s">
        <v>1112</v>
      </c>
      <c r="G487" s="28" t="s">
        <v>338</v>
      </c>
      <c r="H487" s="28">
        <v>7410</v>
      </c>
      <c r="I487" s="28">
        <v>40.9375</v>
      </c>
      <c r="J487" s="28">
        <v>-74.131939000000003</v>
      </c>
      <c r="K487" s="28" t="s">
        <v>715</v>
      </c>
      <c r="L487" s="61">
        <v>110000319904</v>
      </c>
      <c r="M487" s="28" t="s">
        <v>265</v>
      </c>
      <c r="N487" s="28">
        <v>2899</v>
      </c>
      <c r="O487" s="28" t="str">
        <f>IFERROR(VLOOKUP(N487, 'SIC &amp; NAICS Codes'!A:B, 2, FALSE), "")</f>
        <v>Chemicals and Chemical Preparations, NEC (table salt)</v>
      </c>
      <c r="S487" s="28">
        <v>2.6624901199999999E-2</v>
      </c>
      <c r="T487" s="315">
        <f>_xlfn.MAXIFS('Raw Period DMR Data'!$O:$O,'Raw Period DMR Data'!$A:$A,'Raw Annual DMR Data'!B487,'Raw Period DMR Data'!$C:$C,X487)/S487</f>
        <v>0</v>
      </c>
      <c r="U487" s="28" t="str">
        <f>+IF(COUNTIFS('Raw Period DMR Data'!$A:$A,B487, 'Raw Period DMR Data'!C:C,'Raw Annual DMR Data'!X487, 'Raw Period DMR Data'!M:M, "&gt;0")&gt;0,_xlfn.MAXIFS('Raw Period DMR Data'!M:M,'Raw Period DMR Data'!$A:$A,'Raw Annual DMR Data'!B487,'Raw Period DMR Data'!C:C,'Raw Annual DMR Data'!X487), "N/A - Period DMR Data Not Available")</f>
        <v>N/A - Period DMR Data Not Available</v>
      </c>
      <c r="V487" s="28" t="str" cm="1">
        <f t="array" ref="V487">IFERROR(INDEX('Raw Period DMR Data'!N:N,MATCH(1,(B487='Raw Period DMR Data'!$A:$A)*(U487='Raw Period DMR Data'!M:M)*(X487='Raw Period DMR Data'!C:C),0),1), "N/A")</f>
        <v>N/A</v>
      </c>
      <c r="W487" s="28" t="s">
        <v>1463</v>
      </c>
      <c r="X487" s="28" t="s">
        <v>1754</v>
      </c>
      <c r="Y487" s="28" t="s">
        <v>1755</v>
      </c>
      <c r="Z487" s="28">
        <v>2030103000370</v>
      </c>
      <c r="AA487" s="28"/>
      <c r="AB487" s="28" t="s">
        <v>1465</v>
      </c>
      <c r="AC487" s="28" t="s">
        <v>1466</v>
      </c>
    </row>
    <row r="488" spans="1:29" x14ac:dyDescent="0.25">
      <c r="A488" s="61">
        <v>110000319904</v>
      </c>
      <c r="B488" s="28">
        <v>2017</v>
      </c>
      <c r="C488" s="68">
        <f t="shared" si="7"/>
        <v>42736</v>
      </c>
      <c r="D488" s="28" t="s">
        <v>1111</v>
      </c>
      <c r="E488" s="28" t="s">
        <v>1753</v>
      </c>
      <c r="F488" s="28" t="s">
        <v>1112</v>
      </c>
      <c r="G488" s="28" t="s">
        <v>338</v>
      </c>
      <c r="H488" s="28">
        <v>7410</v>
      </c>
      <c r="I488" s="28">
        <v>40.9375</v>
      </c>
      <c r="J488" s="28">
        <v>-74.131939000000003</v>
      </c>
      <c r="K488" s="28" t="s">
        <v>715</v>
      </c>
      <c r="L488" s="61">
        <v>110000319904</v>
      </c>
      <c r="M488" s="28" t="s">
        <v>265</v>
      </c>
      <c r="N488" s="28">
        <v>2899</v>
      </c>
      <c r="O488" s="28" t="str">
        <f>IFERROR(VLOOKUP(N488, 'SIC &amp; NAICS Codes'!A:B, 2, FALSE), "")</f>
        <v>Chemicals and Chemical Preparations, NEC (table salt)</v>
      </c>
      <c r="S488" s="28">
        <v>8.15005125E-3</v>
      </c>
      <c r="T488" s="315">
        <f>_xlfn.MAXIFS('Raw Period DMR Data'!$O:$O,'Raw Period DMR Data'!$A:$A,'Raw Annual DMR Data'!B488,'Raw Period DMR Data'!$C:$C,X488)/S488</f>
        <v>0</v>
      </c>
      <c r="U488" s="28" t="str">
        <f>+IF(COUNTIFS('Raw Period DMR Data'!$A:$A,B488, 'Raw Period DMR Data'!C:C,'Raw Annual DMR Data'!X488, 'Raw Period DMR Data'!M:M, "&gt;0")&gt;0,_xlfn.MAXIFS('Raw Period DMR Data'!M:M,'Raw Period DMR Data'!$A:$A,'Raw Annual DMR Data'!B488,'Raw Period DMR Data'!C:C,'Raw Annual DMR Data'!X488), "N/A - Period DMR Data Not Available")</f>
        <v>N/A - Period DMR Data Not Available</v>
      </c>
      <c r="V488" s="28" t="str" cm="1">
        <f t="array" ref="V488">IFERROR(INDEX('Raw Period DMR Data'!N:N,MATCH(1,(B488='Raw Period DMR Data'!$A:$A)*(U488='Raw Period DMR Data'!M:M)*(X488='Raw Period DMR Data'!C:C),0),1), "N/A")</f>
        <v>N/A</v>
      </c>
      <c r="W488" s="28" t="s">
        <v>1463</v>
      </c>
      <c r="X488" s="28" t="s">
        <v>1754</v>
      </c>
      <c r="Y488" s="28" t="s">
        <v>1755</v>
      </c>
      <c r="Z488" s="28">
        <v>2030103000370</v>
      </c>
      <c r="AA488" s="28"/>
      <c r="AB488" s="28" t="s">
        <v>1465</v>
      </c>
      <c r="AC488" s="28" t="s">
        <v>1466</v>
      </c>
    </row>
    <row r="489" spans="1:29" x14ac:dyDescent="0.25">
      <c r="A489" s="61">
        <v>110000319904</v>
      </c>
      <c r="B489" s="28">
        <v>2018</v>
      </c>
      <c r="C489" s="68">
        <f t="shared" si="7"/>
        <v>43101</v>
      </c>
      <c r="D489" s="28" t="s">
        <v>1111</v>
      </c>
      <c r="E489" s="28" t="s">
        <v>1753</v>
      </c>
      <c r="F489" s="28" t="s">
        <v>1112</v>
      </c>
      <c r="G489" s="28" t="s">
        <v>338</v>
      </c>
      <c r="H489" s="302" t="s">
        <v>1756</v>
      </c>
      <c r="I489" s="28">
        <v>40.9375</v>
      </c>
      <c r="J489" s="28">
        <v>-74.131939000000003</v>
      </c>
      <c r="K489" s="28" t="s">
        <v>715</v>
      </c>
      <c r="L489" s="61">
        <v>110000319904</v>
      </c>
      <c r="M489" s="28" t="s">
        <v>265</v>
      </c>
      <c r="N489" s="28">
        <v>2899</v>
      </c>
      <c r="O489" s="28" t="str">
        <f>IFERROR(VLOOKUP(N489, 'SIC &amp; NAICS Codes'!A:B, 2, FALSE), "")</f>
        <v>Chemicals and Chemical Preparations, NEC (table salt)</v>
      </c>
      <c r="S489" s="28">
        <v>7.9766414750000007E-3</v>
      </c>
      <c r="T489" s="315">
        <f>_xlfn.MAXIFS('Raw Period DMR Data'!$O:$O,'Raw Period DMR Data'!$A:$A,'Raw Annual DMR Data'!B489,'Raw Period DMR Data'!$C:$C,X489)/S489</f>
        <v>0</v>
      </c>
      <c r="U489" s="28" t="str">
        <f>+IF(COUNTIFS('Raw Period DMR Data'!$A:$A,B489, 'Raw Period DMR Data'!C:C,'Raw Annual DMR Data'!X489, 'Raw Period DMR Data'!M:M, "&gt;0")&gt;0,_xlfn.MAXIFS('Raw Period DMR Data'!M:M,'Raw Period DMR Data'!$A:$A,'Raw Annual DMR Data'!B489,'Raw Period DMR Data'!C:C,'Raw Annual DMR Data'!X489), "N/A - Period DMR Data Not Available")</f>
        <v>N/A - Period DMR Data Not Available</v>
      </c>
      <c r="V489" s="28" t="str" cm="1">
        <f t="array" ref="V489">IFERROR(INDEX('Raw Period DMR Data'!N:N,MATCH(1,(B489='Raw Period DMR Data'!$A:$A)*(U489='Raw Period DMR Data'!M:M)*(X489='Raw Period DMR Data'!C:C),0),1), "N/A")</f>
        <v>N/A</v>
      </c>
      <c r="W489" s="28" t="s">
        <v>1463</v>
      </c>
      <c r="X489" s="28" t="s">
        <v>1754</v>
      </c>
      <c r="Y489" s="28" t="s">
        <v>1755</v>
      </c>
      <c r="Z489" s="302" t="s">
        <v>1757</v>
      </c>
      <c r="AA489" s="28"/>
      <c r="AB489" s="28" t="s">
        <v>1465</v>
      </c>
      <c r="AC489" s="28" t="s">
        <v>1466</v>
      </c>
    </row>
    <row r="490" spans="1:29" x14ac:dyDescent="0.25">
      <c r="A490" s="61">
        <v>110000319904</v>
      </c>
      <c r="B490" s="28">
        <v>2019</v>
      </c>
      <c r="C490" s="68">
        <f t="shared" si="7"/>
        <v>43466</v>
      </c>
      <c r="D490" s="28" t="s">
        <v>1111</v>
      </c>
      <c r="E490" s="28" t="s">
        <v>1753</v>
      </c>
      <c r="F490" s="28" t="s">
        <v>1112</v>
      </c>
      <c r="G490" s="28" t="s">
        <v>338</v>
      </c>
      <c r="H490" s="28">
        <v>7410</v>
      </c>
      <c r="I490" s="28">
        <v>40.9375</v>
      </c>
      <c r="J490" s="28">
        <v>-74.131939000000003</v>
      </c>
      <c r="K490" s="28" t="s">
        <v>715</v>
      </c>
      <c r="L490" s="61">
        <v>110000319904</v>
      </c>
      <c r="M490" s="28" t="s">
        <v>265</v>
      </c>
      <c r="N490" s="28">
        <v>2899</v>
      </c>
      <c r="O490" s="28" t="str">
        <f>IFERROR(VLOOKUP(N490, 'SIC &amp; NAICS Codes'!A:B, 2, FALSE), "")</f>
        <v>Chemicals and Chemical Preparations, NEC (table salt)</v>
      </c>
      <c r="S490" s="28">
        <v>8.0880151000000001E-3</v>
      </c>
      <c r="T490" s="315">
        <f>_xlfn.MAXIFS('Raw Period DMR Data'!$O:$O,'Raw Period DMR Data'!$A:$A,'Raw Annual DMR Data'!B490,'Raw Period DMR Data'!$C:$C,X490)/S490</f>
        <v>0</v>
      </c>
      <c r="U490" s="28" t="str">
        <f>+IF(COUNTIFS('Raw Period DMR Data'!$A:$A,B490, 'Raw Period DMR Data'!C:C,'Raw Annual DMR Data'!X490, 'Raw Period DMR Data'!M:M, "&gt;0")&gt;0,_xlfn.MAXIFS('Raw Period DMR Data'!M:M,'Raw Period DMR Data'!$A:$A,'Raw Annual DMR Data'!B490,'Raw Period DMR Data'!C:C,'Raw Annual DMR Data'!X490), "N/A - Period DMR Data Not Available")</f>
        <v>N/A - Period DMR Data Not Available</v>
      </c>
      <c r="V490" s="28" t="str" cm="1">
        <f t="array" ref="V490">IFERROR(INDEX('Raw Period DMR Data'!N:N,MATCH(1,(B490='Raw Period DMR Data'!$A:$A)*(U490='Raw Period DMR Data'!M:M)*(X490='Raw Period DMR Data'!C:C),0),1), "N/A")</f>
        <v>N/A</v>
      </c>
      <c r="W490" s="28" t="s">
        <v>1463</v>
      </c>
      <c r="X490" s="28" t="s">
        <v>1754</v>
      </c>
      <c r="Y490" s="28" t="s">
        <v>1755</v>
      </c>
      <c r="Z490" s="28">
        <v>2030103000370</v>
      </c>
      <c r="AA490" s="28"/>
      <c r="AB490" s="28" t="s">
        <v>1465</v>
      </c>
      <c r="AC490" s="28" t="s">
        <v>1466</v>
      </c>
    </row>
    <row r="491" spans="1:29" x14ac:dyDescent="0.25">
      <c r="A491" s="61">
        <v>110000319904</v>
      </c>
      <c r="B491" s="28">
        <v>2020</v>
      </c>
      <c r="C491" s="68">
        <f t="shared" si="7"/>
        <v>43831</v>
      </c>
      <c r="D491" s="28" t="s">
        <v>1111</v>
      </c>
      <c r="E491" s="28" t="s">
        <v>1753</v>
      </c>
      <c r="F491" s="28" t="s">
        <v>1112</v>
      </c>
      <c r="G491" s="28" t="s">
        <v>338</v>
      </c>
      <c r="H491" s="28">
        <v>7410</v>
      </c>
      <c r="I491" s="28">
        <v>40.9375</v>
      </c>
      <c r="J491" s="28">
        <v>-74.131939000000003</v>
      </c>
      <c r="K491" s="28" t="s">
        <v>715</v>
      </c>
      <c r="L491" s="61">
        <v>110000319904</v>
      </c>
      <c r="M491" s="28" t="s">
        <v>265</v>
      </c>
      <c r="N491" s="28">
        <v>2899</v>
      </c>
      <c r="O491" s="28" t="str">
        <f>IFERROR(VLOOKUP(N491, 'SIC &amp; NAICS Codes'!A:B, 2, FALSE), "")</f>
        <v>Chemicals and Chemical Preparations, NEC (table salt)</v>
      </c>
      <c r="S491" s="28">
        <v>7.6737468499999996E-3</v>
      </c>
      <c r="T491" s="315">
        <f>_xlfn.MAXIFS('Raw Period DMR Data'!$O:$O,'Raw Period DMR Data'!$A:$A,'Raw Annual DMR Data'!B491,'Raw Period DMR Data'!$C:$C,X491)/S491</f>
        <v>0</v>
      </c>
      <c r="U491" s="28" t="str">
        <f>+IF(COUNTIFS('Raw Period DMR Data'!$A:$A,B491, 'Raw Period DMR Data'!C:C,'Raw Annual DMR Data'!X491, 'Raw Period DMR Data'!M:M, "&gt;0")&gt;0,_xlfn.MAXIFS('Raw Period DMR Data'!M:M,'Raw Period DMR Data'!$A:$A,'Raw Annual DMR Data'!B491,'Raw Period DMR Data'!C:C,'Raw Annual DMR Data'!X491), "N/A - Period DMR Data Not Available")</f>
        <v>N/A - Period DMR Data Not Available</v>
      </c>
      <c r="V491" s="28" t="str" cm="1">
        <f t="array" ref="V491">IFERROR(INDEX('Raw Period DMR Data'!N:N,MATCH(1,(B491='Raw Period DMR Data'!$A:$A)*(U491='Raw Period DMR Data'!M:M)*(X491='Raw Period DMR Data'!C:C),0),1), "N/A")</f>
        <v>N/A</v>
      </c>
      <c r="W491" s="28" t="s">
        <v>1463</v>
      </c>
      <c r="X491" s="28" t="s">
        <v>1754</v>
      </c>
      <c r="Y491" s="28" t="s">
        <v>1755</v>
      </c>
      <c r="Z491" s="28">
        <v>2030103000370</v>
      </c>
      <c r="AA491" s="28"/>
      <c r="AB491" s="28" t="s">
        <v>1465</v>
      </c>
      <c r="AC491" s="28" t="s">
        <v>1466</v>
      </c>
    </row>
    <row r="492" spans="1:29" x14ac:dyDescent="0.25">
      <c r="A492" s="61">
        <v>110003251427</v>
      </c>
      <c r="B492" s="28">
        <v>2018</v>
      </c>
      <c r="C492" s="68">
        <f t="shared" si="7"/>
        <v>43101</v>
      </c>
      <c r="D492" s="28" t="s">
        <v>1113</v>
      </c>
      <c r="E492" s="28" t="s">
        <v>1758</v>
      </c>
      <c r="F492" s="28" t="s">
        <v>1114</v>
      </c>
      <c r="G492" s="28" t="s">
        <v>324</v>
      </c>
      <c r="H492" s="28">
        <v>41041</v>
      </c>
      <c r="I492" s="28">
        <v>38.421495999999998</v>
      </c>
      <c r="J492" s="28">
        <v>-83.734424000000004</v>
      </c>
      <c r="L492" s="61">
        <v>110003251427</v>
      </c>
      <c r="M492" s="28" t="s">
        <v>263</v>
      </c>
      <c r="N492" s="28">
        <v>4952</v>
      </c>
      <c r="O492" s="28" t="str">
        <f>IFERROR(VLOOKUP(N492, 'SIC &amp; NAICS Codes'!A:B, 2, FALSE), "")</f>
        <v>Sewerage Systems</v>
      </c>
      <c r="S492" s="28">
        <v>0.39028081250000002</v>
      </c>
      <c r="T492" s="315">
        <f>_xlfn.MAXIFS('Raw Period DMR Data'!$O:$O,'Raw Period DMR Data'!$A:$A,'Raw Annual DMR Data'!B492,'Raw Period DMR Data'!$C:$C,X492)/S492</f>
        <v>0</v>
      </c>
      <c r="U492" s="28" t="str">
        <f>+IF(COUNTIFS('Raw Period DMR Data'!$A:$A,B492, 'Raw Period DMR Data'!C:C,'Raw Annual DMR Data'!X492, 'Raw Period DMR Data'!M:M, "&gt;0")&gt;0,_xlfn.MAXIFS('Raw Period DMR Data'!M:M,'Raw Period DMR Data'!$A:$A,'Raw Annual DMR Data'!B492,'Raw Period DMR Data'!C:C,'Raw Annual DMR Data'!X492), "N/A - Period DMR Data Not Available")</f>
        <v>N/A - Period DMR Data Not Available</v>
      </c>
      <c r="V492" s="28" t="str" cm="1">
        <f t="array" ref="V492">IFERROR(INDEX('Raw Period DMR Data'!N:N,MATCH(1,(B492='Raw Period DMR Data'!$A:$A)*(U492='Raw Period DMR Data'!M:M)*(X492='Raw Period DMR Data'!C:C),0),1), "N/A")</f>
        <v>N/A</v>
      </c>
      <c r="W492" s="28" t="s">
        <v>1463</v>
      </c>
      <c r="X492" s="28" t="s">
        <v>1759</v>
      </c>
      <c r="Y492" s="28" t="s">
        <v>1760</v>
      </c>
      <c r="Z492" s="302" t="s">
        <v>1761</v>
      </c>
      <c r="AA492" s="28"/>
      <c r="AB492" s="28" t="s">
        <v>1465</v>
      </c>
      <c r="AC492" s="28" t="s">
        <v>263</v>
      </c>
    </row>
    <row r="493" spans="1:29" x14ac:dyDescent="0.25">
      <c r="A493" s="61">
        <v>110003251427</v>
      </c>
      <c r="B493" s="28">
        <v>2019</v>
      </c>
      <c r="C493" s="68">
        <f t="shared" si="7"/>
        <v>43466</v>
      </c>
      <c r="D493" s="28" t="s">
        <v>1113</v>
      </c>
      <c r="E493" s="28" t="s">
        <v>1758</v>
      </c>
      <c r="F493" s="28" t="s">
        <v>1114</v>
      </c>
      <c r="G493" s="28" t="s">
        <v>324</v>
      </c>
      <c r="H493" s="28">
        <v>41041</v>
      </c>
      <c r="I493" s="28">
        <v>38.421495999999998</v>
      </c>
      <c r="J493" s="28">
        <v>-83.734424000000004</v>
      </c>
      <c r="L493" s="61">
        <v>110003251427</v>
      </c>
      <c r="M493" s="28" t="s">
        <v>263</v>
      </c>
      <c r="N493" s="28">
        <v>4952</v>
      </c>
      <c r="O493" s="28" t="str">
        <f>IFERROR(VLOOKUP(N493, 'SIC &amp; NAICS Codes'!A:B, 2, FALSE), "")</f>
        <v>Sewerage Systems</v>
      </c>
      <c r="S493" s="28">
        <v>0.47524460000000002</v>
      </c>
      <c r="T493" s="315">
        <f>_xlfn.MAXIFS('Raw Period DMR Data'!$O:$O,'Raw Period DMR Data'!$A:$A,'Raw Annual DMR Data'!B493,'Raw Period DMR Data'!$C:$C,X493)/S493</f>
        <v>0</v>
      </c>
      <c r="U493" s="28" t="str">
        <f>+IF(COUNTIFS('Raw Period DMR Data'!$A:$A,B493, 'Raw Period DMR Data'!C:C,'Raw Annual DMR Data'!X493, 'Raw Period DMR Data'!M:M, "&gt;0")&gt;0,_xlfn.MAXIFS('Raw Period DMR Data'!M:M,'Raw Period DMR Data'!$A:$A,'Raw Annual DMR Data'!B493,'Raw Period DMR Data'!C:C,'Raw Annual DMR Data'!X493), "N/A - Period DMR Data Not Available")</f>
        <v>N/A - Period DMR Data Not Available</v>
      </c>
      <c r="V493" s="28" t="str" cm="1">
        <f t="array" ref="V493">IFERROR(INDEX('Raw Period DMR Data'!N:N,MATCH(1,(B493='Raw Period DMR Data'!$A:$A)*(U493='Raw Period DMR Data'!M:M)*(X493='Raw Period DMR Data'!C:C),0),1), "N/A")</f>
        <v>N/A</v>
      </c>
      <c r="W493" s="28" t="s">
        <v>1463</v>
      </c>
      <c r="X493" s="28" t="s">
        <v>1759</v>
      </c>
      <c r="Y493" s="28" t="s">
        <v>1760</v>
      </c>
      <c r="Z493" s="28">
        <v>5100101000962</v>
      </c>
      <c r="AA493" s="28"/>
      <c r="AB493" s="28" t="s">
        <v>1465</v>
      </c>
      <c r="AC493" s="28" t="s">
        <v>263</v>
      </c>
    </row>
    <row r="494" spans="1:29" x14ac:dyDescent="0.25">
      <c r="A494" s="61">
        <v>110003251427</v>
      </c>
      <c r="B494" s="28">
        <v>2020</v>
      </c>
      <c r="C494" s="68">
        <f t="shared" si="7"/>
        <v>43831</v>
      </c>
      <c r="D494" s="28" t="s">
        <v>1113</v>
      </c>
      <c r="E494" s="28" t="s">
        <v>1758</v>
      </c>
      <c r="F494" s="28" t="s">
        <v>1114</v>
      </c>
      <c r="G494" s="28" t="s">
        <v>324</v>
      </c>
      <c r="H494" s="28">
        <v>41041</v>
      </c>
      <c r="I494" s="28">
        <v>38.421495999999998</v>
      </c>
      <c r="J494" s="28">
        <v>-83.734424000000004</v>
      </c>
      <c r="L494" s="61">
        <v>110003251427</v>
      </c>
      <c r="M494" s="28" t="s">
        <v>263</v>
      </c>
      <c r="N494" s="28">
        <v>4952</v>
      </c>
      <c r="O494" s="28" t="str">
        <f>IFERROR(VLOOKUP(N494, 'SIC &amp; NAICS Codes'!A:B, 2, FALSE), "")</f>
        <v>Sewerage Systems</v>
      </c>
      <c r="S494" s="28">
        <v>0.27008813749999999</v>
      </c>
      <c r="T494" s="315">
        <f>_xlfn.MAXIFS('Raw Period DMR Data'!$O:$O,'Raw Period DMR Data'!$A:$A,'Raw Annual DMR Data'!B494,'Raw Period DMR Data'!$C:$C,X494)/S494</f>
        <v>0</v>
      </c>
      <c r="U494" s="28" t="str">
        <f>+IF(COUNTIFS('Raw Period DMR Data'!$A:$A,B494, 'Raw Period DMR Data'!C:C,'Raw Annual DMR Data'!X494, 'Raw Period DMR Data'!M:M, "&gt;0")&gt;0,_xlfn.MAXIFS('Raw Period DMR Data'!M:M,'Raw Period DMR Data'!$A:$A,'Raw Annual DMR Data'!B494,'Raw Period DMR Data'!C:C,'Raw Annual DMR Data'!X494), "N/A - Period DMR Data Not Available")</f>
        <v>N/A - Period DMR Data Not Available</v>
      </c>
      <c r="V494" s="28" t="str" cm="1">
        <f t="array" ref="V494">IFERROR(INDEX('Raw Period DMR Data'!N:N,MATCH(1,(B494='Raw Period DMR Data'!$A:$A)*(U494='Raw Period DMR Data'!M:M)*(X494='Raw Period DMR Data'!C:C),0),1), "N/A")</f>
        <v>N/A</v>
      </c>
      <c r="W494" s="28" t="s">
        <v>1463</v>
      </c>
      <c r="X494" s="28" t="s">
        <v>1759</v>
      </c>
      <c r="Y494" s="28" t="s">
        <v>1760</v>
      </c>
      <c r="Z494" s="28">
        <v>5100101000962</v>
      </c>
      <c r="AA494" s="28"/>
      <c r="AB494" s="28" t="s">
        <v>1465</v>
      </c>
      <c r="AC494" s="28" t="s">
        <v>263</v>
      </c>
    </row>
    <row r="495" spans="1:29" x14ac:dyDescent="0.25">
      <c r="A495" s="61">
        <v>110043486457</v>
      </c>
      <c r="B495" s="28">
        <v>2017</v>
      </c>
      <c r="C495" s="68">
        <f t="shared" si="7"/>
        <v>42736</v>
      </c>
      <c r="D495" s="28" t="s">
        <v>1115</v>
      </c>
      <c r="E495" s="28" t="s">
        <v>1762</v>
      </c>
      <c r="F495" s="28" t="s">
        <v>987</v>
      </c>
      <c r="G495" s="28" t="s">
        <v>324</v>
      </c>
      <c r="H495" s="28">
        <v>40245</v>
      </c>
      <c r="I495" s="28">
        <v>38.236699999999999</v>
      </c>
      <c r="J495" s="28">
        <v>-85.466710000000006</v>
      </c>
      <c r="L495" s="61">
        <v>110043486457</v>
      </c>
      <c r="M495" s="28" t="s">
        <v>263</v>
      </c>
      <c r="N495" s="28">
        <v>4952</v>
      </c>
      <c r="O495" s="28" t="str">
        <f>IFERROR(VLOOKUP(N495, 'SIC &amp; NAICS Codes'!A:B, 2, FALSE), "")</f>
        <v>Sewerage Systems</v>
      </c>
      <c r="S495" s="28">
        <v>9.8779037499999998</v>
      </c>
      <c r="T495" s="315">
        <f>_xlfn.MAXIFS('Raw Period DMR Data'!$O:$O,'Raw Period DMR Data'!$A:$A,'Raw Annual DMR Data'!B495,'Raw Period DMR Data'!$C:$C,X495)/S495</f>
        <v>0</v>
      </c>
      <c r="U495" s="28" t="str">
        <f>+IF(COUNTIFS('Raw Period DMR Data'!$A:$A,B495, 'Raw Period DMR Data'!C:C,'Raw Annual DMR Data'!X495, 'Raw Period DMR Data'!M:M, "&gt;0")&gt;0,_xlfn.MAXIFS('Raw Period DMR Data'!M:M,'Raw Period DMR Data'!$A:$A,'Raw Annual DMR Data'!B495,'Raw Period DMR Data'!C:C,'Raw Annual DMR Data'!X495), "N/A - Period DMR Data Not Available")</f>
        <v>N/A - Period DMR Data Not Available</v>
      </c>
      <c r="V495" s="28" t="str" cm="1">
        <f t="array" ref="V495">IFERROR(INDEX('Raw Period DMR Data'!N:N,MATCH(1,(B495='Raw Period DMR Data'!$A:$A)*(U495='Raw Period DMR Data'!M:M)*(X495='Raw Period DMR Data'!C:C),0),1), "N/A")</f>
        <v>N/A</v>
      </c>
      <c r="W495" s="28" t="s">
        <v>1463</v>
      </c>
      <c r="X495" s="28" t="s">
        <v>1763</v>
      </c>
      <c r="Y495" s="28" t="s">
        <v>1764</v>
      </c>
      <c r="Z495" s="28">
        <v>5140102000235</v>
      </c>
      <c r="AA495" s="28"/>
      <c r="AB495" s="28" t="s">
        <v>1465</v>
      </c>
      <c r="AC495" s="28" t="s">
        <v>263</v>
      </c>
    </row>
    <row r="496" spans="1:29" x14ac:dyDescent="0.25">
      <c r="A496" s="61">
        <v>110043486457</v>
      </c>
      <c r="B496" s="28">
        <v>2018</v>
      </c>
      <c r="C496" s="68">
        <f t="shared" si="7"/>
        <v>43101</v>
      </c>
      <c r="D496" s="28" t="s">
        <v>1115</v>
      </c>
      <c r="E496" s="28" t="s">
        <v>1762</v>
      </c>
      <c r="F496" s="28" t="s">
        <v>987</v>
      </c>
      <c r="G496" s="28" t="s">
        <v>324</v>
      </c>
      <c r="H496" s="28">
        <v>40245</v>
      </c>
      <c r="I496" s="28">
        <v>38.236699999999999</v>
      </c>
      <c r="J496" s="28">
        <v>-85.466710000000006</v>
      </c>
      <c r="L496" s="61">
        <v>110043486457</v>
      </c>
      <c r="M496" s="28" t="s">
        <v>263</v>
      </c>
      <c r="N496" s="28">
        <v>4952</v>
      </c>
      <c r="O496" s="28" t="str">
        <f>IFERROR(VLOOKUP(N496, 'SIC &amp; NAICS Codes'!A:B, 2, FALSE), "")</f>
        <v>Sewerage Systems</v>
      </c>
      <c r="S496" s="28">
        <v>16.647376250000001</v>
      </c>
      <c r="T496" s="315">
        <f>_xlfn.MAXIFS('Raw Period DMR Data'!$O:$O,'Raw Period DMR Data'!$A:$A,'Raw Annual DMR Data'!B496,'Raw Period DMR Data'!$C:$C,X496)/S496</f>
        <v>0</v>
      </c>
      <c r="U496" s="28" t="str">
        <f>+IF(COUNTIFS('Raw Period DMR Data'!$A:$A,B496, 'Raw Period DMR Data'!C:C,'Raw Annual DMR Data'!X496, 'Raw Period DMR Data'!M:M, "&gt;0")&gt;0,_xlfn.MAXIFS('Raw Period DMR Data'!M:M,'Raw Period DMR Data'!$A:$A,'Raw Annual DMR Data'!B496,'Raw Period DMR Data'!C:C,'Raw Annual DMR Data'!X496), "N/A - Period DMR Data Not Available")</f>
        <v>N/A - Period DMR Data Not Available</v>
      </c>
      <c r="V496" s="28" t="str" cm="1">
        <f t="array" ref="V496">IFERROR(INDEX('Raw Period DMR Data'!N:N,MATCH(1,(B496='Raw Period DMR Data'!$A:$A)*(U496='Raw Period DMR Data'!M:M)*(X496='Raw Period DMR Data'!C:C),0),1), "N/A")</f>
        <v>N/A</v>
      </c>
      <c r="W496" s="28" t="s">
        <v>1463</v>
      </c>
      <c r="X496" s="28" t="s">
        <v>1763</v>
      </c>
      <c r="Y496" s="28" t="s">
        <v>1764</v>
      </c>
      <c r="Z496" s="302" t="s">
        <v>1765</v>
      </c>
      <c r="AA496" s="28"/>
      <c r="AB496" s="28" t="s">
        <v>1465</v>
      </c>
      <c r="AC496" s="28" t="s">
        <v>263</v>
      </c>
    </row>
    <row r="497" spans="1:29" x14ac:dyDescent="0.25">
      <c r="A497" s="61">
        <v>110043486457</v>
      </c>
      <c r="B497" s="28">
        <v>2019</v>
      </c>
      <c r="C497" s="68">
        <f t="shared" si="7"/>
        <v>43466</v>
      </c>
      <c r="D497" s="28" t="s">
        <v>1115</v>
      </c>
      <c r="E497" s="28" t="s">
        <v>1762</v>
      </c>
      <c r="F497" s="28" t="s">
        <v>987</v>
      </c>
      <c r="G497" s="28" t="s">
        <v>324</v>
      </c>
      <c r="H497" s="28">
        <v>40245</v>
      </c>
      <c r="I497" s="28">
        <v>38.236699999999999</v>
      </c>
      <c r="J497" s="28">
        <v>-85.466710000000006</v>
      </c>
      <c r="L497" s="61">
        <v>110043486457</v>
      </c>
      <c r="M497" s="28" t="s">
        <v>263</v>
      </c>
      <c r="N497" s="28">
        <v>4952</v>
      </c>
      <c r="O497" s="28" t="str">
        <f>IFERROR(VLOOKUP(N497, 'SIC &amp; NAICS Codes'!A:B, 2, FALSE), "")</f>
        <v>Sewerage Systems</v>
      </c>
      <c r="S497" s="28">
        <v>15.645770625000001</v>
      </c>
      <c r="T497" s="315">
        <f>_xlfn.MAXIFS('Raw Period DMR Data'!$O:$O,'Raw Period DMR Data'!$A:$A,'Raw Annual DMR Data'!B497,'Raw Period DMR Data'!$C:$C,X497)/S497</f>
        <v>0</v>
      </c>
      <c r="U497" s="28" t="str">
        <f>+IF(COUNTIFS('Raw Period DMR Data'!$A:$A,B497, 'Raw Period DMR Data'!C:C,'Raw Annual DMR Data'!X497, 'Raw Period DMR Data'!M:M, "&gt;0")&gt;0,_xlfn.MAXIFS('Raw Period DMR Data'!M:M,'Raw Period DMR Data'!$A:$A,'Raw Annual DMR Data'!B497,'Raw Period DMR Data'!C:C,'Raw Annual DMR Data'!X497), "N/A - Period DMR Data Not Available")</f>
        <v>N/A - Period DMR Data Not Available</v>
      </c>
      <c r="V497" s="28" t="str" cm="1">
        <f t="array" ref="V497">IFERROR(INDEX('Raw Period DMR Data'!N:N,MATCH(1,(B497='Raw Period DMR Data'!$A:$A)*(U497='Raw Period DMR Data'!M:M)*(X497='Raw Period DMR Data'!C:C),0),1), "N/A")</f>
        <v>N/A</v>
      </c>
      <c r="W497" s="28" t="s">
        <v>1463</v>
      </c>
      <c r="X497" s="28" t="s">
        <v>1763</v>
      </c>
      <c r="Y497" s="28" t="s">
        <v>1764</v>
      </c>
      <c r="Z497" s="28">
        <v>5140102000235</v>
      </c>
      <c r="AA497" s="28"/>
      <c r="AB497" s="28" t="s">
        <v>1465</v>
      </c>
      <c r="AC497" s="28" t="s">
        <v>263</v>
      </c>
    </row>
    <row r="498" spans="1:29" x14ac:dyDescent="0.25">
      <c r="A498" s="61">
        <v>110043486457</v>
      </c>
      <c r="B498" s="28">
        <v>2020</v>
      </c>
      <c r="C498" s="68">
        <f t="shared" si="7"/>
        <v>43831</v>
      </c>
      <c r="D498" s="28" t="s">
        <v>1115</v>
      </c>
      <c r="E498" s="28" t="s">
        <v>1762</v>
      </c>
      <c r="F498" s="28" t="s">
        <v>987</v>
      </c>
      <c r="G498" s="28" t="s">
        <v>324</v>
      </c>
      <c r="H498" s="28">
        <v>40245</v>
      </c>
      <c r="I498" s="28">
        <v>38.236699999999999</v>
      </c>
      <c r="J498" s="28">
        <v>-85.466710000000006</v>
      </c>
      <c r="L498" s="61">
        <v>110043486457</v>
      </c>
      <c r="M498" s="28" t="s">
        <v>263</v>
      </c>
      <c r="N498" s="28">
        <v>4952</v>
      </c>
      <c r="O498" s="28" t="str">
        <f>IFERROR(VLOOKUP(N498, 'SIC &amp; NAICS Codes'!A:B, 2, FALSE), "")</f>
        <v>Sewerage Systems</v>
      </c>
      <c r="S498" s="28">
        <v>12.509708874999999</v>
      </c>
      <c r="T498" s="315">
        <f>_xlfn.MAXIFS('Raw Period DMR Data'!$O:$O,'Raw Period DMR Data'!$A:$A,'Raw Annual DMR Data'!B498,'Raw Period DMR Data'!$C:$C,X498)/S498</f>
        <v>0</v>
      </c>
      <c r="U498" s="28" t="str">
        <f>+IF(COUNTIFS('Raw Period DMR Data'!$A:$A,B498, 'Raw Period DMR Data'!C:C,'Raw Annual DMR Data'!X498, 'Raw Period DMR Data'!M:M, "&gt;0")&gt;0,_xlfn.MAXIFS('Raw Period DMR Data'!M:M,'Raw Period DMR Data'!$A:$A,'Raw Annual DMR Data'!B498,'Raw Period DMR Data'!C:C,'Raw Annual DMR Data'!X498), "N/A - Period DMR Data Not Available")</f>
        <v>N/A - Period DMR Data Not Available</v>
      </c>
      <c r="V498" s="28" t="str" cm="1">
        <f t="array" ref="V498">IFERROR(INDEX('Raw Period DMR Data'!N:N,MATCH(1,(B498='Raw Period DMR Data'!$A:$A)*(U498='Raw Period DMR Data'!M:M)*(X498='Raw Period DMR Data'!C:C),0),1), "N/A")</f>
        <v>N/A</v>
      </c>
      <c r="W498" s="28" t="s">
        <v>1463</v>
      </c>
      <c r="X498" s="28" t="s">
        <v>1763</v>
      </c>
      <c r="Y498" s="28" t="s">
        <v>1764</v>
      </c>
      <c r="Z498" s="28">
        <v>5140102000235</v>
      </c>
      <c r="AA498" s="28"/>
      <c r="AB498" s="28" t="s">
        <v>1465</v>
      </c>
      <c r="AC498" s="28" t="s">
        <v>263</v>
      </c>
    </row>
    <row r="499" spans="1:29" x14ac:dyDescent="0.25">
      <c r="A499" s="61">
        <v>110000326601</v>
      </c>
      <c r="B499" s="28">
        <v>2015</v>
      </c>
      <c r="C499" s="68">
        <f t="shared" si="7"/>
        <v>42005</v>
      </c>
      <c r="D499" s="28" t="s">
        <v>1116</v>
      </c>
      <c r="E499" s="28" t="s">
        <v>1766</v>
      </c>
      <c r="F499" s="28" t="s">
        <v>1117</v>
      </c>
      <c r="G499" s="28" t="s">
        <v>450</v>
      </c>
      <c r="H499" s="28">
        <v>14105</v>
      </c>
      <c r="I499" s="28">
        <v>43.207166999999998</v>
      </c>
      <c r="J499" s="28">
        <v>-78.468874999999997</v>
      </c>
      <c r="K499" s="28" t="s">
        <v>716</v>
      </c>
      <c r="L499" s="61">
        <v>110000326601</v>
      </c>
      <c r="M499" s="28" t="s">
        <v>265</v>
      </c>
      <c r="N499" s="28">
        <v>2879</v>
      </c>
      <c r="O499" s="28" t="str">
        <f>IFERROR(VLOOKUP(N499, 'SIC &amp; NAICS Codes'!A:B, 2, FALSE), "")</f>
        <v>Pesticides and Agricultural Chemicals, NEC</v>
      </c>
      <c r="S499" s="28">
        <v>8.6343079349999893E-2</v>
      </c>
      <c r="T499" s="315">
        <f>_xlfn.MAXIFS('Raw Period DMR Data'!$O:$O,'Raw Period DMR Data'!$A:$A,'Raw Annual DMR Data'!B499,'Raw Period DMR Data'!$C:$C,X499)/S499</f>
        <v>0</v>
      </c>
      <c r="U499" s="28" t="str">
        <f>+IF(COUNTIFS('Raw Period DMR Data'!$A:$A,B499, 'Raw Period DMR Data'!C:C,'Raw Annual DMR Data'!X499, 'Raw Period DMR Data'!M:M, "&gt;0")&gt;0,_xlfn.MAXIFS('Raw Period DMR Data'!M:M,'Raw Period DMR Data'!$A:$A,'Raw Annual DMR Data'!B499,'Raw Period DMR Data'!C:C,'Raw Annual DMR Data'!X499), "N/A - Period DMR Data Not Available")</f>
        <v>N/A - Period DMR Data Not Available</v>
      </c>
      <c r="V499" s="28" t="str" cm="1">
        <f t="array" ref="V499">IFERROR(INDEX('Raw Period DMR Data'!N:N,MATCH(1,(B499='Raw Period DMR Data'!$A:$A)*(U499='Raw Period DMR Data'!M:M)*(X499='Raw Period DMR Data'!C:C),0),1), "N/A")</f>
        <v>N/A</v>
      </c>
      <c r="W499" s="28" t="s">
        <v>1463</v>
      </c>
      <c r="X499" s="28" t="s">
        <v>1767</v>
      </c>
      <c r="Y499" s="28" t="s">
        <v>1768</v>
      </c>
      <c r="Z499" s="28">
        <v>4130001000130</v>
      </c>
      <c r="AA499" s="28"/>
      <c r="AB499" s="28" t="s">
        <v>1465</v>
      </c>
      <c r="AC499" s="28" t="s">
        <v>1466</v>
      </c>
    </row>
    <row r="500" spans="1:29" x14ac:dyDescent="0.25">
      <c r="A500" s="61">
        <v>110000326601</v>
      </c>
      <c r="B500" s="28">
        <v>2016</v>
      </c>
      <c r="C500" s="68">
        <f t="shared" si="7"/>
        <v>42370</v>
      </c>
      <c r="D500" s="28" t="s">
        <v>1116</v>
      </c>
      <c r="E500" s="28" t="s">
        <v>1766</v>
      </c>
      <c r="F500" s="28" t="s">
        <v>1117</v>
      </c>
      <c r="G500" s="28" t="s">
        <v>450</v>
      </c>
      <c r="H500" s="28">
        <v>14105</v>
      </c>
      <c r="I500" s="28">
        <v>43.207166999999998</v>
      </c>
      <c r="J500" s="28">
        <v>-78.468874999999997</v>
      </c>
      <c r="K500" s="28" t="s">
        <v>716</v>
      </c>
      <c r="L500" s="61">
        <v>110000326601</v>
      </c>
      <c r="M500" s="28" t="s">
        <v>265</v>
      </c>
      <c r="N500" s="28">
        <v>2879</v>
      </c>
      <c r="O500" s="28" t="str">
        <f>IFERROR(VLOOKUP(N500, 'SIC &amp; NAICS Codes'!A:B, 2, FALSE), "")</f>
        <v>Pesticides and Agricultural Chemicals, NEC</v>
      </c>
      <c r="S500" s="28">
        <v>1.72990813349999E-2</v>
      </c>
      <c r="T500" s="315">
        <f>_xlfn.MAXIFS('Raw Period DMR Data'!$O:$O,'Raw Period DMR Data'!$A:$A,'Raw Annual DMR Data'!B500,'Raw Period DMR Data'!$C:$C,X500)/S500</f>
        <v>0</v>
      </c>
      <c r="U500" s="28" t="str">
        <f>+IF(COUNTIFS('Raw Period DMR Data'!$A:$A,B500, 'Raw Period DMR Data'!C:C,'Raw Annual DMR Data'!X500, 'Raw Period DMR Data'!M:M, "&gt;0")&gt;0,_xlfn.MAXIFS('Raw Period DMR Data'!M:M,'Raw Period DMR Data'!$A:$A,'Raw Annual DMR Data'!B500,'Raw Period DMR Data'!C:C,'Raw Annual DMR Data'!X500), "N/A - Period DMR Data Not Available")</f>
        <v>N/A - Period DMR Data Not Available</v>
      </c>
      <c r="V500" s="28" t="str" cm="1">
        <f t="array" ref="V500">IFERROR(INDEX('Raw Period DMR Data'!N:N,MATCH(1,(B500='Raw Period DMR Data'!$A:$A)*(U500='Raw Period DMR Data'!M:M)*(X500='Raw Period DMR Data'!C:C),0),1), "N/A")</f>
        <v>N/A</v>
      </c>
      <c r="W500" s="28" t="s">
        <v>1463</v>
      </c>
      <c r="X500" s="28" t="s">
        <v>1767</v>
      </c>
      <c r="Y500" s="28" t="s">
        <v>1768</v>
      </c>
      <c r="Z500" s="28">
        <v>4130001000130</v>
      </c>
      <c r="AA500" s="28"/>
      <c r="AB500" s="28" t="s">
        <v>1465</v>
      </c>
      <c r="AC500" s="28" t="s">
        <v>1466</v>
      </c>
    </row>
    <row r="501" spans="1:29" x14ac:dyDescent="0.25">
      <c r="A501" s="61">
        <v>110001847761</v>
      </c>
      <c r="B501" s="28">
        <v>2016</v>
      </c>
      <c r="C501" s="68">
        <f t="shared" si="7"/>
        <v>42370</v>
      </c>
      <c r="D501" s="28" t="s">
        <v>1118</v>
      </c>
      <c r="E501" s="28" t="s">
        <v>1769</v>
      </c>
      <c r="F501" s="28" t="s">
        <v>1119</v>
      </c>
      <c r="G501" s="28" t="s">
        <v>427</v>
      </c>
      <c r="H501" s="28">
        <v>49128</v>
      </c>
      <c r="I501" s="28">
        <v>41.775967999999999</v>
      </c>
      <c r="J501" s="28">
        <v>-86.654864000000003</v>
      </c>
      <c r="L501" s="61">
        <v>110001847761</v>
      </c>
      <c r="M501" s="28" t="s">
        <v>6750</v>
      </c>
      <c r="N501" s="28">
        <v>4953</v>
      </c>
      <c r="O501" s="28" t="str">
        <f>IFERROR(VLOOKUP(N501, 'SIC &amp; NAICS Codes'!A:B, 2, FALSE), "")</f>
        <v>Refuse Systems (hazardous waste treatment and disposal)</v>
      </c>
      <c r="S501" s="28">
        <v>2.4640349999999998E-2</v>
      </c>
      <c r="T501" s="315">
        <f>_xlfn.MAXIFS('Raw Period DMR Data'!$O:$O,'Raw Period DMR Data'!$A:$A,'Raw Annual DMR Data'!B501,'Raw Period DMR Data'!$C:$C,X501)/S501</f>
        <v>0</v>
      </c>
      <c r="U501" s="28" t="str">
        <f>+IF(COUNTIFS('Raw Period DMR Data'!$A:$A,B501, 'Raw Period DMR Data'!C:C,'Raw Annual DMR Data'!X501, 'Raw Period DMR Data'!M:M, "&gt;0")&gt;0,_xlfn.MAXIFS('Raw Period DMR Data'!M:M,'Raw Period DMR Data'!$A:$A,'Raw Annual DMR Data'!B501,'Raw Period DMR Data'!C:C,'Raw Annual DMR Data'!X501), "N/A - Period DMR Data Not Available")</f>
        <v>N/A - Period DMR Data Not Available</v>
      </c>
      <c r="V501" s="28" t="str" cm="1">
        <f t="array" ref="V501">IFERROR(INDEX('Raw Period DMR Data'!N:N,MATCH(1,(B501='Raw Period DMR Data'!$A:$A)*(U501='Raw Period DMR Data'!M:M)*(X501='Raw Period DMR Data'!C:C),0),1), "N/A")</f>
        <v>N/A</v>
      </c>
      <c r="W501" s="28" t="s">
        <v>1463</v>
      </c>
      <c r="X501" s="28" t="s">
        <v>1770</v>
      </c>
      <c r="Y501" s="28" t="s">
        <v>1771</v>
      </c>
      <c r="Z501" s="28">
        <v>4040001000153</v>
      </c>
      <c r="AA501" s="28"/>
      <c r="AB501" s="28" t="s">
        <v>1465</v>
      </c>
      <c r="AC501" s="28" t="s">
        <v>1466</v>
      </c>
    </row>
    <row r="502" spans="1:29" x14ac:dyDescent="0.25">
      <c r="A502" s="61">
        <v>110001847761</v>
      </c>
      <c r="B502" s="28">
        <v>2017</v>
      </c>
      <c r="C502" s="68">
        <f t="shared" si="7"/>
        <v>42736</v>
      </c>
      <c r="D502" s="28" t="s">
        <v>1118</v>
      </c>
      <c r="E502" s="28" t="s">
        <v>1769</v>
      </c>
      <c r="F502" s="28" t="s">
        <v>1119</v>
      </c>
      <c r="G502" s="28" t="s">
        <v>427</v>
      </c>
      <c r="H502" s="28">
        <v>49128</v>
      </c>
      <c r="I502" s="28">
        <v>41.775967999999999</v>
      </c>
      <c r="J502" s="28">
        <v>-86.654864000000003</v>
      </c>
      <c r="L502" s="61">
        <v>110001847761</v>
      </c>
      <c r="M502" s="28" t="s">
        <v>6750</v>
      </c>
      <c r="N502" s="28">
        <v>4953</v>
      </c>
      <c r="O502" s="28" t="str">
        <f>IFERROR(VLOOKUP(N502, 'SIC &amp; NAICS Codes'!A:B, 2, FALSE), "")</f>
        <v>Refuse Systems (hazardous waste treatment and disposal)</v>
      </c>
      <c r="S502" s="28">
        <v>2.07474775E-2</v>
      </c>
      <c r="T502" s="315">
        <f>_xlfn.MAXIFS('Raw Period DMR Data'!$O:$O,'Raw Period DMR Data'!$A:$A,'Raw Annual DMR Data'!B502,'Raw Period DMR Data'!$C:$C,X502)/S502</f>
        <v>0</v>
      </c>
      <c r="U502" s="28" t="str">
        <f>+IF(COUNTIFS('Raw Period DMR Data'!$A:$A,B502, 'Raw Period DMR Data'!C:C,'Raw Annual DMR Data'!X502, 'Raw Period DMR Data'!M:M, "&gt;0")&gt;0,_xlfn.MAXIFS('Raw Period DMR Data'!M:M,'Raw Period DMR Data'!$A:$A,'Raw Annual DMR Data'!B502,'Raw Period DMR Data'!C:C,'Raw Annual DMR Data'!X502), "N/A - Period DMR Data Not Available")</f>
        <v>N/A - Period DMR Data Not Available</v>
      </c>
      <c r="V502" s="28" t="str" cm="1">
        <f t="array" ref="V502">IFERROR(INDEX('Raw Period DMR Data'!N:N,MATCH(1,(B502='Raw Period DMR Data'!$A:$A)*(U502='Raw Period DMR Data'!M:M)*(X502='Raw Period DMR Data'!C:C),0),1), "N/A")</f>
        <v>N/A</v>
      </c>
      <c r="W502" s="28" t="s">
        <v>1463</v>
      </c>
      <c r="X502" s="28" t="s">
        <v>1770</v>
      </c>
      <c r="Y502" s="28" t="s">
        <v>1771</v>
      </c>
      <c r="Z502" s="28">
        <v>4040001000153</v>
      </c>
      <c r="AA502" s="28"/>
      <c r="AB502" s="28" t="s">
        <v>1465</v>
      </c>
      <c r="AC502" s="28" t="s">
        <v>1466</v>
      </c>
    </row>
    <row r="503" spans="1:29" x14ac:dyDescent="0.25">
      <c r="A503" s="61">
        <v>110001847761</v>
      </c>
      <c r="B503" s="28">
        <v>2018</v>
      </c>
      <c r="C503" s="68">
        <f t="shared" si="7"/>
        <v>43101</v>
      </c>
      <c r="D503" s="28" t="s">
        <v>1118</v>
      </c>
      <c r="E503" s="28" t="s">
        <v>1769</v>
      </c>
      <c r="F503" s="28" t="s">
        <v>1119</v>
      </c>
      <c r="G503" s="28" t="s">
        <v>427</v>
      </c>
      <c r="H503" s="28">
        <v>49128</v>
      </c>
      <c r="I503" s="28">
        <v>41.775967999999999</v>
      </c>
      <c r="J503" s="28">
        <v>-86.654864000000003</v>
      </c>
      <c r="L503" s="61">
        <v>110001847761</v>
      </c>
      <c r="M503" s="28" t="s">
        <v>6750</v>
      </c>
      <c r="N503" s="28">
        <v>4953</v>
      </c>
      <c r="O503" s="28" t="str">
        <f>IFERROR(VLOOKUP(N503, 'SIC &amp; NAICS Codes'!A:B, 2, FALSE), "")</f>
        <v>Refuse Systems (hazardous waste treatment and disposal)</v>
      </c>
      <c r="S503" s="302">
        <v>2.1287528181818099E-2</v>
      </c>
      <c r="T503" s="315">
        <f>_xlfn.MAXIFS('Raw Period DMR Data'!$O:$O,'Raw Period DMR Data'!$A:$A,'Raw Annual DMR Data'!B503,'Raw Period DMR Data'!$C:$C,X503)/S503</f>
        <v>0</v>
      </c>
      <c r="U503" s="28" t="str">
        <f>+IF(COUNTIFS('Raw Period DMR Data'!$A:$A,B503, 'Raw Period DMR Data'!C:C,'Raw Annual DMR Data'!X503, 'Raw Period DMR Data'!M:M, "&gt;0")&gt;0,_xlfn.MAXIFS('Raw Period DMR Data'!M:M,'Raw Period DMR Data'!$A:$A,'Raw Annual DMR Data'!B503,'Raw Period DMR Data'!C:C,'Raw Annual DMR Data'!X503), "N/A - Period DMR Data Not Available")</f>
        <v>N/A - Period DMR Data Not Available</v>
      </c>
      <c r="V503" s="28" t="str" cm="1">
        <f t="array" ref="V503">IFERROR(INDEX('Raw Period DMR Data'!N:N,MATCH(1,(B503='Raw Period DMR Data'!$A:$A)*(U503='Raw Period DMR Data'!M:M)*(X503='Raw Period DMR Data'!C:C),0),1), "N/A")</f>
        <v>N/A</v>
      </c>
      <c r="W503" s="28" t="s">
        <v>1463</v>
      </c>
      <c r="X503" s="28" t="s">
        <v>1770</v>
      </c>
      <c r="Y503" s="28" t="s">
        <v>1771</v>
      </c>
      <c r="Z503" s="302" t="s">
        <v>1772</v>
      </c>
      <c r="AA503" s="28"/>
      <c r="AB503" s="28" t="s">
        <v>1465</v>
      </c>
      <c r="AC503" s="28" t="s">
        <v>1466</v>
      </c>
    </row>
    <row r="504" spans="1:29" x14ac:dyDescent="0.25">
      <c r="A504" s="61">
        <v>110001847761</v>
      </c>
      <c r="B504" s="28">
        <v>2019</v>
      </c>
      <c r="C504" s="68">
        <f t="shared" si="7"/>
        <v>43466</v>
      </c>
      <c r="D504" s="28" t="s">
        <v>1118</v>
      </c>
      <c r="E504" s="28" t="s">
        <v>1769</v>
      </c>
      <c r="F504" s="28" t="s">
        <v>1119</v>
      </c>
      <c r="G504" s="28" t="s">
        <v>427</v>
      </c>
      <c r="H504" s="28">
        <v>49128</v>
      </c>
      <c r="I504" s="28">
        <v>41.775967999999999</v>
      </c>
      <c r="J504" s="28">
        <v>-86.654864000000003</v>
      </c>
      <c r="L504" s="61">
        <v>110001847761</v>
      </c>
      <c r="M504" s="28" t="s">
        <v>6750</v>
      </c>
      <c r="N504" s="28">
        <v>4953</v>
      </c>
      <c r="O504" s="28" t="str">
        <f>IFERROR(VLOOKUP(N504, 'SIC &amp; NAICS Codes'!A:B, 2, FALSE), "")</f>
        <v>Refuse Systems (hazardous waste treatment and disposal)</v>
      </c>
      <c r="S504" s="28">
        <v>3.5931349090908997E-2</v>
      </c>
      <c r="T504" s="315">
        <f>_xlfn.MAXIFS('Raw Period DMR Data'!$O:$O,'Raw Period DMR Data'!$A:$A,'Raw Annual DMR Data'!B504,'Raw Period DMR Data'!$C:$C,X504)/S504</f>
        <v>0</v>
      </c>
      <c r="U504" s="28" t="str">
        <f>+IF(COUNTIFS('Raw Period DMR Data'!$A:$A,B504, 'Raw Period DMR Data'!C:C,'Raw Annual DMR Data'!X504, 'Raw Period DMR Data'!M:M, "&gt;0")&gt;0,_xlfn.MAXIFS('Raw Period DMR Data'!M:M,'Raw Period DMR Data'!$A:$A,'Raw Annual DMR Data'!B504,'Raw Period DMR Data'!C:C,'Raw Annual DMR Data'!X504), "N/A - Period DMR Data Not Available")</f>
        <v>N/A - Period DMR Data Not Available</v>
      </c>
      <c r="V504" s="28" t="str" cm="1">
        <f t="array" ref="V504">IFERROR(INDEX('Raw Period DMR Data'!N:N,MATCH(1,(B504='Raw Period DMR Data'!$A:$A)*(U504='Raw Period DMR Data'!M:M)*(X504='Raw Period DMR Data'!C:C),0),1), "N/A")</f>
        <v>N/A</v>
      </c>
      <c r="W504" s="28" t="s">
        <v>1463</v>
      </c>
      <c r="X504" s="28" t="s">
        <v>1770</v>
      </c>
      <c r="Y504" s="28" t="s">
        <v>1771</v>
      </c>
      <c r="Z504" s="28">
        <v>4040001000153</v>
      </c>
      <c r="AA504" s="28"/>
      <c r="AB504" s="28" t="s">
        <v>1465</v>
      </c>
      <c r="AC504" s="28" t="s">
        <v>1466</v>
      </c>
    </row>
    <row r="505" spans="1:29" x14ac:dyDescent="0.25">
      <c r="A505" s="61">
        <v>110001847761</v>
      </c>
      <c r="B505" s="28">
        <v>2020</v>
      </c>
      <c r="C505" s="68">
        <f t="shared" si="7"/>
        <v>43831</v>
      </c>
      <c r="D505" s="28" t="s">
        <v>1118</v>
      </c>
      <c r="E505" s="28" t="s">
        <v>1769</v>
      </c>
      <c r="F505" s="28" t="s">
        <v>1119</v>
      </c>
      <c r="G505" s="28" t="s">
        <v>427</v>
      </c>
      <c r="H505" s="28">
        <v>49128</v>
      </c>
      <c r="I505" s="28">
        <v>41.775967999999999</v>
      </c>
      <c r="J505" s="28">
        <v>-86.654864000000003</v>
      </c>
      <c r="L505" s="61">
        <v>110001847761</v>
      </c>
      <c r="M505" s="28" t="s">
        <v>6750</v>
      </c>
      <c r="N505" s="28">
        <v>4953</v>
      </c>
      <c r="O505" s="28" t="str">
        <f>IFERROR(VLOOKUP(N505, 'SIC &amp; NAICS Codes'!A:B, 2, FALSE), "")</f>
        <v>Refuse Systems (hazardous waste treatment and disposal)</v>
      </c>
      <c r="S505" s="28">
        <v>5.8307924999999997E-2</v>
      </c>
      <c r="T505" s="315">
        <f>_xlfn.MAXIFS('Raw Period DMR Data'!$O:$O,'Raw Period DMR Data'!$A:$A,'Raw Annual DMR Data'!B505,'Raw Period DMR Data'!$C:$C,X505)/S505</f>
        <v>0</v>
      </c>
      <c r="U505" s="28" t="str">
        <f>+IF(COUNTIFS('Raw Period DMR Data'!$A:$A,B505, 'Raw Period DMR Data'!C:C,'Raw Annual DMR Data'!X505, 'Raw Period DMR Data'!M:M, "&gt;0")&gt;0,_xlfn.MAXIFS('Raw Period DMR Data'!M:M,'Raw Period DMR Data'!$A:$A,'Raw Annual DMR Data'!B505,'Raw Period DMR Data'!C:C,'Raw Annual DMR Data'!X505), "N/A - Period DMR Data Not Available")</f>
        <v>N/A - Period DMR Data Not Available</v>
      </c>
      <c r="V505" s="28" t="str" cm="1">
        <f t="array" ref="V505">IFERROR(INDEX('Raw Period DMR Data'!N:N,MATCH(1,(B505='Raw Period DMR Data'!$A:$A)*(U505='Raw Period DMR Data'!M:M)*(X505='Raw Period DMR Data'!C:C),0),1), "N/A")</f>
        <v>N/A</v>
      </c>
      <c r="W505" s="28" t="s">
        <v>1463</v>
      </c>
      <c r="X505" s="28" t="s">
        <v>1770</v>
      </c>
      <c r="Y505" s="28" t="s">
        <v>1771</v>
      </c>
      <c r="Z505" s="28">
        <v>4040001000153</v>
      </c>
      <c r="AA505" s="28"/>
      <c r="AB505" s="28" t="s">
        <v>1465</v>
      </c>
      <c r="AC505" s="28" t="s">
        <v>1466</v>
      </c>
    </row>
    <row r="506" spans="1:29" x14ac:dyDescent="0.25">
      <c r="A506" s="61">
        <v>110070215141</v>
      </c>
      <c r="B506" s="28">
        <v>2016</v>
      </c>
      <c r="C506" s="68">
        <f t="shared" si="7"/>
        <v>42370</v>
      </c>
      <c r="D506" s="28" t="s">
        <v>1120</v>
      </c>
      <c r="E506" s="28" t="s">
        <v>1773</v>
      </c>
      <c r="F506" s="28" t="s">
        <v>1121</v>
      </c>
      <c r="G506" s="28" t="s">
        <v>338</v>
      </c>
      <c r="H506" s="28">
        <v>8832</v>
      </c>
      <c r="I506" s="28">
        <v>40.515906999999999</v>
      </c>
      <c r="J506" s="28">
        <v>-74.325175999999999</v>
      </c>
      <c r="L506" s="61">
        <v>110070215141</v>
      </c>
      <c r="M506" s="28" t="s">
        <v>265</v>
      </c>
      <c r="O506" s="28" t="str">
        <f>IFERROR(VLOOKUP(N506, 'SIC &amp; NAICS Codes'!A:B, 2, FALSE), "")</f>
        <v/>
      </c>
      <c r="S506" s="28">
        <v>8.1320195099999892E-3</v>
      </c>
      <c r="T506" s="315">
        <f>_xlfn.MAXIFS('Raw Period DMR Data'!$O:$O,'Raw Period DMR Data'!$A:$A,'Raw Annual DMR Data'!B506,'Raw Period DMR Data'!$C:$C,X506)/S506</f>
        <v>0</v>
      </c>
      <c r="U506" s="28" t="str">
        <f>+IF(COUNTIFS('Raw Period DMR Data'!$A:$A,B506, 'Raw Period DMR Data'!C:C,'Raw Annual DMR Data'!X506, 'Raw Period DMR Data'!M:M, "&gt;0")&gt;0,_xlfn.MAXIFS('Raw Period DMR Data'!M:M,'Raw Period DMR Data'!$A:$A,'Raw Annual DMR Data'!B506,'Raw Period DMR Data'!C:C,'Raw Annual DMR Data'!X506), "N/A - Period DMR Data Not Available")</f>
        <v>N/A - Period DMR Data Not Available</v>
      </c>
      <c r="V506" s="28" t="str" cm="1">
        <f t="array" ref="V506">IFERROR(INDEX('Raw Period DMR Data'!N:N,MATCH(1,(B506='Raw Period DMR Data'!$A:$A)*(U506='Raw Period DMR Data'!M:M)*(X506='Raw Period DMR Data'!C:C),0),1), "N/A")</f>
        <v>N/A</v>
      </c>
      <c r="W506" s="28" t="s">
        <v>1463</v>
      </c>
      <c r="X506" s="28" t="s">
        <v>1774</v>
      </c>
      <c r="Y506" s="28" t="s">
        <v>1775</v>
      </c>
      <c r="Z506" s="28">
        <v>2030105000996</v>
      </c>
      <c r="AA506" s="28"/>
      <c r="AB506" s="28" t="s">
        <v>1465</v>
      </c>
      <c r="AC506" s="28" t="s">
        <v>1466</v>
      </c>
    </row>
    <row r="507" spans="1:29" x14ac:dyDescent="0.25">
      <c r="A507" s="61">
        <v>110070215141</v>
      </c>
      <c r="B507" s="28">
        <v>2017</v>
      </c>
      <c r="C507" s="68">
        <f t="shared" si="7"/>
        <v>42736</v>
      </c>
      <c r="D507" s="28" t="s">
        <v>1120</v>
      </c>
      <c r="E507" s="28" t="s">
        <v>1773</v>
      </c>
      <c r="F507" s="28" t="s">
        <v>1121</v>
      </c>
      <c r="G507" s="28" t="s">
        <v>338</v>
      </c>
      <c r="H507" s="28">
        <v>8832</v>
      </c>
      <c r="I507" s="28">
        <v>40.515906999999999</v>
      </c>
      <c r="J507" s="28">
        <v>-74.325175999999999</v>
      </c>
      <c r="L507" s="61">
        <v>110070215141</v>
      </c>
      <c r="M507" s="28" t="s">
        <v>265</v>
      </c>
      <c r="O507" s="28" t="str">
        <f>IFERROR(VLOOKUP(N507, 'SIC &amp; NAICS Codes'!A:B, 2, FALSE), "")</f>
        <v/>
      </c>
      <c r="S507" s="28">
        <v>4.7552258932499897E-2</v>
      </c>
      <c r="T507" s="315">
        <f>_xlfn.MAXIFS('Raw Period DMR Data'!$O:$O,'Raw Period DMR Data'!$A:$A,'Raw Annual DMR Data'!B507,'Raw Period DMR Data'!$C:$C,X507)/S507</f>
        <v>0</v>
      </c>
      <c r="U507" s="28" t="str">
        <f>+IF(COUNTIFS('Raw Period DMR Data'!$A:$A,B507, 'Raw Period DMR Data'!C:C,'Raw Annual DMR Data'!X507, 'Raw Period DMR Data'!M:M, "&gt;0")&gt;0,_xlfn.MAXIFS('Raw Period DMR Data'!M:M,'Raw Period DMR Data'!$A:$A,'Raw Annual DMR Data'!B507,'Raw Period DMR Data'!C:C,'Raw Annual DMR Data'!X507), "N/A - Period DMR Data Not Available")</f>
        <v>N/A - Period DMR Data Not Available</v>
      </c>
      <c r="V507" s="28" t="str" cm="1">
        <f t="array" ref="V507">IFERROR(INDEX('Raw Period DMR Data'!N:N,MATCH(1,(B507='Raw Period DMR Data'!$A:$A)*(U507='Raw Period DMR Data'!M:M)*(X507='Raw Period DMR Data'!C:C),0),1), "N/A")</f>
        <v>N/A</v>
      </c>
      <c r="W507" s="28" t="s">
        <v>1463</v>
      </c>
      <c r="X507" s="28" t="s">
        <v>1774</v>
      </c>
      <c r="Y507" s="28" t="s">
        <v>1775</v>
      </c>
      <c r="Z507" s="28">
        <v>2030105000996</v>
      </c>
      <c r="AA507" s="28"/>
      <c r="AB507" s="28" t="s">
        <v>1465</v>
      </c>
      <c r="AC507" s="28" t="s">
        <v>1466</v>
      </c>
    </row>
    <row r="508" spans="1:29" x14ac:dyDescent="0.25">
      <c r="A508" s="61">
        <v>110070215141</v>
      </c>
      <c r="B508" s="28">
        <v>2018</v>
      </c>
      <c r="C508" s="68">
        <f t="shared" si="7"/>
        <v>43101</v>
      </c>
      <c r="D508" s="28" t="s">
        <v>1120</v>
      </c>
      <c r="E508" s="28" t="s">
        <v>1773</v>
      </c>
      <c r="F508" s="28" t="s">
        <v>1121</v>
      </c>
      <c r="G508" s="28" t="s">
        <v>338</v>
      </c>
      <c r="H508" s="302" t="s">
        <v>1776</v>
      </c>
      <c r="I508" s="28">
        <v>40.515906999999999</v>
      </c>
      <c r="J508" s="28">
        <v>-74.325175999999999</v>
      </c>
      <c r="L508" s="61">
        <v>110070215141</v>
      </c>
      <c r="M508" s="28" t="s">
        <v>265</v>
      </c>
      <c r="O508" s="28" t="str">
        <f>IFERROR(VLOOKUP(N508, 'SIC &amp; NAICS Codes'!A:B, 2, FALSE), "")</f>
        <v/>
      </c>
      <c r="S508" s="302">
        <v>3.04533889574999E-2</v>
      </c>
      <c r="T508" s="315">
        <f>_xlfn.MAXIFS('Raw Period DMR Data'!$O:$O,'Raw Period DMR Data'!$A:$A,'Raw Annual DMR Data'!B508,'Raw Period DMR Data'!$C:$C,X508)/S508</f>
        <v>0</v>
      </c>
      <c r="U508" s="28" t="str">
        <f>+IF(COUNTIFS('Raw Period DMR Data'!$A:$A,B508, 'Raw Period DMR Data'!C:C,'Raw Annual DMR Data'!X508, 'Raw Period DMR Data'!M:M, "&gt;0")&gt;0,_xlfn.MAXIFS('Raw Period DMR Data'!M:M,'Raw Period DMR Data'!$A:$A,'Raw Annual DMR Data'!B508,'Raw Period DMR Data'!C:C,'Raw Annual DMR Data'!X508), "N/A - Period DMR Data Not Available")</f>
        <v>N/A - Period DMR Data Not Available</v>
      </c>
      <c r="V508" s="28" t="str" cm="1">
        <f t="array" ref="V508">IFERROR(INDEX('Raw Period DMR Data'!N:N,MATCH(1,(B508='Raw Period DMR Data'!$A:$A)*(U508='Raw Period DMR Data'!M:M)*(X508='Raw Period DMR Data'!C:C),0),1), "N/A")</f>
        <v>N/A</v>
      </c>
      <c r="W508" s="28" t="s">
        <v>1463</v>
      </c>
      <c r="X508" s="28" t="s">
        <v>1774</v>
      </c>
      <c r="Y508" s="28" t="s">
        <v>1775</v>
      </c>
      <c r="Z508" s="302" t="s">
        <v>1777</v>
      </c>
      <c r="AA508" s="28"/>
      <c r="AB508" s="28" t="s">
        <v>1465</v>
      </c>
      <c r="AC508" s="28" t="s">
        <v>1466</v>
      </c>
    </row>
    <row r="509" spans="1:29" x14ac:dyDescent="0.25">
      <c r="A509" s="61">
        <v>110070215141</v>
      </c>
      <c r="B509" s="28">
        <v>2019</v>
      </c>
      <c r="C509" s="68">
        <f t="shared" si="7"/>
        <v>43466</v>
      </c>
      <c r="D509" s="28" t="s">
        <v>1120</v>
      </c>
      <c r="E509" s="28" t="s">
        <v>1773</v>
      </c>
      <c r="F509" s="28" t="s">
        <v>1121</v>
      </c>
      <c r="G509" s="28" t="s">
        <v>338</v>
      </c>
      <c r="H509" s="28">
        <v>8832</v>
      </c>
      <c r="I509" s="28">
        <v>40.515906999999999</v>
      </c>
      <c r="J509" s="28">
        <v>-74.325175999999999</v>
      </c>
      <c r="L509" s="61">
        <v>110070215141</v>
      </c>
      <c r="M509" s="28" t="s">
        <v>265</v>
      </c>
      <c r="O509" s="28" t="str">
        <f>IFERROR(VLOOKUP(N509, 'SIC &amp; NAICS Codes'!A:B, 2, FALSE), "")</f>
        <v/>
      </c>
      <c r="S509" s="28">
        <v>3.9682110324999898E-3</v>
      </c>
      <c r="T509" s="315">
        <f>_xlfn.MAXIFS('Raw Period DMR Data'!$O:$O,'Raw Period DMR Data'!$A:$A,'Raw Annual DMR Data'!B509,'Raw Period DMR Data'!$C:$C,X509)/S509</f>
        <v>0</v>
      </c>
      <c r="U509" s="28" t="str">
        <f>+IF(COUNTIFS('Raw Period DMR Data'!$A:$A,B509, 'Raw Period DMR Data'!C:C,'Raw Annual DMR Data'!X509, 'Raw Period DMR Data'!M:M, "&gt;0")&gt;0,_xlfn.MAXIFS('Raw Period DMR Data'!M:M,'Raw Period DMR Data'!$A:$A,'Raw Annual DMR Data'!B509,'Raw Period DMR Data'!C:C,'Raw Annual DMR Data'!X509), "N/A - Period DMR Data Not Available")</f>
        <v>N/A - Period DMR Data Not Available</v>
      </c>
      <c r="V509" s="28" t="str" cm="1">
        <f t="array" ref="V509">IFERROR(INDEX('Raw Period DMR Data'!N:N,MATCH(1,(B509='Raw Period DMR Data'!$A:$A)*(U509='Raw Period DMR Data'!M:M)*(X509='Raw Period DMR Data'!C:C),0),1), "N/A")</f>
        <v>N/A</v>
      </c>
      <c r="W509" s="28" t="s">
        <v>1463</v>
      </c>
      <c r="X509" s="28" t="s">
        <v>1774</v>
      </c>
      <c r="Y509" s="28" t="s">
        <v>1775</v>
      </c>
      <c r="Z509" s="28">
        <v>2030105000996</v>
      </c>
      <c r="AA509" s="28"/>
      <c r="AB509" s="28" t="s">
        <v>1465</v>
      </c>
      <c r="AC509" s="28" t="s">
        <v>1466</v>
      </c>
    </row>
    <row r="510" spans="1:29" x14ac:dyDescent="0.25">
      <c r="A510" s="61">
        <v>110070215141</v>
      </c>
      <c r="B510" s="28">
        <v>2019</v>
      </c>
      <c r="C510" s="68">
        <f t="shared" si="7"/>
        <v>43466</v>
      </c>
      <c r="D510" s="28" t="s">
        <v>1120</v>
      </c>
      <c r="E510" s="28" t="s">
        <v>1773</v>
      </c>
      <c r="F510" s="28" t="s">
        <v>1121</v>
      </c>
      <c r="G510" s="28" t="s">
        <v>338</v>
      </c>
      <c r="H510" s="28">
        <v>8832</v>
      </c>
      <c r="I510" s="28">
        <v>40.515906999999999</v>
      </c>
      <c r="J510" s="28">
        <v>-74.325175999999999</v>
      </c>
      <c r="L510" s="61">
        <v>110070215141</v>
      </c>
      <c r="M510" s="28" t="s">
        <v>265</v>
      </c>
      <c r="O510" s="28" t="str">
        <f>IFERROR(VLOOKUP(N510, 'SIC &amp; NAICS Codes'!A:B, 2, FALSE), "")</f>
        <v/>
      </c>
      <c r="S510" s="28">
        <v>2.1165390149866601E-2</v>
      </c>
      <c r="T510" s="315">
        <f>_xlfn.MAXIFS('Raw Period DMR Data'!$O:$O,'Raw Period DMR Data'!$A:$A,'Raw Annual DMR Data'!B510,'Raw Period DMR Data'!$C:$C,X510)/S510</f>
        <v>0</v>
      </c>
      <c r="U510" s="28" t="str">
        <f>+IF(COUNTIFS('Raw Period DMR Data'!$A:$A,B510, 'Raw Period DMR Data'!C:C,'Raw Annual DMR Data'!X510, 'Raw Period DMR Data'!M:M, "&gt;0")&gt;0,_xlfn.MAXIFS('Raw Period DMR Data'!M:M,'Raw Period DMR Data'!$A:$A,'Raw Annual DMR Data'!B510,'Raw Period DMR Data'!C:C,'Raw Annual DMR Data'!X510), "N/A - Period DMR Data Not Available")</f>
        <v>N/A - Period DMR Data Not Available</v>
      </c>
      <c r="V510" s="28" t="str" cm="1">
        <f t="array" ref="V510">IFERROR(INDEX('Raw Period DMR Data'!N:N,MATCH(1,(B510='Raw Period DMR Data'!$A:$A)*(U510='Raw Period DMR Data'!M:M)*(X510='Raw Period DMR Data'!C:C),0),1), "N/A")</f>
        <v>N/A</v>
      </c>
      <c r="W510" s="28" t="s">
        <v>1463</v>
      </c>
      <c r="X510" s="28" t="s">
        <v>1774</v>
      </c>
      <c r="Y510" s="28" t="s">
        <v>1775</v>
      </c>
      <c r="Z510" s="28">
        <v>2030105000996</v>
      </c>
      <c r="AA510" s="28"/>
      <c r="AB510" s="28" t="s">
        <v>1465</v>
      </c>
      <c r="AC510" s="28" t="s">
        <v>1466</v>
      </c>
    </row>
    <row r="511" spans="1:29" x14ac:dyDescent="0.25">
      <c r="A511" s="61">
        <v>110070215141</v>
      </c>
      <c r="B511" s="28">
        <v>2020</v>
      </c>
      <c r="C511" s="68">
        <f t="shared" si="7"/>
        <v>43831</v>
      </c>
      <c r="D511" s="28" t="s">
        <v>1120</v>
      </c>
      <c r="E511" s="28" t="s">
        <v>1773</v>
      </c>
      <c r="F511" s="28" t="s">
        <v>1121</v>
      </c>
      <c r="G511" s="28" t="s">
        <v>338</v>
      </c>
      <c r="H511" s="28">
        <v>8832</v>
      </c>
      <c r="I511" s="28">
        <v>40.515906999999999</v>
      </c>
      <c r="J511" s="28">
        <v>-74.325175999999999</v>
      </c>
      <c r="L511" s="61">
        <v>110070215141</v>
      </c>
      <c r="M511" s="28" t="s">
        <v>265</v>
      </c>
      <c r="O511" s="28" t="str">
        <f>IFERROR(VLOOKUP(N511, 'SIC &amp; NAICS Codes'!A:B, 2, FALSE), "")</f>
        <v/>
      </c>
      <c r="S511" s="28">
        <v>2.2810440648714899E-2</v>
      </c>
      <c r="T511" s="315">
        <f>_xlfn.MAXIFS('Raw Period DMR Data'!$O:$O,'Raw Period DMR Data'!$A:$A,'Raw Annual DMR Data'!B511,'Raw Period DMR Data'!$C:$C,X511)/S511</f>
        <v>0</v>
      </c>
      <c r="U511" s="28" t="str">
        <f>+IF(COUNTIFS('Raw Period DMR Data'!$A:$A,B511, 'Raw Period DMR Data'!C:C,'Raw Annual DMR Data'!X511, 'Raw Period DMR Data'!M:M, "&gt;0")&gt;0,_xlfn.MAXIFS('Raw Period DMR Data'!M:M,'Raw Period DMR Data'!$A:$A,'Raw Annual DMR Data'!B511,'Raw Period DMR Data'!C:C,'Raw Annual DMR Data'!X511), "N/A - Period DMR Data Not Available")</f>
        <v>N/A - Period DMR Data Not Available</v>
      </c>
      <c r="V511" s="28" t="str" cm="1">
        <f t="array" ref="V511">IFERROR(INDEX('Raw Period DMR Data'!N:N,MATCH(1,(B511='Raw Period DMR Data'!$A:$A)*(U511='Raw Period DMR Data'!M:M)*(X511='Raw Period DMR Data'!C:C),0),1), "N/A")</f>
        <v>N/A</v>
      </c>
      <c r="W511" s="28" t="s">
        <v>1463</v>
      </c>
      <c r="X511" s="28" t="s">
        <v>1774</v>
      </c>
      <c r="Y511" s="28" t="s">
        <v>1775</v>
      </c>
      <c r="Z511" s="28">
        <v>2030105000996</v>
      </c>
      <c r="AA511" s="28"/>
      <c r="AB511" s="28" t="s">
        <v>1465</v>
      </c>
      <c r="AC511" s="28" t="s">
        <v>1466</v>
      </c>
    </row>
    <row r="512" spans="1:29" x14ac:dyDescent="0.25">
      <c r="A512" s="61">
        <v>110070213656</v>
      </c>
      <c r="B512" s="28">
        <v>2016</v>
      </c>
      <c r="C512" s="68">
        <f t="shared" si="7"/>
        <v>42370</v>
      </c>
      <c r="D512" s="28" t="s">
        <v>147</v>
      </c>
      <c r="E512" s="28" t="s">
        <v>473</v>
      </c>
      <c r="F512" s="28" t="s">
        <v>474</v>
      </c>
      <c r="G512" s="28" t="s">
        <v>338</v>
      </c>
      <c r="H512" s="28">
        <v>7470</v>
      </c>
      <c r="I512" s="28">
        <v>40.891950000000001</v>
      </c>
      <c r="J512" s="28">
        <v>-74.249369999999999</v>
      </c>
      <c r="L512" s="61">
        <v>110070213656</v>
      </c>
      <c r="M512" s="28" t="s">
        <v>265</v>
      </c>
      <c r="N512" s="28">
        <v>9999</v>
      </c>
      <c r="O512" s="28" t="str">
        <f>IFERROR(VLOOKUP(N512, 'SIC &amp; NAICS Codes'!A:B, 2, FALSE), "")</f>
        <v>Nonclassifiable Establishments</v>
      </c>
      <c r="S512" s="28">
        <v>7.9274705399999903E-4</v>
      </c>
      <c r="T512" s="315">
        <f>_xlfn.MAXIFS('Raw Period DMR Data'!$O:$O,'Raw Period DMR Data'!$A:$A,'Raw Annual DMR Data'!B512,'Raw Period DMR Data'!$C:$C,X512)/S512</f>
        <v>0</v>
      </c>
      <c r="U512" s="28" t="str">
        <f>+IF(COUNTIFS('Raw Period DMR Data'!$A:$A,B512, 'Raw Period DMR Data'!C:C,'Raw Annual DMR Data'!X512, 'Raw Period DMR Data'!M:M, "&gt;0")&gt;0,_xlfn.MAXIFS('Raw Period DMR Data'!M:M,'Raw Period DMR Data'!$A:$A,'Raw Annual DMR Data'!B512,'Raw Period DMR Data'!C:C,'Raw Annual DMR Data'!X512), "N/A - Period DMR Data Not Available")</f>
        <v>N/A - Period DMR Data Not Available</v>
      </c>
      <c r="V512" s="28" t="str" cm="1">
        <f t="array" ref="V512">IFERROR(INDEX('Raw Period DMR Data'!N:N,MATCH(1,(B512='Raw Period DMR Data'!$A:$A)*(U512='Raw Period DMR Data'!M:M)*(X512='Raw Period DMR Data'!C:C),0),1), "N/A")</f>
        <v>N/A</v>
      </c>
      <c r="W512" s="28" t="s">
        <v>1463</v>
      </c>
      <c r="X512" s="28" t="s">
        <v>857</v>
      </c>
      <c r="Y512" s="28" t="s">
        <v>858</v>
      </c>
      <c r="Z512" s="61">
        <v>2030103000043</v>
      </c>
      <c r="AA512" s="28"/>
    </row>
    <row r="513" spans="1:29" x14ac:dyDescent="0.25">
      <c r="A513" s="61">
        <v>110070213656</v>
      </c>
      <c r="B513" s="28">
        <v>2016</v>
      </c>
      <c r="C513" s="68">
        <f t="shared" si="7"/>
        <v>42370</v>
      </c>
      <c r="D513" s="28" t="s">
        <v>147</v>
      </c>
      <c r="E513" s="28" t="s">
        <v>473</v>
      </c>
      <c r="F513" s="28" t="s">
        <v>474</v>
      </c>
      <c r="G513" s="28" t="s">
        <v>338</v>
      </c>
      <c r="H513" s="28">
        <v>7470</v>
      </c>
      <c r="I513" s="28">
        <v>40.891950000000001</v>
      </c>
      <c r="J513" s="28">
        <v>-74.249369999999999</v>
      </c>
      <c r="L513" s="61">
        <v>110070213656</v>
      </c>
      <c r="M513" s="28" t="s">
        <v>265</v>
      </c>
      <c r="N513" s="28">
        <v>9999</v>
      </c>
      <c r="O513" s="28" t="str">
        <f>IFERROR(VLOOKUP(N513, 'SIC &amp; NAICS Codes'!A:B, 2, FALSE), "")</f>
        <v>Nonclassifiable Establishments</v>
      </c>
      <c r="S513" s="28">
        <v>1.0649349202499899E-3</v>
      </c>
      <c r="T513" s="315">
        <f>_xlfn.MAXIFS('Raw Period DMR Data'!$O:$O,'Raw Period DMR Data'!$A:$A,'Raw Annual DMR Data'!B513,'Raw Period DMR Data'!$C:$C,X513)/S513</f>
        <v>0</v>
      </c>
      <c r="U513" s="28" t="str">
        <f>+IF(COUNTIFS('Raw Period DMR Data'!$A:$A,B513, 'Raw Period DMR Data'!C:C,'Raw Annual DMR Data'!X513, 'Raw Period DMR Data'!M:M, "&gt;0")&gt;0,_xlfn.MAXIFS('Raw Period DMR Data'!M:M,'Raw Period DMR Data'!$A:$A,'Raw Annual DMR Data'!B513,'Raw Period DMR Data'!C:C,'Raw Annual DMR Data'!X513), "N/A - Period DMR Data Not Available")</f>
        <v>N/A - Period DMR Data Not Available</v>
      </c>
      <c r="V513" s="28" t="str" cm="1">
        <f t="array" ref="V513">IFERROR(INDEX('Raw Period DMR Data'!N:N,MATCH(1,(B513='Raw Period DMR Data'!$A:$A)*(U513='Raw Period DMR Data'!M:M)*(X513='Raw Period DMR Data'!C:C),0),1), "N/A")</f>
        <v>N/A</v>
      </c>
      <c r="W513" s="28" t="s">
        <v>1463</v>
      </c>
      <c r="X513" s="28" t="s">
        <v>857</v>
      </c>
      <c r="Y513" s="28" t="s">
        <v>858</v>
      </c>
      <c r="Z513" s="28">
        <v>2030103000043</v>
      </c>
      <c r="AA513" s="28"/>
      <c r="AB513" s="28" t="s">
        <v>1465</v>
      </c>
      <c r="AC513" s="28" t="s">
        <v>1466</v>
      </c>
    </row>
    <row r="514" spans="1:29" x14ac:dyDescent="0.25">
      <c r="A514" s="61">
        <v>110070213656</v>
      </c>
      <c r="B514" s="28">
        <v>2017</v>
      </c>
      <c r="C514" s="68">
        <f t="shared" si="7"/>
        <v>42736</v>
      </c>
      <c r="D514" s="28" t="s">
        <v>147</v>
      </c>
      <c r="E514" s="28" t="s">
        <v>473</v>
      </c>
      <c r="F514" s="28" t="s">
        <v>474</v>
      </c>
      <c r="G514" s="28" t="s">
        <v>338</v>
      </c>
      <c r="H514" s="28">
        <v>7470</v>
      </c>
      <c r="I514" s="28">
        <v>40.891950000000001</v>
      </c>
      <c r="J514" s="28">
        <v>-74.249369999999999</v>
      </c>
      <c r="L514" s="61">
        <v>110070213656</v>
      </c>
      <c r="M514" s="28" t="s">
        <v>265</v>
      </c>
      <c r="N514" s="28">
        <v>9999</v>
      </c>
      <c r="O514" s="28" t="str">
        <f>IFERROR(VLOOKUP(N514, 'SIC &amp; NAICS Codes'!A:B, 2, FALSE), "")</f>
        <v>Nonclassifiable Establishments</v>
      </c>
      <c r="S514" s="28">
        <v>5.3701674624999905E-4</v>
      </c>
      <c r="T514" s="315">
        <f>_xlfn.MAXIFS('Raw Period DMR Data'!$O:$O,'Raw Period DMR Data'!$A:$A,'Raw Annual DMR Data'!B514,'Raw Period DMR Data'!$C:$C,X514)/S514</f>
        <v>0</v>
      </c>
      <c r="U514" s="28" t="str">
        <f>+IF(COUNTIFS('Raw Period DMR Data'!$A:$A,B514, 'Raw Period DMR Data'!C:C,'Raw Annual DMR Data'!X514, 'Raw Period DMR Data'!M:M, "&gt;0")&gt;0,_xlfn.MAXIFS('Raw Period DMR Data'!M:M,'Raw Period DMR Data'!$A:$A,'Raw Annual DMR Data'!B514,'Raw Period DMR Data'!C:C,'Raw Annual DMR Data'!X514), "N/A - Period DMR Data Not Available")</f>
        <v>N/A - Period DMR Data Not Available</v>
      </c>
      <c r="V514" s="28" t="str" cm="1">
        <f t="array" ref="V514">IFERROR(INDEX('Raw Period DMR Data'!N:N,MATCH(1,(B514='Raw Period DMR Data'!$A:$A)*(U514='Raw Period DMR Data'!M:M)*(X514='Raw Period DMR Data'!C:C),0),1), "N/A")</f>
        <v>N/A</v>
      </c>
      <c r="W514" s="28" t="s">
        <v>1463</v>
      </c>
      <c r="X514" s="28" t="s">
        <v>857</v>
      </c>
      <c r="Y514" s="28" t="s">
        <v>858</v>
      </c>
      <c r="Z514" s="28">
        <v>2030103000043</v>
      </c>
      <c r="AA514" s="28"/>
      <c r="AB514" s="28" t="s">
        <v>1465</v>
      </c>
      <c r="AC514" s="28" t="s">
        <v>1466</v>
      </c>
    </row>
    <row r="515" spans="1:29" x14ac:dyDescent="0.25">
      <c r="A515" s="61">
        <v>110070213656</v>
      </c>
      <c r="B515" s="28">
        <v>2018</v>
      </c>
      <c r="C515" s="68">
        <f t="shared" ref="C515:C578" si="8">DATE(B515, 1, 1)</f>
        <v>43101</v>
      </c>
      <c r="D515" s="28" t="s">
        <v>147</v>
      </c>
      <c r="E515" s="28" t="s">
        <v>473</v>
      </c>
      <c r="F515" s="28" t="s">
        <v>474</v>
      </c>
      <c r="G515" s="28" t="s">
        <v>338</v>
      </c>
      <c r="H515" s="302" t="s">
        <v>1778</v>
      </c>
      <c r="I515" s="28">
        <v>40.891950000000001</v>
      </c>
      <c r="J515" s="28">
        <v>-74.249369999999999</v>
      </c>
      <c r="L515" s="61">
        <v>110070213656</v>
      </c>
      <c r="M515" s="28" t="s">
        <v>265</v>
      </c>
      <c r="N515" s="28">
        <v>9999</v>
      </c>
      <c r="O515" s="28" t="str">
        <f>IFERROR(VLOOKUP(N515, 'SIC &amp; NAICS Codes'!A:B, 2, FALSE), "")</f>
        <v>Nonclassifiable Establishments</v>
      </c>
      <c r="S515" s="302">
        <v>8.9032376732499905E-4</v>
      </c>
      <c r="T515" s="315">
        <f>_xlfn.MAXIFS('Raw Period DMR Data'!$O:$O,'Raw Period DMR Data'!$A:$A,'Raw Annual DMR Data'!B515,'Raw Period DMR Data'!$C:$C,X515)/S515</f>
        <v>0</v>
      </c>
      <c r="U515" s="28" t="str">
        <f>+IF(COUNTIFS('Raw Period DMR Data'!$A:$A,B515, 'Raw Period DMR Data'!C:C,'Raw Annual DMR Data'!X515, 'Raw Period DMR Data'!M:M, "&gt;0")&gt;0,_xlfn.MAXIFS('Raw Period DMR Data'!M:M,'Raw Period DMR Data'!$A:$A,'Raw Annual DMR Data'!B515,'Raw Period DMR Data'!C:C,'Raw Annual DMR Data'!X515), "N/A - Period DMR Data Not Available")</f>
        <v>N/A - Period DMR Data Not Available</v>
      </c>
      <c r="V515" s="28" t="str" cm="1">
        <f t="array" ref="V515">IFERROR(INDEX('Raw Period DMR Data'!N:N,MATCH(1,(B515='Raw Period DMR Data'!$A:$A)*(U515='Raw Period DMR Data'!M:M)*(X515='Raw Period DMR Data'!C:C),0),1), "N/A")</f>
        <v>N/A</v>
      </c>
      <c r="W515" s="28" t="s">
        <v>1463</v>
      </c>
      <c r="X515" s="28" t="s">
        <v>857</v>
      </c>
      <c r="Y515" s="28" t="s">
        <v>858</v>
      </c>
      <c r="Z515" s="302" t="s">
        <v>1779</v>
      </c>
      <c r="AA515" s="28"/>
      <c r="AB515" s="28" t="s">
        <v>1465</v>
      </c>
      <c r="AC515" s="28" t="s">
        <v>1466</v>
      </c>
    </row>
    <row r="516" spans="1:29" x14ac:dyDescent="0.25">
      <c r="A516" s="61">
        <v>110070213656</v>
      </c>
      <c r="B516" s="28">
        <v>2019</v>
      </c>
      <c r="C516" s="68">
        <f t="shared" si="8"/>
        <v>43466</v>
      </c>
      <c r="D516" s="28" t="s">
        <v>147</v>
      </c>
      <c r="E516" s="28" t="s">
        <v>473</v>
      </c>
      <c r="F516" s="28" t="s">
        <v>474</v>
      </c>
      <c r="G516" s="28" t="s">
        <v>338</v>
      </c>
      <c r="H516" s="28">
        <v>7470</v>
      </c>
      <c r="I516" s="28">
        <v>40.891950000000001</v>
      </c>
      <c r="J516" s="28">
        <v>-74.249369999999999</v>
      </c>
      <c r="L516" s="61">
        <v>110070213656</v>
      </c>
      <c r="M516" s="28" t="s">
        <v>265</v>
      </c>
      <c r="N516" s="28">
        <v>9999</v>
      </c>
      <c r="O516" s="28" t="str">
        <f>IFERROR(VLOOKUP(N516, 'SIC &amp; NAICS Codes'!A:B, 2, FALSE), "")</f>
        <v>Nonclassifiable Establishments</v>
      </c>
      <c r="S516" s="28">
        <v>1.13149056842499E-3</v>
      </c>
      <c r="T516" s="315">
        <f>_xlfn.MAXIFS('Raw Period DMR Data'!$O:$O,'Raw Period DMR Data'!$A:$A,'Raw Annual DMR Data'!B516,'Raw Period DMR Data'!$C:$C,X516)/S516</f>
        <v>0</v>
      </c>
      <c r="U516" s="28" t="str">
        <f>+IF(COUNTIFS('Raw Period DMR Data'!$A:$A,B516, 'Raw Period DMR Data'!C:C,'Raw Annual DMR Data'!X516, 'Raw Period DMR Data'!M:M, "&gt;0")&gt;0,_xlfn.MAXIFS('Raw Period DMR Data'!M:M,'Raw Period DMR Data'!$A:$A,'Raw Annual DMR Data'!B516,'Raw Period DMR Data'!C:C,'Raw Annual DMR Data'!X516), "N/A - Period DMR Data Not Available")</f>
        <v>N/A - Period DMR Data Not Available</v>
      </c>
      <c r="V516" s="28" t="str" cm="1">
        <f t="array" ref="V516">IFERROR(INDEX('Raw Period DMR Data'!N:N,MATCH(1,(B516='Raw Period DMR Data'!$A:$A)*(U516='Raw Period DMR Data'!M:M)*(X516='Raw Period DMR Data'!C:C),0),1), "N/A")</f>
        <v>N/A</v>
      </c>
      <c r="W516" s="28" t="s">
        <v>1463</v>
      </c>
      <c r="X516" s="28" t="s">
        <v>857</v>
      </c>
      <c r="Y516" s="28" t="s">
        <v>858</v>
      </c>
      <c r="Z516" s="28">
        <v>2030103000043</v>
      </c>
      <c r="AA516" s="28"/>
      <c r="AB516" s="28" t="s">
        <v>1465</v>
      </c>
      <c r="AC516" s="28" t="s">
        <v>1466</v>
      </c>
    </row>
    <row r="517" spans="1:29" x14ac:dyDescent="0.25">
      <c r="A517" s="61">
        <v>110070213656</v>
      </c>
      <c r="B517" s="28">
        <v>2020</v>
      </c>
      <c r="C517" s="68">
        <f t="shared" si="8"/>
        <v>43831</v>
      </c>
      <c r="D517" s="28" t="s">
        <v>147</v>
      </c>
      <c r="E517" s="28" t="s">
        <v>473</v>
      </c>
      <c r="F517" s="28" t="s">
        <v>474</v>
      </c>
      <c r="G517" s="28" t="s">
        <v>338</v>
      </c>
      <c r="H517" s="28">
        <v>7470</v>
      </c>
      <c r="I517" s="28">
        <v>40.891950000000001</v>
      </c>
      <c r="J517" s="28">
        <v>-74.249369999999999</v>
      </c>
      <c r="L517" s="61">
        <v>110070213656</v>
      </c>
      <c r="M517" s="28" t="s">
        <v>265</v>
      </c>
      <c r="N517" s="28">
        <v>9999</v>
      </c>
      <c r="O517" s="28" t="str">
        <f>IFERROR(VLOOKUP(N517, 'SIC &amp; NAICS Codes'!A:B, 2, FALSE), "")</f>
        <v>Nonclassifiable Establishments</v>
      </c>
      <c r="S517" s="28">
        <v>1.0203523704249899E-3</v>
      </c>
      <c r="T517" s="315">
        <f>_xlfn.MAXIFS('Raw Period DMR Data'!$O:$O,'Raw Period DMR Data'!$A:$A,'Raw Annual DMR Data'!B517,'Raw Period DMR Data'!$C:$C,X517)/S517</f>
        <v>0</v>
      </c>
      <c r="U517" s="28" t="str">
        <f>+IF(COUNTIFS('Raw Period DMR Data'!$A:$A,B517, 'Raw Period DMR Data'!C:C,'Raw Annual DMR Data'!X517, 'Raw Period DMR Data'!M:M, "&gt;0")&gt;0,_xlfn.MAXIFS('Raw Period DMR Data'!M:M,'Raw Period DMR Data'!$A:$A,'Raw Annual DMR Data'!B517,'Raw Period DMR Data'!C:C,'Raw Annual DMR Data'!X517), "N/A - Period DMR Data Not Available")</f>
        <v>N/A - Period DMR Data Not Available</v>
      </c>
      <c r="V517" s="28" t="str" cm="1">
        <f t="array" ref="V517">IFERROR(INDEX('Raw Period DMR Data'!N:N,MATCH(1,(B517='Raw Period DMR Data'!$A:$A)*(U517='Raw Period DMR Data'!M:M)*(X517='Raw Period DMR Data'!C:C),0),1), "N/A")</f>
        <v>N/A</v>
      </c>
      <c r="W517" s="28" t="s">
        <v>1463</v>
      </c>
      <c r="X517" s="28" t="s">
        <v>857</v>
      </c>
      <c r="Y517" s="28" t="s">
        <v>858</v>
      </c>
      <c r="Z517" s="28">
        <v>2030103000043</v>
      </c>
      <c r="AA517" s="28"/>
      <c r="AB517" s="28" t="s">
        <v>1465</v>
      </c>
      <c r="AC517" s="28" t="s">
        <v>1466</v>
      </c>
    </row>
    <row r="518" spans="1:29" x14ac:dyDescent="0.25">
      <c r="A518" s="61">
        <v>110071151044</v>
      </c>
      <c r="B518" s="28">
        <v>2018</v>
      </c>
      <c r="C518" s="68">
        <f t="shared" si="8"/>
        <v>43101</v>
      </c>
      <c r="D518" s="28" t="s">
        <v>1122</v>
      </c>
      <c r="E518" s="28" t="s">
        <v>1780</v>
      </c>
      <c r="F518" s="28" t="s">
        <v>1123</v>
      </c>
      <c r="G518" s="28" t="s">
        <v>491</v>
      </c>
      <c r="H518" s="28" t="s">
        <v>1781</v>
      </c>
      <c r="I518" s="28">
        <v>39.859110000000001</v>
      </c>
      <c r="J518" s="28">
        <v>-77.236620000000002</v>
      </c>
      <c r="L518" s="61">
        <v>110071151044</v>
      </c>
      <c r="M518" s="28" t="s">
        <v>265</v>
      </c>
      <c r="N518" s="28">
        <v>4959</v>
      </c>
      <c r="O518" s="28" t="str">
        <f>IFERROR(VLOOKUP(N518, 'SIC &amp; NAICS Codes'!A:B, 2, FALSE), "")</f>
        <v>Sanitary Services, NEC (vacuuming of runways)</v>
      </c>
      <c r="S518" s="28">
        <v>4.5617009250000003E-3</v>
      </c>
      <c r="T518" s="315">
        <f>_xlfn.MAXIFS('Raw Period DMR Data'!$O:$O,'Raw Period DMR Data'!$A:$A,'Raw Annual DMR Data'!B518,'Raw Period DMR Data'!$C:$C,X518)/S518</f>
        <v>0</v>
      </c>
      <c r="U518" s="28" t="str">
        <f>+IF(COUNTIFS('Raw Period DMR Data'!$A:$A,B518, 'Raw Period DMR Data'!C:C,'Raw Annual DMR Data'!X518, 'Raw Period DMR Data'!M:M, "&gt;0")&gt;0,_xlfn.MAXIFS('Raw Period DMR Data'!M:M,'Raw Period DMR Data'!$A:$A,'Raw Annual DMR Data'!B518,'Raw Period DMR Data'!C:C,'Raw Annual DMR Data'!X518), "N/A - Period DMR Data Not Available")</f>
        <v>N/A - Period DMR Data Not Available</v>
      </c>
      <c r="V518" s="28" t="str" cm="1">
        <f t="array" ref="V518">IFERROR(INDEX('Raw Period DMR Data'!N:N,MATCH(1,(B518='Raw Period DMR Data'!$A:$A)*(U518='Raw Period DMR Data'!M:M)*(X518='Raw Period DMR Data'!C:C),0),1), "N/A")</f>
        <v>N/A</v>
      </c>
      <c r="W518" s="28" t="s">
        <v>1463</v>
      </c>
      <c r="X518" s="28" t="s">
        <v>1782</v>
      </c>
      <c r="Y518" s="28" t="s">
        <v>1783</v>
      </c>
      <c r="Z518" s="302" t="s">
        <v>1784</v>
      </c>
      <c r="AA518" s="28"/>
      <c r="AB518" s="28" t="s">
        <v>1465</v>
      </c>
      <c r="AC518" s="28" t="s">
        <v>1466</v>
      </c>
    </row>
    <row r="519" spans="1:29" x14ac:dyDescent="0.25">
      <c r="A519" s="61">
        <v>110071151044</v>
      </c>
      <c r="B519" s="28">
        <v>2019</v>
      </c>
      <c r="C519" s="68">
        <f t="shared" si="8"/>
        <v>43466</v>
      </c>
      <c r="D519" s="28" t="s">
        <v>1122</v>
      </c>
      <c r="E519" s="28" t="s">
        <v>1780</v>
      </c>
      <c r="F519" s="28" t="s">
        <v>1123</v>
      </c>
      <c r="G519" s="28" t="s">
        <v>491</v>
      </c>
      <c r="H519" s="28" t="s">
        <v>1781</v>
      </c>
      <c r="I519" s="28">
        <v>39.859110000000001</v>
      </c>
      <c r="J519" s="28">
        <v>-77.236620000000002</v>
      </c>
      <c r="L519" s="61">
        <v>110071151044</v>
      </c>
      <c r="M519" s="28" t="s">
        <v>265</v>
      </c>
      <c r="N519" s="28">
        <v>4959</v>
      </c>
      <c r="O519" s="28" t="str">
        <f>IFERROR(VLOOKUP(N519, 'SIC &amp; NAICS Codes'!A:B, 2, FALSE), "")</f>
        <v>Sanitary Services, NEC (vacuuming of runways)</v>
      </c>
      <c r="S519" s="28">
        <v>5.633385825E-3</v>
      </c>
      <c r="T519" s="315">
        <f>_xlfn.MAXIFS('Raw Period DMR Data'!$O:$O,'Raw Period DMR Data'!$A:$A,'Raw Annual DMR Data'!B519,'Raw Period DMR Data'!$C:$C,X519)/S519</f>
        <v>0</v>
      </c>
      <c r="U519" s="28" t="str">
        <f>+IF(COUNTIFS('Raw Period DMR Data'!$A:$A,B519, 'Raw Period DMR Data'!C:C,'Raw Annual DMR Data'!X519, 'Raw Period DMR Data'!M:M, "&gt;0")&gt;0,_xlfn.MAXIFS('Raw Period DMR Data'!M:M,'Raw Period DMR Data'!$A:$A,'Raw Annual DMR Data'!B519,'Raw Period DMR Data'!C:C,'Raw Annual DMR Data'!X519), "N/A - Period DMR Data Not Available")</f>
        <v>N/A - Period DMR Data Not Available</v>
      </c>
      <c r="V519" s="28" t="str" cm="1">
        <f t="array" ref="V519">IFERROR(INDEX('Raw Period DMR Data'!N:N,MATCH(1,(B519='Raw Period DMR Data'!$A:$A)*(U519='Raw Period DMR Data'!M:M)*(X519='Raw Period DMR Data'!C:C),0),1), "N/A")</f>
        <v>N/A</v>
      </c>
      <c r="W519" s="28" t="s">
        <v>1463</v>
      </c>
      <c r="X519" s="28" t="s">
        <v>1782</v>
      </c>
      <c r="Y519" s="28" t="s">
        <v>1783</v>
      </c>
      <c r="Z519" s="28">
        <v>2070009000809</v>
      </c>
      <c r="AA519" s="28"/>
      <c r="AB519" s="28" t="s">
        <v>1465</v>
      </c>
      <c r="AC519" s="28" t="s">
        <v>1466</v>
      </c>
    </row>
    <row r="520" spans="1:29" x14ac:dyDescent="0.25">
      <c r="A520" s="61">
        <v>110071151044</v>
      </c>
      <c r="B520" s="28">
        <v>2020</v>
      </c>
      <c r="C520" s="68">
        <f t="shared" si="8"/>
        <v>43831</v>
      </c>
      <c r="D520" s="28" t="s">
        <v>1122</v>
      </c>
      <c r="E520" s="28" t="s">
        <v>1780</v>
      </c>
      <c r="F520" s="28" t="s">
        <v>1123</v>
      </c>
      <c r="G520" s="28" t="s">
        <v>491</v>
      </c>
      <c r="H520" s="28" t="s">
        <v>1781</v>
      </c>
      <c r="I520" s="28">
        <v>39.859110000000001</v>
      </c>
      <c r="J520" s="28">
        <v>-77.236620000000002</v>
      </c>
      <c r="L520" s="61">
        <v>110071151044</v>
      </c>
      <c r="M520" s="28" t="s">
        <v>265</v>
      </c>
      <c r="N520" s="28">
        <v>4959</v>
      </c>
      <c r="O520" s="28" t="str">
        <f>IFERROR(VLOOKUP(N520, 'SIC &amp; NAICS Codes'!A:B, 2, FALSE), "")</f>
        <v>Sanitary Services, NEC (vacuuming of runways)</v>
      </c>
      <c r="S520" s="28">
        <v>6.5149789410000004E-3</v>
      </c>
      <c r="T520" s="315">
        <f>_xlfn.MAXIFS('Raw Period DMR Data'!$O:$O,'Raw Period DMR Data'!$A:$A,'Raw Annual DMR Data'!B520,'Raw Period DMR Data'!$C:$C,X520)/S520</f>
        <v>0</v>
      </c>
      <c r="U520" s="28" t="str">
        <f>+IF(COUNTIFS('Raw Period DMR Data'!$A:$A,B520, 'Raw Period DMR Data'!C:C,'Raw Annual DMR Data'!X520, 'Raw Period DMR Data'!M:M, "&gt;0")&gt;0,_xlfn.MAXIFS('Raw Period DMR Data'!M:M,'Raw Period DMR Data'!$A:$A,'Raw Annual DMR Data'!B520,'Raw Period DMR Data'!C:C,'Raw Annual DMR Data'!X520), "N/A - Period DMR Data Not Available")</f>
        <v>N/A - Period DMR Data Not Available</v>
      </c>
      <c r="V520" s="28" t="str" cm="1">
        <f t="array" ref="V520">IFERROR(INDEX('Raw Period DMR Data'!N:N,MATCH(1,(B520='Raw Period DMR Data'!$A:$A)*(U520='Raw Period DMR Data'!M:M)*(X520='Raw Period DMR Data'!C:C),0),1), "N/A")</f>
        <v>N/A</v>
      </c>
      <c r="W520" s="28" t="s">
        <v>1463</v>
      </c>
      <c r="X520" s="28" t="s">
        <v>1782</v>
      </c>
      <c r="Y520" s="28" t="s">
        <v>1783</v>
      </c>
      <c r="Z520" s="28">
        <v>2070009000809</v>
      </c>
      <c r="AA520" s="28"/>
      <c r="AB520" s="28" t="s">
        <v>1465</v>
      </c>
      <c r="AC520" s="28" t="s">
        <v>1466</v>
      </c>
    </row>
    <row r="521" spans="1:29" x14ac:dyDescent="0.25">
      <c r="A521" s="61">
        <v>110000338536</v>
      </c>
      <c r="B521" s="28">
        <v>2015</v>
      </c>
      <c r="C521" s="68">
        <f t="shared" si="8"/>
        <v>42005</v>
      </c>
      <c r="D521" s="28" t="s">
        <v>148</v>
      </c>
      <c r="E521" s="28" t="s">
        <v>476</v>
      </c>
      <c r="F521" s="28" t="s">
        <v>477</v>
      </c>
      <c r="G521" s="28" t="s">
        <v>478</v>
      </c>
      <c r="H521" s="28">
        <v>19706</v>
      </c>
      <c r="I521" s="28">
        <v>39.585099999999997</v>
      </c>
      <c r="J521" s="28">
        <v>-75.649199999999993</v>
      </c>
      <c r="L521" s="61">
        <v>110000338536</v>
      </c>
      <c r="M521" s="28" t="s">
        <v>253</v>
      </c>
      <c r="N521" s="28">
        <v>2821</v>
      </c>
      <c r="O521" s="28" t="str">
        <f>IFERROR(VLOOKUP(N521, 'SIC &amp; NAICS Codes'!A:B, 2, FALSE), "")</f>
        <v>Plastics Materials, Synthetic and Resins, and Nonvulcanizable Elastomers</v>
      </c>
      <c r="S521" s="28">
        <v>2.3129251700680201E-2</v>
      </c>
      <c r="T521" s="315">
        <f>_xlfn.MAXIFS('Raw Period DMR Data'!$O:$O,'Raw Period DMR Data'!$A:$A,'Raw Annual DMR Data'!B521,'Raw Period DMR Data'!$C:$C,X521)/S521</f>
        <v>0</v>
      </c>
      <c r="U521" s="28" t="str">
        <f>+IF(COUNTIFS('Raw Period DMR Data'!$A:$A,B521, 'Raw Period DMR Data'!C:C,'Raw Annual DMR Data'!X521, 'Raw Period DMR Data'!M:M, "&gt;0")&gt;0,_xlfn.MAXIFS('Raw Period DMR Data'!M:M,'Raw Period DMR Data'!$A:$A,'Raw Annual DMR Data'!B521,'Raw Period DMR Data'!C:C,'Raw Annual DMR Data'!X521), "N/A - Period DMR Data Not Available")</f>
        <v>N/A - Period DMR Data Not Available</v>
      </c>
      <c r="V521" s="28" t="str" cm="1">
        <f t="array" ref="V521">IFERROR(INDEX('Raw Period DMR Data'!N:N,MATCH(1,(B521='Raw Period DMR Data'!$A:$A)*(U521='Raw Period DMR Data'!M:M)*(X521='Raw Period DMR Data'!C:C),0),1), "N/A")</f>
        <v>N/A</v>
      </c>
      <c r="W521" s="28" t="s">
        <v>1463</v>
      </c>
      <c r="X521" s="28" t="s">
        <v>859</v>
      </c>
      <c r="Y521" s="28" t="s">
        <v>783</v>
      </c>
      <c r="Z521" s="61">
        <v>2040205000476</v>
      </c>
    </row>
    <row r="522" spans="1:29" x14ac:dyDescent="0.25">
      <c r="A522" s="61">
        <v>110000338536</v>
      </c>
      <c r="B522" s="28">
        <v>2015</v>
      </c>
      <c r="C522" s="68">
        <f t="shared" si="8"/>
        <v>42005</v>
      </c>
      <c r="D522" s="28" t="s">
        <v>148</v>
      </c>
      <c r="E522" s="28" t="s">
        <v>476</v>
      </c>
      <c r="F522" s="28" t="s">
        <v>477</v>
      </c>
      <c r="G522" s="28" t="s">
        <v>478</v>
      </c>
      <c r="H522" s="28">
        <v>19706</v>
      </c>
      <c r="I522" s="28">
        <v>39.585099999999997</v>
      </c>
      <c r="J522" s="28">
        <v>-75.649199999999993</v>
      </c>
      <c r="L522" s="61">
        <v>110000338536</v>
      </c>
      <c r="M522" s="28" t="s">
        <v>253</v>
      </c>
      <c r="N522" s="28">
        <v>2821</v>
      </c>
      <c r="O522" s="28" t="str">
        <f>IFERROR(VLOOKUP(N522, 'SIC &amp; NAICS Codes'!A:B, 2, FALSE), "")</f>
        <v>Plastics Materials, Synthetic and Resins, and Nonvulcanizable Elastomers</v>
      </c>
      <c r="S522" s="28">
        <v>7.1360544217687005E-2</v>
      </c>
      <c r="T522" s="315">
        <f>_xlfn.MAXIFS('Raw Period DMR Data'!$O:$O,'Raw Period DMR Data'!$A:$A,'Raw Annual DMR Data'!B522,'Raw Period DMR Data'!$C:$C,X522)/S522</f>
        <v>0</v>
      </c>
      <c r="U522" s="28" t="str">
        <f>+IF(COUNTIFS('Raw Period DMR Data'!$A:$A,B522, 'Raw Period DMR Data'!C:C,'Raw Annual DMR Data'!X522, 'Raw Period DMR Data'!M:M, "&gt;0")&gt;0,_xlfn.MAXIFS('Raw Period DMR Data'!M:M,'Raw Period DMR Data'!$A:$A,'Raw Annual DMR Data'!B522,'Raw Period DMR Data'!C:C,'Raw Annual DMR Data'!X522), "N/A - Period DMR Data Not Available")</f>
        <v>N/A - Period DMR Data Not Available</v>
      </c>
      <c r="V522" s="28" t="str" cm="1">
        <f t="array" ref="V522">IFERROR(INDEX('Raw Period DMR Data'!N:N,MATCH(1,(B522='Raw Period DMR Data'!$A:$A)*(U522='Raw Period DMR Data'!M:M)*(X522='Raw Period DMR Data'!C:C),0),1), "N/A")</f>
        <v>N/A</v>
      </c>
      <c r="W522" s="28" t="s">
        <v>1463</v>
      </c>
      <c r="X522" s="28" t="s">
        <v>859</v>
      </c>
      <c r="Y522" s="28" t="s">
        <v>783</v>
      </c>
      <c r="Z522" s="28">
        <v>2040205000476</v>
      </c>
      <c r="AA522" s="28"/>
      <c r="AB522" s="28" t="s">
        <v>1465</v>
      </c>
      <c r="AC522" s="28" t="s">
        <v>1466</v>
      </c>
    </row>
    <row r="523" spans="1:29" x14ac:dyDescent="0.25">
      <c r="A523" s="61">
        <v>110000338536</v>
      </c>
      <c r="B523" s="28">
        <v>2016</v>
      </c>
      <c r="C523" s="68">
        <f t="shared" si="8"/>
        <v>42370</v>
      </c>
      <c r="D523" s="28" t="s">
        <v>148</v>
      </c>
      <c r="E523" s="28" t="s">
        <v>476</v>
      </c>
      <c r="F523" s="28" t="s">
        <v>477</v>
      </c>
      <c r="G523" s="28" t="s">
        <v>478</v>
      </c>
      <c r="H523" s="28">
        <v>19706</v>
      </c>
      <c r="I523" s="28">
        <v>39.585099999999997</v>
      </c>
      <c r="J523" s="28">
        <v>-75.649199999999993</v>
      </c>
      <c r="L523" s="61">
        <v>110000338536</v>
      </c>
      <c r="M523" s="28" t="s">
        <v>253</v>
      </c>
      <c r="N523" s="28">
        <v>2821</v>
      </c>
      <c r="O523" s="28" t="str">
        <f>IFERROR(VLOOKUP(N523, 'SIC &amp; NAICS Codes'!A:B, 2, FALSE), "")</f>
        <v>Plastics Materials, Synthetic and Resins, and Nonvulcanizable Elastomers</v>
      </c>
      <c r="S523" s="28">
        <v>0.13185941043083799</v>
      </c>
      <c r="T523" s="315">
        <f>_xlfn.MAXIFS('Raw Period DMR Data'!$O:$O,'Raw Period DMR Data'!$A:$A,'Raw Annual DMR Data'!B523,'Raw Period DMR Data'!$C:$C,X523)/S523</f>
        <v>0</v>
      </c>
      <c r="U523" s="28" t="str">
        <f>+IF(COUNTIFS('Raw Period DMR Data'!$A:$A,B523, 'Raw Period DMR Data'!C:C,'Raw Annual DMR Data'!X523, 'Raw Period DMR Data'!M:M, "&gt;0")&gt;0,_xlfn.MAXIFS('Raw Period DMR Data'!M:M,'Raw Period DMR Data'!$A:$A,'Raw Annual DMR Data'!B523,'Raw Period DMR Data'!C:C,'Raw Annual DMR Data'!X523), "N/A - Period DMR Data Not Available")</f>
        <v>N/A - Period DMR Data Not Available</v>
      </c>
      <c r="V523" s="28" t="str" cm="1">
        <f t="array" ref="V523">IFERROR(INDEX('Raw Period DMR Data'!N:N,MATCH(1,(B523='Raw Period DMR Data'!$A:$A)*(U523='Raw Period DMR Data'!M:M)*(X523='Raw Period DMR Data'!C:C),0),1), "N/A")</f>
        <v>N/A</v>
      </c>
      <c r="W523" s="28" t="s">
        <v>1463</v>
      </c>
      <c r="X523" s="28" t="s">
        <v>859</v>
      </c>
      <c r="Y523" s="28" t="s">
        <v>783</v>
      </c>
      <c r="Z523" s="28">
        <v>2040205000476</v>
      </c>
      <c r="AA523" s="28"/>
      <c r="AB523" s="28" t="s">
        <v>1465</v>
      </c>
      <c r="AC523" s="28" t="s">
        <v>1466</v>
      </c>
    </row>
    <row r="524" spans="1:29" x14ac:dyDescent="0.25">
      <c r="A524" s="61">
        <v>110000338536</v>
      </c>
      <c r="B524" s="28">
        <v>2017</v>
      </c>
      <c r="C524" s="68">
        <f t="shared" si="8"/>
        <v>42736</v>
      </c>
      <c r="D524" s="28" t="s">
        <v>148</v>
      </c>
      <c r="E524" s="28" t="s">
        <v>476</v>
      </c>
      <c r="F524" s="28" t="s">
        <v>477</v>
      </c>
      <c r="G524" s="28" t="s">
        <v>478</v>
      </c>
      <c r="H524" s="28">
        <v>19706</v>
      </c>
      <c r="I524" s="28">
        <v>39.585099999999997</v>
      </c>
      <c r="J524" s="28">
        <v>-75.649199999999993</v>
      </c>
      <c r="L524" s="61">
        <v>110000338536</v>
      </c>
      <c r="M524" s="28" t="s">
        <v>253</v>
      </c>
      <c r="N524" s="28">
        <v>2821</v>
      </c>
      <c r="O524" s="28" t="str">
        <f>IFERROR(VLOOKUP(N524, 'SIC &amp; NAICS Codes'!A:B, 2, FALSE), "")</f>
        <v>Plastics Materials, Synthetic and Resins, and Nonvulcanizable Elastomers</v>
      </c>
      <c r="S524" s="28">
        <v>0.137165532879818</v>
      </c>
      <c r="T524" s="315">
        <f>_xlfn.MAXIFS('Raw Period DMR Data'!$O:$O,'Raw Period DMR Data'!$A:$A,'Raw Annual DMR Data'!B524,'Raw Period DMR Data'!$C:$C,X524)/S524</f>
        <v>0</v>
      </c>
      <c r="U524" s="28" t="str">
        <f>+IF(COUNTIFS('Raw Period DMR Data'!$A:$A,B524, 'Raw Period DMR Data'!C:C,'Raw Annual DMR Data'!X524, 'Raw Period DMR Data'!M:M, "&gt;0")&gt;0,_xlfn.MAXIFS('Raw Period DMR Data'!M:M,'Raw Period DMR Data'!$A:$A,'Raw Annual DMR Data'!B524,'Raw Period DMR Data'!C:C,'Raw Annual DMR Data'!X524), "N/A - Period DMR Data Not Available")</f>
        <v>N/A - Period DMR Data Not Available</v>
      </c>
      <c r="V524" s="28" t="str" cm="1">
        <f t="array" ref="V524">IFERROR(INDEX('Raw Period DMR Data'!N:N,MATCH(1,(B524='Raw Period DMR Data'!$A:$A)*(U524='Raw Period DMR Data'!M:M)*(X524='Raw Period DMR Data'!C:C),0),1), "N/A")</f>
        <v>N/A</v>
      </c>
      <c r="W524" s="28" t="s">
        <v>1463</v>
      </c>
      <c r="X524" s="28" t="s">
        <v>859</v>
      </c>
      <c r="Y524" s="28" t="s">
        <v>783</v>
      </c>
      <c r="Z524" s="28">
        <v>2040205000476</v>
      </c>
      <c r="AA524" s="28"/>
      <c r="AB524" s="28" t="s">
        <v>1465</v>
      </c>
      <c r="AC524" s="28" t="s">
        <v>1466</v>
      </c>
    </row>
    <row r="525" spans="1:29" x14ac:dyDescent="0.25">
      <c r="A525" s="61">
        <v>110000338536</v>
      </c>
      <c r="B525" s="28">
        <v>2018</v>
      </c>
      <c r="C525" s="68">
        <f t="shared" si="8"/>
        <v>43101</v>
      </c>
      <c r="D525" s="28" t="s">
        <v>148</v>
      </c>
      <c r="E525" s="28" t="s">
        <v>476</v>
      </c>
      <c r="F525" s="28" t="s">
        <v>477</v>
      </c>
      <c r="G525" s="28" t="s">
        <v>478</v>
      </c>
      <c r="H525" s="28">
        <v>19706</v>
      </c>
      <c r="I525" s="28">
        <v>39.585099999999997</v>
      </c>
      <c r="J525" s="28">
        <v>-75.649199999999993</v>
      </c>
      <c r="L525" s="61">
        <v>110000338536</v>
      </c>
      <c r="M525" s="28" t="s">
        <v>253</v>
      </c>
      <c r="N525" s="28">
        <v>2821</v>
      </c>
      <c r="O525" s="28" t="str">
        <f>IFERROR(VLOOKUP(N525, 'SIC &amp; NAICS Codes'!A:B, 2, FALSE), "")</f>
        <v>Plastics Materials, Synthetic and Resins, and Nonvulcanizable Elastomers</v>
      </c>
      <c r="S525" s="302">
        <v>0.14126984126984099</v>
      </c>
      <c r="T525" s="315">
        <f>_xlfn.MAXIFS('Raw Period DMR Data'!$O:$O,'Raw Period DMR Data'!$A:$A,'Raw Annual DMR Data'!B525,'Raw Period DMR Data'!$C:$C,X525)/S525</f>
        <v>0</v>
      </c>
      <c r="U525" s="28" t="str">
        <f>+IF(COUNTIFS('Raw Period DMR Data'!$A:$A,B525, 'Raw Period DMR Data'!C:C,'Raw Annual DMR Data'!X525, 'Raw Period DMR Data'!M:M, "&gt;0")&gt;0,_xlfn.MAXIFS('Raw Period DMR Data'!M:M,'Raw Period DMR Data'!$A:$A,'Raw Annual DMR Data'!B525,'Raw Period DMR Data'!C:C,'Raw Annual DMR Data'!X525), "N/A - Period DMR Data Not Available")</f>
        <v>N/A - Period DMR Data Not Available</v>
      </c>
      <c r="V525" s="28" t="str" cm="1">
        <f t="array" ref="V525">IFERROR(INDEX('Raw Period DMR Data'!N:N,MATCH(1,(B525='Raw Period DMR Data'!$A:$A)*(U525='Raw Period DMR Data'!M:M)*(X525='Raw Period DMR Data'!C:C),0),1), "N/A")</f>
        <v>N/A</v>
      </c>
      <c r="W525" s="28" t="s">
        <v>1463</v>
      </c>
      <c r="X525" s="28" t="s">
        <v>859</v>
      </c>
      <c r="Y525" s="28" t="s">
        <v>783</v>
      </c>
      <c r="Z525" s="302" t="s">
        <v>1785</v>
      </c>
      <c r="AA525" s="28"/>
      <c r="AB525" s="28" t="s">
        <v>1465</v>
      </c>
      <c r="AC525" s="28" t="s">
        <v>1466</v>
      </c>
    </row>
    <row r="526" spans="1:29" x14ac:dyDescent="0.25">
      <c r="A526" s="61">
        <v>110000338536</v>
      </c>
      <c r="B526" s="28">
        <v>2019</v>
      </c>
      <c r="C526" s="68">
        <f t="shared" si="8"/>
        <v>43466</v>
      </c>
      <c r="D526" s="28" t="s">
        <v>148</v>
      </c>
      <c r="E526" s="28" t="s">
        <v>476</v>
      </c>
      <c r="F526" s="28" t="s">
        <v>477</v>
      </c>
      <c r="G526" s="28" t="s">
        <v>478</v>
      </c>
      <c r="H526" s="28">
        <v>19706</v>
      </c>
      <c r="I526" s="28">
        <v>39.585099999999997</v>
      </c>
      <c r="J526" s="28">
        <v>-75.649199999999993</v>
      </c>
      <c r="L526" s="61">
        <v>110000338536</v>
      </c>
      <c r="M526" s="28" t="s">
        <v>253</v>
      </c>
      <c r="N526" s="28">
        <v>2821</v>
      </c>
      <c r="O526" s="28" t="str">
        <f>IFERROR(VLOOKUP(N526, 'SIC &amp; NAICS Codes'!A:B, 2, FALSE), "")</f>
        <v>Plastics Materials, Synthetic and Resins, and Nonvulcanizable Elastomers</v>
      </c>
      <c r="S526" s="28">
        <v>6.9070294784580405E-2</v>
      </c>
      <c r="T526" s="315">
        <f>_xlfn.MAXIFS('Raw Period DMR Data'!$O:$O,'Raw Period DMR Data'!$A:$A,'Raw Annual DMR Data'!B526,'Raw Period DMR Data'!$C:$C,X526)/S526</f>
        <v>0</v>
      </c>
      <c r="U526" s="28" t="str">
        <f>+IF(COUNTIFS('Raw Period DMR Data'!$A:$A,B526, 'Raw Period DMR Data'!C:C,'Raw Annual DMR Data'!X526, 'Raw Period DMR Data'!M:M, "&gt;0")&gt;0,_xlfn.MAXIFS('Raw Period DMR Data'!M:M,'Raw Period DMR Data'!$A:$A,'Raw Annual DMR Data'!B526,'Raw Period DMR Data'!C:C,'Raw Annual DMR Data'!X526), "N/A - Period DMR Data Not Available")</f>
        <v>N/A - Period DMR Data Not Available</v>
      </c>
      <c r="V526" s="28" t="str" cm="1">
        <f t="array" ref="V526">IFERROR(INDEX('Raw Period DMR Data'!N:N,MATCH(1,(B526='Raw Period DMR Data'!$A:$A)*(U526='Raw Period DMR Data'!M:M)*(X526='Raw Period DMR Data'!C:C),0),1), "N/A")</f>
        <v>N/A</v>
      </c>
      <c r="W526" s="28" t="s">
        <v>1463</v>
      </c>
      <c r="X526" s="28" t="s">
        <v>859</v>
      </c>
      <c r="Y526" s="28" t="s">
        <v>783</v>
      </c>
      <c r="Z526" s="28">
        <v>2040205000476</v>
      </c>
      <c r="AA526" s="28"/>
      <c r="AB526" s="28" t="s">
        <v>1465</v>
      </c>
      <c r="AC526" s="28" t="s">
        <v>1466</v>
      </c>
    </row>
    <row r="527" spans="1:29" x14ac:dyDescent="0.25">
      <c r="A527" s="61">
        <v>110000338536</v>
      </c>
      <c r="B527" s="28">
        <v>2020</v>
      </c>
      <c r="C527" s="68">
        <f t="shared" si="8"/>
        <v>43831</v>
      </c>
      <c r="D527" s="28" t="s">
        <v>148</v>
      </c>
      <c r="E527" s="28" t="s">
        <v>476</v>
      </c>
      <c r="F527" s="28" t="s">
        <v>477</v>
      </c>
      <c r="G527" s="28" t="s">
        <v>478</v>
      </c>
      <c r="H527" s="28">
        <v>19706</v>
      </c>
      <c r="I527" s="28">
        <v>39.585099999999997</v>
      </c>
      <c r="J527" s="28">
        <v>-75.649199999999993</v>
      </c>
      <c r="L527" s="61">
        <v>110000338536</v>
      </c>
      <c r="M527" s="28" t="s">
        <v>253</v>
      </c>
      <c r="N527" s="28">
        <v>2821</v>
      </c>
      <c r="O527" s="28" t="str">
        <f>IFERROR(VLOOKUP(N527, 'SIC &amp; NAICS Codes'!A:B, 2, FALSE), "")</f>
        <v>Plastics Materials, Synthetic and Resins, and Nonvulcanizable Elastomers</v>
      </c>
      <c r="S527" s="28">
        <v>2.6836734693877502E-2</v>
      </c>
      <c r="T527" s="315">
        <f>_xlfn.MAXIFS('Raw Period DMR Data'!$O:$O,'Raw Period DMR Data'!$A:$A,'Raw Annual DMR Data'!B527,'Raw Period DMR Data'!$C:$C,X527)/S527</f>
        <v>0</v>
      </c>
      <c r="U527" s="28" t="str">
        <f>+IF(COUNTIFS('Raw Period DMR Data'!$A:$A,B527, 'Raw Period DMR Data'!C:C,'Raw Annual DMR Data'!X527, 'Raw Period DMR Data'!M:M, "&gt;0")&gt;0,_xlfn.MAXIFS('Raw Period DMR Data'!M:M,'Raw Period DMR Data'!$A:$A,'Raw Annual DMR Data'!B527,'Raw Period DMR Data'!C:C,'Raw Annual DMR Data'!X527), "N/A - Period DMR Data Not Available")</f>
        <v>N/A - Period DMR Data Not Available</v>
      </c>
      <c r="V527" s="28" t="str" cm="1">
        <f t="array" ref="V527">IFERROR(INDEX('Raw Period DMR Data'!N:N,MATCH(1,(B527='Raw Period DMR Data'!$A:$A)*(U527='Raw Period DMR Data'!M:M)*(X527='Raw Period DMR Data'!C:C),0),1), "N/A")</f>
        <v>N/A</v>
      </c>
      <c r="W527" s="28" t="s">
        <v>1463</v>
      </c>
      <c r="X527" s="28" t="s">
        <v>859</v>
      </c>
      <c r="Y527" s="28" t="s">
        <v>783</v>
      </c>
      <c r="Z527" s="28">
        <v>2040205000476</v>
      </c>
      <c r="AA527" s="28"/>
      <c r="AB527" s="28" t="s">
        <v>1465</v>
      </c>
      <c r="AC527" s="28" t="s">
        <v>1466</v>
      </c>
    </row>
    <row r="528" spans="1:29" x14ac:dyDescent="0.25">
      <c r="A528" s="61">
        <v>110018925957</v>
      </c>
      <c r="B528" s="28">
        <v>2015</v>
      </c>
      <c r="C528" s="68">
        <f t="shared" si="8"/>
        <v>42005</v>
      </c>
      <c r="D528" s="28" t="s">
        <v>149</v>
      </c>
      <c r="E528" s="28" t="s">
        <v>479</v>
      </c>
      <c r="F528" s="28" t="s">
        <v>480</v>
      </c>
      <c r="G528" s="28" t="s">
        <v>362</v>
      </c>
      <c r="H528" s="28">
        <v>77978</v>
      </c>
      <c r="I528" s="28">
        <v>28.6753</v>
      </c>
      <c r="J528" s="28">
        <v>-96.549499999999995</v>
      </c>
      <c r="K528" s="28" t="s">
        <v>481</v>
      </c>
      <c r="L528" s="61">
        <v>110018925957</v>
      </c>
      <c r="M528" s="28" t="s">
        <v>251</v>
      </c>
      <c r="N528" s="28">
        <v>2821</v>
      </c>
      <c r="O528" s="28" t="str">
        <f>IFERROR(VLOOKUP(N528, 'SIC &amp; NAICS Codes'!A:B, 2, FALSE), "")</f>
        <v>Plastics Materials, Synthetic and Resins, and Nonvulcanizable Elastomers</v>
      </c>
      <c r="S528" s="28">
        <v>7.59183673469387</v>
      </c>
      <c r="T528" s="315">
        <f>_xlfn.MAXIFS('Raw Period DMR Data'!$O:$O,'Raw Period DMR Data'!$A:$A,'Raw Annual DMR Data'!B528,'Raw Period DMR Data'!$C:$C,X528)/S528</f>
        <v>0</v>
      </c>
      <c r="U528" s="28" t="str">
        <f>+IF(COUNTIFS('Raw Period DMR Data'!$A:$A,B528, 'Raw Period DMR Data'!C:C,'Raw Annual DMR Data'!X528, 'Raw Period DMR Data'!M:M, "&gt;0")&gt;0,_xlfn.MAXIFS('Raw Period DMR Data'!M:M,'Raw Period DMR Data'!$A:$A,'Raw Annual DMR Data'!B528,'Raw Period DMR Data'!C:C,'Raw Annual DMR Data'!X528), "N/A - Period DMR Data Not Available")</f>
        <v>N/A - Period DMR Data Not Available</v>
      </c>
      <c r="V528" s="28" t="str" cm="1">
        <f t="array" ref="V528">IFERROR(INDEX('Raw Period DMR Data'!N:N,MATCH(1,(B528='Raw Period DMR Data'!$A:$A)*(U528='Raw Period DMR Data'!M:M)*(X528='Raw Period DMR Data'!C:C),0),1), "N/A")</f>
        <v>N/A</v>
      </c>
      <c r="W528" s="28" t="s">
        <v>1463</v>
      </c>
      <c r="X528" s="28" t="s">
        <v>860</v>
      </c>
      <c r="Y528" s="28" t="s">
        <v>861</v>
      </c>
      <c r="Z528" s="61">
        <v>12100401000758</v>
      </c>
    </row>
    <row r="529" spans="1:29" x14ac:dyDescent="0.25">
      <c r="A529" s="61">
        <v>110018925957</v>
      </c>
      <c r="B529" s="28">
        <v>2016</v>
      </c>
      <c r="C529" s="68">
        <f t="shared" si="8"/>
        <v>42370</v>
      </c>
      <c r="D529" s="28" t="s">
        <v>149</v>
      </c>
      <c r="E529" s="28" t="s">
        <v>479</v>
      </c>
      <c r="F529" s="28" t="s">
        <v>480</v>
      </c>
      <c r="G529" s="28" t="s">
        <v>362</v>
      </c>
      <c r="H529" s="28">
        <v>77978</v>
      </c>
      <c r="I529" s="28">
        <v>28.6753</v>
      </c>
      <c r="J529" s="28">
        <v>-96.549499999999995</v>
      </c>
      <c r="K529" s="28" t="s">
        <v>481</v>
      </c>
      <c r="L529" s="61">
        <v>110018925957</v>
      </c>
      <c r="M529" s="28" t="s">
        <v>251</v>
      </c>
      <c r="N529" s="28">
        <v>2821</v>
      </c>
      <c r="O529" s="28" t="str">
        <f>IFERROR(VLOOKUP(N529, 'SIC &amp; NAICS Codes'!A:B, 2, FALSE), "")</f>
        <v>Plastics Materials, Synthetic and Resins, and Nonvulcanizable Elastomers</v>
      </c>
      <c r="S529" s="28">
        <v>64.952380952380906</v>
      </c>
      <c r="T529" s="315">
        <f>_xlfn.MAXIFS('Raw Period DMR Data'!$O:$O,'Raw Period DMR Data'!$A:$A,'Raw Annual DMR Data'!B529,'Raw Period DMR Data'!$C:$C,X529)/S529</f>
        <v>0</v>
      </c>
      <c r="U529" s="28" t="str">
        <f>+IF(COUNTIFS('Raw Period DMR Data'!$A:$A,B529, 'Raw Period DMR Data'!C:C,'Raw Annual DMR Data'!X529, 'Raw Period DMR Data'!M:M, "&gt;0")&gt;0,_xlfn.MAXIFS('Raw Period DMR Data'!M:M,'Raw Period DMR Data'!$A:$A,'Raw Annual DMR Data'!B529,'Raw Period DMR Data'!C:C,'Raw Annual DMR Data'!X529), "N/A - Period DMR Data Not Available")</f>
        <v>N/A - Period DMR Data Not Available</v>
      </c>
      <c r="V529" s="28" t="str" cm="1">
        <f t="array" ref="V529">IFERROR(INDEX('Raw Period DMR Data'!N:N,MATCH(1,(B529='Raw Period DMR Data'!$A:$A)*(U529='Raw Period DMR Data'!M:M)*(X529='Raw Period DMR Data'!C:C),0),1), "N/A")</f>
        <v>N/A</v>
      </c>
      <c r="W529" s="28" t="s">
        <v>1463</v>
      </c>
      <c r="X529" s="28" t="s">
        <v>860</v>
      </c>
      <c r="Y529" s="28" t="s">
        <v>861</v>
      </c>
      <c r="Z529" s="61">
        <v>12100401000758</v>
      </c>
      <c r="AA529" s="28"/>
    </row>
    <row r="530" spans="1:29" x14ac:dyDescent="0.25">
      <c r="A530" s="61">
        <v>110018925957</v>
      </c>
      <c r="B530" s="28">
        <v>2017</v>
      </c>
      <c r="C530" s="68">
        <f t="shared" si="8"/>
        <v>42736</v>
      </c>
      <c r="D530" s="28" t="s">
        <v>149</v>
      </c>
      <c r="E530" s="28" t="s">
        <v>479</v>
      </c>
      <c r="F530" s="28" t="s">
        <v>480</v>
      </c>
      <c r="G530" s="28" t="s">
        <v>362</v>
      </c>
      <c r="H530" s="28">
        <v>77978</v>
      </c>
      <c r="I530" s="28">
        <v>28.6753</v>
      </c>
      <c r="J530" s="28">
        <v>-96.549499999999995</v>
      </c>
      <c r="K530" s="28" t="s">
        <v>481</v>
      </c>
      <c r="L530" s="61">
        <v>110018925957</v>
      </c>
      <c r="M530" s="28" t="s">
        <v>251</v>
      </c>
      <c r="N530" s="28">
        <v>2821</v>
      </c>
      <c r="O530" s="28" t="str">
        <f>IFERROR(VLOOKUP(N530, 'SIC &amp; NAICS Codes'!A:B, 2, FALSE), "")</f>
        <v>Plastics Materials, Synthetic and Resins, and Nonvulcanizable Elastomers</v>
      </c>
      <c r="S530" s="28">
        <v>5989.5353999999998</v>
      </c>
      <c r="T530" s="315">
        <f>_xlfn.MAXIFS('Raw Period DMR Data'!$O:$O,'Raw Period DMR Data'!$A:$A,'Raw Annual DMR Data'!B530,'Raw Period DMR Data'!$C:$C,X530)/S530</f>
        <v>0.10341109046788503</v>
      </c>
      <c r="U530" s="28">
        <f>+IF(COUNTIFS('Raw Period DMR Data'!$A:$A,B530, 'Raw Period DMR Data'!C:C,'Raw Annual DMR Data'!X530, 'Raw Period DMR Data'!M:M, "&gt;0")&gt;0,_xlfn.MAXIFS('Raw Period DMR Data'!M:M,'Raw Period DMR Data'!$A:$A,'Raw Annual DMR Data'!B530,'Raw Period DMR Data'!C:C,'Raw Annual DMR Data'!X530), "N/A - Period DMR Data Not Available")</f>
        <v>20.363299999999999</v>
      </c>
      <c r="V530" s="28" cm="1">
        <f t="array" ref="V530">IFERROR(INDEX('Raw Period DMR Data'!N:N,MATCH(1,(B530='Raw Period DMR Data'!$A:$A)*(U530='Raw Period DMR Data'!M:M)*(X530='Raw Period DMR Data'!C:C),0),1), "N/A")</f>
        <v>28</v>
      </c>
      <c r="W530" s="28">
        <v>31.037000000000006</v>
      </c>
      <c r="X530" s="28" t="s">
        <v>860</v>
      </c>
      <c r="Y530" s="28" t="s">
        <v>861</v>
      </c>
      <c r="Z530" s="61">
        <v>12100401000758</v>
      </c>
      <c r="AA530" s="28"/>
    </row>
    <row r="531" spans="1:29" x14ac:dyDescent="0.25">
      <c r="A531" s="61">
        <v>110018925957</v>
      </c>
      <c r="B531" s="28">
        <v>2017</v>
      </c>
      <c r="C531" s="68">
        <f t="shared" si="8"/>
        <v>42736</v>
      </c>
      <c r="D531" s="28" t="s">
        <v>149</v>
      </c>
      <c r="E531" s="28" t="s">
        <v>479</v>
      </c>
      <c r="F531" s="28" t="s">
        <v>480</v>
      </c>
      <c r="G531" s="28" t="s">
        <v>362</v>
      </c>
      <c r="H531" s="28">
        <v>77978</v>
      </c>
      <c r="I531" s="28">
        <v>28.6753</v>
      </c>
      <c r="J531" s="28">
        <v>-96.549499999999995</v>
      </c>
      <c r="K531" s="28" t="s">
        <v>481</v>
      </c>
      <c r="L531" s="61">
        <v>110018925957</v>
      </c>
      <c r="M531" s="28" t="s">
        <v>251</v>
      </c>
      <c r="N531" s="28">
        <v>2821</v>
      </c>
      <c r="O531" s="28" t="str">
        <f>IFERROR(VLOOKUP(N531, 'SIC &amp; NAICS Codes'!A:B, 2, FALSE), "")</f>
        <v>Plastics Materials, Synthetic and Resins, and Nonvulcanizable Elastomers</v>
      </c>
      <c r="S531" s="28">
        <v>13.3333333333333</v>
      </c>
      <c r="T531" s="315">
        <f>_xlfn.MAXIFS('Raw Period DMR Data'!$O:$O,'Raw Period DMR Data'!$A:$A,'Raw Annual DMR Data'!B531,'Raw Period DMR Data'!$C:$C,X531)/S531</f>
        <v>46.453829033250109</v>
      </c>
      <c r="U531" s="28">
        <f>+IF(COUNTIFS('Raw Period DMR Data'!$A:$A,B531, 'Raw Period DMR Data'!C:C,'Raw Annual DMR Data'!X531, 'Raw Period DMR Data'!M:M, "&gt;0")&gt;0,_xlfn.MAXIFS('Raw Period DMR Data'!M:M,'Raw Period DMR Data'!$A:$A,'Raw Annual DMR Data'!B531,'Raw Period DMR Data'!C:C,'Raw Annual DMR Data'!X531), "N/A - Period DMR Data Not Available")</f>
        <v>20.363299999999999</v>
      </c>
      <c r="V531" s="28" cm="1">
        <f t="array" ref="V531">IFERROR(INDEX('Raw Period DMR Data'!N:N,MATCH(1,(B531='Raw Period DMR Data'!$A:$A)*(U531='Raw Period DMR Data'!M:M)*(X531='Raw Period DMR Data'!C:C),0),1), "N/A")</f>
        <v>28</v>
      </c>
      <c r="W531" s="28">
        <v>31.037000000000006</v>
      </c>
      <c r="X531" s="28" t="s">
        <v>860</v>
      </c>
      <c r="Y531" s="28" t="s">
        <v>861</v>
      </c>
      <c r="Z531" s="61">
        <v>12100401000758</v>
      </c>
      <c r="AA531" s="28"/>
    </row>
    <row r="532" spans="1:29" x14ac:dyDescent="0.25">
      <c r="A532" s="61">
        <v>110018925957</v>
      </c>
      <c r="B532" s="28">
        <v>2018</v>
      </c>
      <c r="C532" s="68">
        <f t="shared" si="8"/>
        <v>43101</v>
      </c>
      <c r="D532" s="28" t="s">
        <v>149</v>
      </c>
      <c r="E532" s="28" t="s">
        <v>479</v>
      </c>
      <c r="F532" s="28" t="s">
        <v>480</v>
      </c>
      <c r="G532" s="28" t="s">
        <v>362</v>
      </c>
      <c r="H532" s="28">
        <v>77978</v>
      </c>
      <c r="I532" s="28">
        <v>28.6753</v>
      </c>
      <c r="J532" s="28">
        <v>-96.549499999999995</v>
      </c>
      <c r="K532" s="28" t="s">
        <v>481</v>
      </c>
      <c r="L532" s="61">
        <v>110018925957</v>
      </c>
      <c r="M532" s="28" t="s">
        <v>251</v>
      </c>
      <c r="N532" s="28">
        <v>2821</v>
      </c>
      <c r="O532" s="28" t="str">
        <f>IFERROR(VLOOKUP(N532, 'SIC &amp; NAICS Codes'!A:B, 2, FALSE), "")</f>
        <v>Plastics Materials, Synthetic and Resins, and Nonvulcanizable Elastomers</v>
      </c>
      <c r="S532" s="28">
        <v>24.4897959183673</v>
      </c>
      <c r="T532" s="315">
        <f>_xlfn.MAXIFS('Raw Period DMR Data'!$O:$O,'Raw Period DMR Data'!$A:$A,'Raw Annual DMR Data'!B532,'Raw Period DMR Data'!$C:$C,X532)/S532</f>
        <v>0</v>
      </c>
      <c r="U532" s="28" t="str">
        <f>+IF(COUNTIFS('Raw Period DMR Data'!$A:$A,B532, 'Raw Period DMR Data'!C:C,'Raw Annual DMR Data'!X532, 'Raw Period DMR Data'!M:M, "&gt;0")&gt;0,_xlfn.MAXIFS('Raw Period DMR Data'!M:M,'Raw Period DMR Data'!$A:$A,'Raw Annual DMR Data'!B532,'Raw Period DMR Data'!C:C,'Raw Annual DMR Data'!X532), "N/A - Period DMR Data Not Available")</f>
        <v>N/A - Period DMR Data Not Available</v>
      </c>
      <c r="V532" s="28" t="str" cm="1">
        <f t="array" ref="V532">IFERROR(INDEX('Raw Period DMR Data'!N:N,MATCH(1,(B532='Raw Period DMR Data'!$A:$A)*(U532='Raw Period DMR Data'!M:M)*(X532='Raw Period DMR Data'!C:C),0),1), "N/A")</f>
        <v>N/A</v>
      </c>
      <c r="W532" s="28" t="s">
        <v>1463</v>
      </c>
      <c r="X532" s="28" t="s">
        <v>860</v>
      </c>
      <c r="Y532" s="28" t="s">
        <v>861</v>
      </c>
      <c r="Z532" s="61">
        <v>12100401000758</v>
      </c>
    </row>
    <row r="533" spans="1:29" x14ac:dyDescent="0.25">
      <c r="A533" s="61">
        <v>110018925957</v>
      </c>
      <c r="B533" s="28">
        <v>2019</v>
      </c>
      <c r="C533" s="68">
        <f t="shared" si="8"/>
        <v>43466</v>
      </c>
      <c r="D533" s="28" t="s">
        <v>149</v>
      </c>
      <c r="E533" s="28" t="s">
        <v>479</v>
      </c>
      <c r="F533" s="28" t="s">
        <v>480</v>
      </c>
      <c r="G533" s="28" t="s">
        <v>362</v>
      </c>
      <c r="H533" s="28">
        <v>77978</v>
      </c>
      <c r="I533" s="28">
        <v>28.6753</v>
      </c>
      <c r="J533" s="28">
        <v>-96.549499999999995</v>
      </c>
      <c r="K533" s="28" t="s">
        <v>481</v>
      </c>
      <c r="L533" s="61">
        <v>110018925957</v>
      </c>
      <c r="M533" s="28" t="s">
        <v>251</v>
      </c>
      <c r="N533" s="28">
        <v>2821</v>
      </c>
      <c r="O533" s="28" t="str">
        <f>IFERROR(VLOOKUP(N533, 'SIC &amp; NAICS Codes'!A:B, 2, FALSE), "")</f>
        <v>Plastics Materials, Synthetic and Resins, and Nonvulcanizable Elastomers</v>
      </c>
      <c r="S533" s="28">
        <v>110.548752834467</v>
      </c>
      <c r="T533" s="315">
        <f>_xlfn.MAXIFS('Raw Period DMR Data'!$O:$O,'Raw Period DMR Data'!$A:$A,'Raw Annual DMR Data'!B533,'Raw Period DMR Data'!$C:$C,X533)/S533</f>
        <v>0.335335863214207</v>
      </c>
      <c r="U533" s="28">
        <f>+IF(COUNTIFS('Raw Period DMR Data'!$A:$A,B533, 'Raw Period DMR Data'!C:C,'Raw Annual DMR Data'!X533, 'Raw Period DMR Data'!M:M, "&gt;0")&gt;0,_xlfn.MAXIFS('Raw Period DMR Data'!M:M,'Raw Period DMR Data'!$A:$A,'Raw Annual DMR Data'!B533,'Raw Period DMR Data'!C:C,'Raw Annual DMR Data'!X533), "N/A - Period DMR Data Not Available")</f>
        <v>1.2187700000000001</v>
      </c>
      <c r="V533" s="28" cm="1">
        <f t="array" ref="V533">IFERROR(INDEX('Raw Period DMR Data'!N:N,MATCH(1,(B533='Raw Period DMR Data'!$A:$A)*(U533='Raw Period DMR Data'!M:M)*(X533='Raw Period DMR Data'!C:C),0),1), "N/A")</f>
        <v>30</v>
      </c>
      <c r="W533" s="28">
        <v>12.093075000000001</v>
      </c>
      <c r="X533" s="28" t="s">
        <v>860</v>
      </c>
      <c r="Y533" s="28" t="s">
        <v>861</v>
      </c>
      <c r="Z533" s="61">
        <v>12100401000758</v>
      </c>
    </row>
    <row r="534" spans="1:29" x14ac:dyDescent="0.25">
      <c r="A534" s="61">
        <v>110018925957</v>
      </c>
      <c r="B534" s="28">
        <v>2020</v>
      </c>
      <c r="C534" s="68">
        <f t="shared" si="8"/>
        <v>43831</v>
      </c>
      <c r="D534" s="28" t="s">
        <v>149</v>
      </c>
      <c r="E534" s="28" t="s">
        <v>479</v>
      </c>
      <c r="F534" s="28" t="s">
        <v>480</v>
      </c>
      <c r="G534" s="28" t="s">
        <v>362</v>
      </c>
      <c r="H534" s="28">
        <v>77978</v>
      </c>
      <c r="I534" s="28">
        <v>28.6753</v>
      </c>
      <c r="J534" s="28">
        <v>-96.549499999999995</v>
      </c>
      <c r="K534" s="28" t="s">
        <v>481</v>
      </c>
      <c r="L534" s="61">
        <v>110018925957</v>
      </c>
      <c r="M534" s="28" t="s">
        <v>251</v>
      </c>
      <c r="N534" s="28">
        <v>2821</v>
      </c>
      <c r="O534" s="28" t="str">
        <f>IFERROR(VLOOKUP(N534, 'SIC &amp; NAICS Codes'!A:B, 2, FALSE), "")</f>
        <v>Plastics Materials, Synthetic and Resins, and Nonvulcanizable Elastomers</v>
      </c>
      <c r="S534" s="28">
        <v>24.816326530612201</v>
      </c>
      <c r="T534" s="315">
        <f>_xlfn.MAXIFS('Raw Period DMR Data'!$O:$O,'Raw Period DMR Data'!$A:$A,'Raw Annual DMR Data'!B534,'Raw Period DMR Data'!$C:$C,X534)/S534</f>
        <v>0.33865956281373411</v>
      </c>
      <c r="U534" s="28">
        <f>+IF(COUNTIFS('Raw Period DMR Data'!$A:$A,B534, 'Raw Period DMR Data'!C:C,'Raw Annual DMR Data'!X534, 'Raw Period DMR Data'!M:M, "&gt;0")&gt;0,_xlfn.MAXIFS('Raw Period DMR Data'!M:M,'Raw Period DMR Data'!$A:$A,'Raw Annual DMR Data'!B534,'Raw Period DMR Data'!C:C,'Raw Annual DMR Data'!X534), "N/A - Period DMR Data Not Available")</f>
        <v>0.27630499999999997</v>
      </c>
      <c r="V534" s="28" cm="1">
        <f t="array" ref="V534">IFERROR(INDEX('Raw Period DMR Data'!N:N,MATCH(1,(B534='Raw Period DMR Data'!$A:$A)*(U534='Raw Period DMR Data'!M:M)*(X534='Raw Period DMR Data'!C:C),0),1), "N/A")</f>
        <v>30</v>
      </c>
      <c r="W534" s="28">
        <v>2.8955250000000001</v>
      </c>
      <c r="X534" s="28" t="s">
        <v>860</v>
      </c>
      <c r="Y534" s="28" t="s">
        <v>861</v>
      </c>
      <c r="Z534" s="61">
        <v>12100401000758</v>
      </c>
    </row>
    <row r="535" spans="1:29" x14ac:dyDescent="0.25">
      <c r="A535" s="61">
        <v>110018925957</v>
      </c>
      <c r="B535" s="28">
        <v>2020</v>
      </c>
      <c r="C535" s="68">
        <f t="shared" si="8"/>
        <v>43831</v>
      </c>
      <c r="D535" s="28" t="s">
        <v>149</v>
      </c>
      <c r="E535" s="28" t="s">
        <v>479</v>
      </c>
      <c r="F535" s="28" t="s">
        <v>480</v>
      </c>
      <c r="G535" s="28" t="s">
        <v>362</v>
      </c>
      <c r="H535" s="28">
        <v>77978</v>
      </c>
      <c r="I535" s="28">
        <v>28.6753</v>
      </c>
      <c r="J535" s="28">
        <v>-96.549499999999995</v>
      </c>
      <c r="K535" s="28" t="s">
        <v>481</v>
      </c>
      <c r="L535" s="61">
        <v>110018925957</v>
      </c>
      <c r="M535" s="28" t="s">
        <v>251</v>
      </c>
      <c r="N535" s="28">
        <v>2821</v>
      </c>
      <c r="O535" s="28" t="str">
        <f>IFERROR(VLOOKUP(N535, 'SIC &amp; NAICS Codes'!A:B, 2, FALSE), "")</f>
        <v>Plastics Materials, Synthetic and Resins, and Nonvulcanizable Elastomers</v>
      </c>
      <c r="S535" s="28">
        <v>6.0343714285714203</v>
      </c>
      <c r="T535" s="315">
        <f>_xlfn.MAXIFS('Raw Period DMR Data'!$O:$O,'Raw Period DMR Data'!$A:$A,'Raw Annual DMR Data'!B535,'Raw Period DMR Data'!$C:$C,X535)/S535</f>
        <v>1.3927359946236575</v>
      </c>
      <c r="U535" s="28">
        <f>+IF(COUNTIFS('Raw Period DMR Data'!$A:$A,B535, 'Raw Period DMR Data'!C:C,'Raw Annual DMR Data'!X535, 'Raw Period DMR Data'!M:M, "&gt;0")&gt;0,_xlfn.MAXIFS('Raw Period DMR Data'!M:M,'Raw Period DMR Data'!$A:$A,'Raw Annual DMR Data'!B535,'Raw Period DMR Data'!C:C,'Raw Annual DMR Data'!X535), "N/A - Period DMR Data Not Available")</f>
        <v>0.27630499999999997</v>
      </c>
      <c r="V535" s="28" cm="1">
        <f t="array" ref="V535">IFERROR(INDEX('Raw Period DMR Data'!N:N,MATCH(1,(B535='Raw Period DMR Data'!$A:$A)*(U535='Raw Period DMR Data'!M:M)*(X535='Raw Period DMR Data'!C:C),0),1), "N/A")</f>
        <v>30</v>
      </c>
      <c r="W535" s="28">
        <v>2.8955250000000001</v>
      </c>
      <c r="X535" s="28" t="s">
        <v>860</v>
      </c>
      <c r="Y535" s="28" t="s">
        <v>861</v>
      </c>
      <c r="Z535" s="61">
        <v>12100401000758</v>
      </c>
    </row>
    <row r="536" spans="1:29" x14ac:dyDescent="0.25">
      <c r="A536" s="61">
        <v>110000597444</v>
      </c>
      <c r="B536" s="28">
        <v>2015</v>
      </c>
      <c r="C536" s="68">
        <f t="shared" si="8"/>
        <v>42005</v>
      </c>
      <c r="D536" s="28" t="s">
        <v>150</v>
      </c>
      <c r="E536" s="28" t="s">
        <v>482</v>
      </c>
      <c r="F536" s="28" t="s">
        <v>302</v>
      </c>
      <c r="G536" s="28" t="s">
        <v>303</v>
      </c>
      <c r="H536" s="28">
        <v>70805</v>
      </c>
      <c r="I536" s="28">
        <v>30.498203</v>
      </c>
      <c r="J536" s="28">
        <v>-91.189148000000003</v>
      </c>
      <c r="K536" s="28" t="s">
        <v>483</v>
      </c>
      <c r="L536" s="61">
        <v>110000597444</v>
      </c>
      <c r="M536" s="28" t="s">
        <v>251</v>
      </c>
      <c r="N536" s="28">
        <v>2821</v>
      </c>
      <c r="O536" s="28" t="str">
        <f>IFERROR(VLOOKUP(N536, 'SIC &amp; NAICS Codes'!A:B, 2, FALSE), "")</f>
        <v>Plastics Materials, Synthetic and Resins, and Nonvulcanizable Elastomers</v>
      </c>
      <c r="S536" s="28">
        <v>97.959183673469298</v>
      </c>
      <c r="T536" s="315">
        <f>_xlfn.MAXIFS('Raw Period DMR Data'!$O:$O,'Raw Period DMR Data'!$A:$A,'Raw Annual DMR Data'!B536,'Raw Period DMR Data'!$C:$C,X536)/S536</f>
        <v>0</v>
      </c>
      <c r="U536" s="28" t="str">
        <f>+IF(COUNTIFS('Raw Period DMR Data'!$A:$A,B536, 'Raw Period DMR Data'!C:C,'Raw Annual DMR Data'!X536, 'Raw Period DMR Data'!M:M, "&gt;0")&gt;0,_xlfn.MAXIFS('Raw Period DMR Data'!M:M,'Raw Period DMR Data'!$A:$A,'Raw Annual DMR Data'!B536,'Raw Period DMR Data'!C:C,'Raw Annual DMR Data'!X536), "N/A - Period DMR Data Not Available")</f>
        <v>N/A - Period DMR Data Not Available</v>
      </c>
      <c r="V536" s="28" t="str" cm="1">
        <f t="array" ref="V536">IFERROR(INDEX('Raw Period DMR Data'!N:N,MATCH(1,(B536='Raw Period DMR Data'!$A:$A)*(U536='Raw Period DMR Data'!M:M)*(X536='Raw Period DMR Data'!C:C),0),1), "N/A")</f>
        <v>N/A</v>
      </c>
      <c r="W536" s="28" t="s">
        <v>1463</v>
      </c>
      <c r="X536" s="28" t="s">
        <v>862</v>
      </c>
      <c r="Y536" s="28" t="s">
        <v>863</v>
      </c>
      <c r="Z536" s="61">
        <v>8070201006480</v>
      </c>
    </row>
    <row r="537" spans="1:29" x14ac:dyDescent="0.25">
      <c r="A537" s="61">
        <v>110000597444</v>
      </c>
      <c r="B537" s="28">
        <v>2017</v>
      </c>
      <c r="C537" s="68">
        <f t="shared" si="8"/>
        <v>42736</v>
      </c>
      <c r="D537" s="28" t="s">
        <v>150</v>
      </c>
      <c r="E537" s="28" t="s">
        <v>482</v>
      </c>
      <c r="F537" s="28" t="s">
        <v>302</v>
      </c>
      <c r="G537" s="28" t="s">
        <v>303</v>
      </c>
      <c r="H537" s="28">
        <v>70805</v>
      </c>
      <c r="I537" s="28">
        <v>30.498203</v>
      </c>
      <c r="J537" s="28">
        <v>-91.189148000000003</v>
      </c>
      <c r="K537" s="28" t="s">
        <v>483</v>
      </c>
      <c r="L537" s="61">
        <v>110000597444</v>
      </c>
      <c r="M537" s="28" t="s">
        <v>251</v>
      </c>
      <c r="N537" s="28">
        <v>2821</v>
      </c>
      <c r="O537" s="28" t="str">
        <f>IFERROR(VLOOKUP(N537, 'SIC &amp; NAICS Codes'!A:B, 2, FALSE), "")</f>
        <v>Plastics Materials, Synthetic and Resins, and Nonvulcanizable Elastomers</v>
      </c>
      <c r="S537" s="28">
        <v>84.136054421768705</v>
      </c>
      <c r="T537" s="315">
        <f>_xlfn.MAXIFS('Raw Period DMR Data'!$O:$O,'Raw Period DMR Data'!$A:$A,'Raw Annual DMR Data'!B537,'Raw Period DMR Data'!$C:$C,X537)/S537</f>
        <v>0</v>
      </c>
      <c r="U537" s="28" t="str">
        <f>+IF(COUNTIFS('Raw Period DMR Data'!$A:$A,B537, 'Raw Period DMR Data'!C:C,'Raw Annual DMR Data'!X537, 'Raw Period DMR Data'!M:M, "&gt;0")&gt;0,_xlfn.MAXIFS('Raw Period DMR Data'!M:M,'Raw Period DMR Data'!$A:$A,'Raw Annual DMR Data'!B537,'Raw Period DMR Data'!C:C,'Raw Annual DMR Data'!X537), "N/A - Period DMR Data Not Available")</f>
        <v>N/A - Period DMR Data Not Available</v>
      </c>
      <c r="V537" s="28" t="str" cm="1">
        <f t="array" ref="V537">IFERROR(INDEX('Raw Period DMR Data'!N:N,MATCH(1,(B537='Raw Period DMR Data'!$A:$A)*(U537='Raw Period DMR Data'!M:M)*(X537='Raw Period DMR Data'!C:C),0),1), "N/A")</f>
        <v>N/A</v>
      </c>
      <c r="W537" s="28" t="s">
        <v>1463</v>
      </c>
      <c r="X537" s="28" t="s">
        <v>862</v>
      </c>
      <c r="Y537" s="28" t="s">
        <v>863</v>
      </c>
      <c r="Z537" s="61">
        <v>8070201006480</v>
      </c>
      <c r="AA537" s="28"/>
    </row>
    <row r="538" spans="1:29" x14ac:dyDescent="0.25">
      <c r="A538" s="61">
        <v>110000597444</v>
      </c>
      <c r="B538" s="28">
        <v>2018</v>
      </c>
      <c r="C538" s="68">
        <f t="shared" si="8"/>
        <v>43101</v>
      </c>
      <c r="D538" s="28" t="s">
        <v>150</v>
      </c>
      <c r="E538" s="28" t="s">
        <v>482</v>
      </c>
      <c r="F538" s="28" t="s">
        <v>302</v>
      </c>
      <c r="G538" s="28" t="s">
        <v>303</v>
      </c>
      <c r="H538" s="28">
        <v>70805</v>
      </c>
      <c r="I538" s="28">
        <v>30.498203</v>
      </c>
      <c r="J538" s="28">
        <v>-91.189148000000003</v>
      </c>
      <c r="K538" s="28" t="s">
        <v>483</v>
      </c>
      <c r="L538" s="61">
        <v>110000597444</v>
      </c>
      <c r="M538" s="28" t="s">
        <v>251</v>
      </c>
      <c r="N538" s="28">
        <v>2821</v>
      </c>
      <c r="O538" s="28" t="str">
        <f>IFERROR(VLOOKUP(N538, 'SIC &amp; NAICS Codes'!A:B, 2, FALSE), "")</f>
        <v>Plastics Materials, Synthetic and Resins, and Nonvulcanizable Elastomers</v>
      </c>
      <c r="S538" s="28">
        <v>53.405895691609899</v>
      </c>
      <c r="T538" s="315">
        <f>_xlfn.MAXIFS('Raw Period DMR Data'!$O:$O,'Raw Period DMR Data'!$A:$A,'Raw Annual DMR Data'!B538,'Raw Period DMR Data'!$C:$C,X538)/S538</f>
        <v>0</v>
      </c>
      <c r="U538" s="28" t="str">
        <f>+IF(COUNTIFS('Raw Period DMR Data'!$A:$A,B538, 'Raw Period DMR Data'!C:C,'Raw Annual DMR Data'!X538, 'Raw Period DMR Data'!M:M, "&gt;0")&gt;0,_xlfn.MAXIFS('Raw Period DMR Data'!M:M,'Raw Period DMR Data'!$A:$A,'Raw Annual DMR Data'!B538,'Raw Period DMR Data'!C:C,'Raw Annual DMR Data'!X538), "N/A - Period DMR Data Not Available")</f>
        <v>N/A - Period DMR Data Not Available</v>
      </c>
      <c r="V538" s="28" t="str" cm="1">
        <f t="array" ref="V538">IFERROR(INDEX('Raw Period DMR Data'!N:N,MATCH(1,(B538='Raw Period DMR Data'!$A:$A)*(U538='Raw Period DMR Data'!M:M)*(X538='Raw Period DMR Data'!C:C),0),1), "N/A")</f>
        <v>N/A</v>
      </c>
      <c r="W538" s="28" t="s">
        <v>1463</v>
      </c>
      <c r="X538" s="28" t="s">
        <v>862</v>
      </c>
      <c r="Y538" s="28" t="s">
        <v>863</v>
      </c>
      <c r="Z538" s="61">
        <v>8070201006480</v>
      </c>
    </row>
    <row r="539" spans="1:29" x14ac:dyDescent="0.25">
      <c r="A539" s="61">
        <v>110000597444</v>
      </c>
      <c r="B539" s="28">
        <v>2019</v>
      </c>
      <c r="C539" s="68">
        <f t="shared" si="8"/>
        <v>43466</v>
      </c>
      <c r="D539" s="28" t="s">
        <v>150</v>
      </c>
      <c r="E539" s="28" t="s">
        <v>482</v>
      </c>
      <c r="F539" s="28" t="s">
        <v>302</v>
      </c>
      <c r="G539" s="28" t="s">
        <v>303</v>
      </c>
      <c r="H539" s="28">
        <v>70805</v>
      </c>
      <c r="I539" s="28">
        <v>30.498203</v>
      </c>
      <c r="J539" s="28">
        <v>-91.189148000000003</v>
      </c>
      <c r="K539" s="28" t="s">
        <v>483</v>
      </c>
      <c r="L539" s="61">
        <v>110000597444</v>
      </c>
      <c r="M539" s="28" t="s">
        <v>251</v>
      </c>
      <c r="N539" s="28">
        <v>2821</v>
      </c>
      <c r="O539" s="28" t="str">
        <f>IFERROR(VLOOKUP(N539, 'SIC &amp; NAICS Codes'!A:B, 2, FALSE), "")</f>
        <v>Plastics Materials, Synthetic and Resins, and Nonvulcanizable Elastomers</v>
      </c>
      <c r="S539" s="28">
        <v>9.3061224489795897</v>
      </c>
      <c r="T539" s="315">
        <f>_xlfn.MAXIFS('Raw Period DMR Data'!$O:$O,'Raw Period DMR Data'!$A:$A,'Raw Annual DMR Data'!B539,'Raw Period DMR Data'!$C:$C,X539)/S539</f>
        <v>0</v>
      </c>
      <c r="U539" s="28" t="str">
        <f>+IF(COUNTIFS('Raw Period DMR Data'!$A:$A,B539, 'Raw Period DMR Data'!C:C,'Raw Annual DMR Data'!X539, 'Raw Period DMR Data'!M:M, "&gt;0")&gt;0,_xlfn.MAXIFS('Raw Period DMR Data'!M:M,'Raw Period DMR Data'!$A:$A,'Raw Annual DMR Data'!B539,'Raw Period DMR Data'!C:C,'Raw Annual DMR Data'!X539), "N/A - Period DMR Data Not Available")</f>
        <v>N/A - Period DMR Data Not Available</v>
      </c>
      <c r="V539" s="28" t="str" cm="1">
        <f t="array" ref="V539">IFERROR(INDEX('Raw Period DMR Data'!N:N,MATCH(1,(B539='Raw Period DMR Data'!$A:$A)*(U539='Raw Period DMR Data'!M:M)*(X539='Raw Period DMR Data'!C:C),0),1), "N/A")</f>
        <v>N/A</v>
      </c>
      <c r="W539" s="28" t="s">
        <v>1463</v>
      </c>
      <c r="X539" s="28" t="s">
        <v>862</v>
      </c>
      <c r="Y539" s="28" t="s">
        <v>863</v>
      </c>
      <c r="Z539" s="61">
        <v>8070201006480</v>
      </c>
    </row>
    <row r="540" spans="1:29" x14ac:dyDescent="0.25">
      <c r="A540" s="61">
        <v>110000597444</v>
      </c>
      <c r="B540" s="28">
        <v>2020</v>
      </c>
      <c r="C540" s="68">
        <f t="shared" si="8"/>
        <v>43831</v>
      </c>
      <c r="D540" s="28" t="s">
        <v>150</v>
      </c>
      <c r="E540" s="28" t="s">
        <v>482</v>
      </c>
      <c r="F540" s="28" t="s">
        <v>302</v>
      </c>
      <c r="G540" s="28" t="s">
        <v>303</v>
      </c>
      <c r="H540" s="28">
        <v>70805</v>
      </c>
      <c r="I540" s="28">
        <v>30.498203</v>
      </c>
      <c r="J540" s="28">
        <v>-91.189148000000003</v>
      </c>
      <c r="K540" s="28" t="s">
        <v>483</v>
      </c>
      <c r="L540" s="61">
        <v>110000597444</v>
      </c>
      <c r="M540" s="28" t="s">
        <v>251</v>
      </c>
      <c r="N540" s="28">
        <v>2821</v>
      </c>
      <c r="O540" s="28" t="str">
        <f>IFERROR(VLOOKUP(N540, 'SIC &amp; NAICS Codes'!A:B, 2, FALSE), "")</f>
        <v>Plastics Materials, Synthetic and Resins, and Nonvulcanizable Elastomers</v>
      </c>
      <c r="S540" s="28">
        <v>16.4172335600907</v>
      </c>
      <c r="T540" s="315">
        <f>_xlfn.MAXIFS('Raw Period DMR Data'!$O:$O,'Raw Period DMR Data'!$A:$A,'Raw Annual DMR Data'!B540,'Raw Period DMR Data'!$C:$C,X540)/S540</f>
        <v>0</v>
      </c>
      <c r="U540" s="28" t="str">
        <f>+IF(COUNTIFS('Raw Period DMR Data'!$A:$A,B540, 'Raw Period DMR Data'!C:C,'Raw Annual DMR Data'!X540, 'Raw Period DMR Data'!M:M, "&gt;0")&gt;0,_xlfn.MAXIFS('Raw Period DMR Data'!M:M,'Raw Period DMR Data'!$A:$A,'Raw Annual DMR Data'!B540,'Raw Period DMR Data'!C:C,'Raw Annual DMR Data'!X540), "N/A - Period DMR Data Not Available")</f>
        <v>N/A - Period DMR Data Not Available</v>
      </c>
      <c r="V540" s="28" t="str" cm="1">
        <f t="array" ref="V540">IFERROR(INDEX('Raw Period DMR Data'!N:N,MATCH(1,(B540='Raw Period DMR Data'!$A:$A)*(U540='Raw Period DMR Data'!M:M)*(X540='Raw Period DMR Data'!C:C),0),1), "N/A")</f>
        <v>N/A</v>
      </c>
      <c r="W540" s="28" t="s">
        <v>1463</v>
      </c>
      <c r="X540" s="28" t="s">
        <v>862</v>
      </c>
      <c r="Y540" s="28" t="s">
        <v>863</v>
      </c>
      <c r="Z540" s="61">
        <v>8070201006480</v>
      </c>
    </row>
    <row r="541" spans="1:29" x14ac:dyDescent="0.25">
      <c r="A541" s="61">
        <v>110070548118</v>
      </c>
      <c r="B541" s="28">
        <v>2019</v>
      </c>
      <c r="C541" s="68">
        <f t="shared" si="8"/>
        <v>43466</v>
      </c>
      <c r="D541" s="28" t="s">
        <v>1124</v>
      </c>
      <c r="E541" s="28" t="s">
        <v>1786</v>
      </c>
      <c r="F541" s="28" t="s">
        <v>1125</v>
      </c>
      <c r="G541" s="28" t="s">
        <v>294</v>
      </c>
      <c r="H541" s="28">
        <v>22046</v>
      </c>
      <c r="I541" s="28">
        <v>38.890925000000003</v>
      </c>
      <c r="J541" s="28">
        <v>-77.184034999999994</v>
      </c>
      <c r="L541" s="61">
        <v>110070548118</v>
      </c>
      <c r="M541" s="28" t="s">
        <v>265</v>
      </c>
      <c r="N541" s="28">
        <v>1794</v>
      </c>
      <c r="O541" s="28" t="str">
        <f>IFERROR(VLOOKUP(N541, 'SIC &amp; NAICS Codes'!A:B, 2, FALSE), "")</f>
        <v>Excavation Work</v>
      </c>
      <c r="S541" s="28">
        <v>8.8746137999999905E-2</v>
      </c>
      <c r="T541" s="315">
        <f>_xlfn.MAXIFS('Raw Period DMR Data'!$O:$O,'Raw Period DMR Data'!$A:$A,'Raw Annual DMR Data'!B541,'Raw Period DMR Data'!$C:$C,X541)/S541</f>
        <v>0</v>
      </c>
      <c r="U541" s="28" t="str">
        <f>+IF(COUNTIFS('Raw Period DMR Data'!$A:$A,B541, 'Raw Period DMR Data'!C:C,'Raw Annual DMR Data'!X541, 'Raw Period DMR Data'!M:M, "&gt;0")&gt;0,_xlfn.MAXIFS('Raw Period DMR Data'!M:M,'Raw Period DMR Data'!$A:$A,'Raw Annual DMR Data'!B541,'Raw Period DMR Data'!C:C,'Raw Annual DMR Data'!X541), "N/A - Period DMR Data Not Available")</f>
        <v>N/A - Period DMR Data Not Available</v>
      </c>
      <c r="V541" s="28" t="str" cm="1">
        <f t="array" ref="V541">IFERROR(INDEX('Raw Period DMR Data'!N:N,MATCH(1,(B541='Raw Period DMR Data'!$A:$A)*(U541='Raw Period DMR Data'!M:M)*(X541='Raw Period DMR Data'!C:C),0),1), "N/A")</f>
        <v>N/A</v>
      </c>
      <c r="W541" s="28" t="s">
        <v>1463</v>
      </c>
      <c r="X541" s="28" t="s">
        <v>1787</v>
      </c>
      <c r="Y541" s="28" t="s">
        <v>1788</v>
      </c>
      <c r="AA541" s="28"/>
      <c r="AB541" s="28" t="s">
        <v>1465</v>
      </c>
      <c r="AC541" s="28" t="s">
        <v>1466</v>
      </c>
    </row>
    <row r="542" spans="1:29" x14ac:dyDescent="0.25">
      <c r="A542" s="61">
        <v>110070548118</v>
      </c>
      <c r="B542" s="28">
        <v>2019</v>
      </c>
      <c r="C542" s="68">
        <f t="shared" si="8"/>
        <v>43466</v>
      </c>
      <c r="D542" s="28" t="s">
        <v>1124</v>
      </c>
      <c r="E542" s="28" t="s">
        <v>1786</v>
      </c>
      <c r="F542" s="28" t="s">
        <v>1125</v>
      </c>
      <c r="G542" s="28" t="s">
        <v>294</v>
      </c>
      <c r="H542" s="28">
        <v>22046</v>
      </c>
      <c r="I542" s="28">
        <v>38.890925000000003</v>
      </c>
      <c r="J542" s="28">
        <v>-77.184034999999994</v>
      </c>
      <c r="L542" s="61">
        <v>110070548118</v>
      </c>
      <c r="M542" s="28" t="s">
        <v>265</v>
      </c>
      <c r="N542" s="28">
        <v>1794</v>
      </c>
      <c r="O542" s="28" t="str">
        <f>IFERROR(VLOOKUP(N542, 'SIC &amp; NAICS Codes'!A:B, 2, FALSE), "")</f>
        <v>Excavation Work</v>
      </c>
      <c r="S542" s="28">
        <v>0.10015109999999899</v>
      </c>
      <c r="T542" s="315">
        <f>_xlfn.MAXIFS('Raw Period DMR Data'!$O:$O,'Raw Period DMR Data'!$A:$A,'Raw Annual DMR Data'!B542,'Raw Period DMR Data'!$C:$C,X542)/S542</f>
        <v>0</v>
      </c>
      <c r="U542" s="28" t="str">
        <f>+IF(COUNTIFS('Raw Period DMR Data'!$A:$A,B542, 'Raw Period DMR Data'!C:C,'Raw Annual DMR Data'!X542, 'Raw Period DMR Data'!M:M, "&gt;0")&gt;0,_xlfn.MAXIFS('Raw Period DMR Data'!M:M,'Raw Period DMR Data'!$A:$A,'Raw Annual DMR Data'!B542,'Raw Period DMR Data'!C:C,'Raw Annual DMR Data'!X542), "N/A - Period DMR Data Not Available")</f>
        <v>N/A - Period DMR Data Not Available</v>
      </c>
      <c r="V542" s="28" t="str" cm="1">
        <f t="array" ref="V542">IFERROR(INDEX('Raw Period DMR Data'!N:N,MATCH(1,(B542='Raw Period DMR Data'!$A:$A)*(U542='Raw Period DMR Data'!M:M)*(X542='Raw Period DMR Data'!C:C),0),1), "N/A")</f>
        <v>N/A</v>
      </c>
      <c r="W542" s="28" t="s">
        <v>1463</v>
      </c>
      <c r="X542" s="28" t="s">
        <v>1787</v>
      </c>
      <c r="Y542" s="28" t="s">
        <v>1788</v>
      </c>
      <c r="AA542" s="28"/>
      <c r="AB542" s="28" t="s">
        <v>1465</v>
      </c>
      <c r="AC542" s="28" t="s">
        <v>1466</v>
      </c>
    </row>
    <row r="543" spans="1:29" x14ac:dyDescent="0.25">
      <c r="A543" s="61">
        <v>110070548118</v>
      </c>
      <c r="B543" s="28">
        <v>2020</v>
      </c>
      <c r="C543" s="68">
        <f t="shared" si="8"/>
        <v>43831</v>
      </c>
      <c r="D543" s="28" t="s">
        <v>1124</v>
      </c>
      <c r="E543" s="28" t="s">
        <v>1786</v>
      </c>
      <c r="F543" s="28" t="s">
        <v>1125</v>
      </c>
      <c r="G543" s="28" t="s">
        <v>294</v>
      </c>
      <c r="H543" s="28">
        <v>22046</v>
      </c>
      <c r="I543" s="28">
        <v>38.890925000000003</v>
      </c>
      <c r="J543" s="28">
        <v>-77.184034999999994</v>
      </c>
      <c r="L543" s="61">
        <v>110070548118</v>
      </c>
      <c r="M543" s="28" t="s">
        <v>265</v>
      </c>
      <c r="N543" s="28">
        <v>1794</v>
      </c>
      <c r="O543" s="28" t="str">
        <f>IFERROR(VLOOKUP(N543, 'SIC &amp; NAICS Codes'!A:B, 2, FALSE), "")</f>
        <v>Excavation Work</v>
      </c>
      <c r="S543" s="28">
        <v>3.3792479999999903E-2</v>
      </c>
      <c r="T543" s="315">
        <f>_xlfn.MAXIFS('Raw Period DMR Data'!$O:$O,'Raw Period DMR Data'!$A:$A,'Raw Annual DMR Data'!B543,'Raw Period DMR Data'!$C:$C,X543)/S543</f>
        <v>0</v>
      </c>
      <c r="U543" s="28" t="str">
        <f>+IF(COUNTIFS('Raw Period DMR Data'!$A:$A,B543, 'Raw Period DMR Data'!C:C,'Raw Annual DMR Data'!X543, 'Raw Period DMR Data'!M:M, "&gt;0")&gt;0,_xlfn.MAXIFS('Raw Period DMR Data'!M:M,'Raw Period DMR Data'!$A:$A,'Raw Annual DMR Data'!B543,'Raw Period DMR Data'!C:C,'Raw Annual DMR Data'!X543), "N/A - Period DMR Data Not Available")</f>
        <v>N/A - Period DMR Data Not Available</v>
      </c>
      <c r="V543" s="28" t="str" cm="1">
        <f t="array" ref="V543">IFERROR(INDEX('Raw Period DMR Data'!N:N,MATCH(1,(B543='Raw Period DMR Data'!$A:$A)*(U543='Raw Period DMR Data'!M:M)*(X543='Raw Period DMR Data'!C:C),0),1), "N/A")</f>
        <v>N/A</v>
      </c>
      <c r="W543" s="28" t="s">
        <v>1463</v>
      </c>
      <c r="X543" s="28" t="s">
        <v>1787</v>
      </c>
      <c r="Y543" s="28" t="s">
        <v>1788</v>
      </c>
      <c r="AA543" s="28"/>
      <c r="AB543" s="28" t="s">
        <v>1465</v>
      </c>
      <c r="AC543" s="28" t="s">
        <v>1466</v>
      </c>
    </row>
    <row r="544" spans="1:29" x14ac:dyDescent="0.25">
      <c r="A544" s="61">
        <v>110070548118</v>
      </c>
      <c r="B544" s="28">
        <v>2020</v>
      </c>
      <c r="C544" s="68">
        <f t="shared" si="8"/>
        <v>43831</v>
      </c>
      <c r="D544" s="28" t="s">
        <v>1124</v>
      </c>
      <c r="E544" s="28" t="s">
        <v>1786</v>
      </c>
      <c r="F544" s="28" t="s">
        <v>1125</v>
      </c>
      <c r="G544" s="28" t="s">
        <v>294</v>
      </c>
      <c r="H544" s="28">
        <v>22046</v>
      </c>
      <c r="I544" s="28">
        <v>38.890925000000003</v>
      </c>
      <c r="J544" s="28">
        <v>-77.184034999999994</v>
      </c>
      <c r="L544" s="61">
        <v>110070548118</v>
      </c>
      <c r="M544" s="28" t="s">
        <v>265</v>
      </c>
      <c r="N544" s="28">
        <v>1794</v>
      </c>
      <c r="O544" s="28" t="str">
        <f>IFERROR(VLOOKUP(N544, 'SIC &amp; NAICS Codes'!A:B, 2, FALSE), "")</f>
        <v>Excavation Work</v>
      </c>
      <c r="S544" s="28">
        <v>3.3792479999999903E-2</v>
      </c>
      <c r="T544" s="315">
        <f>_xlfn.MAXIFS('Raw Period DMR Data'!$O:$O,'Raw Period DMR Data'!$A:$A,'Raw Annual DMR Data'!B544,'Raw Period DMR Data'!$C:$C,X544)/S544</f>
        <v>0</v>
      </c>
      <c r="U544" s="28" t="str">
        <f>+IF(COUNTIFS('Raw Period DMR Data'!$A:$A,B544, 'Raw Period DMR Data'!C:C,'Raw Annual DMR Data'!X544, 'Raw Period DMR Data'!M:M, "&gt;0")&gt;0,_xlfn.MAXIFS('Raw Period DMR Data'!M:M,'Raw Period DMR Data'!$A:$A,'Raw Annual DMR Data'!B544,'Raw Period DMR Data'!C:C,'Raw Annual DMR Data'!X544), "N/A - Period DMR Data Not Available")</f>
        <v>N/A - Period DMR Data Not Available</v>
      </c>
      <c r="V544" s="28" t="str" cm="1">
        <f t="array" ref="V544">IFERROR(INDEX('Raw Period DMR Data'!N:N,MATCH(1,(B544='Raw Period DMR Data'!$A:$A)*(U544='Raw Period DMR Data'!M:M)*(X544='Raw Period DMR Data'!C:C),0),1), "N/A")</f>
        <v>N/A</v>
      </c>
      <c r="W544" s="28" t="s">
        <v>1463</v>
      </c>
      <c r="X544" s="28" t="s">
        <v>1787</v>
      </c>
      <c r="Y544" s="28" t="s">
        <v>1788</v>
      </c>
      <c r="AA544" s="28"/>
      <c r="AB544" s="28" t="s">
        <v>1465</v>
      </c>
      <c r="AC544" s="28" t="s">
        <v>1466</v>
      </c>
    </row>
    <row r="545" spans="1:29" x14ac:dyDescent="0.25">
      <c r="A545" s="61">
        <v>110070053140</v>
      </c>
      <c r="B545" s="28">
        <v>2019</v>
      </c>
      <c r="C545" s="68">
        <f t="shared" si="8"/>
        <v>43466</v>
      </c>
      <c r="D545" s="28" t="s">
        <v>1126</v>
      </c>
      <c r="E545" s="28" t="s">
        <v>1789</v>
      </c>
      <c r="F545" s="28" t="s">
        <v>1127</v>
      </c>
      <c r="G545" s="28" t="s">
        <v>1128</v>
      </c>
      <c r="H545" s="28">
        <v>80537</v>
      </c>
      <c r="I545" s="28">
        <v>40.393799999999999</v>
      </c>
      <c r="J545" s="28">
        <v>-105.074</v>
      </c>
      <c r="L545" s="61">
        <v>110070053140</v>
      </c>
      <c r="M545" s="28" t="s">
        <v>265</v>
      </c>
      <c r="N545" s="28">
        <v>7521</v>
      </c>
      <c r="O545" s="28" t="str">
        <f>IFERROR(VLOOKUP(N545, 'SIC &amp; NAICS Codes'!A:B, 2, FALSE), "")</f>
        <v>Automobile Parking</v>
      </c>
      <c r="S545" s="28">
        <v>5.0143680000000003E-2</v>
      </c>
      <c r="T545" s="315">
        <f>_xlfn.MAXIFS('Raw Period DMR Data'!$O:$O,'Raw Period DMR Data'!$A:$A,'Raw Annual DMR Data'!B545,'Raw Period DMR Data'!$C:$C,X545)/S545</f>
        <v>0</v>
      </c>
      <c r="U545" s="28" t="str">
        <f>+IF(COUNTIFS('Raw Period DMR Data'!$A:$A,B545, 'Raw Period DMR Data'!C:C,'Raw Annual DMR Data'!X545, 'Raw Period DMR Data'!M:M, "&gt;0")&gt;0,_xlfn.MAXIFS('Raw Period DMR Data'!M:M,'Raw Period DMR Data'!$A:$A,'Raw Annual DMR Data'!B545,'Raw Period DMR Data'!C:C,'Raw Annual DMR Data'!X545), "N/A - Period DMR Data Not Available")</f>
        <v>N/A - Period DMR Data Not Available</v>
      </c>
      <c r="V545" s="28" t="str" cm="1">
        <f t="array" ref="V545">IFERROR(INDEX('Raw Period DMR Data'!N:N,MATCH(1,(B545='Raw Period DMR Data'!$A:$A)*(U545='Raw Period DMR Data'!M:M)*(X545='Raw Period DMR Data'!C:C),0),1), "N/A")</f>
        <v>N/A</v>
      </c>
      <c r="W545" s="28" t="s">
        <v>1463</v>
      </c>
      <c r="X545" s="28" t="s">
        <v>1790</v>
      </c>
      <c r="Y545" s="28" t="s">
        <v>1791</v>
      </c>
      <c r="AA545" s="28"/>
      <c r="AB545" s="28" t="s">
        <v>1465</v>
      </c>
      <c r="AC545" s="28" t="s">
        <v>1466</v>
      </c>
    </row>
    <row r="546" spans="1:29" x14ac:dyDescent="0.25">
      <c r="A546" s="61">
        <v>110070053140</v>
      </c>
      <c r="B546" s="28">
        <v>2020</v>
      </c>
      <c r="C546" s="68">
        <f t="shared" si="8"/>
        <v>43831</v>
      </c>
      <c r="D546" s="28" t="s">
        <v>1126</v>
      </c>
      <c r="E546" s="28" t="s">
        <v>1789</v>
      </c>
      <c r="F546" s="28" t="s">
        <v>1127</v>
      </c>
      <c r="G546" s="28" t="s">
        <v>1128</v>
      </c>
      <c r="H546" s="28">
        <v>80537</v>
      </c>
      <c r="I546" s="28">
        <v>40.393799999999999</v>
      </c>
      <c r="J546" s="28">
        <v>-105.074</v>
      </c>
      <c r="L546" s="61">
        <v>110070053140</v>
      </c>
      <c r="M546" s="28" t="s">
        <v>265</v>
      </c>
      <c r="N546" s="28">
        <v>7521</v>
      </c>
      <c r="O546" s="28" t="str">
        <f>IFERROR(VLOOKUP(N546, 'SIC &amp; NAICS Codes'!A:B, 2, FALSE), "")</f>
        <v>Automobile Parking</v>
      </c>
      <c r="S546" s="28">
        <v>5.4609980000000002E-2</v>
      </c>
      <c r="T546" s="315">
        <f>_xlfn.MAXIFS('Raw Period DMR Data'!$O:$O,'Raw Period DMR Data'!$A:$A,'Raw Annual DMR Data'!B546,'Raw Period DMR Data'!$C:$C,X546)/S546</f>
        <v>0</v>
      </c>
      <c r="U546" s="28" t="str">
        <f>+IF(COUNTIFS('Raw Period DMR Data'!$A:$A,B546, 'Raw Period DMR Data'!C:C,'Raw Annual DMR Data'!X546, 'Raw Period DMR Data'!M:M, "&gt;0")&gt;0,_xlfn.MAXIFS('Raw Period DMR Data'!M:M,'Raw Period DMR Data'!$A:$A,'Raw Annual DMR Data'!B546,'Raw Period DMR Data'!C:C,'Raw Annual DMR Data'!X546), "N/A - Period DMR Data Not Available")</f>
        <v>N/A - Period DMR Data Not Available</v>
      </c>
      <c r="V546" s="28" t="str" cm="1">
        <f t="array" ref="V546">IFERROR(INDEX('Raw Period DMR Data'!N:N,MATCH(1,(B546='Raw Period DMR Data'!$A:$A)*(U546='Raw Period DMR Data'!M:M)*(X546='Raw Period DMR Data'!C:C),0),1), "N/A")</f>
        <v>N/A</v>
      </c>
      <c r="W546" s="28" t="s">
        <v>1463</v>
      </c>
      <c r="X546" s="28" t="s">
        <v>1790</v>
      </c>
      <c r="Y546" s="28" t="s">
        <v>1791</v>
      </c>
      <c r="AA546" s="28"/>
      <c r="AB546" s="28" t="s">
        <v>1465</v>
      </c>
      <c r="AC546" s="28" t="s">
        <v>1466</v>
      </c>
    </row>
    <row r="547" spans="1:29" x14ac:dyDescent="0.25">
      <c r="A547" s="61">
        <v>110037256867</v>
      </c>
      <c r="B547" s="28">
        <v>2017</v>
      </c>
      <c r="C547" s="68">
        <f t="shared" si="8"/>
        <v>42736</v>
      </c>
      <c r="D547" s="28" t="s">
        <v>1129</v>
      </c>
      <c r="E547" s="28" t="s">
        <v>1792</v>
      </c>
      <c r="F547" s="28" t="s">
        <v>1130</v>
      </c>
      <c r="G547" s="28" t="s">
        <v>366</v>
      </c>
      <c r="H547" s="28">
        <v>93420</v>
      </c>
      <c r="I547" s="28">
        <v>35.178620000000002</v>
      </c>
      <c r="J547" s="28">
        <v>-120.62067500000001</v>
      </c>
      <c r="L547" s="61">
        <v>110037256867</v>
      </c>
      <c r="M547" s="28" t="s">
        <v>6750</v>
      </c>
      <c r="N547" s="28">
        <v>2911</v>
      </c>
      <c r="O547" s="28" t="str">
        <f>IFERROR(VLOOKUP(N547, 'SIC &amp; NAICS Codes'!A:B, 2, FALSE), "")</f>
        <v>Petroleum Refining</v>
      </c>
      <c r="S547" s="28">
        <v>5.2898592250000001E-2</v>
      </c>
      <c r="T547" s="315">
        <f>_xlfn.MAXIFS('Raw Period DMR Data'!$O:$O,'Raw Period DMR Data'!$A:$A,'Raw Annual DMR Data'!B547,'Raw Period DMR Data'!$C:$C,X547)/S547</f>
        <v>0</v>
      </c>
      <c r="U547" s="28" t="str">
        <f>+IF(COUNTIFS('Raw Period DMR Data'!$A:$A,B547, 'Raw Period DMR Data'!C:C,'Raw Annual DMR Data'!X547, 'Raw Period DMR Data'!M:M, "&gt;0")&gt;0,_xlfn.MAXIFS('Raw Period DMR Data'!M:M,'Raw Period DMR Data'!$A:$A,'Raw Annual DMR Data'!B547,'Raw Period DMR Data'!C:C,'Raw Annual DMR Data'!X547), "N/A - Period DMR Data Not Available")</f>
        <v>N/A - Period DMR Data Not Available</v>
      </c>
      <c r="V547" s="28" t="str" cm="1">
        <f t="array" ref="V547">IFERROR(INDEX('Raw Period DMR Data'!N:N,MATCH(1,(B547='Raw Period DMR Data'!$A:$A)*(U547='Raw Period DMR Data'!M:M)*(X547='Raw Period DMR Data'!C:C),0),1), "N/A")</f>
        <v>N/A</v>
      </c>
      <c r="W547" s="28" t="s">
        <v>1463</v>
      </c>
      <c r="X547" s="28" t="s">
        <v>1793</v>
      </c>
      <c r="Y547" s="28" t="s">
        <v>1794</v>
      </c>
      <c r="Z547" s="28">
        <v>18060006000027</v>
      </c>
      <c r="AA547" s="28"/>
      <c r="AB547" s="28" t="s">
        <v>1465</v>
      </c>
      <c r="AC547" s="28" t="s">
        <v>1466</v>
      </c>
    </row>
    <row r="548" spans="1:29" x14ac:dyDescent="0.25">
      <c r="A548" s="61">
        <v>110037256867</v>
      </c>
      <c r="B548" s="28">
        <v>2018</v>
      </c>
      <c r="C548" s="68">
        <f t="shared" si="8"/>
        <v>43101</v>
      </c>
      <c r="D548" s="28" t="s">
        <v>1129</v>
      </c>
      <c r="E548" s="28" t="s">
        <v>1792</v>
      </c>
      <c r="F548" s="28" t="s">
        <v>1130</v>
      </c>
      <c r="G548" s="28" t="s">
        <v>366</v>
      </c>
      <c r="H548" s="28">
        <v>93420</v>
      </c>
      <c r="I548" s="28">
        <v>35.178620000000002</v>
      </c>
      <c r="J548" s="28">
        <v>-120.62067500000001</v>
      </c>
      <c r="L548" s="61">
        <v>110037256867</v>
      </c>
      <c r="M548" s="28" t="s">
        <v>6750</v>
      </c>
      <c r="N548" s="28">
        <v>2911</v>
      </c>
      <c r="O548" s="28" t="str">
        <f>IFERROR(VLOOKUP(N548, 'SIC &amp; NAICS Codes'!A:B, 2, FALSE), "")</f>
        <v>Petroleum Refining</v>
      </c>
      <c r="S548" s="28">
        <v>2.5715637273750001E-2</v>
      </c>
      <c r="T548" s="315">
        <f>_xlfn.MAXIFS('Raw Period DMR Data'!$O:$O,'Raw Period DMR Data'!$A:$A,'Raw Annual DMR Data'!B548,'Raw Period DMR Data'!$C:$C,X548)/S548</f>
        <v>0</v>
      </c>
      <c r="U548" s="28" t="str">
        <f>+IF(COUNTIFS('Raw Period DMR Data'!$A:$A,B548, 'Raw Period DMR Data'!C:C,'Raw Annual DMR Data'!X548, 'Raw Period DMR Data'!M:M, "&gt;0")&gt;0,_xlfn.MAXIFS('Raw Period DMR Data'!M:M,'Raw Period DMR Data'!$A:$A,'Raw Annual DMR Data'!B548,'Raw Period DMR Data'!C:C,'Raw Annual DMR Data'!X548), "N/A - Period DMR Data Not Available")</f>
        <v>N/A - Period DMR Data Not Available</v>
      </c>
      <c r="V548" s="28" t="str" cm="1">
        <f t="array" ref="V548">IFERROR(INDEX('Raw Period DMR Data'!N:N,MATCH(1,(B548='Raw Period DMR Data'!$A:$A)*(U548='Raw Period DMR Data'!M:M)*(X548='Raw Period DMR Data'!C:C),0),1), "N/A")</f>
        <v>N/A</v>
      </c>
      <c r="W548" s="28" t="s">
        <v>1463</v>
      </c>
      <c r="X548" s="28" t="s">
        <v>1793</v>
      </c>
      <c r="Y548" s="28" t="s">
        <v>1794</v>
      </c>
      <c r="Z548" s="28">
        <v>18060006000027</v>
      </c>
      <c r="AA548" s="28"/>
      <c r="AB548" s="28" t="s">
        <v>1465</v>
      </c>
      <c r="AC548" s="28" t="s">
        <v>1466</v>
      </c>
    </row>
    <row r="549" spans="1:29" x14ac:dyDescent="0.25">
      <c r="A549" s="61">
        <v>110037256867</v>
      </c>
      <c r="B549" s="28">
        <v>2019</v>
      </c>
      <c r="C549" s="68">
        <f t="shared" si="8"/>
        <v>43466</v>
      </c>
      <c r="D549" s="28" t="s">
        <v>1129</v>
      </c>
      <c r="E549" s="28" t="s">
        <v>1792</v>
      </c>
      <c r="F549" s="28" t="s">
        <v>1130</v>
      </c>
      <c r="G549" s="28" t="s">
        <v>366</v>
      </c>
      <c r="H549" s="28">
        <v>93420</v>
      </c>
      <c r="I549" s="28">
        <v>35.178620000000002</v>
      </c>
      <c r="J549" s="28">
        <v>-120.62067500000001</v>
      </c>
      <c r="L549" s="61">
        <v>110037256867</v>
      </c>
      <c r="M549" s="28" t="s">
        <v>6750</v>
      </c>
      <c r="N549" s="28">
        <v>2911</v>
      </c>
      <c r="O549" s="28" t="str">
        <f>IFERROR(VLOOKUP(N549, 'SIC &amp; NAICS Codes'!A:B, 2, FALSE), "")</f>
        <v>Petroleum Refining</v>
      </c>
      <c r="S549" s="28">
        <v>2.8633487150000001E-2</v>
      </c>
      <c r="T549" s="315">
        <f>_xlfn.MAXIFS('Raw Period DMR Data'!$O:$O,'Raw Period DMR Data'!$A:$A,'Raw Annual DMR Data'!B549,'Raw Period DMR Data'!$C:$C,X549)/S549</f>
        <v>0</v>
      </c>
      <c r="U549" s="28" t="str">
        <f>+IF(COUNTIFS('Raw Period DMR Data'!$A:$A,B549, 'Raw Period DMR Data'!C:C,'Raw Annual DMR Data'!X549, 'Raw Period DMR Data'!M:M, "&gt;0")&gt;0,_xlfn.MAXIFS('Raw Period DMR Data'!M:M,'Raw Period DMR Data'!$A:$A,'Raw Annual DMR Data'!B549,'Raw Period DMR Data'!C:C,'Raw Annual DMR Data'!X549), "N/A - Period DMR Data Not Available")</f>
        <v>N/A - Period DMR Data Not Available</v>
      </c>
      <c r="V549" s="28" t="str" cm="1">
        <f t="array" ref="V549">IFERROR(INDEX('Raw Period DMR Data'!N:N,MATCH(1,(B549='Raw Period DMR Data'!$A:$A)*(U549='Raw Period DMR Data'!M:M)*(X549='Raw Period DMR Data'!C:C),0),1), "N/A")</f>
        <v>N/A</v>
      </c>
      <c r="W549" s="28" t="s">
        <v>1463</v>
      </c>
      <c r="X549" s="28" t="s">
        <v>1793</v>
      </c>
      <c r="Y549" s="28" t="s">
        <v>1794</v>
      </c>
      <c r="Z549" s="28">
        <v>18060006000027</v>
      </c>
      <c r="AA549" s="28"/>
      <c r="AB549" s="28" t="s">
        <v>1465</v>
      </c>
      <c r="AC549" s="28" t="s">
        <v>1466</v>
      </c>
    </row>
    <row r="550" spans="1:29" x14ac:dyDescent="0.25">
      <c r="A550" s="61">
        <v>110037256867</v>
      </c>
      <c r="B550" s="28">
        <v>2020</v>
      </c>
      <c r="C550" s="68">
        <f t="shared" si="8"/>
        <v>43831</v>
      </c>
      <c r="D550" s="28" t="s">
        <v>1129</v>
      </c>
      <c r="E550" s="28" t="s">
        <v>1792</v>
      </c>
      <c r="F550" s="28" t="s">
        <v>1130</v>
      </c>
      <c r="G550" s="28" t="s">
        <v>366</v>
      </c>
      <c r="H550" s="28">
        <v>93420</v>
      </c>
      <c r="I550" s="28">
        <v>35.178620000000002</v>
      </c>
      <c r="J550" s="28">
        <v>-120.62067500000001</v>
      </c>
      <c r="L550" s="61">
        <v>110037256867</v>
      </c>
      <c r="M550" s="28" t="s">
        <v>6750</v>
      </c>
      <c r="N550" s="28">
        <v>2911</v>
      </c>
      <c r="O550" s="28" t="str">
        <f>IFERROR(VLOOKUP(N550, 'SIC &amp; NAICS Codes'!A:B, 2, FALSE), "")</f>
        <v>Petroleum Refining</v>
      </c>
      <c r="S550" s="28">
        <v>2.6821617112500001E-2</v>
      </c>
      <c r="T550" s="315">
        <f>_xlfn.MAXIFS('Raw Period DMR Data'!$O:$O,'Raw Period DMR Data'!$A:$A,'Raw Annual DMR Data'!B550,'Raw Period DMR Data'!$C:$C,X550)/S550</f>
        <v>0</v>
      </c>
      <c r="U550" s="28" t="str">
        <f>+IF(COUNTIFS('Raw Period DMR Data'!$A:$A,B550, 'Raw Period DMR Data'!C:C,'Raw Annual DMR Data'!X550, 'Raw Period DMR Data'!M:M, "&gt;0")&gt;0,_xlfn.MAXIFS('Raw Period DMR Data'!M:M,'Raw Period DMR Data'!$A:$A,'Raw Annual DMR Data'!B550,'Raw Period DMR Data'!C:C,'Raw Annual DMR Data'!X550), "N/A - Period DMR Data Not Available")</f>
        <v>N/A - Period DMR Data Not Available</v>
      </c>
      <c r="V550" s="28" t="str" cm="1">
        <f t="array" ref="V550">IFERROR(INDEX('Raw Period DMR Data'!N:N,MATCH(1,(B550='Raw Period DMR Data'!$A:$A)*(U550='Raw Period DMR Data'!M:M)*(X550='Raw Period DMR Data'!C:C),0),1), "N/A")</f>
        <v>N/A</v>
      </c>
      <c r="W550" s="28" t="s">
        <v>1463</v>
      </c>
      <c r="X550" s="28" t="s">
        <v>1793</v>
      </c>
      <c r="Y550" s="28" t="s">
        <v>1794</v>
      </c>
      <c r="Z550" s="28">
        <v>18060006000027</v>
      </c>
      <c r="AA550" s="28"/>
      <c r="AB550" s="28" t="s">
        <v>1465</v>
      </c>
      <c r="AC550" s="28" t="s">
        <v>1466</v>
      </c>
    </row>
    <row r="551" spans="1:29" x14ac:dyDescent="0.25">
      <c r="A551" s="61">
        <v>110043452019</v>
      </c>
      <c r="B551" s="28">
        <v>2015</v>
      </c>
      <c r="C551" s="68">
        <f t="shared" si="8"/>
        <v>42005</v>
      </c>
      <c r="D551" s="28" t="s">
        <v>1131</v>
      </c>
      <c r="E551" s="28" t="s">
        <v>1795</v>
      </c>
      <c r="F551" s="28" t="s">
        <v>962</v>
      </c>
      <c r="G551" s="28" t="s">
        <v>374</v>
      </c>
      <c r="H551" s="28">
        <v>85001</v>
      </c>
      <c r="I551" s="28">
        <v>33.460380000000001</v>
      </c>
      <c r="J551" s="28">
        <v>-112.00823</v>
      </c>
      <c r="L551" s="61">
        <v>110043452019</v>
      </c>
      <c r="M551" s="28" t="s">
        <v>265</v>
      </c>
      <c r="N551" s="28">
        <v>9999</v>
      </c>
      <c r="O551" s="28" t="str">
        <f>IFERROR(VLOOKUP(N551, 'SIC &amp; NAICS Codes'!A:B, 2, FALSE), "")</f>
        <v>Nonclassifiable Establishments</v>
      </c>
      <c r="S551" s="28">
        <v>0.25314609900000001</v>
      </c>
      <c r="T551" s="315">
        <f>_xlfn.MAXIFS('Raw Period DMR Data'!$O:$O,'Raw Period DMR Data'!$A:$A,'Raw Annual DMR Data'!B551,'Raw Period DMR Data'!$C:$C,X551)/S551</f>
        <v>0</v>
      </c>
      <c r="U551" s="28" t="str">
        <f>+IF(COUNTIFS('Raw Period DMR Data'!$A:$A,B551, 'Raw Period DMR Data'!C:C,'Raw Annual DMR Data'!X551, 'Raw Period DMR Data'!M:M, "&gt;0")&gt;0,_xlfn.MAXIFS('Raw Period DMR Data'!M:M,'Raw Period DMR Data'!$A:$A,'Raw Annual DMR Data'!B551,'Raw Period DMR Data'!C:C,'Raw Annual DMR Data'!X551), "N/A - Period DMR Data Not Available")</f>
        <v>N/A - Period DMR Data Not Available</v>
      </c>
      <c r="V551" s="28" t="str" cm="1">
        <f t="array" ref="V551">IFERROR(INDEX('Raw Period DMR Data'!N:N,MATCH(1,(B551='Raw Period DMR Data'!$A:$A)*(U551='Raw Period DMR Data'!M:M)*(X551='Raw Period DMR Data'!C:C),0),1), "N/A")</f>
        <v>N/A</v>
      </c>
      <c r="W551" s="28" t="s">
        <v>1463</v>
      </c>
      <c r="X551" s="28" t="s">
        <v>1796</v>
      </c>
      <c r="Z551" s="28">
        <v>15020015000457</v>
      </c>
      <c r="AA551" s="28"/>
      <c r="AB551" s="28" t="s">
        <v>1465</v>
      </c>
      <c r="AC551" s="28" t="s">
        <v>1466</v>
      </c>
    </row>
    <row r="552" spans="1:29" x14ac:dyDescent="0.25">
      <c r="A552" s="61">
        <v>110043452019</v>
      </c>
      <c r="B552" s="28">
        <v>2016</v>
      </c>
      <c r="C552" s="68">
        <f t="shared" si="8"/>
        <v>42370</v>
      </c>
      <c r="D552" s="28" t="s">
        <v>1131</v>
      </c>
      <c r="E552" s="28" t="s">
        <v>1795</v>
      </c>
      <c r="F552" s="28" t="s">
        <v>962</v>
      </c>
      <c r="G552" s="28" t="s">
        <v>374</v>
      </c>
      <c r="H552" s="28">
        <v>85001</v>
      </c>
      <c r="I552" s="28">
        <v>33.460380000000001</v>
      </c>
      <c r="J552" s="28">
        <v>-112.00823</v>
      </c>
      <c r="L552" s="61">
        <v>110043452019</v>
      </c>
      <c r="M552" s="28" t="s">
        <v>265</v>
      </c>
      <c r="N552" s="28">
        <v>9999</v>
      </c>
      <c r="O552" s="28" t="str">
        <f>IFERROR(VLOOKUP(N552, 'SIC &amp; NAICS Codes'!A:B, 2, FALSE), "")</f>
        <v>Nonclassifiable Establishments</v>
      </c>
      <c r="S552" s="28">
        <v>0.33233473349999998</v>
      </c>
      <c r="T552" s="315">
        <f>_xlfn.MAXIFS('Raw Period DMR Data'!$O:$O,'Raw Period DMR Data'!$A:$A,'Raw Annual DMR Data'!B552,'Raw Period DMR Data'!$C:$C,X552)/S552</f>
        <v>0</v>
      </c>
      <c r="U552" s="28" t="str">
        <f>+IF(COUNTIFS('Raw Period DMR Data'!$A:$A,B552, 'Raw Period DMR Data'!C:C,'Raw Annual DMR Data'!X552, 'Raw Period DMR Data'!M:M, "&gt;0")&gt;0,_xlfn.MAXIFS('Raw Period DMR Data'!M:M,'Raw Period DMR Data'!$A:$A,'Raw Annual DMR Data'!B552,'Raw Period DMR Data'!C:C,'Raw Annual DMR Data'!X552), "N/A - Period DMR Data Not Available")</f>
        <v>N/A - Period DMR Data Not Available</v>
      </c>
      <c r="V552" s="28" t="str" cm="1">
        <f t="array" ref="V552">IFERROR(INDEX('Raw Period DMR Data'!N:N,MATCH(1,(B552='Raw Period DMR Data'!$A:$A)*(U552='Raw Period DMR Data'!M:M)*(X552='Raw Period DMR Data'!C:C),0),1), "N/A")</f>
        <v>N/A</v>
      </c>
      <c r="W552" s="28" t="s">
        <v>1463</v>
      </c>
      <c r="X552" s="28" t="s">
        <v>1796</v>
      </c>
      <c r="Z552" s="28">
        <v>15020015000457</v>
      </c>
      <c r="AA552" s="28"/>
      <c r="AB552" s="28" t="s">
        <v>1465</v>
      </c>
      <c r="AC552" s="28" t="s">
        <v>1466</v>
      </c>
    </row>
    <row r="553" spans="1:29" x14ac:dyDescent="0.25">
      <c r="A553" s="61">
        <v>110007681758</v>
      </c>
      <c r="B553" s="28">
        <v>2019</v>
      </c>
      <c r="C553" s="68">
        <f t="shared" si="8"/>
        <v>43466</v>
      </c>
      <c r="D553" s="28" t="s">
        <v>1132</v>
      </c>
      <c r="E553" s="28" t="s">
        <v>1797</v>
      </c>
      <c r="F553" s="28" t="s">
        <v>1133</v>
      </c>
      <c r="G553" s="28" t="s">
        <v>999</v>
      </c>
      <c r="H553" s="28" t="s">
        <v>1798</v>
      </c>
      <c r="I553" s="28">
        <v>43.585476</v>
      </c>
      <c r="J553" s="28">
        <v>-71.750524999999996</v>
      </c>
      <c r="K553" s="28" t="s">
        <v>717</v>
      </c>
      <c r="L553" s="61">
        <v>110007681758</v>
      </c>
      <c r="M553" s="28" t="s">
        <v>265</v>
      </c>
      <c r="O553" s="28" t="str">
        <f>IFERROR(VLOOKUP(N553, 'SIC &amp; NAICS Codes'!A:B, 2, FALSE), "")</f>
        <v/>
      </c>
      <c r="S553" s="28">
        <v>6.1684901999999996E-3</v>
      </c>
      <c r="T553" s="315">
        <f>_xlfn.MAXIFS('Raw Period DMR Data'!$O:$O,'Raw Period DMR Data'!$A:$A,'Raw Annual DMR Data'!B553,'Raw Period DMR Data'!$C:$C,X553)/S553</f>
        <v>0</v>
      </c>
      <c r="U553" s="28" t="str">
        <f>+IF(COUNTIFS('Raw Period DMR Data'!$A:$A,B553, 'Raw Period DMR Data'!C:C,'Raw Annual DMR Data'!X553, 'Raw Period DMR Data'!M:M, "&gt;0")&gt;0,_xlfn.MAXIFS('Raw Period DMR Data'!M:M,'Raw Period DMR Data'!$A:$A,'Raw Annual DMR Data'!B553,'Raw Period DMR Data'!C:C,'Raw Annual DMR Data'!X553), "N/A - Period DMR Data Not Available")</f>
        <v>N/A - Period DMR Data Not Available</v>
      </c>
      <c r="V553" s="28" t="str" cm="1">
        <f t="array" ref="V553">IFERROR(INDEX('Raw Period DMR Data'!N:N,MATCH(1,(B553='Raw Period DMR Data'!$A:$A)*(U553='Raw Period DMR Data'!M:M)*(X553='Raw Period DMR Data'!C:C),0),1), "N/A")</f>
        <v>N/A</v>
      </c>
      <c r="W553" s="28" t="s">
        <v>1463</v>
      </c>
      <c r="X553" s="28" t="s">
        <v>1799</v>
      </c>
      <c r="Z553" s="28">
        <v>1070001000335</v>
      </c>
      <c r="AA553" s="28"/>
      <c r="AB553" s="28" t="s">
        <v>1465</v>
      </c>
      <c r="AC553" s="28" t="s">
        <v>1466</v>
      </c>
    </row>
    <row r="554" spans="1:29" x14ac:dyDescent="0.25">
      <c r="A554" s="61">
        <v>110007681758</v>
      </c>
      <c r="B554" s="28">
        <v>2020</v>
      </c>
      <c r="C554" s="68">
        <f t="shared" si="8"/>
        <v>43831</v>
      </c>
      <c r="D554" s="28" t="s">
        <v>1132</v>
      </c>
      <c r="E554" s="28" t="s">
        <v>1797</v>
      </c>
      <c r="F554" s="28" t="s">
        <v>1133</v>
      </c>
      <c r="G554" s="28" t="s">
        <v>999</v>
      </c>
      <c r="H554" s="28" t="s">
        <v>1798</v>
      </c>
      <c r="I554" s="28">
        <v>43.585476</v>
      </c>
      <c r="J554" s="28">
        <v>-71.750524999999996</v>
      </c>
      <c r="K554" s="28" t="s">
        <v>717</v>
      </c>
      <c r="L554" s="61">
        <v>110007681758</v>
      </c>
      <c r="M554" s="28" t="s">
        <v>265</v>
      </c>
      <c r="O554" s="28" t="str">
        <f>IFERROR(VLOOKUP(N554, 'SIC &amp; NAICS Codes'!A:B, 2, FALSE), "")</f>
        <v/>
      </c>
      <c r="S554" s="28">
        <v>5.844399575E-3</v>
      </c>
      <c r="T554" s="315">
        <f>_xlfn.MAXIFS('Raw Period DMR Data'!$O:$O,'Raw Period DMR Data'!$A:$A,'Raw Annual DMR Data'!B554,'Raw Period DMR Data'!$C:$C,X554)/S554</f>
        <v>0</v>
      </c>
      <c r="U554" s="28" t="str">
        <f>+IF(COUNTIFS('Raw Period DMR Data'!$A:$A,B554, 'Raw Period DMR Data'!C:C,'Raw Annual DMR Data'!X554, 'Raw Period DMR Data'!M:M, "&gt;0")&gt;0,_xlfn.MAXIFS('Raw Period DMR Data'!M:M,'Raw Period DMR Data'!$A:$A,'Raw Annual DMR Data'!B554,'Raw Period DMR Data'!C:C,'Raw Annual DMR Data'!X554), "N/A - Period DMR Data Not Available")</f>
        <v>N/A - Period DMR Data Not Available</v>
      </c>
      <c r="V554" s="28" t="str" cm="1">
        <f t="array" ref="V554">IFERROR(INDEX('Raw Period DMR Data'!N:N,MATCH(1,(B554='Raw Period DMR Data'!$A:$A)*(U554='Raw Period DMR Data'!M:M)*(X554='Raw Period DMR Data'!C:C),0),1), "N/A")</f>
        <v>N/A</v>
      </c>
      <c r="W554" s="28" t="s">
        <v>1463</v>
      </c>
      <c r="X554" s="28" t="s">
        <v>1799</v>
      </c>
      <c r="Z554" s="28">
        <v>1070001000335</v>
      </c>
      <c r="AA554" s="28"/>
      <c r="AB554" s="28" t="s">
        <v>1465</v>
      </c>
      <c r="AC554" s="28" t="s">
        <v>1466</v>
      </c>
    </row>
    <row r="555" spans="1:29" x14ac:dyDescent="0.25">
      <c r="A555" s="61">
        <v>110017432937</v>
      </c>
      <c r="B555" s="28">
        <v>2015</v>
      </c>
      <c r="C555" s="68">
        <f t="shared" si="8"/>
        <v>42005</v>
      </c>
      <c r="D555" s="28" t="s">
        <v>1134</v>
      </c>
      <c r="E555" s="28" t="s">
        <v>1800</v>
      </c>
      <c r="F555" s="28" t="s">
        <v>1135</v>
      </c>
      <c r="G555" s="28" t="s">
        <v>299</v>
      </c>
      <c r="H555" s="28">
        <v>72501</v>
      </c>
      <c r="I555" s="28">
        <v>35.722341999999998</v>
      </c>
      <c r="J555" s="28">
        <v>-91.524983000000006</v>
      </c>
      <c r="K555" s="28" t="s">
        <v>718</v>
      </c>
      <c r="L555" s="61">
        <v>110017432937</v>
      </c>
      <c r="M555" s="28" t="s">
        <v>265</v>
      </c>
      <c r="N555" s="28">
        <v>2865</v>
      </c>
      <c r="O555" s="28" t="str">
        <f>IFERROR(VLOOKUP(N555, 'SIC &amp; NAICS Codes'!A:B, 2, FALSE), "")</f>
        <v>Cyclic Organic Crudes and Intermediates, and Organic Dyes and Pigments (aromatics)</v>
      </c>
      <c r="S555" s="28">
        <v>7.0317460317460299</v>
      </c>
      <c r="T555" s="315">
        <f>_xlfn.MAXIFS('Raw Period DMR Data'!$O:$O,'Raw Period DMR Data'!$A:$A,'Raw Annual DMR Data'!B555,'Raw Period DMR Data'!$C:$C,X555)/S555</f>
        <v>0</v>
      </c>
      <c r="U555" s="28" t="str">
        <f>+IF(COUNTIFS('Raw Period DMR Data'!$A:$A,B555, 'Raw Period DMR Data'!C:C,'Raw Annual DMR Data'!X555, 'Raw Period DMR Data'!M:M, "&gt;0")&gt;0,_xlfn.MAXIFS('Raw Period DMR Data'!M:M,'Raw Period DMR Data'!$A:$A,'Raw Annual DMR Data'!B555,'Raw Period DMR Data'!C:C,'Raw Annual DMR Data'!X555), "N/A - Period DMR Data Not Available")</f>
        <v>N/A - Period DMR Data Not Available</v>
      </c>
      <c r="V555" s="28" t="str" cm="1">
        <f t="array" ref="V555">IFERROR(INDEX('Raw Period DMR Data'!N:N,MATCH(1,(B555='Raw Period DMR Data'!$A:$A)*(U555='Raw Period DMR Data'!M:M)*(X555='Raw Period DMR Data'!C:C),0),1), "N/A")</f>
        <v>N/A</v>
      </c>
      <c r="W555" s="28" t="s">
        <v>1463</v>
      </c>
      <c r="X555" s="28" t="s">
        <v>1801</v>
      </c>
      <c r="Y555" s="28" t="s">
        <v>1802</v>
      </c>
      <c r="Z555" s="28">
        <v>11010004002024</v>
      </c>
      <c r="AA555" s="28"/>
      <c r="AB555" s="28" t="s">
        <v>1465</v>
      </c>
      <c r="AC555" s="28" t="s">
        <v>1466</v>
      </c>
    </row>
    <row r="556" spans="1:29" x14ac:dyDescent="0.25">
      <c r="A556" s="61">
        <v>110017432937</v>
      </c>
      <c r="B556" s="28">
        <v>2016</v>
      </c>
      <c r="C556" s="68">
        <f t="shared" si="8"/>
        <v>42370</v>
      </c>
      <c r="D556" s="28" t="s">
        <v>1134</v>
      </c>
      <c r="E556" s="28" t="s">
        <v>1800</v>
      </c>
      <c r="F556" s="28" t="s">
        <v>1135</v>
      </c>
      <c r="G556" s="28" t="s">
        <v>299</v>
      </c>
      <c r="H556" s="28">
        <v>72501</v>
      </c>
      <c r="I556" s="28">
        <v>35.722341999999998</v>
      </c>
      <c r="J556" s="28">
        <v>-91.524983000000006</v>
      </c>
      <c r="K556" s="28" t="s">
        <v>718</v>
      </c>
      <c r="L556" s="61">
        <v>110017432937</v>
      </c>
      <c r="M556" s="28" t="s">
        <v>265</v>
      </c>
      <c r="N556" s="28">
        <v>2865</v>
      </c>
      <c r="O556" s="28" t="str">
        <f>IFERROR(VLOOKUP(N556, 'SIC &amp; NAICS Codes'!A:B, 2, FALSE), "")</f>
        <v>Cyclic Organic Crudes and Intermediates, and Organic Dyes and Pigments (aromatics)</v>
      </c>
      <c r="S556" s="28">
        <v>7.0249433106575898</v>
      </c>
      <c r="T556" s="315">
        <f>_xlfn.MAXIFS('Raw Period DMR Data'!$O:$O,'Raw Period DMR Data'!$A:$A,'Raw Annual DMR Data'!B556,'Raw Period DMR Data'!$C:$C,X556)/S556</f>
        <v>0</v>
      </c>
      <c r="U556" s="28" t="str">
        <f>+IF(COUNTIFS('Raw Period DMR Data'!$A:$A,B556, 'Raw Period DMR Data'!C:C,'Raw Annual DMR Data'!X556, 'Raw Period DMR Data'!M:M, "&gt;0")&gt;0,_xlfn.MAXIFS('Raw Period DMR Data'!M:M,'Raw Period DMR Data'!$A:$A,'Raw Annual DMR Data'!B556,'Raw Period DMR Data'!C:C,'Raw Annual DMR Data'!X556), "N/A - Period DMR Data Not Available")</f>
        <v>N/A - Period DMR Data Not Available</v>
      </c>
      <c r="V556" s="28" t="str" cm="1">
        <f t="array" ref="V556">IFERROR(INDEX('Raw Period DMR Data'!N:N,MATCH(1,(B556='Raw Period DMR Data'!$A:$A)*(U556='Raw Period DMR Data'!M:M)*(X556='Raw Period DMR Data'!C:C),0),1), "N/A")</f>
        <v>N/A</v>
      </c>
      <c r="W556" s="28" t="s">
        <v>1463</v>
      </c>
      <c r="X556" s="28" t="s">
        <v>1801</v>
      </c>
      <c r="Y556" s="28" t="s">
        <v>1802</v>
      </c>
      <c r="Z556" s="28">
        <v>11010004002024</v>
      </c>
      <c r="AA556" s="28"/>
      <c r="AB556" s="28" t="s">
        <v>1465</v>
      </c>
      <c r="AC556" s="28" t="s">
        <v>1466</v>
      </c>
    </row>
    <row r="557" spans="1:29" x14ac:dyDescent="0.25">
      <c r="A557" s="61">
        <v>110017432937</v>
      </c>
      <c r="B557" s="28">
        <v>2017</v>
      </c>
      <c r="C557" s="68">
        <f t="shared" si="8"/>
        <v>42736</v>
      </c>
      <c r="D557" s="28" t="s">
        <v>1134</v>
      </c>
      <c r="E557" s="28" t="s">
        <v>1800</v>
      </c>
      <c r="F557" s="28" t="s">
        <v>1135</v>
      </c>
      <c r="G557" s="28" t="s">
        <v>299</v>
      </c>
      <c r="H557" s="28">
        <v>72501</v>
      </c>
      <c r="I557" s="28">
        <v>35.722341999999998</v>
      </c>
      <c r="J557" s="28">
        <v>-91.524983000000006</v>
      </c>
      <c r="K557" s="28" t="s">
        <v>718</v>
      </c>
      <c r="L557" s="61">
        <v>110017432937</v>
      </c>
      <c r="M557" s="28" t="s">
        <v>265</v>
      </c>
      <c r="N557" s="28">
        <v>2865</v>
      </c>
      <c r="O557" s="28" t="str">
        <f>IFERROR(VLOOKUP(N557, 'SIC &amp; NAICS Codes'!A:B, 2, FALSE), "")</f>
        <v>Cyclic Organic Crudes and Intermediates, and Organic Dyes and Pigments (aromatics)</v>
      </c>
      <c r="S557" s="28">
        <v>5.3696145124716503</v>
      </c>
      <c r="T557" s="315">
        <f>_xlfn.MAXIFS('Raw Period DMR Data'!$O:$O,'Raw Period DMR Data'!$A:$A,'Raw Annual DMR Data'!B557,'Raw Period DMR Data'!$C:$C,X557)/S557</f>
        <v>0</v>
      </c>
      <c r="U557" s="28" t="str">
        <f>+IF(COUNTIFS('Raw Period DMR Data'!$A:$A,B557, 'Raw Period DMR Data'!C:C,'Raw Annual DMR Data'!X557, 'Raw Period DMR Data'!M:M, "&gt;0")&gt;0,_xlfn.MAXIFS('Raw Period DMR Data'!M:M,'Raw Period DMR Data'!$A:$A,'Raw Annual DMR Data'!B557,'Raw Period DMR Data'!C:C,'Raw Annual DMR Data'!X557), "N/A - Period DMR Data Not Available")</f>
        <v>N/A - Period DMR Data Not Available</v>
      </c>
      <c r="V557" s="28" t="str" cm="1">
        <f t="array" ref="V557">IFERROR(INDEX('Raw Period DMR Data'!N:N,MATCH(1,(B557='Raw Period DMR Data'!$A:$A)*(U557='Raw Period DMR Data'!M:M)*(X557='Raw Period DMR Data'!C:C),0),1), "N/A")</f>
        <v>N/A</v>
      </c>
      <c r="W557" s="28" t="s">
        <v>1463</v>
      </c>
      <c r="X557" s="28" t="s">
        <v>1801</v>
      </c>
      <c r="Y557" s="28" t="s">
        <v>1802</v>
      </c>
      <c r="Z557" s="28">
        <v>11010004002024</v>
      </c>
      <c r="AA557" s="28"/>
      <c r="AB557" s="28" t="s">
        <v>1465</v>
      </c>
      <c r="AC557" s="28" t="s">
        <v>1466</v>
      </c>
    </row>
    <row r="558" spans="1:29" x14ac:dyDescent="0.25">
      <c r="A558" s="61">
        <v>110017432937</v>
      </c>
      <c r="B558" s="28">
        <v>2018</v>
      </c>
      <c r="C558" s="68">
        <f t="shared" si="8"/>
        <v>43101</v>
      </c>
      <c r="D558" s="28" t="s">
        <v>1134</v>
      </c>
      <c r="E558" s="28" t="s">
        <v>1800</v>
      </c>
      <c r="F558" s="28" t="s">
        <v>1135</v>
      </c>
      <c r="G558" s="28" t="s">
        <v>299</v>
      </c>
      <c r="H558" s="28">
        <v>72501</v>
      </c>
      <c r="I558" s="28">
        <v>35.722341999999998</v>
      </c>
      <c r="J558" s="28">
        <v>-91.524983000000006</v>
      </c>
      <c r="K558" s="28" t="s">
        <v>718</v>
      </c>
      <c r="L558" s="61">
        <v>110017432937</v>
      </c>
      <c r="M558" s="28" t="s">
        <v>265</v>
      </c>
      <c r="N558" s="28">
        <v>2865</v>
      </c>
      <c r="O558" s="28" t="str">
        <f>IFERROR(VLOOKUP(N558, 'SIC &amp; NAICS Codes'!A:B, 2, FALSE), "")</f>
        <v>Cyclic Organic Crudes and Intermediates, and Organic Dyes and Pigments (aromatics)</v>
      </c>
      <c r="S558" s="302">
        <v>4.55555555555555</v>
      </c>
      <c r="T558" s="315">
        <f>_xlfn.MAXIFS('Raw Period DMR Data'!$O:$O,'Raw Period DMR Data'!$A:$A,'Raw Annual DMR Data'!B558,'Raw Period DMR Data'!$C:$C,X558)/S558</f>
        <v>0</v>
      </c>
      <c r="U558" s="28" t="str">
        <f>+IF(COUNTIFS('Raw Period DMR Data'!$A:$A,B558, 'Raw Period DMR Data'!C:C,'Raw Annual DMR Data'!X558, 'Raw Period DMR Data'!M:M, "&gt;0")&gt;0,_xlfn.MAXIFS('Raw Period DMR Data'!M:M,'Raw Period DMR Data'!$A:$A,'Raw Annual DMR Data'!B558,'Raw Period DMR Data'!C:C,'Raw Annual DMR Data'!X558), "N/A - Period DMR Data Not Available")</f>
        <v>N/A - Period DMR Data Not Available</v>
      </c>
      <c r="V558" s="28" t="str" cm="1">
        <f t="array" ref="V558">IFERROR(INDEX('Raw Period DMR Data'!N:N,MATCH(1,(B558='Raw Period DMR Data'!$A:$A)*(U558='Raw Period DMR Data'!M:M)*(X558='Raw Period DMR Data'!C:C),0),1), "N/A")</f>
        <v>N/A</v>
      </c>
      <c r="W558" s="28" t="s">
        <v>1463</v>
      </c>
      <c r="X558" s="28" t="s">
        <v>1801</v>
      </c>
      <c r="Y558" s="28" t="s">
        <v>1802</v>
      </c>
      <c r="Z558" s="28">
        <v>11010004002024</v>
      </c>
      <c r="AA558" s="28"/>
      <c r="AB558" s="28" t="s">
        <v>1465</v>
      </c>
      <c r="AC558" s="28" t="s">
        <v>1466</v>
      </c>
    </row>
    <row r="559" spans="1:29" x14ac:dyDescent="0.25">
      <c r="A559" s="61">
        <v>110017432937</v>
      </c>
      <c r="B559" s="28">
        <v>2019</v>
      </c>
      <c r="C559" s="68">
        <f t="shared" si="8"/>
        <v>43466</v>
      </c>
      <c r="D559" s="28" t="s">
        <v>1134</v>
      </c>
      <c r="E559" s="28" t="s">
        <v>1800</v>
      </c>
      <c r="F559" s="28" t="s">
        <v>1135</v>
      </c>
      <c r="G559" s="28" t="s">
        <v>299</v>
      </c>
      <c r="H559" s="28">
        <v>72501</v>
      </c>
      <c r="I559" s="28">
        <v>35.722341999999998</v>
      </c>
      <c r="J559" s="28">
        <v>-91.524983000000006</v>
      </c>
      <c r="K559" s="28" t="s">
        <v>718</v>
      </c>
      <c r="L559" s="61">
        <v>110017432937</v>
      </c>
      <c r="M559" s="28" t="s">
        <v>265</v>
      </c>
      <c r="N559" s="28">
        <v>2865</v>
      </c>
      <c r="O559" s="28" t="str">
        <f>IFERROR(VLOOKUP(N559, 'SIC &amp; NAICS Codes'!A:B, 2, FALSE), "")</f>
        <v>Cyclic Organic Crudes and Intermediates, and Organic Dyes and Pigments (aromatics)</v>
      </c>
      <c r="S559" s="28">
        <v>5.8004535147392202</v>
      </c>
      <c r="T559" s="315">
        <f>_xlfn.MAXIFS('Raw Period DMR Data'!$O:$O,'Raw Period DMR Data'!$A:$A,'Raw Annual DMR Data'!B559,'Raw Period DMR Data'!$C:$C,X559)/S559</f>
        <v>0</v>
      </c>
      <c r="U559" s="28" t="str">
        <f>+IF(COUNTIFS('Raw Period DMR Data'!$A:$A,B559, 'Raw Period DMR Data'!C:C,'Raw Annual DMR Data'!X559, 'Raw Period DMR Data'!M:M, "&gt;0")&gt;0,_xlfn.MAXIFS('Raw Period DMR Data'!M:M,'Raw Period DMR Data'!$A:$A,'Raw Annual DMR Data'!B559,'Raw Period DMR Data'!C:C,'Raw Annual DMR Data'!X559), "N/A - Period DMR Data Not Available")</f>
        <v>N/A - Period DMR Data Not Available</v>
      </c>
      <c r="V559" s="28" t="str" cm="1">
        <f t="array" ref="V559">IFERROR(INDEX('Raw Period DMR Data'!N:N,MATCH(1,(B559='Raw Period DMR Data'!$A:$A)*(U559='Raw Period DMR Data'!M:M)*(X559='Raw Period DMR Data'!C:C),0),1), "N/A")</f>
        <v>N/A</v>
      </c>
      <c r="W559" s="28" t="s">
        <v>1463</v>
      </c>
      <c r="X559" s="28" t="s">
        <v>1801</v>
      </c>
      <c r="Y559" s="28" t="s">
        <v>1802</v>
      </c>
      <c r="Z559" s="28">
        <v>11010004002024</v>
      </c>
      <c r="AA559" s="28"/>
      <c r="AB559" s="28" t="s">
        <v>1465</v>
      </c>
      <c r="AC559" s="28" t="s">
        <v>1466</v>
      </c>
    </row>
    <row r="560" spans="1:29" x14ac:dyDescent="0.25">
      <c r="A560" s="61">
        <v>110017432937</v>
      </c>
      <c r="B560" s="28">
        <v>2020</v>
      </c>
      <c r="C560" s="68">
        <f t="shared" si="8"/>
        <v>43831</v>
      </c>
      <c r="D560" s="28" t="s">
        <v>1134</v>
      </c>
      <c r="E560" s="28" t="s">
        <v>1800</v>
      </c>
      <c r="F560" s="28" t="s">
        <v>1135</v>
      </c>
      <c r="G560" s="28" t="s">
        <v>299</v>
      </c>
      <c r="H560" s="28">
        <v>72501</v>
      </c>
      <c r="I560" s="28">
        <v>35.722341999999998</v>
      </c>
      <c r="J560" s="28">
        <v>-91.524983000000006</v>
      </c>
      <c r="K560" s="28" t="s">
        <v>718</v>
      </c>
      <c r="L560" s="61">
        <v>110017432937</v>
      </c>
      <c r="M560" s="28" t="s">
        <v>265</v>
      </c>
      <c r="N560" s="28">
        <v>2865</v>
      </c>
      <c r="O560" s="28" t="str">
        <f>IFERROR(VLOOKUP(N560, 'SIC &amp; NAICS Codes'!A:B, 2, FALSE), "")</f>
        <v>Cyclic Organic Crudes and Intermediates, and Organic Dyes and Pigments (aromatics)</v>
      </c>
      <c r="S560" s="28">
        <v>4.9523809523809499</v>
      </c>
      <c r="T560" s="315">
        <f>_xlfn.MAXIFS('Raw Period DMR Data'!$O:$O,'Raw Period DMR Data'!$A:$A,'Raw Annual DMR Data'!B560,'Raw Period DMR Data'!$C:$C,X560)/S560</f>
        <v>0</v>
      </c>
      <c r="U560" s="28" t="str">
        <f>+IF(COUNTIFS('Raw Period DMR Data'!$A:$A,B560, 'Raw Period DMR Data'!C:C,'Raw Annual DMR Data'!X560, 'Raw Period DMR Data'!M:M, "&gt;0")&gt;0,_xlfn.MAXIFS('Raw Period DMR Data'!M:M,'Raw Period DMR Data'!$A:$A,'Raw Annual DMR Data'!B560,'Raw Period DMR Data'!C:C,'Raw Annual DMR Data'!X560), "N/A - Period DMR Data Not Available")</f>
        <v>N/A - Period DMR Data Not Available</v>
      </c>
      <c r="V560" s="28" t="str" cm="1">
        <f t="array" ref="V560">IFERROR(INDEX('Raw Period DMR Data'!N:N,MATCH(1,(B560='Raw Period DMR Data'!$A:$A)*(U560='Raw Period DMR Data'!M:M)*(X560='Raw Period DMR Data'!C:C),0),1), "N/A")</f>
        <v>N/A</v>
      </c>
      <c r="W560" s="28" t="s">
        <v>1463</v>
      </c>
      <c r="X560" s="28" t="s">
        <v>1801</v>
      </c>
      <c r="Y560" s="28" t="s">
        <v>1802</v>
      </c>
      <c r="Z560" s="28">
        <v>11010004002024</v>
      </c>
      <c r="AA560" s="28"/>
      <c r="AB560" s="28" t="s">
        <v>1465</v>
      </c>
      <c r="AC560" s="28" t="s">
        <v>1466</v>
      </c>
    </row>
    <row r="561" spans="1:29" x14ac:dyDescent="0.25">
      <c r="A561" s="61">
        <v>110000593206</v>
      </c>
      <c r="B561" s="28">
        <v>2015</v>
      </c>
      <c r="C561" s="68">
        <f t="shared" si="8"/>
        <v>42005</v>
      </c>
      <c r="D561" s="28" t="s">
        <v>1136</v>
      </c>
      <c r="E561" s="28" t="s">
        <v>1803</v>
      </c>
      <c r="F561" s="28" t="s">
        <v>1137</v>
      </c>
      <c r="G561" s="28" t="s">
        <v>427</v>
      </c>
      <c r="H561" s="28">
        <v>49022</v>
      </c>
      <c r="I561" s="28">
        <v>42.076250000000002</v>
      </c>
      <c r="J561" s="28">
        <v>-86.43656</v>
      </c>
      <c r="K561" s="28" t="s">
        <v>719</v>
      </c>
      <c r="L561" s="61">
        <v>110000593206</v>
      </c>
      <c r="M561" s="28" t="s">
        <v>265</v>
      </c>
      <c r="N561" s="28">
        <v>3561</v>
      </c>
      <c r="O561" s="28" t="str">
        <f>IFERROR(VLOOKUP(N561, 'SIC &amp; NAICS Codes'!A:B, 2, FALSE), "")</f>
        <v>Pumps and Pumping Equipment</v>
      </c>
      <c r="S561" s="28">
        <v>4.0128570000000002E-2</v>
      </c>
      <c r="T561" s="315">
        <f>_xlfn.MAXIFS('Raw Period DMR Data'!$O:$O,'Raw Period DMR Data'!$A:$A,'Raw Annual DMR Data'!B561,'Raw Period DMR Data'!$C:$C,X561)/S561</f>
        <v>0</v>
      </c>
      <c r="U561" s="28" t="str">
        <f>+IF(COUNTIFS('Raw Period DMR Data'!$A:$A,B561, 'Raw Period DMR Data'!C:C,'Raw Annual DMR Data'!X561, 'Raw Period DMR Data'!M:M, "&gt;0")&gt;0,_xlfn.MAXIFS('Raw Period DMR Data'!M:M,'Raw Period DMR Data'!$A:$A,'Raw Annual DMR Data'!B561,'Raw Period DMR Data'!C:C,'Raw Annual DMR Data'!X561), "N/A - Period DMR Data Not Available")</f>
        <v>N/A - Period DMR Data Not Available</v>
      </c>
      <c r="V561" s="28" t="str" cm="1">
        <f t="array" ref="V561">IFERROR(INDEX('Raw Period DMR Data'!N:N,MATCH(1,(B561='Raw Period DMR Data'!$A:$A)*(U561='Raw Period DMR Data'!M:M)*(X561='Raw Period DMR Data'!C:C),0),1), "N/A")</f>
        <v>N/A</v>
      </c>
      <c r="W561" s="28" t="s">
        <v>1463</v>
      </c>
      <c r="X561" s="28" t="s">
        <v>1804</v>
      </c>
      <c r="Y561" s="28" t="s">
        <v>1805</v>
      </c>
      <c r="Z561" s="28">
        <v>4050001000919</v>
      </c>
      <c r="AA561" s="28"/>
      <c r="AB561" s="28" t="s">
        <v>1465</v>
      </c>
      <c r="AC561" s="28" t="s">
        <v>1466</v>
      </c>
    </row>
    <row r="562" spans="1:29" x14ac:dyDescent="0.25">
      <c r="A562" s="61">
        <v>110000593206</v>
      </c>
      <c r="B562" s="28">
        <v>2016</v>
      </c>
      <c r="C562" s="68">
        <f t="shared" si="8"/>
        <v>42370</v>
      </c>
      <c r="D562" s="28" t="s">
        <v>1136</v>
      </c>
      <c r="E562" s="28" t="s">
        <v>1803</v>
      </c>
      <c r="F562" s="28" t="s">
        <v>1137</v>
      </c>
      <c r="G562" s="28" t="s">
        <v>427</v>
      </c>
      <c r="H562" s="28">
        <v>49022</v>
      </c>
      <c r="I562" s="28">
        <v>42.076250000000002</v>
      </c>
      <c r="J562" s="28">
        <v>-86.43656</v>
      </c>
      <c r="K562" s="28" t="s">
        <v>719</v>
      </c>
      <c r="L562" s="61">
        <v>110000593206</v>
      </c>
      <c r="M562" s="28" t="s">
        <v>265</v>
      </c>
      <c r="N562" s="28">
        <v>3561</v>
      </c>
      <c r="O562" s="28" t="str">
        <f>IFERROR(VLOOKUP(N562, 'SIC &amp; NAICS Codes'!A:B, 2, FALSE), "")</f>
        <v>Pumps and Pumping Equipment</v>
      </c>
      <c r="S562" s="28">
        <v>5.6105055000000001E-2</v>
      </c>
      <c r="T562" s="315">
        <f>_xlfn.MAXIFS('Raw Period DMR Data'!$O:$O,'Raw Period DMR Data'!$A:$A,'Raw Annual DMR Data'!B562,'Raw Period DMR Data'!$C:$C,X562)/S562</f>
        <v>0</v>
      </c>
      <c r="U562" s="28" t="str">
        <f>+IF(COUNTIFS('Raw Period DMR Data'!$A:$A,B562, 'Raw Period DMR Data'!C:C,'Raw Annual DMR Data'!X562, 'Raw Period DMR Data'!M:M, "&gt;0")&gt;0,_xlfn.MAXIFS('Raw Period DMR Data'!M:M,'Raw Period DMR Data'!$A:$A,'Raw Annual DMR Data'!B562,'Raw Period DMR Data'!C:C,'Raw Annual DMR Data'!X562), "N/A - Period DMR Data Not Available")</f>
        <v>N/A - Period DMR Data Not Available</v>
      </c>
      <c r="V562" s="28" t="str" cm="1">
        <f t="array" ref="V562">IFERROR(INDEX('Raw Period DMR Data'!N:N,MATCH(1,(B562='Raw Period DMR Data'!$A:$A)*(U562='Raw Period DMR Data'!M:M)*(X562='Raw Period DMR Data'!C:C),0),1), "N/A")</f>
        <v>N/A</v>
      </c>
      <c r="W562" s="28" t="s">
        <v>1463</v>
      </c>
      <c r="X562" s="28" t="s">
        <v>1804</v>
      </c>
      <c r="Y562" s="28" t="s">
        <v>1805</v>
      </c>
      <c r="Z562" s="28">
        <v>4050001000919</v>
      </c>
      <c r="AA562" s="28"/>
      <c r="AB562" s="28" t="s">
        <v>1465</v>
      </c>
      <c r="AC562" s="28" t="s">
        <v>1466</v>
      </c>
    </row>
    <row r="563" spans="1:29" x14ac:dyDescent="0.25">
      <c r="A563" s="61">
        <v>110000593206</v>
      </c>
      <c r="B563" s="28">
        <v>2017</v>
      </c>
      <c r="C563" s="68">
        <f t="shared" si="8"/>
        <v>42736</v>
      </c>
      <c r="D563" s="28" t="s">
        <v>1136</v>
      </c>
      <c r="E563" s="28" t="s">
        <v>1803</v>
      </c>
      <c r="F563" s="28" t="s">
        <v>1137</v>
      </c>
      <c r="G563" s="28" t="s">
        <v>427</v>
      </c>
      <c r="H563" s="28">
        <v>49022</v>
      </c>
      <c r="I563" s="28">
        <v>42.076250000000002</v>
      </c>
      <c r="J563" s="28">
        <v>-86.43656</v>
      </c>
      <c r="K563" s="28" t="s">
        <v>719</v>
      </c>
      <c r="L563" s="61">
        <v>110000593206</v>
      </c>
      <c r="M563" s="28" t="s">
        <v>265</v>
      </c>
      <c r="N563" s="28">
        <v>3561</v>
      </c>
      <c r="O563" s="28" t="str">
        <f>IFERROR(VLOOKUP(N563, 'SIC &amp; NAICS Codes'!A:B, 2, FALSE), "")</f>
        <v>Pumps and Pumping Equipment</v>
      </c>
      <c r="S563" s="28">
        <v>3.6500647499999997E-2</v>
      </c>
      <c r="T563" s="315">
        <f>_xlfn.MAXIFS('Raw Period DMR Data'!$O:$O,'Raw Period DMR Data'!$A:$A,'Raw Annual DMR Data'!B563,'Raw Period DMR Data'!$C:$C,X563)/S563</f>
        <v>0</v>
      </c>
      <c r="U563" s="28" t="str">
        <f>+IF(COUNTIFS('Raw Period DMR Data'!$A:$A,B563, 'Raw Period DMR Data'!C:C,'Raw Annual DMR Data'!X563, 'Raw Period DMR Data'!M:M, "&gt;0")&gt;0,_xlfn.MAXIFS('Raw Period DMR Data'!M:M,'Raw Period DMR Data'!$A:$A,'Raw Annual DMR Data'!B563,'Raw Period DMR Data'!C:C,'Raw Annual DMR Data'!X563), "N/A - Period DMR Data Not Available")</f>
        <v>N/A - Period DMR Data Not Available</v>
      </c>
      <c r="V563" s="28" t="str" cm="1">
        <f t="array" ref="V563">IFERROR(INDEX('Raw Period DMR Data'!N:N,MATCH(1,(B563='Raw Period DMR Data'!$A:$A)*(U563='Raw Period DMR Data'!M:M)*(X563='Raw Period DMR Data'!C:C),0),1), "N/A")</f>
        <v>N/A</v>
      </c>
      <c r="W563" s="28" t="s">
        <v>1463</v>
      </c>
      <c r="X563" s="28" t="s">
        <v>1804</v>
      </c>
      <c r="Y563" s="28" t="s">
        <v>1805</v>
      </c>
      <c r="Z563" s="28">
        <v>4050001000919</v>
      </c>
      <c r="AA563" s="28"/>
      <c r="AB563" s="28" t="s">
        <v>1465</v>
      </c>
      <c r="AC563" s="28" t="s">
        <v>1466</v>
      </c>
    </row>
    <row r="564" spans="1:29" x14ac:dyDescent="0.25">
      <c r="A564" s="61">
        <v>110000593206</v>
      </c>
      <c r="B564" s="28">
        <v>2018</v>
      </c>
      <c r="C564" s="68">
        <f t="shared" si="8"/>
        <v>43101</v>
      </c>
      <c r="D564" s="28" t="s">
        <v>1136</v>
      </c>
      <c r="E564" s="28" t="s">
        <v>1803</v>
      </c>
      <c r="F564" s="28" t="s">
        <v>1137</v>
      </c>
      <c r="G564" s="28" t="s">
        <v>427</v>
      </c>
      <c r="H564" s="28">
        <v>49022</v>
      </c>
      <c r="I564" s="28">
        <v>42.076250000000002</v>
      </c>
      <c r="J564" s="28">
        <v>-86.43656</v>
      </c>
      <c r="K564" s="28" t="s">
        <v>719</v>
      </c>
      <c r="L564" s="61">
        <v>110000593206</v>
      </c>
      <c r="M564" s="28" t="s">
        <v>265</v>
      </c>
      <c r="N564" s="28">
        <v>3561</v>
      </c>
      <c r="O564" s="28" t="str">
        <f>IFERROR(VLOOKUP(N564, 'SIC &amp; NAICS Codes'!A:B, 2, FALSE), "")</f>
        <v>Pumps and Pumping Equipment</v>
      </c>
      <c r="S564" s="28">
        <v>1.7600250000000001E-5</v>
      </c>
      <c r="T564" s="315">
        <f>_xlfn.MAXIFS('Raw Period DMR Data'!$O:$O,'Raw Period DMR Data'!$A:$A,'Raw Annual DMR Data'!B564,'Raw Period DMR Data'!$C:$C,X564)/S564</f>
        <v>0</v>
      </c>
      <c r="U564" s="28" t="str">
        <f>+IF(COUNTIFS('Raw Period DMR Data'!$A:$A,B564, 'Raw Period DMR Data'!C:C,'Raw Annual DMR Data'!X564, 'Raw Period DMR Data'!M:M, "&gt;0")&gt;0,_xlfn.MAXIFS('Raw Period DMR Data'!M:M,'Raw Period DMR Data'!$A:$A,'Raw Annual DMR Data'!B564,'Raw Period DMR Data'!C:C,'Raw Annual DMR Data'!X564), "N/A - Period DMR Data Not Available")</f>
        <v>N/A - Period DMR Data Not Available</v>
      </c>
      <c r="V564" s="28" t="str" cm="1">
        <f t="array" ref="V564">IFERROR(INDEX('Raw Period DMR Data'!N:N,MATCH(1,(B564='Raw Period DMR Data'!$A:$A)*(U564='Raw Period DMR Data'!M:M)*(X564='Raw Period DMR Data'!C:C),0),1), "N/A")</f>
        <v>N/A</v>
      </c>
      <c r="W564" s="28" t="s">
        <v>1463</v>
      </c>
      <c r="X564" s="28" t="s">
        <v>1804</v>
      </c>
      <c r="Y564" s="28" t="s">
        <v>1805</v>
      </c>
      <c r="Z564" s="302" t="s">
        <v>1806</v>
      </c>
      <c r="AA564" s="28"/>
      <c r="AB564" s="28" t="s">
        <v>1465</v>
      </c>
      <c r="AC564" s="28" t="s">
        <v>1466</v>
      </c>
    </row>
    <row r="565" spans="1:29" x14ac:dyDescent="0.25">
      <c r="A565" s="61">
        <v>110000310191</v>
      </c>
      <c r="B565" s="28">
        <v>2015</v>
      </c>
      <c r="C565" s="68">
        <f t="shared" si="8"/>
        <v>42005</v>
      </c>
      <c r="D565" s="28" t="s">
        <v>151</v>
      </c>
      <c r="E565" s="28" t="s">
        <v>485</v>
      </c>
      <c r="F565" s="28" t="s">
        <v>486</v>
      </c>
      <c r="G565" s="28" t="s">
        <v>308</v>
      </c>
      <c r="H565" s="28">
        <v>1905</v>
      </c>
      <c r="I565" s="28">
        <v>42.452603000000003</v>
      </c>
      <c r="J565" s="28">
        <v>-70.973436000000007</v>
      </c>
      <c r="K565" s="28" t="s">
        <v>487</v>
      </c>
      <c r="L565" s="61">
        <v>110000310191</v>
      </c>
      <c r="M565" s="28" t="s">
        <v>265</v>
      </c>
      <c r="N565" s="28">
        <v>3724</v>
      </c>
      <c r="O565" s="28" t="str">
        <f>IFERROR(VLOOKUP(N565, 'SIC &amp; NAICS Codes'!A:B, 2, FALSE), "")</f>
        <v>Aircraft Engines and Engine Parts (except research and development not producing prototypes)</v>
      </c>
      <c r="S565" s="28">
        <v>0.60590279999999996</v>
      </c>
      <c r="T565" s="315">
        <f>_xlfn.MAXIFS('Raw Period DMR Data'!$O:$O,'Raw Period DMR Data'!$A:$A,'Raw Annual DMR Data'!B565,'Raw Period DMR Data'!$C:$C,X565)/S565</f>
        <v>0</v>
      </c>
      <c r="U565" s="28" t="str">
        <f>+IF(COUNTIFS('Raw Period DMR Data'!$A:$A,B565, 'Raw Period DMR Data'!C:C,'Raw Annual DMR Data'!X565, 'Raw Period DMR Data'!M:M, "&gt;0")&gt;0,_xlfn.MAXIFS('Raw Period DMR Data'!M:M,'Raw Period DMR Data'!$A:$A,'Raw Annual DMR Data'!B565,'Raw Period DMR Data'!C:C,'Raw Annual DMR Data'!X565), "N/A - Period DMR Data Not Available")</f>
        <v>N/A - Period DMR Data Not Available</v>
      </c>
      <c r="V565" s="28" t="str" cm="1">
        <f t="array" ref="V565">IFERROR(INDEX('Raw Period DMR Data'!N:N,MATCH(1,(B565='Raw Period DMR Data'!$A:$A)*(U565='Raw Period DMR Data'!M:M)*(X565='Raw Period DMR Data'!C:C),0),1), "N/A")</f>
        <v>N/A</v>
      </c>
      <c r="W565" s="28" t="s">
        <v>1463</v>
      </c>
      <c r="X565" s="28" t="s">
        <v>864</v>
      </c>
      <c r="Y565" s="28" t="s">
        <v>865</v>
      </c>
      <c r="Z565" s="61">
        <v>1090001001195</v>
      </c>
    </row>
    <row r="566" spans="1:29" x14ac:dyDescent="0.25">
      <c r="A566" s="61">
        <v>110000310191</v>
      </c>
      <c r="B566" s="28">
        <v>2018</v>
      </c>
      <c r="C566" s="68">
        <f t="shared" si="8"/>
        <v>43101</v>
      </c>
      <c r="D566" s="28" t="s">
        <v>151</v>
      </c>
      <c r="E566" s="28" t="s">
        <v>485</v>
      </c>
      <c r="F566" s="28" t="s">
        <v>486</v>
      </c>
      <c r="G566" s="28" t="s">
        <v>308</v>
      </c>
      <c r="H566" s="28">
        <v>1905</v>
      </c>
      <c r="I566" s="28">
        <v>42.452603000000003</v>
      </c>
      <c r="J566" s="28">
        <v>-70.973436000000007</v>
      </c>
      <c r="K566" s="28" t="s">
        <v>487</v>
      </c>
      <c r="L566" s="61">
        <v>110000310191</v>
      </c>
      <c r="M566" s="28" t="s">
        <v>265</v>
      </c>
      <c r="N566" s="28">
        <v>3724</v>
      </c>
      <c r="O566" s="28" t="str">
        <f>IFERROR(VLOOKUP(N566, 'SIC &amp; NAICS Codes'!A:B, 2, FALSE), "")</f>
        <v>Aircraft Engines and Engine Parts (except research and development not producing prototypes)</v>
      </c>
      <c r="S566" s="28">
        <v>7.0400999999999997E-3</v>
      </c>
      <c r="T566" s="315">
        <f>_xlfn.MAXIFS('Raw Period DMR Data'!$O:$O,'Raw Period DMR Data'!$A:$A,'Raw Annual DMR Data'!B566,'Raw Period DMR Data'!$C:$C,X566)/S566</f>
        <v>0</v>
      </c>
      <c r="U566" s="28" t="str">
        <f>+IF(COUNTIFS('Raw Period DMR Data'!$A:$A,B566, 'Raw Period DMR Data'!C:C,'Raw Annual DMR Data'!X566, 'Raw Period DMR Data'!M:M, "&gt;0")&gt;0,_xlfn.MAXIFS('Raw Period DMR Data'!M:M,'Raw Period DMR Data'!$A:$A,'Raw Annual DMR Data'!B566,'Raw Period DMR Data'!C:C,'Raw Annual DMR Data'!X566), "N/A - Period DMR Data Not Available")</f>
        <v>N/A - Period DMR Data Not Available</v>
      </c>
      <c r="V566" s="28" t="str" cm="1">
        <f t="array" ref="V566">IFERROR(INDEX('Raw Period DMR Data'!N:N,MATCH(1,(B566='Raw Period DMR Data'!$A:$A)*(U566='Raw Period DMR Data'!M:M)*(X566='Raw Period DMR Data'!C:C),0),1), "N/A")</f>
        <v>N/A</v>
      </c>
      <c r="W566" s="28" t="s">
        <v>1463</v>
      </c>
      <c r="X566" s="28" t="s">
        <v>864</v>
      </c>
      <c r="Y566" s="28" t="s">
        <v>865</v>
      </c>
      <c r="Z566" s="61">
        <v>1090001001195</v>
      </c>
    </row>
    <row r="567" spans="1:29" x14ac:dyDescent="0.25">
      <c r="A567" s="61">
        <v>110000310191</v>
      </c>
      <c r="B567" s="28">
        <v>2015</v>
      </c>
      <c r="C567" s="68">
        <f t="shared" si="8"/>
        <v>42005</v>
      </c>
      <c r="D567" s="28" t="s">
        <v>151</v>
      </c>
      <c r="E567" s="28" t="s">
        <v>485</v>
      </c>
      <c r="F567" s="28" t="s">
        <v>486</v>
      </c>
      <c r="G567" s="28" t="s">
        <v>308</v>
      </c>
      <c r="H567" s="28">
        <v>1905</v>
      </c>
      <c r="I567" s="28">
        <v>42.452603000000003</v>
      </c>
      <c r="J567" s="28">
        <v>-70.973436000000007</v>
      </c>
      <c r="K567" s="28" t="s">
        <v>487</v>
      </c>
      <c r="L567" s="61">
        <v>110000310191</v>
      </c>
      <c r="M567" s="28" t="s">
        <v>265</v>
      </c>
      <c r="N567" s="28">
        <v>3724</v>
      </c>
      <c r="O567" s="28" t="str">
        <f>IFERROR(VLOOKUP(N567, 'SIC &amp; NAICS Codes'!A:B, 2, FALSE), "")</f>
        <v>Aircraft Engines and Engine Parts (except research and development not producing prototypes)</v>
      </c>
      <c r="S567" s="28">
        <v>4.5278062500000001E-2</v>
      </c>
      <c r="T567" s="315">
        <f>_xlfn.MAXIFS('Raw Period DMR Data'!$O:$O,'Raw Period DMR Data'!$A:$A,'Raw Annual DMR Data'!B567,'Raw Period DMR Data'!$C:$C,X567)/S567</f>
        <v>0</v>
      </c>
      <c r="U567" s="28" t="str">
        <f>+IF(COUNTIFS('Raw Period DMR Data'!$A:$A,B567, 'Raw Period DMR Data'!C:C,'Raw Annual DMR Data'!X567, 'Raw Period DMR Data'!M:M, "&gt;0")&gt;0,_xlfn.MAXIFS('Raw Period DMR Data'!M:M,'Raw Period DMR Data'!$A:$A,'Raw Annual DMR Data'!B567,'Raw Period DMR Data'!C:C,'Raw Annual DMR Data'!X567), "N/A - Period DMR Data Not Available")</f>
        <v>N/A - Period DMR Data Not Available</v>
      </c>
      <c r="V567" s="28" t="str" cm="1">
        <f t="array" ref="V567">IFERROR(INDEX('Raw Period DMR Data'!N:N,MATCH(1,(B567='Raw Period DMR Data'!$A:$A)*(U567='Raw Period DMR Data'!M:M)*(X567='Raw Period DMR Data'!C:C),0),1), "N/A")</f>
        <v>N/A</v>
      </c>
      <c r="W567" s="28" t="s">
        <v>1463</v>
      </c>
      <c r="X567" s="28" t="s">
        <v>864</v>
      </c>
      <c r="Y567" s="28" t="s">
        <v>865</v>
      </c>
      <c r="Z567" s="28">
        <v>1090001001195</v>
      </c>
      <c r="AA567" s="28"/>
      <c r="AB567" s="28" t="s">
        <v>1465</v>
      </c>
      <c r="AC567" s="28" t="s">
        <v>1466</v>
      </c>
    </row>
    <row r="568" spans="1:29" x14ac:dyDescent="0.25">
      <c r="A568" s="61">
        <v>110000310191</v>
      </c>
      <c r="B568" s="28">
        <v>2015</v>
      </c>
      <c r="C568" s="68">
        <f t="shared" si="8"/>
        <v>42005</v>
      </c>
      <c r="D568" s="28" t="s">
        <v>151</v>
      </c>
      <c r="E568" s="28" t="s">
        <v>485</v>
      </c>
      <c r="F568" s="28" t="s">
        <v>486</v>
      </c>
      <c r="G568" s="28" t="s">
        <v>308</v>
      </c>
      <c r="H568" s="28">
        <v>1905</v>
      </c>
      <c r="I568" s="28">
        <v>42.452603000000003</v>
      </c>
      <c r="J568" s="28">
        <v>-70.973436000000007</v>
      </c>
      <c r="K568" s="28" t="s">
        <v>487</v>
      </c>
      <c r="L568" s="61">
        <v>110000310191</v>
      </c>
      <c r="M568" s="28" t="s">
        <v>265</v>
      </c>
      <c r="N568" s="28">
        <v>3724</v>
      </c>
      <c r="O568" s="28" t="str">
        <f>IFERROR(VLOOKUP(N568, 'SIC &amp; NAICS Codes'!A:B, 2, FALSE), "")</f>
        <v>Aircraft Engines and Engine Parts (except research and development not producing prototypes)</v>
      </c>
      <c r="S568" s="28">
        <v>4.87508E-4</v>
      </c>
      <c r="T568" s="315">
        <f>_xlfn.MAXIFS('Raw Period DMR Data'!$O:$O,'Raw Period DMR Data'!$A:$A,'Raw Annual DMR Data'!B568,'Raw Period DMR Data'!$C:$C,X568)/S568</f>
        <v>0</v>
      </c>
      <c r="U568" s="28" t="str">
        <f>+IF(COUNTIFS('Raw Period DMR Data'!$A:$A,B568, 'Raw Period DMR Data'!C:C,'Raw Annual DMR Data'!X568, 'Raw Period DMR Data'!M:M, "&gt;0")&gt;0,_xlfn.MAXIFS('Raw Period DMR Data'!M:M,'Raw Period DMR Data'!$A:$A,'Raw Annual DMR Data'!B568,'Raw Period DMR Data'!C:C,'Raw Annual DMR Data'!X568), "N/A - Period DMR Data Not Available")</f>
        <v>N/A - Period DMR Data Not Available</v>
      </c>
      <c r="V568" s="28" t="str" cm="1">
        <f t="array" ref="V568">IFERROR(INDEX('Raw Period DMR Data'!N:N,MATCH(1,(B568='Raw Period DMR Data'!$A:$A)*(U568='Raw Period DMR Data'!M:M)*(X568='Raw Period DMR Data'!C:C),0),1), "N/A")</f>
        <v>N/A</v>
      </c>
      <c r="W568" s="28" t="s">
        <v>1463</v>
      </c>
      <c r="X568" s="28" t="s">
        <v>864</v>
      </c>
      <c r="Y568" s="28" t="s">
        <v>865</v>
      </c>
      <c r="Z568" s="28">
        <v>1090001001195</v>
      </c>
      <c r="AA568" s="28"/>
      <c r="AB568" s="28" t="s">
        <v>1465</v>
      </c>
      <c r="AC568" s="28" t="s">
        <v>1466</v>
      </c>
    </row>
    <row r="569" spans="1:29" x14ac:dyDescent="0.25">
      <c r="A569" s="61">
        <v>110000310191</v>
      </c>
      <c r="B569" s="28">
        <v>2016</v>
      </c>
      <c r="C569" s="68">
        <f t="shared" si="8"/>
        <v>42370</v>
      </c>
      <c r="D569" s="28" t="s">
        <v>151</v>
      </c>
      <c r="E569" s="28" t="s">
        <v>485</v>
      </c>
      <c r="F569" s="28" t="s">
        <v>486</v>
      </c>
      <c r="G569" s="28" t="s">
        <v>308</v>
      </c>
      <c r="H569" s="28">
        <v>1905</v>
      </c>
      <c r="I569" s="28">
        <v>42.452603000000003</v>
      </c>
      <c r="J569" s="28">
        <v>-70.973436000000007</v>
      </c>
      <c r="K569" s="28" t="s">
        <v>487</v>
      </c>
      <c r="L569" s="61">
        <v>110000310191</v>
      </c>
      <c r="M569" s="28" t="s">
        <v>265</v>
      </c>
      <c r="N569" s="28">
        <v>3724</v>
      </c>
      <c r="O569" s="28" t="str">
        <f>IFERROR(VLOOKUP(N569, 'SIC &amp; NAICS Codes'!A:B, 2, FALSE), "")</f>
        <v>Aircraft Engines and Engine Parts (except research and development not producing prototypes)</v>
      </c>
      <c r="S569" s="28">
        <v>6.4110329999999993E-2</v>
      </c>
      <c r="T569" s="315">
        <f>_xlfn.MAXIFS('Raw Period DMR Data'!$O:$O,'Raw Period DMR Data'!$A:$A,'Raw Annual DMR Data'!B569,'Raw Period DMR Data'!$C:$C,X569)/S569</f>
        <v>0</v>
      </c>
      <c r="U569" s="28" t="str">
        <f>+IF(COUNTIFS('Raw Period DMR Data'!$A:$A,B569, 'Raw Period DMR Data'!C:C,'Raw Annual DMR Data'!X569, 'Raw Period DMR Data'!M:M, "&gt;0")&gt;0,_xlfn.MAXIFS('Raw Period DMR Data'!M:M,'Raw Period DMR Data'!$A:$A,'Raw Annual DMR Data'!B569,'Raw Period DMR Data'!C:C,'Raw Annual DMR Data'!X569), "N/A - Period DMR Data Not Available")</f>
        <v>N/A - Period DMR Data Not Available</v>
      </c>
      <c r="V569" s="28" t="str" cm="1">
        <f t="array" ref="V569">IFERROR(INDEX('Raw Period DMR Data'!N:N,MATCH(1,(B569='Raw Period DMR Data'!$A:$A)*(U569='Raw Period DMR Data'!M:M)*(X569='Raw Period DMR Data'!C:C),0),1), "N/A")</f>
        <v>N/A</v>
      </c>
      <c r="W569" s="28" t="s">
        <v>1463</v>
      </c>
      <c r="X569" s="28" t="s">
        <v>864</v>
      </c>
      <c r="Y569" s="28" t="s">
        <v>865</v>
      </c>
      <c r="Z569" s="28">
        <v>1090001001195</v>
      </c>
      <c r="AA569" s="28"/>
      <c r="AB569" s="28" t="s">
        <v>1465</v>
      </c>
      <c r="AC569" s="28" t="s">
        <v>1466</v>
      </c>
    </row>
    <row r="570" spans="1:29" x14ac:dyDescent="0.25">
      <c r="A570" s="61">
        <v>110000310191</v>
      </c>
      <c r="B570" s="28">
        <v>2016</v>
      </c>
      <c r="C570" s="68">
        <f t="shared" si="8"/>
        <v>42370</v>
      </c>
      <c r="D570" s="28" t="s">
        <v>151</v>
      </c>
      <c r="E570" s="28" t="s">
        <v>485</v>
      </c>
      <c r="F570" s="28" t="s">
        <v>486</v>
      </c>
      <c r="G570" s="28" t="s">
        <v>308</v>
      </c>
      <c r="H570" s="28">
        <v>1905</v>
      </c>
      <c r="I570" s="28">
        <v>42.452603000000003</v>
      </c>
      <c r="J570" s="28">
        <v>-70.973436000000007</v>
      </c>
      <c r="K570" s="28" t="s">
        <v>487</v>
      </c>
      <c r="L570" s="61">
        <v>110000310191</v>
      </c>
      <c r="M570" s="28" t="s">
        <v>265</v>
      </c>
      <c r="N570" s="28">
        <v>3724</v>
      </c>
      <c r="O570" s="28" t="str">
        <f>IFERROR(VLOOKUP(N570, 'SIC &amp; NAICS Codes'!A:B, 2, FALSE), "")</f>
        <v>Aircraft Engines and Engine Parts (except research and development not producing prototypes)</v>
      </c>
      <c r="S570" s="28">
        <v>3.2645625000000001E-4</v>
      </c>
      <c r="T570" s="315">
        <f>_xlfn.MAXIFS('Raw Period DMR Data'!$O:$O,'Raw Period DMR Data'!$A:$A,'Raw Annual DMR Data'!B570,'Raw Period DMR Data'!$C:$C,X570)/S570</f>
        <v>0</v>
      </c>
      <c r="U570" s="28" t="str">
        <f>+IF(COUNTIFS('Raw Period DMR Data'!$A:$A,B570, 'Raw Period DMR Data'!C:C,'Raw Annual DMR Data'!X570, 'Raw Period DMR Data'!M:M, "&gt;0")&gt;0,_xlfn.MAXIFS('Raw Period DMR Data'!M:M,'Raw Period DMR Data'!$A:$A,'Raw Annual DMR Data'!B570,'Raw Period DMR Data'!C:C,'Raw Annual DMR Data'!X570), "N/A - Period DMR Data Not Available")</f>
        <v>N/A - Period DMR Data Not Available</v>
      </c>
      <c r="V570" s="28" t="str" cm="1">
        <f t="array" ref="V570">IFERROR(INDEX('Raw Period DMR Data'!N:N,MATCH(1,(B570='Raw Period DMR Data'!$A:$A)*(U570='Raw Period DMR Data'!M:M)*(X570='Raw Period DMR Data'!C:C),0),1), "N/A")</f>
        <v>N/A</v>
      </c>
      <c r="W570" s="28" t="s">
        <v>1463</v>
      </c>
      <c r="X570" s="28" t="s">
        <v>864</v>
      </c>
      <c r="Y570" s="28" t="s">
        <v>865</v>
      </c>
      <c r="Z570" s="28">
        <v>1090001001195</v>
      </c>
      <c r="AA570" s="28"/>
      <c r="AB570" s="28" t="s">
        <v>1465</v>
      </c>
      <c r="AC570" s="28" t="s">
        <v>1466</v>
      </c>
    </row>
    <row r="571" spans="1:29" x14ac:dyDescent="0.25">
      <c r="A571" s="61">
        <v>110000310191</v>
      </c>
      <c r="B571" s="28">
        <v>2016</v>
      </c>
      <c r="C571" s="68">
        <f t="shared" si="8"/>
        <v>42370</v>
      </c>
      <c r="D571" s="28" t="s">
        <v>151</v>
      </c>
      <c r="E571" s="28" t="s">
        <v>485</v>
      </c>
      <c r="F571" s="28" t="s">
        <v>486</v>
      </c>
      <c r="G571" s="28" t="s">
        <v>308</v>
      </c>
      <c r="H571" s="28">
        <v>1905</v>
      </c>
      <c r="I571" s="28">
        <v>42.452603000000003</v>
      </c>
      <c r="J571" s="28">
        <v>-70.973436000000007</v>
      </c>
      <c r="K571" s="28" t="s">
        <v>487</v>
      </c>
      <c r="L571" s="61">
        <v>110000310191</v>
      </c>
      <c r="M571" s="28" t="s">
        <v>265</v>
      </c>
      <c r="N571" s="28">
        <v>3724</v>
      </c>
      <c r="O571" s="28" t="str">
        <f>IFERROR(VLOOKUP(N571, 'SIC &amp; NAICS Codes'!A:B, 2, FALSE), "")</f>
        <v>Aircraft Engines and Engine Parts (except research and development not producing prototypes)</v>
      </c>
      <c r="S571" s="28">
        <v>5.0247767499999998E-2</v>
      </c>
      <c r="T571" s="315">
        <f>_xlfn.MAXIFS('Raw Period DMR Data'!$O:$O,'Raw Period DMR Data'!$A:$A,'Raw Annual DMR Data'!B571,'Raw Period DMR Data'!$C:$C,X571)/S571</f>
        <v>0</v>
      </c>
      <c r="U571" s="28" t="str">
        <f>+IF(COUNTIFS('Raw Period DMR Data'!$A:$A,B571, 'Raw Period DMR Data'!C:C,'Raw Annual DMR Data'!X571, 'Raw Period DMR Data'!M:M, "&gt;0")&gt;0,_xlfn.MAXIFS('Raw Period DMR Data'!M:M,'Raw Period DMR Data'!$A:$A,'Raw Annual DMR Data'!B571,'Raw Period DMR Data'!C:C,'Raw Annual DMR Data'!X571), "N/A - Period DMR Data Not Available")</f>
        <v>N/A - Period DMR Data Not Available</v>
      </c>
      <c r="V571" s="28" t="str" cm="1">
        <f t="array" ref="V571">IFERROR(INDEX('Raw Period DMR Data'!N:N,MATCH(1,(B571='Raw Period DMR Data'!$A:$A)*(U571='Raw Period DMR Data'!M:M)*(X571='Raw Period DMR Data'!C:C),0),1), "N/A")</f>
        <v>N/A</v>
      </c>
      <c r="W571" s="28" t="s">
        <v>1463</v>
      </c>
      <c r="X571" s="28" t="s">
        <v>864</v>
      </c>
      <c r="Y571" s="28" t="s">
        <v>865</v>
      </c>
      <c r="Z571" s="28">
        <v>1090001001195</v>
      </c>
      <c r="AA571" s="28"/>
      <c r="AB571" s="28" t="s">
        <v>1465</v>
      </c>
      <c r="AC571" s="28" t="s">
        <v>1466</v>
      </c>
    </row>
    <row r="572" spans="1:29" x14ac:dyDescent="0.25">
      <c r="A572" s="61">
        <v>110000310191</v>
      </c>
      <c r="B572" s="28">
        <v>2017</v>
      </c>
      <c r="C572" s="68">
        <f t="shared" si="8"/>
        <v>42736</v>
      </c>
      <c r="D572" s="28" t="s">
        <v>151</v>
      </c>
      <c r="E572" s="28" t="s">
        <v>485</v>
      </c>
      <c r="F572" s="28" t="s">
        <v>486</v>
      </c>
      <c r="G572" s="28" t="s">
        <v>308</v>
      </c>
      <c r="H572" s="28">
        <v>1905</v>
      </c>
      <c r="I572" s="28">
        <v>42.452603000000003</v>
      </c>
      <c r="J572" s="28">
        <v>-70.973436000000007</v>
      </c>
      <c r="K572" s="28" t="s">
        <v>487</v>
      </c>
      <c r="L572" s="61">
        <v>110000310191</v>
      </c>
      <c r="M572" s="28" t="s">
        <v>265</v>
      </c>
      <c r="N572" s="28">
        <v>3724</v>
      </c>
      <c r="O572" s="28" t="str">
        <f>IFERROR(VLOOKUP(N572, 'SIC &amp; NAICS Codes'!A:B, 2, FALSE), "")</f>
        <v>Aircraft Engines and Engine Parts (except research and development not producing prototypes)</v>
      </c>
      <c r="S572" s="28">
        <v>4.5022574999999999E-4</v>
      </c>
      <c r="T572" s="315">
        <f>_xlfn.MAXIFS('Raw Period DMR Data'!$O:$O,'Raw Period DMR Data'!$A:$A,'Raw Annual DMR Data'!B572,'Raw Period DMR Data'!$C:$C,X572)/S572</f>
        <v>0</v>
      </c>
      <c r="U572" s="28" t="str">
        <f>+IF(COUNTIFS('Raw Period DMR Data'!$A:$A,B572, 'Raw Period DMR Data'!C:C,'Raw Annual DMR Data'!X572, 'Raw Period DMR Data'!M:M, "&gt;0")&gt;0,_xlfn.MAXIFS('Raw Period DMR Data'!M:M,'Raw Period DMR Data'!$A:$A,'Raw Annual DMR Data'!B572,'Raw Period DMR Data'!C:C,'Raw Annual DMR Data'!X572), "N/A - Period DMR Data Not Available")</f>
        <v>N/A - Period DMR Data Not Available</v>
      </c>
      <c r="V572" s="28" t="str" cm="1">
        <f t="array" ref="V572">IFERROR(INDEX('Raw Period DMR Data'!N:N,MATCH(1,(B572='Raw Period DMR Data'!$A:$A)*(U572='Raw Period DMR Data'!M:M)*(X572='Raw Period DMR Data'!C:C),0),1), "N/A")</f>
        <v>N/A</v>
      </c>
      <c r="W572" s="28" t="s">
        <v>1463</v>
      </c>
      <c r="X572" s="28" t="s">
        <v>864</v>
      </c>
      <c r="Y572" s="28" t="s">
        <v>865</v>
      </c>
      <c r="Z572" s="28">
        <v>1090001001195</v>
      </c>
      <c r="AA572" s="28"/>
      <c r="AB572" s="28" t="s">
        <v>1465</v>
      </c>
      <c r="AC572" s="28" t="s">
        <v>1466</v>
      </c>
    </row>
    <row r="573" spans="1:29" x14ac:dyDescent="0.25">
      <c r="A573" s="61">
        <v>110000310191</v>
      </c>
      <c r="B573" s="28">
        <v>2017</v>
      </c>
      <c r="C573" s="68">
        <f t="shared" si="8"/>
        <v>42736</v>
      </c>
      <c r="D573" s="28" t="s">
        <v>151</v>
      </c>
      <c r="E573" s="28" t="s">
        <v>485</v>
      </c>
      <c r="F573" s="28" t="s">
        <v>486</v>
      </c>
      <c r="G573" s="28" t="s">
        <v>308</v>
      </c>
      <c r="H573" s="28">
        <v>1905</v>
      </c>
      <c r="I573" s="28">
        <v>42.452603000000003</v>
      </c>
      <c r="J573" s="28">
        <v>-70.973436000000007</v>
      </c>
      <c r="K573" s="28" t="s">
        <v>487</v>
      </c>
      <c r="L573" s="61">
        <v>110000310191</v>
      </c>
      <c r="M573" s="28" t="s">
        <v>265</v>
      </c>
      <c r="N573" s="28">
        <v>3724</v>
      </c>
      <c r="O573" s="28" t="str">
        <f>IFERROR(VLOOKUP(N573, 'SIC &amp; NAICS Codes'!A:B, 2, FALSE), "")</f>
        <v>Aircraft Engines and Engine Parts (except research and development not producing prototypes)</v>
      </c>
      <c r="S573" s="28">
        <v>9.3281324999999998E-2</v>
      </c>
      <c r="T573" s="315">
        <f>_xlfn.MAXIFS('Raw Period DMR Data'!$O:$O,'Raw Period DMR Data'!$A:$A,'Raw Annual DMR Data'!B573,'Raw Period DMR Data'!$C:$C,X573)/S573</f>
        <v>0</v>
      </c>
      <c r="U573" s="28" t="str">
        <f>+IF(COUNTIFS('Raw Period DMR Data'!$A:$A,B573, 'Raw Period DMR Data'!C:C,'Raw Annual DMR Data'!X573, 'Raw Period DMR Data'!M:M, "&gt;0")&gt;0,_xlfn.MAXIFS('Raw Period DMR Data'!M:M,'Raw Period DMR Data'!$A:$A,'Raw Annual DMR Data'!B573,'Raw Period DMR Data'!C:C,'Raw Annual DMR Data'!X573), "N/A - Period DMR Data Not Available")</f>
        <v>N/A - Period DMR Data Not Available</v>
      </c>
      <c r="V573" s="28" t="str" cm="1">
        <f t="array" ref="V573">IFERROR(INDEX('Raw Period DMR Data'!N:N,MATCH(1,(B573='Raw Period DMR Data'!$A:$A)*(U573='Raw Period DMR Data'!M:M)*(X573='Raw Period DMR Data'!C:C),0),1), "N/A")</f>
        <v>N/A</v>
      </c>
      <c r="W573" s="28" t="s">
        <v>1463</v>
      </c>
      <c r="X573" s="28" t="s">
        <v>864</v>
      </c>
      <c r="Y573" s="28" t="s">
        <v>865</v>
      </c>
      <c r="Z573" s="28">
        <v>1090001001195</v>
      </c>
      <c r="AA573" s="28"/>
      <c r="AB573" s="28" t="s">
        <v>1465</v>
      </c>
      <c r="AC573" s="28" t="s">
        <v>1466</v>
      </c>
    </row>
    <row r="574" spans="1:29" x14ac:dyDescent="0.25">
      <c r="A574" s="61">
        <v>110000310191</v>
      </c>
      <c r="B574" s="28">
        <v>2017</v>
      </c>
      <c r="C574" s="68">
        <f t="shared" si="8"/>
        <v>42736</v>
      </c>
      <c r="D574" s="28" t="s">
        <v>151</v>
      </c>
      <c r="E574" s="28" t="s">
        <v>485</v>
      </c>
      <c r="F574" s="28" t="s">
        <v>486</v>
      </c>
      <c r="G574" s="28" t="s">
        <v>308</v>
      </c>
      <c r="H574" s="28">
        <v>1905</v>
      </c>
      <c r="I574" s="28">
        <v>42.452603000000003</v>
      </c>
      <c r="J574" s="28">
        <v>-70.973436000000007</v>
      </c>
      <c r="K574" s="28" t="s">
        <v>487</v>
      </c>
      <c r="L574" s="61">
        <v>110000310191</v>
      </c>
      <c r="M574" s="28" t="s">
        <v>265</v>
      </c>
      <c r="N574" s="28">
        <v>3724</v>
      </c>
      <c r="O574" s="28" t="str">
        <f>IFERROR(VLOOKUP(N574, 'SIC &amp; NAICS Codes'!A:B, 2, FALSE), "")</f>
        <v>Aircraft Engines and Engine Parts (except research and development not producing prototypes)</v>
      </c>
      <c r="S574" s="28">
        <v>4.4621365000000003E-2</v>
      </c>
      <c r="T574" s="315">
        <f>_xlfn.MAXIFS('Raw Period DMR Data'!$O:$O,'Raw Period DMR Data'!$A:$A,'Raw Annual DMR Data'!B574,'Raw Period DMR Data'!$C:$C,X574)/S574</f>
        <v>0</v>
      </c>
      <c r="U574" s="28" t="str">
        <f>+IF(COUNTIFS('Raw Period DMR Data'!$A:$A,B574, 'Raw Period DMR Data'!C:C,'Raw Annual DMR Data'!X574, 'Raw Period DMR Data'!M:M, "&gt;0")&gt;0,_xlfn.MAXIFS('Raw Period DMR Data'!M:M,'Raw Period DMR Data'!$A:$A,'Raw Annual DMR Data'!B574,'Raw Period DMR Data'!C:C,'Raw Annual DMR Data'!X574), "N/A - Period DMR Data Not Available")</f>
        <v>N/A - Period DMR Data Not Available</v>
      </c>
      <c r="V574" s="28" t="str" cm="1">
        <f t="array" ref="V574">IFERROR(INDEX('Raw Period DMR Data'!N:N,MATCH(1,(B574='Raw Period DMR Data'!$A:$A)*(U574='Raw Period DMR Data'!M:M)*(X574='Raw Period DMR Data'!C:C),0),1), "N/A")</f>
        <v>N/A</v>
      </c>
      <c r="W574" s="28" t="s">
        <v>1463</v>
      </c>
      <c r="X574" s="28" t="s">
        <v>864</v>
      </c>
      <c r="Y574" s="28" t="s">
        <v>865</v>
      </c>
      <c r="Z574" s="28">
        <v>1090001001195</v>
      </c>
      <c r="AA574" s="28"/>
      <c r="AB574" s="28" t="s">
        <v>1465</v>
      </c>
      <c r="AC574" s="28" t="s">
        <v>1466</v>
      </c>
    </row>
    <row r="575" spans="1:29" x14ac:dyDescent="0.25">
      <c r="A575" s="61">
        <v>110000310191</v>
      </c>
      <c r="B575" s="28">
        <v>2018</v>
      </c>
      <c r="C575" s="68">
        <f t="shared" si="8"/>
        <v>43101</v>
      </c>
      <c r="D575" s="28" t="s">
        <v>151</v>
      </c>
      <c r="E575" s="28" t="s">
        <v>485</v>
      </c>
      <c r="F575" s="28" t="s">
        <v>486</v>
      </c>
      <c r="G575" s="28" t="s">
        <v>308</v>
      </c>
      <c r="H575" s="302" t="s">
        <v>1807</v>
      </c>
      <c r="I575" s="28">
        <v>42.452603000000003</v>
      </c>
      <c r="J575" s="28">
        <v>-70.973436000000007</v>
      </c>
      <c r="K575" s="28" t="s">
        <v>487</v>
      </c>
      <c r="L575" s="61">
        <v>110000310191</v>
      </c>
      <c r="M575" s="28" t="s">
        <v>265</v>
      </c>
      <c r="N575" s="28">
        <v>3724</v>
      </c>
      <c r="O575" s="28" t="str">
        <f>IFERROR(VLOOKUP(N575, 'SIC &amp; NAICS Codes'!A:B, 2, FALSE), "")</f>
        <v>Aircraft Engines and Engine Parts (except research and development not producing prototypes)</v>
      </c>
      <c r="S575" s="28">
        <v>4.3514252500000003E-2</v>
      </c>
      <c r="T575" s="315">
        <f>_xlfn.MAXIFS('Raw Period DMR Data'!$O:$O,'Raw Period DMR Data'!$A:$A,'Raw Annual DMR Data'!B575,'Raw Period DMR Data'!$C:$C,X575)/S575</f>
        <v>0</v>
      </c>
      <c r="U575" s="28" t="str">
        <f>+IF(COUNTIFS('Raw Period DMR Data'!$A:$A,B575, 'Raw Period DMR Data'!C:C,'Raw Annual DMR Data'!X575, 'Raw Period DMR Data'!M:M, "&gt;0")&gt;0,_xlfn.MAXIFS('Raw Period DMR Data'!M:M,'Raw Period DMR Data'!$A:$A,'Raw Annual DMR Data'!B575,'Raw Period DMR Data'!C:C,'Raw Annual DMR Data'!X575), "N/A - Period DMR Data Not Available")</f>
        <v>N/A - Period DMR Data Not Available</v>
      </c>
      <c r="V575" s="28" t="str" cm="1">
        <f t="array" ref="V575">IFERROR(INDEX('Raw Period DMR Data'!N:N,MATCH(1,(B575='Raw Period DMR Data'!$A:$A)*(U575='Raw Period DMR Data'!M:M)*(X575='Raw Period DMR Data'!C:C),0),1), "N/A")</f>
        <v>N/A</v>
      </c>
      <c r="W575" s="28" t="s">
        <v>1463</v>
      </c>
      <c r="X575" s="28" t="s">
        <v>864</v>
      </c>
      <c r="Y575" s="28" t="s">
        <v>865</v>
      </c>
      <c r="Z575" s="302" t="s">
        <v>1808</v>
      </c>
      <c r="AA575" s="28"/>
      <c r="AB575" s="28" t="s">
        <v>1465</v>
      </c>
      <c r="AC575" s="28" t="s">
        <v>1466</v>
      </c>
    </row>
    <row r="576" spans="1:29" x14ac:dyDescent="0.25">
      <c r="A576" s="61">
        <v>110000310191</v>
      </c>
      <c r="B576" s="28">
        <v>2018</v>
      </c>
      <c r="C576" s="68">
        <f t="shared" si="8"/>
        <v>43101</v>
      </c>
      <c r="D576" s="28" t="s">
        <v>151</v>
      </c>
      <c r="E576" s="28" t="s">
        <v>485</v>
      </c>
      <c r="F576" s="28" t="s">
        <v>486</v>
      </c>
      <c r="G576" s="28" t="s">
        <v>308</v>
      </c>
      <c r="H576" s="302" t="s">
        <v>1807</v>
      </c>
      <c r="I576" s="28">
        <v>42.452603000000003</v>
      </c>
      <c r="J576" s="28">
        <v>-70.973436000000007</v>
      </c>
      <c r="K576" s="28" t="s">
        <v>487</v>
      </c>
      <c r="L576" s="61">
        <v>110000310191</v>
      </c>
      <c r="M576" s="28" t="s">
        <v>265</v>
      </c>
      <c r="N576" s="28">
        <v>3724</v>
      </c>
      <c r="O576" s="28" t="str">
        <f>IFERROR(VLOOKUP(N576, 'SIC &amp; NAICS Codes'!A:B, 2, FALSE), "")</f>
        <v>Aircraft Engines and Engine Parts (except research and development not producing prototypes)</v>
      </c>
      <c r="S576" s="28">
        <v>0.12706434250000001</v>
      </c>
      <c r="T576" s="315">
        <f>_xlfn.MAXIFS('Raw Period DMR Data'!$O:$O,'Raw Period DMR Data'!$A:$A,'Raw Annual DMR Data'!B576,'Raw Period DMR Data'!$C:$C,X576)/S576</f>
        <v>0</v>
      </c>
      <c r="U576" s="28" t="str">
        <f>+IF(COUNTIFS('Raw Period DMR Data'!$A:$A,B576, 'Raw Period DMR Data'!C:C,'Raw Annual DMR Data'!X576, 'Raw Period DMR Data'!M:M, "&gt;0")&gt;0,_xlfn.MAXIFS('Raw Period DMR Data'!M:M,'Raw Period DMR Data'!$A:$A,'Raw Annual DMR Data'!B576,'Raw Period DMR Data'!C:C,'Raw Annual DMR Data'!X576), "N/A - Period DMR Data Not Available")</f>
        <v>N/A - Period DMR Data Not Available</v>
      </c>
      <c r="V576" s="28" t="str" cm="1">
        <f t="array" ref="V576">IFERROR(INDEX('Raw Period DMR Data'!N:N,MATCH(1,(B576='Raw Period DMR Data'!$A:$A)*(U576='Raw Period DMR Data'!M:M)*(X576='Raw Period DMR Data'!C:C),0),1), "N/A")</f>
        <v>N/A</v>
      </c>
      <c r="W576" s="28" t="s">
        <v>1463</v>
      </c>
      <c r="X576" s="28" t="s">
        <v>864</v>
      </c>
      <c r="Y576" s="28" t="s">
        <v>865</v>
      </c>
      <c r="Z576" s="302" t="s">
        <v>1808</v>
      </c>
      <c r="AA576" s="28"/>
      <c r="AB576" s="28" t="s">
        <v>1465</v>
      </c>
      <c r="AC576" s="28" t="s">
        <v>1466</v>
      </c>
    </row>
    <row r="577" spans="1:29" x14ac:dyDescent="0.25">
      <c r="A577" s="61">
        <v>110000310191</v>
      </c>
      <c r="B577" s="28">
        <v>2018</v>
      </c>
      <c r="C577" s="68">
        <f t="shared" si="8"/>
        <v>43101</v>
      </c>
      <c r="D577" s="28" t="s">
        <v>151</v>
      </c>
      <c r="E577" s="28" t="s">
        <v>485</v>
      </c>
      <c r="F577" s="28" t="s">
        <v>486</v>
      </c>
      <c r="G577" s="28" t="s">
        <v>308</v>
      </c>
      <c r="H577" s="302" t="s">
        <v>1807</v>
      </c>
      <c r="I577" s="28">
        <v>42.452603000000003</v>
      </c>
      <c r="J577" s="28">
        <v>-70.973436000000007</v>
      </c>
      <c r="K577" s="28" t="s">
        <v>487</v>
      </c>
      <c r="L577" s="61">
        <v>110000310191</v>
      </c>
      <c r="M577" s="28" t="s">
        <v>265</v>
      </c>
      <c r="N577" s="28">
        <v>3724</v>
      </c>
      <c r="O577" s="28" t="str">
        <f>IFERROR(VLOOKUP(N577, 'SIC &amp; NAICS Codes'!A:B, 2, FALSE), "")</f>
        <v>Aircraft Engines and Engine Parts (except research and development not producing prototypes)</v>
      </c>
      <c r="S577" s="28">
        <v>3.8892767500000001E-3</v>
      </c>
      <c r="T577" s="315">
        <f>_xlfn.MAXIFS('Raw Period DMR Data'!$O:$O,'Raw Period DMR Data'!$A:$A,'Raw Annual DMR Data'!B577,'Raw Period DMR Data'!$C:$C,X577)/S577</f>
        <v>0</v>
      </c>
      <c r="U577" s="28" t="str">
        <f>+IF(COUNTIFS('Raw Period DMR Data'!$A:$A,B577, 'Raw Period DMR Data'!C:C,'Raw Annual DMR Data'!X577, 'Raw Period DMR Data'!M:M, "&gt;0")&gt;0,_xlfn.MAXIFS('Raw Period DMR Data'!M:M,'Raw Period DMR Data'!$A:$A,'Raw Annual DMR Data'!B577,'Raw Period DMR Data'!C:C,'Raw Annual DMR Data'!X577), "N/A - Period DMR Data Not Available")</f>
        <v>N/A - Period DMR Data Not Available</v>
      </c>
      <c r="V577" s="28" t="str" cm="1">
        <f t="array" ref="V577">IFERROR(INDEX('Raw Period DMR Data'!N:N,MATCH(1,(B577='Raw Period DMR Data'!$A:$A)*(U577='Raw Period DMR Data'!M:M)*(X577='Raw Period DMR Data'!C:C),0),1), "N/A")</f>
        <v>N/A</v>
      </c>
      <c r="W577" s="28" t="s">
        <v>1463</v>
      </c>
      <c r="X577" s="28" t="s">
        <v>864</v>
      </c>
      <c r="Y577" s="28" t="s">
        <v>865</v>
      </c>
      <c r="Z577" s="302" t="s">
        <v>1808</v>
      </c>
      <c r="AA577" s="28"/>
      <c r="AB577" s="28" t="s">
        <v>1465</v>
      </c>
      <c r="AC577" s="28" t="s">
        <v>1466</v>
      </c>
    </row>
    <row r="578" spans="1:29" x14ac:dyDescent="0.25">
      <c r="A578" s="61">
        <v>110000310191</v>
      </c>
      <c r="B578" s="28">
        <v>2019</v>
      </c>
      <c r="C578" s="68">
        <f t="shared" si="8"/>
        <v>43466</v>
      </c>
      <c r="D578" s="28" t="s">
        <v>151</v>
      </c>
      <c r="E578" s="28" t="s">
        <v>485</v>
      </c>
      <c r="F578" s="28" t="s">
        <v>486</v>
      </c>
      <c r="G578" s="28" t="s">
        <v>308</v>
      </c>
      <c r="H578" s="28">
        <v>1905</v>
      </c>
      <c r="I578" s="28">
        <v>42.452603000000003</v>
      </c>
      <c r="J578" s="28">
        <v>-70.973436000000007</v>
      </c>
      <c r="K578" s="28" t="s">
        <v>487</v>
      </c>
      <c r="L578" s="61">
        <v>110000310191</v>
      </c>
      <c r="M578" s="28" t="s">
        <v>265</v>
      </c>
      <c r="N578" s="28">
        <v>3724</v>
      </c>
      <c r="O578" s="28" t="str">
        <f>IFERROR(VLOOKUP(N578, 'SIC &amp; NAICS Codes'!A:B, 2, FALSE), "")</f>
        <v>Aircraft Engines and Engine Parts (except research and development not producing prototypes)</v>
      </c>
      <c r="S578" s="28">
        <v>9.2280192499999997E-2</v>
      </c>
      <c r="T578" s="315">
        <f>_xlfn.MAXIFS('Raw Period DMR Data'!$O:$O,'Raw Period DMR Data'!$A:$A,'Raw Annual DMR Data'!B578,'Raw Period DMR Data'!$C:$C,X578)/S578</f>
        <v>0</v>
      </c>
      <c r="U578" s="28" t="str">
        <f>+IF(COUNTIFS('Raw Period DMR Data'!$A:$A,B578, 'Raw Period DMR Data'!C:C,'Raw Annual DMR Data'!X578, 'Raw Period DMR Data'!M:M, "&gt;0")&gt;0,_xlfn.MAXIFS('Raw Period DMR Data'!M:M,'Raw Period DMR Data'!$A:$A,'Raw Annual DMR Data'!B578,'Raw Period DMR Data'!C:C,'Raw Annual DMR Data'!X578), "N/A - Period DMR Data Not Available")</f>
        <v>N/A - Period DMR Data Not Available</v>
      </c>
      <c r="V578" s="28" t="str" cm="1">
        <f t="array" ref="V578">IFERROR(INDEX('Raw Period DMR Data'!N:N,MATCH(1,(B578='Raw Period DMR Data'!$A:$A)*(U578='Raw Period DMR Data'!M:M)*(X578='Raw Period DMR Data'!C:C),0),1), "N/A")</f>
        <v>N/A</v>
      </c>
      <c r="W578" s="28" t="s">
        <v>1463</v>
      </c>
      <c r="X578" s="28" t="s">
        <v>864</v>
      </c>
      <c r="Y578" s="28" t="s">
        <v>865</v>
      </c>
      <c r="Z578" s="28">
        <v>1090001001195</v>
      </c>
      <c r="AA578" s="28"/>
      <c r="AB578" s="28" t="s">
        <v>1465</v>
      </c>
      <c r="AC578" s="28" t="s">
        <v>1466</v>
      </c>
    </row>
    <row r="579" spans="1:29" x14ac:dyDescent="0.25">
      <c r="A579" s="61">
        <v>110000310191</v>
      </c>
      <c r="B579" s="28">
        <v>2019</v>
      </c>
      <c r="C579" s="68">
        <f t="shared" ref="C579:C642" si="9">DATE(B579, 1, 1)</f>
        <v>43466</v>
      </c>
      <c r="D579" s="28" t="s">
        <v>151</v>
      </c>
      <c r="E579" s="28" t="s">
        <v>485</v>
      </c>
      <c r="F579" s="28" t="s">
        <v>486</v>
      </c>
      <c r="G579" s="28" t="s">
        <v>308</v>
      </c>
      <c r="H579" s="28">
        <v>1905</v>
      </c>
      <c r="I579" s="28">
        <v>42.452603000000003</v>
      </c>
      <c r="J579" s="28">
        <v>-70.973436000000007</v>
      </c>
      <c r="K579" s="28" t="s">
        <v>487</v>
      </c>
      <c r="L579" s="61">
        <v>110000310191</v>
      </c>
      <c r="M579" s="28" t="s">
        <v>265</v>
      </c>
      <c r="N579" s="28">
        <v>3724</v>
      </c>
      <c r="O579" s="28" t="str">
        <f>IFERROR(VLOOKUP(N579, 'SIC &amp; NAICS Codes'!A:B, 2, FALSE), "")</f>
        <v>Aircraft Engines and Engine Parts (except research and development not producing prototypes)</v>
      </c>
      <c r="S579" s="28">
        <v>3.7740234999999998E-3</v>
      </c>
      <c r="T579" s="315">
        <f>_xlfn.MAXIFS('Raw Period DMR Data'!$O:$O,'Raw Period DMR Data'!$A:$A,'Raw Annual DMR Data'!B579,'Raw Period DMR Data'!$C:$C,X579)/S579</f>
        <v>0</v>
      </c>
      <c r="U579" s="28" t="str">
        <f>+IF(COUNTIFS('Raw Period DMR Data'!$A:$A,B579, 'Raw Period DMR Data'!C:C,'Raw Annual DMR Data'!X579, 'Raw Period DMR Data'!M:M, "&gt;0")&gt;0,_xlfn.MAXIFS('Raw Period DMR Data'!M:M,'Raw Period DMR Data'!$A:$A,'Raw Annual DMR Data'!B579,'Raw Period DMR Data'!C:C,'Raw Annual DMR Data'!X579), "N/A - Period DMR Data Not Available")</f>
        <v>N/A - Period DMR Data Not Available</v>
      </c>
      <c r="V579" s="28" t="str" cm="1">
        <f t="array" ref="V579">IFERROR(INDEX('Raw Period DMR Data'!N:N,MATCH(1,(B579='Raw Period DMR Data'!$A:$A)*(U579='Raw Period DMR Data'!M:M)*(X579='Raw Period DMR Data'!C:C),0),1), "N/A")</f>
        <v>N/A</v>
      </c>
      <c r="W579" s="28" t="s">
        <v>1463</v>
      </c>
      <c r="X579" s="28" t="s">
        <v>864</v>
      </c>
      <c r="Y579" s="28" t="s">
        <v>865</v>
      </c>
      <c r="Z579" s="28">
        <v>1090001001195</v>
      </c>
      <c r="AA579" s="28"/>
      <c r="AB579" s="28" t="s">
        <v>1465</v>
      </c>
      <c r="AC579" s="28" t="s">
        <v>1466</v>
      </c>
    </row>
    <row r="580" spans="1:29" x14ac:dyDescent="0.25">
      <c r="A580" s="61">
        <v>110000310191</v>
      </c>
      <c r="B580" s="28">
        <v>2019</v>
      </c>
      <c r="C580" s="68">
        <f t="shared" si="9"/>
        <v>43466</v>
      </c>
      <c r="D580" s="28" t="s">
        <v>151</v>
      </c>
      <c r="E580" s="28" t="s">
        <v>485</v>
      </c>
      <c r="F580" s="28" t="s">
        <v>486</v>
      </c>
      <c r="G580" s="28" t="s">
        <v>308</v>
      </c>
      <c r="H580" s="28">
        <v>1905</v>
      </c>
      <c r="I580" s="28">
        <v>42.452603000000003</v>
      </c>
      <c r="J580" s="28">
        <v>-70.973436000000007</v>
      </c>
      <c r="K580" s="28" t="s">
        <v>487</v>
      </c>
      <c r="L580" s="61">
        <v>110000310191</v>
      </c>
      <c r="M580" s="28" t="s">
        <v>265</v>
      </c>
      <c r="N580" s="28">
        <v>3724</v>
      </c>
      <c r="O580" s="28" t="str">
        <f>IFERROR(VLOOKUP(N580, 'SIC &amp; NAICS Codes'!A:B, 2, FALSE), "")</f>
        <v>Aircraft Engines and Engine Parts (except research and development not producing prototypes)</v>
      </c>
      <c r="S580" s="28">
        <v>3.7513135000000003E-2</v>
      </c>
      <c r="T580" s="315">
        <f>_xlfn.MAXIFS('Raw Period DMR Data'!$O:$O,'Raw Period DMR Data'!$A:$A,'Raw Annual DMR Data'!B580,'Raw Period DMR Data'!$C:$C,X580)/S580</f>
        <v>0</v>
      </c>
      <c r="U580" s="28" t="str">
        <f>+IF(COUNTIFS('Raw Period DMR Data'!$A:$A,B580, 'Raw Period DMR Data'!C:C,'Raw Annual DMR Data'!X580, 'Raw Period DMR Data'!M:M, "&gt;0")&gt;0,_xlfn.MAXIFS('Raw Period DMR Data'!M:M,'Raw Period DMR Data'!$A:$A,'Raw Annual DMR Data'!B580,'Raw Period DMR Data'!C:C,'Raw Annual DMR Data'!X580), "N/A - Period DMR Data Not Available")</f>
        <v>N/A - Period DMR Data Not Available</v>
      </c>
      <c r="V580" s="28" t="str" cm="1">
        <f t="array" ref="V580">IFERROR(INDEX('Raw Period DMR Data'!N:N,MATCH(1,(B580='Raw Period DMR Data'!$A:$A)*(U580='Raw Period DMR Data'!M:M)*(X580='Raw Period DMR Data'!C:C),0),1), "N/A")</f>
        <v>N/A</v>
      </c>
      <c r="W580" s="28" t="s">
        <v>1463</v>
      </c>
      <c r="X580" s="28" t="s">
        <v>864</v>
      </c>
      <c r="Y580" s="28" t="s">
        <v>865</v>
      </c>
      <c r="Z580" s="28">
        <v>1090001001195</v>
      </c>
      <c r="AA580" s="28"/>
      <c r="AB580" s="28" t="s">
        <v>1465</v>
      </c>
      <c r="AC580" s="28" t="s">
        <v>1466</v>
      </c>
    </row>
    <row r="581" spans="1:29" x14ac:dyDescent="0.25">
      <c r="A581" s="61">
        <v>110000310191</v>
      </c>
      <c r="B581" s="28">
        <v>2020</v>
      </c>
      <c r="C581" s="68">
        <f t="shared" si="9"/>
        <v>43831</v>
      </c>
      <c r="D581" s="28" t="s">
        <v>151</v>
      </c>
      <c r="E581" s="28" t="s">
        <v>485</v>
      </c>
      <c r="F581" s="28" t="s">
        <v>486</v>
      </c>
      <c r="G581" s="28" t="s">
        <v>308</v>
      </c>
      <c r="H581" s="28">
        <v>1905</v>
      </c>
      <c r="I581" s="28">
        <v>42.452603000000003</v>
      </c>
      <c r="J581" s="28">
        <v>-70.973436000000007</v>
      </c>
      <c r="K581" s="28" t="s">
        <v>487</v>
      </c>
      <c r="L581" s="61">
        <v>110000310191</v>
      </c>
      <c r="M581" s="28" t="s">
        <v>265</v>
      </c>
      <c r="N581" s="28">
        <v>3724</v>
      </c>
      <c r="O581" s="28" t="str">
        <f>IFERROR(VLOOKUP(N581, 'SIC &amp; NAICS Codes'!A:B, 2, FALSE), "")</f>
        <v>Aircraft Engines and Engine Parts (except research and development not producing prototypes)</v>
      </c>
      <c r="S581" s="28">
        <v>3.5348114999999999E-2</v>
      </c>
      <c r="T581" s="315">
        <f>_xlfn.MAXIFS('Raw Period DMR Data'!$O:$O,'Raw Period DMR Data'!$A:$A,'Raw Annual DMR Data'!B581,'Raw Period DMR Data'!$C:$C,X581)/S581</f>
        <v>0</v>
      </c>
      <c r="U581" s="28" t="str">
        <f>+IF(COUNTIFS('Raw Period DMR Data'!$A:$A,B581, 'Raw Period DMR Data'!C:C,'Raw Annual DMR Data'!X581, 'Raw Period DMR Data'!M:M, "&gt;0")&gt;0,_xlfn.MAXIFS('Raw Period DMR Data'!M:M,'Raw Period DMR Data'!$A:$A,'Raw Annual DMR Data'!B581,'Raw Period DMR Data'!C:C,'Raw Annual DMR Data'!X581), "N/A - Period DMR Data Not Available")</f>
        <v>N/A - Period DMR Data Not Available</v>
      </c>
      <c r="V581" s="28" t="str" cm="1">
        <f t="array" ref="V581">IFERROR(INDEX('Raw Period DMR Data'!N:N,MATCH(1,(B581='Raw Period DMR Data'!$A:$A)*(U581='Raw Period DMR Data'!M:M)*(X581='Raw Period DMR Data'!C:C),0),1), "N/A")</f>
        <v>N/A</v>
      </c>
      <c r="W581" s="28" t="s">
        <v>1463</v>
      </c>
      <c r="X581" s="28" t="s">
        <v>864</v>
      </c>
      <c r="Y581" s="28" t="s">
        <v>865</v>
      </c>
      <c r="Z581" s="28">
        <v>1090001001195</v>
      </c>
      <c r="AA581" s="28"/>
      <c r="AB581" s="28" t="s">
        <v>1465</v>
      </c>
      <c r="AC581" s="28" t="s">
        <v>1466</v>
      </c>
    </row>
    <row r="582" spans="1:29" x14ac:dyDescent="0.25">
      <c r="A582" s="61">
        <v>110000310191</v>
      </c>
      <c r="B582" s="28">
        <v>2020</v>
      </c>
      <c r="C582" s="68">
        <f t="shared" si="9"/>
        <v>43831</v>
      </c>
      <c r="D582" s="28" t="s">
        <v>151</v>
      </c>
      <c r="E582" s="28" t="s">
        <v>485</v>
      </c>
      <c r="F582" s="28" t="s">
        <v>486</v>
      </c>
      <c r="G582" s="28" t="s">
        <v>308</v>
      </c>
      <c r="H582" s="28">
        <v>1905</v>
      </c>
      <c r="I582" s="28">
        <v>42.452603000000003</v>
      </c>
      <c r="J582" s="28">
        <v>-70.973436000000007</v>
      </c>
      <c r="K582" s="28" t="s">
        <v>487</v>
      </c>
      <c r="L582" s="61">
        <v>110000310191</v>
      </c>
      <c r="M582" s="28" t="s">
        <v>265</v>
      </c>
      <c r="N582" s="28">
        <v>3724</v>
      </c>
      <c r="O582" s="28" t="str">
        <f>IFERROR(VLOOKUP(N582, 'SIC &amp; NAICS Codes'!A:B, 2, FALSE), "")</f>
        <v>Aircraft Engines and Engine Parts (except research and development not producing prototypes)</v>
      </c>
      <c r="S582" s="28">
        <v>6.4691327500000007E-2</v>
      </c>
      <c r="T582" s="315">
        <f>_xlfn.MAXIFS('Raw Period DMR Data'!$O:$O,'Raw Period DMR Data'!$A:$A,'Raw Annual DMR Data'!B582,'Raw Period DMR Data'!$C:$C,X582)/S582</f>
        <v>0</v>
      </c>
      <c r="U582" s="28" t="str">
        <f>+IF(COUNTIFS('Raw Period DMR Data'!$A:$A,B582, 'Raw Period DMR Data'!C:C,'Raw Annual DMR Data'!X582, 'Raw Period DMR Data'!M:M, "&gt;0")&gt;0,_xlfn.MAXIFS('Raw Period DMR Data'!M:M,'Raw Period DMR Data'!$A:$A,'Raw Annual DMR Data'!B582,'Raw Period DMR Data'!C:C,'Raw Annual DMR Data'!X582), "N/A - Period DMR Data Not Available")</f>
        <v>N/A - Period DMR Data Not Available</v>
      </c>
      <c r="V582" s="28" t="str" cm="1">
        <f t="array" ref="V582">IFERROR(INDEX('Raw Period DMR Data'!N:N,MATCH(1,(B582='Raw Period DMR Data'!$A:$A)*(U582='Raw Period DMR Data'!M:M)*(X582='Raw Period DMR Data'!C:C),0),1), "N/A")</f>
        <v>N/A</v>
      </c>
      <c r="W582" s="28" t="s">
        <v>1463</v>
      </c>
      <c r="X582" s="28" t="s">
        <v>864</v>
      </c>
      <c r="Y582" s="28" t="s">
        <v>865</v>
      </c>
      <c r="Z582" s="28">
        <v>1090001001195</v>
      </c>
      <c r="AA582" s="28"/>
      <c r="AB582" s="28" t="s">
        <v>1465</v>
      </c>
      <c r="AC582" s="28" t="s">
        <v>1466</v>
      </c>
    </row>
    <row r="583" spans="1:29" x14ac:dyDescent="0.25">
      <c r="A583" s="61">
        <v>110000310191</v>
      </c>
      <c r="B583" s="28">
        <v>2020</v>
      </c>
      <c r="C583" s="68">
        <f t="shared" si="9"/>
        <v>43831</v>
      </c>
      <c r="D583" s="28" t="s">
        <v>151</v>
      </c>
      <c r="E583" s="28" t="s">
        <v>485</v>
      </c>
      <c r="F583" s="28" t="s">
        <v>486</v>
      </c>
      <c r="G583" s="28" t="s">
        <v>308</v>
      </c>
      <c r="H583" s="28">
        <v>1905</v>
      </c>
      <c r="I583" s="28">
        <v>42.452603000000003</v>
      </c>
      <c r="J583" s="28">
        <v>-70.973436000000007</v>
      </c>
      <c r="K583" s="28" t="s">
        <v>487</v>
      </c>
      <c r="L583" s="61">
        <v>110000310191</v>
      </c>
      <c r="M583" s="28" t="s">
        <v>265</v>
      </c>
      <c r="N583" s="28">
        <v>3724</v>
      </c>
      <c r="O583" s="28" t="str">
        <f>IFERROR(VLOOKUP(N583, 'SIC &amp; NAICS Codes'!A:B, 2, FALSE), "")</f>
        <v>Aircraft Engines and Engine Parts (except research and development not producing prototypes)</v>
      </c>
      <c r="S583" s="28">
        <v>2.5813699999999999E-3</v>
      </c>
      <c r="T583" s="315">
        <f>_xlfn.MAXIFS('Raw Period DMR Data'!$O:$O,'Raw Period DMR Data'!$A:$A,'Raw Annual DMR Data'!B583,'Raw Period DMR Data'!$C:$C,X583)/S583</f>
        <v>0</v>
      </c>
      <c r="U583" s="28" t="str">
        <f>+IF(COUNTIFS('Raw Period DMR Data'!$A:$A,B583, 'Raw Period DMR Data'!C:C,'Raw Annual DMR Data'!X583, 'Raw Period DMR Data'!M:M, "&gt;0")&gt;0,_xlfn.MAXIFS('Raw Period DMR Data'!M:M,'Raw Period DMR Data'!$A:$A,'Raw Annual DMR Data'!B583,'Raw Period DMR Data'!C:C,'Raw Annual DMR Data'!X583), "N/A - Period DMR Data Not Available")</f>
        <v>N/A - Period DMR Data Not Available</v>
      </c>
      <c r="V583" s="28" t="str" cm="1">
        <f t="array" ref="V583">IFERROR(INDEX('Raw Period DMR Data'!N:N,MATCH(1,(B583='Raw Period DMR Data'!$A:$A)*(U583='Raw Period DMR Data'!M:M)*(X583='Raw Period DMR Data'!C:C),0),1), "N/A")</f>
        <v>N/A</v>
      </c>
      <c r="W583" s="28" t="s">
        <v>1463</v>
      </c>
      <c r="X583" s="28" t="s">
        <v>864</v>
      </c>
      <c r="Y583" s="28" t="s">
        <v>865</v>
      </c>
      <c r="Z583" s="28">
        <v>1090001001195</v>
      </c>
      <c r="AA583" s="28"/>
      <c r="AB583" s="28" t="s">
        <v>1465</v>
      </c>
      <c r="AC583" s="28" t="s">
        <v>1466</v>
      </c>
    </row>
    <row r="584" spans="1:29" x14ac:dyDescent="0.25">
      <c r="A584" s="61">
        <v>110000333318</v>
      </c>
      <c r="B584" s="28">
        <v>2018</v>
      </c>
      <c r="C584" s="68">
        <f t="shared" si="9"/>
        <v>43101</v>
      </c>
      <c r="D584" s="28" t="s">
        <v>152</v>
      </c>
      <c r="E584" s="28" t="s">
        <v>489</v>
      </c>
      <c r="F584" s="28" t="s">
        <v>490</v>
      </c>
      <c r="G584" s="28" t="s">
        <v>491</v>
      </c>
      <c r="H584" s="28">
        <v>17356</v>
      </c>
      <c r="I584" s="28">
        <v>39.903748999999998</v>
      </c>
      <c r="J584" s="28">
        <v>-76.605096000000003</v>
      </c>
      <c r="K584" s="28" t="s">
        <v>492</v>
      </c>
      <c r="L584" s="61">
        <v>110000333318</v>
      </c>
      <c r="M584" s="28" t="s">
        <v>265</v>
      </c>
      <c r="N584" s="28">
        <v>3489</v>
      </c>
      <c r="O584" s="28" t="str">
        <f>IFERROR(VLOOKUP(N584, 'SIC &amp; NAICS Codes'!A:B, 2, FALSE), "")</f>
        <v>Ordnance and Accessories, NEC</v>
      </c>
      <c r="S584" s="28">
        <v>1.3580580000000001E-3</v>
      </c>
      <c r="T584" s="315">
        <f>_xlfn.MAXIFS('Raw Period DMR Data'!$O:$O,'Raw Period DMR Data'!$A:$A,'Raw Annual DMR Data'!B584,'Raw Period DMR Data'!$C:$C,X584)/S584</f>
        <v>0</v>
      </c>
      <c r="U584" s="28" t="str">
        <f>+IF(COUNTIFS('Raw Period DMR Data'!$A:$A,B584, 'Raw Period DMR Data'!C:C,'Raw Annual DMR Data'!X584, 'Raw Period DMR Data'!M:M, "&gt;0")&gt;0,_xlfn.MAXIFS('Raw Period DMR Data'!M:M,'Raw Period DMR Data'!$A:$A,'Raw Annual DMR Data'!B584,'Raw Period DMR Data'!C:C,'Raw Annual DMR Data'!X584), "N/A - Period DMR Data Not Available")</f>
        <v>N/A - Period DMR Data Not Available</v>
      </c>
      <c r="V584" s="28" t="str" cm="1">
        <f t="array" ref="V584">IFERROR(INDEX('Raw Period DMR Data'!N:N,MATCH(1,(B584='Raw Period DMR Data'!$A:$A)*(U584='Raw Period DMR Data'!M:M)*(X584='Raw Period DMR Data'!C:C),0),1), "N/A")</f>
        <v>N/A</v>
      </c>
      <c r="W584" s="28" t="s">
        <v>1463</v>
      </c>
      <c r="X584" s="28" t="s">
        <v>866</v>
      </c>
      <c r="Y584" s="28" t="s">
        <v>867</v>
      </c>
      <c r="Z584" s="61">
        <v>2050306000429</v>
      </c>
    </row>
    <row r="585" spans="1:29" x14ac:dyDescent="0.25">
      <c r="A585" s="61">
        <v>110000333318</v>
      </c>
      <c r="B585" s="28">
        <v>2016</v>
      </c>
      <c r="C585" s="68">
        <f t="shared" si="9"/>
        <v>42370</v>
      </c>
      <c r="D585" s="28" t="s">
        <v>152</v>
      </c>
      <c r="E585" s="28" t="s">
        <v>489</v>
      </c>
      <c r="F585" s="28" t="s">
        <v>490</v>
      </c>
      <c r="G585" s="28" t="s">
        <v>491</v>
      </c>
      <c r="H585" s="28">
        <v>17356</v>
      </c>
      <c r="I585" s="28">
        <v>39.903748999999998</v>
      </c>
      <c r="J585" s="28">
        <v>-76.605096000000003</v>
      </c>
      <c r="K585" s="28" t="s">
        <v>492</v>
      </c>
      <c r="L585" s="61">
        <v>110000333318</v>
      </c>
      <c r="M585" s="28" t="s">
        <v>265</v>
      </c>
      <c r="N585" s="28">
        <v>3489</v>
      </c>
      <c r="O585" s="28" t="str">
        <f>IFERROR(VLOOKUP(N585, 'SIC &amp; NAICS Codes'!A:B, 2, FALSE), "")</f>
        <v>Ordnance and Accessories, NEC</v>
      </c>
      <c r="S585" s="28">
        <v>4.5268599999999999E-2</v>
      </c>
      <c r="T585" s="315">
        <f>_xlfn.MAXIFS('Raw Period DMR Data'!$O:$O,'Raw Period DMR Data'!$A:$A,'Raw Annual DMR Data'!B585,'Raw Period DMR Data'!$C:$C,X585)/S585</f>
        <v>0</v>
      </c>
      <c r="U585" s="28" t="str">
        <f>+IF(COUNTIFS('Raw Period DMR Data'!$A:$A,B585, 'Raw Period DMR Data'!C:C,'Raw Annual DMR Data'!X585, 'Raw Period DMR Data'!M:M, "&gt;0")&gt;0,_xlfn.MAXIFS('Raw Period DMR Data'!M:M,'Raw Period DMR Data'!$A:$A,'Raw Annual DMR Data'!B585,'Raw Period DMR Data'!C:C,'Raw Annual DMR Data'!X585), "N/A - Period DMR Data Not Available")</f>
        <v>N/A - Period DMR Data Not Available</v>
      </c>
      <c r="V585" s="28" t="str" cm="1">
        <f t="array" ref="V585">IFERROR(INDEX('Raw Period DMR Data'!N:N,MATCH(1,(B585='Raw Period DMR Data'!$A:$A)*(U585='Raw Period DMR Data'!M:M)*(X585='Raw Period DMR Data'!C:C),0),1), "N/A")</f>
        <v>N/A</v>
      </c>
      <c r="W585" s="28" t="s">
        <v>1463</v>
      </c>
      <c r="X585" s="28" t="s">
        <v>866</v>
      </c>
      <c r="Y585" s="28" t="s">
        <v>1809</v>
      </c>
      <c r="Z585" s="28">
        <v>2050306000429</v>
      </c>
      <c r="AA585" s="28"/>
      <c r="AB585" s="28" t="s">
        <v>1465</v>
      </c>
      <c r="AC585" s="28" t="s">
        <v>1466</v>
      </c>
    </row>
    <row r="586" spans="1:29" x14ac:dyDescent="0.25">
      <c r="A586" s="61">
        <v>110000333318</v>
      </c>
      <c r="B586" s="28">
        <v>2016</v>
      </c>
      <c r="C586" s="68">
        <f t="shared" si="9"/>
        <v>42370</v>
      </c>
      <c r="D586" s="28" t="s">
        <v>152</v>
      </c>
      <c r="E586" s="28" t="s">
        <v>489</v>
      </c>
      <c r="F586" s="28" t="s">
        <v>490</v>
      </c>
      <c r="G586" s="28" t="s">
        <v>491</v>
      </c>
      <c r="H586" s="28">
        <v>17356</v>
      </c>
      <c r="I586" s="28">
        <v>39.903748999999998</v>
      </c>
      <c r="J586" s="28">
        <v>-76.605096000000003</v>
      </c>
      <c r="K586" s="28" t="s">
        <v>492</v>
      </c>
      <c r="L586" s="61">
        <v>110000333318</v>
      </c>
      <c r="M586" s="28" t="s">
        <v>265</v>
      </c>
      <c r="N586" s="28">
        <v>3489</v>
      </c>
      <c r="O586" s="28" t="str">
        <f>IFERROR(VLOOKUP(N586, 'SIC &amp; NAICS Codes'!A:B, 2, FALSE), "")</f>
        <v>Ordnance and Accessories, NEC</v>
      </c>
      <c r="S586" s="28">
        <v>2.08932E-3</v>
      </c>
      <c r="T586" s="315">
        <f>_xlfn.MAXIFS('Raw Period DMR Data'!$O:$O,'Raw Period DMR Data'!$A:$A,'Raw Annual DMR Data'!B586,'Raw Period DMR Data'!$C:$C,X586)/S586</f>
        <v>0</v>
      </c>
      <c r="U586" s="28" t="str">
        <f>+IF(COUNTIFS('Raw Period DMR Data'!$A:$A,B586, 'Raw Period DMR Data'!C:C,'Raw Annual DMR Data'!X586, 'Raw Period DMR Data'!M:M, "&gt;0")&gt;0,_xlfn.MAXIFS('Raw Period DMR Data'!M:M,'Raw Period DMR Data'!$A:$A,'Raw Annual DMR Data'!B586,'Raw Period DMR Data'!C:C,'Raw Annual DMR Data'!X586), "N/A - Period DMR Data Not Available")</f>
        <v>N/A - Period DMR Data Not Available</v>
      </c>
      <c r="V586" s="28" t="str" cm="1">
        <f t="array" ref="V586">IFERROR(INDEX('Raw Period DMR Data'!N:N,MATCH(1,(B586='Raw Period DMR Data'!$A:$A)*(U586='Raw Period DMR Data'!M:M)*(X586='Raw Period DMR Data'!C:C),0),1), "N/A")</f>
        <v>N/A</v>
      </c>
      <c r="W586" s="28" t="s">
        <v>1463</v>
      </c>
      <c r="X586" s="28" t="s">
        <v>866</v>
      </c>
      <c r="Y586" s="28" t="s">
        <v>1809</v>
      </c>
      <c r="Z586" s="28">
        <v>2050306000429</v>
      </c>
      <c r="AA586" s="28"/>
      <c r="AB586" s="28" t="s">
        <v>1465</v>
      </c>
      <c r="AC586" s="28" t="s">
        <v>1466</v>
      </c>
    </row>
    <row r="587" spans="1:29" x14ac:dyDescent="0.25">
      <c r="A587" s="61">
        <v>110000333318</v>
      </c>
      <c r="B587" s="28">
        <v>2017</v>
      </c>
      <c r="C587" s="68">
        <f t="shared" si="9"/>
        <v>42736</v>
      </c>
      <c r="D587" s="28" t="s">
        <v>152</v>
      </c>
      <c r="E587" s="28" t="s">
        <v>489</v>
      </c>
      <c r="F587" s="28" t="s">
        <v>490</v>
      </c>
      <c r="G587" s="28" t="s">
        <v>491</v>
      </c>
      <c r="H587" s="28">
        <v>17356</v>
      </c>
      <c r="I587" s="28">
        <v>39.903748999999998</v>
      </c>
      <c r="J587" s="28">
        <v>-76.605096000000003</v>
      </c>
      <c r="K587" s="28" t="s">
        <v>492</v>
      </c>
      <c r="L587" s="61">
        <v>110000333318</v>
      </c>
      <c r="M587" s="28" t="s">
        <v>265</v>
      </c>
      <c r="N587" s="28">
        <v>3489</v>
      </c>
      <c r="O587" s="28" t="str">
        <f>IFERROR(VLOOKUP(N587, 'SIC &amp; NAICS Codes'!A:B, 2, FALSE), "")</f>
        <v>Ordnance and Accessories, NEC</v>
      </c>
      <c r="S587" s="28">
        <v>1.5499575E-3</v>
      </c>
      <c r="T587" s="315">
        <f>_xlfn.MAXIFS('Raw Period DMR Data'!$O:$O,'Raw Period DMR Data'!$A:$A,'Raw Annual DMR Data'!B587,'Raw Period DMR Data'!$C:$C,X587)/S587</f>
        <v>0</v>
      </c>
      <c r="U587" s="28" t="str">
        <f>+IF(COUNTIFS('Raw Period DMR Data'!$A:$A,B587, 'Raw Period DMR Data'!C:C,'Raw Annual DMR Data'!X587, 'Raw Period DMR Data'!M:M, "&gt;0")&gt;0,_xlfn.MAXIFS('Raw Period DMR Data'!M:M,'Raw Period DMR Data'!$A:$A,'Raw Annual DMR Data'!B587,'Raw Period DMR Data'!C:C,'Raw Annual DMR Data'!X587), "N/A - Period DMR Data Not Available")</f>
        <v>N/A - Period DMR Data Not Available</v>
      </c>
      <c r="V587" s="28" t="str" cm="1">
        <f t="array" ref="V587">IFERROR(INDEX('Raw Period DMR Data'!N:N,MATCH(1,(B587='Raw Period DMR Data'!$A:$A)*(U587='Raw Period DMR Data'!M:M)*(X587='Raw Period DMR Data'!C:C),0),1), "N/A")</f>
        <v>N/A</v>
      </c>
      <c r="W587" s="28" t="s">
        <v>1463</v>
      </c>
      <c r="X587" s="28" t="s">
        <v>866</v>
      </c>
      <c r="Y587" s="28" t="s">
        <v>1809</v>
      </c>
      <c r="Z587" s="28">
        <v>2050306000429</v>
      </c>
      <c r="AA587" s="28"/>
      <c r="AB587" s="28" t="s">
        <v>1465</v>
      </c>
      <c r="AC587" s="28" t="s">
        <v>1466</v>
      </c>
    </row>
    <row r="588" spans="1:29" x14ac:dyDescent="0.25">
      <c r="A588" s="61">
        <v>110000333318</v>
      </c>
      <c r="B588" s="28">
        <v>2017</v>
      </c>
      <c r="C588" s="68">
        <f t="shared" si="9"/>
        <v>42736</v>
      </c>
      <c r="D588" s="28" t="s">
        <v>152</v>
      </c>
      <c r="E588" s="28" t="s">
        <v>489</v>
      </c>
      <c r="F588" s="28" t="s">
        <v>490</v>
      </c>
      <c r="G588" s="28" t="s">
        <v>491</v>
      </c>
      <c r="H588" s="28">
        <v>17356</v>
      </c>
      <c r="I588" s="28">
        <v>39.903748999999998</v>
      </c>
      <c r="J588" s="28">
        <v>-76.605096000000003</v>
      </c>
      <c r="K588" s="28" t="s">
        <v>492</v>
      </c>
      <c r="L588" s="61">
        <v>110000333318</v>
      </c>
      <c r="M588" s="28" t="s">
        <v>265</v>
      </c>
      <c r="N588" s="28">
        <v>3489</v>
      </c>
      <c r="O588" s="28" t="str">
        <f>IFERROR(VLOOKUP(N588, 'SIC &amp; NAICS Codes'!A:B, 2, FALSE), "")</f>
        <v>Ordnance and Accessories, NEC</v>
      </c>
      <c r="S588" s="28">
        <v>3.4613825000000001E-2</v>
      </c>
      <c r="T588" s="315">
        <f>_xlfn.MAXIFS('Raw Period DMR Data'!$O:$O,'Raw Period DMR Data'!$A:$A,'Raw Annual DMR Data'!B588,'Raw Period DMR Data'!$C:$C,X588)/S588</f>
        <v>0</v>
      </c>
      <c r="U588" s="28" t="str">
        <f>+IF(COUNTIFS('Raw Period DMR Data'!$A:$A,B588, 'Raw Period DMR Data'!C:C,'Raw Annual DMR Data'!X588, 'Raw Period DMR Data'!M:M, "&gt;0")&gt;0,_xlfn.MAXIFS('Raw Period DMR Data'!M:M,'Raw Period DMR Data'!$A:$A,'Raw Annual DMR Data'!B588,'Raw Period DMR Data'!C:C,'Raw Annual DMR Data'!X588), "N/A - Period DMR Data Not Available")</f>
        <v>N/A - Period DMR Data Not Available</v>
      </c>
      <c r="V588" s="28" t="str" cm="1">
        <f t="array" ref="V588">IFERROR(INDEX('Raw Period DMR Data'!N:N,MATCH(1,(B588='Raw Period DMR Data'!$A:$A)*(U588='Raw Period DMR Data'!M:M)*(X588='Raw Period DMR Data'!C:C),0),1), "N/A")</f>
        <v>N/A</v>
      </c>
      <c r="W588" s="28" t="s">
        <v>1463</v>
      </c>
      <c r="X588" s="28" t="s">
        <v>866</v>
      </c>
      <c r="Y588" s="28" t="s">
        <v>1809</v>
      </c>
      <c r="Z588" s="28">
        <v>2050306000429</v>
      </c>
      <c r="AA588" s="28"/>
      <c r="AB588" s="28" t="s">
        <v>1465</v>
      </c>
      <c r="AC588" s="28" t="s">
        <v>1466</v>
      </c>
    </row>
    <row r="589" spans="1:29" x14ac:dyDescent="0.25">
      <c r="A589" s="61">
        <v>110000333318</v>
      </c>
      <c r="B589" s="28">
        <v>2018</v>
      </c>
      <c r="C589" s="68">
        <f t="shared" si="9"/>
        <v>43101</v>
      </c>
      <c r="D589" s="28" t="s">
        <v>152</v>
      </c>
      <c r="E589" s="28" t="s">
        <v>489</v>
      </c>
      <c r="F589" s="28" t="s">
        <v>490</v>
      </c>
      <c r="G589" s="28" t="s">
        <v>491</v>
      </c>
      <c r="H589" s="28">
        <v>17356</v>
      </c>
      <c r="I589" s="28">
        <v>39.903748999999998</v>
      </c>
      <c r="J589" s="28">
        <v>-76.605096000000003</v>
      </c>
      <c r="K589" s="28" t="s">
        <v>492</v>
      </c>
      <c r="L589" s="61">
        <v>110000333318</v>
      </c>
      <c r="M589" s="28" t="s">
        <v>265</v>
      </c>
      <c r="N589" s="28">
        <v>3489</v>
      </c>
      <c r="O589" s="28" t="str">
        <f>IFERROR(VLOOKUP(N589, 'SIC &amp; NAICS Codes'!A:B, 2, FALSE), "")</f>
        <v>Ordnance and Accessories, NEC</v>
      </c>
      <c r="S589" s="28">
        <v>3.5306480000000001E-2</v>
      </c>
      <c r="T589" s="315">
        <f>_xlfn.MAXIFS('Raw Period DMR Data'!$O:$O,'Raw Period DMR Data'!$A:$A,'Raw Annual DMR Data'!B589,'Raw Period DMR Data'!$C:$C,X589)/S589</f>
        <v>0</v>
      </c>
      <c r="U589" s="28" t="str">
        <f>+IF(COUNTIFS('Raw Period DMR Data'!$A:$A,B589, 'Raw Period DMR Data'!C:C,'Raw Annual DMR Data'!X589, 'Raw Period DMR Data'!M:M, "&gt;0")&gt;0,_xlfn.MAXIFS('Raw Period DMR Data'!M:M,'Raw Period DMR Data'!$A:$A,'Raw Annual DMR Data'!B589,'Raw Period DMR Data'!C:C,'Raw Annual DMR Data'!X589), "N/A - Period DMR Data Not Available")</f>
        <v>N/A - Period DMR Data Not Available</v>
      </c>
      <c r="V589" s="28" t="str" cm="1">
        <f t="array" ref="V589">IFERROR(INDEX('Raw Period DMR Data'!N:N,MATCH(1,(B589='Raw Period DMR Data'!$A:$A)*(U589='Raw Period DMR Data'!M:M)*(X589='Raw Period DMR Data'!C:C),0),1), "N/A")</f>
        <v>N/A</v>
      </c>
      <c r="W589" s="28" t="s">
        <v>1463</v>
      </c>
      <c r="X589" s="28" t="s">
        <v>866</v>
      </c>
      <c r="Y589" s="28" t="s">
        <v>1809</v>
      </c>
      <c r="Z589" s="302" t="s">
        <v>1810</v>
      </c>
      <c r="AA589" s="28"/>
      <c r="AB589" s="28" t="s">
        <v>1465</v>
      </c>
      <c r="AC589" s="28" t="s">
        <v>1466</v>
      </c>
    </row>
    <row r="590" spans="1:29" x14ac:dyDescent="0.25">
      <c r="A590" s="61">
        <v>110000333318</v>
      </c>
      <c r="B590" s="28">
        <v>2018</v>
      </c>
      <c r="C590" s="68">
        <f t="shared" si="9"/>
        <v>43101</v>
      </c>
      <c r="D590" s="28" t="s">
        <v>152</v>
      </c>
      <c r="E590" s="28" t="s">
        <v>489</v>
      </c>
      <c r="F590" s="28" t="s">
        <v>490</v>
      </c>
      <c r="G590" s="28" t="s">
        <v>491</v>
      </c>
      <c r="H590" s="28">
        <v>17356</v>
      </c>
      <c r="I590" s="28">
        <v>39.903748999999998</v>
      </c>
      <c r="J590" s="28">
        <v>-76.605096000000003</v>
      </c>
      <c r="K590" s="28" t="s">
        <v>492</v>
      </c>
      <c r="L590" s="61">
        <v>110000333318</v>
      </c>
      <c r="M590" s="28" t="s">
        <v>265</v>
      </c>
      <c r="N590" s="28">
        <v>3489</v>
      </c>
      <c r="O590" s="28" t="str">
        <f>IFERROR(VLOOKUP(N590, 'SIC &amp; NAICS Codes'!A:B, 2, FALSE), "")</f>
        <v>Ordnance and Accessories, NEC</v>
      </c>
      <c r="S590" s="28">
        <v>2.3856855E-3</v>
      </c>
      <c r="T590" s="315">
        <f>_xlfn.MAXIFS('Raw Period DMR Data'!$O:$O,'Raw Period DMR Data'!$A:$A,'Raw Annual DMR Data'!B590,'Raw Period DMR Data'!$C:$C,X590)/S590</f>
        <v>0</v>
      </c>
      <c r="U590" s="28" t="str">
        <f>+IF(COUNTIFS('Raw Period DMR Data'!$A:$A,B590, 'Raw Period DMR Data'!C:C,'Raw Annual DMR Data'!X590, 'Raw Period DMR Data'!M:M, "&gt;0")&gt;0,_xlfn.MAXIFS('Raw Period DMR Data'!M:M,'Raw Period DMR Data'!$A:$A,'Raw Annual DMR Data'!B590,'Raw Period DMR Data'!C:C,'Raw Annual DMR Data'!X590), "N/A - Period DMR Data Not Available")</f>
        <v>N/A - Period DMR Data Not Available</v>
      </c>
      <c r="V590" s="28" t="str" cm="1">
        <f t="array" ref="V590">IFERROR(INDEX('Raw Period DMR Data'!N:N,MATCH(1,(B590='Raw Period DMR Data'!$A:$A)*(U590='Raw Period DMR Data'!M:M)*(X590='Raw Period DMR Data'!C:C),0),1), "N/A")</f>
        <v>N/A</v>
      </c>
      <c r="W590" s="28" t="s">
        <v>1463</v>
      </c>
      <c r="X590" s="28" t="s">
        <v>866</v>
      </c>
      <c r="Y590" s="28" t="s">
        <v>1809</v>
      </c>
      <c r="Z590" s="302" t="s">
        <v>1810</v>
      </c>
      <c r="AA590" s="28"/>
      <c r="AB590" s="28" t="s">
        <v>1465</v>
      </c>
      <c r="AC590" s="28" t="s">
        <v>1466</v>
      </c>
    </row>
    <row r="591" spans="1:29" x14ac:dyDescent="0.25">
      <c r="A591" s="61">
        <v>110017422733</v>
      </c>
      <c r="B591" s="28">
        <v>2015</v>
      </c>
      <c r="C591" s="68">
        <f t="shared" si="9"/>
        <v>42005</v>
      </c>
      <c r="D591" s="28" t="s">
        <v>153</v>
      </c>
      <c r="E591" s="28" t="s">
        <v>494</v>
      </c>
      <c r="F591" s="28" t="s">
        <v>495</v>
      </c>
      <c r="G591" s="28" t="s">
        <v>427</v>
      </c>
      <c r="H591" s="28">
        <v>48380</v>
      </c>
      <c r="I591" s="28">
        <v>42.569099999999999</v>
      </c>
      <c r="J591" s="28">
        <v>-83.674499999999995</v>
      </c>
      <c r="L591" s="61">
        <v>110017422733</v>
      </c>
      <c r="M591" s="28" t="s">
        <v>261</v>
      </c>
      <c r="N591" s="28">
        <v>8734</v>
      </c>
      <c r="O591" s="28" t="str">
        <f>IFERROR(VLOOKUP(N591, 'SIC &amp; NAICS Codes'!A:B, 2, FALSE), "")</f>
        <v>Testing Laboratories (except veterinary testing laboratories)</v>
      </c>
      <c r="S591" s="28">
        <v>0.25451097</v>
      </c>
      <c r="T591" s="315">
        <f>_xlfn.MAXIFS('Raw Period DMR Data'!$O:$O,'Raw Period DMR Data'!$A:$A,'Raw Annual DMR Data'!B591,'Raw Period DMR Data'!$C:$C,X591)/S591</f>
        <v>0</v>
      </c>
      <c r="U591" s="28" t="str">
        <f>+IF(COUNTIFS('Raw Period DMR Data'!$A:$A,B591, 'Raw Period DMR Data'!C:C,'Raw Annual DMR Data'!X591, 'Raw Period DMR Data'!M:M, "&gt;0")&gt;0,_xlfn.MAXIFS('Raw Period DMR Data'!M:M,'Raw Period DMR Data'!$A:$A,'Raw Annual DMR Data'!B591,'Raw Period DMR Data'!C:C,'Raw Annual DMR Data'!X591), "N/A - Period DMR Data Not Available")</f>
        <v>N/A - Period DMR Data Not Available</v>
      </c>
      <c r="V591" s="28" t="str" cm="1">
        <f t="array" ref="V591">IFERROR(INDEX('Raw Period DMR Data'!N:N,MATCH(1,(B591='Raw Period DMR Data'!$A:$A)*(U591='Raw Period DMR Data'!M:M)*(X591='Raw Period DMR Data'!C:C),0),1), "N/A")</f>
        <v>N/A</v>
      </c>
      <c r="W591" s="28" t="s">
        <v>1463</v>
      </c>
      <c r="X591" s="28" t="s">
        <v>868</v>
      </c>
      <c r="Y591" s="28" t="s">
        <v>869</v>
      </c>
      <c r="Z591" s="61">
        <v>4090005002033</v>
      </c>
    </row>
    <row r="592" spans="1:29" x14ac:dyDescent="0.25">
      <c r="A592" s="61">
        <v>110017422733</v>
      </c>
      <c r="B592" s="28">
        <v>2016</v>
      </c>
      <c r="C592" s="68">
        <f t="shared" si="9"/>
        <v>42370</v>
      </c>
      <c r="D592" s="28" t="s">
        <v>153</v>
      </c>
      <c r="E592" s="28" t="s">
        <v>494</v>
      </c>
      <c r="F592" s="28" t="s">
        <v>495</v>
      </c>
      <c r="G592" s="28" t="s">
        <v>427</v>
      </c>
      <c r="H592" s="28">
        <v>48380</v>
      </c>
      <c r="I592" s="28">
        <v>42.569099999999999</v>
      </c>
      <c r="J592" s="28">
        <v>-83.674499999999995</v>
      </c>
      <c r="L592" s="61">
        <v>110017422733</v>
      </c>
      <c r="M592" s="28" t="s">
        <v>261</v>
      </c>
      <c r="N592" s="28">
        <v>8734</v>
      </c>
      <c r="O592" s="28" t="str">
        <f>IFERROR(VLOOKUP(N592, 'SIC &amp; NAICS Codes'!A:B, 2, FALSE), "")</f>
        <v>Testing Laboratories (except veterinary testing laboratories)</v>
      </c>
      <c r="S592" s="28">
        <v>4.1550216000000001E-2</v>
      </c>
      <c r="T592" s="315">
        <f>_xlfn.MAXIFS('Raw Period DMR Data'!$O:$O,'Raw Period DMR Data'!$A:$A,'Raw Annual DMR Data'!B592,'Raw Period DMR Data'!$C:$C,X592)/S592</f>
        <v>0</v>
      </c>
      <c r="U592" s="28" t="str">
        <f>+IF(COUNTIFS('Raw Period DMR Data'!$A:$A,B592, 'Raw Period DMR Data'!C:C,'Raw Annual DMR Data'!X592, 'Raw Period DMR Data'!M:M, "&gt;0")&gt;0,_xlfn.MAXIFS('Raw Period DMR Data'!M:M,'Raw Period DMR Data'!$A:$A,'Raw Annual DMR Data'!B592,'Raw Period DMR Data'!C:C,'Raw Annual DMR Data'!X592), "N/A - Period DMR Data Not Available")</f>
        <v>N/A - Period DMR Data Not Available</v>
      </c>
      <c r="V592" s="28" t="str" cm="1">
        <f t="array" ref="V592">IFERROR(INDEX('Raw Period DMR Data'!N:N,MATCH(1,(B592='Raw Period DMR Data'!$A:$A)*(U592='Raw Period DMR Data'!M:M)*(X592='Raw Period DMR Data'!C:C),0),1), "N/A")</f>
        <v>N/A</v>
      </c>
      <c r="W592" s="28" t="s">
        <v>1463</v>
      </c>
      <c r="X592" s="28" t="s">
        <v>868</v>
      </c>
      <c r="Y592" s="28" t="s">
        <v>869</v>
      </c>
      <c r="Z592" s="61">
        <v>4090005002033</v>
      </c>
      <c r="AA592" s="28"/>
    </row>
    <row r="593" spans="1:29" x14ac:dyDescent="0.25">
      <c r="A593" s="61">
        <v>110017422733</v>
      </c>
      <c r="B593" s="28">
        <v>2017</v>
      </c>
      <c r="C593" s="68">
        <f t="shared" si="9"/>
        <v>42736</v>
      </c>
      <c r="D593" s="28" t="s">
        <v>153</v>
      </c>
      <c r="E593" s="28" t="s">
        <v>494</v>
      </c>
      <c r="F593" s="28" t="s">
        <v>495</v>
      </c>
      <c r="G593" s="28" t="s">
        <v>427</v>
      </c>
      <c r="H593" s="28">
        <v>48380</v>
      </c>
      <c r="I593" s="28">
        <v>42.569099999999999</v>
      </c>
      <c r="J593" s="28">
        <v>-83.674499999999995</v>
      </c>
      <c r="L593" s="61">
        <v>110017422733</v>
      </c>
      <c r="M593" s="28" t="s">
        <v>261</v>
      </c>
      <c r="N593" s="28">
        <v>8734</v>
      </c>
      <c r="O593" s="28" t="str">
        <f>IFERROR(VLOOKUP(N593, 'SIC &amp; NAICS Codes'!A:B, 2, FALSE), "")</f>
        <v>Testing Laboratories (except veterinary testing laboratories)</v>
      </c>
      <c r="S593" s="28">
        <v>3.2108154999999999E-2</v>
      </c>
      <c r="T593" s="315">
        <f>_xlfn.MAXIFS('Raw Period DMR Data'!$O:$O,'Raw Period DMR Data'!$A:$A,'Raw Annual DMR Data'!B593,'Raw Period DMR Data'!$C:$C,X593)/S593</f>
        <v>0</v>
      </c>
      <c r="U593" s="28" t="str">
        <f>+IF(COUNTIFS('Raw Period DMR Data'!$A:$A,B593, 'Raw Period DMR Data'!C:C,'Raw Annual DMR Data'!X593, 'Raw Period DMR Data'!M:M, "&gt;0")&gt;0,_xlfn.MAXIFS('Raw Period DMR Data'!M:M,'Raw Period DMR Data'!$A:$A,'Raw Annual DMR Data'!B593,'Raw Period DMR Data'!C:C,'Raw Annual DMR Data'!X593), "N/A - Period DMR Data Not Available")</f>
        <v>N/A - Period DMR Data Not Available</v>
      </c>
      <c r="V593" s="28" t="str" cm="1">
        <f t="array" ref="V593">IFERROR(INDEX('Raw Period DMR Data'!N:N,MATCH(1,(B593='Raw Period DMR Data'!$A:$A)*(U593='Raw Period DMR Data'!M:M)*(X593='Raw Period DMR Data'!C:C),0),1), "N/A")</f>
        <v>N/A</v>
      </c>
      <c r="W593" s="28" t="s">
        <v>1463</v>
      </c>
      <c r="X593" s="28" t="s">
        <v>868</v>
      </c>
      <c r="Y593" s="28" t="s">
        <v>869</v>
      </c>
      <c r="Z593" s="61">
        <v>4090005002033</v>
      </c>
      <c r="AA593" s="28"/>
    </row>
    <row r="594" spans="1:29" x14ac:dyDescent="0.25">
      <c r="A594" s="61">
        <v>110017422733</v>
      </c>
      <c r="B594" s="28">
        <v>2017</v>
      </c>
      <c r="C594" s="68">
        <f t="shared" si="9"/>
        <v>42736</v>
      </c>
      <c r="D594" s="28" t="s">
        <v>153</v>
      </c>
      <c r="E594" s="28" t="s">
        <v>1811</v>
      </c>
      <c r="F594" s="28" t="s">
        <v>495</v>
      </c>
      <c r="G594" s="28" t="s">
        <v>427</v>
      </c>
      <c r="H594" s="28">
        <v>48380</v>
      </c>
      <c r="I594" s="28">
        <v>42.569099999999999</v>
      </c>
      <c r="J594" s="28">
        <v>-83.674499999999995</v>
      </c>
      <c r="L594" s="61">
        <v>110017422733</v>
      </c>
      <c r="M594" s="28" t="s">
        <v>261</v>
      </c>
      <c r="N594" s="28">
        <v>8734</v>
      </c>
      <c r="O594" s="28" t="str">
        <f>IFERROR(VLOOKUP(N594, 'SIC &amp; NAICS Codes'!A:B, 2, FALSE), "")</f>
        <v>Testing Laboratories (except veterinary testing laboratories)</v>
      </c>
      <c r="S594" s="28">
        <v>4.1158090000000001E-2</v>
      </c>
      <c r="T594" s="315">
        <f>_xlfn.MAXIFS('Raw Period DMR Data'!$O:$O,'Raw Period DMR Data'!$A:$A,'Raw Annual DMR Data'!B594,'Raw Period DMR Data'!$C:$C,X594)/S594</f>
        <v>0</v>
      </c>
      <c r="U594" s="28" t="str">
        <f>+IF(COUNTIFS('Raw Period DMR Data'!$A:$A,B594, 'Raw Period DMR Data'!C:C,'Raw Annual DMR Data'!X594, 'Raw Period DMR Data'!M:M, "&gt;0")&gt;0,_xlfn.MAXIFS('Raw Period DMR Data'!M:M,'Raw Period DMR Data'!$A:$A,'Raw Annual DMR Data'!B594,'Raw Period DMR Data'!C:C,'Raw Annual DMR Data'!X594), "N/A - Period DMR Data Not Available")</f>
        <v>N/A - Period DMR Data Not Available</v>
      </c>
      <c r="V594" s="28" t="str" cm="1">
        <f t="array" ref="V594">IFERROR(INDEX('Raw Period DMR Data'!N:N,MATCH(1,(B594='Raw Period DMR Data'!$A:$A)*(U594='Raw Period DMR Data'!M:M)*(X594='Raw Period DMR Data'!C:C),0),1), "N/A")</f>
        <v>N/A</v>
      </c>
      <c r="W594" s="28" t="s">
        <v>1463</v>
      </c>
      <c r="X594" s="28" t="s">
        <v>868</v>
      </c>
      <c r="Y594" s="28" t="s">
        <v>869</v>
      </c>
      <c r="Z594" s="28">
        <v>4090005002033</v>
      </c>
      <c r="AA594" s="28"/>
      <c r="AB594" s="28" t="s">
        <v>1465</v>
      </c>
      <c r="AC594" s="28" t="s">
        <v>1466</v>
      </c>
    </row>
    <row r="595" spans="1:29" x14ac:dyDescent="0.25">
      <c r="A595" s="61">
        <v>110017422733</v>
      </c>
      <c r="B595" s="28">
        <v>2018</v>
      </c>
      <c r="C595" s="68">
        <f t="shared" si="9"/>
        <v>43101</v>
      </c>
      <c r="D595" s="28" t="s">
        <v>153</v>
      </c>
      <c r="E595" s="28" t="s">
        <v>1811</v>
      </c>
      <c r="F595" s="28" t="s">
        <v>495</v>
      </c>
      <c r="G595" s="28" t="s">
        <v>427</v>
      </c>
      <c r="H595" s="28">
        <v>48380</v>
      </c>
      <c r="I595" s="28">
        <v>42.569099999999999</v>
      </c>
      <c r="J595" s="28">
        <v>-83.674499999999995</v>
      </c>
      <c r="L595" s="61">
        <v>110017422733</v>
      </c>
      <c r="M595" s="28" t="s">
        <v>261</v>
      </c>
      <c r="N595" s="28">
        <v>8734</v>
      </c>
      <c r="O595" s="28" t="str">
        <f>IFERROR(VLOOKUP(N595, 'SIC &amp; NAICS Codes'!A:B, 2, FALSE), "")</f>
        <v>Testing Laboratories (except veterinary testing laboratories)</v>
      </c>
      <c r="S595" s="28">
        <v>1.4733112499999999E-2</v>
      </c>
      <c r="T595" s="315">
        <f>_xlfn.MAXIFS('Raw Period DMR Data'!$O:$O,'Raw Period DMR Data'!$A:$A,'Raw Annual DMR Data'!B595,'Raw Period DMR Data'!$C:$C,X595)/S595</f>
        <v>0</v>
      </c>
      <c r="U595" s="28" t="str">
        <f>+IF(COUNTIFS('Raw Period DMR Data'!$A:$A,B595, 'Raw Period DMR Data'!C:C,'Raw Annual DMR Data'!X595, 'Raw Period DMR Data'!M:M, "&gt;0")&gt;0,_xlfn.MAXIFS('Raw Period DMR Data'!M:M,'Raw Period DMR Data'!$A:$A,'Raw Annual DMR Data'!B595,'Raw Period DMR Data'!C:C,'Raw Annual DMR Data'!X595), "N/A - Period DMR Data Not Available")</f>
        <v>N/A - Period DMR Data Not Available</v>
      </c>
      <c r="V595" s="28" t="str" cm="1">
        <f t="array" ref="V595">IFERROR(INDEX('Raw Period DMR Data'!N:N,MATCH(1,(B595='Raw Period DMR Data'!$A:$A)*(U595='Raw Period DMR Data'!M:M)*(X595='Raw Period DMR Data'!C:C),0),1), "N/A")</f>
        <v>N/A</v>
      </c>
      <c r="W595" s="28" t="s">
        <v>1463</v>
      </c>
      <c r="X595" s="28" t="s">
        <v>868</v>
      </c>
      <c r="Y595" s="28" t="s">
        <v>869</v>
      </c>
      <c r="Z595" s="302" t="s">
        <v>1812</v>
      </c>
      <c r="AA595" s="28"/>
      <c r="AB595" s="28" t="s">
        <v>1465</v>
      </c>
      <c r="AC595" s="28" t="s">
        <v>1466</v>
      </c>
    </row>
    <row r="596" spans="1:29" x14ac:dyDescent="0.25">
      <c r="A596" s="61">
        <v>110017422733</v>
      </c>
      <c r="B596" s="28">
        <v>2019</v>
      </c>
      <c r="C596" s="68">
        <f t="shared" si="9"/>
        <v>43466</v>
      </c>
      <c r="D596" s="28" t="s">
        <v>153</v>
      </c>
      <c r="E596" s="28" t="s">
        <v>1811</v>
      </c>
      <c r="F596" s="28" t="s">
        <v>495</v>
      </c>
      <c r="G596" s="28" t="s">
        <v>427</v>
      </c>
      <c r="H596" s="28">
        <v>48380</v>
      </c>
      <c r="I596" s="28">
        <v>42.569099999999999</v>
      </c>
      <c r="J596" s="28">
        <v>-83.674499999999995</v>
      </c>
      <c r="L596" s="61">
        <v>110017422733</v>
      </c>
      <c r="M596" s="28" t="s">
        <v>261</v>
      </c>
      <c r="N596" s="28">
        <v>8734</v>
      </c>
      <c r="O596" s="28" t="str">
        <f>IFERROR(VLOOKUP(N596, 'SIC &amp; NAICS Codes'!A:B, 2, FALSE), "")</f>
        <v>Testing Laboratories (except veterinary testing laboratories)</v>
      </c>
      <c r="S596" s="28">
        <v>9.2278299999999994E-3</v>
      </c>
      <c r="T596" s="315">
        <f>_xlfn.MAXIFS('Raw Period DMR Data'!$O:$O,'Raw Period DMR Data'!$A:$A,'Raw Annual DMR Data'!B596,'Raw Period DMR Data'!$C:$C,X596)/S596</f>
        <v>0</v>
      </c>
      <c r="U596" s="28" t="str">
        <f>+IF(COUNTIFS('Raw Period DMR Data'!$A:$A,B596, 'Raw Period DMR Data'!C:C,'Raw Annual DMR Data'!X596, 'Raw Period DMR Data'!M:M, "&gt;0")&gt;0,_xlfn.MAXIFS('Raw Period DMR Data'!M:M,'Raw Period DMR Data'!$A:$A,'Raw Annual DMR Data'!B596,'Raw Period DMR Data'!C:C,'Raw Annual DMR Data'!X596), "N/A - Period DMR Data Not Available")</f>
        <v>N/A - Period DMR Data Not Available</v>
      </c>
      <c r="V596" s="28" t="str" cm="1">
        <f t="array" ref="V596">IFERROR(INDEX('Raw Period DMR Data'!N:N,MATCH(1,(B596='Raw Period DMR Data'!$A:$A)*(U596='Raw Period DMR Data'!M:M)*(X596='Raw Period DMR Data'!C:C),0),1), "N/A")</f>
        <v>N/A</v>
      </c>
      <c r="W596" s="28" t="s">
        <v>1463</v>
      </c>
      <c r="X596" s="28" t="s">
        <v>868</v>
      </c>
      <c r="Y596" s="28" t="s">
        <v>869</v>
      </c>
      <c r="Z596" s="28">
        <v>4090005002033</v>
      </c>
      <c r="AA596" s="28"/>
      <c r="AB596" s="28" t="s">
        <v>1465</v>
      </c>
      <c r="AC596" s="28" t="s">
        <v>1466</v>
      </c>
    </row>
    <row r="597" spans="1:29" x14ac:dyDescent="0.25">
      <c r="A597" s="61">
        <v>110017422733</v>
      </c>
      <c r="B597" s="28">
        <v>2020</v>
      </c>
      <c r="C597" s="68">
        <f t="shared" si="9"/>
        <v>43831</v>
      </c>
      <c r="D597" s="28" t="s">
        <v>153</v>
      </c>
      <c r="E597" s="28" t="s">
        <v>1811</v>
      </c>
      <c r="F597" s="28" t="s">
        <v>495</v>
      </c>
      <c r="G597" s="28" t="s">
        <v>427</v>
      </c>
      <c r="H597" s="28">
        <v>48380</v>
      </c>
      <c r="I597" s="28">
        <v>42.569099999999999</v>
      </c>
      <c r="J597" s="28">
        <v>-83.674499999999995</v>
      </c>
      <c r="L597" s="61">
        <v>110017422733</v>
      </c>
      <c r="M597" s="28" t="s">
        <v>261</v>
      </c>
      <c r="N597" s="28">
        <v>8734</v>
      </c>
      <c r="O597" s="28" t="str">
        <f>IFERROR(VLOOKUP(N597, 'SIC &amp; NAICS Codes'!A:B, 2, FALSE), "")</f>
        <v>Testing Laboratories (except veterinary testing laboratories)</v>
      </c>
      <c r="S597" s="28">
        <v>2.048442E-2</v>
      </c>
      <c r="T597" s="315">
        <f>_xlfn.MAXIFS('Raw Period DMR Data'!$O:$O,'Raw Period DMR Data'!$A:$A,'Raw Annual DMR Data'!B597,'Raw Period DMR Data'!$C:$C,X597)/S597</f>
        <v>0</v>
      </c>
      <c r="U597" s="28" t="str">
        <f>+IF(COUNTIFS('Raw Period DMR Data'!$A:$A,B597, 'Raw Period DMR Data'!C:C,'Raw Annual DMR Data'!X597, 'Raw Period DMR Data'!M:M, "&gt;0")&gt;0,_xlfn.MAXIFS('Raw Period DMR Data'!M:M,'Raw Period DMR Data'!$A:$A,'Raw Annual DMR Data'!B597,'Raw Period DMR Data'!C:C,'Raw Annual DMR Data'!X597), "N/A - Period DMR Data Not Available")</f>
        <v>N/A - Period DMR Data Not Available</v>
      </c>
      <c r="V597" s="28" t="str" cm="1">
        <f t="array" ref="V597">IFERROR(INDEX('Raw Period DMR Data'!N:N,MATCH(1,(B597='Raw Period DMR Data'!$A:$A)*(U597='Raw Period DMR Data'!M:M)*(X597='Raw Period DMR Data'!C:C),0),1), "N/A")</f>
        <v>N/A</v>
      </c>
      <c r="W597" s="28" t="s">
        <v>1463</v>
      </c>
      <c r="X597" s="28" t="s">
        <v>868</v>
      </c>
      <c r="Y597" s="28" t="s">
        <v>869</v>
      </c>
      <c r="Z597" s="28">
        <v>4090005002033</v>
      </c>
      <c r="AA597" s="28"/>
      <c r="AB597" s="28" t="s">
        <v>1465</v>
      </c>
      <c r="AC597" s="28" t="s">
        <v>1466</v>
      </c>
    </row>
    <row r="598" spans="1:29" x14ac:dyDescent="0.25">
      <c r="A598" s="61">
        <v>110001123276</v>
      </c>
      <c r="B598" s="28">
        <v>2019</v>
      </c>
      <c r="C598" s="68">
        <f t="shared" si="9"/>
        <v>43466</v>
      </c>
      <c r="D598" s="28" t="s">
        <v>1138</v>
      </c>
      <c r="E598" s="28" t="s">
        <v>1813</v>
      </c>
      <c r="F598" s="28" t="s">
        <v>1139</v>
      </c>
      <c r="G598" s="28" t="s">
        <v>324</v>
      </c>
      <c r="H598" s="28">
        <v>42141</v>
      </c>
      <c r="I598" s="28">
        <v>36.983809999999998</v>
      </c>
      <c r="J598" s="28">
        <v>-85.957089999999994</v>
      </c>
      <c r="L598" s="61">
        <v>110001123276</v>
      </c>
      <c r="M598" s="28" t="s">
        <v>263</v>
      </c>
      <c r="N598" s="28">
        <v>4952</v>
      </c>
      <c r="O598" s="28" t="str">
        <f>IFERROR(VLOOKUP(N598, 'SIC &amp; NAICS Codes'!A:B, 2, FALSE), "")</f>
        <v>Sewerage Systems</v>
      </c>
      <c r="S598" s="28">
        <v>5.2014416250000002</v>
      </c>
      <c r="T598" s="315">
        <f>_xlfn.MAXIFS('Raw Period DMR Data'!$O:$O,'Raw Period DMR Data'!$A:$A,'Raw Annual DMR Data'!B598,'Raw Period DMR Data'!$C:$C,X598)/S598</f>
        <v>0</v>
      </c>
      <c r="U598" s="28" t="str">
        <f>+IF(COUNTIFS('Raw Period DMR Data'!$A:$A,B598, 'Raw Period DMR Data'!C:C,'Raw Annual DMR Data'!X598, 'Raw Period DMR Data'!M:M, "&gt;0")&gt;0,_xlfn.MAXIFS('Raw Period DMR Data'!M:M,'Raw Period DMR Data'!$A:$A,'Raw Annual DMR Data'!B598,'Raw Period DMR Data'!C:C,'Raw Annual DMR Data'!X598), "N/A - Period DMR Data Not Available")</f>
        <v>N/A - Period DMR Data Not Available</v>
      </c>
      <c r="V598" s="28" t="str" cm="1">
        <f t="array" ref="V598">IFERROR(INDEX('Raw Period DMR Data'!N:N,MATCH(1,(B598='Raw Period DMR Data'!$A:$A)*(U598='Raw Period DMR Data'!M:M)*(X598='Raw Period DMR Data'!C:C),0),1), "N/A")</f>
        <v>N/A</v>
      </c>
      <c r="W598" s="28" t="s">
        <v>1463</v>
      </c>
      <c r="X598" s="28" t="s">
        <v>1814</v>
      </c>
      <c r="Y598" s="28" t="s">
        <v>1815</v>
      </c>
      <c r="Z598" s="28">
        <v>5110002001123</v>
      </c>
      <c r="AA598" s="28"/>
      <c r="AB598" s="28" t="s">
        <v>1465</v>
      </c>
      <c r="AC598" s="28" t="s">
        <v>263</v>
      </c>
    </row>
    <row r="599" spans="1:29" x14ac:dyDescent="0.25">
      <c r="A599" s="61">
        <v>110001123276</v>
      </c>
      <c r="B599" s="28">
        <v>2020</v>
      </c>
      <c r="C599" s="68">
        <f t="shared" si="9"/>
        <v>43831</v>
      </c>
      <c r="D599" s="28" t="s">
        <v>1138</v>
      </c>
      <c r="E599" s="28" t="s">
        <v>1813</v>
      </c>
      <c r="F599" s="28" t="s">
        <v>1139</v>
      </c>
      <c r="G599" s="28" t="s">
        <v>324</v>
      </c>
      <c r="H599" s="28">
        <v>42141</v>
      </c>
      <c r="I599" s="28">
        <v>36.983809999999998</v>
      </c>
      <c r="J599" s="28">
        <v>-85.957089999999994</v>
      </c>
      <c r="L599" s="61">
        <v>110001123276</v>
      </c>
      <c r="M599" s="28" t="s">
        <v>263</v>
      </c>
      <c r="N599" s="28">
        <v>4952</v>
      </c>
      <c r="O599" s="28" t="str">
        <f>IFERROR(VLOOKUP(N599, 'SIC &amp; NAICS Codes'!A:B, 2, FALSE), "")</f>
        <v>Sewerage Systems</v>
      </c>
      <c r="S599" s="28">
        <v>3.3446720249999999</v>
      </c>
      <c r="T599" s="315">
        <f>_xlfn.MAXIFS('Raw Period DMR Data'!$O:$O,'Raw Period DMR Data'!$A:$A,'Raw Annual DMR Data'!B599,'Raw Period DMR Data'!$C:$C,X599)/S599</f>
        <v>0</v>
      </c>
      <c r="U599" s="28" t="str">
        <f>+IF(COUNTIFS('Raw Period DMR Data'!$A:$A,B599, 'Raw Period DMR Data'!C:C,'Raw Annual DMR Data'!X599, 'Raw Period DMR Data'!M:M, "&gt;0")&gt;0,_xlfn.MAXIFS('Raw Period DMR Data'!M:M,'Raw Period DMR Data'!$A:$A,'Raw Annual DMR Data'!B599,'Raw Period DMR Data'!C:C,'Raw Annual DMR Data'!X599), "N/A - Period DMR Data Not Available")</f>
        <v>N/A - Period DMR Data Not Available</v>
      </c>
      <c r="V599" s="28" t="str" cm="1">
        <f t="array" ref="V599">IFERROR(INDEX('Raw Period DMR Data'!N:N,MATCH(1,(B599='Raw Period DMR Data'!$A:$A)*(U599='Raw Period DMR Data'!M:M)*(X599='Raw Period DMR Data'!C:C),0),1), "N/A")</f>
        <v>N/A</v>
      </c>
      <c r="W599" s="28" t="s">
        <v>1463</v>
      </c>
      <c r="X599" s="28" t="s">
        <v>1814</v>
      </c>
      <c r="Y599" s="28" t="s">
        <v>1815</v>
      </c>
      <c r="Z599" s="28">
        <v>5110002001123</v>
      </c>
      <c r="AA599" s="28"/>
      <c r="AB599" s="28" t="s">
        <v>1465</v>
      </c>
      <c r="AC599" s="28" t="s">
        <v>263</v>
      </c>
    </row>
    <row r="600" spans="1:29" x14ac:dyDescent="0.25">
      <c r="A600" s="61">
        <v>110064625730</v>
      </c>
      <c r="B600" s="28">
        <v>2015</v>
      </c>
      <c r="C600" s="68">
        <f t="shared" si="9"/>
        <v>42005</v>
      </c>
      <c r="D600" s="28" t="s">
        <v>1816</v>
      </c>
      <c r="E600" s="28" t="s">
        <v>497</v>
      </c>
      <c r="F600" s="28" t="s">
        <v>498</v>
      </c>
      <c r="G600" s="28" t="s">
        <v>338</v>
      </c>
      <c r="H600" s="28">
        <v>8066</v>
      </c>
      <c r="I600" s="28">
        <v>39.852891</v>
      </c>
      <c r="J600" s="28">
        <v>-75.225210000000004</v>
      </c>
      <c r="L600" s="61">
        <v>110064625730</v>
      </c>
      <c r="M600" s="28" t="s">
        <v>263</v>
      </c>
      <c r="N600" s="28">
        <v>4952</v>
      </c>
      <c r="O600" s="28" t="str">
        <f>IFERROR(VLOOKUP(N600, 'SIC &amp; NAICS Codes'!A:B, 2, FALSE), "")</f>
        <v>Sewerage Systems</v>
      </c>
      <c r="S600" s="28">
        <v>1.386145</v>
      </c>
      <c r="T600" s="315">
        <f>_xlfn.MAXIFS('Raw Period DMR Data'!$O:$O,'Raw Period DMR Data'!$A:$A,'Raw Annual DMR Data'!B600,'Raw Period DMR Data'!$C:$C,X600)/S600</f>
        <v>0</v>
      </c>
      <c r="U600" s="28" t="str">
        <f>+IF(COUNTIFS('Raw Period DMR Data'!$A:$A,B600, 'Raw Period DMR Data'!C:C,'Raw Annual DMR Data'!X600, 'Raw Period DMR Data'!M:M, "&gt;0")&gt;0,_xlfn.MAXIFS('Raw Period DMR Data'!M:M,'Raw Period DMR Data'!$A:$A,'Raw Annual DMR Data'!B600,'Raw Period DMR Data'!C:C,'Raw Annual DMR Data'!X600), "N/A - Period DMR Data Not Available")</f>
        <v>N/A - Period DMR Data Not Available</v>
      </c>
      <c r="V600" s="28" t="str" cm="1">
        <f t="array" ref="V600">IFERROR(INDEX('Raw Period DMR Data'!N:N,MATCH(1,(B600='Raw Period DMR Data'!$A:$A)*(U600='Raw Period DMR Data'!M:M)*(X600='Raw Period DMR Data'!C:C),0),1), "N/A")</f>
        <v>N/A</v>
      </c>
      <c r="W600" s="28" t="s">
        <v>1463</v>
      </c>
      <c r="X600" s="28" t="s">
        <v>870</v>
      </c>
      <c r="Y600" s="28" t="s">
        <v>871</v>
      </c>
      <c r="Z600" s="28">
        <v>2040202000030</v>
      </c>
      <c r="AA600" s="28"/>
      <c r="AB600" s="28" t="s">
        <v>1465</v>
      </c>
      <c r="AC600" s="28" t="s">
        <v>263</v>
      </c>
    </row>
    <row r="601" spans="1:29" x14ac:dyDescent="0.25">
      <c r="A601" s="61">
        <v>110064625730</v>
      </c>
      <c r="B601" s="28">
        <v>2016</v>
      </c>
      <c r="C601" s="68">
        <f t="shared" si="9"/>
        <v>42370</v>
      </c>
      <c r="D601" s="28" t="s">
        <v>1816</v>
      </c>
      <c r="E601" s="28" t="s">
        <v>497</v>
      </c>
      <c r="F601" s="28" t="s">
        <v>498</v>
      </c>
      <c r="G601" s="28" t="s">
        <v>338</v>
      </c>
      <c r="H601" s="28">
        <v>8066</v>
      </c>
      <c r="I601" s="28">
        <v>39.852891</v>
      </c>
      <c r="J601" s="28">
        <v>-75.225210000000004</v>
      </c>
      <c r="L601" s="61">
        <v>110064625730</v>
      </c>
      <c r="M601" s="28" t="s">
        <v>263</v>
      </c>
      <c r="N601" s="28">
        <v>4952</v>
      </c>
      <c r="O601" s="28" t="str">
        <f>IFERROR(VLOOKUP(N601, 'SIC &amp; NAICS Codes'!A:B, 2, FALSE), "")</f>
        <v>Sewerage Systems</v>
      </c>
      <c r="S601" s="28">
        <v>3.0941000000000001</v>
      </c>
      <c r="T601" s="315">
        <f>_xlfn.MAXIFS('Raw Period DMR Data'!$O:$O,'Raw Period DMR Data'!$A:$A,'Raw Annual DMR Data'!B601,'Raw Period DMR Data'!$C:$C,X601)/S601</f>
        <v>0</v>
      </c>
      <c r="U601" s="28" t="str">
        <f>+IF(COUNTIFS('Raw Period DMR Data'!$A:$A,B601, 'Raw Period DMR Data'!C:C,'Raw Annual DMR Data'!X601, 'Raw Period DMR Data'!M:M, "&gt;0")&gt;0,_xlfn.MAXIFS('Raw Period DMR Data'!M:M,'Raw Period DMR Data'!$A:$A,'Raw Annual DMR Data'!B601,'Raw Period DMR Data'!C:C,'Raw Annual DMR Data'!X601), "N/A - Period DMR Data Not Available")</f>
        <v>N/A - Period DMR Data Not Available</v>
      </c>
      <c r="V601" s="28" t="str" cm="1">
        <f t="array" ref="V601">IFERROR(INDEX('Raw Period DMR Data'!N:N,MATCH(1,(B601='Raw Period DMR Data'!$A:$A)*(U601='Raw Period DMR Data'!M:M)*(X601='Raw Period DMR Data'!C:C),0),1), "N/A")</f>
        <v>N/A</v>
      </c>
      <c r="W601" s="28" t="s">
        <v>1463</v>
      </c>
      <c r="X601" s="28" t="s">
        <v>870</v>
      </c>
      <c r="Y601" s="28" t="s">
        <v>871</v>
      </c>
      <c r="Z601" s="28">
        <v>2040202000030</v>
      </c>
      <c r="AA601" s="28"/>
      <c r="AB601" s="28" t="s">
        <v>1465</v>
      </c>
      <c r="AC601" s="28" t="s">
        <v>263</v>
      </c>
    </row>
    <row r="602" spans="1:29" x14ac:dyDescent="0.25">
      <c r="A602" s="61">
        <v>110064625730</v>
      </c>
      <c r="B602" s="28">
        <v>2017</v>
      </c>
      <c r="C602" s="68">
        <f t="shared" si="9"/>
        <v>42736</v>
      </c>
      <c r="D602" s="28" t="s">
        <v>1816</v>
      </c>
      <c r="E602" s="28" t="s">
        <v>497</v>
      </c>
      <c r="F602" s="28" t="s">
        <v>498</v>
      </c>
      <c r="G602" s="28" t="s">
        <v>338</v>
      </c>
      <c r="H602" s="28">
        <v>8066</v>
      </c>
      <c r="I602" s="28">
        <v>39.852891</v>
      </c>
      <c r="J602" s="28">
        <v>-75.225210000000004</v>
      </c>
      <c r="L602" s="61">
        <v>110064625730</v>
      </c>
      <c r="M602" s="28" t="s">
        <v>263</v>
      </c>
      <c r="N602" s="28">
        <v>4952</v>
      </c>
      <c r="O602" s="28" t="str">
        <f>IFERROR(VLOOKUP(N602, 'SIC &amp; NAICS Codes'!A:B, 2, FALSE), "")</f>
        <v>Sewerage Systems</v>
      </c>
      <c r="S602" s="28">
        <v>9.0215499999999995</v>
      </c>
      <c r="T602" s="315">
        <f>_xlfn.MAXIFS('Raw Period DMR Data'!$O:$O,'Raw Period DMR Data'!$A:$A,'Raw Annual DMR Data'!B602,'Raw Period DMR Data'!$C:$C,X602)/S602</f>
        <v>0</v>
      </c>
      <c r="U602" s="28" t="str">
        <f>+IF(COUNTIFS('Raw Period DMR Data'!$A:$A,B602, 'Raw Period DMR Data'!C:C,'Raw Annual DMR Data'!X602, 'Raw Period DMR Data'!M:M, "&gt;0")&gt;0,_xlfn.MAXIFS('Raw Period DMR Data'!M:M,'Raw Period DMR Data'!$A:$A,'Raw Annual DMR Data'!B602,'Raw Period DMR Data'!C:C,'Raw Annual DMR Data'!X602), "N/A - Period DMR Data Not Available")</f>
        <v>N/A - Period DMR Data Not Available</v>
      </c>
      <c r="V602" s="28" t="str" cm="1">
        <f t="array" ref="V602">IFERROR(INDEX('Raw Period DMR Data'!N:N,MATCH(1,(B602='Raw Period DMR Data'!$A:$A)*(U602='Raw Period DMR Data'!M:M)*(X602='Raw Period DMR Data'!C:C),0),1), "N/A")</f>
        <v>N/A</v>
      </c>
      <c r="W602" s="28" t="s">
        <v>1463</v>
      </c>
      <c r="X602" s="28" t="s">
        <v>870</v>
      </c>
      <c r="Y602" s="28" t="s">
        <v>871</v>
      </c>
      <c r="Z602" s="28">
        <v>2040202000030</v>
      </c>
      <c r="AA602" s="28"/>
      <c r="AB602" s="28" t="s">
        <v>1465</v>
      </c>
      <c r="AC602" s="28" t="s">
        <v>263</v>
      </c>
    </row>
    <row r="603" spans="1:29" x14ac:dyDescent="0.25">
      <c r="A603" s="61">
        <v>110064625730</v>
      </c>
      <c r="B603" s="28">
        <v>2018</v>
      </c>
      <c r="C603" s="68">
        <f t="shared" si="9"/>
        <v>43101</v>
      </c>
      <c r="D603" s="28" t="s">
        <v>1816</v>
      </c>
      <c r="E603" s="28" t="s">
        <v>497</v>
      </c>
      <c r="F603" s="28" t="s">
        <v>498</v>
      </c>
      <c r="G603" s="28" t="s">
        <v>338</v>
      </c>
      <c r="H603" s="302" t="s">
        <v>1817</v>
      </c>
      <c r="I603" s="28">
        <v>39.852891</v>
      </c>
      <c r="J603" s="28">
        <v>-75.225210000000004</v>
      </c>
      <c r="L603" s="61">
        <v>110064625730</v>
      </c>
      <c r="M603" s="28" t="s">
        <v>263</v>
      </c>
      <c r="N603" s="28">
        <v>4952</v>
      </c>
      <c r="O603" s="28" t="str">
        <f>IFERROR(VLOOKUP(N603, 'SIC &amp; NAICS Codes'!A:B, 2, FALSE), "")</f>
        <v>Sewerage Systems</v>
      </c>
      <c r="S603" s="28">
        <v>5.2731000000000003</v>
      </c>
      <c r="T603" s="315">
        <f>_xlfn.MAXIFS('Raw Period DMR Data'!$O:$O,'Raw Period DMR Data'!$A:$A,'Raw Annual DMR Data'!B603,'Raw Period DMR Data'!$C:$C,X603)/S603</f>
        <v>0</v>
      </c>
      <c r="U603" s="28" t="str">
        <f>+IF(COUNTIFS('Raw Period DMR Data'!$A:$A,B603, 'Raw Period DMR Data'!C:C,'Raw Annual DMR Data'!X603, 'Raw Period DMR Data'!M:M, "&gt;0")&gt;0,_xlfn.MAXIFS('Raw Period DMR Data'!M:M,'Raw Period DMR Data'!$A:$A,'Raw Annual DMR Data'!B603,'Raw Period DMR Data'!C:C,'Raw Annual DMR Data'!X603), "N/A - Period DMR Data Not Available")</f>
        <v>N/A - Period DMR Data Not Available</v>
      </c>
      <c r="V603" s="28" t="str" cm="1">
        <f t="array" ref="V603">IFERROR(INDEX('Raw Period DMR Data'!N:N,MATCH(1,(B603='Raw Period DMR Data'!$A:$A)*(U603='Raw Period DMR Data'!M:M)*(X603='Raw Period DMR Data'!C:C),0),1), "N/A")</f>
        <v>N/A</v>
      </c>
      <c r="W603" s="28" t="s">
        <v>1463</v>
      </c>
      <c r="X603" s="28" t="s">
        <v>870</v>
      </c>
      <c r="Y603" s="28" t="s">
        <v>871</v>
      </c>
      <c r="Z603" s="302" t="s">
        <v>1818</v>
      </c>
      <c r="AA603" s="28"/>
      <c r="AB603" s="28" t="s">
        <v>1465</v>
      </c>
      <c r="AC603" s="28" t="s">
        <v>263</v>
      </c>
    </row>
    <row r="604" spans="1:29" x14ac:dyDescent="0.25">
      <c r="A604" s="61">
        <v>110064625730</v>
      </c>
      <c r="B604" s="28">
        <v>2019</v>
      </c>
      <c r="C604" s="68">
        <f t="shared" si="9"/>
        <v>43466</v>
      </c>
      <c r="D604" s="28" t="s">
        <v>1816</v>
      </c>
      <c r="E604" s="28" t="s">
        <v>497</v>
      </c>
      <c r="F604" s="28" t="s">
        <v>498</v>
      </c>
      <c r="G604" s="28" t="s">
        <v>338</v>
      </c>
      <c r="H604" s="28">
        <v>8066</v>
      </c>
      <c r="I604" s="28">
        <v>39.852891</v>
      </c>
      <c r="J604" s="28">
        <v>-75.225210000000004</v>
      </c>
      <c r="L604" s="61">
        <v>110064625730</v>
      </c>
      <c r="M604" s="28" t="s">
        <v>263</v>
      </c>
      <c r="N604" s="28">
        <v>4952</v>
      </c>
      <c r="O604" s="28" t="str">
        <f>IFERROR(VLOOKUP(N604, 'SIC &amp; NAICS Codes'!A:B, 2, FALSE), "")</f>
        <v>Sewerage Systems</v>
      </c>
      <c r="S604" s="28">
        <v>6.5976999999999997</v>
      </c>
      <c r="T604" s="315">
        <f>_xlfn.MAXIFS('Raw Period DMR Data'!$O:$O,'Raw Period DMR Data'!$A:$A,'Raw Annual DMR Data'!B604,'Raw Period DMR Data'!$C:$C,X604)/S604</f>
        <v>0</v>
      </c>
      <c r="U604" s="28" t="str">
        <f>+IF(COUNTIFS('Raw Period DMR Data'!$A:$A,B604, 'Raw Period DMR Data'!C:C,'Raw Annual DMR Data'!X604, 'Raw Period DMR Data'!M:M, "&gt;0")&gt;0,_xlfn.MAXIFS('Raw Period DMR Data'!M:M,'Raw Period DMR Data'!$A:$A,'Raw Annual DMR Data'!B604,'Raw Period DMR Data'!C:C,'Raw Annual DMR Data'!X604), "N/A - Period DMR Data Not Available")</f>
        <v>N/A - Period DMR Data Not Available</v>
      </c>
      <c r="V604" s="28" t="str" cm="1">
        <f t="array" ref="V604">IFERROR(INDEX('Raw Period DMR Data'!N:N,MATCH(1,(B604='Raw Period DMR Data'!$A:$A)*(U604='Raw Period DMR Data'!M:M)*(X604='Raw Period DMR Data'!C:C),0),1), "N/A")</f>
        <v>N/A</v>
      </c>
      <c r="W604" s="28" t="s">
        <v>1463</v>
      </c>
      <c r="X604" s="28" t="s">
        <v>870</v>
      </c>
      <c r="Y604" s="28" t="s">
        <v>871</v>
      </c>
      <c r="Z604" s="28">
        <v>2040202000030</v>
      </c>
      <c r="AA604" s="28"/>
      <c r="AB604" s="28" t="s">
        <v>1465</v>
      </c>
      <c r="AC604" s="28" t="s">
        <v>263</v>
      </c>
    </row>
    <row r="605" spans="1:29" x14ac:dyDescent="0.25">
      <c r="A605" s="61">
        <v>110064625730</v>
      </c>
      <c r="B605" s="28">
        <v>2020</v>
      </c>
      <c r="C605" s="68">
        <f t="shared" si="9"/>
        <v>43831</v>
      </c>
      <c r="D605" s="28" t="s">
        <v>1816</v>
      </c>
      <c r="E605" s="28" t="s">
        <v>497</v>
      </c>
      <c r="F605" s="28" t="s">
        <v>498</v>
      </c>
      <c r="G605" s="28" t="s">
        <v>338</v>
      </c>
      <c r="H605" s="28">
        <v>8066</v>
      </c>
      <c r="I605" s="28">
        <v>39.852891</v>
      </c>
      <c r="J605" s="28">
        <v>-75.225210000000004</v>
      </c>
      <c r="L605" s="61">
        <v>110064625730</v>
      </c>
      <c r="M605" s="28" t="s">
        <v>263</v>
      </c>
      <c r="N605" s="28">
        <v>4952</v>
      </c>
      <c r="O605" s="28" t="str">
        <f>IFERROR(VLOOKUP(N605, 'SIC &amp; NAICS Codes'!A:B, 2, FALSE), "")</f>
        <v>Sewerage Systems</v>
      </c>
      <c r="S605" s="28">
        <v>6.4795499999999997</v>
      </c>
      <c r="T605" s="315">
        <f>_xlfn.MAXIFS('Raw Period DMR Data'!$O:$O,'Raw Period DMR Data'!$A:$A,'Raw Annual DMR Data'!B605,'Raw Period DMR Data'!$C:$C,X605)/S605</f>
        <v>0</v>
      </c>
      <c r="U605" s="28" t="str">
        <f>+IF(COUNTIFS('Raw Period DMR Data'!$A:$A,B605, 'Raw Period DMR Data'!C:C,'Raw Annual DMR Data'!X605, 'Raw Period DMR Data'!M:M, "&gt;0")&gt;0,_xlfn.MAXIFS('Raw Period DMR Data'!M:M,'Raw Period DMR Data'!$A:$A,'Raw Annual DMR Data'!B605,'Raw Period DMR Data'!C:C,'Raw Annual DMR Data'!X605), "N/A - Period DMR Data Not Available")</f>
        <v>N/A - Period DMR Data Not Available</v>
      </c>
      <c r="V605" s="28" t="str" cm="1">
        <f t="array" ref="V605">IFERROR(INDEX('Raw Period DMR Data'!N:N,MATCH(1,(B605='Raw Period DMR Data'!$A:$A)*(U605='Raw Period DMR Data'!M:M)*(X605='Raw Period DMR Data'!C:C),0),1), "N/A")</f>
        <v>N/A</v>
      </c>
      <c r="W605" s="28" t="s">
        <v>1463</v>
      </c>
      <c r="X605" s="28" t="s">
        <v>870</v>
      </c>
      <c r="Y605" s="28" t="s">
        <v>871</v>
      </c>
      <c r="Z605" s="28">
        <v>2040202000030</v>
      </c>
      <c r="AA605" s="28"/>
      <c r="AB605" s="28" t="s">
        <v>1465</v>
      </c>
      <c r="AC605" s="28" t="s">
        <v>263</v>
      </c>
    </row>
    <row r="606" spans="1:29" x14ac:dyDescent="0.25">
      <c r="A606" s="61">
        <v>110064625730</v>
      </c>
      <c r="B606" s="28">
        <v>2016</v>
      </c>
      <c r="C606" s="68">
        <f t="shared" si="9"/>
        <v>42370</v>
      </c>
      <c r="D606" s="28" t="s">
        <v>154</v>
      </c>
      <c r="E606" s="28" t="s">
        <v>497</v>
      </c>
      <c r="F606" s="28" t="s">
        <v>498</v>
      </c>
      <c r="G606" s="28" t="s">
        <v>338</v>
      </c>
      <c r="H606" s="28">
        <v>8066</v>
      </c>
      <c r="I606" s="28">
        <v>39.852891</v>
      </c>
      <c r="J606" s="28">
        <v>-75.225210000000004</v>
      </c>
      <c r="L606" s="61">
        <v>110064625730</v>
      </c>
      <c r="M606" s="28" t="s">
        <v>263</v>
      </c>
      <c r="N606" s="28">
        <v>4952</v>
      </c>
      <c r="O606" s="28" t="str">
        <f>IFERROR(VLOOKUP(N606, 'SIC &amp; NAICS Codes'!A:B, 2, FALSE), "")</f>
        <v>Sewerage Systems</v>
      </c>
      <c r="S606" s="28">
        <v>0.59519999999999995</v>
      </c>
      <c r="T606" s="315">
        <f>_xlfn.MAXIFS('Raw Period DMR Data'!$O:$O,'Raw Period DMR Data'!$A:$A,'Raw Annual DMR Data'!B606,'Raw Period DMR Data'!$C:$C,X606)/S606</f>
        <v>0</v>
      </c>
      <c r="U606" s="28" t="str">
        <f>+IF(COUNTIFS('Raw Period DMR Data'!$A:$A,B606, 'Raw Period DMR Data'!C:C,'Raw Annual DMR Data'!X606, 'Raw Period DMR Data'!M:M, "&gt;0")&gt;0,_xlfn.MAXIFS('Raw Period DMR Data'!M:M,'Raw Period DMR Data'!$A:$A,'Raw Annual DMR Data'!B606,'Raw Period DMR Data'!C:C,'Raw Annual DMR Data'!X606), "N/A - Period DMR Data Not Available")</f>
        <v>N/A - Period DMR Data Not Available</v>
      </c>
      <c r="V606" s="28" t="str" cm="1">
        <f t="array" ref="V606">IFERROR(INDEX('Raw Period DMR Data'!N:N,MATCH(1,(B606='Raw Period DMR Data'!$A:$A)*(U606='Raw Period DMR Data'!M:M)*(X606='Raw Period DMR Data'!C:C),0),1), "N/A")</f>
        <v>N/A</v>
      </c>
      <c r="W606" s="28" t="s">
        <v>1463</v>
      </c>
      <c r="X606" s="28" t="s">
        <v>870</v>
      </c>
      <c r="Y606" s="28" t="s">
        <v>871</v>
      </c>
      <c r="Z606" s="61">
        <v>2040202000030</v>
      </c>
      <c r="AA606" s="28"/>
    </row>
    <row r="607" spans="1:29" x14ac:dyDescent="0.25">
      <c r="A607" s="61">
        <v>110064625730</v>
      </c>
      <c r="B607" s="28">
        <v>2019</v>
      </c>
      <c r="C607" s="68">
        <f t="shared" si="9"/>
        <v>43466</v>
      </c>
      <c r="D607" s="28" t="s">
        <v>154</v>
      </c>
      <c r="E607" s="28" t="s">
        <v>497</v>
      </c>
      <c r="F607" s="28" t="s">
        <v>498</v>
      </c>
      <c r="G607" s="28" t="s">
        <v>338</v>
      </c>
      <c r="H607" s="28">
        <v>8066</v>
      </c>
      <c r="I607" s="28">
        <v>39.852891</v>
      </c>
      <c r="J607" s="28">
        <v>-75.225210000000004</v>
      </c>
      <c r="L607" s="61">
        <v>110064625730</v>
      </c>
      <c r="M607" s="28" t="s">
        <v>263</v>
      </c>
      <c r="N607" s="28">
        <v>4952</v>
      </c>
      <c r="O607" s="28" t="str">
        <f>IFERROR(VLOOKUP(N607, 'SIC &amp; NAICS Codes'!A:B, 2, FALSE), "")</f>
        <v>Sewerage Systems</v>
      </c>
      <c r="S607" s="28">
        <v>4.53</v>
      </c>
      <c r="T607" s="315">
        <f>_xlfn.MAXIFS('Raw Period DMR Data'!$O:$O,'Raw Period DMR Data'!$A:$A,'Raw Annual DMR Data'!B607,'Raw Period DMR Data'!$C:$C,X607)/S607</f>
        <v>0</v>
      </c>
      <c r="U607" s="28" t="str">
        <f>+IF(COUNTIFS('Raw Period DMR Data'!$A:$A,B607, 'Raw Period DMR Data'!C:C,'Raw Annual DMR Data'!X607, 'Raw Period DMR Data'!M:M, "&gt;0")&gt;0,_xlfn.MAXIFS('Raw Period DMR Data'!M:M,'Raw Period DMR Data'!$A:$A,'Raw Annual DMR Data'!B607,'Raw Period DMR Data'!C:C,'Raw Annual DMR Data'!X607), "N/A - Period DMR Data Not Available")</f>
        <v>N/A - Period DMR Data Not Available</v>
      </c>
      <c r="V607" s="28" t="str" cm="1">
        <f t="array" ref="V607">IFERROR(INDEX('Raw Period DMR Data'!N:N,MATCH(1,(B607='Raw Period DMR Data'!$A:$A)*(U607='Raw Period DMR Data'!M:M)*(X607='Raw Period DMR Data'!C:C),0),1), "N/A")</f>
        <v>N/A</v>
      </c>
      <c r="W607" s="28" t="s">
        <v>1463</v>
      </c>
      <c r="X607" s="28" t="s">
        <v>870</v>
      </c>
      <c r="Y607" s="28" t="s">
        <v>871</v>
      </c>
      <c r="Z607" s="61">
        <v>2040202000030</v>
      </c>
    </row>
    <row r="608" spans="1:29" x14ac:dyDescent="0.25">
      <c r="A608" s="61">
        <v>110000510894</v>
      </c>
      <c r="B608" s="28">
        <v>2018</v>
      </c>
      <c r="C608" s="68">
        <f t="shared" si="9"/>
        <v>43101</v>
      </c>
      <c r="D608" s="28" t="s">
        <v>1140</v>
      </c>
      <c r="E608" s="28" t="s">
        <v>1819</v>
      </c>
      <c r="F608" s="28" t="s">
        <v>1141</v>
      </c>
      <c r="G608" s="28" t="s">
        <v>374</v>
      </c>
      <c r="H608" s="28">
        <v>85338</v>
      </c>
      <c r="I608" s="28">
        <v>33.398600000000002</v>
      </c>
      <c r="J608" s="28">
        <v>-112.3965</v>
      </c>
      <c r="L608" s="61">
        <v>110000510894</v>
      </c>
      <c r="M608" s="28" t="s">
        <v>263</v>
      </c>
      <c r="N608" s="28">
        <v>4952</v>
      </c>
      <c r="O608" s="28" t="str">
        <f>IFERROR(VLOOKUP(N608, 'SIC &amp; NAICS Codes'!A:B, 2, FALSE), "")</f>
        <v>Sewerage Systems</v>
      </c>
      <c r="S608" s="28">
        <v>2.917110760375E-2</v>
      </c>
      <c r="T608" s="315">
        <f>_xlfn.MAXIFS('Raw Period DMR Data'!$O:$O,'Raw Period DMR Data'!$A:$A,'Raw Annual DMR Data'!B608,'Raw Period DMR Data'!$C:$C,X608)/S608</f>
        <v>0</v>
      </c>
      <c r="U608" s="28" t="str">
        <f>+IF(COUNTIFS('Raw Period DMR Data'!$A:$A,B608, 'Raw Period DMR Data'!C:C,'Raw Annual DMR Data'!X608, 'Raw Period DMR Data'!M:M, "&gt;0")&gt;0,_xlfn.MAXIFS('Raw Period DMR Data'!M:M,'Raw Period DMR Data'!$A:$A,'Raw Annual DMR Data'!B608,'Raw Period DMR Data'!C:C,'Raw Annual DMR Data'!X608), "N/A - Period DMR Data Not Available")</f>
        <v>N/A - Period DMR Data Not Available</v>
      </c>
      <c r="V608" s="28" t="str" cm="1">
        <f t="array" ref="V608">IFERROR(INDEX('Raw Period DMR Data'!N:N,MATCH(1,(B608='Raw Period DMR Data'!$A:$A)*(U608='Raw Period DMR Data'!M:M)*(X608='Raw Period DMR Data'!C:C),0),1), "N/A")</f>
        <v>N/A</v>
      </c>
      <c r="W608" s="28" t="s">
        <v>1463</v>
      </c>
      <c r="X608" s="28" t="s">
        <v>1820</v>
      </c>
      <c r="Z608" s="28">
        <v>15060106000281</v>
      </c>
      <c r="AA608" s="28"/>
      <c r="AB608" s="28" t="s">
        <v>1465</v>
      </c>
      <c r="AC608" s="28" t="s">
        <v>263</v>
      </c>
    </row>
    <row r="609" spans="1:29" x14ac:dyDescent="0.25">
      <c r="A609" s="61">
        <v>110012254363</v>
      </c>
      <c r="B609" s="28">
        <v>2019</v>
      </c>
      <c r="C609" s="68">
        <f t="shared" si="9"/>
        <v>43466</v>
      </c>
      <c r="D609" s="28" t="s">
        <v>155</v>
      </c>
      <c r="E609" s="28" t="s">
        <v>499</v>
      </c>
      <c r="F609" s="28" t="s">
        <v>500</v>
      </c>
      <c r="G609" s="28" t="s">
        <v>303</v>
      </c>
      <c r="H609" s="28">
        <v>70805</v>
      </c>
      <c r="I609" s="28">
        <v>30.558889000000001</v>
      </c>
      <c r="J609" s="28">
        <v>-91.217500000000001</v>
      </c>
      <c r="L609" s="61">
        <v>110012254363</v>
      </c>
      <c r="M609" s="28" t="s">
        <v>252</v>
      </c>
      <c r="N609" s="28">
        <v>4491</v>
      </c>
      <c r="O609" s="28" t="str">
        <f>IFERROR(VLOOKUP(N609, 'SIC &amp; NAICS Codes'!A:B, 2, FALSE), "")</f>
        <v>Marine Cargo Handling (dock and pier operations)</v>
      </c>
      <c r="S609" s="28">
        <v>1.40801999999999E-5</v>
      </c>
      <c r="T609" s="315">
        <f>_xlfn.MAXIFS('Raw Period DMR Data'!$O:$O,'Raw Period DMR Data'!$A:$A,'Raw Annual DMR Data'!B609,'Raw Period DMR Data'!$C:$C,X609)/S609</f>
        <v>0</v>
      </c>
      <c r="U609" s="28" t="str">
        <f>+IF(COUNTIFS('Raw Period DMR Data'!$A:$A,B609, 'Raw Period DMR Data'!C:C,'Raw Annual DMR Data'!X609, 'Raw Period DMR Data'!M:M, "&gt;0")&gt;0,_xlfn.MAXIFS('Raw Period DMR Data'!M:M,'Raw Period DMR Data'!$A:$A,'Raw Annual DMR Data'!B609,'Raw Period DMR Data'!C:C,'Raw Annual DMR Data'!X609), "N/A - Period DMR Data Not Available")</f>
        <v>N/A - Period DMR Data Not Available</v>
      </c>
      <c r="V609" s="28" t="str" cm="1">
        <f t="array" ref="V609">IFERROR(INDEX('Raw Period DMR Data'!N:N,MATCH(1,(B609='Raw Period DMR Data'!$A:$A)*(U609='Raw Period DMR Data'!M:M)*(X609='Raw Period DMR Data'!C:C),0),1), "N/A")</f>
        <v>N/A</v>
      </c>
      <c r="W609" s="28" t="s">
        <v>1463</v>
      </c>
      <c r="X609" s="28" t="s">
        <v>872</v>
      </c>
      <c r="Z609" s="61">
        <v>8070201006484</v>
      </c>
    </row>
    <row r="610" spans="1:29" x14ac:dyDescent="0.25">
      <c r="A610" s="61">
        <v>110012254363</v>
      </c>
      <c r="B610" s="28">
        <v>2018</v>
      </c>
      <c r="C610" s="68">
        <f t="shared" si="9"/>
        <v>43101</v>
      </c>
      <c r="D610" s="28" t="s">
        <v>155</v>
      </c>
      <c r="E610" s="28" t="s">
        <v>499</v>
      </c>
      <c r="F610" s="28" t="s">
        <v>500</v>
      </c>
      <c r="G610" s="28" t="s">
        <v>303</v>
      </c>
      <c r="H610" s="28">
        <v>70805</v>
      </c>
      <c r="I610" s="28">
        <v>30.558889000000001</v>
      </c>
      <c r="J610" s="28">
        <v>-91.217500000000001</v>
      </c>
      <c r="L610" s="61">
        <v>110012254363</v>
      </c>
      <c r="M610" s="28" t="s">
        <v>252</v>
      </c>
      <c r="N610" s="28">
        <v>4491</v>
      </c>
      <c r="O610" s="28" t="str">
        <f>IFERROR(VLOOKUP(N610, 'SIC &amp; NAICS Codes'!A:B, 2, FALSE), "")</f>
        <v>Marine Cargo Handling (dock and pier operations)</v>
      </c>
      <c r="S610" s="302">
        <v>6.6381329999999901E-5</v>
      </c>
      <c r="T610" s="315">
        <f>_xlfn.MAXIFS('Raw Period DMR Data'!$O:$O,'Raw Period DMR Data'!$A:$A,'Raw Annual DMR Data'!B610,'Raw Period DMR Data'!$C:$C,X610)/S610</f>
        <v>0</v>
      </c>
      <c r="U610" s="28" t="str">
        <f>+IF(COUNTIFS('Raw Period DMR Data'!$A:$A,B610, 'Raw Period DMR Data'!C:C,'Raw Annual DMR Data'!X610, 'Raw Period DMR Data'!M:M, "&gt;0")&gt;0,_xlfn.MAXIFS('Raw Period DMR Data'!M:M,'Raw Period DMR Data'!$A:$A,'Raw Annual DMR Data'!B610,'Raw Period DMR Data'!C:C,'Raw Annual DMR Data'!X610), "N/A - Period DMR Data Not Available")</f>
        <v>N/A - Period DMR Data Not Available</v>
      </c>
      <c r="V610" s="28" t="str" cm="1">
        <f t="array" ref="V610">IFERROR(INDEX('Raw Period DMR Data'!N:N,MATCH(1,(B610='Raw Period DMR Data'!$A:$A)*(U610='Raw Period DMR Data'!M:M)*(X610='Raw Period DMR Data'!C:C),0),1), "N/A")</f>
        <v>N/A</v>
      </c>
      <c r="W610" s="28" t="s">
        <v>1463</v>
      </c>
      <c r="X610" s="28" t="s">
        <v>872</v>
      </c>
      <c r="Z610" s="302" t="s">
        <v>1821</v>
      </c>
      <c r="AA610" s="28"/>
      <c r="AB610" s="28" t="s">
        <v>1465</v>
      </c>
      <c r="AC610" s="28" t="s">
        <v>263</v>
      </c>
    </row>
    <row r="611" spans="1:29" x14ac:dyDescent="0.25">
      <c r="A611" s="61">
        <v>110012254363</v>
      </c>
      <c r="B611" s="28">
        <v>2019</v>
      </c>
      <c r="C611" s="68">
        <f t="shared" si="9"/>
        <v>43466</v>
      </c>
      <c r="D611" s="28" t="s">
        <v>155</v>
      </c>
      <c r="E611" s="28" t="s">
        <v>499</v>
      </c>
      <c r="F611" s="28" t="s">
        <v>500</v>
      </c>
      <c r="G611" s="28" t="s">
        <v>303</v>
      </c>
      <c r="H611" s="28">
        <v>70805</v>
      </c>
      <c r="I611" s="28">
        <v>30.558889000000001</v>
      </c>
      <c r="J611" s="28">
        <v>-91.217500000000001</v>
      </c>
      <c r="L611" s="61">
        <v>110012254363</v>
      </c>
      <c r="M611" s="28" t="s">
        <v>252</v>
      </c>
      <c r="N611" s="28">
        <v>4491</v>
      </c>
      <c r="O611" s="28" t="str">
        <f>IFERROR(VLOOKUP(N611, 'SIC &amp; NAICS Codes'!A:B, 2, FALSE), "")</f>
        <v>Marine Cargo Handling (dock and pier operations)</v>
      </c>
      <c r="S611" s="28">
        <v>6.5672588749999901E-5</v>
      </c>
      <c r="T611" s="315">
        <f>_xlfn.MAXIFS('Raw Period DMR Data'!$O:$O,'Raw Period DMR Data'!$A:$A,'Raw Annual DMR Data'!B611,'Raw Period DMR Data'!$C:$C,X611)/S611</f>
        <v>0</v>
      </c>
      <c r="U611" s="28" t="str">
        <f>+IF(COUNTIFS('Raw Period DMR Data'!$A:$A,B611, 'Raw Period DMR Data'!C:C,'Raw Annual DMR Data'!X611, 'Raw Period DMR Data'!M:M, "&gt;0")&gt;0,_xlfn.MAXIFS('Raw Period DMR Data'!M:M,'Raw Period DMR Data'!$A:$A,'Raw Annual DMR Data'!B611,'Raw Period DMR Data'!C:C,'Raw Annual DMR Data'!X611), "N/A - Period DMR Data Not Available")</f>
        <v>N/A - Period DMR Data Not Available</v>
      </c>
      <c r="V611" s="28" t="str" cm="1">
        <f t="array" ref="V611">IFERROR(INDEX('Raw Period DMR Data'!N:N,MATCH(1,(B611='Raw Period DMR Data'!$A:$A)*(U611='Raw Period DMR Data'!M:M)*(X611='Raw Period DMR Data'!C:C),0),1), "N/A")</f>
        <v>N/A</v>
      </c>
      <c r="W611" s="28" t="s">
        <v>1463</v>
      </c>
      <c r="X611" s="28" t="s">
        <v>872</v>
      </c>
      <c r="Z611" s="28">
        <v>8070201006484</v>
      </c>
      <c r="AA611" s="28"/>
      <c r="AB611" s="28" t="s">
        <v>1465</v>
      </c>
      <c r="AC611" s="28" t="s">
        <v>263</v>
      </c>
    </row>
    <row r="612" spans="1:29" x14ac:dyDescent="0.25">
      <c r="A612" s="61">
        <v>110012254363</v>
      </c>
      <c r="B612" s="28">
        <v>2020</v>
      </c>
      <c r="C612" s="68">
        <f t="shared" si="9"/>
        <v>43831</v>
      </c>
      <c r="D612" s="28" t="s">
        <v>155</v>
      </c>
      <c r="E612" s="28" t="s">
        <v>499</v>
      </c>
      <c r="F612" s="28" t="s">
        <v>500</v>
      </c>
      <c r="G612" s="28" t="s">
        <v>303</v>
      </c>
      <c r="H612" s="28">
        <v>70805</v>
      </c>
      <c r="I612" s="28">
        <v>30.558889000000001</v>
      </c>
      <c r="J612" s="28">
        <v>-91.217500000000001</v>
      </c>
      <c r="L612" s="61">
        <v>110012254363</v>
      </c>
      <c r="M612" s="28" t="s">
        <v>252</v>
      </c>
      <c r="N612" s="28">
        <v>4491</v>
      </c>
      <c r="O612" s="28" t="str">
        <f>IFERROR(VLOOKUP(N612, 'SIC &amp; NAICS Codes'!A:B, 2, FALSE), "")</f>
        <v>Marine Cargo Handling (dock and pier operations)</v>
      </c>
      <c r="S612" s="28">
        <v>1.47191079999999E-4</v>
      </c>
      <c r="T612" s="315">
        <f>_xlfn.MAXIFS('Raw Period DMR Data'!$O:$O,'Raw Period DMR Data'!$A:$A,'Raw Annual DMR Data'!B612,'Raw Period DMR Data'!$C:$C,X612)/S612</f>
        <v>0</v>
      </c>
      <c r="U612" s="28" t="str">
        <f>+IF(COUNTIFS('Raw Period DMR Data'!$A:$A,B612, 'Raw Period DMR Data'!C:C,'Raw Annual DMR Data'!X612, 'Raw Period DMR Data'!M:M, "&gt;0")&gt;0,_xlfn.MAXIFS('Raw Period DMR Data'!M:M,'Raw Period DMR Data'!$A:$A,'Raw Annual DMR Data'!B612,'Raw Period DMR Data'!C:C,'Raw Annual DMR Data'!X612), "N/A - Period DMR Data Not Available")</f>
        <v>N/A - Period DMR Data Not Available</v>
      </c>
      <c r="V612" s="28" t="str" cm="1">
        <f t="array" ref="V612">IFERROR(INDEX('Raw Period DMR Data'!N:N,MATCH(1,(B612='Raw Period DMR Data'!$A:$A)*(U612='Raw Period DMR Data'!M:M)*(X612='Raw Period DMR Data'!C:C),0),1), "N/A")</f>
        <v>N/A</v>
      </c>
      <c r="W612" s="28" t="s">
        <v>1463</v>
      </c>
      <c r="X612" s="28" t="s">
        <v>872</v>
      </c>
      <c r="Z612" s="28">
        <v>8070201006484</v>
      </c>
      <c r="AA612" s="28"/>
      <c r="AB612" s="28" t="s">
        <v>1465</v>
      </c>
      <c r="AC612" s="28" t="s">
        <v>263</v>
      </c>
    </row>
    <row r="613" spans="1:29" x14ac:dyDescent="0.25">
      <c r="A613" s="61">
        <v>110070741217</v>
      </c>
      <c r="B613" s="28">
        <v>2020</v>
      </c>
      <c r="C613" s="68">
        <f t="shared" si="9"/>
        <v>43831</v>
      </c>
      <c r="D613" s="28" t="s">
        <v>1142</v>
      </c>
      <c r="E613" s="28" t="s">
        <v>1822</v>
      </c>
      <c r="F613" s="28" t="s">
        <v>1143</v>
      </c>
      <c r="G613" s="28" t="s">
        <v>308</v>
      </c>
      <c r="H613" s="28">
        <v>2145</v>
      </c>
      <c r="I613" s="28">
        <v>42.380989999999997</v>
      </c>
      <c r="J613" s="28">
        <v>-71.087580000000003</v>
      </c>
      <c r="L613" s="61">
        <v>110070741217</v>
      </c>
      <c r="M613" s="28" t="s">
        <v>265</v>
      </c>
      <c r="O613" s="28" t="str">
        <f>IFERROR(VLOOKUP(N613, 'SIC &amp; NAICS Codes'!A:B, 2, FALSE), "")</f>
        <v/>
      </c>
      <c r="S613" s="28">
        <v>5.7689929124999997E-3</v>
      </c>
      <c r="T613" s="315">
        <f>_xlfn.MAXIFS('Raw Period DMR Data'!$O:$O,'Raw Period DMR Data'!$A:$A,'Raw Annual DMR Data'!B613,'Raw Period DMR Data'!$C:$C,X613)/S613</f>
        <v>0</v>
      </c>
      <c r="U613" s="28" t="str">
        <f>+IF(COUNTIFS('Raw Period DMR Data'!$A:$A,B613, 'Raw Period DMR Data'!C:C,'Raw Annual DMR Data'!X613, 'Raw Period DMR Data'!M:M, "&gt;0")&gt;0,_xlfn.MAXIFS('Raw Period DMR Data'!M:M,'Raw Period DMR Data'!$A:$A,'Raw Annual DMR Data'!B613,'Raw Period DMR Data'!C:C,'Raw Annual DMR Data'!X613), "N/A - Period DMR Data Not Available")</f>
        <v>N/A - Period DMR Data Not Available</v>
      </c>
      <c r="V613" s="28" t="str" cm="1">
        <f t="array" ref="V613">IFERROR(INDEX('Raw Period DMR Data'!N:N,MATCH(1,(B613='Raw Period DMR Data'!$A:$A)*(U613='Raw Period DMR Data'!M:M)*(X613='Raw Period DMR Data'!C:C),0),1), "N/A")</f>
        <v>N/A</v>
      </c>
      <c r="W613" s="28" t="s">
        <v>1463</v>
      </c>
      <c r="X613" s="28" t="s">
        <v>1823</v>
      </c>
      <c r="Y613" s="28" t="s">
        <v>1824</v>
      </c>
      <c r="AA613" s="28"/>
      <c r="AB613" s="28" t="s">
        <v>1465</v>
      </c>
      <c r="AC613" s="28" t="s">
        <v>1466</v>
      </c>
    </row>
    <row r="614" spans="1:29" x14ac:dyDescent="0.25">
      <c r="A614" s="61">
        <v>110000759723</v>
      </c>
      <c r="B614" s="28">
        <v>2020</v>
      </c>
      <c r="C614" s="68">
        <f t="shared" si="9"/>
        <v>43831</v>
      </c>
      <c r="D614" s="28" t="s">
        <v>1144</v>
      </c>
      <c r="E614" s="28" t="s">
        <v>1825</v>
      </c>
      <c r="F614" s="28" t="s">
        <v>1145</v>
      </c>
      <c r="G614" s="28" t="s">
        <v>324</v>
      </c>
      <c r="H614" s="28">
        <v>41144</v>
      </c>
      <c r="I614" s="28">
        <v>38.551630000000003</v>
      </c>
      <c r="J614" s="28">
        <v>-82.778199999999998</v>
      </c>
      <c r="L614" s="61">
        <v>110000759723</v>
      </c>
      <c r="M614" s="28" t="s">
        <v>263</v>
      </c>
      <c r="N614" s="28">
        <v>4952</v>
      </c>
      <c r="O614" s="28" t="str">
        <f>IFERROR(VLOOKUP(N614, 'SIC &amp; NAICS Codes'!A:B, 2, FALSE), "")</f>
        <v>Sewerage Systems</v>
      </c>
      <c r="S614" s="28">
        <v>1.3815249999999999</v>
      </c>
      <c r="T614" s="315">
        <f>_xlfn.MAXIFS('Raw Period DMR Data'!$O:$O,'Raw Period DMR Data'!$A:$A,'Raw Annual DMR Data'!B614,'Raw Period DMR Data'!$C:$C,X614)/S614</f>
        <v>0</v>
      </c>
      <c r="U614" s="28" t="str">
        <f>+IF(COUNTIFS('Raw Period DMR Data'!$A:$A,B614, 'Raw Period DMR Data'!C:C,'Raw Annual DMR Data'!X614, 'Raw Period DMR Data'!M:M, "&gt;0")&gt;0,_xlfn.MAXIFS('Raw Period DMR Data'!M:M,'Raw Period DMR Data'!$A:$A,'Raw Annual DMR Data'!B614,'Raw Period DMR Data'!C:C,'Raw Annual DMR Data'!X614), "N/A - Period DMR Data Not Available")</f>
        <v>N/A - Period DMR Data Not Available</v>
      </c>
      <c r="V614" s="28" t="str" cm="1">
        <f t="array" ref="V614">IFERROR(INDEX('Raw Period DMR Data'!N:N,MATCH(1,(B614='Raw Period DMR Data'!$A:$A)*(U614='Raw Period DMR Data'!M:M)*(X614='Raw Period DMR Data'!C:C),0),1), "N/A")</f>
        <v>N/A</v>
      </c>
      <c r="W614" s="28" t="s">
        <v>1463</v>
      </c>
      <c r="X614" s="28" t="s">
        <v>1826</v>
      </c>
      <c r="Y614" s="28" t="s">
        <v>830</v>
      </c>
      <c r="Z614" s="28">
        <v>5090103000913</v>
      </c>
      <c r="AA614" s="28"/>
      <c r="AB614" s="28" t="s">
        <v>1465</v>
      </c>
      <c r="AC614" s="28" t="s">
        <v>263</v>
      </c>
    </row>
    <row r="615" spans="1:29" x14ac:dyDescent="0.25">
      <c r="A615" s="61">
        <v>110000817439</v>
      </c>
      <c r="B615" s="28">
        <v>2017</v>
      </c>
      <c r="C615" s="68">
        <f t="shared" si="9"/>
        <v>42736</v>
      </c>
      <c r="D615" s="28" t="s">
        <v>1146</v>
      </c>
      <c r="E615" s="28" t="s">
        <v>1827</v>
      </c>
      <c r="F615" s="28" t="s">
        <v>1147</v>
      </c>
      <c r="G615" s="28" t="s">
        <v>491</v>
      </c>
      <c r="H615" s="28">
        <v>19067</v>
      </c>
      <c r="I615" s="28">
        <v>40.159343999999997</v>
      </c>
      <c r="J615" s="28">
        <v>-74.776695000000004</v>
      </c>
      <c r="L615" s="61">
        <v>110000817439</v>
      </c>
      <c r="M615" s="28" t="s">
        <v>6750</v>
      </c>
      <c r="N615" s="28">
        <v>4953</v>
      </c>
      <c r="O615" s="28" t="str">
        <f>IFERROR(VLOOKUP(N615, 'SIC &amp; NAICS Codes'!A:B, 2, FALSE), "")</f>
        <v>Refuse Systems (hazardous waste treatment and disposal)</v>
      </c>
      <c r="S615" s="28">
        <v>5.2611863359999997E-2</v>
      </c>
      <c r="T615" s="315">
        <f>_xlfn.MAXIFS('Raw Period DMR Data'!$O:$O,'Raw Period DMR Data'!$A:$A,'Raw Annual DMR Data'!B615,'Raw Period DMR Data'!$C:$C,X615)/S615</f>
        <v>0</v>
      </c>
      <c r="U615" s="28" t="str">
        <f>+IF(COUNTIFS('Raw Period DMR Data'!$A:$A,B615, 'Raw Period DMR Data'!C:C,'Raw Annual DMR Data'!X615, 'Raw Period DMR Data'!M:M, "&gt;0")&gt;0,_xlfn.MAXIFS('Raw Period DMR Data'!M:M,'Raw Period DMR Data'!$A:$A,'Raw Annual DMR Data'!B615,'Raw Period DMR Data'!C:C,'Raw Annual DMR Data'!X615), "N/A - Period DMR Data Not Available")</f>
        <v>N/A - Period DMR Data Not Available</v>
      </c>
      <c r="V615" s="28" t="str" cm="1">
        <f t="array" ref="V615">IFERROR(INDEX('Raw Period DMR Data'!N:N,MATCH(1,(B615='Raw Period DMR Data'!$A:$A)*(U615='Raw Period DMR Data'!M:M)*(X615='Raw Period DMR Data'!C:C),0),1), "N/A")</f>
        <v>N/A</v>
      </c>
      <c r="W615" s="28" t="s">
        <v>1463</v>
      </c>
      <c r="X615" s="28" t="s">
        <v>1828</v>
      </c>
      <c r="Y615" s="28" t="s">
        <v>1829</v>
      </c>
      <c r="Z615" s="28">
        <v>2040201000496</v>
      </c>
      <c r="AA615" s="28"/>
      <c r="AB615" s="28" t="s">
        <v>1465</v>
      </c>
      <c r="AC615" s="28" t="s">
        <v>1466</v>
      </c>
    </row>
    <row r="616" spans="1:29" x14ac:dyDescent="0.25">
      <c r="A616" s="61">
        <v>110000817439</v>
      </c>
      <c r="B616" s="28">
        <v>2018</v>
      </c>
      <c r="C616" s="68">
        <f t="shared" si="9"/>
        <v>43101</v>
      </c>
      <c r="D616" s="28" t="s">
        <v>1146</v>
      </c>
      <c r="E616" s="28" t="s">
        <v>1827</v>
      </c>
      <c r="F616" s="28" t="s">
        <v>1147</v>
      </c>
      <c r="G616" s="28" t="s">
        <v>491</v>
      </c>
      <c r="H616" s="28">
        <v>19067</v>
      </c>
      <c r="I616" s="28">
        <v>40.159343999999997</v>
      </c>
      <c r="J616" s="28">
        <v>-74.776695000000004</v>
      </c>
      <c r="L616" s="61">
        <v>110000817439</v>
      </c>
      <c r="M616" s="28" t="s">
        <v>6750</v>
      </c>
      <c r="N616" s="28">
        <v>4953</v>
      </c>
      <c r="O616" s="28" t="str">
        <f>IFERROR(VLOOKUP(N616, 'SIC &amp; NAICS Codes'!A:B, 2, FALSE), "")</f>
        <v>Refuse Systems (hazardous waste treatment and disposal)</v>
      </c>
      <c r="S616" s="28">
        <v>6.9978001647499996E-2</v>
      </c>
      <c r="T616" s="315">
        <f>_xlfn.MAXIFS('Raw Period DMR Data'!$O:$O,'Raw Period DMR Data'!$A:$A,'Raw Annual DMR Data'!B616,'Raw Period DMR Data'!$C:$C,X616)/S616</f>
        <v>0</v>
      </c>
      <c r="U616" s="28" t="str">
        <f>+IF(COUNTIFS('Raw Period DMR Data'!$A:$A,B616, 'Raw Period DMR Data'!C:C,'Raw Annual DMR Data'!X616, 'Raw Period DMR Data'!M:M, "&gt;0")&gt;0,_xlfn.MAXIFS('Raw Period DMR Data'!M:M,'Raw Period DMR Data'!$A:$A,'Raw Annual DMR Data'!B616,'Raw Period DMR Data'!C:C,'Raw Annual DMR Data'!X616), "N/A - Period DMR Data Not Available")</f>
        <v>N/A - Period DMR Data Not Available</v>
      </c>
      <c r="V616" s="28" t="str" cm="1">
        <f t="array" ref="V616">IFERROR(INDEX('Raw Period DMR Data'!N:N,MATCH(1,(B616='Raw Period DMR Data'!$A:$A)*(U616='Raw Period DMR Data'!M:M)*(X616='Raw Period DMR Data'!C:C),0),1), "N/A")</f>
        <v>N/A</v>
      </c>
      <c r="W616" s="28" t="s">
        <v>1463</v>
      </c>
      <c r="X616" s="28" t="s">
        <v>1828</v>
      </c>
      <c r="Y616" s="28" t="s">
        <v>1829</v>
      </c>
      <c r="Z616" s="302" t="s">
        <v>1830</v>
      </c>
      <c r="AA616" s="28"/>
      <c r="AB616" s="28" t="s">
        <v>1465</v>
      </c>
      <c r="AC616" s="28" t="s">
        <v>1466</v>
      </c>
    </row>
    <row r="617" spans="1:29" x14ac:dyDescent="0.25">
      <c r="A617" s="61">
        <v>110000817439</v>
      </c>
      <c r="B617" s="28">
        <v>2019</v>
      </c>
      <c r="C617" s="68">
        <f t="shared" si="9"/>
        <v>43466</v>
      </c>
      <c r="D617" s="28" t="s">
        <v>1146</v>
      </c>
      <c r="E617" s="28" t="s">
        <v>1827</v>
      </c>
      <c r="F617" s="28" t="s">
        <v>1147</v>
      </c>
      <c r="G617" s="28" t="s">
        <v>491</v>
      </c>
      <c r="H617" s="28">
        <v>19067</v>
      </c>
      <c r="I617" s="28">
        <v>40.159343999999997</v>
      </c>
      <c r="J617" s="28">
        <v>-74.776695000000004</v>
      </c>
      <c r="L617" s="61">
        <v>110000817439</v>
      </c>
      <c r="M617" s="28" t="s">
        <v>6750</v>
      </c>
      <c r="N617" s="28">
        <v>4953</v>
      </c>
      <c r="O617" s="28" t="str">
        <f>IFERROR(VLOOKUP(N617, 'SIC &amp; NAICS Codes'!A:B, 2, FALSE), "")</f>
        <v>Refuse Systems (hazardous waste treatment and disposal)</v>
      </c>
      <c r="S617" s="28">
        <v>6.7976701822499999E-2</v>
      </c>
      <c r="T617" s="315">
        <f>_xlfn.MAXIFS('Raw Period DMR Data'!$O:$O,'Raw Period DMR Data'!$A:$A,'Raw Annual DMR Data'!B617,'Raw Period DMR Data'!$C:$C,X617)/S617</f>
        <v>0</v>
      </c>
      <c r="U617" s="28" t="str">
        <f>+IF(COUNTIFS('Raw Period DMR Data'!$A:$A,B617, 'Raw Period DMR Data'!C:C,'Raw Annual DMR Data'!X617, 'Raw Period DMR Data'!M:M, "&gt;0")&gt;0,_xlfn.MAXIFS('Raw Period DMR Data'!M:M,'Raw Period DMR Data'!$A:$A,'Raw Annual DMR Data'!B617,'Raw Period DMR Data'!C:C,'Raw Annual DMR Data'!X617), "N/A - Period DMR Data Not Available")</f>
        <v>N/A - Period DMR Data Not Available</v>
      </c>
      <c r="V617" s="28" t="str" cm="1">
        <f t="array" ref="V617">IFERROR(INDEX('Raw Period DMR Data'!N:N,MATCH(1,(B617='Raw Period DMR Data'!$A:$A)*(U617='Raw Period DMR Data'!M:M)*(X617='Raw Period DMR Data'!C:C),0),1), "N/A")</f>
        <v>N/A</v>
      </c>
      <c r="W617" s="28" t="s">
        <v>1463</v>
      </c>
      <c r="X617" s="28" t="s">
        <v>1828</v>
      </c>
      <c r="Y617" s="28" t="s">
        <v>1829</v>
      </c>
      <c r="Z617" s="28">
        <v>2040201000496</v>
      </c>
      <c r="AA617" s="28"/>
      <c r="AB617" s="28" t="s">
        <v>1465</v>
      </c>
      <c r="AC617" s="28" t="s">
        <v>1466</v>
      </c>
    </row>
    <row r="618" spans="1:29" x14ac:dyDescent="0.25">
      <c r="A618" s="61">
        <v>110000817439</v>
      </c>
      <c r="B618" s="28">
        <v>2020</v>
      </c>
      <c r="C618" s="68">
        <f t="shared" si="9"/>
        <v>43831</v>
      </c>
      <c r="D618" s="28" t="s">
        <v>1146</v>
      </c>
      <c r="E618" s="28" t="s">
        <v>1827</v>
      </c>
      <c r="F618" s="28" t="s">
        <v>1147</v>
      </c>
      <c r="G618" s="28" t="s">
        <v>491</v>
      </c>
      <c r="H618" s="28">
        <v>19067</v>
      </c>
      <c r="I618" s="28">
        <v>40.159343999999997</v>
      </c>
      <c r="J618" s="28">
        <v>-74.776695000000004</v>
      </c>
      <c r="L618" s="61">
        <v>110000817439</v>
      </c>
      <c r="M618" s="28" t="s">
        <v>6750</v>
      </c>
      <c r="N618" s="28">
        <v>4953</v>
      </c>
      <c r="O618" s="28" t="str">
        <f>IFERROR(VLOOKUP(N618, 'SIC &amp; NAICS Codes'!A:B, 2, FALSE), "")</f>
        <v>Refuse Systems (hazardous waste treatment and disposal)</v>
      </c>
      <c r="S618" s="28">
        <v>6.9193630419999999E-2</v>
      </c>
      <c r="T618" s="315">
        <f>_xlfn.MAXIFS('Raw Period DMR Data'!$O:$O,'Raw Period DMR Data'!$A:$A,'Raw Annual DMR Data'!B618,'Raw Period DMR Data'!$C:$C,X618)/S618</f>
        <v>0</v>
      </c>
      <c r="U618" s="28" t="str">
        <f>+IF(COUNTIFS('Raw Period DMR Data'!$A:$A,B618, 'Raw Period DMR Data'!C:C,'Raw Annual DMR Data'!X618, 'Raw Period DMR Data'!M:M, "&gt;0")&gt;0,_xlfn.MAXIFS('Raw Period DMR Data'!M:M,'Raw Period DMR Data'!$A:$A,'Raw Annual DMR Data'!B618,'Raw Period DMR Data'!C:C,'Raw Annual DMR Data'!X618), "N/A - Period DMR Data Not Available")</f>
        <v>N/A - Period DMR Data Not Available</v>
      </c>
      <c r="V618" s="28" t="str" cm="1">
        <f t="array" ref="V618">IFERROR(INDEX('Raw Period DMR Data'!N:N,MATCH(1,(B618='Raw Period DMR Data'!$A:$A)*(U618='Raw Period DMR Data'!M:M)*(X618='Raw Period DMR Data'!C:C),0),1), "N/A")</f>
        <v>N/A</v>
      </c>
      <c r="W618" s="28" t="s">
        <v>1463</v>
      </c>
      <c r="X618" s="28" t="s">
        <v>1828</v>
      </c>
      <c r="Y618" s="28" t="s">
        <v>1829</v>
      </c>
      <c r="Z618" s="28">
        <v>2040201000496</v>
      </c>
      <c r="AA618" s="28"/>
      <c r="AB618" s="28" t="s">
        <v>1465</v>
      </c>
      <c r="AC618" s="28" t="s">
        <v>1466</v>
      </c>
    </row>
    <row r="619" spans="1:29" x14ac:dyDescent="0.25">
      <c r="A619" s="61">
        <v>110009937499</v>
      </c>
      <c r="B619" s="28">
        <v>2017</v>
      </c>
      <c r="C619" s="68">
        <f t="shared" si="9"/>
        <v>42736</v>
      </c>
      <c r="D619" s="28" t="s">
        <v>1148</v>
      </c>
      <c r="E619" s="28" t="s">
        <v>1831</v>
      </c>
      <c r="F619" s="28" t="s">
        <v>1149</v>
      </c>
      <c r="G619" s="28" t="s">
        <v>324</v>
      </c>
      <c r="H619" s="28">
        <v>42234</v>
      </c>
      <c r="I619" s="28">
        <v>36.644849999999998</v>
      </c>
      <c r="J619" s="28">
        <v>-87.187950000000001</v>
      </c>
      <c r="L619" s="61">
        <v>110009937499</v>
      </c>
      <c r="M619" s="28" t="s">
        <v>263</v>
      </c>
      <c r="N619" s="28">
        <v>4952</v>
      </c>
      <c r="O619" s="28" t="str">
        <f>IFERROR(VLOOKUP(N619, 'SIC &amp; NAICS Codes'!A:B, 2, FALSE), "")</f>
        <v>Sewerage Systems</v>
      </c>
      <c r="S619" s="28">
        <v>0.64931675</v>
      </c>
      <c r="T619" s="315">
        <f>_xlfn.MAXIFS('Raw Period DMR Data'!$O:$O,'Raw Period DMR Data'!$A:$A,'Raw Annual DMR Data'!B619,'Raw Period DMR Data'!$C:$C,X619)/S619</f>
        <v>0</v>
      </c>
      <c r="U619" s="28" t="str">
        <f>+IF(COUNTIFS('Raw Period DMR Data'!$A:$A,B619, 'Raw Period DMR Data'!C:C,'Raw Annual DMR Data'!X619, 'Raw Period DMR Data'!M:M, "&gt;0")&gt;0,_xlfn.MAXIFS('Raw Period DMR Data'!M:M,'Raw Period DMR Data'!$A:$A,'Raw Annual DMR Data'!B619,'Raw Period DMR Data'!C:C,'Raw Annual DMR Data'!X619), "N/A - Period DMR Data Not Available")</f>
        <v>N/A - Period DMR Data Not Available</v>
      </c>
      <c r="V619" s="28" t="str" cm="1">
        <f t="array" ref="V619">IFERROR(INDEX('Raw Period DMR Data'!N:N,MATCH(1,(B619='Raw Period DMR Data'!$A:$A)*(U619='Raw Period DMR Data'!M:M)*(X619='Raw Period DMR Data'!C:C),0),1), "N/A")</f>
        <v>N/A</v>
      </c>
      <c r="W619" s="28" t="s">
        <v>1463</v>
      </c>
      <c r="X619" s="28" t="s">
        <v>1832</v>
      </c>
      <c r="Y619" s="28" t="s">
        <v>1833</v>
      </c>
      <c r="Z619" s="28">
        <v>5130206000361</v>
      </c>
      <c r="AA619" s="28"/>
      <c r="AB619" s="28" t="s">
        <v>1465</v>
      </c>
      <c r="AC619" s="28" t="s">
        <v>263</v>
      </c>
    </row>
    <row r="620" spans="1:29" x14ac:dyDescent="0.25">
      <c r="A620" s="61">
        <v>110009937499</v>
      </c>
      <c r="B620" s="28">
        <v>2018</v>
      </c>
      <c r="C620" s="68">
        <f t="shared" si="9"/>
        <v>43101</v>
      </c>
      <c r="D620" s="28" t="s">
        <v>1148</v>
      </c>
      <c r="E620" s="28" t="s">
        <v>1831</v>
      </c>
      <c r="F620" s="28" t="s">
        <v>1149</v>
      </c>
      <c r="G620" s="28" t="s">
        <v>324</v>
      </c>
      <c r="H620" s="28">
        <v>42234</v>
      </c>
      <c r="I620" s="28">
        <v>36.644849999999998</v>
      </c>
      <c r="J620" s="28">
        <v>-87.187950000000001</v>
      </c>
      <c r="L620" s="61">
        <v>110009937499</v>
      </c>
      <c r="M620" s="28" t="s">
        <v>263</v>
      </c>
      <c r="N620" s="28">
        <v>4952</v>
      </c>
      <c r="O620" s="28" t="str">
        <f>IFERROR(VLOOKUP(N620, 'SIC &amp; NAICS Codes'!A:B, 2, FALSE), "")</f>
        <v>Sewerage Systems</v>
      </c>
      <c r="S620" s="28">
        <v>0.82546118749999997</v>
      </c>
      <c r="T620" s="315">
        <f>_xlfn.MAXIFS('Raw Period DMR Data'!$O:$O,'Raw Period DMR Data'!$A:$A,'Raw Annual DMR Data'!B620,'Raw Period DMR Data'!$C:$C,X620)/S620</f>
        <v>0</v>
      </c>
      <c r="U620" s="28" t="str">
        <f>+IF(COUNTIFS('Raw Period DMR Data'!$A:$A,B620, 'Raw Period DMR Data'!C:C,'Raw Annual DMR Data'!X620, 'Raw Period DMR Data'!M:M, "&gt;0")&gt;0,_xlfn.MAXIFS('Raw Period DMR Data'!M:M,'Raw Period DMR Data'!$A:$A,'Raw Annual DMR Data'!B620,'Raw Period DMR Data'!C:C,'Raw Annual DMR Data'!X620), "N/A - Period DMR Data Not Available")</f>
        <v>N/A - Period DMR Data Not Available</v>
      </c>
      <c r="V620" s="28" t="str" cm="1">
        <f t="array" ref="V620">IFERROR(INDEX('Raw Period DMR Data'!N:N,MATCH(1,(B620='Raw Period DMR Data'!$A:$A)*(U620='Raw Period DMR Data'!M:M)*(X620='Raw Period DMR Data'!C:C),0),1), "N/A")</f>
        <v>N/A</v>
      </c>
      <c r="W620" s="28" t="s">
        <v>1463</v>
      </c>
      <c r="X620" s="28" t="s">
        <v>1832</v>
      </c>
      <c r="Y620" s="28" t="s">
        <v>1833</v>
      </c>
      <c r="Z620" s="302" t="s">
        <v>1834</v>
      </c>
      <c r="AA620" s="28"/>
      <c r="AB620" s="28" t="s">
        <v>1465</v>
      </c>
      <c r="AC620" s="28" t="s">
        <v>263</v>
      </c>
    </row>
    <row r="621" spans="1:29" x14ac:dyDescent="0.25">
      <c r="A621" s="61">
        <v>110009937499</v>
      </c>
      <c r="B621" s="28">
        <v>2019</v>
      </c>
      <c r="C621" s="68">
        <f t="shared" si="9"/>
        <v>43466</v>
      </c>
      <c r="D621" s="28" t="s">
        <v>1148</v>
      </c>
      <c r="E621" s="28" t="s">
        <v>1831</v>
      </c>
      <c r="F621" s="28" t="s">
        <v>1149</v>
      </c>
      <c r="G621" s="28" t="s">
        <v>324</v>
      </c>
      <c r="H621" s="28">
        <v>42234</v>
      </c>
      <c r="I621" s="28">
        <v>36.644849999999998</v>
      </c>
      <c r="J621" s="28">
        <v>-87.187950000000001</v>
      </c>
      <c r="L621" s="61">
        <v>110009937499</v>
      </c>
      <c r="M621" s="28" t="s">
        <v>263</v>
      </c>
      <c r="N621" s="28">
        <v>4952</v>
      </c>
      <c r="O621" s="28" t="str">
        <f>IFERROR(VLOOKUP(N621, 'SIC &amp; NAICS Codes'!A:B, 2, FALSE), "")</f>
        <v>Sewerage Systems</v>
      </c>
      <c r="S621" s="28">
        <v>1.0534128125</v>
      </c>
      <c r="T621" s="315">
        <f>_xlfn.MAXIFS('Raw Period DMR Data'!$O:$O,'Raw Period DMR Data'!$A:$A,'Raw Annual DMR Data'!B621,'Raw Period DMR Data'!$C:$C,X621)/S621</f>
        <v>0</v>
      </c>
      <c r="U621" s="28" t="str">
        <f>+IF(COUNTIFS('Raw Period DMR Data'!$A:$A,B621, 'Raw Period DMR Data'!C:C,'Raw Annual DMR Data'!X621, 'Raw Period DMR Data'!M:M, "&gt;0")&gt;0,_xlfn.MAXIFS('Raw Period DMR Data'!M:M,'Raw Period DMR Data'!$A:$A,'Raw Annual DMR Data'!B621,'Raw Period DMR Data'!C:C,'Raw Annual DMR Data'!X621), "N/A - Period DMR Data Not Available")</f>
        <v>N/A - Period DMR Data Not Available</v>
      </c>
      <c r="V621" s="28" t="str" cm="1">
        <f t="array" ref="V621">IFERROR(INDEX('Raw Period DMR Data'!N:N,MATCH(1,(B621='Raw Period DMR Data'!$A:$A)*(U621='Raw Period DMR Data'!M:M)*(X621='Raw Period DMR Data'!C:C),0),1), "N/A")</f>
        <v>N/A</v>
      </c>
      <c r="W621" s="28" t="s">
        <v>1463</v>
      </c>
      <c r="X621" s="28" t="s">
        <v>1832</v>
      </c>
      <c r="Y621" s="28" t="s">
        <v>1833</v>
      </c>
      <c r="Z621" s="28">
        <v>5130206000361</v>
      </c>
      <c r="AA621" s="28"/>
      <c r="AB621" s="28" t="s">
        <v>1465</v>
      </c>
      <c r="AC621" s="28" t="s">
        <v>263</v>
      </c>
    </row>
    <row r="622" spans="1:29" x14ac:dyDescent="0.25">
      <c r="A622" s="61">
        <v>110009937499</v>
      </c>
      <c r="B622" s="28">
        <v>2020</v>
      </c>
      <c r="C622" s="68">
        <f t="shared" si="9"/>
        <v>43831</v>
      </c>
      <c r="D622" s="28" t="s">
        <v>1148</v>
      </c>
      <c r="E622" s="28" t="s">
        <v>1831</v>
      </c>
      <c r="F622" s="28" t="s">
        <v>1149</v>
      </c>
      <c r="G622" s="28" t="s">
        <v>324</v>
      </c>
      <c r="H622" s="28">
        <v>42234</v>
      </c>
      <c r="I622" s="28">
        <v>36.644849999999998</v>
      </c>
      <c r="J622" s="28">
        <v>-87.187950000000001</v>
      </c>
      <c r="L622" s="61">
        <v>110009937499</v>
      </c>
      <c r="M622" s="28" t="s">
        <v>263</v>
      </c>
      <c r="N622" s="28">
        <v>4952</v>
      </c>
      <c r="O622" s="28" t="str">
        <f>IFERROR(VLOOKUP(N622, 'SIC &amp; NAICS Codes'!A:B, 2, FALSE), "")</f>
        <v>Sewerage Systems</v>
      </c>
      <c r="S622" s="28">
        <v>0.1540400375</v>
      </c>
      <c r="T622" s="315">
        <f>_xlfn.MAXIFS('Raw Period DMR Data'!$O:$O,'Raw Period DMR Data'!$A:$A,'Raw Annual DMR Data'!B622,'Raw Period DMR Data'!$C:$C,X622)/S622</f>
        <v>0</v>
      </c>
      <c r="U622" s="28" t="str">
        <f>+IF(COUNTIFS('Raw Period DMR Data'!$A:$A,B622, 'Raw Period DMR Data'!C:C,'Raw Annual DMR Data'!X622, 'Raw Period DMR Data'!M:M, "&gt;0")&gt;0,_xlfn.MAXIFS('Raw Period DMR Data'!M:M,'Raw Period DMR Data'!$A:$A,'Raw Annual DMR Data'!B622,'Raw Period DMR Data'!C:C,'Raw Annual DMR Data'!X622), "N/A - Period DMR Data Not Available")</f>
        <v>N/A - Period DMR Data Not Available</v>
      </c>
      <c r="V622" s="28" t="str" cm="1">
        <f t="array" ref="V622">IFERROR(INDEX('Raw Period DMR Data'!N:N,MATCH(1,(B622='Raw Period DMR Data'!$A:$A)*(U622='Raw Period DMR Data'!M:M)*(X622='Raw Period DMR Data'!C:C),0),1), "N/A")</f>
        <v>N/A</v>
      </c>
      <c r="W622" s="28" t="s">
        <v>1463</v>
      </c>
      <c r="X622" s="28" t="s">
        <v>1832</v>
      </c>
      <c r="Y622" s="28" t="s">
        <v>1833</v>
      </c>
      <c r="Z622" s="28">
        <v>5130206000361</v>
      </c>
      <c r="AA622" s="28"/>
      <c r="AB622" s="28" t="s">
        <v>1465</v>
      </c>
      <c r="AC622" s="28" t="s">
        <v>263</v>
      </c>
    </row>
    <row r="623" spans="1:29" x14ac:dyDescent="0.25">
      <c r="A623" s="61">
        <v>110056977080</v>
      </c>
      <c r="B623" s="28">
        <v>2015</v>
      </c>
      <c r="C623" s="68">
        <f t="shared" si="9"/>
        <v>42005</v>
      </c>
      <c r="D623" s="28" t="s">
        <v>1150</v>
      </c>
      <c r="E623" s="28" t="s">
        <v>1835</v>
      </c>
      <c r="F623" s="28" t="s">
        <v>1151</v>
      </c>
      <c r="G623" s="28" t="s">
        <v>338</v>
      </c>
      <c r="H623" s="28">
        <v>8610</v>
      </c>
      <c r="I623" s="28">
        <v>40.183062999999997</v>
      </c>
      <c r="J623" s="28">
        <v>-74.710695000000001</v>
      </c>
      <c r="L623" s="61">
        <v>110056977080</v>
      </c>
      <c r="M623" s="28" t="s">
        <v>263</v>
      </c>
      <c r="N623" s="28">
        <v>4952</v>
      </c>
      <c r="O623" s="28" t="str">
        <f>IFERROR(VLOOKUP(N623, 'SIC &amp; NAICS Codes'!A:B, 2, FALSE), "")</f>
        <v>Sewerage Systems</v>
      </c>
      <c r="S623" s="28">
        <v>1.5121548124999999</v>
      </c>
      <c r="T623" s="315">
        <f>_xlfn.MAXIFS('Raw Period DMR Data'!$O:$O,'Raw Period DMR Data'!$A:$A,'Raw Annual DMR Data'!B623,'Raw Period DMR Data'!$C:$C,X623)/S623</f>
        <v>0</v>
      </c>
      <c r="U623" s="28" t="str">
        <f>+IF(COUNTIFS('Raw Period DMR Data'!$A:$A,B623, 'Raw Period DMR Data'!C:C,'Raw Annual DMR Data'!X623, 'Raw Period DMR Data'!M:M, "&gt;0")&gt;0,_xlfn.MAXIFS('Raw Period DMR Data'!M:M,'Raw Period DMR Data'!$A:$A,'Raw Annual DMR Data'!B623,'Raw Period DMR Data'!C:C,'Raw Annual DMR Data'!X623), "N/A - Period DMR Data Not Available")</f>
        <v>N/A - Period DMR Data Not Available</v>
      </c>
      <c r="V623" s="28" t="str" cm="1">
        <f t="array" ref="V623">IFERROR(INDEX('Raw Period DMR Data'!N:N,MATCH(1,(B623='Raw Period DMR Data'!$A:$A)*(U623='Raw Period DMR Data'!M:M)*(X623='Raw Period DMR Data'!C:C),0),1), "N/A")</f>
        <v>N/A</v>
      </c>
      <c r="W623" s="28" t="s">
        <v>1463</v>
      </c>
      <c r="X623" s="28" t="s">
        <v>1836</v>
      </c>
      <c r="Y623" s="28" t="s">
        <v>1837</v>
      </c>
      <c r="Z623" s="28">
        <v>2040201000021</v>
      </c>
      <c r="AA623" s="28"/>
      <c r="AB623" s="28" t="s">
        <v>1465</v>
      </c>
      <c r="AC623" s="28" t="s">
        <v>263</v>
      </c>
    </row>
    <row r="624" spans="1:29" x14ac:dyDescent="0.25">
      <c r="A624" s="61">
        <v>110056977080</v>
      </c>
      <c r="B624" s="28">
        <v>2016</v>
      </c>
      <c r="C624" s="68">
        <f t="shared" si="9"/>
        <v>42370</v>
      </c>
      <c r="D624" s="28" t="s">
        <v>1150</v>
      </c>
      <c r="E624" s="28" t="s">
        <v>1835</v>
      </c>
      <c r="F624" s="28" t="s">
        <v>1151</v>
      </c>
      <c r="G624" s="28" t="s">
        <v>338</v>
      </c>
      <c r="H624" s="28">
        <v>8610</v>
      </c>
      <c r="I624" s="28">
        <v>40.183062999999997</v>
      </c>
      <c r="J624" s="28">
        <v>-74.710695000000001</v>
      </c>
      <c r="L624" s="61">
        <v>110056977080</v>
      </c>
      <c r="M624" s="28" t="s">
        <v>263</v>
      </c>
      <c r="N624" s="28">
        <v>4952</v>
      </c>
      <c r="O624" s="28" t="str">
        <f>IFERROR(VLOOKUP(N624, 'SIC &amp; NAICS Codes'!A:B, 2, FALSE), "")</f>
        <v>Sewerage Systems</v>
      </c>
      <c r="S624" s="28">
        <v>1.8765273</v>
      </c>
      <c r="T624" s="315">
        <f>_xlfn.MAXIFS('Raw Period DMR Data'!$O:$O,'Raw Period DMR Data'!$A:$A,'Raw Annual DMR Data'!B624,'Raw Period DMR Data'!$C:$C,X624)/S624</f>
        <v>0</v>
      </c>
      <c r="U624" s="28" t="str">
        <f>+IF(COUNTIFS('Raw Period DMR Data'!$A:$A,B624, 'Raw Period DMR Data'!C:C,'Raw Annual DMR Data'!X624, 'Raw Period DMR Data'!M:M, "&gt;0")&gt;0,_xlfn.MAXIFS('Raw Period DMR Data'!M:M,'Raw Period DMR Data'!$A:$A,'Raw Annual DMR Data'!B624,'Raw Period DMR Data'!C:C,'Raw Annual DMR Data'!X624), "N/A - Period DMR Data Not Available")</f>
        <v>N/A - Period DMR Data Not Available</v>
      </c>
      <c r="V624" s="28" t="str" cm="1">
        <f t="array" ref="V624">IFERROR(INDEX('Raw Period DMR Data'!N:N,MATCH(1,(B624='Raw Period DMR Data'!$A:$A)*(U624='Raw Period DMR Data'!M:M)*(X624='Raw Period DMR Data'!C:C),0),1), "N/A")</f>
        <v>N/A</v>
      </c>
      <c r="W624" s="28" t="s">
        <v>1463</v>
      </c>
      <c r="X624" s="28" t="s">
        <v>1836</v>
      </c>
      <c r="Y624" s="28" t="s">
        <v>1837</v>
      </c>
      <c r="Z624" s="28">
        <v>2040201000021</v>
      </c>
      <c r="AA624" s="28"/>
      <c r="AB624" s="28" t="s">
        <v>1465</v>
      </c>
      <c r="AC624" s="28" t="s">
        <v>263</v>
      </c>
    </row>
    <row r="625" spans="1:29" x14ac:dyDescent="0.25">
      <c r="A625" s="61">
        <v>110056977080</v>
      </c>
      <c r="B625" s="28">
        <v>2017</v>
      </c>
      <c r="C625" s="68">
        <f t="shared" si="9"/>
        <v>42736</v>
      </c>
      <c r="D625" s="28" t="s">
        <v>1150</v>
      </c>
      <c r="E625" s="28" t="s">
        <v>1835</v>
      </c>
      <c r="F625" s="28" t="s">
        <v>1151</v>
      </c>
      <c r="G625" s="28" t="s">
        <v>338</v>
      </c>
      <c r="H625" s="28">
        <v>8610</v>
      </c>
      <c r="I625" s="28">
        <v>40.183062999999997</v>
      </c>
      <c r="J625" s="28">
        <v>-74.710695000000001</v>
      </c>
      <c r="L625" s="61">
        <v>110056977080</v>
      </c>
      <c r="M625" s="28" t="s">
        <v>263</v>
      </c>
      <c r="N625" s="28">
        <v>4952</v>
      </c>
      <c r="O625" s="28" t="str">
        <f>IFERROR(VLOOKUP(N625, 'SIC &amp; NAICS Codes'!A:B, 2, FALSE), "")</f>
        <v>Sewerage Systems</v>
      </c>
      <c r="S625" s="28">
        <v>1.2018756525000001</v>
      </c>
      <c r="T625" s="315">
        <f>_xlfn.MAXIFS('Raw Period DMR Data'!$O:$O,'Raw Period DMR Data'!$A:$A,'Raw Annual DMR Data'!B625,'Raw Period DMR Data'!$C:$C,X625)/S625</f>
        <v>0</v>
      </c>
      <c r="U625" s="28" t="str">
        <f>+IF(COUNTIFS('Raw Period DMR Data'!$A:$A,B625, 'Raw Period DMR Data'!C:C,'Raw Annual DMR Data'!X625, 'Raw Period DMR Data'!M:M, "&gt;0")&gt;0,_xlfn.MAXIFS('Raw Period DMR Data'!M:M,'Raw Period DMR Data'!$A:$A,'Raw Annual DMR Data'!B625,'Raw Period DMR Data'!C:C,'Raw Annual DMR Data'!X625), "N/A - Period DMR Data Not Available")</f>
        <v>N/A - Period DMR Data Not Available</v>
      </c>
      <c r="V625" s="28" t="str" cm="1">
        <f t="array" ref="V625">IFERROR(INDEX('Raw Period DMR Data'!N:N,MATCH(1,(B625='Raw Period DMR Data'!$A:$A)*(U625='Raw Period DMR Data'!M:M)*(X625='Raw Period DMR Data'!C:C),0),1), "N/A")</f>
        <v>N/A</v>
      </c>
      <c r="W625" s="28" t="s">
        <v>1463</v>
      </c>
      <c r="X625" s="28" t="s">
        <v>1836</v>
      </c>
      <c r="Y625" s="28" t="s">
        <v>1837</v>
      </c>
      <c r="Z625" s="28">
        <v>2040201000021</v>
      </c>
      <c r="AA625" s="28"/>
      <c r="AB625" s="28" t="s">
        <v>1465</v>
      </c>
      <c r="AC625" s="28" t="s">
        <v>263</v>
      </c>
    </row>
    <row r="626" spans="1:29" x14ac:dyDescent="0.25">
      <c r="A626" s="61">
        <v>110056977080</v>
      </c>
      <c r="B626" s="28">
        <v>2018</v>
      </c>
      <c r="C626" s="68">
        <f t="shared" si="9"/>
        <v>43101</v>
      </c>
      <c r="D626" s="28" t="s">
        <v>1150</v>
      </c>
      <c r="E626" s="28" t="s">
        <v>1835</v>
      </c>
      <c r="F626" s="28" t="s">
        <v>1151</v>
      </c>
      <c r="G626" s="28" t="s">
        <v>338</v>
      </c>
      <c r="H626" s="302" t="s">
        <v>1838</v>
      </c>
      <c r="I626" s="28">
        <v>40.183062999999997</v>
      </c>
      <c r="J626" s="28">
        <v>-74.710695000000001</v>
      </c>
      <c r="L626" s="61">
        <v>110056977080</v>
      </c>
      <c r="M626" s="28" t="s">
        <v>263</v>
      </c>
      <c r="N626" s="28">
        <v>4952</v>
      </c>
      <c r="O626" s="28" t="str">
        <f>IFERROR(VLOOKUP(N626, 'SIC &amp; NAICS Codes'!A:B, 2, FALSE), "")</f>
        <v>Sewerage Systems</v>
      </c>
      <c r="S626" s="28">
        <v>1.4284022249999999</v>
      </c>
      <c r="T626" s="315">
        <f>_xlfn.MAXIFS('Raw Period DMR Data'!$O:$O,'Raw Period DMR Data'!$A:$A,'Raw Annual DMR Data'!B626,'Raw Period DMR Data'!$C:$C,X626)/S626</f>
        <v>0</v>
      </c>
      <c r="U626" s="28" t="str">
        <f>+IF(COUNTIFS('Raw Period DMR Data'!$A:$A,B626, 'Raw Period DMR Data'!C:C,'Raw Annual DMR Data'!X626, 'Raw Period DMR Data'!M:M, "&gt;0")&gt;0,_xlfn.MAXIFS('Raw Period DMR Data'!M:M,'Raw Period DMR Data'!$A:$A,'Raw Annual DMR Data'!B626,'Raw Period DMR Data'!C:C,'Raw Annual DMR Data'!X626), "N/A - Period DMR Data Not Available")</f>
        <v>N/A - Period DMR Data Not Available</v>
      </c>
      <c r="V626" s="28" t="str" cm="1">
        <f t="array" ref="V626">IFERROR(INDEX('Raw Period DMR Data'!N:N,MATCH(1,(B626='Raw Period DMR Data'!$A:$A)*(U626='Raw Period DMR Data'!M:M)*(X626='Raw Period DMR Data'!C:C),0),1), "N/A")</f>
        <v>N/A</v>
      </c>
      <c r="W626" s="28" t="s">
        <v>1463</v>
      </c>
      <c r="X626" s="28" t="s">
        <v>1836</v>
      </c>
      <c r="Y626" s="28" t="s">
        <v>1837</v>
      </c>
      <c r="Z626" s="302" t="s">
        <v>1839</v>
      </c>
      <c r="AA626" s="28"/>
      <c r="AB626" s="28" t="s">
        <v>1465</v>
      </c>
      <c r="AC626" s="28" t="s">
        <v>263</v>
      </c>
    </row>
    <row r="627" spans="1:29" x14ac:dyDescent="0.25">
      <c r="A627" s="61">
        <v>110056977080</v>
      </c>
      <c r="B627" s="28">
        <v>2019</v>
      </c>
      <c r="C627" s="68">
        <f t="shared" si="9"/>
        <v>43466</v>
      </c>
      <c r="D627" s="28" t="s">
        <v>1150</v>
      </c>
      <c r="E627" s="28" t="s">
        <v>1835</v>
      </c>
      <c r="F627" s="28" t="s">
        <v>1151</v>
      </c>
      <c r="G627" s="28" t="s">
        <v>338</v>
      </c>
      <c r="H627" s="28">
        <v>8610</v>
      </c>
      <c r="I627" s="28">
        <v>40.183062999999997</v>
      </c>
      <c r="J627" s="28">
        <v>-74.710695000000001</v>
      </c>
      <c r="L627" s="61">
        <v>110056977080</v>
      </c>
      <c r="M627" s="28" t="s">
        <v>263</v>
      </c>
      <c r="N627" s="28">
        <v>4952</v>
      </c>
      <c r="O627" s="28" t="str">
        <f>IFERROR(VLOOKUP(N627, 'SIC &amp; NAICS Codes'!A:B, 2, FALSE), "")</f>
        <v>Sewerage Systems</v>
      </c>
      <c r="S627" s="28">
        <v>1.4415342824999999</v>
      </c>
      <c r="T627" s="315">
        <f>_xlfn.MAXIFS('Raw Period DMR Data'!$O:$O,'Raw Period DMR Data'!$A:$A,'Raw Annual DMR Data'!B627,'Raw Period DMR Data'!$C:$C,X627)/S627</f>
        <v>0</v>
      </c>
      <c r="U627" s="28" t="str">
        <f>+IF(COUNTIFS('Raw Period DMR Data'!$A:$A,B627, 'Raw Period DMR Data'!C:C,'Raw Annual DMR Data'!X627, 'Raw Period DMR Data'!M:M, "&gt;0")&gt;0,_xlfn.MAXIFS('Raw Period DMR Data'!M:M,'Raw Period DMR Data'!$A:$A,'Raw Annual DMR Data'!B627,'Raw Period DMR Data'!C:C,'Raw Annual DMR Data'!X627), "N/A - Period DMR Data Not Available")</f>
        <v>N/A - Period DMR Data Not Available</v>
      </c>
      <c r="V627" s="28" t="str" cm="1">
        <f t="array" ref="V627">IFERROR(INDEX('Raw Period DMR Data'!N:N,MATCH(1,(B627='Raw Period DMR Data'!$A:$A)*(U627='Raw Period DMR Data'!M:M)*(X627='Raw Period DMR Data'!C:C),0),1), "N/A")</f>
        <v>N/A</v>
      </c>
      <c r="W627" s="28" t="s">
        <v>1463</v>
      </c>
      <c r="X627" s="28" t="s">
        <v>1836</v>
      </c>
      <c r="Y627" s="28" t="s">
        <v>1837</v>
      </c>
      <c r="Z627" s="28">
        <v>2040201000021</v>
      </c>
      <c r="AA627" s="28"/>
      <c r="AB627" s="28" t="s">
        <v>1465</v>
      </c>
      <c r="AC627" s="28" t="s">
        <v>263</v>
      </c>
    </row>
    <row r="628" spans="1:29" x14ac:dyDescent="0.25">
      <c r="A628" s="61">
        <v>110056977080</v>
      </c>
      <c r="B628" s="28">
        <v>2020</v>
      </c>
      <c r="C628" s="68">
        <f t="shared" si="9"/>
        <v>43831</v>
      </c>
      <c r="D628" s="28" t="s">
        <v>1150</v>
      </c>
      <c r="E628" s="28" t="s">
        <v>1835</v>
      </c>
      <c r="F628" s="28" t="s">
        <v>1151</v>
      </c>
      <c r="G628" s="28" t="s">
        <v>338</v>
      </c>
      <c r="H628" s="28">
        <v>8610</v>
      </c>
      <c r="I628" s="28">
        <v>40.183062999999997</v>
      </c>
      <c r="J628" s="28">
        <v>-74.710695000000001</v>
      </c>
      <c r="L628" s="61">
        <v>110056977080</v>
      </c>
      <c r="M628" s="28" t="s">
        <v>263</v>
      </c>
      <c r="N628" s="28">
        <v>4952</v>
      </c>
      <c r="O628" s="28" t="str">
        <f>IFERROR(VLOOKUP(N628, 'SIC &amp; NAICS Codes'!A:B, 2, FALSE), "")</f>
        <v>Sewerage Systems</v>
      </c>
      <c r="S628" s="28">
        <v>0.61603827300000003</v>
      </c>
      <c r="T628" s="315">
        <f>_xlfn.MAXIFS('Raw Period DMR Data'!$O:$O,'Raw Period DMR Data'!$A:$A,'Raw Annual DMR Data'!B628,'Raw Period DMR Data'!$C:$C,X628)/S628</f>
        <v>0</v>
      </c>
      <c r="U628" s="28" t="str">
        <f>+IF(COUNTIFS('Raw Period DMR Data'!$A:$A,B628, 'Raw Period DMR Data'!C:C,'Raw Annual DMR Data'!X628, 'Raw Period DMR Data'!M:M, "&gt;0")&gt;0,_xlfn.MAXIFS('Raw Period DMR Data'!M:M,'Raw Period DMR Data'!$A:$A,'Raw Annual DMR Data'!B628,'Raw Period DMR Data'!C:C,'Raw Annual DMR Data'!X628), "N/A - Period DMR Data Not Available")</f>
        <v>N/A - Period DMR Data Not Available</v>
      </c>
      <c r="V628" s="28" t="str" cm="1">
        <f t="array" ref="V628">IFERROR(INDEX('Raw Period DMR Data'!N:N,MATCH(1,(B628='Raw Period DMR Data'!$A:$A)*(U628='Raw Period DMR Data'!M:M)*(X628='Raw Period DMR Data'!C:C),0),1), "N/A")</f>
        <v>N/A</v>
      </c>
      <c r="W628" s="28" t="s">
        <v>1463</v>
      </c>
      <c r="X628" s="28" t="s">
        <v>1836</v>
      </c>
      <c r="Y628" s="28" t="s">
        <v>1837</v>
      </c>
      <c r="Z628" s="28">
        <v>2040201000021</v>
      </c>
      <c r="AA628" s="28"/>
      <c r="AB628" s="28" t="s">
        <v>1465</v>
      </c>
      <c r="AC628" s="28" t="s">
        <v>263</v>
      </c>
    </row>
    <row r="629" spans="1:29" x14ac:dyDescent="0.25">
      <c r="A629" s="61">
        <v>110009838168</v>
      </c>
      <c r="B629" s="28">
        <v>2017</v>
      </c>
      <c r="C629" s="68">
        <f t="shared" si="9"/>
        <v>42736</v>
      </c>
      <c r="D629" s="28" t="s">
        <v>1152</v>
      </c>
      <c r="E629" s="28" t="s">
        <v>1840</v>
      </c>
      <c r="F629" s="28" t="s">
        <v>1153</v>
      </c>
      <c r="G629" s="28" t="s">
        <v>338</v>
      </c>
      <c r="H629" s="28">
        <v>8038</v>
      </c>
      <c r="I629" s="28">
        <v>39.507057000000003</v>
      </c>
      <c r="J629" s="28">
        <v>-75.463615000000004</v>
      </c>
      <c r="L629" s="61">
        <v>110009838168</v>
      </c>
      <c r="M629" s="28" t="s">
        <v>263</v>
      </c>
      <c r="N629" s="28">
        <v>4952</v>
      </c>
      <c r="O629" s="28" t="str">
        <f>IFERROR(VLOOKUP(N629, 'SIC &amp; NAICS Codes'!A:B, 2, FALSE), "")</f>
        <v>Sewerage Systems</v>
      </c>
      <c r="S629" s="28">
        <v>2.2946562499999998E-3</v>
      </c>
      <c r="T629" s="315">
        <f>_xlfn.MAXIFS('Raw Period DMR Data'!$O:$O,'Raw Period DMR Data'!$A:$A,'Raw Annual DMR Data'!B629,'Raw Period DMR Data'!$C:$C,X629)/S629</f>
        <v>0</v>
      </c>
      <c r="U629" s="28" t="str">
        <f>+IF(COUNTIFS('Raw Period DMR Data'!$A:$A,B629, 'Raw Period DMR Data'!C:C,'Raw Annual DMR Data'!X629, 'Raw Period DMR Data'!M:M, "&gt;0")&gt;0,_xlfn.MAXIFS('Raw Period DMR Data'!M:M,'Raw Period DMR Data'!$A:$A,'Raw Annual DMR Data'!B629,'Raw Period DMR Data'!C:C,'Raw Annual DMR Data'!X629), "N/A - Period DMR Data Not Available")</f>
        <v>N/A - Period DMR Data Not Available</v>
      </c>
      <c r="V629" s="28" t="str" cm="1">
        <f t="array" ref="V629">IFERROR(INDEX('Raw Period DMR Data'!N:N,MATCH(1,(B629='Raw Period DMR Data'!$A:$A)*(U629='Raw Period DMR Data'!M:M)*(X629='Raw Period DMR Data'!C:C),0),1), "N/A")</f>
        <v>N/A</v>
      </c>
      <c r="W629" s="28" t="s">
        <v>1463</v>
      </c>
      <c r="X629" s="28" t="s">
        <v>1841</v>
      </c>
      <c r="Y629" s="28" t="s">
        <v>1842</v>
      </c>
      <c r="Z629" s="28">
        <v>2040206000172</v>
      </c>
      <c r="AA629" s="28"/>
      <c r="AB629" s="28" t="s">
        <v>1465</v>
      </c>
      <c r="AC629" s="28" t="s">
        <v>263</v>
      </c>
    </row>
    <row r="630" spans="1:29" x14ac:dyDescent="0.25">
      <c r="A630" s="61">
        <v>110009838168</v>
      </c>
      <c r="B630" s="28">
        <v>2018</v>
      </c>
      <c r="C630" s="68">
        <f t="shared" si="9"/>
        <v>43101</v>
      </c>
      <c r="D630" s="28" t="s">
        <v>1152</v>
      </c>
      <c r="E630" s="28" t="s">
        <v>1840</v>
      </c>
      <c r="F630" s="28" t="s">
        <v>1153</v>
      </c>
      <c r="G630" s="28" t="s">
        <v>338</v>
      </c>
      <c r="H630" s="302" t="s">
        <v>1843</v>
      </c>
      <c r="I630" s="28">
        <v>39.507057000000003</v>
      </c>
      <c r="J630" s="28">
        <v>-75.463615000000004</v>
      </c>
      <c r="L630" s="61">
        <v>110009838168</v>
      </c>
      <c r="M630" s="28" t="s">
        <v>263</v>
      </c>
      <c r="N630" s="28">
        <v>4952</v>
      </c>
      <c r="O630" s="28" t="str">
        <f>IFERROR(VLOOKUP(N630, 'SIC &amp; NAICS Codes'!A:B, 2, FALSE), "")</f>
        <v>Sewerage Systems</v>
      </c>
      <c r="S630" s="28">
        <v>3.145335E-3</v>
      </c>
      <c r="T630" s="315">
        <f>_xlfn.MAXIFS('Raw Period DMR Data'!$O:$O,'Raw Period DMR Data'!$A:$A,'Raw Annual DMR Data'!B630,'Raw Period DMR Data'!$C:$C,X630)/S630</f>
        <v>0</v>
      </c>
      <c r="U630" s="28" t="str">
        <f>+IF(COUNTIFS('Raw Period DMR Data'!$A:$A,B630, 'Raw Period DMR Data'!C:C,'Raw Annual DMR Data'!X630, 'Raw Period DMR Data'!M:M, "&gt;0")&gt;0,_xlfn.MAXIFS('Raw Period DMR Data'!M:M,'Raw Period DMR Data'!$A:$A,'Raw Annual DMR Data'!B630,'Raw Period DMR Data'!C:C,'Raw Annual DMR Data'!X630), "N/A - Period DMR Data Not Available")</f>
        <v>N/A - Period DMR Data Not Available</v>
      </c>
      <c r="V630" s="28" t="str" cm="1">
        <f t="array" ref="V630">IFERROR(INDEX('Raw Period DMR Data'!N:N,MATCH(1,(B630='Raw Period DMR Data'!$A:$A)*(U630='Raw Period DMR Data'!M:M)*(X630='Raw Period DMR Data'!C:C),0),1), "N/A")</f>
        <v>N/A</v>
      </c>
      <c r="W630" s="28" t="s">
        <v>1463</v>
      </c>
      <c r="X630" s="28" t="s">
        <v>1841</v>
      </c>
      <c r="Y630" s="28" t="s">
        <v>1842</v>
      </c>
      <c r="Z630" s="302" t="s">
        <v>1844</v>
      </c>
      <c r="AA630" s="28"/>
      <c r="AB630" s="28" t="s">
        <v>1465</v>
      </c>
      <c r="AC630" s="28" t="s">
        <v>263</v>
      </c>
    </row>
    <row r="631" spans="1:29" x14ac:dyDescent="0.25">
      <c r="A631" s="61">
        <v>110009838168</v>
      </c>
      <c r="B631" s="28">
        <v>2019</v>
      </c>
      <c r="C631" s="68">
        <f t="shared" si="9"/>
        <v>43466</v>
      </c>
      <c r="D631" s="28" t="s">
        <v>1152</v>
      </c>
      <c r="E631" s="28" t="s">
        <v>1840</v>
      </c>
      <c r="F631" s="28" t="s">
        <v>1153</v>
      </c>
      <c r="G631" s="28" t="s">
        <v>338</v>
      </c>
      <c r="H631" s="28">
        <v>8038</v>
      </c>
      <c r="I631" s="28">
        <v>39.507057000000003</v>
      </c>
      <c r="J631" s="28">
        <v>-75.463615000000004</v>
      </c>
      <c r="L631" s="61">
        <v>110009838168</v>
      </c>
      <c r="M631" s="28" t="s">
        <v>263</v>
      </c>
      <c r="N631" s="28">
        <v>4952</v>
      </c>
      <c r="O631" s="28" t="str">
        <f>IFERROR(VLOOKUP(N631, 'SIC &amp; NAICS Codes'!A:B, 2, FALSE), "")</f>
        <v>Sewerage Systems</v>
      </c>
      <c r="S631" s="28">
        <v>1.22881745454545E-3</v>
      </c>
      <c r="T631" s="315">
        <f>_xlfn.MAXIFS('Raw Period DMR Data'!$O:$O,'Raw Period DMR Data'!$A:$A,'Raw Annual DMR Data'!B631,'Raw Period DMR Data'!$C:$C,X631)/S631</f>
        <v>0</v>
      </c>
      <c r="U631" s="28" t="str">
        <f>+IF(COUNTIFS('Raw Period DMR Data'!$A:$A,B631, 'Raw Period DMR Data'!C:C,'Raw Annual DMR Data'!X631, 'Raw Period DMR Data'!M:M, "&gt;0")&gt;0,_xlfn.MAXIFS('Raw Period DMR Data'!M:M,'Raw Period DMR Data'!$A:$A,'Raw Annual DMR Data'!B631,'Raw Period DMR Data'!C:C,'Raw Annual DMR Data'!X631), "N/A - Period DMR Data Not Available")</f>
        <v>N/A - Period DMR Data Not Available</v>
      </c>
      <c r="V631" s="28" t="str" cm="1">
        <f t="array" ref="V631">IFERROR(INDEX('Raw Period DMR Data'!N:N,MATCH(1,(B631='Raw Period DMR Data'!$A:$A)*(U631='Raw Period DMR Data'!M:M)*(X631='Raw Period DMR Data'!C:C),0),1), "N/A")</f>
        <v>N/A</v>
      </c>
      <c r="W631" s="28" t="s">
        <v>1463</v>
      </c>
      <c r="X631" s="28" t="s">
        <v>1841</v>
      </c>
      <c r="Y631" s="28" t="s">
        <v>1842</v>
      </c>
      <c r="Z631" s="28">
        <v>2040206000172</v>
      </c>
      <c r="AA631" s="28"/>
      <c r="AB631" s="28" t="s">
        <v>1465</v>
      </c>
      <c r="AC631" s="28" t="s">
        <v>263</v>
      </c>
    </row>
    <row r="632" spans="1:29" x14ac:dyDescent="0.25">
      <c r="A632" s="61">
        <v>110039757992</v>
      </c>
      <c r="B632" s="28">
        <v>2017</v>
      </c>
      <c r="C632" s="68">
        <f t="shared" si="9"/>
        <v>42736</v>
      </c>
      <c r="D632" s="28" t="s">
        <v>1154</v>
      </c>
      <c r="E632" s="28" t="s">
        <v>1845</v>
      </c>
      <c r="F632" s="28" t="s">
        <v>1155</v>
      </c>
      <c r="G632" s="28" t="s">
        <v>366</v>
      </c>
      <c r="H632" s="28" t="s">
        <v>1846</v>
      </c>
      <c r="I632" s="28">
        <v>38.730832999999997</v>
      </c>
      <c r="J632" s="28">
        <v>-120.846667</v>
      </c>
      <c r="L632" s="61">
        <v>110039757992</v>
      </c>
      <c r="M632" s="28" t="s">
        <v>263</v>
      </c>
      <c r="N632" s="28">
        <v>4952</v>
      </c>
      <c r="O632" s="28" t="str">
        <f>IFERROR(VLOOKUP(N632, 'SIC &amp; NAICS Codes'!A:B, 2, FALSE), "")</f>
        <v>Sewerage Systems</v>
      </c>
      <c r="S632" s="28">
        <v>5.0142449875000002E-2</v>
      </c>
      <c r="T632" s="315">
        <f>_xlfn.MAXIFS('Raw Period DMR Data'!$O:$O,'Raw Period DMR Data'!$A:$A,'Raw Annual DMR Data'!B632,'Raw Period DMR Data'!$C:$C,X632)/S632</f>
        <v>0</v>
      </c>
      <c r="U632" s="28" t="str">
        <f>+IF(COUNTIFS('Raw Period DMR Data'!$A:$A,B632, 'Raw Period DMR Data'!C:C,'Raw Annual DMR Data'!X632, 'Raw Period DMR Data'!M:M, "&gt;0")&gt;0,_xlfn.MAXIFS('Raw Period DMR Data'!M:M,'Raw Period DMR Data'!$A:$A,'Raw Annual DMR Data'!B632,'Raw Period DMR Data'!C:C,'Raw Annual DMR Data'!X632), "N/A - Period DMR Data Not Available")</f>
        <v>N/A - Period DMR Data Not Available</v>
      </c>
      <c r="V632" s="28" t="str" cm="1">
        <f t="array" ref="V632">IFERROR(INDEX('Raw Period DMR Data'!N:N,MATCH(1,(B632='Raw Period DMR Data'!$A:$A)*(U632='Raw Period DMR Data'!M:M)*(X632='Raw Period DMR Data'!C:C),0),1), "N/A")</f>
        <v>N/A</v>
      </c>
      <c r="W632" s="28" t="s">
        <v>1463</v>
      </c>
      <c r="X632" s="28" t="s">
        <v>1847</v>
      </c>
      <c r="Y632" s="28" t="s">
        <v>1848</v>
      </c>
      <c r="Z632" s="28">
        <v>18020129000291</v>
      </c>
      <c r="AA632" s="28"/>
      <c r="AB632" s="28" t="s">
        <v>1465</v>
      </c>
      <c r="AC632" s="28" t="s">
        <v>263</v>
      </c>
    </row>
    <row r="633" spans="1:29" x14ac:dyDescent="0.25">
      <c r="A633" s="61">
        <v>110064616296</v>
      </c>
      <c r="B633" s="28">
        <v>2019</v>
      </c>
      <c r="C633" s="68">
        <f t="shared" si="9"/>
        <v>43466</v>
      </c>
      <c r="D633" s="28" t="s">
        <v>1156</v>
      </c>
      <c r="E633" s="28" t="s">
        <v>1849</v>
      </c>
      <c r="F633" s="28" t="s">
        <v>1157</v>
      </c>
      <c r="G633" s="28" t="s">
        <v>366</v>
      </c>
      <c r="H633" s="28">
        <v>956409626</v>
      </c>
      <c r="I633" s="28">
        <v>38.273180000000004</v>
      </c>
      <c r="J633" s="28">
        <v>-120.91082</v>
      </c>
      <c r="L633" s="61">
        <v>110064616296</v>
      </c>
      <c r="M633" s="28" t="s">
        <v>263</v>
      </c>
      <c r="N633" s="28">
        <v>4952</v>
      </c>
      <c r="O633" s="28" t="str">
        <f>IFERROR(VLOOKUP(N633, 'SIC &amp; NAICS Codes'!A:B, 2, FALSE), "")</f>
        <v>Sewerage Systems</v>
      </c>
      <c r="S633" s="28">
        <v>8.6345312500000007E-3</v>
      </c>
      <c r="T633" s="315">
        <f>_xlfn.MAXIFS('Raw Period DMR Data'!$O:$O,'Raw Period DMR Data'!$A:$A,'Raw Annual DMR Data'!B633,'Raw Period DMR Data'!$C:$C,X633)/S633</f>
        <v>0</v>
      </c>
      <c r="U633" s="28" t="str">
        <f>+IF(COUNTIFS('Raw Period DMR Data'!$A:$A,B633, 'Raw Period DMR Data'!C:C,'Raw Annual DMR Data'!X633, 'Raw Period DMR Data'!M:M, "&gt;0")&gt;0,_xlfn.MAXIFS('Raw Period DMR Data'!M:M,'Raw Period DMR Data'!$A:$A,'Raw Annual DMR Data'!B633,'Raw Period DMR Data'!C:C,'Raw Annual DMR Data'!X633), "N/A - Period DMR Data Not Available")</f>
        <v>N/A - Period DMR Data Not Available</v>
      </c>
      <c r="V633" s="28" t="str" cm="1">
        <f t="array" ref="V633">IFERROR(INDEX('Raw Period DMR Data'!N:N,MATCH(1,(B633='Raw Period DMR Data'!$A:$A)*(U633='Raw Period DMR Data'!M:M)*(X633='Raw Period DMR Data'!C:C),0),1), "N/A")</f>
        <v>N/A</v>
      </c>
      <c r="W633" s="28" t="s">
        <v>1463</v>
      </c>
      <c r="X633" s="28" t="s">
        <v>1850</v>
      </c>
      <c r="Y633" s="28" t="s">
        <v>1851</v>
      </c>
      <c r="Z633" s="28">
        <v>18040012024994</v>
      </c>
      <c r="AA633" s="28"/>
      <c r="AB633" s="28" t="s">
        <v>1465</v>
      </c>
      <c r="AC633" s="28" t="s">
        <v>263</v>
      </c>
    </row>
    <row r="634" spans="1:29" x14ac:dyDescent="0.25">
      <c r="A634" s="61">
        <v>110064616296</v>
      </c>
      <c r="B634" s="28">
        <v>2020</v>
      </c>
      <c r="C634" s="68">
        <f t="shared" si="9"/>
        <v>43831</v>
      </c>
      <c r="D634" s="28" t="s">
        <v>1156</v>
      </c>
      <c r="E634" s="28" t="s">
        <v>1849</v>
      </c>
      <c r="F634" s="28" t="s">
        <v>1157</v>
      </c>
      <c r="G634" s="28" t="s">
        <v>366</v>
      </c>
      <c r="H634" s="28">
        <v>956409626</v>
      </c>
      <c r="I634" s="28">
        <v>38.273180000000004</v>
      </c>
      <c r="J634" s="28">
        <v>-120.91082</v>
      </c>
      <c r="L634" s="61">
        <v>110064616296</v>
      </c>
      <c r="M634" s="28" t="s">
        <v>263</v>
      </c>
      <c r="N634" s="28">
        <v>4952</v>
      </c>
      <c r="O634" s="28" t="str">
        <f>IFERROR(VLOOKUP(N634, 'SIC &amp; NAICS Codes'!A:B, 2, FALSE), "")</f>
        <v>Sewerage Systems</v>
      </c>
      <c r="S634" s="28">
        <v>5.1807187500000004E-3</v>
      </c>
      <c r="T634" s="315">
        <f>_xlfn.MAXIFS('Raw Period DMR Data'!$O:$O,'Raw Period DMR Data'!$A:$A,'Raw Annual DMR Data'!B634,'Raw Period DMR Data'!$C:$C,X634)/S634</f>
        <v>0</v>
      </c>
      <c r="U634" s="28" t="str">
        <f>+IF(COUNTIFS('Raw Period DMR Data'!$A:$A,B634, 'Raw Period DMR Data'!C:C,'Raw Annual DMR Data'!X634, 'Raw Period DMR Data'!M:M, "&gt;0")&gt;0,_xlfn.MAXIFS('Raw Period DMR Data'!M:M,'Raw Period DMR Data'!$A:$A,'Raw Annual DMR Data'!B634,'Raw Period DMR Data'!C:C,'Raw Annual DMR Data'!X634), "N/A - Period DMR Data Not Available")</f>
        <v>N/A - Period DMR Data Not Available</v>
      </c>
      <c r="V634" s="28" t="str" cm="1">
        <f t="array" ref="V634">IFERROR(INDEX('Raw Period DMR Data'!N:N,MATCH(1,(B634='Raw Period DMR Data'!$A:$A)*(U634='Raw Period DMR Data'!M:M)*(X634='Raw Period DMR Data'!C:C),0),1), "N/A")</f>
        <v>N/A</v>
      </c>
      <c r="W634" s="28" t="s">
        <v>1463</v>
      </c>
      <c r="X634" s="28" t="s">
        <v>1850</v>
      </c>
      <c r="Y634" s="28" t="s">
        <v>1851</v>
      </c>
      <c r="Z634" s="28">
        <v>18040012024994</v>
      </c>
      <c r="AA634" s="28"/>
      <c r="AB634" s="28" t="s">
        <v>1465</v>
      </c>
      <c r="AC634" s="28" t="s">
        <v>263</v>
      </c>
    </row>
    <row r="635" spans="1:29" x14ac:dyDescent="0.25">
      <c r="A635" s="61">
        <v>110000732324</v>
      </c>
      <c r="B635" s="28">
        <v>2018</v>
      </c>
      <c r="C635" s="68">
        <f t="shared" si="9"/>
        <v>43101</v>
      </c>
      <c r="D635" s="28" t="s">
        <v>1158</v>
      </c>
      <c r="E635" s="28" t="s">
        <v>1852</v>
      </c>
      <c r="F635" s="28" t="s">
        <v>1159</v>
      </c>
      <c r="G635" s="28" t="s">
        <v>324</v>
      </c>
      <c r="H635" s="28">
        <v>40330</v>
      </c>
      <c r="I635" s="28">
        <v>37.776316000000001</v>
      </c>
      <c r="J635" s="28">
        <v>-84.867384999999999</v>
      </c>
      <c r="L635" s="61">
        <v>110000732324</v>
      </c>
      <c r="M635" s="28" t="s">
        <v>263</v>
      </c>
      <c r="N635" s="28">
        <v>4952</v>
      </c>
      <c r="O635" s="28" t="str">
        <f>IFERROR(VLOOKUP(N635, 'SIC &amp; NAICS Codes'!A:B, 2, FALSE), "")</f>
        <v>Sewerage Systems</v>
      </c>
      <c r="S635" s="28">
        <v>1.7041110875000001</v>
      </c>
      <c r="T635" s="315">
        <f>_xlfn.MAXIFS('Raw Period DMR Data'!$O:$O,'Raw Period DMR Data'!$A:$A,'Raw Annual DMR Data'!B635,'Raw Period DMR Data'!$C:$C,X635)/S635</f>
        <v>0</v>
      </c>
      <c r="U635" s="28" t="str">
        <f>+IF(COUNTIFS('Raw Period DMR Data'!$A:$A,B635, 'Raw Period DMR Data'!C:C,'Raw Annual DMR Data'!X635, 'Raw Period DMR Data'!M:M, "&gt;0")&gt;0,_xlfn.MAXIFS('Raw Period DMR Data'!M:M,'Raw Period DMR Data'!$A:$A,'Raw Annual DMR Data'!B635,'Raw Period DMR Data'!C:C,'Raw Annual DMR Data'!X635), "N/A - Period DMR Data Not Available")</f>
        <v>N/A - Period DMR Data Not Available</v>
      </c>
      <c r="V635" s="28" t="str" cm="1">
        <f t="array" ref="V635">IFERROR(INDEX('Raw Period DMR Data'!N:N,MATCH(1,(B635='Raw Period DMR Data'!$A:$A)*(U635='Raw Period DMR Data'!M:M)*(X635='Raw Period DMR Data'!C:C),0),1), "N/A")</f>
        <v>N/A</v>
      </c>
      <c r="W635" s="28" t="s">
        <v>1463</v>
      </c>
      <c r="X635" s="28" t="s">
        <v>1853</v>
      </c>
      <c r="Y635" s="28" t="s">
        <v>1854</v>
      </c>
      <c r="Z635" s="302" t="s">
        <v>1855</v>
      </c>
      <c r="AA635" s="28"/>
      <c r="AB635" s="28" t="s">
        <v>1465</v>
      </c>
      <c r="AC635" s="28" t="s">
        <v>263</v>
      </c>
    </row>
    <row r="636" spans="1:29" x14ac:dyDescent="0.25">
      <c r="A636" s="61">
        <v>110000732324</v>
      </c>
      <c r="B636" s="28">
        <v>2019</v>
      </c>
      <c r="C636" s="68">
        <f t="shared" si="9"/>
        <v>43466</v>
      </c>
      <c r="D636" s="28" t="s">
        <v>1158</v>
      </c>
      <c r="E636" s="28" t="s">
        <v>1852</v>
      </c>
      <c r="F636" s="28" t="s">
        <v>1159</v>
      </c>
      <c r="G636" s="28" t="s">
        <v>324</v>
      </c>
      <c r="H636" s="28">
        <v>40330</v>
      </c>
      <c r="I636" s="28">
        <v>37.776316000000001</v>
      </c>
      <c r="J636" s="28">
        <v>-84.867384999999999</v>
      </c>
      <c r="L636" s="61">
        <v>110000732324</v>
      </c>
      <c r="M636" s="28" t="s">
        <v>263</v>
      </c>
      <c r="N636" s="28">
        <v>4952</v>
      </c>
      <c r="O636" s="28" t="str">
        <f>IFERROR(VLOOKUP(N636, 'SIC &amp; NAICS Codes'!A:B, 2, FALSE), "")</f>
        <v>Sewerage Systems</v>
      </c>
      <c r="S636" s="28">
        <v>1.8070347</v>
      </c>
      <c r="T636" s="315">
        <f>_xlfn.MAXIFS('Raw Period DMR Data'!$O:$O,'Raw Period DMR Data'!$A:$A,'Raw Annual DMR Data'!B636,'Raw Period DMR Data'!$C:$C,X636)/S636</f>
        <v>0</v>
      </c>
      <c r="U636" s="28" t="str">
        <f>+IF(COUNTIFS('Raw Period DMR Data'!$A:$A,B636, 'Raw Period DMR Data'!C:C,'Raw Annual DMR Data'!X636, 'Raw Period DMR Data'!M:M, "&gt;0")&gt;0,_xlfn.MAXIFS('Raw Period DMR Data'!M:M,'Raw Period DMR Data'!$A:$A,'Raw Annual DMR Data'!B636,'Raw Period DMR Data'!C:C,'Raw Annual DMR Data'!X636), "N/A - Period DMR Data Not Available")</f>
        <v>N/A - Period DMR Data Not Available</v>
      </c>
      <c r="V636" s="28" t="str" cm="1">
        <f t="array" ref="V636">IFERROR(INDEX('Raw Period DMR Data'!N:N,MATCH(1,(B636='Raw Period DMR Data'!$A:$A)*(U636='Raw Period DMR Data'!M:M)*(X636='Raw Period DMR Data'!C:C),0),1), "N/A")</f>
        <v>N/A</v>
      </c>
      <c r="W636" s="28" t="s">
        <v>1463</v>
      </c>
      <c r="X636" s="28" t="s">
        <v>1853</v>
      </c>
      <c r="Y636" s="28" t="s">
        <v>1854</v>
      </c>
      <c r="Z636" s="28">
        <v>5140102000788</v>
      </c>
      <c r="AA636" s="28"/>
      <c r="AB636" s="28" t="s">
        <v>1465</v>
      </c>
      <c r="AC636" s="28" t="s">
        <v>263</v>
      </c>
    </row>
    <row r="637" spans="1:29" x14ac:dyDescent="0.25">
      <c r="A637" s="61">
        <v>110000732324</v>
      </c>
      <c r="B637" s="28">
        <v>2020</v>
      </c>
      <c r="C637" s="68">
        <f t="shared" si="9"/>
        <v>43831</v>
      </c>
      <c r="D637" s="28" t="s">
        <v>1158</v>
      </c>
      <c r="E637" s="28" t="s">
        <v>1852</v>
      </c>
      <c r="F637" s="28" t="s">
        <v>1159</v>
      </c>
      <c r="G637" s="28" t="s">
        <v>324</v>
      </c>
      <c r="H637" s="28">
        <v>40330</v>
      </c>
      <c r="I637" s="28">
        <v>37.776316000000001</v>
      </c>
      <c r="J637" s="28">
        <v>-84.867384999999999</v>
      </c>
      <c r="L637" s="61">
        <v>110000732324</v>
      </c>
      <c r="M637" s="28" t="s">
        <v>263</v>
      </c>
      <c r="N637" s="28">
        <v>4952</v>
      </c>
      <c r="O637" s="28" t="str">
        <f>IFERROR(VLOOKUP(N637, 'SIC &amp; NAICS Codes'!A:B, 2, FALSE), "")</f>
        <v>Sewerage Systems</v>
      </c>
      <c r="S637" s="28">
        <v>1.24613555</v>
      </c>
      <c r="T637" s="315">
        <f>_xlfn.MAXIFS('Raw Period DMR Data'!$O:$O,'Raw Period DMR Data'!$A:$A,'Raw Annual DMR Data'!B637,'Raw Period DMR Data'!$C:$C,X637)/S637</f>
        <v>0</v>
      </c>
      <c r="U637" s="28" t="str">
        <f>+IF(COUNTIFS('Raw Period DMR Data'!$A:$A,B637, 'Raw Period DMR Data'!C:C,'Raw Annual DMR Data'!X637, 'Raw Period DMR Data'!M:M, "&gt;0")&gt;0,_xlfn.MAXIFS('Raw Period DMR Data'!M:M,'Raw Period DMR Data'!$A:$A,'Raw Annual DMR Data'!B637,'Raw Period DMR Data'!C:C,'Raw Annual DMR Data'!X637), "N/A - Period DMR Data Not Available")</f>
        <v>N/A - Period DMR Data Not Available</v>
      </c>
      <c r="V637" s="28" t="str" cm="1">
        <f t="array" ref="V637">IFERROR(INDEX('Raw Period DMR Data'!N:N,MATCH(1,(B637='Raw Period DMR Data'!$A:$A)*(U637='Raw Period DMR Data'!M:M)*(X637='Raw Period DMR Data'!C:C),0),1), "N/A")</f>
        <v>N/A</v>
      </c>
      <c r="W637" s="28" t="s">
        <v>1463</v>
      </c>
      <c r="X637" s="28" t="s">
        <v>1853</v>
      </c>
      <c r="Y637" s="28" t="s">
        <v>1854</v>
      </c>
      <c r="Z637" s="28">
        <v>5140102000788</v>
      </c>
      <c r="AA637" s="28"/>
      <c r="AB637" s="28" t="s">
        <v>1465</v>
      </c>
      <c r="AC637" s="28" t="s">
        <v>263</v>
      </c>
    </row>
    <row r="638" spans="1:29" x14ac:dyDescent="0.25">
      <c r="A638" s="61">
        <v>110070117180</v>
      </c>
      <c r="B638" s="28">
        <v>2020</v>
      </c>
      <c r="C638" s="68">
        <f t="shared" si="9"/>
        <v>43831</v>
      </c>
      <c r="D638" s="28" t="s">
        <v>156</v>
      </c>
      <c r="E638" s="28" t="s">
        <v>501</v>
      </c>
      <c r="F638" s="28" t="s">
        <v>502</v>
      </c>
      <c r="G638" s="28" t="s">
        <v>303</v>
      </c>
      <c r="H638" s="28">
        <v>70058</v>
      </c>
      <c r="I638" s="28">
        <v>29.910609999999998</v>
      </c>
      <c r="J638" s="28">
        <v>-90.085269999999994</v>
      </c>
      <c r="L638" s="61">
        <v>110070117180</v>
      </c>
      <c r="M638" s="28" t="s">
        <v>252</v>
      </c>
      <c r="N638" s="28">
        <v>4226</v>
      </c>
      <c r="O638" s="28" t="str">
        <f>IFERROR(VLOOKUP(N638, 'SIC &amp; NAICS Codes'!A:B, 2, FALSE), "")</f>
        <v>Special Warehousing and Storage, NEC (warehousing in foreign trade zones)</v>
      </c>
      <c r="S638" s="28">
        <v>8.5503149999999997E-4</v>
      </c>
      <c r="T638" s="315">
        <f>_xlfn.MAXIFS('Raw Period DMR Data'!$O:$O,'Raw Period DMR Data'!$A:$A,'Raw Annual DMR Data'!B638,'Raw Period DMR Data'!$C:$C,X638)/S638</f>
        <v>0</v>
      </c>
      <c r="U638" s="28" t="str">
        <f>+IF(COUNTIFS('Raw Period DMR Data'!$A:$A,B638, 'Raw Period DMR Data'!C:C,'Raw Annual DMR Data'!X638, 'Raw Period DMR Data'!M:M, "&gt;0")&gt;0,_xlfn.MAXIFS('Raw Period DMR Data'!M:M,'Raw Period DMR Data'!$A:$A,'Raw Annual DMR Data'!B638,'Raw Period DMR Data'!C:C,'Raw Annual DMR Data'!X638), "N/A - Period DMR Data Not Available")</f>
        <v>N/A - Period DMR Data Not Available</v>
      </c>
      <c r="V638" s="28" t="str" cm="1">
        <f t="array" ref="V638">IFERROR(INDEX('Raw Period DMR Data'!N:N,MATCH(1,(B638='Raw Period DMR Data'!$A:$A)*(U638='Raw Period DMR Data'!M:M)*(X638='Raw Period DMR Data'!C:C),0),1), "N/A")</f>
        <v>N/A</v>
      </c>
      <c r="W638" s="28" t="s">
        <v>1463</v>
      </c>
      <c r="X638" s="28" t="s">
        <v>873</v>
      </c>
      <c r="Z638" s="61">
        <v>8090100000658</v>
      </c>
    </row>
    <row r="639" spans="1:29" x14ac:dyDescent="0.25">
      <c r="A639" s="61">
        <v>110000433022</v>
      </c>
      <c r="B639" s="28">
        <v>2015</v>
      </c>
      <c r="C639" s="68">
        <f t="shared" si="9"/>
        <v>42005</v>
      </c>
      <c r="D639" s="28" t="s">
        <v>1160</v>
      </c>
      <c r="E639" s="28" t="s">
        <v>1856</v>
      </c>
      <c r="F639" s="28" t="s">
        <v>1103</v>
      </c>
      <c r="G639" s="28" t="s">
        <v>345</v>
      </c>
      <c r="H639" s="28" t="s">
        <v>1857</v>
      </c>
      <c r="I639" s="28">
        <v>41.304952</v>
      </c>
      <c r="J639" s="28">
        <v>-88.561650999999998</v>
      </c>
      <c r="K639" s="28" t="s">
        <v>720</v>
      </c>
      <c r="L639" s="61">
        <v>110000433022</v>
      </c>
      <c r="M639" s="28" t="s">
        <v>265</v>
      </c>
      <c r="N639" s="28">
        <v>2821</v>
      </c>
      <c r="O639" s="28" t="str">
        <f>IFERROR(VLOOKUP(N639, 'SIC &amp; NAICS Codes'!A:B, 2, FALSE), "")</f>
        <v>Plastics Materials, Synthetic and Resins, and Nonvulcanizable Elastomers</v>
      </c>
      <c r="S639" s="28">
        <v>1.8291383219954601E-2</v>
      </c>
      <c r="T639" s="315">
        <f>_xlfn.MAXIFS('Raw Period DMR Data'!$O:$O,'Raw Period DMR Data'!$A:$A,'Raw Annual DMR Data'!B639,'Raw Period DMR Data'!$C:$C,X639)/S639</f>
        <v>0</v>
      </c>
      <c r="U639" s="28" t="str">
        <f>+IF(COUNTIFS('Raw Period DMR Data'!$A:$A,B639, 'Raw Period DMR Data'!C:C,'Raw Annual DMR Data'!X639, 'Raw Period DMR Data'!M:M, "&gt;0")&gt;0,_xlfn.MAXIFS('Raw Period DMR Data'!M:M,'Raw Period DMR Data'!$A:$A,'Raw Annual DMR Data'!B639,'Raw Period DMR Data'!C:C,'Raw Annual DMR Data'!X639), "N/A - Period DMR Data Not Available")</f>
        <v>N/A - Period DMR Data Not Available</v>
      </c>
      <c r="V639" s="28" t="str" cm="1">
        <f t="array" ref="V639">IFERROR(INDEX('Raw Period DMR Data'!N:N,MATCH(1,(B639='Raw Period DMR Data'!$A:$A)*(U639='Raw Period DMR Data'!M:M)*(X639='Raw Period DMR Data'!C:C),0),1), "N/A")</f>
        <v>N/A</v>
      </c>
      <c r="W639" s="28" t="s">
        <v>1463</v>
      </c>
      <c r="X639" s="28" t="s">
        <v>1858</v>
      </c>
      <c r="Y639" s="28" t="s">
        <v>1859</v>
      </c>
      <c r="Z639" s="28">
        <v>7120005000124</v>
      </c>
      <c r="AA639" s="28"/>
      <c r="AB639" s="28" t="s">
        <v>1465</v>
      </c>
      <c r="AC639" s="28" t="s">
        <v>1466</v>
      </c>
    </row>
    <row r="640" spans="1:29" x14ac:dyDescent="0.25">
      <c r="A640" s="61">
        <v>110000433022</v>
      </c>
      <c r="B640" s="28">
        <v>2016</v>
      </c>
      <c r="C640" s="68">
        <f t="shared" si="9"/>
        <v>42370</v>
      </c>
      <c r="D640" s="28" t="s">
        <v>1160</v>
      </c>
      <c r="E640" s="28" t="s">
        <v>1856</v>
      </c>
      <c r="F640" s="28" t="s">
        <v>1103</v>
      </c>
      <c r="G640" s="28" t="s">
        <v>345</v>
      </c>
      <c r="H640" s="28" t="s">
        <v>1857</v>
      </c>
      <c r="I640" s="28">
        <v>41.304952</v>
      </c>
      <c r="J640" s="28">
        <v>-88.561650999999998</v>
      </c>
      <c r="K640" s="28" t="s">
        <v>720</v>
      </c>
      <c r="L640" s="61">
        <v>110000433022</v>
      </c>
      <c r="M640" s="28" t="s">
        <v>265</v>
      </c>
      <c r="N640" s="28">
        <v>2821</v>
      </c>
      <c r="O640" s="28" t="str">
        <f>IFERROR(VLOOKUP(N640, 'SIC &amp; NAICS Codes'!A:B, 2, FALSE), "")</f>
        <v>Plastics Materials, Synthetic and Resins, and Nonvulcanizable Elastomers</v>
      </c>
      <c r="S640" s="28">
        <v>0.10263038548752799</v>
      </c>
      <c r="T640" s="315">
        <f>_xlfn.MAXIFS('Raw Period DMR Data'!$O:$O,'Raw Period DMR Data'!$A:$A,'Raw Annual DMR Data'!B640,'Raw Period DMR Data'!$C:$C,X640)/S640</f>
        <v>0</v>
      </c>
      <c r="U640" s="28" t="str">
        <f>+IF(COUNTIFS('Raw Period DMR Data'!$A:$A,B640, 'Raw Period DMR Data'!C:C,'Raw Annual DMR Data'!X640, 'Raw Period DMR Data'!M:M, "&gt;0")&gt;0,_xlfn.MAXIFS('Raw Period DMR Data'!M:M,'Raw Period DMR Data'!$A:$A,'Raw Annual DMR Data'!B640,'Raw Period DMR Data'!C:C,'Raw Annual DMR Data'!X640), "N/A - Period DMR Data Not Available")</f>
        <v>N/A - Period DMR Data Not Available</v>
      </c>
      <c r="V640" s="28" t="str" cm="1">
        <f t="array" ref="V640">IFERROR(INDEX('Raw Period DMR Data'!N:N,MATCH(1,(B640='Raw Period DMR Data'!$A:$A)*(U640='Raw Period DMR Data'!M:M)*(X640='Raw Period DMR Data'!C:C),0),1), "N/A")</f>
        <v>N/A</v>
      </c>
      <c r="W640" s="28" t="s">
        <v>1463</v>
      </c>
      <c r="X640" s="28" t="s">
        <v>1858</v>
      </c>
      <c r="Y640" s="28" t="s">
        <v>1859</v>
      </c>
      <c r="Z640" s="28">
        <v>7120005000124</v>
      </c>
      <c r="AA640" s="28"/>
      <c r="AB640" s="28" t="s">
        <v>1465</v>
      </c>
      <c r="AC640" s="28" t="s">
        <v>1466</v>
      </c>
    </row>
    <row r="641" spans="1:29" x14ac:dyDescent="0.25">
      <c r="A641" s="61">
        <v>110000433022</v>
      </c>
      <c r="B641" s="28">
        <v>2017</v>
      </c>
      <c r="C641" s="68">
        <f t="shared" si="9"/>
        <v>42736</v>
      </c>
      <c r="D641" s="28" t="s">
        <v>1160</v>
      </c>
      <c r="E641" s="28" t="s">
        <v>1856</v>
      </c>
      <c r="F641" s="28" t="s">
        <v>1103</v>
      </c>
      <c r="G641" s="28" t="s">
        <v>345</v>
      </c>
      <c r="H641" s="28" t="s">
        <v>1857</v>
      </c>
      <c r="I641" s="28">
        <v>41.304952</v>
      </c>
      <c r="J641" s="28">
        <v>-88.561650999999998</v>
      </c>
      <c r="K641" s="28" t="s">
        <v>720</v>
      </c>
      <c r="L641" s="61">
        <v>110000433022</v>
      </c>
      <c r="M641" s="28" t="s">
        <v>265</v>
      </c>
      <c r="N641" s="28">
        <v>2821</v>
      </c>
      <c r="O641" s="28" t="str">
        <f>IFERROR(VLOOKUP(N641, 'SIC &amp; NAICS Codes'!A:B, 2, FALSE), "")</f>
        <v>Plastics Materials, Synthetic and Resins, and Nonvulcanizable Elastomers</v>
      </c>
      <c r="S641" s="28">
        <v>0.124811791383219</v>
      </c>
      <c r="T641" s="315">
        <f>_xlfn.MAXIFS('Raw Period DMR Data'!$O:$O,'Raw Period DMR Data'!$A:$A,'Raw Annual DMR Data'!B641,'Raw Period DMR Data'!$C:$C,X641)/S641</f>
        <v>0</v>
      </c>
      <c r="U641" s="28" t="str">
        <f>+IF(COUNTIFS('Raw Period DMR Data'!$A:$A,B641, 'Raw Period DMR Data'!C:C,'Raw Annual DMR Data'!X641, 'Raw Period DMR Data'!M:M, "&gt;0")&gt;0,_xlfn.MAXIFS('Raw Period DMR Data'!M:M,'Raw Period DMR Data'!$A:$A,'Raw Annual DMR Data'!B641,'Raw Period DMR Data'!C:C,'Raw Annual DMR Data'!X641), "N/A - Period DMR Data Not Available")</f>
        <v>N/A - Period DMR Data Not Available</v>
      </c>
      <c r="V641" s="28" t="str" cm="1">
        <f t="array" ref="V641">IFERROR(INDEX('Raw Period DMR Data'!N:N,MATCH(1,(B641='Raw Period DMR Data'!$A:$A)*(U641='Raw Period DMR Data'!M:M)*(X641='Raw Period DMR Data'!C:C),0),1), "N/A")</f>
        <v>N/A</v>
      </c>
      <c r="W641" s="28" t="s">
        <v>1463</v>
      </c>
      <c r="X641" s="28" t="s">
        <v>1858</v>
      </c>
      <c r="Y641" s="28" t="s">
        <v>1859</v>
      </c>
      <c r="Z641" s="28">
        <v>7120005000124</v>
      </c>
      <c r="AA641" s="28"/>
      <c r="AB641" s="28" t="s">
        <v>1465</v>
      </c>
      <c r="AC641" s="28" t="s">
        <v>1466</v>
      </c>
    </row>
    <row r="642" spans="1:29" x14ac:dyDescent="0.25">
      <c r="A642" s="61">
        <v>110000433022</v>
      </c>
      <c r="B642" s="28">
        <v>2018</v>
      </c>
      <c r="C642" s="68">
        <f t="shared" si="9"/>
        <v>43101</v>
      </c>
      <c r="D642" s="28" t="s">
        <v>1160</v>
      </c>
      <c r="E642" s="28" t="s">
        <v>1856</v>
      </c>
      <c r="F642" s="28" t="s">
        <v>1103</v>
      </c>
      <c r="G642" s="28" t="s">
        <v>345</v>
      </c>
      <c r="H642" s="28" t="s">
        <v>1857</v>
      </c>
      <c r="I642" s="28">
        <v>41.304952</v>
      </c>
      <c r="J642" s="28">
        <v>-88.561650999999998</v>
      </c>
      <c r="K642" s="28" t="s">
        <v>720</v>
      </c>
      <c r="L642" s="61">
        <v>110000433022</v>
      </c>
      <c r="M642" s="28" t="s">
        <v>265</v>
      </c>
      <c r="N642" s="28">
        <v>2821</v>
      </c>
      <c r="O642" s="28" t="str">
        <f>IFERROR(VLOOKUP(N642, 'SIC &amp; NAICS Codes'!A:B, 2, FALSE), "")</f>
        <v>Plastics Materials, Synthetic and Resins, and Nonvulcanizable Elastomers</v>
      </c>
      <c r="S642" s="302">
        <v>2.3398072562358201E-2</v>
      </c>
      <c r="T642" s="315">
        <f>_xlfn.MAXIFS('Raw Period DMR Data'!$O:$O,'Raw Period DMR Data'!$A:$A,'Raw Annual DMR Data'!B642,'Raw Period DMR Data'!$C:$C,X642)/S642</f>
        <v>0</v>
      </c>
      <c r="U642" s="28" t="str">
        <f>+IF(COUNTIFS('Raw Period DMR Data'!$A:$A,B642, 'Raw Period DMR Data'!C:C,'Raw Annual DMR Data'!X642, 'Raw Period DMR Data'!M:M, "&gt;0")&gt;0,_xlfn.MAXIFS('Raw Period DMR Data'!M:M,'Raw Period DMR Data'!$A:$A,'Raw Annual DMR Data'!B642,'Raw Period DMR Data'!C:C,'Raw Annual DMR Data'!X642), "N/A - Period DMR Data Not Available")</f>
        <v>N/A - Period DMR Data Not Available</v>
      </c>
      <c r="V642" s="28" t="str" cm="1">
        <f t="array" ref="V642">IFERROR(INDEX('Raw Period DMR Data'!N:N,MATCH(1,(B642='Raw Period DMR Data'!$A:$A)*(U642='Raw Period DMR Data'!M:M)*(X642='Raw Period DMR Data'!C:C),0),1), "N/A")</f>
        <v>N/A</v>
      </c>
      <c r="W642" s="28" t="s">
        <v>1463</v>
      </c>
      <c r="X642" s="28" t="s">
        <v>1858</v>
      </c>
      <c r="Y642" s="28" t="s">
        <v>1859</v>
      </c>
      <c r="Z642" s="302" t="s">
        <v>1860</v>
      </c>
      <c r="AA642" s="28"/>
      <c r="AB642" s="28" t="s">
        <v>1465</v>
      </c>
      <c r="AC642" s="28" t="s">
        <v>1466</v>
      </c>
    </row>
    <row r="643" spans="1:29" x14ac:dyDescent="0.25">
      <c r="A643" s="61">
        <v>110000433022</v>
      </c>
      <c r="B643" s="28">
        <v>2019</v>
      </c>
      <c r="C643" s="68">
        <f t="shared" ref="C643:C706" si="10">DATE(B643, 1, 1)</f>
        <v>43466</v>
      </c>
      <c r="D643" s="28" t="s">
        <v>1160</v>
      </c>
      <c r="E643" s="28" t="s">
        <v>1856</v>
      </c>
      <c r="F643" s="28" t="s">
        <v>1103</v>
      </c>
      <c r="G643" s="28" t="s">
        <v>345</v>
      </c>
      <c r="H643" s="28" t="s">
        <v>1857</v>
      </c>
      <c r="I643" s="28">
        <v>41.304952</v>
      </c>
      <c r="J643" s="28">
        <v>-88.561650999999998</v>
      </c>
      <c r="K643" s="28" t="s">
        <v>720</v>
      </c>
      <c r="L643" s="61">
        <v>110000433022</v>
      </c>
      <c r="M643" s="28" t="s">
        <v>265</v>
      </c>
      <c r="N643" s="28">
        <v>2821</v>
      </c>
      <c r="O643" s="28" t="str">
        <f>IFERROR(VLOOKUP(N643, 'SIC &amp; NAICS Codes'!A:B, 2, FALSE), "")</f>
        <v>Plastics Materials, Synthetic and Resins, and Nonvulcanizable Elastomers</v>
      </c>
      <c r="S643" s="28">
        <v>6.4475056689342294E-2</v>
      </c>
      <c r="T643" s="315">
        <f>_xlfn.MAXIFS('Raw Period DMR Data'!$O:$O,'Raw Period DMR Data'!$A:$A,'Raw Annual DMR Data'!B643,'Raw Period DMR Data'!$C:$C,X643)/S643</f>
        <v>0</v>
      </c>
      <c r="U643" s="28" t="str">
        <f>+IF(COUNTIFS('Raw Period DMR Data'!$A:$A,B643, 'Raw Period DMR Data'!C:C,'Raw Annual DMR Data'!X643, 'Raw Period DMR Data'!M:M, "&gt;0")&gt;0,_xlfn.MAXIFS('Raw Period DMR Data'!M:M,'Raw Period DMR Data'!$A:$A,'Raw Annual DMR Data'!B643,'Raw Period DMR Data'!C:C,'Raw Annual DMR Data'!X643), "N/A - Period DMR Data Not Available")</f>
        <v>N/A - Period DMR Data Not Available</v>
      </c>
      <c r="V643" s="28" t="str" cm="1">
        <f t="array" ref="V643">IFERROR(INDEX('Raw Period DMR Data'!N:N,MATCH(1,(B643='Raw Period DMR Data'!$A:$A)*(U643='Raw Period DMR Data'!M:M)*(X643='Raw Period DMR Data'!C:C),0),1), "N/A")</f>
        <v>N/A</v>
      </c>
      <c r="W643" s="28" t="s">
        <v>1463</v>
      </c>
      <c r="X643" s="28" t="s">
        <v>1858</v>
      </c>
      <c r="Y643" s="28" t="s">
        <v>1859</v>
      </c>
      <c r="Z643" s="28">
        <v>7120005000124</v>
      </c>
      <c r="AA643" s="28"/>
      <c r="AB643" s="28" t="s">
        <v>1465</v>
      </c>
      <c r="AC643" s="28" t="s">
        <v>1466</v>
      </c>
    </row>
    <row r="644" spans="1:29" x14ac:dyDescent="0.25">
      <c r="A644" s="61">
        <v>110000433022</v>
      </c>
      <c r="B644" s="28">
        <v>2020</v>
      </c>
      <c r="C644" s="68">
        <f t="shared" si="10"/>
        <v>43831</v>
      </c>
      <c r="D644" s="28" t="s">
        <v>1160</v>
      </c>
      <c r="E644" s="28" t="s">
        <v>1856</v>
      </c>
      <c r="F644" s="28" t="s">
        <v>1103</v>
      </c>
      <c r="G644" s="28" t="s">
        <v>345</v>
      </c>
      <c r="H644" s="28" t="s">
        <v>1857</v>
      </c>
      <c r="I644" s="28">
        <v>41.304952</v>
      </c>
      <c r="J644" s="28">
        <v>-88.561650999999998</v>
      </c>
      <c r="K644" s="28" t="s">
        <v>720</v>
      </c>
      <c r="L644" s="61">
        <v>110000433022</v>
      </c>
      <c r="M644" s="28" t="s">
        <v>265</v>
      </c>
      <c r="N644" s="28">
        <v>2821</v>
      </c>
      <c r="O644" s="28" t="str">
        <f>IFERROR(VLOOKUP(N644, 'SIC &amp; NAICS Codes'!A:B, 2, FALSE), "")</f>
        <v>Plastics Materials, Synthetic and Resins, and Nonvulcanizable Elastomers</v>
      </c>
      <c r="S644" s="28">
        <v>0.204433106575963</v>
      </c>
      <c r="T644" s="315">
        <f>_xlfn.MAXIFS('Raw Period DMR Data'!$O:$O,'Raw Period DMR Data'!$A:$A,'Raw Annual DMR Data'!B644,'Raw Period DMR Data'!$C:$C,X644)/S644</f>
        <v>0</v>
      </c>
      <c r="U644" s="28" t="str">
        <f>+IF(COUNTIFS('Raw Period DMR Data'!$A:$A,B644, 'Raw Period DMR Data'!C:C,'Raw Annual DMR Data'!X644, 'Raw Period DMR Data'!M:M, "&gt;0")&gt;0,_xlfn.MAXIFS('Raw Period DMR Data'!M:M,'Raw Period DMR Data'!$A:$A,'Raw Annual DMR Data'!B644,'Raw Period DMR Data'!C:C,'Raw Annual DMR Data'!X644), "N/A - Period DMR Data Not Available")</f>
        <v>N/A - Period DMR Data Not Available</v>
      </c>
      <c r="V644" s="28" t="str" cm="1">
        <f t="array" ref="V644">IFERROR(INDEX('Raw Period DMR Data'!N:N,MATCH(1,(B644='Raw Period DMR Data'!$A:$A)*(U644='Raw Period DMR Data'!M:M)*(X644='Raw Period DMR Data'!C:C),0),1), "N/A")</f>
        <v>N/A</v>
      </c>
      <c r="W644" s="28" t="s">
        <v>1463</v>
      </c>
      <c r="X644" s="28" t="s">
        <v>1858</v>
      </c>
      <c r="Y644" s="28" t="s">
        <v>1859</v>
      </c>
      <c r="Z644" s="28">
        <v>7120005000124</v>
      </c>
      <c r="AA644" s="28"/>
      <c r="AB644" s="28" t="s">
        <v>1465</v>
      </c>
      <c r="AC644" s="28" t="s">
        <v>1466</v>
      </c>
    </row>
    <row r="645" spans="1:29" x14ac:dyDescent="0.25">
      <c r="A645" s="61">
        <v>110070210457</v>
      </c>
      <c r="B645" s="28">
        <v>2017</v>
      </c>
      <c r="C645" s="68">
        <f t="shared" si="10"/>
        <v>42736</v>
      </c>
      <c r="D645" s="28" t="s">
        <v>1161</v>
      </c>
      <c r="E645" s="28" t="s">
        <v>1861</v>
      </c>
      <c r="F645" s="28" t="s">
        <v>1162</v>
      </c>
      <c r="G645" s="28" t="s">
        <v>338</v>
      </c>
      <c r="H645" s="28">
        <v>80271164</v>
      </c>
      <c r="I645" s="28">
        <v>39.827696000000003</v>
      </c>
      <c r="J645" s="28">
        <v>-75.277782000000002</v>
      </c>
      <c r="L645" s="61">
        <v>110070210457</v>
      </c>
      <c r="M645" s="28" t="s">
        <v>264</v>
      </c>
      <c r="N645" s="28">
        <v>2869</v>
      </c>
      <c r="O645" s="28" t="str">
        <f>IFERROR(VLOOKUP(N645, 'SIC &amp; NAICS Codes'!A:B, 2, FALSE), "")</f>
        <v>Industrial Organic Chemicals, NEC (aliphatics)</v>
      </c>
      <c r="S645" s="28">
        <v>5.0075550000000003E-3</v>
      </c>
      <c r="T645" s="315">
        <f>_xlfn.MAXIFS('Raw Period DMR Data'!$O:$O,'Raw Period DMR Data'!$A:$A,'Raw Annual DMR Data'!B645,'Raw Period DMR Data'!$C:$C,X645)/S645</f>
        <v>0</v>
      </c>
      <c r="U645" s="28" t="str">
        <f>+IF(COUNTIFS('Raw Period DMR Data'!$A:$A,B645, 'Raw Period DMR Data'!C:C,'Raw Annual DMR Data'!X645, 'Raw Period DMR Data'!M:M, "&gt;0")&gt;0,_xlfn.MAXIFS('Raw Period DMR Data'!M:M,'Raw Period DMR Data'!$A:$A,'Raw Annual DMR Data'!B645,'Raw Period DMR Data'!C:C,'Raw Annual DMR Data'!X645), "N/A - Period DMR Data Not Available")</f>
        <v>N/A - Period DMR Data Not Available</v>
      </c>
      <c r="V645" s="28" t="str" cm="1">
        <f t="array" ref="V645">IFERROR(INDEX('Raw Period DMR Data'!N:N,MATCH(1,(B645='Raw Period DMR Data'!$A:$A)*(U645='Raw Period DMR Data'!M:M)*(X645='Raw Period DMR Data'!C:C),0),1), "N/A")</f>
        <v>N/A</v>
      </c>
      <c r="W645" s="28" t="s">
        <v>1463</v>
      </c>
      <c r="X645" s="28" t="s">
        <v>1862</v>
      </c>
      <c r="Y645" s="28" t="s">
        <v>783</v>
      </c>
      <c r="Z645" s="28">
        <v>2040202001793</v>
      </c>
      <c r="AA645" s="28"/>
      <c r="AB645" s="28" t="s">
        <v>1465</v>
      </c>
      <c r="AC645" s="28" t="s">
        <v>1466</v>
      </c>
    </row>
    <row r="646" spans="1:29" x14ac:dyDescent="0.25">
      <c r="A646" s="61">
        <v>110070210457</v>
      </c>
      <c r="B646" s="28">
        <v>2018</v>
      </c>
      <c r="C646" s="68">
        <f t="shared" si="10"/>
        <v>43101</v>
      </c>
      <c r="D646" s="28" t="s">
        <v>1161</v>
      </c>
      <c r="E646" s="28" t="s">
        <v>1861</v>
      </c>
      <c r="F646" s="28" t="s">
        <v>1162</v>
      </c>
      <c r="G646" s="28" t="s">
        <v>338</v>
      </c>
      <c r="H646" s="302" t="s">
        <v>1863</v>
      </c>
      <c r="I646" s="28">
        <v>39.827696000000003</v>
      </c>
      <c r="J646" s="28">
        <v>-75.277782000000002</v>
      </c>
      <c r="L646" s="61">
        <v>110070210457</v>
      </c>
      <c r="M646" s="28" t="s">
        <v>264</v>
      </c>
      <c r="N646" s="28">
        <v>2869</v>
      </c>
      <c r="O646" s="28" t="str">
        <f>IFERROR(VLOOKUP(N646, 'SIC &amp; NAICS Codes'!A:B, 2, FALSE), "")</f>
        <v>Industrial Organic Chemicals, NEC (aliphatics)</v>
      </c>
      <c r="S646" s="28">
        <v>5.0160712500000003E-3</v>
      </c>
      <c r="T646" s="315">
        <f>_xlfn.MAXIFS('Raw Period DMR Data'!$O:$O,'Raw Period DMR Data'!$A:$A,'Raw Annual DMR Data'!B646,'Raw Period DMR Data'!$C:$C,X646)/S646</f>
        <v>0</v>
      </c>
      <c r="U646" s="28" t="str">
        <f>+IF(COUNTIFS('Raw Period DMR Data'!$A:$A,B646, 'Raw Period DMR Data'!C:C,'Raw Annual DMR Data'!X646, 'Raw Period DMR Data'!M:M, "&gt;0")&gt;0,_xlfn.MAXIFS('Raw Period DMR Data'!M:M,'Raw Period DMR Data'!$A:$A,'Raw Annual DMR Data'!B646,'Raw Period DMR Data'!C:C,'Raw Annual DMR Data'!X646), "N/A - Period DMR Data Not Available")</f>
        <v>N/A - Period DMR Data Not Available</v>
      </c>
      <c r="V646" s="28" t="str" cm="1">
        <f t="array" ref="V646">IFERROR(INDEX('Raw Period DMR Data'!N:N,MATCH(1,(B646='Raw Period DMR Data'!$A:$A)*(U646='Raw Period DMR Data'!M:M)*(X646='Raw Period DMR Data'!C:C),0),1), "N/A")</f>
        <v>N/A</v>
      </c>
      <c r="W646" s="28" t="s">
        <v>1463</v>
      </c>
      <c r="X646" s="28" t="s">
        <v>1862</v>
      </c>
      <c r="Y646" s="28" t="s">
        <v>783</v>
      </c>
      <c r="Z646" s="302" t="s">
        <v>1864</v>
      </c>
      <c r="AA646" s="28"/>
      <c r="AB646" s="28" t="s">
        <v>1465</v>
      </c>
      <c r="AC646" s="28" t="s">
        <v>1466</v>
      </c>
    </row>
    <row r="647" spans="1:29" x14ac:dyDescent="0.25">
      <c r="A647" s="61">
        <v>110070210457</v>
      </c>
      <c r="B647" s="28">
        <v>2019</v>
      </c>
      <c r="C647" s="68">
        <f t="shared" si="10"/>
        <v>43466</v>
      </c>
      <c r="D647" s="28" t="s">
        <v>1161</v>
      </c>
      <c r="E647" s="28" t="s">
        <v>1861</v>
      </c>
      <c r="F647" s="28" t="s">
        <v>1162</v>
      </c>
      <c r="G647" s="28" t="s">
        <v>338</v>
      </c>
      <c r="H647" s="28">
        <v>80271164</v>
      </c>
      <c r="I647" s="28">
        <v>39.827696000000003</v>
      </c>
      <c r="J647" s="28">
        <v>-75.277782000000002</v>
      </c>
      <c r="L647" s="61">
        <v>110070210457</v>
      </c>
      <c r="M647" s="28" t="s">
        <v>264</v>
      </c>
      <c r="N647" s="28">
        <v>2869</v>
      </c>
      <c r="O647" s="28" t="str">
        <f>IFERROR(VLOOKUP(N647, 'SIC &amp; NAICS Codes'!A:B, 2, FALSE), "")</f>
        <v>Industrial Organic Chemicals, NEC (aliphatics)</v>
      </c>
      <c r="S647" s="28">
        <v>4.9808707499999997E-3</v>
      </c>
      <c r="T647" s="315">
        <f>_xlfn.MAXIFS('Raw Period DMR Data'!$O:$O,'Raw Period DMR Data'!$A:$A,'Raw Annual DMR Data'!B647,'Raw Period DMR Data'!$C:$C,X647)/S647</f>
        <v>0</v>
      </c>
      <c r="U647" s="28" t="str">
        <f>+IF(COUNTIFS('Raw Period DMR Data'!$A:$A,B647, 'Raw Period DMR Data'!C:C,'Raw Annual DMR Data'!X647, 'Raw Period DMR Data'!M:M, "&gt;0")&gt;0,_xlfn.MAXIFS('Raw Period DMR Data'!M:M,'Raw Period DMR Data'!$A:$A,'Raw Annual DMR Data'!B647,'Raw Period DMR Data'!C:C,'Raw Annual DMR Data'!X647), "N/A - Period DMR Data Not Available")</f>
        <v>N/A - Period DMR Data Not Available</v>
      </c>
      <c r="V647" s="28" t="str" cm="1">
        <f t="array" ref="V647">IFERROR(INDEX('Raw Period DMR Data'!N:N,MATCH(1,(B647='Raw Period DMR Data'!$A:$A)*(U647='Raw Period DMR Data'!M:M)*(X647='Raw Period DMR Data'!C:C),0),1), "N/A")</f>
        <v>N/A</v>
      </c>
      <c r="W647" s="28" t="s">
        <v>1463</v>
      </c>
      <c r="X647" s="28" t="s">
        <v>1862</v>
      </c>
      <c r="Y647" s="28" t="s">
        <v>783</v>
      </c>
      <c r="Z647" s="28">
        <v>2040202001793</v>
      </c>
      <c r="AA647" s="28"/>
      <c r="AB647" s="28" t="s">
        <v>1465</v>
      </c>
      <c r="AC647" s="28" t="s">
        <v>1466</v>
      </c>
    </row>
    <row r="648" spans="1:29" x14ac:dyDescent="0.25">
      <c r="A648" s="61">
        <v>110070210457</v>
      </c>
      <c r="B648" s="28">
        <v>2020</v>
      </c>
      <c r="C648" s="68">
        <f t="shared" si="10"/>
        <v>43831</v>
      </c>
      <c r="D648" s="28" t="s">
        <v>1161</v>
      </c>
      <c r="E648" s="28" t="s">
        <v>1861</v>
      </c>
      <c r="F648" s="28" t="s">
        <v>1162</v>
      </c>
      <c r="G648" s="28" t="s">
        <v>338</v>
      </c>
      <c r="H648" s="28">
        <v>80271164</v>
      </c>
      <c r="I648" s="28">
        <v>39.827696000000003</v>
      </c>
      <c r="J648" s="28">
        <v>-75.277782000000002</v>
      </c>
      <c r="L648" s="61">
        <v>110070210457</v>
      </c>
      <c r="M648" s="28" t="s">
        <v>264</v>
      </c>
      <c r="N648" s="28">
        <v>2869</v>
      </c>
      <c r="O648" s="28" t="str">
        <f>IFERROR(VLOOKUP(N648, 'SIC &amp; NAICS Codes'!A:B, 2, FALSE), "")</f>
        <v>Industrial Organic Chemicals, NEC (aliphatics)</v>
      </c>
      <c r="S648" s="28">
        <v>4.6669996250000003E-3</v>
      </c>
      <c r="T648" s="315">
        <f>_xlfn.MAXIFS('Raw Period DMR Data'!$O:$O,'Raw Period DMR Data'!$A:$A,'Raw Annual DMR Data'!B648,'Raw Period DMR Data'!$C:$C,X648)/S648</f>
        <v>0</v>
      </c>
      <c r="U648" s="28" t="str">
        <f>+IF(COUNTIFS('Raw Period DMR Data'!$A:$A,B648, 'Raw Period DMR Data'!C:C,'Raw Annual DMR Data'!X648, 'Raw Period DMR Data'!M:M, "&gt;0")&gt;0,_xlfn.MAXIFS('Raw Period DMR Data'!M:M,'Raw Period DMR Data'!$A:$A,'Raw Annual DMR Data'!B648,'Raw Period DMR Data'!C:C,'Raw Annual DMR Data'!X648), "N/A - Period DMR Data Not Available")</f>
        <v>N/A - Period DMR Data Not Available</v>
      </c>
      <c r="V648" s="28" t="str" cm="1">
        <f t="array" ref="V648">IFERROR(INDEX('Raw Period DMR Data'!N:N,MATCH(1,(B648='Raw Period DMR Data'!$A:$A)*(U648='Raw Period DMR Data'!M:M)*(X648='Raw Period DMR Data'!C:C),0),1), "N/A")</f>
        <v>N/A</v>
      </c>
      <c r="W648" s="28" t="s">
        <v>1463</v>
      </c>
      <c r="X648" s="28" t="s">
        <v>1862</v>
      </c>
      <c r="Y648" s="28" t="s">
        <v>783</v>
      </c>
      <c r="Z648" s="28">
        <v>2040202001793</v>
      </c>
      <c r="AA648" s="28"/>
      <c r="AB648" s="28" t="s">
        <v>1465</v>
      </c>
      <c r="AC648" s="28" t="s">
        <v>1466</v>
      </c>
    </row>
    <row r="649" spans="1:29" x14ac:dyDescent="0.25">
      <c r="A649" s="61">
        <v>110037096674</v>
      </c>
      <c r="B649" s="28">
        <v>2015</v>
      </c>
      <c r="C649" s="68">
        <f t="shared" si="10"/>
        <v>42005</v>
      </c>
      <c r="D649" s="28" t="s">
        <v>157</v>
      </c>
      <c r="E649" s="28" t="s">
        <v>504</v>
      </c>
      <c r="F649" s="28" t="s">
        <v>505</v>
      </c>
      <c r="G649" s="28" t="s">
        <v>506</v>
      </c>
      <c r="H649" s="28">
        <v>20910</v>
      </c>
      <c r="I649" s="28">
        <v>38.987340000000003</v>
      </c>
      <c r="J649" s="28">
        <v>-77.026660000000007</v>
      </c>
      <c r="L649" s="61">
        <v>110037096674</v>
      </c>
      <c r="M649" s="28" t="s">
        <v>264</v>
      </c>
      <c r="N649" s="28">
        <v>1522</v>
      </c>
      <c r="O649" s="28" t="str">
        <f>IFERROR(VLOOKUP(N649, 'SIC &amp; NAICS Codes'!A:B, 2, FALSE), "")</f>
        <v>General Contractors - Residential Buildings Other Than Single-Family (except remodeling contractors, hotel and motel construction contractors, and dormitory and barrack construction contractors)</v>
      </c>
      <c r="S649" s="28">
        <v>0.85634993964799899</v>
      </c>
      <c r="T649" s="315">
        <f>_xlfn.MAXIFS('Raw Period DMR Data'!$O:$O,'Raw Period DMR Data'!$A:$A,'Raw Annual DMR Data'!B649,'Raw Period DMR Data'!$C:$C,X649)/S649</f>
        <v>0</v>
      </c>
      <c r="U649" s="28" t="str">
        <f>+IF(COUNTIFS('Raw Period DMR Data'!$A:$A,B649, 'Raw Period DMR Data'!C:C,'Raw Annual DMR Data'!X649, 'Raw Period DMR Data'!M:M, "&gt;0")&gt;0,_xlfn.MAXIFS('Raw Period DMR Data'!M:M,'Raw Period DMR Data'!$A:$A,'Raw Annual DMR Data'!B649,'Raw Period DMR Data'!C:C,'Raw Annual DMR Data'!X649), "N/A - Period DMR Data Not Available")</f>
        <v>N/A - Period DMR Data Not Available</v>
      </c>
      <c r="V649" s="28" t="str" cm="1">
        <f t="array" ref="V649">IFERROR(INDEX('Raw Period DMR Data'!N:N,MATCH(1,(B649='Raw Period DMR Data'!$A:$A)*(U649='Raw Period DMR Data'!M:M)*(X649='Raw Period DMR Data'!C:C),0),1), "N/A")</f>
        <v>N/A</v>
      </c>
      <c r="W649" s="28" t="s">
        <v>1463</v>
      </c>
      <c r="X649" s="28" t="s">
        <v>874</v>
      </c>
      <c r="Y649" s="28" t="s">
        <v>875</v>
      </c>
      <c r="Z649" s="61">
        <v>2070010000088</v>
      </c>
    </row>
    <row r="650" spans="1:29" x14ac:dyDescent="0.25">
      <c r="A650" s="61">
        <v>110037096674</v>
      </c>
      <c r="B650" s="28">
        <v>2019</v>
      </c>
      <c r="C650" s="68">
        <f t="shared" si="10"/>
        <v>43466</v>
      </c>
      <c r="D650" s="28" t="s">
        <v>157</v>
      </c>
      <c r="E650" s="28" t="s">
        <v>504</v>
      </c>
      <c r="F650" s="28" t="s">
        <v>505</v>
      </c>
      <c r="G650" s="28" t="s">
        <v>506</v>
      </c>
      <c r="H650" s="28">
        <v>20910</v>
      </c>
      <c r="I650" s="28">
        <v>38.987340000000003</v>
      </c>
      <c r="J650" s="28">
        <v>-77.026660000000007</v>
      </c>
      <c r="L650" s="61">
        <v>110037096674</v>
      </c>
      <c r="M650" s="28" t="s">
        <v>264</v>
      </c>
      <c r="N650" s="28">
        <v>1522</v>
      </c>
      <c r="O650" s="28" t="str">
        <f>IFERROR(VLOOKUP(N650, 'SIC &amp; NAICS Codes'!A:B, 2, FALSE), "")</f>
        <v>General Contractors - Residential Buildings Other Than Single-Family (except remodeling contractors, hotel and motel construction contractors, and dormitory and barrack construction contractors)</v>
      </c>
      <c r="S650" s="28">
        <v>0.79768324827539905</v>
      </c>
      <c r="T650" s="315">
        <f>_xlfn.MAXIFS('Raw Period DMR Data'!$O:$O,'Raw Period DMR Data'!$A:$A,'Raw Annual DMR Data'!B650,'Raw Period DMR Data'!$C:$C,X650)/S650</f>
        <v>0</v>
      </c>
      <c r="U650" s="28" t="str">
        <f>+IF(COUNTIFS('Raw Period DMR Data'!$A:$A,B650, 'Raw Period DMR Data'!C:C,'Raw Annual DMR Data'!X650, 'Raw Period DMR Data'!M:M, "&gt;0")&gt;0,_xlfn.MAXIFS('Raw Period DMR Data'!M:M,'Raw Period DMR Data'!$A:$A,'Raw Annual DMR Data'!B650,'Raw Period DMR Data'!C:C,'Raw Annual DMR Data'!X650), "N/A - Period DMR Data Not Available")</f>
        <v>N/A - Period DMR Data Not Available</v>
      </c>
      <c r="V650" s="28" t="str" cm="1">
        <f t="array" ref="V650">IFERROR(INDEX('Raw Period DMR Data'!N:N,MATCH(1,(B650='Raw Period DMR Data'!$A:$A)*(U650='Raw Period DMR Data'!M:M)*(X650='Raw Period DMR Data'!C:C),0),1), "N/A")</f>
        <v>N/A</v>
      </c>
      <c r="W650" s="28" t="s">
        <v>1463</v>
      </c>
      <c r="X650" s="28" t="s">
        <v>874</v>
      </c>
      <c r="Y650" s="28" t="s">
        <v>875</v>
      </c>
      <c r="Z650" s="61">
        <v>2070010000088</v>
      </c>
    </row>
    <row r="651" spans="1:29" x14ac:dyDescent="0.25">
      <c r="A651" s="61">
        <v>110037096674</v>
      </c>
      <c r="B651" s="28">
        <v>2020</v>
      </c>
      <c r="C651" s="68">
        <f t="shared" si="10"/>
        <v>43831</v>
      </c>
      <c r="D651" s="28" t="s">
        <v>157</v>
      </c>
      <c r="E651" s="28" t="s">
        <v>504</v>
      </c>
      <c r="F651" s="28" t="s">
        <v>505</v>
      </c>
      <c r="G651" s="28" t="s">
        <v>506</v>
      </c>
      <c r="H651" s="28">
        <v>20910</v>
      </c>
      <c r="I651" s="28">
        <v>38.987340000000003</v>
      </c>
      <c r="J651" s="28">
        <v>-77.026660000000007</v>
      </c>
      <c r="L651" s="61">
        <v>110037096674</v>
      </c>
      <c r="M651" s="28" t="s">
        <v>264</v>
      </c>
      <c r="N651" s="28">
        <v>1522</v>
      </c>
      <c r="O651" s="28" t="str">
        <f>IFERROR(VLOOKUP(N651, 'SIC &amp; NAICS Codes'!A:B, 2, FALSE), "")</f>
        <v>General Contractors - Residential Buildings Other Than Single-Family (except remodeling contractors, hotel and motel construction contractors, and dormitory and barrack construction contractors)</v>
      </c>
      <c r="S651" s="28">
        <v>1.71789521117399</v>
      </c>
      <c r="T651" s="315">
        <f>_xlfn.MAXIFS('Raw Period DMR Data'!$O:$O,'Raw Period DMR Data'!$A:$A,'Raw Annual DMR Data'!B651,'Raw Period DMR Data'!$C:$C,X651)/S651</f>
        <v>0</v>
      </c>
      <c r="U651" s="28" t="str">
        <f>+IF(COUNTIFS('Raw Period DMR Data'!$A:$A,B651, 'Raw Period DMR Data'!C:C,'Raw Annual DMR Data'!X651, 'Raw Period DMR Data'!M:M, "&gt;0")&gt;0,_xlfn.MAXIFS('Raw Period DMR Data'!M:M,'Raw Period DMR Data'!$A:$A,'Raw Annual DMR Data'!B651,'Raw Period DMR Data'!C:C,'Raw Annual DMR Data'!X651), "N/A - Period DMR Data Not Available")</f>
        <v>N/A - Period DMR Data Not Available</v>
      </c>
      <c r="V651" s="28" t="str" cm="1">
        <f t="array" ref="V651">IFERROR(INDEX('Raw Period DMR Data'!N:N,MATCH(1,(B651='Raw Period DMR Data'!$A:$A)*(U651='Raw Period DMR Data'!M:M)*(X651='Raw Period DMR Data'!C:C),0),1), "N/A")</f>
        <v>N/A</v>
      </c>
      <c r="W651" s="28" t="s">
        <v>1463</v>
      </c>
      <c r="X651" s="28" t="s">
        <v>874</v>
      </c>
      <c r="Y651" s="28" t="s">
        <v>875</v>
      </c>
      <c r="Z651" s="61">
        <v>2070010000088</v>
      </c>
    </row>
    <row r="652" spans="1:29" x14ac:dyDescent="0.25">
      <c r="A652" s="61">
        <v>110070544907</v>
      </c>
      <c r="B652" s="28">
        <v>2019</v>
      </c>
      <c r="C652" s="68">
        <f t="shared" si="10"/>
        <v>43466</v>
      </c>
      <c r="D652" s="28" t="s">
        <v>158</v>
      </c>
      <c r="E652" s="28" t="s">
        <v>508</v>
      </c>
      <c r="F652" s="28" t="s">
        <v>509</v>
      </c>
      <c r="G652" s="28" t="s">
        <v>294</v>
      </c>
      <c r="H652" s="28">
        <v>220034935</v>
      </c>
      <c r="I652" s="28">
        <v>38.824719999999999</v>
      </c>
      <c r="J652" s="28">
        <v>-77.214320000000001</v>
      </c>
      <c r="L652" s="61">
        <v>110070544907</v>
      </c>
      <c r="M652" s="28" t="s">
        <v>264</v>
      </c>
      <c r="N652" s="28">
        <v>1794</v>
      </c>
      <c r="O652" s="28" t="str">
        <f>IFERROR(VLOOKUP(N652, 'SIC &amp; NAICS Codes'!A:B, 2, FALSE), "")</f>
        <v>Excavation Work</v>
      </c>
      <c r="S652" s="28">
        <v>6.8869778249999898E-4</v>
      </c>
      <c r="T652" s="315">
        <f>_xlfn.MAXIFS('Raw Period DMR Data'!$O:$O,'Raw Period DMR Data'!$A:$A,'Raw Annual DMR Data'!B652,'Raw Period DMR Data'!$C:$C,X652)/S652</f>
        <v>0</v>
      </c>
      <c r="U652" s="28" t="str">
        <f>+IF(COUNTIFS('Raw Period DMR Data'!$A:$A,B652, 'Raw Period DMR Data'!C:C,'Raw Annual DMR Data'!X652, 'Raw Period DMR Data'!M:M, "&gt;0")&gt;0,_xlfn.MAXIFS('Raw Period DMR Data'!M:M,'Raw Period DMR Data'!$A:$A,'Raw Annual DMR Data'!B652,'Raw Period DMR Data'!C:C,'Raw Annual DMR Data'!X652), "N/A - Period DMR Data Not Available")</f>
        <v>N/A - Period DMR Data Not Available</v>
      </c>
      <c r="V652" s="28" t="str" cm="1">
        <f t="array" ref="V652">IFERROR(INDEX('Raw Period DMR Data'!N:N,MATCH(1,(B652='Raw Period DMR Data'!$A:$A)*(U652='Raw Period DMR Data'!M:M)*(X652='Raw Period DMR Data'!C:C),0),1), "N/A")</f>
        <v>N/A</v>
      </c>
      <c r="W652" s="28" t="s">
        <v>1463</v>
      </c>
      <c r="X652" s="28" t="s">
        <v>876</v>
      </c>
      <c r="Y652" s="28" t="s">
        <v>877</v>
      </c>
      <c r="Z652" s="61"/>
    </row>
    <row r="653" spans="1:29" x14ac:dyDescent="0.25">
      <c r="A653" s="61">
        <v>110070544907</v>
      </c>
      <c r="B653" s="28">
        <v>2019</v>
      </c>
      <c r="C653" s="68">
        <f t="shared" si="10"/>
        <v>43466</v>
      </c>
      <c r="D653" s="28" t="s">
        <v>158</v>
      </c>
      <c r="E653" s="28" t="s">
        <v>508</v>
      </c>
      <c r="F653" s="28" t="s">
        <v>509</v>
      </c>
      <c r="G653" s="28" t="s">
        <v>294</v>
      </c>
      <c r="H653" s="28">
        <v>220034935</v>
      </c>
      <c r="I653" s="28">
        <v>38.824719999999999</v>
      </c>
      <c r="J653" s="28">
        <v>-77.214320000000001</v>
      </c>
      <c r="L653" s="61">
        <v>110070544907</v>
      </c>
      <c r="M653" s="28" t="s">
        <v>265</v>
      </c>
      <c r="N653" s="28">
        <v>1794</v>
      </c>
      <c r="O653" s="28" t="str">
        <f>IFERROR(VLOOKUP(N653, 'SIC &amp; NAICS Codes'!A:B, 2, FALSE), "")</f>
        <v>Excavation Work</v>
      </c>
      <c r="S653" s="28">
        <v>2.1119789024999901E-3</v>
      </c>
      <c r="T653" s="315">
        <f>_xlfn.MAXIFS('Raw Period DMR Data'!$O:$O,'Raw Period DMR Data'!$A:$A,'Raw Annual DMR Data'!B653,'Raw Period DMR Data'!$C:$C,X653)/S653</f>
        <v>0</v>
      </c>
      <c r="U653" s="28" t="str">
        <f>+IF(COUNTIFS('Raw Period DMR Data'!$A:$A,B653, 'Raw Period DMR Data'!C:C,'Raw Annual DMR Data'!X653, 'Raw Period DMR Data'!M:M, "&gt;0")&gt;0,_xlfn.MAXIFS('Raw Period DMR Data'!M:M,'Raw Period DMR Data'!$A:$A,'Raw Annual DMR Data'!B653,'Raw Period DMR Data'!C:C,'Raw Annual DMR Data'!X653), "N/A - Period DMR Data Not Available")</f>
        <v>N/A - Period DMR Data Not Available</v>
      </c>
      <c r="V653" s="28" t="str" cm="1">
        <f t="array" ref="V653">IFERROR(INDEX('Raw Period DMR Data'!N:N,MATCH(1,(B653='Raw Period DMR Data'!$A:$A)*(U653='Raw Period DMR Data'!M:M)*(X653='Raw Period DMR Data'!C:C),0),1), "N/A")</f>
        <v>N/A</v>
      </c>
      <c r="W653" s="28" t="s">
        <v>1463</v>
      </c>
      <c r="X653" s="28" t="s">
        <v>876</v>
      </c>
      <c r="Y653" s="28" t="s">
        <v>877</v>
      </c>
      <c r="AA653" s="28"/>
      <c r="AB653" s="28" t="s">
        <v>1465</v>
      </c>
      <c r="AC653" s="28" t="s">
        <v>1466</v>
      </c>
    </row>
    <row r="654" spans="1:29" x14ac:dyDescent="0.25">
      <c r="A654" s="61">
        <v>110000732271</v>
      </c>
      <c r="B654" s="28">
        <v>2019</v>
      </c>
      <c r="C654" s="68">
        <f t="shared" si="10"/>
        <v>43466</v>
      </c>
      <c r="D654" s="28" t="s">
        <v>1163</v>
      </c>
      <c r="E654" s="28" t="s">
        <v>1865</v>
      </c>
      <c r="F654" s="28" t="s">
        <v>987</v>
      </c>
      <c r="G654" s="28" t="s">
        <v>324</v>
      </c>
      <c r="H654" s="28" t="s">
        <v>1866</v>
      </c>
      <c r="I654" s="28">
        <v>38.322221999999996</v>
      </c>
      <c r="J654" s="28">
        <v>-85.555000000000007</v>
      </c>
      <c r="L654" s="61">
        <v>110000732271</v>
      </c>
      <c r="M654" s="28" t="s">
        <v>263</v>
      </c>
      <c r="N654" s="28">
        <v>4952</v>
      </c>
      <c r="O654" s="28" t="str">
        <f>IFERROR(VLOOKUP(N654, 'SIC &amp; NAICS Codes'!A:B, 2, FALSE), "")</f>
        <v>Sewerage Systems</v>
      </c>
      <c r="S654" s="28">
        <v>14.512920125000001</v>
      </c>
      <c r="T654" s="315">
        <f>_xlfn.MAXIFS('Raw Period DMR Data'!$O:$O,'Raw Period DMR Data'!$A:$A,'Raw Annual DMR Data'!B654,'Raw Period DMR Data'!$C:$C,X654)/S654</f>
        <v>0</v>
      </c>
      <c r="U654" s="28" t="str">
        <f>+IF(COUNTIFS('Raw Period DMR Data'!$A:$A,B654, 'Raw Period DMR Data'!C:C,'Raw Annual DMR Data'!X654, 'Raw Period DMR Data'!M:M, "&gt;0")&gt;0,_xlfn.MAXIFS('Raw Period DMR Data'!M:M,'Raw Period DMR Data'!$A:$A,'Raw Annual DMR Data'!B654,'Raw Period DMR Data'!C:C,'Raw Annual DMR Data'!X654), "N/A - Period DMR Data Not Available")</f>
        <v>N/A - Period DMR Data Not Available</v>
      </c>
      <c r="V654" s="28" t="str" cm="1">
        <f t="array" ref="V654">IFERROR(INDEX('Raw Period DMR Data'!N:N,MATCH(1,(B654='Raw Period DMR Data'!$A:$A)*(U654='Raw Period DMR Data'!M:M)*(X654='Raw Period DMR Data'!C:C),0),1), "N/A")</f>
        <v>N/A</v>
      </c>
      <c r="W654" s="28" t="s">
        <v>1463</v>
      </c>
      <c r="X654" s="28" t="s">
        <v>1867</v>
      </c>
      <c r="Y654" s="28" t="s">
        <v>1868</v>
      </c>
      <c r="Z654" s="28">
        <v>5140101000441</v>
      </c>
      <c r="AA654" s="28"/>
      <c r="AB654" s="28" t="s">
        <v>1465</v>
      </c>
      <c r="AC654" s="28" t="s">
        <v>263</v>
      </c>
    </row>
    <row r="655" spans="1:29" x14ac:dyDescent="0.25">
      <c r="A655" s="61">
        <v>110000732271</v>
      </c>
      <c r="B655" s="28">
        <v>2020</v>
      </c>
      <c r="C655" s="68">
        <f t="shared" si="10"/>
        <v>43831</v>
      </c>
      <c r="D655" s="28" t="s">
        <v>1163</v>
      </c>
      <c r="E655" s="28" t="s">
        <v>1865</v>
      </c>
      <c r="F655" s="28" t="s">
        <v>987</v>
      </c>
      <c r="G655" s="28" t="s">
        <v>324</v>
      </c>
      <c r="H655" s="28" t="s">
        <v>1866</v>
      </c>
      <c r="I655" s="28">
        <v>38.322221999999996</v>
      </c>
      <c r="J655" s="28">
        <v>-85.555000000000007</v>
      </c>
      <c r="L655" s="61">
        <v>110000732271</v>
      </c>
      <c r="M655" s="28" t="s">
        <v>263</v>
      </c>
      <c r="N655" s="28">
        <v>4952</v>
      </c>
      <c r="O655" s="28" t="str">
        <f>IFERROR(VLOOKUP(N655, 'SIC &amp; NAICS Codes'!A:B, 2, FALSE), "")</f>
        <v>Sewerage Systems</v>
      </c>
      <c r="S655" s="28">
        <v>14.022478749999999</v>
      </c>
      <c r="T655" s="315">
        <f>_xlfn.MAXIFS('Raw Period DMR Data'!$O:$O,'Raw Period DMR Data'!$A:$A,'Raw Annual DMR Data'!B655,'Raw Period DMR Data'!$C:$C,X655)/S655</f>
        <v>0</v>
      </c>
      <c r="U655" s="28" t="str">
        <f>+IF(COUNTIFS('Raw Period DMR Data'!$A:$A,B655, 'Raw Period DMR Data'!C:C,'Raw Annual DMR Data'!X655, 'Raw Period DMR Data'!M:M, "&gt;0")&gt;0,_xlfn.MAXIFS('Raw Period DMR Data'!M:M,'Raw Period DMR Data'!$A:$A,'Raw Annual DMR Data'!B655,'Raw Period DMR Data'!C:C,'Raw Annual DMR Data'!X655), "N/A - Period DMR Data Not Available")</f>
        <v>N/A - Period DMR Data Not Available</v>
      </c>
      <c r="V655" s="28" t="str" cm="1">
        <f t="array" ref="V655">IFERROR(INDEX('Raw Period DMR Data'!N:N,MATCH(1,(B655='Raw Period DMR Data'!$A:$A)*(U655='Raw Period DMR Data'!M:M)*(X655='Raw Period DMR Data'!C:C),0),1), "N/A")</f>
        <v>N/A</v>
      </c>
      <c r="W655" s="28" t="s">
        <v>1463</v>
      </c>
      <c r="X655" s="28" t="s">
        <v>1867</v>
      </c>
      <c r="Y655" s="28" t="s">
        <v>1868</v>
      </c>
      <c r="Z655" s="28">
        <v>5140101000441</v>
      </c>
      <c r="AA655" s="28"/>
      <c r="AB655" s="28" t="s">
        <v>1465</v>
      </c>
      <c r="AC655" s="28" t="s">
        <v>263</v>
      </c>
    </row>
    <row r="656" spans="1:29" x14ac:dyDescent="0.25">
      <c r="A656" s="61">
        <v>110070546529</v>
      </c>
      <c r="B656" s="28">
        <v>2019</v>
      </c>
      <c r="C656" s="68">
        <f t="shared" si="10"/>
        <v>43466</v>
      </c>
      <c r="D656" s="28" t="s">
        <v>1164</v>
      </c>
      <c r="E656" s="28" t="s">
        <v>1869</v>
      </c>
      <c r="F656" s="28" t="s">
        <v>968</v>
      </c>
      <c r="G656" s="28" t="s">
        <v>294</v>
      </c>
      <c r="H656" s="28">
        <v>22314</v>
      </c>
      <c r="I656" s="28">
        <v>38.803621</v>
      </c>
      <c r="J656" s="28">
        <v>-77.069773999999995</v>
      </c>
      <c r="L656" s="61">
        <v>110070546529</v>
      </c>
      <c r="M656" s="28" t="s">
        <v>265</v>
      </c>
      <c r="N656" s="28">
        <v>1794</v>
      </c>
      <c r="O656" s="28" t="str">
        <f>IFERROR(VLOOKUP(N656, 'SIC &amp; NAICS Codes'!A:B, 2, FALSE), "")</f>
        <v>Excavation Work</v>
      </c>
      <c r="S656" s="28">
        <v>7.4323636363636298E-4</v>
      </c>
      <c r="T656" s="315">
        <f>_xlfn.MAXIFS('Raw Period DMR Data'!$O:$O,'Raw Period DMR Data'!$A:$A,'Raw Annual DMR Data'!B656,'Raw Period DMR Data'!$C:$C,X656)/S656</f>
        <v>0</v>
      </c>
      <c r="U656" s="28" t="str">
        <f>+IF(COUNTIFS('Raw Period DMR Data'!$A:$A,B656, 'Raw Period DMR Data'!C:C,'Raw Annual DMR Data'!X656, 'Raw Period DMR Data'!M:M, "&gt;0")&gt;0,_xlfn.MAXIFS('Raw Period DMR Data'!M:M,'Raw Period DMR Data'!$A:$A,'Raw Annual DMR Data'!B656,'Raw Period DMR Data'!C:C,'Raw Annual DMR Data'!X656), "N/A - Period DMR Data Not Available")</f>
        <v>N/A - Period DMR Data Not Available</v>
      </c>
      <c r="V656" s="28" t="str" cm="1">
        <f t="array" ref="V656">IFERROR(INDEX('Raw Period DMR Data'!N:N,MATCH(1,(B656='Raw Period DMR Data'!$A:$A)*(U656='Raw Period DMR Data'!M:M)*(X656='Raw Period DMR Data'!C:C),0),1), "N/A")</f>
        <v>N/A</v>
      </c>
      <c r="W656" s="28" t="s">
        <v>1463</v>
      </c>
      <c r="X656" s="28" t="s">
        <v>1870</v>
      </c>
      <c r="Y656" s="28" t="s">
        <v>1788</v>
      </c>
      <c r="AA656" s="28"/>
      <c r="AB656" s="28" t="s">
        <v>1465</v>
      </c>
      <c r="AC656" s="28" t="s">
        <v>1466</v>
      </c>
    </row>
    <row r="657" spans="1:29" x14ac:dyDescent="0.25">
      <c r="A657" s="61">
        <v>110070546529</v>
      </c>
      <c r="B657" s="28">
        <v>2020</v>
      </c>
      <c r="C657" s="68">
        <f t="shared" si="10"/>
        <v>43831</v>
      </c>
      <c r="D657" s="28" t="s">
        <v>1164</v>
      </c>
      <c r="E657" s="28" t="s">
        <v>1869</v>
      </c>
      <c r="F657" s="28" t="s">
        <v>968</v>
      </c>
      <c r="G657" s="28" t="s">
        <v>294</v>
      </c>
      <c r="H657" s="28">
        <v>22314</v>
      </c>
      <c r="I657" s="28">
        <v>38.803621</v>
      </c>
      <c r="J657" s="28">
        <v>-77.069773999999995</v>
      </c>
      <c r="L657" s="61">
        <v>110070546529</v>
      </c>
      <c r="M657" s="28" t="s">
        <v>265</v>
      </c>
      <c r="N657" s="28">
        <v>1794</v>
      </c>
      <c r="O657" s="28" t="str">
        <f>IFERROR(VLOOKUP(N657, 'SIC &amp; NAICS Codes'!A:B, 2, FALSE), "")</f>
        <v>Excavation Work</v>
      </c>
      <c r="S657" s="28">
        <v>6.1468399999999894E-5</v>
      </c>
      <c r="T657" s="315">
        <f>_xlfn.MAXIFS('Raw Period DMR Data'!$O:$O,'Raw Period DMR Data'!$A:$A,'Raw Annual DMR Data'!B657,'Raw Period DMR Data'!$C:$C,X657)/S657</f>
        <v>0</v>
      </c>
      <c r="U657" s="28" t="str">
        <f>+IF(COUNTIFS('Raw Period DMR Data'!$A:$A,B657, 'Raw Period DMR Data'!C:C,'Raw Annual DMR Data'!X657, 'Raw Period DMR Data'!M:M, "&gt;0")&gt;0,_xlfn.MAXIFS('Raw Period DMR Data'!M:M,'Raw Period DMR Data'!$A:$A,'Raw Annual DMR Data'!B657,'Raw Period DMR Data'!C:C,'Raw Annual DMR Data'!X657), "N/A - Period DMR Data Not Available")</f>
        <v>N/A - Period DMR Data Not Available</v>
      </c>
      <c r="V657" s="28" t="str" cm="1">
        <f t="array" ref="V657">IFERROR(INDEX('Raw Period DMR Data'!N:N,MATCH(1,(B657='Raw Period DMR Data'!$A:$A)*(U657='Raw Period DMR Data'!M:M)*(X657='Raw Period DMR Data'!C:C),0),1), "N/A")</f>
        <v>N/A</v>
      </c>
      <c r="W657" s="28" t="s">
        <v>1463</v>
      </c>
      <c r="X657" s="28" t="s">
        <v>1870</v>
      </c>
      <c r="Y657" s="28" t="s">
        <v>1788</v>
      </c>
      <c r="AA657" s="28"/>
      <c r="AB657" s="28" t="s">
        <v>1465</v>
      </c>
      <c r="AC657" s="28" t="s">
        <v>1466</v>
      </c>
    </row>
    <row r="658" spans="1:29" x14ac:dyDescent="0.25">
      <c r="A658" s="61">
        <v>110070546529</v>
      </c>
      <c r="B658" s="28">
        <v>2020</v>
      </c>
      <c r="C658" s="68">
        <f t="shared" si="10"/>
        <v>43831</v>
      </c>
      <c r="D658" s="28" t="s">
        <v>1164</v>
      </c>
      <c r="E658" s="28" t="s">
        <v>1869</v>
      </c>
      <c r="F658" s="28" t="s">
        <v>968</v>
      </c>
      <c r="G658" s="28" t="s">
        <v>294</v>
      </c>
      <c r="H658" s="28">
        <v>22314</v>
      </c>
      <c r="I658" s="28">
        <v>38.803621</v>
      </c>
      <c r="J658" s="28">
        <v>-77.069773999999995</v>
      </c>
      <c r="L658" s="61">
        <v>110070546529</v>
      </c>
      <c r="M658" s="28" t="s">
        <v>265</v>
      </c>
      <c r="N658" s="28">
        <v>1794</v>
      </c>
      <c r="O658" s="28" t="str">
        <f>IFERROR(VLOOKUP(N658, 'SIC &amp; NAICS Codes'!A:B, 2, FALSE), "")</f>
        <v>Excavation Work</v>
      </c>
      <c r="S658" s="28">
        <v>4.09082799999999E-5</v>
      </c>
      <c r="T658" s="315">
        <f>_xlfn.MAXIFS('Raw Period DMR Data'!$O:$O,'Raw Period DMR Data'!$A:$A,'Raw Annual DMR Data'!B658,'Raw Period DMR Data'!$C:$C,X658)/S658</f>
        <v>0</v>
      </c>
      <c r="U658" s="28" t="str">
        <f>+IF(COUNTIFS('Raw Period DMR Data'!$A:$A,B658, 'Raw Period DMR Data'!C:C,'Raw Annual DMR Data'!X658, 'Raw Period DMR Data'!M:M, "&gt;0")&gt;0,_xlfn.MAXIFS('Raw Period DMR Data'!M:M,'Raw Period DMR Data'!$A:$A,'Raw Annual DMR Data'!B658,'Raw Period DMR Data'!C:C,'Raw Annual DMR Data'!X658), "N/A - Period DMR Data Not Available")</f>
        <v>N/A - Period DMR Data Not Available</v>
      </c>
      <c r="V658" s="28" t="str" cm="1">
        <f t="array" ref="V658">IFERROR(INDEX('Raw Period DMR Data'!N:N,MATCH(1,(B658='Raw Period DMR Data'!$A:$A)*(U658='Raw Period DMR Data'!M:M)*(X658='Raw Period DMR Data'!C:C),0),1), "N/A")</f>
        <v>N/A</v>
      </c>
      <c r="W658" s="28" t="s">
        <v>1463</v>
      </c>
      <c r="X658" s="28" t="s">
        <v>1870</v>
      </c>
      <c r="Y658" s="28" t="s">
        <v>1788</v>
      </c>
      <c r="AA658" s="28"/>
      <c r="AB658" s="28" t="s">
        <v>1465</v>
      </c>
      <c r="AC658" s="28" t="s">
        <v>1466</v>
      </c>
    </row>
    <row r="659" spans="1:29" x14ac:dyDescent="0.25">
      <c r="A659" s="61">
        <v>110014480445</v>
      </c>
      <c r="B659" s="28">
        <v>2017</v>
      </c>
      <c r="C659" s="68">
        <f t="shared" si="10"/>
        <v>42736</v>
      </c>
      <c r="D659" s="28" t="s">
        <v>1165</v>
      </c>
      <c r="E659" s="28" t="s">
        <v>1871</v>
      </c>
      <c r="F659" s="28" t="s">
        <v>1166</v>
      </c>
      <c r="G659" s="28" t="s">
        <v>338</v>
      </c>
      <c r="H659" s="28" t="s">
        <v>1872</v>
      </c>
      <c r="I659" s="28">
        <v>39.973252000000002</v>
      </c>
      <c r="J659" s="28">
        <v>-75.018894000000003</v>
      </c>
      <c r="L659" s="61">
        <v>110014480445</v>
      </c>
      <c r="M659" s="28" t="s">
        <v>259</v>
      </c>
      <c r="N659" s="28">
        <v>3714</v>
      </c>
      <c r="O659" s="28" t="str">
        <f>IFERROR(VLOOKUP(N659, 'SIC &amp; NAICS Codes'!A:B, 2, FALSE), "")</f>
        <v>Motor Vehicle Parts and Accessories (dump truck lifting mechanisms and fifth wheels)</v>
      </c>
      <c r="S659" s="28">
        <v>1.4625239999999999E-2</v>
      </c>
      <c r="T659" s="315">
        <f>_xlfn.MAXIFS('Raw Period DMR Data'!$O:$O,'Raw Period DMR Data'!$A:$A,'Raw Annual DMR Data'!B659,'Raw Period DMR Data'!$C:$C,X659)/S659</f>
        <v>0</v>
      </c>
      <c r="U659" s="28" t="str">
        <f>+IF(COUNTIFS('Raw Period DMR Data'!$A:$A,B659, 'Raw Period DMR Data'!C:C,'Raw Annual DMR Data'!X659, 'Raw Period DMR Data'!M:M, "&gt;0")&gt;0,_xlfn.MAXIFS('Raw Period DMR Data'!M:M,'Raw Period DMR Data'!$A:$A,'Raw Annual DMR Data'!B659,'Raw Period DMR Data'!C:C,'Raw Annual DMR Data'!X659), "N/A - Period DMR Data Not Available")</f>
        <v>N/A - Period DMR Data Not Available</v>
      </c>
      <c r="V659" s="28" t="str" cm="1">
        <f t="array" ref="V659">IFERROR(INDEX('Raw Period DMR Data'!N:N,MATCH(1,(B659='Raw Period DMR Data'!$A:$A)*(U659='Raw Period DMR Data'!M:M)*(X659='Raw Period DMR Data'!C:C),0),1), "N/A")</f>
        <v>N/A</v>
      </c>
      <c r="W659" s="28" t="s">
        <v>1463</v>
      </c>
      <c r="X659" s="28" t="s">
        <v>1873</v>
      </c>
      <c r="Y659" s="28" t="s">
        <v>1874</v>
      </c>
      <c r="Z659" s="28">
        <v>2040202001660</v>
      </c>
      <c r="AA659" s="28"/>
      <c r="AB659" s="28" t="s">
        <v>1465</v>
      </c>
      <c r="AC659" s="28" t="s">
        <v>1466</v>
      </c>
    </row>
    <row r="660" spans="1:29" x14ac:dyDescent="0.25">
      <c r="A660" s="61">
        <v>110070212650</v>
      </c>
      <c r="B660" s="28">
        <v>2016</v>
      </c>
      <c r="C660" s="68">
        <f t="shared" si="10"/>
        <v>42370</v>
      </c>
      <c r="D660" s="28" t="s">
        <v>1167</v>
      </c>
      <c r="E660" s="28" t="s">
        <v>1875</v>
      </c>
      <c r="F660" s="28" t="s">
        <v>1168</v>
      </c>
      <c r="G660" s="28" t="s">
        <v>338</v>
      </c>
      <c r="H660" s="28">
        <v>79621057</v>
      </c>
      <c r="I660" s="28">
        <v>40.792712999999999</v>
      </c>
      <c r="J660" s="28">
        <v>-74.434799999999996</v>
      </c>
      <c r="L660" s="61">
        <v>110070212650</v>
      </c>
      <c r="M660" s="28" t="s">
        <v>254</v>
      </c>
      <c r="N660" s="28">
        <v>8731</v>
      </c>
      <c r="O660" s="28" t="str">
        <f>IFERROR(VLOOKUP(N660, 'SIC &amp; NAICS Codes'!A:B, 2, FALSE), "")</f>
        <v>Commercial Physical and Biological Research</v>
      </c>
      <c r="S660" s="28">
        <v>3.1722841999999897E-2</v>
      </c>
      <c r="T660" s="315">
        <f>_xlfn.MAXIFS('Raw Period DMR Data'!$O:$O,'Raw Period DMR Data'!$A:$A,'Raw Annual DMR Data'!B660,'Raw Period DMR Data'!$C:$C,X660)/S660</f>
        <v>0</v>
      </c>
      <c r="U660" s="28" t="str">
        <f>+IF(COUNTIFS('Raw Period DMR Data'!$A:$A,B660, 'Raw Period DMR Data'!C:C,'Raw Annual DMR Data'!X660, 'Raw Period DMR Data'!M:M, "&gt;0")&gt;0,_xlfn.MAXIFS('Raw Period DMR Data'!M:M,'Raw Period DMR Data'!$A:$A,'Raw Annual DMR Data'!B660,'Raw Period DMR Data'!C:C,'Raw Annual DMR Data'!X660), "N/A - Period DMR Data Not Available")</f>
        <v>N/A - Period DMR Data Not Available</v>
      </c>
      <c r="V660" s="28" t="str" cm="1">
        <f t="array" ref="V660">IFERROR(INDEX('Raw Period DMR Data'!N:N,MATCH(1,(B660='Raw Period DMR Data'!$A:$A)*(U660='Raw Period DMR Data'!M:M)*(X660='Raw Period DMR Data'!C:C),0),1), "N/A")</f>
        <v>N/A</v>
      </c>
      <c r="W660" s="28" t="s">
        <v>1463</v>
      </c>
      <c r="X660" s="28" t="s">
        <v>1876</v>
      </c>
      <c r="Y660" s="28" t="s">
        <v>1877</v>
      </c>
      <c r="Z660" s="28">
        <v>2030103000384</v>
      </c>
      <c r="AA660" s="28"/>
      <c r="AB660" s="28" t="s">
        <v>1465</v>
      </c>
      <c r="AC660" s="28" t="s">
        <v>1466</v>
      </c>
    </row>
    <row r="661" spans="1:29" x14ac:dyDescent="0.25">
      <c r="A661" s="61">
        <v>110070212650</v>
      </c>
      <c r="B661" s="28">
        <v>2017</v>
      </c>
      <c r="C661" s="68">
        <f t="shared" si="10"/>
        <v>42736</v>
      </c>
      <c r="D661" s="28" t="s">
        <v>1167</v>
      </c>
      <c r="E661" s="28" t="s">
        <v>1875</v>
      </c>
      <c r="F661" s="28" t="s">
        <v>1168</v>
      </c>
      <c r="G661" s="28" t="s">
        <v>338</v>
      </c>
      <c r="H661" s="28">
        <v>79621057</v>
      </c>
      <c r="I661" s="28">
        <v>40.792712999999999</v>
      </c>
      <c r="J661" s="28">
        <v>-74.434799999999996</v>
      </c>
      <c r="L661" s="61">
        <v>110070212650</v>
      </c>
      <c r="M661" s="28" t="s">
        <v>254</v>
      </c>
      <c r="N661" s="28">
        <v>8731</v>
      </c>
      <c r="O661" s="28" t="str">
        <f>IFERROR(VLOOKUP(N661, 'SIC &amp; NAICS Codes'!A:B, 2, FALSE), "")</f>
        <v>Commercial Physical and Biological Research</v>
      </c>
      <c r="S661" s="28">
        <v>3.0546963619999899E-2</v>
      </c>
      <c r="T661" s="315">
        <f>_xlfn.MAXIFS('Raw Period DMR Data'!$O:$O,'Raw Period DMR Data'!$A:$A,'Raw Annual DMR Data'!B661,'Raw Period DMR Data'!$C:$C,X661)/S661</f>
        <v>0</v>
      </c>
      <c r="U661" s="28" t="str">
        <f>+IF(COUNTIFS('Raw Period DMR Data'!$A:$A,B661, 'Raw Period DMR Data'!C:C,'Raw Annual DMR Data'!X661, 'Raw Period DMR Data'!M:M, "&gt;0")&gt;0,_xlfn.MAXIFS('Raw Period DMR Data'!M:M,'Raw Period DMR Data'!$A:$A,'Raw Annual DMR Data'!B661,'Raw Period DMR Data'!C:C,'Raw Annual DMR Data'!X661), "N/A - Period DMR Data Not Available")</f>
        <v>N/A - Period DMR Data Not Available</v>
      </c>
      <c r="V661" s="28" t="str" cm="1">
        <f t="array" ref="V661">IFERROR(INDEX('Raw Period DMR Data'!N:N,MATCH(1,(B661='Raw Period DMR Data'!$A:$A)*(U661='Raw Period DMR Data'!M:M)*(X661='Raw Period DMR Data'!C:C),0),1), "N/A")</f>
        <v>N/A</v>
      </c>
      <c r="W661" s="28" t="s">
        <v>1463</v>
      </c>
      <c r="X661" s="28" t="s">
        <v>1876</v>
      </c>
      <c r="Y661" s="28" t="s">
        <v>1877</v>
      </c>
      <c r="Z661" s="28">
        <v>2030103000384</v>
      </c>
      <c r="AA661" s="28"/>
      <c r="AB661" s="28" t="s">
        <v>1465</v>
      </c>
      <c r="AC661" s="28" t="s">
        <v>1466</v>
      </c>
    </row>
    <row r="662" spans="1:29" x14ac:dyDescent="0.25">
      <c r="A662" s="61">
        <v>110070212650</v>
      </c>
      <c r="B662" s="28">
        <v>2018</v>
      </c>
      <c r="C662" s="68">
        <f t="shared" si="10"/>
        <v>43101</v>
      </c>
      <c r="D662" s="28" t="s">
        <v>1167</v>
      </c>
      <c r="E662" s="28" t="s">
        <v>1875</v>
      </c>
      <c r="F662" s="28" t="s">
        <v>1168</v>
      </c>
      <c r="G662" s="28" t="s">
        <v>338</v>
      </c>
      <c r="H662" s="302" t="s">
        <v>1878</v>
      </c>
      <c r="I662" s="28">
        <v>40.792712999999999</v>
      </c>
      <c r="J662" s="28">
        <v>-74.434799999999996</v>
      </c>
      <c r="L662" s="61">
        <v>110070212650</v>
      </c>
      <c r="M662" s="28" t="s">
        <v>254</v>
      </c>
      <c r="N662" s="28">
        <v>8731</v>
      </c>
      <c r="O662" s="28" t="str">
        <f>IFERROR(VLOOKUP(N662, 'SIC &amp; NAICS Codes'!A:B, 2, FALSE), "")</f>
        <v>Commercial Physical and Biological Research</v>
      </c>
      <c r="S662" s="302">
        <v>2.1001956297499898E-2</v>
      </c>
      <c r="T662" s="315">
        <f>_xlfn.MAXIFS('Raw Period DMR Data'!$O:$O,'Raw Period DMR Data'!$A:$A,'Raw Annual DMR Data'!B662,'Raw Period DMR Data'!$C:$C,X662)/S662</f>
        <v>0</v>
      </c>
      <c r="U662" s="28" t="str">
        <f>+IF(COUNTIFS('Raw Period DMR Data'!$A:$A,B662, 'Raw Period DMR Data'!C:C,'Raw Annual DMR Data'!X662, 'Raw Period DMR Data'!M:M, "&gt;0")&gt;0,_xlfn.MAXIFS('Raw Period DMR Data'!M:M,'Raw Period DMR Data'!$A:$A,'Raw Annual DMR Data'!B662,'Raw Period DMR Data'!C:C,'Raw Annual DMR Data'!X662), "N/A - Period DMR Data Not Available")</f>
        <v>N/A - Period DMR Data Not Available</v>
      </c>
      <c r="V662" s="28" t="str" cm="1">
        <f t="array" ref="V662">IFERROR(INDEX('Raw Period DMR Data'!N:N,MATCH(1,(B662='Raw Period DMR Data'!$A:$A)*(U662='Raw Period DMR Data'!M:M)*(X662='Raw Period DMR Data'!C:C),0),1), "N/A")</f>
        <v>N/A</v>
      </c>
      <c r="W662" s="28" t="s">
        <v>1463</v>
      </c>
      <c r="X662" s="28" t="s">
        <v>1876</v>
      </c>
      <c r="Y662" s="28" t="s">
        <v>1877</v>
      </c>
      <c r="Z662" s="302" t="s">
        <v>1879</v>
      </c>
      <c r="AA662" s="28"/>
      <c r="AB662" s="28" t="s">
        <v>1465</v>
      </c>
      <c r="AC662" s="28" t="s">
        <v>1466</v>
      </c>
    </row>
    <row r="663" spans="1:29" x14ac:dyDescent="0.25">
      <c r="A663" s="61">
        <v>110070212650</v>
      </c>
      <c r="B663" s="28">
        <v>2019</v>
      </c>
      <c r="C663" s="68">
        <f t="shared" si="10"/>
        <v>43466</v>
      </c>
      <c r="D663" s="28" t="s">
        <v>1167</v>
      </c>
      <c r="E663" s="28" t="s">
        <v>1875</v>
      </c>
      <c r="F663" s="28" t="s">
        <v>1168</v>
      </c>
      <c r="G663" s="28" t="s">
        <v>338</v>
      </c>
      <c r="H663" s="28">
        <v>79621057</v>
      </c>
      <c r="I663" s="28">
        <v>40.792712999999999</v>
      </c>
      <c r="J663" s="28">
        <v>-74.434799999999996</v>
      </c>
      <c r="L663" s="61">
        <v>110070212650</v>
      </c>
      <c r="M663" s="28" t="s">
        <v>254</v>
      </c>
      <c r="N663" s="28">
        <v>8731</v>
      </c>
      <c r="O663" s="28" t="str">
        <f>IFERROR(VLOOKUP(N663, 'SIC &amp; NAICS Codes'!A:B, 2, FALSE), "")</f>
        <v>Commercial Physical and Biological Research</v>
      </c>
      <c r="S663" s="28">
        <v>3.4402584149999901E-2</v>
      </c>
      <c r="T663" s="315">
        <f>_xlfn.MAXIFS('Raw Period DMR Data'!$O:$O,'Raw Period DMR Data'!$A:$A,'Raw Annual DMR Data'!B663,'Raw Period DMR Data'!$C:$C,X663)/S663</f>
        <v>0</v>
      </c>
      <c r="U663" s="28" t="str">
        <f>+IF(COUNTIFS('Raw Period DMR Data'!$A:$A,B663, 'Raw Period DMR Data'!C:C,'Raw Annual DMR Data'!X663, 'Raw Period DMR Data'!M:M, "&gt;0")&gt;0,_xlfn.MAXIFS('Raw Period DMR Data'!M:M,'Raw Period DMR Data'!$A:$A,'Raw Annual DMR Data'!B663,'Raw Period DMR Data'!C:C,'Raw Annual DMR Data'!X663), "N/A - Period DMR Data Not Available")</f>
        <v>N/A - Period DMR Data Not Available</v>
      </c>
      <c r="V663" s="28" t="str" cm="1">
        <f t="array" ref="V663">IFERROR(INDEX('Raw Period DMR Data'!N:N,MATCH(1,(B663='Raw Period DMR Data'!$A:$A)*(U663='Raw Period DMR Data'!M:M)*(X663='Raw Period DMR Data'!C:C),0),1), "N/A")</f>
        <v>N/A</v>
      </c>
      <c r="W663" s="28" t="s">
        <v>1463</v>
      </c>
      <c r="X663" s="28" t="s">
        <v>1876</v>
      </c>
      <c r="Y663" s="28" t="s">
        <v>1877</v>
      </c>
      <c r="Z663" s="28">
        <v>2030103000384</v>
      </c>
      <c r="AA663" s="28"/>
      <c r="AB663" s="28" t="s">
        <v>1465</v>
      </c>
      <c r="AC663" s="28" t="s">
        <v>1466</v>
      </c>
    </row>
    <row r="664" spans="1:29" x14ac:dyDescent="0.25">
      <c r="A664" s="61">
        <v>110070212650</v>
      </c>
      <c r="B664" s="28">
        <v>2020</v>
      </c>
      <c r="C664" s="68">
        <f t="shared" si="10"/>
        <v>43831</v>
      </c>
      <c r="D664" s="28" t="s">
        <v>1167</v>
      </c>
      <c r="E664" s="28" t="s">
        <v>1875</v>
      </c>
      <c r="F664" s="28" t="s">
        <v>1168</v>
      </c>
      <c r="G664" s="28" t="s">
        <v>338</v>
      </c>
      <c r="H664" s="28">
        <v>79621057</v>
      </c>
      <c r="I664" s="28">
        <v>40.792712999999999</v>
      </c>
      <c r="J664" s="28">
        <v>-74.434799999999996</v>
      </c>
      <c r="L664" s="61">
        <v>110070212650</v>
      </c>
      <c r="M664" s="28" t="s">
        <v>254</v>
      </c>
      <c r="N664" s="28">
        <v>8731</v>
      </c>
      <c r="O664" s="28" t="str">
        <f>IFERROR(VLOOKUP(N664, 'SIC &amp; NAICS Codes'!A:B, 2, FALSE), "")</f>
        <v>Commercial Physical and Biological Research</v>
      </c>
      <c r="S664" s="28">
        <v>3.6855703209999903E-2</v>
      </c>
      <c r="T664" s="315">
        <f>_xlfn.MAXIFS('Raw Period DMR Data'!$O:$O,'Raw Period DMR Data'!$A:$A,'Raw Annual DMR Data'!B664,'Raw Period DMR Data'!$C:$C,X664)/S664</f>
        <v>0</v>
      </c>
      <c r="U664" s="28" t="str">
        <f>+IF(COUNTIFS('Raw Period DMR Data'!$A:$A,B664, 'Raw Period DMR Data'!C:C,'Raw Annual DMR Data'!X664, 'Raw Period DMR Data'!M:M, "&gt;0")&gt;0,_xlfn.MAXIFS('Raw Period DMR Data'!M:M,'Raw Period DMR Data'!$A:$A,'Raw Annual DMR Data'!B664,'Raw Period DMR Data'!C:C,'Raw Annual DMR Data'!X664), "N/A - Period DMR Data Not Available")</f>
        <v>N/A - Period DMR Data Not Available</v>
      </c>
      <c r="V664" s="28" t="str" cm="1">
        <f t="array" ref="V664">IFERROR(INDEX('Raw Period DMR Data'!N:N,MATCH(1,(B664='Raw Period DMR Data'!$A:$A)*(U664='Raw Period DMR Data'!M:M)*(X664='Raw Period DMR Data'!C:C),0),1), "N/A")</f>
        <v>N/A</v>
      </c>
      <c r="W664" s="28" t="s">
        <v>1463</v>
      </c>
      <c r="X664" s="28" t="s">
        <v>1876</v>
      </c>
      <c r="Y664" s="28" t="s">
        <v>1877</v>
      </c>
      <c r="Z664" s="28">
        <v>2030103000384</v>
      </c>
      <c r="AA664" s="28"/>
      <c r="AB664" s="28" t="s">
        <v>1465</v>
      </c>
      <c r="AC664" s="28" t="s">
        <v>1466</v>
      </c>
    </row>
    <row r="665" spans="1:29" x14ac:dyDescent="0.25">
      <c r="A665" s="61">
        <v>110003266849</v>
      </c>
      <c r="B665" s="28">
        <v>2015</v>
      </c>
      <c r="C665" s="68">
        <f t="shared" si="10"/>
        <v>42005</v>
      </c>
      <c r="D665" s="28" t="s">
        <v>159</v>
      </c>
      <c r="E665" s="28" t="s">
        <v>513</v>
      </c>
      <c r="F665" s="28" t="s">
        <v>302</v>
      </c>
      <c r="G665" s="28" t="s">
        <v>303</v>
      </c>
      <c r="H665" s="28">
        <v>70821</v>
      </c>
      <c r="I665" s="28">
        <v>30.474443999999998</v>
      </c>
      <c r="J665" s="28">
        <v>-91.183055999999993</v>
      </c>
      <c r="K665" s="28" t="s">
        <v>514</v>
      </c>
      <c r="L665" s="61">
        <v>110003266849</v>
      </c>
      <c r="M665" s="28" t="s">
        <v>254</v>
      </c>
      <c r="N665" s="28">
        <v>2869</v>
      </c>
      <c r="O665" s="28" t="str">
        <f>IFERROR(VLOOKUP(N665, 'SIC &amp; NAICS Codes'!A:B, 2, FALSE), "")</f>
        <v>Industrial Organic Chemicals, NEC (aliphatics)</v>
      </c>
      <c r="S665" s="28">
        <v>3.37414965986394</v>
      </c>
      <c r="T665" s="315">
        <f>_xlfn.MAXIFS('Raw Period DMR Data'!$O:$O,'Raw Period DMR Data'!$A:$A,'Raw Annual DMR Data'!B665,'Raw Period DMR Data'!$C:$C,X665)/S665</f>
        <v>0</v>
      </c>
      <c r="U665" s="28" t="str">
        <f>+IF(COUNTIFS('Raw Period DMR Data'!$A:$A,B665, 'Raw Period DMR Data'!C:C,'Raw Annual DMR Data'!X665, 'Raw Period DMR Data'!M:M, "&gt;0")&gt;0,_xlfn.MAXIFS('Raw Period DMR Data'!M:M,'Raw Period DMR Data'!$A:$A,'Raw Annual DMR Data'!B665,'Raw Period DMR Data'!C:C,'Raw Annual DMR Data'!X665), "N/A - Period DMR Data Not Available")</f>
        <v>N/A - Period DMR Data Not Available</v>
      </c>
      <c r="V665" s="28" t="str" cm="1">
        <f t="array" ref="V665">IFERROR(INDEX('Raw Period DMR Data'!N:N,MATCH(1,(B665='Raw Period DMR Data'!$A:$A)*(U665='Raw Period DMR Data'!M:M)*(X665='Raw Period DMR Data'!C:C),0),1), "N/A")</f>
        <v>N/A</v>
      </c>
      <c r="W665" s="28" t="s">
        <v>1463</v>
      </c>
      <c r="X665" s="28" t="s">
        <v>878</v>
      </c>
      <c r="Y665" s="28" t="s">
        <v>816</v>
      </c>
      <c r="Z665" s="61">
        <v>8070100000180</v>
      </c>
    </row>
    <row r="666" spans="1:29" x14ac:dyDescent="0.25">
      <c r="A666" s="61">
        <v>110003266849</v>
      </c>
      <c r="B666" s="28">
        <v>2016</v>
      </c>
      <c r="C666" s="68">
        <f t="shared" si="10"/>
        <v>42370</v>
      </c>
      <c r="D666" s="28" t="s">
        <v>159</v>
      </c>
      <c r="E666" s="28" t="s">
        <v>513</v>
      </c>
      <c r="F666" s="28" t="s">
        <v>302</v>
      </c>
      <c r="G666" s="28" t="s">
        <v>303</v>
      </c>
      <c r="H666" s="28">
        <v>70821</v>
      </c>
      <c r="I666" s="28">
        <v>30.474443999999998</v>
      </c>
      <c r="J666" s="28">
        <v>-91.183055999999993</v>
      </c>
      <c r="K666" s="28" t="s">
        <v>514</v>
      </c>
      <c r="L666" s="61">
        <v>110003266849</v>
      </c>
      <c r="M666" s="28" t="s">
        <v>254</v>
      </c>
      <c r="N666" s="28">
        <v>2869</v>
      </c>
      <c r="O666" s="28" t="str">
        <f>IFERROR(VLOOKUP(N666, 'SIC &amp; NAICS Codes'!A:B, 2, FALSE), "")</f>
        <v>Industrial Organic Chemicals, NEC (aliphatics)</v>
      </c>
      <c r="S666" s="28">
        <v>1.3496598639455699</v>
      </c>
      <c r="T666" s="315">
        <f>_xlfn.MAXIFS('Raw Period DMR Data'!$O:$O,'Raw Period DMR Data'!$A:$A,'Raw Annual DMR Data'!B666,'Raw Period DMR Data'!$C:$C,X666)/S666</f>
        <v>0</v>
      </c>
      <c r="U666" s="28" t="str">
        <f>+IF(COUNTIFS('Raw Period DMR Data'!$A:$A,B666, 'Raw Period DMR Data'!C:C,'Raw Annual DMR Data'!X666, 'Raw Period DMR Data'!M:M, "&gt;0")&gt;0,_xlfn.MAXIFS('Raw Period DMR Data'!M:M,'Raw Period DMR Data'!$A:$A,'Raw Annual DMR Data'!B666,'Raw Period DMR Data'!C:C,'Raw Annual DMR Data'!X666), "N/A - Period DMR Data Not Available")</f>
        <v>N/A - Period DMR Data Not Available</v>
      </c>
      <c r="V666" s="28" t="str" cm="1">
        <f t="array" ref="V666">IFERROR(INDEX('Raw Period DMR Data'!N:N,MATCH(1,(B666='Raw Period DMR Data'!$A:$A)*(U666='Raw Period DMR Data'!M:M)*(X666='Raw Period DMR Data'!C:C),0),1), "N/A")</f>
        <v>N/A</v>
      </c>
      <c r="W666" s="28" t="s">
        <v>1463</v>
      </c>
      <c r="X666" s="28" t="s">
        <v>878</v>
      </c>
      <c r="Y666" s="28" t="s">
        <v>816</v>
      </c>
      <c r="Z666" s="61">
        <v>8070100000180</v>
      </c>
      <c r="AA666" s="28"/>
    </row>
    <row r="667" spans="1:29" x14ac:dyDescent="0.25">
      <c r="A667" s="61">
        <v>110003266849</v>
      </c>
      <c r="B667" s="28">
        <v>2020</v>
      </c>
      <c r="C667" s="68">
        <f t="shared" si="10"/>
        <v>43831</v>
      </c>
      <c r="D667" s="28" t="s">
        <v>159</v>
      </c>
      <c r="E667" s="28" t="s">
        <v>513</v>
      </c>
      <c r="F667" s="28" t="s">
        <v>302</v>
      </c>
      <c r="G667" s="28" t="s">
        <v>303</v>
      </c>
      <c r="H667" s="28">
        <v>70821</v>
      </c>
      <c r="I667" s="28">
        <v>30.474443999999998</v>
      </c>
      <c r="J667" s="28">
        <v>-91.183055999999993</v>
      </c>
      <c r="K667" s="28" t="s">
        <v>514</v>
      </c>
      <c r="L667" s="61">
        <v>110003266849</v>
      </c>
      <c r="M667" s="28" t="s">
        <v>254</v>
      </c>
      <c r="N667" s="28">
        <v>2869</v>
      </c>
      <c r="O667" s="28" t="str">
        <f>IFERROR(VLOOKUP(N667, 'SIC &amp; NAICS Codes'!A:B, 2, FALSE), "")</f>
        <v>Industrial Organic Chemicals, NEC (aliphatics)</v>
      </c>
      <c r="S667" s="28">
        <v>8.4353741496598609</v>
      </c>
      <c r="T667" s="315">
        <f>_xlfn.MAXIFS('Raw Period DMR Data'!$O:$O,'Raw Period DMR Data'!$A:$A,'Raw Annual DMR Data'!B667,'Raw Period DMR Data'!$C:$C,X667)/S667</f>
        <v>0</v>
      </c>
      <c r="U667" s="28" t="str">
        <f>+IF(COUNTIFS('Raw Period DMR Data'!$A:$A,B667, 'Raw Period DMR Data'!C:C,'Raw Annual DMR Data'!X667, 'Raw Period DMR Data'!M:M, "&gt;0")&gt;0,_xlfn.MAXIFS('Raw Period DMR Data'!M:M,'Raw Period DMR Data'!$A:$A,'Raw Annual DMR Data'!B667,'Raw Period DMR Data'!C:C,'Raw Annual DMR Data'!X667), "N/A - Period DMR Data Not Available")</f>
        <v>N/A - Period DMR Data Not Available</v>
      </c>
      <c r="V667" s="28" t="str" cm="1">
        <f t="array" ref="V667">IFERROR(INDEX('Raw Period DMR Data'!N:N,MATCH(1,(B667='Raw Period DMR Data'!$A:$A)*(U667='Raw Period DMR Data'!M:M)*(X667='Raw Period DMR Data'!C:C),0),1), "N/A")</f>
        <v>N/A</v>
      </c>
      <c r="W667" s="28" t="s">
        <v>1463</v>
      </c>
      <c r="X667" s="28" t="s">
        <v>878</v>
      </c>
      <c r="Y667" s="28" t="s">
        <v>816</v>
      </c>
      <c r="Z667" s="61">
        <v>8070100000180</v>
      </c>
    </row>
    <row r="668" spans="1:29" x14ac:dyDescent="0.25">
      <c r="A668" s="61">
        <v>110033659878</v>
      </c>
      <c r="B668" s="28">
        <v>2015</v>
      </c>
      <c r="C668" s="68">
        <f t="shared" si="10"/>
        <v>42005</v>
      </c>
      <c r="D668" s="28" t="s">
        <v>160</v>
      </c>
      <c r="E668" s="28" t="s">
        <v>515</v>
      </c>
      <c r="F668" s="28" t="s">
        <v>516</v>
      </c>
      <c r="G668" s="28" t="s">
        <v>303</v>
      </c>
      <c r="H668" s="28" t="s">
        <v>517</v>
      </c>
      <c r="I668" s="28">
        <v>30.221900000000002</v>
      </c>
      <c r="J668" s="28">
        <v>-91.051500000000004</v>
      </c>
      <c r="K668" s="28" t="s">
        <v>518</v>
      </c>
      <c r="L668" s="61">
        <v>110033659878</v>
      </c>
      <c r="M668" s="28" t="s">
        <v>251</v>
      </c>
      <c r="N668" s="28">
        <v>2869</v>
      </c>
      <c r="O668" s="28" t="str">
        <f>IFERROR(VLOOKUP(N668, 'SIC &amp; NAICS Codes'!A:B, 2, FALSE), "")</f>
        <v>Industrial Organic Chemicals, NEC (aliphatics)</v>
      </c>
      <c r="S668" s="28">
        <v>4.4693877551020398</v>
      </c>
      <c r="T668" s="315">
        <f>_xlfn.MAXIFS('Raw Period DMR Data'!$O:$O,'Raw Period DMR Data'!$A:$A,'Raw Annual DMR Data'!B668,'Raw Period DMR Data'!$C:$C,X668)/S668</f>
        <v>0</v>
      </c>
      <c r="U668" s="28" t="str">
        <f>+IF(COUNTIFS('Raw Period DMR Data'!$A:$A,B668, 'Raw Period DMR Data'!C:C,'Raw Annual DMR Data'!X668, 'Raw Period DMR Data'!M:M, "&gt;0")&gt;0,_xlfn.MAXIFS('Raw Period DMR Data'!M:M,'Raw Period DMR Data'!$A:$A,'Raw Annual DMR Data'!B668,'Raw Period DMR Data'!C:C,'Raw Annual DMR Data'!X668), "N/A - Period DMR Data Not Available")</f>
        <v>N/A - Period DMR Data Not Available</v>
      </c>
      <c r="V668" s="28" t="str" cm="1">
        <f t="array" ref="V668">IFERROR(INDEX('Raw Period DMR Data'!N:N,MATCH(1,(B668='Raw Period DMR Data'!$A:$A)*(U668='Raw Period DMR Data'!M:M)*(X668='Raw Period DMR Data'!C:C),0),1), "N/A")</f>
        <v>N/A</v>
      </c>
      <c r="W668" s="28" t="s">
        <v>1463</v>
      </c>
      <c r="X668" s="28" t="s">
        <v>879</v>
      </c>
      <c r="Y668" s="28" t="s">
        <v>880</v>
      </c>
      <c r="Z668" s="61">
        <v>8070202002309</v>
      </c>
    </row>
    <row r="669" spans="1:29" x14ac:dyDescent="0.25">
      <c r="A669" s="61">
        <v>110033659878</v>
      </c>
      <c r="B669" s="28">
        <v>2016</v>
      </c>
      <c r="C669" s="68">
        <f t="shared" si="10"/>
        <v>42370</v>
      </c>
      <c r="D669" s="28" t="s">
        <v>160</v>
      </c>
      <c r="E669" s="28" t="s">
        <v>515</v>
      </c>
      <c r="F669" s="28" t="s">
        <v>516</v>
      </c>
      <c r="G669" s="28" t="s">
        <v>303</v>
      </c>
      <c r="H669" s="28" t="s">
        <v>517</v>
      </c>
      <c r="I669" s="28">
        <v>30.221900000000002</v>
      </c>
      <c r="J669" s="28">
        <v>-91.051500000000004</v>
      </c>
      <c r="K669" s="28" t="s">
        <v>518</v>
      </c>
      <c r="L669" s="61">
        <v>110033659878</v>
      </c>
      <c r="M669" s="28" t="s">
        <v>251</v>
      </c>
      <c r="N669" s="28">
        <v>2869</v>
      </c>
      <c r="O669" s="28" t="str">
        <f>IFERROR(VLOOKUP(N669, 'SIC &amp; NAICS Codes'!A:B, 2, FALSE), "")</f>
        <v>Industrial Organic Chemicals, NEC (aliphatics)</v>
      </c>
      <c r="S669" s="28">
        <v>4.4693877551020398</v>
      </c>
      <c r="T669" s="315">
        <f>_xlfn.MAXIFS('Raw Period DMR Data'!$O:$O,'Raw Period DMR Data'!$A:$A,'Raw Annual DMR Data'!B669,'Raw Period DMR Data'!$C:$C,X669)/S669</f>
        <v>0</v>
      </c>
      <c r="U669" s="28" t="str">
        <f>+IF(COUNTIFS('Raw Period DMR Data'!$A:$A,B669, 'Raw Period DMR Data'!C:C,'Raw Annual DMR Data'!X669, 'Raw Period DMR Data'!M:M, "&gt;0")&gt;0,_xlfn.MAXIFS('Raw Period DMR Data'!M:M,'Raw Period DMR Data'!$A:$A,'Raw Annual DMR Data'!B669,'Raw Period DMR Data'!C:C,'Raw Annual DMR Data'!X669), "N/A - Period DMR Data Not Available")</f>
        <v>N/A - Period DMR Data Not Available</v>
      </c>
      <c r="V669" s="28" t="str" cm="1">
        <f t="array" ref="V669">IFERROR(INDEX('Raw Period DMR Data'!N:N,MATCH(1,(B669='Raw Period DMR Data'!$A:$A)*(U669='Raw Period DMR Data'!M:M)*(X669='Raw Period DMR Data'!C:C),0),1), "N/A")</f>
        <v>N/A</v>
      </c>
      <c r="W669" s="28" t="s">
        <v>1463</v>
      </c>
      <c r="X669" s="28" t="s">
        <v>879</v>
      </c>
      <c r="Y669" s="28" t="s">
        <v>880</v>
      </c>
      <c r="Z669" s="61">
        <v>8070202002309</v>
      </c>
      <c r="AA669" s="28"/>
    </row>
    <row r="670" spans="1:29" x14ac:dyDescent="0.25">
      <c r="A670" s="61">
        <v>110033659878</v>
      </c>
      <c r="B670" s="28">
        <v>2017</v>
      </c>
      <c r="C670" s="68">
        <f t="shared" si="10"/>
        <v>42736</v>
      </c>
      <c r="D670" s="28" t="s">
        <v>160</v>
      </c>
      <c r="E670" s="28" t="s">
        <v>515</v>
      </c>
      <c r="F670" s="28" t="s">
        <v>516</v>
      </c>
      <c r="G670" s="28" t="s">
        <v>303</v>
      </c>
      <c r="H670" s="28" t="s">
        <v>517</v>
      </c>
      <c r="I670" s="28">
        <v>30.221900000000002</v>
      </c>
      <c r="J670" s="28">
        <v>-91.051500000000004</v>
      </c>
      <c r="K670" s="28" t="s">
        <v>518</v>
      </c>
      <c r="L670" s="61">
        <v>110033659878</v>
      </c>
      <c r="M670" s="28" t="s">
        <v>251</v>
      </c>
      <c r="N670" s="28">
        <v>2869</v>
      </c>
      <c r="O670" s="28" t="str">
        <f>IFERROR(VLOOKUP(N670, 'SIC &amp; NAICS Codes'!A:B, 2, FALSE), "")</f>
        <v>Industrial Organic Chemicals, NEC (aliphatics)</v>
      </c>
      <c r="S670" s="28">
        <v>4.9659863945578202</v>
      </c>
      <c r="T670" s="315">
        <f>_xlfn.MAXIFS('Raw Period DMR Data'!$O:$O,'Raw Period DMR Data'!$A:$A,'Raw Annual DMR Data'!B670,'Raw Period DMR Data'!$C:$C,X670)/S670</f>
        <v>0</v>
      </c>
      <c r="U670" s="28" t="str">
        <f>+IF(COUNTIFS('Raw Period DMR Data'!$A:$A,B670, 'Raw Period DMR Data'!C:C,'Raw Annual DMR Data'!X670, 'Raw Period DMR Data'!M:M, "&gt;0")&gt;0,_xlfn.MAXIFS('Raw Period DMR Data'!M:M,'Raw Period DMR Data'!$A:$A,'Raw Annual DMR Data'!B670,'Raw Period DMR Data'!C:C,'Raw Annual DMR Data'!X670), "N/A - Period DMR Data Not Available")</f>
        <v>N/A - Period DMR Data Not Available</v>
      </c>
      <c r="V670" s="28" t="str" cm="1">
        <f t="array" ref="V670">IFERROR(INDEX('Raw Period DMR Data'!N:N,MATCH(1,(B670='Raw Period DMR Data'!$A:$A)*(U670='Raw Period DMR Data'!M:M)*(X670='Raw Period DMR Data'!C:C),0),1), "N/A")</f>
        <v>N/A</v>
      </c>
      <c r="W670" s="28" t="s">
        <v>1463</v>
      </c>
      <c r="X670" s="28" t="s">
        <v>879</v>
      </c>
      <c r="Y670" s="28" t="s">
        <v>880</v>
      </c>
      <c r="Z670" s="61">
        <v>8070202002309</v>
      </c>
      <c r="AA670" s="28"/>
    </row>
    <row r="671" spans="1:29" x14ac:dyDescent="0.25">
      <c r="A671" s="61">
        <v>110033659878</v>
      </c>
      <c r="B671" s="28">
        <v>2018</v>
      </c>
      <c r="C671" s="68">
        <f t="shared" si="10"/>
        <v>43101</v>
      </c>
      <c r="D671" s="28" t="s">
        <v>160</v>
      </c>
      <c r="E671" s="28" t="s">
        <v>515</v>
      </c>
      <c r="F671" s="28" t="s">
        <v>516</v>
      </c>
      <c r="G671" s="28" t="s">
        <v>303</v>
      </c>
      <c r="H671" s="28" t="s">
        <v>517</v>
      </c>
      <c r="I671" s="28">
        <v>30.221900000000002</v>
      </c>
      <c r="J671" s="28">
        <v>-91.051500000000004</v>
      </c>
      <c r="K671" s="28" t="s">
        <v>518</v>
      </c>
      <c r="L671" s="61">
        <v>110033659878</v>
      </c>
      <c r="M671" s="28" t="s">
        <v>251</v>
      </c>
      <c r="N671" s="28">
        <v>2869</v>
      </c>
      <c r="O671" s="28" t="str">
        <f>IFERROR(VLOOKUP(N671, 'SIC &amp; NAICS Codes'!A:B, 2, FALSE), "")</f>
        <v>Industrial Organic Chemicals, NEC (aliphatics)</v>
      </c>
      <c r="S671" s="28">
        <v>4.4693877551020398</v>
      </c>
      <c r="T671" s="315">
        <f>_xlfn.MAXIFS('Raw Period DMR Data'!$O:$O,'Raw Period DMR Data'!$A:$A,'Raw Annual DMR Data'!B671,'Raw Period DMR Data'!$C:$C,X671)/S671</f>
        <v>0</v>
      </c>
      <c r="U671" s="28" t="str">
        <f>+IF(COUNTIFS('Raw Period DMR Data'!$A:$A,B671, 'Raw Period DMR Data'!C:C,'Raw Annual DMR Data'!X671, 'Raw Period DMR Data'!M:M, "&gt;0")&gt;0,_xlfn.MAXIFS('Raw Period DMR Data'!M:M,'Raw Period DMR Data'!$A:$A,'Raw Annual DMR Data'!B671,'Raw Period DMR Data'!C:C,'Raw Annual DMR Data'!X671), "N/A - Period DMR Data Not Available")</f>
        <v>N/A - Period DMR Data Not Available</v>
      </c>
      <c r="V671" s="28" t="str" cm="1">
        <f t="array" ref="V671">IFERROR(INDEX('Raw Period DMR Data'!N:N,MATCH(1,(B671='Raw Period DMR Data'!$A:$A)*(U671='Raw Period DMR Data'!M:M)*(X671='Raw Period DMR Data'!C:C),0),1), "N/A")</f>
        <v>N/A</v>
      </c>
      <c r="W671" s="28" t="s">
        <v>1463</v>
      </c>
      <c r="X671" s="28" t="s">
        <v>879</v>
      </c>
      <c r="Y671" s="28" t="s">
        <v>880</v>
      </c>
      <c r="Z671" s="61">
        <v>8070202002309</v>
      </c>
    </row>
    <row r="672" spans="1:29" x14ac:dyDescent="0.25">
      <c r="A672" s="61">
        <v>110033659878</v>
      </c>
      <c r="B672" s="28">
        <v>2019</v>
      </c>
      <c r="C672" s="68">
        <f t="shared" si="10"/>
        <v>43466</v>
      </c>
      <c r="D672" s="28" t="s">
        <v>160</v>
      </c>
      <c r="E672" s="28" t="s">
        <v>515</v>
      </c>
      <c r="F672" s="28" t="s">
        <v>516</v>
      </c>
      <c r="G672" s="28" t="s">
        <v>303</v>
      </c>
      <c r="H672" s="28" t="s">
        <v>517</v>
      </c>
      <c r="I672" s="28">
        <v>30.221900000000002</v>
      </c>
      <c r="J672" s="28">
        <v>-91.051500000000004</v>
      </c>
      <c r="K672" s="28" t="s">
        <v>518</v>
      </c>
      <c r="L672" s="61">
        <v>110033659878</v>
      </c>
      <c r="M672" s="28" t="s">
        <v>251</v>
      </c>
      <c r="N672" s="28">
        <v>2869</v>
      </c>
      <c r="O672" s="28" t="str">
        <f>IFERROR(VLOOKUP(N672, 'SIC &amp; NAICS Codes'!A:B, 2, FALSE), "")</f>
        <v>Industrial Organic Chemicals, NEC (aliphatics)</v>
      </c>
      <c r="S672" s="28">
        <v>3.4761904761904701</v>
      </c>
      <c r="T672" s="315">
        <f>_xlfn.MAXIFS('Raw Period DMR Data'!$O:$O,'Raw Period DMR Data'!$A:$A,'Raw Annual DMR Data'!B672,'Raw Period DMR Data'!$C:$C,X672)/S672</f>
        <v>0</v>
      </c>
      <c r="U672" s="28" t="str">
        <f>+IF(COUNTIFS('Raw Period DMR Data'!$A:$A,B672, 'Raw Period DMR Data'!C:C,'Raw Annual DMR Data'!X672, 'Raw Period DMR Data'!M:M, "&gt;0")&gt;0,_xlfn.MAXIFS('Raw Period DMR Data'!M:M,'Raw Period DMR Data'!$A:$A,'Raw Annual DMR Data'!B672,'Raw Period DMR Data'!C:C,'Raw Annual DMR Data'!X672), "N/A - Period DMR Data Not Available")</f>
        <v>N/A - Period DMR Data Not Available</v>
      </c>
      <c r="V672" s="28" t="str" cm="1">
        <f t="array" ref="V672">IFERROR(INDEX('Raw Period DMR Data'!N:N,MATCH(1,(B672='Raw Period DMR Data'!$A:$A)*(U672='Raw Period DMR Data'!M:M)*(X672='Raw Period DMR Data'!C:C),0),1), "N/A")</f>
        <v>N/A</v>
      </c>
      <c r="W672" s="28" t="s">
        <v>1463</v>
      </c>
      <c r="X672" s="28" t="s">
        <v>879</v>
      </c>
      <c r="Y672" s="28" t="s">
        <v>880</v>
      </c>
      <c r="Z672" s="61">
        <v>8070202002309</v>
      </c>
    </row>
    <row r="673" spans="1:29" x14ac:dyDescent="0.25">
      <c r="A673" s="61">
        <v>110033659878</v>
      </c>
      <c r="B673" s="28">
        <v>2020</v>
      </c>
      <c r="C673" s="68">
        <f t="shared" si="10"/>
        <v>43831</v>
      </c>
      <c r="D673" s="28" t="s">
        <v>160</v>
      </c>
      <c r="E673" s="28" t="s">
        <v>515</v>
      </c>
      <c r="F673" s="28" t="s">
        <v>516</v>
      </c>
      <c r="G673" s="28" t="s">
        <v>303</v>
      </c>
      <c r="H673" s="28" t="s">
        <v>517</v>
      </c>
      <c r="I673" s="28">
        <v>30.221900000000002</v>
      </c>
      <c r="J673" s="28">
        <v>-91.051500000000004</v>
      </c>
      <c r="K673" s="28" t="s">
        <v>518</v>
      </c>
      <c r="L673" s="61">
        <v>110033659878</v>
      </c>
      <c r="M673" s="28" t="s">
        <v>251</v>
      </c>
      <c r="N673" s="28">
        <v>2869</v>
      </c>
      <c r="O673" s="28" t="str">
        <f>IFERROR(VLOOKUP(N673, 'SIC &amp; NAICS Codes'!A:B, 2, FALSE), "")</f>
        <v>Industrial Organic Chemicals, NEC (aliphatics)</v>
      </c>
      <c r="S673" s="28">
        <v>3.1451247165532799</v>
      </c>
      <c r="T673" s="315">
        <f>_xlfn.MAXIFS('Raw Period DMR Data'!$O:$O,'Raw Period DMR Data'!$A:$A,'Raw Annual DMR Data'!B673,'Raw Period DMR Data'!$C:$C,X673)/S673</f>
        <v>0</v>
      </c>
      <c r="U673" s="28" t="str">
        <f>+IF(COUNTIFS('Raw Period DMR Data'!$A:$A,B673, 'Raw Period DMR Data'!C:C,'Raw Annual DMR Data'!X673, 'Raw Period DMR Data'!M:M, "&gt;0")&gt;0,_xlfn.MAXIFS('Raw Period DMR Data'!M:M,'Raw Period DMR Data'!$A:$A,'Raw Annual DMR Data'!B673,'Raw Period DMR Data'!C:C,'Raw Annual DMR Data'!X673), "N/A - Period DMR Data Not Available")</f>
        <v>N/A - Period DMR Data Not Available</v>
      </c>
      <c r="V673" s="28" t="str" cm="1">
        <f t="array" ref="V673">IFERROR(INDEX('Raw Period DMR Data'!N:N,MATCH(1,(B673='Raw Period DMR Data'!$A:$A)*(U673='Raw Period DMR Data'!M:M)*(X673='Raw Period DMR Data'!C:C),0),1), "N/A")</f>
        <v>N/A</v>
      </c>
      <c r="W673" s="28" t="s">
        <v>1463</v>
      </c>
      <c r="X673" s="28" t="s">
        <v>879</v>
      </c>
      <c r="Y673" s="28" t="s">
        <v>880</v>
      </c>
      <c r="Z673" s="61">
        <v>8070202002309</v>
      </c>
    </row>
    <row r="674" spans="1:29" x14ac:dyDescent="0.25">
      <c r="A674" s="61">
        <v>110003266849</v>
      </c>
      <c r="B674" s="28">
        <v>2016</v>
      </c>
      <c r="C674" s="68">
        <f t="shared" si="10"/>
        <v>42370</v>
      </c>
      <c r="D674" s="28" t="s">
        <v>1880</v>
      </c>
      <c r="E674" s="28" t="s">
        <v>513</v>
      </c>
      <c r="F674" s="28" t="s">
        <v>302</v>
      </c>
      <c r="G674" s="28" t="s">
        <v>303</v>
      </c>
      <c r="H674" s="28">
        <v>70805</v>
      </c>
      <c r="I674" s="28">
        <v>30.474443999999998</v>
      </c>
      <c r="J674" s="28">
        <v>-91.183055999999993</v>
      </c>
      <c r="K674" s="28" t="s">
        <v>514</v>
      </c>
      <c r="L674" s="61">
        <v>110003266849</v>
      </c>
      <c r="M674" s="28" t="s">
        <v>254</v>
      </c>
      <c r="N674" s="28">
        <v>2869</v>
      </c>
      <c r="O674" s="28" t="str">
        <f>IFERROR(VLOOKUP(N674, 'SIC &amp; NAICS Codes'!A:B, 2, FALSE), "")</f>
        <v>Industrial Organic Chemicals, NEC (aliphatics)</v>
      </c>
      <c r="S674" s="28">
        <v>11.341496598639401</v>
      </c>
      <c r="T674" s="315">
        <f>_xlfn.MAXIFS('Raw Period DMR Data'!$O:$O,'Raw Period DMR Data'!$A:$A,'Raw Annual DMR Data'!B674,'Raw Period DMR Data'!$C:$C,X674)/S674</f>
        <v>0</v>
      </c>
      <c r="U674" s="28" t="str">
        <f>+IF(COUNTIFS('Raw Period DMR Data'!$A:$A,B674, 'Raw Period DMR Data'!C:C,'Raw Annual DMR Data'!X674, 'Raw Period DMR Data'!M:M, "&gt;0")&gt;0,_xlfn.MAXIFS('Raw Period DMR Data'!M:M,'Raw Period DMR Data'!$A:$A,'Raw Annual DMR Data'!B674,'Raw Period DMR Data'!C:C,'Raw Annual DMR Data'!X674), "N/A - Period DMR Data Not Available")</f>
        <v>N/A - Period DMR Data Not Available</v>
      </c>
      <c r="V674" s="28" t="str" cm="1">
        <f t="array" ref="V674">IFERROR(INDEX('Raw Period DMR Data'!N:N,MATCH(1,(B674='Raw Period DMR Data'!$A:$A)*(U674='Raw Period DMR Data'!M:M)*(X674='Raw Period DMR Data'!C:C),0),1), "N/A")</f>
        <v>N/A</v>
      </c>
      <c r="W674" s="28" t="s">
        <v>1463</v>
      </c>
      <c r="X674" s="28" t="s">
        <v>878</v>
      </c>
      <c r="Y674" s="28" t="s">
        <v>816</v>
      </c>
      <c r="Z674" s="28">
        <v>8070100000180</v>
      </c>
      <c r="AA674" s="28"/>
      <c r="AB674" s="28" t="s">
        <v>1465</v>
      </c>
      <c r="AC674" s="28" t="s">
        <v>1466</v>
      </c>
    </row>
    <row r="675" spans="1:29" x14ac:dyDescent="0.25">
      <c r="A675" s="61">
        <v>110003266849</v>
      </c>
      <c r="B675" s="28">
        <v>2017</v>
      </c>
      <c r="C675" s="68">
        <f t="shared" si="10"/>
        <v>42736</v>
      </c>
      <c r="D675" s="28" t="s">
        <v>1880</v>
      </c>
      <c r="E675" s="28" t="s">
        <v>513</v>
      </c>
      <c r="F675" s="28" t="s">
        <v>302</v>
      </c>
      <c r="G675" s="28" t="s">
        <v>303</v>
      </c>
      <c r="H675" s="28">
        <v>70805</v>
      </c>
      <c r="I675" s="28">
        <v>30.474443999999998</v>
      </c>
      <c r="J675" s="28">
        <v>-91.183055999999993</v>
      </c>
      <c r="K675" s="28" t="s">
        <v>514</v>
      </c>
      <c r="L675" s="61">
        <v>110003266849</v>
      </c>
      <c r="M675" s="28" t="s">
        <v>254</v>
      </c>
      <c r="N675" s="28">
        <v>2869</v>
      </c>
      <c r="O675" s="28" t="str">
        <f>IFERROR(VLOOKUP(N675, 'SIC &amp; NAICS Codes'!A:B, 2, FALSE), "")</f>
        <v>Industrial Organic Chemicals, NEC (aliphatics)</v>
      </c>
      <c r="S675" s="28">
        <v>6.6258503401360498</v>
      </c>
      <c r="T675" s="315">
        <f>_xlfn.MAXIFS('Raw Period DMR Data'!$O:$O,'Raw Period DMR Data'!$A:$A,'Raw Annual DMR Data'!B675,'Raw Period DMR Data'!$C:$C,X675)/S675</f>
        <v>0</v>
      </c>
      <c r="U675" s="28" t="str">
        <f>+IF(COUNTIFS('Raw Period DMR Data'!$A:$A,B675, 'Raw Period DMR Data'!C:C,'Raw Annual DMR Data'!X675, 'Raw Period DMR Data'!M:M, "&gt;0")&gt;0,_xlfn.MAXIFS('Raw Period DMR Data'!M:M,'Raw Period DMR Data'!$A:$A,'Raw Annual DMR Data'!B675,'Raw Period DMR Data'!C:C,'Raw Annual DMR Data'!X675), "N/A - Period DMR Data Not Available")</f>
        <v>N/A - Period DMR Data Not Available</v>
      </c>
      <c r="V675" s="28" t="str" cm="1">
        <f t="array" ref="V675">IFERROR(INDEX('Raw Period DMR Data'!N:N,MATCH(1,(B675='Raw Period DMR Data'!$A:$A)*(U675='Raw Period DMR Data'!M:M)*(X675='Raw Period DMR Data'!C:C),0),1), "N/A")</f>
        <v>N/A</v>
      </c>
      <c r="W675" s="28" t="s">
        <v>1463</v>
      </c>
      <c r="X675" s="28" t="s">
        <v>878</v>
      </c>
      <c r="Y675" s="28" t="s">
        <v>816</v>
      </c>
      <c r="Z675" s="28">
        <v>8070100000180</v>
      </c>
      <c r="AA675" s="28"/>
      <c r="AB675" s="28" t="s">
        <v>1465</v>
      </c>
      <c r="AC675" s="28" t="s">
        <v>1466</v>
      </c>
    </row>
    <row r="676" spans="1:29" x14ac:dyDescent="0.25">
      <c r="A676" s="61">
        <v>110003266849</v>
      </c>
      <c r="B676" s="28">
        <v>2018</v>
      </c>
      <c r="C676" s="68">
        <f t="shared" si="10"/>
        <v>43101</v>
      </c>
      <c r="D676" s="28" t="s">
        <v>1880</v>
      </c>
      <c r="E676" s="28" t="s">
        <v>513</v>
      </c>
      <c r="F676" s="28" t="s">
        <v>302</v>
      </c>
      <c r="G676" s="28" t="s">
        <v>303</v>
      </c>
      <c r="H676" s="28">
        <v>70805</v>
      </c>
      <c r="I676" s="28">
        <v>30.474443999999998</v>
      </c>
      <c r="J676" s="28">
        <v>-91.183055999999993</v>
      </c>
      <c r="K676" s="28" t="s">
        <v>514</v>
      </c>
      <c r="L676" s="61">
        <v>110003266849</v>
      </c>
      <c r="M676" s="28" t="s">
        <v>254</v>
      </c>
      <c r="N676" s="28">
        <v>2869</v>
      </c>
      <c r="O676" s="28" t="str">
        <f>IFERROR(VLOOKUP(N676, 'SIC &amp; NAICS Codes'!A:B, 2, FALSE), "")</f>
        <v>Industrial Organic Chemicals, NEC (aliphatics)</v>
      </c>
      <c r="S676" s="302">
        <v>6.2040816326530601</v>
      </c>
      <c r="T676" s="315">
        <f>_xlfn.MAXIFS('Raw Period DMR Data'!$O:$O,'Raw Period DMR Data'!$A:$A,'Raw Annual DMR Data'!B676,'Raw Period DMR Data'!$C:$C,X676)/S676</f>
        <v>0</v>
      </c>
      <c r="U676" s="28" t="str">
        <f>+IF(COUNTIFS('Raw Period DMR Data'!$A:$A,B676, 'Raw Period DMR Data'!C:C,'Raw Annual DMR Data'!X676, 'Raw Period DMR Data'!M:M, "&gt;0")&gt;0,_xlfn.MAXIFS('Raw Period DMR Data'!M:M,'Raw Period DMR Data'!$A:$A,'Raw Annual DMR Data'!B676,'Raw Period DMR Data'!C:C,'Raw Annual DMR Data'!X676), "N/A - Period DMR Data Not Available")</f>
        <v>N/A - Period DMR Data Not Available</v>
      </c>
      <c r="V676" s="28" t="str" cm="1">
        <f t="array" ref="V676">IFERROR(INDEX('Raw Period DMR Data'!N:N,MATCH(1,(B676='Raw Period DMR Data'!$A:$A)*(U676='Raw Period DMR Data'!M:M)*(X676='Raw Period DMR Data'!C:C),0),1), "N/A")</f>
        <v>N/A</v>
      </c>
      <c r="W676" s="28" t="s">
        <v>1463</v>
      </c>
      <c r="X676" s="28" t="s">
        <v>878</v>
      </c>
      <c r="Y676" s="28" t="s">
        <v>816</v>
      </c>
      <c r="Z676" s="302" t="s">
        <v>1881</v>
      </c>
      <c r="AA676" s="28"/>
      <c r="AB676" s="28" t="s">
        <v>1465</v>
      </c>
      <c r="AC676" s="28" t="s">
        <v>1466</v>
      </c>
    </row>
    <row r="677" spans="1:29" x14ac:dyDescent="0.25">
      <c r="A677" s="61">
        <v>110020728943</v>
      </c>
      <c r="B677" s="28">
        <v>2015</v>
      </c>
      <c r="C677" s="68">
        <f t="shared" si="10"/>
        <v>42005</v>
      </c>
      <c r="D677" s="28" t="s">
        <v>1169</v>
      </c>
      <c r="E677" s="28" t="s">
        <v>1882</v>
      </c>
      <c r="F677" s="28" t="s">
        <v>1170</v>
      </c>
      <c r="G677" s="28" t="s">
        <v>1171</v>
      </c>
      <c r="H677" s="28">
        <v>96706</v>
      </c>
      <c r="I677" s="28">
        <v>21.329699999999999</v>
      </c>
      <c r="J677" s="28">
        <v>-158.03559999999999</v>
      </c>
      <c r="L677" s="61">
        <v>110020728943</v>
      </c>
      <c r="M677" s="28" t="s">
        <v>263</v>
      </c>
      <c r="N677" s="28">
        <v>4952</v>
      </c>
      <c r="O677" s="28" t="str">
        <f>IFERROR(VLOOKUP(N677, 'SIC &amp; NAICS Codes'!A:B, 2, FALSE), "")</f>
        <v>Sewerage Systems</v>
      </c>
      <c r="S677" s="28">
        <v>0.30303079416000001</v>
      </c>
      <c r="T677" s="315">
        <f>_xlfn.MAXIFS('Raw Period DMR Data'!$O:$O,'Raw Period DMR Data'!$A:$A,'Raw Annual DMR Data'!B677,'Raw Period DMR Data'!$C:$C,X677)/S677</f>
        <v>0</v>
      </c>
      <c r="U677" s="28" t="str">
        <f>+IF(COUNTIFS('Raw Period DMR Data'!$A:$A,B677, 'Raw Period DMR Data'!C:C,'Raw Annual DMR Data'!X677, 'Raw Period DMR Data'!M:M, "&gt;0")&gt;0,_xlfn.MAXIFS('Raw Period DMR Data'!M:M,'Raw Period DMR Data'!$A:$A,'Raw Annual DMR Data'!B677,'Raw Period DMR Data'!C:C,'Raw Annual DMR Data'!X677), "N/A - Period DMR Data Not Available")</f>
        <v>N/A - Period DMR Data Not Available</v>
      </c>
      <c r="V677" s="28" t="str" cm="1">
        <f t="array" ref="V677">IFERROR(INDEX('Raw Period DMR Data'!N:N,MATCH(1,(B677='Raw Period DMR Data'!$A:$A)*(U677='Raw Period DMR Data'!M:M)*(X677='Raw Period DMR Data'!C:C),0),1), "N/A")</f>
        <v>N/A</v>
      </c>
      <c r="W677" s="28" t="s">
        <v>1463</v>
      </c>
      <c r="X677" s="28" t="s">
        <v>1883</v>
      </c>
      <c r="Y677" s="28" t="s">
        <v>926</v>
      </c>
      <c r="Z677" s="28">
        <v>20060000002243</v>
      </c>
      <c r="AA677" s="28"/>
      <c r="AB677" s="28" t="s">
        <v>1465</v>
      </c>
      <c r="AC677" s="28" t="s">
        <v>263</v>
      </c>
    </row>
    <row r="678" spans="1:29" x14ac:dyDescent="0.25">
      <c r="A678" s="61">
        <v>110020728943</v>
      </c>
      <c r="B678" s="28">
        <v>2019</v>
      </c>
      <c r="C678" s="68">
        <f t="shared" si="10"/>
        <v>43466</v>
      </c>
      <c r="D678" s="28" t="s">
        <v>1169</v>
      </c>
      <c r="E678" s="28" t="s">
        <v>1882</v>
      </c>
      <c r="F678" s="28" t="s">
        <v>1170</v>
      </c>
      <c r="G678" s="28" t="s">
        <v>1171</v>
      </c>
      <c r="H678" s="28">
        <v>96706</v>
      </c>
      <c r="I678" s="28">
        <v>21.329699999999999</v>
      </c>
      <c r="J678" s="28">
        <v>-158.03559999999999</v>
      </c>
      <c r="L678" s="61">
        <v>110020728943</v>
      </c>
      <c r="M678" s="28" t="s">
        <v>263</v>
      </c>
      <c r="N678" s="28">
        <v>4952</v>
      </c>
      <c r="O678" s="28" t="str">
        <f>IFERROR(VLOOKUP(N678, 'SIC &amp; NAICS Codes'!A:B, 2, FALSE), "")</f>
        <v>Sewerage Systems</v>
      </c>
      <c r="S678" s="28">
        <v>0.29187382536000001</v>
      </c>
      <c r="T678" s="315">
        <f>_xlfn.MAXIFS('Raw Period DMR Data'!$O:$O,'Raw Period DMR Data'!$A:$A,'Raw Annual DMR Data'!B678,'Raw Period DMR Data'!$C:$C,X678)/S678</f>
        <v>0</v>
      </c>
      <c r="U678" s="28" t="str">
        <f>+IF(COUNTIFS('Raw Period DMR Data'!$A:$A,B678, 'Raw Period DMR Data'!C:C,'Raw Annual DMR Data'!X678, 'Raw Period DMR Data'!M:M, "&gt;0")&gt;0,_xlfn.MAXIFS('Raw Period DMR Data'!M:M,'Raw Period DMR Data'!$A:$A,'Raw Annual DMR Data'!B678,'Raw Period DMR Data'!C:C,'Raw Annual DMR Data'!X678), "N/A - Period DMR Data Not Available")</f>
        <v>N/A - Period DMR Data Not Available</v>
      </c>
      <c r="V678" s="28" t="str" cm="1">
        <f t="array" ref="V678">IFERROR(INDEX('Raw Period DMR Data'!N:N,MATCH(1,(B678='Raw Period DMR Data'!$A:$A)*(U678='Raw Period DMR Data'!M:M)*(X678='Raw Period DMR Data'!C:C),0),1), "N/A")</f>
        <v>N/A</v>
      </c>
      <c r="W678" s="28" t="s">
        <v>1463</v>
      </c>
      <c r="X678" s="28" t="s">
        <v>1883</v>
      </c>
      <c r="Y678" s="28" t="s">
        <v>926</v>
      </c>
      <c r="Z678" s="28">
        <v>20060000002243</v>
      </c>
      <c r="AA678" s="28"/>
      <c r="AB678" s="28" t="s">
        <v>1465</v>
      </c>
      <c r="AC678" s="28" t="s">
        <v>263</v>
      </c>
    </row>
    <row r="679" spans="1:29" x14ac:dyDescent="0.25">
      <c r="A679" s="61">
        <v>110039994897</v>
      </c>
      <c r="B679" s="28">
        <v>2018</v>
      </c>
      <c r="C679" s="68">
        <f t="shared" si="10"/>
        <v>43101</v>
      </c>
      <c r="D679" s="28" t="s">
        <v>1172</v>
      </c>
      <c r="E679" s="28" t="s">
        <v>1884</v>
      </c>
      <c r="F679" s="28" t="s">
        <v>1173</v>
      </c>
      <c r="G679" s="28" t="s">
        <v>324</v>
      </c>
      <c r="H679" s="28">
        <v>42240</v>
      </c>
      <c r="I679" s="28">
        <v>36.803610999999997</v>
      </c>
      <c r="J679" s="28">
        <v>-87.516389000000004</v>
      </c>
      <c r="L679" s="61">
        <v>110039994897</v>
      </c>
      <c r="M679" s="28" t="s">
        <v>263</v>
      </c>
      <c r="N679" s="28">
        <v>4952</v>
      </c>
      <c r="O679" s="28" t="str">
        <f>IFERROR(VLOOKUP(N679, 'SIC &amp; NAICS Codes'!A:B, 2, FALSE), "")</f>
        <v>Sewerage Systems</v>
      </c>
      <c r="S679" s="28">
        <v>16.4366936875</v>
      </c>
      <c r="T679" s="315">
        <f>_xlfn.MAXIFS('Raw Period DMR Data'!$O:$O,'Raw Period DMR Data'!$A:$A,'Raw Annual DMR Data'!B679,'Raw Period DMR Data'!$C:$C,X679)/S679</f>
        <v>0</v>
      </c>
      <c r="U679" s="28" t="str">
        <f>+IF(COUNTIFS('Raw Period DMR Data'!$A:$A,B679, 'Raw Period DMR Data'!C:C,'Raw Annual DMR Data'!X679, 'Raw Period DMR Data'!M:M, "&gt;0")&gt;0,_xlfn.MAXIFS('Raw Period DMR Data'!M:M,'Raw Period DMR Data'!$A:$A,'Raw Annual DMR Data'!B679,'Raw Period DMR Data'!C:C,'Raw Annual DMR Data'!X679), "N/A - Period DMR Data Not Available")</f>
        <v>N/A - Period DMR Data Not Available</v>
      </c>
      <c r="V679" s="28" t="str" cm="1">
        <f t="array" ref="V679">IFERROR(INDEX('Raw Period DMR Data'!N:N,MATCH(1,(B679='Raw Period DMR Data'!$A:$A)*(U679='Raw Period DMR Data'!M:M)*(X679='Raw Period DMR Data'!C:C),0),1), "N/A")</f>
        <v>N/A</v>
      </c>
      <c r="W679" s="28" t="s">
        <v>1463</v>
      </c>
      <c r="X679" s="28" t="s">
        <v>1885</v>
      </c>
      <c r="Y679" s="28" t="s">
        <v>1886</v>
      </c>
      <c r="Z679" s="302" t="s">
        <v>1887</v>
      </c>
      <c r="AA679" s="28"/>
      <c r="AB679" s="28" t="s">
        <v>1465</v>
      </c>
      <c r="AC679" s="28" t="s">
        <v>263</v>
      </c>
    </row>
    <row r="680" spans="1:29" x14ac:dyDescent="0.25">
      <c r="A680" s="61">
        <v>110039994897</v>
      </c>
      <c r="B680" s="28">
        <v>2019</v>
      </c>
      <c r="C680" s="68">
        <f t="shared" si="10"/>
        <v>43466</v>
      </c>
      <c r="D680" s="28" t="s">
        <v>1172</v>
      </c>
      <c r="E680" s="28" t="s">
        <v>1884</v>
      </c>
      <c r="F680" s="28" t="s">
        <v>1173</v>
      </c>
      <c r="G680" s="28" t="s">
        <v>324</v>
      </c>
      <c r="H680" s="28">
        <v>42240</v>
      </c>
      <c r="I680" s="28">
        <v>36.803610999999997</v>
      </c>
      <c r="J680" s="28">
        <v>-87.516389000000004</v>
      </c>
      <c r="L680" s="61">
        <v>110039994897</v>
      </c>
      <c r="M680" s="28" t="s">
        <v>263</v>
      </c>
      <c r="N680" s="28">
        <v>4952</v>
      </c>
      <c r="O680" s="28" t="str">
        <f>IFERROR(VLOOKUP(N680, 'SIC &amp; NAICS Codes'!A:B, 2, FALSE), "")</f>
        <v>Sewerage Systems</v>
      </c>
      <c r="S680" s="28">
        <v>5.709842825</v>
      </c>
      <c r="T680" s="315">
        <f>_xlfn.MAXIFS('Raw Period DMR Data'!$O:$O,'Raw Period DMR Data'!$A:$A,'Raw Annual DMR Data'!B680,'Raw Period DMR Data'!$C:$C,X680)/S680</f>
        <v>0</v>
      </c>
      <c r="U680" s="28" t="str">
        <f>+IF(COUNTIFS('Raw Period DMR Data'!$A:$A,B680, 'Raw Period DMR Data'!C:C,'Raw Annual DMR Data'!X680, 'Raw Period DMR Data'!M:M, "&gt;0")&gt;0,_xlfn.MAXIFS('Raw Period DMR Data'!M:M,'Raw Period DMR Data'!$A:$A,'Raw Annual DMR Data'!B680,'Raw Period DMR Data'!C:C,'Raw Annual DMR Data'!X680), "N/A - Period DMR Data Not Available")</f>
        <v>N/A - Period DMR Data Not Available</v>
      </c>
      <c r="V680" s="28" t="str" cm="1">
        <f t="array" ref="V680">IFERROR(INDEX('Raw Period DMR Data'!N:N,MATCH(1,(B680='Raw Period DMR Data'!$A:$A)*(U680='Raw Period DMR Data'!M:M)*(X680='Raw Period DMR Data'!C:C),0),1), "N/A")</f>
        <v>N/A</v>
      </c>
      <c r="W680" s="28" t="s">
        <v>1463</v>
      </c>
      <c r="X680" s="28" t="s">
        <v>1885</v>
      </c>
      <c r="Y680" s="28" t="s">
        <v>1886</v>
      </c>
      <c r="Z680" s="28">
        <v>5130205000237</v>
      </c>
      <c r="AA680" s="28"/>
      <c r="AB680" s="28" t="s">
        <v>1465</v>
      </c>
      <c r="AC680" s="28" t="s">
        <v>263</v>
      </c>
    </row>
    <row r="681" spans="1:29" x14ac:dyDescent="0.25">
      <c r="A681" s="61">
        <v>110039994897</v>
      </c>
      <c r="B681" s="28">
        <v>2020</v>
      </c>
      <c r="C681" s="68">
        <f t="shared" si="10"/>
        <v>43831</v>
      </c>
      <c r="D681" s="28" t="s">
        <v>1172</v>
      </c>
      <c r="E681" s="28" t="s">
        <v>1884</v>
      </c>
      <c r="F681" s="28" t="s">
        <v>1173</v>
      </c>
      <c r="G681" s="28" t="s">
        <v>324</v>
      </c>
      <c r="H681" s="28">
        <v>42240</v>
      </c>
      <c r="I681" s="28">
        <v>36.803610999999997</v>
      </c>
      <c r="J681" s="28">
        <v>-87.516389000000004</v>
      </c>
      <c r="L681" s="61">
        <v>110039994897</v>
      </c>
      <c r="M681" s="28" t="s">
        <v>263</v>
      </c>
      <c r="N681" s="28">
        <v>4952</v>
      </c>
      <c r="O681" s="28" t="str">
        <f>IFERROR(VLOOKUP(N681, 'SIC &amp; NAICS Codes'!A:B, 2, FALSE), "")</f>
        <v>Sewerage Systems</v>
      </c>
      <c r="S681" s="28">
        <v>4.1459565249999999</v>
      </c>
      <c r="T681" s="315">
        <f>_xlfn.MAXIFS('Raw Period DMR Data'!$O:$O,'Raw Period DMR Data'!$A:$A,'Raw Annual DMR Data'!B681,'Raw Period DMR Data'!$C:$C,X681)/S681</f>
        <v>0</v>
      </c>
      <c r="U681" s="28" t="str">
        <f>+IF(COUNTIFS('Raw Period DMR Data'!$A:$A,B681, 'Raw Period DMR Data'!C:C,'Raw Annual DMR Data'!X681, 'Raw Period DMR Data'!M:M, "&gt;0")&gt;0,_xlfn.MAXIFS('Raw Period DMR Data'!M:M,'Raw Period DMR Data'!$A:$A,'Raw Annual DMR Data'!B681,'Raw Period DMR Data'!C:C,'Raw Annual DMR Data'!X681), "N/A - Period DMR Data Not Available")</f>
        <v>N/A - Period DMR Data Not Available</v>
      </c>
      <c r="V681" s="28" t="str" cm="1">
        <f t="array" ref="V681">IFERROR(INDEX('Raw Period DMR Data'!N:N,MATCH(1,(B681='Raw Period DMR Data'!$A:$A)*(U681='Raw Period DMR Data'!M:M)*(X681='Raw Period DMR Data'!C:C),0),1), "N/A")</f>
        <v>N/A</v>
      </c>
      <c r="W681" s="28" t="s">
        <v>1463</v>
      </c>
      <c r="X681" s="28" t="s">
        <v>1885</v>
      </c>
      <c r="Y681" s="28" t="s">
        <v>1886</v>
      </c>
      <c r="Z681" s="28">
        <v>5130205000237</v>
      </c>
      <c r="AA681" s="28"/>
      <c r="AB681" s="28" t="s">
        <v>1465</v>
      </c>
      <c r="AC681" s="28" t="s">
        <v>263</v>
      </c>
    </row>
    <row r="682" spans="1:29" x14ac:dyDescent="0.25">
      <c r="A682" s="61">
        <v>110000460901</v>
      </c>
      <c r="B682" s="28">
        <v>2015</v>
      </c>
      <c r="C682" s="68">
        <f t="shared" si="10"/>
        <v>42005</v>
      </c>
      <c r="D682" s="28" t="s">
        <v>161</v>
      </c>
      <c r="E682" s="28" t="s">
        <v>519</v>
      </c>
      <c r="F682" s="28" t="s">
        <v>520</v>
      </c>
      <c r="G682" s="28" t="s">
        <v>362</v>
      </c>
      <c r="H682" s="28">
        <v>77012</v>
      </c>
      <c r="I682" s="28">
        <v>29.718139000000001</v>
      </c>
      <c r="J682" s="28">
        <v>-95.268749999999997</v>
      </c>
      <c r="K682" s="28" t="s">
        <v>521</v>
      </c>
      <c r="L682" s="61">
        <v>110000460901</v>
      </c>
      <c r="M682" s="28" t="s">
        <v>254</v>
      </c>
      <c r="N682" s="28">
        <v>2819</v>
      </c>
      <c r="O682" s="28" t="str">
        <f>IFERROR(VLOOKUP(N682, 'SIC &amp; NAICS Codes'!A:B, 2, FALSE), "")</f>
        <v>Industrial Inorganic Chemicals, NEC (recovering sulfur from natural gas)</v>
      </c>
      <c r="S682" s="28">
        <v>4.9795918367346896</v>
      </c>
      <c r="T682" s="315">
        <f>_xlfn.MAXIFS('Raw Period DMR Data'!$O:$O,'Raw Period DMR Data'!$A:$A,'Raw Annual DMR Data'!B682,'Raw Period DMR Data'!$C:$C,X682)/S682</f>
        <v>0</v>
      </c>
      <c r="U682" s="28" t="str">
        <f>+IF(COUNTIFS('Raw Period DMR Data'!$A:$A,B682, 'Raw Period DMR Data'!C:C,'Raw Annual DMR Data'!X682, 'Raw Period DMR Data'!M:M, "&gt;0")&gt;0,_xlfn.MAXIFS('Raw Period DMR Data'!M:M,'Raw Period DMR Data'!$A:$A,'Raw Annual DMR Data'!B682,'Raw Period DMR Data'!C:C,'Raw Annual DMR Data'!X682), "N/A - Period DMR Data Not Available")</f>
        <v>N/A - Period DMR Data Not Available</v>
      </c>
      <c r="V682" s="28" t="str" cm="1">
        <f t="array" ref="V682">IFERROR(INDEX('Raw Period DMR Data'!N:N,MATCH(1,(B682='Raw Period DMR Data'!$A:$A)*(U682='Raw Period DMR Data'!M:M)*(X682='Raw Period DMR Data'!C:C),0),1), "N/A")</f>
        <v>N/A</v>
      </c>
      <c r="W682" s="28" t="s">
        <v>1463</v>
      </c>
      <c r="X682" s="28" t="s">
        <v>881</v>
      </c>
      <c r="Y682" s="28" t="s">
        <v>882</v>
      </c>
      <c r="Z682" s="61">
        <v>12040104000084</v>
      </c>
    </row>
    <row r="683" spans="1:29" x14ac:dyDescent="0.25">
      <c r="A683" s="61">
        <v>110000460901</v>
      </c>
      <c r="B683" s="28">
        <v>2016</v>
      </c>
      <c r="C683" s="68">
        <f t="shared" si="10"/>
        <v>42370</v>
      </c>
      <c r="D683" s="28" t="s">
        <v>161</v>
      </c>
      <c r="E683" s="28" t="s">
        <v>519</v>
      </c>
      <c r="F683" s="28" t="s">
        <v>520</v>
      </c>
      <c r="G683" s="28" t="s">
        <v>362</v>
      </c>
      <c r="H683" s="28">
        <v>77012</v>
      </c>
      <c r="I683" s="28">
        <v>29.718139000000001</v>
      </c>
      <c r="J683" s="28">
        <v>-95.268749999999997</v>
      </c>
      <c r="K683" s="28" t="s">
        <v>521</v>
      </c>
      <c r="L683" s="61">
        <v>110000460901</v>
      </c>
      <c r="M683" s="28" t="s">
        <v>254</v>
      </c>
      <c r="N683" s="28">
        <v>2819</v>
      </c>
      <c r="O683" s="28" t="str">
        <f>IFERROR(VLOOKUP(N683, 'SIC &amp; NAICS Codes'!A:B, 2, FALSE), "")</f>
        <v>Industrial Inorganic Chemicals, NEC (recovering sulfur from natural gas)</v>
      </c>
      <c r="S683" s="28">
        <v>8.2721088435374099</v>
      </c>
      <c r="T683" s="315">
        <f>_xlfn.MAXIFS('Raw Period DMR Data'!$O:$O,'Raw Period DMR Data'!$A:$A,'Raw Annual DMR Data'!B683,'Raw Period DMR Data'!$C:$C,X683)/S683</f>
        <v>0</v>
      </c>
      <c r="U683" s="28" t="str">
        <f>+IF(COUNTIFS('Raw Period DMR Data'!$A:$A,B683, 'Raw Period DMR Data'!C:C,'Raw Annual DMR Data'!X683, 'Raw Period DMR Data'!M:M, "&gt;0")&gt;0,_xlfn.MAXIFS('Raw Period DMR Data'!M:M,'Raw Period DMR Data'!$A:$A,'Raw Annual DMR Data'!B683,'Raw Period DMR Data'!C:C,'Raw Annual DMR Data'!X683), "N/A - Period DMR Data Not Available")</f>
        <v>N/A - Period DMR Data Not Available</v>
      </c>
      <c r="V683" s="28" t="str" cm="1">
        <f t="array" ref="V683">IFERROR(INDEX('Raw Period DMR Data'!N:N,MATCH(1,(B683='Raw Period DMR Data'!$A:$A)*(U683='Raw Period DMR Data'!M:M)*(X683='Raw Period DMR Data'!C:C),0),1), "N/A")</f>
        <v>N/A</v>
      </c>
      <c r="W683" s="28" t="s">
        <v>1463</v>
      </c>
      <c r="X683" s="28" t="s">
        <v>881</v>
      </c>
      <c r="Y683" s="28" t="s">
        <v>882</v>
      </c>
      <c r="Z683" s="61">
        <v>12040104000084</v>
      </c>
      <c r="AA683" s="28"/>
    </row>
    <row r="684" spans="1:29" x14ac:dyDescent="0.25">
      <c r="A684" s="61">
        <v>110000460901</v>
      </c>
      <c r="B684" s="28">
        <v>2017</v>
      </c>
      <c r="C684" s="68">
        <f t="shared" si="10"/>
        <v>42736</v>
      </c>
      <c r="D684" s="28" t="s">
        <v>161</v>
      </c>
      <c r="E684" s="28" t="s">
        <v>519</v>
      </c>
      <c r="F684" s="28" t="s">
        <v>520</v>
      </c>
      <c r="G684" s="28" t="s">
        <v>362</v>
      </c>
      <c r="H684" s="28">
        <v>77012</v>
      </c>
      <c r="I684" s="28">
        <v>29.718139000000001</v>
      </c>
      <c r="J684" s="28">
        <v>-95.268749999999997</v>
      </c>
      <c r="K684" s="28" t="s">
        <v>521</v>
      </c>
      <c r="L684" s="61">
        <v>110000460901</v>
      </c>
      <c r="M684" s="28" t="s">
        <v>254</v>
      </c>
      <c r="N684" s="28">
        <v>2819</v>
      </c>
      <c r="O684" s="28" t="str">
        <f>IFERROR(VLOOKUP(N684, 'SIC &amp; NAICS Codes'!A:B, 2, FALSE), "")</f>
        <v>Industrial Inorganic Chemicals, NEC (recovering sulfur from natural gas)</v>
      </c>
      <c r="S684" s="28">
        <v>8.2539682539682495</v>
      </c>
      <c r="T684" s="315">
        <f>_xlfn.MAXIFS('Raw Period DMR Data'!$O:$O,'Raw Period DMR Data'!$A:$A,'Raw Annual DMR Data'!B684,'Raw Period DMR Data'!$C:$C,X684)/S684</f>
        <v>0</v>
      </c>
      <c r="U684" s="28" t="str">
        <f>+IF(COUNTIFS('Raw Period DMR Data'!$A:$A,B684, 'Raw Period DMR Data'!C:C,'Raw Annual DMR Data'!X684, 'Raw Period DMR Data'!M:M, "&gt;0")&gt;0,_xlfn.MAXIFS('Raw Period DMR Data'!M:M,'Raw Period DMR Data'!$A:$A,'Raw Annual DMR Data'!B684,'Raw Period DMR Data'!C:C,'Raw Annual DMR Data'!X684), "N/A - Period DMR Data Not Available")</f>
        <v>N/A - Period DMR Data Not Available</v>
      </c>
      <c r="V684" s="28" t="str" cm="1">
        <f t="array" ref="V684">IFERROR(INDEX('Raw Period DMR Data'!N:N,MATCH(1,(B684='Raw Period DMR Data'!$A:$A)*(U684='Raw Period DMR Data'!M:M)*(X684='Raw Period DMR Data'!C:C),0),1), "N/A")</f>
        <v>N/A</v>
      </c>
      <c r="W684" s="28" t="s">
        <v>1463</v>
      </c>
      <c r="X684" s="28" t="s">
        <v>881</v>
      </c>
      <c r="Y684" s="28" t="s">
        <v>882</v>
      </c>
      <c r="Z684" s="61">
        <v>12040104000084</v>
      </c>
      <c r="AA684" s="28"/>
    </row>
    <row r="685" spans="1:29" x14ac:dyDescent="0.25">
      <c r="A685" s="61">
        <v>110000460901</v>
      </c>
      <c r="B685" s="28">
        <v>2018</v>
      </c>
      <c r="C685" s="68">
        <f t="shared" si="10"/>
        <v>43101</v>
      </c>
      <c r="D685" s="28" t="s">
        <v>161</v>
      </c>
      <c r="E685" s="28" t="s">
        <v>519</v>
      </c>
      <c r="F685" s="28" t="s">
        <v>520</v>
      </c>
      <c r="G685" s="28" t="s">
        <v>362</v>
      </c>
      <c r="H685" s="28">
        <v>77012</v>
      </c>
      <c r="I685" s="28">
        <v>29.718139000000001</v>
      </c>
      <c r="J685" s="28">
        <v>-95.268749999999997</v>
      </c>
      <c r="K685" s="28" t="s">
        <v>521</v>
      </c>
      <c r="L685" s="61">
        <v>110000460901</v>
      </c>
      <c r="M685" s="28" t="s">
        <v>254</v>
      </c>
      <c r="N685" s="28">
        <v>2819</v>
      </c>
      <c r="O685" s="28" t="str">
        <f>IFERROR(VLOOKUP(N685, 'SIC &amp; NAICS Codes'!A:B, 2, FALSE), "")</f>
        <v>Industrial Inorganic Chemicals, NEC (recovering sulfur from natural gas)</v>
      </c>
      <c r="S685" s="28">
        <v>14.058956916099699</v>
      </c>
      <c r="T685" s="315">
        <f>_xlfn.MAXIFS('Raw Period DMR Data'!$O:$O,'Raw Period DMR Data'!$A:$A,'Raw Annual DMR Data'!B685,'Raw Period DMR Data'!$C:$C,X685)/S685</f>
        <v>0</v>
      </c>
      <c r="U685" s="28" t="str">
        <f>+IF(COUNTIFS('Raw Period DMR Data'!$A:$A,B685, 'Raw Period DMR Data'!C:C,'Raw Annual DMR Data'!X685, 'Raw Period DMR Data'!M:M, "&gt;0")&gt;0,_xlfn.MAXIFS('Raw Period DMR Data'!M:M,'Raw Period DMR Data'!$A:$A,'Raw Annual DMR Data'!B685,'Raw Period DMR Data'!C:C,'Raw Annual DMR Data'!X685), "N/A - Period DMR Data Not Available")</f>
        <v>N/A - Period DMR Data Not Available</v>
      </c>
      <c r="V685" s="28" t="str" cm="1">
        <f t="array" ref="V685">IFERROR(INDEX('Raw Period DMR Data'!N:N,MATCH(1,(B685='Raw Period DMR Data'!$A:$A)*(U685='Raw Period DMR Data'!M:M)*(X685='Raw Period DMR Data'!C:C),0),1), "N/A")</f>
        <v>N/A</v>
      </c>
      <c r="W685" s="28" t="s">
        <v>1463</v>
      </c>
      <c r="X685" s="28" t="s">
        <v>881</v>
      </c>
      <c r="Y685" s="28" t="s">
        <v>882</v>
      </c>
      <c r="Z685" s="61">
        <v>12040104000084</v>
      </c>
    </row>
    <row r="686" spans="1:29" x14ac:dyDescent="0.25">
      <c r="A686" s="61">
        <v>110000460901</v>
      </c>
      <c r="B686" s="28">
        <v>2019</v>
      </c>
      <c r="C686" s="68">
        <f t="shared" si="10"/>
        <v>43466</v>
      </c>
      <c r="D686" s="28" t="s">
        <v>161</v>
      </c>
      <c r="E686" s="28" t="s">
        <v>519</v>
      </c>
      <c r="F686" s="28" t="s">
        <v>520</v>
      </c>
      <c r="G686" s="28" t="s">
        <v>362</v>
      </c>
      <c r="H686" s="28">
        <v>77012</v>
      </c>
      <c r="I686" s="28">
        <v>29.718139000000001</v>
      </c>
      <c r="J686" s="28">
        <v>-95.268749999999997</v>
      </c>
      <c r="K686" s="28" t="s">
        <v>521</v>
      </c>
      <c r="L686" s="61">
        <v>110000460901</v>
      </c>
      <c r="M686" s="28" t="s">
        <v>254</v>
      </c>
      <c r="N686" s="28">
        <v>2819</v>
      </c>
      <c r="O686" s="28" t="str">
        <f>IFERROR(VLOOKUP(N686, 'SIC &amp; NAICS Codes'!A:B, 2, FALSE), "")</f>
        <v>Industrial Inorganic Chemicals, NEC (recovering sulfur from natural gas)</v>
      </c>
      <c r="S686" s="28">
        <v>9.8503401360544203</v>
      </c>
      <c r="T686" s="315">
        <f>_xlfn.MAXIFS('Raw Period DMR Data'!$O:$O,'Raw Period DMR Data'!$A:$A,'Raw Annual DMR Data'!B686,'Raw Period DMR Data'!$C:$C,X686)/S686</f>
        <v>0</v>
      </c>
      <c r="U686" s="28" t="str">
        <f>+IF(COUNTIFS('Raw Period DMR Data'!$A:$A,B686, 'Raw Period DMR Data'!C:C,'Raw Annual DMR Data'!X686, 'Raw Period DMR Data'!M:M, "&gt;0")&gt;0,_xlfn.MAXIFS('Raw Period DMR Data'!M:M,'Raw Period DMR Data'!$A:$A,'Raw Annual DMR Data'!B686,'Raw Period DMR Data'!C:C,'Raw Annual DMR Data'!X686), "N/A - Period DMR Data Not Available")</f>
        <v>N/A - Period DMR Data Not Available</v>
      </c>
      <c r="V686" s="28" t="str" cm="1">
        <f t="array" ref="V686">IFERROR(INDEX('Raw Period DMR Data'!N:N,MATCH(1,(B686='Raw Period DMR Data'!$A:$A)*(U686='Raw Period DMR Data'!M:M)*(X686='Raw Period DMR Data'!C:C),0),1), "N/A")</f>
        <v>N/A</v>
      </c>
      <c r="W686" s="28" t="s">
        <v>1463</v>
      </c>
      <c r="X686" s="28" t="s">
        <v>881</v>
      </c>
      <c r="Y686" s="28" t="s">
        <v>882</v>
      </c>
      <c r="Z686" s="61">
        <v>12040104000084</v>
      </c>
    </row>
    <row r="687" spans="1:29" x14ac:dyDescent="0.25">
      <c r="A687" s="61">
        <v>110000460901</v>
      </c>
      <c r="B687" s="28">
        <v>2020</v>
      </c>
      <c r="C687" s="68">
        <f t="shared" si="10"/>
        <v>43831</v>
      </c>
      <c r="D687" s="28" t="s">
        <v>161</v>
      </c>
      <c r="E687" s="28" t="s">
        <v>519</v>
      </c>
      <c r="F687" s="28" t="s">
        <v>520</v>
      </c>
      <c r="G687" s="28" t="s">
        <v>362</v>
      </c>
      <c r="H687" s="28">
        <v>77012</v>
      </c>
      <c r="I687" s="28">
        <v>29.718139000000001</v>
      </c>
      <c r="J687" s="28">
        <v>-95.268749999999997</v>
      </c>
      <c r="K687" s="28" t="s">
        <v>521</v>
      </c>
      <c r="L687" s="61">
        <v>110000460901</v>
      </c>
      <c r="M687" s="28" t="s">
        <v>254</v>
      </c>
      <c r="N687" s="28">
        <v>2819</v>
      </c>
      <c r="O687" s="28" t="str">
        <f>IFERROR(VLOOKUP(N687, 'SIC &amp; NAICS Codes'!A:B, 2, FALSE), "")</f>
        <v>Industrial Inorganic Chemicals, NEC (recovering sulfur from natural gas)</v>
      </c>
      <c r="S687" s="28">
        <v>9.9319727891156404</v>
      </c>
      <c r="T687" s="315">
        <f>_xlfn.MAXIFS('Raw Period DMR Data'!$O:$O,'Raw Period DMR Data'!$A:$A,'Raw Annual DMR Data'!B687,'Raw Period DMR Data'!$C:$C,X687)/S687</f>
        <v>0</v>
      </c>
      <c r="U687" s="28" t="str">
        <f>+IF(COUNTIFS('Raw Period DMR Data'!$A:$A,B687, 'Raw Period DMR Data'!C:C,'Raw Annual DMR Data'!X687, 'Raw Period DMR Data'!M:M, "&gt;0")&gt;0,_xlfn.MAXIFS('Raw Period DMR Data'!M:M,'Raw Period DMR Data'!$A:$A,'Raw Annual DMR Data'!B687,'Raw Period DMR Data'!C:C,'Raw Annual DMR Data'!X687), "N/A - Period DMR Data Not Available")</f>
        <v>N/A - Period DMR Data Not Available</v>
      </c>
      <c r="V687" s="28" t="str" cm="1">
        <f t="array" ref="V687">IFERROR(INDEX('Raw Period DMR Data'!N:N,MATCH(1,(B687='Raw Period DMR Data'!$A:$A)*(U687='Raw Period DMR Data'!M:M)*(X687='Raw Period DMR Data'!C:C),0),1), "N/A")</f>
        <v>N/A</v>
      </c>
      <c r="W687" s="28" t="s">
        <v>1463</v>
      </c>
      <c r="X687" s="28" t="s">
        <v>881</v>
      </c>
      <c r="Y687" s="28" t="s">
        <v>882</v>
      </c>
      <c r="Z687" s="61">
        <v>12040104000084</v>
      </c>
    </row>
    <row r="688" spans="1:29" x14ac:dyDescent="0.25">
      <c r="A688" s="61">
        <v>110043668563</v>
      </c>
      <c r="B688" s="28">
        <v>2019</v>
      </c>
      <c r="C688" s="68">
        <f t="shared" si="10"/>
        <v>43466</v>
      </c>
      <c r="D688" s="28" t="s">
        <v>1174</v>
      </c>
      <c r="E688" s="28" t="s">
        <v>1888</v>
      </c>
      <c r="F688" s="28" t="s">
        <v>1175</v>
      </c>
      <c r="G688" s="28" t="s">
        <v>506</v>
      </c>
      <c r="H688" s="28">
        <v>21104</v>
      </c>
      <c r="I688" s="28">
        <v>39.307180000000002</v>
      </c>
      <c r="J688" s="28">
        <v>-76.898619999999994</v>
      </c>
      <c r="L688" s="61">
        <v>110043668563</v>
      </c>
      <c r="M688" s="28" t="s">
        <v>6750</v>
      </c>
      <c r="N688" s="28">
        <v>4953</v>
      </c>
      <c r="O688" s="28" t="str">
        <f>IFERROR(VLOOKUP(N688, 'SIC &amp; NAICS Codes'!A:B, 2, FALSE), "")</f>
        <v>Refuse Systems (hazardous waste treatment and disposal)</v>
      </c>
      <c r="S688" s="28">
        <v>2.7814538433499898E-3</v>
      </c>
      <c r="T688" s="315">
        <f>_xlfn.MAXIFS('Raw Period DMR Data'!$O:$O,'Raw Period DMR Data'!$A:$A,'Raw Annual DMR Data'!B688,'Raw Period DMR Data'!$C:$C,X688)/S688</f>
        <v>0</v>
      </c>
      <c r="U688" s="28" t="str">
        <f>+IF(COUNTIFS('Raw Period DMR Data'!$A:$A,B688, 'Raw Period DMR Data'!C:C,'Raw Annual DMR Data'!X688, 'Raw Period DMR Data'!M:M, "&gt;0")&gt;0,_xlfn.MAXIFS('Raw Period DMR Data'!M:M,'Raw Period DMR Data'!$A:$A,'Raw Annual DMR Data'!B688,'Raw Period DMR Data'!C:C,'Raw Annual DMR Data'!X688), "N/A - Period DMR Data Not Available")</f>
        <v>N/A - Period DMR Data Not Available</v>
      </c>
      <c r="V688" s="28" t="str" cm="1">
        <f t="array" ref="V688">IFERROR(INDEX('Raw Period DMR Data'!N:N,MATCH(1,(B688='Raw Period DMR Data'!$A:$A)*(U688='Raw Period DMR Data'!M:M)*(X688='Raw Period DMR Data'!C:C),0),1), "N/A")</f>
        <v>N/A</v>
      </c>
      <c r="W688" s="28" t="s">
        <v>1463</v>
      </c>
      <c r="X688" s="28" t="s">
        <v>1889</v>
      </c>
      <c r="Y688" s="28" t="s">
        <v>1890</v>
      </c>
      <c r="Z688" s="28">
        <v>2060003000653</v>
      </c>
      <c r="AA688" s="28"/>
      <c r="AB688" s="28" t="s">
        <v>1465</v>
      </c>
      <c r="AC688" s="28" t="s">
        <v>1466</v>
      </c>
    </row>
    <row r="689" spans="1:29" x14ac:dyDescent="0.25">
      <c r="A689" s="61">
        <v>110037274133</v>
      </c>
      <c r="B689" s="28">
        <v>2020</v>
      </c>
      <c r="C689" s="68">
        <f t="shared" si="10"/>
        <v>43831</v>
      </c>
      <c r="D689" s="28" t="s">
        <v>1176</v>
      </c>
      <c r="E689" s="28" t="s">
        <v>1891</v>
      </c>
      <c r="F689" s="28" t="s">
        <v>657</v>
      </c>
      <c r="G689" s="28" t="s">
        <v>418</v>
      </c>
      <c r="H689" s="28">
        <v>89169</v>
      </c>
      <c r="I689" s="28">
        <v>36.119079999999997</v>
      </c>
      <c r="J689" s="28">
        <v>-115.15727</v>
      </c>
      <c r="L689" s="61">
        <v>110037274133</v>
      </c>
      <c r="M689" s="28" t="s">
        <v>265</v>
      </c>
      <c r="N689" s="28">
        <v>6512</v>
      </c>
      <c r="O689" s="28" t="str">
        <f>IFERROR(VLOOKUP(N689, 'SIC &amp; NAICS Codes'!A:B, 2, FALSE), "")</f>
        <v>Operators of Nonresidential Buildings (except stadium and arena owners)</v>
      </c>
      <c r="S689" s="28">
        <v>2.3036929374999999E-3</v>
      </c>
      <c r="T689" s="315">
        <f>_xlfn.MAXIFS('Raw Period DMR Data'!$O:$O,'Raw Period DMR Data'!$A:$A,'Raw Annual DMR Data'!B689,'Raw Period DMR Data'!$C:$C,X689)/S689</f>
        <v>0</v>
      </c>
      <c r="U689" s="28" t="str">
        <f>+IF(COUNTIFS('Raw Period DMR Data'!$A:$A,B689, 'Raw Period DMR Data'!C:C,'Raw Annual DMR Data'!X689, 'Raw Period DMR Data'!M:M, "&gt;0")&gt;0,_xlfn.MAXIFS('Raw Period DMR Data'!M:M,'Raw Period DMR Data'!$A:$A,'Raw Annual DMR Data'!B689,'Raw Period DMR Data'!C:C,'Raw Annual DMR Data'!X689), "N/A - Period DMR Data Not Available")</f>
        <v>N/A - Period DMR Data Not Available</v>
      </c>
      <c r="V689" s="28" t="str" cm="1">
        <f t="array" ref="V689">IFERROR(INDEX('Raw Period DMR Data'!N:N,MATCH(1,(B689='Raw Period DMR Data'!$A:$A)*(U689='Raw Period DMR Data'!M:M)*(X689='Raw Period DMR Data'!C:C),0),1), "N/A")</f>
        <v>N/A</v>
      </c>
      <c r="W689" s="28" t="s">
        <v>1463</v>
      </c>
      <c r="X689" s="28" t="s">
        <v>1892</v>
      </c>
      <c r="Y689" s="28" t="s">
        <v>1893</v>
      </c>
      <c r="Z689" s="28">
        <v>15010015000432</v>
      </c>
      <c r="AA689" s="28"/>
      <c r="AB689" s="28" t="s">
        <v>1465</v>
      </c>
      <c r="AC689" s="28" t="s">
        <v>1466</v>
      </c>
    </row>
    <row r="690" spans="1:29" x14ac:dyDescent="0.25">
      <c r="A690" s="61">
        <v>110000748095</v>
      </c>
      <c r="B690" s="28">
        <v>2020</v>
      </c>
      <c r="C690" s="68">
        <f t="shared" si="10"/>
        <v>43831</v>
      </c>
      <c r="D690" s="28" t="s">
        <v>162</v>
      </c>
      <c r="E690" s="28" t="s">
        <v>525</v>
      </c>
      <c r="F690" s="28" t="s">
        <v>526</v>
      </c>
      <c r="G690" s="28" t="s">
        <v>362</v>
      </c>
      <c r="H690" s="28">
        <v>77301</v>
      </c>
      <c r="I690" s="28">
        <v>30.311361000000002</v>
      </c>
      <c r="J690" s="28">
        <v>-95.387083000000004</v>
      </c>
      <c r="K690" s="28" t="s">
        <v>527</v>
      </c>
      <c r="L690" s="61">
        <v>110000748095</v>
      </c>
      <c r="M690" s="28" t="s">
        <v>251</v>
      </c>
      <c r="N690" s="28">
        <v>2869</v>
      </c>
      <c r="O690" s="28" t="str">
        <f>IFERROR(VLOOKUP(N690, 'SIC &amp; NAICS Codes'!A:B, 2, FALSE), "")</f>
        <v>Industrial Organic Chemicals, NEC (aliphatics)</v>
      </c>
      <c r="S690" s="28">
        <v>1.20839002267573</v>
      </c>
      <c r="T690" s="315">
        <f>_xlfn.MAXIFS('Raw Period DMR Data'!$O:$O,'Raw Period DMR Data'!$A:$A,'Raw Annual DMR Data'!B690,'Raw Period DMR Data'!$C:$C,X690)/S690</f>
        <v>0</v>
      </c>
      <c r="U690" s="28" t="str">
        <f>+IF(COUNTIFS('Raw Period DMR Data'!$A:$A,B690, 'Raw Period DMR Data'!C:C,'Raw Annual DMR Data'!X690, 'Raw Period DMR Data'!M:M, "&gt;0")&gt;0,_xlfn.MAXIFS('Raw Period DMR Data'!M:M,'Raw Period DMR Data'!$A:$A,'Raw Annual DMR Data'!B690,'Raw Period DMR Data'!C:C,'Raw Annual DMR Data'!X690), "N/A - Period DMR Data Not Available")</f>
        <v>N/A - Period DMR Data Not Available</v>
      </c>
      <c r="V690" s="28" t="str" cm="1">
        <f t="array" ref="V690">IFERROR(INDEX('Raw Period DMR Data'!N:N,MATCH(1,(B690='Raw Period DMR Data'!$A:$A)*(U690='Raw Period DMR Data'!M:M)*(X690='Raw Period DMR Data'!C:C),0),1), "N/A")</f>
        <v>N/A</v>
      </c>
      <c r="W690" s="28" t="s">
        <v>1463</v>
      </c>
      <c r="X690" s="28" t="s">
        <v>883</v>
      </c>
      <c r="Y690" s="28" t="s">
        <v>884</v>
      </c>
      <c r="Z690" s="61">
        <v>12040101000196</v>
      </c>
    </row>
    <row r="691" spans="1:29" x14ac:dyDescent="0.25">
      <c r="A691" s="61">
        <v>110000748095</v>
      </c>
      <c r="B691" s="28">
        <v>2020</v>
      </c>
      <c r="C691" s="68">
        <f t="shared" si="10"/>
        <v>43831</v>
      </c>
      <c r="D691" s="28" t="s">
        <v>162</v>
      </c>
      <c r="E691" s="28" t="s">
        <v>525</v>
      </c>
      <c r="F691" s="28" t="s">
        <v>526</v>
      </c>
      <c r="G691" s="28" t="s">
        <v>362</v>
      </c>
      <c r="H691" s="28">
        <v>77301</v>
      </c>
      <c r="I691" s="28">
        <v>30.311361000000002</v>
      </c>
      <c r="J691" s="28">
        <v>-95.387083000000004</v>
      </c>
      <c r="K691" s="28" t="s">
        <v>527</v>
      </c>
      <c r="L691" s="61">
        <v>110000748095</v>
      </c>
      <c r="M691" s="28" t="s">
        <v>251</v>
      </c>
      <c r="N691" s="28">
        <v>2869</v>
      </c>
      <c r="O691" s="28" t="str">
        <f>IFERROR(VLOOKUP(N691, 'SIC &amp; NAICS Codes'!A:B, 2, FALSE), "")</f>
        <v>Industrial Organic Chemicals, NEC (aliphatics)</v>
      </c>
      <c r="S691" s="28">
        <v>0.364172335600907</v>
      </c>
      <c r="T691" s="315">
        <f>_xlfn.MAXIFS('Raw Period DMR Data'!$O:$O,'Raw Period DMR Data'!$A:$A,'Raw Annual DMR Data'!B691,'Raw Period DMR Data'!$C:$C,X691)/S691</f>
        <v>0</v>
      </c>
      <c r="U691" s="28" t="str">
        <f>+IF(COUNTIFS('Raw Period DMR Data'!$A:$A,B691, 'Raw Period DMR Data'!C:C,'Raw Annual DMR Data'!X691, 'Raw Period DMR Data'!M:M, "&gt;0")&gt;0,_xlfn.MAXIFS('Raw Period DMR Data'!M:M,'Raw Period DMR Data'!$A:$A,'Raw Annual DMR Data'!B691,'Raw Period DMR Data'!C:C,'Raw Annual DMR Data'!X691), "N/A - Period DMR Data Not Available")</f>
        <v>N/A - Period DMR Data Not Available</v>
      </c>
      <c r="V691" s="28" t="str" cm="1">
        <f t="array" ref="V691">IFERROR(INDEX('Raw Period DMR Data'!N:N,MATCH(1,(B691='Raw Period DMR Data'!$A:$A)*(U691='Raw Period DMR Data'!M:M)*(X691='Raw Period DMR Data'!C:C),0),1), "N/A")</f>
        <v>N/A</v>
      </c>
      <c r="W691" s="28" t="s">
        <v>1463</v>
      </c>
      <c r="X691" s="28" t="s">
        <v>883</v>
      </c>
      <c r="Y691" s="28" t="s">
        <v>884</v>
      </c>
      <c r="Z691" s="61">
        <v>12040101000196</v>
      </c>
    </row>
    <row r="692" spans="1:29" x14ac:dyDescent="0.25">
      <c r="A692" s="61">
        <v>110024468128</v>
      </c>
      <c r="B692" s="28">
        <v>2019</v>
      </c>
      <c r="C692" s="68">
        <f t="shared" si="10"/>
        <v>43466</v>
      </c>
      <c r="D692" s="28" t="s">
        <v>1177</v>
      </c>
      <c r="E692" s="28" t="s">
        <v>1894</v>
      </c>
      <c r="F692" s="28" t="s">
        <v>1178</v>
      </c>
      <c r="G692" s="28" t="s">
        <v>308</v>
      </c>
      <c r="H692" s="28">
        <v>1803</v>
      </c>
      <c r="I692" s="28">
        <v>42.482259999999997</v>
      </c>
      <c r="J692" s="28">
        <v>-71.191800000000001</v>
      </c>
      <c r="L692" s="61">
        <v>110024468128</v>
      </c>
      <c r="M692" s="28" t="s">
        <v>265</v>
      </c>
      <c r="O692" s="28" t="str">
        <f>IFERROR(VLOOKUP(N692, 'SIC &amp; NAICS Codes'!A:B, 2, FALSE), "")</f>
        <v/>
      </c>
      <c r="S692" s="28">
        <v>2.2209840637499999E-2</v>
      </c>
      <c r="T692" s="315">
        <f>_xlfn.MAXIFS('Raw Period DMR Data'!$O:$O,'Raw Period DMR Data'!$A:$A,'Raw Annual DMR Data'!B692,'Raw Period DMR Data'!$C:$C,X692)/S692</f>
        <v>0</v>
      </c>
      <c r="U692" s="28" t="str">
        <f>+IF(COUNTIFS('Raw Period DMR Data'!$A:$A,B692, 'Raw Period DMR Data'!C:C,'Raw Annual DMR Data'!X692, 'Raw Period DMR Data'!M:M, "&gt;0")&gt;0,_xlfn.MAXIFS('Raw Period DMR Data'!M:M,'Raw Period DMR Data'!$A:$A,'Raw Annual DMR Data'!B692,'Raw Period DMR Data'!C:C,'Raw Annual DMR Data'!X692), "N/A - Period DMR Data Not Available")</f>
        <v>N/A - Period DMR Data Not Available</v>
      </c>
      <c r="V692" s="28" t="str" cm="1">
        <f t="array" ref="V692">IFERROR(INDEX('Raw Period DMR Data'!N:N,MATCH(1,(B692='Raw Period DMR Data'!$A:$A)*(U692='Raw Period DMR Data'!M:M)*(X692='Raw Period DMR Data'!C:C),0),1), "N/A")</f>
        <v>N/A</v>
      </c>
      <c r="W692" s="28" t="s">
        <v>1463</v>
      </c>
      <c r="X692" s="28" t="s">
        <v>1895</v>
      </c>
      <c r="Y692" s="28" t="s">
        <v>1896</v>
      </c>
      <c r="Z692" s="28">
        <v>1070006000619</v>
      </c>
      <c r="AA692" s="28"/>
      <c r="AB692" s="28" t="s">
        <v>1465</v>
      </c>
      <c r="AC692" s="28" t="s">
        <v>1466</v>
      </c>
    </row>
    <row r="693" spans="1:29" x14ac:dyDescent="0.25">
      <c r="A693" s="61">
        <v>110024468128</v>
      </c>
      <c r="B693" s="28">
        <v>2020</v>
      </c>
      <c r="C693" s="68">
        <f t="shared" si="10"/>
        <v>43831</v>
      </c>
      <c r="D693" s="28" t="s">
        <v>1177</v>
      </c>
      <c r="E693" s="28" t="s">
        <v>1894</v>
      </c>
      <c r="F693" s="28" t="s">
        <v>1178</v>
      </c>
      <c r="G693" s="28" t="s">
        <v>308</v>
      </c>
      <c r="H693" s="28">
        <v>1803</v>
      </c>
      <c r="I693" s="28">
        <v>42.482259999999997</v>
      </c>
      <c r="J693" s="28">
        <v>-71.191800000000001</v>
      </c>
      <c r="L693" s="61">
        <v>110024468128</v>
      </c>
      <c r="M693" s="28" t="s">
        <v>265</v>
      </c>
      <c r="O693" s="28" t="str">
        <f>IFERROR(VLOOKUP(N693, 'SIC &amp; NAICS Codes'!A:B, 2, FALSE), "")</f>
        <v/>
      </c>
      <c r="S693" s="28">
        <v>2.5678277052750002E-2</v>
      </c>
      <c r="T693" s="315">
        <f>_xlfn.MAXIFS('Raw Period DMR Data'!$O:$O,'Raw Period DMR Data'!$A:$A,'Raw Annual DMR Data'!B693,'Raw Period DMR Data'!$C:$C,X693)/S693</f>
        <v>0</v>
      </c>
      <c r="U693" s="28" t="str">
        <f>+IF(COUNTIFS('Raw Period DMR Data'!$A:$A,B693, 'Raw Period DMR Data'!C:C,'Raw Annual DMR Data'!X693, 'Raw Period DMR Data'!M:M, "&gt;0")&gt;0,_xlfn.MAXIFS('Raw Period DMR Data'!M:M,'Raw Period DMR Data'!$A:$A,'Raw Annual DMR Data'!B693,'Raw Period DMR Data'!C:C,'Raw Annual DMR Data'!X693), "N/A - Period DMR Data Not Available")</f>
        <v>N/A - Period DMR Data Not Available</v>
      </c>
      <c r="V693" s="28" t="str" cm="1">
        <f t="array" ref="V693">IFERROR(INDEX('Raw Period DMR Data'!N:N,MATCH(1,(B693='Raw Period DMR Data'!$A:$A)*(U693='Raw Period DMR Data'!M:M)*(X693='Raw Period DMR Data'!C:C),0),1), "N/A")</f>
        <v>N/A</v>
      </c>
      <c r="W693" s="28" t="s">
        <v>1463</v>
      </c>
      <c r="X693" s="28" t="s">
        <v>1895</v>
      </c>
      <c r="Y693" s="28" t="s">
        <v>1896</v>
      </c>
      <c r="Z693" s="28">
        <v>1070006000619</v>
      </c>
      <c r="AA693" s="28"/>
      <c r="AB693" s="28" t="s">
        <v>1465</v>
      </c>
      <c r="AC693" s="28" t="s">
        <v>1466</v>
      </c>
    </row>
    <row r="694" spans="1:29" x14ac:dyDescent="0.25">
      <c r="A694" s="61">
        <v>110041145926</v>
      </c>
      <c r="B694" s="28">
        <v>2015</v>
      </c>
      <c r="C694" s="68">
        <f t="shared" si="10"/>
        <v>42005</v>
      </c>
      <c r="D694" s="28" t="s">
        <v>1179</v>
      </c>
      <c r="E694" s="28" t="s">
        <v>1897</v>
      </c>
      <c r="F694" s="28" t="s">
        <v>1180</v>
      </c>
      <c r="G694" s="28" t="s">
        <v>450</v>
      </c>
      <c r="H694" s="28">
        <v>13760</v>
      </c>
      <c r="I694" s="28">
        <v>42.107010000000002</v>
      </c>
      <c r="J694" s="28">
        <v>-76.051990000000004</v>
      </c>
      <c r="L694" s="61">
        <v>110041145926</v>
      </c>
      <c r="M694" s="28" t="s">
        <v>265</v>
      </c>
      <c r="N694" s="28">
        <v>3471</v>
      </c>
      <c r="O694" s="28" t="str">
        <f>IFERROR(VLOOKUP(N694, 'SIC &amp; NAICS Codes'!A:B, 2, FALSE), "")</f>
        <v>Electroplating, Plating, Polishing, Anodizing, and Coloring</v>
      </c>
      <c r="S694" s="28">
        <v>0.40981859410430799</v>
      </c>
      <c r="T694" s="315">
        <f>_xlfn.MAXIFS('Raw Period DMR Data'!$O:$O,'Raw Period DMR Data'!$A:$A,'Raw Annual DMR Data'!B694,'Raw Period DMR Data'!$C:$C,X694)/S694</f>
        <v>0</v>
      </c>
      <c r="U694" s="28" t="str">
        <f>+IF(COUNTIFS('Raw Period DMR Data'!$A:$A,B694, 'Raw Period DMR Data'!C:C,'Raw Annual DMR Data'!X694, 'Raw Period DMR Data'!M:M, "&gt;0")&gt;0,_xlfn.MAXIFS('Raw Period DMR Data'!M:M,'Raw Period DMR Data'!$A:$A,'Raw Annual DMR Data'!B694,'Raw Period DMR Data'!C:C,'Raw Annual DMR Data'!X694), "N/A - Period DMR Data Not Available")</f>
        <v>N/A - Period DMR Data Not Available</v>
      </c>
      <c r="V694" s="28" t="str" cm="1">
        <f t="array" ref="V694">IFERROR(INDEX('Raw Period DMR Data'!N:N,MATCH(1,(B694='Raw Period DMR Data'!$A:$A)*(U694='Raw Period DMR Data'!M:M)*(X694='Raw Period DMR Data'!C:C),0),1), "N/A")</f>
        <v>N/A</v>
      </c>
      <c r="W694" s="28" t="s">
        <v>1463</v>
      </c>
      <c r="X694" s="28" t="s">
        <v>1898</v>
      </c>
      <c r="Y694" s="28" t="s">
        <v>1899</v>
      </c>
      <c r="Z694" s="28">
        <v>2050103001134</v>
      </c>
      <c r="AA694" s="28"/>
      <c r="AB694" s="28" t="s">
        <v>1465</v>
      </c>
      <c r="AC694" s="28" t="s">
        <v>1466</v>
      </c>
    </row>
    <row r="695" spans="1:29" x14ac:dyDescent="0.25">
      <c r="A695" s="61">
        <v>110041145926</v>
      </c>
      <c r="B695" s="28">
        <v>2016</v>
      </c>
      <c r="C695" s="68">
        <f t="shared" si="10"/>
        <v>42370</v>
      </c>
      <c r="D695" s="28" t="s">
        <v>1179</v>
      </c>
      <c r="E695" s="28" t="s">
        <v>1897</v>
      </c>
      <c r="F695" s="28" t="s">
        <v>1180</v>
      </c>
      <c r="G695" s="28" t="s">
        <v>450</v>
      </c>
      <c r="H695" s="28">
        <v>13760</v>
      </c>
      <c r="I695" s="28">
        <v>42.107010000000002</v>
      </c>
      <c r="J695" s="28">
        <v>-76.051990000000004</v>
      </c>
      <c r="L695" s="61">
        <v>110041145926</v>
      </c>
      <c r="M695" s="28" t="s">
        <v>265</v>
      </c>
      <c r="N695" s="28">
        <v>3471</v>
      </c>
      <c r="O695" s="28" t="str">
        <f>IFERROR(VLOOKUP(N695, 'SIC &amp; NAICS Codes'!A:B, 2, FALSE), "")</f>
        <v>Electroplating, Plating, Polishing, Anodizing, and Coloring</v>
      </c>
      <c r="S695" s="28">
        <v>0.241269841269841</v>
      </c>
      <c r="T695" s="315">
        <f>_xlfn.MAXIFS('Raw Period DMR Data'!$O:$O,'Raw Period DMR Data'!$A:$A,'Raw Annual DMR Data'!B695,'Raw Period DMR Data'!$C:$C,X695)/S695</f>
        <v>0</v>
      </c>
      <c r="U695" s="28" t="str">
        <f>+IF(COUNTIFS('Raw Period DMR Data'!$A:$A,B695, 'Raw Period DMR Data'!C:C,'Raw Annual DMR Data'!X695, 'Raw Period DMR Data'!M:M, "&gt;0")&gt;0,_xlfn.MAXIFS('Raw Period DMR Data'!M:M,'Raw Period DMR Data'!$A:$A,'Raw Annual DMR Data'!B695,'Raw Period DMR Data'!C:C,'Raw Annual DMR Data'!X695), "N/A - Period DMR Data Not Available")</f>
        <v>N/A - Period DMR Data Not Available</v>
      </c>
      <c r="V695" s="28" t="str" cm="1">
        <f t="array" ref="V695">IFERROR(INDEX('Raw Period DMR Data'!N:N,MATCH(1,(B695='Raw Period DMR Data'!$A:$A)*(U695='Raw Period DMR Data'!M:M)*(X695='Raw Period DMR Data'!C:C),0),1), "N/A")</f>
        <v>N/A</v>
      </c>
      <c r="W695" s="28" t="s">
        <v>1463</v>
      </c>
      <c r="X695" s="28" t="s">
        <v>1898</v>
      </c>
      <c r="Y695" s="28" t="s">
        <v>1899</v>
      </c>
      <c r="Z695" s="28">
        <v>2050103001134</v>
      </c>
      <c r="AA695" s="28"/>
      <c r="AB695" s="28" t="s">
        <v>1465</v>
      </c>
      <c r="AC695" s="28" t="s">
        <v>1466</v>
      </c>
    </row>
    <row r="696" spans="1:29" x14ac:dyDescent="0.25">
      <c r="A696" s="61">
        <v>110041145926</v>
      </c>
      <c r="B696" s="28">
        <v>2017</v>
      </c>
      <c r="C696" s="68">
        <f t="shared" si="10"/>
        <v>42736</v>
      </c>
      <c r="D696" s="28" t="s">
        <v>1179</v>
      </c>
      <c r="E696" s="28" t="s">
        <v>1897</v>
      </c>
      <c r="F696" s="28" t="s">
        <v>1180</v>
      </c>
      <c r="G696" s="28" t="s">
        <v>450</v>
      </c>
      <c r="H696" s="28">
        <v>13760</v>
      </c>
      <c r="I696" s="28">
        <v>42.107010000000002</v>
      </c>
      <c r="J696" s="28">
        <v>-76.051990000000004</v>
      </c>
      <c r="L696" s="61">
        <v>110041145926</v>
      </c>
      <c r="M696" s="28" t="s">
        <v>265</v>
      </c>
      <c r="N696" s="28">
        <v>3471</v>
      </c>
      <c r="O696" s="28" t="str">
        <f>IFERROR(VLOOKUP(N696, 'SIC &amp; NAICS Codes'!A:B, 2, FALSE), "")</f>
        <v>Electroplating, Plating, Polishing, Anodizing, and Coloring</v>
      </c>
      <c r="S696" s="28">
        <v>0.12932247350000001</v>
      </c>
      <c r="T696" s="315">
        <f>_xlfn.MAXIFS('Raw Period DMR Data'!$O:$O,'Raw Period DMR Data'!$A:$A,'Raw Annual DMR Data'!B696,'Raw Period DMR Data'!$C:$C,X696)/S696</f>
        <v>0</v>
      </c>
      <c r="U696" s="28" t="str">
        <f>+IF(COUNTIFS('Raw Period DMR Data'!$A:$A,B696, 'Raw Period DMR Data'!C:C,'Raw Annual DMR Data'!X696, 'Raw Period DMR Data'!M:M, "&gt;0")&gt;0,_xlfn.MAXIFS('Raw Period DMR Data'!M:M,'Raw Period DMR Data'!$A:$A,'Raw Annual DMR Data'!B696,'Raw Period DMR Data'!C:C,'Raw Annual DMR Data'!X696), "N/A - Period DMR Data Not Available")</f>
        <v>N/A - Period DMR Data Not Available</v>
      </c>
      <c r="V696" s="28" t="str" cm="1">
        <f t="array" ref="V696">IFERROR(INDEX('Raw Period DMR Data'!N:N,MATCH(1,(B696='Raw Period DMR Data'!$A:$A)*(U696='Raw Period DMR Data'!M:M)*(X696='Raw Period DMR Data'!C:C),0),1), "N/A")</f>
        <v>N/A</v>
      </c>
      <c r="W696" s="28" t="s">
        <v>1463</v>
      </c>
      <c r="X696" s="28" t="s">
        <v>1898</v>
      </c>
      <c r="Y696" s="28" t="s">
        <v>1899</v>
      </c>
      <c r="Z696" s="28">
        <v>2050103001134</v>
      </c>
      <c r="AA696" s="28"/>
      <c r="AB696" s="28" t="s">
        <v>1465</v>
      </c>
      <c r="AC696" s="28" t="s">
        <v>1466</v>
      </c>
    </row>
    <row r="697" spans="1:29" x14ac:dyDescent="0.25">
      <c r="A697" s="61">
        <v>110041145926</v>
      </c>
      <c r="B697" s="28">
        <v>2018</v>
      </c>
      <c r="C697" s="68">
        <f t="shared" si="10"/>
        <v>43101</v>
      </c>
      <c r="D697" s="28" t="s">
        <v>1179</v>
      </c>
      <c r="E697" s="28" t="s">
        <v>1897</v>
      </c>
      <c r="F697" s="28" t="s">
        <v>1180</v>
      </c>
      <c r="G697" s="28" t="s">
        <v>450</v>
      </c>
      <c r="H697" s="28">
        <v>13760</v>
      </c>
      <c r="I697" s="28">
        <v>42.107010000000002</v>
      </c>
      <c r="J697" s="28">
        <v>-76.051990000000004</v>
      </c>
      <c r="L697" s="61">
        <v>110041145926</v>
      </c>
      <c r="M697" s="28" t="s">
        <v>265</v>
      </c>
      <c r="N697" s="28">
        <v>3471</v>
      </c>
      <c r="O697" s="28" t="str">
        <f>IFERROR(VLOOKUP(N697, 'SIC &amp; NAICS Codes'!A:B, 2, FALSE), "")</f>
        <v>Electroplating, Plating, Polishing, Anodizing, and Coloring</v>
      </c>
      <c r="S697" s="28">
        <v>0.107933817</v>
      </c>
      <c r="T697" s="315">
        <f>_xlfn.MAXIFS('Raw Period DMR Data'!$O:$O,'Raw Period DMR Data'!$A:$A,'Raw Annual DMR Data'!B697,'Raw Period DMR Data'!$C:$C,X697)/S697</f>
        <v>0</v>
      </c>
      <c r="U697" s="28" t="str">
        <f>+IF(COUNTIFS('Raw Period DMR Data'!$A:$A,B697, 'Raw Period DMR Data'!C:C,'Raw Annual DMR Data'!X697, 'Raw Period DMR Data'!M:M, "&gt;0")&gt;0,_xlfn.MAXIFS('Raw Period DMR Data'!M:M,'Raw Period DMR Data'!$A:$A,'Raw Annual DMR Data'!B697,'Raw Period DMR Data'!C:C,'Raw Annual DMR Data'!X697), "N/A - Period DMR Data Not Available")</f>
        <v>N/A - Period DMR Data Not Available</v>
      </c>
      <c r="V697" s="28" t="str" cm="1">
        <f t="array" ref="V697">IFERROR(INDEX('Raw Period DMR Data'!N:N,MATCH(1,(B697='Raw Period DMR Data'!$A:$A)*(U697='Raw Period DMR Data'!M:M)*(X697='Raw Period DMR Data'!C:C),0),1), "N/A")</f>
        <v>N/A</v>
      </c>
      <c r="W697" s="28" t="s">
        <v>1463</v>
      </c>
      <c r="X697" s="28" t="s">
        <v>1898</v>
      </c>
      <c r="Y697" s="28" t="s">
        <v>1899</v>
      </c>
      <c r="Z697" s="302" t="s">
        <v>1900</v>
      </c>
      <c r="AA697" s="28"/>
      <c r="AB697" s="28" t="s">
        <v>1465</v>
      </c>
      <c r="AC697" s="28" t="s">
        <v>1466</v>
      </c>
    </row>
    <row r="698" spans="1:29" x14ac:dyDescent="0.25">
      <c r="A698" s="61">
        <v>110041145926</v>
      </c>
      <c r="B698" s="28">
        <v>2019</v>
      </c>
      <c r="C698" s="68">
        <f t="shared" si="10"/>
        <v>43466</v>
      </c>
      <c r="D698" s="28" t="s">
        <v>1179</v>
      </c>
      <c r="E698" s="28" t="s">
        <v>1897</v>
      </c>
      <c r="F698" s="28" t="s">
        <v>1180</v>
      </c>
      <c r="G698" s="28" t="s">
        <v>450</v>
      </c>
      <c r="H698" s="28">
        <v>13760</v>
      </c>
      <c r="I698" s="28">
        <v>42.107010000000002</v>
      </c>
      <c r="J698" s="28">
        <v>-76.051990000000004</v>
      </c>
      <c r="L698" s="61">
        <v>110041145926</v>
      </c>
      <c r="M698" s="28" t="s">
        <v>265</v>
      </c>
      <c r="N698" s="28">
        <v>3471</v>
      </c>
      <c r="O698" s="28" t="str">
        <f>IFERROR(VLOOKUP(N698, 'SIC &amp; NAICS Codes'!A:B, 2, FALSE), "")</f>
        <v>Electroplating, Plating, Polishing, Anodizing, and Coloring</v>
      </c>
      <c r="S698" s="28">
        <v>0.14769601697875001</v>
      </c>
      <c r="T698" s="315">
        <f>_xlfn.MAXIFS('Raw Period DMR Data'!$O:$O,'Raw Period DMR Data'!$A:$A,'Raw Annual DMR Data'!B698,'Raw Period DMR Data'!$C:$C,X698)/S698</f>
        <v>0</v>
      </c>
      <c r="U698" s="28" t="str">
        <f>+IF(COUNTIFS('Raw Period DMR Data'!$A:$A,B698, 'Raw Period DMR Data'!C:C,'Raw Annual DMR Data'!X698, 'Raw Period DMR Data'!M:M, "&gt;0")&gt;0,_xlfn.MAXIFS('Raw Period DMR Data'!M:M,'Raw Period DMR Data'!$A:$A,'Raw Annual DMR Data'!B698,'Raw Period DMR Data'!C:C,'Raw Annual DMR Data'!X698), "N/A - Period DMR Data Not Available")</f>
        <v>N/A - Period DMR Data Not Available</v>
      </c>
      <c r="V698" s="28" t="str" cm="1">
        <f t="array" ref="V698">IFERROR(INDEX('Raw Period DMR Data'!N:N,MATCH(1,(B698='Raw Period DMR Data'!$A:$A)*(U698='Raw Period DMR Data'!M:M)*(X698='Raw Period DMR Data'!C:C),0),1), "N/A")</f>
        <v>N/A</v>
      </c>
      <c r="W698" s="28" t="s">
        <v>1463</v>
      </c>
      <c r="X698" s="28" t="s">
        <v>1898</v>
      </c>
      <c r="Y698" s="28" t="s">
        <v>1899</v>
      </c>
      <c r="Z698" s="28">
        <v>2050103001134</v>
      </c>
      <c r="AA698" s="28"/>
      <c r="AB698" s="28" t="s">
        <v>1465</v>
      </c>
      <c r="AC698" s="28" t="s">
        <v>1466</v>
      </c>
    </row>
    <row r="699" spans="1:29" x14ac:dyDescent="0.25">
      <c r="A699" s="61">
        <v>110041145926</v>
      </c>
      <c r="B699" s="28">
        <v>2020</v>
      </c>
      <c r="C699" s="68">
        <f t="shared" si="10"/>
        <v>43831</v>
      </c>
      <c r="D699" s="28" t="s">
        <v>1179</v>
      </c>
      <c r="E699" s="28" t="s">
        <v>1897</v>
      </c>
      <c r="F699" s="28" t="s">
        <v>1180</v>
      </c>
      <c r="G699" s="28" t="s">
        <v>450</v>
      </c>
      <c r="H699" s="28">
        <v>13760</v>
      </c>
      <c r="I699" s="28">
        <v>42.107010000000002</v>
      </c>
      <c r="J699" s="28">
        <v>-76.051990000000004</v>
      </c>
      <c r="L699" s="61">
        <v>110041145926</v>
      </c>
      <c r="M699" s="28" t="s">
        <v>265</v>
      </c>
      <c r="N699" s="28">
        <v>3471</v>
      </c>
      <c r="O699" s="28" t="str">
        <f>IFERROR(VLOOKUP(N699, 'SIC &amp; NAICS Codes'!A:B, 2, FALSE), "")</f>
        <v>Electroplating, Plating, Polishing, Anodizing, and Coloring</v>
      </c>
      <c r="S699" s="28">
        <v>5.7027981877312499E-2</v>
      </c>
      <c r="T699" s="315">
        <f>_xlfn.MAXIFS('Raw Period DMR Data'!$O:$O,'Raw Period DMR Data'!$A:$A,'Raw Annual DMR Data'!B699,'Raw Period DMR Data'!$C:$C,X699)/S699</f>
        <v>0</v>
      </c>
      <c r="U699" s="28" t="str">
        <f>+IF(COUNTIFS('Raw Period DMR Data'!$A:$A,B699, 'Raw Period DMR Data'!C:C,'Raw Annual DMR Data'!X699, 'Raw Period DMR Data'!M:M, "&gt;0")&gt;0,_xlfn.MAXIFS('Raw Period DMR Data'!M:M,'Raw Period DMR Data'!$A:$A,'Raw Annual DMR Data'!B699,'Raw Period DMR Data'!C:C,'Raw Annual DMR Data'!X699), "N/A - Period DMR Data Not Available")</f>
        <v>N/A - Period DMR Data Not Available</v>
      </c>
      <c r="V699" s="28" t="str" cm="1">
        <f t="array" ref="V699">IFERROR(INDEX('Raw Period DMR Data'!N:N,MATCH(1,(B699='Raw Period DMR Data'!$A:$A)*(U699='Raw Period DMR Data'!M:M)*(X699='Raw Period DMR Data'!C:C),0),1), "N/A")</f>
        <v>N/A</v>
      </c>
      <c r="W699" s="28" t="s">
        <v>1463</v>
      </c>
      <c r="X699" s="28" t="s">
        <v>1898</v>
      </c>
      <c r="Y699" s="28" t="s">
        <v>1899</v>
      </c>
      <c r="Z699" s="28">
        <v>2050103001134</v>
      </c>
      <c r="AA699" s="28"/>
      <c r="AB699" s="28" t="s">
        <v>1465</v>
      </c>
      <c r="AC699" s="28" t="s">
        <v>1466</v>
      </c>
    </row>
    <row r="700" spans="1:29" x14ac:dyDescent="0.25">
      <c r="A700" s="61">
        <v>110000607772</v>
      </c>
      <c r="B700" s="28">
        <v>2015</v>
      </c>
      <c r="C700" s="68">
        <f t="shared" si="10"/>
        <v>42005</v>
      </c>
      <c r="D700" s="28" t="s">
        <v>163</v>
      </c>
      <c r="E700" s="28" t="s">
        <v>528</v>
      </c>
      <c r="F700" s="28" t="s">
        <v>529</v>
      </c>
      <c r="G700" s="28" t="s">
        <v>311</v>
      </c>
      <c r="H700" s="28" t="s">
        <v>530</v>
      </c>
      <c r="I700" s="28">
        <v>38.772219999999997</v>
      </c>
      <c r="J700" s="28">
        <v>-82.205560000000006</v>
      </c>
      <c r="K700" s="28" t="s">
        <v>531</v>
      </c>
      <c r="L700" s="61">
        <v>110000607772</v>
      </c>
      <c r="M700" s="28" t="s">
        <v>251</v>
      </c>
      <c r="N700" s="28">
        <v>2869</v>
      </c>
      <c r="O700" s="28" t="str">
        <f>IFERROR(VLOOKUP(N700, 'SIC &amp; NAICS Codes'!A:B, 2, FALSE), "")</f>
        <v>Industrial Organic Chemicals, NEC (aliphatics)</v>
      </c>
      <c r="S700" s="28">
        <v>6.6385487528344597E-2</v>
      </c>
      <c r="T700" s="315">
        <f>_xlfn.MAXIFS('Raw Period DMR Data'!$O:$O,'Raw Period DMR Data'!$A:$A,'Raw Annual DMR Data'!B700,'Raw Period DMR Data'!$C:$C,X700)/S700</f>
        <v>0</v>
      </c>
      <c r="U700" s="28" t="str">
        <f>+IF(COUNTIFS('Raw Period DMR Data'!$A:$A,B700, 'Raw Period DMR Data'!C:C,'Raw Annual DMR Data'!X700, 'Raw Period DMR Data'!M:M, "&gt;0")&gt;0,_xlfn.MAXIFS('Raw Period DMR Data'!M:M,'Raw Period DMR Data'!$A:$A,'Raw Annual DMR Data'!B700,'Raw Period DMR Data'!C:C,'Raw Annual DMR Data'!X700), "N/A - Period DMR Data Not Available")</f>
        <v>N/A - Period DMR Data Not Available</v>
      </c>
      <c r="V700" s="28" t="str" cm="1">
        <f t="array" ref="V700">IFERROR(INDEX('Raw Period DMR Data'!N:N,MATCH(1,(B700='Raw Period DMR Data'!$A:$A)*(U700='Raw Period DMR Data'!M:M)*(X700='Raw Period DMR Data'!C:C),0),1), "N/A")</f>
        <v>N/A</v>
      </c>
      <c r="W700" s="28" t="s">
        <v>1463</v>
      </c>
      <c r="X700" s="28" t="s">
        <v>885</v>
      </c>
      <c r="Y700" s="28" t="s">
        <v>830</v>
      </c>
      <c r="Z700" s="61">
        <v>5090101001861</v>
      </c>
    </row>
    <row r="701" spans="1:29" x14ac:dyDescent="0.25">
      <c r="A701" s="61">
        <v>110000607772</v>
      </c>
      <c r="B701" s="28">
        <v>2016</v>
      </c>
      <c r="C701" s="68">
        <f t="shared" si="10"/>
        <v>42370</v>
      </c>
      <c r="D701" s="28" t="s">
        <v>163</v>
      </c>
      <c r="E701" s="28" t="s">
        <v>528</v>
      </c>
      <c r="F701" s="28" t="s">
        <v>529</v>
      </c>
      <c r="G701" s="28" t="s">
        <v>311</v>
      </c>
      <c r="H701" s="28" t="s">
        <v>530</v>
      </c>
      <c r="I701" s="28">
        <v>38.772219999999997</v>
      </c>
      <c r="J701" s="28">
        <v>-82.205560000000006</v>
      </c>
      <c r="K701" s="28" t="s">
        <v>531</v>
      </c>
      <c r="L701" s="61">
        <v>110000607772</v>
      </c>
      <c r="M701" s="28" t="s">
        <v>251</v>
      </c>
      <c r="N701" s="28">
        <v>2869</v>
      </c>
      <c r="O701" s="28" t="str">
        <f>IFERROR(VLOOKUP(N701, 'SIC &amp; NAICS Codes'!A:B, 2, FALSE), "")</f>
        <v>Industrial Organic Chemicals, NEC (aliphatics)</v>
      </c>
      <c r="S701" s="28">
        <v>7.0469387755102003E-2</v>
      </c>
      <c r="T701" s="315">
        <f>_xlfn.MAXIFS('Raw Period DMR Data'!$O:$O,'Raw Period DMR Data'!$A:$A,'Raw Annual DMR Data'!B701,'Raw Period DMR Data'!$C:$C,X701)/S701</f>
        <v>0</v>
      </c>
      <c r="U701" s="28" t="str">
        <f>+IF(COUNTIFS('Raw Period DMR Data'!$A:$A,B701, 'Raw Period DMR Data'!C:C,'Raw Annual DMR Data'!X701, 'Raw Period DMR Data'!M:M, "&gt;0")&gt;0,_xlfn.MAXIFS('Raw Period DMR Data'!M:M,'Raw Period DMR Data'!$A:$A,'Raw Annual DMR Data'!B701,'Raw Period DMR Data'!C:C,'Raw Annual DMR Data'!X701), "N/A - Period DMR Data Not Available")</f>
        <v>N/A - Period DMR Data Not Available</v>
      </c>
      <c r="V701" s="28" t="str" cm="1">
        <f t="array" ref="V701">IFERROR(INDEX('Raw Period DMR Data'!N:N,MATCH(1,(B701='Raw Period DMR Data'!$A:$A)*(U701='Raw Period DMR Data'!M:M)*(X701='Raw Period DMR Data'!C:C),0),1), "N/A")</f>
        <v>N/A</v>
      </c>
      <c r="W701" s="28" t="s">
        <v>1463</v>
      </c>
      <c r="X701" s="28" t="s">
        <v>885</v>
      </c>
      <c r="Y701" s="28" t="s">
        <v>830</v>
      </c>
      <c r="Z701" s="61">
        <v>5090101001861</v>
      </c>
      <c r="AA701" s="28"/>
    </row>
    <row r="702" spans="1:29" x14ac:dyDescent="0.25">
      <c r="A702" s="61">
        <v>110000607772</v>
      </c>
      <c r="B702" s="28">
        <v>2017</v>
      </c>
      <c r="C702" s="68">
        <f t="shared" si="10"/>
        <v>42736</v>
      </c>
      <c r="D702" s="28" t="s">
        <v>163</v>
      </c>
      <c r="E702" s="28" t="s">
        <v>528</v>
      </c>
      <c r="F702" s="28" t="s">
        <v>529</v>
      </c>
      <c r="G702" s="28" t="s">
        <v>311</v>
      </c>
      <c r="H702" s="28" t="s">
        <v>530</v>
      </c>
      <c r="I702" s="28">
        <v>38.772219999999997</v>
      </c>
      <c r="J702" s="28">
        <v>-82.205560000000006</v>
      </c>
      <c r="K702" s="28" t="s">
        <v>531</v>
      </c>
      <c r="L702" s="61">
        <v>110000607772</v>
      </c>
      <c r="M702" s="28" t="s">
        <v>251</v>
      </c>
      <c r="N702" s="28">
        <v>2869</v>
      </c>
      <c r="O702" s="28" t="str">
        <f>IFERROR(VLOOKUP(N702, 'SIC &amp; NAICS Codes'!A:B, 2, FALSE), "")</f>
        <v>Industrial Organic Chemicals, NEC (aliphatics)</v>
      </c>
      <c r="S702" s="28">
        <v>3.8231292517006701E-2</v>
      </c>
      <c r="T702" s="315">
        <f>_xlfn.MAXIFS('Raw Period DMR Data'!$O:$O,'Raw Period DMR Data'!$A:$A,'Raw Annual DMR Data'!B702,'Raw Period DMR Data'!$C:$C,X702)/S702</f>
        <v>0</v>
      </c>
      <c r="U702" s="28" t="str">
        <f>+IF(COUNTIFS('Raw Period DMR Data'!$A:$A,B702, 'Raw Period DMR Data'!C:C,'Raw Annual DMR Data'!X702, 'Raw Period DMR Data'!M:M, "&gt;0")&gt;0,_xlfn.MAXIFS('Raw Period DMR Data'!M:M,'Raw Period DMR Data'!$A:$A,'Raw Annual DMR Data'!B702,'Raw Period DMR Data'!C:C,'Raw Annual DMR Data'!X702), "N/A - Period DMR Data Not Available")</f>
        <v>N/A - Period DMR Data Not Available</v>
      </c>
      <c r="V702" s="28" t="str" cm="1">
        <f t="array" ref="V702">IFERROR(INDEX('Raw Period DMR Data'!N:N,MATCH(1,(B702='Raw Period DMR Data'!$A:$A)*(U702='Raw Period DMR Data'!M:M)*(X702='Raw Period DMR Data'!C:C),0),1), "N/A")</f>
        <v>N/A</v>
      </c>
      <c r="W702" s="28" t="s">
        <v>1463</v>
      </c>
      <c r="X702" s="28" t="s">
        <v>885</v>
      </c>
      <c r="Y702" s="28" t="s">
        <v>830</v>
      </c>
      <c r="Z702" s="61">
        <v>5090101001861</v>
      </c>
      <c r="AA702" s="28"/>
    </row>
    <row r="703" spans="1:29" x14ac:dyDescent="0.25">
      <c r="A703" s="61">
        <v>110000607772</v>
      </c>
      <c r="B703" s="28">
        <v>2018</v>
      </c>
      <c r="C703" s="68">
        <f t="shared" si="10"/>
        <v>43101</v>
      </c>
      <c r="D703" s="28" t="s">
        <v>163</v>
      </c>
      <c r="E703" s="28" t="s">
        <v>528</v>
      </c>
      <c r="F703" s="28" t="s">
        <v>529</v>
      </c>
      <c r="G703" s="28" t="s">
        <v>311</v>
      </c>
      <c r="H703" s="28" t="s">
        <v>530</v>
      </c>
      <c r="I703" s="28">
        <v>38.772219999999997</v>
      </c>
      <c r="J703" s="28">
        <v>-82.205560000000006</v>
      </c>
      <c r="K703" s="28" t="s">
        <v>531</v>
      </c>
      <c r="L703" s="61">
        <v>110000607772</v>
      </c>
      <c r="M703" s="28" t="s">
        <v>251</v>
      </c>
      <c r="N703" s="28">
        <v>2869</v>
      </c>
      <c r="O703" s="28" t="str">
        <f>IFERROR(VLOOKUP(N703, 'SIC &amp; NAICS Codes'!A:B, 2, FALSE), "")</f>
        <v>Industrial Organic Chemicals, NEC (aliphatics)</v>
      </c>
      <c r="S703" s="28">
        <v>3.0263038548752799E-2</v>
      </c>
      <c r="T703" s="315">
        <f>_xlfn.MAXIFS('Raw Period DMR Data'!$O:$O,'Raw Period DMR Data'!$A:$A,'Raw Annual DMR Data'!B703,'Raw Period DMR Data'!$C:$C,X703)/S703</f>
        <v>0</v>
      </c>
      <c r="U703" s="28" t="str">
        <f>+IF(COUNTIFS('Raw Period DMR Data'!$A:$A,B703, 'Raw Period DMR Data'!C:C,'Raw Annual DMR Data'!X703, 'Raw Period DMR Data'!M:M, "&gt;0")&gt;0,_xlfn.MAXIFS('Raw Period DMR Data'!M:M,'Raw Period DMR Data'!$A:$A,'Raw Annual DMR Data'!B703,'Raw Period DMR Data'!C:C,'Raw Annual DMR Data'!X703), "N/A - Period DMR Data Not Available")</f>
        <v>N/A - Period DMR Data Not Available</v>
      </c>
      <c r="V703" s="28" t="str" cm="1">
        <f t="array" ref="V703">IFERROR(INDEX('Raw Period DMR Data'!N:N,MATCH(1,(B703='Raw Period DMR Data'!$A:$A)*(U703='Raw Period DMR Data'!M:M)*(X703='Raw Period DMR Data'!C:C),0),1), "N/A")</f>
        <v>N/A</v>
      </c>
      <c r="W703" s="28" t="s">
        <v>1463</v>
      </c>
      <c r="X703" s="28" t="s">
        <v>885</v>
      </c>
      <c r="Y703" s="28" t="s">
        <v>830</v>
      </c>
      <c r="Z703" s="61">
        <v>5090101001861</v>
      </c>
    </row>
    <row r="704" spans="1:29" x14ac:dyDescent="0.25">
      <c r="A704" s="61">
        <v>110000607772</v>
      </c>
      <c r="B704" s="28">
        <v>2019</v>
      </c>
      <c r="C704" s="68">
        <f t="shared" si="10"/>
        <v>43466</v>
      </c>
      <c r="D704" s="28" t="s">
        <v>163</v>
      </c>
      <c r="E704" s="28" t="s">
        <v>528</v>
      </c>
      <c r="F704" s="28" t="s">
        <v>529</v>
      </c>
      <c r="G704" s="28" t="s">
        <v>311</v>
      </c>
      <c r="H704" s="28" t="s">
        <v>530</v>
      </c>
      <c r="I704" s="28">
        <v>38.772219999999997</v>
      </c>
      <c r="J704" s="28">
        <v>-82.205560000000006</v>
      </c>
      <c r="K704" s="28" t="s">
        <v>531</v>
      </c>
      <c r="L704" s="61">
        <v>110000607772</v>
      </c>
      <c r="M704" s="28" t="s">
        <v>251</v>
      </c>
      <c r="N704" s="28">
        <v>2869</v>
      </c>
      <c r="O704" s="28" t="str">
        <f>IFERROR(VLOOKUP(N704, 'SIC &amp; NAICS Codes'!A:B, 2, FALSE), "")</f>
        <v>Industrial Organic Chemicals, NEC (aliphatics)</v>
      </c>
      <c r="S704" s="28">
        <v>0.82587301587301498</v>
      </c>
      <c r="T704" s="315">
        <f>_xlfn.MAXIFS('Raw Period DMR Data'!$O:$O,'Raw Period DMR Data'!$A:$A,'Raw Annual DMR Data'!B704,'Raw Period DMR Data'!$C:$C,X704)/S704</f>
        <v>0</v>
      </c>
      <c r="U704" s="28" t="str">
        <f>+IF(COUNTIFS('Raw Period DMR Data'!$A:$A,B704, 'Raw Period DMR Data'!C:C,'Raw Annual DMR Data'!X704, 'Raw Period DMR Data'!M:M, "&gt;0")&gt;0,_xlfn.MAXIFS('Raw Period DMR Data'!M:M,'Raw Period DMR Data'!$A:$A,'Raw Annual DMR Data'!B704,'Raw Period DMR Data'!C:C,'Raw Annual DMR Data'!X704), "N/A - Period DMR Data Not Available")</f>
        <v>N/A - Period DMR Data Not Available</v>
      </c>
      <c r="V704" s="28" t="str" cm="1">
        <f t="array" ref="V704">IFERROR(INDEX('Raw Period DMR Data'!N:N,MATCH(1,(B704='Raw Period DMR Data'!$A:$A)*(U704='Raw Period DMR Data'!M:M)*(X704='Raw Period DMR Data'!C:C),0),1), "N/A")</f>
        <v>N/A</v>
      </c>
      <c r="W704" s="28" t="s">
        <v>1463</v>
      </c>
      <c r="X704" s="28" t="s">
        <v>885</v>
      </c>
      <c r="Y704" s="28" t="s">
        <v>830</v>
      </c>
      <c r="Z704" s="61">
        <v>5090101001861</v>
      </c>
    </row>
    <row r="705" spans="1:29" x14ac:dyDescent="0.25">
      <c r="A705" s="61">
        <v>110000607772</v>
      </c>
      <c r="B705" s="28">
        <v>2020</v>
      </c>
      <c r="C705" s="68">
        <f t="shared" si="10"/>
        <v>43831</v>
      </c>
      <c r="D705" s="28" t="s">
        <v>163</v>
      </c>
      <c r="E705" s="28" t="s">
        <v>528</v>
      </c>
      <c r="F705" s="28" t="s">
        <v>529</v>
      </c>
      <c r="G705" s="28" t="s">
        <v>311</v>
      </c>
      <c r="H705" s="28" t="s">
        <v>530</v>
      </c>
      <c r="I705" s="28">
        <v>38.772219999999997</v>
      </c>
      <c r="J705" s="28">
        <v>-82.205560000000006</v>
      </c>
      <c r="K705" s="28" t="s">
        <v>531</v>
      </c>
      <c r="L705" s="61">
        <v>110000607772</v>
      </c>
      <c r="M705" s="28" t="s">
        <v>251</v>
      </c>
      <c r="N705" s="28">
        <v>2869</v>
      </c>
      <c r="O705" s="28" t="str">
        <f>IFERROR(VLOOKUP(N705, 'SIC &amp; NAICS Codes'!A:B, 2, FALSE), "")</f>
        <v>Industrial Organic Chemicals, NEC (aliphatics)</v>
      </c>
      <c r="S705" s="28">
        <v>0.14979591836734599</v>
      </c>
      <c r="T705" s="315">
        <f>_xlfn.MAXIFS('Raw Period DMR Data'!$O:$O,'Raw Period DMR Data'!$A:$A,'Raw Annual DMR Data'!B705,'Raw Period DMR Data'!$C:$C,X705)/S705</f>
        <v>0</v>
      </c>
      <c r="U705" s="28" t="str">
        <f>+IF(COUNTIFS('Raw Period DMR Data'!$A:$A,B705, 'Raw Period DMR Data'!C:C,'Raw Annual DMR Data'!X705, 'Raw Period DMR Data'!M:M, "&gt;0")&gt;0,_xlfn.MAXIFS('Raw Period DMR Data'!M:M,'Raw Period DMR Data'!$A:$A,'Raw Annual DMR Data'!B705,'Raw Period DMR Data'!C:C,'Raw Annual DMR Data'!X705), "N/A - Period DMR Data Not Available")</f>
        <v>N/A - Period DMR Data Not Available</v>
      </c>
      <c r="V705" s="28" t="str" cm="1">
        <f t="array" ref="V705">IFERROR(INDEX('Raw Period DMR Data'!N:N,MATCH(1,(B705='Raw Period DMR Data'!$A:$A)*(U705='Raw Period DMR Data'!M:M)*(X705='Raw Period DMR Data'!C:C),0),1), "N/A")</f>
        <v>N/A</v>
      </c>
      <c r="W705" s="28" t="s">
        <v>1463</v>
      </c>
      <c r="X705" s="28" t="s">
        <v>885</v>
      </c>
      <c r="Y705" s="28" t="s">
        <v>830</v>
      </c>
      <c r="Z705" s="61">
        <v>5090101001861</v>
      </c>
    </row>
    <row r="706" spans="1:29" x14ac:dyDescent="0.25">
      <c r="A706" s="61">
        <v>110070220480</v>
      </c>
      <c r="B706" s="28">
        <v>2018</v>
      </c>
      <c r="C706" s="68">
        <f t="shared" si="10"/>
        <v>43101</v>
      </c>
      <c r="D706" s="28" t="s">
        <v>164</v>
      </c>
      <c r="E706" s="28" t="s">
        <v>532</v>
      </c>
      <c r="F706" s="28" t="s">
        <v>533</v>
      </c>
      <c r="G706" s="28" t="s">
        <v>338</v>
      </c>
      <c r="H706" s="28">
        <v>7002</v>
      </c>
      <c r="I706" s="28">
        <v>40.650120999999999</v>
      </c>
      <c r="J706" s="28">
        <v>-74.095578000000003</v>
      </c>
      <c r="L706" s="61">
        <v>110070220480</v>
      </c>
      <c r="M706" s="28" t="s">
        <v>252</v>
      </c>
      <c r="N706" s="28">
        <v>4226</v>
      </c>
      <c r="O706" s="28" t="str">
        <f>IFERROR(VLOOKUP(N706, 'SIC &amp; NAICS Codes'!A:B, 2, FALSE), "")</f>
        <v>Special Warehousing and Storage, NEC (warehousing in foreign trade zones)</v>
      </c>
      <c r="S706" s="28">
        <v>3.1680449999999902E-9</v>
      </c>
      <c r="T706" s="315">
        <f>_xlfn.MAXIFS('Raw Period DMR Data'!$O:$O,'Raw Period DMR Data'!$A:$A,'Raw Annual DMR Data'!B706,'Raw Period DMR Data'!$C:$C,X706)/S706</f>
        <v>0</v>
      </c>
      <c r="U706" s="28" t="str">
        <f>+IF(COUNTIFS('Raw Period DMR Data'!$A:$A,B706, 'Raw Period DMR Data'!C:C,'Raw Annual DMR Data'!X706, 'Raw Period DMR Data'!M:M, "&gt;0")&gt;0,_xlfn.MAXIFS('Raw Period DMR Data'!M:M,'Raw Period DMR Data'!$A:$A,'Raw Annual DMR Data'!B706,'Raw Period DMR Data'!C:C,'Raw Annual DMR Data'!X706), "N/A - Period DMR Data Not Available")</f>
        <v>N/A - Period DMR Data Not Available</v>
      </c>
      <c r="V706" s="28" t="str" cm="1">
        <f t="array" ref="V706">IFERROR(INDEX('Raw Period DMR Data'!N:N,MATCH(1,(B706='Raw Period DMR Data'!$A:$A)*(U706='Raw Period DMR Data'!M:M)*(X706='Raw Period DMR Data'!C:C),0),1), "N/A")</f>
        <v>N/A</v>
      </c>
      <c r="W706" s="28" t="s">
        <v>1463</v>
      </c>
      <c r="X706" s="28" t="s">
        <v>886</v>
      </c>
      <c r="Y706" s="28" t="s">
        <v>887</v>
      </c>
      <c r="Z706" s="61">
        <v>2030104000585</v>
      </c>
      <c r="AA706" s="60" t="s">
        <v>1694</v>
      </c>
    </row>
    <row r="707" spans="1:29" x14ac:dyDescent="0.25">
      <c r="A707" s="61">
        <v>110070220480</v>
      </c>
      <c r="B707" s="28">
        <v>2018</v>
      </c>
      <c r="C707" s="68">
        <f t="shared" ref="C707:C770" si="11">DATE(B707, 1, 1)</f>
        <v>43101</v>
      </c>
      <c r="D707" s="28" t="s">
        <v>164</v>
      </c>
      <c r="E707" s="28" t="s">
        <v>532</v>
      </c>
      <c r="F707" s="28" t="s">
        <v>533</v>
      </c>
      <c r="G707" s="28" t="s">
        <v>338</v>
      </c>
      <c r="H707" s="302" t="s">
        <v>1901</v>
      </c>
      <c r="I707" s="28">
        <v>40.650120999999999</v>
      </c>
      <c r="J707" s="28">
        <v>-74.095578000000003</v>
      </c>
      <c r="L707" s="61">
        <v>110070220480</v>
      </c>
      <c r="M707" s="28" t="s">
        <v>252</v>
      </c>
      <c r="N707" s="28">
        <v>4226</v>
      </c>
      <c r="O707" s="28" t="str">
        <f>IFERROR(VLOOKUP(N707, 'SIC &amp; NAICS Codes'!A:B, 2, FALSE), "")</f>
        <v>Special Warehousing and Storage, NEC (warehousing in foreign trade zones)</v>
      </c>
      <c r="S707" s="302">
        <v>3.14736266991999E-3</v>
      </c>
      <c r="T707" s="315">
        <f>_xlfn.MAXIFS('Raw Period DMR Data'!$O:$O,'Raw Period DMR Data'!$A:$A,'Raw Annual DMR Data'!B707,'Raw Period DMR Data'!$C:$C,X707)/S707</f>
        <v>0</v>
      </c>
      <c r="U707" s="28" t="str">
        <f>+IF(COUNTIFS('Raw Period DMR Data'!$A:$A,B707, 'Raw Period DMR Data'!C:C,'Raw Annual DMR Data'!X707, 'Raw Period DMR Data'!M:M, "&gt;0")&gt;0,_xlfn.MAXIFS('Raw Period DMR Data'!M:M,'Raw Period DMR Data'!$A:$A,'Raw Annual DMR Data'!B707,'Raw Period DMR Data'!C:C,'Raw Annual DMR Data'!X707), "N/A - Period DMR Data Not Available")</f>
        <v>N/A - Period DMR Data Not Available</v>
      </c>
      <c r="V707" s="28" t="str" cm="1">
        <f t="array" ref="V707">IFERROR(INDEX('Raw Period DMR Data'!N:N,MATCH(1,(B707='Raw Period DMR Data'!$A:$A)*(U707='Raw Period DMR Data'!M:M)*(X707='Raw Period DMR Data'!C:C),0),1), "N/A")</f>
        <v>N/A</v>
      </c>
      <c r="W707" s="28" t="s">
        <v>1463</v>
      </c>
      <c r="X707" s="28" t="s">
        <v>886</v>
      </c>
      <c r="Y707" s="28" t="s">
        <v>887</v>
      </c>
      <c r="Z707" s="302" t="s">
        <v>1902</v>
      </c>
      <c r="AA707" s="28"/>
      <c r="AB707" s="28" t="s">
        <v>1465</v>
      </c>
      <c r="AC707" s="28" t="s">
        <v>1466</v>
      </c>
    </row>
    <row r="708" spans="1:29" x14ac:dyDescent="0.25">
      <c r="A708" s="61">
        <v>110018199377</v>
      </c>
      <c r="B708" s="28">
        <v>2015</v>
      </c>
      <c r="C708" s="68">
        <f t="shared" si="11"/>
        <v>42005</v>
      </c>
      <c r="D708" s="28" t="s">
        <v>1181</v>
      </c>
      <c r="E708" s="28" t="s">
        <v>1903</v>
      </c>
      <c r="F708" s="28" t="s">
        <v>1182</v>
      </c>
      <c r="G708" s="28" t="s">
        <v>345</v>
      </c>
      <c r="H708" s="28">
        <v>60439</v>
      </c>
      <c r="I708" s="28">
        <v>41.692782000000001</v>
      </c>
      <c r="J708" s="28">
        <v>-87.951100999999994</v>
      </c>
      <c r="L708" s="61">
        <v>110018199377</v>
      </c>
      <c r="M708" s="28" t="s">
        <v>265</v>
      </c>
      <c r="N708" s="28">
        <v>4226</v>
      </c>
      <c r="O708" s="28" t="str">
        <f>IFERROR(VLOOKUP(N708, 'SIC &amp; NAICS Codes'!A:B, 2, FALSE), "")</f>
        <v>Special Warehousing and Storage, NEC (warehousing in foreign trade zones)</v>
      </c>
      <c r="S708" s="28">
        <v>1.3641234625000001</v>
      </c>
      <c r="T708" s="315">
        <f>_xlfn.MAXIFS('Raw Period DMR Data'!$O:$O,'Raw Period DMR Data'!$A:$A,'Raw Annual DMR Data'!B708,'Raw Period DMR Data'!$C:$C,X708)/S708</f>
        <v>0</v>
      </c>
      <c r="U708" s="28" t="str">
        <f>+IF(COUNTIFS('Raw Period DMR Data'!$A:$A,B708, 'Raw Period DMR Data'!C:C,'Raw Annual DMR Data'!X708, 'Raw Period DMR Data'!M:M, "&gt;0")&gt;0,_xlfn.MAXIFS('Raw Period DMR Data'!M:M,'Raw Period DMR Data'!$A:$A,'Raw Annual DMR Data'!B708,'Raw Period DMR Data'!C:C,'Raw Annual DMR Data'!X708), "N/A - Period DMR Data Not Available")</f>
        <v>N/A - Period DMR Data Not Available</v>
      </c>
      <c r="V708" s="28" t="str" cm="1">
        <f t="array" ref="V708">IFERROR(INDEX('Raw Period DMR Data'!N:N,MATCH(1,(B708='Raw Period DMR Data'!$A:$A)*(U708='Raw Period DMR Data'!M:M)*(X708='Raw Period DMR Data'!C:C),0),1), "N/A")</f>
        <v>N/A</v>
      </c>
      <c r="W708" s="28" t="s">
        <v>1463</v>
      </c>
      <c r="X708" s="28" t="s">
        <v>1904</v>
      </c>
      <c r="Y708" s="28" t="s">
        <v>1905</v>
      </c>
      <c r="Z708" s="28">
        <v>7120004000954</v>
      </c>
      <c r="AA708" s="28"/>
      <c r="AB708" s="28" t="s">
        <v>1465</v>
      </c>
      <c r="AC708" s="28" t="s">
        <v>1466</v>
      </c>
    </row>
    <row r="709" spans="1:29" x14ac:dyDescent="0.25">
      <c r="A709" s="61">
        <v>110018199377</v>
      </c>
      <c r="B709" s="28">
        <v>2016</v>
      </c>
      <c r="C709" s="68">
        <f t="shared" si="11"/>
        <v>42370</v>
      </c>
      <c r="D709" s="28" t="s">
        <v>1181</v>
      </c>
      <c r="E709" s="28" t="s">
        <v>1903</v>
      </c>
      <c r="F709" s="28" t="s">
        <v>1182</v>
      </c>
      <c r="G709" s="28" t="s">
        <v>345</v>
      </c>
      <c r="H709" s="28">
        <v>60439</v>
      </c>
      <c r="I709" s="28">
        <v>41.692782000000001</v>
      </c>
      <c r="J709" s="28">
        <v>-87.951100999999994</v>
      </c>
      <c r="L709" s="61">
        <v>110018199377</v>
      </c>
      <c r="M709" s="28" t="s">
        <v>265</v>
      </c>
      <c r="N709" s="28">
        <v>4226</v>
      </c>
      <c r="O709" s="28" t="str">
        <f>IFERROR(VLOOKUP(N709, 'SIC &amp; NAICS Codes'!A:B, 2, FALSE), "")</f>
        <v>Special Warehousing and Storage, NEC (warehousing in foreign trade zones)</v>
      </c>
      <c r="S709" s="28">
        <v>1.3293866249999999</v>
      </c>
      <c r="T709" s="315">
        <f>_xlfn.MAXIFS('Raw Period DMR Data'!$O:$O,'Raw Period DMR Data'!$A:$A,'Raw Annual DMR Data'!B709,'Raw Period DMR Data'!$C:$C,X709)/S709</f>
        <v>0</v>
      </c>
      <c r="U709" s="28" t="str">
        <f>+IF(COUNTIFS('Raw Period DMR Data'!$A:$A,B709, 'Raw Period DMR Data'!C:C,'Raw Annual DMR Data'!X709, 'Raw Period DMR Data'!M:M, "&gt;0")&gt;0,_xlfn.MAXIFS('Raw Period DMR Data'!M:M,'Raw Period DMR Data'!$A:$A,'Raw Annual DMR Data'!B709,'Raw Period DMR Data'!C:C,'Raw Annual DMR Data'!X709), "N/A - Period DMR Data Not Available")</f>
        <v>N/A - Period DMR Data Not Available</v>
      </c>
      <c r="V709" s="28" t="str" cm="1">
        <f t="array" ref="V709">IFERROR(INDEX('Raw Period DMR Data'!N:N,MATCH(1,(B709='Raw Period DMR Data'!$A:$A)*(U709='Raw Period DMR Data'!M:M)*(X709='Raw Period DMR Data'!C:C),0),1), "N/A")</f>
        <v>N/A</v>
      </c>
      <c r="W709" s="28" t="s">
        <v>1463</v>
      </c>
      <c r="X709" s="28" t="s">
        <v>1904</v>
      </c>
      <c r="Y709" s="28" t="s">
        <v>1905</v>
      </c>
      <c r="Z709" s="28">
        <v>7120004000954</v>
      </c>
      <c r="AA709" s="28"/>
      <c r="AB709" s="28" t="s">
        <v>1465</v>
      </c>
      <c r="AC709" s="28" t="s">
        <v>1466</v>
      </c>
    </row>
    <row r="710" spans="1:29" x14ac:dyDescent="0.25">
      <c r="A710" s="61">
        <v>110018199377</v>
      </c>
      <c r="B710" s="28">
        <v>2017</v>
      </c>
      <c r="C710" s="68">
        <f t="shared" si="11"/>
        <v>42736</v>
      </c>
      <c r="D710" s="28" t="s">
        <v>1181</v>
      </c>
      <c r="E710" s="28" t="s">
        <v>1903</v>
      </c>
      <c r="F710" s="28" t="s">
        <v>1182</v>
      </c>
      <c r="G710" s="28" t="s">
        <v>345</v>
      </c>
      <c r="H710" s="28">
        <v>60439</v>
      </c>
      <c r="I710" s="28">
        <v>41.692782000000001</v>
      </c>
      <c r="J710" s="28">
        <v>-87.951100999999994</v>
      </c>
      <c r="L710" s="61">
        <v>110018199377</v>
      </c>
      <c r="M710" s="28" t="s">
        <v>265</v>
      </c>
      <c r="N710" s="28">
        <v>4226</v>
      </c>
      <c r="O710" s="28" t="str">
        <f>IFERROR(VLOOKUP(N710, 'SIC &amp; NAICS Codes'!A:B, 2, FALSE), "")</f>
        <v>Special Warehousing and Storage, NEC (warehousing in foreign trade zones)</v>
      </c>
      <c r="S710" s="28">
        <v>2.0652852500000001</v>
      </c>
      <c r="T710" s="315">
        <f>_xlfn.MAXIFS('Raw Period DMR Data'!$O:$O,'Raw Period DMR Data'!$A:$A,'Raw Annual DMR Data'!B710,'Raw Period DMR Data'!$C:$C,X710)/S710</f>
        <v>0</v>
      </c>
      <c r="U710" s="28" t="str">
        <f>+IF(COUNTIFS('Raw Period DMR Data'!$A:$A,B710, 'Raw Period DMR Data'!C:C,'Raw Annual DMR Data'!X710, 'Raw Period DMR Data'!M:M, "&gt;0")&gt;0,_xlfn.MAXIFS('Raw Period DMR Data'!M:M,'Raw Period DMR Data'!$A:$A,'Raw Annual DMR Data'!B710,'Raw Period DMR Data'!C:C,'Raw Annual DMR Data'!X710), "N/A - Period DMR Data Not Available")</f>
        <v>N/A - Period DMR Data Not Available</v>
      </c>
      <c r="V710" s="28" t="str" cm="1">
        <f t="array" ref="V710">IFERROR(INDEX('Raw Period DMR Data'!N:N,MATCH(1,(B710='Raw Period DMR Data'!$A:$A)*(U710='Raw Period DMR Data'!M:M)*(X710='Raw Period DMR Data'!C:C),0),1), "N/A")</f>
        <v>N/A</v>
      </c>
      <c r="W710" s="28" t="s">
        <v>1463</v>
      </c>
      <c r="X710" s="28" t="s">
        <v>1904</v>
      </c>
      <c r="Y710" s="28" t="s">
        <v>1905</v>
      </c>
      <c r="Z710" s="28">
        <v>7120004000954</v>
      </c>
      <c r="AA710" s="28"/>
      <c r="AB710" s="28" t="s">
        <v>1465</v>
      </c>
      <c r="AC710" s="28" t="s">
        <v>1466</v>
      </c>
    </row>
    <row r="711" spans="1:29" x14ac:dyDescent="0.25">
      <c r="A711" s="61">
        <v>110018199377</v>
      </c>
      <c r="B711" s="28">
        <v>2018</v>
      </c>
      <c r="C711" s="68">
        <f t="shared" si="11"/>
        <v>43101</v>
      </c>
      <c r="D711" s="28" t="s">
        <v>1181</v>
      </c>
      <c r="E711" s="28" t="s">
        <v>1903</v>
      </c>
      <c r="F711" s="28" t="s">
        <v>1182</v>
      </c>
      <c r="G711" s="28" t="s">
        <v>345</v>
      </c>
      <c r="H711" s="28">
        <v>60439</v>
      </c>
      <c r="I711" s="28">
        <v>41.692782000000001</v>
      </c>
      <c r="J711" s="28">
        <v>-87.951100999999994</v>
      </c>
      <c r="L711" s="61">
        <v>110018199377</v>
      </c>
      <c r="M711" s="28" t="s">
        <v>265</v>
      </c>
      <c r="N711" s="28">
        <v>4226</v>
      </c>
      <c r="O711" s="28" t="str">
        <f>IFERROR(VLOOKUP(N711, 'SIC &amp; NAICS Codes'!A:B, 2, FALSE), "")</f>
        <v>Special Warehousing and Storage, NEC (warehousing in foreign trade zones)</v>
      </c>
      <c r="S711" s="28">
        <v>2.7112901250000001</v>
      </c>
      <c r="T711" s="315">
        <f>_xlfn.MAXIFS('Raw Period DMR Data'!$O:$O,'Raw Period DMR Data'!$A:$A,'Raw Annual DMR Data'!B711,'Raw Period DMR Data'!$C:$C,X711)/S711</f>
        <v>0</v>
      </c>
      <c r="U711" s="28" t="str">
        <f>+IF(COUNTIFS('Raw Period DMR Data'!$A:$A,B711, 'Raw Period DMR Data'!C:C,'Raw Annual DMR Data'!X711, 'Raw Period DMR Data'!M:M, "&gt;0")&gt;0,_xlfn.MAXIFS('Raw Period DMR Data'!M:M,'Raw Period DMR Data'!$A:$A,'Raw Annual DMR Data'!B711,'Raw Period DMR Data'!C:C,'Raw Annual DMR Data'!X711), "N/A - Period DMR Data Not Available")</f>
        <v>N/A - Period DMR Data Not Available</v>
      </c>
      <c r="V711" s="28" t="str" cm="1">
        <f t="array" ref="V711">IFERROR(INDEX('Raw Period DMR Data'!N:N,MATCH(1,(B711='Raw Period DMR Data'!$A:$A)*(U711='Raw Period DMR Data'!M:M)*(X711='Raw Period DMR Data'!C:C),0),1), "N/A")</f>
        <v>N/A</v>
      </c>
      <c r="W711" s="28" t="s">
        <v>1463</v>
      </c>
      <c r="X711" s="28" t="s">
        <v>1904</v>
      </c>
      <c r="Y711" s="28" t="s">
        <v>1905</v>
      </c>
      <c r="Z711" s="302" t="s">
        <v>1906</v>
      </c>
      <c r="AA711" s="28"/>
      <c r="AB711" s="28" t="s">
        <v>1465</v>
      </c>
      <c r="AC711" s="28" t="s">
        <v>1466</v>
      </c>
    </row>
    <row r="712" spans="1:29" x14ac:dyDescent="0.25">
      <c r="A712" s="61">
        <v>110018199377</v>
      </c>
      <c r="B712" s="28">
        <v>2019</v>
      </c>
      <c r="C712" s="68">
        <f t="shared" si="11"/>
        <v>43466</v>
      </c>
      <c r="D712" s="28" t="s">
        <v>1181</v>
      </c>
      <c r="E712" s="28" t="s">
        <v>1903</v>
      </c>
      <c r="F712" s="28" t="s">
        <v>1182</v>
      </c>
      <c r="G712" s="28" t="s">
        <v>345</v>
      </c>
      <c r="H712" s="28">
        <v>60439</v>
      </c>
      <c r="I712" s="28">
        <v>41.692782000000001</v>
      </c>
      <c r="J712" s="28">
        <v>-87.951100999999994</v>
      </c>
      <c r="L712" s="61">
        <v>110018199377</v>
      </c>
      <c r="M712" s="28" t="s">
        <v>265</v>
      </c>
      <c r="N712" s="28">
        <v>4226</v>
      </c>
      <c r="O712" s="28" t="str">
        <f>IFERROR(VLOOKUP(N712, 'SIC &amp; NAICS Codes'!A:B, 2, FALSE), "")</f>
        <v>Special Warehousing and Storage, NEC (warehousing in foreign trade zones)</v>
      </c>
      <c r="S712" s="28">
        <v>2.9448246249999999</v>
      </c>
      <c r="T712" s="315">
        <f>_xlfn.MAXIFS('Raw Period DMR Data'!$O:$O,'Raw Period DMR Data'!$A:$A,'Raw Annual DMR Data'!B712,'Raw Period DMR Data'!$C:$C,X712)/S712</f>
        <v>0</v>
      </c>
      <c r="U712" s="28" t="str">
        <f>+IF(COUNTIFS('Raw Period DMR Data'!$A:$A,B712, 'Raw Period DMR Data'!C:C,'Raw Annual DMR Data'!X712, 'Raw Period DMR Data'!M:M, "&gt;0")&gt;0,_xlfn.MAXIFS('Raw Period DMR Data'!M:M,'Raw Period DMR Data'!$A:$A,'Raw Annual DMR Data'!B712,'Raw Period DMR Data'!C:C,'Raw Annual DMR Data'!X712), "N/A - Period DMR Data Not Available")</f>
        <v>N/A - Period DMR Data Not Available</v>
      </c>
      <c r="V712" s="28" t="str" cm="1">
        <f t="array" ref="V712">IFERROR(INDEX('Raw Period DMR Data'!N:N,MATCH(1,(B712='Raw Period DMR Data'!$A:$A)*(U712='Raw Period DMR Data'!M:M)*(X712='Raw Period DMR Data'!C:C),0),1), "N/A")</f>
        <v>N/A</v>
      </c>
      <c r="W712" s="28" t="s">
        <v>1463</v>
      </c>
      <c r="X712" s="28" t="s">
        <v>1904</v>
      </c>
      <c r="Y712" s="28" t="s">
        <v>1905</v>
      </c>
      <c r="Z712" s="28">
        <v>7120004000954</v>
      </c>
      <c r="AA712" s="28"/>
      <c r="AB712" s="28" t="s">
        <v>1465</v>
      </c>
      <c r="AC712" s="28" t="s">
        <v>1466</v>
      </c>
    </row>
    <row r="713" spans="1:29" x14ac:dyDescent="0.25">
      <c r="A713" s="61">
        <v>110018199377</v>
      </c>
      <c r="B713" s="28">
        <v>2020</v>
      </c>
      <c r="C713" s="68">
        <f t="shared" si="11"/>
        <v>43831</v>
      </c>
      <c r="D713" s="28" t="s">
        <v>1181</v>
      </c>
      <c r="E713" s="28" t="s">
        <v>1903</v>
      </c>
      <c r="F713" s="28" t="s">
        <v>1182</v>
      </c>
      <c r="G713" s="28" t="s">
        <v>345</v>
      </c>
      <c r="H713" s="28">
        <v>60439</v>
      </c>
      <c r="I713" s="28">
        <v>41.692782000000001</v>
      </c>
      <c r="J713" s="28">
        <v>-87.951100999999994</v>
      </c>
      <c r="L713" s="61">
        <v>110018199377</v>
      </c>
      <c r="M713" s="28" t="s">
        <v>265</v>
      </c>
      <c r="N713" s="28">
        <v>4226</v>
      </c>
      <c r="O713" s="28" t="str">
        <f>IFERROR(VLOOKUP(N713, 'SIC &amp; NAICS Codes'!A:B, 2, FALSE), "")</f>
        <v>Special Warehousing and Storage, NEC (warehousing in foreign trade zones)</v>
      </c>
      <c r="S713" s="28">
        <v>1.6779662</v>
      </c>
      <c r="T713" s="315">
        <f>_xlfn.MAXIFS('Raw Period DMR Data'!$O:$O,'Raw Period DMR Data'!$A:$A,'Raw Annual DMR Data'!B713,'Raw Period DMR Data'!$C:$C,X713)/S713</f>
        <v>0</v>
      </c>
      <c r="U713" s="28" t="str">
        <f>+IF(COUNTIFS('Raw Period DMR Data'!$A:$A,B713, 'Raw Period DMR Data'!C:C,'Raw Annual DMR Data'!X713, 'Raw Period DMR Data'!M:M, "&gt;0")&gt;0,_xlfn.MAXIFS('Raw Period DMR Data'!M:M,'Raw Period DMR Data'!$A:$A,'Raw Annual DMR Data'!B713,'Raw Period DMR Data'!C:C,'Raw Annual DMR Data'!X713), "N/A - Period DMR Data Not Available")</f>
        <v>N/A - Period DMR Data Not Available</v>
      </c>
      <c r="V713" s="28" t="str" cm="1">
        <f t="array" ref="V713">IFERROR(INDEX('Raw Period DMR Data'!N:N,MATCH(1,(B713='Raw Period DMR Data'!$A:$A)*(U713='Raw Period DMR Data'!M:M)*(X713='Raw Period DMR Data'!C:C),0),1), "N/A")</f>
        <v>N/A</v>
      </c>
      <c r="W713" s="28" t="s">
        <v>1463</v>
      </c>
      <c r="X713" s="28" t="s">
        <v>1904</v>
      </c>
      <c r="Y713" s="28" t="s">
        <v>1905</v>
      </c>
      <c r="Z713" s="28">
        <v>7120004000954</v>
      </c>
      <c r="AA713" s="28"/>
      <c r="AB713" s="28" t="s">
        <v>1465</v>
      </c>
      <c r="AC713" s="28" t="s">
        <v>1466</v>
      </c>
    </row>
    <row r="714" spans="1:29" x14ac:dyDescent="0.25">
      <c r="A714" s="61">
        <v>110000748040</v>
      </c>
      <c r="B714" s="28">
        <v>2016</v>
      </c>
      <c r="C714" s="68">
        <f t="shared" si="11"/>
        <v>42370</v>
      </c>
      <c r="D714" s="28" t="s">
        <v>1907</v>
      </c>
      <c r="E714" s="28" t="s">
        <v>534</v>
      </c>
      <c r="F714" s="28" t="s">
        <v>446</v>
      </c>
      <c r="G714" s="28" t="s">
        <v>303</v>
      </c>
      <c r="H714" s="28">
        <v>70669</v>
      </c>
      <c r="I714" s="28">
        <v>30.190567999999999</v>
      </c>
      <c r="J714" s="28">
        <v>-93.325823</v>
      </c>
      <c r="K714" s="28" t="s">
        <v>536</v>
      </c>
      <c r="L714" s="61">
        <v>110000748040</v>
      </c>
      <c r="M714" s="28" t="s">
        <v>265</v>
      </c>
      <c r="N714" s="28">
        <v>2869</v>
      </c>
      <c r="O714" s="28" t="str">
        <f>IFERROR(VLOOKUP(N714, 'SIC &amp; NAICS Codes'!A:B, 2, FALSE), "")</f>
        <v>Industrial Organic Chemicals, NEC (aliphatics)</v>
      </c>
      <c r="S714" s="28">
        <v>6.5300050125000004E-3</v>
      </c>
      <c r="T714" s="315">
        <f>_xlfn.MAXIFS('Raw Period DMR Data'!$O:$O,'Raw Period DMR Data'!$A:$A,'Raw Annual DMR Data'!B714,'Raw Period DMR Data'!$C:$C,X714)/S714</f>
        <v>0</v>
      </c>
      <c r="U714" s="28" t="str">
        <f>+IF(COUNTIFS('Raw Period DMR Data'!$A:$A,B714, 'Raw Period DMR Data'!C:C,'Raw Annual DMR Data'!X714, 'Raw Period DMR Data'!M:M, "&gt;0")&gt;0,_xlfn.MAXIFS('Raw Period DMR Data'!M:M,'Raw Period DMR Data'!$A:$A,'Raw Annual DMR Data'!B714,'Raw Period DMR Data'!C:C,'Raw Annual DMR Data'!X714), "N/A - Period DMR Data Not Available")</f>
        <v>N/A - Period DMR Data Not Available</v>
      </c>
      <c r="V714" s="28" t="str" cm="1">
        <f t="array" ref="V714">IFERROR(INDEX('Raw Period DMR Data'!N:N,MATCH(1,(B714='Raw Period DMR Data'!$A:$A)*(U714='Raw Period DMR Data'!M:M)*(X714='Raw Period DMR Data'!C:C),0),1), "N/A")</f>
        <v>N/A</v>
      </c>
      <c r="W714" s="28" t="s">
        <v>1463</v>
      </c>
      <c r="X714" s="28" t="s">
        <v>888</v>
      </c>
      <c r="Y714" s="28" t="s">
        <v>889</v>
      </c>
      <c r="Z714" s="28">
        <v>8080206000067</v>
      </c>
      <c r="AA714" s="28"/>
      <c r="AB714" s="28" t="s">
        <v>1465</v>
      </c>
      <c r="AC714" s="28" t="s">
        <v>1466</v>
      </c>
    </row>
    <row r="715" spans="1:29" x14ac:dyDescent="0.25">
      <c r="A715" s="61">
        <v>110000748040</v>
      </c>
      <c r="B715" s="28">
        <v>2018</v>
      </c>
      <c r="C715" s="68">
        <f t="shared" si="11"/>
        <v>43101</v>
      </c>
      <c r="D715" s="28" t="s">
        <v>1907</v>
      </c>
      <c r="E715" s="28" t="s">
        <v>534</v>
      </c>
      <c r="F715" s="28" t="s">
        <v>446</v>
      </c>
      <c r="G715" s="28" t="s">
        <v>303</v>
      </c>
      <c r="H715" s="28">
        <v>70669</v>
      </c>
      <c r="I715" s="28">
        <v>30.190567999999999</v>
      </c>
      <c r="J715" s="28">
        <v>-93.325823</v>
      </c>
      <c r="K715" s="28" t="s">
        <v>536</v>
      </c>
      <c r="L715" s="61">
        <v>110000748040</v>
      </c>
      <c r="M715" s="28" t="s">
        <v>265</v>
      </c>
      <c r="N715" s="28">
        <v>2869</v>
      </c>
      <c r="O715" s="28" t="str">
        <f>IFERROR(VLOOKUP(N715, 'SIC &amp; NAICS Codes'!A:B, 2, FALSE), "")</f>
        <v>Industrial Organic Chemicals, NEC (aliphatics)</v>
      </c>
      <c r="S715" s="302">
        <v>3.0871882086167699</v>
      </c>
      <c r="T715" s="315">
        <f>_xlfn.MAXIFS('Raw Period DMR Data'!$O:$O,'Raw Period DMR Data'!$A:$A,'Raw Annual DMR Data'!B715,'Raw Period DMR Data'!$C:$C,X715)/S715</f>
        <v>0</v>
      </c>
      <c r="U715" s="28" t="str">
        <f>+IF(COUNTIFS('Raw Period DMR Data'!$A:$A,B715, 'Raw Period DMR Data'!C:C,'Raw Annual DMR Data'!X715, 'Raw Period DMR Data'!M:M, "&gt;0")&gt;0,_xlfn.MAXIFS('Raw Period DMR Data'!M:M,'Raw Period DMR Data'!$A:$A,'Raw Annual DMR Data'!B715,'Raw Period DMR Data'!C:C,'Raw Annual DMR Data'!X715), "N/A - Period DMR Data Not Available")</f>
        <v>N/A - Period DMR Data Not Available</v>
      </c>
      <c r="V715" s="28" t="str" cm="1">
        <f t="array" ref="V715">IFERROR(INDEX('Raw Period DMR Data'!N:N,MATCH(1,(B715='Raw Period DMR Data'!$A:$A)*(U715='Raw Period DMR Data'!M:M)*(X715='Raw Period DMR Data'!C:C),0),1), "N/A")</f>
        <v>N/A</v>
      </c>
      <c r="W715" s="28" t="s">
        <v>1463</v>
      </c>
      <c r="X715" s="28" t="s">
        <v>888</v>
      </c>
      <c r="Y715" s="28" t="s">
        <v>889</v>
      </c>
      <c r="Z715" s="302" t="s">
        <v>1908</v>
      </c>
      <c r="AA715" s="28"/>
      <c r="AB715" s="28" t="s">
        <v>1465</v>
      </c>
      <c r="AC715" s="28" t="s">
        <v>1466</v>
      </c>
    </row>
    <row r="716" spans="1:29" x14ac:dyDescent="0.25">
      <c r="A716" s="61">
        <v>110000748040</v>
      </c>
      <c r="B716" s="28">
        <v>2015</v>
      </c>
      <c r="C716" s="68">
        <f t="shared" si="11"/>
        <v>42005</v>
      </c>
      <c r="D716" s="28" t="s">
        <v>165</v>
      </c>
      <c r="E716" s="28" t="s">
        <v>534</v>
      </c>
      <c r="F716" s="28" t="s">
        <v>535</v>
      </c>
      <c r="G716" s="28" t="s">
        <v>303</v>
      </c>
      <c r="H716" s="28">
        <v>70665</v>
      </c>
      <c r="I716" s="28">
        <v>30.190567999999999</v>
      </c>
      <c r="J716" s="28">
        <v>-93.325823</v>
      </c>
      <c r="K716" s="28" t="s">
        <v>536</v>
      </c>
      <c r="L716" s="61">
        <v>110000748040</v>
      </c>
      <c r="M716" s="28" t="s">
        <v>251</v>
      </c>
      <c r="N716" s="28">
        <v>2869</v>
      </c>
      <c r="O716" s="28" t="str">
        <f>IFERROR(VLOOKUP(N716, 'SIC &amp; NAICS Codes'!A:B, 2, FALSE), "")</f>
        <v>Industrial Organic Chemicals, NEC (aliphatics)</v>
      </c>
      <c r="S716" s="28">
        <v>4.8353375000000001E-3</v>
      </c>
      <c r="T716" s="315">
        <f>_xlfn.MAXIFS('Raw Period DMR Data'!$O:$O,'Raw Period DMR Data'!$A:$A,'Raw Annual DMR Data'!B716,'Raw Period DMR Data'!$C:$C,X716)/S716</f>
        <v>0</v>
      </c>
      <c r="U716" s="28" t="str">
        <f>+IF(COUNTIFS('Raw Period DMR Data'!$A:$A,B716, 'Raw Period DMR Data'!C:C,'Raw Annual DMR Data'!X716, 'Raw Period DMR Data'!M:M, "&gt;0")&gt;0,_xlfn.MAXIFS('Raw Period DMR Data'!M:M,'Raw Period DMR Data'!$A:$A,'Raw Annual DMR Data'!B716,'Raw Period DMR Data'!C:C,'Raw Annual DMR Data'!X716), "N/A - Period DMR Data Not Available")</f>
        <v>N/A - Period DMR Data Not Available</v>
      </c>
      <c r="V716" s="28" t="str" cm="1">
        <f t="array" ref="V716">IFERROR(INDEX('Raw Period DMR Data'!N:N,MATCH(1,(B716='Raw Period DMR Data'!$A:$A)*(U716='Raw Period DMR Data'!M:M)*(X716='Raw Period DMR Data'!C:C),0),1), "N/A")</f>
        <v>N/A</v>
      </c>
      <c r="W716" s="28" t="s">
        <v>1463</v>
      </c>
      <c r="X716" s="28" t="s">
        <v>888</v>
      </c>
      <c r="Y716" s="28" t="s">
        <v>889</v>
      </c>
      <c r="Z716" s="61">
        <v>8080206000067</v>
      </c>
    </row>
    <row r="717" spans="1:29" x14ac:dyDescent="0.25">
      <c r="A717" s="61">
        <v>110000748040</v>
      </c>
      <c r="B717" s="28">
        <v>2016</v>
      </c>
      <c r="C717" s="68">
        <f t="shared" si="11"/>
        <v>42370</v>
      </c>
      <c r="D717" s="28" t="s">
        <v>165</v>
      </c>
      <c r="E717" s="28" t="s">
        <v>534</v>
      </c>
      <c r="F717" s="28" t="s">
        <v>535</v>
      </c>
      <c r="G717" s="28" t="s">
        <v>303</v>
      </c>
      <c r="H717" s="28">
        <v>70665</v>
      </c>
      <c r="I717" s="28">
        <v>30.190567999999999</v>
      </c>
      <c r="J717" s="28">
        <v>-93.325823</v>
      </c>
      <c r="K717" s="28" t="s">
        <v>536</v>
      </c>
      <c r="L717" s="61">
        <v>110000748040</v>
      </c>
      <c r="M717" s="28" t="s">
        <v>251</v>
      </c>
      <c r="N717" s="28">
        <v>2869</v>
      </c>
      <c r="O717" s="28" t="str">
        <f>IFERROR(VLOOKUP(N717, 'SIC &amp; NAICS Codes'!A:B, 2, FALSE), "")</f>
        <v>Industrial Organic Chemicals, NEC (aliphatics)</v>
      </c>
      <c r="S717" s="28">
        <v>4.6754212499999998E-4</v>
      </c>
      <c r="T717" s="315">
        <f>_xlfn.MAXIFS('Raw Period DMR Data'!$O:$O,'Raw Period DMR Data'!$A:$A,'Raw Annual DMR Data'!B717,'Raw Period DMR Data'!$C:$C,X717)/S717</f>
        <v>0</v>
      </c>
      <c r="U717" s="28" t="str">
        <f>+IF(COUNTIFS('Raw Period DMR Data'!$A:$A,B717, 'Raw Period DMR Data'!C:C,'Raw Annual DMR Data'!X717, 'Raw Period DMR Data'!M:M, "&gt;0")&gt;0,_xlfn.MAXIFS('Raw Period DMR Data'!M:M,'Raw Period DMR Data'!$A:$A,'Raw Annual DMR Data'!B717,'Raw Period DMR Data'!C:C,'Raw Annual DMR Data'!X717), "N/A - Period DMR Data Not Available")</f>
        <v>N/A - Period DMR Data Not Available</v>
      </c>
      <c r="V717" s="28" t="str" cm="1">
        <f t="array" ref="V717">IFERROR(INDEX('Raw Period DMR Data'!N:N,MATCH(1,(B717='Raw Period DMR Data'!$A:$A)*(U717='Raw Period DMR Data'!M:M)*(X717='Raw Period DMR Data'!C:C),0),1), "N/A")</f>
        <v>N/A</v>
      </c>
      <c r="W717" s="28" t="s">
        <v>1463</v>
      </c>
      <c r="X717" s="28" t="s">
        <v>888</v>
      </c>
      <c r="Y717" s="28" t="s">
        <v>889</v>
      </c>
      <c r="Z717" s="61">
        <v>8080206000067</v>
      </c>
      <c r="AA717" s="28"/>
    </row>
    <row r="718" spans="1:29" x14ac:dyDescent="0.25">
      <c r="A718" s="61">
        <v>110000748040</v>
      </c>
      <c r="B718" s="28">
        <v>2017</v>
      </c>
      <c r="C718" s="68">
        <f t="shared" si="11"/>
        <v>42736</v>
      </c>
      <c r="D718" s="28" t="s">
        <v>165</v>
      </c>
      <c r="E718" s="28" t="s">
        <v>534</v>
      </c>
      <c r="F718" s="28" t="s">
        <v>535</v>
      </c>
      <c r="G718" s="28" t="s">
        <v>303</v>
      </c>
      <c r="H718" s="28">
        <v>70665</v>
      </c>
      <c r="I718" s="28">
        <v>30.190567999999999</v>
      </c>
      <c r="J718" s="28">
        <v>-93.325823</v>
      </c>
      <c r="K718" s="28" t="s">
        <v>536</v>
      </c>
      <c r="L718" s="61">
        <v>110000748040</v>
      </c>
      <c r="M718" s="28" t="s">
        <v>251</v>
      </c>
      <c r="N718" s="28">
        <v>2869</v>
      </c>
      <c r="O718" s="28" t="str">
        <f>IFERROR(VLOOKUP(N718, 'SIC &amp; NAICS Codes'!A:B, 2, FALSE), "")</f>
        <v>Industrial Organic Chemicals, NEC (aliphatics)</v>
      </c>
      <c r="S718" s="28">
        <v>0.43038548752834399</v>
      </c>
      <c r="T718" s="315">
        <f>_xlfn.MAXIFS('Raw Period DMR Data'!$O:$O,'Raw Period DMR Data'!$A:$A,'Raw Annual DMR Data'!B718,'Raw Period DMR Data'!$C:$C,X718)/S718</f>
        <v>0</v>
      </c>
      <c r="U718" s="28" t="str">
        <f>+IF(COUNTIFS('Raw Period DMR Data'!$A:$A,B718, 'Raw Period DMR Data'!C:C,'Raw Annual DMR Data'!X718, 'Raw Period DMR Data'!M:M, "&gt;0")&gt;0,_xlfn.MAXIFS('Raw Period DMR Data'!M:M,'Raw Period DMR Data'!$A:$A,'Raw Annual DMR Data'!B718,'Raw Period DMR Data'!C:C,'Raw Annual DMR Data'!X718), "N/A - Period DMR Data Not Available")</f>
        <v>N/A - Period DMR Data Not Available</v>
      </c>
      <c r="V718" s="28" t="str" cm="1">
        <f t="array" ref="V718">IFERROR(INDEX('Raw Period DMR Data'!N:N,MATCH(1,(B718='Raw Period DMR Data'!$A:$A)*(U718='Raw Period DMR Data'!M:M)*(X718='Raw Period DMR Data'!C:C),0),1), "N/A")</f>
        <v>N/A</v>
      </c>
      <c r="W718" s="28" t="s">
        <v>1463</v>
      </c>
      <c r="X718" s="28" t="s">
        <v>888</v>
      </c>
      <c r="Y718" s="28" t="s">
        <v>889</v>
      </c>
      <c r="Z718" s="61">
        <v>8080206000067</v>
      </c>
      <c r="AA718" s="28"/>
    </row>
    <row r="719" spans="1:29" x14ac:dyDescent="0.25">
      <c r="A719" s="61">
        <v>110063004528</v>
      </c>
      <c r="B719" s="28">
        <v>2015</v>
      </c>
      <c r="C719" s="68">
        <f t="shared" si="11"/>
        <v>42005</v>
      </c>
      <c r="D719" s="28" t="s">
        <v>1183</v>
      </c>
      <c r="E719" s="28" t="s">
        <v>377</v>
      </c>
      <c r="F719" s="28" t="s">
        <v>480</v>
      </c>
      <c r="G719" s="28" t="s">
        <v>362</v>
      </c>
      <c r="H719" s="28">
        <v>77978</v>
      </c>
      <c r="I719" s="28">
        <v>28.642944</v>
      </c>
      <c r="J719" s="28">
        <v>-96.547611000000003</v>
      </c>
      <c r="L719" s="61">
        <v>110063004528</v>
      </c>
      <c r="M719" s="28" t="s">
        <v>252</v>
      </c>
      <c r="N719" s="28">
        <v>4491</v>
      </c>
      <c r="O719" s="28" t="str">
        <f>IFERROR(VLOOKUP(N719, 'SIC &amp; NAICS Codes'!A:B, 2, FALSE), "")</f>
        <v>Marine Cargo Handling (dock and pier operations)</v>
      </c>
      <c r="S719" s="28">
        <v>8.2600055000000006E-2</v>
      </c>
      <c r="T719" s="315">
        <f>_xlfn.MAXIFS('Raw Period DMR Data'!$O:$O,'Raw Period DMR Data'!$A:$A,'Raw Annual DMR Data'!B719,'Raw Period DMR Data'!$C:$C,X719)/S719</f>
        <v>0</v>
      </c>
      <c r="U719" s="28" t="str">
        <f>+IF(COUNTIFS('Raw Period DMR Data'!$A:$A,B719, 'Raw Period DMR Data'!C:C,'Raw Annual DMR Data'!X719, 'Raw Period DMR Data'!M:M, "&gt;0")&gt;0,_xlfn.MAXIFS('Raw Period DMR Data'!M:M,'Raw Period DMR Data'!$A:$A,'Raw Annual DMR Data'!B719,'Raw Period DMR Data'!C:C,'Raw Annual DMR Data'!X719), "N/A - Period DMR Data Not Available")</f>
        <v>N/A - Period DMR Data Not Available</v>
      </c>
      <c r="V719" s="28" t="str" cm="1">
        <f t="array" ref="V719">IFERROR(INDEX('Raw Period DMR Data'!N:N,MATCH(1,(B719='Raw Period DMR Data'!$A:$A)*(U719='Raw Period DMR Data'!M:M)*(X719='Raw Period DMR Data'!C:C),0),1), "N/A")</f>
        <v>N/A</v>
      </c>
      <c r="W719" s="28" t="s">
        <v>1463</v>
      </c>
      <c r="X719" s="28" t="s">
        <v>804</v>
      </c>
      <c r="Y719" s="28" t="s">
        <v>805</v>
      </c>
      <c r="Z719" s="28">
        <v>12100401000758</v>
      </c>
      <c r="AA719" s="28"/>
      <c r="AB719" s="28" t="s">
        <v>1465</v>
      </c>
      <c r="AC719" s="28" t="s">
        <v>1466</v>
      </c>
    </row>
    <row r="720" spans="1:29" x14ac:dyDescent="0.25">
      <c r="A720" s="61">
        <v>110063004528</v>
      </c>
      <c r="B720" s="28">
        <v>2016</v>
      </c>
      <c r="C720" s="68">
        <f t="shared" si="11"/>
        <v>42370</v>
      </c>
      <c r="D720" s="28" t="s">
        <v>1183</v>
      </c>
      <c r="E720" s="28" t="s">
        <v>377</v>
      </c>
      <c r="F720" s="28" t="s">
        <v>480</v>
      </c>
      <c r="G720" s="28" t="s">
        <v>362</v>
      </c>
      <c r="H720" s="28">
        <v>77978</v>
      </c>
      <c r="I720" s="28">
        <v>28.642944</v>
      </c>
      <c r="J720" s="28">
        <v>-96.547611000000003</v>
      </c>
      <c r="L720" s="61">
        <v>110063004528</v>
      </c>
      <c r="M720" s="28" t="s">
        <v>252</v>
      </c>
      <c r="N720" s="28">
        <v>4491</v>
      </c>
      <c r="O720" s="28" t="str">
        <f>IFERROR(VLOOKUP(N720, 'SIC &amp; NAICS Codes'!A:B, 2, FALSE), "")</f>
        <v>Marine Cargo Handling (dock and pier operations)</v>
      </c>
      <c r="S720" s="28">
        <v>14.816855625000001</v>
      </c>
      <c r="T720" s="315">
        <f>_xlfn.MAXIFS('Raw Period DMR Data'!$O:$O,'Raw Period DMR Data'!$A:$A,'Raw Annual DMR Data'!B720,'Raw Period DMR Data'!$C:$C,X720)/S720</f>
        <v>0</v>
      </c>
      <c r="U720" s="28" t="str">
        <f>+IF(COUNTIFS('Raw Period DMR Data'!$A:$A,B720, 'Raw Period DMR Data'!C:C,'Raw Annual DMR Data'!X720, 'Raw Period DMR Data'!M:M, "&gt;0")&gt;0,_xlfn.MAXIFS('Raw Period DMR Data'!M:M,'Raw Period DMR Data'!$A:$A,'Raw Annual DMR Data'!B720,'Raw Period DMR Data'!C:C,'Raw Annual DMR Data'!X720), "N/A - Period DMR Data Not Available")</f>
        <v>N/A - Period DMR Data Not Available</v>
      </c>
      <c r="V720" s="28" t="str" cm="1">
        <f t="array" ref="V720">IFERROR(INDEX('Raw Period DMR Data'!N:N,MATCH(1,(B720='Raw Period DMR Data'!$A:$A)*(U720='Raw Period DMR Data'!M:M)*(X720='Raw Period DMR Data'!C:C),0),1), "N/A")</f>
        <v>N/A</v>
      </c>
      <c r="W720" s="28" t="s">
        <v>1463</v>
      </c>
      <c r="X720" s="28" t="s">
        <v>804</v>
      </c>
      <c r="Y720" s="28" t="s">
        <v>805</v>
      </c>
      <c r="Z720" s="28">
        <v>12100401000758</v>
      </c>
      <c r="AA720" s="28"/>
      <c r="AB720" s="28" t="s">
        <v>1465</v>
      </c>
      <c r="AC720" s="28" t="s">
        <v>1466</v>
      </c>
    </row>
    <row r="721" spans="1:29" x14ac:dyDescent="0.25">
      <c r="A721" s="61">
        <v>110063004528</v>
      </c>
      <c r="B721" s="28">
        <v>2017</v>
      </c>
      <c r="C721" s="68">
        <f t="shared" si="11"/>
        <v>42736</v>
      </c>
      <c r="D721" s="28" t="s">
        <v>1183</v>
      </c>
      <c r="E721" s="28" t="s">
        <v>377</v>
      </c>
      <c r="F721" s="28" t="s">
        <v>480</v>
      </c>
      <c r="G721" s="28" t="s">
        <v>362</v>
      </c>
      <c r="H721" s="28">
        <v>77978</v>
      </c>
      <c r="I721" s="28">
        <v>28.642944</v>
      </c>
      <c r="J721" s="28">
        <v>-96.547611000000003</v>
      </c>
      <c r="L721" s="61">
        <v>110063004528</v>
      </c>
      <c r="M721" s="28" t="s">
        <v>252</v>
      </c>
      <c r="N721" s="28">
        <v>4491</v>
      </c>
      <c r="O721" s="28" t="str">
        <f>IFERROR(VLOOKUP(N721, 'SIC &amp; NAICS Codes'!A:B, 2, FALSE), "")</f>
        <v>Marine Cargo Handling (dock and pier operations)</v>
      </c>
      <c r="S721" s="28">
        <v>0.2010668457</v>
      </c>
      <c r="T721" s="315">
        <f>_xlfn.MAXIFS('Raw Period DMR Data'!$O:$O,'Raw Period DMR Data'!$A:$A,'Raw Annual DMR Data'!B721,'Raw Period DMR Data'!$C:$C,X721)/S721</f>
        <v>0</v>
      </c>
      <c r="U721" s="28" t="str">
        <f>+IF(COUNTIFS('Raw Period DMR Data'!$A:$A,B721, 'Raw Period DMR Data'!C:C,'Raw Annual DMR Data'!X721, 'Raw Period DMR Data'!M:M, "&gt;0")&gt;0,_xlfn.MAXIFS('Raw Period DMR Data'!M:M,'Raw Period DMR Data'!$A:$A,'Raw Annual DMR Data'!B721,'Raw Period DMR Data'!C:C,'Raw Annual DMR Data'!X721), "N/A - Period DMR Data Not Available")</f>
        <v>N/A - Period DMR Data Not Available</v>
      </c>
      <c r="V721" s="28" t="str" cm="1">
        <f t="array" ref="V721">IFERROR(INDEX('Raw Period DMR Data'!N:N,MATCH(1,(B721='Raw Period DMR Data'!$A:$A)*(U721='Raw Period DMR Data'!M:M)*(X721='Raw Period DMR Data'!C:C),0),1), "N/A")</f>
        <v>N/A</v>
      </c>
      <c r="W721" s="28" t="s">
        <v>1463</v>
      </c>
      <c r="X721" s="28" t="s">
        <v>804</v>
      </c>
      <c r="Y721" s="28" t="s">
        <v>805</v>
      </c>
      <c r="Z721" s="28">
        <v>12100401000758</v>
      </c>
      <c r="AA721" s="28"/>
      <c r="AB721" s="28" t="s">
        <v>1465</v>
      </c>
      <c r="AC721" s="28" t="s">
        <v>1466</v>
      </c>
    </row>
    <row r="722" spans="1:29" x14ac:dyDescent="0.25">
      <c r="A722" s="61">
        <v>110063004528</v>
      </c>
      <c r="B722" s="28">
        <v>2018</v>
      </c>
      <c r="C722" s="68">
        <f t="shared" si="11"/>
        <v>43101</v>
      </c>
      <c r="D722" s="28" t="s">
        <v>1183</v>
      </c>
      <c r="E722" s="28" t="s">
        <v>377</v>
      </c>
      <c r="F722" s="28" t="s">
        <v>480</v>
      </c>
      <c r="G722" s="28" t="s">
        <v>362</v>
      </c>
      <c r="H722" s="28">
        <v>77978</v>
      </c>
      <c r="I722" s="28">
        <v>28.642944</v>
      </c>
      <c r="J722" s="28">
        <v>-96.547611000000003</v>
      </c>
      <c r="L722" s="61">
        <v>110063004528</v>
      </c>
      <c r="M722" s="28" t="s">
        <v>252</v>
      </c>
      <c r="N722" s="28">
        <v>4491</v>
      </c>
      <c r="O722" s="28" t="str">
        <f>IFERROR(VLOOKUP(N722, 'SIC &amp; NAICS Codes'!A:B, 2, FALSE), "")</f>
        <v>Marine Cargo Handling (dock and pier operations)</v>
      </c>
      <c r="S722" s="28">
        <v>0.35910187500000001</v>
      </c>
      <c r="T722" s="315">
        <f>_xlfn.MAXIFS('Raw Period DMR Data'!$O:$O,'Raw Period DMR Data'!$A:$A,'Raw Annual DMR Data'!B722,'Raw Period DMR Data'!$C:$C,X722)/S722</f>
        <v>0</v>
      </c>
      <c r="U722" s="28" t="str">
        <f>+IF(COUNTIFS('Raw Period DMR Data'!$A:$A,B722, 'Raw Period DMR Data'!C:C,'Raw Annual DMR Data'!X722, 'Raw Period DMR Data'!M:M, "&gt;0")&gt;0,_xlfn.MAXIFS('Raw Period DMR Data'!M:M,'Raw Period DMR Data'!$A:$A,'Raw Annual DMR Data'!B722,'Raw Period DMR Data'!C:C,'Raw Annual DMR Data'!X722), "N/A - Period DMR Data Not Available")</f>
        <v>N/A - Period DMR Data Not Available</v>
      </c>
      <c r="V722" s="28" t="str" cm="1">
        <f t="array" ref="V722">IFERROR(INDEX('Raw Period DMR Data'!N:N,MATCH(1,(B722='Raw Period DMR Data'!$A:$A)*(U722='Raw Period DMR Data'!M:M)*(X722='Raw Period DMR Data'!C:C),0),1), "N/A")</f>
        <v>N/A</v>
      </c>
      <c r="W722" s="28" t="s">
        <v>1463</v>
      </c>
      <c r="X722" s="28" t="s">
        <v>804</v>
      </c>
      <c r="Y722" s="28" t="s">
        <v>805</v>
      </c>
      <c r="Z722" s="28">
        <v>12100401000758</v>
      </c>
      <c r="AA722" s="28"/>
      <c r="AB722" s="28" t="s">
        <v>1465</v>
      </c>
      <c r="AC722" s="28" t="s">
        <v>1466</v>
      </c>
    </row>
    <row r="723" spans="1:29" x14ac:dyDescent="0.25">
      <c r="A723" s="61">
        <v>110063004528</v>
      </c>
      <c r="B723" s="28">
        <v>2019</v>
      </c>
      <c r="C723" s="68">
        <f t="shared" si="11"/>
        <v>43466</v>
      </c>
      <c r="D723" s="28" t="s">
        <v>1183</v>
      </c>
      <c r="E723" s="28" t="s">
        <v>377</v>
      </c>
      <c r="F723" s="28" t="s">
        <v>480</v>
      </c>
      <c r="G723" s="28" t="s">
        <v>362</v>
      </c>
      <c r="H723" s="28">
        <v>77978</v>
      </c>
      <c r="I723" s="28">
        <v>28.642944</v>
      </c>
      <c r="J723" s="28">
        <v>-96.547611000000003</v>
      </c>
      <c r="L723" s="61">
        <v>110063004528</v>
      </c>
      <c r="M723" s="28" t="s">
        <v>252</v>
      </c>
      <c r="N723" s="28">
        <v>4491</v>
      </c>
      <c r="O723" s="28" t="str">
        <f>IFERROR(VLOOKUP(N723, 'SIC &amp; NAICS Codes'!A:B, 2, FALSE), "")</f>
        <v>Marine Cargo Handling (dock and pier operations)</v>
      </c>
      <c r="S723" s="28">
        <v>6.5813579999999998E-3</v>
      </c>
      <c r="T723" s="315">
        <f>_xlfn.MAXIFS('Raw Period DMR Data'!$O:$O,'Raw Period DMR Data'!$A:$A,'Raw Annual DMR Data'!B723,'Raw Period DMR Data'!$C:$C,X723)/S723</f>
        <v>0</v>
      </c>
      <c r="U723" s="28" t="str">
        <f>+IF(COUNTIFS('Raw Period DMR Data'!$A:$A,B723, 'Raw Period DMR Data'!C:C,'Raw Annual DMR Data'!X723, 'Raw Period DMR Data'!M:M, "&gt;0")&gt;0,_xlfn.MAXIFS('Raw Period DMR Data'!M:M,'Raw Period DMR Data'!$A:$A,'Raw Annual DMR Data'!B723,'Raw Period DMR Data'!C:C,'Raw Annual DMR Data'!X723), "N/A - Period DMR Data Not Available")</f>
        <v>N/A - Period DMR Data Not Available</v>
      </c>
      <c r="V723" s="28" t="str" cm="1">
        <f t="array" ref="V723">IFERROR(INDEX('Raw Period DMR Data'!N:N,MATCH(1,(B723='Raw Period DMR Data'!$A:$A)*(U723='Raw Period DMR Data'!M:M)*(X723='Raw Period DMR Data'!C:C),0),1), "N/A")</f>
        <v>N/A</v>
      </c>
      <c r="W723" s="28" t="s">
        <v>1463</v>
      </c>
      <c r="X723" s="28" t="s">
        <v>804</v>
      </c>
      <c r="Y723" s="28" t="s">
        <v>805</v>
      </c>
      <c r="Z723" s="28">
        <v>12100401000758</v>
      </c>
      <c r="AA723" s="28"/>
      <c r="AB723" s="28" t="s">
        <v>1465</v>
      </c>
      <c r="AC723" s="28" t="s">
        <v>1466</v>
      </c>
    </row>
    <row r="724" spans="1:29" x14ac:dyDescent="0.25">
      <c r="A724" s="61">
        <v>110063004528</v>
      </c>
      <c r="B724" s="28">
        <v>2020</v>
      </c>
      <c r="C724" s="68">
        <f t="shared" si="11"/>
        <v>43831</v>
      </c>
      <c r="D724" s="28" t="s">
        <v>1183</v>
      </c>
      <c r="E724" s="28" t="s">
        <v>377</v>
      </c>
      <c r="F724" s="28" t="s">
        <v>480</v>
      </c>
      <c r="G724" s="28" t="s">
        <v>362</v>
      </c>
      <c r="H724" s="28">
        <v>77978</v>
      </c>
      <c r="I724" s="28">
        <v>28.642944</v>
      </c>
      <c r="J724" s="28">
        <v>-96.547611000000003</v>
      </c>
      <c r="L724" s="61">
        <v>110063004528</v>
      </c>
      <c r="M724" s="28" t="s">
        <v>252</v>
      </c>
      <c r="N724" s="28">
        <v>4491</v>
      </c>
      <c r="O724" s="28" t="str">
        <f>IFERROR(VLOOKUP(N724, 'SIC &amp; NAICS Codes'!A:B, 2, FALSE), "")</f>
        <v>Marine Cargo Handling (dock and pier operations)</v>
      </c>
      <c r="S724" s="28">
        <v>0.14030409838999999</v>
      </c>
      <c r="T724" s="315">
        <f>_xlfn.MAXIFS('Raw Period DMR Data'!$O:$O,'Raw Period DMR Data'!$A:$A,'Raw Annual DMR Data'!B724,'Raw Period DMR Data'!$C:$C,X724)/S724</f>
        <v>0</v>
      </c>
      <c r="U724" s="28" t="str">
        <f>+IF(COUNTIFS('Raw Period DMR Data'!$A:$A,B724, 'Raw Period DMR Data'!C:C,'Raw Annual DMR Data'!X724, 'Raw Period DMR Data'!M:M, "&gt;0")&gt;0,_xlfn.MAXIFS('Raw Period DMR Data'!M:M,'Raw Period DMR Data'!$A:$A,'Raw Annual DMR Data'!B724,'Raw Period DMR Data'!C:C,'Raw Annual DMR Data'!X724), "N/A - Period DMR Data Not Available")</f>
        <v>N/A - Period DMR Data Not Available</v>
      </c>
      <c r="V724" s="28" t="str" cm="1">
        <f t="array" ref="V724">IFERROR(INDEX('Raw Period DMR Data'!N:N,MATCH(1,(B724='Raw Period DMR Data'!$A:$A)*(U724='Raw Period DMR Data'!M:M)*(X724='Raw Period DMR Data'!C:C),0),1), "N/A")</f>
        <v>N/A</v>
      </c>
      <c r="W724" s="28" t="s">
        <v>1463</v>
      </c>
      <c r="X724" s="28" t="s">
        <v>804</v>
      </c>
      <c r="Y724" s="28" t="s">
        <v>805</v>
      </c>
      <c r="Z724" s="28">
        <v>12100401000758</v>
      </c>
      <c r="AA724" s="28"/>
      <c r="AB724" s="28" t="s">
        <v>1465</v>
      </c>
      <c r="AC724" s="28" t="s">
        <v>1466</v>
      </c>
    </row>
    <row r="725" spans="1:29" x14ac:dyDescent="0.25">
      <c r="A725" s="61">
        <v>110003363351</v>
      </c>
      <c r="B725" s="28">
        <v>2016</v>
      </c>
      <c r="C725" s="68">
        <f t="shared" si="11"/>
        <v>42370</v>
      </c>
      <c r="D725" s="28" t="s">
        <v>1184</v>
      </c>
      <c r="E725" s="28" t="s">
        <v>1909</v>
      </c>
      <c r="F725" s="28" t="s">
        <v>500</v>
      </c>
      <c r="G725" s="28" t="s">
        <v>303</v>
      </c>
      <c r="H725" s="28">
        <v>70767</v>
      </c>
      <c r="I725" s="28">
        <v>30.44361</v>
      </c>
      <c r="J725" s="28">
        <v>-91.220929999999996</v>
      </c>
      <c r="L725" s="61">
        <v>110003363351</v>
      </c>
      <c r="M725" s="28" t="s">
        <v>265</v>
      </c>
      <c r="N725" s="28">
        <v>2834</v>
      </c>
      <c r="O725" s="28" t="str">
        <f>IFERROR(VLOOKUP(N725, 'SIC &amp; NAICS Codes'!A:B, 2, FALSE), "")</f>
        <v xml:space="preserve">Pharmaceutical Preparations </v>
      </c>
      <c r="S725" s="28">
        <v>1.0361437499999901E-3</v>
      </c>
      <c r="T725" s="315">
        <f>_xlfn.MAXIFS('Raw Period DMR Data'!$O:$O,'Raw Period DMR Data'!$A:$A,'Raw Annual DMR Data'!B725,'Raw Period DMR Data'!$C:$C,X725)/S725</f>
        <v>0</v>
      </c>
      <c r="U725" s="28" t="str">
        <f>+IF(COUNTIFS('Raw Period DMR Data'!$A:$A,B725, 'Raw Period DMR Data'!C:C,'Raw Annual DMR Data'!X725, 'Raw Period DMR Data'!M:M, "&gt;0")&gt;0,_xlfn.MAXIFS('Raw Period DMR Data'!M:M,'Raw Period DMR Data'!$A:$A,'Raw Annual DMR Data'!B725,'Raw Period DMR Data'!C:C,'Raw Annual DMR Data'!X725), "N/A - Period DMR Data Not Available")</f>
        <v>N/A - Period DMR Data Not Available</v>
      </c>
      <c r="V725" s="28" t="str" cm="1">
        <f t="array" ref="V725">IFERROR(INDEX('Raw Period DMR Data'!N:N,MATCH(1,(B725='Raw Period DMR Data'!$A:$A)*(U725='Raw Period DMR Data'!M:M)*(X725='Raw Period DMR Data'!C:C),0),1), "N/A")</f>
        <v>N/A</v>
      </c>
      <c r="W725" s="28" t="s">
        <v>1463</v>
      </c>
      <c r="X725" s="28" t="s">
        <v>1910</v>
      </c>
      <c r="Z725" s="28">
        <v>8070300000427</v>
      </c>
      <c r="AA725" s="28"/>
      <c r="AB725" s="28" t="s">
        <v>1465</v>
      </c>
      <c r="AC725" s="28" t="s">
        <v>1466</v>
      </c>
    </row>
    <row r="726" spans="1:29" x14ac:dyDescent="0.25">
      <c r="A726" s="61">
        <v>110070598729</v>
      </c>
      <c r="B726" s="28">
        <v>2019</v>
      </c>
      <c r="C726" s="68">
        <f t="shared" si="11"/>
        <v>43466</v>
      </c>
      <c r="D726" s="28" t="s">
        <v>1185</v>
      </c>
      <c r="E726" s="28" t="s">
        <v>1911</v>
      </c>
      <c r="F726" s="28" t="s">
        <v>968</v>
      </c>
      <c r="G726" s="28" t="s">
        <v>294</v>
      </c>
      <c r="H726" s="28">
        <v>22305</v>
      </c>
      <c r="I726" s="28">
        <v>38.840600000000002</v>
      </c>
      <c r="J726" s="28">
        <v>-77.068200000000004</v>
      </c>
      <c r="L726" s="61">
        <v>110070598729</v>
      </c>
      <c r="M726" s="28" t="s">
        <v>265</v>
      </c>
      <c r="N726" s="28">
        <v>1794</v>
      </c>
      <c r="O726" s="28" t="str">
        <f>IFERROR(VLOOKUP(N726, 'SIC &amp; NAICS Codes'!A:B, 2, FALSE), "")</f>
        <v>Excavation Work</v>
      </c>
      <c r="S726" s="28">
        <v>1.42196393999999E-4</v>
      </c>
      <c r="T726" s="315">
        <f>_xlfn.MAXIFS('Raw Period DMR Data'!$O:$O,'Raw Period DMR Data'!$A:$A,'Raw Annual DMR Data'!B726,'Raw Period DMR Data'!$C:$C,X726)/S726</f>
        <v>0</v>
      </c>
      <c r="U726" s="28" t="str">
        <f>+IF(COUNTIFS('Raw Period DMR Data'!$A:$A,B726, 'Raw Period DMR Data'!C:C,'Raw Annual DMR Data'!X726, 'Raw Period DMR Data'!M:M, "&gt;0")&gt;0,_xlfn.MAXIFS('Raw Period DMR Data'!M:M,'Raw Period DMR Data'!$A:$A,'Raw Annual DMR Data'!B726,'Raw Period DMR Data'!C:C,'Raw Annual DMR Data'!X726), "N/A - Period DMR Data Not Available")</f>
        <v>N/A - Period DMR Data Not Available</v>
      </c>
      <c r="V726" s="28" t="str" cm="1">
        <f t="array" ref="V726">IFERROR(INDEX('Raw Period DMR Data'!N:N,MATCH(1,(B726='Raw Period DMR Data'!$A:$A)*(U726='Raw Period DMR Data'!M:M)*(X726='Raw Period DMR Data'!C:C),0),1), "N/A")</f>
        <v>N/A</v>
      </c>
      <c r="W726" s="28" t="s">
        <v>1463</v>
      </c>
      <c r="X726" s="28" t="s">
        <v>1912</v>
      </c>
      <c r="Y726" s="28" t="s">
        <v>1475</v>
      </c>
      <c r="AA726" s="28"/>
      <c r="AB726" s="28" t="s">
        <v>1465</v>
      </c>
      <c r="AC726" s="28" t="s">
        <v>1466</v>
      </c>
    </row>
    <row r="727" spans="1:29" x14ac:dyDescent="0.25">
      <c r="A727" s="61">
        <v>110070598729</v>
      </c>
      <c r="B727" s="28">
        <v>2020</v>
      </c>
      <c r="C727" s="68">
        <f t="shared" si="11"/>
        <v>43831</v>
      </c>
      <c r="D727" s="28" t="s">
        <v>1185</v>
      </c>
      <c r="E727" s="28" t="s">
        <v>1911</v>
      </c>
      <c r="F727" s="28" t="s">
        <v>968</v>
      </c>
      <c r="G727" s="28" t="s">
        <v>294</v>
      </c>
      <c r="H727" s="28">
        <v>22305</v>
      </c>
      <c r="I727" s="28">
        <v>38.840600000000002</v>
      </c>
      <c r="J727" s="28">
        <v>-77.068200000000004</v>
      </c>
      <c r="L727" s="61">
        <v>110070598729</v>
      </c>
      <c r="M727" s="28" t="s">
        <v>265</v>
      </c>
      <c r="N727" s="28">
        <v>1794</v>
      </c>
      <c r="O727" s="28" t="str">
        <f>IFERROR(VLOOKUP(N727, 'SIC &amp; NAICS Codes'!A:B, 2, FALSE), "")</f>
        <v>Excavation Work</v>
      </c>
      <c r="S727" s="28">
        <v>1.5946051707499899E-3</v>
      </c>
      <c r="T727" s="315">
        <f>_xlfn.MAXIFS('Raw Period DMR Data'!$O:$O,'Raw Period DMR Data'!$A:$A,'Raw Annual DMR Data'!B727,'Raw Period DMR Data'!$C:$C,X727)/S727</f>
        <v>0</v>
      </c>
      <c r="U727" s="28" t="str">
        <f>+IF(COUNTIFS('Raw Period DMR Data'!$A:$A,B727, 'Raw Period DMR Data'!C:C,'Raw Annual DMR Data'!X727, 'Raw Period DMR Data'!M:M, "&gt;0")&gt;0,_xlfn.MAXIFS('Raw Period DMR Data'!M:M,'Raw Period DMR Data'!$A:$A,'Raw Annual DMR Data'!B727,'Raw Period DMR Data'!C:C,'Raw Annual DMR Data'!X727), "N/A - Period DMR Data Not Available")</f>
        <v>N/A - Period DMR Data Not Available</v>
      </c>
      <c r="V727" s="28" t="str" cm="1">
        <f t="array" ref="V727">IFERROR(INDEX('Raw Period DMR Data'!N:N,MATCH(1,(B727='Raw Period DMR Data'!$A:$A)*(U727='Raw Period DMR Data'!M:M)*(X727='Raw Period DMR Data'!C:C),0),1), "N/A")</f>
        <v>N/A</v>
      </c>
      <c r="W727" s="28" t="s">
        <v>1463</v>
      </c>
      <c r="X727" s="28" t="s">
        <v>1912</v>
      </c>
      <c r="Y727" s="28" t="s">
        <v>1475</v>
      </c>
      <c r="AA727" s="28"/>
      <c r="AB727" s="28" t="s">
        <v>1465</v>
      </c>
      <c r="AC727" s="28" t="s">
        <v>1466</v>
      </c>
    </row>
    <row r="728" spans="1:29" x14ac:dyDescent="0.25">
      <c r="A728" s="61">
        <v>110064631849</v>
      </c>
      <c r="B728" s="28">
        <v>2015</v>
      </c>
      <c r="C728" s="68">
        <f t="shared" si="11"/>
        <v>42005</v>
      </c>
      <c r="D728" s="28" t="s">
        <v>1186</v>
      </c>
      <c r="E728" s="28" t="s">
        <v>1913</v>
      </c>
      <c r="F728" s="28" t="s">
        <v>1187</v>
      </c>
      <c r="G728" s="28" t="s">
        <v>478</v>
      </c>
      <c r="H728" s="28">
        <v>19973</v>
      </c>
      <c r="I728" s="28">
        <v>38.624206999999998</v>
      </c>
      <c r="J728" s="28">
        <v>-75.628699999999995</v>
      </c>
      <c r="L728" s="61">
        <v>110064631849</v>
      </c>
      <c r="M728" s="28" t="s">
        <v>265</v>
      </c>
      <c r="N728" s="28">
        <v>2821</v>
      </c>
      <c r="O728" s="28" t="str">
        <f>IFERROR(VLOOKUP(N728, 'SIC &amp; NAICS Codes'!A:B, 2, FALSE), "")</f>
        <v>Plastics Materials, Synthetic and Resins, and Nonvulcanizable Elastomers</v>
      </c>
      <c r="S728" s="28">
        <v>9.1383219954648497E-4</v>
      </c>
      <c r="T728" s="315">
        <f>_xlfn.MAXIFS('Raw Period DMR Data'!$O:$O,'Raw Period DMR Data'!$A:$A,'Raw Annual DMR Data'!B728,'Raw Period DMR Data'!$C:$C,X728)/S728</f>
        <v>0</v>
      </c>
      <c r="U728" s="28" t="str">
        <f>+IF(COUNTIFS('Raw Period DMR Data'!$A:$A,B728, 'Raw Period DMR Data'!C:C,'Raw Annual DMR Data'!X728, 'Raw Period DMR Data'!M:M, "&gt;0")&gt;0,_xlfn.MAXIFS('Raw Period DMR Data'!M:M,'Raw Period DMR Data'!$A:$A,'Raw Annual DMR Data'!B728,'Raw Period DMR Data'!C:C,'Raw Annual DMR Data'!X728), "N/A - Period DMR Data Not Available")</f>
        <v>N/A - Period DMR Data Not Available</v>
      </c>
      <c r="V728" s="28" t="str" cm="1">
        <f t="array" ref="V728">IFERROR(INDEX('Raw Period DMR Data'!N:N,MATCH(1,(B728='Raw Period DMR Data'!$A:$A)*(U728='Raw Period DMR Data'!M:M)*(X728='Raw Period DMR Data'!C:C),0),1), "N/A")</f>
        <v>N/A</v>
      </c>
      <c r="W728" s="28" t="s">
        <v>1463</v>
      </c>
      <c r="X728" s="28" t="s">
        <v>1914</v>
      </c>
      <c r="Y728" s="28" t="s">
        <v>1915</v>
      </c>
      <c r="Z728" s="28">
        <v>2080109011489</v>
      </c>
      <c r="AA728" s="28"/>
      <c r="AB728" s="28" t="s">
        <v>1465</v>
      </c>
      <c r="AC728" s="28" t="s">
        <v>1466</v>
      </c>
    </row>
    <row r="729" spans="1:29" x14ac:dyDescent="0.25">
      <c r="A729" s="61">
        <v>110064631849</v>
      </c>
      <c r="B729" s="28">
        <v>2016</v>
      </c>
      <c r="C729" s="68">
        <f t="shared" si="11"/>
        <v>42370</v>
      </c>
      <c r="D729" s="28" t="s">
        <v>1186</v>
      </c>
      <c r="E729" s="28" t="s">
        <v>1913</v>
      </c>
      <c r="F729" s="28" t="s">
        <v>1187</v>
      </c>
      <c r="G729" s="28" t="s">
        <v>478</v>
      </c>
      <c r="H729" s="28">
        <v>19973</v>
      </c>
      <c r="I729" s="28">
        <v>38.624206999999998</v>
      </c>
      <c r="J729" s="28">
        <v>-75.628699999999995</v>
      </c>
      <c r="L729" s="61">
        <v>110064631849</v>
      </c>
      <c r="M729" s="28" t="s">
        <v>265</v>
      </c>
      <c r="N729" s="28">
        <v>2821</v>
      </c>
      <c r="O729" s="28" t="str">
        <f>IFERROR(VLOOKUP(N729, 'SIC &amp; NAICS Codes'!A:B, 2, FALSE), "")</f>
        <v>Plastics Materials, Synthetic and Resins, and Nonvulcanizable Elastomers</v>
      </c>
      <c r="S729" s="28">
        <v>4.2176870748299302E-4</v>
      </c>
      <c r="T729" s="315">
        <f>_xlfn.MAXIFS('Raw Period DMR Data'!$O:$O,'Raw Period DMR Data'!$A:$A,'Raw Annual DMR Data'!B729,'Raw Period DMR Data'!$C:$C,X729)/S729</f>
        <v>0</v>
      </c>
      <c r="U729" s="28" t="str">
        <f>+IF(COUNTIFS('Raw Period DMR Data'!$A:$A,B729, 'Raw Period DMR Data'!C:C,'Raw Annual DMR Data'!X729, 'Raw Period DMR Data'!M:M, "&gt;0")&gt;0,_xlfn.MAXIFS('Raw Period DMR Data'!M:M,'Raw Period DMR Data'!$A:$A,'Raw Annual DMR Data'!B729,'Raw Period DMR Data'!C:C,'Raw Annual DMR Data'!X729), "N/A - Period DMR Data Not Available")</f>
        <v>N/A - Period DMR Data Not Available</v>
      </c>
      <c r="V729" s="28" t="str" cm="1">
        <f t="array" ref="V729">IFERROR(INDEX('Raw Period DMR Data'!N:N,MATCH(1,(B729='Raw Period DMR Data'!$A:$A)*(U729='Raw Period DMR Data'!M:M)*(X729='Raw Period DMR Data'!C:C),0),1), "N/A")</f>
        <v>N/A</v>
      </c>
      <c r="W729" s="28" t="s">
        <v>1463</v>
      </c>
      <c r="X729" s="28" t="s">
        <v>1914</v>
      </c>
      <c r="Y729" s="28" t="s">
        <v>1915</v>
      </c>
      <c r="Z729" s="28">
        <v>2080109011489</v>
      </c>
      <c r="AA729" s="28"/>
      <c r="AB729" s="28" t="s">
        <v>1465</v>
      </c>
      <c r="AC729" s="28" t="s">
        <v>1466</v>
      </c>
    </row>
    <row r="730" spans="1:29" x14ac:dyDescent="0.25">
      <c r="A730" s="61">
        <v>110064631849</v>
      </c>
      <c r="B730" s="28">
        <v>2017</v>
      </c>
      <c r="C730" s="68">
        <f t="shared" si="11"/>
        <v>42736</v>
      </c>
      <c r="D730" s="28" t="s">
        <v>1186</v>
      </c>
      <c r="E730" s="28" t="s">
        <v>1913</v>
      </c>
      <c r="F730" s="28" t="s">
        <v>1187</v>
      </c>
      <c r="G730" s="28" t="s">
        <v>478</v>
      </c>
      <c r="H730" s="28">
        <v>19973</v>
      </c>
      <c r="I730" s="28">
        <v>38.624206999999998</v>
      </c>
      <c r="J730" s="28">
        <v>-75.628699999999995</v>
      </c>
      <c r="L730" s="61">
        <v>110064631849</v>
      </c>
      <c r="M730" s="28" t="s">
        <v>265</v>
      </c>
      <c r="N730" s="28">
        <v>2821</v>
      </c>
      <c r="O730" s="28" t="str">
        <f>IFERROR(VLOOKUP(N730, 'SIC &amp; NAICS Codes'!A:B, 2, FALSE), "")</f>
        <v>Plastics Materials, Synthetic and Resins, and Nonvulcanizable Elastomers</v>
      </c>
      <c r="S730" s="28">
        <v>1.7292517006802701E-3</v>
      </c>
      <c r="T730" s="315">
        <f>_xlfn.MAXIFS('Raw Period DMR Data'!$O:$O,'Raw Period DMR Data'!$A:$A,'Raw Annual DMR Data'!B730,'Raw Period DMR Data'!$C:$C,X730)/S730</f>
        <v>0</v>
      </c>
      <c r="U730" s="28" t="str">
        <f>+IF(COUNTIFS('Raw Period DMR Data'!$A:$A,B730, 'Raw Period DMR Data'!C:C,'Raw Annual DMR Data'!X730, 'Raw Period DMR Data'!M:M, "&gt;0")&gt;0,_xlfn.MAXIFS('Raw Period DMR Data'!M:M,'Raw Period DMR Data'!$A:$A,'Raw Annual DMR Data'!B730,'Raw Period DMR Data'!C:C,'Raw Annual DMR Data'!X730), "N/A - Period DMR Data Not Available")</f>
        <v>N/A - Period DMR Data Not Available</v>
      </c>
      <c r="V730" s="28" t="str" cm="1">
        <f t="array" ref="V730">IFERROR(INDEX('Raw Period DMR Data'!N:N,MATCH(1,(B730='Raw Period DMR Data'!$A:$A)*(U730='Raw Period DMR Data'!M:M)*(X730='Raw Period DMR Data'!C:C),0),1), "N/A")</f>
        <v>N/A</v>
      </c>
      <c r="W730" s="28" t="s">
        <v>1463</v>
      </c>
      <c r="X730" s="28" t="s">
        <v>1914</v>
      </c>
      <c r="Y730" s="28" t="s">
        <v>1915</v>
      </c>
      <c r="Z730" s="28">
        <v>2080109011489</v>
      </c>
      <c r="AA730" s="28"/>
      <c r="AB730" s="28" t="s">
        <v>1465</v>
      </c>
      <c r="AC730" s="28" t="s">
        <v>1466</v>
      </c>
    </row>
    <row r="731" spans="1:29" x14ac:dyDescent="0.25">
      <c r="A731" s="61">
        <v>110064631849</v>
      </c>
      <c r="B731" s="28">
        <v>2018</v>
      </c>
      <c r="C731" s="68">
        <f t="shared" si="11"/>
        <v>43101</v>
      </c>
      <c r="D731" s="28" t="s">
        <v>1186</v>
      </c>
      <c r="E731" s="28" t="s">
        <v>1913</v>
      </c>
      <c r="F731" s="28" t="s">
        <v>1187</v>
      </c>
      <c r="G731" s="28" t="s">
        <v>478</v>
      </c>
      <c r="H731" s="28">
        <v>19973</v>
      </c>
      <c r="I731" s="28">
        <v>38.624206999999998</v>
      </c>
      <c r="J731" s="28">
        <v>-75.628699999999995</v>
      </c>
      <c r="L731" s="61">
        <v>110064631849</v>
      </c>
      <c r="M731" s="28" t="s">
        <v>265</v>
      </c>
      <c r="N731" s="28">
        <v>2821</v>
      </c>
      <c r="O731" s="28" t="str">
        <f>IFERROR(VLOOKUP(N731, 'SIC &amp; NAICS Codes'!A:B, 2, FALSE), "")</f>
        <v>Plastics Materials, Synthetic and Resins, and Nonvulcanizable Elastomers</v>
      </c>
      <c r="S731" s="302">
        <v>2.8117913832199502E-4</v>
      </c>
      <c r="T731" s="315">
        <f>_xlfn.MAXIFS('Raw Period DMR Data'!$O:$O,'Raw Period DMR Data'!$A:$A,'Raw Annual DMR Data'!B731,'Raw Period DMR Data'!$C:$C,X731)/S731</f>
        <v>0</v>
      </c>
      <c r="U731" s="28" t="str">
        <f>+IF(COUNTIFS('Raw Period DMR Data'!$A:$A,B731, 'Raw Period DMR Data'!C:C,'Raw Annual DMR Data'!X731, 'Raw Period DMR Data'!M:M, "&gt;0")&gt;0,_xlfn.MAXIFS('Raw Period DMR Data'!M:M,'Raw Period DMR Data'!$A:$A,'Raw Annual DMR Data'!B731,'Raw Period DMR Data'!C:C,'Raw Annual DMR Data'!X731), "N/A - Period DMR Data Not Available")</f>
        <v>N/A - Period DMR Data Not Available</v>
      </c>
      <c r="V731" s="28" t="str" cm="1">
        <f t="array" ref="V731">IFERROR(INDEX('Raw Period DMR Data'!N:N,MATCH(1,(B731='Raw Period DMR Data'!$A:$A)*(U731='Raw Period DMR Data'!M:M)*(X731='Raw Period DMR Data'!C:C),0),1), "N/A")</f>
        <v>N/A</v>
      </c>
      <c r="W731" s="28" t="s">
        <v>1463</v>
      </c>
      <c r="X731" s="28" t="s">
        <v>1914</v>
      </c>
      <c r="Y731" s="28" t="s">
        <v>1915</v>
      </c>
      <c r="Z731" s="302" t="s">
        <v>1916</v>
      </c>
      <c r="AA731" s="28"/>
      <c r="AB731" s="28" t="s">
        <v>1465</v>
      </c>
      <c r="AC731" s="28" t="s">
        <v>1466</v>
      </c>
    </row>
    <row r="732" spans="1:29" x14ac:dyDescent="0.25">
      <c r="A732" s="61">
        <v>110064631849</v>
      </c>
      <c r="B732" s="28">
        <v>2019</v>
      </c>
      <c r="C732" s="68">
        <f t="shared" si="11"/>
        <v>43466</v>
      </c>
      <c r="D732" s="28" t="s">
        <v>1186</v>
      </c>
      <c r="E732" s="28" t="s">
        <v>1913</v>
      </c>
      <c r="F732" s="28" t="s">
        <v>1187</v>
      </c>
      <c r="G732" s="28" t="s">
        <v>478</v>
      </c>
      <c r="H732" s="28">
        <v>19973</v>
      </c>
      <c r="I732" s="28">
        <v>38.624206999999998</v>
      </c>
      <c r="J732" s="28">
        <v>-75.628699999999995</v>
      </c>
      <c r="L732" s="61">
        <v>110064631849</v>
      </c>
      <c r="M732" s="28" t="s">
        <v>265</v>
      </c>
      <c r="N732" s="28">
        <v>2821</v>
      </c>
      <c r="O732" s="28" t="str">
        <f>IFERROR(VLOOKUP(N732, 'SIC &amp; NAICS Codes'!A:B, 2, FALSE), "")</f>
        <v>Plastics Materials, Synthetic and Resins, and Nonvulcanizable Elastomers</v>
      </c>
      <c r="S732" s="28">
        <v>1.8276643990929701E-4</v>
      </c>
      <c r="T732" s="315">
        <f>_xlfn.MAXIFS('Raw Period DMR Data'!$O:$O,'Raw Period DMR Data'!$A:$A,'Raw Annual DMR Data'!B732,'Raw Period DMR Data'!$C:$C,X732)/S732</f>
        <v>0</v>
      </c>
      <c r="U732" s="28" t="str">
        <f>+IF(COUNTIFS('Raw Period DMR Data'!$A:$A,B732, 'Raw Period DMR Data'!C:C,'Raw Annual DMR Data'!X732, 'Raw Period DMR Data'!M:M, "&gt;0")&gt;0,_xlfn.MAXIFS('Raw Period DMR Data'!M:M,'Raw Period DMR Data'!$A:$A,'Raw Annual DMR Data'!B732,'Raw Period DMR Data'!C:C,'Raw Annual DMR Data'!X732), "N/A - Period DMR Data Not Available")</f>
        <v>N/A - Period DMR Data Not Available</v>
      </c>
      <c r="V732" s="28" t="str" cm="1">
        <f t="array" ref="V732">IFERROR(INDEX('Raw Period DMR Data'!N:N,MATCH(1,(B732='Raw Period DMR Data'!$A:$A)*(U732='Raw Period DMR Data'!M:M)*(X732='Raw Period DMR Data'!C:C),0),1), "N/A")</f>
        <v>N/A</v>
      </c>
      <c r="W732" s="28" t="s">
        <v>1463</v>
      </c>
      <c r="X732" s="28" t="s">
        <v>1914</v>
      </c>
      <c r="Y732" s="28" t="s">
        <v>1915</v>
      </c>
      <c r="Z732" s="28">
        <v>2080109011489</v>
      </c>
      <c r="AA732" s="28"/>
      <c r="AB732" s="28" t="s">
        <v>1465</v>
      </c>
      <c r="AC732" s="28" t="s">
        <v>1466</v>
      </c>
    </row>
    <row r="733" spans="1:29" x14ac:dyDescent="0.25">
      <c r="A733" s="61">
        <v>110064631849</v>
      </c>
      <c r="B733" s="28">
        <v>2020</v>
      </c>
      <c r="C733" s="68">
        <f t="shared" si="11"/>
        <v>43831</v>
      </c>
      <c r="D733" s="28" t="s">
        <v>1186</v>
      </c>
      <c r="E733" s="28" t="s">
        <v>1913</v>
      </c>
      <c r="F733" s="28" t="s">
        <v>1187</v>
      </c>
      <c r="G733" s="28" t="s">
        <v>478</v>
      </c>
      <c r="H733" s="28">
        <v>19973</v>
      </c>
      <c r="I733" s="28">
        <v>38.624206999999998</v>
      </c>
      <c r="J733" s="28">
        <v>-75.628699999999995</v>
      </c>
      <c r="L733" s="61">
        <v>110064631849</v>
      </c>
      <c r="M733" s="28" t="s">
        <v>265</v>
      </c>
      <c r="N733" s="28">
        <v>2821</v>
      </c>
      <c r="O733" s="28" t="str">
        <f>IFERROR(VLOOKUP(N733, 'SIC &amp; NAICS Codes'!A:B, 2, FALSE), "")</f>
        <v>Plastics Materials, Synthetic and Resins, and Nonvulcanizable Elastomers</v>
      </c>
      <c r="S733" s="28">
        <v>7.02947845804988E-4</v>
      </c>
      <c r="T733" s="315">
        <f>_xlfn.MAXIFS('Raw Period DMR Data'!$O:$O,'Raw Period DMR Data'!$A:$A,'Raw Annual DMR Data'!B733,'Raw Period DMR Data'!$C:$C,X733)/S733</f>
        <v>0</v>
      </c>
      <c r="U733" s="28" t="str">
        <f>+IF(COUNTIFS('Raw Period DMR Data'!$A:$A,B733, 'Raw Period DMR Data'!C:C,'Raw Annual DMR Data'!X733, 'Raw Period DMR Data'!M:M, "&gt;0")&gt;0,_xlfn.MAXIFS('Raw Period DMR Data'!M:M,'Raw Period DMR Data'!$A:$A,'Raw Annual DMR Data'!B733,'Raw Period DMR Data'!C:C,'Raw Annual DMR Data'!X733), "N/A - Period DMR Data Not Available")</f>
        <v>N/A - Period DMR Data Not Available</v>
      </c>
      <c r="V733" s="28" t="str" cm="1">
        <f t="array" ref="V733">IFERROR(INDEX('Raw Period DMR Data'!N:N,MATCH(1,(B733='Raw Period DMR Data'!$A:$A)*(U733='Raw Period DMR Data'!M:M)*(X733='Raw Period DMR Data'!C:C),0),1), "N/A")</f>
        <v>N/A</v>
      </c>
      <c r="W733" s="28" t="s">
        <v>1463</v>
      </c>
      <c r="X733" s="28" t="s">
        <v>1914</v>
      </c>
      <c r="Y733" s="28" t="s">
        <v>1915</v>
      </c>
      <c r="Z733" s="28">
        <v>2080109011489</v>
      </c>
      <c r="AA733" s="28"/>
      <c r="AB733" s="28" t="s">
        <v>1465</v>
      </c>
      <c r="AC733" s="28" t="s">
        <v>1466</v>
      </c>
    </row>
    <row r="734" spans="1:29" x14ac:dyDescent="0.25">
      <c r="A734" s="61">
        <v>110006749162</v>
      </c>
      <c r="B734" s="28">
        <v>2017</v>
      </c>
      <c r="C734" s="68">
        <f t="shared" si="11"/>
        <v>42736</v>
      </c>
      <c r="D734" s="28" t="s">
        <v>1188</v>
      </c>
      <c r="E734" s="28" t="s">
        <v>1917</v>
      </c>
      <c r="F734" s="28" t="s">
        <v>1189</v>
      </c>
      <c r="G734" s="28" t="s">
        <v>324</v>
      </c>
      <c r="H734" s="28">
        <v>40336</v>
      </c>
      <c r="I734" s="28">
        <v>37.700833000000003</v>
      </c>
      <c r="J734" s="28">
        <v>-83.984443999999996</v>
      </c>
      <c r="L734" s="61">
        <v>110006749162</v>
      </c>
      <c r="M734" s="28" t="s">
        <v>263</v>
      </c>
      <c r="N734" s="28">
        <v>8711</v>
      </c>
      <c r="O734" s="28" t="str">
        <f>IFERROR(VLOOKUP(N734, 'SIC &amp; NAICS Codes'!A:B, 2, FALSE), "")</f>
        <v>Engineering Services</v>
      </c>
      <c r="S734" s="28">
        <v>0.39304386250000001</v>
      </c>
      <c r="T734" s="315">
        <f>_xlfn.MAXIFS('Raw Period DMR Data'!$O:$O,'Raw Period DMR Data'!$A:$A,'Raw Annual DMR Data'!B734,'Raw Period DMR Data'!$C:$C,X734)/S734</f>
        <v>0</v>
      </c>
      <c r="U734" s="28" t="str">
        <f>+IF(COUNTIFS('Raw Period DMR Data'!$A:$A,B734, 'Raw Period DMR Data'!C:C,'Raw Annual DMR Data'!X734, 'Raw Period DMR Data'!M:M, "&gt;0")&gt;0,_xlfn.MAXIFS('Raw Period DMR Data'!M:M,'Raw Period DMR Data'!$A:$A,'Raw Annual DMR Data'!B734,'Raw Period DMR Data'!C:C,'Raw Annual DMR Data'!X734), "N/A - Period DMR Data Not Available")</f>
        <v>N/A - Period DMR Data Not Available</v>
      </c>
      <c r="V734" s="28" t="str" cm="1">
        <f t="array" ref="V734">IFERROR(INDEX('Raw Period DMR Data'!N:N,MATCH(1,(B734='Raw Period DMR Data'!$A:$A)*(U734='Raw Period DMR Data'!M:M)*(X734='Raw Period DMR Data'!C:C),0),1), "N/A")</f>
        <v>N/A</v>
      </c>
      <c r="W734" s="28" t="s">
        <v>1463</v>
      </c>
      <c r="X734" s="28" t="s">
        <v>1918</v>
      </c>
      <c r="Y734" s="28" t="s">
        <v>1592</v>
      </c>
      <c r="Z734" s="28">
        <v>5100204000012</v>
      </c>
      <c r="AA734" s="28"/>
      <c r="AB734" s="28" t="s">
        <v>1465</v>
      </c>
      <c r="AC734" s="28" t="s">
        <v>263</v>
      </c>
    </row>
    <row r="735" spans="1:29" x14ac:dyDescent="0.25">
      <c r="A735" s="61">
        <v>110006749162</v>
      </c>
      <c r="B735" s="28">
        <v>2018</v>
      </c>
      <c r="C735" s="68">
        <f t="shared" si="11"/>
        <v>43101</v>
      </c>
      <c r="D735" s="28" t="s">
        <v>1188</v>
      </c>
      <c r="E735" s="28" t="s">
        <v>1917</v>
      </c>
      <c r="F735" s="28" t="s">
        <v>1189</v>
      </c>
      <c r="G735" s="28" t="s">
        <v>324</v>
      </c>
      <c r="H735" s="28">
        <v>40336</v>
      </c>
      <c r="I735" s="28">
        <v>37.700833000000003</v>
      </c>
      <c r="J735" s="28">
        <v>-83.984443999999996</v>
      </c>
      <c r="L735" s="61">
        <v>110006749162</v>
      </c>
      <c r="M735" s="28" t="s">
        <v>263</v>
      </c>
      <c r="N735" s="28">
        <v>8711</v>
      </c>
      <c r="O735" s="28" t="str">
        <f>IFERROR(VLOOKUP(N735, 'SIC &amp; NAICS Codes'!A:B, 2, FALSE), "")</f>
        <v>Engineering Services</v>
      </c>
      <c r="S735" s="28">
        <v>0.69076249999999995</v>
      </c>
      <c r="T735" s="315">
        <f>_xlfn.MAXIFS('Raw Period DMR Data'!$O:$O,'Raw Period DMR Data'!$A:$A,'Raw Annual DMR Data'!B735,'Raw Period DMR Data'!$C:$C,X735)/S735</f>
        <v>0</v>
      </c>
      <c r="U735" s="28" t="str">
        <f>+IF(COUNTIFS('Raw Period DMR Data'!$A:$A,B735, 'Raw Period DMR Data'!C:C,'Raw Annual DMR Data'!X735, 'Raw Period DMR Data'!M:M, "&gt;0")&gt;0,_xlfn.MAXIFS('Raw Period DMR Data'!M:M,'Raw Period DMR Data'!$A:$A,'Raw Annual DMR Data'!B735,'Raw Period DMR Data'!C:C,'Raw Annual DMR Data'!X735), "N/A - Period DMR Data Not Available")</f>
        <v>N/A - Period DMR Data Not Available</v>
      </c>
      <c r="V735" s="28" t="str" cm="1">
        <f t="array" ref="V735">IFERROR(INDEX('Raw Period DMR Data'!N:N,MATCH(1,(B735='Raw Period DMR Data'!$A:$A)*(U735='Raw Period DMR Data'!M:M)*(X735='Raw Period DMR Data'!C:C),0),1), "N/A")</f>
        <v>N/A</v>
      </c>
      <c r="W735" s="28" t="s">
        <v>1463</v>
      </c>
      <c r="X735" s="28" t="s">
        <v>1918</v>
      </c>
      <c r="Y735" s="28" t="s">
        <v>1592</v>
      </c>
      <c r="Z735" s="302" t="s">
        <v>1919</v>
      </c>
      <c r="AA735" s="28"/>
      <c r="AB735" s="28" t="s">
        <v>1465</v>
      </c>
      <c r="AC735" s="28" t="s">
        <v>263</v>
      </c>
    </row>
    <row r="736" spans="1:29" x14ac:dyDescent="0.25">
      <c r="A736" s="61">
        <v>110006749162</v>
      </c>
      <c r="B736" s="28">
        <v>2020</v>
      </c>
      <c r="C736" s="68">
        <f t="shared" si="11"/>
        <v>43831</v>
      </c>
      <c r="D736" s="28" t="s">
        <v>1188</v>
      </c>
      <c r="E736" s="28" t="s">
        <v>1917</v>
      </c>
      <c r="F736" s="28" t="s">
        <v>1189</v>
      </c>
      <c r="G736" s="28" t="s">
        <v>324</v>
      </c>
      <c r="H736" s="28">
        <v>40336</v>
      </c>
      <c r="I736" s="28">
        <v>37.700833000000003</v>
      </c>
      <c r="J736" s="28">
        <v>-83.984443999999996</v>
      </c>
      <c r="L736" s="61">
        <v>110006749162</v>
      </c>
      <c r="M736" s="28" t="s">
        <v>263</v>
      </c>
      <c r="N736" s="28">
        <v>8711</v>
      </c>
      <c r="O736" s="28" t="str">
        <f>IFERROR(VLOOKUP(N736, 'SIC &amp; NAICS Codes'!A:B, 2, FALSE), "")</f>
        <v>Engineering Services</v>
      </c>
      <c r="S736" s="28">
        <v>0.63481073750000006</v>
      </c>
      <c r="T736" s="315">
        <f>_xlfn.MAXIFS('Raw Period DMR Data'!$O:$O,'Raw Period DMR Data'!$A:$A,'Raw Annual DMR Data'!B736,'Raw Period DMR Data'!$C:$C,X736)/S736</f>
        <v>0</v>
      </c>
      <c r="U736" s="28" t="str">
        <f>+IF(COUNTIFS('Raw Period DMR Data'!$A:$A,B736, 'Raw Period DMR Data'!C:C,'Raw Annual DMR Data'!X736, 'Raw Period DMR Data'!M:M, "&gt;0")&gt;0,_xlfn.MAXIFS('Raw Period DMR Data'!M:M,'Raw Period DMR Data'!$A:$A,'Raw Annual DMR Data'!B736,'Raw Period DMR Data'!C:C,'Raw Annual DMR Data'!X736), "N/A - Period DMR Data Not Available")</f>
        <v>N/A - Period DMR Data Not Available</v>
      </c>
      <c r="V736" s="28" t="str" cm="1">
        <f t="array" ref="V736">IFERROR(INDEX('Raw Period DMR Data'!N:N,MATCH(1,(B736='Raw Period DMR Data'!$A:$A)*(U736='Raw Period DMR Data'!M:M)*(X736='Raw Period DMR Data'!C:C),0),1), "N/A")</f>
        <v>N/A</v>
      </c>
      <c r="W736" s="28" t="s">
        <v>1463</v>
      </c>
      <c r="X736" s="28" t="s">
        <v>1918</v>
      </c>
      <c r="Y736" s="28" t="s">
        <v>1592</v>
      </c>
      <c r="Z736" s="28">
        <v>5100204000012</v>
      </c>
      <c r="AA736" s="28"/>
      <c r="AB736" s="28" t="s">
        <v>1465</v>
      </c>
      <c r="AC736" s="28" t="s">
        <v>263</v>
      </c>
    </row>
    <row r="737" spans="1:29" x14ac:dyDescent="0.25">
      <c r="A737" s="61">
        <v>110017796330</v>
      </c>
      <c r="B737" s="28">
        <v>2016</v>
      </c>
      <c r="C737" s="68">
        <f t="shared" si="11"/>
        <v>42370</v>
      </c>
      <c r="D737" s="28" t="s">
        <v>1190</v>
      </c>
      <c r="E737" s="28" t="s">
        <v>1920</v>
      </c>
      <c r="F737" s="28" t="s">
        <v>1191</v>
      </c>
      <c r="G737" s="28" t="s">
        <v>491</v>
      </c>
      <c r="H737" s="28">
        <v>17853</v>
      </c>
      <c r="I737" s="28">
        <v>40.725278000000003</v>
      </c>
      <c r="J737" s="28">
        <v>-77.056944000000001</v>
      </c>
      <c r="L737" s="61">
        <v>110017796330</v>
      </c>
      <c r="M737" s="28" t="s">
        <v>265</v>
      </c>
      <c r="N737" s="28">
        <v>3645</v>
      </c>
      <c r="O737" s="28" t="str">
        <f>IFERROR(VLOOKUP(N737, 'SIC &amp; NAICS Codes'!A:B, 2, FALSE), "")</f>
        <v>Residential Electric Lighting Fixtures</v>
      </c>
      <c r="S737" s="28">
        <v>1.548822E-3</v>
      </c>
      <c r="T737" s="315">
        <f>_xlfn.MAXIFS('Raw Period DMR Data'!$O:$O,'Raw Period DMR Data'!$A:$A,'Raw Annual DMR Data'!B737,'Raw Period DMR Data'!$C:$C,X737)/S737</f>
        <v>0</v>
      </c>
      <c r="U737" s="28" t="str">
        <f>+IF(COUNTIFS('Raw Period DMR Data'!$A:$A,B737, 'Raw Period DMR Data'!C:C,'Raw Annual DMR Data'!X737, 'Raw Period DMR Data'!M:M, "&gt;0")&gt;0,_xlfn.MAXIFS('Raw Period DMR Data'!M:M,'Raw Period DMR Data'!$A:$A,'Raw Annual DMR Data'!B737,'Raw Period DMR Data'!C:C,'Raw Annual DMR Data'!X737), "N/A - Period DMR Data Not Available")</f>
        <v>N/A - Period DMR Data Not Available</v>
      </c>
      <c r="V737" s="28" t="str" cm="1">
        <f t="array" ref="V737">IFERROR(INDEX('Raw Period DMR Data'!N:N,MATCH(1,(B737='Raw Period DMR Data'!$A:$A)*(U737='Raw Period DMR Data'!M:M)*(X737='Raw Period DMR Data'!C:C),0),1), "N/A")</f>
        <v>N/A</v>
      </c>
      <c r="W737" s="28" t="s">
        <v>1463</v>
      </c>
      <c r="X737" s="28" t="s">
        <v>1921</v>
      </c>
      <c r="Y737" s="28" t="s">
        <v>1922</v>
      </c>
      <c r="Z737" s="28">
        <v>2050301000478</v>
      </c>
      <c r="AA737" s="28"/>
      <c r="AB737" s="28" t="s">
        <v>1465</v>
      </c>
      <c r="AC737" s="28" t="s">
        <v>1466</v>
      </c>
    </row>
    <row r="738" spans="1:29" x14ac:dyDescent="0.25">
      <c r="A738" s="61">
        <v>110017796330</v>
      </c>
      <c r="B738" s="28">
        <v>2017</v>
      </c>
      <c r="C738" s="68">
        <f t="shared" si="11"/>
        <v>42736</v>
      </c>
      <c r="D738" s="28" t="s">
        <v>1190</v>
      </c>
      <c r="E738" s="28" t="s">
        <v>1920</v>
      </c>
      <c r="F738" s="28" t="s">
        <v>1191</v>
      </c>
      <c r="G738" s="28" t="s">
        <v>491</v>
      </c>
      <c r="H738" s="28">
        <v>17853</v>
      </c>
      <c r="I738" s="28">
        <v>40.725278000000003</v>
      </c>
      <c r="J738" s="28">
        <v>-77.056944000000001</v>
      </c>
      <c r="L738" s="61">
        <v>110017796330</v>
      </c>
      <c r="M738" s="28" t="s">
        <v>265</v>
      </c>
      <c r="N738" s="28">
        <v>3645</v>
      </c>
      <c r="O738" s="28" t="str">
        <f>IFERROR(VLOOKUP(N738, 'SIC &amp; NAICS Codes'!A:B, 2, FALSE), "")</f>
        <v>Residential Electric Lighting Fixtures</v>
      </c>
      <c r="S738" s="28">
        <v>4.5712391250000003E-3</v>
      </c>
      <c r="T738" s="315">
        <f>_xlfn.MAXIFS('Raw Period DMR Data'!$O:$O,'Raw Period DMR Data'!$A:$A,'Raw Annual DMR Data'!B738,'Raw Period DMR Data'!$C:$C,X738)/S738</f>
        <v>0</v>
      </c>
      <c r="U738" s="28" t="str">
        <f>+IF(COUNTIFS('Raw Period DMR Data'!$A:$A,B738, 'Raw Period DMR Data'!C:C,'Raw Annual DMR Data'!X738, 'Raw Period DMR Data'!M:M, "&gt;0")&gt;0,_xlfn.MAXIFS('Raw Period DMR Data'!M:M,'Raw Period DMR Data'!$A:$A,'Raw Annual DMR Data'!B738,'Raw Period DMR Data'!C:C,'Raw Annual DMR Data'!X738), "N/A - Period DMR Data Not Available")</f>
        <v>N/A - Period DMR Data Not Available</v>
      </c>
      <c r="V738" s="28" t="str" cm="1">
        <f t="array" ref="V738">IFERROR(INDEX('Raw Period DMR Data'!N:N,MATCH(1,(B738='Raw Period DMR Data'!$A:$A)*(U738='Raw Period DMR Data'!M:M)*(X738='Raw Period DMR Data'!C:C),0),1), "N/A")</f>
        <v>N/A</v>
      </c>
      <c r="W738" s="28" t="s">
        <v>1463</v>
      </c>
      <c r="X738" s="28" t="s">
        <v>1921</v>
      </c>
      <c r="Y738" s="28" t="s">
        <v>1922</v>
      </c>
      <c r="Z738" s="28">
        <v>2050301000478</v>
      </c>
      <c r="AA738" s="28"/>
      <c r="AB738" s="28" t="s">
        <v>1465</v>
      </c>
      <c r="AC738" s="28" t="s">
        <v>1466</v>
      </c>
    </row>
    <row r="739" spans="1:29" x14ac:dyDescent="0.25">
      <c r="A739" s="61">
        <v>110017796330</v>
      </c>
      <c r="B739" s="28">
        <v>2018</v>
      </c>
      <c r="C739" s="68">
        <f t="shared" si="11"/>
        <v>43101</v>
      </c>
      <c r="D739" s="28" t="s">
        <v>1190</v>
      </c>
      <c r="E739" s="28" t="s">
        <v>1920</v>
      </c>
      <c r="F739" s="28" t="s">
        <v>1191</v>
      </c>
      <c r="G739" s="28" t="s">
        <v>491</v>
      </c>
      <c r="H739" s="28">
        <v>17853</v>
      </c>
      <c r="I739" s="28">
        <v>40.725278000000003</v>
      </c>
      <c r="J739" s="28">
        <v>-77.056944000000001</v>
      </c>
      <c r="L739" s="61">
        <v>110017796330</v>
      </c>
      <c r="M739" s="28" t="s">
        <v>265</v>
      </c>
      <c r="N739" s="28">
        <v>3645</v>
      </c>
      <c r="O739" s="28" t="str">
        <f>IFERROR(VLOOKUP(N739, 'SIC &amp; NAICS Codes'!A:B, 2, FALSE), "")</f>
        <v>Residential Electric Lighting Fixtures</v>
      </c>
      <c r="S739" s="28">
        <v>4.9359238749999996E-3</v>
      </c>
      <c r="T739" s="315">
        <f>_xlfn.MAXIFS('Raw Period DMR Data'!$O:$O,'Raw Period DMR Data'!$A:$A,'Raw Annual DMR Data'!B739,'Raw Period DMR Data'!$C:$C,X739)/S739</f>
        <v>0</v>
      </c>
      <c r="U739" s="28" t="str">
        <f>+IF(COUNTIFS('Raw Period DMR Data'!$A:$A,B739, 'Raw Period DMR Data'!C:C,'Raw Annual DMR Data'!X739, 'Raw Period DMR Data'!M:M, "&gt;0")&gt;0,_xlfn.MAXIFS('Raw Period DMR Data'!M:M,'Raw Period DMR Data'!$A:$A,'Raw Annual DMR Data'!B739,'Raw Period DMR Data'!C:C,'Raw Annual DMR Data'!X739), "N/A - Period DMR Data Not Available")</f>
        <v>N/A - Period DMR Data Not Available</v>
      </c>
      <c r="V739" s="28" t="str" cm="1">
        <f t="array" ref="V739">IFERROR(INDEX('Raw Period DMR Data'!N:N,MATCH(1,(B739='Raw Period DMR Data'!$A:$A)*(U739='Raw Period DMR Data'!M:M)*(X739='Raw Period DMR Data'!C:C),0),1), "N/A")</f>
        <v>N/A</v>
      </c>
      <c r="W739" s="28" t="s">
        <v>1463</v>
      </c>
      <c r="X739" s="28" t="s">
        <v>1921</v>
      </c>
      <c r="Y739" s="28" t="s">
        <v>1922</v>
      </c>
      <c r="Z739" s="302" t="s">
        <v>1923</v>
      </c>
      <c r="AA739" s="28"/>
      <c r="AB739" s="28" t="s">
        <v>1465</v>
      </c>
      <c r="AC739" s="28" t="s">
        <v>1466</v>
      </c>
    </row>
    <row r="740" spans="1:29" x14ac:dyDescent="0.25">
      <c r="A740" s="61">
        <v>110017796330</v>
      </c>
      <c r="B740" s="28">
        <v>2019</v>
      </c>
      <c r="C740" s="68">
        <f t="shared" si="11"/>
        <v>43466</v>
      </c>
      <c r="D740" s="28" t="s">
        <v>1190</v>
      </c>
      <c r="E740" s="28" t="s">
        <v>1920</v>
      </c>
      <c r="F740" s="28" t="s">
        <v>1191</v>
      </c>
      <c r="G740" s="28" t="s">
        <v>491</v>
      </c>
      <c r="H740" s="28">
        <v>17853</v>
      </c>
      <c r="I740" s="28">
        <v>40.725278000000003</v>
      </c>
      <c r="J740" s="28">
        <v>-77.056944000000001</v>
      </c>
      <c r="L740" s="61">
        <v>110017796330</v>
      </c>
      <c r="M740" s="28" t="s">
        <v>265</v>
      </c>
      <c r="N740" s="28">
        <v>3645</v>
      </c>
      <c r="O740" s="28" t="str">
        <f>IFERROR(VLOOKUP(N740, 'SIC &amp; NAICS Codes'!A:B, 2, FALSE), "")</f>
        <v>Residential Electric Lighting Fixtures</v>
      </c>
      <c r="S740" s="28">
        <v>4.3566038181818102E-3</v>
      </c>
      <c r="T740" s="315">
        <f>_xlfn.MAXIFS('Raw Period DMR Data'!$O:$O,'Raw Period DMR Data'!$A:$A,'Raw Annual DMR Data'!B740,'Raw Period DMR Data'!$C:$C,X740)/S740</f>
        <v>0</v>
      </c>
      <c r="U740" s="28" t="str">
        <f>+IF(COUNTIFS('Raw Period DMR Data'!$A:$A,B740, 'Raw Period DMR Data'!C:C,'Raw Annual DMR Data'!X740, 'Raw Period DMR Data'!M:M, "&gt;0")&gt;0,_xlfn.MAXIFS('Raw Period DMR Data'!M:M,'Raw Period DMR Data'!$A:$A,'Raw Annual DMR Data'!B740,'Raw Period DMR Data'!C:C,'Raw Annual DMR Data'!X740), "N/A - Period DMR Data Not Available")</f>
        <v>N/A - Period DMR Data Not Available</v>
      </c>
      <c r="V740" s="28" t="str" cm="1">
        <f t="array" ref="V740">IFERROR(INDEX('Raw Period DMR Data'!N:N,MATCH(1,(B740='Raw Period DMR Data'!$A:$A)*(U740='Raw Period DMR Data'!M:M)*(X740='Raw Period DMR Data'!C:C),0),1), "N/A")</f>
        <v>N/A</v>
      </c>
      <c r="W740" s="28" t="s">
        <v>1463</v>
      </c>
      <c r="X740" s="28" t="s">
        <v>1921</v>
      </c>
      <c r="Y740" s="28" t="s">
        <v>1922</v>
      </c>
      <c r="Z740" s="28">
        <v>2050301000478</v>
      </c>
      <c r="AA740" s="28"/>
      <c r="AB740" s="28" t="s">
        <v>1465</v>
      </c>
      <c r="AC740" s="28" t="s">
        <v>1466</v>
      </c>
    </row>
    <row r="741" spans="1:29" x14ac:dyDescent="0.25">
      <c r="A741" s="61">
        <v>110017796330</v>
      </c>
      <c r="B741" s="28">
        <v>2020</v>
      </c>
      <c r="C741" s="68">
        <f t="shared" si="11"/>
        <v>43831</v>
      </c>
      <c r="D741" s="28" t="s">
        <v>1190</v>
      </c>
      <c r="E741" s="28" t="s">
        <v>1920</v>
      </c>
      <c r="F741" s="28" t="s">
        <v>1191</v>
      </c>
      <c r="G741" s="28" t="s">
        <v>491</v>
      </c>
      <c r="H741" s="28">
        <v>17853</v>
      </c>
      <c r="I741" s="28">
        <v>40.725278000000003</v>
      </c>
      <c r="J741" s="28">
        <v>-77.056944000000001</v>
      </c>
      <c r="L741" s="61">
        <v>110017796330</v>
      </c>
      <c r="M741" s="28" t="s">
        <v>265</v>
      </c>
      <c r="N741" s="28">
        <v>3645</v>
      </c>
      <c r="O741" s="28" t="str">
        <f>IFERROR(VLOOKUP(N741, 'SIC &amp; NAICS Codes'!A:B, 2, FALSE), "")</f>
        <v>Residential Electric Lighting Fixtures</v>
      </c>
      <c r="S741" s="28">
        <v>3.7446897499999999E-3</v>
      </c>
      <c r="T741" s="315">
        <f>_xlfn.MAXIFS('Raw Period DMR Data'!$O:$O,'Raw Period DMR Data'!$A:$A,'Raw Annual DMR Data'!B741,'Raw Period DMR Data'!$C:$C,X741)/S741</f>
        <v>0</v>
      </c>
      <c r="U741" s="28" t="str">
        <f>+IF(COUNTIFS('Raw Period DMR Data'!$A:$A,B741, 'Raw Period DMR Data'!C:C,'Raw Annual DMR Data'!X741, 'Raw Period DMR Data'!M:M, "&gt;0")&gt;0,_xlfn.MAXIFS('Raw Period DMR Data'!M:M,'Raw Period DMR Data'!$A:$A,'Raw Annual DMR Data'!B741,'Raw Period DMR Data'!C:C,'Raw Annual DMR Data'!X741), "N/A - Period DMR Data Not Available")</f>
        <v>N/A - Period DMR Data Not Available</v>
      </c>
      <c r="V741" s="28" t="str" cm="1">
        <f t="array" ref="V741">IFERROR(INDEX('Raw Period DMR Data'!N:N,MATCH(1,(B741='Raw Period DMR Data'!$A:$A)*(U741='Raw Period DMR Data'!M:M)*(X741='Raw Period DMR Data'!C:C),0),1), "N/A")</f>
        <v>N/A</v>
      </c>
      <c r="W741" s="28" t="s">
        <v>1463</v>
      </c>
      <c r="X741" s="28" t="s">
        <v>1921</v>
      </c>
      <c r="Y741" s="28" t="s">
        <v>1922</v>
      </c>
      <c r="Z741" s="28">
        <v>2050301000478</v>
      </c>
      <c r="AA741" s="28"/>
      <c r="AB741" s="28" t="s">
        <v>1465</v>
      </c>
      <c r="AC741" s="28" t="s">
        <v>1466</v>
      </c>
    </row>
    <row r="742" spans="1:29" x14ac:dyDescent="0.25">
      <c r="A742" s="61">
        <v>110000741608</v>
      </c>
      <c r="B742" s="28">
        <v>2015</v>
      </c>
      <c r="C742" s="68">
        <f t="shared" si="11"/>
        <v>42005</v>
      </c>
      <c r="D742" s="28" t="s">
        <v>1192</v>
      </c>
      <c r="E742" s="28" t="s">
        <v>1924</v>
      </c>
      <c r="F742" s="28" t="s">
        <v>323</v>
      </c>
      <c r="G742" s="28" t="s">
        <v>324</v>
      </c>
      <c r="H742" s="28">
        <v>420290037</v>
      </c>
      <c r="I742" s="28">
        <v>37.047736999999998</v>
      </c>
      <c r="J742" s="28">
        <v>-88.35866</v>
      </c>
      <c r="K742" s="28" t="s">
        <v>721</v>
      </c>
      <c r="L742" s="61">
        <v>110000741608</v>
      </c>
      <c r="M742" s="28" t="s">
        <v>265</v>
      </c>
      <c r="N742" s="28">
        <v>2869</v>
      </c>
      <c r="O742" s="28" t="str">
        <f>IFERROR(VLOOKUP(N742, 'SIC &amp; NAICS Codes'!A:B, 2, FALSE), "")</f>
        <v>Industrial Organic Chemicals, NEC (aliphatics)</v>
      </c>
      <c r="S742" s="28">
        <v>4.7176870748299304</v>
      </c>
      <c r="T742" s="315">
        <f>_xlfn.MAXIFS('Raw Period DMR Data'!$O:$O,'Raw Period DMR Data'!$A:$A,'Raw Annual DMR Data'!B742,'Raw Period DMR Data'!$C:$C,X742)/S742</f>
        <v>0</v>
      </c>
      <c r="U742" s="28" t="str">
        <f>+IF(COUNTIFS('Raw Period DMR Data'!$A:$A,B742, 'Raw Period DMR Data'!C:C,'Raw Annual DMR Data'!X742, 'Raw Period DMR Data'!M:M, "&gt;0")&gt;0,_xlfn.MAXIFS('Raw Period DMR Data'!M:M,'Raw Period DMR Data'!$A:$A,'Raw Annual DMR Data'!B742,'Raw Period DMR Data'!C:C,'Raw Annual DMR Data'!X742), "N/A - Period DMR Data Not Available")</f>
        <v>N/A - Period DMR Data Not Available</v>
      </c>
      <c r="V742" s="28" t="str" cm="1">
        <f t="array" ref="V742">IFERROR(INDEX('Raw Period DMR Data'!N:N,MATCH(1,(B742='Raw Period DMR Data'!$A:$A)*(U742='Raw Period DMR Data'!M:M)*(X742='Raw Period DMR Data'!C:C),0),1), "N/A")</f>
        <v>N/A</v>
      </c>
      <c r="W742" s="28" t="s">
        <v>1463</v>
      </c>
      <c r="X742" s="28" t="s">
        <v>1925</v>
      </c>
      <c r="Y742" s="28" t="s">
        <v>1926</v>
      </c>
      <c r="Z742" s="28">
        <v>6040006000329</v>
      </c>
      <c r="AA742" s="28"/>
      <c r="AB742" s="28" t="s">
        <v>1465</v>
      </c>
      <c r="AC742" s="28" t="s">
        <v>1466</v>
      </c>
    </row>
    <row r="743" spans="1:29" x14ac:dyDescent="0.25">
      <c r="A743" s="61">
        <v>110000741608</v>
      </c>
      <c r="B743" s="28">
        <v>2016</v>
      </c>
      <c r="C743" s="68">
        <f t="shared" si="11"/>
        <v>42370</v>
      </c>
      <c r="D743" s="28" t="s">
        <v>1192</v>
      </c>
      <c r="E743" s="28" t="s">
        <v>1924</v>
      </c>
      <c r="F743" s="28" t="s">
        <v>323</v>
      </c>
      <c r="G743" s="28" t="s">
        <v>324</v>
      </c>
      <c r="H743" s="28">
        <v>420290037</v>
      </c>
      <c r="I743" s="28">
        <v>37.047736999999998</v>
      </c>
      <c r="J743" s="28">
        <v>-88.35866</v>
      </c>
      <c r="K743" s="28" t="s">
        <v>721</v>
      </c>
      <c r="L743" s="61">
        <v>110000741608</v>
      </c>
      <c r="M743" s="28" t="s">
        <v>265</v>
      </c>
      <c r="N743" s="28">
        <v>2869</v>
      </c>
      <c r="O743" s="28" t="str">
        <f>IFERROR(VLOOKUP(N743, 'SIC &amp; NAICS Codes'!A:B, 2, FALSE), "")</f>
        <v>Industrial Organic Chemicals, NEC (aliphatics)</v>
      </c>
      <c r="S743" s="28">
        <v>4.5521541950113296</v>
      </c>
      <c r="T743" s="315">
        <f>_xlfn.MAXIFS('Raw Period DMR Data'!$O:$O,'Raw Period DMR Data'!$A:$A,'Raw Annual DMR Data'!B743,'Raw Period DMR Data'!$C:$C,X743)/S743</f>
        <v>0</v>
      </c>
      <c r="U743" s="28" t="str">
        <f>+IF(COUNTIFS('Raw Period DMR Data'!$A:$A,B743, 'Raw Period DMR Data'!C:C,'Raw Annual DMR Data'!X743, 'Raw Period DMR Data'!M:M, "&gt;0")&gt;0,_xlfn.MAXIFS('Raw Period DMR Data'!M:M,'Raw Period DMR Data'!$A:$A,'Raw Annual DMR Data'!B743,'Raw Period DMR Data'!C:C,'Raw Annual DMR Data'!X743), "N/A - Period DMR Data Not Available")</f>
        <v>N/A - Period DMR Data Not Available</v>
      </c>
      <c r="V743" s="28" t="str" cm="1">
        <f t="array" ref="V743">IFERROR(INDEX('Raw Period DMR Data'!N:N,MATCH(1,(B743='Raw Period DMR Data'!$A:$A)*(U743='Raw Period DMR Data'!M:M)*(X743='Raw Period DMR Data'!C:C),0),1), "N/A")</f>
        <v>N/A</v>
      </c>
      <c r="W743" s="28" t="s">
        <v>1463</v>
      </c>
      <c r="X743" s="28" t="s">
        <v>1925</v>
      </c>
      <c r="Y743" s="28" t="s">
        <v>1926</v>
      </c>
      <c r="Z743" s="28">
        <v>6040006000329</v>
      </c>
      <c r="AA743" s="28"/>
      <c r="AB743" s="28" t="s">
        <v>1465</v>
      </c>
      <c r="AC743" s="28" t="s">
        <v>1466</v>
      </c>
    </row>
    <row r="744" spans="1:29" x14ac:dyDescent="0.25">
      <c r="A744" s="61">
        <v>110000741608</v>
      </c>
      <c r="B744" s="28">
        <v>2017</v>
      </c>
      <c r="C744" s="68">
        <f t="shared" si="11"/>
        <v>42736</v>
      </c>
      <c r="D744" s="28" t="s">
        <v>1192</v>
      </c>
      <c r="E744" s="28" t="s">
        <v>1924</v>
      </c>
      <c r="F744" s="28" t="s">
        <v>323</v>
      </c>
      <c r="G744" s="28" t="s">
        <v>324</v>
      </c>
      <c r="H744" s="28">
        <v>420290037</v>
      </c>
      <c r="I744" s="28">
        <v>37.047736999999998</v>
      </c>
      <c r="J744" s="28">
        <v>-88.35866</v>
      </c>
      <c r="K744" s="28" t="s">
        <v>721</v>
      </c>
      <c r="L744" s="61">
        <v>110000741608</v>
      </c>
      <c r="M744" s="28" t="s">
        <v>265</v>
      </c>
      <c r="N744" s="28">
        <v>2869</v>
      </c>
      <c r="O744" s="28" t="str">
        <f>IFERROR(VLOOKUP(N744, 'SIC &amp; NAICS Codes'!A:B, 2, FALSE), "")</f>
        <v>Industrial Organic Chemicals, NEC (aliphatics)</v>
      </c>
      <c r="S744" s="28">
        <v>3.8072562358276598</v>
      </c>
      <c r="T744" s="315">
        <f>_xlfn.MAXIFS('Raw Period DMR Data'!$O:$O,'Raw Period DMR Data'!$A:$A,'Raw Annual DMR Data'!B744,'Raw Period DMR Data'!$C:$C,X744)/S744</f>
        <v>0</v>
      </c>
      <c r="U744" s="28" t="str">
        <f>+IF(COUNTIFS('Raw Period DMR Data'!$A:$A,B744, 'Raw Period DMR Data'!C:C,'Raw Annual DMR Data'!X744, 'Raw Period DMR Data'!M:M, "&gt;0")&gt;0,_xlfn.MAXIFS('Raw Period DMR Data'!M:M,'Raw Period DMR Data'!$A:$A,'Raw Annual DMR Data'!B744,'Raw Period DMR Data'!C:C,'Raw Annual DMR Data'!X744), "N/A - Period DMR Data Not Available")</f>
        <v>N/A - Period DMR Data Not Available</v>
      </c>
      <c r="V744" s="28" t="str" cm="1">
        <f t="array" ref="V744">IFERROR(INDEX('Raw Period DMR Data'!N:N,MATCH(1,(B744='Raw Period DMR Data'!$A:$A)*(U744='Raw Period DMR Data'!M:M)*(X744='Raw Period DMR Data'!C:C),0),1), "N/A")</f>
        <v>N/A</v>
      </c>
      <c r="W744" s="28" t="s">
        <v>1463</v>
      </c>
      <c r="X744" s="28" t="s">
        <v>1925</v>
      </c>
      <c r="Y744" s="28" t="s">
        <v>1926</v>
      </c>
      <c r="Z744" s="28">
        <v>6040006000329</v>
      </c>
      <c r="AA744" s="28"/>
      <c r="AB744" s="28" t="s">
        <v>1465</v>
      </c>
      <c r="AC744" s="28" t="s">
        <v>1466</v>
      </c>
    </row>
    <row r="745" spans="1:29" x14ac:dyDescent="0.25">
      <c r="A745" s="61">
        <v>110000741608</v>
      </c>
      <c r="B745" s="28">
        <v>2018</v>
      </c>
      <c r="C745" s="68">
        <f t="shared" si="11"/>
        <v>43101</v>
      </c>
      <c r="D745" s="28" t="s">
        <v>1192</v>
      </c>
      <c r="E745" s="28" t="s">
        <v>1924</v>
      </c>
      <c r="F745" s="28" t="s">
        <v>323</v>
      </c>
      <c r="G745" s="28" t="s">
        <v>324</v>
      </c>
      <c r="H745" s="28">
        <v>420290037</v>
      </c>
      <c r="I745" s="28">
        <v>37.047736999999998</v>
      </c>
      <c r="J745" s="28">
        <v>-88.35866</v>
      </c>
      <c r="K745" s="28" t="s">
        <v>721</v>
      </c>
      <c r="L745" s="61">
        <v>110000741608</v>
      </c>
      <c r="M745" s="28" t="s">
        <v>265</v>
      </c>
      <c r="N745" s="28">
        <v>2869</v>
      </c>
      <c r="O745" s="28" t="str">
        <f>IFERROR(VLOOKUP(N745, 'SIC &amp; NAICS Codes'!A:B, 2, FALSE), "")</f>
        <v>Industrial Organic Chemicals, NEC (aliphatics)</v>
      </c>
      <c r="S745" s="302">
        <v>4.3038548752834398</v>
      </c>
      <c r="T745" s="315">
        <f>_xlfn.MAXIFS('Raw Period DMR Data'!$O:$O,'Raw Period DMR Data'!$A:$A,'Raw Annual DMR Data'!B745,'Raw Period DMR Data'!$C:$C,X745)/S745</f>
        <v>0</v>
      </c>
      <c r="U745" s="28" t="str">
        <f>+IF(COUNTIFS('Raw Period DMR Data'!$A:$A,B745, 'Raw Period DMR Data'!C:C,'Raw Annual DMR Data'!X745, 'Raw Period DMR Data'!M:M, "&gt;0")&gt;0,_xlfn.MAXIFS('Raw Period DMR Data'!M:M,'Raw Period DMR Data'!$A:$A,'Raw Annual DMR Data'!B745,'Raw Period DMR Data'!C:C,'Raw Annual DMR Data'!X745), "N/A - Period DMR Data Not Available")</f>
        <v>N/A - Period DMR Data Not Available</v>
      </c>
      <c r="V745" s="28" t="str" cm="1">
        <f t="array" ref="V745">IFERROR(INDEX('Raw Period DMR Data'!N:N,MATCH(1,(B745='Raw Period DMR Data'!$A:$A)*(U745='Raw Period DMR Data'!M:M)*(X745='Raw Period DMR Data'!C:C),0),1), "N/A")</f>
        <v>N/A</v>
      </c>
      <c r="W745" s="28" t="s">
        <v>1463</v>
      </c>
      <c r="X745" s="28" t="s">
        <v>1925</v>
      </c>
      <c r="Y745" s="28" t="s">
        <v>1926</v>
      </c>
      <c r="Z745" s="302" t="s">
        <v>1492</v>
      </c>
      <c r="AA745" s="28"/>
      <c r="AB745" s="28" t="s">
        <v>1465</v>
      </c>
      <c r="AC745" s="28" t="s">
        <v>1466</v>
      </c>
    </row>
    <row r="746" spans="1:29" x14ac:dyDescent="0.25">
      <c r="A746" s="61">
        <v>110000741608</v>
      </c>
      <c r="B746" s="28">
        <v>2019</v>
      </c>
      <c r="C746" s="68">
        <f t="shared" si="11"/>
        <v>43466</v>
      </c>
      <c r="D746" s="28" t="s">
        <v>1192</v>
      </c>
      <c r="E746" s="28" t="s">
        <v>1924</v>
      </c>
      <c r="F746" s="28" t="s">
        <v>323</v>
      </c>
      <c r="G746" s="28" t="s">
        <v>324</v>
      </c>
      <c r="H746" s="28">
        <v>420290037</v>
      </c>
      <c r="I746" s="28">
        <v>37.047736999999998</v>
      </c>
      <c r="J746" s="28">
        <v>-88.35866</v>
      </c>
      <c r="K746" s="28" t="s">
        <v>721</v>
      </c>
      <c r="L746" s="61">
        <v>110000741608</v>
      </c>
      <c r="M746" s="28" t="s">
        <v>265</v>
      </c>
      <c r="N746" s="28">
        <v>2869</v>
      </c>
      <c r="O746" s="28" t="str">
        <f>IFERROR(VLOOKUP(N746, 'SIC &amp; NAICS Codes'!A:B, 2, FALSE), "")</f>
        <v>Industrial Organic Chemicals, NEC (aliphatics)</v>
      </c>
      <c r="S746" s="28">
        <v>4.3038548752834398</v>
      </c>
      <c r="T746" s="315">
        <f>_xlfn.MAXIFS('Raw Period DMR Data'!$O:$O,'Raw Period DMR Data'!$A:$A,'Raw Annual DMR Data'!B746,'Raw Period DMR Data'!$C:$C,X746)/S746</f>
        <v>0</v>
      </c>
      <c r="U746" s="28" t="str">
        <f>+IF(COUNTIFS('Raw Period DMR Data'!$A:$A,B746, 'Raw Period DMR Data'!C:C,'Raw Annual DMR Data'!X746, 'Raw Period DMR Data'!M:M, "&gt;0")&gt;0,_xlfn.MAXIFS('Raw Period DMR Data'!M:M,'Raw Period DMR Data'!$A:$A,'Raw Annual DMR Data'!B746,'Raw Period DMR Data'!C:C,'Raw Annual DMR Data'!X746), "N/A - Period DMR Data Not Available")</f>
        <v>N/A - Period DMR Data Not Available</v>
      </c>
      <c r="V746" s="28" t="str" cm="1">
        <f t="array" ref="V746">IFERROR(INDEX('Raw Period DMR Data'!N:N,MATCH(1,(B746='Raw Period DMR Data'!$A:$A)*(U746='Raw Period DMR Data'!M:M)*(X746='Raw Period DMR Data'!C:C),0),1), "N/A")</f>
        <v>N/A</v>
      </c>
      <c r="W746" s="28" t="s">
        <v>1463</v>
      </c>
      <c r="X746" s="28" t="s">
        <v>1925</v>
      </c>
      <c r="Y746" s="28" t="s">
        <v>1926</v>
      </c>
      <c r="Z746" s="28">
        <v>6040006000329</v>
      </c>
      <c r="AA746" s="28"/>
      <c r="AB746" s="28" t="s">
        <v>1465</v>
      </c>
      <c r="AC746" s="28" t="s">
        <v>1466</v>
      </c>
    </row>
    <row r="747" spans="1:29" x14ac:dyDescent="0.25">
      <c r="A747" s="61">
        <v>110000741608</v>
      </c>
      <c r="B747" s="28">
        <v>2020</v>
      </c>
      <c r="C747" s="68">
        <f t="shared" si="11"/>
        <v>43831</v>
      </c>
      <c r="D747" s="28" t="s">
        <v>1192</v>
      </c>
      <c r="E747" s="28" t="s">
        <v>1924</v>
      </c>
      <c r="F747" s="28" t="s">
        <v>323</v>
      </c>
      <c r="G747" s="28" t="s">
        <v>324</v>
      </c>
      <c r="H747" s="28">
        <v>420290037</v>
      </c>
      <c r="I747" s="28">
        <v>37.047736999999998</v>
      </c>
      <c r="J747" s="28">
        <v>-88.35866</v>
      </c>
      <c r="K747" s="28" t="s">
        <v>721</v>
      </c>
      <c r="L747" s="61">
        <v>110000741608</v>
      </c>
      <c r="M747" s="28" t="s">
        <v>265</v>
      </c>
      <c r="N747" s="28">
        <v>2869</v>
      </c>
      <c r="O747" s="28" t="str">
        <f>IFERROR(VLOOKUP(N747, 'SIC &amp; NAICS Codes'!A:B, 2, FALSE), "")</f>
        <v>Industrial Organic Chemicals, NEC (aliphatics)</v>
      </c>
      <c r="S747" s="28">
        <v>5.2970521541950104</v>
      </c>
      <c r="T747" s="315">
        <f>_xlfn.MAXIFS('Raw Period DMR Data'!$O:$O,'Raw Period DMR Data'!$A:$A,'Raw Annual DMR Data'!B747,'Raw Period DMR Data'!$C:$C,X747)/S747</f>
        <v>0</v>
      </c>
      <c r="U747" s="28" t="str">
        <f>+IF(COUNTIFS('Raw Period DMR Data'!$A:$A,B747, 'Raw Period DMR Data'!C:C,'Raw Annual DMR Data'!X747, 'Raw Period DMR Data'!M:M, "&gt;0")&gt;0,_xlfn.MAXIFS('Raw Period DMR Data'!M:M,'Raw Period DMR Data'!$A:$A,'Raw Annual DMR Data'!B747,'Raw Period DMR Data'!C:C,'Raw Annual DMR Data'!X747), "N/A - Period DMR Data Not Available")</f>
        <v>N/A - Period DMR Data Not Available</v>
      </c>
      <c r="V747" s="28" t="str" cm="1">
        <f t="array" ref="V747">IFERROR(INDEX('Raw Period DMR Data'!N:N,MATCH(1,(B747='Raw Period DMR Data'!$A:$A)*(U747='Raw Period DMR Data'!M:M)*(X747='Raw Period DMR Data'!C:C),0),1), "N/A")</f>
        <v>N/A</v>
      </c>
      <c r="W747" s="28" t="s">
        <v>1463</v>
      </c>
      <c r="X747" s="28" t="s">
        <v>1925</v>
      </c>
      <c r="Y747" s="28" t="s">
        <v>1926</v>
      </c>
      <c r="Z747" s="28">
        <v>6040006000329</v>
      </c>
      <c r="AA747" s="28"/>
      <c r="AB747" s="28" t="s">
        <v>1465</v>
      </c>
      <c r="AC747" s="28" t="s">
        <v>1466</v>
      </c>
    </row>
    <row r="748" spans="1:29" x14ac:dyDescent="0.25">
      <c r="A748" s="61">
        <v>110070546877</v>
      </c>
      <c r="B748" s="28">
        <v>2018</v>
      </c>
      <c r="C748" s="68">
        <f t="shared" si="11"/>
        <v>43101</v>
      </c>
      <c r="D748" s="28" t="s">
        <v>1193</v>
      </c>
      <c r="E748" s="28" t="s">
        <v>1927</v>
      </c>
      <c r="F748" s="28" t="s">
        <v>293</v>
      </c>
      <c r="G748" s="28" t="s">
        <v>294</v>
      </c>
      <c r="H748" s="28">
        <v>22203</v>
      </c>
      <c r="I748" s="28">
        <v>38.861800000000002</v>
      </c>
      <c r="J748" s="28">
        <v>-77.086969999999994</v>
      </c>
      <c r="L748" s="61">
        <v>110070546877</v>
      </c>
      <c r="M748" s="28" t="s">
        <v>265</v>
      </c>
      <c r="N748" s="28">
        <v>1794</v>
      </c>
      <c r="O748" s="28" t="str">
        <f>IFERROR(VLOOKUP(N748, 'SIC &amp; NAICS Codes'!A:B, 2, FALSE), "")</f>
        <v>Excavation Work</v>
      </c>
      <c r="S748" s="302">
        <v>9.2994338729999893E-3</v>
      </c>
      <c r="T748" s="315">
        <f>_xlfn.MAXIFS('Raw Period DMR Data'!$O:$O,'Raw Period DMR Data'!$A:$A,'Raw Annual DMR Data'!B748,'Raw Period DMR Data'!$C:$C,X748)/S748</f>
        <v>0</v>
      </c>
      <c r="U748" s="28" t="str">
        <f>+IF(COUNTIFS('Raw Period DMR Data'!$A:$A,B748, 'Raw Period DMR Data'!C:C,'Raw Annual DMR Data'!X748, 'Raw Period DMR Data'!M:M, "&gt;0")&gt;0,_xlfn.MAXIFS('Raw Period DMR Data'!M:M,'Raw Period DMR Data'!$A:$A,'Raw Annual DMR Data'!B748,'Raw Period DMR Data'!C:C,'Raw Annual DMR Data'!X748), "N/A - Period DMR Data Not Available")</f>
        <v>N/A - Period DMR Data Not Available</v>
      </c>
      <c r="V748" s="28" t="str" cm="1">
        <f t="array" ref="V748">IFERROR(INDEX('Raw Period DMR Data'!N:N,MATCH(1,(B748='Raw Period DMR Data'!$A:$A)*(U748='Raw Period DMR Data'!M:M)*(X748='Raw Period DMR Data'!C:C),0),1), "N/A")</f>
        <v>N/A</v>
      </c>
      <c r="W748" s="28" t="s">
        <v>1463</v>
      </c>
      <c r="X748" s="28" t="s">
        <v>1928</v>
      </c>
      <c r="Y748" s="28" t="s">
        <v>1475</v>
      </c>
      <c r="AA748" s="28"/>
      <c r="AB748" s="28" t="s">
        <v>1465</v>
      </c>
      <c r="AC748" s="28" t="s">
        <v>1466</v>
      </c>
    </row>
    <row r="749" spans="1:29" x14ac:dyDescent="0.25">
      <c r="A749" s="61">
        <v>110070546877</v>
      </c>
      <c r="B749" s="28">
        <v>2019</v>
      </c>
      <c r="C749" s="68">
        <f t="shared" si="11"/>
        <v>43466</v>
      </c>
      <c r="D749" s="28" t="s">
        <v>1193</v>
      </c>
      <c r="E749" s="28" t="s">
        <v>1927</v>
      </c>
      <c r="F749" s="28" t="s">
        <v>293</v>
      </c>
      <c r="G749" s="28" t="s">
        <v>294</v>
      </c>
      <c r="H749" s="28">
        <v>22203</v>
      </c>
      <c r="I749" s="28">
        <v>38.861800000000002</v>
      </c>
      <c r="J749" s="28">
        <v>-77.086969999999994</v>
      </c>
      <c r="L749" s="61">
        <v>110070546877</v>
      </c>
      <c r="M749" s="28" t="s">
        <v>265</v>
      </c>
      <c r="N749" s="28">
        <v>1794</v>
      </c>
      <c r="O749" s="28" t="str">
        <f>IFERROR(VLOOKUP(N749, 'SIC &amp; NAICS Codes'!A:B, 2, FALSE), "")</f>
        <v>Excavation Work</v>
      </c>
      <c r="S749" s="28">
        <v>4.4856072849999901E-4</v>
      </c>
      <c r="T749" s="315">
        <f>_xlfn.MAXIFS('Raw Period DMR Data'!$O:$O,'Raw Period DMR Data'!$A:$A,'Raw Annual DMR Data'!B749,'Raw Period DMR Data'!$C:$C,X749)/S749</f>
        <v>0</v>
      </c>
      <c r="U749" s="28" t="str">
        <f>+IF(COUNTIFS('Raw Period DMR Data'!$A:$A,B749, 'Raw Period DMR Data'!C:C,'Raw Annual DMR Data'!X749, 'Raw Period DMR Data'!M:M, "&gt;0")&gt;0,_xlfn.MAXIFS('Raw Period DMR Data'!M:M,'Raw Period DMR Data'!$A:$A,'Raw Annual DMR Data'!B749,'Raw Period DMR Data'!C:C,'Raw Annual DMR Data'!X749), "N/A - Period DMR Data Not Available")</f>
        <v>N/A - Period DMR Data Not Available</v>
      </c>
      <c r="V749" s="28" t="str" cm="1">
        <f t="array" ref="V749">IFERROR(INDEX('Raw Period DMR Data'!N:N,MATCH(1,(B749='Raw Period DMR Data'!$A:$A)*(U749='Raw Period DMR Data'!M:M)*(X749='Raw Period DMR Data'!C:C),0),1), "N/A")</f>
        <v>N/A</v>
      </c>
      <c r="W749" s="28" t="s">
        <v>1463</v>
      </c>
      <c r="X749" s="28" t="s">
        <v>1928</v>
      </c>
      <c r="Y749" s="28" t="s">
        <v>1475</v>
      </c>
      <c r="AA749" s="28"/>
      <c r="AB749" s="28" t="s">
        <v>1465</v>
      </c>
      <c r="AC749" s="28" t="s">
        <v>1466</v>
      </c>
    </row>
    <row r="750" spans="1:29" x14ac:dyDescent="0.25">
      <c r="A750" s="61">
        <v>110070546877</v>
      </c>
      <c r="B750" s="28">
        <v>2020</v>
      </c>
      <c r="C750" s="68">
        <f t="shared" si="11"/>
        <v>43831</v>
      </c>
      <c r="D750" s="28" t="s">
        <v>1193</v>
      </c>
      <c r="E750" s="28" t="s">
        <v>1927</v>
      </c>
      <c r="F750" s="28" t="s">
        <v>293</v>
      </c>
      <c r="G750" s="28" t="s">
        <v>294</v>
      </c>
      <c r="H750" s="28">
        <v>22203</v>
      </c>
      <c r="I750" s="28">
        <v>38.861800000000002</v>
      </c>
      <c r="J750" s="28">
        <v>-77.086969999999994</v>
      </c>
      <c r="L750" s="61">
        <v>110070546877</v>
      </c>
      <c r="M750" s="28" t="s">
        <v>265</v>
      </c>
      <c r="N750" s="28">
        <v>1794</v>
      </c>
      <c r="O750" s="28" t="str">
        <f>IFERROR(VLOOKUP(N750, 'SIC &amp; NAICS Codes'!A:B, 2, FALSE), "")</f>
        <v>Excavation Work</v>
      </c>
      <c r="S750" s="28">
        <v>5.0372218299999901E-4</v>
      </c>
      <c r="T750" s="315">
        <f>_xlfn.MAXIFS('Raw Period DMR Data'!$O:$O,'Raw Period DMR Data'!$A:$A,'Raw Annual DMR Data'!B750,'Raw Period DMR Data'!$C:$C,X750)/S750</f>
        <v>0</v>
      </c>
      <c r="U750" s="28" t="str">
        <f>+IF(COUNTIFS('Raw Period DMR Data'!$A:$A,B750, 'Raw Period DMR Data'!C:C,'Raw Annual DMR Data'!X750, 'Raw Period DMR Data'!M:M, "&gt;0")&gt;0,_xlfn.MAXIFS('Raw Period DMR Data'!M:M,'Raw Period DMR Data'!$A:$A,'Raw Annual DMR Data'!B750,'Raw Period DMR Data'!C:C,'Raw Annual DMR Data'!X750), "N/A - Period DMR Data Not Available")</f>
        <v>N/A - Period DMR Data Not Available</v>
      </c>
      <c r="V750" s="28" t="str" cm="1">
        <f t="array" ref="V750">IFERROR(INDEX('Raw Period DMR Data'!N:N,MATCH(1,(B750='Raw Period DMR Data'!$A:$A)*(U750='Raw Period DMR Data'!M:M)*(X750='Raw Period DMR Data'!C:C),0),1), "N/A")</f>
        <v>N/A</v>
      </c>
      <c r="W750" s="28" t="s">
        <v>1463</v>
      </c>
      <c r="X750" s="28" t="s">
        <v>1928</v>
      </c>
      <c r="Y750" s="28" t="s">
        <v>1475</v>
      </c>
      <c r="AA750" s="28"/>
      <c r="AB750" s="28" t="s">
        <v>1465</v>
      </c>
      <c r="AC750" s="28" t="s">
        <v>1466</v>
      </c>
    </row>
    <row r="751" spans="1:29" x14ac:dyDescent="0.25">
      <c r="A751" s="61">
        <v>110009933402</v>
      </c>
      <c r="B751" s="28">
        <v>2020</v>
      </c>
      <c r="C751" s="68">
        <f t="shared" si="11"/>
        <v>43831</v>
      </c>
      <c r="D751" s="28" t="s">
        <v>1194</v>
      </c>
      <c r="E751" s="28" t="s">
        <v>1929</v>
      </c>
      <c r="F751" s="28" t="s">
        <v>1195</v>
      </c>
      <c r="G751" s="28" t="s">
        <v>324</v>
      </c>
      <c r="H751" s="28">
        <v>40004</v>
      </c>
      <c r="I751" s="28">
        <v>37.780760000000001</v>
      </c>
      <c r="J751" s="28">
        <v>-85.510740999999996</v>
      </c>
      <c r="L751" s="61">
        <v>110009933402</v>
      </c>
      <c r="M751" s="28" t="s">
        <v>263</v>
      </c>
      <c r="N751" s="28">
        <v>4952</v>
      </c>
      <c r="O751" s="28" t="str">
        <f>IFERROR(VLOOKUP(N751, 'SIC &amp; NAICS Codes'!A:B, 2, FALSE), "")</f>
        <v>Sewerage Systems</v>
      </c>
      <c r="S751" s="28">
        <v>1.2212681000000001</v>
      </c>
      <c r="T751" s="315">
        <f>_xlfn.MAXIFS('Raw Period DMR Data'!$O:$O,'Raw Period DMR Data'!$A:$A,'Raw Annual DMR Data'!B751,'Raw Period DMR Data'!$C:$C,X751)/S751</f>
        <v>0</v>
      </c>
      <c r="U751" s="28" t="str">
        <f>+IF(COUNTIFS('Raw Period DMR Data'!$A:$A,B751, 'Raw Period DMR Data'!C:C,'Raw Annual DMR Data'!X751, 'Raw Period DMR Data'!M:M, "&gt;0")&gt;0,_xlfn.MAXIFS('Raw Period DMR Data'!M:M,'Raw Period DMR Data'!$A:$A,'Raw Annual DMR Data'!B751,'Raw Period DMR Data'!C:C,'Raw Annual DMR Data'!X751), "N/A - Period DMR Data Not Available")</f>
        <v>N/A - Period DMR Data Not Available</v>
      </c>
      <c r="V751" s="28" t="str" cm="1">
        <f t="array" ref="V751">IFERROR(INDEX('Raw Period DMR Data'!N:N,MATCH(1,(B751='Raw Period DMR Data'!$A:$A)*(U751='Raw Period DMR Data'!M:M)*(X751='Raw Period DMR Data'!C:C),0),1), "N/A")</f>
        <v>N/A</v>
      </c>
      <c r="W751" s="28" t="s">
        <v>1463</v>
      </c>
      <c r="X751" s="28" t="s">
        <v>1930</v>
      </c>
      <c r="Y751" s="28" t="s">
        <v>1931</v>
      </c>
      <c r="Z751" s="28">
        <v>5140103000201</v>
      </c>
      <c r="AA751" s="28"/>
      <c r="AB751" s="28" t="s">
        <v>1465</v>
      </c>
      <c r="AC751" s="28" t="s">
        <v>263</v>
      </c>
    </row>
    <row r="752" spans="1:29" x14ac:dyDescent="0.25">
      <c r="A752" s="61">
        <v>110000867054</v>
      </c>
      <c r="B752" s="28">
        <v>2015</v>
      </c>
      <c r="C752" s="68">
        <f t="shared" si="11"/>
        <v>42005</v>
      </c>
      <c r="D752" s="28" t="s">
        <v>1196</v>
      </c>
      <c r="E752" s="28" t="s">
        <v>1932</v>
      </c>
      <c r="F752" s="28" t="s">
        <v>1197</v>
      </c>
      <c r="G752" s="28" t="s">
        <v>1171</v>
      </c>
      <c r="H752" s="28" t="s">
        <v>1933</v>
      </c>
      <c r="I752" s="28">
        <v>21.426439999999999</v>
      </c>
      <c r="J752" s="28">
        <v>-157.75324000000001</v>
      </c>
      <c r="L752" s="61">
        <v>110000867054</v>
      </c>
      <c r="M752" s="28" t="s">
        <v>263</v>
      </c>
      <c r="N752" s="28">
        <v>4952</v>
      </c>
      <c r="O752" s="28" t="str">
        <f>IFERROR(VLOOKUP(N752, 'SIC &amp; NAICS Codes'!A:B, 2, FALSE), "")</f>
        <v>Sewerage Systems</v>
      </c>
      <c r="S752" s="28">
        <v>0.3657504546</v>
      </c>
      <c r="T752" s="315">
        <f>_xlfn.MAXIFS('Raw Period DMR Data'!$O:$O,'Raw Period DMR Data'!$A:$A,'Raw Annual DMR Data'!B752,'Raw Period DMR Data'!$C:$C,X752)/S752</f>
        <v>0</v>
      </c>
      <c r="U752" s="28" t="str">
        <f>+IF(COUNTIFS('Raw Period DMR Data'!$A:$A,B752, 'Raw Period DMR Data'!C:C,'Raw Annual DMR Data'!X752, 'Raw Period DMR Data'!M:M, "&gt;0")&gt;0,_xlfn.MAXIFS('Raw Period DMR Data'!M:M,'Raw Period DMR Data'!$A:$A,'Raw Annual DMR Data'!B752,'Raw Period DMR Data'!C:C,'Raw Annual DMR Data'!X752), "N/A - Period DMR Data Not Available")</f>
        <v>N/A - Period DMR Data Not Available</v>
      </c>
      <c r="V752" s="28" t="str" cm="1">
        <f t="array" ref="V752">IFERROR(INDEX('Raw Period DMR Data'!N:N,MATCH(1,(B752='Raw Period DMR Data'!$A:$A)*(U752='Raw Period DMR Data'!M:M)*(X752='Raw Period DMR Data'!C:C),0),1), "N/A")</f>
        <v>N/A</v>
      </c>
      <c r="W752" s="28" t="s">
        <v>1463</v>
      </c>
      <c r="X752" s="28" t="s">
        <v>1934</v>
      </c>
      <c r="Y752" s="28" t="s">
        <v>926</v>
      </c>
      <c r="Z752" s="28">
        <v>20060000001124</v>
      </c>
      <c r="AA752" s="28"/>
      <c r="AB752" s="28" t="s">
        <v>1465</v>
      </c>
      <c r="AC752" s="28" t="s">
        <v>1466</v>
      </c>
    </row>
    <row r="753" spans="1:29" x14ac:dyDescent="0.25">
      <c r="A753" s="61">
        <v>110010062699</v>
      </c>
      <c r="B753" s="28">
        <v>2017</v>
      </c>
      <c r="C753" s="68">
        <f t="shared" si="11"/>
        <v>42736</v>
      </c>
      <c r="D753" s="28" t="s">
        <v>1198</v>
      </c>
      <c r="E753" s="28" t="s">
        <v>1935</v>
      </c>
      <c r="F753" s="28" t="s">
        <v>1199</v>
      </c>
      <c r="G753" s="28" t="s">
        <v>374</v>
      </c>
      <c r="H753" s="28">
        <v>86033</v>
      </c>
      <c r="I753" s="28">
        <v>36.733111000000001</v>
      </c>
      <c r="J753" s="28">
        <v>-110.230611</v>
      </c>
      <c r="L753" s="61">
        <v>110010062699</v>
      </c>
      <c r="M753" s="28" t="s">
        <v>263</v>
      </c>
      <c r="N753" s="28">
        <v>4952</v>
      </c>
      <c r="O753" s="28" t="str">
        <f>IFERROR(VLOOKUP(N753, 'SIC &amp; NAICS Codes'!A:B, 2, FALSE), "")</f>
        <v>Sewerage Systems</v>
      </c>
      <c r="S753" s="28">
        <v>0.40605479999999999</v>
      </c>
      <c r="T753" s="315">
        <f>_xlfn.MAXIFS('Raw Period DMR Data'!$O:$O,'Raw Period DMR Data'!$A:$A,'Raw Annual DMR Data'!B753,'Raw Period DMR Data'!$C:$C,X753)/S753</f>
        <v>0</v>
      </c>
      <c r="U753" s="28" t="str">
        <f>+IF(COUNTIFS('Raw Period DMR Data'!$A:$A,B753, 'Raw Period DMR Data'!C:C,'Raw Annual DMR Data'!X753, 'Raw Period DMR Data'!M:M, "&gt;0")&gt;0,_xlfn.MAXIFS('Raw Period DMR Data'!M:M,'Raw Period DMR Data'!$A:$A,'Raw Annual DMR Data'!B753,'Raw Period DMR Data'!C:C,'Raw Annual DMR Data'!X753), "N/A - Period DMR Data Not Available")</f>
        <v>N/A - Period DMR Data Not Available</v>
      </c>
      <c r="V753" s="28" t="str" cm="1">
        <f t="array" ref="V753">IFERROR(INDEX('Raw Period DMR Data'!N:N,MATCH(1,(B753='Raw Period DMR Data'!$A:$A)*(U753='Raw Period DMR Data'!M:M)*(X753='Raw Period DMR Data'!C:C),0),1), "N/A")</f>
        <v>N/A</v>
      </c>
      <c r="W753" s="28" t="s">
        <v>1463</v>
      </c>
      <c r="X753" s="28" t="s">
        <v>1936</v>
      </c>
      <c r="Y753" s="28" t="s">
        <v>1937</v>
      </c>
      <c r="Z753" s="28">
        <v>14080204000704</v>
      </c>
      <c r="AA753" s="28"/>
      <c r="AB753" s="28" t="s">
        <v>1465</v>
      </c>
      <c r="AC753" s="28" t="s">
        <v>263</v>
      </c>
    </row>
    <row r="754" spans="1:29" x14ac:dyDescent="0.25">
      <c r="A754" s="61">
        <v>110010062699</v>
      </c>
      <c r="B754" s="28">
        <v>2018</v>
      </c>
      <c r="C754" s="68">
        <f t="shared" si="11"/>
        <v>43101</v>
      </c>
      <c r="D754" s="28" t="s">
        <v>1198</v>
      </c>
      <c r="E754" s="28" t="s">
        <v>1935</v>
      </c>
      <c r="F754" s="28" t="s">
        <v>1199</v>
      </c>
      <c r="G754" s="28" t="s">
        <v>374</v>
      </c>
      <c r="H754" s="28">
        <v>86033</v>
      </c>
      <c r="I754" s="28">
        <v>36.733111000000001</v>
      </c>
      <c r="J754" s="28">
        <v>-110.230611</v>
      </c>
      <c r="L754" s="61">
        <v>110010062699</v>
      </c>
      <c r="M754" s="28" t="s">
        <v>263</v>
      </c>
      <c r="N754" s="28">
        <v>4952</v>
      </c>
      <c r="O754" s="28" t="str">
        <f>IFERROR(VLOOKUP(N754, 'SIC &amp; NAICS Codes'!A:B, 2, FALSE), "")</f>
        <v>Sewerage Systems</v>
      </c>
      <c r="S754" s="28">
        <v>0.57108080000000006</v>
      </c>
      <c r="T754" s="315">
        <f>_xlfn.MAXIFS('Raw Period DMR Data'!$O:$O,'Raw Period DMR Data'!$A:$A,'Raw Annual DMR Data'!B754,'Raw Period DMR Data'!$C:$C,X754)/S754</f>
        <v>0</v>
      </c>
      <c r="U754" s="28" t="str">
        <f>+IF(COUNTIFS('Raw Period DMR Data'!$A:$A,B754, 'Raw Period DMR Data'!C:C,'Raw Annual DMR Data'!X754, 'Raw Period DMR Data'!M:M, "&gt;0")&gt;0,_xlfn.MAXIFS('Raw Period DMR Data'!M:M,'Raw Period DMR Data'!$A:$A,'Raw Annual DMR Data'!B754,'Raw Period DMR Data'!C:C,'Raw Annual DMR Data'!X754), "N/A - Period DMR Data Not Available")</f>
        <v>N/A - Period DMR Data Not Available</v>
      </c>
      <c r="V754" s="28" t="str" cm="1">
        <f t="array" ref="V754">IFERROR(INDEX('Raw Period DMR Data'!N:N,MATCH(1,(B754='Raw Period DMR Data'!$A:$A)*(U754='Raw Period DMR Data'!M:M)*(X754='Raw Period DMR Data'!C:C),0),1), "N/A")</f>
        <v>N/A</v>
      </c>
      <c r="W754" s="28" t="s">
        <v>1463</v>
      </c>
      <c r="X754" s="28" t="s">
        <v>1936</v>
      </c>
      <c r="Y754" s="28" t="s">
        <v>1937</v>
      </c>
      <c r="Z754" s="28">
        <v>14080204000704</v>
      </c>
      <c r="AA754" s="28"/>
      <c r="AB754" s="28" t="s">
        <v>1465</v>
      </c>
      <c r="AC754" s="28" t="s">
        <v>263</v>
      </c>
    </row>
    <row r="755" spans="1:29" x14ac:dyDescent="0.25">
      <c r="A755" s="61">
        <v>110000599479</v>
      </c>
      <c r="B755" s="28">
        <v>2015</v>
      </c>
      <c r="C755" s="68">
        <f t="shared" si="11"/>
        <v>42005</v>
      </c>
      <c r="D755" s="28" t="s">
        <v>166</v>
      </c>
      <c r="E755" s="28" t="s">
        <v>537</v>
      </c>
      <c r="F755" s="28" t="s">
        <v>538</v>
      </c>
      <c r="G755" s="28" t="s">
        <v>362</v>
      </c>
      <c r="H755" s="28">
        <v>77578</v>
      </c>
      <c r="I755" s="28">
        <v>29.458400000000001</v>
      </c>
      <c r="J755" s="28">
        <v>-95.330399999999997</v>
      </c>
      <c r="K755" s="28" t="s">
        <v>539</v>
      </c>
      <c r="L755" s="61">
        <v>110000599479</v>
      </c>
      <c r="M755" s="28" t="s">
        <v>251</v>
      </c>
      <c r="N755" s="28">
        <v>2869</v>
      </c>
      <c r="O755" s="28" t="str">
        <f>IFERROR(VLOOKUP(N755, 'SIC &amp; NAICS Codes'!A:B, 2, FALSE), "")</f>
        <v>Industrial Organic Chemicals, NEC (aliphatics)</v>
      </c>
      <c r="S755" s="28">
        <v>1.6553287981859399E-2</v>
      </c>
      <c r="T755" s="315">
        <f>_xlfn.MAXIFS('Raw Period DMR Data'!$O:$O,'Raw Period DMR Data'!$A:$A,'Raw Annual DMR Data'!B755,'Raw Period DMR Data'!$C:$C,X755)/S755</f>
        <v>0</v>
      </c>
      <c r="U755" s="28" t="str">
        <f>+IF(COUNTIFS('Raw Period DMR Data'!$A:$A,B755, 'Raw Period DMR Data'!C:C,'Raw Annual DMR Data'!X755, 'Raw Period DMR Data'!M:M, "&gt;0")&gt;0,_xlfn.MAXIFS('Raw Period DMR Data'!M:M,'Raw Period DMR Data'!$A:$A,'Raw Annual DMR Data'!B755,'Raw Period DMR Data'!C:C,'Raw Annual DMR Data'!X755), "N/A - Period DMR Data Not Available")</f>
        <v>N/A - Period DMR Data Not Available</v>
      </c>
      <c r="V755" s="28" t="str" cm="1">
        <f t="array" ref="V755">IFERROR(INDEX('Raw Period DMR Data'!N:N,MATCH(1,(B755='Raw Period DMR Data'!$A:$A)*(U755='Raw Period DMR Data'!M:M)*(X755='Raw Period DMR Data'!C:C),0),1), "N/A")</f>
        <v>N/A</v>
      </c>
      <c r="W755" s="28" t="s">
        <v>1463</v>
      </c>
      <c r="X755" s="28" t="s">
        <v>890</v>
      </c>
      <c r="Y755" s="28" t="s">
        <v>891</v>
      </c>
      <c r="Z755" s="61">
        <v>12040204000953</v>
      </c>
    </row>
    <row r="756" spans="1:29" x14ac:dyDescent="0.25">
      <c r="A756" s="61">
        <v>110000599479</v>
      </c>
      <c r="B756" s="28">
        <v>2016</v>
      </c>
      <c r="C756" s="68">
        <f t="shared" si="11"/>
        <v>42370</v>
      </c>
      <c r="D756" s="28" t="s">
        <v>166</v>
      </c>
      <c r="E756" s="28" t="s">
        <v>537</v>
      </c>
      <c r="F756" s="28" t="s">
        <v>538</v>
      </c>
      <c r="G756" s="28" t="s">
        <v>362</v>
      </c>
      <c r="H756" s="28">
        <v>77578</v>
      </c>
      <c r="I756" s="28">
        <v>29.458400000000001</v>
      </c>
      <c r="J756" s="28">
        <v>-95.330399999999997</v>
      </c>
      <c r="K756" s="28" t="s">
        <v>539</v>
      </c>
      <c r="L756" s="61">
        <v>110000599479</v>
      </c>
      <c r="M756" s="28" t="s">
        <v>251</v>
      </c>
      <c r="N756" s="28">
        <v>2869</v>
      </c>
      <c r="O756" s="28" t="str">
        <f>IFERROR(VLOOKUP(N756, 'SIC &amp; NAICS Codes'!A:B, 2, FALSE), "")</f>
        <v>Industrial Organic Chemicals, NEC (aliphatics)</v>
      </c>
      <c r="S756" s="28">
        <v>1.6553287981859399E-2</v>
      </c>
      <c r="T756" s="315">
        <f>_xlfn.MAXIFS('Raw Period DMR Data'!$O:$O,'Raw Period DMR Data'!$A:$A,'Raw Annual DMR Data'!B756,'Raw Period DMR Data'!$C:$C,X756)/S756</f>
        <v>0</v>
      </c>
      <c r="U756" s="28" t="str">
        <f>+IF(COUNTIFS('Raw Period DMR Data'!$A:$A,B756, 'Raw Period DMR Data'!C:C,'Raw Annual DMR Data'!X756, 'Raw Period DMR Data'!M:M, "&gt;0")&gt;0,_xlfn.MAXIFS('Raw Period DMR Data'!M:M,'Raw Period DMR Data'!$A:$A,'Raw Annual DMR Data'!B756,'Raw Period DMR Data'!C:C,'Raw Annual DMR Data'!X756), "N/A - Period DMR Data Not Available")</f>
        <v>N/A - Period DMR Data Not Available</v>
      </c>
      <c r="V756" s="28" t="str" cm="1">
        <f t="array" ref="V756">IFERROR(INDEX('Raw Period DMR Data'!N:N,MATCH(1,(B756='Raw Period DMR Data'!$A:$A)*(U756='Raw Period DMR Data'!M:M)*(X756='Raw Period DMR Data'!C:C),0),1), "N/A")</f>
        <v>N/A</v>
      </c>
      <c r="W756" s="28" t="s">
        <v>1463</v>
      </c>
      <c r="X756" s="28" t="s">
        <v>890</v>
      </c>
      <c r="Y756" s="28" t="s">
        <v>891</v>
      </c>
      <c r="Z756" s="61">
        <v>12040204000953</v>
      </c>
      <c r="AA756" s="28"/>
    </row>
    <row r="757" spans="1:29" x14ac:dyDescent="0.25">
      <c r="A757" s="61">
        <v>110000599479</v>
      </c>
      <c r="B757" s="28">
        <v>2016</v>
      </c>
      <c r="C757" s="68">
        <f t="shared" si="11"/>
        <v>42370</v>
      </c>
      <c r="D757" s="28" t="s">
        <v>166</v>
      </c>
      <c r="E757" s="28" t="s">
        <v>537</v>
      </c>
      <c r="F757" s="28" t="s">
        <v>538</v>
      </c>
      <c r="G757" s="28" t="s">
        <v>362</v>
      </c>
      <c r="H757" s="28">
        <v>77578</v>
      </c>
      <c r="I757" s="28">
        <v>29.458400000000001</v>
      </c>
      <c r="J757" s="28">
        <v>-95.330399999999997</v>
      </c>
      <c r="K757" s="28" t="s">
        <v>539</v>
      </c>
      <c r="L757" s="61">
        <v>110000599479</v>
      </c>
      <c r="M757" s="28" t="s">
        <v>251</v>
      </c>
      <c r="N757" s="28">
        <v>2869</v>
      </c>
      <c r="O757" s="28" t="str">
        <f>IFERROR(VLOOKUP(N757, 'SIC &amp; NAICS Codes'!A:B, 2, FALSE), "")</f>
        <v>Industrial Organic Chemicals, NEC (aliphatics)</v>
      </c>
      <c r="S757" s="28">
        <v>1.6553287981859399E-2</v>
      </c>
      <c r="T757" s="315">
        <f>_xlfn.MAXIFS('Raw Period DMR Data'!$O:$O,'Raw Period DMR Data'!$A:$A,'Raw Annual DMR Data'!B757,'Raw Period DMR Data'!$C:$C,X757)/S757</f>
        <v>0</v>
      </c>
      <c r="U757" s="28" t="str">
        <f>+IF(COUNTIFS('Raw Period DMR Data'!$A:$A,B757, 'Raw Period DMR Data'!C:C,'Raw Annual DMR Data'!X757, 'Raw Period DMR Data'!M:M, "&gt;0")&gt;0,_xlfn.MAXIFS('Raw Period DMR Data'!M:M,'Raw Period DMR Data'!$A:$A,'Raw Annual DMR Data'!B757,'Raw Period DMR Data'!C:C,'Raw Annual DMR Data'!X757), "N/A - Period DMR Data Not Available")</f>
        <v>N/A - Period DMR Data Not Available</v>
      </c>
      <c r="V757" s="28" t="str" cm="1">
        <f t="array" ref="V757">IFERROR(INDEX('Raw Period DMR Data'!N:N,MATCH(1,(B757='Raw Period DMR Data'!$A:$A)*(U757='Raw Period DMR Data'!M:M)*(X757='Raw Period DMR Data'!C:C),0),1), "N/A")</f>
        <v>N/A</v>
      </c>
      <c r="W757" s="28" t="s">
        <v>1463</v>
      </c>
      <c r="X757" s="28" t="s">
        <v>890</v>
      </c>
      <c r="Y757" s="28" t="s">
        <v>891</v>
      </c>
      <c r="Z757" s="61">
        <v>12040204000953</v>
      </c>
      <c r="AA757" s="28"/>
    </row>
    <row r="758" spans="1:29" x14ac:dyDescent="0.25">
      <c r="A758" s="61">
        <v>110000599479</v>
      </c>
      <c r="B758" s="28">
        <v>2017</v>
      </c>
      <c r="C758" s="68">
        <f t="shared" si="11"/>
        <v>42736</v>
      </c>
      <c r="D758" s="28" t="s">
        <v>166</v>
      </c>
      <c r="E758" s="28" t="s">
        <v>537</v>
      </c>
      <c r="F758" s="28" t="s">
        <v>538</v>
      </c>
      <c r="G758" s="28" t="s">
        <v>362</v>
      </c>
      <c r="H758" s="28">
        <v>77578</v>
      </c>
      <c r="I758" s="28">
        <v>29.458400000000001</v>
      </c>
      <c r="J758" s="28">
        <v>-95.330399999999997</v>
      </c>
      <c r="K758" s="28" t="s">
        <v>539</v>
      </c>
      <c r="L758" s="61">
        <v>110000599479</v>
      </c>
      <c r="M758" s="28" t="s">
        <v>251</v>
      </c>
      <c r="N758" s="28">
        <v>2869</v>
      </c>
      <c r="O758" s="28" t="str">
        <f>IFERROR(VLOOKUP(N758, 'SIC &amp; NAICS Codes'!A:B, 2, FALSE), "")</f>
        <v>Industrial Organic Chemicals, NEC (aliphatics)</v>
      </c>
      <c r="S758" s="28">
        <v>1.6553287981859399E-2</v>
      </c>
      <c r="T758" s="315">
        <f>_xlfn.MAXIFS('Raw Period DMR Data'!$O:$O,'Raw Period DMR Data'!$A:$A,'Raw Annual DMR Data'!B758,'Raw Period DMR Data'!$C:$C,X758)/S758</f>
        <v>0</v>
      </c>
      <c r="U758" s="28" t="str">
        <f>+IF(COUNTIFS('Raw Period DMR Data'!$A:$A,B758, 'Raw Period DMR Data'!C:C,'Raw Annual DMR Data'!X758, 'Raw Period DMR Data'!M:M, "&gt;0")&gt;0,_xlfn.MAXIFS('Raw Period DMR Data'!M:M,'Raw Period DMR Data'!$A:$A,'Raw Annual DMR Data'!B758,'Raw Period DMR Data'!C:C,'Raw Annual DMR Data'!X758), "N/A - Period DMR Data Not Available")</f>
        <v>N/A - Period DMR Data Not Available</v>
      </c>
      <c r="V758" s="28" t="str" cm="1">
        <f t="array" ref="V758">IFERROR(INDEX('Raw Period DMR Data'!N:N,MATCH(1,(B758='Raw Period DMR Data'!$A:$A)*(U758='Raw Period DMR Data'!M:M)*(X758='Raw Period DMR Data'!C:C),0),1), "N/A")</f>
        <v>N/A</v>
      </c>
      <c r="W758" s="28" t="s">
        <v>1463</v>
      </c>
      <c r="X758" s="28" t="s">
        <v>890</v>
      </c>
      <c r="Y758" s="28" t="s">
        <v>891</v>
      </c>
      <c r="Z758" s="61">
        <v>12040204000953</v>
      </c>
      <c r="AA758" s="28"/>
    </row>
    <row r="759" spans="1:29" x14ac:dyDescent="0.25">
      <c r="A759" s="61">
        <v>110000599479</v>
      </c>
      <c r="B759" s="28">
        <v>2017</v>
      </c>
      <c r="C759" s="68">
        <f t="shared" si="11"/>
        <v>42736</v>
      </c>
      <c r="D759" s="28" t="s">
        <v>166</v>
      </c>
      <c r="E759" s="28" t="s">
        <v>537</v>
      </c>
      <c r="F759" s="28" t="s">
        <v>538</v>
      </c>
      <c r="G759" s="28" t="s">
        <v>362</v>
      </c>
      <c r="H759" s="28">
        <v>77578</v>
      </c>
      <c r="I759" s="28">
        <v>29.458400000000001</v>
      </c>
      <c r="J759" s="28">
        <v>-95.330399999999997</v>
      </c>
      <c r="K759" s="28" t="s">
        <v>539</v>
      </c>
      <c r="L759" s="61">
        <v>110000599479</v>
      </c>
      <c r="M759" s="28" t="s">
        <v>251</v>
      </c>
      <c r="N759" s="28">
        <v>2869</v>
      </c>
      <c r="O759" s="28" t="str">
        <f>IFERROR(VLOOKUP(N759, 'SIC &amp; NAICS Codes'!A:B, 2, FALSE), "")</f>
        <v>Industrial Organic Chemicals, NEC (aliphatics)</v>
      </c>
      <c r="S759" s="28">
        <v>1.6553287981859399E-2</v>
      </c>
      <c r="T759" s="315">
        <f>_xlfn.MAXIFS('Raw Period DMR Data'!$O:$O,'Raw Period DMR Data'!$A:$A,'Raw Annual DMR Data'!B759,'Raw Period DMR Data'!$C:$C,X759)/S759</f>
        <v>0</v>
      </c>
      <c r="U759" s="28" t="str">
        <f>+IF(COUNTIFS('Raw Period DMR Data'!$A:$A,B759, 'Raw Period DMR Data'!C:C,'Raw Annual DMR Data'!X759, 'Raw Period DMR Data'!M:M, "&gt;0")&gt;0,_xlfn.MAXIFS('Raw Period DMR Data'!M:M,'Raw Period DMR Data'!$A:$A,'Raw Annual DMR Data'!B759,'Raw Period DMR Data'!C:C,'Raw Annual DMR Data'!X759), "N/A - Period DMR Data Not Available")</f>
        <v>N/A - Period DMR Data Not Available</v>
      </c>
      <c r="V759" s="28" t="str" cm="1">
        <f t="array" ref="V759">IFERROR(INDEX('Raw Period DMR Data'!N:N,MATCH(1,(B759='Raw Period DMR Data'!$A:$A)*(U759='Raw Period DMR Data'!M:M)*(X759='Raw Period DMR Data'!C:C),0),1), "N/A")</f>
        <v>N/A</v>
      </c>
      <c r="W759" s="28" t="s">
        <v>1463</v>
      </c>
      <c r="X759" s="28" t="s">
        <v>890</v>
      </c>
      <c r="Y759" s="28" t="s">
        <v>891</v>
      </c>
      <c r="Z759" s="61">
        <v>12040204000953</v>
      </c>
      <c r="AA759" s="28"/>
    </row>
    <row r="760" spans="1:29" x14ac:dyDescent="0.25">
      <c r="A760" s="61">
        <v>110000599479</v>
      </c>
      <c r="B760" s="28">
        <v>2018</v>
      </c>
      <c r="C760" s="68">
        <f t="shared" si="11"/>
        <v>43101</v>
      </c>
      <c r="D760" s="28" t="s">
        <v>166</v>
      </c>
      <c r="E760" s="28" t="s">
        <v>537</v>
      </c>
      <c r="F760" s="28" t="s">
        <v>538</v>
      </c>
      <c r="G760" s="28" t="s">
        <v>362</v>
      </c>
      <c r="H760" s="28">
        <v>77578</v>
      </c>
      <c r="I760" s="28">
        <v>29.458400000000001</v>
      </c>
      <c r="J760" s="28">
        <v>-95.330399999999997</v>
      </c>
      <c r="K760" s="28" t="s">
        <v>539</v>
      </c>
      <c r="L760" s="61">
        <v>110000599479</v>
      </c>
      <c r="M760" s="28" t="s">
        <v>251</v>
      </c>
      <c r="N760" s="28">
        <v>2869</v>
      </c>
      <c r="O760" s="28" t="str">
        <f>IFERROR(VLOOKUP(N760, 'SIC &amp; NAICS Codes'!A:B, 2, FALSE), "")</f>
        <v>Industrial Organic Chemicals, NEC (aliphatics)</v>
      </c>
      <c r="S760" s="28">
        <v>1.6553287981859399E-2</v>
      </c>
      <c r="T760" s="315">
        <f>_xlfn.MAXIFS('Raw Period DMR Data'!$O:$O,'Raw Period DMR Data'!$A:$A,'Raw Annual DMR Data'!B760,'Raw Period DMR Data'!$C:$C,X760)/S760</f>
        <v>0</v>
      </c>
      <c r="U760" s="28" t="str">
        <f>+IF(COUNTIFS('Raw Period DMR Data'!$A:$A,B760, 'Raw Period DMR Data'!C:C,'Raw Annual DMR Data'!X760, 'Raw Period DMR Data'!M:M, "&gt;0")&gt;0,_xlfn.MAXIFS('Raw Period DMR Data'!M:M,'Raw Period DMR Data'!$A:$A,'Raw Annual DMR Data'!B760,'Raw Period DMR Data'!C:C,'Raw Annual DMR Data'!X760), "N/A - Period DMR Data Not Available")</f>
        <v>N/A - Period DMR Data Not Available</v>
      </c>
      <c r="V760" s="28" t="str" cm="1">
        <f t="array" ref="V760">IFERROR(INDEX('Raw Period DMR Data'!N:N,MATCH(1,(B760='Raw Period DMR Data'!$A:$A)*(U760='Raw Period DMR Data'!M:M)*(X760='Raw Period DMR Data'!C:C),0),1), "N/A")</f>
        <v>N/A</v>
      </c>
      <c r="W760" s="28" t="s">
        <v>1463</v>
      </c>
      <c r="X760" s="28" t="s">
        <v>890</v>
      </c>
      <c r="Y760" s="28" t="s">
        <v>891</v>
      </c>
      <c r="Z760" s="61">
        <v>12040204000953</v>
      </c>
    </row>
    <row r="761" spans="1:29" x14ac:dyDescent="0.25">
      <c r="A761" s="61">
        <v>110000599479</v>
      </c>
      <c r="B761" s="28">
        <v>2018</v>
      </c>
      <c r="C761" s="68">
        <f t="shared" si="11"/>
        <v>43101</v>
      </c>
      <c r="D761" s="28" t="s">
        <v>166</v>
      </c>
      <c r="E761" s="28" t="s">
        <v>537</v>
      </c>
      <c r="F761" s="28" t="s">
        <v>538</v>
      </c>
      <c r="G761" s="28" t="s">
        <v>362</v>
      </c>
      <c r="H761" s="28">
        <v>77578</v>
      </c>
      <c r="I761" s="28">
        <v>29.458400000000001</v>
      </c>
      <c r="J761" s="28">
        <v>-95.330399999999997</v>
      </c>
      <c r="K761" s="28" t="s">
        <v>539</v>
      </c>
      <c r="L761" s="61">
        <v>110000599479</v>
      </c>
      <c r="M761" s="28" t="s">
        <v>251</v>
      </c>
      <c r="N761" s="28">
        <v>2869</v>
      </c>
      <c r="O761" s="28" t="str">
        <f>IFERROR(VLOOKUP(N761, 'SIC &amp; NAICS Codes'!A:B, 2, FALSE), "")</f>
        <v>Industrial Organic Chemicals, NEC (aliphatics)</v>
      </c>
      <c r="S761" s="28">
        <v>1.6553287981859399E-2</v>
      </c>
      <c r="T761" s="315">
        <f>_xlfn.MAXIFS('Raw Period DMR Data'!$O:$O,'Raw Period DMR Data'!$A:$A,'Raw Annual DMR Data'!B761,'Raw Period DMR Data'!$C:$C,X761)/S761</f>
        <v>0</v>
      </c>
      <c r="U761" s="28" t="str">
        <f>+IF(COUNTIFS('Raw Period DMR Data'!$A:$A,B761, 'Raw Period DMR Data'!C:C,'Raw Annual DMR Data'!X761, 'Raw Period DMR Data'!M:M, "&gt;0")&gt;0,_xlfn.MAXIFS('Raw Period DMR Data'!M:M,'Raw Period DMR Data'!$A:$A,'Raw Annual DMR Data'!B761,'Raw Period DMR Data'!C:C,'Raw Annual DMR Data'!X761), "N/A - Period DMR Data Not Available")</f>
        <v>N/A - Period DMR Data Not Available</v>
      </c>
      <c r="V761" s="28" t="str" cm="1">
        <f t="array" ref="V761">IFERROR(INDEX('Raw Period DMR Data'!N:N,MATCH(1,(B761='Raw Period DMR Data'!$A:$A)*(U761='Raw Period DMR Data'!M:M)*(X761='Raw Period DMR Data'!C:C),0),1), "N/A")</f>
        <v>N/A</v>
      </c>
      <c r="W761" s="28" t="s">
        <v>1463</v>
      </c>
      <c r="X761" s="28" t="s">
        <v>890</v>
      </c>
      <c r="Y761" s="28" t="s">
        <v>891</v>
      </c>
      <c r="Z761" s="61">
        <v>12040204000953</v>
      </c>
    </row>
    <row r="762" spans="1:29" x14ac:dyDescent="0.25">
      <c r="A762" s="61">
        <v>110000599479</v>
      </c>
      <c r="B762" s="28">
        <v>2020</v>
      </c>
      <c r="C762" s="68">
        <f t="shared" si="11"/>
        <v>43831</v>
      </c>
      <c r="D762" s="28" t="s">
        <v>166</v>
      </c>
      <c r="E762" s="28" t="s">
        <v>537</v>
      </c>
      <c r="F762" s="28" t="s">
        <v>538</v>
      </c>
      <c r="G762" s="28" t="s">
        <v>362</v>
      </c>
      <c r="H762" s="28">
        <v>77578</v>
      </c>
      <c r="I762" s="28">
        <v>29.458400000000001</v>
      </c>
      <c r="J762" s="28">
        <v>-95.330399999999997</v>
      </c>
      <c r="K762" s="28" t="s">
        <v>539</v>
      </c>
      <c r="L762" s="61">
        <v>110000599479</v>
      </c>
      <c r="M762" s="28" t="s">
        <v>251</v>
      </c>
      <c r="N762" s="28">
        <v>2869</v>
      </c>
      <c r="O762" s="28" t="str">
        <f>IFERROR(VLOOKUP(N762, 'SIC &amp; NAICS Codes'!A:B, 2, FALSE), "")</f>
        <v>Industrial Organic Chemicals, NEC (aliphatics)</v>
      </c>
      <c r="S762" s="28">
        <v>1.6553287981859399E-2</v>
      </c>
      <c r="T762" s="315">
        <f>_xlfn.MAXIFS('Raw Period DMR Data'!$O:$O,'Raw Period DMR Data'!$A:$A,'Raw Annual DMR Data'!B762,'Raw Period DMR Data'!$C:$C,X762)/S762</f>
        <v>0</v>
      </c>
      <c r="U762" s="28" t="str">
        <f>+IF(COUNTIFS('Raw Period DMR Data'!$A:$A,B762, 'Raw Period DMR Data'!C:C,'Raw Annual DMR Data'!X762, 'Raw Period DMR Data'!M:M, "&gt;0")&gt;0,_xlfn.MAXIFS('Raw Period DMR Data'!M:M,'Raw Period DMR Data'!$A:$A,'Raw Annual DMR Data'!B762,'Raw Period DMR Data'!C:C,'Raw Annual DMR Data'!X762), "N/A - Period DMR Data Not Available")</f>
        <v>N/A - Period DMR Data Not Available</v>
      </c>
      <c r="V762" s="28" t="str" cm="1">
        <f t="array" ref="V762">IFERROR(INDEX('Raw Period DMR Data'!N:N,MATCH(1,(B762='Raw Period DMR Data'!$A:$A)*(U762='Raw Period DMR Data'!M:M)*(X762='Raw Period DMR Data'!C:C),0),1), "N/A")</f>
        <v>N/A</v>
      </c>
      <c r="W762" s="28" t="s">
        <v>1463</v>
      </c>
      <c r="X762" s="28" t="s">
        <v>890</v>
      </c>
      <c r="Y762" s="28" t="s">
        <v>891</v>
      </c>
      <c r="Z762" s="61">
        <v>12040204000953</v>
      </c>
    </row>
    <row r="763" spans="1:29" x14ac:dyDescent="0.25">
      <c r="A763" s="61">
        <v>110000599479</v>
      </c>
      <c r="B763" s="28">
        <v>2020</v>
      </c>
      <c r="C763" s="68">
        <f t="shared" si="11"/>
        <v>43831</v>
      </c>
      <c r="D763" s="28" t="s">
        <v>166</v>
      </c>
      <c r="E763" s="28" t="s">
        <v>537</v>
      </c>
      <c r="F763" s="28" t="s">
        <v>538</v>
      </c>
      <c r="G763" s="28" t="s">
        <v>362</v>
      </c>
      <c r="H763" s="28">
        <v>77578</v>
      </c>
      <c r="I763" s="28">
        <v>29.458400000000001</v>
      </c>
      <c r="J763" s="28">
        <v>-95.330399999999997</v>
      </c>
      <c r="K763" s="28" t="s">
        <v>539</v>
      </c>
      <c r="L763" s="61">
        <v>110000599479</v>
      </c>
      <c r="M763" s="28" t="s">
        <v>251</v>
      </c>
      <c r="N763" s="28">
        <v>2869</v>
      </c>
      <c r="O763" s="28" t="str">
        <f>IFERROR(VLOOKUP(N763, 'SIC &amp; NAICS Codes'!A:B, 2, FALSE), "")</f>
        <v>Industrial Organic Chemicals, NEC (aliphatics)</v>
      </c>
      <c r="S763" s="28">
        <v>1.48979591836734E-2</v>
      </c>
      <c r="T763" s="315">
        <f>_xlfn.MAXIFS('Raw Period DMR Data'!$O:$O,'Raw Period DMR Data'!$A:$A,'Raw Annual DMR Data'!B763,'Raw Period DMR Data'!$C:$C,X763)/S763</f>
        <v>0</v>
      </c>
      <c r="U763" s="28" t="str">
        <f>+IF(COUNTIFS('Raw Period DMR Data'!$A:$A,B763, 'Raw Period DMR Data'!C:C,'Raw Annual DMR Data'!X763, 'Raw Period DMR Data'!M:M, "&gt;0")&gt;0,_xlfn.MAXIFS('Raw Period DMR Data'!M:M,'Raw Period DMR Data'!$A:$A,'Raw Annual DMR Data'!B763,'Raw Period DMR Data'!C:C,'Raw Annual DMR Data'!X763), "N/A - Period DMR Data Not Available")</f>
        <v>N/A - Period DMR Data Not Available</v>
      </c>
      <c r="V763" s="28" t="str" cm="1">
        <f t="array" ref="V763">IFERROR(INDEX('Raw Period DMR Data'!N:N,MATCH(1,(B763='Raw Period DMR Data'!$A:$A)*(U763='Raw Period DMR Data'!M:M)*(X763='Raw Period DMR Data'!C:C),0),1), "N/A")</f>
        <v>N/A</v>
      </c>
      <c r="W763" s="28" t="s">
        <v>1463</v>
      </c>
      <c r="X763" s="28" t="s">
        <v>890</v>
      </c>
      <c r="Y763" s="28" t="s">
        <v>891</v>
      </c>
      <c r="Z763" s="61">
        <v>12040204000953</v>
      </c>
    </row>
    <row r="764" spans="1:29" x14ac:dyDescent="0.25">
      <c r="A764" s="61">
        <v>110009938737</v>
      </c>
      <c r="B764" s="28">
        <v>2019</v>
      </c>
      <c r="C764" s="68">
        <f t="shared" si="11"/>
        <v>43466</v>
      </c>
      <c r="D764" s="28" t="s">
        <v>1200</v>
      </c>
      <c r="E764" s="28" t="s">
        <v>1938</v>
      </c>
      <c r="F764" s="28" t="s">
        <v>1201</v>
      </c>
      <c r="G764" s="28" t="s">
        <v>324</v>
      </c>
      <c r="H764" s="28">
        <v>40359</v>
      </c>
      <c r="I764" s="28">
        <v>38.540579999999999</v>
      </c>
      <c r="J764" s="28">
        <v>-84.835340000000002</v>
      </c>
      <c r="L764" s="61">
        <v>110009938737</v>
      </c>
      <c r="M764" s="28" t="s">
        <v>263</v>
      </c>
      <c r="N764" s="28">
        <v>4952</v>
      </c>
      <c r="O764" s="28" t="str">
        <f>IFERROR(VLOOKUP(N764, 'SIC &amp; NAICS Codes'!A:B, 2, FALSE), "")</f>
        <v>Sewerage Systems</v>
      </c>
      <c r="S764" s="28">
        <v>0.65795128125000002</v>
      </c>
      <c r="T764" s="315">
        <f>_xlfn.MAXIFS('Raw Period DMR Data'!$O:$O,'Raw Period DMR Data'!$A:$A,'Raw Annual DMR Data'!B764,'Raw Period DMR Data'!$C:$C,X764)/S764</f>
        <v>0</v>
      </c>
      <c r="U764" s="28" t="str">
        <f>+IF(COUNTIFS('Raw Period DMR Data'!$A:$A,B764, 'Raw Period DMR Data'!C:C,'Raw Annual DMR Data'!X764, 'Raw Period DMR Data'!M:M, "&gt;0")&gt;0,_xlfn.MAXIFS('Raw Period DMR Data'!M:M,'Raw Period DMR Data'!$A:$A,'Raw Annual DMR Data'!B764,'Raw Period DMR Data'!C:C,'Raw Annual DMR Data'!X764), "N/A - Period DMR Data Not Available")</f>
        <v>N/A - Period DMR Data Not Available</v>
      </c>
      <c r="V764" s="28" t="str" cm="1">
        <f t="array" ref="V764">IFERROR(INDEX('Raw Period DMR Data'!N:N,MATCH(1,(B764='Raw Period DMR Data'!$A:$A)*(U764='Raw Period DMR Data'!M:M)*(X764='Raw Period DMR Data'!C:C),0),1), "N/A")</f>
        <v>N/A</v>
      </c>
      <c r="W764" s="28" t="s">
        <v>1463</v>
      </c>
      <c r="X764" s="28" t="s">
        <v>1939</v>
      </c>
      <c r="Y764" s="28" t="s">
        <v>1940</v>
      </c>
      <c r="Z764" s="28">
        <v>5100205000633</v>
      </c>
      <c r="AA764" s="28"/>
      <c r="AB764" s="28" t="s">
        <v>1465</v>
      </c>
      <c r="AC764" s="28" t="s">
        <v>1466</v>
      </c>
    </row>
    <row r="765" spans="1:29" x14ac:dyDescent="0.25">
      <c r="A765" s="61">
        <v>110000538525</v>
      </c>
      <c r="B765" s="28">
        <v>2015</v>
      </c>
      <c r="C765" s="68">
        <f t="shared" si="11"/>
        <v>42005</v>
      </c>
      <c r="D765" s="28" t="s">
        <v>1202</v>
      </c>
      <c r="E765" s="28" t="s">
        <v>1941</v>
      </c>
      <c r="F765" s="28" t="s">
        <v>1203</v>
      </c>
      <c r="G765" s="28" t="s">
        <v>491</v>
      </c>
      <c r="H765" s="28">
        <v>15774</v>
      </c>
      <c r="I765" s="28">
        <v>40.660400000000003</v>
      </c>
      <c r="J765" s="28">
        <v>-79.341099999999997</v>
      </c>
      <c r="K765" s="28" t="s">
        <v>722</v>
      </c>
      <c r="L765" s="61">
        <v>110000538525</v>
      </c>
      <c r="M765" s="28" t="s">
        <v>265</v>
      </c>
      <c r="N765" s="28">
        <v>4911</v>
      </c>
      <c r="O765" s="28" t="str">
        <f>IFERROR(VLOOKUP(N765, 'SIC &amp; NAICS Codes'!A:B, 2, FALSE), "")</f>
        <v>Electric Services (hydroelectric power generation)</v>
      </c>
      <c r="S765" s="28">
        <v>2.7619438337500002</v>
      </c>
      <c r="T765" s="315">
        <f>_xlfn.MAXIFS('Raw Period DMR Data'!$O:$O,'Raw Period DMR Data'!$A:$A,'Raw Annual DMR Data'!B765,'Raw Period DMR Data'!$C:$C,X765)/S765</f>
        <v>0</v>
      </c>
      <c r="U765" s="28" t="str">
        <f>+IF(COUNTIFS('Raw Period DMR Data'!$A:$A,B765, 'Raw Period DMR Data'!C:C,'Raw Annual DMR Data'!X765, 'Raw Period DMR Data'!M:M, "&gt;0")&gt;0,_xlfn.MAXIFS('Raw Period DMR Data'!M:M,'Raw Period DMR Data'!$A:$A,'Raw Annual DMR Data'!B765,'Raw Period DMR Data'!C:C,'Raw Annual DMR Data'!X765), "N/A - Period DMR Data Not Available")</f>
        <v>N/A - Period DMR Data Not Available</v>
      </c>
      <c r="V765" s="28" t="str" cm="1">
        <f t="array" ref="V765">IFERROR(INDEX('Raw Period DMR Data'!N:N,MATCH(1,(B765='Raw Period DMR Data'!$A:$A)*(U765='Raw Period DMR Data'!M:M)*(X765='Raw Period DMR Data'!C:C),0),1), "N/A")</f>
        <v>N/A</v>
      </c>
      <c r="W765" s="28" t="s">
        <v>1463</v>
      </c>
      <c r="X765" s="28" t="s">
        <v>1942</v>
      </c>
      <c r="Y765" s="28" t="s">
        <v>1943</v>
      </c>
      <c r="Z765" s="28">
        <v>5010006001748</v>
      </c>
      <c r="AA765" s="28"/>
      <c r="AB765" s="28" t="s">
        <v>1465</v>
      </c>
      <c r="AC765" s="28" t="s">
        <v>1466</v>
      </c>
    </row>
    <row r="766" spans="1:29" x14ac:dyDescent="0.25">
      <c r="A766" s="61">
        <v>110000538525</v>
      </c>
      <c r="B766" s="28">
        <v>2016</v>
      </c>
      <c r="C766" s="68">
        <f t="shared" si="11"/>
        <v>42370</v>
      </c>
      <c r="D766" s="28" t="s">
        <v>1202</v>
      </c>
      <c r="E766" s="28" t="s">
        <v>1941</v>
      </c>
      <c r="F766" s="28" t="s">
        <v>1203</v>
      </c>
      <c r="G766" s="28" t="s">
        <v>491</v>
      </c>
      <c r="H766" s="28">
        <v>15774</v>
      </c>
      <c r="I766" s="28">
        <v>40.660400000000003</v>
      </c>
      <c r="J766" s="28">
        <v>-79.341099999999997</v>
      </c>
      <c r="K766" s="28" t="s">
        <v>722</v>
      </c>
      <c r="L766" s="61">
        <v>110000538525</v>
      </c>
      <c r="M766" s="28" t="s">
        <v>265</v>
      </c>
      <c r="N766" s="28">
        <v>4911</v>
      </c>
      <c r="O766" s="28" t="str">
        <f>IFERROR(VLOOKUP(N766, 'SIC &amp; NAICS Codes'!A:B, 2, FALSE), "")</f>
        <v>Electric Services (hydroelectric power generation)</v>
      </c>
      <c r="S766" s="28">
        <v>2.5975007237500001</v>
      </c>
      <c r="T766" s="315">
        <f>_xlfn.MAXIFS('Raw Period DMR Data'!$O:$O,'Raw Period DMR Data'!$A:$A,'Raw Annual DMR Data'!B766,'Raw Period DMR Data'!$C:$C,X766)/S766</f>
        <v>0</v>
      </c>
      <c r="U766" s="28" t="str">
        <f>+IF(COUNTIFS('Raw Period DMR Data'!$A:$A,B766, 'Raw Period DMR Data'!C:C,'Raw Annual DMR Data'!X766, 'Raw Period DMR Data'!M:M, "&gt;0")&gt;0,_xlfn.MAXIFS('Raw Period DMR Data'!M:M,'Raw Period DMR Data'!$A:$A,'Raw Annual DMR Data'!B766,'Raw Period DMR Data'!C:C,'Raw Annual DMR Data'!X766), "N/A - Period DMR Data Not Available")</f>
        <v>N/A - Period DMR Data Not Available</v>
      </c>
      <c r="V766" s="28" t="str" cm="1">
        <f t="array" ref="V766">IFERROR(INDEX('Raw Period DMR Data'!N:N,MATCH(1,(B766='Raw Period DMR Data'!$A:$A)*(U766='Raw Period DMR Data'!M:M)*(X766='Raw Period DMR Data'!C:C),0),1), "N/A")</f>
        <v>N/A</v>
      </c>
      <c r="W766" s="28" t="s">
        <v>1463</v>
      </c>
      <c r="X766" s="28" t="s">
        <v>1942</v>
      </c>
      <c r="Y766" s="28" t="s">
        <v>1943</v>
      </c>
      <c r="Z766" s="28">
        <v>5010006001748</v>
      </c>
      <c r="AA766" s="28"/>
      <c r="AB766" s="28" t="s">
        <v>1465</v>
      </c>
      <c r="AC766" s="28" t="s">
        <v>1466</v>
      </c>
    </row>
    <row r="767" spans="1:29" x14ac:dyDescent="0.25">
      <c r="A767" s="61">
        <v>110000538525</v>
      </c>
      <c r="B767" s="28">
        <v>2017</v>
      </c>
      <c r="C767" s="68">
        <f t="shared" si="11"/>
        <v>42736</v>
      </c>
      <c r="D767" s="28" t="s">
        <v>1202</v>
      </c>
      <c r="E767" s="28" t="s">
        <v>1941</v>
      </c>
      <c r="F767" s="28" t="s">
        <v>1203</v>
      </c>
      <c r="G767" s="28" t="s">
        <v>491</v>
      </c>
      <c r="H767" s="28">
        <v>15774</v>
      </c>
      <c r="I767" s="28">
        <v>40.660400000000003</v>
      </c>
      <c r="J767" s="28">
        <v>-79.341099999999997</v>
      </c>
      <c r="K767" s="28" t="s">
        <v>722</v>
      </c>
      <c r="L767" s="61">
        <v>110000538525</v>
      </c>
      <c r="M767" s="28" t="s">
        <v>265</v>
      </c>
      <c r="N767" s="28">
        <v>4911</v>
      </c>
      <c r="O767" s="28" t="str">
        <f>IFERROR(VLOOKUP(N767, 'SIC &amp; NAICS Codes'!A:B, 2, FALSE), "")</f>
        <v>Electric Services (hydroelectric power generation)</v>
      </c>
      <c r="S767" s="28">
        <v>2.8546734950000001</v>
      </c>
      <c r="T767" s="315">
        <f>_xlfn.MAXIFS('Raw Period DMR Data'!$O:$O,'Raw Period DMR Data'!$A:$A,'Raw Annual DMR Data'!B767,'Raw Period DMR Data'!$C:$C,X767)/S767</f>
        <v>0</v>
      </c>
      <c r="U767" s="28" t="str">
        <f>+IF(COUNTIFS('Raw Period DMR Data'!$A:$A,B767, 'Raw Period DMR Data'!C:C,'Raw Annual DMR Data'!X767, 'Raw Period DMR Data'!M:M, "&gt;0")&gt;0,_xlfn.MAXIFS('Raw Period DMR Data'!M:M,'Raw Period DMR Data'!$A:$A,'Raw Annual DMR Data'!B767,'Raw Period DMR Data'!C:C,'Raw Annual DMR Data'!X767), "N/A - Period DMR Data Not Available")</f>
        <v>N/A - Period DMR Data Not Available</v>
      </c>
      <c r="V767" s="28" t="str" cm="1">
        <f t="array" ref="V767">IFERROR(INDEX('Raw Period DMR Data'!N:N,MATCH(1,(B767='Raw Period DMR Data'!$A:$A)*(U767='Raw Period DMR Data'!M:M)*(X767='Raw Period DMR Data'!C:C),0),1), "N/A")</f>
        <v>N/A</v>
      </c>
      <c r="W767" s="28" t="s">
        <v>1463</v>
      </c>
      <c r="X767" s="28" t="s">
        <v>1942</v>
      </c>
      <c r="Y767" s="28" t="s">
        <v>1943</v>
      </c>
      <c r="Z767" s="28">
        <v>5010006001748</v>
      </c>
      <c r="AA767" s="28"/>
      <c r="AB767" s="28" t="s">
        <v>1465</v>
      </c>
      <c r="AC767" s="28" t="s">
        <v>1466</v>
      </c>
    </row>
    <row r="768" spans="1:29" x14ac:dyDescent="0.25">
      <c r="A768" s="61">
        <v>110000538525</v>
      </c>
      <c r="B768" s="28">
        <v>2018</v>
      </c>
      <c r="C768" s="68">
        <f t="shared" si="11"/>
        <v>43101</v>
      </c>
      <c r="D768" s="28" t="s">
        <v>1202</v>
      </c>
      <c r="E768" s="28" t="s">
        <v>1941</v>
      </c>
      <c r="F768" s="28" t="s">
        <v>1203</v>
      </c>
      <c r="G768" s="28" t="s">
        <v>491</v>
      </c>
      <c r="H768" s="28">
        <v>15774</v>
      </c>
      <c r="I768" s="28">
        <v>40.660400000000003</v>
      </c>
      <c r="J768" s="28">
        <v>-79.341099999999997</v>
      </c>
      <c r="K768" s="28" t="s">
        <v>722</v>
      </c>
      <c r="L768" s="61">
        <v>110000538525</v>
      </c>
      <c r="M768" s="28" t="s">
        <v>265</v>
      </c>
      <c r="N768" s="28">
        <v>4911</v>
      </c>
      <c r="O768" s="28" t="str">
        <f>IFERROR(VLOOKUP(N768, 'SIC &amp; NAICS Codes'!A:B, 2, FALSE), "")</f>
        <v>Electric Services (hydroelectric power generation)</v>
      </c>
      <c r="S768" s="28">
        <v>3.1764978512500002</v>
      </c>
      <c r="T768" s="315">
        <f>_xlfn.MAXIFS('Raw Period DMR Data'!$O:$O,'Raw Period DMR Data'!$A:$A,'Raw Annual DMR Data'!B768,'Raw Period DMR Data'!$C:$C,X768)/S768</f>
        <v>0</v>
      </c>
      <c r="U768" s="28" t="str">
        <f>+IF(COUNTIFS('Raw Period DMR Data'!$A:$A,B768, 'Raw Period DMR Data'!C:C,'Raw Annual DMR Data'!X768, 'Raw Period DMR Data'!M:M, "&gt;0")&gt;0,_xlfn.MAXIFS('Raw Period DMR Data'!M:M,'Raw Period DMR Data'!$A:$A,'Raw Annual DMR Data'!B768,'Raw Period DMR Data'!C:C,'Raw Annual DMR Data'!X768), "N/A - Period DMR Data Not Available")</f>
        <v>N/A - Period DMR Data Not Available</v>
      </c>
      <c r="V768" s="28" t="str" cm="1">
        <f t="array" ref="V768">IFERROR(INDEX('Raw Period DMR Data'!N:N,MATCH(1,(B768='Raw Period DMR Data'!$A:$A)*(U768='Raw Period DMR Data'!M:M)*(X768='Raw Period DMR Data'!C:C),0),1), "N/A")</f>
        <v>N/A</v>
      </c>
      <c r="W768" s="28" t="s">
        <v>1463</v>
      </c>
      <c r="X768" s="28" t="s">
        <v>1942</v>
      </c>
      <c r="Y768" s="28" t="s">
        <v>1943</v>
      </c>
      <c r="Z768" s="302" t="s">
        <v>1944</v>
      </c>
      <c r="AA768" s="28"/>
      <c r="AB768" s="28" t="s">
        <v>1465</v>
      </c>
      <c r="AC768" s="28" t="s">
        <v>1466</v>
      </c>
    </row>
    <row r="769" spans="1:29" x14ac:dyDescent="0.25">
      <c r="A769" s="61">
        <v>110015944077</v>
      </c>
      <c r="B769" s="28">
        <v>2017</v>
      </c>
      <c r="C769" s="68">
        <f t="shared" si="11"/>
        <v>42736</v>
      </c>
      <c r="D769" s="28" t="s">
        <v>1204</v>
      </c>
      <c r="E769" s="28" t="s">
        <v>1945</v>
      </c>
      <c r="F769" s="28" t="s">
        <v>1205</v>
      </c>
      <c r="G769" s="28" t="s">
        <v>374</v>
      </c>
      <c r="H769" s="28">
        <v>86401</v>
      </c>
      <c r="I769" s="28">
        <v>35.296455000000002</v>
      </c>
      <c r="J769" s="28">
        <v>-113.935008</v>
      </c>
      <c r="L769" s="61">
        <v>110015944077</v>
      </c>
      <c r="M769" s="28" t="s">
        <v>263</v>
      </c>
      <c r="N769" s="28">
        <v>4952</v>
      </c>
      <c r="O769" s="28" t="str">
        <f>IFERROR(VLOOKUP(N769, 'SIC &amp; NAICS Codes'!A:B, 2, FALSE), "")</f>
        <v>Sewerage Systems</v>
      </c>
      <c r="S769" s="28">
        <v>2.256030325E-3</v>
      </c>
      <c r="T769" s="315">
        <f>_xlfn.MAXIFS('Raw Period DMR Data'!$O:$O,'Raw Period DMR Data'!$A:$A,'Raw Annual DMR Data'!B769,'Raw Period DMR Data'!$C:$C,X769)/S769</f>
        <v>0</v>
      </c>
      <c r="U769" s="28" t="str">
        <f>+IF(COUNTIFS('Raw Period DMR Data'!$A:$A,B769, 'Raw Period DMR Data'!C:C,'Raw Annual DMR Data'!X769, 'Raw Period DMR Data'!M:M, "&gt;0")&gt;0,_xlfn.MAXIFS('Raw Period DMR Data'!M:M,'Raw Period DMR Data'!$A:$A,'Raw Annual DMR Data'!B769,'Raw Period DMR Data'!C:C,'Raw Annual DMR Data'!X769), "N/A - Period DMR Data Not Available")</f>
        <v>N/A - Period DMR Data Not Available</v>
      </c>
      <c r="V769" s="28" t="str" cm="1">
        <f t="array" ref="V769">IFERROR(INDEX('Raw Period DMR Data'!N:N,MATCH(1,(B769='Raw Period DMR Data'!$A:$A)*(U769='Raw Period DMR Data'!M:M)*(X769='Raw Period DMR Data'!C:C),0),1), "N/A")</f>
        <v>N/A</v>
      </c>
      <c r="W769" s="28" t="s">
        <v>1463</v>
      </c>
      <c r="X769" s="28" t="s">
        <v>1946</v>
      </c>
      <c r="Z769" s="28">
        <v>15060106000281</v>
      </c>
      <c r="AA769" s="28"/>
      <c r="AB769" s="28" t="s">
        <v>1465</v>
      </c>
      <c r="AC769" s="28" t="s">
        <v>263</v>
      </c>
    </row>
    <row r="770" spans="1:29" x14ac:dyDescent="0.25">
      <c r="A770" s="61">
        <v>110015944077</v>
      </c>
      <c r="B770" s="28">
        <v>2018</v>
      </c>
      <c r="C770" s="68">
        <f t="shared" si="11"/>
        <v>43101</v>
      </c>
      <c r="D770" s="28" t="s">
        <v>1204</v>
      </c>
      <c r="E770" s="28" t="s">
        <v>1945</v>
      </c>
      <c r="F770" s="28" t="s">
        <v>1205</v>
      </c>
      <c r="G770" s="28" t="s">
        <v>374</v>
      </c>
      <c r="H770" s="28">
        <v>86401</v>
      </c>
      <c r="I770" s="28">
        <v>35.296455000000002</v>
      </c>
      <c r="J770" s="28">
        <v>-113.935008</v>
      </c>
      <c r="L770" s="61">
        <v>110015944077</v>
      </c>
      <c r="M770" s="28" t="s">
        <v>263</v>
      </c>
      <c r="N770" s="28">
        <v>4952</v>
      </c>
      <c r="O770" s="28" t="str">
        <f>IFERROR(VLOOKUP(N770, 'SIC &amp; NAICS Codes'!A:B, 2, FALSE), "")</f>
        <v>Sewerage Systems</v>
      </c>
      <c r="S770" s="28">
        <v>2.3997089250000001</v>
      </c>
      <c r="T770" s="315">
        <f>_xlfn.MAXIFS('Raw Period DMR Data'!$O:$O,'Raw Period DMR Data'!$A:$A,'Raw Annual DMR Data'!B770,'Raw Period DMR Data'!$C:$C,X770)/S770</f>
        <v>0</v>
      </c>
      <c r="U770" s="28" t="str">
        <f>+IF(COUNTIFS('Raw Period DMR Data'!$A:$A,B770, 'Raw Period DMR Data'!C:C,'Raw Annual DMR Data'!X770, 'Raw Period DMR Data'!M:M, "&gt;0")&gt;0,_xlfn.MAXIFS('Raw Period DMR Data'!M:M,'Raw Period DMR Data'!$A:$A,'Raw Annual DMR Data'!B770,'Raw Period DMR Data'!C:C,'Raw Annual DMR Data'!X770), "N/A - Period DMR Data Not Available")</f>
        <v>N/A - Period DMR Data Not Available</v>
      </c>
      <c r="V770" s="28" t="str" cm="1">
        <f t="array" ref="V770">IFERROR(INDEX('Raw Period DMR Data'!N:N,MATCH(1,(B770='Raw Period DMR Data'!$A:$A)*(U770='Raw Period DMR Data'!M:M)*(X770='Raw Period DMR Data'!C:C),0),1), "N/A")</f>
        <v>N/A</v>
      </c>
      <c r="W770" s="28" t="s">
        <v>1463</v>
      </c>
      <c r="X770" s="28" t="s">
        <v>1946</v>
      </c>
      <c r="Z770" s="28">
        <v>15060106000281</v>
      </c>
      <c r="AA770" s="28"/>
      <c r="AB770" s="28" t="s">
        <v>1465</v>
      </c>
      <c r="AC770" s="28" t="s">
        <v>263</v>
      </c>
    </row>
    <row r="771" spans="1:29" x14ac:dyDescent="0.25">
      <c r="A771" s="61">
        <v>110002108059</v>
      </c>
      <c r="B771" s="28">
        <v>2018</v>
      </c>
      <c r="C771" s="68">
        <f t="shared" ref="C771:C834" si="12">DATE(B771, 1, 1)</f>
        <v>43101</v>
      </c>
      <c r="D771" s="28" t="s">
        <v>1206</v>
      </c>
      <c r="E771" s="28" t="s">
        <v>1947</v>
      </c>
      <c r="F771" s="28" t="s">
        <v>1207</v>
      </c>
      <c r="G771" s="28" t="s">
        <v>324</v>
      </c>
      <c r="H771" s="28">
        <v>40031</v>
      </c>
      <c r="I771" s="28">
        <v>38.391995999999999</v>
      </c>
      <c r="J771" s="28">
        <v>-85.416021999999998</v>
      </c>
      <c r="L771" s="61">
        <v>110002108059</v>
      </c>
      <c r="M771" s="28" t="s">
        <v>263</v>
      </c>
      <c r="N771" s="28">
        <v>9223</v>
      </c>
      <c r="O771" s="28" t="str">
        <f>IFERROR(VLOOKUP(N771, 'SIC &amp; NAICS Codes'!A:B, 2, FALSE), "")</f>
        <v>Correctional Institutions</v>
      </c>
      <c r="S771" s="28">
        <v>2.7526885624999999</v>
      </c>
      <c r="T771" s="315">
        <f>_xlfn.MAXIFS('Raw Period DMR Data'!$O:$O,'Raw Period DMR Data'!$A:$A,'Raw Annual DMR Data'!B771,'Raw Period DMR Data'!$C:$C,X771)/S771</f>
        <v>0</v>
      </c>
      <c r="U771" s="28" t="str">
        <f>+IF(COUNTIFS('Raw Period DMR Data'!$A:$A,B771, 'Raw Period DMR Data'!C:C,'Raw Annual DMR Data'!X771, 'Raw Period DMR Data'!M:M, "&gt;0")&gt;0,_xlfn.MAXIFS('Raw Period DMR Data'!M:M,'Raw Period DMR Data'!$A:$A,'Raw Annual DMR Data'!B771,'Raw Period DMR Data'!C:C,'Raw Annual DMR Data'!X771), "N/A - Period DMR Data Not Available")</f>
        <v>N/A - Period DMR Data Not Available</v>
      </c>
      <c r="V771" s="28" t="str" cm="1">
        <f t="array" ref="V771">IFERROR(INDEX('Raw Period DMR Data'!N:N,MATCH(1,(B771='Raw Period DMR Data'!$A:$A)*(U771='Raw Period DMR Data'!M:M)*(X771='Raw Period DMR Data'!C:C),0),1), "N/A")</f>
        <v>N/A</v>
      </c>
      <c r="W771" s="28" t="s">
        <v>1463</v>
      </c>
      <c r="X771" s="28" t="s">
        <v>1948</v>
      </c>
      <c r="Y771" s="28" t="s">
        <v>1949</v>
      </c>
      <c r="Z771" s="302" t="s">
        <v>1950</v>
      </c>
      <c r="AA771" s="28"/>
      <c r="AB771" s="28" t="s">
        <v>1465</v>
      </c>
      <c r="AC771" s="28" t="s">
        <v>263</v>
      </c>
    </row>
    <row r="772" spans="1:29" x14ac:dyDescent="0.25">
      <c r="A772" s="61">
        <v>110002108059</v>
      </c>
      <c r="B772" s="28">
        <v>2020</v>
      </c>
      <c r="C772" s="68">
        <f t="shared" si="12"/>
        <v>43831</v>
      </c>
      <c r="D772" s="28" t="s">
        <v>1206</v>
      </c>
      <c r="E772" s="28" t="s">
        <v>1947</v>
      </c>
      <c r="F772" s="28" t="s">
        <v>1207</v>
      </c>
      <c r="G772" s="28" t="s">
        <v>324</v>
      </c>
      <c r="H772" s="28">
        <v>40031</v>
      </c>
      <c r="I772" s="28">
        <v>38.391995999999999</v>
      </c>
      <c r="J772" s="28">
        <v>-85.416021999999998</v>
      </c>
      <c r="L772" s="61">
        <v>110002108059</v>
      </c>
      <c r="M772" s="28" t="s">
        <v>263</v>
      </c>
      <c r="N772" s="28">
        <v>9223</v>
      </c>
      <c r="O772" s="28" t="str">
        <f>IFERROR(VLOOKUP(N772, 'SIC &amp; NAICS Codes'!A:B, 2, FALSE), "")</f>
        <v>Correctional Institutions</v>
      </c>
      <c r="S772" s="28">
        <v>2.1137332500000001</v>
      </c>
      <c r="T772" s="315">
        <f>_xlfn.MAXIFS('Raw Period DMR Data'!$O:$O,'Raw Period DMR Data'!$A:$A,'Raw Annual DMR Data'!B772,'Raw Period DMR Data'!$C:$C,X772)/S772</f>
        <v>0</v>
      </c>
      <c r="U772" s="28" t="str">
        <f>+IF(COUNTIFS('Raw Period DMR Data'!$A:$A,B772, 'Raw Period DMR Data'!C:C,'Raw Annual DMR Data'!X772, 'Raw Period DMR Data'!M:M, "&gt;0")&gt;0,_xlfn.MAXIFS('Raw Period DMR Data'!M:M,'Raw Period DMR Data'!$A:$A,'Raw Annual DMR Data'!B772,'Raw Period DMR Data'!C:C,'Raw Annual DMR Data'!X772), "N/A - Period DMR Data Not Available")</f>
        <v>N/A - Period DMR Data Not Available</v>
      </c>
      <c r="V772" s="28" t="str" cm="1">
        <f t="array" ref="V772">IFERROR(INDEX('Raw Period DMR Data'!N:N,MATCH(1,(B772='Raw Period DMR Data'!$A:$A)*(U772='Raw Period DMR Data'!M:M)*(X772='Raw Period DMR Data'!C:C),0),1), "N/A")</f>
        <v>N/A</v>
      </c>
      <c r="W772" s="28" t="s">
        <v>1463</v>
      </c>
      <c r="X772" s="28" t="s">
        <v>1948</v>
      </c>
      <c r="Y772" s="28" t="s">
        <v>1949</v>
      </c>
      <c r="Z772" s="28">
        <v>5140101000459</v>
      </c>
      <c r="AA772" s="28"/>
      <c r="AB772" s="28" t="s">
        <v>1465</v>
      </c>
      <c r="AC772" s="28" t="s">
        <v>263</v>
      </c>
    </row>
    <row r="773" spans="1:29" x14ac:dyDescent="0.25">
      <c r="A773" s="61">
        <v>110070227146</v>
      </c>
      <c r="B773" s="28">
        <v>2019</v>
      </c>
      <c r="C773" s="68">
        <f t="shared" si="12"/>
        <v>43466</v>
      </c>
      <c r="D773" s="28" t="s">
        <v>1208</v>
      </c>
      <c r="E773" s="28" t="s">
        <v>1951</v>
      </c>
      <c r="F773" s="28" t="s">
        <v>446</v>
      </c>
      <c r="G773" s="28" t="s">
        <v>303</v>
      </c>
      <c r="H773" s="28">
        <v>70669</v>
      </c>
      <c r="I773" s="28">
        <v>30.214192000000001</v>
      </c>
      <c r="J773" s="28">
        <v>-93.308589999999995</v>
      </c>
      <c r="L773" s="61">
        <v>110070227146</v>
      </c>
      <c r="M773" s="28" t="s">
        <v>265</v>
      </c>
      <c r="N773" s="28">
        <v>2869</v>
      </c>
      <c r="O773" s="28" t="str">
        <f>IFERROR(VLOOKUP(N773, 'SIC &amp; NAICS Codes'!A:B, 2, FALSE), "")</f>
        <v>Industrial Organic Chemicals, NEC (aliphatics)</v>
      </c>
      <c r="S773" s="28">
        <v>4.8832199546485198</v>
      </c>
      <c r="T773" s="315">
        <f>_xlfn.MAXIFS('Raw Period DMR Data'!$O:$O,'Raw Period DMR Data'!$A:$A,'Raw Annual DMR Data'!B773,'Raw Period DMR Data'!$C:$C,X773)/S773</f>
        <v>0</v>
      </c>
      <c r="U773" s="28" t="str">
        <f>+IF(COUNTIFS('Raw Period DMR Data'!$A:$A,B773, 'Raw Period DMR Data'!C:C,'Raw Annual DMR Data'!X773, 'Raw Period DMR Data'!M:M, "&gt;0")&gt;0,_xlfn.MAXIFS('Raw Period DMR Data'!M:M,'Raw Period DMR Data'!$A:$A,'Raw Annual DMR Data'!B773,'Raw Period DMR Data'!C:C,'Raw Annual DMR Data'!X773), "N/A - Period DMR Data Not Available")</f>
        <v>N/A - Period DMR Data Not Available</v>
      </c>
      <c r="V773" s="28" t="str" cm="1">
        <f t="array" ref="V773">IFERROR(INDEX('Raw Period DMR Data'!N:N,MATCH(1,(B773='Raw Period DMR Data'!$A:$A)*(U773='Raw Period DMR Data'!M:M)*(X773='Raw Period DMR Data'!C:C),0),1), "N/A")</f>
        <v>N/A</v>
      </c>
      <c r="W773" s="28" t="s">
        <v>1463</v>
      </c>
      <c r="X773" s="28" t="s">
        <v>1952</v>
      </c>
      <c r="Z773" s="28">
        <v>8080206000066</v>
      </c>
      <c r="AA773" s="28"/>
      <c r="AB773" s="28" t="s">
        <v>1465</v>
      </c>
      <c r="AC773" s="28" t="s">
        <v>1466</v>
      </c>
    </row>
    <row r="774" spans="1:29" x14ac:dyDescent="0.25">
      <c r="A774" s="61">
        <v>110017418061</v>
      </c>
      <c r="B774" s="28">
        <v>2015</v>
      </c>
      <c r="C774" s="68">
        <f t="shared" si="12"/>
        <v>42005</v>
      </c>
      <c r="D774" s="28" t="s">
        <v>1209</v>
      </c>
      <c r="E774" s="28" t="s">
        <v>1953</v>
      </c>
      <c r="F774" s="28" t="s">
        <v>446</v>
      </c>
      <c r="G774" s="28" t="s">
        <v>303</v>
      </c>
      <c r="H774" s="28">
        <v>70669</v>
      </c>
      <c r="I774" s="28">
        <v>30.258800000000001</v>
      </c>
      <c r="J774" s="28">
        <v>-93.293700000000001</v>
      </c>
      <c r="K774" s="28" t="s">
        <v>723</v>
      </c>
      <c r="L774" s="61">
        <v>110017418061</v>
      </c>
      <c r="M774" s="28" t="s">
        <v>265</v>
      </c>
      <c r="N774" s="28">
        <v>2869</v>
      </c>
      <c r="O774" s="28" t="str">
        <f>IFERROR(VLOOKUP(N774, 'SIC &amp; NAICS Codes'!A:B, 2, FALSE), "")</f>
        <v>Industrial Organic Chemicals, NEC (aliphatics)</v>
      </c>
      <c r="S774" s="28">
        <v>0.87055000000000005</v>
      </c>
      <c r="T774" s="315">
        <f>_xlfn.MAXIFS('Raw Period DMR Data'!$O:$O,'Raw Period DMR Data'!$A:$A,'Raw Annual DMR Data'!B774,'Raw Period DMR Data'!$C:$C,X774)/S774</f>
        <v>0</v>
      </c>
      <c r="U774" s="28" t="str">
        <f>+IF(COUNTIFS('Raw Period DMR Data'!$A:$A,B774, 'Raw Period DMR Data'!C:C,'Raw Annual DMR Data'!X774, 'Raw Period DMR Data'!M:M, "&gt;0")&gt;0,_xlfn.MAXIFS('Raw Period DMR Data'!M:M,'Raw Period DMR Data'!$A:$A,'Raw Annual DMR Data'!B774,'Raw Period DMR Data'!C:C,'Raw Annual DMR Data'!X774), "N/A - Period DMR Data Not Available")</f>
        <v>N/A - Period DMR Data Not Available</v>
      </c>
      <c r="V774" s="28" t="str" cm="1">
        <f t="array" ref="V774">IFERROR(INDEX('Raw Period DMR Data'!N:N,MATCH(1,(B774='Raw Period DMR Data'!$A:$A)*(U774='Raw Period DMR Data'!M:M)*(X774='Raw Period DMR Data'!C:C),0),1), "N/A")</f>
        <v>N/A</v>
      </c>
      <c r="W774" s="28" t="s">
        <v>1463</v>
      </c>
      <c r="X774" s="28" t="s">
        <v>1954</v>
      </c>
      <c r="Y774" s="28">
        <v>315</v>
      </c>
      <c r="Z774" s="28">
        <v>8080206001238</v>
      </c>
      <c r="AA774" s="28"/>
      <c r="AB774" s="28" t="s">
        <v>1465</v>
      </c>
      <c r="AC774" s="28" t="s">
        <v>1466</v>
      </c>
    </row>
    <row r="775" spans="1:29" x14ac:dyDescent="0.25">
      <c r="A775" s="61">
        <v>110017418061</v>
      </c>
      <c r="B775" s="28">
        <v>2015</v>
      </c>
      <c r="C775" s="68">
        <f t="shared" si="12"/>
        <v>42005</v>
      </c>
      <c r="D775" s="28" t="s">
        <v>1209</v>
      </c>
      <c r="E775" s="28" t="s">
        <v>1953</v>
      </c>
      <c r="F775" s="28" t="s">
        <v>446</v>
      </c>
      <c r="G775" s="28" t="s">
        <v>303</v>
      </c>
      <c r="H775" s="28">
        <v>70669</v>
      </c>
      <c r="I775" s="28">
        <v>30.258800000000001</v>
      </c>
      <c r="J775" s="28">
        <v>-93.293700000000001</v>
      </c>
      <c r="K775" s="28" t="s">
        <v>723</v>
      </c>
      <c r="L775" s="61">
        <v>110017418061</v>
      </c>
      <c r="M775" s="28" t="s">
        <v>265</v>
      </c>
      <c r="N775" s="28">
        <v>2869</v>
      </c>
      <c r="O775" s="28" t="str">
        <f>IFERROR(VLOOKUP(N775, 'SIC &amp; NAICS Codes'!A:B, 2, FALSE), "")</f>
        <v>Industrial Organic Chemicals, NEC (aliphatics)</v>
      </c>
      <c r="S775" s="28">
        <v>2.4375399999999998</v>
      </c>
      <c r="T775" s="315">
        <f>_xlfn.MAXIFS('Raw Period DMR Data'!$O:$O,'Raw Period DMR Data'!$A:$A,'Raw Annual DMR Data'!B775,'Raw Period DMR Data'!$C:$C,X775)/S775</f>
        <v>0</v>
      </c>
      <c r="U775" s="28" t="str">
        <f>+IF(COUNTIFS('Raw Period DMR Data'!$A:$A,B775, 'Raw Period DMR Data'!C:C,'Raw Annual DMR Data'!X775, 'Raw Period DMR Data'!M:M, "&gt;0")&gt;0,_xlfn.MAXIFS('Raw Period DMR Data'!M:M,'Raw Period DMR Data'!$A:$A,'Raw Annual DMR Data'!B775,'Raw Period DMR Data'!C:C,'Raw Annual DMR Data'!X775), "N/A - Period DMR Data Not Available")</f>
        <v>N/A - Period DMR Data Not Available</v>
      </c>
      <c r="V775" s="28" t="str" cm="1">
        <f t="array" ref="V775">IFERROR(INDEX('Raw Period DMR Data'!N:N,MATCH(1,(B775='Raw Period DMR Data'!$A:$A)*(U775='Raw Period DMR Data'!M:M)*(X775='Raw Period DMR Data'!C:C),0),1), "N/A")</f>
        <v>N/A</v>
      </c>
      <c r="W775" s="28" t="s">
        <v>1463</v>
      </c>
      <c r="X775" s="28" t="s">
        <v>1954</v>
      </c>
      <c r="Y775" s="28">
        <v>315</v>
      </c>
      <c r="Z775" s="28">
        <v>8080206001238</v>
      </c>
      <c r="AA775" s="28"/>
      <c r="AB775" s="28" t="s">
        <v>1465</v>
      </c>
      <c r="AC775" s="28" t="s">
        <v>1466</v>
      </c>
    </row>
    <row r="776" spans="1:29" x14ac:dyDescent="0.25">
      <c r="A776" s="61">
        <v>110017418061</v>
      </c>
      <c r="B776" s="28">
        <v>2016</v>
      </c>
      <c r="C776" s="68">
        <f t="shared" si="12"/>
        <v>42370</v>
      </c>
      <c r="D776" s="28" t="s">
        <v>1209</v>
      </c>
      <c r="E776" s="28" t="s">
        <v>1953</v>
      </c>
      <c r="F776" s="28" t="s">
        <v>446</v>
      </c>
      <c r="G776" s="28" t="s">
        <v>303</v>
      </c>
      <c r="H776" s="28">
        <v>70669</v>
      </c>
      <c r="I776" s="28">
        <v>30.258800000000001</v>
      </c>
      <c r="J776" s="28">
        <v>-93.293700000000001</v>
      </c>
      <c r="K776" s="28" t="s">
        <v>723</v>
      </c>
      <c r="L776" s="61">
        <v>110017418061</v>
      </c>
      <c r="M776" s="28" t="s">
        <v>265</v>
      </c>
      <c r="N776" s="28">
        <v>2869</v>
      </c>
      <c r="O776" s="28" t="str">
        <f>IFERROR(VLOOKUP(N776, 'SIC &amp; NAICS Codes'!A:B, 2, FALSE), "")</f>
        <v>Industrial Organic Chemicals, NEC (aliphatics)</v>
      </c>
      <c r="S776" s="28">
        <v>3.4053645000000001</v>
      </c>
      <c r="T776" s="315">
        <f>_xlfn.MAXIFS('Raw Period DMR Data'!$O:$O,'Raw Period DMR Data'!$A:$A,'Raw Annual DMR Data'!B776,'Raw Period DMR Data'!$C:$C,X776)/S776</f>
        <v>0</v>
      </c>
      <c r="U776" s="28" t="str">
        <f>+IF(COUNTIFS('Raw Period DMR Data'!$A:$A,B776, 'Raw Period DMR Data'!C:C,'Raw Annual DMR Data'!X776, 'Raw Period DMR Data'!M:M, "&gt;0")&gt;0,_xlfn.MAXIFS('Raw Period DMR Data'!M:M,'Raw Period DMR Data'!$A:$A,'Raw Annual DMR Data'!B776,'Raw Period DMR Data'!C:C,'Raw Annual DMR Data'!X776), "N/A - Period DMR Data Not Available")</f>
        <v>N/A - Period DMR Data Not Available</v>
      </c>
      <c r="V776" s="28" t="str" cm="1">
        <f t="array" ref="V776">IFERROR(INDEX('Raw Period DMR Data'!N:N,MATCH(1,(B776='Raw Period DMR Data'!$A:$A)*(U776='Raw Period DMR Data'!M:M)*(X776='Raw Period DMR Data'!C:C),0),1), "N/A")</f>
        <v>N/A</v>
      </c>
      <c r="W776" s="28" t="s">
        <v>1463</v>
      </c>
      <c r="X776" s="28" t="s">
        <v>1954</v>
      </c>
      <c r="Y776" s="28">
        <v>315</v>
      </c>
      <c r="Z776" s="28">
        <v>8080206001238</v>
      </c>
      <c r="AA776" s="28"/>
      <c r="AB776" s="28" t="s">
        <v>1465</v>
      </c>
      <c r="AC776" s="28" t="s">
        <v>1466</v>
      </c>
    </row>
    <row r="777" spans="1:29" x14ac:dyDescent="0.25">
      <c r="A777" s="61">
        <v>110017418061</v>
      </c>
      <c r="B777" s="28">
        <v>2016</v>
      </c>
      <c r="C777" s="68">
        <f t="shared" si="12"/>
        <v>42370</v>
      </c>
      <c r="D777" s="28" t="s">
        <v>1209</v>
      </c>
      <c r="E777" s="28" t="s">
        <v>1953</v>
      </c>
      <c r="F777" s="28" t="s">
        <v>446</v>
      </c>
      <c r="G777" s="28" t="s">
        <v>303</v>
      </c>
      <c r="H777" s="28">
        <v>70669</v>
      </c>
      <c r="I777" s="28">
        <v>30.258800000000001</v>
      </c>
      <c r="J777" s="28">
        <v>-93.293700000000001</v>
      </c>
      <c r="K777" s="28" t="s">
        <v>723</v>
      </c>
      <c r="L777" s="61">
        <v>110017418061</v>
      </c>
      <c r="M777" s="28" t="s">
        <v>265</v>
      </c>
      <c r="N777" s="28">
        <v>2869</v>
      </c>
      <c r="O777" s="28" t="str">
        <f>IFERROR(VLOOKUP(N777, 'SIC &amp; NAICS Codes'!A:B, 2, FALSE), "")</f>
        <v>Industrial Organic Chemicals, NEC (aliphatics)</v>
      </c>
      <c r="S777" s="28">
        <v>1.20299916666666</v>
      </c>
      <c r="T777" s="315">
        <f>_xlfn.MAXIFS('Raw Period DMR Data'!$O:$O,'Raw Period DMR Data'!$A:$A,'Raw Annual DMR Data'!B777,'Raw Period DMR Data'!$C:$C,X777)/S777</f>
        <v>0</v>
      </c>
      <c r="U777" s="28" t="str">
        <f>+IF(COUNTIFS('Raw Period DMR Data'!$A:$A,B777, 'Raw Period DMR Data'!C:C,'Raw Annual DMR Data'!X777, 'Raw Period DMR Data'!M:M, "&gt;0")&gt;0,_xlfn.MAXIFS('Raw Period DMR Data'!M:M,'Raw Period DMR Data'!$A:$A,'Raw Annual DMR Data'!B777,'Raw Period DMR Data'!C:C,'Raw Annual DMR Data'!X777), "N/A - Period DMR Data Not Available")</f>
        <v>N/A - Period DMR Data Not Available</v>
      </c>
      <c r="V777" s="28" t="str" cm="1">
        <f t="array" ref="V777">IFERROR(INDEX('Raw Period DMR Data'!N:N,MATCH(1,(B777='Raw Period DMR Data'!$A:$A)*(U777='Raw Period DMR Data'!M:M)*(X777='Raw Period DMR Data'!C:C),0),1), "N/A")</f>
        <v>N/A</v>
      </c>
      <c r="W777" s="28" t="s">
        <v>1463</v>
      </c>
      <c r="X777" s="28" t="s">
        <v>1954</v>
      </c>
      <c r="Y777" s="28">
        <v>315</v>
      </c>
      <c r="Z777" s="28">
        <v>8080206001238</v>
      </c>
      <c r="AA777" s="28"/>
      <c r="AB777" s="28" t="s">
        <v>1465</v>
      </c>
      <c r="AC777" s="28" t="s">
        <v>1466</v>
      </c>
    </row>
    <row r="778" spans="1:29" x14ac:dyDescent="0.25">
      <c r="A778" s="61">
        <v>110017418061</v>
      </c>
      <c r="B778" s="28">
        <v>2016</v>
      </c>
      <c r="C778" s="68">
        <f t="shared" si="12"/>
        <v>42370</v>
      </c>
      <c r="D778" s="28" t="s">
        <v>1209</v>
      </c>
      <c r="E778" s="28" t="s">
        <v>1953</v>
      </c>
      <c r="F778" s="28" t="s">
        <v>446</v>
      </c>
      <c r="G778" s="28" t="s">
        <v>303</v>
      </c>
      <c r="H778" s="28">
        <v>70669</v>
      </c>
      <c r="I778" s="28">
        <v>30.258800000000001</v>
      </c>
      <c r="J778" s="28">
        <v>-93.293700000000001</v>
      </c>
      <c r="K778" s="28" t="s">
        <v>723</v>
      </c>
      <c r="L778" s="61">
        <v>110017418061</v>
      </c>
      <c r="M778" s="28" t="s">
        <v>265</v>
      </c>
      <c r="N778" s="28">
        <v>2869</v>
      </c>
      <c r="O778" s="28" t="str">
        <f>IFERROR(VLOOKUP(N778, 'SIC &amp; NAICS Codes'!A:B, 2, FALSE), "")</f>
        <v>Industrial Organic Chemicals, NEC (aliphatics)</v>
      </c>
      <c r="S778" s="28">
        <v>1.3995983750000001</v>
      </c>
      <c r="T778" s="315">
        <f>_xlfn.MAXIFS('Raw Period DMR Data'!$O:$O,'Raw Period DMR Data'!$A:$A,'Raw Annual DMR Data'!B778,'Raw Period DMR Data'!$C:$C,X778)/S778</f>
        <v>0</v>
      </c>
      <c r="U778" s="28" t="str">
        <f>+IF(COUNTIFS('Raw Period DMR Data'!$A:$A,B778, 'Raw Period DMR Data'!C:C,'Raw Annual DMR Data'!X778, 'Raw Period DMR Data'!M:M, "&gt;0")&gt;0,_xlfn.MAXIFS('Raw Period DMR Data'!M:M,'Raw Period DMR Data'!$A:$A,'Raw Annual DMR Data'!B778,'Raw Period DMR Data'!C:C,'Raw Annual DMR Data'!X778), "N/A - Period DMR Data Not Available")</f>
        <v>N/A - Period DMR Data Not Available</v>
      </c>
      <c r="V778" s="28" t="str" cm="1">
        <f t="array" ref="V778">IFERROR(INDEX('Raw Period DMR Data'!N:N,MATCH(1,(B778='Raw Period DMR Data'!$A:$A)*(U778='Raw Period DMR Data'!M:M)*(X778='Raw Period DMR Data'!C:C),0),1), "N/A")</f>
        <v>N/A</v>
      </c>
      <c r="W778" s="28" t="s">
        <v>1463</v>
      </c>
      <c r="X778" s="28" t="s">
        <v>1954</v>
      </c>
      <c r="Y778" s="28">
        <v>315</v>
      </c>
      <c r="Z778" s="28">
        <v>8080206001238</v>
      </c>
      <c r="AA778" s="28"/>
      <c r="AB778" s="28" t="s">
        <v>1465</v>
      </c>
      <c r="AC778" s="28" t="s">
        <v>1466</v>
      </c>
    </row>
    <row r="779" spans="1:29" x14ac:dyDescent="0.25">
      <c r="A779" s="61">
        <v>110000539757</v>
      </c>
      <c r="B779" s="28">
        <v>2016</v>
      </c>
      <c r="C779" s="68">
        <f t="shared" si="12"/>
        <v>42370</v>
      </c>
      <c r="D779" s="28" t="s">
        <v>1955</v>
      </c>
      <c r="E779" s="28" t="s">
        <v>604</v>
      </c>
      <c r="F779" s="28" t="s">
        <v>446</v>
      </c>
      <c r="G779" s="28" t="s">
        <v>303</v>
      </c>
      <c r="H779" s="28">
        <v>70669</v>
      </c>
      <c r="I779" s="28">
        <v>30.242155</v>
      </c>
      <c r="J779" s="28">
        <v>-93.274386000000007</v>
      </c>
      <c r="K779" s="28" t="s">
        <v>605</v>
      </c>
      <c r="L779" s="61">
        <v>110000539757</v>
      </c>
      <c r="M779" s="28" t="s">
        <v>252</v>
      </c>
      <c r="N779" s="28">
        <v>2911</v>
      </c>
      <c r="O779" s="28" t="str">
        <f>IFERROR(VLOOKUP(N779, 'SIC &amp; NAICS Codes'!A:B, 2, FALSE), "")</f>
        <v>Petroleum Refining</v>
      </c>
      <c r="S779" s="28">
        <v>6.8887000000000004E-2</v>
      </c>
      <c r="T779" s="315">
        <f>_xlfn.MAXIFS('Raw Period DMR Data'!$O:$O,'Raw Period DMR Data'!$A:$A,'Raw Annual DMR Data'!B779,'Raw Period DMR Data'!$C:$C,X779)/S779</f>
        <v>0</v>
      </c>
      <c r="U779" s="28" t="str">
        <f>+IF(COUNTIFS('Raw Period DMR Data'!$A:$A,B779, 'Raw Period DMR Data'!C:C,'Raw Annual DMR Data'!X779, 'Raw Period DMR Data'!M:M, "&gt;0")&gt;0,_xlfn.MAXIFS('Raw Period DMR Data'!M:M,'Raw Period DMR Data'!$A:$A,'Raw Annual DMR Data'!B779,'Raw Period DMR Data'!C:C,'Raw Annual DMR Data'!X779), "N/A - Period DMR Data Not Available")</f>
        <v>N/A - Period DMR Data Not Available</v>
      </c>
      <c r="V779" s="28" t="str" cm="1">
        <f t="array" ref="V779">IFERROR(INDEX('Raw Period DMR Data'!N:N,MATCH(1,(B779='Raw Period DMR Data'!$A:$A)*(U779='Raw Period DMR Data'!M:M)*(X779='Raw Period DMR Data'!C:C),0),1), "N/A")</f>
        <v>N/A</v>
      </c>
      <c r="W779" s="28" t="s">
        <v>1463</v>
      </c>
      <c r="X779" s="28" t="s">
        <v>921</v>
      </c>
      <c r="Y779" s="28" t="s">
        <v>922</v>
      </c>
      <c r="Z779" s="28">
        <v>8080206001238</v>
      </c>
      <c r="AA779" s="28"/>
      <c r="AB779" s="28" t="s">
        <v>1465</v>
      </c>
      <c r="AC779" s="28" t="s">
        <v>1466</v>
      </c>
    </row>
    <row r="780" spans="1:29" x14ac:dyDescent="0.25">
      <c r="A780" s="61">
        <v>110017237373</v>
      </c>
      <c r="B780" s="28">
        <v>2017</v>
      </c>
      <c r="C780" s="68">
        <f t="shared" si="12"/>
        <v>42736</v>
      </c>
      <c r="D780" s="28" t="s">
        <v>1210</v>
      </c>
      <c r="E780" s="28" t="s">
        <v>1956</v>
      </c>
      <c r="F780" s="28" t="s">
        <v>657</v>
      </c>
      <c r="G780" s="28" t="s">
        <v>418</v>
      </c>
      <c r="H780" s="28">
        <v>89101</v>
      </c>
      <c r="I780" s="28">
        <v>36.16478</v>
      </c>
      <c r="J780" s="28">
        <v>-115.14067</v>
      </c>
      <c r="L780" s="61">
        <v>110017237373</v>
      </c>
      <c r="M780" s="28" t="s">
        <v>264</v>
      </c>
      <c r="N780" s="28">
        <v>8211</v>
      </c>
      <c r="O780" s="28" t="str">
        <f>IFERROR(VLOOKUP(N780, 'SIC &amp; NAICS Codes'!A:B, 2, FALSE), "")</f>
        <v>Elementary and Secondary Schools</v>
      </c>
      <c r="S780" s="28">
        <v>1.7959825E-3</v>
      </c>
      <c r="T780" s="315">
        <f>_xlfn.MAXIFS('Raw Period DMR Data'!$O:$O,'Raw Period DMR Data'!$A:$A,'Raw Annual DMR Data'!B780,'Raw Period DMR Data'!$C:$C,X780)/S780</f>
        <v>0</v>
      </c>
      <c r="U780" s="28" t="str">
        <f>+IF(COUNTIFS('Raw Period DMR Data'!$A:$A,B780, 'Raw Period DMR Data'!C:C,'Raw Annual DMR Data'!X780, 'Raw Period DMR Data'!M:M, "&gt;0")&gt;0,_xlfn.MAXIFS('Raw Period DMR Data'!M:M,'Raw Period DMR Data'!$A:$A,'Raw Annual DMR Data'!B780,'Raw Period DMR Data'!C:C,'Raw Annual DMR Data'!X780), "N/A - Period DMR Data Not Available")</f>
        <v>N/A - Period DMR Data Not Available</v>
      </c>
      <c r="V780" s="28" t="str" cm="1">
        <f t="array" ref="V780">IFERROR(INDEX('Raw Period DMR Data'!N:N,MATCH(1,(B780='Raw Period DMR Data'!$A:$A)*(U780='Raw Period DMR Data'!M:M)*(X780='Raw Period DMR Data'!C:C),0),1), "N/A")</f>
        <v>N/A</v>
      </c>
      <c r="W780" s="28" t="s">
        <v>1463</v>
      </c>
      <c r="X780" s="28" t="s">
        <v>1957</v>
      </c>
      <c r="Y780" s="28" t="s">
        <v>1893</v>
      </c>
      <c r="Z780" s="28">
        <v>15010015000125</v>
      </c>
      <c r="AA780" s="28"/>
      <c r="AB780" s="28" t="s">
        <v>1465</v>
      </c>
      <c r="AC780" s="28" t="s">
        <v>1466</v>
      </c>
    </row>
    <row r="781" spans="1:29" x14ac:dyDescent="0.25">
      <c r="A781" s="61">
        <v>110017237373</v>
      </c>
      <c r="B781" s="28">
        <v>2018</v>
      </c>
      <c r="C781" s="68">
        <f t="shared" si="12"/>
        <v>43101</v>
      </c>
      <c r="D781" s="28" t="s">
        <v>1210</v>
      </c>
      <c r="E781" s="28" t="s">
        <v>1956</v>
      </c>
      <c r="F781" s="28" t="s">
        <v>657</v>
      </c>
      <c r="G781" s="28" t="s">
        <v>418</v>
      </c>
      <c r="H781" s="28">
        <v>89101</v>
      </c>
      <c r="I781" s="28">
        <v>36.16478</v>
      </c>
      <c r="J781" s="28">
        <v>-115.14067</v>
      </c>
      <c r="L781" s="61">
        <v>110017237373</v>
      </c>
      <c r="M781" s="28" t="s">
        <v>264</v>
      </c>
      <c r="N781" s="28">
        <v>8211</v>
      </c>
      <c r="O781" s="28" t="str">
        <f>IFERROR(VLOOKUP(N781, 'SIC &amp; NAICS Codes'!A:B, 2, FALSE), "")</f>
        <v>Elementary and Secondary Schools</v>
      </c>
      <c r="S781" s="28">
        <v>2.9012025E-3</v>
      </c>
      <c r="T781" s="315">
        <f>_xlfn.MAXIFS('Raw Period DMR Data'!$O:$O,'Raw Period DMR Data'!$A:$A,'Raw Annual DMR Data'!B781,'Raw Period DMR Data'!$C:$C,X781)/S781</f>
        <v>0</v>
      </c>
      <c r="U781" s="28" t="str">
        <f>+IF(COUNTIFS('Raw Period DMR Data'!$A:$A,B781, 'Raw Period DMR Data'!C:C,'Raw Annual DMR Data'!X781, 'Raw Period DMR Data'!M:M, "&gt;0")&gt;0,_xlfn.MAXIFS('Raw Period DMR Data'!M:M,'Raw Period DMR Data'!$A:$A,'Raw Annual DMR Data'!B781,'Raw Period DMR Data'!C:C,'Raw Annual DMR Data'!X781), "N/A - Period DMR Data Not Available")</f>
        <v>N/A - Period DMR Data Not Available</v>
      </c>
      <c r="V781" s="28" t="str" cm="1">
        <f t="array" ref="V781">IFERROR(INDEX('Raw Period DMR Data'!N:N,MATCH(1,(B781='Raw Period DMR Data'!$A:$A)*(U781='Raw Period DMR Data'!M:M)*(X781='Raw Period DMR Data'!C:C),0),1), "N/A")</f>
        <v>N/A</v>
      </c>
      <c r="W781" s="28" t="s">
        <v>1463</v>
      </c>
      <c r="X781" s="28" t="s">
        <v>1957</v>
      </c>
      <c r="Y781" s="28" t="s">
        <v>1893</v>
      </c>
      <c r="Z781" s="28">
        <v>15010015000125</v>
      </c>
      <c r="AA781" s="28"/>
      <c r="AB781" s="28" t="s">
        <v>1465</v>
      </c>
      <c r="AC781" s="28" t="s">
        <v>1466</v>
      </c>
    </row>
    <row r="782" spans="1:29" x14ac:dyDescent="0.25">
      <c r="A782" s="61">
        <v>110017237373</v>
      </c>
      <c r="B782" s="28">
        <v>2019</v>
      </c>
      <c r="C782" s="68">
        <f t="shared" si="12"/>
        <v>43466</v>
      </c>
      <c r="D782" s="28" t="s">
        <v>1210</v>
      </c>
      <c r="E782" s="28" t="s">
        <v>1956</v>
      </c>
      <c r="F782" s="28" t="s">
        <v>657</v>
      </c>
      <c r="G782" s="28" t="s">
        <v>418</v>
      </c>
      <c r="H782" s="28">
        <v>89101</v>
      </c>
      <c r="I782" s="28">
        <v>36.16478</v>
      </c>
      <c r="J782" s="28">
        <v>-115.14067</v>
      </c>
      <c r="L782" s="61">
        <v>110017237373</v>
      </c>
      <c r="M782" s="28" t="s">
        <v>264</v>
      </c>
      <c r="N782" s="28">
        <v>8211</v>
      </c>
      <c r="O782" s="28" t="str">
        <f>IFERROR(VLOOKUP(N782, 'SIC &amp; NAICS Codes'!A:B, 2, FALSE), "")</f>
        <v>Elementary and Secondary Schools</v>
      </c>
      <c r="S782" s="28">
        <v>5.1807187500000002E-4</v>
      </c>
      <c r="T782" s="315">
        <f>_xlfn.MAXIFS('Raw Period DMR Data'!$O:$O,'Raw Period DMR Data'!$A:$A,'Raw Annual DMR Data'!B782,'Raw Period DMR Data'!$C:$C,X782)/S782</f>
        <v>0</v>
      </c>
      <c r="U782" s="28" t="str">
        <f>+IF(COUNTIFS('Raw Period DMR Data'!$A:$A,B782, 'Raw Period DMR Data'!C:C,'Raw Annual DMR Data'!X782, 'Raw Period DMR Data'!M:M, "&gt;0")&gt;0,_xlfn.MAXIFS('Raw Period DMR Data'!M:M,'Raw Period DMR Data'!$A:$A,'Raw Annual DMR Data'!B782,'Raw Period DMR Data'!C:C,'Raw Annual DMR Data'!X782), "N/A - Period DMR Data Not Available")</f>
        <v>N/A - Period DMR Data Not Available</v>
      </c>
      <c r="V782" s="28" t="str" cm="1">
        <f t="array" ref="V782">IFERROR(INDEX('Raw Period DMR Data'!N:N,MATCH(1,(B782='Raw Period DMR Data'!$A:$A)*(U782='Raw Period DMR Data'!M:M)*(X782='Raw Period DMR Data'!C:C),0),1), "N/A")</f>
        <v>N/A</v>
      </c>
      <c r="W782" s="28" t="s">
        <v>1463</v>
      </c>
      <c r="X782" s="28" t="s">
        <v>1957</v>
      </c>
      <c r="Y782" s="28" t="s">
        <v>1893</v>
      </c>
      <c r="Z782" s="28">
        <v>15010015000125</v>
      </c>
      <c r="AA782" s="28"/>
      <c r="AB782" s="28" t="s">
        <v>1465</v>
      </c>
      <c r="AC782" s="28" t="s">
        <v>1466</v>
      </c>
    </row>
    <row r="783" spans="1:29" x14ac:dyDescent="0.25">
      <c r="A783" s="61">
        <v>110017237373</v>
      </c>
      <c r="B783" s="28">
        <v>2020</v>
      </c>
      <c r="C783" s="68">
        <f t="shared" si="12"/>
        <v>43831</v>
      </c>
      <c r="D783" s="28" t="s">
        <v>1210</v>
      </c>
      <c r="E783" s="28" t="s">
        <v>1956</v>
      </c>
      <c r="F783" s="28" t="s">
        <v>657</v>
      </c>
      <c r="G783" s="28" t="s">
        <v>418</v>
      </c>
      <c r="H783" s="28">
        <v>89101</v>
      </c>
      <c r="I783" s="28">
        <v>36.16478</v>
      </c>
      <c r="J783" s="28">
        <v>-115.14067</v>
      </c>
      <c r="L783" s="61">
        <v>110017237373</v>
      </c>
      <c r="M783" s="28" t="s">
        <v>264</v>
      </c>
      <c r="N783" s="28">
        <v>8211</v>
      </c>
      <c r="O783" s="28" t="str">
        <f>IFERROR(VLOOKUP(N783, 'SIC &amp; NAICS Codes'!A:B, 2, FALSE), "")</f>
        <v>Elementary and Secondary Schools</v>
      </c>
      <c r="S783" s="28">
        <v>3.3501981249999999E-3</v>
      </c>
      <c r="T783" s="315">
        <f>_xlfn.MAXIFS('Raw Period DMR Data'!$O:$O,'Raw Period DMR Data'!$A:$A,'Raw Annual DMR Data'!B783,'Raw Period DMR Data'!$C:$C,X783)/S783</f>
        <v>0</v>
      </c>
      <c r="U783" s="28" t="str">
        <f>+IF(COUNTIFS('Raw Period DMR Data'!$A:$A,B783, 'Raw Period DMR Data'!C:C,'Raw Annual DMR Data'!X783, 'Raw Period DMR Data'!M:M, "&gt;0")&gt;0,_xlfn.MAXIFS('Raw Period DMR Data'!M:M,'Raw Period DMR Data'!$A:$A,'Raw Annual DMR Data'!B783,'Raw Period DMR Data'!C:C,'Raw Annual DMR Data'!X783), "N/A - Period DMR Data Not Available")</f>
        <v>N/A - Period DMR Data Not Available</v>
      </c>
      <c r="V783" s="28" t="str" cm="1">
        <f t="array" ref="V783">IFERROR(INDEX('Raw Period DMR Data'!N:N,MATCH(1,(B783='Raw Period DMR Data'!$A:$A)*(U783='Raw Period DMR Data'!M:M)*(X783='Raw Period DMR Data'!C:C),0),1), "N/A")</f>
        <v>N/A</v>
      </c>
      <c r="W783" s="28" t="s">
        <v>1463</v>
      </c>
      <c r="X783" s="28" t="s">
        <v>1957</v>
      </c>
      <c r="Y783" s="28" t="s">
        <v>1893</v>
      </c>
      <c r="Z783" s="28">
        <v>15010015000125</v>
      </c>
      <c r="AA783" s="28"/>
      <c r="AB783" s="28" t="s">
        <v>1465</v>
      </c>
      <c r="AC783" s="28" t="s">
        <v>1466</v>
      </c>
    </row>
    <row r="784" spans="1:29" x14ac:dyDescent="0.25">
      <c r="A784" s="61">
        <v>110059844156</v>
      </c>
      <c r="B784" s="28">
        <v>2020</v>
      </c>
      <c r="C784" s="68">
        <f t="shared" si="12"/>
        <v>43831</v>
      </c>
      <c r="D784" s="28" t="s">
        <v>1211</v>
      </c>
      <c r="E784" s="28" t="s">
        <v>1958</v>
      </c>
      <c r="F784" s="28" t="s">
        <v>657</v>
      </c>
      <c r="G784" s="28" t="s">
        <v>418</v>
      </c>
      <c r="H784" s="28">
        <v>89109</v>
      </c>
      <c r="I784" s="28">
        <v>36.131489999999999</v>
      </c>
      <c r="J784" s="28">
        <v>-115.15483</v>
      </c>
      <c r="L784" s="61">
        <v>110059844156</v>
      </c>
      <c r="M784" s="28" t="s">
        <v>264</v>
      </c>
      <c r="N784" s="28">
        <v>1799</v>
      </c>
      <c r="O784" s="28" t="str">
        <f>IFERROR(VLOOKUP(N784, 'SIC &amp; NAICS Codes'!A:B, 2, FALSE), "")</f>
        <v>Special Trade Contractors, NEC (indoor swimming pool construction contractors)</v>
      </c>
      <c r="S784" s="28">
        <v>4.5219040156249897E-2</v>
      </c>
      <c r="T784" s="315">
        <f>_xlfn.MAXIFS('Raw Period DMR Data'!$O:$O,'Raw Period DMR Data'!$A:$A,'Raw Annual DMR Data'!B784,'Raw Period DMR Data'!$C:$C,X784)/S784</f>
        <v>0</v>
      </c>
      <c r="U784" s="28" t="str">
        <f>+IF(COUNTIFS('Raw Period DMR Data'!$A:$A,B784, 'Raw Period DMR Data'!C:C,'Raw Annual DMR Data'!X784, 'Raw Period DMR Data'!M:M, "&gt;0")&gt;0,_xlfn.MAXIFS('Raw Period DMR Data'!M:M,'Raw Period DMR Data'!$A:$A,'Raw Annual DMR Data'!B784,'Raw Period DMR Data'!C:C,'Raw Annual DMR Data'!X784), "N/A - Period DMR Data Not Available")</f>
        <v>N/A - Period DMR Data Not Available</v>
      </c>
      <c r="V784" s="28" t="str" cm="1">
        <f t="array" ref="V784">IFERROR(INDEX('Raw Period DMR Data'!N:N,MATCH(1,(B784='Raw Period DMR Data'!$A:$A)*(U784='Raw Period DMR Data'!M:M)*(X784='Raw Period DMR Data'!C:C),0),1), "N/A")</f>
        <v>N/A</v>
      </c>
      <c r="W784" s="28" t="s">
        <v>1463</v>
      </c>
      <c r="X784" s="28" t="s">
        <v>1959</v>
      </c>
      <c r="Y784" s="28" t="s">
        <v>1960</v>
      </c>
      <c r="AA784" s="28"/>
      <c r="AB784" s="28" t="s">
        <v>1465</v>
      </c>
      <c r="AC784" s="28" t="s">
        <v>1466</v>
      </c>
    </row>
    <row r="785" spans="1:29" x14ac:dyDescent="0.25">
      <c r="A785" s="61">
        <v>110059844156</v>
      </c>
      <c r="B785" s="28">
        <v>2020</v>
      </c>
      <c r="C785" s="68">
        <f t="shared" si="12"/>
        <v>43831</v>
      </c>
      <c r="D785" s="28" t="s">
        <v>1211</v>
      </c>
      <c r="E785" s="28" t="s">
        <v>1958</v>
      </c>
      <c r="F785" s="28" t="s">
        <v>657</v>
      </c>
      <c r="G785" s="28" t="s">
        <v>418</v>
      </c>
      <c r="H785" s="28">
        <v>89109</v>
      </c>
      <c r="I785" s="28">
        <v>36.131489999999999</v>
      </c>
      <c r="J785" s="28">
        <v>-115.15483</v>
      </c>
      <c r="L785" s="61">
        <v>110059844156</v>
      </c>
      <c r="M785" s="28" t="s">
        <v>264</v>
      </c>
      <c r="N785" s="28">
        <v>1799</v>
      </c>
      <c r="O785" s="28" t="str">
        <f>IFERROR(VLOOKUP(N785, 'SIC &amp; NAICS Codes'!A:B, 2, FALSE), "")</f>
        <v>Special Trade Contractors, NEC (indoor swimming pool construction contractors)</v>
      </c>
      <c r="S785" s="28">
        <v>1.8325238362499899E-2</v>
      </c>
      <c r="T785" s="315">
        <f>_xlfn.MAXIFS('Raw Period DMR Data'!$O:$O,'Raw Period DMR Data'!$A:$A,'Raw Annual DMR Data'!B785,'Raw Period DMR Data'!$C:$C,X785)/S785</f>
        <v>0</v>
      </c>
      <c r="U785" s="28" t="str">
        <f>+IF(COUNTIFS('Raw Period DMR Data'!$A:$A,B785, 'Raw Period DMR Data'!C:C,'Raw Annual DMR Data'!X785, 'Raw Period DMR Data'!M:M, "&gt;0")&gt;0,_xlfn.MAXIFS('Raw Period DMR Data'!M:M,'Raw Period DMR Data'!$A:$A,'Raw Annual DMR Data'!B785,'Raw Period DMR Data'!C:C,'Raw Annual DMR Data'!X785), "N/A - Period DMR Data Not Available")</f>
        <v>N/A - Period DMR Data Not Available</v>
      </c>
      <c r="V785" s="28" t="str" cm="1">
        <f t="array" ref="V785">IFERROR(INDEX('Raw Period DMR Data'!N:N,MATCH(1,(B785='Raw Period DMR Data'!$A:$A)*(U785='Raw Period DMR Data'!M:M)*(X785='Raw Period DMR Data'!C:C),0),1), "N/A")</f>
        <v>N/A</v>
      </c>
      <c r="W785" s="28" t="s">
        <v>1463</v>
      </c>
      <c r="X785" s="28" t="s">
        <v>1959</v>
      </c>
      <c r="Y785" s="28" t="s">
        <v>1960</v>
      </c>
      <c r="AA785" s="28"/>
      <c r="AB785" s="28" t="s">
        <v>1465</v>
      </c>
      <c r="AC785" s="28" t="s">
        <v>1466</v>
      </c>
    </row>
    <row r="786" spans="1:29" x14ac:dyDescent="0.25">
      <c r="A786" s="61">
        <v>110002468669</v>
      </c>
      <c r="B786" s="28">
        <v>2017</v>
      </c>
      <c r="C786" s="68">
        <f t="shared" si="12"/>
        <v>42736</v>
      </c>
      <c r="D786" s="28" t="s">
        <v>167</v>
      </c>
      <c r="E786" s="28" t="s">
        <v>543</v>
      </c>
      <c r="F786" s="28" t="s">
        <v>544</v>
      </c>
      <c r="G786" s="28" t="s">
        <v>338</v>
      </c>
      <c r="H786" s="28">
        <v>7036</v>
      </c>
      <c r="I786" s="28">
        <v>40.610097000000003</v>
      </c>
      <c r="J786" s="28">
        <v>-74.204927999999995</v>
      </c>
      <c r="L786" s="61">
        <v>110002468669</v>
      </c>
      <c r="M786" s="28" t="s">
        <v>259</v>
      </c>
      <c r="N786" s="28">
        <v>2841</v>
      </c>
      <c r="O786" s="28" t="str">
        <f>IFERROR(VLOOKUP(N786, 'SIC &amp; NAICS Codes'!A:B, 2, FALSE), "")</f>
        <v>Soaps and Other Detergents, Except Specialty Cleaners</v>
      </c>
      <c r="S786" s="28">
        <v>0.57935733333333295</v>
      </c>
      <c r="T786" s="315">
        <f>_xlfn.MAXIFS('Raw Period DMR Data'!$O:$O,'Raw Period DMR Data'!$A:$A,'Raw Annual DMR Data'!B786,'Raw Period DMR Data'!$C:$C,X786)/S786</f>
        <v>0</v>
      </c>
      <c r="U786" s="28" t="str">
        <f>+IF(COUNTIFS('Raw Period DMR Data'!$A:$A,B786, 'Raw Period DMR Data'!C:C,'Raw Annual DMR Data'!X786, 'Raw Period DMR Data'!M:M, "&gt;0")&gt;0,_xlfn.MAXIFS('Raw Period DMR Data'!M:M,'Raw Period DMR Data'!$A:$A,'Raw Annual DMR Data'!B786,'Raw Period DMR Data'!C:C,'Raw Annual DMR Data'!X786), "N/A - Period DMR Data Not Available")</f>
        <v>N/A - Period DMR Data Not Available</v>
      </c>
      <c r="V786" s="28" t="str" cm="1">
        <f t="array" ref="V786">IFERROR(INDEX('Raw Period DMR Data'!N:N,MATCH(1,(B786='Raw Period DMR Data'!$A:$A)*(U786='Raw Period DMR Data'!M:M)*(X786='Raw Period DMR Data'!C:C),0),1), "N/A")</f>
        <v>N/A</v>
      </c>
      <c r="W786" s="28" t="s">
        <v>1463</v>
      </c>
      <c r="X786" s="28" t="s">
        <v>892</v>
      </c>
      <c r="Y786" s="28" t="s">
        <v>893</v>
      </c>
      <c r="Z786" s="61">
        <v>2030104000564</v>
      </c>
      <c r="AA786" s="28"/>
    </row>
    <row r="787" spans="1:29" x14ac:dyDescent="0.25">
      <c r="A787" s="61">
        <v>110002468669</v>
      </c>
      <c r="B787" s="28">
        <v>2018</v>
      </c>
      <c r="C787" s="68">
        <f t="shared" si="12"/>
        <v>43101</v>
      </c>
      <c r="D787" s="28" t="s">
        <v>167</v>
      </c>
      <c r="E787" s="28" t="s">
        <v>543</v>
      </c>
      <c r="F787" s="28" t="s">
        <v>544</v>
      </c>
      <c r="G787" s="28" t="s">
        <v>338</v>
      </c>
      <c r="H787" s="28">
        <v>7036</v>
      </c>
      <c r="I787" s="28">
        <v>40.610097000000003</v>
      </c>
      <c r="J787" s="28">
        <v>-74.204927999999995</v>
      </c>
      <c r="L787" s="61">
        <v>110002468669</v>
      </c>
      <c r="M787" s="28" t="s">
        <v>259</v>
      </c>
      <c r="N787" s="28">
        <v>2841</v>
      </c>
      <c r="O787" s="28" t="str">
        <f>IFERROR(VLOOKUP(N787, 'SIC &amp; NAICS Codes'!A:B, 2, FALSE), "")</f>
        <v>Soaps and Other Detergents, Except Specialty Cleaners</v>
      </c>
      <c r="S787" s="28">
        <v>0.32186125999999998</v>
      </c>
      <c r="T787" s="315">
        <f>_xlfn.MAXIFS('Raw Period DMR Data'!$O:$O,'Raw Period DMR Data'!$A:$A,'Raw Annual DMR Data'!B787,'Raw Period DMR Data'!$C:$C,X787)/S787</f>
        <v>0</v>
      </c>
      <c r="U787" s="28" t="str">
        <f>+IF(COUNTIFS('Raw Period DMR Data'!$A:$A,B787, 'Raw Period DMR Data'!C:C,'Raw Annual DMR Data'!X787, 'Raw Period DMR Data'!M:M, "&gt;0")&gt;0,_xlfn.MAXIFS('Raw Period DMR Data'!M:M,'Raw Period DMR Data'!$A:$A,'Raw Annual DMR Data'!B787,'Raw Period DMR Data'!C:C,'Raw Annual DMR Data'!X787), "N/A - Period DMR Data Not Available")</f>
        <v>N/A - Period DMR Data Not Available</v>
      </c>
      <c r="V787" s="28" t="str" cm="1">
        <f t="array" ref="V787">IFERROR(INDEX('Raw Period DMR Data'!N:N,MATCH(1,(B787='Raw Period DMR Data'!$A:$A)*(U787='Raw Period DMR Data'!M:M)*(X787='Raw Period DMR Data'!C:C),0),1), "N/A")</f>
        <v>N/A</v>
      </c>
      <c r="W787" s="28" t="s">
        <v>1463</v>
      </c>
      <c r="X787" s="28" t="s">
        <v>892</v>
      </c>
      <c r="Y787" s="28" t="s">
        <v>893</v>
      </c>
      <c r="Z787" s="61">
        <v>2030104000564</v>
      </c>
    </row>
    <row r="788" spans="1:29" x14ac:dyDescent="0.25">
      <c r="A788" s="61">
        <v>110002468669</v>
      </c>
      <c r="B788" s="28">
        <v>2019</v>
      </c>
      <c r="C788" s="68">
        <f t="shared" si="12"/>
        <v>43466</v>
      </c>
      <c r="D788" s="28" t="s">
        <v>167</v>
      </c>
      <c r="E788" s="28" t="s">
        <v>543</v>
      </c>
      <c r="F788" s="28" t="s">
        <v>544</v>
      </c>
      <c r="G788" s="28" t="s">
        <v>338</v>
      </c>
      <c r="H788" s="28">
        <v>7036</v>
      </c>
      <c r="I788" s="28">
        <v>40.610097000000003</v>
      </c>
      <c r="J788" s="28">
        <v>-74.204927999999995</v>
      </c>
      <c r="L788" s="61">
        <v>110002468669</v>
      </c>
      <c r="M788" s="28" t="s">
        <v>259</v>
      </c>
      <c r="N788" s="28">
        <v>2841</v>
      </c>
      <c r="O788" s="28" t="str">
        <f>IFERROR(VLOOKUP(N788, 'SIC &amp; NAICS Codes'!A:B, 2, FALSE), "")</f>
        <v>Soaps and Other Detergents, Except Specialty Cleaners</v>
      </c>
      <c r="S788" s="28">
        <v>0.52948364999999997</v>
      </c>
      <c r="T788" s="315">
        <f>_xlfn.MAXIFS('Raw Period DMR Data'!$O:$O,'Raw Period DMR Data'!$A:$A,'Raw Annual DMR Data'!B788,'Raw Period DMR Data'!$C:$C,X788)/S788</f>
        <v>0</v>
      </c>
      <c r="U788" s="28" t="str">
        <f>+IF(COUNTIFS('Raw Period DMR Data'!$A:$A,B788, 'Raw Period DMR Data'!C:C,'Raw Annual DMR Data'!X788, 'Raw Period DMR Data'!M:M, "&gt;0")&gt;0,_xlfn.MAXIFS('Raw Period DMR Data'!M:M,'Raw Period DMR Data'!$A:$A,'Raw Annual DMR Data'!B788,'Raw Period DMR Data'!C:C,'Raw Annual DMR Data'!X788), "N/A - Period DMR Data Not Available")</f>
        <v>N/A - Period DMR Data Not Available</v>
      </c>
      <c r="V788" s="28" t="str" cm="1">
        <f t="array" ref="V788">IFERROR(INDEX('Raw Period DMR Data'!N:N,MATCH(1,(B788='Raw Period DMR Data'!$A:$A)*(U788='Raw Period DMR Data'!M:M)*(X788='Raw Period DMR Data'!C:C),0),1), "N/A")</f>
        <v>N/A</v>
      </c>
      <c r="W788" s="28" t="s">
        <v>1463</v>
      </c>
      <c r="X788" s="28" t="s">
        <v>892</v>
      </c>
      <c r="Y788" s="28" t="s">
        <v>893</v>
      </c>
      <c r="Z788" s="61">
        <v>2030104000564</v>
      </c>
    </row>
    <row r="789" spans="1:29" x14ac:dyDescent="0.25">
      <c r="A789" s="61">
        <v>110002468669</v>
      </c>
      <c r="B789" s="28">
        <v>2020</v>
      </c>
      <c r="C789" s="68">
        <f t="shared" si="12"/>
        <v>43831</v>
      </c>
      <c r="D789" s="28" t="s">
        <v>167</v>
      </c>
      <c r="E789" s="28" t="s">
        <v>543</v>
      </c>
      <c r="F789" s="28" t="s">
        <v>544</v>
      </c>
      <c r="G789" s="28" t="s">
        <v>338</v>
      </c>
      <c r="H789" s="28">
        <v>7036</v>
      </c>
      <c r="I789" s="28">
        <v>40.610097000000003</v>
      </c>
      <c r="J789" s="28">
        <v>-74.204927999999995</v>
      </c>
      <c r="L789" s="61">
        <v>110002468669</v>
      </c>
      <c r="M789" s="28" t="s">
        <v>259</v>
      </c>
      <c r="N789" s="28">
        <v>2841</v>
      </c>
      <c r="O789" s="28" t="str">
        <f>IFERROR(VLOOKUP(N789, 'SIC &amp; NAICS Codes'!A:B, 2, FALSE), "")</f>
        <v>Soaps and Other Detergents, Except Specialty Cleaners</v>
      </c>
      <c r="S789" s="28">
        <v>0.25094549999999999</v>
      </c>
      <c r="T789" s="315">
        <f>_xlfn.MAXIFS('Raw Period DMR Data'!$O:$O,'Raw Period DMR Data'!$A:$A,'Raw Annual DMR Data'!B789,'Raw Period DMR Data'!$C:$C,X789)/S789</f>
        <v>0</v>
      </c>
      <c r="U789" s="28" t="str">
        <f>+IF(COUNTIFS('Raw Period DMR Data'!$A:$A,B789, 'Raw Period DMR Data'!C:C,'Raw Annual DMR Data'!X789, 'Raw Period DMR Data'!M:M, "&gt;0")&gt;0,_xlfn.MAXIFS('Raw Period DMR Data'!M:M,'Raw Period DMR Data'!$A:$A,'Raw Annual DMR Data'!B789,'Raw Period DMR Data'!C:C,'Raw Annual DMR Data'!X789), "N/A - Period DMR Data Not Available")</f>
        <v>N/A - Period DMR Data Not Available</v>
      </c>
      <c r="V789" s="28" t="str" cm="1">
        <f t="array" ref="V789">IFERROR(INDEX('Raw Period DMR Data'!N:N,MATCH(1,(B789='Raw Period DMR Data'!$A:$A)*(U789='Raw Period DMR Data'!M:M)*(X789='Raw Period DMR Data'!C:C),0),1), "N/A")</f>
        <v>N/A</v>
      </c>
      <c r="W789" s="28" t="s">
        <v>1463</v>
      </c>
      <c r="X789" s="28" t="s">
        <v>892</v>
      </c>
      <c r="Y789" s="28" t="s">
        <v>893</v>
      </c>
      <c r="Z789" s="61">
        <v>2030104000564</v>
      </c>
    </row>
    <row r="790" spans="1:29" x14ac:dyDescent="0.25">
      <c r="A790" s="61">
        <v>110002468669</v>
      </c>
      <c r="B790" s="28">
        <v>2017</v>
      </c>
      <c r="C790" s="68">
        <f t="shared" si="12"/>
        <v>42736</v>
      </c>
      <c r="D790" s="28" t="s">
        <v>167</v>
      </c>
      <c r="E790" s="28" t="s">
        <v>543</v>
      </c>
      <c r="F790" s="28" t="s">
        <v>544</v>
      </c>
      <c r="G790" s="28" t="s">
        <v>338</v>
      </c>
      <c r="H790" s="28">
        <v>7036</v>
      </c>
      <c r="I790" s="28">
        <v>40.610097000000003</v>
      </c>
      <c r="J790" s="28">
        <v>-74.204927999999995</v>
      </c>
      <c r="L790" s="61">
        <v>110002468669</v>
      </c>
      <c r="M790" s="28" t="s">
        <v>259</v>
      </c>
      <c r="N790" s="28">
        <v>2841</v>
      </c>
      <c r="O790" s="28" t="str">
        <f>IFERROR(VLOOKUP(N790, 'SIC &amp; NAICS Codes'!A:B, 2, FALSE), "")</f>
        <v>Soaps and Other Detergents, Except Specialty Cleaners</v>
      </c>
      <c r="S790" s="28">
        <v>0.59396743333333302</v>
      </c>
      <c r="T790" s="315">
        <f>_xlfn.MAXIFS('Raw Period DMR Data'!$O:$O,'Raw Period DMR Data'!$A:$A,'Raw Annual DMR Data'!B790,'Raw Period DMR Data'!$C:$C,X790)/S790</f>
        <v>0</v>
      </c>
      <c r="U790" s="28" t="str">
        <f>+IF(COUNTIFS('Raw Period DMR Data'!$A:$A,B790, 'Raw Period DMR Data'!C:C,'Raw Annual DMR Data'!X790, 'Raw Period DMR Data'!M:M, "&gt;0")&gt;0,_xlfn.MAXIFS('Raw Period DMR Data'!M:M,'Raw Period DMR Data'!$A:$A,'Raw Annual DMR Data'!B790,'Raw Period DMR Data'!C:C,'Raw Annual DMR Data'!X790), "N/A - Period DMR Data Not Available")</f>
        <v>N/A - Period DMR Data Not Available</v>
      </c>
      <c r="V790" s="28" t="str" cm="1">
        <f t="array" ref="V790">IFERROR(INDEX('Raw Period DMR Data'!N:N,MATCH(1,(B790='Raw Period DMR Data'!$A:$A)*(U790='Raw Period DMR Data'!M:M)*(X790='Raw Period DMR Data'!C:C),0),1), "N/A")</f>
        <v>N/A</v>
      </c>
      <c r="W790" s="28" t="s">
        <v>1463</v>
      </c>
      <c r="X790" s="28" t="s">
        <v>892</v>
      </c>
      <c r="Y790" s="28" t="s">
        <v>893</v>
      </c>
      <c r="Z790" s="28">
        <v>2030104000564</v>
      </c>
      <c r="AA790" s="28"/>
      <c r="AB790" s="28" t="s">
        <v>1465</v>
      </c>
      <c r="AC790" s="28" t="s">
        <v>1466</v>
      </c>
    </row>
    <row r="791" spans="1:29" x14ac:dyDescent="0.25">
      <c r="A791" s="61">
        <v>110002468669</v>
      </c>
      <c r="B791" s="28">
        <v>2018</v>
      </c>
      <c r="C791" s="68">
        <f t="shared" si="12"/>
        <v>43101</v>
      </c>
      <c r="D791" s="28" t="s">
        <v>167</v>
      </c>
      <c r="E791" s="28" t="s">
        <v>543</v>
      </c>
      <c r="F791" s="28" t="s">
        <v>544</v>
      </c>
      <c r="G791" s="28" t="s">
        <v>338</v>
      </c>
      <c r="H791" s="302" t="s">
        <v>1961</v>
      </c>
      <c r="I791" s="28">
        <v>40.610097000000003</v>
      </c>
      <c r="J791" s="28">
        <v>-74.204927999999995</v>
      </c>
      <c r="L791" s="61">
        <v>110002468669</v>
      </c>
      <c r="M791" s="28" t="s">
        <v>259</v>
      </c>
      <c r="N791" s="28">
        <v>2841</v>
      </c>
      <c r="O791" s="28" t="str">
        <f>IFERROR(VLOOKUP(N791, 'SIC &amp; NAICS Codes'!A:B, 2, FALSE), "")</f>
        <v>Soaps and Other Detergents, Except Specialty Cleaners</v>
      </c>
      <c r="S791" s="28">
        <v>0.33974538500000001</v>
      </c>
      <c r="T791" s="315">
        <f>_xlfn.MAXIFS('Raw Period DMR Data'!$O:$O,'Raw Period DMR Data'!$A:$A,'Raw Annual DMR Data'!B791,'Raw Period DMR Data'!$C:$C,X791)/S791</f>
        <v>0</v>
      </c>
      <c r="U791" s="28" t="str">
        <f>+IF(COUNTIFS('Raw Period DMR Data'!$A:$A,B791, 'Raw Period DMR Data'!C:C,'Raw Annual DMR Data'!X791, 'Raw Period DMR Data'!M:M, "&gt;0")&gt;0,_xlfn.MAXIFS('Raw Period DMR Data'!M:M,'Raw Period DMR Data'!$A:$A,'Raw Annual DMR Data'!B791,'Raw Period DMR Data'!C:C,'Raw Annual DMR Data'!X791), "N/A - Period DMR Data Not Available")</f>
        <v>N/A - Period DMR Data Not Available</v>
      </c>
      <c r="V791" s="28" t="str" cm="1">
        <f t="array" ref="V791">IFERROR(INDEX('Raw Period DMR Data'!N:N,MATCH(1,(B791='Raw Period DMR Data'!$A:$A)*(U791='Raw Period DMR Data'!M:M)*(X791='Raw Period DMR Data'!C:C),0),1), "N/A")</f>
        <v>N/A</v>
      </c>
      <c r="W791" s="28" t="s">
        <v>1463</v>
      </c>
      <c r="X791" s="28" t="s">
        <v>892</v>
      </c>
      <c r="Y791" s="28" t="s">
        <v>893</v>
      </c>
      <c r="Z791" s="302" t="s">
        <v>1962</v>
      </c>
      <c r="AA791" s="28"/>
      <c r="AB791" s="28" t="s">
        <v>1465</v>
      </c>
      <c r="AC791" s="28" t="s">
        <v>1466</v>
      </c>
    </row>
    <row r="792" spans="1:29" x14ac:dyDescent="0.25">
      <c r="A792" s="61">
        <v>110002468669</v>
      </c>
      <c r="B792" s="28">
        <v>2019</v>
      </c>
      <c r="C792" s="68">
        <f t="shared" si="12"/>
        <v>43466</v>
      </c>
      <c r="D792" s="28" t="s">
        <v>167</v>
      </c>
      <c r="E792" s="28" t="s">
        <v>543</v>
      </c>
      <c r="F792" s="28" t="s">
        <v>544</v>
      </c>
      <c r="G792" s="28" t="s">
        <v>338</v>
      </c>
      <c r="H792" s="28">
        <v>7036</v>
      </c>
      <c r="I792" s="28">
        <v>40.610097000000003</v>
      </c>
      <c r="J792" s="28">
        <v>-74.204927999999995</v>
      </c>
      <c r="L792" s="61">
        <v>110002468669</v>
      </c>
      <c r="M792" s="28" t="s">
        <v>259</v>
      </c>
      <c r="N792" s="28">
        <v>2841</v>
      </c>
      <c r="O792" s="28" t="str">
        <f>IFERROR(VLOOKUP(N792, 'SIC &amp; NAICS Codes'!A:B, 2, FALSE), "")</f>
        <v>Soaps and Other Detergents, Except Specialty Cleaners</v>
      </c>
      <c r="S792" s="28">
        <v>0.55881740000000002</v>
      </c>
      <c r="T792" s="315">
        <f>_xlfn.MAXIFS('Raw Period DMR Data'!$O:$O,'Raw Period DMR Data'!$A:$A,'Raw Annual DMR Data'!B792,'Raw Period DMR Data'!$C:$C,X792)/S792</f>
        <v>0</v>
      </c>
      <c r="U792" s="28" t="str">
        <f>+IF(COUNTIFS('Raw Period DMR Data'!$A:$A,B792, 'Raw Period DMR Data'!C:C,'Raw Annual DMR Data'!X792, 'Raw Period DMR Data'!M:M, "&gt;0")&gt;0,_xlfn.MAXIFS('Raw Period DMR Data'!M:M,'Raw Period DMR Data'!$A:$A,'Raw Annual DMR Data'!B792,'Raw Period DMR Data'!C:C,'Raw Annual DMR Data'!X792), "N/A - Period DMR Data Not Available")</f>
        <v>N/A - Period DMR Data Not Available</v>
      </c>
      <c r="V792" s="28" t="str" cm="1">
        <f t="array" ref="V792">IFERROR(INDEX('Raw Period DMR Data'!N:N,MATCH(1,(B792='Raw Period DMR Data'!$A:$A)*(U792='Raw Period DMR Data'!M:M)*(X792='Raw Period DMR Data'!C:C),0),1), "N/A")</f>
        <v>N/A</v>
      </c>
      <c r="W792" s="28" t="s">
        <v>1463</v>
      </c>
      <c r="X792" s="28" t="s">
        <v>892</v>
      </c>
      <c r="Y792" s="28" t="s">
        <v>893</v>
      </c>
      <c r="Z792" s="28">
        <v>2030104000564</v>
      </c>
      <c r="AA792" s="28"/>
      <c r="AB792" s="28" t="s">
        <v>1465</v>
      </c>
      <c r="AC792" s="28" t="s">
        <v>1466</v>
      </c>
    </row>
    <row r="793" spans="1:29" x14ac:dyDescent="0.25">
      <c r="A793" s="61">
        <v>110002468669</v>
      </c>
      <c r="B793" s="28">
        <v>2020</v>
      </c>
      <c r="C793" s="68">
        <f t="shared" si="12"/>
        <v>43831</v>
      </c>
      <c r="D793" s="28" t="s">
        <v>167</v>
      </c>
      <c r="E793" s="28" t="s">
        <v>543</v>
      </c>
      <c r="F793" s="28" t="s">
        <v>544</v>
      </c>
      <c r="G793" s="28" t="s">
        <v>338</v>
      </c>
      <c r="H793" s="28">
        <v>7036</v>
      </c>
      <c r="I793" s="28">
        <v>40.610097000000003</v>
      </c>
      <c r="J793" s="28">
        <v>-74.204927999999995</v>
      </c>
      <c r="L793" s="61">
        <v>110002468669</v>
      </c>
      <c r="M793" s="28" t="s">
        <v>259</v>
      </c>
      <c r="N793" s="28">
        <v>2841</v>
      </c>
      <c r="O793" s="28" t="str">
        <f>IFERROR(VLOOKUP(N793, 'SIC &amp; NAICS Codes'!A:B, 2, FALSE), "")</f>
        <v>Soaps and Other Detergents, Except Specialty Cleaners</v>
      </c>
      <c r="S793" s="28">
        <v>0.288208825</v>
      </c>
      <c r="T793" s="315">
        <f>_xlfn.MAXIFS('Raw Period DMR Data'!$O:$O,'Raw Period DMR Data'!$A:$A,'Raw Annual DMR Data'!B793,'Raw Period DMR Data'!$C:$C,X793)/S793</f>
        <v>0</v>
      </c>
      <c r="U793" s="28" t="str">
        <f>+IF(COUNTIFS('Raw Period DMR Data'!$A:$A,B793, 'Raw Period DMR Data'!C:C,'Raw Annual DMR Data'!X793, 'Raw Period DMR Data'!M:M, "&gt;0")&gt;0,_xlfn.MAXIFS('Raw Period DMR Data'!M:M,'Raw Period DMR Data'!$A:$A,'Raw Annual DMR Data'!B793,'Raw Period DMR Data'!C:C,'Raw Annual DMR Data'!X793), "N/A - Period DMR Data Not Available")</f>
        <v>N/A - Period DMR Data Not Available</v>
      </c>
      <c r="V793" s="28" t="str" cm="1">
        <f t="array" ref="V793">IFERROR(INDEX('Raw Period DMR Data'!N:N,MATCH(1,(B793='Raw Period DMR Data'!$A:$A)*(U793='Raw Period DMR Data'!M:M)*(X793='Raw Period DMR Data'!C:C),0),1), "N/A")</f>
        <v>N/A</v>
      </c>
      <c r="W793" s="28" t="s">
        <v>1463</v>
      </c>
      <c r="X793" s="28" t="s">
        <v>892</v>
      </c>
      <c r="Y793" s="28" t="s">
        <v>893</v>
      </c>
      <c r="Z793" s="28">
        <v>2030104000564</v>
      </c>
      <c r="AA793" s="28"/>
      <c r="AB793" s="28" t="s">
        <v>1465</v>
      </c>
      <c r="AC793" s="28" t="s">
        <v>1466</v>
      </c>
    </row>
    <row r="794" spans="1:29" x14ac:dyDescent="0.25">
      <c r="A794" s="61">
        <v>110000610429</v>
      </c>
      <c r="B794" s="28">
        <v>2015</v>
      </c>
      <c r="C794" s="68">
        <f t="shared" si="12"/>
        <v>42005</v>
      </c>
      <c r="D794" s="28" t="s">
        <v>1212</v>
      </c>
      <c r="E794" s="28" t="s">
        <v>1963</v>
      </c>
      <c r="F794" s="28" t="s">
        <v>1213</v>
      </c>
      <c r="G794" s="28" t="s">
        <v>1128</v>
      </c>
      <c r="H794" s="28">
        <v>80125</v>
      </c>
      <c r="I794" s="28">
        <v>39.496341999999999</v>
      </c>
      <c r="J794" s="28">
        <v>-105.10758800000001</v>
      </c>
      <c r="K794" s="28" t="s">
        <v>724</v>
      </c>
      <c r="L794" s="61">
        <v>110000610429</v>
      </c>
      <c r="M794" s="28" t="s">
        <v>265</v>
      </c>
      <c r="N794" s="28">
        <v>3761</v>
      </c>
      <c r="O794" s="28" t="str">
        <f>IFERROR(VLOOKUP(N794, 'SIC &amp; NAICS Codes'!A:B, 2, FALSE), "")</f>
        <v>Guided Missiles and Space Vehicles (except research and development not producing prototypes)</v>
      </c>
      <c r="S794" s="28">
        <v>4.9010697025000001E-2</v>
      </c>
      <c r="T794" s="315">
        <f>_xlfn.MAXIFS('Raw Period DMR Data'!$O:$O,'Raw Period DMR Data'!$A:$A,'Raw Annual DMR Data'!B794,'Raw Period DMR Data'!$C:$C,X794)/S794</f>
        <v>0</v>
      </c>
      <c r="U794" s="28" t="str">
        <f>+IF(COUNTIFS('Raw Period DMR Data'!$A:$A,B794, 'Raw Period DMR Data'!C:C,'Raw Annual DMR Data'!X794, 'Raw Period DMR Data'!M:M, "&gt;0")&gt;0,_xlfn.MAXIFS('Raw Period DMR Data'!M:M,'Raw Period DMR Data'!$A:$A,'Raw Annual DMR Data'!B794,'Raw Period DMR Data'!C:C,'Raw Annual DMR Data'!X794), "N/A - Period DMR Data Not Available")</f>
        <v>N/A - Period DMR Data Not Available</v>
      </c>
      <c r="V794" s="28" t="str" cm="1">
        <f t="array" ref="V794">IFERROR(INDEX('Raw Period DMR Data'!N:N,MATCH(1,(B794='Raw Period DMR Data'!$A:$A)*(U794='Raw Period DMR Data'!M:M)*(X794='Raw Period DMR Data'!C:C),0),1), "N/A")</f>
        <v>N/A</v>
      </c>
      <c r="W794" s="28" t="s">
        <v>1463</v>
      </c>
      <c r="X794" s="28" t="s">
        <v>1964</v>
      </c>
      <c r="Y794" s="28" t="s">
        <v>1965</v>
      </c>
      <c r="Z794" s="28">
        <v>10190002000856</v>
      </c>
      <c r="AA794" s="28"/>
      <c r="AB794" s="28" t="s">
        <v>1465</v>
      </c>
      <c r="AC794" s="28" t="s">
        <v>1466</v>
      </c>
    </row>
    <row r="795" spans="1:29" x14ac:dyDescent="0.25">
      <c r="A795" s="61">
        <v>110000610429</v>
      </c>
      <c r="B795" s="28">
        <v>2016</v>
      </c>
      <c r="C795" s="68">
        <f t="shared" si="12"/>
        <v>42370</v>
      </c>
      <c r="D795" s="28" t="s">
        <v>1212</v>
      </c>
      <c r="E795" s="28" t="s">
        <v>1963</v>
      </c>
      <c r="F795" s="28" t="s">
        <v>1213</v>
      </c>
      <c r="G795" s="28" t="s">
        <v>1128</v>
      </c>
      <c r="H795" s="28">
        <v>80125</v>
      </c>
      <c r="I795" s="28">
        <v>39.496341999999999</v>
      </c>
      <c r="J795" s="28">
        <v>-105.10758800000001</v>
      </c>
      <c r="K795" s="28" t="s">
        <v>724</v>
      </c>
      <c r="L795" s="61">
        <v>110000610429</v>
      </c>
      <c r="M795" s="28" t="s">
        <v>265</v>
      </c>
      <c r="N795" s="28">
        <v>3761</v>
      </c>
      <c r="O795" s="28" t="str">
        <f>IFERROR(VLOOKUP(N795, 'SIC &amp; NAICS Codes'!A:B, 2, FALSE), "")</f>
        <v>Guided Missiles and Space Vehicles (except research and development not producing prototypes)</v>
      </c>
      <c r="S795" s="28">
        <v>5.0718015900000003E-2</v>
      </c>
      <c r="T795" s="315">
        <f>_xlfn.MAXIFS('Raw Period DMR Data'!$O:$O,'Raw Period DMR Data'!$A:$A,'Raw Annual DMR Data'!B795,'Raw Period DMR Data'!$C:$C,X795)/S795</f>
        <v>0</v>
      </c>
      <c r="U795" s="28" t="str">
        <f>+IF(COUNTIFS('Raw Period DMR Data'!$A:$A,B795, 'Raw Period DMR Data'!C:C,'Raw Annual DMR Data'!X795, 'Raw Period DMR Data'!M:M, "&gt;0")&gt;0,_xlfn.MAXIFS('Raw Period DMR Data'!M:M,'Raw Period DMR Data'!$A:$A,'Raw Annual DMR Data'!B795,'Raw Period DMR Data'!C:C,'Raw Annual DMR Data'!X795), "N/A - Period DMR Data Not Available")</f>
        <v>N/A - Period DMR Data Not Available</v>
      </c>
      <c r="V795" s="28" t="str" cm="1">
        <f t="array" ref="V795">IFERROR(INDEX('Raw Period DMR Data'!N:N,MATCH(1,(B795='Raw Period DMR Data'!$A:$A)*(U795='Raw Period DMR Data'!M:M)*(X795='Raw Period DMR Data'!C:C),0),1), "N/A")</f>
        <v>N/A</v>
      </c>
      <c r="W795" s="28" t="s">
        <v>1463</v>
      </c>
      <c r="X795" s="28" t="s">
        <v>1964</v>
      </c>
      <c r="Y795" s="28" t="s">
        <v>1965</v>
      </c>
      <c r="Z795" s="28">
        <v>10190002000856</v>
      </c>
      <c r="AA795" s="28"/>
      <c r="AB795" s="28" t="s">
        <v>1465</v>
      </c>
      <c r="AC795" s="28" t="s">
        <v>1466</v>
      </c>
    </row>
    <row r="796" spans="1:29" x14ac:dyDescent="0.25">
      <c r="A796" s="61">
        <v>110000610429</v>
      </c>
      <c r="B796" s="28">
        <v>2017</v>
      </c>
      <c r="C796" s="68">
        <f t="shared" si="12"/>
        <v>42736</v>
      </c>
      <c r="D796" s="28" t="s">
        <v>1212</v>
      </c>
      <c r="E796" s="28" t="s">
        <v>1963</v>
      </c>
      <c r="F796" s="28" t="s">
        <v>1213</v>
      </c>
      <c r="G796" s="28" t="s">
        <v>1128</v>
      </c>
      <c r="H796" s="28">
        <v>80125</v>
      </c>
      <c r="I796" s="28">
        <v>39.496341999999999</v>
      </c>
      <c r="J796" s="28">
        <v>-105.10758800000001</v>
      </c>
      <c r="K796" s="28" t="s">
        <v>724</v>
      </c>
      <c r="L796" s="61">
        <v>110000610429</v>
      </c>
      <c r="M796" s="28" t="s">
        <v>265</v>
      </c>
      <c r="N796" s="28">
        <v>3761</v>
      </c>
      <c r="O796" s="28" t="str">
        <f>IFERROR(VLOOKUP(N796, 'SIC &amp; NAICS Codes'!A:B, 2, FALSE), "")</f>
        <v>Guided Missiles and Space Vehicles (except research and development not producing prototypes)</v>
      </c>
      <c r="S796" s="28">
        <v>4.0544919999999998E-2</v>
      </c>
      <c r="T796" s="315">
        <f>_xlfn.MAXIFS('Raw Period DMR Data'!$O:$O,'Raw Period DMR Data'!$A:$A,'Raw Annual DMR Data'!B796,'Raw Period DMR Data'!$C:$C,X796)/S796</f>
        <v>0</v>
      </c>
      <c r="U796" s="28" t="str">
        <f>+IF(COUNTIFS('Raw Period DMR Data'!$A:$A,B796, 'Raw Period DMR Data'!C:C,'Raw Annual DMR Data'!X796, 'Raw Period DMR Data'!M:M, "&gt;0")&gt;0,_xlfn.MAXIFS('Raw Period DMR Data'!M:M,'Raw Period DMR Data'!$A:$A,'Raw Annual DMR Data'!B796,'Raw Period DMR Data'!C:C,'Raw Annual DMR Data'!X796), "N/A - Period DMR Data Not Available")</f>
        <v>N/A - Period DMR Data Not Available</v>
      </c>
      <c r="V796" s="28" t="str" cm="1">
        <f t="array" ref="V796">IFERROR(INDEX('Raw Period DMR Data'!N:N,MATCH(1,(B796='Raw Period DMR Data'!$A:$A)*(U796='Raw Period DMR Data'!M:M)*(X796='Raw Period DMR Data'!C:C),0),1), "N/A")</f>
        <v>N/A</v>
      </c>
      <c r="W796" s="28" t="s">
        <v>1463</v>
      </c>
      <c r="X796" s="28" t="s">
        <v>1964</v>
      </c>
      <c r="Y796" s="28" t="s">
        <v>1965</v>
      </c>
      <c r="Z796" s="28">
        <v>10190002000856</v>
      </c>
      <c r="AA796" s="28"/>
      <c r="AB796" s="28" t="s">
        <v>1465</v>
      </c>
      <c r="AC796" s="28" t="s">
        <v>1466</v>
      </c>
    </row>
    <row r="797" spans="1:29" x14ac:dyDescent="0.25">
      <c r="A797" s="61">
        <v>110000610429</v>
      </c>
      <c r="B797" s="28">
        <v>2018</v>
      </c>
      <c r="C797" s="68">
        <f t="shared" si="12"/>
        <v>43101</v>
      </c>
      <c r="D797" s="28" t="s">
        <v>1212</v>
      </c>
      <c r="E797" s="28" t="s">
        <v>1963</v>
      </c>
      <c r="F797" s="28" t="s">
        <v>1213</v>
      </c>
      <c r="G797" s="28" t="s">
        <v>1128</v>
      </c>
      <c r="H797" s="28">
        <v>80125</v>
      </c>
      <c r="I797" s="28">
        <v>39.496341999999999</v>
      </c>
      <c r="J797" s="28">
        <v>-105.10758800000001</v>
      </c>
      <c r="K797" s="28" t="s">
        <v>724</v>
      </c>
      <c r="L797" s="61">
        <v>110000610429</v>
      </c>
      <c r="M797" s="28" t="s">
        <v>265</v>
      </c>
      <c r="N797" s="28">
        <v>3761</v>
      </c>
      <c r="O797" s="28" t="str">
        <f>IFERROR(VLOOKUP(N797, 'SIC &amp; NAICS Codes'!A:B, 2, FALSE), "")</f>
        <v>Guided Missiles and Space Vehicles (except research and development not producing prototypes)</v>
      </c>
      <c r="S797" s="28">
        <v>3.5711474999999999E-2</v>
      </c>
      <c r="T797" s="315">
        <f>_xlfn.MAXIFS('Raw Period DMR Data'!$O:$O,'Raw Period DMR Data'!$A:$A,'Raw Annual DMR Data'!B797,'Raw Period DMR Data'!$C:$C,X797)/S797</f>
        <v>0</v>
      </c>
      <c r="U797" s="28" t="str">
        <f>+IF(COUNTIFS('Raw Period DMR Data'!$A:$A,B797, 'Raw Period DMR Data'!C:C,'Raw Annual DMR Data'!X797, 'Raw Period DMR Data'!M:M, "&gt;0")&gt;0,_xlfn.MAXIFS('Raw Period DMR Data'!M:M,'Raw Period DMR Data'!$A:$A,'Raw Annual DMR Data'!B797,'Raw Period DMR Data'!C:C,'Raw Annual DMR Data'!X797), "N/A - Period DMR Data Not Available")</f>
        <v>N/A - Period DMR Data Not Available</v>
      </c>
      <c r="V797" s="28" t="str" cm="1">
        <f t="array" ref="V797">IFERROR(INDEX('Raw Period DMR Data'!N:N,MATCH(1,(B797='Raw Period DMR Data'!$A:$A)*(U797='Raw Period DMR Data'!M:M)*(X797='Raw Period DMR Data'!C:C),0),1), "N/A")</f>
        <v>N/A</v>
      </c>
      <c r="W797" s="28" t="s">
        <v>1463</v>
      </c>
      <c r="X797" s="28" t="s">
        <v>1964</v>
      </c>
      <c r="Y797" s="28" t="s">
        <v>1965</v>
      </c>
      <c r="Z797" s="28">
        <v>10190002000856</v>
      </c>
      <c r="AA797" s="28"/>
      <c r="AB797" s="28" t="s">
        <v>1465</v>
      </c>
      <c r="AC797" s="28" t="s">
        <v>1466</v>
      </c>
    </row>
    <row r="798" spans="1:29" x14ac:dyDescent="0.25">
      <c r="A798" s="61">
        <v>110000610429</v>
      </c>
      <c r="B798" s="28">
        <v>2019</v>
      </c>
      <c r="C798" s="68">
        <f t="shared" si="12"/>
        <v>43466</v>
      </c>
      <c r="D798" s="28" t="s">
        <v>1212</v>
      </c>
      <c r="E798" s="28" t="s">
        <v>1963</v>
      </c>
      <c r="F798" s="28" t="s">
        <v>1213</v>
      </c>
      <c r="G798" s="28" t="s">
        <v>1128</v>
      </c>
      <c r="H798" s="28">
        <v>80125</v>
      </c>
      <c r="I798" s="28">
        <v>39.496341999999999</v>
      </c>
      <c r="J798" s="28">
        <v>-105.10758800000001</v>
      </c>
      <c r="K798" s="28" t="s">
        <v>724</v>
      </c>
      <c r="L798" s="61">
        <v>110000610429</v>
      </c>
      <c r="M798" s="28" t="s">
        <v>265</v>
      </c>
      <c r="N798" s="28">
        <v>3761</v>
      </c>
      <c r="O798" s="28" t="str">
        <f>IFERROR(VLOOKUP(N798, 'SIC &amp; NAICS Codes'!A:B, 2, FALSE), "")</f>
        <v>Guided Missiles and Space Vehicles (except research and development not producing prototypes)</v>
      </c>
      <c r="S798" s="28">
        <v>3.9738715000000001E-2</v>
      </c>
      <c r="T798" s="315">
        <f>_xlfn.MAXIFS('Raw Period DMR Data'!$O:$O,'Raw Period DMR Data'!$A:$A,'Raw Annual DMR Data'!B798,'Raw Period DMR Data'!$C:$C,X798)/S798</f>
        <v>0</v>
      </c>
      <c r="U798" s="28" t="str">
        <f>+IF(COUNTIFS('Raw Period DMR Data'!$A:$A,B798, 'Raw Period DMR Data'!C:C,'Raw Annual DMR Data'!X798, 'Raw Period DMR Data'!M:M, "&gt;0")&gt;0,_xlfn.MAXIFS('Raw Period DMR Data'!M:M,'Raw Period DMR Data'!$A:$A,'Raw Annual DMR Data'!B798,'Raw Period DMR Data'!C:C,'Raw Annual DMR Data'!X798), "N/A - Period DMR Data Not Available")</f>
        <v>N/A - Period DMR Data Not Available</v>
      </c>
      <c r="V798" s="28" t="str" cm="1">
        <f t="array" ref="V798">IFERROR(INDEX('Raw Period DMR Data'!N:N,MATCH(1,(B798='Raw Period DMR Data'!$A:$A)*(U798='Raw Period DMR Data'!M:M)*(X798='Raw Period DMR Data'!C:C),0),1), "N/A")</f>
        <v>N/A</v>
      </c>
      <c r="W798" s="28" t="s">
        <v>1463</v>
      </c>
      <c r="X798" s="28" t="s">
        <v>1964</v>
      </c>
      <c r="Y798" s="28" t="s">
        <v>1965</v>
      </c>
      <c r="Z798" s="28">
        <v>10190002000856</v>
      </c>
      <c r="AA798" s="28"/>
      <c r="AB798" s="28" t="s">
        <v>1465</v>
      </c>
      <c r="AC798" s="28" t="s">
        <v>1466</v>
      </c>
    </row>
    <row r="799" spans="1:29" x14ac:dyDescent="0.25">
      <c r="A799" s="61">
        <v>110000610429</v>
      </c>
      <c r="B799" s="28">
        <v>2020</v>
      </c>
      <c r="C799" s="68">
        <f t="shared" si="12"/>
        <v>43831</v>
      </c>
      <c r="D799" s="28" t="s">
        <v>1212</v>
      </c>
      <c r="E799" s="28" t="s">
        <v>1963</v>
      </c>
      <c r="F799" s="28" t="s">
        <v>1213</v>
      </c>
      <c r="G799" s="28" t="s">
        <v>1128</v>
      </c>
      <c r="H799" s="28">
        <v>80125</v>
      </c>
      <c r="I799" s="28">
        <v>39.496341999999999</v>
      </c>
      <c r="J799" s="28">
        <v>-105.10758800000001</v>
      </c>
      <c r="K799" s="28" t="s">
        <v>724</v>
      </c>
      <c r="L799" s="61">
        <v>110000610429</v>
      </c>
      <c r="M799" s="28" t="s">
        <v>265</v>
      </c>
      <c r="N799" s="28">
        <v>3761</v>
      </c>
      <c r="O799" s="28" t="str">
        <f>IFERROR(VLOOKUP(N799, 'SIC &amp; NAICS Codes'!A:B, 2, FALSE), "")</f>
        <v>Guided Missiles and Space Vehicles (except research and development not producing prototypes)</v>
      </c>
      <c r="S799" s="28">
        <v>4.0860967499999998E-2</v>
      </c>
      <c r="T799" s="315">
        <f>_xlfn.MAXIFS('Raw Period DMR Data'!$O:$O,'Raw Period DMR Data'!$A:$A,'Raw Annual DMR Data'!B799,'Raw Period DMR Data'!$C:$C,X799)/S799</f>
        <v>0</v>
      </c>
      <c r="U799" s="28" t="str">
        <f>+IF(COUNTIFS('Raw Period DMR Data'!$A:$A,B799, 'Raw Period DMR Data'!C:C,'Raw Annual DMR Data'!X799, 'Raw Period DMR Data'!M:M, "&gt;0")&gt;0,_xlfn.MAXIFS('Raw Period DMR Data'!M:M,'Raw Period DMR Data'!$A:$A,'Raw Annual DMR Data'!B799,'Raw Period DMR Data'!C:C,'Raw Annual DMR Data'!X799), "N/A - Period DMR Data Not Available")</f>
        <v>N/A - Period DMR Data Not Available</v>
      </c>
      <c r="V799" s="28" t="str" cm="1">
        <f t="array" ref="V799">IFERROR(INDEX('Raw Period DMR Data'!N:N,MATCH(1,(B799='Raw Period DMR Data'!$A:$A)*(U799='Raw Period DMR Data'!M:M)*(X799='Raw Period DMR Data'!C:C),0),1), "N/A")</f>
        <v>N/A</v>
      </c>
      <c r="W799" s="28" t="s">
        <v>1463</v>
      </c>
      <c r="X799" s="28" t="s">
        <v>1964</v>
      </c>
      <c r="Y799" s="28" t="s">
        <v>1965</v>
      </c>
      <c r="Z799" s="28">
        <v>10190002000856</v>
      </c>
      <c r="AA799" s="28"/>
      <c r="AB799" s="28" t="s">
        <v>1465</v>
      </c>
      <c r="AC799" s="28" t="s">
        <v>1466</v>
      </c>
    </row>
    <row r="800" spans="1:29" x14ac:dyDescent="0.25">
      <c r="A800" s="61">
        <v>110009547222</v>
      </c>
      <c r="B800" s="28">
        <v>2015</v>
      </c>
      <c r="C800" s="68">
        <f t="shared" si="12"/>
        <v>42005</v>
      </c>
      <c r="D800" s="28" t="s">
        <v>168</v>
      </c>
      <c r="E800" s="28" t="s">
        <v>546</v>
      </c>
      <c r="F800" s="28" t="s">
        <v>547</v>
      </c>
      <c r="G800" s="28" t="s">
        <v>366</v>
      </c>
      <c r="H800" s="28">
        <v>93436</v>
      </c>
      <c r="I800" s="28">
        <v>34.661079999999998</v>
      </c>
      <c r="J800" s="28">
        <v>-120.48135000000001</v>
      </c>
      <c r="L800" s="61">
        <v>110009547222</v>
      </c>
      <c r="M800" s="28" t="s">
        <v>263</v>
      </c>
      <c r="N800" s="28">
        <v>4952</v>
      </c>
      <c r="O800" s="28" t="str">
        <f>IFERROR(VLOOKUP(N800, 'SIC &amp; NAICS Codes'!A:B, 2, FALSE), "")</f>
        <v>Sewerage Systems</v>
      </c>
      <c r="S800" s="28">
        <v>2.1620866250000002</v>
      </c>
      <c r="T800" s="315">
        <f>_xlfn.MAXIFS('Raw Period DMR Data'!$O:$O,'Raw Period DMR Data'!$A:$A,'Raw Annual DMR Data'!B800,'Raw Period DMR Data'!$C:$C,X800)/S800</f>
        <v>0</v>
      </c>
      <c r="U800" s="28" t="str">
        <f>+IF(COUNTIFS('Raw Period DMR Data'!$A:$A,B800, 'Raw Period DMR Data'!C:C,'Raw Annual DMR Data'!X800, 'Raw Period DMR Data'!M:M, "&gt;0")&gt;0,_xlfn.MAXIFS('Raw Period DMR Data'!M:M,'Raw Period DMR Data'!$A:$A,'Raw Annual DMR Data'!B800,'Raw Period DMR Data'!C:C,'Raw Annual DMR Data'!X800), "N/A - Period DMR Data Not Available")</f>
        <v>N/A - Period DMR Data Not Available</v>
      </c>
      <c r="V800" s="28" t="str" cm="1">
        <f t="array" ref="V800">IFERROR(INDEX('Raw Period DMR Data'!N:N,MATCH(1,(B800='Raw Period DMR Data'!$A:$A)*(U800='Raw Period DMR Data'!M:M)*(X800='Raw Period DMR Data'!C:C),0),1), "N/A")</f>
        <v>N/A</v>
      </c>
      <c r="W800" s="28" t="s">
        <v>1463</v>
      </c>
      <c r="X800" s="28" t="s">
        <v>894</v>
      </c>
      <c r="Y800" s="28" t="s">
        <v>895</v>
      </c>
      <c r="Z800" s="61">
        <v>18060010000006</v>
      </c>
    </row>
    <row r="801" spans="1:29" x14ac:dyDescent="0.25">
      <c r="A801" s="61">
        <v>110009547222</v>
      </c>
      <c r="B801" s="28">
        <v>2016</v>
      </c>
      <c r="C801" s="68">
        <f t="shared" si="12"/>
        <v>42370</v>
      </c>
      <c r="D801" s="28" t="s">
        <v>168</v>
      </c>
      <c r="E801" s="28" t="s">
        <v>546</v>
      </c>
      <c r="F801" s="28" t="s">
        <v>547</v>
      </c>
      <c r="G801" s="28" t="s">
        <v>366</v>
      </c>
      <c r="H801" s="28">
        <v>93436</v>
      </c>
      <c r="I801" s="28">
        <v>34.661079999999998</v>
      </c>
      <c r="J801" s="28">
        <v>-120.48135000000001</v>
      </c>
      <c r="L801" s="61">
        <v>110009547222</v>
      </c>
      <c r="M801" s="28" t="s">
        <v>263</v>
      </c>
      <c r="N801" s="28">
        <v>4952</v>
      </c>
      <c r="O801" s="28" t="str">
        <f>IFERROR(VLOOKUP(N801, 'SIC &amp; NAICS Codes'!A:B, 2, FALSE), "")</f>
        <v>Sewerage Systems</v>
      </c>
      <c r="S801" s="28">
        <v>1.0257823125000001</v>
      </c>
      <c r="T801" s="315">
        <f>_xlfn.MAXIFS('Raw Period DMR Data'!$O:$O,'Raw Period DMR Data'!$A:$A,'Raw Annual DMR Data'!B801,'Raw Period DMR Data'!$C:$C,X801)/S801</f>
        <v>0</v>
      </c>
      <c r="U801" s="28" t="str">
        <f>+IF(COUNTIFS('Raw Period DMR Data'!$A:$A,B801, 'Raw Period DMR Data'!C:C,'Raw Annual DMR Data'!X801, 'Raw Period DMR Data'!M:M, "&gt;0")&gt;0,_xlfn.MAXIFS('Raw Period DMR Data'!M:M,'Raw Period DMR Data'!$A:$A,'Raw Annual DMR Data'!B801,'Raw Period DMR Data'!C:C,'Raw Annual DMR Data'!X801), "N/A - Period DMR Data Not Available")</f>
        <v>N/A - Period DMR Data Not Available</v>
      </c>
      <c r="V801" s="28" t="str" cm="1">
        <f t="array" ref="V801">IFERROR(INDEX('Raw Period DMR Data'!N:N,MATCH(1,(B801='Raw Period DMR Data'!$A:$A)*(U801='Raw Period DMR Data'!M:M)*(X801='Raw Period DMR Data'!C:C),0),1), "N/A")</f>
        <v>N/A</v>
      </c>
      <c r="W801" s="28" t="s">
        <v>1463</v>
      </c>
      <c r="X801" s="28" t="s">
        <v>894</v>
      </c>
      <c r="Y801" s="28" t="s">
        <v>895</v>
      </c>
      <c r="Z801" s="28">
        <v>18060010000006</v>
      </c>
      <c r="AA801" s="28"/>
      <c r="AB801" s="28" t="s">
        <v>1465</v>
      </c>
      <c r="AC801" s="28" t="s">
        <v>263</v>
      </c>
    </row>
    <row r="802" spans="1:29" x14ac:dyDescent="0.25">
      <c r="A802" s="61">
        <v>110009547222</v>
      </c>
      <c r="B802" s="28">
        <v>2017</v>
      </c>
      <c r="C802" s="68">
        <f t="shared" si="12"/>
        <v>42736</v>
      </c>
      <c r="D802" s="28" t="s">
        <v>168</v>
      </c>
      <c r="E802" s="28" t="s">
        <v>546</v>
      </c>
      <c r="F802" s="28" t="s">
        <v>547</v>
      </c>
      <c r="G802" s="28" t="s">
        <v>366</v>
      </c>
      <c r="H802" s="28">
        <v>93436</v>
      </c>
      <c r="I802" s="28">
        <v>34.661079999999998</v>
      </c>
      <c r="J802" s="28">
        <v>-120.48135000000001</v>
      </c>
      <c r="L802" s="61">
        <v>110009547222</v>
      </c>
      <c r="M802" s="28" t="s">
        <v>263</v>
      </c>
      <c r="N802" s="28">
        <v>4952</v>
      </c>
      <c r="O802" s="28" t="str">
        <f>IFERROR(VLOOKUP(N802, 'SIC &amp; NAICS Codes'!A:B, 2, FALSE), "")</f>
        <v>Sewerage Systems</v>
      </c>
      <c r="S802" s="28">
        <v>1.00851325</v>
      </c>
      <c r="T802" s="315">
        <f>_xlfn.MAXIFS('Raw Period DMR Data'!$O:$O,'Raw Period DMR Data'!$A:$A,'Raw Annual DMR Data'!B802,'Raw Period DMR Data'!$C:$C,X802)/S802</f>
        <v>0</v>
      </c>
      <c r="U802" s="28" t="str">
        <f>+IF(COUNTIFS('Raw Period DMR Data'!$A:$A,B802, 'Raw Period DMR Data'!C:C,'Raw Annual DMR Data'!X802, 'Raw Period DMR Data'!M:M, "&gt;0")&gt;0,_xlfn.MAXIFS('Raw Period DMR Data'!M:M,'Raw Period DMR Data'!$A:$A,'Raw Annual DMR Data'!B802,'Raw Period DMR Data'!C:C,'Raw Annual DMR Data'!X802), "N/A - Period DMR Data Not Available")</f>
        <v>N/A - Period DMR Data Not Available</v>
      </c>
      <c r="V802" s="28" t="str" cm="1">
        <f t="array" ref="V802">IFERROR(INDEX('Raw Period DMR Data'!N:N,MATCH(1,(B802='Raw Period DMR Data'!$A:$A)*(U802='Raw Period DMR Data'!M:M)*(X802='Raw Period DMR Data'!C:C),0),1), "N/A")</f>
        <v>N/A</v>
      </c>
      <c r="W802" s="28" t="s">
        <v>1463</v>
      </c>
      <c r="X802" s="28" t="s">
        <v>894</v>
      </c>
      <c r="Y802" s="28" t="s">
        <v>895</v>
      </c>
      <c r="Z802" s="28">
        <v>18060010000006</v>
      </c>
      <c r="AA802" s="28"/>
      <c r="AB802" s="28" t="s">
        <v>1465</v>
      </c>
      <c r="AC802" s="28" t="s">
        <v>263</v>
      </c>
    </row>
    <row r="803" spans="1:29" x14ac:dyDescent="0.25">
      <c r="A803" s="61">
        <v>110009547222</v>
      </c>
      <c r="B803" s="28">
        <v>2018</v>
      </c>
      <c r="C803" s="68">
        <f t="shared" si="12"/>
        <v>43101</v>
      </c>
      <c r="D803" s="28" t="s">
        <v>168</v>
      </c>
      <c r="E803" s="28" t="s">
        <v>546</v>
      </c>
      <c r="F803" s="28" t="s">
        <v>547</v>
      </c>
      <c r="G803" s="28" t="s">
        <v>366</v>
      </c>
      <c r="H803" s="28">
        <v>93436</v>
      </c>
      <c r="I803" s="28">
        <v>34.661079999999998</v>
      </c>
      <c r="J803" s="28">
        <v>-120.48135000000001</v>
      </c>
      <c r="L803" s="61">
        <v>110009547222</v>
      </c>
      <c r="M803" s="28" t="s">
        <v>263</v>
      </c>
      <c r="N803" s="28">
        <v>4952</v>
      </c>
      <c r="O803" s="28" t="str">
        <f>IFERROR(VLOOKUP(N803, 'SIC &amp; NAICS Codes'!A:B, 2, FALSE), "")</f>
        <v>Sewerage Systems</v>
      </c>
      <c r="S803" s="28">
        <v>1.0223285</v>
      </c>
      <c r="T803" s="315">
        <f>_xlfn.MAXIFS('Raw Period DMR Data'!$O:$O,'Raw Period DMR Data'!$A:$A,'Raw Annual DMR Data'!B803,'Raw Period DMR Data'!$C:$C,X803)/S803</f>
        <v>0</v>
      </c>
      <c r="U803" s="28" t="str">
        <f>+IF(COUNTIFS('Raw Period DMR Data'!$A:$A,B803, 'Raw Period DMR Data'!C:C,'Raw Annual DMR Data'!X803, 'Raw Period DMR Data'!M:M, "&gt;0")&gt;0,_xlfn.MAXIFS('Raw Period DMR Data'!M:M,'Raw Period DMR Data'!$A:$A,'Raw Annual DMR Data'!B803,'Raw Period DMR Data'!C:C,'Raw Annual DMR Data'!X803), "N/A - Period DMR Data Not Available")</f>
        <v>N/A - Period DMR Data Not Available</v>
      </c>
      <c r="V803" s="28" t="str" cm="1">
        <f t="array" ref="V803">IFERROR(INDEX('Raw Period DMR Data'!N:N,MATCH(1,(B803='Raw Period DMR Data'!$A:$A)*(U803='Raw Period DMR Data'!M:M)*(X803='Raw Period DMR Data'!C:C),0),1), "N/A")</f>
        <v>N/A</v>
      </c>
      <c r="W803" s="28" t="s">
        <v>1463</v>
      </c>
      <c r="X803" s="28" t="s">
        <v>894</v>
      </c>
      <c r="Y803" s="28" t="s">
        <v>895</v>
      </c>
      <c r="Z803" s="28">
        <v>18060010000006</v>
      </c>
      <c r="AA803" s="28"/>
      <c r="AB803" s="28" t="s">
        <v>1465</v>
      </c>
      <c r="AC803" s="28" t="s">
        <v>263</v>
      </c>
    </row>
    <row r="804" spans="1:29" x14ac:dyDescent="0.25">
      <c r="A804" s="61">
        <v>110009547222</v>
      </c>
      <c r="B804" s="28">
        <v>2019</v>
      </c>
      <c r="C804" s="68">
        <f t="shared" si="12"/>
        <v>43466</v>
      </c>
      <c r="D804" s="28" t="s">
        <v>168</v>
      </c>
      <c r="E804" s="28" t="s">
        <v>546</v>
      </c>
      <c r="F804" s="28" t="s">
        <v>547</v>
      </c>
      <c r="G804" s="28" t="s">
        <v>366</v>
      </c>
      <c r="H804" s="28">
        <v>93436</v>
      </c>
      <c r="I804" s="28">
        <v>34.661079999999998</v>
      </c>
      <c r="J804" s="28">
        <v>-120.48135000000001</v>
      </c>
      <c r="L804" s="61">
        <v>110009547222</v>
      </c>
      <c r="M804" s="28" t="s">
        <v>263</v>
      </c>
      <c r="N804" s="28">
        <v>4952</v>
      </c>
      <c r="O804" s="28" t="str">
        <f>IFERROR(VLOOKUP(N804, 'SIC &amp; NAICS Codes'!A:B, 2, FALSE), "")</f>
        <v>Sewerage Systems</v>
      </c>
      <c r="S804" s="28">
        <v>1.0603204374999999</v>
      </c>
      <c r="T804" s="315">
        <f>_xlfn.MAXIFS('Raw Period DMR Data'!$O:$O,'Raw Period DMR Data'!$A:$A,'Raw Annual DMR Data'!B804,'Raw Period DMR Data'!$C:$C,X804)/S804</f>
        <v>0</v>
      </c>
      <c r="U804" s="28" t="str">
        <f>+IF(COUNTIFS('Raw Period DMR Data'!$A:$A,B804, 'Raw Period DMR Data'!C:C,'Raw Annual DMR Data'!X804, 'Raw Period DMR Data'!M:M, "&gt;0")&gt;0,_xlfn.MAXIFS('Raw Period DMR Data'!M:M,'Raw Period DMR Data'!$A:$A,'Raw Annual DMR Data'!B804,'Raw Period DMR Data'!C:C,'Raw Annual DMR Data'!X804), "N/A - Period DMR Data Not Available")</f>
        <v>N/A - Period DMR Data Not Available</v>
      </c>
      <c r="V804" s="28" t="str" cm="1">
        <f t="array" ref="V804">IFERROR(INDEX('Raw Period DMR Data'!N:N,MATCH(1,(B804='Raw Period DMR Data'!$A:$A)*(U804='Raw Period DMR Data'!M:M)*(X804='Raw Period DMR Data'!C:C),0),1), "N/A")</f>
        <v>N/A</v>
      </c>
      <c r="W804" s="28" t="s">
        <v>1463</v>
      </c>
      <c r="X804" s="28" t="s">
        <v>894</v>
      </c>
      <c r="Y804" s="28" t="s">
        <v>895</v>
      </c>
      <c r="Z804" s="28">
        <v>18060010000006</v>
      </c>
      <c r="AA804" s="28"/>
      <c r="AB804" s="28" t="s">
        <v>1465</v>
      </c>
      <c r="AC804" s="28" t="s">
        <v>263</v>
      </c>
    </row>
    <row r="805" spans="1:29" x14ac:dyDescent="0.25">
      <c r="A805" s="61">
        <v>110000557013</v>
      </c>
      <c r="B805" s="28">
        <v>2020</v>
      </c>
      <c r="C805" s="68">
        <f t="shared" si="12"/>
        <v>43831</v>
      </c>
      <c r="D805" s="28" t="s">
        <v>1214</v>
      </c>
      <c r="E805" s="28" t="s">
        <v>1966</v>
      </c>
      <c r="F805" s="28" t="s">
        <v>1215</v>
      </c>
      <c r="G805" s="28" t="s">
        <v>324</v>
      </c>
      <c r="H805" s="28" t="s">
        <v>1967</v>
      </c>
      <c r="I805" s="28">
        <v>37.106380000000001</v>
      </c>
      <c r="J805" s="28">
        <v>-84.066829999999996</v>
      </c>
      <c r="L805" s="61">
        <v>110000557013</v>
      </c>
      <c r="M805" s="28" t="s">
        <v>263</v>
      </c>
      <c r="N805" s="28">
        <v>4952</v>
      </c>
      <c r="O805" s="28" t="str">
        <f>IFERROR(VLOOKUP(N805, 'SIC &amp; NAICS Codes'!A:B, 2, FALSE), "")</f>
        <v>Sewerage Systems</v>
      </c>
      <c r="S805" s="28">
        <v>2.8348892999999999</v>
      </c>
      <c r="T805" s="315">
        <f>_xlfn.MAXIFS('Raw Period DMR Data'!$O:$O,'Raw Period DMR Data'!$A:$A,'Raw Annual DMR Data'!B805,'Raw Period DMR Data'!$C:$C,X805)/S805</f>
        <v>0</v>
      </c>
      <c r="U805" s="28" t="str">
        <f>+IF(COUNTIFS('Raw Period DMR Data'!$A:$A,B805, 'Raw Period DMR Data'!C:C,'Raw Annual DMR Data'!X805, 'Raw Period DMR Data'!M:M, "&gt;0")&gt;0,_xlfn.MAXIFS('Raw Period DMR Data'!M:M,'Raw Period DMR Data'!$A:$A,'Raw Annual DMR Data'!B805,'Raw Period DMR Data'!C:C,'Raw Annual DMR Data'!X805), "N/A - Period DMR Data Not Available")</f>
        <v>N/A - Period DMR Data Not Available</v>
      </c>
      <c r="V805" s="28" t="str" cm="1">
        <f t="array" ref="V805">IFERROR(INDEX('Raw Period DMR Data'!N:N,MATCH(1,(B805='Raw Period DMR Data'!$A:$A)*(U805='Raw Period DMR Data'!M:M)*(X805='Raw Period DMR Data'!C:C),0),1), "N/A")</f>
        <v>N/A</v>
      </c>
      <c r="W805" s="28" t="s">
        <v>1463</v>
      </c>
      <c r="X805" s="28" t="s">
        <v>1968</v>
      </c>
      <c r="Y805" s="28" t="s">
        <v>1969</v>
      </c>
      <c r="Z805" s="28">
        <v>5130101001074</v>
      </c>
      <c r="AA805" s="28"/>
      <c r="AB805" s="28" t="s">
        <v>1465</v>
      </c>
      <c r="AC805" s="28" t="s">
        <v>263</v>
      </c>
    </row>
    <row r="806" spans="1:29" x14ac:dyDescent="0.25">
      <c r="A806" s="61">
        <v>110070210646</v>
      </c>
      <c r="B806" s="28">
        <v>2016</v>
      </c>
      <c r="C806" s="68">
        <f t="shared" si="12"/>
        <v>42370</v>
      </c>
      <c r="D806" s="28" t="s">
        <v>1216</v>
      </c>
      <c r="E806" s="28" t="s">
        <v>1970</v>
      </c>
      <c r="F806" s="28" t="s">
        <v>1217</v>
      </c>
      <c r="G806" s="28" t="s">
        <v>338</v>
      </c>
      <c r="H806" s="28">
        <v>7724</v>
      </c>
      <c r="I806" s="28">
        <v>40.298000000000002</v>
      </c>
      <c r="J806" s="28">
        <v>-74.055549999999997</v>
      </c>
      <c r="L806" s="61">
        <v>110070210646</v>
      </c>
      <c r="M806" s="28" t="s">
        <v>265</v>
      </c>
      <c r="N806" s="28">
        <v>3694</v>
      </c>
      <c r="O806" s="28" t="str">
        <f>IFERROR(VLOOKUP(N806, 'SIC &amp; NAICS Codes'!A:B, 2, FALSE), "")</f>
        <v>Electrical Equipment for Internal Combustion Engines</v>
      </c>
      <c r="S806" s="28">
        <v>2.1331503000000002E-2</v>
      </c>
      <c r="T806" s="315">
        <f>_xlfn.MAXIFS('Raw Period DMR Data'!$O:$O,'Raw Period DMR Data'!$A:$A,'Raw Annual DMR Data'!B806,'Raw Period DMR Data'!$C:$C,X806)/S806</f>
        <v>0</v>
      </c>
      <c r="U806" s="28" t="str">
        <f>+IF(COUNTIFS('Raw Period DMR Data'!$A:$A,B806, 'Raw Period DMR Data'!C:C,'Raw Annual DMR Data'!X806, 'Raw Period DMR Data'!M:M, "&gt;0")&gt;0,_xlfn.MAXIFS('Raw Period DMR Data'!M:M,'Raw Period DMR Data'!$A:$A,'Raw Annual DMR Data'!B806,'Raw Period DMR Data'!C:C,'Raw Annual DMR Data'!X806), "N/A - Period DMR Data Not Available")</f>
        <v>N/A - Period DMR Data Not Available</v>
      </c>
      <c r="V806" s="28" t="str" cm="1">
        <f t="array" ref="V806">IFERROR(INDEX('Raw Period DMR Data'!N:N,MATCH(1,(B806='Raw Period DMR Data'!$A:$A)*(U806='Raw Period DMR Data'!M:M)*(X806='Raw Period DMR Data'!C:C),0),1), "N/A")</f>
        <v>N/A</v>
      </c>
      <c r="W806" s="28" t="s">
        <v>1463</v>
      </c>
      <c r="X806" s="28" t="s">
        <v>1971</v>
      </c>
      <c r="Y806" s="28" t="s">
        <v>1972</v>
      </c>
      <c r="Z806" s="28">
        <v>2030104000160</v>
      </c>
      <c r="AA806" s="28"/>
      <c r="AB806" s="28" t="s">
        <v>1465</v>
      </c>
      <c r="AC806" s="28" t="s">
        <v>1466</v>
      </c>
    </row>
    <row r="807" spans="1:29" x14ac:dyDescent="0.25">
      <c r="A807" s="61">
        <v>110070210646</v>
      </c>
      <c r="B807" s="28">
        <v>2017</v>
      </c>
      <c r="C807" s="68">
        <f t="shared" si="12"/>
        <v>42736</v>
      </c>
      <c r="D807" s="28" t="s">
        <v>1216</v>
      </c>
      <c r="E807" s="28" t="s">
        <v>1970</v>
      </c>
      <c r="F807" s="28" t="s">
        <v>1217</v>
      </c>
      <c r="G807" s="28" t="s">
        <v>338</v>
      </c>
      <c r="H807" s="28">
        <v>7724</v>
      </c>
      <c r="I807" s="28">
        <v>40.298000000000002</v>
      </c>
      <c r="J807" s="28">
        <v>-74.055549999999997</v>
      </c>
      <c r="L807" s="61">
        <v>110070210646</v>
      </c>
      <c r="M807" s="28" t="s">
        <v>265</v>
      </c>
      <c r="N807" s="28">
        <v>3694</v>
      </c>
      <c r="O807" s="28" t="str">
        <f>IFERROR(VLOOKUP(N807, 'SIC &amp; NAICS Codes'!A:B, 2, FALSE), "")</f>
        <v>Electrical Equipment for Internal Combustion Engines</v>
      </c>
      <c r="S807" s="28">
        <v>1.1435052750000001E-2</v>
      </c>
      <c r="T807" s="315">
        <f>_xlfn.MAXIFS('Raw Period DMR Data'!$O:$O,'Raw Period DMR Data'!$A:$A,'Raw Annual DMR Data'!B807,'Raw Period DMR Data'!$C:$C,X807)/S807</f>
        <v>0</v>
      </c>
      <c r="U807" s="28" t="str">
        <f>+IF(COUNTIFS('Raw Period DMR Data'!$A:$A,B807, 'Raw Period DMR Data'!C:C,'Raw Annual DMR Data'!X807, 'Raw Period DMR Data'!M:M, "&gt;0")&gt;0,_xlfn.MAXIFS('Raw Period DMR Data'!M:M,'Raw Period DMR Data'!$A:$A,'Raw Annual DMR Data'!B807,'Raw Period DMR Data'!C:C,'Raw Annual DMR Data'!X807), "N/A - Period DMR Data Not Available")</f>
        <v>N/A - Period DMR Data Not Available</v>
      </c>
      <c r="V807" s="28" t="str" cm="1">
        <f t="array" ref="V807">IFERROR(INDEX('Raw Period DMR Data'!N:N,MATCH(1,(B807='Raw Period DMR Data'!$A:$A)*(U807='Raw Period DMR Data'!M:M)*(X807='Raw Period DMR Data'!C:C),0),1), "N/A")</f>
        <v>N/A</v>
      </c>
      <c r="W807" s="28" t="s">
        <v>1463</v>
      </c>
      <c r="X807" s="28" t="s">
        <v>1971</v>
      </c>
      <c r="Y807" s="28" t="s">
        <v>1972</v>
      </c>
      <c r="Z807" s="28">
        <v>2030104000160</v>
      </c>
      <c r="AA807" s="28"/>
      <c r="AB807" s="28" t="s">
        <v>1465</v>
      </c>
      <c r="AC807" s="28" t="s">
        <v>1466</v>
      </c>
    </row>
    <row r="808" spans="1:29" x14ac:dyDescent="0.25">
      <c r="A808" s="61">
        <v>110070210646</v>
      </c>
      <c r="B808" s="28">
        <v>2018</v>
      </c>
      <c r="C808" s="68">
        <f t="shared" si="12"/>
        <v>43101</v>
      </c>
      <c r="D808" s="28" t="s">
        <v>1216</v>
      </c>
      <c r="E808" s="28" t="s">
        <v>1970</v>
      </c>
      <c r="F808" s="28" t="s">
        <v>1217</v>
      </c>
      <c r="G808" s="28" t="s">
        <v>338</v>
      </c>
      <c r="H808" s="302" t="s">
        <v>1973</v>
      </c>
      <c r="I808" s="28">
        <v>40.298000000000002</v>
      </c>
      <c r="J808" s="28">
        <v>-74.055549999999997</v>
      </c>
      <c r="L808" s="61">
        <v>110070210646</v>
      </c>
      <c r="M808" s="28" t="s">
        <v>265</v>
      </c>
      <c r="N808" s="28">
        <v>3694</v>
      </c>
      <c r="O808" s="28" t="str">
        <f>IFERROR(VLOOKUP(N808, 'SIC &amp; NAICS Codes'!A:B, 2, FALSE), "")</f>
        <v>Electrical Equipment for Internal Combustion Engines</v>
      </c>
      <c r="S808" s="28">
        <v>1.5083225E-3</v>
      </c>
      <c r="T808" s="315">
        <f>_xlfn.MAXIFS('Raw Period DMR Data'!$O:$O,'Raw Period DMR Data'!$A:$A,'Raw Annual DMR Data'!B808,'Raw Period DMR Data'!$C:$C,X808)/S808</f>
        <v>0</v>
      </c>
      <c r="U808" s="28" t="str">
        <f>+IF(COUNTIFS('Raw Period DMR Data'!$A:$A,B808, 'Raw Period DMR Data'!C:C,'Raw Annual DMR Data'!X808, 'Raw Period DMR Data'!M:M, "&gt;0")&gt;0,_xlfn.MAXIFS('Raw Period DMR Data'!M:M,'Raw Period DMR Data'!$A:$A,'Raw Annual DMR Data'!B808,'Raw Period DMR Data'!C:C,'Raw Annual DMR Data'!X808), "N/A - Period DMR Data Not Available")</f>
        <v>N/A - Period DMR Data Not Available</v>
      </c>
      <c r="V808" s="28" t="str" cm="1">
        <f t="array" ref="V808">IFERROR(INDEX('Raw Period DMR Data'!N:N,MATCH(1,(B808='Raw Period DMR Data'!$A:$A)*(U808='Raw Period DMR Data'!M:M)*(X808='Raw Period DMR Data'!C:C),0),1), "N/A")</f>
        <v>N/A</v>
      </c>
      <c r="W808" s="28" t="s">
        <v>1463</v>
      </c>
      <c r="X808" s="28" t="s">
        <v>1971</v>
      </c>
      <c r="Y808" s="28" t="s">
        <v>1972</v>
      </c>
      <c r="Z808" s="302" t="s">
        <v>1974</v>
      </c>
      <c r="AA808" s="28"/>
      <c r="AB808" s="28" t="s">
        <v>1465</v>
      </c>
      <c r="AC808" s="28" t="s">
        <v>1466</v>
      </c>
    </row>
    <row r="809" spans="1:29" x14ac:dyDescent="0.25">
      <c r="A809" s="61">
        <v>110002041380</v>
      </c>
      <c r="B809" s="28">
        <v>2020</v>
      </c>
      <c r="C809" s="68">
        <f t="shared" si="12"/>
        <v>43831</v>
      </c>
      <c r="D809" s="28" t="s">
        <v>1218</v>
      </c>
      <c r="E809" s="28" t="s">
        <v>1975</v>
      </c>
      <c r="F809" s="28" t="s">
        <v>1219</v>
      </c>
      <c r="G809" s="28" t="s">
        <v>324</v>
      </c>
      <c r="H809" s="28">
        <v>42431</v>
      </c>
      <c r="I809" s="28">
        <v>37.318492999999997</v>
      </c>
      <c r="J809" s="28">
        <v>-87.549857000000003</v>
      </c>
      <c r="L809" s="61">
        <v>110002041380</v>
      </c>
      <c r="M809" s="28" t="s">
        <v>263</v>
      </c>
      <c r="N809" s="28">
        <v>4952</v>
      </c>
      <c r="O809" s="28" t="str">
        <f>IFERROR(VLOOKUP(N809, 'SIC &amp; NAICS Codes'!A:B, 2, FALSE), "")</f>
        <v>Sewerage Systems</v>
      </c>
      <c r="S809" s="28">
        <v>6.6741472750000002</v>
      </c>
      <c r="T809" s="315">
        <f>_xlfn.MAXIFS('Raw Period DMR Data'!$O:$O,'Raw Period DMR Data'!$A:$A,'Raw Annual DMR Data'!B809,'Raw Period DMR Data'!$C:$C,X809)/S809</f>
        <v>0</v>
      </c>
      <c r="U809" s="28" t="str">
        <f>+IF(COUNTIFS('Raw Period DMR Data'!$A:$A,B809, 'Raw Period DMR Data'!C:C,'Raw Annual DMR Data'!X809, 'Raw Period DMR Data'!M:M, "&gt;0")&gt;0,_xlfn.MAXIFS('Raw Period DMR Data'!M:M,'Raw Period DMR Data'!$A:$A,'Raw Annual DMR Data'!B809,'Raw Period DMR Data'!C:C,'Raw Annual DMR Data'!X809), "N/A - Period DMR Data Not Available")</f>
        <v>N/A - Period DMR Data Not Available</v>
      </c>
      <c r="V809" s="28" t="str" cm="1">
        <f t="array" ref="V809">IFERROR(INDEX('Raw Period DMR Data'!N:N,MATCH(1,(B809='Raw Period DMR Data'!$A:$A)*(U809='Raw Period DMR Data'!M:M)*(X809='Raw Period DMR Data'!C:C),0),1), "N/A")</f>
        <v>N/A</v>
      </c>
      <c r="W809" s="28" t="s">
        <v>1463</v>
      </c>
      <c r="X809" s="28" t="s">
        <v>1976</v>
      </c>
      <c r="Y809" s="28" t="s">
        <v>1977</v>
      </c>
      <c r="Z809" s="28">
        <v>5140205000228</v>
      </c>
      <c r="AA809" s="28"/>
      <c r="AB809" s="28" t="s">
        <v>1465</v>
      </c>
      <c r="AC809" s="28" t="s">
        <v>263</v>
      </c>
    </row>
    <row r="810" spans="1:29" x14ac:dyDescent="0.25">
      <c r="A810" s="61">
        <v>110009834581</v>
      </c>
      <c r="B810" s="28">
        <v>2017</v>
      </c>
      <c r="C810" s="68">
        <f t="shared" si="12"/>
        <v>42736</v>
      </c>
      <c r="D810" s="28" t="s">
        <v>1220</v>
      </c>
      <c r="E810" s="28" t="s">
        <v>1978</v>
      </c>
      <c r="F810" s="28" t="s">
        <v>1221</v>
      </c>
      <c r="G810" s="28" t="s">
        <v>338</v>
      </c>
      <c r="H810" s="28">
        <v>8104</v>
      </c>
      <c r="I810" s="28">
        <v>39.919559</v>
      </c>
      <c r="J810" s="28">
        <v>-75.125825000000006</v>
      </c>
      <c r="L810" s="61">
        <v>110009834581</v>
      </c>
      <c r="M810" s="28" t="s">
        <v>265</v>
      </c>
      <c r="N810" s="28">
        <v>2087</v>
      </c>
      <c r="O810" s="28" t="str">
        <f>IFERROR(VLOOKUP(N810, 'SIC &amp; NAICS Codes'!A:B, 2, FALSE), "")</f>
        <v>Flavoring Extracts and Flavoring Syrups, NEC (coffee flavoring and syrups)</v>
      </c>
      <c r="S810" s="28">
        <v>6.5477419956250001E-3</v>
      </c>
      <c r="T810" s="315">
        <f>_xlfn.MAXIFS('Raw Period DMR Data'!$O:$O,'Raw Period DMR Data'!$A:$A,'Raw Annual DMR Data'!B810,'Raw Period DMR Data'!$C:$C,X810)/S810</f>
        <v>0</v>
      </c>
      <c r="U810" s="28" t="str">
        <f>+IF(COUNTIFS('Raw Period DMR Data'!$A:$A,B810, 'Raw Period DMR Data'!C:C,'Raw Annual DMR Data'!X810, 'Raw Period DMR Data'!M:M, "&gt;0")&gt;0,_xlfn.MAXIFS('Raw Period DMR Data'!M:M,'Raw Period DMR Data'!$A:$A,'Raw Annual DMR Data'!B810,'Raw Period DMR Data'!C:C,'Raw Annual DMR Data'!X810), "N/A - Period DMR Data Not Available")</f>
        <v>N/A - Period DMR Data Not Available</v>
      </c>
      <c r="V810" s="28" t="str" cm="1">
        <f t="array" ref="V810">IFERROR(INDEX('Raw Period DMR Data'!N:N,MATCH(1,(B810='Raw Period DMR Data'!$A:$A)*(U810='Raw Period DMR Data'!M:M)*(X810='Raw Period DMR Data'!C:C),0),1), "N/A")</f>
        <v>N/A</v>
      </c>
      <c r="W810" s="28" t="s">
        <v>1463</v>
      </c>
      <c r="X810" s="28" t="s">
        <v>1979</v>
      </c>
      <c r="Y810" s="28" t="s">
        <v>1980</v>
      </c>
      <c r="Z810" s="28">
        <v>2040202000065</v>
      </c>
      <c r="AA810" s="28"/>
      <c r="AB810" s="28" t="s">
        <v>1465</v>
      </c>
      <c r="AC810" s="28" t="s">
        <v>1466</v>
      </c>
    </row>
    <row r="811" spans="1:29" x14ac:dyDescent="0.25">
      <c r="A811" s="61">
        <v>110009834581</v>
      </c>
      <c r="B811" s="28">
        <v>2018</v>
      </c>
      <c r="C811" s="68">
        <f t="shared" si="12"/>
        <v>43101</v>
      </c>
      <c r="D811" s="28" t="s">
        <v>1220</v>
      </c>
      <c r="E811" s="28" t="s">
        <v>1978</v>
      </c>
      <c r="F811" s="28" t="s">
        <v>1221</v>
      </c>
      <c r="G811" s="28" t="s">
        <v>338</v>
      </c>
      <c r="H811" s="302" t="s">
        <v>1981</v>
      </c>
      <c r="I811" s="28">
        <v>39.919559</v>
      </c>
      <c r="J811" s="28">
        <v>-75.125825000000006</v>
      </c>
      <c r="L811" s="61">
        <v>110009834581</v>
      </c>
      <c r="M811" s="28" t="s">
        <v>265</v>
      </c>
      <c r="N811" s="28">
        <v>2087</v>
      </c>
      <c r="O811" s="28" t="str">
        <f>IFERROR(VLOOKUP(N811, 'SIC &amp; NAICS Codes'!A:B, 2, FALSE), "")</f>
        <v>Flavoring Extracts and Flavoring Syrups, NEC (coffee flavoring and syrups)</v>
      </c>
      <c r="S811" s="28">
        <v>7.267309064775E-3</v>
      </c>
      <c r="T811" s="315">
        <f>_xlfn.MAXIFS('Raw Period DMR Data'!$O:$O,'Raw Period DMR Data'!$A:$A,'Raw Annual DMR Data'!B811,'Raw Period DMR Data'!$C:$C,X811)/S811</f>
        <v>0</v>
      </c>
      <c r="U811" s="28" t="str">
        <f>+IF(COUNTIFS('Raw Period DMR Data'!$A:$A,B811, 'Raw Period DMR Data'!C:C,'Raw Annual DMR Data'!X811, 'Raw Period DMR Data'!M:M, "&gt;0")&gt;0,_xlfn.MAXIFS('Raw Period DMR Data'!M:M,'Raw Period DMR Data'!$A:$A,'Raw Annual DMR Data'!B811,'Raw Period DMR Data'!C:C,'Raw Annual DMR Data'!X811), "N/A - Period DMR Data Not Available")</f>
        <v>N/A - Period DMR Data Not Available</v>
      </c>
      <c r="V811" s="28" t="str" cm="1">
        <f t="array" ref="V811">IFERROR(INDEX('Raw Period DMR Data'!N:N,MATCH(1,(B811='Raw Period DMR Data'!$A:$A)*(U811='Raw Period DMR Data'!M:M)*(X811='Raw Period DMR Data'!C:C),0),1), "N/A")</f>
        <v>N/A</v>
      </c>
      <c r="W811" s="28" t="s">
        <v>1463</v>
      </c>
      <c r="X811" s="28" t="s">
        <v>1979</v>
      </c>
      <c r="Y811" s="28" t="s">
        <v>1980</v>
      </c>
      <c r="Z811" s="302" t="s">
        <v>1982</v>
      </c>
      <c r="AA811" s="28"/>
      <c r="AB811" s="28" t="s">
        <v>1465</v>
      </c>
      <c r="AC811" s="28" t="s">
        <v>1466</v>
      </c>
    </row>
    <row r="812" spans="1:29" x14ac:dyDescent="0.25">
      <c r="A812" s="61">
        <v>110009834581</v>
      </c>
      <c r="B812" s="28">
        <v>2019</v>
      </c>
      <c r="C812" s="68">
        <f t="shared" si="12"/>
        <v>43466</v>
      </c>
      <c r="D812" s="28" t="s">
        <v>1220</v>
      </c>
      <c r="E812" s="28" t="s">
        <v>1978</v>
      </c>
      <c r="F812" s="28" t="s">
        <v>1221</v>
      </c>
      <c r="G812" s="28" t="s">
        <v>338</v>
      </c>
      <c r="H812" s="28">
        <v>8104</v>
      </c>
      <c r="I812" s="28">
        <v>39.919559</v>
      </c>
      <c r="J812" s="28">
        <v>-75.125825000000006</v>
      </c>
      <c r="L812" s="61">
        <v>110009834581</v>
      </c>
      <c r="M812" s="28" t="s">
        <v>265</v>
      </c>
      <c r="N812" s="28">
        <v>2087</v>
      </c>
      <c r="O812" s="28" t="str">
        <f>IFERROR(VLOOKUP(N812, 'SIC &amp; NAICS Codes'!A:B, 2, FALSE), "")</f>
        <v>Flavoring Extracts and Flavoring Syrups, NEC (coffee flavoring and syrups)</v>
      </c>
      <c r="S812" s="28">
        <v>1.0869705789724999E-2</v>
      </c>
      <c r="T812" s="315">
        <f>_xlfn.MAXIFS('Raw Period DMR Data'!$O:$O,'Raw Period DMR Data'!$A:$A,'Raw Annual DMR Data'!B812,'Raw Period DMR Data'!$C:$C,X812)/S812</f>
        <v>0</v>
      </c>
      <c r="U812" s="28" t="str">
        <f>+IF(COUNTIFS('Raw Period DMR Data'!$A:$A,B812, 'Raw Period DMR Data'!C:C,'Raw Annual DMR Data'!X812, 'Raw Period DMR Data'!M:M, "&gt;0")&gt;0,_xlfn.MAXIFS('Raw Period DMR Data'!M:M,'Raw Period DMR Data'!$A:$A,'Raw Annual DMR Data'!B812,'Raw Period DMR Data'!C:C,'Raw Annual DMR Data'!X812), "N/A - Period DMR Data Not Available")</f>
        <v>N/A - Period DMR Data Not Available</v>
      </c>
      <c r="V812" s="28" t="str" cm="1">
        <f t="array" ref="V812">IFERROR(INDEX('Raw Period DMR Data'!N:N,MATCH(1,(B812='Raw Period DMR Data'!$A:$A)*(U812='Raw Period DMR Data'!M:M)*(X812='Raw Period DMR Data'!C:C),0),1), "N/A")</f>
        <v>N/A</v>
      </c>
      <c r="W812" s="28" t="s">
        <v>1463</v>
      </c>
      <c r="X812" s="28" t="s">
        <v>1979</v>
      </c>
      <c r="Y812" s="28" t="s">
        <v>1980</v>
      </c>
      <c r="Z812" s="28">
        <v>2040202000065</v>
      </c>
      <c r="AA812" s="28"/>
      <c r="AB812" s="28" t="s">
        <v>1465</v>
      </c>
      <c r="AC812" s="28" t="s">
        <v>1466</v>
      </c>
    </row>
    <row r="813" spans="1:29" x14ac:dyDescent="0.25">
      <c r="A813" s="61">
        <v>110009834581</v>
      </c>
      <c r="B813" s="28">
        <v>2020</v>
      </c>
      <c r="C813" s="68">
        <f t="shared" si="12"/>
        <v>43831</v>
      </c>
      <c r="D813" s="28" t="s">
        <v>1220</v>
      </c>
      <c r="E813" s="28" t="s">
        <v>1978</v>
      </c>
      <c r="F813" s="28" t="s">
        <v>1221</v>
      </c>
      <c r="G813" s="28" t="s">
        <v>338</v>
      </c>
      <c r="H813" s="28">
        <v>8104</v>
      </c>
      <c r="I813" s="28">
        <v>39.919559</v>
      </c>
      <c r="J813" s="28">
        <v>-75.125825000000006</v>
      </c>
      <c r="L813" s="61">
        <v>110009834581</v>
      </c>
      <c r="M813" s="28" t="s">
        <v>265</v>
      </c>
      <c r="N813" s="28">
        <v>2087</v>
      </c>
      <c r="O813" s="28" t="str">
        <f>IFERROR(VLOOKUP(N813, 'SIC &amp; NAICS Codes'!A:B, 2, FALSE), "")</f>
        <v>Flavoring Extracts and Flavoring Syrups, NEC (coffee flavoring and syrups)</v>
      </c>
      <c r="S813" s="28">
        <v>5.8591856964250004E-3</v>
      </c>
      <c r="T813" s="315">
        <f>_xlfn.MAXIFS('Raw Period DMR Data'!$O:$O,'Raw Period DMR Data'!$A:$A,'Raw Annual DMR Data'!B813,'Raw Period DMR Data'!$C:$C,X813)/S813</f>
        <v>0</v>
      </c>
      <c r="U813" s="28" t="str">
        <f>+IF(COUNTIFS('Raw Period DMR Data'!$A:$A,B813, 'Raw Period DMR Data'!C:C,'Raw Annual DMR Data'!X813, 'Raw Period DMR Data'!M:M, "&gt;0")&gt;0,_xlfn.MAXIFS('Raw Period DMR Data'!M:M,'Raw Period DMR Data'!$A:$A,'Raw Annual DMR Data'!B813,'Raw Period DMR Data'!C:C,'Raw Annual DMR Data'!X813), "N/A - Period DMR Data Not Available")</f>
        <v>N/A - Period DMR Data Not Available</v>
      </c>
      <c r="V813" s="28" t="str" cm="1">
        <f t="array" ref="V813">IFERROR(INDEX('Raw Period DMR Data'!N:N,MATCH(1,(B813='Raw Period DMR Data'!$A:$A)*(U813='Raw Period DMR Data'!M:M)*(X813='Raw Period DMR Data'!C:C),0),1), "N/A")</f>
        <v>N/A</v>
      </c>
      <c r="W813" s="28" t="s">
        <v>1463</v>
      </c>
      <c r="X813" s="28" t="s">
        <v>1979</v>
      </c>
      <c r="Y813" s="28" t="s">
        <v>1980</v>
      </c>
      <c r="Z813" s="28">
        <v>2040202000065</v>
      </c>
      <c r="AA813" s="28"/>
      <c r="AB813" s="28" t="s">
        <v>1465</v>
      </c>
      <c r="AC813" s="28" t="s">
        <v>1466</v>
      </c>
    </row>
    <row r="814" spans="1:29" x14ac:dyDescent="0.25">
      <c r="A814" s="61">
        <v>110066354359</v>
      </c>
      <c r="B814" s="28">
        <v>2018</v>
      </c>
      <c r="C814" s="68">
        <f t="shared" si="12"/>
        <v>43101</v>
      </c>
      <c r="D814" s="28" t="s">
        <v>169</v>
      </c>
      <c r="E814" s="28" t="s">
        <v>548</v>
      </c>
      <c r="F814" s="28" t="s">
        <v>549</v>
      </c>
      <c r="G814" s="28" t="s">
        <v>366</v>
      </c>
      <c r="H814" s="28">
        <v>95959</v>
      </c>
      <c r="I814" s="28">
        <v>39.368808999999999</v>
      </c>
      <c r="J814" s="28">
        <v>-120.898977</v>
      </c>
      <c r="L814" s="61">
        <v>110066354359</v>
      </c>
      <c r="M814" s="28" t="s">
        <v>265</v>
      </c>
      <c r="N814" s="28">
        <v>1041</v>
      </c>
      <c r="O814" s="28" t="str">
        <f>IFERROR(VLOOKUP(N814, 'SIC &amp; NAICS Codes'!A:B, 2, FALSE), "")</f>
        <v>Gold Ores</v>
      </c>
      <c r="S814" s="28">
        <v>7.5431265000000004E-4</v>
      </c>
      <c r="T814" s="315">
        <f>_xlfn.MAXIFS('Raw Period DMR Data'!$O:$O,'Raw Period DMR Data'!$A:$A,'Raw Annual DMR Data'!B814,'Raw Period DMR Data'!$C:$C,X814)/S814</f>
        <v>0</v>
      </c>
      <c r="U814" s="28" t="str">
        <f>+IF(COUNTIFS('Raw Period DMR Data'!$A:$A,B814, 'Raw Period DMR Data'!C:C,'Raw Annual DMR Data'!X814, 'Raw Period DMR Data'!M:M, "&gt;0")&gt;0,_xlfn.MAXIFS('Raw Period DMR Data'!M:M,'Raw Period DMR Data'!$A:$A,'Raw Annual DMR Data'!B814,'Raw Period DMR Data'!C:C,'Raw Annual DMR Data'!X814), "N/A - Period DMR Data Not Available")</f>
        <v>N/A - Period DMR Data Not Available</v>
      </c>
      <c r="V814" s="28" t="str" cm="1">
        <f t="array" ref="V814">IFERROR(INDEX('Raw Period DMR Data'!N:N,MATCH(1,(B814='Raw Period DMR Data'!$A:$A)*(U814='Raw Period DMR Data'!M:M)*(X814='Raw Period DMR Data'!C:C),0),1), "N/A")</f>
        <v>N/A</v>
      </c>
      <c r="W814" s="28" t="s">
        <v>1463</v>
      </c>
      <c r="X814" s="28" t="s">
        <v>896</v>
      </c>
      <c r="Y814" s="28" t="s">
        <v>897</v>
      </c>
      <c r="Z814" s="61">
        <v>18020125001502</v>
      </c>
    </row>
    <row r="815" spans="1:29" x14ac:dyDescent="0.25">
      <c r="A815" s="61">
        <v>110066354359</v>
      </c>
      <c r="B815" s="28">
        <v>2017</v>
      </c>
      <c r="C815" s="68">
        <f t="shared" si="12"/>
        <v>42736</v>
      </c>
      <c r="D815" s="28" t="s">
        <v>169</v>
      </c>
      <c r="E815" s="28" t="s">
        <v>548</v>
      </c>
      <c r="F815" s="28" t="s">
        <v>549</v>
      </c>
      <c r="G815" s="28" t="s">
        <v>366</v>
      </c>
      <c r="H815" s="28">
        <v>95959</v>
      </c>
      <c r="I815" s="28">
        <v>39.368808999999999</v>
      </c>
      <c r="J815" s="28">
        <v>-120.898977</v>
      </c>
      <c r="L815" s="61">
        <v>110066354359</v>
      </c>
      <c r="M815" s="28" t="s">
        <v>265</v>
      </c>
      <c r="N815" s="28">
        <v>1041</v>
      </c>
      <c r="O815" s="28" t="str">
        <f>IFERROR(VLOOKUP(N815, 'SIC &amp; NAICS Codes'!A:B, 2, FALSE), "")</f>
        <v>Gold Ores</v>
      </c>
      <c r="S815" s="28">
        <v>1.56699E-2</v>
      </c>
      <c r="T815" s="315">
        <f>_xlfn.MAXIFS('Raw Period DMR Data'!$O:$O,'Raw Period DMR Data'!$A:$A,'Raw Annual DMR Data'!B815,'Raw Period DMR Data'!$C:$C,X815)/S815</f>
        <v>0</v>
      </c>
      <c r="U815" s="28" t="str">
        <f>+IF(COUNTIFS('Raw Period DMR Data'!$A:$A,B815, 'Raw Period DMR Data'!C:C,'Raw Annual DMR Data'!X815, 'Raw Period DMR Data'!M:M, "&gt;0")&gt;0,_xlfn.MAXIFS('Raw Period DMR Data'!M:M,'Raw Period DMR Data'!$A:$A,'Raw Annual DMR Data'!B815,'Raw Period DMR Data'!C:C,'Raw Annual DMR Data'!X815), "N/A - Period DMR Data Not Available")</f>
        <v>N/A - Period DMR Data Not Available</v>
      </c>
      <c r="V815" s="28" t="str" cm="1">
        <f t="array" ref="V815">IFERROR(INDEX('Raw Period DMR Data'!N:N,MATCH(1,(B815='Raw Period DMR Data'!$A:$A)*(U815='Raw Period DMR Data'!M:M)*(X815='Raw Period DMR Data'!C:C),0),1), "N/A")</f>
        <v>N/A</v>
      </c>
      <c r="W815" s="28" t="s">
        <v>1463</v>
      </c>
      <c r="X815" s="28" t="s">
        <v>896</v>
      </c>
      <c r="Y815" s="28" t="s">
        <v>897</v>
      </c>
      <c r="Z815" s="28">
        <v>18020125001502</v>
      </c>
      <c r="AA815" s="28"/>
      <c r="AB815" s="28" t="s">
        <v>1465</v>
      </c>
      <c r="AC815" s="28" t="s">
        <v>1466</v>
      </c>
    </row>
    <row r="816" spans="1:29" x14ac:dyDescent="0.25">
      <c r="A816" s="61">
        <v>110066354359</v>
      </c>
      <c r="B816" s="28">
        <v>2019</v>
      </c>
      <c r="C816" s="68">
        <f t="shared" si="12"/>
        <v>43466</v>
      </c>
      <c r="D816" s="28" t="s">
        <v>169</v>
      </c>
      <c r="E816" s="28" t="s">
        <v>548</v>
      </c>
      <c r="F816" s="28" t="s">
        <v>549</v>
      </c>
      <c r="G816" s="28" t="s">
        <v>366</v>
      </c>
      <c r="H816" s="28">
        <v>95959</v>
      </c>
      <c r="I816" s="28">
        <v>39.368808999999999</v>
      </c>
      <c r="J816" s="28">
        <v>-120.898977</v>
      </c>
      <c r="L816" s="61">
        <v>110066354359</v>
      </c>
      <c r="M816" s="28" t="s">
        <v>265</v>
      </c>
      <c r="N816" s="28">
        <v>1041</v>
      </c>
      <c r="O816" s="28" t="str">
        <f>IFERROR(VLOOKUP(N816, 'SIC &amp; NAICS Codes'!A:B, 2, FALSE), "")</f>
        <v>Gold Ores</v>
      </c>
      <c r="S816" s="28">
        <v>1.3065772687500001E-3</v>
      </c>
      <c r="T816" s="315">
        <f>_xlfn.MAXIFS('Raw Period DMR Data'!$O:$O,'Raw Period DMR Data'!$A:$A,'Raw Annual DMR Data'!B816,'Raw Period DMR Data'!$C:$C,X816)/S816</f>
        <v>0</v>
      </c>
      <c r="U816" s="28" t="str">
        <f>+IF(COUNTIFS('Raw Period DMR Data'!$A:$A,B816, 'Raw Period DMR Data'!C:C,'Raw Annual DMR Data'!X816, 'Raw Period DMR Data'!M:M, "&gt;0")&gt;0,_xlfn.MAXIFS('Raw Period DMR Data'!M:M,'Raw Period DMR Data'!$A:$A,'Raw Annual DMR Data'!B816,'Raw Period DMR Data'!C:C,'Raw Annual DMR Data'!X816), "N/A - Period DMR Data Not Available")</f>
        <v>N/A - Period DMR Data Not Available</v>
      </c>
      <c r="V816" s="28" t="str" cm="1">
        <f t="array" ref="V816">IFERROR(INDEX('Raw Period DMR Data'!N:N,MATCH(1,(B816='Raw Period DMR Data'!$A:$A)*(U816='Raw Period DMR Data'!M:M)*(X816='Raw Period DMR Data'!C:C),0),1), "N/A")</f>
        <v>N/A</v>
      </c>
      <c r="W816" s="28" t="s">
        <v>1463</v>
      </c>
      <c r="X816" s="28" t="s">
        <v>896</v>
      </c>
      <c r="Y816" s="28" t="s">
        <v>897</v>
      </c>
      <c r="Z816" s="28">
        <v>18020125001502</v>
      </c>
      <c r="AA816" s="28"/>
      <c r="AB816" s="28" t="s">
        <v>1465</v>
      </c>
      <c r="AC816" s="28" t="s">
        <v>1466</v>
      </c>
    </row>
    <row r="817" spans="1:29" x14ac:dyDescent="0.25">
      <c r="A817" s="61">
        <v>110009938808</v>
      </c>
      <c r="B817" s="28">
        <v>2019</v>
      </c>
      <c r="C817" s="68">
        <f t="shared" si="12"/>
        <v>43466</v>
      </c>
      <c r="D817" s="28" t="s">
        <v>1222</v>
      </c>
      <c r="E817" s="28" t="s">
        <v>1983</v>
      </c>
      <c r="F817" s="28" t="s">
        <v>1223</v>
      </c>
      <c r="G817" s="28" t="s">
        <v>324</v>
      </c>
      <c r="H817" s="28">
        <v>40962</v>
      </c>
      <c r="I817" s="28">
        <v>37.177222</v>
      </c>
      <c r="J817" s="28">
        <v>-83.761388999999994</v>
      </c>
      <c r="L817" s="61">
        <v>110009938808</v>
      </c>
      <c r="M817" s="28" t="s">
        <v>263</v>
      </c>
      <c r="N817" s="28">
        <v>4952</v>
      </c>
      <c r="O817" s="28" t="str">
        <f>IFERROR(VLOOKUP(N817, 'SIC &amp; NAICS Codes'!A:B, 2, FALSE), "")</f>
        <v>Sewerage Systems</v>
      </c>
      <c r="S817" s="28">
        <v>3.446904875</v>
      </c>
      <c r="T817" s="315">
        <f>_xlfn.MAXIFS('Raw Period DMR Data'!$O:$O,'Raw Period DMR Data'!$A:$A,'Raw Annual DMR Data'!B817,'Raw Period DMR Data'!$C:$C,X817)/S817</f>
        <v>0</v>
      </c>
      <c r="U817" s="28" t="str">
        <f>+IF(COUNTIFS('Raw Period DMR Data'!$A:$A,B817, 'Raw Period DMR Data'!C:C,'Raw Annual DMR Data'!X817, 'Raw Period DMR Data'!M:M, "&gt;0")&gt;0,_xlfn.MAXIFS('Raw Period DMR Data'!M:M,'Raw Period DMR Data'!$A:$A,'Raw Annual DMR Data'!B817,'Raw Period DMR Data'!C:C,'Raw Annual DMR Data'!X817), "N/A - Period DMR Data Not Available")</f>
        <v>N/A - Period DMR Data Not Available</v>
      </c>
      <c r="V817" s="28" t="str" cm="1">
        <f t="array" ref="V817">IFERROR(INDEX('Raw Period DMR Data'!N:N,MATCH(1,(B817='Raw Period DMR Data'!$A:$A)*(U817='Raw Period DMR Data'!M:M)*(X817='Raw Period DMR Data'!C:C),0),1), "N/A")</f>
        <v>N/A</v>
      </c>
      <c r="W817" s="28" t="s">
        <v>1463</v>
      </c>
      <c r="X817" s="28" t="s">
        <v>1984</v>
      </c>
      <c r="Y817" s="28" t="s">
        <v>1721</v>
      </c>
      <c r="Z817" s="28">
        <v>5100203000072</v>
      </c>
      <c r="AA817" s="28"/>
      <c r="AB817" s="28" t="s">
        <v>1465</v>
      </c>
      <c r="AC817" s="28" t="s">
        <v>263</v>
      </c>
    </row>
    <row r="818" spans="1:29" x14ac:dyDescent="0.25">
      <c r="A818" s="61">
        <v>110009938808</v>
      </c>
      <c r="B818" s="28">
        <v>2020</v>
      </c>
      <c r="C818" s="68">
        <f t="shared" si="12"/>
        <v>43831</v>
      </c>
      <c r="D818" s="28" t="s">
        <v>1222</v>
      </c>
      <c r="E818" s="28" t="s">
        <v>1983</v>
      </c>
      <c r="F818" s="28" t="s">
        <v>1223</v>
      </c>
      <c r="G818" s="28" t="s">
        <v>324</v>
      </c>
      <c r="H818" s="28">
        <v>40962</v>
      </c>
      <c r="I818" s="28">
        <v>37.177222</v>
      </c>
      <c r="J818" s="28">
        <v>-83.761388999999994</v>
      </c>
      <c r="L818" s="61">
        <v>110009938808</v>
      </c>
      <c r="M818" s="28" t="s">
        <v>263</v>
      </c>
      <c r="N818" s="28">
        <v>4952</v>
      </c>
      <c r="O818" s="28" t="str">
        <f>IFERROR(VLOOKUP(N818, 'SIC &amp; NAICS Codes'!A:B, 2, FALSE), "")</f>
        <v>Sewerage Systems</v>
      </c>
      <c r="S818" s="28">
        <v>3.336382875</v>
      </c>
      <c r="T818" s="315">
        <f>_xlfn.MAXIFS('Raw Period DMR Data'!$O:$O,'Raw Period DMR Data'!$A:$A,'Raw Annual DMR Data'!B818,'Raw Period DMR Data'!$C:$C,X818)/S818</f>
        <v>0</v>
      </c>
      <c r="U818" s="28" t="str">
        <f>+IF(COUNTIFS('Raw Period DMR Data'!$A:$A,B818, 'Raw Period DMR Data'!C:C,'Raw Annual DMR Data'!X818, 'Raw Period DMR Data'!M:M, "&gt;0")&gt;0,_xlfn.MAXIFS('Raw Period DMR Data'!M:M,'Raw Period DMR Data'!$A:$A,'Raw Annual DMR Data'!B818,'Raw Period DMR Data'!C:C,'Raw Annual DMR Data'!X818), "N/A - Period DMR Data Not Available")</f>
        <v>N/A - Period DMR Data Not Available</v>
      </c>
      <c r="V818" s="28" t="str" cm="1">
        <f t="array" ref="V818">IFERROR(INDEX('Raw Period DMR Data'!N:N,MATCH(1,(B818='Raw Period DMR Data'!$A:$A)*(U818='Raw Period DMR Data'!M:M)*(X818='Raw Period DMR Data'!C:C),0),1), "N/A")</f>
        <v>N/A</v>
      </c>
      <c r="W818" s="28" t="s">
        <v>1463</v>
      </c>
      <c r="X818" s="28" t="s">
        <v>1984</v>
      </c>
      <c r="Y818" s="28" t="s">
        <v>1721</v>
      </c>
      <c r="Z818" s="28">
        <v>5100203000072</v>
      </c>
      <c r="AA818" s="28"/>
      <c r="AB818" s="28" t="s">
        <v>1465</v>
      </c>
      <c r="AC818" s="28" t="s">
        <v>263</v>
      </c>
    </row>
    <row r="819" spans="1:29" x14ac:dyDescent="0.25">
      <c r="A819" s="61">
        <v>110008995490</v>
      </c>
      <c r="B819" s="28">
        <v>2016</v>
      </c>
      <c r="C819" s="68">
        <f t="shared" si="12"/>
        <v>42370</v>
      </c>
      <c r="D819" s="28" t="s">
        <v>1224</v>
      </c>
      <c r="E819" s="28" t="s">
        <v>1985</v>
      </c>
      <c r="F819" s="28" t="s">
        <v>657</v>
      </c>
      <c r="G819" s="28" t="s">
        <v>418</v>
      </c>
      <c r="H819" s="28">
        <v>89101</v>
      </c>
      <c r="I819" s="28">
        <v>36.176639999999999</v>
      </c>
      <c r="J819" s="28">
        <v>-115.12891999999999</v>
      </c>
      <c r="L819" s="61">
        <v>110008995490</v>
      </c>
      <c r="M819" s="28" t="s">
        <v>265</v>
      </c>
      <c r="N819" s="28">
        <v>6513</v>
      </c>
      <c r="O819" s="28" t="str">
        <f>IFERROR(VLOOKUP(N819, 'SIC &amp; NAICS Codes'!A:B, 2, FALSE), "")</f>
        <v>Operators of Apartment Buildings</v>
      </c>
      <c r="S819" s="28">
        <v>0.19341349999999999</v>
      </c>
      <c r="T819" s="315">
        <f>_xlfn.MAXIFS('Raw Period DMR Data'!$O:$O,'Raw Period DMR Data'!$A:$A,'Raw Annual DMR Data'!B819,'Raw Period DMR Data'!$C:$C,X819)/S819</f>
        <v>0</v>
      </c>
      <c r="U819" s="28" t="str">
        <f>+IF(COUNTIFS('Raw Period DMR Data'!$A:$A,B819, 'Raw Period DMR Data'!C:C,'Raw Annual DMR Data'!X819, 'Raw Period DMR Data'!M:M, "&gt;0")&gt;0,_xlfn.MAXIFS('Raw Period DMR Data'!M:M,'Raw Period DMR Data'!$A:$A,'Raw Annual DMR Data'!B819,'Raw Period DMR Data'!C:C,'Raw Annual DMR Data'!X819), "N/A - Period DMR Data Not Available")</f>
        <v>N/A - Period DMR Data Not Available</v>
      </c>
      <c r="V819" s="28" t="str" cm="1">
        <f t="array" ref="V819">IFERROR(INDEX('Raw Period DMR Data'!N:N,MATCH(1,(B819='Raw Period DMR Data'!$A:$A)*(U819='Raw Period DMR Data'!M:M)*(X819='Raw Period DMR Data'!C:C),0),1), "N/A")</f>
        <v>N/A</v>
      </c>
      <c r="W819" s="28" t="s">
        <v>1463</v>
      </c>
      <c r="X819" s="28" t="s">
        <v>1986</v>
      </c>
      <c r="Y819" s="28" t="s">
        <v>952</v>
      </c>
      <c r="Z819" s="28">
        <v>15010015000125</v>
      </c>
      <c r="AA819" s="28"/>
      <c r="AB819" s="28" t="s">
        <v>1465</v>
      </c>
      <c r="AC819" s="28" t="s">
        <v>1466</v>
      </c>
    </row>
    <row r="820" spans="1:29" x14ac:dyDescent="0.25">
      <c r="A820" s="61">
        <v>110008995490</v>
      </c>
      <c r="B820" s="28">
        <v>2017</v>
      </c>
      <c r="C820" s="68">
        <f t="shared" si="12"/>
        <v>42736</v>
      </c>
      <c r="D820" s="28" t="s">
        <v>1224</v>
      </c>
      <c r="E820" s="28" t="s">
        <v>1985</v>
      </c>
      <c r="F820" s="28" t="s">
        <v>657</v>
      </c>
      <c r="G820" s="28" t="s">
        <v>418</v>
      </c>
      <c r="H820" s="28">
        <v>89101</v>
      </c>
      <c r="I820" s="28">
        <v>36.176639999999999</v>
      </c>
      <c r="J820" s="28">
        <v>-115.12891999999999</v>
      </c>
      <c r="L820" s="61">
        <v>110008995490</v>
      </c>
      <c r="M820" s="28" t="s">
        <v>265</v>
      </c>
      <c r="N820" s="28">
        <v>6513</v>
      </c>
      <c r="O820" s="28" t="str">
        <f>IFERROR(VLOOKUP(N820, 'SIC &amp; NAICS Codes'!A:B, 2, FALSE), "")</f>
        <v>Operators of Apartment Buildings</v>
      </c>
      <c r="S820" s="28">
        <v>5.8714812499999998E-2</v>
      </c>
      <c r="T820" s="315">
        <f>_xlfn.MAXIFS('Raw Period DMR Data'!$O:$O,'Raw Period DMR Data'!$A:$A,'Raw Annual DMR Data'!B820,'Raw Period DMR Data'!$C:$C,X820)/S820</f>
        <v>0</v>
      </c>
      <c r="U820" s="28" t="str">
        <f>+IF(COUNTIFS('Raw Period DMR Data'!$A:$A,B820, 'Raw Period DMR Data'!C:C,'Raw Annual DMR Data'!X820, 'Raw Period DMR Data'!M:M, "&gt;0")&gt;0,_xlfn.MAXIFS('Raw Period DMR Data'!M:M,'Raw Period DMR Data'!$A:$A,'Raw Annual DMR Data'!B820,'Raw Period DMR Data'!C:C,'Raw Annual DMR Data'!X820), "N/A - Period DMR Data Not Available")</f>
        <v>N/A - Period DMR Data Not Available</v>
      </c>
      <c r="V820" s="28" t="str" cm="1">
        <f t="array" ref="V820">IFERROR(INDEX('Raw Period DMR Data'!N:N,MATCH(1,(B820='Raw Period DMR Data'!$A:$A)*(U820='Raw Period DMR Data'!M:M)*(X820='Raw Period DMR Data'!C:C),0),1), "N/A")</f>
        <v>N/A</v>
      </c>
      <c r="W820" s="28" t="s">
        <v>1463</v>
      </c>
      <c r="X820" s="28" t="s">
        <v>1986</v>
      </c>
      <c r="Y820" s="28" t="s">
        <v>952</v>
      </c>
      <c r="Z820" s="28">
        <v>15010015000125</v>
      </c>
      <c r="AA820" s="28"/>
      <c r="AB820" s="28" t="s">
        <v>1465</v>
      </c>
      <c r="AC820" s="28" t="s">
        <v>1466</v>
      </c>
    </row>
    <row r="821" spans="1:29" x14ac:dyDescent="0.25">
      <c r="A821" s="61">
        <v>110008995490</v>
      </c>
      <c r="B821" s="28">
        <v>2018</v>
      </c>
      <c r="C821" s="68">
        <f t="shared" si="12"/>
        <v>43101</v>
      </c>
      <c r="D821" s="28" t="s">
        <v>1224</v>
      </c>
      <c r="E821" s="28" t="s">
        <v>1985</v>
      </c>
      <c r="F821" s="28" t="s">
        <v>657</v>
      </c>
      <c r="G821" s="28" t="s">
        <v>418</v>
      </c>
      <c r="H821" s="28">
        <v>89101</v>
      </c>
      <c r="I821" s="28">
        <v>36.176639999999999</v>
      </c>
      <c r="J821" s="28">
        <v>-115.12891999999999</v>
      </c>
      <c r="L821" s="61">
        <v>110008995490</v>
      </c>
      <c r="M821" s="28" t="s">
        <v>265</v>
      </c>
      <c r="N821" s="28">
        <v>6513</v>
      </c>
      <c r="O821" s="28" t="str">
        <f>IFERROR(VLOOKUP(N821, 'SIC &amp; NAICS Codes'!A:B, 2, FALSE), "")</f>
        <v>Operators of Apartment Buildings</v>
      </c>
      <c r="S821" s="28">
        <v>5.8714812499999998E-2</v>
      </c>
      <c r="T821" s="315">
        <f>_xlfn.MAXIFS('Raw Period DMR Data'!$O:$O,'Raw Period DMR Data'!$A:$A,'Raw Annual DMR Data'!B821,'Raw Period DMR Data'!$C:$C,X821)/S821</f>
        <v>0</v>
      </c>
      <c r="U821" s="28" t="str">
        <f>+IF(COUNTIFS('Raw Period DMR Data'!$A:$A,B821, 'Raw Period DMR Data'!C:C,'Raw Annual DMR Data'!X821, 'Raw Period DMR Data'!M:M, "&gt;0")&gt;0,_xlfn.MAXIFS('Raw Period DMR Data'!M:M,'Raw Period DMR Data'!$A:$A,'Raw Annual DMR Data'!B821,'Raw Period DMR Data'!C:C,'Raw Annual DMR Data'!X821), "N/A - Period DMR Data Not Available")</f>
        <v>N/A - Period DMR Data Not Available</v>
      </c>
      <c r="V821" s="28" t="str" cm="1">
        <f t="array" ref="V821">IFERROR(INDEX('Raw Period DMR Data'!N:N,MATCH(1,(B821='Raw Period DMR Data'!$A:$A)*(U821='Raw Period DMR Data'!M:M)*(X821='Raw Period DMR Data'!C:C),0),1), "N/A")</f>
        <v>N/A</v>
      </c>
      <c r="W821" s="28" t="s">
        <v>1463</v>
      </c>
      <c r="X821" s="28" t="s">
        <v>1986</v>
      </c>
      <c r="Y821" s="28" t="s">
        <v>952</v>
      </c>
      <c r="Z821" s="28">
        <v>15010015000125</v>
      </c>
      <c r="AA821" s="28"/>
      <c r="AB821" s="28" t="s">
        <v>1465</v>
      </c>
      <c r="AC821" s="28" t="s">
        <v>1466</v>
      </c>
    </row>
    <row r="822" spans="1:29" x14ac:dyDescent="0.25">
      <c r="A822" s="61">
        <v>110008995490</v>
      </c>
      <c r="B822" s="28">
        <v>2019</v>
      </c>
      <c r="C822" s="68">
        <f t="shared" si="12"/>
        <v>43466</v>
      </c>
      <c r="D822" s="28" t="s">
        <v>1224</v>
      </c>
      <c r="E822" s="28" t="s">
        <v>1985</v>
      </c>
      <c r="F822" s="28" t="s">
        <v>657</v>
      </c>
      <c r="G822" s="28" t="s">
        <v>418</v>
      </c>
      <c r="H822" s="28">
        <v>89101</v>
      </c>
      <c r="I822" s="28">
        <v>36.176639999999999</v>
      </c>
      <c r="J822" s="28">
        <v>-115.12891999999999</v>
      </c>
      <c r="L822" s="61">
        <v>110008995490</v>
      </c>
      <c r="M822" s="28" t="s">
        <v>265</v>
      </c>
      <c r="N822" s="28">
        <v>6513</v>
      </c>
      <c r="O822" s="28" t="str">
        <f>IFERROR(VLOOKUP(N822, 'SIC &amp; NAICS Codes'!A:B, 2, FALSE), "")</f>
        <v>Operators of Apartment Buildings</v>
      </c>
      <c r="S822" s="28">
        <v>5.9291599187500002E-2</v>
      </c>
      <c r="T822" s="315">
        <f>_xlfn.MAXIFS('Raw Period DMR Data'!$O:$O,'Raw Period DMR Data'!$A:$A,'Raw Annual DMR Data'!B822,'Raw Period DMR Data'!$C:$C,X822)/S822</f>
        <v>0</v>
      </c>
      <c r="U822" s="28" t="str">
        <f>+IF(COUNTIFS('Raw Period DMR Data'!$A:$A,B822, 'Raw Period DMR Data'!C:C,'Raw Annual DMR Data'!X822, 'Raw Period DMR Data'!M:M, "&gt;0")&gt;0,_xlfn.MAXIFS('Raw Period DMR Data'!M:M,'Raw Period DMR Data'!$A:$A,'Raw Annual DMR Data'!B822,'Raw Period DMR Data'!C:C,'Raw Annual DMR Data'!X822), "N/A - Period DMR Data Not Available")</f>
        <v>N/A - Period DMR Data Not Available</v>
      </c>
      <c r="V822" s="28" t="str" cm="1">
        <f t="array" ref="V822">IFERROR(INDEX('Raw Period DMR Data'!N:N,MATCH(1,(B822='Raw Period DMR Data'!$A:$A)*(U822='Raw Period DMR Data'!M:M)*(X822='Raw Period DMR Data'!C:C),0),1), "N/A")</f>
        <v>N/A</v>
      </c>
      <c r="W822" s="28" t="s">
        <v>1463</v>
      </c>
      <c r="X822" s="28" t="s">
        <v>1986</v>
      </c>
      <c r="Y822" s="28" t="s">
        <v>952</v>
      </c>
      <c r="Z822" s="28">
        <v>15010015000125</v>
      </c>
      <c r="AA822" s="28"/>
      <c r="AB822" s="28" t="s">
        <v>1465</v>
      </c>
      <c r="AC822" s="28" t="s">
        <v>1466</v>
      </c>
    </row>
    <row r="823" spans="1:29" x14ac:dyDescent="0.25">
      <c r="A823" s="61">
        <v>110000761104</v>
      </c>
      <c r="B823" s="28">
        <v>2016</v>
      </c>
      <c r="C823" s="68">
        <f t="shared" si="12"/>
        <v>42370</v>
      </c>
      <c r="D823" s="28" t="s">
        <v>1225</v>
      </c>
      <c r="E823" s="28" t="s">
        <v>1987</v>
      </c>
      <c r="F823" s="28" t="s">
        <v>1098</v>
      </c>
      <c r="G823" s="28" t="s">
        <v>324</v>
      </c>
      <c r="H823" s="28">
        <v>41056</v>
      </c>
      <c r="I823" s="28">
        <v>38.687221999999998</v>
      </c>
      <c r="J823" s="28">
        <v>-83.786666999999994</v>
      </c>
      <c r="L823" s="61">
        <v>110000761104</v>
      </c>
      <c r="M823" s="28" t="s">
        <v>263</v>
      </c>
      <c r="N823" s="28">
        <v>4952</v>
      </c>
      <c r="O823" s="28" t="str">
        <f>IFERROR(VLOOKUP(N823, 'SIC &amp; NAICS Codes'!A:B, 2, FALSE), "")</f>
        <v>Sewerage Systems</v>
      </c>
      <c r="S823" s="28">
        <v>1.11903525</v>
      </c>
      <c r="T823" s="315">
        <f>_xlfn.MAXIFS('Raw Period DMR Data'!$O:$O,'Raw Period DMR Data'!$A:$A,'Raw Annual DMR Data'!B823,'Raw Period DMR Data'!$C:$C,X823)/S823</f>
        <v>0</v>
      </c>
      <c r="U823" s="28" t="str">
        <f>+IF(COUNTIFS('Raw Period DMR Data'!$A:$A,B823, 'Raw Period DMR Data'!C:C,'Raw Annual DMR Data'!X823, 'Raw Period DMR Data'!M:M, "&gt;0")&gt;0,_xlfn.MAXIFS('Raw Period DMR Data'!M:M,'Raw Period DMR Data'!$A:$A,'Raw Annual DMR Data'!B823,'Raw Period DMR Data'!C:C,'Raw Annual DMR Data'!X823), "N/A - Period DMR Data Not Available")</f>
        <v>N/A - Period DMR Data Not Available</v>
      </c>
      <c r="V823" s="28" t="str" cm="1">
        <f t="array" ref="V823">IFERROR(INDEX('Raw Period DMR Data'!N:N,MATCH(1,(B823='Raw Period DMR Data'!$A:$A)*(U823='Raw Period DMR Data'!M:M)*(X823='Raw Period DMR Data'!C:C),0),1), "N/A")</f>
        <v>N/A</v>
      </c>
      <c r="W823" s="28" t="s">
        <v>1463</v>
      </c>
      <c r="X823" s="28" t="s">
        <v>1988</v>
      </c>
      <c r="Y823" s="28" t="s">
        <v>830</v>
      </c>
      <c r="Z823" s="28">
        <v>5090201002316</v>
      </c>
      <c r="AA823" s="28"/>
      <c r="AB823" s="28" t="s">
        <v>1465</v>
      </c>
      <c r="AC823" s="28" t="s">
        <v>263</v>
      </c>
    </row>
    <row r="824" spans="1:29" x14ac:dyDescent="0.25">
      <c r="A824" s="61">
        <v>110000761104</v>
      </c>
      <c r="B824" s="28">
        <v>2017</v>
      </c>
      <c r="C824" s="68">
        <f t="shared" si="12"/>
        <v>42736</v>
      </c>
      <c r="D824" s="28" t="s">
        <v>1225</v>
      </c>
      <c r="E824" s="28" t="s">
        <v>1987</v>
      </c>
      <c r="F824" s="28" t="s">
        <v>1098</v>
      </c>
      <c r="G824" s="28" t="s">
        <v>324</v>
      </c>
      <c r="H824" s="28">
        <v>41056</v>
      </c>
      <c r="I824" s="28">
        <v>38.687221999999998</v>
      </c>
      <c r="J824" s="28">
        <v>-83.786666999999994</v>
      </c>
      <c r="L824" s="61">
        <v>110000761104</v>
      </c>
      <c r="M824" s="28" t="s">
        <v>263</v>
      </c>
      <c r="N824" s="28">
        <v>4952</v>
      </c>
      <c r="O824" s="28" t="str">
        <f>IFERROR(VLOOKUP(N824, 'SIC &amp; NAICS Codes'!A:B, 2, FALSE), "")</f>
        <v>Sewerage Systems</v>
      </c>
      <c r="S824" s="28">
        <v>0.88762981249999995</v>
      </c>
      <c r="T824" s="315">
        <f>_xlfn.MAXIFS('Raw Period DMR Data'!$O:$O,'Raw Period DMR Data'!$A:$A,'Raw Annual DMR Data'!B824,'Raw Period DMR Data'!$C:$C,X824)/S824</f>
        <v>0</v>
      </c>
      <c r="U824" s="28" t="str">
        <f>+IF(COUNTIFS('Raw Period DMR Data'!$A:$A,B824, 'Raw Period DMR Data'!C:C,'Raw Annual DMR Data'!X824, 'Raw Period DMR Data'!M:M, "&gt;0")&gt;0,_xlfn.MAXIFS('Raw Period DMR Data'!M:M,'Raw Period DMR Data'!$A:$A,'Raw Annual DMR Data'!B824,'Raw Period DMR Data'!C:C,'Raw Annual DMR Data'!X824), "N/A - Period DMR Data Not Available")</f>
        <v>N/A - Period DMR Data Not Available</v>
      </c>
      <c r="V824" s="28" t="str" cm="1">
        <f t="array" ref="V824">IFERROR(INDEX('Raw Period DMR Data'!N:N,MATCH(1,(B824='Raw Period DMR Data'!$A:$A)*(U824='Raw Period DMR Data'!M:M)*(X824='Raw Period DMR Data'!C:C),0),1), "N/A")</f>
        <v>N/A</v>
      </c>
      <c r="W824" s="28" t="s">
        <v>1463</v>
      </c>
      <c r="X824" s="28" t="s">
        <v>1988</v>
      </c>
      <c r="Y824" s="28" t="s">
        <v>830</v>
      </c>
      <c r="Z824" s="28">
        <v>5090201002316</v>
      </c>
      <c r="AA824" s="28"/>
      <c r="AB824" s="28" t="s">
        <v>1465</v>
      </c>
      <c r="AC824" s="28" t="s">
        <v>263</v>
      </c>
    </row>
    <row r="825" spans="1:29" x14ac:dyDescent="0.25">
      <c r="A825" s="61">
        <v>110000761104</v>
      </c>
      <c r="B825" s="28">
        <v>2018</v>
      </c>
      <c r="C825" s="68">
        <f t="shared" si="12"/>
        <v>43101</v>
      </c>
      <c r="D825" s="28" t="s">
        <v>1225</v>
      </c>
      <c r="E825" s="28" t="s">
        <v>1987</v>
      </c>
      <c r="F825" s="28" t="s">
        <v>1098</v>
      </c>
      <c r="G825" s="28" t="s">
        <v>324</v>
      </c>
      <c r="H825" s="28">
        <v>41056</v>
      </c>
      <c r="I825" s="28">
        <v>38.687221999999998</v>
      </c>
      <c r="J825" s="28">
        <v>-83.786666999999994</v>
      </c>
      <c r="L825" s="61">
        <v>110000761104</v>
      </c>
      <c r="M825" s="28" t="s">
        <v>263</v>
      </c>
      <c r="N825" s="28">
        <v>4952</v>
      </c>
      <c r="O825" s="28" t="str">
        <f>IFERROR(VLOOKUP(N825, 'SIC &amp; NAICS Codes'!A:B, 2, FALSE), "")</f>
        <v>Sewerage Systems</v>
      </c>
      <c r="S825" s="28">
        <v>1.1079830500000001</v>
      </c>
      <c r="T825" s="315">
        <f>_xlfn.MAXIFS('Raw Period DMR Data'!$O:$O,'Raw Period DMR Data'!$A:$A,'Raw Annual DMR Data'!B825,'Raw Period DMR Data'!$C:$C,X825)/S825</f>
        <v>0</v>
      </c>
      <c r="U825" s="28" t="str">
        <f>+IF(COUNTIFS('Raw Period DMR Data'!$A:$A,B825, 'Raw Period DMR Data'!C:C,'Raw Annual DMR Data'!X825, 'Raw Period DMR Data'!M:M, "&gt;0")&gt;0,_xlfn.MAXIFS('Raw Period DMR Data'!M:M,'Raw Period DMR Data'!$A:$A,'Raw Annual DMR Data'!B825,'Raw Period DMR Data'!C:C,'Raw Annual DMR Data'!X825), "N/A - Period DMR Data Not Available")</f>
        <v>N/A - Period DMR Data Not Available</v>
      </c>
      <c r="V825" s="28" t="str" cm="1">
        <f t="array" ref="V825">IFERROR(INDEX('Raw Period DMR Data'!N:N,MATCH(1,(B825='Raw Period DMR Data'!$A:$A)*(U825='Raw Period DMR Data'!M:M)*(X825='Raw Period DMR Data'!C:C),0),1), "N/A")</f>
        <v>N/A</v>
      </c>
      <c r="W825" s="28" t="s">
        <v>1463</v>
      </c>
      <c r="X825" s="28" t="s">
        <v>1988</v>
      </c>
      <c r="Y825" s="28" t="s">
        <v>830</v>
      </c>
      <c r="Z825" s="302" t="s">
        <v>1989</v>
      </c>
      <c r="AA825" s="28"/>
      <c r="AB825" s="28" t="s">
        <v>1465</v>
      </c>
      <c r="AC825" s="28" t="s">
        <v>263</v>
      </c>
    </row>
    <row r="826" spans="1:29" x14ac:dyDescent="0.25">
      <c r="A826" s="61">
        <v>110000761104</v>
      </c>
      <c r="B826" s="28">
        <v>2019</v>
      </c>
      <c r="C826" s="68">
        <f t="shared" si="12"/>
        <v>43466</v>
      </c>
      <c r="D826" s="28" t="s">
        <v>1225</v>
      </c>
      <c r="E826" s="28" t="s">
        <v>1987</v>
      </c>
      <c r="F826" s="28" t="s">
        <v>1098</v>
      </c>
      <c r="G826" s="28" t="s">
        <v>324</v>
      </c>
      <c r="H826" s="28">
        <v>41056</v>
      </c>
      <c r="I826" s="28">
        <v>38.687221999999998</v>
      </c>
      <c r="J826" s="28">
        <v>-83.786666999999994</v>
      </c>
      <c r="L826" s="61">
        <v>110000761104</v>
      </c>
      <c r="M826" s="28" t="s">
        <v>263</v>
      </c>
      <c r="N826" s="28">
        <v>4952</v>
      </c>
      <c r="O826" s="28" t="str">
        <f>IFERROR(VLOOKUP(N826, 'SIC &amp; NAICS Codes'!A:B, 2, FALSE), "")</f>
        <v>Sewerage Systems</v>
      </c>
      <c r="S826" s="28">
        <v>0.46971849999999998</v>
      </c>
      <c r="T826" s="315">
        <f>_xlfn.MAXIFS('Raw Period DMR Data'!$O:$O,'Raw Period DMR Data'!$A:$A,'Raw Annual DMR Data'!B826,'Raw Period DMR Data'!$C:$C,X826)/S826</f>
        <v>0</v>
      </c>
      <c r="U826" s="28" t="str">
        <f>+IF(COUNTIFS('Raw Period DMR Data'!$A:$A,B826, 'Raw Period DMR Data'!C:C,'Raw Annual DMR Data'!X826, 'Raw Period DMR Data'!M:M, "&gt;0")&gt;0,_xlfn.MAXIFS('Raw Period DMR Data'!M:M,'Raw Period DMR Data'!$A:$A,'Raw Annual DMR Data'!B826,'Raw Period DMR Data'!C:C,'Raw Annual DMR Data'!X826), "N/A - Period DMR Data Not Available")</f>
        <v>N/A - Period DMR Data Not Available</v>
      </c>
      <c r="V826" s="28" t="str" cm="1">
        <f t="array" ref="V826">IFERROR(INDEX('Raw Period DMR Data'!N:N,MATCH(1,(B826='Raw Period DMR Data'!$A:$A)*(U826='Raw Period DMR Data'!M:M)*(X826='Raw Period DMR Data'!C:C),0),1), "N/A")</f>
        <v>N/A</v>
      </c>
      <c r="W826" s="28" t="s">
        <v>1463</v>
      </c>
      <c r="X826" s="28" t="s">
        <v>1988</v>
      </c>
      <c r="Y826" s="28" t="s">
        <v>830</v>
      </c>
      <c r="Z826" s="28">
        <v>5090201002316</v>
      </c>
      <c r="AA826" s="28"/>
      <c r="AB826" s="28" t="s">
        <v>1465</v>
      </c>
      <c r="AC826" s="28" t="s">
        <v>263</v>
      </c>
    </row>
    <row r="827" spans="1:29" x14ac:dyDescent="0.25">
      <c r="A827" s="61">
        <v>110070264880</v>
      </c>
      <c r="B827" s="28">
        <v>2018</v>
      </c>
      <c r="C827" s="68">
        <f t="shared" si="12"/>
        <v>43101</v>
      </c>
      <c r="D827" s="28" t="s">
        <v>170</v>
      </c>
      <c r="E827" s="28" t="s">
        <v>551</v>
      </c>
      <c r="F827" s="28" t="s">
        <v>552</v>
      </c>
      <c r="G827" s="28" t="s">
        <v>553</v>
      </c>
      <c r="H827" s="28">
        <v>2903</v>
      </c>
      <c r="I827" s="28">
        <v>41.815800000000003</v>
      </c>
      <c r="J827" s="28">
        <v>-71.400130000000004</v>
      </c>
      <c r="L827" s="61">
        <v>110070264880</v>
      </c>
      <c r="M827" s="28" t="s">
        <v>252</v>
      </c>
      <c r="N827" s="28">
        <v>4492</v>
      </c>
      <c r="O827" s="28" t="str">
        <f>IFERROR(VLOOKUP(N827, 'SIC &amp; NAICS Codes'!A:B, 2, FALSE), "")</f>
        <v xml:space="preserve">Towing and Tugboat Services </v>
      </c>
      <c r="S827" s="28">
        <v>1.7811035135999999E-2</v>
      </c>
      <c r="T827" s="315">
        <f>_xlfn.MAXIFS('Raw Period DMR Data'!$O:$O,'Raw Period DMR Data'!$A:$A,'Raw Annual DMR Data'!B827,'Raw Period DMR Data'!$C:$C,X827)/S827</f>
        <v>0</v>
      </c>
      <c r="U827" s="28" t="str">
        <f>+IF(COUNTIFS('Raw Period DMR Data'!$A:$A,B827, 'Raw Period DMR Data'!C:C,'Raw Annual DMR Data'!X827, 'Raw Period DMR Data'!M:M, "&gt;0")&gt;0,_xlfn.MAXIFS('Raw Period DMR Data'!M:M,'Raw Period DMR Data'!$A:$A,'Raw Annual DMR Data'!B827,'Raw Period DMR Data'!C:C,'Raw Annual DMR Data'!X827), "N/A - Period DMR Data Not Available")</f>
        <v>N/A - Period DMR Data Not Available</v>
      </c>
      <c r="V827" s="28" t="str" cm="1">
        <f t="array" ref="V827">IFERROR(INDEX('Raw Period DMR Data'!N:N,MATCH(1,(B827='Raw Period DMR Data'!$A:$A)*(U827='Raw Period DMR Data'!M:M)*(X827='Raw Period DMR Data'!C:C),0),1), "N/A")</f>
        <v>N/A</v>
      </c>
      <c r="W827" s="28" t="s">
        <v>1463</v>
      </c>
      <c r="X827" s="28" t="s">
        <v>898</v>
      </c>
      <c r="Y827" s="28" t="s">
        <v>899</v>
      </c>
      <c r="Z827" s="61"/>
    </row>
    <row r="828" spans="1:29" x14ac:dyDescent="0.25">
      <c r="A828" s="61">
        <v>110070264880</v>
      </c>
      <c r="B828" s="28">
        <v>2019</v>
      </c>
      <c r="C828" s="68">
        <f t="shared" si="12"/>
        <v>43466</v>
      </c>
      <c r="D828" s="28" t="s">
        <v>170</v>
      </c>
      <c r="E828" s="28" t="s">
        <v>551</v>
      </c>
      <c r="F828" s="28" t="s">
        <v>552</v>
      </c>
      <c r="G828" s="28" t="s">
        <v>553</v>
      </c>
      <c r="H828" s="28">
        <v>2903</v>
      </c>
      <c r="I828" s="28">
        <v>41.815800000000003</v>
      </c>
      <c r="J828" s="28">
        <v>-71.400130000000004</v>
      </c>
      <c r="L828" s="61">
        <v>110070264880</v>
      </c>
      <c r="M828" s="28" t="s">
        <v>252</v>
      </c>
      <c r="N828" s="28">
        <v>4492</v>
      </c>
      <c r="O828" s="28" t="str">
        <f>IFERROR(VLOOKUP(N828, 'SIC &amp; NAICS Codes'!A:B, 2, FALSE), "")</f>
        <v xml:space="preserve">Towing and Tugboat Services </v>
      </c>
      <c r="S828" s="28">
        <v>7.0401726719999998E-3</v>
      </c>
      <c r="T828" s="315">
        <f>_xlfn.MAXIFS('Raw Period DMR Data'!$O:$O,'Raw Period DMR Data'!$A:$A,'Raw Annual DMR Data'!B828,'Raw Period DMR Data'!$C:$C,X828)/S828</f>
        <v>0</v>
      </c>
      <c r="U828" s="28" t="str">
        <f>+IF(COUNTIFS('Raw Period DMR Data'!$A:$A,B828, 'Raw Period DMR Data'!C:C,'Raw Annual DMR Data'!X828, 'Raw Period DMR Data'!M:M, "&gt;0")&gt;0,_xlfn.MAXIFS('Raw Period DMR Data'!M:M,'Raw Period DMR Data'!$A:$A,'Raw Annual DMR Data'!B828,'Raw Period DMR Data'!C:C,'Raw Annual DMR Data'!X828), "N/A - Period DMR Data Not Available")</f>
        <v>N/A - Period DMR Data Not Available</v>
      </c>
      <c r="V828" s="28" t="str" cm="1">
        <f t="array" ref="V828">IFERROR(INDEX('Raw Period DMR Data'!N:N,MATCH(1,(B828='Raw Period DMR Data'!$A:$A)*(U828='Raw Period DMR Data'!M:M)*(X828='Raw Period DMR Data'!C:C),0),1), "N/A")</f>
        <v>N/A</v>
      </c>
      <c r="W828" s="28" t="s">
        <v>1463</v>
      </c>
      <c r="X828" s="28" t="s">
        <v>898</v>
      </c>
      <c r="Y828" s="28" t="s">
        <v>899</v>
      </c>
      <c r="Z828" s="61"/>
    </row>
    <row r="829" spans="1:29" x14ac:dyDescent="0.25">
      <c r="A829" s="61">
        <v>110064134459</v>
      </c>
      <c r="B829" s="28">
        <v>2016</v>
      </c>
      <c r="C829" s="68">
        <f t="shared" si="12"/>
        <v>42370</v>
      </c>
      <c r="D829" s="28" t="s">
        <v>1226</v>
      </c>
      <c r="E829" s="28" t="s">
        <v>1990</v>
      </c>
      <c r="F829" s="28" t="s">
        <v>657</v>
      </c>
      <c r="G829" s="28" t="s">
        <v>418</v>
      </c>
      <c r="H829" s="28">
        <v>89119</v>
      </c>
      <c r="I829" s="28">
        <v>36.075400000000002</v>
      </c>
      <c r="J829" s="28">
        <v>-115.1669</v>
      </c>
      <c r="L829" s="61">
        <v>110064134459</v>
      </c>
      <c r="M829" s="28" t="s">
        <v>265</v>
      </c>
      <c r="N829" s="28">
        <v>4581</v>
      </c>
      <c r="O829" s="28" t="str">
        <f>IFERROR(VLOOKUP(N829, 'SIC &amp; NAICS Codes'!A:B, 2, FALSE), "")</f>
        <v>Airports, Flying Fields, and Airport Terminal Services (private air traffic control)</v>
      </c>
      <c r="S829" s="28">
        <v>5.1484894750000003E-2</v>
      </c>
      <c r="T829" s="315">
        <f>_xlfn.MAXIFS('Raw Period DMR Data'!$O:$O,'Raw Period DMR Data'!$A:$A,'Raw Annual DMR Data'!B829,'Raw Period DMR Data'!$C:$C,X829)/S829</f>
        <v>0</v>
      </c>
      <c r="U829" s="28" t="str">
        <f>+IF(COUNTIFS('Raw Period DMR Data'!$A:$A,B829, 'Raw Period DMR Data'!C:C,'Raw Annual DMR Data'!X829, 'Raw Period DMR Data'!M:M, "&gt;0")&gt;0,_xlfn.MAXIFS('Raw Period DMR Data'!M:M,'Raw Period DMR Data'!$A:$A,'Raw Annual DMR Data'!B829,'Raw Period DMR Data'!C:C,'Raw Annual DMR Data'!X829), "N/A - Period DMR Data Not Available")</f>
        <v>N/A - Period DMR Data Not Available</v>
      </c>
      <c r="V829" s="28" t="str" cm="1">
        <f t="array" ref="V829">IFERROR(INDEX('Raw Period DMR Data'!N:N,MATCH(1,(B829='Raw Period DMR Data'!$A:$A)*(U829='Raw Period DMR Data'!M:M)*(X829='Raw Period DMR Data'!C:C),0),1), "N/A")</f>
        <v>N/A</v>
      </c>
      <c r="W829" s="28" t="s">
        <v>1463</v>
      </c>
      <c r="X829" s="28" t="s">
        <v>1991</v>
      </c>
      <c r="Y829" s="28" t="s">
        <v>1992</v>
      </c>
      <c r="Z829" s="28">
        <v>15010015000139</v>
      </c>
      <c r="AA829" s="28"/>
      <c r="AB829" s="28" t="s">
        <v>1465</v>
      </c>
      <c r="AC829" s="28" t="s">
        <v>1466</v>
      </c>
    </row>
    <row r="830" spans="1:29" x14ac:dyDescent="0.25">
      <c r="A830" s="61">
        <v>110064134459</v>
      </c>
      <c r="B830" s="28">
        <v>2016</v>
      </c>
      <c r="C830" s="68">
        <f t="shared" si="12"/>
        <v>42370</v>
      </c>
      <c r="D830" s="28" t="s">
        <v>1226</v>
      </c>
      <c r="E830" s="28" t="s">
        <v>1990</v>
      </c>
      <c r="F830" s="28" t="s">
        <v>657</v>
      </c>
      <c r="G830" s="28" t="s">
        <v>418</v>
      </c>
      <c r="H830" s="28">
        <v>89119</v>
      </c>
      <c r="I830" s="28">
        <v>36.075400000000002</v>
      </c>
      <c r="J830" s="28">
        <v>-115.1669</v>
      </c>
      <c r="L830" s="61">
        <v>110064134459</v>
      </c>
      <c r="M830" s="28" t="s">
        <v>265</v>
      </c>
      <c r="N830" s="28">
        <v>4581</v>
      </c>
      <c r="O830" s="28" t="str">
        <f>IFERROR(VLOOKUP(N830, 'SIC &amp; NAICS Codes'!A:B, 2, FALSE), "")</f>
        <v>Airports, Flying Fields, and Airport Terminal Services (private air traffic control)</v>
      </c>
      <c r="S830" s="28">
        <v>7.3071317500000002E-3</v>
      </c>
      <c r="T830" s="315">
        <f>_xlfn.MAXIFS('Raw Period DMR Data'!$O:$O,'Raw Period DMR Data'!$A:$A,'Raw Annual DMR Data'!B830,'Raw Period DMR Data'!$C:$C,X830)/S830</f>
        <v>0</v>
      </c>
      <c r="U830" s="28" t="str">
        <f>+IF(COUNTIFS('Raw Period DMR Data'!$A:$A,B830, 'Raw Period DMR Data'!C:C,'Raw Annual DMR Data'!X830, 'Raw Period DMR Data'!M:M, "&gt;0")&gt;0,_xlfn.MAXIFS('Raw Period DMR Data'!M:M,'Raw Period DMR Data'!$A:$A,'Raw Annual DMR Data'!B830,'Raw Period DMR Data'!C:C,'Raw Annual DMR Data'!X830), "N/A - Period DMR Data Not Available")</f>
        <v>N/A - Period DMR Data Not Available</v>
      </c>
      <c r="V830" s="28" t="str" cm="1">
        <f t="array" ref="V830">IFERROR(INDEX('Raw Period DMR Data'!N:N,MATCH(1,(B830='Raw Period DMR Data'!$A:$A)*(U830='Raw Period DMR Data'!M:M)*(X830='Raw Period DMR Data'!C:C),0),1), "N/A")</f>
        <v>N/A</v>
      </c>
      <c r="W830" s="28" t="s">
        <v>1463</v>
      </c>
      <c r="X830" s="28" t="s">
        <v>1991</v>
      </c>
      <c r="Y830" s="28" t="s">
        <v>1992</v>
      </c>
      <c r="Z830" s="28">
        <v>15010015000139</v>
      </c>
      <c r="AA830" s="28"/>
      <c r="AB830" s="28" t="s">
        <v>1465</v>
      </c>
      <c r="AC830" s="28" t="s">
        <v>1466</v>
      </c>
    </row>
    <row r="831" spans="1:29" x14ac:dyDescent="0.25">
      <c r="A831" s="61">
        <v>110064134459</v>
      </c>
      <c r="B831" s="28">
        <v>2017</v>
      </c>
      <c r="C831" s="68">
        <f t="shared" si="12"/>
        <v>42736</v>
      </c>
      <c r="D831" s="28" t="s">
        <v>1226</v>
      </c>
      <c r="E831" s="28" t="s">
        <v>1990</v>
      </c>
      <c r="F831" s="28" t="s">
        <v>657</v>
      </c>
      <c r="G831" s="28" t="s">
        <v>418</v>
      </c>
      <c r="H831" s="28">
        <v>89119</v>
      </c>
      <c r="I831" s="28">
        <v>36.075400000000002</v>
      </c>
      <c r="J831" s="28">
        <v>-115.1669</v>
      </c>
      <c r="L831" s="61">
        <v>110064134459</v>
      </c>
      <c r="M831" s="28" t="s">
        <v>265</v>
      </c>
      <c r="N831" s="28">
        <v>4581</v>
      </c>
      <c r="O831" s="28" t="str">
        <f>IFERROR(VLOOKUP(N831, 'SIC &amp; NAICS Codes'!A:B, 2, FALSE), "")</f>
        <v>Airports, Flying Fields, and Airport Terminal Services (private air traffic control)</v>
      </c>
      <c r="S831" s="28">
        <v>3.1396858875000003E-2</v>
      </c>
      <c r="T831" s="315">
        <f>_xlfn.MAXIFS('Raw Period DMR Data'!$O:$O,'Raw Period DMR Data'!$A:$A,'Raw Annual DMR Data'!B831,'Raw Period DMR Data'!$C:$C,X831)/S831</f>
        <v>0</v>
      </c>
      <c r="U831" s="28" t="str">
        <f>+IF(COUNTIFS('Raw Period DMR Data'!$A:$A,B831, 'Raw Period DMR Data'!C:C,'Raw Annual DMR Data'!X831, 'Raw Period DMR Data'!M:M, "&gt;0")&gt;0,_xlfn.MAXIFS('Raw Period DMR Data'!M:M,'Raw Period DMR Data'!$A:$A,'Raw Annual DMR Data'!B831,'Raw Period DMR Data'!C:C,'Raw Annual DMR Data'!X831), "N/A - Period DMR Data Not Available")</f>
        <v>N/A - Period DMR Data Not Available</v>
      </c>
      <c r="V831" s="28" t="str" cm="1">
        <f t="array" ref="V831">IFERROR(INDEX('Raw Period DMR Data'!N:N,MATCH(1,(B831='Raw Period DMR Data'!$A:$A)*(U831='Raw Period DMR Data'!M:M)*(X831='Raw Period DMR Data'!C:C),0),1), "N/A")</f>
        <v>N/A</v>
      </c>
      <c r="W831" s="28" t="s">
        <v>1463</v>
      </c>
      <c r="X831" s="28" t="s">
        <v>1991</v>
      </c>
      <c r="Y831" s="28" t="s">
        <v>1992</v>
      </c>
      <c r="Z831" s="28">
        <v>15010015000139</v>
      </c>
      <c r="AA831" s="28"/>
      <c r="AB831" s="28" t="s">
        <v>1465</v>
      </c>
      <c r="AC831" s="28" t="s">
        <v>1466</v>
      </c>
    </row>
    <row r="832" spans="1:29" x14ac:dyDescent="0.25">
      <c r="A832" s="61">
        <v>110064134459</v>
      </c>
      <c r="B832" s="28">
        <v>2017</v>
      </c>
      <c r="C832" s="68">
        <f t="shared" si="12"/>
        <v>42736</v>
      </c>
      <c r="D832" s="28" t="s">
        <v>1226</v>
      </c>
      <c r="E832" s="28" t="s">
        <v>1990</v>
      </c>
      <c r="F832" s="28" t="s">
        <v>657</v>
      </c>
      <c r="G832" s="28" t="s">
        <v>418</v>
      </c>
      <c r="H832" s="28">
        <v>89119</v>
      </c>
      <c r="I832" s="28">
        <v>36.075400000000002</v>
      </c>
      <c r="J832" s="28">
        <v>-115.1669</v>
      </c>
      <c r="L832" s="61">
        <v>110064134459</v>
      </c>
      <c r="M832" s="28" t="s">
        <v>265</v>
      </c>
      <c r="N832" s="28">
        <v>4581</v>
      </c>
      <c r="O832" s="28" t="str">
        <f>IFERROR(VLOOKUP(N832, 'SIC &amp; NAICS Codes'!A:B, 2, FALSE), "")</f>
        <v>Airports, Flying Fields, and Airport Terminal Services (private air traffic control)</v>
      </c>
      <c r="S832" s="28">
        <v>8.0375421249999999E-3</v>
      </c>
      <c r="T832" s="315">
        <f>_xlfn.MAXIFS('Raw Period DMR Data'!$O:$O,'Raw Period DMR Data'!$A:$A,'Raw Annual DMR Data'!B832,'Raw Period DMR Data'!$C:$C,X832)/S832</f>
        <v>0</v>
      </c>
      <c r="U832" s="28" t="str">
        <f>+IF(COUNTIFS('Raw Period DMR Data'!$A:$A,B832, 'Raw Period DMR Data'!C:C,'Raw Annual DMR Data'!X832, 'Raw Period DMR Data'!M:M, "&gt;0")&gt;0,_xlfn.MAXIFS('Raw Period DMR Data'!M:M,'Raw Period DMR Data'!$A:$A,'Raw Annual DMR Data'!B832,'Raw Period DMR Data'!C:C,'Raw Annual DMR Data'!X832), "N/A - Period DMR Data Not Available")</f>
        <v>N/A - Period DMR Data Not Available</v>
      </c>
      <c r="V832" s="28" t="str" cm="1">
        <f t="array" ref="V832">IFERROR(INDEX('Raw Period DMR Data'!N:N,MATCH(1,(B832='Raw Period DMR Data'!$A:$A)*(U832='Raw Period DMR Data'!M:M)*(X832='Raw Period DMR Data'!C:C),0),1), "N/A")</f>
        <v>N/A</v>
      </c>
      <c r="W832" s="28" t="s">
        <v>1463</v>
      </c>
      <c r="X832" s="28" t="s">
        <v>1991</v>
      </c>
      <c r="Y832" s="28" t="s">
        <v>1992</v>
      </c>
      <c r="Z832" s="28">
        <v>15010015000139</v>
      </c>
      <c r="AA832" s="28"/>
      <c r="AB832" s="28" t="s">
        <v>1465</v>
      </c>
      <c r="AC832" s="28" t="s">
        <v>1466</v>
      </c>
    </row>
    <row r="833" spans="1:29" x14ac:dyDescent="0.25">
      <c r="A833" s="61">
        <v>110064134459</v>
      </c>
      <c r="B833" s="28">
        <v>2018</v>
      </c>
      <c r="C833" s="68">
        <f t="shared" si="12"/>
        <v>43101</v>
      </c>
      <c r="D833" s="28" t="s">
        <v>1226</v>
      </c>
      <c r="E833" s="28" t="s">
        <v>1990</v>
      </c>
      <c r="F833" s="28" t="s">
        <v>657</v>
      </c>
      <c r="G833" s="28" t="s">
        <v>418</v>
      </c>
      <c r="H833" s="28">
        <v>89119</v>
      </c>
      <c r="I833" s="28">
        <v>36.075400000000002</v>
      </c>
      <c r="J833" s="28">
        <v>-115.1669</v>
      </c>
      <c r="L833" s="61">
        <v>110064134459</v>
      </c>
      <c r="M833" s="28" t="s">
        <v>265</v>
      </c>
      <c r="N833" s="28">
        <v>4581</v>
      </c>
      <c r="O833" s="28" t="str">
        <f>IFERROR(VLOOKUP(N833, 'SIC &amp; NAICS Codes'!A:B, 2, FALSE), "")</f>
        <v>Airports, Flying Fields, and Airport Terminal Services (private air traffic control)</v>
      </c>
      <c r="S833" s="28">
        <v>4.4362471000000001E-2</v>
      </c>
      <c r="T833" s="315">
        <f>_xlfn.MAXIFS('Raw Period DMR Data'!$O:$O,'Raw Period DMR Data'!$A:$A,'Raw Annual DMR Data'!B833,'Raw Period DMR Data'!$C:$C,X833)/S833</f>
        <v>0</v>
      </c>
      <c r="U833" s="28" t="str">
        <f>+IF(COUNTIFS('Raw Period DMR Data'!$A:$A,B833, 'Raw Period DMR Data'!C:C,'Raw Annual DMR Data'!X833, 'Raw Period DMR Data'!M:M, "&gt;0")&gt;0,_xlfn.MAXIFS('Raw Period DMR Data'!M:M,'Raw Period DMR Data'!$A:$A,'Raw Annual DMR Data'!B833,'Raw Period DMR Data'!C:C,'Raw Annual DMR Data'!X833), "N/A - Period DMR Data Not Available")</f>
        <v>N/A - Period DMR Data Not Available</v>
      </c>
      <c r="V833" s="28" t="str" cm="1">
        <f t="array" ref="V833">IFERROR(INDEX('Raw Period DMR Data'!N:N,MATCH(1,(B833='Raw Period DMR Data'!$A:$A)*(U833='Raw Period DMR Data'!M:M)*(X833='Raw Period DMR Data'!C:C),0),1), "N/A")</f>
        <v>N/A</v>
      </c>
      <c r="W833" s="28" t="s">
        <v>1463</v>
      </c>
      <c r="X833" s="28" t="s">
        <v>1991</v>
      </c>
      <c r="Y833" s="28" t="s">
        <v>1992</v>
      </c>
      <c r="Z833" s="28">
        <v>15010015000139</v>
      </c>
      <c r="AA833" s="28"/>
      <c r="AB833" s="28" t="s">
        <v>1465</v>
      </c>
      <c r="AC833" s="28" t="s">
        <v>1466</v>
      </c>
    </row>
    <row r="834" spans="1:29" x14ac:dyDescent="0.25">
      <c r="A834" s="61">
        <v>110064134459</v>
      </c>
      <c r="B834" s="28">
        <v>2018</v>
      </c>
      <c r="C834" s="68">
        <f t="shared" si="12"/>
        <v>43101</v>
      </c>
      <c r="D834" s="28" t="s">
        <v>1226</v>
      </c>
      <c r="E834" s="28" t="s">
        <v>1990</v>
      </c>
      <c r="F834" s="28" t="s">
        <v>657</v>
      </c>
      <c r="G834" s="28" t="s">
        <v>418</v>
      </c>
      <c r="H834" s="28">
        <v>89119</v>
      </c>
      <c r="I834" s="28">
        <v>36.075400000000002</v>
      </c>
      <c r="J834" s="28">
        <v>-115.1669</v>
      </c>
      <c r="L834" s="61">
        <v>110064134459</v>
      </c>
      <c r="M834" s="28" t="s">
        <v>265</v>
      </c>
      <c r="N834" s="28">
        <v>4581</v>
      </c>
      <c r="O834" s="28" t="str">
        <f>IFERROR(VLOOKUP(N834, 'SIC &amp; NAICS Codes'!A:B, 2, FALSE), "")</f>
        <v>Airports, Flying Fields, and Airport Terminal Services (private air traffic control)</v>
      </c>
      <c r="S834" s="28">
        <v>1.402058625E-2</v>
      </c>
      <c r="T834" s="315">
        <f>_xlfn.MAXIFS('Raw Period DMR Data'!$O:$O,'Raw Period DMR Data'!$A:$A,'Raw Annual DMR Data'!B834,'Raw Period DMR Data'!$C:$C,X834)/S834</f>
        <v>0</v>
      </c>
      <c r="U834" s="28" t="str">
        <f>+IF(COUNTIFS('Raw Period DMR Data'!$A:$A,B834, 'Raw Period DMR Data'!C:C,'Raw Annual DMR Data'!X834, 'Raw Period DMR Data'!M:M, "&gt;0")&gt;0,_xlfn.MAXIFS('Raw Period DMR Data'!M:M,'Raw Period DMR Data'!$A:$A,'Raw Annual DMR Data'!B834,'Raw Period DMR Data'!C:C,'Raw Annual DMR Data'!X834), "N/A - Period DMR Data Not Available")</f>
        <v>N/A - Period DMR Data Not Available</v>
      </c>
      <c r="V834" s="28" t="str" cm="1">
        <f t="array" ref="V834">IFERROR(INDEX('Raw Period DMR Data'!N:N,MATCH(1,(B834='Raw Period DMR Data'!$A:$A)*(U834='Raw Period DMR Data'!M:M)*(X834='Raw Period DMR Data'!C:C),0),1), "N/A")</f>
        <v>N/A</v>
      </c>
      <c r="W834" s="28" t="s">
        <v>1463</v>
      </c>
      <c r="X834" s="28" t="s">
        <v>1991</v>
      </c>
      <c r="Y834" s="28" t="s">
        <v>1992</v>
      </c>
      <c r="Z834" s="28">
        <v>15010015000139</v>
      </c>
      <c r="AA834" s="28"/>
      <c r="AB834" s="28" t="s">
        <v>1465</v>
      </c>
      <c r="AC834" s="28" t="s">
        <v>1466</v>
      </c>
    </row>
    <row r="835" spans="1:29" x14ac:dyDescent="0.25">
      <c r="A835" s="61">
        <v>110064134459</v>
      </c>
      <c r="B835" s="28">
        <v>2019</v>
      </c>
      <c r="C835" s="68">
        <f t="shared" ref="C835:C898" si="13">DATE(B835, 1, 1)</f>
        <v>43466</v>
      </c>
      <c r="D835" s="28" t="s">
        <v>1226</v>
      </c>
      <c r="E835" s="28" t="s">
        <v>1990</v>
      </c>
      <c r="F835" s="28" t="s">
        <v>657</v>
      </c>
      <c r="G835" s="28" t="s">
        <v>418</v>
      </c>
      <c r="H835" s="28">
        <v>89119</v>
      </c>
      <c r="I835" s="28">
        <v>36.075400000000002</v>
      </c>
      <c r="J835" s="28">
        <v>-115.1669</v>
      </c>
      <c r="L835" s="61">
        <v>110064134459</v>
      </c>
      <c r="M835" s="28" t="s">
        <v>265</v>
      </c>
      <c r="N835" s="28">
        <v>4581</v>
      </c>
      <c r="O835" s="28" t="str">
        <f>IFERROR(VLOOKUP(N835, 'SIC &amp; NAICS Codes'!A:B, 2, FALSE), "")</f>
        <v>Airports, Flying Fields, and Airport Terminal Services (private air traffic control)</v>
      </c>
      <c r="S835" s="28">
        <v>7.5289327499999999E-3</v>
      </c>
      <c r="T835" s="315">
        <f>_xlfn.MAXIFS('Raw Period DMR Data'!$O:$O,'Raw Period DMR Data'!$A:$A,'Raw Annual DMR Data'!B835,'Raw Period DMR Data'!$C:$C,X835)/S835</f>
        <v>0</v>
      </c>
      <c r="U835" s="28" t="str">
        <f>+IF(COUNTIFS('Raw Period DMR Data'!$A:$A,B835, 'Raw Period DMR Data'!C:C,'Raw Annual DMR Data'!X835, 'Raw Period DMR Data'!M:M, "&gt;0")&gt;0,_xlfn.MAXIFS('Raw Period DMR Data'!M:M,'Raw Period DMR Data'!$A:$A,'Raw Annual DMR Data'!B835,'Raw Period DMR Data'!C:C,'Raw Annual DMR Data'!X835), "N/A - Period DMR Data Not Available")</f>
        <v>N/A - Period DMR Data Not Available</v>
      </c>
      <c r="V835" s="28" t="str" cm="1">
        <f t="array" ref="V835">IFERROR(INDEX('Raw Period DMR Data'!N:N,MATCH(1,(B835='Raw Period DMR Data'!$A:$A)*(U835='Raw Period DMR Data'!M:M)*(X835='Raw Period DMR Data'!C:C),0),1), "N/A")</f>
        <v>N/A</v>
      </c>
      <c r="W835" s="28" t="s">
        <v>1463</v>
      </c>
      <c r="X835" s="28" t="s">
        <v>1991</v>
      </c>
      <c r="Y835" s="28" t="s">
        <v>1992</v>
      </c>
      <c r="Z835" s="28">
        <v>15010015000139</v>
      </c>
      <c r="AA835" s="28"/>
      <c r="AB835" s="28" t="s">
        <v>1465</v>
      </c>
      <c r="AC835" s="28" t="s">
        <v>1466</v>
      </c>
    </row>
    <row r="836" spans="1:29" x14ac:dyDescent="0.25">
      <c r="A836" s="61">
        <v>110064134459</v>
      </c>
      <c r="B836" s="28">
        <v>2019</v>
      </c>
      <c r="C836" s="68">
        <f t="shared" si="13"/>
        <v>43466</v>
      </c>
      <c r="D836" s="28" t="s">
        <v>1226</v>
      </c>
      <c r="E836" s="28" t="s">
        <v>1990</v>
      </c>
      <c r="F836" s="28" t="s">
        <v>657</v>
      </c>
      <c r="G836" s="28" t="s">
        <v>418</v>
      </c>
      <c r="H836" s="28">
        <v>89119</v>
      </c>
      <c r="I836" s="28">
        <v>36.075400000000002</v>
      </c>
      <c r="J836" s="28">
        <v>-115.1669</v>
      </c>
      <c r="L836" s="61">
        <v>110064134459</v>
      </c>
      <c r="M836" s="28" t="s">
        <v>265</v>
      </c>
      <c r="N836" s="28">
        <v>4581</v>
      </c>
      <c r="O836" s="28" t="str">
        <f>IFERROR(VLOOKUP(N836, 'SIC &amp; NAICS Codes'!A:B, 2, FALSE), "")</f>
        <v>Airports, Flying Fields, and Airport Terminal Services (private air traffic control)</v>
      </c>
      <c r="S836" s="28">
        <v>1.4024844375E-2</v>
      </c>
      <c r="T836" s="315">
        <f>_xlfn.MAXIFS('Raw Period DMR Data'!$O:$O,'Raw Period DMR Data'!$A:$A,'Raw Annual DMR Data'!B836,'Raw Period DMR Data'!$C:$C,X836)/S836</f>
        <v>0</v>
      </c>
      <c r="U836" s="28" t="str">
        <f>+IF(COUNTIFS('Raw Period DMR Data'!$A:$A,B836, 'Raw Period DMR Data'!C:C,'Raw Annual DMR Data'!X836, 'Raw Period DMR Data'!M:M, "&gt;0")&gt;0,_xlfn.MAXIFS('Raw Period DMR Data'!M:M,'Raw Period DMR Data'!$A:$A,'Raw Annual DMR Data'!B836,'Raw Period DMR Data'!C:C,'Raw Annual DMR Data'!X836), "N/A - Period DMR Data Not Available")</f>
        <v>N/A - Period DMR Data Not Available</v>
      </c>
      <c r="V836" s="28" t="str" cm="1">
        <f t="array" ref="V836">IFERROR(INDEX('Raw Period DMR Data'!N:N,MATCH(1,(B836='Raw Period DMR Data'!$A:$A)*(U836='Raw Period DMR Data'!M:M)*(X836='Raw Period DMR Data'!C:C),0),1), "N/A")</f>
        <v>N/A</v>
      </c>
      <c r="W836" s="28" t="s">
        <v>1463</v>
      </c>
      <c r="X836" s="28" t="s">
        <v>1991</v>
      </c>
      <c r="Y836" s="28" t="s">
        <v>1992</v>
      </c>
      <c r="Z836" s="28">
        <v>15010015000139</v>
      </c>
      <c r="AA836" s="28"/>
      <c r="AB836" s="28" t="s">
        <v>1465</v>
      </c>
      <c r="AC836" s="28" t="s">
        <v>1466</v>
      </c>
    </row>
    <row r="837" spans="1:29" x14ac:dyDescent="0.25">
      <c r="A837" s="61">
        <v>110064134459</v>
      </c>
      <c r="B837" s="28">
        <v>2020</v>
      </c>
      <c r="C837" s="68">
        <f t="shared" si="13"/>
        <v>43831</v>
      </c>
      <c r="D837" s="28" t="s">
        <v>1226</v>
      </c>
      <c r="E837" s="28" t="s">
        <v>1990</v>
      </c>
      <c r="F837" s="28" t="s">
        <v>657</v>
      </c>
      <c r="G837" s="28" t="s">
        <v>418</v>
      </c>
      <c r="H837" s="28">
        <v>89119</v>
      </c>
      <c r="I837" s="28">
        <v>36.075400000000002</v>
      </c>
      <c r="J837" s="28">
        <v>-115.1669</v>
      </c>
      <c r="L837" s="61">
        <v>110064134459</v>
      </c>
      <c r="M837" s="28" t="s">
        <v>265</v>
      </c>
      <c r="N837" s="28">
        <v>4581</v>
      </c>
      <c r="O837" s="28" t="str">
        <f>IFERROR(VLOOKUP(N837, 'SIC &amp; NAICS Codes'!A:B, 2, FALSE), "")</f>
        <v>Airports, Flying Fields, and Airport Terminal Services (private air traffic control)</v>
      </c>
      <c r="S837" s="28">
        <v>1.9905693499999998E-2</v>
      </c>
      <c r="T837" s="315">
        <f>_xlfn.MAXIFS('Raw Period DMR Data'!$O:$O,'Raw Period DMR Data'!$A:$A,'Raw Annual DMR Data'!B837,'Raw Period DMR Data'!$C:$C,X837)/S837</f>
        <v>0</v>
      </c>
      <c r="U837" s="28" t="str">
        <f>+IF(COUNTIFS('Raw Period DMR Data'!$A:$A,B837, 'Raw Period DMR Data'!C:C,'Raw Annual DMR Data'!X837, 'Raw Period DMR Data'!M:M, "&gt;0")&gt;0,_xlfn.MAXIFS('Raw Period DMR Data'!M:M,'Raw Period DMR Data'!$A:$A,'Raw Annual DMR Data'!B837,'Raw Period DMR Data'!C:C,'Raw Annual DMR Data'!X837), "N/A - Period DMR Data Not Available")</f>
        <v>N/A - Period DMR Data Not Available</v>
      </c>
      <c r="V837" s="28" t="str" cm="1">
        <f t="array" ref="V837">IFERROR(INDEX('Raw Period DMR Data'!N:N,MATCH(1,(B837='Raw Period DMR Data'!$A:$A)*(U837='Raw Period DMR Data'!M:M)*(X837='Raw Period DMR Data'!C:C),0),1), "N/A")</f>
        <v>N/A</v>
      </c>
      <c r="W837" s="28" t="s">
        <v>1463</v>
      </c>
      <c r="X837" s="28" t="s">
        <v>1991</v>
      </c>
      <c r="Y837" s="28" t="s">
        <v>1992</v>
      </c>
      <c r="Z837" s="28">
        <v>15010015000139</v>
      </c>
      <c r="AA837" s="28"/>
      <c r="AB837" s="28" t="s">
        <v>1465</v>
      </c>
      <c r="AC837" s="28" t="s">
        <v>1466</v>
      </c>
    </row>
    <row r="838" spans="1:29" x14ac:dyDescent="0.25">
      <c r="A838" s="61">
        <v>110064134459</v>
      </c>
      <c r="B838" s="28">
        <v>2020</v>
      </c>
      <c r="C838" s="68">
        <f t="shared" si="13"/>
        <v>43831</v>
      </c>
      <c r="D838" s="28" t="s">
        <v>1226</v>
      </c>
      <c r="E838" s="28" t="s">
        <v>1990</v>
      </c>
      <c r="F838" s="28" t="s">
        <v>657</v>
      </c>
      <c r="G838" s="28" t="s">
        <v>418</v>
      </c>
      <c r="H838" s="28">
        <v>89119</v>
      </c>
      <c r="I838" s="28">
        <v>36.075400000000002</v>
      </c>
      <c r="J838" s="28">
        <v>-115.1669</v>
      </c>
      <c r="L838" s="61">
        <v>110064134459</v>
      </c>
      <c r="M838" s="28" t="s">
        <v>265</v>
      </c>
      <c r="N838" s="28">
        <v>4581</v>
      </c>
      <c r="O838" s="28" t="str">
        <f>IFERROR(VLOOKUP(N838, 'SIC &amp; NAICS Codes'!A:B, 2, FALSE), "")</f>
        <v>Airports, Flying Fields, and Airport Terminal Services (private air traffic control)</v>
      </c>
      <c r="S838" s="28">
        <v>2.847020225E-2</v>
      </c>
      <c r="T838" s="315">
        <f>_xlfn.MAXIFS('Raw Period DMR Data'!$O:$O,'Raw Period DMR Data'!$A:$A,'Raw Annual DMR Data'!B838,'Raw Period DMR Data'!$C:$C,X838)/S838</f>
        <v>0</v>
      </c>
      <c r="U838" s="28" t="str">
        <f>+IF(COUNTIFS('Raw Period DMR Data'!$A:$A,B838, 'Raw Period DMR Data'!C:C,'Raw Annual DMR Data'!X838, 'Raw Period DMR Data'!M:M, "&gt;0")&gt;0,_xlfn.MAXIFS('Raw Period DMR Data'!M:M,'Raw Period DMR Data'!$A:$A,'Raw Annual DMR Data'!B838,'Raw Period DMR Data'!C:C,'Raw Annual DMR Data'!X838), "N/A - Period DMR Data Not Available")</f>
        <v>N/A - Period DMR Data Not Available</v>
      </c>
      <c r="V838" s="28" t="str" cm="1">
        <f t="array" ref="V838">IFERROR(INDEX('Raw Period DMR Data'!N:N,MATCH(1,(B838='Raw Period DMR Data'!$A:$A)*(U838='Raw Period DMR Data'!M:M)*(X838='Raw Period DMR Data'!C:C),0),1), "N/A")</f>
        <v>N/A</v>
      </c>
      <c r="W838" s="28" t="s">
        <v>1463</v>
      </c>
      <c r="X838" s="28" t="s">
        <v>1991</v>
      </c>
      <c r="Y838" s="28" t="s">
        <v>1992</v>
      </c>
      <c r="Z838" s="28">
        <v>15010015000139</v>
      </c>
      <c r="AA838" s="28"/>
      <c r="AB838" s="28" t="s">
        <v>1465</v>
      </c>
      <c r="AC838" s="28" t="s">
        <v>1466</v>
      </c>
    </row>
    <row r="839" spans="1:29" x14ac:dyDescent="0.25">
      <c r="A839" s="61">
        <v>110070162955</v>
      </c>
      <c r="B839" s="28">
        <v>2019</v>
      </c>
      <c r="C839" s="68">
        <f t="shared" si="13"/>
        <v>43466</v>
      </c>
      <c r="D839" s="28" t="s">
        <v>1227</v>
      </c>
      <c r="E839" s="28" t="s">
        <v>1993</v>
      </c>
      <c r="F839" s="28" t="s">
        <v>1228</v>
      </c>
      <c r="G839" s="28" t="s">
        <v>1128</v>
      </c>
      <c r="H839" s="28">
        <v>80216</v>
      </c>
      <c r="I839" s="28">
        <v>39.781474000000003</v>
      </c>
      <c r="J839" s="28">
        <v>-104.97438</v>
      </c>
      <c r="L839" s="61">
        <v>110070162955</v>
      </c>
      <c r="M839" s="28" t="s">
        <v>265</v>
      </c>
      <c r="N839" s="28">
        <v>1629</v>
      </c>
      <c r="O839" s="28" t="str">
        <f>IFERROR(VLOOKUP(N839, 'SIC &amp; NAICS Codes'!A:B, 2, FALSE), "")</f>
        <v>Heavy Construction, NEC (Industrial nonbuilding structures [except petrochemical plants and petroleum refineries])</v>
      </c>
      <c r="S839" s="28">
        <v>5.210026005E-4</v>
      </c>
      <c r="T839" s="315">
        <f>_xlfn.MAXIFS('Raw Period DMR Data'!$O:$O,'Raw Period DMR Data'!$A:$A,'Raw Annual DMR Data'!B839,'Raw Period DMR Data'!$C:$C,X839)/S839</f>
        <v>0</v>
      </c>
      <c r="U839" s="28" t="str">
        <f>+IF(COUNTIFS('Raw Period DMR Data'!$A:$A,B839, 'Raw Period DMR Data'!C:C,'Raw Annual DMR Data'!X839, 'Raw Period DMR Data'!M:M, "&gt;0")&gt;0,_xlfn.MAXIFS('Raw Period DMR Data'!M:M,'Raw Period DMR Data'!$A:$A,'Raw Annual DMR Data'!B839,'Raw Period DMR Data'!C:C,'Raw Annual DMR Data'!X839), "N/A - Period DMR Data Not Available")</f>
        <v>N/A - Period DMR Data Not Available</v>
      </c>
      <c r="V839" s="28" t="str" cm="1">
        <f t="array" ref="V839">IFERROR(INDEX('Raw Period DMR Data'!N:N,MATCH(1,(B839='Raw Period DMR Data'!$A:$A)*(U839='Raw Period DMR Data'!M:M)*(X839='Raw Period DMR Data'!C:C),0),1), "N/A")</f>
        <v>N/A</v>
      </c>
      <c r="W839" s="28" t="s">
        <v>1463</v>
      </c>
      <c r="X839" s="28" t="s">
        <v>1994</v>
      </c>
      <c r="Y839" s="28" t="s">
        <v>1965</v>
      </c>
      <c r="Z839" s="28">
        <v>10190003001246</v>
      </c>
      <c r="AA839" s="28"/>
      <c r="AB839" s="28" t="s">
        <v>1465</v>
      </c>
      <c r="AC839" s="28" t="s">
        <v>1466</v>
      </c>
    </row>
    <row r="840" spans="1:29" x14ac:dyDescent="0.25">
      <c r="A840" s="61">
        <v>110070162955</v>
      </c>
      <c r="B840" s="28">
        <v>2020</v>
      </c>
      <c r="C840" s="68">
        <f t="shared" si="13"/>
        <v>43831</v>
      </c>
      <c r="D840" s="28" t="s">
        <v>1227</v>
      </c>
      <c r="E840" s="28" t="s">
        <v>1993</v>
      </c>
      <c r="F840" s="28" t="s">
        <v>1228</v>
      </c>
      <c r="G840" s="28" t="s">
        <v>1128</v>
      </c>
      <c r="H840" s="28">
        <v>80216</v>
      </c>
      <c r="I840" s="28">
        <v>39.781474000000003</v>
      </c>
      <c r="J840" s="28">
        <v>-104.97438</v>
      </c>
      <c r="L840" s="61">
        <v>110070162955</v>
      </c>
      <c r="M840" s="28" t="s">
        <v>265</v>
      </c>
      <c r="N840" s="28">
        <v>1629</v>
      </c>
      <c r="O840" s="28" t="str">
        <f>IFERROR(VLOOKUP(N840, 'SIC &amp; NAICS Codes'!A:B, 2, FALSE), "")</f>
        <v>Heavy Construction, NEC (Industrial nonbuilding structures [except petrochemical plants and petroleum refineries])</v>
      </c>
      <c r="S840" s="28">
        <v>5.2232999999999999E-4</v>
      </c>
      <c r="T840" s="315">
        <f>_xlfn.MAXIFS('Raw Period DMR Data'!$O:$O,'Raw Period DMR Data'!$A:$A,'Raw Annual DMR Data'!B840,'Raw Period DMR Data'!$C:$C,X840)/S840</f>
        <v>0</v>
      </c>
      <c r="U840" s="28" t="str">
        <f>+IF(COUNTIFS('Raw Period DMR Data'!$A:$A,B840, 'Raw Period DMR Data'!C:C,'Raw Annual DMR Data'!X840, 'Raw Period DMR Data'!M:M, "&gt;0")&gt;0,_xlfn.MAXIFS('Raw Period DMR Data'!M:M,'Raw Period DMR Data'!$A:$A,'Raw Annual DMR Data'!B840,'Raw Period DMR Data'!C:C,'Raw Annual DMR Data'!X840), "N/A - Period DMR Data Not Available")</f>
        <v>N/A - Period DMR Data Not Available</v>
      </c>
      <c r="V840" s="28" t="str" cm="1">
        <f t="array" ref="V840">IFERROR(INDEX('Raw Period DMR Data'!N:N,MATCH(1,(B840='Raw Period DMR Data'!$A:$A)*(U840='Raw Period DMR Data'!M:M)*(X840='Raw Period DMR Data'!C:C),0),1), "N/A")</f>
        <v>N/A</v>
      </c>
      <c r="W840" s="28" t="s">
        <v>1463</v>
      </c>
      <c r="X840" s="28" t="s">
        <v>1994</v>
      </c>
      <c r="Y840" s="28" t="s">
        <v>1965</v>
      </c>
      <c r="Z840" s="28">
        <v>10190003001246</v>
      </c>
      <c r="AA840" s="28"/>
      <c r="AB840" s="28" t="s">
        <v>1465</v>
      </c>
      <c r="AC840" s="28" t="s">
        <v>1466</v>
      </c>
    </row>
    <row r="841" spans="1:29" x14ac:dyDescent="0.25">
      <c r="A841" s="61">
        <v>110064411417</v>
      </c>
      <c r="B841" s="28">
        <v>2015</v>
      </c>
      <c r="C841" s="68">
        <f t="shared" si="13"/>
        <v>42005</v>
      </c>
      <c r="D841" s="28" t="s">
        <v>1229</v>
      </c>
      <c r="E841" s="28" t="s">
        <v>1995</v>
      </c>
      <c r="F841" s="28" t="s">
        <v>358</v>
      </c>
      <c r="G841" s="28" t="s">
        <v>275</v>
      </c>
      <c r="H841" s="28">
        <v>83702</v>
      </c>
      <c r="I841" s="28">
        <v>43.626778999999999</v>
      </c>
      <c r="J841" s="28">
        <v>-116.229345</v>
      </c>
      <c r="L841" s="61">
        <v>110064411417</v>
      </c>
      <c r="M841" s="28" t="s">
        <v>265</v>
      </c>
      <c r="N841" s="28">
        <v>3273</v>
      </c>
      <c r="O841" s="28" t="str">
        <f>IFERROR(VLOOKUP(N841, 'SIC &amp; NAICS Codes'!A:B, 2, FALSE), "")</f>
        <v>Ready-Mixed Concrete</v>
      </c>
      <c r="S841" s="28">
        <v>0.82984312935791904</v>
      </c>
      <c r="T841" s="315">
        <f>_xlfn.MAXIFS('Raw Period DMR Data'!$O:$O,'Raw Period DMR Data'!$A:$A,'Raw Annual DMR Data'!B841,'Raw Period DMR Data'!$C:$C,X841)/S841</f>
        <v>0</v>
      </c>
      <c r="U841" s="28" t="str">
        <f>+IF(COUNTIFS('Raw Period DMR Data'!$A:$A,B841, 'Raw Period DMR Data'!C:C,'Raw Annual DMR Data'!X841, 'Raw Period DMR Data'!M:M, "&gt;0")&gt;0,_xlfn.MAXIFS('Raw Period DMR Data'!M:M,'Raw Period DMR Data'!$A:$A,'Raw Annual DMR Data'!B841,'Raw Period DMR Data'!C:C,'Raw Annual DMR Data'!X841), "N/A - Period DMR Data Not Available")</f>
        <v>N/A - Period DMR Data Not Available</v>
      </c>
      <c r="V841" s="28" t="str" cm="1">
        <f t="array" ref="V841">IFERROR(INDEX('Raw Period DMR Data'!N:N,MATCH(1,(B841='Raw Period DMR Data'!$A:$A)*(U841='Raw Period DMR Data'!M:M)*(X841='Raw Period DMR Data'!C:C),0),1), "N/A")</f>
        <v>N/A</v>
      </c>
      <c r="W841" s="28" t="s">
        <v>1463</v>
      </c>
      <c r="X841" s="28" t="s">
        <v>1996</v>
      </c>
      <c r="Z841" s="28">
        <v>17050114000862</v>
      </c>
      <c r="AA841" s="28"/>
      <c r="AB841" s="28" t="s">
        <v>1465</v>
      </c>
      <c r="AC841" s="28" t="s">
        <v>1466</v>
      </c>
    </row>
    <row r="842" spans="1:29" x14ac:dyDescent="0.25">
      <c r="A842" s="61">
        <v>110064411417</v>
      </c>
      <c r="B842" s="28">
        <v>2016</v>
      </c>
      <c r="C842" s="68">
        <f t="shared" si="13"/>
        <v>42370</v>
      </c>
      <c r="D842" s="28" t="s">
        <v>1229</v>
      </c>
      <c r="E842" s="28" t="s">
        <v>1995</v>
      </c>
      <c r="F842" s="28" t="s">
        <v>358</v>
      </c>
      <c r="G842" s="28" t="s">
        <v>275</v>
      </c>
      <c r="H842" s="28">
        <v>83702</v>
      </c>
      <c r="I842" s="28">
        <v>43.626778999999999</v>
      </c>
      <c r="J842" s="28">
        <v>-116.229345</v>
      </c>
      <c r="L842" s="61">
        <v>110064411417</v>
      </c>
      <c r="M842" s="28" t="s">
        <v>265</v>
      </c>
      <c r="N842" s="28">
        <v>3273</v>
      </c>
      <c r="O842" s="28" t="str">
        <f>IFERROR(VLOOKUP(N842, 'SIC &amp; NAICS Codes'!A:B, 2, FALSE), "")</f>
        <v>Ready-Mixed Concrete</v>
      </c>
      <c r="S842" s="28">
        <v>0.359942966193599</v>
      </c>
      <c r="T842" s="315">
        <f>_xlfn.MAXIFS('Raw Period DMR Data'!$O:$O,'Raw Period DMR Data'!$A:$A,'Raw Annual DMR Data'!B842,'Raw Period DMR Data'!$C:$C,X842)/S842</f>
        <v>0</v>
      </c>
      <c r="U842" s="28" t="str">
        <f>+IF(COUNTIFS('Raw Period DMR Data'!$A:$A,B842, 'Raw Period DMR Data'!C:C,'Raw Annual DMR Data'!X842, 'Raw Period DMR Data'!M:M, "&gt;0")&gt;0,_xlfn.MAXIFS('Raw Period DMR Data'!M:M,'Raw Period DMR Data'!$A:$A,'Raw Annual DMR Data'!B842,'Raw Period DMR Data'!C:C,'Raw Annual DMR Data'!X842), "N/A - Period DMR Data Not Available")</f>
        <v>N/A - Period DMR Data Not Available</v>
      </c>
      <c r="V842" s="28" t="str" cm="1">
        <f t="array" ref="V842">IFERROR(INDEX('Raw Period DMR Data'!N:N,MATCH(1,(B842='Raw Period DMR Data'!$A:$A)*(U842='Raw Period DMR Data'!M:M)*(X842='Raw Period DMR Data'!C:C),0),1), "N/A")</f>
        <v>N/A</v>
      </c>
      <c r="W842" s="28" t="s">
        <v>1463</v>
      </c>
      <c r="X842" s="28" t="s">
        <v>1996</v>
      </c>
      <c r="Z842" s="28">
        <v>17050114000862</v>
      </c>
      <c r="AA842" s="28"/>
      <c r="AB842" s="28" t="s">
        <v>1465</v>
      </c>
      <c r="AC842" s="28" t="s">
        <v>1466</v>
      </c>
    </row>
    <row r="843" spans="1:29" x14ac:dyDescent="0.25">
      <c r="A843" s="61">
        <v>110000587384</v>
      </c>
      <c r="B843" s="28">
        <v>2015</v>
      </c>
      <c r="C843" s="68">
        <f t="shared" si="13"/>
        <v>42005</v>
      </c>
      <c r="D843" s="28" t="s">
        <v>1230</v>
      </c>
      <c r="E843" s="28" t="s">
        <v>1997</v>
      </c>
      <c r="F843" s="28" t="s">
        <v>1231</v>
      </c>
      <c r="G843" s="28" t="s">
        <v>541</v>
      </c>
      <c r="H843" s="28" t="s">
        <v>1998</v>
      </c>
      <c r="I843" s="28">
        <v>34.807729999999999</v>
      </c>
      <c r="J843" s="28">
        <v>-82.006420000000006</v>
      </c>
      <c r="L843" s="61">
        <v>110000587384</v>
      </c>
      <c r="M843" s="28" t="s">
        <v>265</v>
      </c>
      <c r="N843" s="28">
        <v>3674</v>
      </c>
      <c r="O843" s="28" t="str">
        <f>IFERROR(VLOOKUP(N843, 'SIC &amp; NAICS Codes'!A:B, 2, FALSE), "")</f>
        <v>Semiconductors and Related Devices</v>
      </c>
      <c r="S843" s="28">
        <v>4.5139909999999998E-2</v>
      </c>
      <c r="T843" s="315">
        <f>_xlfn.MAXIFS('Raw Period DMR Data'!$O:$O,'Raw Period DMR Data'!$A:$A,'Raw Annual DMR Data'!B843,'Raw Period DMR Data'!$C:$C,X843)/S843</f>
        <v>0</v>
      </c>
      <c r="U843" s="28" t="str">
        <f>+IF(COUNTIFS('Raw Period DMR Data'!$A:$A,B843, 'Raw Period DMR Data'!C:C,'Raw Annual DMR Data'!X843, 'Raw Period DMR Data'!M:M, "&gt;0")&gt;0,_xlfn.MAXIFS('Raw Period DMR Data'!M:M,'Raw Period DMR Data'!$A:$A,'Raw Annual DMR Data'!B843,'Raw Period DMR Data'!C:C,'Raw Annual DMR Data'!X843), "N/A - Period DMR Data Not Available")</f>
        <v>N/A - Period DMR Data Not Available</v>
      </c>
      <c r="V843" s="28" t="str" cm="1">
        <f t="array" ref="V843">IFERROR(INDEX('Raw Period DMR Data'!N:N,MATCH(1,(B843='Raw Period DMR Data'!$A:$A)*(U843='Raw Period DMR Data'!M:M)*(X843='Raw Period DMR Data'!C:C),0),1), "N/A")</f>
        <v>N/A</v>
      </c>
      <c r="W843" s="28" t="s">
        <v>1463</v>
      </c>
      <c r="X843" s="28" t="s">
        <v>1999</v>
      </c>
      <c r="Y843" s="28" t="s">
        <v>2000</v>
      </c>
      <c r="Z843" s="28">
        <v>3050107000093</v>
      </c>
      <c r="AA843" s="28"/>
      <c r="AB843" s="28" t="s">
        <v>1465</v>
      </c>
      <c r="AC843" s="28" t="s">
        <v>1466</v>
      </c>
    </row>
    <row r="844" spans="1:29" x14ac:dyDescent="0.25">
      <c r="A844" s="61">
        <v>110000587384</v>
      </c>
      <c r="B844" s="28">
        <v>2016</v>
      </c>
      <c r="C844" s="68">
        <f t="shared" si="13"/>
        <v>42370</v>
      </c>
      <c r="D844" s="28" t="s">
        <v>1230</v>
      </c>
      <c r="E844" s="28" t="s">
        <v>1997</v>
      </c>
      <c r="F844" s="28" t="s">
        <v>1231</v>
      </c>
      <c r="G844" s="28" t="s">
        <v>541</v>
      </c>
      <c r="H844" s="28" t="s">
        <v>1998</v>
      </c>
      <c r="I844" s="28">
        <v>34.807729999999999</v>
      </c>
      <c r="J844" s="28">
        <v>-82.006420000000006</v>
      </c>
      <c r="L844" s="61">
        <v>110000587384</v>
      </c>
      <c r="M844" s="28" t="s">
        <v>265</v>
      </c>
      <c r="N844" s="28">
        <v>3674</v>
      </c>
      <c r="O844" s="28" t="str">
        <f>IFERROR(VLOOKUP(N844, 'SIC &amp; NAICS Codes'!A:B, 2, FALSE), "")</f>
        <v>Semiconductors and Related Devices</v>
      </c>
      <c r="S844" s="28">
        <v>4.1767096500000003E-2</v>
      </c>
      <c r="T844" s="315">
        <f>_xlfn.MAXIFS('Raw Period DMR Data'!$O:$O,'Raw Period DMR Data'!$A:$A,'Raw Annual DMR Data'!B844,'Raw Period DMR Data'!$C:$C,X844)/S844</f>
        <v>0</v>
      </c>
      <c r="U844" s="28" t="str">
        <f>+IF(COUNTIFS('Raw Period DMR Data'!$A:$A,B844, 'Raw Period DMR Data'!C:C,'Raw Annual DMR Data'!X844, 'Raw Period DMR Data'!M:M, "&gt;0")&gt;0,_xlfn.MAXIFS('Raw Period DMR Data'!M:M,'Raw Period DMR Data'!$A:$A,'Raw Annual DMR Data'!B844,'Raw Period DMR Data'!C:C,'Raw Annual DMR Data'!X844), "N/A - Period DMR Data Not Available")</f>
        <v>N/A - Period DMR Data Not Available</v>
      </c>
      <c r="V844" s="28" t="str" cm="1">
        <f t="array" ref="V844">IFERROR(INDEX('Raw Period DMR Data'!N:N,MATCH(1,(B844='Raw Period DMR Data'!$A:$A)*(U844='Raw Period DMR Data'!M:M)*(X844='Raw Period DMR Data'!C:C),0),1), "N/A")</f>
        <v>N/A</v>
      </c>
      <c r="W844" s="28" t="s">
        <v>1463</v>
      </c>
      <c r="X844" s="28" t="s">
        <v>1999</v>
      </c>
      <c r="Y844" s="28" t="s">
        <v>2000</v>
      </c>
      <c r="Z844" s="28">
        <v>3050107000093</v>
      </c>
      <c r="AA844" s="28"/>
      <c r="AB844" s="28" t="s">
        <v>1465</v>
      </c>
      <c r="AC844" s="28" t="s">
        <v>1466</v>
      </c>
    </row>
    <row r="845" spans="1:29" x14ac:dyDescent="0.25">
      <c r="A845" s="61">
        <v>110000587384</v>
      </c>
      <c r="B845" s="28">
        <v>2017</v>
      </c>
      <c r="C845" s="68">
        <f t="shared" si="13"/>
        <v>42736</v>
      </c>
      <c r="D845" s="28" t="s">
        <v>1230</v>
      </c>
      <c r="E845" s="28" t="s">
        <v>1997</v>
      </c>
      <c r="F845" s="28" t="s">
        <v>1231</v>
      </c>
      <c r="G845" s="28" t="s">
        <v>541</v>
      </c>
      <c r="H845" s="28" t="s">
        <v>1998</v>
      </c>
      <c r="I845" s="28">
        <v>34.807729999999999</v>
      </c>
      <c r="J845" s="28">
        <v>-82.006420000000006</v>
      </c>
      <c r="L845" s="61">
        <v>110000587384</v>
      </c>
      <c r="M845" s="28" t="s">
        <v>265</v>
      </c>
      <c r="N845" s="28">
        <v>3674</v>
      </c>
      <c r="O845" s="28" t="str">
        <f>IFERROR(VLOOKUP(N845, 'SIC &amp; NAICS Codes'!A:B, 2, FALSE), "")</f>
        <v>Semiconductors and Related Devices</v>
      </c>
      <c r="S845" s="28">
        <v>3.9402228499999997E-2</v>
      </c>
      <c r="T845" s="315">
        <f>_xlfn.MAXIFS('Raw Period DMR Data'!$O:$O,'Raw Period DMR Data'!$A:$A,'Raw Annual DMR Data'!B845,'Raw Period DMR Data'!$C:$C,X845)/S845</f>
        <v>0</v>
      </c>
      <c r="U845" s="28" t="str">
        <f>+IF(COUNTIFS('Raw Period DMR Data'!$A:$A,B845, 'Raw Period DMR Data'!C:C,'Raw Annual DMR Data'!X845, 'Raw Period DMR Data'!M:M, "&gt;0")&gt;0,_xlfn.MAXIFS('Raw Period DMR Data'!M:M,'Raw Period DMR Data'!$A:$A,'Raw Annual DMR Data'!B845,'Raw Period DMR Data'!C:C,'Raw Annual DMR Data'!X845), "N/A - Period DMR Data Not Available")</f>
        <v>N/A - Period DMR Data Not Available</v>
      </c>
      <c r="V845" s="28" t="str" cm="1">
        <f t="array" ref="V845">IFERROR(INDEX('Raw Period DMR Data'!N:N,MATCH(1,(B845='Raw Period DMR Data'!$A:$A)*(U845='Raw Period DMR Data'!M:M)*(X845='Raw Period DMR Data'!C:C),0),1), "N/A")</f>
        <v>N/A</v>
      </c>
      <c r="W845" s="28" t="s">
        <v>1463</v>
      </c>
      <c r="X845" s="28" t="s">
        <v>1999</v>
      </c>
      <c r="Y845" s="28" t="s">
        <v>2000</v>
      </c>
      <c r="Z845" s="28">
        <v>3050107000093</v>
      </c>
      <c r="AA845" s="28"/>
      <c r="AB845" s="28" t="s">
        <v>1465</v>
      </c>
      <c r="AC845" s="28" t="s">
        <v>1466</v>
      </c>
    </row>
    <row r="846" spans="1:29" x14ac:dyDescent="0.25">
      <c r="A846" s="61">
        <v>110000587384</v>
      </c>
      <c r="B846" s="28">
        <v>2018</v>
      </c>
      <c r="C846" s="68">
        <f t="shared" si="13"/>
        <v>43101</v>
      </c>
      <c r="D846" s="28" t="s">
        <v>1230</v>
      </c>
      <c r="E846" s="28" t="s">
        <v>1997</v>
      </c>
      <c r="F846" s="28" t="s">
        <v>1231</v>
      </c>
      <c r="G846" s="28" t="s">
        <v>541</v>
      </c>
      <c r="H846" s="28" t="s">
        <v>1998</v>
      </c>
      <c r="I846" s="28">
        <v>34.807729999999999</v>
      </c>
      <c r="J846" s="28">
        <v>-82.006420000000006</v>
      </c>
      <c r="L846" s="61">
        <v>110000587384</v>
      </c>
      <c r="M846" s="28" t="s">
        <v>265</v>
      </c>
      <c r="N846" s="28">
        <v>3674</v>
      </c>
      <c r="O846" s="28" t="str">
        <f>IFERROR(VLOOKUP(N846, 'SIC &amp; NAICS Codes'!A:B, 2, FALSE), "")</f>
        <v>Semiconductors and Related Devices</v>
      </c>
      <c r="S846" s="28">
        <v>6.9188664499999997E-2</v>
      </c>
      <c r="T846" s="315">
        <f>_xlfn.MAXIFS('Raw Period DMR Data'!$O:$O,'Raw Period DMR Data'!$A:$A,'Raw Annual DMR Data'!B846,'Raw Period DMR Data'!$C:$C,X846)/S846</f>
        <v>0</v>
      </c>
      <c r="U846" s="28" t="str">
        <f>+IF(COUNTIFS('Raw Period DMR Data'!$A:$A,B846, 'Raw Period DMR Data'!C:C,'Raw Annual DMR Data'!X846, 'Raw Period DMR Data'!M:M, "&gt;0")&gt;0,_xlfn.MAXIFS('Raw Period DMR Data'!M:M,'Raw Period DMR Data'!$A:$A,'Raw Annual DMR Data'!B846,'Raw Period DMR Data'!C:C,'Raw Annual DMR Data'!X846), "N/A - Period DMR Data Not Available")</f>
        <v>N/A - Period DMR Data Not Available</v>
      </c>
      <c r="V846" s="28" t="str" cm="1">
        <f t="array" ref="V846">IFERROR(INDEX('Raw Period DMR Data'!N:N,MATCH(1,(B846='Raw Period DMR Data'!$A:$A)*(U846='Raw Period DMR Data'!M:M)*(X846='Raw Period DMR Data'!C:C),0),1), "N/A")</f>
        <v>N/A</v>
      </c>
      <c r="W846" s="28" t="s">
        <v>1463</v>
      </c>
      <c r="X846" s="28" t="s">
        <v>1999</v>
      </c>
      <c r="Y846" s="28" t="s">
        <v>2000</v>
      </c>
      <c r="Z846" s="302" t="s">
        <v>2001</v>
      </c>
      <c r="AA846" s="28"/>
      <c r="AB846" s="28" t="s">
        <v>1465</v>
      </c>
      <c r="AC846" s="28" t="s">
        <v>1466</v>
      </c>
    </row>
    <row r="847" spans="1:29" x14ac:dyDescent="0.25">
      <c r="A847" s="61">
        <v>110000587384</v>
      </c>
      <c r="B847" s="28">
        <v>2019</v>
      </c>
      <c r="C847" s="68">
        <f t="shared" si="13"/>
        <v>43466</v>
      </c>
      <c r="D847" s="28" t="s">
        <v>1230</v>
      </c>
      <c r="E847" s="28" t="s">
        <v>1997</v>
      </c>
      <c r="F847" s="28" t="s">
        <v>1231</v>
      </c>
      <c r="G847" s="28" t="s">
        <v>541</v>
      </c>
      <c r="H847" s="28" t="s">
        <v>1998</v>
      </c>
      <c r="I847" s="28">
        <v>34.807729999999999</v>
      </c>
      <c r="J847" s="28">
        <v>-82.006420000000006</v>
      </c>
      <c r="L847" s="61">
        <v>110000587384</v>
      </c>
      <c r="M847" s="28" t="s">
        <v>265</v>
      </c>
      <c r="N847" s="28">
        <v>3674</v>
      </c>
      <c r="O847" s="28" t="str">
        <f>IFERROR(VLOOKUP(N847, 'SIC &amp; NAICS Codes'!A:B, 2, FALSE), "")</f>
        <v>Semiconductors and Related Devices</v>
      </c>
      <c r="S847" s="28">
        <v>3.0688022999999998E-2</v>
      </c>
      <c r="T847" s="315">
        <f>_xlfn.MAXIFS('Raw Period DMR Data'!$O:$O,'Raw Period DMR Data'!$A:$A,'Raw Annual DMR Data'!B847,'Raw Period DMR Data'!$C:$C,X847)/S847</f>
        <v>0</v>
      </c>
      <c r="U847" s="28" t="str">
        <f>+IF(COUNTIFS('Raw Period DMR Data'!$A:$A,B847, 'Raw Period DMR Data'!C:C,'Raw Annual DMR Data'!X847, 'Raw Period DMR Data'!M:M, "&gt;0")&gt;0,_xlfn.MAXIFS('Raw Period DMR Data'!M:M,'Raw Period DMR Data'!$A:$A,'Raw Annual DMR Data'!B847,'Raw Period DMR Data'!C:C,'Raw Annual DMR Data'!X847), "N/A - Period DMR Data Not Available")</f>
        <v>N/A - Period DMR Data Not Available</v>
      </c>
      <c r="V847" s="28" t="str" cm="1">
        <f t="array" ref="V847">IFERROR(INDEX('Raw Period DMR Data'!N:N,MATCH(1,(B847='Raw Period DMR Data'!$A:$A)*(U847='Raw Period DMR Data'!M:M)*(X847='Raw Period DMR Data'!C:C),0),1), "N/A")</f>
        <v>N/A</v>
      </c>
      <c r="W847" s="28" t="s">
        <v>1463</v>
      </c>
      <c r="X847" s="28" t="s">
        <v>1999</v>
      </c>
      <c r="Y847" s="28" t="s">
        <v>2000</v>
      </c>
      <c r="Z847" s="28">
        <v>3050107000093</v>
      </c>
      <c r="AA847" s="28"/>
      <c r="AB847" s="28" t="s">
        <v>1465</v>
      </c>
      <c r="AC847" s="28" t="s">
        <v>1466</v>
      </c>
    </row>
    <row r="848" spans="1:29" x14ac:dyDescent="0.25">
      <c r="A848" s="61">
        <v>110000587384</v>
      </c>
      <c r="B848" s="28">
        <v>2020</v>
      </c>
      <c r="C848" s="68">
        <f t="shared" si="13"/>
        <v>43831</v>
      </c>
      <c r="D848" s="28" t="s">
        <v>1230</v>
      </c>
      <c r="E848" s="28" t="s">
        <v>1997</v>
      </c>
      <c r="F848" s="28" t="s">
        <v>1231</v>
      </c>
      <c r="G848" s="28" t="s">
        <v>541</v>
      </c>
      <c r="H848" s="28" t="s">
        <v>1998</v>
      </c>
      <c r="I848" s="28">
        <v>34.807729999999999</v>
      </c>
      <c r="J848" s="28">
        <v>-82.006420000000006</v>
      </c>
      <c r="L848" s="61">
        <v>110000587384</v>
      </c>
      <c r="M848" s="28" t="s">
        <v>265</v>
      </c>
      <c r="N848" s="28">
        <v>3674</v>
      </c>
      <c r="O848" s="28" t="str">
        <f>IFERROR(VLOOKUP(N848, 'SIC &amp; NAICS Codes'!A:B, 2, FALSE), "")</f>
        <v>Semiconductors and Related Devices</v>
      </c>
      <c r="S848" s="28">
        <v>3.4297777500000001E-2</v>
      </c>
      <c r="T848" s="315">
        <f>_xlfn.MAXIFS('Raw Period DMR Data'!$O:$O,'Raw Period DMR Data'!$A:$A,'Raw Annual DMR Data'!B848,'Raw Period DMR Data'!$C:$C,X848)/S848</f>
        <v>0</v>
      </c>
      <c r="U848" s="28" t="str">
        <f>+IF(COUNTIFS('Raw Period DMR Data'!$A:$A,B848, 'Raw Period DMR Data'!C:C,'Raw Annual DMR Data'!X848, 'Raw Period DMR Data'!M:M, "&gt;0")&gt;0,_xlfn.MAXIFS('Raw Period DMR Data'!M:M,'Raw Period DMR Data'!$A:$A,'Raw Annual DMR Data'!B848,'Raw Period DMR Data'!C:C,'Raw Annual DMR Data'!X848), "N/A - Period DMR Data Not Available")</f>
        <v>N/A - Period DMR Data Not Available</v>
      </c>
      <c r="V848" s="28" t="str" cm="1">
        <f t="array" ref="V848">IFERROR(INDEX('Raw Period DMR Data'!N:N,MATCH(1,(B848='Raw Period DMR Data'!$A:$A)*(U848='Raw Period DMR Data'!M:M)*(X848='Raw Period DMR Data'!C:C),0),1), "N/A")</f>
        <v>N/A</v>
      </c>
      <c r="W848" s="28" t="s">
        <v>1463</v>
      </c>
      <c r="X848" s="28" t="s">
        <v>1999</v>
      </c>
      <c r="Y848" s="28" t="s">
        <v>2000</v>
      </c>
      <c r="Z848" s="28">
        <v>3050107000093</v>
      </c>
      <c r="AA848" s="28"/>
      <c r="AB848" s="28" t="s">
        <v>1465</v>
      </c>
      <c r="AC848" s="28" t="s">
        <v>1466</v>
      </c>
    </row>
    <row r="849" spans="1:29" x14ac:dyDescent="0.25">
      <c r="A849" s="61">
        <v>110000492020</v>
      </c>
      <c r="B849" s="28">
        <v>2018</v>
      </c>
      <c r="C849" s="68">
        <f t="shared" si="13"/>
        <v>43101</v>
      </c>
      <c r="D849" s="28" t="s">
        <v>171</v>
      </c>
      <c r="E849" s="28" t="s">
        <v>555</v>
      </c>
      <c r="F849" s="28" t="s">
        <v>556</v>
      </c>
      <c r="G849" s="28" t="s">
        <v>338</v>
      </c>
      <c r="H849" s="28">
        <v>7065</v>
      </c>
      <c r="I849" s="28">
        <v>40.612743000000002</v>
      </c>
      <c r="J849" s="28">
        <v>-74.260920999999996</v>
      </c>
      <c r="K849" s="28" t="s">
        <v>557</v>
      </c>
      <c r="L849" s="61">
        <v>110000492020</v>
      </c>
      <c r="M849" s="28" t="s">
        <v>254</v>
      </c>
      <c r="N849" s="28">
        <v>2833</v>
      </c>
      <c r="O849" s="28" t="str">
        <f>IFERROR(VLOOKUP(N849, 'SIC &amp; NAICS Codes'!A:B, 2, FALSE), "")</f>
        <v>Medicinal Chemicals and Botanical Products</v>
      </c>
      <c r="S849" s="28">
        <v>6.7204092654545402</v>
      </c>
      <c r="T849" s="315">
        <f>_xlfn.MAXIFS('Raw Period DMR Data'!$O:$O,'Raw Period DMR Data'!$A:$A,'Raw Annual DMR Data'!B849,'Raw Period DMR Data'!$C:$C,X849)/S849</f>
        <v>0</v>
      </c>
      <c r="U849" s="28" t="str">
        <f>+IF(COUNTIFS('Raw Period DMR Data'!$A:$A,B849, 'Raw Period DMR Data'!C:C,'Raw Annual DMR Data'!X849, 'Raw Period DMR Data'!M:M, "&gt;0")&gt;0,_xlfn.MAXIFS('Raw Period DMR Data'!M:M,'Raw Period DMR Data'!$A:$A,'Raw Annual DMR Data'!B849,'Raw Period DMR Data'!C:C,'Raw Annual DMR Data'!X849), "N/A - Period DMR Data Not Available")</f>
        <v>N/A - Period DMR Data Not Available</v>
      </c>
      <c r="V849" s="28" t="str" cm="1">
        <f t="array" ref="V849">IFERROR(INDEX('Raw Period DMR Data'!N:N,MATCH(1,(B849='Raw Period DMR Data'!$A:$A)*(U849='Raw Period DMR Data'!M:M)*(X849='Raw Period DMR Data'!C:C),0),1), "N/A")</f>
        <v>N/A</v>
      </c>
      <c r="W849" s="28" t="s">
        <v>1463</v>
      </c>
      <c r="X849" s="28" t="s">
        <v>900</v>
      </c>
      <c r="Y849" s="28" t="s">
        <v>901</v>
      </c>
      <c r="Z849" s="61">
        <v>2030104000565</v>
      </c>
      <c r="AA849" s="60" t="s">
        <v>1694</v>
      </c>
    </row>
    <row r="850" spans="1:29" x14ac:dyDescent="0.25">
      <c r="A850" s="61">
        <v>110000492020</v>
      </c>
      <c r="B850" s="28">
        <v>2019</v>
      </c>
      <c r="C850" s="68">
        <f t="shared" si="13"/>
        <v>43466</v>
      </c>
      <c r="D850" s="28" t="s">
        <v>171</v>
      </c>
      <c r="E850" s="28" t="s">
        <v>555</v>
      </c>
      <c r="F850" s="28" t="s">
        <v>556</v>
      </c>
      <c r="G850" s="28" t="s">
        <v>338</v>
      </c>
      <c r="H850" s="28">
        <v>7065</v>
      </c>
      <c r="I850" s="28">
        <v>40.612743000000002</v>
      </c>
      <c r="J850" s="28">
        <v>-74.260920999999996</v>
      </c>
      <c r="K850" s="28" t="s">
        <v>557</v>
      </c>
      <c r="L850" s="61">
        <v>110000492020</v>
      </c>
      <c r="M850" s="28" t="s">
        <v>254</v>
      </c>
      <c r="N850" s="28">
        <v>2833</v>
      </c>
      <c r="O850" s="28" t="str">
        <f>IFERROR(VLOOKUP(N850, 'SIC &amp; NAICS Codes'!A:B, 2, FALSE), "")</f>
        <v>Medicinal Chemicals and Botanical Products</v>
      </c>
      <c r="S850" s="28">
        <v>2.0190755097499999</v>
      </c>
      <c r="T850" s="315">
        <f>_xlfn.MAXIFS('Raw Period DMR Data'!$O:$O,'Raw Period DMR Data'!$A:$A,'Raw Annual DMR Data'!B850,'Raw Period DMR Data'!$C:$C,X850)/S850</f>
        <v>0</v>
      </c>
      <c r="U850" s="28" t="str">
        <f>+IF(COUNTIFS('Raw Period DMR Data'!$A:$A,B850, 'Raw Period DMR Data'!C:C,'Raw Annual DMR Data'!X850, 'Raw Period DMR Data'!M:M, "&gt;0")&gt;0,_xlfn.MAXIFS('Raw Period DMR Data'!M:M,'Raw Period DMR Data'!$A:$A,'Raw Annual DMR Data'!B850,'Raw Period DMR Data'!C:C,'Raw Annual DMR Data'!X850), "N/A - Period DMR Data Not Available")</f>
        <v>N/A - Period DMR Data Not Available</v>
      </c>
      <c r="V850" s="28" t="str" cm="1">
        <f t="array" ref="V850">IFERROR(INDEX('Raw Period DMR Data'!N:N,MATCH(1,(B850='Raw Period DMR Data'!$A:$A)*(U850='Raw Period DMR Data'!M:M)*(X850='Raw Period DMR Data'!C:C),0),1), "N/A")</f>
        <v>N/A</v>
      </c>
      <c r="W850" s="28" t="s">
        <v>1463</v>
      </c>
      <c r="X850" s="28" t="s">
        <v>900</v>
      </c>
      <c r="Y850" s="28" t="s">
        <v>901</v>
      </c>
      <c r="Z850" s="61">
        <v>2030104000565</v>
      </c>
      <c r="AA850" s="60" t="s">
        <v>1694</v>
      </c>
    </row>
    <row r="851" spans="1:29" x14ac:dyDescent="0.25">
      <c r="A851" s="61">
        <v>110000492020</v>
      </c>
      <c r="B851" s="28">
        <v>2020</v>
      </c>
      <c r="C851" s="68">
        <f t="shared" si="13"/>
        <v>43831</v>
      </c>
      <c r="D851" s="28" t="s">
        <v>171</v>
      </c>
      <c r="E851" s="28" t="s">
        <v>555</v>
      </c>
      <c r="F851" s="28" t="s">
        <v>556</v>
      </c>
      <c r="G851" s="28" t="s">
        <v>338</v>
      </c>
      <c r="H851" s="28">
        <v>7065</v>
      </c>
      <c r="I851" s="28">
        <v>40.612743000000002</v>
      </c>
      <c r="J851" s="28">
        <v>-74.260920999999996</v>
      </c>
      <c r="K851" s="28" t="s">
        <v>557</v>
      </c>
      <c r="L851" s="61">
        <v>110000492020</v>
      </c>
      <c r="M851" s="28" t="s">
        <v>254</v>
      </c>
      <c r="N851" s="28">
        <v>2833</v>
      </c>
      <c r="O851" s="28" t="str">
        <f>IFERROR(VLOOKUP(N851, 'SIC &amp; NAICS Codes'!A:B, 2, FALSE), "")</f>
        <v>Medicinal Chemicals and Botanical Products</v>
      </c>
      <c r="S851" s="28">
        <v>8.3487410400000003E-2</v>
      </c>
      <c r="T851" s="315">
        <f>_xlfn.MAXIFS('Raw Period DMR Data'!$O:$O,'Raw Period DMR Data'!$A:$A,'Raw Annual DMR Data'!B851,'Raw Period DMR Data'!$C:$C,X851)/S851</f>
        <v>0</v>
      </c>
      <c r="U851" s="28" t="str">
        <f>+IF(COUNTIFS('Raw Period DMR Data'!$A:$A,B851, 'Raw Period DMR Data'!C:C,'Raw Annual DMR Data'!X851, 'Raw Period DMR Data'!M:M, "&gt;0")&gt;0,_xlfn.MAXIFS('Raw Period DMR Data'!M:M,'Raw Period DMR Data'!$A:$A,'Raw Annual DMR Data'!B851,'Raw Period DMR Data'!C:C,'Raw Annual DMR Data'!X851), "N/A - Period DMR Data Not Available")</f>
        <v>N/A - Period DMR Data Not Available</v>
      </c>
      <c r="V851" s="28" t="str" cm="1">
        <f t="array" ref="V851">IFERROR(INDEX('Raw Period DMR Data'!N:N,MATCH(1,(B851='Raw Period DMR Data'!$A:$A)*(U851='Raw Period DMR Data'!M:M)*(X851='Raw Period DMR Data'!C:C),0),1), "N/A")</f>
        <v>N/A</v>
      </c>
      <c r="W851" s="28" t="s">
        <v>1463</v>
      </c>
      <c r="X851" s="28" t="s">
        <v>900</v>
      </c>
      <c r="Y851" s="28" t="s">
        <v>901</v>
      </c>
      <c r="Z851" s="61">
        <v>2030104000565</v>
      </c>
      <c r="AA851" s="60" t="s">
        <v>1694</v>
      </c>
    </row>
    <row r="852" spans="1:29" x14ac:dyDescent="0.25">
      <c r="A852" s="61">
        <v>110000492020</v>
      </c>
      <c r="B852" s="28">
        <v>2018</v>
      </c>
      <c r="C852" s="68">
        <f t="shared" si="13"/>
        <v>43101</v>
      </c>
      <c r="D852" s="28" t="s">
        <v>171</v>
      </c>
      <c r="E852" s="28" t="s">
        <v>555</v>
      </c>
      <c r="F852" s="28" t="s">
        <v>556</v>
      </c>
      <c r="G852" s="28" t="s">
        <v>338</v>
      </c>
      <c r="H852" s="302" t="s">
        <v>2002</v>
      </c>
      <c r="I852" s="28">
        <v>40.612743000000002</v>
      </c>
      <c r="J852" s="28">
        <v>-74.260920999999996</v>
      </c>
      <c r="K852" s="28" t="s">
        <v>557</v>
      </c>
      <c r="L852" s="61">
        <v>110000492020</v>
      </c>
      <c r="M852" s="28" t="s">
        <v>254</v>
      </c>
      <c r="N852" s="28">
        <v>2833</v>
      </c>
      <c r="O852" s="28" t="str">
        <f>IFERROR(VLOOKUP(N852, 'SIC &amp; NAICS Codes'!A:B, 2, FALSE), "")</f>
        <v>Medicinal Chemicals and Botanical Products</v>
      </c>
      <c r="S852" s="302">
        <v>6.9298784601818104</v>
      </c>
      <c r="T852" s="315">
        <f>_xlfn.MAXIFS('Raw Period DMR Data'!$O:$O,'Raw Period DMR Data'!$A:$A,'Raw Annual DMR Data'!B852,'Raw Period DMR Data'!$C:$C,X852)/S852</f>
        <v>0</v>
      </c>
      <c r="U852" s="28" t="str">
        <f>+IF(COUNTIFS('Raw Period DMR Data'!$A:$A,B852, 'Raw Period DMR Data'!C:C,'Raw Annual DMR Data'!X852, 'Raw Period DMR Data'!M:M, "&gt;0")&gt;0,_xlfn.MAXIFS('Raw Period DMR Data'!M:M,'Raw Period DMR Data'!$A:$A,'Raw Annual DMR Data'!B852,'Raw Period DMR Data'!C:C,'Raw Annual DMR Data'!X852), "N/A - Period DMR Data Not Available")</f>
        <v>N/A - Period DMR Data Not Available</v>
      </c>
      <c r="V852" s="28" t="str" cm="1">
        <f t="array" ref="V852">IFERROR(INDEX('Raw Period DMR Data'!N:N,MATCH(1,(B852='Raw Period DMR Data'!$A:$A)*(U852='Raw Period DMR Data'!M:M)*(X852='Raw Period DMR Data'!C:C),0),1), "N/A")</f>
        <v>N/A</v>
      </c>
      <c r="W852" s="28" t="s">
        <v>1463</v>
      </c>
      <c r="X852" s="28" t="s">
        <v>900</v>
      </c>
      <c r="Y852" s="28" t="s">
        <v>901</v>
      </c>
      <c r="Z852" s="302" t="s">
        <v>2003</v>
      </c>
      <c r="AA852" s="28"/>
      <c r="AB852" s="28" t="s">
        <v>1465</v>
      </c>
      <c r="AC852" s="28" t="s">
        <v>1466</v>
      </c>
    </row>
    <row r="853" spans="1:29" x14ac:dyDescent="0.25">
      <c r="A853" s="61">
        <v>110000492020</v>
      </c>
      <c r="B853" s="28">
        <v>2019</v>
      </c>
      <c r="C853" s="68">
        <f t="shared" si="13"/>
        <v>43466</v>
      </c>
      <c r="D853" s="28" t="s">
        <v>171</v>
      </c>
      <c r="E853" s="28" t="s">
        <v>555</v>
      </c>
      <c r="F853" s="28" t="s">
        <v>556</v>
      </c>
      <c r="G853" s="28" t="s">
        <v>338</v>
      </c>
      <c r="H853" s="28">
        <v>7065</v>
      </c>
      <c r="I853" s="28">
        <v>40.612743000000002</v>
      </c>
      <c r="J853" s="28">
        <v>-74.260920999999996</v>
      </c>
      <c r="K853" s="28" t="s">
        <v>557</v>
      </c>
      <c r="L853" s="61">
        <v>110000492020</v>
      </c>
      <c r="M853" s="28" t="s">
        <v>254</v>
      </c>
      <c r="N853" s="28">
        <v>2833</v>
      </c>
      <c r="O853" s="28" t="str">
        <f>IFERROR(VLOOKUP(N853, 'SIC &amp; NAICS Codes'!A:B, 2, FALSE), "")</f>
        <v>Medicinal Chemicals and Botanical Products</v>
      </c>
      <c r="S853" s="28">
        <v>2.8837183359499998</v>
      </c>
      <c r="T853" s="315">
        <f>_xlfn.MAXIFS('Raw Period DMR Data'!$O:$O,'Raw Period DMR Data'!$A:$A,'Raw Annual DMR Data'!B853,'Raw Period DMR Data'!$C:$C,X853)/S853</f>
        <v>0</v>
      </c>
      <c r="U853" s="28" t="str">
        <f>+IF(COUNTIFS('Raw Period DMR Data'!$A:$A,B853, 'Raw Period DMR Data'!C:C,'Raw Annual DMR Data'!X853, 'Raw Period DMR Data'!M:M, "&gt;0")&gt;0,_xlfn.MAXIFS('Raw Period DMR Data'!M:M,'Raw Period DMR Data'!$A:$A,'Raw Annual DMR Data'!B853,'Raw Period DMR Data'!C:C,'Raw Annual DMR Data'!X853), "N/A - Period DMR Data Not Available")</f>
        <v>N/A - Period DMR Data Not Available</v>
      </c>
      <c r="V853" s="28" t="str" cm="1">
        <f t="array" ref="V853">IFERROR(INDEX('Raw Period DMR Data'!N:N,MATCH(1,(B853='Raw Period DMR Data'!$A:$A)*(U853='Raw Period DMR Data'!M:M)*(X853='Raw Period DMR Data'!C:C),0),1), "N/A")</f>
        <v>N/A</v>
      </c>
      <c r="W853" s="28" t="s">
        <v>1463</v>
      </c>
      <c r="X853" s="28" t="s">
        <v>900</v>
      </c>
      <c r="Y853" s="28" t="s">
        <v>901</v>
      </c>
      <c r="Z853" s="28">
        <v>2030104000565</v>
      </c>
      <c r="AA853" s="28"/>
      <c r="AB853" s="28" t="s">
        <v>1465</v>
      </c>
      <c r="AC853" s="28" t="s">
        <v>1466</v>
      </c>
    </row>
    <row r="854" spans="1:29" x14ac:dyDescent="0.25">
      <c r="A854" s="61">
        <v>110000492020</v>
      </c>
      <c r="B854" s="28">
        <v>2020</v>
      </c>
      <c r="C854" s="68">
        <f t="shared" si="13"/>
        <v>43831</v>
      </c>
      <c r="D854" s="28" t="s">
        <v>171</v>
      </c>
      <c r="E854" s="28" t="s">
        <v>555</v>
      </c>
      <c r="F854" s="28" t="s">
        <v>556</v>
      </c>
      <c r="G854" s="28" t="s">
        <v>338</v>
      </c>
      <c r="H854" s="28">
        <v>7065</v>
      </c>
      <c r="I854" s="28">
        <v>40.612743000000002</v>
      </c>
      <c r="J854" s="28">
        <v>-74.260920999999996</v>
      </c>
      <c r="K854" s="28" t="s">
        <v>557</v>
      </c>
      <c r="L854" s="61">
        <v>110000492020</v>
      </c>
      <c r="M854" s="28" t="s">
        <v>254</v>
      </c>
      <c r="N854" s="28">
        <v>2833</v>
      </c>
      <c r="O854" s="28" t="str">
        <f>IFERROR(VLOOKUP(N854, 'SIC &amp; NAICS Codes'!A:B, 2, FALSE), "")</f>
        <v>Medicinal Chemicals and Botanical Products</v>
      </c>
      <c r="S854" s="28">
        <v>0.10024053954999999</v>
      </c>
      <c r="T854" s="315">
        <f>_xlfn.MAXIFS('Raw Period DMR Data'!$O:$O,'Raw Period DMR Data'!$A:$A,'Raw Annual DMR Data'!B854,'Raw Period DMR Data'!$C:$C,X854)/S854</f>
        <v>0</v>
      </c>
      <c r="U854" s="28" t="str">
        <f>+IF(COUNTIFS('Raw Period DMR Data'!$A:$A,B854, 'Raw Period DMR Data'!C:C,'Raw Annual DMR Data'!X854, 'Raw Period DMR Data'!M:M, "&gt;0")&gt;0,_xlfn.MAXIFS('Raw Period DMR Data'!M:M,'Raw Period DMR Data'!$A:$A,'Raw Annual DMR Data'!B854,'Raw Period DMR Data'!C:C,'Raw Annual DMR Data'!X854), "N/A - Period DMR Data Not Available")</f>
        <v>N/A - Period DMR Data Not Available</v>
      </c>
      <c r="V854" s="28" t="str" cm="1">
        <f t="array" ref="V854">IFERROR(INDEX('Raw Period DMR Data'!N:N,MATCH(1,(B854='Raw Period DMR Data'!$A:$A)*(U854='Raw Period DMR Data'!M:M)*(X854='Raw Period DMR Data'!C:C),0),1), "N/A")</f>
        <v>N/A</v>
      </c>
      <c r="W854" s="28" t="s">
        <v>1463</v>
      </c>
      <c r="X854" s="28" t="s">
        <v>900</v>
      </c>
      <c r="Y854" s="28" t="s">
        <v>901</v>
      </c>
      <c r="Z854" s="28">
        <v>2030104000565</v>
      </c>
      <c r="AA854" s="28"/>
      <c r="AB854" s="28" t="s">
        <v>1465</v>
      </c>
      <c r="AC854" s="28" t="s">
        <v>1466</v>
      </c>
    </row>
    <row r="855" spans="1:29" x14ac:dyDescent="0.25">
      <c r="A855" s="61">
        <v>110070884090</v>
      </c>
      <c r="B855" s="28">
        <v>2020</v>
      </c>
      <c r="C855" s="68">
        <f t="shared" si="13"/>
        <v>43831</v>
      </c>
      <c r="D855" s="28" t="s">
        <v>1232</v>
      </c>
      <c r="E855" s="28" t="s">
        <v>2004</v>
      </c>
      <c r="F855" s="28" t="s">
        <v>968</v>
      </c>
      <c r="G855" s="28" t="s">
        <v>294</v>
      </c>
      <c r="H855" s="28">
        <v>22314</v>
      </c>
      <c r="I855" s="28">
        <v>38.803499000000002</v>
      </c>
      <c r="J855" s="28">
        <v>-77.069463999999996</v>
      </c>
      <c r="L855" s="61">
        <v>110070884090</v>
      </c>
      <c r="M855" s="28" t="s">
        <v>265</v>
      </c>
      <c r="N855" s="28">
        <v>1794</v>
      </c>
      <c r="O855" s="28" t="str">
        <f>IFERROR(VLOOKUP(N855, 'SIC &amp; NAICS Codes'!A:B, 2, FALSE), "")</f>
        <v>Excavation Work</v>
      </c>
      <c r="S855" s="28">
        <v>1.0046146999999901E-3</v>
      </c>
      <c r="T855" s="315">
        <f>_xlfn.MAXIFS('Raw Period DMR Data'!$O:$O,'Raw Period DMR Data'!$A:$A,'Raw Annual DMR Data'!B855,'Raw Period DMR Data'!$C:$C,X855)/S855</f>
        <v>0</v>
      </c>
      <c r="U855" s="28" t="str">
        <f>+IF(COUNTIFS('Raw Period DMR Data'!$A:$A,B855, 'Raw Period DMR Data'!C:C,'Raw Annual DMR Data'!X855, 'Raw Period DMR Data'!M:M, "&gt;0")&gt;0,_xlfn.MAXIFS('Raw Period DMR Data'!M:M,'Raw Period DMR Data'!$A:$A,'Raw Annual DMR Data'!B855,'Raw Period DMR Data'!C:C,'Raw Annual DMR Data'!X855), "N/A - Period DMR Data Not Available")</f>
        <v>N/A - Period DMR Data Not Available</v>
      </c>
      <c r="V855" s="28" t="str" cm="1">
        <f t="array" ref="V855">IFERROR(INDEX('Raw Period DMR Data'!N:N,MATCH(1,(B855='Raw Period DMR Data'!$A:$A)*(U855='Raw Period DMR Data'!M:M)*(X855='Raw Period DMR Data'!C:C),0),1), "N/A")</f>
        <v>N/A</v>
      </c>
      <c r="W855" s="28" t="s">
        <v>1463</v>
      </c>
      <c r="X855" s="28" t="s">
        <v>2005</v>
      </c>
      <c r="Y855" s="28" t="s">
        <v>1788</v>
      </c>
      <c r="AA855" s="28"/>
      <c r="AB855" s="28" t="s">
        <v>1465</v>
      </c>
      <c r="AC855" s="28" t="s">
        <v>1466</v>
      </c>
    </row>
    <row r="856" spans="1:29" x14ac:dyDescent="0.25">
      <c r="A856" s="61">
        <v>110070884090</v>
      </c>
      <c r="B856" s="28">
        <v>2020</v>
      </c>
      <c r="C856" s="68">
        <f t="shared" si="13"/>
        <v>43831</v>
      </c>
      <c r="D856" s="28" t="s">
        <v>1232</v>
      </c>
      <c r="E856" s="28" t="s">
        <v>2004</v>
      </c>
      <c r="F856" s="28" t="s">
        <v>968</v>
      </c>
      <c r="G856" s="28" t="s">
        <v>294</v>
      </c>
      <c r="H856" s="28">
        <v>22314</v>
      </c>
      <c r="I856" s="28">
        <v>38.803499000000002</v>
      </c>
      <c r="J856" s="28">
        <v>-77.069463999999996</v>
      </c>
      <c r="L856" s="61">
        <v>110070884090</v>
      </c>
      <c r="M856" s="28" t="s">
        <v>265</v>
      </c>
      <c r="N856" s="28">
        <v>1794</v>
      </c>
      <c r="O856" s="28" t="str">
        <f>IFERROR(VLOOKUP(N856, 'SIC &amp; NAICS Codes'!A:B, 2, FALSE), "")</f>
        <v>Excavation Work</v>
      </c>
      <c r="S856" s="28">
        <v>1.0046146999999901E-3</v>
      </c>
      <c r="T856" s="315">
        <f>_xlfn.MAXIFS('Raw Period DMR Data'!$O:$O,'Raw Period DMR Data'!$A:$A,'Raw Annual DMR Data'!B856,'Raw Period DMR Data'!$C:$C,X856)/S856</f>
        <v>0</v>
      </c>
      <c r="U856" s="28" t="str">
        <f>+IF(COUNTIFS('Raw Period DMR Data'!$A:$A,B856, 'Raw Period DMR Data'!C:C,'Raw Annual DMR Data'!X856, 'Raw Period DMR Data'!M:M, "&gt;0")&gt;0,_xlfn.MAXIFS('Raw Period DMR Data'!M:M,'Raw Period DMR Data'!$A:$A,'Raw Annual DMR Data'!B856,'Raw Period DMR Data'!C:C,'Raw Annual DMR Data'!X856), "N/A - Period DMR Data Not Available")</f>
        <v>N/A - Period DMR Data Not Available</v>
      </c>
      <c r="V856" s="28" t="str" cm="1">
        <f t="array" ref="V856">IFERROR(INDEX('Raw Period DMR Data'!N:N,MATCH(1,(B856='Raw Period DMR Data'!$A:$A)*(U856='Raw Period DMR Data'!M:M)*(X856='Raw Period DMR Data'!C:C),0),1), "N/A")</f>
        <v>N/A</v>
      </c>
      <c r="W856" s="28" t="s">
        <v>1463</v>
      </c>
      <c r="X856" s="28" t="s">
        <v>2005</v>
      </c>
      <c r="Y856" s="28" t="s">
        <v>1788</v>
      </c>
      <c r="AA856" s="28"/>
      <c r="AB856" s="28" t="s">
        <v>1465</v>
      </c>
      <c r="AC856" s="28" t="s">
        <v>1466</v>
      </c>
    </row>
    <row r="857" spans="1:29" x14ac:dyDescent="0.25">
      <c r="A857" s="61">
        <v>110070882213</v>
      </c>
      <c r="B857" s="28">
        <v>2020</v>
      </c>
      <c r="C857" s="68">
        <f t="shared" si="13"/>
        <v>43831</v>
      </c>
      <c r="D857" s="28" t="s">
        <v>1233</v>
      </c>
      <c r="E857" s="28" t="s">
        <v>2006</v>
      </c>
      <c r="F857" s="28" t="s">
        <v>293</v>
      </c>
      <c r="G857" s="28" t="s">
        <v>294</v>
      </c>
      <c r="H857" s="28">
        <v>22202</v>
      </c>
      <c r="I857" s="28">
        <v>38.86157</v>
      </c>
      <c r="J857" s="28">
        <v>-77.053929999999994</v>
      </c>
      <c r="L857" s="61">
        <v>110070882213</v>
      </c>
      <c r="M857" s="28" t="s">
        <v>265</v>
      </c>
      <c r="N857" s="28">
        <v>7521</v>
      </c>
      <c r="O857" s="28" t="str">
        <f>IFERROR(VLOOKUP(N857, 'SIC &amp; NAICS Codes'!A:B, 2, FALSE), "")</f>
        <v>Automobile Parking</v>
      </c>
      <c r="S857" s="28">
        <v>0.155423897087999</v>
      </c>
      <c r="T857" s="315">
        <f>_xlfn.MAXIFS('Raw Period DMR Data'!$O:$O,'Raw Period DMR Data'!$A:$A,'Raw Annual DMR Data'!B857,'Raw Period DMR Data'!$C:$C,X857)/S857</f>
        <v>0</v>
      </c>
      <c r="U857" s="28" t="str">
        <f>+IF(COUNTIFS('Raw Period DMR Data'!$A:$A,B857, 'Raw Period DMR Data'!C:C,'Raw Annual DMR Data'!X857, 'Raw Period DMR Data'!M:M, "&gt;0")&gt;0,_xlfn.MAXIFS('Raw Period DMR Data'!M:M,'Raw Period DMR Data'!$A:$A,'Raw Annual DMR Data'!B857,'Raw Period DMR Data'!C:C,'Raw Annual DMR Data'!X857), "N/A - Period DMR Data Not Available")</f>
        <v>N/A - Period DMR Data Not Available</v>
      </c>
      <c r="V857" s="28" t="str" cm="1">
        <f t="array" ref="V857">IFERROR(INDEX('Raw Period DMR Data'!N:N,MATCH(1,(B857='Raw Period DMR Data'!$A:$A)*(U857='Raw Period DMR Data'!M:M)*(X857='Raw Period DMR Data'!C:C),0),1), "N/A")</f>
        <v>N/A</v>
      </c>
      <c r="W857" s="28" t="s">
        <v>1463</v>
      </c>
      <c r="X857" s="28" t="s">
        <v>2007</v>
      </c>
      <c r="Y857" s="28" t="s">
        <v>762</v>
      </c>
      <c r="AA857" s="28"/>
      <c r="AB857" s="28" t="s">
        <v>1465</v>
      </c>
      <c r="AC857" s="28" t="s">
        <v>1466</v>
      </c>
    </row>
    <row r="858" spans="1:29" x14ac:dyDescent="0.25">
      <c r="A858" s="61">
        <v>110000463677</v>
      </c>
      <c r="B858" s="28">
        <v>2019</v>
      </c>
      <c r="C858" s="68">
        <f t="shared" si="13"/>
        <v>43466</v>
      </c>
      <c r="D858" s="28" t="s">
        <v>1234</v>
      </c>
      <c r="E858" s="28" t="s">
        <v>2008</v>
      </c>
      <c r="F858" s="28" t="s">
        <v>361</v>
      </c>
      <c r="G858" s="28" t="s">
        <v>362</v>
      </c>
      <c r="H858" s="28">
        <v>77571</v>
      </c>
      <c r="I858" s="28">
        <v>29.726065999999999</v>
      </c>
      <c r="J858" s="28">
        <v>-95.079583999999997</v>
      </c>
      <c r="K858" s="28" t="s">
        <v>725</v>
      </c>
      <c r="L858" s="61">
        <v>110000463677</v>
      </c>
      <c r="M858" s="28" t="s">
        <v>265</v>
      </c>
      <c r="N858" s="28">
        <v>2821</v>
      </c>
      <c r="O858" s="28" t="str">
        <f>IFERROR(VLOOKUP(N858, 'SIC &amp; NAICS Codes'!A:B, 2, FALSE), "")</f>
        <v>Plastics Materials, Synthetic and Resins, and Nonvulcanizable Elastomers</v>
      </c>
      <c r="S858" s="28">
        <v>1.63877551020408E-3</v>
      </c>
      <c r="T858" s="315">
        <f>_xlfn.MAXIFS('Raw Period DMR Data'!$O:$O,'Raw Period DMR Data'!$A:$A,'Raw Annual DMR Data'!B858,'Raw Period DMR Data'!$C:$C,X858)/S858</f>
        <v>0</v>
      </c>
      <c r="U858" s="28" t="str">
        <f>+IF(COUNTIFS('Raw Period DMR Data'!$A:$A,B858, 'Raw Period DMR Data'!C:C,'Raw Annual DMR Data'!X858, 'Raw Period DMR Data'!M:M, "&gt;0")&gt;0,_xlfn.MAXIFS('Raw Period DMR Data'!M:M,'Raw Period DMR Data'!$A:$A,'Raw Annual DMR Data'!B858,'Raw Period DMR Data'!C:C,'Raw Annual DMR Data'!X858), "N/A - Period DMR Data Not Available")</f>
        <v>N/A - Period DMR Data Not Available</v>
      </c>
      <c r="V858" s="28" t="str" cm="1">
        <f t="array" ref="V858">IFERROR(INDEX('Raw Period DMR Data'!N:N,MATCH(1,(B858='Raw Period DMR Data'!$A:$A)*(U858='Raw Period DMR Data'!M:M)*(X858='Raw Period DMR Data'!C:C),0),1), "N/A")</f>
        <v>N/A</v>
      </c>
      <c r="W858" s="28" t="s">
        <v>1463</v>
      </c>
      <c r="X858" s="28" t="s">
        <v>2009</v>
      </c>
      <c r="Y858" s="28" t="s">
        <v>2010</v>
      </c>
      <c r="Z858" s="28">
        <v>12040104000661</v>
      </c>
      <c r="AA858" s="28"/>
      <c r="AB858" s="28" t="s">
        <v>1465</v>
      </c>
      <c r="AC858" s="28" t="s">
        <v>1466</v>
      </c>
    </row>
    <row r="859" spans="1:29" x14ac:dyDescent="0.25">
      <c r="A859" s="61">
        <v>110000463677</v>
      </c>
      <c r="B859" s="28">
        <v>2020</v>
      </c>
      <c r="C859" s="68">
        <f t="shared" si="13"/>
        <v>43831</v>
      </c>
      <c r="D859" s="28" t="s">
        <v>1234</v>
      </c>
      <c r="E859" s="28" t="s">
        <v>2008</v>
      </c>
      <c r="F859" s="28" t="s">
        <v>361</v>
      </c>
      <c r="G859" s="28" t="s">
        <v>362</v>
      </c>
      <c r="H859" s="28">
        <v>77571</v>
      </c>
      <c r="I859" s="28">
        <v>29.726065999999999</v>
      </c>
      <c r="J859" s="28">
        <v>-95.079583999999997</v>
      </c>
      <c r="K859" s="28" t="s">
        <v>725</v>
      </c>
      <c r="L859" s="61">
        <v>110000463677</v>
      </c>
      <c r="M859" s="28" t="s">
        <v>265</v>
      </c>
      <c r="N859" s="28">
        <v>2821</v>
      </c>
      <c r="O859" s="28" t="str">
        <f>IFERROR(VLOOKUP(N859, 'SIC &amp; NAICS Codes'!A:B, 2, FALSE), "")</f>
        <v>Plastics Materials, Synthetic and Resins, and Nonvulcanizable Elastomers</v>
      </c>
      <c r="S859" s="28">
        <v>1.3077097505668901E-3</v>
      </c>
      <c r="T859" s="315">
        <f>_xlfn.MAXIFS('Raw Period DMR Data'!$O:$O,'Raw Period DMR Data'!$A:$A,'Raw Annual DMR Data'!B859,'Raw Period DMR Data'!$C:$C,X859)/S859</f>
        <v>0</v>
      </c>
      <c r="U859" s="28" t="str">
        <f>+IF(COUNTIFS('Raw Period DMR Data'!$A:$A,B859, 'Raw Period DMR Data'!C:C,'Raw Annual DMR Data'!X859, 'Raw Period DMR Data'!M:M, "&gt;0")&gt;0,_xlfn.MAXIFS('Raw Period DMR Data'!M:M,'Raw Period DMR Data'!$A:$A,'Raw Annual DMR Data'!B859,'Raw Period DMR Data'!C:C,'Raw Annual DMR Data'!X859), "N/A - Period DMR Data Not Available")</f>
        <v>N/A - Period DMR Data Not Available</v>
      </c>
      <c r="V859" s="28" t="str" cm="1">
        <f t="array" ref="V859">IFERROR(INDEX('Raw Period DMR Data'!N:N,MATCH(1,(B859='Raw Period DMR Data'!$A:$A)*(U859='Raw Period DMR Data'!M:M)*(X859='Raw Period DMR Data'!C:C),0),1), "N/A")</f>
        <v>N/A</v>
      </c>
      <c r="W859" s="28" t="s">
        <v>1463</v>
      </c>
      <c r="X859" s="28" t="s">
        <v>2009</v>
      </c>
      <c r="Y859" s="28" t="s">
        <v>2010</v>
      </c>
      <c r="Z859" s="28">
        <v>12040104000661</v>
      </c>
      <c r="AA859" s="28"/>
      <c r="AB859" s="28" t="s">
        <v>1465</v>
      </c>
      <c r="AC859" s="28" t="s">
        <v>1466</v>
      </c>
    </row>
    <row r="860" spans="1:29" x14ac:dyDescent="0.25">
      <c r="A860" s="61">
        <v>110041022274</v>
      </c>
      <c r="B860" s="28">
        <v>2019</v>
      </c>
      <c r="C860" s="68">
        <f t="shared" si="13"/>
        <v>43466</v>
      </c>
      <c r="D860" s="28" t="s">
        <v>172</v>
      </c>
      <c r="E860" s="28" t="s">
        <v>558</v>
      </c>
      <c r="F860" s="28" t="s">
        <v>559</v>
      </c>
      <c r="G860" s="28" t="s">
        <v>338</v>
      </c>
      <c r="H860" s="28" t="s">
        <v>560</v>
      </c>
      <c r="I860" s="28">
        <v>39.766944000000002</v>
      </c>
      <c r="J860" s="28">
        <v>-75.421361000000005</v>
      </c>
      <c r="K860" s="28" t="s">
        <v>561</v>
      </c>
      <c r="L860" s="61">
        <v>110041022274</v>
      </c>
      <c r="M860" s="28" t="s">
        <v>253</v>
      </c>
      <c r="N860" s="28">
        <v>2821</v>
      </c>
      <c r="O860" s="28" t="str">
        <f>IFERROR(VLOOKUP(N860, 'SIC &amp; NAICS Codes'!A:B, 2, FALSE), "")</f>
        <v>Plastics Materials, Synthetic and Resins, and Nonvulcanizable Elastomers</v>
      </c>
      <c r="S860" s="28">
        <v>5.27E-5</v>
      </c>
      <c r="T860" s="315">
        <f>_xlfn.MAXIFS('Raw Period DMR Data'!$O:$O,'Raw Period DMR Data'!$A:$A,'Raw Annual DMR Data'!B860,'Raw Period DMR Data'!$C:$C,X860)/S860</f>
        <v>0</v>
      </c>
      <c r="U860" s="28" t="str">
        <f>+IF(COUNTIFS('Raw Period DMR Data'!$A:$A,B860, 'Raw Period DMR Data'!C:C,'Raw Annual DMR Data'!X860, 'Raw Period DMR Data'!M:M, "&gt;0")&gt;0,_xlfn.MAXIFS('Raw Period DMR Data'!M:M,'Raw Period DMR Data'!$A:$A,'Raw Annual DMR Data'!B860,'Raw Period DMR Data'!C:C,'Raw Annual DMR Data'!X860), "N/A - Period DMR Data Not Available")</f>
        <v>N/A - Period DMR Data Not Available</v>
      </c>
      <c r="V860" s="28" t="str" cm="1">
        <f t="array" ref="V860">IFERROR(INDEX('Raw Period DMR Data'!N:N,MATCH(1,(B860='Raw Period DMR Data'!$A:$A)*(U860='Raw Period DMR Data'!M:M)*(X860='Raw Period DMR Data'!C:C),0),1), "N/A")</f>
        <v>N/A</v>
      </c>
      <c r="W860" s="28" t="s">
        <v>1463</v>
      </c>
      <c r="X860" s="28" t="s">
        <v>902</v>
      </c>
      <c r="Y860" s="28" t="s">
        <v>783</v>
      </c>
      <c r="Z860" s="61">
        <v>2040206001666</v>
      </c>
    </row>
    <row r="861" spans="1:29" x14ac:dyDescent="0.25">
      <c r="A861" s="61">
        <v>110041022274</v>
      </c>
      <c r="B861" s="28">
        <v>2015</v>
      </c>
      <c r="C861" s="68">
        <f t="shared" si="13"/>
        <v>42005</v>
      </c>
      <c r="D861" s="28" t="s">
        <v>172</v>
      </c>
      <c r="E861" s="28" t="s">
        <v>558</v>
      </c>
      <c r="F861" s="28" t="s">
        <v>559</v>
      </c>
      <c r="G861" s="28" t="s">
        <v>338</v>
      </c>
      <c r="H861" s="28" t="s">
        <v>560</v>
      </c>
      <c r="I861" s="28">
        <v>39.766944000000002</v>
      </c>
      <c r="J861" s="28">
        <v>-75.421361000000005</v>
      </c>
      <c r="K861" s="28" t="s">
        <v>561</v>
      </c>
      <c r="L861" s="61">
        <v>110041022274</v>
      </c>
      <c r="M861" s="28" t="s">
        <v>253</v>
      </c>
      <c r="N861" s="28">
        <v>2821</v>
      </c>
      <c r="O861" s="28" t="str">
        <f>IFERROR(VLOOKUP(N861, 'SIC &amp; NAICS Codes'!A:B, 2, FALSE), "")</f>
        <v>Plastics Materials, Synthetic and Resins, and Nonvulcanizable Elastomers</v>
      </c>
      <c r="S861" s="28">
        <v>3.1E-6</v>
      </c>
      <c r="T861" s="315">
        <f>_xlfn.MAXIFS('Raw Period DMR Data'!$O:$O,'Raw Period DMR Data'!$A:$A,'Raw Annual DMR Data'!B861,'Raw Period DMR Data'!$C:$C,X861)/S861</f>
        <v>0</v>
      </c>
      <c r="U861" s="28" t="str">
        <f>+IF(COUNTIFS('Raw Period DMR Data'!$A:$A,B861, 'Raw Period DMR Data'!C:C,'Raw Annual DMR Data'!X861, 'Raw Period DMR Data'!M:M, "&gt;0")&gt;0,_xlfn.MAXIFS('Raw Period DMR Data'!M:M,'Raw Period DMR Data'!$A:$A,'Raw Annual DMR Data'!B861,'Raw Period DMR Data'!C:C,'Raw Annual DMR Data'!X861), "N/A - Period DMR Data Not Available")</f>
        <v>N/A - Period DMR Data Not Available</v>
      </c>
      <c r="V861" s="28" t="str" cm="1">
        <f t="array" ref="V861">IFERROR(INDEX('Raw Period DMR Data'!N:N,MATCH(1,(B861='Raw Period DMR Data'!$A:$A)*(U861='Raw Period DMR Data'!M:M)*(X861='Raw Period DMR Data'!C:C),0),1), "N/A")</f>
        <v>N/A</v>
      </c>
      <c r="W861" s="28" t="s">
        <v>1463</v>
      </c>
      <c r="X861" s="28" t="s">
        <v>902</v>
      </c>
      <c r="Y861" s="28" t="s">
        <v>783</v>
      </c>
      <c r="Z861" s="28">
        <v>2040206001666</v>
      </c>
      <c r="AA861" s="28"/>
      <c r="AB861" s="28" t="s">
        <v>1465</v>
      </c>
      <c r="AC861" s="28" t="s">
        <v>1466</v>
      </c>
    </row>
    <row r="862" spans="1:29" x14ac:dyDescent="0.25">
      <c r="A862" s="61">
        <v>110041022274</v>
      </c>
      <c r="B862" s="28">
        <v>2016</v>
      </c>
      <c r="C862" s="68">
        <f t="shared" si="13"/>
        <v>42370</v>
      </c>
      <c r="D862" s="28" t="s">
        <v>172</v>
      </c>
      <c r="E862" s="28" t="s">
        <v>558</v>
      </c>
      <c r="F862" s="28" t="s">
        <v>559</v>
      </c>
      <c r="G862" s="28" t="s">
        <v>338</v>
      </c>
      <c r="H862" s="28" t="s">
        <v>560</v>
      </c>
      <c r="I862" s="28">
        <v>39.766944000000002</v>
      </c>
      <c r="J862" s="28">
        <v>-75.421361000000005</v>
      </c>
      <c r="K862" s="28" t="s">
        <v>561</v>
      </c>
      <c r="L862" s="61">
        <v>110041022274</v>
      </c>
      <c r="M862" s="28" t="s">
        <v>253</v>
      </c>
      <c r="N862" s="28">
        <v>2821</v>
      </c>
      <c r="O862" s="28" t="str">
        <f>IFERROR(VLOOKUP(N862, 'SIC &amp; NAICS Codes'!A:B, 2, FALSE), "")</f>
        <v>Plastics Materials, Synthetic and Resins, and Nonvulcanizable Elastomers</v>
      </c>
      <c r="S862" s="28">
        <v>7.7500000000000003E-6</v>
      </c>
      <c r="T862" s="315">
        <f>_xlfn.MAXIFS('Raw Period DMR Data'!$O:$O,'Raw Period DMR Data'!$A:$A,'Raw Annual DMR Data'!B862,'Raw Period DMR Data'!$C:$C,X862)/S862</f>
        <v>0</v>
      </c>
      <c r="U862" s="28" t="str">
        <f>+IF(COUNTIFS('Raw Period DMR Data'!$A:$A,B862, 'Raw Period DMR Data'!C:C,'Raw Annual DMR Data'!X862, 'Raw Period DMR Data'!M:M, "&gt;0")&gt;0,_xlfn.MAXIFS('Raw Period DMR Data'!M:M,'Raw Period DMR Data'!$A:$A,'Raw Annual DMR Data'!B862,'Raw Period DMR Data'!C:C,'Raw Annual DMR Data'!X862), "N/A - Period DMR Data Not Available")</f>
        <v>N/A - Period DMR Data Not Available</v>
      </c>
      <c r="V862" s="28" t="str" cm="1">
        <f t="array" ref="V862">IFERROR(INDEX('Raw Period DMR Data'!N:N,MATCH(1,(B862='Raw Period DMR Data'!$A:$A)*(U862='Raw Period DMR Data'!M:M)*(X862='Raw Period DMR Data'!C:C),0),1), "N/A")</f>
        <v>N/A</v>
      </c>
      <c r="W862" s="28" t="s">
        <v>1463</v>
      </c>
      <c r="X862" s="28" t="s">
        <v>902</v>
      </c>
      <c r="Y862" s="28" t="s">
        <v>783</v>
      </c>
      <c r="Z862" s="28">
        <v>2040206001666</v>
      </c>
      <c r="AA862" s="28"/>
      <c r="AB862" s="28" t="s">
        <v>1465</v>
      </c>
      <c r="AC862" s="28" t="s">
        <v>1466</v>
      </c>
    </row>
    <row r="863" spans="1:29" x14ac:dyDescent="0.25">
      <c r="A863" s="61">
        <v>110041022274</v>
      </c>
      <c r="B863" s="28">
        <v>2017</v>
      </c>
      <c r="C863" s="68">
        <f t="shared" si="13"/>
        <v>42736</v>
      </c>
      <c r="D863" s="28" t="s">
        <v>172</v>
      </c>
      <c r="E863" s="28" t="s">
        <v>558</v>
      </c>
      <c r="F863" s="28" t="s">
        <v>559</v>
      </c>
      <c r="G863" s="28" t="s">
        <v>338</v>
      </c>
      <c r="H863" s="28" t="s">
        <v>560</v>
      </c>
      <c r="I863" s="28">
        <v>39.766944000000002</v>
      </c>
      <c r="J863" s="28">
        <v>-75.421361000000005</v>
      </c>
      <c r="K863" s="28" t="s">
        <v>561</v>
      </c>
      <c r="L863" s="61">
        <v>110041022274</v>
      </c>
      <c r="M863" s="28" t="s">
        <v>253</v>
      </c>
      <c r="N863" s="28">
        <v>2821</v>
      </c>
      <c r="O863" s="28" t="str">
        <f>IFERROR(VLOOKUP(N863, 'SIC &amp; NAICS Codes'!A:B, 2, FALSE), "")</f>
        <v>Plastics Materials, Synthetic and Resins, and Nonvulcanizable Elastomers</v>
      </c>
      <c r="S863" s="28">
        <v>1.5500000000000001E-5</v>
      </c>
      <c r="T863" s="315">
        <f>_xlfn.MAXIFS('Raw Period DMR Data'!$O:$O,'Raw Period DMR Data'!$A:$A,'Raw Annual DMR Data'!B863,'Raw Period DMR Data'!$C:$C,X863)/S863</f>
        <v>0</v>
      </c>
      <c r="U863" s="28" t="str">
        <f>+IF(COUNTIFS('Raw Period DMR Data'!$A:$A,B863, 'Raw Period DMR Data'!C:C,'Raw Annual DMR Data'!X863, 'Raw Period DMR Data'!M:M, "&gt;0")&gt;0,_xlfn.MAXIFS('Raw Period DMR Data'!M:M,'Raw Period DMR Data'!$A:$A,'Raw Annual DMR Data'!B863,'Raw Period DMR Data'!C:C,'Raw Annual DMR Data'!X863), "N/A - Period DMR Data Not Available")</f>
        <v>N/A - Period DMR Data Not Available</v>
      </c>
      <c r="V863" s="28" t="str" cm="1">
        <f t="array" ref="V863">IFERROR(INDEX('Raw Period DMR Data'!N:N,MATCH(1,(B863='Raw Period DMR Data'!$A:$A)*(U863='Raw Period DMR Data'!M:M)*(X863='Raw Period DMR Data'!C:C),0),1), "N/A")</f>
        <v>N/A</v>
      </c>
      <c r="W863" s="28" t="s">
        <v>1463</v>
      </c>
      <c r="X863" s="28" t="s">
        <v>902</v>
      </c>
      <c r="Y863" s="28" t="s">
        <v>783</v>
      </c>
      <c r="Z863" s="28">
        <v>2040206001666</v>
      </c>
      <c r="AA863" s="28"/>
      <c r="AB863" s="28" t="s">
        <v>1465</v>
      </c>
      <c r="AC863" s="28" t="s">
        <v>1466</v>
      </c>
    </row>
    <row r="864" spans="1:29" x14ac:dyDescent="0.25">
      <c r="A864" s="61">
        <v>110041022274</v>
      </c>
      <c r="B864" s="28">
        <v>2018</v>
      </c>
      <c r="C864" s="68">
        <f t="shared" si="13"/>
        <v>43101</v>
      </c>
      <c r="D864" s="28" t="s">
        <v>172</v>
      </c>
      <c r="E864" s="28" t="s">
        <v>558</v>
      </c>
      <c r="F864" s="28" t="s">
        <v>559</v>
      </c>
      <c r="G864" s="28" t="s">
        <v>338</v>
      </c>
      <c r="H864" s="28" t="s">
        <v>560</v>
      </c>
      <c r="I864" s="28">
        <v>39.766944000000002</v>
      </c>
      <c r="J864" s="28">
        <v>-75.421361000000005</v>
      </c>
      <c r="K864" s="28" t="s">
        <v>561</v>
      </c>
      <c r="L864" s="61">
        <v>110041022274</v>
      </c>
      <c r="M864" s="28" t="s">
        <v>253</v>
      </c>
      <c r="N864" s="28">
        <v>2821</v>
      </c>
      <c r="O864" s="28" t="str">
        <f>IFERROR(VLOOKUP(N864, 'SIC &amp; NAICS Codes'!A:B, 2, FALSE), "")</f>
        <v>Plastics Materials, Synthetic and Resins, and Nonvulcanizable Elastomers</v>
      </c>
      <c r="S864" s="28">
        <v>3.1000000000000001E-5</v>
      </c>
      <c r="T864" s="315">
        <f>_xlfn.MAXIFS('Raw Period DMR Data'!$O:$O,'Raw Period DMR Data'!$A:$A,'Raw Annual DMR Data'!B864,'Raw Period DMR Data'!$C:$C,X864)/S864</f>
        <v>0</v>
      </c>
      <c r="U864" s="28" t="str">
        <f>+IF(COUNTIFS('Raw Period DMR Data'!$A:$A,B864, 'Raw Period DMR Data'!C:C,'Raw Annual DMR Data'!X864, 'Raw Period DMR Data'!M:M, "&gt;0")&gt;0,_xlfn.MAXIFS('Raw Period DMR Data'!M:M,'Raw Period DMR Data'!$A:$A,'Raw Annual DMR Data'!B864,'Raw Period DMR Data'!C:C,'Raw Annual DMR Data'!X864), "N/A - Period DMR Data Not Available")</f>
        <v>N/A - Period DMR Data Not Available</v>
      </c>
      <c r="V864" s="28" t="str" cm="1">
        <f t="array" ref="V864">IFERROR(INDEX('Raw Period DMR Data'!N:N,MATCH(1,(B864='Raw Period DMR Data'!$A:$A)*(U864='Raw Period DMR Data'!M:M)*(X864='Raw Period DMR Data'!C:C),0),1), "N/A")</f>
        <v>N/A</v>
      </c>
      <c r="W864" s="28" t="s">
        <v>1463</v>
      </c>
      <c r="X864" s="28" t="s">
        <v>902</v>
      </c>
      <c r="Y864" s="28" t="s">
        <v>783</v>
      </c>
      <c r="Z864" s="302" t="s">
        <v>2011</v>
      </c>
      <c r="AA864" s="28"/>
      <c r="AB864" s="28" t="s">
        <v>1465</v>
      </c>
      <c r="AC864" s="28" t="s">
        <v>1466</v>
      </c>
    </row>
    <row r="865" spans="1:29" x14ac:dyDescent="0.25">
      <c r="A865" s="61">
        <v>110041022274</v>
      </c>
      <c r="B865" s="28">
        <v>2020</v>
      </c>
      <c r="C865" s="68">
        <f t="shared" si="13"/>
        <v>43831</v>
      </c>
      <c r="D865" s="28" t="s">
        <v>172</v>
      </c>
      <c r="E865" s="28" t="s">
        <v>558</v>
      </c>
      <c r="F865" s="28" t="s">
        <v>559</v>
      </c>
      <c r="G865" s="28" t="s">
        <v>338</v>
      </c>
      <c r="H865" s="28" t="s">
        <v>560</v>
      </c>
      <c r="I865" s="28">
        <v>39.766944000000002</v>
      </c>
      <c r="J865" s="28">
        <v>-75.421361000000005</v>
      </c>
      <c r="K865" s="28" t="s">
        <v>561</v>
      </c>
      <c r="L865" s="61">
        <v>110041022274</v>
      </c>
      <c r="M865" s="28" t="s">
        <v>253</v>
      </c>
      <c r="N865" s="28">
        <v>2821</v>
      </c>
      <c r="O865" s="28" t="str">
        <f>IFERROR(VLOOKUP(N865, 'SIC &amp; NAICS Codes'!A:B, 2, FALSE), "")</f>
        <v>Plastics Materials, Synthetic and Resins, and Nonvulcanizable Elastomers</v>
      </c>
      <c r="S865" s="28">
        <v>9.0000000000000002E-6</v>
      </c>
      <c r="T865" s="315">
        <f>_xlfn.MAXIFS('Raw Period DMR Data'!$O:$O,'Raw Period DMR Data'!$A:$A,'Raw Annual DMR Data'!B865,'Raw Period DMR Data'!$C:$C,X865)/S865</f>
        <v>0</v>
      </c>
      <c r="U865" s="28" t="str">
        <f>+IF(COUNTIFS('Raw Period DMR Data'!$A:$A,B865, 'Raw Period DMR Data'!C:C,'Raw Annual DMR Data'!X865, 'Raw Period DMR Data'!M:M, "&gt;0")&gt;0,_xlfn.MAXIFS('Raw Period DMR Data'!M:M,'Raw Period DMR Data'!$A:$A,'Raw Annual DMR Data'!B865,'Raw Period DMR Data'!C:C,'Raw Annual DMR Data'!X865), "N/A - Period DMR Data Not Available")</f>
        <v>N/A - Period DMR Data Not Available</v>
      </c>
      <c r="V865" s="28" t="str" cm="1">
        <f t="array" ref="V865">IFERROR(INDEX('Raw Period DMR Data'!N:N,MATCH(1,(B865='Raw Period DMR Data'!$A:$A)*(U865='Raw Period DMR Data'!M:M)*(X865='Raw Period DMR Data'!C:C),0),1), "N/A")</f>
        <v>N/A</v>
      </c>
      <c r="W865" s="28" t="s">
        <v>1463</v>
      </c>
      <c r="X865" s="28" t="s">
        <v>902</v>
      </c>
      <c r="Y865" s="28" t="s">
        <v>783</v>
      </c>
      <c r="Z865" s="28">
        <v>2040206001666</v>
      </c>
      <c r="AA865" s="28"/>
      <c r="AB865" s="28" t="s">
        <v>1465</v>
      </c>
      <c r="AC865" s="28" t="s">
        <v>1466</v>
      </c>
    </row>
    <row r="866" spans="1:29" x14ac:dyDescent="0.25">
      <c r="A866" s="61">
        <v>110002321345</v>
      </c>
      <c r="B866" s="28">
        <v>2015</v>
      </c>
      <c r="C866" s="68">
        <f t="shared" si="13"/>
        <v>42005</v>
      </c>
      <c r="D866" s="28" t="s">
        <v>1235</v>
      </c>
      <c r="E866" s="28" t="s">
        <v>2012</v>
      </c>
      <c r="F866" s="28" t="s">
        <v>1236</v>
      </c>
      <c r="G866" s="28" t="s">
        <v>450</v>
      </c>
      <c r="H866" s="28">
        <v>13502</v>
      </c>
      <c r="I866" s="28">
        <v>43.107216000000001</v>
      </c>
      <c r="J866" s="28">
        <v>-75.225815999999995</v>
      </c>
      <c r="L866" s="61">
        <v>110002321345</v>
      </c>
      <c r="M866" s="28" t="s">
        <v>265</v>
      </c>
      <c r="N866" s="28">
        <v>5169</v>
      </c>
      <c r="O866" s="28" t="str">
        <f>IFERROR(VLOOKUP(N866, 'SIC &amp; NAICS Codes'!A:B, 2, FALSE), "")</f>
        <v>Chemicals and Allied Products, NEC (merchant wholesalers)</v>
      </c>
      <c r="S866" s="28">
        <v>1.85859226674999E-2</v>
      </c>
      <c r="T866" s="315">
        <f>_xlfn.MAXIFS('Raw Period DMR Data'!$O:$O,'Raw Period DMR Data'!$A:$A,'Raw Annual DMR Data'!B866,'Raw Period DMR Data'!$C:$C,X866)/S866</f>
        <v>0</v>
      </c>
      <c r="U866" s="28" t="str">
        <f>+IF(COUNTIFS('Raw Period DMR Data'!$A:$A,B866, 'Raw Period DMR Data'!C:C,'Raw Annual DMR Data'!X866, 'Raw Period DMR Data'!M:M, "&gt;0")&gt;0,_xlfn.MAXIFS('Raw Period DMR Data'!M:M,'Raw Period DMR Data'!$A:$A,'Raw Annual DMR Data'!B866,'Raw Period DMR Data'!C:C,'Raw Annual DMR Data'!X866), "N/A - Period DMR Data Not Available")</f>
        <v>N/A - Period DMR Data Not Available</v>
      </c>
      <c r="V866" s="28" t="str" cm="1">
        <f t="array" ref="V866">IFERROR(INDEX('Raw Period DMR Data'!N:N,MATCH(1,(B866='Raw Period DMR Data'!$A:$A)*(U866='Raw Period DMR Data'!M:M)*(X866='Raw Period DMR Data'!C:C),0),1), "N/A")</f>
        <v>N/A</v>
      </c>
      <c r="W866" s="28" t="s">
        <v>1463</v>
      </c>
      <c r="X866" s="28" t="s">
        <v>2013</v>
      </c>
      <c r="Y866" s="28" t="s">
        <v>2014</v>
      </c>
      <c r="Z866" s="28">
        <v>2020004002623</v>
      </c>
      <c r="AA866" s="28"/>
      <c r="AB866" s="28" t="s">
        <v>1465</v>
      </c>
      <c r="AC866" s="28" t="s">
        <v>1466</v>
      </c>
    </row>
    <row r="867" spans="1:29" x14ac:dyDescent="0.25">
      <c r="A867" s="61">
        <v>110002321345</v>
      </c>
      <c r="B867" s="28">
        <v>2016</v>
      </c>
      <c r="C867" s="68">
        <f t="shared" si="13"/>
        <v>42370</v>
      </c>
      <c r="D867" s="28" t="s">
        <v>1235</v>
      </c>
      <c r="E867" s="28" t="s">
        <v>2012</v>
      </c>
      <c r="F867" s="28" t="s">
        <v>1236</v>
      </c>
      <c r="G867" s="28" t="s">
        <v>450</v>
      </c>
      <c r="H867" s="28">
        <v>13502</v>
      </c>
      <c r="I867" s="28">
        <v>43.107216000000001</v>
      </c>
      <c r="J867" s="28">
        <v>-75.225815999999995</v>
      </c>
      <c r="L867" s="61">
        <v>110002321345</v>
      </c>
      <c r="M867" s="28" t="s">
        <v>265</v>
      </c>
      <c r="N867" s="28">
        <v>5169</v>
      </c>
      <c r="O867" s="28" t="str">
        <f>IFERROR(VLOOKUP(N867, 'SIC &amp; NAICS Codes'!A:B, 2, FALSE), "")</f>
        <v>Chemicals and Allied Products, NEC (merchant wholesalers)</v>
      </c>
      <c r="S867" s="28">
        <v>1.00241031599999E-2</v>
      </c>
      <c r="T867" s="315">
        <f>_xlfn.MAXIFS('Raw Period DMR Data'!$O:$O,'Raw Period DMR Data'!$A:$A,'Raw Annual DMR Data'!B867,'Raw Period DMR Data'!$C:$C,X867)/S867</f>
        <v>0</v>
      </c>
      <c r="U867" s="28" t="str">
        <f>+IF(COUNTIFS('Raw Period DMR Data'!$A:$A,B867, 'Raw Period DMR Data'!C:C,'Raw Annual DMR Data'!X867, 'Raw Period DMR Data'!M:M, "&gt;0")&gt;0,_xlfn.MAXIFS('Raw Period DMR Data'!M:M,'Raw Period DMR Data'!$A:$A,'Raw Annual DMR Data'!B867,'Raw Period DMR Data'!C:C,'Raw Annual DMR Data'!X867), "N/A - Period DMR Data Not Available")</f>
        <v>N/A - Period DMR Data Not Available</v>
      </c>
      <c r="V867" s="28" t="str" cm="1">
        <f t="array" ref="V867">IFERROR(INDEX('Raw Period DMR Data'!N:N,MATCH(1,(B867='Raw Period DMR Data'!$A:$A)*(U867='Raw Period DMR Data'!M:M)*(X867='Raw Period DMR Data'!C:C),0),1), "N/A")</f>
        <v>N/A</v>
      </c>
      <c r="W867" s="28" t="s">
        <v>1463</v>
      </c>
      <c r="X867" s="28" t="s">
        <v>2013</v>
      </c>
      <c r="Y867" s="28" t="s">
        <v>2014</v>
      </c>
      <c r="Z867" s="28">
        <v>2020004002623</v>
      </c>
      <c r="AA867" s="28"/>
      <c r="AB867" s="28" t="s">
        <v>1465</v>
      </c>
      <c r="AC867" s="28" t="s">
        <v>1466</v>
      </c>
    </row>
    <row r="868" spans="1:29" x14ac:dyDescent="0.25">
      <c r="A868" s="61">
        <v>110002321345</v>
      </c>
      <c r="B868" s="28">
        <v>2017</v>
      </c>
      <c r="C868" s="68">
        <f t="shared" si="13"/>
        <v>42736</v>
      </c>
      <c r="D868" s="28" t="s">
        <v>1235</v>
      </c>
      <c r="E868" s="28" t="s">
        <v>2012</v>
      </c>
      <c r="F868" s="28" t="s">
        <v>1236</v>
      </c>
      <c r="G868" s="28" t="s">
        <v>450</v>
      </c>
      <c r="H868" s="28">
        <v>13502</v>
      </c>
      <c r="I868" s="28">
        <v>43.107216000000001</v>
      </c>
      <c r="J868" s="28">
        <v>-75.225815999999995</v>
      </c>
      <c r="L868" s="61">
        <v>110002321345</v>
      </c>
      <c r="M868" s="28" t="s">
        <v>265</v>
      </c>
      <c r="N868" s="28">
        <v>5169</v>
      </c>
      <c r="O868" s="28" t="str">
        <f>IFERROR(VLOOKUP(N868, 'SIC &amp; NAICS Codes'!A:B, 2, FALSE), "")</f>
        <v>Chemicals and Allied Products, NEC (merchant wholesalers)</v>
      </c>
      <c r="S868" s="28">
        <v>1.02385763999999E-2</v>
      </c>
      <c r="T868" s="315">
        <f>_xlfn.MAXIFS('Raw Period DMR Data'!$O:$O,'Raw Period DMR Data'!$A:$A,'Raw Annual DMR Data'!B868,'Raw Period DMR Data'!$C:$C,X868)/S868</f>
        <v>0</v>
      </c>
      <c r="U868" s="28" t="str">
        <f>+IF(COUNTIFS('Raw Period DMR Data'!$A:$A,B868, 'Raw Period DMR Data'!C:C,'Raw Annual DMR Data'!X868, 'Raw Period DMR Data'!M:M, "&gt;0")&gt;0,_xlfn.MAXIFS('Raw Period DMR Data'!M:M,'Raw Period DMR Data'!$A:$A,'Raw Annual DMR Data'!B868,'Raw Period DMR Data'!C:C,'Raw Annual DMR Data'!X868), "N/A - Period DMR Data Not Available")</f>
        <v>N/A - Period DMR Data Not Available</v>
      </c>
      <c r="V868" s="28" t="str" cm="1">
        <f t="array" ref="V868">IFERROR(INDEX('Raw Period DMR Data'!N:N,MATCH(1,(B868='Raw Period DMR Data'!$A:$A)*(U868='Raw Period DMR Data'!M:M)*(X868='Raw Period DMR Data'!C:C),0),1), "N/A")</f>
        <v>N/A</v>
      </c>
      <c r="W868" s="28" t="s">
        <v>1463</v>
      </c>
      <c r="X868" s="28" t="s">
        <v>2013</v>
      </c>
      <c r="Y868" s="28" t="s">
        <v>2014</v>
      </c>
      <c r="Z868" s="28">
        <v>2020004002623</v>
      </c>
      <c r="AA868" s="28"/>
      <c r="AB868" s="28" t="s">
        <v>1465</v>
      </c>
      <c r="AC868" s="28" t="s">
        <v>1466</v>
      </c>
    </row>
    <row r="869" spans="1:29" x14ac:dyDescent="0.25">
      <c r="A869" s="61">
        <v>110002321345</v>
      </c>
      <c r="B869" s="28">
        <v>2018</v>
      </c>
      <c r="C869" s="68">
        <f t="shared" si="13"/>
        <v>43101</v>
      </c>
      <c r="D869" s="28" t="s">
        <v>1235</v>
      </c>
      <c r="E869" s="28" t="s">
        <v>2012</v>
      </c>
      <c r="F869" s="28" t="s">
        <v>1236</v>
      </c>
      <c r="G869" s="28" t="s">
        <v>450</v>
      </c>
      <c r="H869" s="28">
        <v>13502</v>
      </c>
      <c r="I869" s="28">
        <v>43.107216000000001</v>
      </c>
      <c r="J869" s="28">
        <v>-75.225815999999995</v>
      </c>
      <c r="L869" s="61">
        <v>110002321345</v>
      </c>
      <c r="M869" s="28" t="s">
        <v>265</v>
      </c>
      <c r="N869" s="28">
        <v>5169</v>
      </c>
      <c r="O869" s="28" t="str">
        <f>IFERROR(VLOOKUP(N869, 'SIC &amp; NAICS Codes'!A:B, 2, FALSE), "")</f>
        <v>Chemicals and Allied Products, NEC (merchant wholesalers)</v>
      </c>
      <c r="S869" s="302">
        <v>9.3324473999999904E-3</v>
      </c>
      <c r="T869" s="315">
        <f>_xlfn.MAXIFS('Raw Period DMR Data'!$O:$O,'Raw Period DMR Data'!$A:$A,'Raw Annual DMR Data'!B869,'Raw Period DMR Data'!$C:$C,X869)/S869</f>
        <v>0</v>
      </c>
      <c r="U869" s="28" t="str">
        <f>+IF(COUNTIFS('Raw Period DMR Data'!$A:$A,B869, 'Raw Period DMR Data'!C:C,'Raw Annual DMR Data'!X869, 'Raw Period DMR Data'!M:M, "&gt;0")&gt;0,_xlfn.MAXIFS('Raw Period DMR Data'!M:M,'Raw Period DMR Data'!$A:$A,'Raw Annual DMR Data'!B869,'Raw Period DMR Data'!C:C,'Raw Annual DMR Data'!X869), "N/A - Period DMR Data Not Available")</f>
        <v>N/A - Period DMR Data Not Available</v>
      </c>
      <c r="V869" s="28" t="str" cm="1">
        <f t="array" ref="V869">IFERROR(INDEX('Raw Period DMR Data'!N:N,MATCH(1,(B869='Raw Period DMR Data'!$A:$A)*(U869='Raw Period DMR Data'!M:M)*(X869='Raw Period DMR Data'!C:C),0),1), "N/A")</f>
        <v>N/A</v>
      </c>
      <c r="W869" s="28" t="s">
        <v>1463</v>
      </c>
      <c r="X869" s="28" t="s">
        <v>2013</v>
      </c>
      <c r="Y869" s="28" t="s">
        <v>2014</v>
      </c>
      <c r="Z869" s="302" t="s">
        <v>2015</v>
      </c>
      <c r="AA869" s="28"/>
      <c r="AB869" s="28" t="s">
        <v>1465</v>
      </c>
      <c r="AC869" s="28" t="s">
        <v>1466</v>
      </c>
    </row>
    <row r="870" spans="1:29" x14ac:dyDescent="0.25">
      <c r="A870" s="61">
        <v>110002321345</v>
      </c>
      <c r="B870" s="28">
        <v>2019</v>
      </c>
      <c r="C870" s="68">
        <f t="shared" si="13"/>
        <v>43466</v>
      </c>
      <c r="D870" s="28" t="s">
        <v>1235</v>
      </c>
      <c r="E870" s="28" t="s">
        <v>2012</v>
      </c>
      <c r="F870" s="28" t="s">
        <v>1236</v>
      </c>
      <c r="G870" s="28" t="s">
        <v>450</v>
      </c>
      <c r="H870" s="28">
        <v>13502</v>
      </c>
      <c r="I870" s="28">
        <v>43.107216000000001</v>
      </c>
      <c r="J870" s="28">
        <v>-75.225815999999995</v>
      </c>
      <c r="L870" s="61">
        <v>110002321345</v>
      </c>
      <c r="M870" s="28" t="s">
        <v>265</v>
      </c>
      <c r="N870" s="28">
        <v>5169</v>
      </c>
      <c r="O870" s="28" t="str">
        <f>IFERROR(VLOOKUP(N870, 'SIC &amp; NAICS Codes'!A:B, 2, FALSE), "")</f>
        <v>Chemicals and Allied Products, NEC (merchant wholesalers)</v>
      </c>
      <c r="S870" s="28">
        <v>7.0432793999999901E-3</v>
      </c>
      <c r="T870" s="315">
        <f>_xlfn.MAXIFS('Raw Period DMR Data'!$O:$O,'Raw Period DMR Data'!$A:$A,'Raw Annual DMR Data'!B870,'Raw Period DMR Data'!$C:$C,X870)/S870</f>
        <v>0</v>
      </c>
      <c r="U870" s="28" t="str">
        <f>+IF(COUNTIFS('Raw Period DMR Data'!$A:$A,B870, 'Raw Period DMR Data'!C:C,'Raw Annual DMR Data'!X870, 'Raw Period DMR Data'!M:M, "&gt;0")&gt;0,_xlfn.MAXIFS('Raw Period DMR Data'!M:M,'Raw Period DMR Data'!$A:$A,'Raw Annual DMR Data'!B870,'Raw Period DMR Data'!C:C,'Raw Annual DMR Data'!X870), "N/A - Period DMR Data Not Available")</f>
        <v>N/A - Period DMR Data Not Available</v>
      </c>
      <c r="V870" s="28" t="str" cm="1">
        <f t="array" ref="V870">IFERROR(INDEX('Raw Period DMR Data'!N:N,MATCH(1,(B870='Raw Period DMR Data'!$A:$A)*(U870='Raw Period DMR Data'!M:M)*(X870='Raw Period DMR Data'!C:C),0),1), "N/A")</f>
        <v>N/A</v>
      </c>
      <c r="W870" s="28" t="s">
        <v>1463</v>
      </c>
      <c r="X870" s="28" t="s">
        <v>2013</v>
      </c>
      <c r="Y870" s="28" t="s">
        <v>2014</v>
      </c>
      <c r="Z870" s="28">
        <v>2020004002623</v>
      </c>
      <c r="AA870" s="28"/>
      <c r="AB870" s="28" t="s">
        <v>1465</v>
      </c>
      <c r="AC870" s="28" t="s">
        <v>1466</v>
      </c>
    </row>
    <row r="871" spans="1:29" x14ac:dyDescent="0.25">
      <c r="A871" s="61">
        <v>110002321345</v>
      </c>
      <c r="B871" s="28">
        <v>2020</v>
      </c>
      <c r="C871" s="68">
        <f t="shared" si="13"/>
        <v>43831</v>
      </c>
      <c r="D871" s="28" t="s">
        <v>1235</v>
      </c>
      <c r="E871" s="28" t="s">
        <v>2012</v>
      </c>
      <c r="F871" s="28" t="s">
        <v>1236</v>
      </c>
      <c r="G871" s="28" t="s">
        <v>450</v>
      </c>
      <c r="H871" s="28">
        <v>13502</v>
      </c>
      <c r="I871" s="28">
        <v>43.107216000000001</v>
      </c>
      <c r="J871" s="28">
        <v>-75.225815999999995</v>
      </c>
      <c r="L871" s="61">
        <v>110002321345</v>
      </c>
      <c r="M871" s="28" t="s">
        <v>265</v>
      </c>
      <c r="N871" s="28">
        <v>5169</v>
      </c>
      <c r="O871" s="28" t="str">
        <f>IFERROR(VLOOKUP(N871, 'SIC &amp; NAICS Codes'!A:B, 2, FALSE), "")</f>
        <v>Chemicals and Allied Products, NEC (merchant wholesalers)</v>
      </c>
      <c r="S871" s="28">
        <v>2.7483641999999902E-3</v>
      </c>
      <c r="T871" s="315">
        <f>_xlfn.MAXIFS('Raw Period DMR Data'!$O:$O,'Raw Period DMR Data'!$A:$A,'Raw Annual DMR Data'!B871,'Raw Period DMR Data'!$C:$C,X871)/S871</f>
        <v>0</v>
      </c>
      <c r="U871" s="28" t="str">
        <f>+IF(COUNTIFS('Raw Period DMR Data'!$A:$A,B871, 'Raw Period DMR Data'!C:C,'Raw Annual DMR Data'!X871, 'Raw Period DMR Data'!M:M, "&gt;0")&gt;0,_xlfn.MAXIFS('Raw Period DMR Data'!M:M,'Raw Period DMR Data'!$A:$A,'Raw Annual DMR Data'!B871,'Raw Period DMR Data'!C:C,'Raw Annual DMR Data'!X871), "N/A - Period DMR Data Not Available")</f>
        <v>N/A - Period DMR Data Not Available</v>
      </c>
      <c r="V871" s="28" t="str" cm="1">
        <f t="array" ref="V871">IFERROR(INDEX('Raw Period DMR Data'!N:N,MATCH(1,(B871='Raw Period DMR Data'!$A:$A)*(U871='Raw Period DMR Data'!M:M)*(X871='Raw Period DMR Data'!C:C),0),1), "N/A")</f>
        <v>N/A</v>
      </c>
      <c r="W871" s="28" t="s">
        <v>1463</v>
      </c>
      <c r="X871" s="28" t="s">
        <v>2013</v>
      </c>
      <c r="Y871" s="28" t="s">
        <v>2014</v>
      </c>
      <c r="Z871" s="28">
        <v>2020004002623</v>
      </c>
      <c r="AA871" s="28"/>
      <c r="AB871" s="28" t="s">
        <v>1465</v>
      </c>
      <c r="AC871" s="28" t="s">
        <v>1466</v>
      </c>
    </row>
    <row r="872" spans="1:29" x14ac:dyDescent="0.25">
      <c r="A872" s="61">
        <v>110000460983</v>
      </c>
      <c r="B872" s="28">
        <v>2020</v>
      </c>
      <c r="C872" s="68">
        <f t="shared" si="13"/>
        <v>43831</v>
      </c>
      <c r="D872" s="28" t="s">
        <v>173</v>
      </c>
      <c r="E872" s="28" t="s">
        <v>566</v>
      </c>
      <c r="F872" s="28" t="s">
        <v>520</v>
      </c>
      <c r="G872" s="28" t="s">
        <v>362</v>
      </c>
      <c r="H872" s="28">
        <v>77015</v>
      </c>
      <c r="I872" s="28">
        <v>29.75487</v>
      </c>
      <c r="J872" s="28">
        <v>-95.103269999999995</v>
      </c>
      <c r="K872" s="28" t="s">
        <v>567</v>
      </c>
      <c r="L872" s="61">
        <v>110000460983</v>
      </c>
      <c r="M872" s="28" t="s">
        <v>251</v>
      </c>
      <c r="N872" s="28">
        <v>2869</v>
      </c>
      <c r="O872" s="28" t="str">
        <f>IFERROR(VLOOKUP(N872, 'SIC &amp; NAICS Codes'!A:B, 2, FALSE), "")</f>
        <v>Industrial Organic Chemicals, NEC (aliphatics)</v>
      </c>
      <c r="S872" s="28">
        <v>0.107596371882086</v>
      </c>
      <c r="T872" s="315">
        <f>_xlfn.MAXIFS('Raw Period DMR Data'!$O:$O,'Raw Period DMR Data'!$A:$A,'Raw Annual DMR Data'!B872,'Raw Period DMR Data'!$C:$C,X872)/S872</f>
        <v>0</v>
      </c>
      <c r="U872" s="28" t="str">
        <f>+IF(COUNTIFS('Raw Period DMR Data'!$A:$A,B872, 'Raw Period DMR Data'!C:C,'Raw Annual DMR Data'!X872, 'Raw Period DMR Data'!M:M, "&gt;0")&gt;0,_xlfn.MAXIFS('Raw Period DMR Data'!M:M,'Raw Period DMR Data'!$A:$A,'Raw Annual DMR Data'!B872,'Raw Period DMR Data'!C:C,'Raw Annual DMR Data'!X872), "N/A - Period DMR Data Not Available")</f>
        <v>N/A - Period DMR Data Not Available</v>
      </c>
      <c r="V872" s="28" t="str" cm="1">
        <f t="array" ref="V872">IFERROR(INDEX('Raw Period DMR Data'!N:N,MATCH(1,(B872='Raw Period DMR Data'!$A:$A)*(U872='Raw Period DMR Data'!M:M)*(X872='Raw Period DMR Data'!C:C),0),1), "N/A")</f>
        <v>N/A</v>
      </c>
      <c r="W872" s="28" t="s">
        <v>1463</v>
      </c>
      <c r="X872" s="28" t="s">
        <v>903</v>
      </c>
      <c r="Y872" s="28" t="s">
        <v>904</v>
      </c>
      <c r="Z872" s="61">
        <v>12040104000012</v>
      </c>
    </row>
    <row r="873" spans="1:29" x14ac:dyDescent="0.25">
      <c r="A873" s="61">
        <v>110045085457</v>
      </c>
      <c r="B873" s="28">
        <v>2017</v>
      </c>
      <c r="C873" s="68">
        <f t="shared" si="13"/>
        <v>42736</v>
      </c>
      <c r="D873" s="28" t="s">
        <v>1237</v>
      </c>
      <c r="E873" s="28" t="s">
        <v>2016</v>
      </c>
      <c r="F873" s="28" t="s">
        <v>1238</v>
      </c>
      <c r="G873" s="28" t="s">
        <v>324</v>
      </c>
      <c r="H873" s="28">
        <v>40351</v>
      </c>
      <c r="I873" s="28">
        <v>38.151904999999999</v>
      </c>
      <c r="J873" s="28">
        <v>-83.513848999999993</v>
      </c>
      <c r="L873" s="61">
        <v>110045085457</v>
      </c>
      <c r="M873" s="28" t="s">
        <v>263</v>
      </c>
      <c r="N873" s="28">
        <v>4952</v>
      </c>
      <c r="O873" s="28" t="str">
        <f>IFERROR(VLOOKUP(N873, 'SIC &amp; NAICS Codes'!A:B, 2, FALSE), "")</f>
        <v>Sewerage Systems</v>
      </c>
      <c r="S873" s="28">
        <v>1.581846125</v>
      </c>
      <c r="T873" s="315">
        <f>_xlfn.MAXIFS('Raw Period DMR Data'!$O:$O,'Raw Period DMR Data'!$A:$A,'Raw Annual DMR Data'!B873,'Raw Period DMR Data'!$C:$C,X873)/S873</f>
        <v>0</v>
      </c>
      <c r="U873" s="28" t="str">
        <f>+IF(COUNTIFS('Raw Period DMR Data'!$A:$A,B873, 'Raw Period DMR Data'!C:C,'Raw Annual DMR Data'!X873, 'Raw Period DMR Data'!M:M, "&gt;0")&gt;0,_xlfn.MAXIFS('Raw Period DMR Data'!M:M,'Raw Period DMR Data'!$A:$A,'Raw Annual DMR Data'!B873,'Raw Period DMR Data'!C:C,'Raw Annual DMR Data'!X873), "N/A - Period DMR Data Not Available")</f>
        <v>N/A - Period DMR Data Not Available</v>
      </c>
      <c r="V873" s="28" t="str" cm="1">
        <f t="array" ref="V873">IFERROR(INDEX('Raw Period DMR Data'!N:N,MATCH(1,(B873='Raw Period DMR Data'!$A:$A)*(U873='Raw Period DMR Data'!M:M)*(X873='Raw Period DMR Data'!C:C),0),1), "N/A")</f>
        <v>N/A</v>
      </c>
      <c r="W873" s="28" t="s">
        <v>1463</v>
      </c>
      <c r="X873" s="28" t="s">
        <v>2017</v>
      </c>
      <c r="Y873" s="28" t="s">
        <v>2018</v>
      </c>
      <c r="Z873" s="28">
        <v>5100101000391</v>
      </c>
      <c r="AA873" s="28"/>
      <c r="AB873" s="28" t="s">
        <v>1465</v>
      </c>
      <c r="AC873" s="28" t="s">
        <v>263</v>
      </c>
    </row>
    <row r="874" spans="1:29" x14ac:dyDescent="0.25">
      <c r="A874" s="61">
        <v>110045085457</v>
      </c>
      <c r="B874" s="28">
        <v>2018</v>
      </c>
      <c r="C874" s="68">
        <f t="shared" si="13"/>
        <v>43101</v>
      </c>
      <c r="D874" s="28" t="s">
        <v>1237</v>
      </c>
      <c r="E874" s="28" t="s">
        <v>2016</v>
      </c>
      <c r="F874" s="28" t="s">
        <v>1238</v>
      </c>
      <c r="G874" s="28" t="s">
        <v>324</v>
      </c>
      <c r="H874" s="28">
        <v>40351</v>
      </c>
      <c r="I874" s="28">
        <v>38.151904999999999</v>
      </c>
      <c r="J874" s="28">
        <v>-83.513848999999993</v>
      </c>
      <c r="L874" s="61">
        <v>110045085457</v>
      </c>
      <c r="M874" s="28" t="s">
        <v>263</v>
      </c>
      <c r="N874" s="28">
        <v>4952</v>
      </c>
      <c r="O874" s="28" t="str">
        <f>IFERROR(VLOOKUP(N874, 'SIC &amp; NAICS Codes'!A:B, 2, FALSE), "")</f>
        <v>Sewerage Systems</v>
      </c>
      <c r="S874" s="28">
        <v>2.7112428125000001</v>
      </c>
      <c r="T874" s="315">
        <f>_xlfn.MAXIFS('Raw Period DMR Data'!$O:$O,'Raw Period DMR Data'!$A:$A,'Raw Annual DMR Data'!B874,'Raw Period DMR Data'!$C:$C,X874)/S874</f>
        <v>0</v>
      </c>
      <c r="U874" s="28" t="str">
        <f>+IF(COUNTIFS('Raw Period DMR Data'!$A:$A,B874, 'Raw Period DMR Data'!C:C,'Raw Annual DMR Data'!X874, 'Raw Period DMR Data'!M:M, "&gt;0")&gt;0,_xlfn.MAXIFS('Raw Period DMR Data'!M:M,'Raw Period DMR Data'!$A:$A,'Raw Annual DMR Data'!B874,'Raw Period DMR Data'!C:C,'Raw Annual DMR Data'!X874), "N/A - Period DMR Data Not Available")</f>
        <v>N/A - Period DMR Data Not Available</v>
      </c>
      <c r="V874" s="28" t="str" cm="1">
        <f t="array" ref="V874">IFERROR(INDEX('Raw Period DMR Data'!N:N,MATCH(1,(B874='Raw Period DMR Data'!$A:$A)*(U874='Raw Period DMR Data'!M:M)*(X874='Raw Period DMR Data'!C:C),0),1), "N/A")</f>
        <v>N/A</v>
      </c>
      <c r="W874" s="28" t="s">
        <v>1463</v>
      </c>
      <c r="X874" s="28" t="s">
        <v>2017</v>
      </c>
      <c r="Y874" s="28" t="s">
        <v>2018</v>
      </c>
      <c r="Z874" s="302" t="s">
        <v>2019</v>
      </c>
      <c r="AA874" s="28"/>
      <c r="AB874" s="28" t="s">
        <v>1465</v>
      </c>
      <c r="AC874" s="28" t="s">
        <v>263</v>
      </c>
    </row>
    <row r="875" spans="1:29" x14ac:dyDescent="0.25">
      <c r="A875" s="61">
        <v>110045085457</v>
      </c>
      <c r="B875" s="28">
        <v>2019</v>
      </c>
      <c r="C875" s="68">
        <f t="shared" si="13"/>
        <v>43466</v>
      </c>
      <c r="D875" s="28" t="s">
        <v>1237</v>
      </c>
      <c r="E875" s="28" t="s">
        <v>2016</v>
      </c>
      <c r="F875" s="28" t="s">
        <v>1238</v>
      </c>
      <c r="G875" s="28" t="s">
        <v>324</v>
      </c>
      <c r="H875" s="28">
        <v>40351</v>
      </c>
      <c r="I875" s="28">
        <v>38.151904999999999</v>
      </c>
      <c r="J875" s="28">
        <v>-83.513848999999993</v>
      </c>
      <c r="L875" s="61">
        <v>110045085457</v>
      </c>
      <c r="M875" s="28" t="s">
        <v>263</v>
      </c>
      <c r="N875" s="28">
        <v>4952</v>
      </c>
      <c r="O875" s="28" t="str">
        <f>IFERROR(VLOOKUP(N875, 'SIC &amp; NAICS Codes'!A:B, 2, FALSE), "")</f>
        <v>Sewerage Systems</v>
      </c>
      <c r="S875" s="28">
        <v>2.3914197750000001</v>
      </c>
      <c r="T875" s="315">
        <f>_xlfn.MAXIFS('Raw Period DMR Data'!$O:$O,'Raw Period DMR Data'!$A:$A,'Raw Annual DMR Data'!B875,'Raw Period DMR Data'!$C:$C,X875)/S875</f>
        <v>0</v>
      </c>
      <c r="U875" s="28" t="str">
        <f>+IF(COUNTIFS('Raw Period DMR Data'!$A:$A,B875, 'Raw Period DMR Data'!C:C,'Raw Annual DMR Data'!X875, 'Raw Period DMR Data'!M:M, "&gt;0")&gt;0,_xlfn.MAXIFS('Raw Period DMR Data'!M:M,'Raw Period DMR Data'!$A:$A,'Raw Annual DMR Data'!B875,'Raw Period DMR Data'!C:C,'Raw Annual DMR Data'!X875), "N/A - Period DMR Data Not Available")</f>
        <v>N/A - Period DMR Data Not Available</v>
      </c>
      <c r="V875" s="28" t="str" cm="1">
        <f t="array" ref="V875">IFERROR(INDEX('Raw Period DMR Data'!N:N,MATCH(1,(B875='Raw Period DMR Data'!$A:$A)*(U875='Raw Period DMR Data'!M:M)*(X875='Raw Period DMR Data'!C:C),0),1), "N/A")</f>
        <v>N/A</v>
      </c>
      <c r="W875" s="28" t="s">
        <v>1463</v>
      </c>
      <c r="X875" s="28" t="s">
        <v>2017</v>
      </c>
      <c r="Y875" s="28" t="s">
        <v>2018</v>
      </c>
      <c r="Z875" s="28">
        <v>5100101000391</v>
      </c>
      <c r="AA875" s="28"/>
      <c r="AB875" s="28" t="s">
        <v>1465</v>
      </c>
      <c r="AC875" s="28" t="s">
        <v>263</v>
      </c>
    </row>
    <row r="876" spans="1:29" x14ac:dyDescent="0.25">
      <c r="A876" s="61">
        <v>110045085457</v>
      </c>
      <c r="B876" s="28">
        <v>2020</v>
      </c>
      <c r="C876" s="68">
        <f t="shared" si="13"/>
        <v>43831</v>
      </c>
      <c r="D876" s="28" t="s">
        <v>1237</v>
      </c>
      <c r="E876" s="28" t="s">
        <v>2016</v>
      </c>
      <c r="F876" s="28" t="s">
        <v>1238</v>
      </c>
      <c r="G876" s="28" t="s">
        <v>324</v>
      </c>
      <c r="H876" s="28">
        <v>40351</v>
      </c>
      <c r="I876" s="28">
        <v>38.151904999999999</v>
      </c>
      <c r="J876" s="28">
        <v>-83.513848999999993</v>
      </c>
      <c r="L876" s="61">
        <v>110045085457</v>
      </c>
      <c r="M876" s="28" t="s">
        <v>263</v>
      </c>
      <c r="N876" s="28">
        <v>4952</v>
      </c>
      <c r="O876" s="28" t="str">
        <f>IFERROR(VLOOKUP(N876, 'SIC &amp; NAICS Codes'!A:B, 2, FALSE), "")</f>
        <v>Sewerage Systems</v>
      </c>
      <c r="S876" s="28">
        <v>2.6352589375000002</v>
      </c>
      <c r="T876" s="315">
        <f>_xlfn.MAXIFS('Raw Period DMR Data'!$O:$O,'Raw Period DMR Data'!$A:$A,'Raw Annual DMR Data'!B876,'Raw Period DMR Data'!$C:$C,X876)/S876</f>
        <v>0</v>
      </c>
      <c r="U876" s="28" t="str">
        <f>+IF(COUNTIFS('Raw Period DMR Data'!$A:$A,B876, 'Raw Period DMR Data'!C:C,'Raw Annual DMR Data'!X876, 'Raw Period DMR Data'!M:M, "&gt;0")&gt;0,_xlfn.MAXIFS('Raw Period DMR Data'!M:M,'Raw Period DMR Data'!$A:$A,'Raw Annual DMR Data'!B876,'Raw Period DMR Data'!C:C,'Raw Annual DMR Data'!X876), "N/A - Period DMR Data Not Available")</f>
        <v>N/A - Period DMR Data Not Available</v>
      </c>
      <c r="V876" s="28" t="str" cm="1">
        <f t="array" ref="V876">IFERROR(INDEX('Raw Period DMR Data'!N:N,MATCH(1,(B876='Raw Period DMR Data'!$A:$A)*(U876='Raw Period DMR Data'!M:M)*(X876='Raw Period DMR Data'!C:C),0),1), "N/A")</f>
        <v>N/A</v>
      </c>
      <c r="W876" s="28" t="s">
        <v>1463</v>
      </c>
      <c r="X876" s="28" t="s">
        <v>2017</v>
      </c>
      <c r="Y876" s="28" t="s">
        <v>2018</v>
      </c>
      <c r="Z876" s="28">
        <v>5100101000391</v>
      </c>
      <c r="AA876" s="28"/>
      <c r="AB876" s="28" t="s">
        <v>1465</v>
      </c>
      <c r="AC876" s="28" t="s">
        <v>263</v>
      </c>
    </row>
    <row r="877" spans="1:29" x14ac:dyDescent="0.25">
      <c r="A877" s="61">
        <v>110064612557</v>
      </c>
      <c r="B877" s="28">
        <v>2020</v>
      </c>
      <c r="C877" s="68">
        <f t="shared" si="13"/>
        <v>43831</v>
      </c>
      <c r="D877" s="28" t="s">
        <v>1239</v>
      </c>
      <c r="E877" s="28" t="s">
        <v>2020</v>
      </c>
      <c r="F877" s="28" t="s">
        <v>1240</v>
      </c>
      <c r="G877" s="28" t="s">
        <v>324</v>
      </c>
      <c r="H877" s="28">
        <v>42437</v>
      </c>
      <c r="I877" s="28">
        <v>37.671391</v>
      </c>
      <c r="J877" s="28">
        <v>-87.828888000000006</v>
      </c>
      <c r="L877" s="61">
        <v>110064612557</v>
      </c>
      <c r="M877" s="28" t="s">
        <v>263</v>
      </c>
      <c r="N877" s="28">
        <v>4952</v>
      </c>
      <c r="O877" s="28" t="str">
        <f>IFERROR(VLOOKUP(N877, 'SIC &amp; NAICS Codes'!A:B, 2, FALSE), "")</f>
        <v>Sewerage Systems</v>
      </c>
      <c r="S877" s="28">
        <v>5.2463411874999997</v>
      </c>
      <c r="T877" s="315">
        <f>_xlfn.MAXIFS('Raw Period DMR Data'!$O:$O,'Raw Period DMR Data'!$A:$A,'Raw Annual DMR Data'!B877,'Raw Period DMR Data'!$C:$C,X877)/S877</f>
        <v>0</v>
      </c>
      <c r="U877" s="28" t="str">
        <f>+IF(COUNTIFS('Raw Period DMR Data'!$A:$A,B877, 'Raw Period DMR Data'!C:C,'Raw Annual DMR Data'!X877, 'Raw Period DMR Data'!M:M, "&gt;0")&gt;0,_xlfn.MAXIFS('Raw Period DMR Data'!M:M,'Raw Period DMR Data'!$A:$A,'Raw Annual DMR Data'!B877,'Raw Period DMR Data'!C:C,'Raw Annual DMR Data'!X877), "N/A - Period DMR Data Not Available")</f>
        <v>N/A - Period DMR Data Not Available</v>
      </c>
      <c r="V877" s="28" t="str" cm="1">
        <f t="array" ref="V877">IFERROR(INDEX('Raw Period DMR Data'!N:N,MATCH(1,(B877='Raw Period DMR Data'!$A:$A)*(U877='Raw Period DMR Data'!M:M)*(X877='Raw Period DMR Data'!C:C),0),1), "N/A")</f>
        <v>N/A</v>
      </c>
      <c r="W877" s="28" t="s">
        <v>1463</v>
      </c>
      <c r="X877" s="28" t="s">
        <v>2021</v>
      </c>
      <c r="Y877" s="28" t="s">
        <v>2022</v>
      </c>
      <c r="Z877" s="28">
        <v>5140203000958</v>
      </c>
      <c r="AA877" s="28"/>
      <c r="AB877" s="28" t="s">
        <v>1465</v>
      </c>
      <c r="AC877" s="28" t="s">
        <v>263</v>
      </c>
    </row>
    <row r="878" spans="1:29" x14ac:dyDescent="0.25">
      <c r="A878" s="61">
        <v>110029618297</v>
      </c>
      <c r="B878" s="28">
        <v>2015</v>
      </c>
      <c r="C878" s="68">
        <f t="shared" si="13"/>
        <v>42005</v>
      </c>
      <c r="D878" s="28" t="s">
        <v>1241</v>
      </c>
      <c r="E878" s="28" t="s">
        <v>2023</v>
      </c>
      <c r="F878" s="28" t="s">
        <v>1242</v>
      </c>
      <c r="G878" s="28" t="s">
        <v>338</v>
      </c>
      <c r="H878" s="28" t="s">
        <v>2024</v>
      </c>
      <c r="I878" s="28">
        <v>39.920290000000001</v>
      </c>
      <c r="J878" s="28">
        <v>-74.927520000000001</v>
      </c>
      <c r="L878" s="61">
        <v>110029618297</v>
      </c>
      <c r="M878" s="28" t="s">
        <v>263</v>
      </c>
      <c r="N878" s="28">
        <v>4952</v>
      </c>
      <c r="O878" s="28" t="str">
        <f>IFERROR(VLOOKUP(N878, 'SIC &amp; NAICS Codes'!A:B, 2, FALSE), "")</f>
        <v>Sewerage Systems</v>
      </c>
      <c r="S878" s="28">
        <v>0.96465834750000001</v>
      </c>
      <c r="T878" s="315">
        <f>_xlfn.MAXIFS('Raw Period DMR Data'!$O:$O,'Raw Period DMR Data'!$A:$A,'Raw Annual DMR Data'!B878,'Raw Period DMR Data'!$C:$C,X878)/S878</f>
        <v>0</v>
      </c>
      <c r="U878" s="28" t="str">
        <f>+IF(COUNTIFS('Raw Period DMR Data'!$A:$A,B878, 'Raw Period DMR Data'!C:C,'Raw Annual DMR Data'!X878, 'Raw Period DMR Data'!M:M, "&gt;0")&gt;0,_xlfn.MAXIFS('Raw Period DMR Data'!M:M,'Raw Period DMR Data'!$A:$A,'Raw Annual DMR Data'!B878,'Raw Period DMR Data'!C:C,'Raw Annual DMR Data'!X878), "N/A - Period DMR Data Not Available")</f>
        <v>N/A - Period DMR Data Not Available</v>
      </c>
      <c r="V878" s="28" t="str" cm="1">
        <f t="array" ref="V878">IFERROR(INDEX('Raw Period DMR Data'!N:N,MATCH(1,(B878='Raw Period DMR Data'!$A:$A)*(U878='Raw Period DMR Data'!M:M)*(X878='Raw Period DMR Data'!C:C),0),1), "N/A")</f>
        <v>N/A</v>
      </c>
      <c r="W878" s="28" t="s">
        <v>1463</v>
      </c>
      <c r="X878" s="28" t="s">
        <v>2025</v>
      </c>
      <c r="Y878" s="28" t="s">
        <v>1680</v>
      </c>
      <c r="Z878" s="28">
        <v>2040202011430</v>
      </c>
      <c r="AA878" s="28"/>
      <c r="AB878" s="28" t="s">
        <v>1465</v>
      </c>
      <c r="AC878" s="28" t="s">
        <v>263</v>
      </c>
    </row>
    <row r="879" spans="1:29" x14ac:dyDescent="0.25">
      <c r="A879" s="61">
        <v>110029618297</v>
      </c>
      <c r="B879" s="28">
        <v>2016</v>
      </c>
      <c r="C879" s="68">
        <f t="shared" si="13"/>
        <v>42370</v>
      </c>
      <c r="D879" s="28" t="s">
        <v>1241</v>
      </c>
      <c r="E879" s="28" t="s">
        <v>2023</v>
      </c>
      <c r="F879" s="28" t="s">
        <v>1242</v>
      </c>
      <c r="G879" s="28" t="s">
        <v>338</v>
      </c>
      <c r="H879" s="28" t="s">
        <v>2024</v>
      </c>
      <c r="I879" s="28">
        <v>39.920290000000001</v>
      </c>
      <c r="J879" s="28">
        <v>-74.927520000000001</v>
      </c>
      <c r="L879" s="61">
        <v>110029618297</v>
      </c>
      <c r="M879" s="28" t="s">
        <v>263</v>
      </c>
      <c r="N879" s="28">
        <v>4952</v>
      </c>
      <c r="O879" s="28" t="str">
        <f>IFERROR(VLOOKUP(N879, 'SIC &amp; NAICS Codes'!A:B, 2, FALSE), "")</f>
        <v>Sewerage Systems</v>
      </c>
      <c r="S879" s="28">
        <v>0.95556110000000005</v>
      </c>
      <c r="T879" s="315">
        <f>_xlfn.MAXIFS('Raw Period DMR Data'!$O:$O,'Raw Period DMR Data'!$A:$A,'Raw Annual DMR Data'!B879,'Raw Period DMR Data'!$C:$C,X879)/S879</f>
        <v>0</v>
      </c>
      <c r="U879" s="28" t="str">
        <f>+IF(COUNTIFS('Raw Period DMR Data'!$A:$A,B879, 'Raw Period DMR Data'!C:C,'Raw Annual DMR Data'!X879, 'Raw Period DMR Data'!M:M, "&gt;0")&gt;0,_xlfn.MAXIFS('Raw Period DMR Data'!M:M,'Raw Period DMR Data'!$A:$A,'Raw Annual DMR Data'!B879,'Raw Period DMR Data'!C:C,'Raw Annual DMR Data'!X879), "N/A - Period DMR Data Not Available")</f>
        <v>N/A - Period DMR Data Not Available</v>
      </c>
      <c r="V879" s="28" t="str" cm="1">
        <f t="array" ref="V879">IFERROR(INDEX('Raw Period DMR Data'!N:N,MATCH(1,(B879='Raw Period DMR Data'!$A:$A)*(U879='Raw Period DMR Data'!M:M)*(X879='Raw Period DMR Data'!C:C),0),1), "N/A")</f>
        <v>N/A</v>
      </c>
      <c r="W879" s="28" t="s">
        <v>1463</v>
      </c>
      <c r="X879" s="28" t="s">
        <v>2025</v>
      </c>
      <c r="Y879" s="28" t="s">
        <v>1680</v>
      </c>
      <c r="Z879" s="28">
        <v>2040202011430</v>
      </c>
      <c r="AA879" s="28"/>
      <c r="AB879" s="28" t="s">
        <v>1465</v>
      </c>
      <c r="AC879" s="28" t="s">
        <v>263</v>
      </c>
    </row>
    <row r="880" spans="1:29" x14ac:dyDescent="0.25">
      <c r="A880" s="61">
        <v>110029618297</v>
      </c>
      <c r="B880" s="28">
        <v>2017</v>
      </c>
      <c r="C880" s="68">
        <f t="shared" si="13"/>
        <v>42736</v>
      </c>
      <c r="D880" s="28" t="s">
        <v>1241</v>
      </c>
      <c r="E880" s="28" t="s">
        <v>2023</v>
      </c>
      <c r="F880" s="28" t="s">
        <v>1242</v>
      </c>
      <c r="G880" s="28" t="s">
        <v>338</v>
      </c>
      <c r="H880" s="28" t="s">
        <v>2024</v>
      </c>
      <c r="I880" s="28">
        <v>39.920290000000001</v>
      </c>
      <c r="J880" s="28">
        <v>-74.927520000000001</v>
      </c>
      <c r="L880" s="61">
        <v>110029618297</v>
      </c>
      <c r="M880" s="28" t="s">
        <v>263</v>
      </c>
      <c r="N880" s="28">
        <v>4952</v>
      </c>
      <c r="O880" s="28" t="str">
        <f>IFERROR(VLOOKUP(N880, 'SIC &amp; NAICS Codes'!A:B, 2, FALSE), "")</f>
        <v>Sewerage Systems</v>
      </c>
      <c r="S880" s="28">
        <v>1.0530059249999999</v>
      </c>
      <c r="T880" s="315">
        <f>_xlfn.MAXIFS('Raw Period DMR Data'!$O:$O,'Raw Period DMR Data'!$A:$A,'Raw Annual DMR Data'!B880,'Raw Period DMR Data'!$C:$C,X880)/S880</f>
        <v>0</v>
      </c>
      <c r="U880" s="28" t="str">
        <f>+IF(COUNTIFS('Raw Period DMR Data'!$A:$A,B880, 'Raw Period DMR Data'!C:C,'Raw Annual DMR Data'!X880, 'Raw Period DMR Data'!M:M, "&gt;0")&gt;0,_xlfn.MAXIFS('Raw Period DMR Data'!M:M,'Raw Period DMR Data'!$A:$A,'Raw Annual DMR Data'!B880,'Raw Period DMR Data'!C:C,'Raw Annual DMR Data'!X880), "N/A - Period DMR Data Not Available")</f>
        <v>N/A - Period DMR Data Not Available</v>
      </c>
      <c r="V880" s="28" t="str" cm="1">
        <f t="array" ref="V880">IFERROR(INDEX('Raw Period DMR Data'!N:N,MATCH(1,(B880='Raw Period DMR Data'!$A:$A)*(U880='Raw Period DMR Data'!M:M)*(X880='Raw Period DMR Data'!C:C),0),1), "N/A")</f>
        <v>N/A</v>
      </c>
      <c r="W880" s="28" t="s">
        <v>1463</v>
      </c>
      <c r="X880" s="28" t="s">
        <v>2025</v>
      </c>
      <c r="Y880" s="28" t="s">
        <v>1680</v>
      </c>
      <c r="Z880" s="28">
        <v>2040202011430</v>
      </c>
      <c r="AA880" s="28"/>
      <c r="AB880" s="28" t="s">
        <v>1465</v>
      </c>
      <c r="AC880" s="28" t="s">
        <v>263</v>
      </c>
    </row>
    <row r="881" spans="1:29" x14ac:dyDescent="0.25">
      <c r="A881" s="61">
        <v>110029618297</v>
      </c>
      <c r="B881" s="28">
        <v>2018</v>
      </c>
      <c r="C881" s="68">
        <f t="shared" si="13"/>
        <v>43101</v>
      </c>
      <c r="D881" s="28" t="s">
        <v>1241</v>
      </c>
      <c r="E881" s="28" t="s">
        <v>2023</v>
      </c>
      <c r="F881" s="28" t="s">
        <v>1242</v>
      </c>
      <c r="G881" s="28" t="s">
        <v>338</v>
      </c>
      <c r="H881" s="28" t="s">
        <v>2024</v>
      </c>
      <c r="I881" s="28">
        <v>39.920290000000001</v>
      </c>
      <c r="J881" s="28">
        <v>-74.927520000000001</v>
      </c>
      <c r="L881" s="61">
        <v>110029618297</v>
      </c>
      <c r="M881" s="28" t="s">
        <v>263</v>
      </c>
      <c r="N881" s="28">
        <v>4952</v>
      </c>
      <c r="O881" s="28" t="str">
        <f>IFERROR(VLOOKUP(N881, 'SIC &amp; NAICS Codes'!A:B, 2, FALSE), "")</f>
        <v>Sewerage Systems</v>
      </c>
      <c r="S881" s="28">
        <v>1.0132180049999999</v>
      </c>
      <c r="T881" s="315">
        <f>_xlfn.MAXIFS('Raw Period DMR Data'!$O:$O,'Raw Period DMR Data'!$A:$A,'Raw Annual DMR Data'!B881,'Raw Period DMR Data'!$C:$C,X881)/S881</f>
        <v>0</v>
      </c>
      <c r="U881" s="28" t="str">
        <f>+IF(COUNTIFS('Raw Period DMR Data'!$A:$A,B881, 'Raw Period DMR Data'!C:C,'Raw Annual DMR Data'!X881, 'Raw Period DMR Data'!M:M, "&gt;0")&gt;0,_xlfn.MAXIFS('Raw Period DMR Data'!M:M,'Raw Period DMR Data'!$A:$A,'Raw Annual DMR Data'!B881,'Raw Period DMR Data'!C:C,'Raw Annual DMR Data'!X881), "N/A - Period DMR Data Not Available")</f>
        <v>N/A - Period DMR Data Not Available</v>
      </c>
      <c r="V881" s="28" t="str" cm="1">
        <f t="array" ref="V881">IFERROR(INDEX('Raw Period DMR Data'!N:N,MATCH(1,(B881='Raw Period DMR Data'!$A:$A)*(U881='Raw Period DMR Data'!M:M)*(X881='Raw Period DMR Data'!C:C),0),1), "N/A")</f>
        <v>N/A</v>
      </c>
      <c r="W881" s="28" t="s">
        <v>1463</v>
      </c>
      <c r="X881" s="28" t="s">
        <v>2025</v>
      </c>
      <c r="Y881" s="28" t="s">
        <v>1680</v>
      </c>
      <c r="Z881" s="302" t="s">
        <v>2026</v>
      </c>
      <c r="AA881" s="28"/>
      <c r="AB881" s="28" t="s">
        <v>1465</v>
      </c>
      <c r="AC881" s="28" t="s">
        <v>263</v>
      </c>
    </row>
    <row r="882" spans="1:29" x14ac:dyDescent="0.25">
      <c r="A882" s="61">
        <v>110039705361</v>
      </c>
      <c r="B882" s="28">
        <v>2019</v>
      </c>
      <c r="C882" s="68">
        <f t="shared" si="13"/>
        <v>43466</v>
      </c>
      <c r="D882" s="28" t="s">
        <v>1243</v>
      </c>
      <c r="E882" s="28" t="s">
        <v>2027</v>
      </c>
      <c r="F882" s="28" t="s">
        <v>1244</v>
      </c>
      <c r="G882" s="28" t="s">
        <v>324</v>
      </c>
      <c r="H882" s="28">
        <v>40353</v>
      </c>
      <c r="I882" s="28">
        <v>38.101582000000001</v>
      </c>
      <c r="J882" s="28">
        <v>-83.919770999999997</v>
      </c>
      <c r="L882" s="61">
        <v>110039705361</v>
      </c>
      <c r="M882" s="28" t="s">
        <v>263</v>
      </c>
      <c r="N882" s="28">
        <v>4952</v>
      </c>
      <c r="O882" s="28" t="str">
        <f>IFERROR(VLOOKUP(N882, 'SIC &amp; NAICS Codes'!A:B, 2, FALSE), "")</f>
        <v>Sewerage Systems</v>
      </c>
      <c r="S882" s="28">
        <v>11.086738125</v>
      </c>
      <c r="T882" s="315">
        <f>_xlfn.MAXIFS('Raw Period DMR Data'!$O:$O,'Raw Period DMR Data'!$A:$A,'Raw Annual DMR Data'!B882,'Raw Period DMR Data'!$C:$C,X882)/S882</f>
        <v>0</v>
      </c>
      <c r="U882" s="28" t="str">
        <f>+IF(COUNTIFS('Raw Period DMR Data'!$A:$A,B882, 'Raw Period DMR Data'!C:C,'Raw Annual DMR Data'!X882, 'Raw Period DMR Data'!M:M, "&gt;0")&gt;0,_xlfn.MAXIFS('Raw Period DMR Data'!M:M,'Raw Period DMR Data'!$A:$A,'Raw Annual DMR Data'!B882,'Raw Period DMR Data'!C:C,'Raw Annual DMR Data'!X882), "N/A - Period DMR Data Not Available")</f>
        <v>N/A - Period DMR Data Not Available</v>
      </c>
      <c r="V882" s="28" t="str" cm="1">
        <f t="array" ref="V882">IFERROR(INDEX('Raw Period DMR Data'!N:N,MATCH(1,(B882='Raw Period DMR Data'!$A:$A)*(U882='Raw Period DMR Data'!M:M)*(X882='Raw Period DMR Data'!C:C),0),1), "N/A")</f>
        <v>N/A</v>
      </c>
      <c r="W882" s="28" t="s">
        <v>1463</v>
      </c>
      <c r="X882" s="28" t="s">
        <v>2028</v>
      </c>
      <c r="Y882" s="28" t="s">
        <v>2029</v>
      </c>
      <c r="Z882" s="28">
        <v>5100102000126</v>
      </c>
      <c r="AA882" s="28"/>
      <c r="AB882" s="28" t="s">
        <v>1465</v>
      </c>
      <c r="AC882" s="28" t="s">
        <v>263</v>
      </c>
    </row>
    <row r="883" spans="1:29" x14ac:dyDescent="0.25">
      <c r="A883" s="61">
        <v>110039705361</v>
      </c>
      <c r="B883" s="28">
        <v>2020</v>
      </c>
      <c r="C883" s="68">
        <f t="shared" si="13"/>
        <v>43831</v>
      </c>
      <c r="D883" s="28" t="s">
        <v>1243</v>
      </c>
      <c r="E883" s="28" t="s">
        <v>2027</v>
      </c>
      <c r="F883" s="28" t="s">
        <v>1244</v>
      </c>
      <c r="G883" s="28" t="s">
        <v>324</v>
      </c>
      <c r="H883" s="28">
        <v>40353</v>
      </c>
      <c r="I883" s="28">
        <v>38.101582000000001</v>
      </c>
      <c r="J883" s="28">
        <v>-83.919770999999997</v>
      </c>
      <c r="L883" s="61">
        <v>110039705361</v>
      </c>
      <c r="M883" s="28" t="s">
        <v>263</v>
      </c>
      <c r="N883" s="28">
        <v>4952</v>
      </c>
      <c r="O883" s="28" t="str">
        <f>IFERROR(VLOOKUP(N883, 'SIC &amp; NAICS Codes'!A:B, 2, FALSE), "")</f>
        <v>Sewerage Systems</v>
      </c>
      <c r="S883" s="28">
        <v>6.7349343749999999</v>
      </c>
      <c r="T883" s="315">
        <f>_xlfn.MAXIFS('Raw Period DMR Data'!$O:$O,'Raw Period DMR Data'!$A:$A,'Raw Annual DMR Data'!B883,'Raw Period DMR Data'!$C:$C,X883)/S883</f>
        <v>0</v>
      </c>
      <c r="U883" s="28" t="str">
        <f>+IF(COUNTIFS('Raw Period DMR Data'!$A:$A,B883, 'Raw Period DMR Data'!C:C,'Raw Annual DMR Data'!X883, 'Raw Period DMR Data'!M:M, "&gt;0")&gt;0,_xlfn.MAXIFS('Raw Period DMR Data'!M:M,'Raw Period DMR Data'!$A:$A,'Raw Annual DMR Data'!B883,'Raw Period DMR Data'!C:C,'Raw Annual DMR Data'!X883), "N/A - Period DMR Data Not Available")</f>
        <v>N/A - Period DMR Data Not Available</v>
      </c>
      <c r="V883" s="28" t="str" cm="1">
        <f t="array" ref="V883">IFERROR(INDEX('Raw Period DMR Data'!N:N,MATCH(1,(B883='Raw Period DMR Data'!$A:$A)*(U883='Raw Period DMR Data'!M:M)*(X883='Raw Period DMR Data'!C:C),0),1), "N/A")</f>
        <v>N/A</v>
      </c>
      <c r="W883" s="28" t="s">
        <v>1463</v>
      </c>
      <c r="X883" s="28" t="s">
        <v>2028</v>
      </c>
      <c r="Y883" s="28" t="s">
        <v>2029</v>
      </c>
      <c r="Z883" s="28">
        <v>5100102000126</v>
      </c>
      <c r="AA883" s="28"/>
      <c r="AB883" s="28" t="s">
        <v>1465</v>
      </c>
      <c r="AC883" s="28" t="s">
        <v>263</v>
      </c>
    </row>
    <row r="884" spans="1:29" x14ac:dyDescent="0.25">
      <c r="A884" s="61">
        <v>110010058034</v>
      </c>
      <c r="B884" s="28">
        <v>2016</v>
      </c>
      <c r="C884" s="68">
        <f t="shared" si="13"/>
        <v>42370</v>
      </c>
      <c r="D884" s="28" t="s">
        <v>1245</v>
      </c>
      <c r="E884" s="28" t="s">
        <v>2030</v>
      </c>
      <c r="F884" s="28" t="s">
        <v>1246</v>
      </c>
      <c r="G884" s="28" t="s">
        <v>366</v>
      </c>
      <c r="H884" s="28">
        <v>95391</v>
      </c>
      <c r="I884" s="28">
        <v>37.780340000000002</v>
      </c>
      <c r="J884" s="28">
        <v>-121.51779000000001</v>
      </c>
      <c r="L884" s="61">
        <v>110010058034</v>
      </c>
      <c r="M884" s="28" t="s">
        <v>263</v>
      </c>
      <c r="N884" s="28">
        <v>4952</v>
      </c>
      <c r="O884" s="28" t="str">
        <f>IFERROR(VLOOKUP(N884, 'SIC &amp; NAICS Codes'!A:B, 2, FALSE), "")</f>
        <v>Sewerage Systems</v>
      </c>
      <c r="S884" s="28">
        <v>5.2119355375000002E-2</v>
      </c>
      <c r="T884" s="315">
        <f>_xlfn.MAXIFS('Raw Period DMR Data'!$O:$O,'Raw Period DMR Data'!$A:$A,'Raw Annual DMR Data'!B884,'Raw Period DMR Data'!$C:$C,X884)/S884</f>
        <v>0</v>
      </c>
      <c r="U884" s="28" t="str">
        <f>+IF(COUNTIFS('Raw Period DMR Data'!$A:$A,B884, 'Raw Period DMR Data'!C:C,'Raw Annual DMR Data'!X884, 'Raw Period DMR Data'!M:M, "&gt;0")&gt;0,_xlfn.MAXIFS('Raw Period DMR Data'!M:M,'Raw Period DMR Data'!$A:$A,'Raw Annual DMR Data'!B884,'Raw Period DMR Data'!C:C,'Raw Annual DMR Data'!X884), "N/A - Period DMR Data Not Available")</f>
        <v>N/A - Period DMR Data Not Available</v>
      </c>
      <c r="V884" s="28" t="str" cm="1">
        <f t="array" ref="V884">IFERROR(INDEX('Raw Period DMR Data'!N:N,MATCH(1,(B884='Raw Period DMR Data'!$A:$A)*(U884='Raw Period DMR Data'!M:M)*(X884='Raw Period DMR Data'!C:C),0),1), "N/A")</f>
        <v>N/A</v>
      </c>
      <c r="W884" s="28" t="s">
        <v>1463</v>
      </c>
      <c r="X884" s="28" t="s">
        <v>2031</v>
      </c>
      <c r="Y884" s="28" t="s">
        <v>2032</v>
      </c>
      <c r="Z884" s="28">
        <v>18040003005711</v>
      </c>
      <c r="AA884" s="28"/>
      <c r="AB884" s="28" t="s">
        <v>1465</v>
      </c>
      <c r="AC884" s="28" t="s">
        <v>263</v>
      </c>
    </row>
    <row r="885" spans="1:29" x14ac:dyDescent="0.25">
      <c r="A885" s="61">
        <v>110000344814</v>
      </c>
      <c r="B885" s="28">
        <v>2015</v>
      </c>
      <c r="C885" s="68">
        <f t="shared" si="13"/>
        <v>42005</v>
      </c>
      <c r="D885" s="28" t="s">
        <v>174</v>
      </c>
      <c r="E885" s="28" t="s">
        <v>568</v>
      </c>
      <c r="F885" s="28" t="s">
        <v>569</v>
      </c>
      <c r="G885" s="28" t="s">
        <v>311</v>
      </c>
      <c r="H885" s="28">
        <v>26146</v>
      </c>
      <c r="I885" s="28">
        <v>39.484572</v>
      </c>
      <c r="J885" s="28">
        <v>-81.093402999999995</v>
      </c>
      <c r="K885" s="28" t="s">
        <v>570</v>
      </c>
      <c r="L885" s="61">
        <v>110000344814</v>
      </c>
      <c r="M885" s="28" t="s">
        <v>251</v>
      </c>
      <c r="N885" s="28">
        <v>2869</v>
      </c>
      <c r="O885" s="28" t="str">
        <f>IFERROR(VLOOKUP(N885, 'SIC &amp; NAICS Codes'!A:B, 2, FALSE), "")</f>
        <v>Industrial Organic Chemicals, NEC (aliphatics)</v>
      </c>
      <c r="S885" s="28">
        <v>1.5977324263038499</v>
      </c>
      <c r="T885" s="315">
        <f>_xlfn.MAXIFS('Raw Period DMR Data'!$O:$O,'Raw Period DMR Data'!$A:$A,'Raw Annual DMR Data'!B885,'Raw Period DMR Data'!$C:$C,X885)/S885</f>
        <v>0</v>
      </c>
      <c r="U885" s="28" t="str">
        <f>+IF(COUNTIFS('Raw Period DMR Data'!$A:$A,B885, 'Raw Period DMR Data'!C:C,'Raw Annual DMR Data'!X885, 'Raw Period DMR Data'!M:M, "&gt;0")&gt;0,_xlfn.MAXIFS('Raw Period DMR Data'!M:M,'Raw Period DMR Data'!$A:$A,'Raw Annual DMR Data'!B885,'Raw Period DMR Data'!C:C,'Raw Annual DMR Data'!X885), "N/A - Period DMR Data Not Available")</f>
        <v>N/A - Period DMR Data Not Available</v>
      </c>
      <c r="V885" s="28" t="str" cm="1">
        <f t="array" ref="V885">IFERROR(INDEX('Raw Period DMR Data'!N:N,MATCH(1,(B885='Raw Period DMR Data'!$A:$A)*(U885='Raw Period DMR Data'!M:M)*(X885='Raw Period DMR Data'!C:C),0),1), "N/A")</f>
        <v>N/A</v>
      </c>
      <c r="W885" s="28" t="s">
        <v>1463</v>
      </c>
      <c r="X885" s="28" t="s">
        <v>905</v>
      </c>
      <c r="Y885" s="28" t="s">
        <v>906</v>
      </c>
      <c r="Z885" s="61">
        <v>5030201001622</v>
      </c>
    </row>
    <row r="886" spans="1:29" x14ac:dyDescent="0.25">
      <c r="A886" s="61">
        <v>110000344814</v>
      </c>
      <c r="B886" s="28">
        <v>2016</v>
      </c>
      <c r="C886" s="68">
        <f t="shared" si="13"/>
        <v>42370</v>
      </c>
      <c r="D886" s="28" t="s">
        <v>174</v>
      </c>
      <c r="E886" s="28" t="s">
        <v>568</v>
      </c>
      <c r="F886" s="28" t="s">
        <v>569</v>
      </c>
      <c r="G886" s="28" t="s">
        <v>311</v>
      </c>
      <c r="H886" s="28">
        <v>26146</v>
      </c>
      <c r="I886" s="28">
        <v>39.484572</v>
      </c>
      <c r="J886" s="28">
        <v>-81.093402999999995</v>
      </c>
      <c r="K886" s="28" t="s">
        <v>570</v>
      </c>
      <c r="L886" s="61">
        <v>110000344814</v>
      </c>
      <c r="M886" s="28" t="s">
        <v>251</v>
      </c>
      <c r="N886" s="28">
        <v>2869</v>
      </c>
      <c r="O886" s="28" t="str">
        <f>IFERROR(VLOOKUP(N886, 'SIC &amp; NAICS Codes'!A:B, 2, FALSE), "")</f>
        <v>Industrial Organic Chemicals, NEC (aliphatics)</v>
      </c>
      <c r="S886" s="28">
        <v>2.1282539682539601</v>
      </c>
      <c r="T886" s="315">
        <f>_xlfn.MAXIFS('Raw Period DMR Data'!$O:$O,'Raw Period DMR Data'!$A:$A,'Raw Annual DMR Data'!B886,'Raw Period DMR Data'!$C:$C,X886)/S886</f>
        <v>0</v>
      </c>
      <c r="U886" s="28" t="str">
        <f>+IF(COUNTIFS('Raw Period DMR Data'!$A:$A,B886, 'Raw Period DMR Data'!C:C,'Raw Annual DMR Data'!X886, 'Raw Period DMR Data'!M:M, "&gt;0")&gt;0,_xlfn.MAXIFS('Raw Period DMR Data'!M:M,'Raw Period DMR Data'!$A:$A,'Raw Annual DMR Data'!B886,'Raw Period DMR Data'!C:C,'Raw Annual DMR Data'!X886), "N/A - Period DMR Data Not Available")</f>
        <v>N/A - Period DMR Data Not Available</v>
      </c>
      <c r="V886" s="28" t="str" cm="1">
        <f t="array" ref="V886">IFERROR(INDEX('Raw Period DMR Data'!N:N,MATCH(1,(B886='Raw Period DMR Data'!$A:$A)*(U886='Raw Period DMR Data'!M:M)*(X886='Raw Period DMR Data'!C:C),0),1), "N/A")</f>
        <v>N/A</v>
      </c>
      <c r="W886" s="28" t="s">
        <v>1463</v>
      </c>
      <c r="X886" s="28" t="s">
        <v>905</v>
      </c>
      <c r="Y886" s="28" t="s">
        <v>906</v>
      </c>
      <c r="Z886" s="61">
        <v>5030201001622</v>
      </c>
      <c r="AA886" s="28"/>
    </row>
    <row r="887" spans="1:29" x14ac:dyDescent="0.25">
      <c r="A887" s="61">
        <v>110000344814</v>
      </c>
      <c r="B887" s="28">
        <v>2017</v>
      </c>
      <c r="C887" s="68">
        <f t="shared" si="13"/>
        <v>42736</v>
      </c>
      <c r="D887" s="28" t="s">
        <v>174</v>
      </c>
      <c r="E887" s="28" t="s">
        <v>568</v>
      </c>
      <c r="F887" s="28" t="s">
        <v>569</v>
      </c>
      <c r="G887" s="28" t="s">
        <v>311</v>
      </c>
      <c r="H887" s="28">
        <v>26146</v>
      </c>
      <c r="I887" s="28">
        <v>39.484572</v>
      </c>
      <c r="J887" s="28">
        <v>-81.093402999999995</v>
      </c>
      <c r="K887" s="28" t="s">
        <v>570</v>
      </c>
      <c r="L887" s="61">
        <v>110000344814</v>
      </c>
      <c r="M887" s="28" t="s">
        <v>251</v>
      </c>
      <c r="N887" s="28">
        <v>2869</v>
      </c>
      <c r="O887" s="28" t="str">
        <f>IFERROR(VLOOKUP(N887, 'SIC &amp; NAICS Codes'!A:B, 2, FALSE), "")</f>
        <v>Industrial Organic Chemicals, NEC (aliphatics)</v>
      </c>
      <c r="S887" s="28">
        <v>1.3446712018140501</v>
      </c>
      <c r="T887" s="315">
        <f>_xlfn.MAXIFS('Raw Period DMR Data'!$O:$O,'Raw Period DMR Data'!$A:$A,'Raw Annual DMR Data'!B887,'Raw Period DMR Data'!$C:$C,X887)/S887</f>
        <v>0</v>
      </c>
      <c r="U887" s="28" t="str">
        <f>+IF(COUNTIFS('Raw Period DMR Data'!$A:$A,B887, 'Raw Period DMR Data'!C:C,'Raw Annual DMR Data'!X887, 'Raw Period DMR Data'!M:M, "&gt;0")&gt;0,_xlfn.MAXIFS('Raw Period DMR Data'!M:M,'Raw Period DMR Data'!$A:$A,'Raw Annual DMR Data'!B887,'Raw Period DMR Data'!C:C,'Raw Annual DMR Data'!X887), "N/A - Period DMR Data Not Available")</f>
        <v>N/A - Period DMR Data Not Available</v>
      </c>
      <c r="V887" s="28" t="str" cm="1">
        <f t="array" ref="V887">IFERROR(INDEX('Raw Period DMR Data'!N:N,MATCH(1,(B887='Raw Period DMR Data'!$A:$A)*(U887='Raw Period DMR Data'!M:M)*(X887='Raw Period DMR Data'!C:C),0),1), "N/A")</f>
        <v>N/A</v>
      </c>
      <c r="W887" s="28" t="s">
        <v>1463</v>
      </c>
      <c r="X887" s="28" t="s">
        <v>905</v>
      </c>
      <c r="Y887" s="28" t="s">
        <v>906</v>
      </c>
      <c r="Z887" s="61">
        <v>5030201001622</v>
      </c>
      <c r="AA887" s="28"/>
    </row>
    <row r="888" spans="1:29" x14ac:dyDescent="0.25">
      <c r="A888" s="61">
        <v>110000344814</v>
      </c>
      <c r="B888" s="28">
        <v>2018</v>
      </c>
      <c r="C888" s="68">
        <f t="shared" si="13"/>
        <v>43101</v>
      </c>
      <c r="D888" s="28" t="s">
        <v>174</v>
      </c>
      <c r="E888" s="28" t="s">
        <v>568</v>
      </c>
      <c r="F888" s="28" t="s">
        <v>569</v>
      </c>
      <c r="G888" s="28" t="s">
        <v>311</v>
      </c>
      <c r="H888" s="28">
        <v>26146</v>
      </c>
      <c r="I888" s="28">
        <v>39.484572</v>
      </c>
      <c r="J888" s="28">
        <v>-81.093402999999995</v>
      </c>
      <c r="K888" s="28" t="s">
        <v>570</v>
      </c>
      <c r="L888" s="61">
        <v>110000344814</v>
      </c>
      <c r="M888" s="28" t="s">
        <v>251</v>
      </c>
      <c r="N888" s="28">
        <v>2869</v>
      </c>
      <c r="O888" s="28" t="str">
        <f>IFERROR(VLOOKUP(N888, 'SIC &amp; NAICS Codes'!A:B, 2, FALSE), "")</f>
        <v>Industrial Organic Chemicals, NEC (aliphatics)</v>
      </c>
      <c r="S888" s="28">
        <v>1.59319727891156</v>
      </c>
      <c r="T888" s="315">
        <f>_xlfn.MAXIFS('Raw Period DMR Data'!$O:$O,'Raw Period DMR Data'!$A:$A,'Raw Annual DMR Data'!B888,'Raw Period DMR Data'!$C:$C,X888)/S888</f>
        <v>0</v>
      </c>
      <c r="U888" s="28" t="str">
        <f>+IF(COUNTIFS('Raw Period DMR Data'!$A:$A,B888, 'Raw Period DMR Data'!C:C,'Raw Annual DMR Data'!X888, 'Raw Period DMR Data'!M:M, "&gt;0")&gt;0,_xlfn.MAXIFS('Raw Period DMR Data'!M:M,'Raw Period DMR Data'!$A:$A,'Raw Annual DMR Data'!B888,'Raw Period DMR Data'!C:C,'Raw Annual DMR Data'!X888), "N/A - Period DMR Data Not Available")</f>
        <v>N/A - Period DMR Data Not Available</v>
      </c>
      <c r="V888" s="28" t="str" cm="1">
        <f t="array" ref="V888">IFERROR(INDEX('Raw Period DMR Data'!N:N,MATCH(1,(B888='Raw Period DMR Data'!$A:$A)*(U888='Raw Period DMR Data'!M:M)*(X888='Raw Period DMR Data'!C:C),0),1), "N/A")</f>
        <v>N/A</v>
      </c>
      <c r="W888" s="28" t="s">
        <v>1463</v>
      </c>
      <c r="X888" s="28" t="s">
        <v>905</v>
      </c>
      <c r="Y888" s="28" t="s">
        <v>906</v>
      </c>
      <c r="Z888" s="61">
        <v>5030201001622</v>
      </c>
    </row>
    <row r="889" spans="1:29" x14ac:dyDescent="0.25">
      <c r="A889" s="61">
        <v>110000344814</v>
      </c>
      <c r="B889" s="28">
        <v>2019</v>
      </c>
      <c r="C889" s="68">
        <f t="shared" si="13"/>
        <v>43466</v>
      </c>
      <c r="D889" s="28" t="s">
        <v>174</v>
      </c>
      <c r="E889" s="28" t="s">
        <v>568</v>
      </c>
      <c r="F889" s="28" t="s">
        <v>569</v>
      </c>
      <c r="G889" s="28" t="s">
        <v>311</v>
      </c>
      <c r="H889" s="28">
        <v>26146</v>
      </c>
      <c r="I889" s="28">
        <v>39.484572</v>
      </c>
      <c r="J889" s="28">
        <v>-81.093402999999995</v>
      </c>
      <c r="K889" s="28" t="s">
        <v>570</v>
      </c>
      <c r="L889" s="61">
        <v>110000344814</v>
      </c>
      <c r="M889" s="28" t="s">
        <v>251</v>
      </c>
      <c r="N889" s="28">
        <v>2869</v>
      </c>
      <c r="O889" s="28" t="str">
        <f>IFERROR(VLOOKUP(N889, 'SIC &amp; NAICS Codes'!A:B, 2, FALSE), "")</f>
        <v>Industrial Organic Chemicals, NEC (aliphatics)</v>
      </c>
      <c r="S889" s="28">
        <v>1.1286848072562301</v>
      </c>
      <c r="T889" s="315">
        <f>_xlfn.MAXIFS('Raw Period DMR Data'!$O:$O,'Raw Period DMR Data'!$A:$A,'Raw Annual DMR Data'!B889,'Raw Period DMR Data'!$C:$C,X889)/S889</f>
        <v>0</v>
      </c>
      <c r="U889" s="28" t="str">
        <f>+IF(COUNTIFS('Raw Period DMR Data'!$A:$A,B889, 'Raw Period DMR Data'!C:C,'Raw Annual DMR Data'!X889, 'Raw Period DMR Data'!M:M, "&gt;0")&gt;0,_xlfn.MAXIFS('Raw Period DMR Data'!M:M,'Raw Period DMR Data'!$A:$A,'Raw Annual DMR Data'!B889,'Raw Period DMR Data'!C:C,'Raw Annual DMR Data'!X889), "N/A - Period DMR Data Not Available")</f>
        <v>N/A - Period DMR Data Not Available</v>
      </c>
      <c r="V889" s="28" t="str" cm="1">
        <f t="array" ref="V889">IFERROR(INDEX('Raw Period DMR Data'!N:N,MATCH(1,(B889='Raw Period DMR Data'!$A:$A)*(U889='Raw Period DMR Data'!M:M)*(X889='Raw Period DMR Data'!C:C),0),1), "N/A")</f>
        <v>N/A</v>
      </c>
      <c r="W889" s="28" t="s">
        <v>1463</v>
      </c>
      <c r="X889" s="28" t="s">
        <v>905</v>
      </c>
      <c r="Y889" s="28" t="s">
        <v>906</v>
      </c>
      <c r="Z889" s="61">
        <v>5030201001622</v>
      </c>
    </row>
    <row r="890" spans="1:29" x14ac:dyDescent="0.25">
      <c r="A890" s="61">
        <v>110000344814</v>
      </c>
      <c r="B890" s="28">
        <v>2020</v>
      </c>
      <c r="C890" s="68">
        <f t="shared" si="13"/>
        <v>43831</v>
      </c>
      <c r="D890" s="28" t="s">
        <v>174</v>
      </c>
      <c r="E890" s="28" t="s">
        <v>568</v>
      </c>
      <c r="F890" s="28" t="s">
        <v>569</v>
      </c>
      <c r="G890" s="28" t="s">
        <v>311</v>
      </c>
      <c r="H890" s="28">
        <v>26146</v>
      </c>
      <c r="I890" s="28">
        <v>39.484572</v>
      </c>
      <c r="J890" s="28">
        <v>-81.093402999999995</v>
      </c>
      <c r="K890" s="28" t="s">
        <v>570</v>
      </c>
      <c r="L890" s="61">
        <v>110000344814</v>
      </c>
      <c r="M890" s="28" t="s">
        <v>251</v>
      </c>
      <c r="N890" s="28">
        <v>2869</v>
      </c>
      <c r="O890" s="28" t="str">
        <f>IFERROR(VLOOKUP(N890, 'SIC &amp; NAICS Codes'!A:B, 2, FALSE), "")</f>
        <v>Industrial Organic Chemicals, NEC (aliphatics)</v>
      </c>
      <c r="S890" s="28">
        <v>0.81270748299319695</v>
      </c>
      <c r="T890" s="315">
        <f>_xlfn.MAXIFS('Raw Period DMR Data'!$O:$O,'Raw Period DMR Data'!$A:$A,'Raw Annual DMR Data'!B890,'Raw Period DMR Data'!$C:$C,X890)/S890</f>
        <v>0</v>
      </c>
      <c r="U890" s="28" t="str">
        <f>+IF(COUNTIFS('Raw Period DMR Data'!$A:$A,B890, 'Raw Period DMR Data'!C:C,'Raw Annual DMR Data'!X890, 'Raw Period DMR Data'!M:M, "&gt;0")&gt;0,_xlfn.MAXIFS('Raw Period DMR Data'!M:M,'Raw Period DMR Data'!$A:$A,'Raw Annual DMR Data'!B890,'Raw Period DMR Data'!C:C,'Raw Annual DMR Data'!X890), "N/A - Period DMR Data Not Available")</f>
        <v>N/A - Period DMR Data Not Available</v>
      </c>
      <c r="V890" s="28" t="str" cm="1">
        <f t="array" ref="V890">IFERROR(INDEX('Raw Period DMR Data'!N:N,MATCH(1,(B890='Raw Period DMR Data'!$A:$A)*(U890='Raw Period DMR Data'!M:M)*(X890='Raw Period DMR Data'!C:C),0),1), "N/A")</f>
        <v>N/A</v>
      </c>
      <c r="W890" s="28" t="s">
        <v>1463</v>
      </c>
      <c r="X890" s="28" t="s">
        <v>905</v>
      </c>
      <c r="Y890" s="28" t="s">
        <v>906</v>
      </c>
      <c r="Z890" s="61">
        <v>5030201001622</v>
      </c>
    </row>
    <row r="891" spans="1:29" x14ac:dyDescent="0.25">
      <c r="A891" s="61">
        <v>110007015871</v>
      </c>
      <c r="B891" s="28">
        <v>2016</v>
      </c>
      <c r="C891" s="68">
        <f t="shared" si="13"/>
        <v>42370</v>
      </c>
      <c r="D891" s="28" t="s">
        <v>2033</v>
      </c>
      <c r="E891" s="28" t="s">
        <v>571</v>
      </c>
      <c r="F891" s="28" t="s">
        <v>572</v>
      </c>
      <c r="G891" s="28" t="s">
        <v>303</v>
      </c>
      <c r="H891" s="28">
        <v>70051</v>
      </c>
      <c r="I891" s="28">
        <v>30.048590999999998</v>
      </c>
      <c r="J891" s="28">
        <v>-90.630941000000007</v>
      </c>
      <c r="K891" s="28" t="s">
        <v>573</v>
      </c>
      <c r="L891" s="61">
        <v>110007015871</v>
      </c>
      <c r="M891" s="28" t="s">
        <v>265</v>
      </c>
      <c r="N891" s="28">
        <v>2869</v>
      </c>
      <c r="O891" s="28" t="str">
        <f>IFERROR(VLOOKUP(N891, 'SIC &amp; NAICS Codes'!A:B, 2, FALSE), "")</f>
        <v>Industrial Organic Chemicals, NEC (aliphatics)</v>
      </c>
      <c r="S891" s="28">
        <v>0.16553287981859399</v>
      </c>
      <c r="T891" s="315">
        <f>_xlfn.MAXIFS('Raw Period DMR Data'!$O:$O,'Raw Period DMR Data'!$A:$A,'Raw Annual DMR Data'!B891,'Raw Period DMR Data'!$C:$C,X891)/S891</f>
        <v>0</v>
      </c>
      <c r="U891" s="28" t="str">
        <f>+IF(COUNTIFS('Raw Period DMR Data'!$A:$A,B891, 'Raw Period DMR Data'!C:C,'Raw Annual DMR Data'!X891, 'Raw Period DMR Data'!M:M, "&gt;0")&gt;0,_xlfn.MAXIFS('Raw Period DMR Data'!M:M,'Raw Period DMR Data'!$A:$A,'Raw Annual DMR Data'!B891,'Raw Period DMR Data'!C:C,'Raw Annual DMR Data'!X891), "N/A - Period DMR Data Not Available")</f>
        <v>N/A - Period DMR Data Not Available</v>
      </c>
      <c r="V891" s="28" t="str" cm="1">
        <f t="array" ref="V891">IFERROR(INDEX('Raw Period DMR Data'!N:N,MATCH(1,(B891='Raw Period DMR Data'!$A:$A)*(U891='Raw Period DMR Data'!M:M)*(X891='Raw Period DMR Data'!C:C),0),1), "N/A")</f>
        <v>N/A</v>
      </c>
      <c r="W891" s="28" t="s">
        <v>1463</v>
      </c>
      <c r="X891" s="28" t="s">
        <v>907</v>
      </c>
      <c r="Y891" s="28" t="s">
        <v>816</v>
      </c>
      <c r="Z891" s="28">
        <v>8070204000715</v>
      </c>
      <c r="AA891" s="28"/>
      <c r="AB891" s="28" t="s">
        <v>1465</v>
      </c>
      <c r="AC891" s="28" t="s">
        <v>1466</v>
      </c>
    </row>
    <row r="892" spans="1:29" x14ac:dyDescent="0.25">
      <c r="A892" s="61">
        <v>110007015871</v>
      </c>
      <c r="B892" s="28">
        <v>2017</v>
      </c>
      <c r="C892" s="68">
        <f t="shared" si="13"/>
        <v>42736</v>
      </c>
      <c r="D892" s="28" t="s">
        <v>2033</v>
      </c>
      <c r="E892" s="28" t="s">
        <v>571</v>
      </c>
      <c r="F892" s="28" t="s">
        <v>572</v>
      </c>
      <c r="G892" s="28" t="s">
        <v>303</v>
      </c>
      <c r="H892" s="28">
        <v>70051</v>
      </c>
      <c r="I892" s="28">
        <v>30.048590999999998</v>
      </c>
      <c r="J892" s="28">
        <v>-90.630941000000007</v>
      </c>
      <c r="K892" s="28" t="s">
        <v>573</v>
      </c>
      <c r="L892" s="61">
        <v>110007015871</v>
      </c>
      <c r="M892" s="28" t="s">
        <v>265</v>
      </c>
      <c r="N892" s="28">
        <v>2869</v>
      </c>
      <c r="O892" s="28" t="str">
        <f>IFERROR(VLOOKUP(N892, 'SIC &amp; NAICS Codes'!A:B, 2, FALSE), "")</f>
        <v>Industrial Organic Chemicals, NEC (aliphatics)</v>
      </c>
      <c r="S892" s="28">
        <v>8.2766439909296996E-2</v>
      </c>
      <c r="T892" s="315">
        <f>_xlfn.MAXIFS('Raw Period DMR Data'!$O:$O,'Raw Period DMR Data'!$A:$A,'Raw Annual DMR Data'!B892,'Raw Period DMR Data'!$C:$C,X892)/S892</f>
        <v>0</v>
      </c>
      <c r="U892" s="28" t="str">
        <f>+IF(COUNTIFS('Raw Period DMR Data'!$A:$A,B892, 'Raw Period DMR Data'!C:C,'Raw Annual DMR Data'!X892, 'Raw Period DMR Data'!M:M, "&gt;0")&gt;0,_xlfn.MAXIFS('Raw Period DMR Data'!M:M,'Raw Period DMR Data'!$A:$A,'Raw Annual DMR Data'!B892,'Raw Period DMR Data'!C:C,'Raw Annual DMR Data'!X892), "N/A - Period DMR Data Not Available")</f>
        <v>N/A - Period DMR Data Not Available</v>
      </c>
      <c r="V892" s="28" t="str" cm="1">
        <f t="array" ref="V892">IFERROR(INDEX('Raw Period DMR Data'!N:N,MATCH(1,(B892='Raw Period DMR Data'!$A:$A)*(U892='Raw Period DMR Data'!M:M)*(X892='Raw Period DMR Data'!C:C),0),1), "N/A")</f>
        <v>N/A</v>
      </c>
      <c r="W892" s="28" t="s">
        <v>1463</v>
      </c>
      <c r="X892" s="28" t="s">
        <v>907</v>
      </c>
      <c r="Y892" s="28" t="s">
        <v>816</v>
      </c>
      <c r="Z892" s="28">
        <v>8070204000715</v>
      </c>
      <c r="AA892" s="28"/>
      <c r="AB892" s="28" t="s">
        <v>1465</v>
      </c>
      <c r="AC892" s="28" t="s">
        <v>1466</v>
      </c>
    </row>
    <row r="893" spans="1:29" x14ac:dyDescent="0.25">
      <c r="A893" s="61">
        <v>110007015871</v>
      </c>
      <c r="B893" s="28">
        <v>2018</v>
      </c>
      <c r="C893" s="68">
        <f t="shared" si="13"/>
        <v>43101</v>
      </c>
      <c r="D893" s="28" t="s">
        <v>2033</v>
      </c>
      <c r="E893" s="28" t="s">
        <v>571</v>
      </c>
      <c r="F893" s="28" t="s">
        <v>572</v>
      </c>
      <c r="G893" s="28" t="s">
        <v>303</v>
      </c>
      <c r="H893" s="28">
        <v>70051</v>
      </c>
      <c r="I893" s="28">
        <v>30.048590999999998</v>
      </c>
      <c r="J893" s="28">
        <v>-90.630941000000007</v>
      </c>
      <c r="K893" s="28" t="s">
        <v>573</v>
      </c>
      <c r="L893" s="61">
        <v>110007015871</v>
      </c>
      <c r="M893" s="28" t="s">
        <v>265</v>
      </c>
      <c r="N893" s="28">
        <v>2869</v>
      </c>
      <c r="O893" s="28" t="str">
        <f>IFERROR(VLOOKUP(N893, 'SIC &amp; NAICS Codes'!A:B, 2, FALSE), "")</f>
        <v>Industrial Organic Chemicals, NEC (aliphatics)</v>
      </c>
      <c r="S893" s="302">
        <v>0.16553287981859399</v>
      </c>
      <c r="T893" s="315">
        <f>_xlfn.MAXIFS('Raw Period DMR Data'!$O:$O,'Raw Period DMR Data'!$A:$A,'Raw Annual DMR Data'!B893,'Raw Period DMR Data'!$C:$C,X893)/S893</f>
        <v>0</v>
      </c>
      <c r="U893" s="28" t="str">
        <f>+IF(COUNTIFS('Raw Period DMR Data'!$A:$A,B893, 'Raw Period DMR Data'!C:C,'Raw Annual DMR Data'!X893, 'Raw Period DMR Data'!M:M, "&gt;0")&gt;0,_xlfn.MAXIFS('Raw Period DMR Data'!M:M,'Raw Period DMR Data'!$A:$A,'Raw Annual DMR Data'!B893,'Raw Period DMR Data'!C:C,'Raw Annual DMR Data'!X893), "N/A - Period DMR Data Not Available")</f>
        <v>N/A - Period DMR Data Not Available</v>
      </c>
      <c r="V893" s="28" t="str" cm="1">
        <f t="array" ref="V893">IFERROR(INDEX('Raw Period DMR Data'!N:N,MATCH(1,(B893='Raw Period DMR Data'!$A:$A)*(U893='Raw Period DMR Data'!M:M)*(X893='Raw Period DMR Data'!C:C),0),1), "N/A")</f>
        <v>N/A</v>
      </c>
      <c r="W893" s="28" t="s">
        <v>1463</v>
      </c>
      <c r="X893" s="28" t="s">
        <v>907</v>
      </c>
      <c r="Y893" s="28" t="s">
        <v>816</v>
      </c>
      <c r="Z893" s="302" t="s">
        <v>2034</v>
      </c>
      <c r="AA893" s="28"/>
      <c r="AB893" s="28" t="s">
        <v>1465</v>
      </c>
      <c r="AC893" s="28" t="s">
        <v>1466</v>
      </c>
    </row>
    <row r="894" spans="1:29" x14ac:dyDescent="0.25">
      <c r="A894" s="61">
        <v>110007015871</v>
      </c>
      <c r="B894" s="28">
        <v>2019</v>
      </c>
      <c r="C894" s="68">
        <f t="shared" si="13"/>
        <v>43466</v>
      </c>
      <c r="D894" s="28" t="s">
        <v>2033</v>
      </c>
      <c r="E894" s="28" t="s">
        <v>571</v>
      </c>
      <c r="F894" s="28" t="s">
        <v>572</v>
      </c>
      <c r="G894" s="28" t="s">
        <v>303</v>
      </c>
      <c r="H894" s="28">
        <v>70051</v>
      </c>
      <c r="I894" s="28">
        <v>30.048590999999998</v>
      </c>
      <c r="J894" s="28">
        <v>-90.630941000000007</v>
      </c>
      <c r="K894" s="28" t="s">
        <v>573</v>
      </c>
      <c r="L894" s="61">
        <v>110007015871</v>
      </c>
      <c r="M894" s="28" t="s">
        <v>265</v>
      </c>
      <c r="N894" s="28">
        <v>2869</v>
      </c>
      <c r="O894" s="28" t="str">
        <f>IFERROR(VLOOKUP(N894, 'SIC &amp; NAICS Codes'!A:B, 2, FALSE), "")</f>
        <v>Industrial Organic Chemicals, NEC (aliphatics)</v>
      </c>
      <c r="S894" s="28">
        <v>8.2766439909296996E-2</v>
      </c>
      <c r="T894" s="315">
        <f>_xlfn.MAXIFS('Raw Period DMR Data'!$O:$O,'Raw Period DMR Data'!$A:$A,'Raw Annual DMR Data'!B894,'Raw Period DMR Data'!$C:$C,X894)/S894</f>
        <v>0</v>
      </c>
      <c r="U894" s="28" t="str">
        <f>+IF(COUNTIFS('Raw Period DMR Data'!$A:$A,B894, 'Raw Period DMR Data'!C:C,'Raw Annual DMR Data'!X894, 'Raw Period DMR Data'!M:M, "&gt;0")&gt;0,_xlfn.MAXIFS('Raw Period DMR Data'!M:M,'Raw Period DMR Data'!$A:$A,'Raw Annual DMR Data'!B894,'Raw Period DMR Data'!C:C,'Raw Annual DMR Data'!X894), "N/A - Period DMR Data Not Available")</f>
        <v>N/A - Period DMR Data Not Available</v>
      </c>
      <c r="V894" s="28" t="str" cm="1">
        <f t="array" ref="V894">IFERROR(INDEX('Raw Period DMR Data'!N:N,MATCH(1,(B894='Raw Period DMR Data'!$A:$A)*(U894='Raw Period DMR Data'!M:M)*(X894='Raw Period DMR Data'!C:C),0),1), "N/A")</f>
        <v>N/A</v>
      </c>
      <c r="W894" s="28" t="s">
        <v>1463</v>
      </c>
      <c r="X894" s="28" t="s">
        <v>907</v>
      </c>
      <c r="Y894" s="28" t="s">
        <v>816</v>
      </c>
      <c r="Z894" s="28">
        <v>8070204000715</v>
      </c>
      <c r="AA894" s="28"/>
      <c r="AB894" s="28" t="s">
        <v>1465</v>
      </c>
      <c r="AC894" s="28" t="s">
        <v>1466</v>
      </c>
    </row>
    <row r="895" spans="1:29" x14ac:dyDescent="0.25">
      <c r="A895" s="61">
        <v>110007015871</v>
      </c>
      <c r="B895" s="28">
        <v>2020</v>
      </c>
      <c r="C895" s="68">
        <f t="shared" si="13"/>
        <v>43831</v>
      </c>
      <c r="D895" s="28" t="s">
        <v>2033</v>
      </c>
      <c r="E895" s="28" t="s">
        <v>571</v>
      </c>
      <c r="F895" s="28" t="s">
        <v>572</v>
      </c>
      <c r="G895" s="28" t="s">
        <v>303</v>
      </c>
      <c r="H895" s="28">
        <v>70051</v>
      </c>
      <c r="I895" s="28">
        <v>30.048590999999998</v>
      </c>
      <c r="J895" s="28">
        <v>-90.630941000000007</v>
      </c>
      <c r="K895" s="28" t="s">
        <v>573</v>
      </c>
      <c r="L895" s="61">
        <v>110007015871</v>
      </c>
      <c r="M895" s="28" t="s">
        <v>265</v>
      </c>
      <c r="N895" s="28">
        <v>2869</v>
      </c>
      <c r="O895" s="28" t="str">
        <f>IFERROR(VLOOKUP(N895, 'SIC &amp; NAICS Codes'!A:B, 2, FALSE), "")</f>
        <v>Industrial Organic Chemicals, NEC (aliphatics)</v>
      </c>
      <c r="S895" s="28">
        <v>8.2766439909296996E-2</v>
      </c>
      <c r="T895" s="315">
        <f>_xlfn.MAXIFS('Raw Period DMR Data'!$O:$O,'Raw Period DMR Data'!$A:$A,'Raw Annual DMR Data'!B895,'Raw Period DMR Data'!$C:$C,X895)/S895</f>
        <v>0</v>
      </c>
      <c r="U895" s="28" t="str">
        <f>+IF(COUNTIFS('Raw Period DMR Data'!$A:$A,B895, 'Raw Period DMR Data'!C:C,'Raw Annual DMR Data'!X895, 'Raw Period DMR Data'!M:M, "&gt;0")&gt;0,_xlfn.MAXIFS('Raw Period DMR Data'!M:M,'Raw Period DMR Data'!$A:$A,'Raw Annual DMR Data'!B895,'Raw Period DMR Data'!C:C,'Raw Annual DMR Data'!X895), "N/A - Period DMR Data Not Available")</f>
        <v>N/A - Period DMR Data Not Available</v>
      </c>
      <c r="V895" s="28" t="str" cm="1">
        <f t="array" ref="V895">IFERROR(INDEX('Raw Period DMR Data'!N:N,MATCH(1,(B895='Raw Period DMR Data'!$A:$A)*(U895='Raw Period DMR Data'!M:M)*(X895='Raw Period DMR Data'!C:C),0),1), "N/A")</f>
        <v>N/A</v>
      </c>
      <c r="W895" s="28" t="s">
        <v>1463</v>
      </c>
      <c r="X895" s="28" t="s">
        <v>907</v>
      </c>
      <c r="Y895" s="28" t="s">
        <v>816</v>
      </c>
      <c r="Z895" s="28">
        <v>8070204000715</v>
      </c>
      <c r="AA895" s="28"/>
      <c r="AB895" s="28" t="s">
        <v>1465</v>
      </c>
      <c r="AC895" s="28" t="s">
        <v>1466</v>
      </c>
    </row>
    <row r="896" spans="1:29" x14ac:dyDescent="0.25">
      <c r="A896" s="61">
        <v>110007015871</v>
      </c>
      <c r="B896" s="28">
        <v>2015</v>
      </c>
      <c r="C896" s="68">
        <f t="shared" si="13"/>
        <v>42005</v>
      </c>
      <c r="D896" s="28" t="s">
        <v>175</v>
      </c>
      <c r="E896" s="28" t="s">
        <v>571</v>
      </c>
      <c r="F896" s="28" t="s">
        <v>572</v>
      </c>
      <c r="G896" s="28" t="s">
        <v>303</v>
      </c>
      <c r="H896" s="28">
        <v>70051</v>
      </c>
      <c r="I896" s="28">
        <v>30.048590999999998</v>
      </c>
      <c r="J896" s="28">
        <v>-90.630941000000007</v>
      </c>
      <c r="K896" s="28" t="s">
        <v>573</v>
      </c>
      <c r="L896" s="61">
        <v>110007015871</v>
      </c>
      <c r="M896" s="28" t="s">
        <v>251</v>
      </c>
      <c r="N896" s="28">
        <v>2869</v>
      </c>
      <c r="O896" s="28" t="str">
        <f>IFERROR(VLOOKUP(N896, 'SIC &amp; NAICS Codes'!A:B, 2, FALSE), "")</f>
        <v>Industrial Organic Chemicals, NEC (aliphatics)</v>
      </c>
      <c r="S896" s="28">
        <v>0.16553287981859399</v>
      </c>
      <c r="T896" s="315">
        <f>_xlfn.MAXIFS('Raw Period DMR Data'!$O:$O,'Raw Period DMR Data'!$A:$A,'Raw Annual DMR Data'!B896,'Raw Period DMR Data'!$C:$C,X896)/S896</f>
        <v>0</v>
      </c>
      <c r="U896" s="28" t="str">
        <f>+IF(COUNTIFS('Raw Period DMR Data'!$A:$A,B896, 'Raw Period DMR Data'!C:C,'Raw Annual DMR Data'!X896, 'Raw Period DMR Data'!M:M, "&gt;0")&gt;0,_xlfn.MAXIFS('Raw Period DMR Data'!M:M,'Raw Period DMR Data'!$A:$A,'Raw Annual DMR Data'!B896,'Raw Period DMR Data'!C:C,'Raw Annual DMR Data'!X896), "N/A - Period DMR Data Not Available")</f>
        <v>N/A - Period DMR Data Not Available</v>
      </c>
      <c r="V896" s="28" t="str" cm="1">
        <f t="array" ref="V896">IFERROR(INDEX('Raw Period DMR Data'!N:N,MATCH(1,(B896='Raw Period DMR Data'!$A:$A)*(U896='Raw Period DMR Data'!M:M)*(X896='Raw Period DMR Data'!C:C),0),1), "N/A")</f>
        <v>N/A</v>
      </c>
      <c r="W896" s="28" t="s">
        <v>1463</v>
      </c>
      <c r="X896" s="28" t="s">
        <v>907</v>
      </c>
      <c r="Y896" s="28" t="s">
        <v>816</v>
      </c>
      <c r="Z896" s="61">
        <v>8070204000715</v>
      </c>
    </row>
    <row r="897" spans="1:29" x14ac:dyDescent="0.25">
      <c r="A897" s="61">
        <v>110022284240</v>
      </c>
      <c r="B897" s="28">
        <v>2016</v>
      </c>
      <c r="C897" s="68">
        <f t="shared" si="13"/>
        <v>42370</v>
      </c>
      <c r="D897" s="28" t="s">
        <v>1247</v>
      </c>
      <c r="E897" s="28" t="s">
        <v>2035</v>
      </c>
      <c r="F897" s="28" t="s">
        <v>1248</v>
      </c>
      <c r="G897" s="28" t="s">
        <v>1249</v>
      </c>
      <c r="H897" s="28">
        <v>87328</v>
      </c>
      <c r="I897" s="28">
        <v>35.901389000000002</v>
      </c>
      <c r="J897" s="28">
        <v>-109.044167</v>
      </c>
      <c r="L897" s="61">
        <v>110022284240</v>
      </c>
      <c r="M897" s="28" t="s">
        <v>263</v>
      </c>
      <c r="N897" s="28">
        <v>4952</v>
      </c>
      <c r="O897" s="28" t="str">
        <f>IFERROR(VLOOKUP(N897, 'SIC &amp; NAICS Codes'!A:B, 2, FALSE), "")</f>
        <v>Sewerage Systems</v>
      </c>
      <c r="S897" s="28">
        <v>0.1102192</v>
      </c>
      <c r="T897" s="315">
        <f>_xlfn.MAXIFS('Raw Period DMR Data'!$O:$O,'Raw Period DMR Data'!$A:$A,'Raw Annual DMR Data'!B897,'Raw Period DMR Data'!$C:$C,X897)/S897</f>
        <v>0</v>
      </c>
      <c r="U897" s="28" t="str">
        <f>+IF(COUNTIFS('Raw Period DMR Data'!$A:$A,B897, 'Raw Period DMR Data'!C:C,'Raw Annual DMR Data'!X897, 'Raw Period DMR Data'!M:M, "&gt;0")&gt;0,_xlfn.MAXIFS('Raw Period DMR Data'!M:M,'Raw Period DMR Data'!$A:$A,'Raw Annual DMR Data'!B897,'Raw Period DMR Data'!C:C,'Raw Annual DMR Data'!X897), "N/A - Period DMR Data Not Available")</f>
        <v>N/A - Period DMR Data Not Available</v>
      </c>
      <c r="V897" s="28" t="str" cm="1">
        <f t="array" ref="V897">IFERROR(INDEX('Raw Period DMR Data'!N:N,MATCH(1,(B897='Raw Period DMR Data'!$A:$A)*(U897='Raw Period DMR Data'!M:M)*(X897='Raw Period DMR Data'!C:C),0),1), "N/A")</f>
        <v>N/A</v>
      </c>
      <c r="W897" s="28" t="s">
        <v>1463</v>
      </c>
      <c r="X897" s="28" t="s">
        <v>2036</v>
      </c>
      <c r="Y897" s="28" t="s">
        <v>2037</v>
      </c>
      <c r="Z897" s="28">
        <v>15020006001239</v>
      </c>
      <c r="AA897" s="28"/>
      <c r="AB897" s="28" t="s">
        <v>1465</v>
      </c>
      <c r="AC897" s="28" t="s">
        <v>263</v>
      </c>
    </row>
    <row r="898" spans="1:29" x14ac:dyDescent="0.25">
      <c r="A898" s="61">
        <v>110071169347</v>
      </c>
      <c r="B898" s="28">
        <v>2019</v>
      </c>
      <c r="C898" s="68">
        <f t="shared" si="13"/>
        <v>43466</v>
      </c>
      <c r="D898" s="28" t="s">
        <v>1250</v>
      </c>
      <c r="E898" s="28" t="s">
        <v>2038</v>
      </c>
      <c r="F898" s="28" t="s">
        <v>1251</v>
      </c>
      <c r="G898" s="28" t="s">
        <v>366</v>
      </c>
      <c r="H898" s="28">
        <v>92672</v>
      </c>
      <c r="I898" s="28">
        <v>33.022727000000003</v>
      </c>
      <c r="J898" s="28">
        <v>-118.58829299999999</v>
      </c>
      <c r="K898" s="28" t="s">
        <v>726</v>
      </c>
      <c r="L898" s="61">
        <v>110071169347</v>
      </c>
      <c r="M898" s="28" t="s">
        <v>263</v>
      </c>
      <c r="N898" s="28">
        <v>4952</v>
      </c>
      <c r="O898" s="28" t="str">
        <f>IFERROR(VLOOKUP(N898, 'SIC &amp; NAICS Codes'!A:B, 2, FALSE), "")</f>
        <v>Sewerage Systems</v>
      </c>
      <c r="S898" s="28">
        <v>1.2307135675000001E-2</v>
      </c>
      <c r="T898" s="315">
        <f>_xlfn.MAXIFS('Raw Period DMR Data'!$O:$O,'Raw Period DMR Data'!$A:$A,'Raw Annual DMR Data'!B898,'Raw Period DMR Data'!$C:$C,X898)/S898</f>
        <v>0</v>
      </c>
      <c r="U898" s="28" t="str">
        <f>+IF(COUNTIFS('Raw Period DMR Data'!$A:$A,B898, 'Raw Period DMR Data'!C:C,'Raw Annual DMR Data'!X898, 'Raw Period DMR Data'!M:M, "&gt;0")&gt;0,_xlfn.MAXIFS('Raw Period DMR Data'!M:M,'Raw Period DMR Data'!$A:$A,'Raw Annual DMR Data'!B898,'Raw Period DMR Data'!C:C,'Raw Annual DMR Data'!X898), "N/A - Period DMR Data Not Available")</f>
        <v>N/A - Period DMR Data Not Available</v>
      </c>
      <c r="V898" s="28" t="str" cm="1">
        <f t="array" ref="V898">IFERROR(INDEX('Raw Period DMR Data'!N:N,MATCH(1,(B898='Raw Period DMR Data'!$A:$A)*(U898='Raw Period DMR Data'!M:M)*(X898='Raw Period DMR Data'!C:C),0),1), "N/A")</f>
        <v>N/A</v>
      </c>
      <c r="W898" s="28" t="s">
        <v>1463</v>
      </c>
      <c r="X898" s="28" t="s">
        <v>2039</v>
      </c>
      <c r="Y898" s="28" t="s">
        <v>926</v>
      </c>
      <c r="Z898" s="28">
        <v>18070107000163</v>
      </c>
      <c r="AA898" s="28"/>
      <c r="AB898" s="28" t="s">
        <v>1465</v>
      </c>
      <c r="AC898" s="28" t="s">
        <v>1466</v>
      </c>
    </row>
    <row r="899" spans="1:29" x14ac:dyDescent="0.25">
      <c r="A899" s="61">
        <v>110022302417</v>
      </c>
      <c r="B899" s="28">
        <v>2020</v>
      </c>
      <c r="C899" s="68">
        <f t="shared" ref="C899:C962" si="14">DATE(B899, 1, 1)</f>
        <v>43831</v>
      </c>
      <c r="D899" s="28" t="s">
        <v>1252</v>
      </c>
      <c r="E899" s="28" t="s">
        <v>2040</v>
      </c>
      <c r="F899" s="28" t="s">
        <v>1253</v>
      </c>
      <c r="G899" s="28" t="s">
        <v>1171</v>
      </c>
      <c r="H899" s="28" t="s">
        <v>2041</v>
      </c>
      <c r="I899" s="28">
        <v>21.348493999999999</v>
      </c>
      <c r="J899" s="28">
        <v>-157.94398899999999</v>
      </c>
      <c r="L899" s="61">
        <v>110022302417</v>
      </c>
      <c r="M899" s="28" t="s">
        <v>263</v>
      </c>
      <c r="N899" s="28">
        <v>4952</v>
      </c>
      <c r="O899" s="28" t="str">
        <f>IFERROR(VLOOKUP(N899, 'SIC &amp; NAICS Codes'!A:B, 2, FALSE), "")</f>
        <v>Sewerage Systems</v>
      </c>
      <c r="S899" s="28">
        <v>3.8682699999999999</v>
      </c>
      <c r="T899" s="315">
        <f>_xlfn.MAXIFS('Raw Period DMR Data'!$O:$O,'Raw Period DMR Data'!$A:$A,'Raw Annual DMR Data'!B899,'Raw Period DMR Data'!$C:$C,X899)/S899</f>
        <v>0</v>
      </c>
      <c r="U899" s="28" t="str">
        <f>+IF(COUNTIFS('Raw Period DMR Data'!$A:$A,B899, 'Raw Period DMR Data'!C:C,'Raw Annual DMR Data'!X899, 'Raw Period DMR Data'!M:M, "&gt;0")&gt;0,_xlfn.MAXIFS('Raw Period DMR Data'!M:M,'Raw Period DMR Data'!$A:$A,'Raw Annual DMR Data'!B899,'Raw Period DMR Data'!C:C,'Raw Annual DMR Data'!X899), "N/A - Period DMR Data Not Available")</f>
        <v>N/A - Period DMR Data Not Available</v>
      </c>
      <c r="V899" s="28" t="str" cm="1">
        <f t="array" ref="V899">IFERROR(INDEX('Raw Period DMR Data'!N:N,MATCH(1,(B899='Raw Period DMR Data'!$A:$A)*(U899='Raw Period DMR Data'!M:M)*(X899='Raw Period DMR Data'!C:C),0),1), "N/A")</f>
        <v>N/A</v>
      </c>
      <c r="W899" s="28" t="s">
        <v>1463</v>
      </c>
      <c r="X899" s="28" t="s">
        <v>2042</v>
      </c>
      <c r="Y899" s="28" t="s">
        <v>926</v>
      </c>
      <c r="Z899" s="28">
        <v>20060000002470</v>
      </c>
      <c r="AA899" s="28"/>
      <c r="AB899" s="28" t="s">
        <v>1465</v>
      </c>
      <c r="AC899" s="28" t="s">
        <v>1466</v>
      </c>
    </row>
    <row r="900" spans="1:29" x14ac:dyDescent="0.25">
      <c r="A900" s="61">
        <v>110037256812</v>
      </c>
      <c r="B900" s="28">
        <v>2017</v>
      </c>
      <c r="C900" s="68">
        <f t="shared" si="14"/>
        <v>42736</v>
      </c>
      <c r="D900" s="28" t="s">
        <v>1254</v>
      </c>
      <c r="E900" s="28" t="s">
        <v>2043</v>
      </c>
      <c r="F900" s="28" t="s">
        <v>1255</v>
      </c>
      <c r="G900" s="28" t="s">
        <v>366</v>
      </c>
      <c r="H900" s="28">
        <v>93043</v>
      </c>
      <c r="I900" s="28">
        <v>34.147221999999999</v>
      </c>
      <c r="J900" s="28">
        <v>-119.211111</v>
      </c>
      <c r="L900" s="61">
        <v>110037256812</v>
      </c>
      <c r="M900" s="28" t="s">
        <v>261</v>
      </c>
      <c r="N900" s="28">
        <v>9711</v>
      </c>
      <c r="O900" s="28" t="str">
        <f>IFERROR(VLOOKUP(N900, 'SIC &amp; NAICS Codes'!A:B, 2, FALSE), "")</f>
        <v>National Security</v>
      </c>
      <c r="S900" s="28">
        <v>8.5475504359999906E-3</v>
      </c>
      <c r="T900" s="315">
        <f>_xlfn.MAXIFS('Raw Period DMR Data'!$O:$O,'Raw Period DMR Data'!$A:$A,'Raw Annual DMR Data'!B900,'Raw Period DMR Data'!$C:$C,X900)/S900</f>
        <v>0</v>
      </c>
      <c r="U900" s="28" t="str">
        <f>+IF(COUNTIFS('Raw Period DMR Data'!$A:$A,B900, 'Raw Period DMR Data'!C:C,'Raw Annual DMR Data'!X900, 'Raw Period DMR Data'!M:M, "&gt;0")&gt;0,_xlfn.MAXIFS('Raw Period DMR Data'!M:M,'Raw Period DMR Data'!$A:$A,'Raw Annual DMR Data'!B900,'Raw Period DMR Data'!C:C,'Raw Annual DMR Data'!X900), "N/A - Period DMR Data Not Available")</f>
        <v>N/A - Period DMR Data Not Available</v>
      </c>
      <c r="V900" s="28" t="str" cm="1">
        <f t="array" ref="V900">IFERROR(INDEX('Raw Period DMR Data'!N:N,MATCH(1,(B900='Raw Period DMR Data'!$A:$A)*(U900='Raw Period DMR Data'!M:M)*(X900='Raw Period DMR Data'!C:C),0),1), "N/A")</f>
        <v>N/A</v>
      </c>
      <c r="W900" s="28" t="s">
        <v>1463</v>
      </c>
      <c r="X900" s="28" t="s">
        <v>2044</v>
      </c>
      <c r="Y900" s="28" t="s">
        <v>2045</v>
      </c>
      <c r="Z900" s="28">
        <v>18070103000061</v>
      </c>
      <c r="AA900" s="28"/>
      <c r="AB900" s="28" t="s">
        <v>1465</v>
      </c>
      <c r="AC900" s="28" t="s">
        <v>1466</v>
      </c>
    </row>
    <row r="901" spans="1:29" x14ac:dyDescent="0.25">
      <c r="A901" s="61">
        <v>110037256812</v>
      </c>
      <c r="B901" s="28">
        <v>2018</v>
      </c>
      <c r="C901" s="68">
        <f t="shared" si="14"/>
        <v>43101</v>
      </c>
      <c r="D901" s="28" t="s">
        <v>1254</v>
      </c>
      <c r="E901" s="28" t="s">
        <v>2043</v>
      </c>
      <c r="F901" s="28" t="s">
        <v>1255</v>
      </c>
      <c r="G901" s="28" t="s">
        <v>366</v>
      </c>
      <c r="H901" s="28">
        <v>93043</v>
      </c>
      <c r="I901" s="28">
        <v>34.147221999999999</v>
      </c>
      <c r="J901" s="28">
        <v>-119.211111</v>
      </c>
      <c r="L901" s="61">
        <v>110037256812</v>
      </c>
      <c r="M901" s="28" t="s">
        <v>261</v>
      </c>
      <c r="N901" s="28">
        <v>9711</v>
      </c>
      <c r="O901" s="28" t="str">
        <f>IFERROR(VLOOKUP(N901, 'SIC &amp; NAICS Codes'!A:B, 2, FALSE), "")</f>
        <v>National Security</v>
      </c>
      <c r="S901" s="302">
        <v>3.3310418993499902E-3</v>
      </c>
      <c r="T901" s="315">
        <f>_xlfn.MAXIFS('Raw Period DMR Data'!$O:$O,'Raw Period DMR Data'!$A:$A,'Raw Annual DMR Data'!B901,'Raw Period DMR Data'!$C:$C,X901)/S901</f>
        <v>0</v>
      </c>
      <c r="U901" s="28" t="str">
        <f>+IF(COUNTIFS('Raw Period DMR Data'!$A:$A,B901, 'Raw Period DMR Data'!C:C,'Raw Annual DMR Data'!X901, 'Raw Period DMR Data'!M:M, "&gt;0")&gt;0,_xlfn.MAXIFS('Raw Period DMR Data'!M:M,'Raw Period DMR Data'!$A:$A,'Raw Annual DMR Data'!B901,'Raw Period DMR Data'!C:C,'Raw Annual DMR Data'!X901), "N/A - Period DMR Data Not Available")</f>
        <v>N/A - Period DMR Data Not Available</v>
      </c>
      <c r="V901" s="28" t="str" cm="1">
        <f t="array" ref="V901">IFERROR(INDEX('Raw Period DMR Data'!N:N,MATCH(1,(B901='Raw Period DMR Data'!$A:$A)*(U901='Raw Period DMR Data'!M:M)*(X901='Raw Period DMR Data'!C:C),0),1), "N/A")</f>
        <v>N/A</v>
      </c>
      <c r="W901" s="28" t="s">
        <v>1463</v>
      </c>
      <c r="X901" s="28" t="s">
        <v>2044</v>
      </c>
      <c r="Y901" s="28" t="s">
        <v>2045</v>
      </c>
      <c r="Z901" s="28">
        <v>18070103000061</v>
      </c>
      <c r="AA901" s="28"/>
      <c r="AB901" s="28" t="s">
        <v>1465</v>
      </c>
      <c r="AC901" s="28" t="s">
        <v>1466</v>
      </c>
    </row>
    <row r="902" spans="1:29" x14ac:dyDescent="0.25">
      <c r="A902" s="61">
        <v>110000519920</v>
      </c>
      <c r="B902" s="28">
        <v>2020</v>
      </c>
      <c r="C902" s="68">
        <f t="shared" si="14"/>
        <v>43831</v>
      </c>
      <c r="D902" s="28" t="s">
        <v>1256</v>
      </c>
      <c r="E902" s="28" t="s">
        <v>2046</v>
      </c>
      <c r="F902" s="28" t="s">
        <v>549</v>
      </c>
      <c r="G902" s="28" t="s">
        <v>366</v>
      </c>
      <c r="H902" s="28">
        <v>95959</v>
      </c>
      <c r="I902" s="28">
        <v>39.259749999999997</v>
      </c>
      <c r="J902" s="28">
        <v>-121.03075</v>
      </c>
      <c r="L902" s="61">
        <v>110000519920</v>
      </c>
      <c r="M902" s="28" t="s">
        <v>263</v>
      </c>
      <c r="N902" s="28">
        <v>4952</v>
      </c>
      <c r="O902" s="28" t="str">
        <f>IFERROR(VLOOKUP(N902, 'SIC &amp; NAICS Codes'!A:B, 2, FALSE), "")</f>
        <v>Sewerage Systems</v>
      </c>
      <c r="S902" s="28">
        <v>6.7206460000000003E-3</v>
      </c>
      <c r="T902" s="315">
        <f>_xlfn.MAXIFS('Raw Period DMR Data'!$O:$O,'Raw Period DMR Data'!$A:$A,'Raw Annual DMR Data'!B902,'Raw Period DMR Data'!$C:$C,X902)/S902</f>
        <v>0</v>
      </c>
      <c r="U902" s="28" t="str">
        <f>+IF(COUNTIFS('Raw Period DMR Data'!$A:$A,B902, 'Raw Period DMR Data'!C:C,'Raw Annual DMR Data'!X902, 'Raw Period DMR Data'!M:M, "&gt;0")&gt;0,_xlfn.MAXIFS('Raw Period DMR Data'!M:M,'Raw Period DMR Data'!$A:$A,'Raw Annual DMR Data'!B902,'Raw Period DMR Data'!C:C,'Raw Annual DMR Data'!X902), "N/A - Period DMR Data Not Available")</f>
        <v>N/A - Period DMR Data Not Available</v>
      </c>
      <c r="V902" s="28" t="str" cm="1">
        <f t="array" ref="V902">IFERROR(INDEX('Raw Period DMR Data'!N:N,MATCH(1,(B902='Raw Period DMR Data'!$A:$A)*(U902='Raw Period DMR Data'!M:M)*(X902='Raw Period DMR Data'!C:C),0),1), "N/A")</f>
        <v>N/A</v>
      </c>
      <c r="W902" s="28" t="s">
        <v>1463</v>
      </c>
      <c r="X902" s="28" t="s">
        <v>2047</v>
      </c>
      <c r="Y902" s="28" t="s">
        <v>1672</v>
      </c>
      <c r="Z902" s="28">
        <v>18020125000668</v>
      </c>
      <c r="AA902" s="28"/>
      <c r="AB902" s="28" t="s">
        <v>1465</v>
      </c>
      <c r="AC902" s="28" t="s">
        <v>263</v>
      </c>
    </row>
    <row r="903" spans="1:29" x14ac:dyDescent="0.25">
      <c r="A903" s="61">
        <v>110001177958</v>
      </c>
      <c r="B903" s="28">
        <v>2020</v>
      </c>
      <c r="C903" s="68">
        <f t="shared" si="14"/>
        <v>43831</v>
      </c>
      <c r="D903" s="28" t="s">
        <v>1257</v>
      </c>
      <c r="E903" s="28" t="s">
        <v>2048</v>
      </c>
      <c r="F903" s="28" t="s">
        <v>1258</v>
      </c>
      <c r="G903" s="28" t="s">
        <v>366</v>
      </c>
      <c r="H903" s="28">
        <v>92257</v>
      </c>
      <c r="I903" s="28">
        <v>33.227348999999997</v>
      </c>
      <c r="J903" s="28">
        <v>-115.528569</v>
      </c>
      <c r="L903" s="61">
        <v>110001177958</v>
      </c>
      <c r="M903" s="28" t="s">
        <v>263</v>
      </c>
      <c r="N903" s="28">
        <v>4952</v>
      </c>
      <c r="O903" s="28" t="str">
        <f>IFERROR(VLOOKUP(N903, 'SIC &amp; NAICS Codes'!A:B, 2, FALSE), "")</f>
        <v>Sewerage Systems</v>
      </c>
      <c r="S903" s="28">
        <v>2.83212625E-2</v>
      </c>
      <c r="T903" s="315">
        <f>_xlfn.MAXIFS('Raw Period DMR Data'!$O:$O,'Raw Period DMR Data'!$A:$A,'Raw Annual DMR Data'!B903,'Raw Period DMR Data'!$C:$C,X903)/S903</f>
        <v>0</v>
      </c>
      <c r="U903" s="28" t="str">
        <f>+IF(COUNTIFS('Raw Period DMR Data'!$A:$A,B903, 'Raw Period DMR Data'!C:C,'Raw Annual DMR Data'!X903, 'Raw Period DMR Data'!M:M, "&gt;0")&gt;0,_xlfn.MAXIFS('Raw Period DMR Data'!M:M,'Raw Period DMR Data'!$A:$A,'Raw Annual DMR Data'!B903,'Raw Period DMR Data'!C:C,'Raw Annual DMR Data'!X903), "N/A - Period DMR Data Not Available")</f>
        <v>N/A - Period DMR Data Not Available</v>
      </c>
      <c r="V903" s="28" t="str" cm="1">
        <f t="array" ref="V903">IFERROR(INDEX('Raw Period DMR Data'!N:N,MATCH(1,(B903='Raw Period DMR Data'!$A:$A)*(U903='Raw Period DMR Data'!M:M)*(X903='Raw Period DMR Data'!C:C),0),1), "N/A")</f>
        <v>N/A</v>
      </c>
      <c r="W903" s="28" t="s">
        <v>1463</v>
      </c>
      <c r="X903" s="28" t="s">
        <v>2049</v>
      </c>
      <c r="Y903" s="28" t="s">
        <v>2050</v>
      </c>
      <c r="Z903" s="28">
        <v>18100204011079</v>
      </c>
      <c r="AA903" s="28"/>
      <c r="AB903" s="28" t="s">
        <v>1465</v>
      </c>
      <c r="AC903" s="28" t="s">
        <v>263</v>
      </c>
    </row>
    <row r="904" spans="1:29" x14ac:dyDescent="0.25">
      <c r="A904" s="61">
        <v>110028190419</v>
      </c>
      <c r="B904" s="28">
        <v>2015</v>
      </c>
      <c r="C904" s="68">
        <f t="shared" si="14"/>
        <v>42005</v>
      </c>
      <c r="D904" s="28" t="s">
        <v>1259</v>
      </c>
      <c r="E904" s="28" t="s">
        <v>2051</v>
      </c>
      <c r="F904" s="28" t="s">
        <v>1260</v>
      </c>
      <c r="G904" s="28" t="s">
        <v>374</v>
      </c>
      <c r="H904" s="28">
        <v>85648</v>
      </c>
      <c r="I904" s="28">
        <v>31.456666999999999</v>
      </c>
      <c r="J904" s="28">
        <v>-110.968056</v>
      </c>
      <c r="L904" s="61">
        <v>110028190419</v>
      </c>
      <c r="M904" s="28" t="s">
        <v>263</v>
      </c>
      <c r="N904" s="28">
        <v>4952</v>
      </c>
      <c r="O904" s="28" t="str">
        <f>IFERROR(VLOOKUP(N904, 'SIC &amp; NAICS Codes'!A:B, 2, FALSE), "")</f>
        <v>Sewerage Systems</v>
      </c>
      <c r="S904" s="28">
        <v>19.451872000000002</v>
      </c>
      <c r="T904" s="315">
        <f>_xlfn.MAXIFS('Raw Period DMR Data'!$O:$O,'Raw Period DMR Data'!$A:$A,'Raw Annual DMR Data'!B904,'Raw Period DMR Data'!$C:$C,X904)/S904</f>
        <v>0</v>
      </c>
      <c r="U904" s="28" t="str">
        <f>+IF(COUNTIFS('Raw Period DMR Data'!$A:$A,B904, 'Raw Period DMR Data'!C:C,'Raw Annual DMR Data'!X904, 'Raw Period DMR Data'!M:M, "&gt;0")&gt;0,_xlfn.MAXIFS('Raw Period DMR Data'!M:M,'Raw Period DMR Data'!$A:$A,'Raw Annual DMR Data'!B904,'Raw Period DMR Data'!C:C,'Raw Annual DMR Data'!X904), "N/A - Period DMR Data Not Available")</f>
        <v>N/A - Period DMR Data Not Available</v>
      </c>
      <c r="V904" s="28" t="str" cm="1">
        <f t="array" ref="V904">IFERROR(INDEX('Raw Period DMR Data'!N:N,MATCH(1,(B904='Raw Period DMR Data'!$A:$A)*(U904='Raw Period DMR Data'!M:M)*(X904='Raw Period DMR Data'!C:C),0),1), "N/A")</f>
        <v>N/A</v>
      </c>
      <c r="W904" s="28" t="s">
        <v>1463</v>
      </c>
      <c r="X904" s="28" t="s">
        <v>2052</v>
      </c>
      <c r="Z904" s="28">
        <v>15010001000530</v>
      </c>
      <c r="AA904" s="28"/>
      <c r="AB904" s="28" t="s">
        <v>1465</v>
      </c>
      <c r="AC904" s="28" t="s">
        <v>1466</v>
      </c>
    </row>
    <row r="905" spans="1:29" x14ac:dyDescent="0.25">
      <c r="A905" s="61">
        <v>110001076978</v>
      </c>
      <c r="B905" s="28">
        <v>2015</v>
      </c>
      <c r="C905" s="68">
        <f t="shared" si="14"/>
        <v>42005</v>
      </c>
      <c r="D905" s="28" t="s">
        <v>1261</v>
      </c>
      <c r="E905" s="28" t="s">
        <v>2053</v>
      </c>
      <c r="F905" s="28" t="s">
        <v>966</v>
      </c>
      <c r="G905" s="28" t="s">
        <v>491</v>
      </c>
      <c r="H905" s="28" t="s">
        <v>2054</v>
      </c>
      <c r="I905" s="28">
        <v>39.991410000000002</v>
      </c>
      <c r="J905" s="28">
        <v>-75.085030000000003</v>
      </c>
      <c r="L905" s="61">
        <v>110001076978</v>
      </c>
      <c r="M905" s="28" t="s">
        <v>263</v>
      </c>
      <c r="N905" s="28">
        <v>4952</v>
      </c>
      <c r="O905" s="28" t="str">
        <f>IFERROR(VLOOKUP(N905, 'SIC &amp; NAICS Codes'!A:B, 2, FALSE), "")</f>
        <v>Sewerage Systems</v>
      </c>
      <c r="S905" s="28">
        <v>537.65925000000004</v>
      </c>
      <c r="T905" s="315">
        <f>_xlfn.MAXIFS('Raw Period DMR Data'!$O:$O,'Raw Period DMR Data'!$A:$A,'Raw Annual DMR Data'!B905,'Raw Period DMR Data'!$C:$C,X905)/S905</f>
        <v>0</v>
      </c>
      <c r="U905" s="28" t="str">
        <f>+IF(COUNTIFS('Raw Period DMR Data'!$A:$A,B905, 'Raw Period DMR Data'!C:C,'Raw Annual DMR Data'!X905, 'Raw Period DMR Data'!M:M, "&gt;0")&gt;0,_xlfn.MAXIFS('Raw Period DMR Data'!M:M,'Raw Period DMR Data'!$A:$A,'Raw Annual DMR Data'!B905,'Raw Period DMR Data'!C:C,'Raw Annual DMR Data'!X905), "N/A - Period DMR Data Not Available")</f>
        <v>N/A - Period DMR Data Not Available</v>
      </c>
      <c r="V905" s="28" t="str" cm="1">
        <f t="array" ref="V905">IFERROR(INDEX('Raw Period DMR Data'!N:N,MATCH(1,(B905='Raw Period DMR Data'!$A:$A)*(U905='Raw Period DMR Data'!M:M)*(X905='Raw Period DMR Data'!C:C),0),1), "N/A")</f>
        <v>N/A</v>
      </c>
      <c r="W905" s="28" t="s">
        <v>1463</v>
      </c>
      <c r="X905" s="28" t="s">
        <v>2055</v>
      </c>
      <c r="Y905" s="28" t="s">
        <v>2056</v>
      </c>
      <c r="Z905" s="28">
        <v>2040202001980</v>
      </c>
      <c r="AA905" s="28"/>
      <c r="AB905" s="28" t="s">
        <v>1465</v>
      </c>
      <c r="AC905" s="28" t="s">
        <v>263</v>
      </c>
    </row>
    <row r="906" spans="1:29" x14ac:dyDescent="0.25">
      <c r="A906" s="61">
        <v>110001076978</v>
      </c>
      <c r="B906" s="28">
        <v>2016</v>
      </c>
      <c r="C906" s="68">
        <f t="shared" si="14"/>
        <v>42370</v>
      </c>
      <c r="D906" s="28" t="s">
        <v>1261</v>
      </c>
      <c r="E906" s="28" t="s">
        <v>2053</v>
      </c>
      <c r="F906" s="28" t="s">
        <v>966</v>
      </c>
      <c r="G906" s="28" t="s">
        <v>491</v>
      </c>
      <c r="H906" s="28" t="s">
        <v>2054</v>
      </c>
      <c r="I906" s="28">
        <v>39.991410000000002</v>
      </c>
      <c r="J906" s="28">
        <v>-75.085030000000003</v>
      </c>
      <c r="L906" s="61">
        <v>110001076978</v>
      </c>
      <c r="M906" s="28" t="s">
        <v>263</v>
      </c>
      <c r="N906" s="28">
        <v>4952</v>
      </c>
      <c r="O906" s="28" t="str">
        <f>IFERROR(VLOOKUP(N906, 'SIC &amp; NAICS Codes'!A:B, 2, FALSE), "")</f>
        <v>Sewerage Systems</v>
      </c>
      <c r="S906" s="28">
        <v>195.89362125</v>
      </c>
      <c r="T906" s="315">
        <f>_xlfn.MAXIFS('Raw Period DMR Data'!$O:$O,'Raw Period DMR Data'!$A:$A,'Raw Annual DMR Data'!B906,'Raw Period DMR Data'!$C:$C,X906)/S906</f>
        <v>0</v>
      </c>
      <c r="U906" s="28" t="str">
        <f>+IF(COUNTIFS('Raw Period DMR Data'!$A:$A,B906, 'Raw Period DMR Data'!C:C,'Raw Annual DMR Data'!X906, 'Raw Period DMR Data'!M:M, "&gt;0")&gt;0,_xlfn.MAXIFS('Raw Period DMR Data'!M:M,'Raw Period DMR Data'!$A:$A,'Raw Annual DMR Data'!B906,'Raw Period DMR Data'!C:C,'Raw Annual DMR Data'!X906), "N/A - Period DMR Data Not Available")</f>
        <v>N/A - Period DMR Data Not Available</v>
      </c>
      <c r="V906" s="28" t="str" cm="1">
        <f t="array" ref="V906">IFERROR(INDEX('Raw Period DMR Data'!N:N,MATCH(1,(B906='Raw Period DMR Data'!$A:$A)*(U906='Raw Period DMR Data'!M:M)*(X906='Raw Period DMR Data'!C:C),0),1), "N/A")</f>
        <v>N/A</v>
      </c>
      <c r="W906" s="28" t="s">
        <v>1463</v>
      </c>
      <c r="X906" s="28" t="s">
        <v>2055</v>
      </c>
      <c r="Y906" s="28" t="s">
        <v>2056</v>
      </c>
      <c r="Z906" s="28">
        <v>2040202001980</v>
      </c>
      <c r="AA906" s="28"/>
      <c r="AB906" s="28" t="s">
        <v>1465</v>
      </c>
      <c r="AC906" s="28" t="s">
        <v>263</v>
      </c>
    </row>
    <row r="907" spans="1:29" x14ac:dyDescent="0.25">
      <c r="A907" s="61">
        <v>110001076978</v>
      </c>
      <c r="B907" s="28">
        <v>2017</v>
      </c>
      <c r="C907" s="68">
        <f t="shared" si="14"/>
        <v>42736</v>
      </c>
      <c r="D907" s="28" t="s">
        <v>1261</v>
      </c>
      <c r="E907" s="28" t="s">
        <v>2053</v>
      </c>
      <c r="F907" s="28" t="s">
        <v>966</v>
      </c>
      <c r="G907" s="28" t="s">
        <v>491</v>
      </c>
      <c r="H907" s="28" t="s">
        <v>2054</v>
      </c>
      <c r="I907" s="28">
        <v>39.991410000000002</v>
      </c>
      <c r="J907" s="28">
        <v>-75.085030000000003</v>
      </c>
      <c r="L907" s="61">
        <v>110001076978</v>
      </c>
      <c r="M907" s="28" t="s">
        <v>263</v>
      </c>
      <c r="N907" s="28">
        <v>4952</v>
      </c>
      <c r="O907" s="28" t="str">
        <f>IFERROR(VLOOKUP(N907, 'SIC &amp; NAICS Codes'!A:B, 2, FALSE), "")</f>
        <v>Sewerage Systems</v>
      </c>
      <c r="S907" s="28">
        <v>179.66259500000001</v>
      </c>
      <c r="T907" s="315">
        <f>_xlfn.MAXIFS('Raw Period DMR Data'!$O:$O,'Raw Period DMR Data'!$A:$A,'Raw Annual DMR Data'!B907,'Raw Period DMR Data'!$C:$C,X907)/S907</f>
        <v>0</v>
      </c>
      <c r="U907" s="28" t="str">
        <f>+IF(COUNTIFS('Raw Period DMR Data'!$A:$A,B907, 'Raw Period DMR Data'!C:C,'Raw Annual DMR Data'!X907, 'Raw Period DMR Data'!M:M, "&gt;0")&gt;0,_xlfn.MAXIFS('Raw Period DMR Data'!M:M,'Raw Period DMR Data'!$A:$A,'Raw Annual DMR Data'!B907,'Raw Period DMR Data'!C:C,'Raw Annual DMR Data'!X907), "N/A - Period DMR Data Not Available")</f>
        <v>N/A - Period DMR Data Not Available</v>
      </c>
      <c r="V907" s="28" t="str" cm="1">
        <f t="array" ref="V907">IFERROR(INDEX('Raw Period DMR Data'!N:N,MATCH(1,(B907='Raw Period DMR Data'!$A:$A)*(U907='Raw Period DMR Data'!M:M)*(X907='Raw Period DMR Data'!C:C),0),1), "N/A")</f>
        <v>N/A</v>
      </c>
      <c r="W907" s="28" t="s">
        <v>1463</v>
      </c>
      <c r="X907" s="28" t="s">
        <v>2055</v>
      </c>
      <c r="Y907" s="28" t="s">
        <v>2056</v>
      </c>
      <c r="Z907" s="28">
        <v>2040202001980</v>
      </c>
      <c r="AA907" s="28"/>
      <c r="AB907" s="28" t="s">
        <v>1465</v>
      </c>
      <c r="AC907" s="28" t="s">
        <v>263</v>
      </c>
    </row>
    <row r="908" spans="1:29" x14ac:dyDescent="0.25">
      <c r="A908" s="61">
        <v>110001076978</v>
      </c>
      <c r="B908" s="28">
        <v>2018</v>
      </c>
      <c r="C908" s="68">
        <f t="shared" si="14"/>
        <v>43101</v>
      </c>
      <c r="D908" s="28" t="s">
        <v>1261</v>
      </c>
      <c r="E908" s="28" t="s">
        <v>2053</v>
      </c>
      <c r="F908" s="28" t="s">
        <v>966</v>
      </c>
      <c r="G908" s="28" t="s">
        <v>491</v>
      </c>
      <c r="H908" s="28" t="s">
        <v>2054</v>
      </c>
      <c r="I908" s="28">
        <v>39.991410000000002</v>
      </c>
      <c r="J908" s="28">
        <v>-75.085030000000003</v>
      </c>
      <c r="L908" s="61">
        <v>110001076978</v>
      </c>
      <c r="M908" s="28" t="s">
        <v>263</v>
      </c>
      <c r="N908" s="28">
        <v>4952</v>
      </c>
      <c r="O908" s="28" t="str">
        <f>IFERROR(VLOOKUP(N908, 'SIC &amp; NAICS Codes'!A:B, 2, FALSE), "")</f>
        <v>Sewerage Systems</v>
      </c>
      <c r="S908" s="28">
        <v>69.124508750000004</v>
      </c>
      <c r="T908" s="315">
        <f>_xlfn.MAXIFS('Raw Period DMR Data'!$O:$O,'Raw Period DMR Data'!$A:$A,'Raw Annual DMR Data'!B908,'Raw Period DMR Data'!$C:$C,X908)/S908</f>
        <v>0</v>
      </c>
      <c r="U908" s="28" t="str">
        <f>+IF(COUNTIFS('Raw Period DMR Data'!$A:$A,B908, 'Raw Period DMR Data'!C:C,'Raw Annual DMR Data'!X908, 'Raw Period DMR Data'!M:M, "&gt;0")&gt;0,_xlfn.MAXIFS('Raw Period DMR Data'!M:M,'Raw Period DMR Data'!$A:$A,'Raw Annual DMR Data'!B908,'Raw Period DMR Data'!C:C,'Raw Annual DMR Data'!X908), "N/A - Period DMR Data Not Available")</f>
        <v>N/A - Period DMR Data Not Available</v>
      </c>
      <c r="V908" s="28" t="str" cm="1">
        <f t="array" ref="V908">IFERROR(INDEX('Raw Period DMR Data'!N:N,MATCH(1,(B908='Raw Period DMR Data'!$A:$A)*(U908='Raw Period DMR Data'!M:M)*(X908='Raw Period DMR Data'!C:C),0),1), "N/A")</f>
        <v>N/A</v>
      </c>
      <c r="W908" s="28" t="s">
        <v>1463</v>
      </c>
      <c r="X908" s="28" t="s">
        <v>2055</v>
      </c>
      <c r="Y908" s="28" t="s">
        <v>2056</v>
      </c>
      <c r="Z908" s="302" t="s">
        <v>2057</v>
      </c>
      <c r="AA908" s="28"/>
      <c r="AB908" s="28" t="s">
        <v>1465</v>
      </c>
      <c r="AC908" s="28" t="s">
        <v>263</v>
      </c>
    </row>
    <row r="909" spans="1:29" x14ac:dyDescent="0.25">
      <c r="A909" s="61">
        <v>110001076978</v>
      </c>
      <c r="B909" s="28">
        <v>2019</v>
      </c>
      <c r="C909" s="68">
        <f t="shared" si="14"/>
        <v>43466</v>
      </c>
      <c r="D909" s="28" t="s">
        <v>1261</v>
      </c>
      <c r="E909" s="28" t="s">
        <v>2053</v>
      </c>
      <c r="F909" s="28" t="s">
        <v>966</v>
      </c>
      <c r="G909" s="28" t="s">
        <v>491</v>
      </c>
      <c r="H909" s="28" t="s">
        <v>2054</v>
      </c>
      <c r="I909" s="28">
        <v>39.991410000000002</v>
      </c>
      <c r="J909" s="28">
        <v>-75.085030000000003</v>
      </c>
      <c r="L909" s="61">
        <v>110001076978</v>
      </c>
      <c r="M909" s="28" t="s">
        <v>263</v>
      </c>
      <c r="N909" s="28">
        <v>4952</v>
      </c>
      <c r="O909" s="28" t="str">
        <f>IFERROR(VLOOKUP(N909, 'SIC &amp; NAICS Codes'!A:B, 2, FALSE), "")</f>
        <v>Sewerage Systems</v>
      </c>
      <c r="S909" s="28">
        <v>65.471037499999994</v>
      </c>
      <c r="T909" s="315">
        <f>_xlfn.MAXIFS('Raw Period DMR Data'!$O:$O,'Raw Period DMR Data'!$A:$A,'Raw Annual DMR Data'!B909,'Raw Period DMR Data'!$C:$C,X909)/S909</f>
        <v>0</v>
      </c>
      <c r="U909" s="28" t="str">
        <f>+IF(COUNTIFS('Raw Period DMR Data'!$A:$A,B909, 'Raw Period DMR Data'!C:C,'Raw Annual DMR Data'!X909, 'Raw Period DMR Data'!M:M, "&gt;0")&gt;0,_xlfn.MAXIFS('Raw Period DMR Data'!M:M,'Raw Period DMR Data'!$A:$A,'Raw Annual DMR Data'!B909,'Raw Period DMR Data'!C:C,'Raw Annual DMR Data'!X909), "N/A - Period DMR Data Not Available")</f>
        <v>N/A - Period DMR Data Not Available</v>
      </c>
      <c r="V909" s="28" t="str" cm="1">
        <f t="array" ref="V909">IFERROR(INDEX('Raw Period DMR Data'!N:N,MATCH(1,(B909='Raw Period DMR Data'!$A:$A)*(U909='Raw Period DMR Data'!M:M)*(X909='Raw Period DMR Data'!C:C),0),1), "N/A")</f>
        <v>N/A</v>
      </c>
      <c r="W909" s="28" t="s">
        <v>1463</v>
      </c>
      <c r="X909" s="28" t="s">
        <v>2055</v>
      </c>
      <c r="Y909" s="28" t="s">
        <v>2056</v>
      </c>
      <c r="Z909" s="28">
        <v>2040202001980</v>
      </c>
      <c r="AA909" s="28"/>
      <c r="AB909" s="28" t="s">
        <v>1465</v>
      </c>
      <c r="AC909" s="28" t="s">
        <v>263</v>
      </c>
    </row>
    <row r="910" spans="1:29" x14ac:dyDescent="0.25">
      <c r="A910" s="61">
        <v>110001076978</v>
      </c>
      <c r="B910" s="28">
        <v>2020</v>
      </c>
      <c r="C910" s="68">
        <f t="shared" si="14"/>
        <v>43831</v>
      </c>
      <c r="D910" s="28" t="s">
        <v>1261</v>
      </c>
      <c r="E910" s="28" t="s">
        <v>2053</v>
      </c>
      <c r="F910" s="28" t="s">
        <v>966</v>
      </c>
      <c r="G910" s="28" t="s">
        <v>491</v>
      </c>
      <c r="H910" s="28" t="s">
        <v>2054</v>
      </c>
      <c r="I910" s="28">
        <v>39.991410000000002</v>
      </c>
      <c r="J910" s="28">
        <v>-75.085030000000003</v>
      </c>
      <c r="L910" s="61">
        <v>110001076978</v>
      </c>
      <c r="M910" s="28" t="s">
        <v>263</v>
      </c>
      <c r="N910" s="28">
        <v>4952</v>
      </c>
      <c r="O910" s="28" t="str">
        <f>IFERROR(VLOOKUP(N910, 'SIC &amp; NAICS Codes'!A:B, 2, FALSE), "")</f>
        <v>Sewerage Systems</v>
      </c>
      <c r="S910" s="28">
        <v>58.7980825</v>
      </c>
      <c r="T910" s="315">
        <f>_xlfn.MAXIFS('Raw Period DMR Data'!$O:$O,'Raw Period DMR Data'!$A:$A,'Raw Annual DMR Data'!B910,'Raw Period DMR Data'!$C:$C,X910)/S910</f>
        <v>0</v>
      </c>
      <c r="U910" s="28" t="str">
        <f>+IF(COUNTIFS('Raw Period DMR Data'!$A:$A,B910, 'Raw Period DMR Data'!C:C,'Raw Annual DMR Data'!X910, 'Raw Period DMR Data'!M:M, "&gt;0")&gt;0,_xlfn.MAXIFS('Raw Period DMR Data'!M:M,'Raw Period DMR Data'!$A:$A,'Raw Annual DMR Data'!B910,'Raw Period DMR Data'!C:C,'Raw Annual DMR Data'!X910), "N/A - Period DMR Data Not Available")</f>
        <v>N/A - Period DMR Data Not Available</v>
      </c>
      <c r="V910" s="28" t="str" cm="1">
        <f t="array" ref="V910">IFERROR(INDEX('Raw Period DMR Data'!N:N,MATCH(1,(B910='Raw Period DMR Data'!$A:$A)*(U910='Raw Period DMR Data'!M:M)*(X910='Raw Period DMR Data'!C:C),0),1), "N/A")</f>
        <v>N/A</v>
      </c>
      <c r="W910" s="28" t="s">
        <v>1463</v>
      </c>
      <c r="X910" s="28" t="s">
        <v>2055</v>
      </c>
      <c r="Y910" s="28" t="s">
        <v>2056</v>
      </c>
      <c r="Z910" s="28">
        <v>2040202001980</v>
      </c>
      <c r="AA910" s="28"/>
      <c r="AB910" s="28" t="s">
        <v>1465</v>
      </c>
      <c r="AC910" s="28" t="s">
        <v>263</v>
      </c>
    </row>
    <row r="911" spans="1:29" x14ac:dyDescent="0.25">
      <c r="A911" s="61">
        <v>110039639736</v>
      </c>
      <c r="B911" s="28">
        <v>2020</v>
      </c>
      <c r="C911" s="68">
        <f t="shared" si="14"/>
        <v>43831</v>
      </c>
      <c r="D911" s="28" t="s">
        <v>1262</v>
      </c>
      <c r="E911" s="28" t="s">
        <v>2058</v>
      </c>
      <c r="F911" s="28" t="s">
        <v>1263</v>
      </c>
      <c r="G911" s="28" t="s">
        <v>324</v>
      </c>
      <c r="H911" s="28">
        <v>41018</v>
      </c>
      <c r="I911" s="28">
        <v>39.058610999999999</v>
      </c>
      <c r="J911" s="28">
        <v>-84.618055999999996</v>
      </c>
      <c r="L911" s="61">
        <v>110039639736</v>
      </c>
      <c r="M911" s="28" t="s">
        <v>263</v>
      </c>
      <c r="N911" s="28">
        <v>4952</v>
      </c>
      <c r="O911" s="28" t="str">
        <f>IFERROR(VLOOKUP(N911, 'SIC &amp; NAICS Codes'!A:B, 2, FALSE), "")</f>
        <v>Sewerage Systems</v>
      </c>
      <c r="S911" s="28">
        <v>1.6944404125E-2</v>
      </c>
      <c r="T911" s="315">
        <f>_xlfn.MAXIFS('Raw Period DMR Data'!$O:$O,'Raw Period DMR Data'!$A:$A,'Raw Annual DMR Data'!B911,'Raw Period DMR Data'!$C:$C,X911)/S911</f>
        <v>0</v>
      </c>
      <c r="U911" s="28" t="str">
        <f>+IF(COUNTIFS('Raw Period DMR Data'!$A:$A,B911, 'Raw Period DMR Data'!C:C,'Raw Annual DMR Data'!X911, 'Raw Period DMR Data'!M:M, "&gt;0")&gt;0,_xlfn.MAXIFS('Raw Period DMR Data'!M:M,'Raw Period DMR Data'!$A:$A,'Raw Annual DMR Data'!B911,'Raw Period DMR Data'!C:C,'Raw Annual DMR Data'!X911), "N/A - Period DMR Data Not Available")</f>
        <v>N/A - Period DMR Data Not Available</v>
      </c>
      <c r="V911" s="28" t="str" cm="1">
        <f t="array" ref="V911">IFERROR(INDEX('Raw Period DMR Data'!N:N,MATCH(1,(B911='Raw Period DMR Data'!$A:$A)*(U911='Raw Period DMR Data'!M:M)*(X911='Raw Period DMR Data'!C:C),0),1), "N/A")</f>
        <v>N/A</v>
      </c>
      <c r="W911" s="28" t="s">
        <v>1463</v>
      </c>
      <c r="X911" s="28" t="s">
        <v>2059</v>
      </c>
      <c r="Y911" s="28" t="s">
        <v>2060</v>
      </c>
      <c r="Z911" s="28">
        <v>5100101002662</v>
      </c>
      <c r="AA911" s="28"/>
      <c r="AB911" s="28" t="s">
        <v>1465</v>
      </c>
      <c r="AC911" s="28" t="s">
        <v>263</v>
      </c>
    </row>
    <row r="912" spans="1:29" x14ac:dyDescent="0.25">
      <c r="A912" s="61">
        <v>110016759444</v>
      </c>
      <c r="B912" s="28">
        <v>2018</v>
      </c>
      <c r="C912" s="68">
        <f t="shared" si="14"/>
        <v>43101</v>
      </c>
      <c r="D912" s="28" t="s">
        <v>1264</v>
      </c>
      <c r="E912" s="28" t="s">
        <v>2061</v>
      </c>
      <c r="F912" s="28" t="s">
        <v>1265</v>
      </c>
      <c r="G912" s="28" t="s">
        <v>324</v>
      </c>
      <c r="H912" s="28">
        <v>40475</v>
      </c>
      <c r="I912" s="28">
        <v>37.852220000000003</v>
      </c>
      <c r="J912" s="28">
        <v>-84.363079999999997</v>
      </c>
      <c r="L912" s="61">
        <v>110016759444</v>
      </c>
      <c r="M912" s="28" t="s">
        <v>263</v>
      </c>
      <c r="N912" s="28">
        <v>4952</v>
      </c>
      <c r="O912" s="28" t="str">
        <f>IFERROR(VLOOKUP(N912, 'SIC &amp; NAICS Codes'!A:B, 2, FALSE), "")</f>
        <v>Sewerage Systems</v>
      </c>
      <c r="S912" s="28">
        <v>0.82891499999999996</v>
      </c>
      <c r="T912" s="315">
        <f>_xlfn.MAXIFS('Raw Period DMR Data'!$O:$O,'Raw Period DMR Data'!$A:$A,'Raw Annual DMR Data'!B912,'Raw Period DMR Data'!$C:$C,X912)/S912</f>
        <v>0</v>
      </c>
      <c r="U912" s="28" t="str">
        <f>+IF(COUNTIFS('Raw Period DMR Data'!$A:$A,B912, 'Raw Period DMR Data'!C:C,'Raw Annual DMR Data'!X912, 'Raw Period DMR Data'!M:M, "&gt;0")&gt;0,_xlfn.MAXIFS('Raw Period DMR Data'!M:M,'Raw Period DMR Data'!$A:$A,'Raw Annual DMR Data'!B912,'Raw Period DMR Data'!C:C,'Raw Annual DMR Data'!X912), "N/A - Period DMR Data Not Available")</f>
        <v>N/A - Period DMR Data Not Available</v>
      </c>
      <c r="V912" s="28" t="str" cm="1">
        <f t="array" ref="V912">IFERROR(INDEX('Raw Period DMR Data'!N:N,MATCH(1,(B912='Raw Period DMR Data'!$A:$A)*(U912='Raw Period DMR Data'!M:M)*(X912='Raw Period DMR Data'!C:C),0),1), "N/A")</f>
        <v>N/A</v>
      </c>
      <c r="W912" s="28" t="s">
        <v>1463</v>
      </c>
      <c r="X912" s="28" t="s">
        <v>2062</v>
      </c>
      <c r="Y912" s="28" t="s">
        <v>2063</v>
      </c>
      <c r="Z912" s="302" t="s">
        <v>2064</v>
      </c>
      <c r="AA912" s="28"/>
      <c r="AB912" s="28" t="s">
        <v>1465</v>
      </c>
      <c r="AC912" s="28" t="s">
        <v>263</v>
      </c>
    </row>
    <row r="913" spans="1:29" x14ac:dyDescent="0.25">
      <c r="A913" s="61">
        <v>110016759444</v>
      </c>
      <c r="B913" s="28">
        <v>2019</v>
      </c>
      <c r="C913" s="68">
        <f t="shared" si="14"/>
        <v>43466</v>
      </c>
      <c r="D913" s="28" t="s">
        <v>1264</v>
      </c>
      <c r="E913" s="28" t="s">
        <v>2061</v>
      </c>
      <c r="F913" s="28" t="s">
        <v>1265</v>
      </c>
      <c r="G913" s="28" t="s">
        <v>324</v>
      </c>
      <c r="H913" s="28">
        <v>40475</v>
      </c>
      <c r="I913" s="28">
        <v>37.852220000000003</v>
      </c>
      <c r="J913" s="28">
        <v>-84.363079999999997</v>
      </c>
      <c r="L913" s="61">
        <v>110016759444</v>
      </c>
      <c r="M913" s="28" t="s">
        <v>263</v>
      </c>
      <c r="N913" s="28">
        <v>4952</v>
      </c>
      <c r="O913" s="28" t="str">
        <f>IFERROR(VLOOKUP(N913, 'SIC &amp; NAICS Codes'!A:B, 2, FALSE), "")</f>
        <v>Sewerage Systems</v>
      </c>
      <c r="S913" s="28">
        <v>0.97397512500000005</v>
      </c>
      <c r="T913" s="315">
        <f>_xlfn.MAXIFS('Raw Period DMR Data'!$O:$O,'Raw Period DMR Data'!$A:$A,'Raw Annual DMR Data'!B913,'Raw Period DMR Data'!$C:$C,X913)/S913</f>
        <v>0</v>
      </c>
      <c r="U913" s="28" t="str">
        <f>+IF(COUNTIFS('Raw Period DMR Data'!$A:$A,B913, 'Raw Period DMR Data'!C:C,'Raw Annual DMR Data'!X913, 'Raw Period DMR Data'!M:M, "&gt;0")&gt;0,_xlfn.MAXIFS('Raw Period DMR Data'!M:M,'Raw Period DMR Data'!$A:$A,'Raw Annual DMR Data'!B913,'Raw Period DMR Data'!C:C,'Raw Annual DMR Data'!X913), "N/A - Period DMR Data Not Available")</f>
        <v>N/A - Period DMR Data Not Available</v>
      </c>
      <c r="V913" s="28" t="str" cm="1">
        <f t="array" ref="V913">IFERROR(INDEX('Raw Period DMR Data'!N:N,MATCH(1,(B913='Raw Period DMR Data'!$A:$A)*(U913='Raw Period DMR Data'!M:M)*(X913='Raw Period DMR Data'!C:C),0),1), "N/A")</f>
        <v>N/A</v>
      </c>
      <c r="W913" s="28" t="s">
        <v>1463</v>
      </c>
      <c r="X913" s="28" t="s">
        <v>2062</v>
      </c>
      <c r="Y913" s="28" t="s">
        <v>2063</v>
      </c>
      <c r="Z913" s="28">
        <v>5100205000171</v>
      </c>
      <c r="AA913" s="28"/>
      <c r="AB913" s="28" t="s">
        <v>1465</v>
      </c>
      <c r="AC913" s="28" t="s">
        <v>263</v>
      </c>
    </row>
    <row r="914" spans="1:29" x14ac:dyDescent="0.25">
      <c r="A914" s="61">
        <v>110016759444</v>
      </c>
      <c r="B914" s="28">
        <v>2020</v>
      </c>
      <c r="C914" s="68">
        <f t="shared" si="14"/>
        <v>43831</v>
      </c>
      <c r="D914" s="28" t="s">
        <v>1264</v>
      </c>
      <c r="E914" s="28" t="s">
        <v>2061</v>
      </c>
      <c r="F914" s="28" t="s">
        <v>1265</v>
      </c>
      <c r="G914" s="28" t="s">
        <v>324</v>
      </c>
      <c r="H914" s="28">
        <v>40475</v>
      </c>
      <c r="I914" s="28">
        <v>37.852220000000003</v>
      </c>
      <c r="J914" s="28">
        <v>-84.363079999999997</v>
      </c>
      <c r="L914" s="61">
        <v>110016759444</v>
      </c>
      <c r="M914" s="28" t="s">
        <v>263</v>
      </c>
      <c r="N914" s="28">
        <v>4952</v>
      </c>
      <c r="O914" s="28" t="str">
        <f>IFERROR(VLOOKUP(N914, 'SIC &amp; NAICS Codes'!A:B, 2, FALSE), "")</f>
        <v>Sewerage Systems</v>
      </c>
      <c r="S914" s="28">
        <v>0.28597567499999998</v>
      </c>
      <c r="T914" s="315">
        <f>_xlfn.MAXIFS('Raw Period DMR Data'!$O:$O,'Raw Period DMR Data'!$A:$A,'Raw Annual DMR Data'!B914,'Raw Period DMR Data'!$C:$C,X914)/S914</f>
        <v>0</v>
      </c>
      <c r="U914" s="28" t="str">
        <f>+IF(COUNTIFS('Raw Period DMR Data'!$A:$A,B914, 'Raw Period DMR Data'!C:C,'Raw Annual DMR Data'!X914, 'Raw Period DMR Data'!M:M, "&gt;0")&gt;0,_xlfn.MAXIFS('Raw Period DMR Data'!M:M,'Raw Period DMR Data'!$A:$A,'Raw Annual DMR Data'!B914,'Raw Period DMR Data'!C:C,'Raw Annual DMR Data'!X914), "N/A - Period DMR Data Not Available")</f>
        <v>N/A - Period DMR Data Not Available</v>
      </c>
      <c r="V914" s="28" t="str" cm="1">
        <f t="array" ref="V914">IFERROR(INDEX('Raw Period DMR Data'!N:N,MATCH(1,(B914='Raw Period DMR Data'!$A:$A)*(U914='Raw Period DMR Data'!M:M)*(X914='Raw Period DMR Data'!C:C),0),1), "N/A")</f>
        <v>N/A</v>
      </c>
      <c r="W914" s="28" t="s">
        <v>1463</v>
      </c>
      <c r="X914" s="28" t="s">
        <v>2062</v>
      </c>
      <c r="Y914" s="28" t="s">
        <v>2063</v>
      </c>
      <c r="Z914" s="28">
        <v>5100205000171</v>
      </c>
      <c r="AA914" s="28"/>
      <c r="AB914" s="28" t="s">
        <v>1465</v>
      </c>
      <c r="AC914" s="28" t="s">
        <v>263</v>
      </c>
    </row>
    <row r="915" spans="1:29" x14ac:dyDescent="0.25">
      <c r="A915" s="61">
        <v>110000547196</v>
      </c>
      <c r="B915" s="28">
        <v>2015</v>
      </c>
      <c r="C915" s="68">
        <f t="shared" si="14"/>
        <v>42005</v>
      </c>
      <c r="D915" s="28" t="s">
        <v>215</v>
      </c>
      <c r="E915" s="28" t="s">
        <v>2065</v>
      </c>
      <c r="F915" s="28" t="s">
        <v>1103</v>
      </c>
      <c r="G915" s="28" t="s">
        <v>345</v>
      </c>
      <c r="H915" s="28" t="s">
        <v>2066</v>
      </c>
      <c r="I915" s="28">
        <v>41.404808000000003</v>
      </c>
      <c r="J915" s="28">
        <v>-88.334732000000002</v>
      </c>
      <c r="K915" s="28" t="s">
        <v>727</v>
      </c>
      <c r="L915" s="61">
        <v>110000547196</v>
      </c>
      <c r="M915" s="28" t="s">
        <v>253</v>
      </c>
      <c r="N915" s="28">
        <v>2869</v>
      </c>
      <c r="O915" s="28" t="str">
        <f>IFERROR(VLOOKUP(N915, 'SIC &amp; NAICS Codes'!A:B, 2, FALSE), "")</f>
        <v>Industrial Organic Chemicals, NEC (aliphatics)</v>
      </c>
      <c r="S915" s="28">
        <v>4.06303854875283E-2</v>
      </c>
      <c r="T915" s="315">
        <f>_xlfn.MAXIFS('Raw Period DMR Data'!$O:$O,'Raw Period DMR Data'!$A:$A,'Raw Annual DMR Data'!B915,'Raw Period DMR Data'!$C:$C,X915)/S915</f>
        <v>0</v>
      </c>
      <c r="U915" s="28" t="str">
        <f>+IF(COUNTIFS('Raw Period DMR Data'!$A:$A,B915, 'Raw Period DMR Data'!C:C,'Raw Annual DMR Data'!X915, 'Raw Period DMR Data'!M:M, "&gt;0")&gt;0,_xlfn.MAXIFS('Raw Period DMR Data'!M:M,'Raw Period DMR Data'!$A:$A,'Raw Annual DMR Data'!B915,'Raw Period DMR Data'!C:C,'Raw Annual DMR Data'!X915), "N/A - Period DMR Data Not Available")</f>
        <v>N/A - Period DMR Data Not Available</v>
      </c>
      <c r="V915" s="28" t="str" cm="1">
        <f t="array" ref="V915">IFERROR(INDEX('Raw Period DMR Data'!N:N,MATCH(1,(B915='Raw Period DMR Data'!$A:$A)*(U915='Raw Period DMR Data'!M:M)*(X915='Raw Period DMR Data'!C:C),0),1), "N/A")</f>
        <v>N/A</v>
      </c>
      <c r="W915" s="28" t="s">
        <v>1463</v>
      </c>
      <c r="X915" s="28" t="s">
        <v>2067</v>
      </c>
      <c r="Y915" s="28" t="s">
        <v>2068</v>
      </c>
      <c r="Z915" s="28">
        <v>7120005000849</v>
      </c>
      <c r="AA915" s="28"/>
      <c r="AB915" s="28" t="s">
        <v>1465</v>
      </c>
      <c r="AC915" s="28" t="s">
        <v>1466</v>
      </c>
    </row>
    <row r="916" spans="1:29" x14ac:dyDescent="0.25">
      <c r="A916" s="61">
        <v>110000547196</v>
      </c>
      <c r="B916" s="28">
        <v>2016</v>
      </c>
      <c r="C916" s="68">
        <f t="shared" si="14"/>
        <v>42370</v>
      </c>
      <c r="D916" s="28" t="s">
        <v>215</v>
      </c>
      <c r="E916" s="28" t="s">
        <v>2065</v>
      </c>
      <c r="F916" s="28" t="s">
        <v>1103</v>
      </c>
      <c r="G916" s="28" t="s">
        <v>345</v>
      </c>
      <c r="H916" s="28" t="s">
        <v>2066</v>
      </c>
      <c r="I916" s="28">
        <v>41.404808000000003</v>
      </c>
      <c r="J916" s="28">
        <v>-88.334732000000002</v>
      </c>
      <c r="K916" s="28" t="s">
        <v>727</v>
      </c>
      <c r="L916" s="61">
        <v>110000547196</v>
      </c>
      <c r="M916" s="28" t="s">
        <v>253</v>
      </c>
      <c r="N916" s="28">
        <v>2869</v>
      </c>
      <c r="O916" s="28" t="str">
        <f>IFERROR(VLOOKUP(N916, 'SIC &amp; NAICS Codes'!A:B, 2, FALSE), "")</f>
        <v>Industrial Organic Chemicals, NEC (aliphatics)</v>
      </c>
      <c r="S916" s="28">
        <v>4.68843537414965E-2</v>
      </c>
      <c r="T916" s="315">
        <f>_xlfn.MAXIFS('Raw Period DMR Data'!$O:$O,'Raw Period DMR Data'!$A:$A,'Raw Annual DMR Data'!B916,'Raw Period DMR Data'!$C:$C,X916)/S916</f>
        <v>0</v>
      </c>
      <c r="U916" s="28" t="str">
        <f>+IF(COUNTIFS('Raw Period DMR Data'!$A:$A,B916, 'Raw Period DMR Data'!C:C,'Raw Annual DMR Data'!X916, 'Raw Period DMR Data'!M:M, "&gt;0")&gt;0,_xlfn.MAXIFS('Raw Period DMR Data'!M:M,'Raw Period DMR Data'!$A:$A,'Raw Annual DMR Data'!B916,'Raw Period DMR Data'!C:C,'Raw Annual DMR Data'!X916), "N/A - Period DMR Data Not Available")</f>
        <v>N/A - Period DMR Data Not Available</v>
      </c>
      <c r="V916" s="28" t="str" cm="1">
        <f t="array" ref="V916">IFERROR(INDEX('Raw Period DMR Data'!N:N,MATCH(1,(B916='Raw Period DMR Data'!$A:$A)*(U916='Raw Period DMR Data'!M:M)*(X916='Raw Period DMR Data'!C:C),0),1), "N/A")</f>
        <v>N/A</v>
      </c>
      <c r="W916" s="28" t="s">
        <v>1463</v>
      </c>
      <c r="X916" s="28" t="s">
        <v>2067</v>
      </c>
      <c r="Y916" s="28" t="s">
        <v>2068</v>
      </c>
      <c r="Z916" s="28">
        <v>7120005000849</v>
      </c>
      <c r="AA916" s="28"/>
      <c r="AB916" s="28" t="s">
        <v>1465</v>
      </c>
      <c r="AC916" s="28" t="s">
        <v>1466</v>
      </c>
    </row>
    <row r="917" spans="1:29" x14ac:dyDescent="0.25">
      <c r="A917" s="61">
        <v>110000547196</v>
      </c>
      <c r="B917" s="28">
        <v>2017</v>
      </c>
      <c r="C917" s="68">
        <f t="shared" si="14"/>
        <v>42736</v>
      </c>
      <c r="D917" s="28" t="s">
        <v>215</v>
      </c>
      <c r="E917" s="28" t="s">
        <v>2065</v>
      </c>
      <c r="F917" s="28" t="s">
        <v>1103</v>
      </c>
      <c r="G917" s="28" t="s">
        <v>345</v>
      </c>
      <c r="H917" s="28" t="s">
        <v>2066</v>
      </c>
      <c r="I917" s="28">
        <v>41.404808000000003</v>
      </c>
      <c r="J917" s="28">
        <v>-88.334732000000002</v>
      </c>
      <c r="K917" s="28" t="s">
        <v>727</v>
      </c>
      <c r="L917" s="61">
        <v>110000547196</v>
      </c>
      <c r="M917" s="28" t="s">
        <v>253</v>
      </c>
      <c r="N917" s="28">
        <v>2869</v>
      </c>
      <c r="O917" s="28" t="str">
        <f>IFERROR(VLOOKUP(N917, 'SIC &amp; NAICS Codes'!A:B, 2, FALSE), "")</f>
        <v>Industrial Organic Chemicals, NEC (aliphatics)</v>
      </c>
      <c r="S917" s="28">
        <v>0.35408843537414902</v>
      </c>
      <c r="T917" s="315">
        <f>_xlfn.MAXIFS('Raw Period DMR Data'!$O:$O,'Raw Period DMR Data'!$A:$A,'Raw Annual DMR Data'!B917,'Raw Period DMR Data'!$C:$C,X917)/S917</f>
        <v>0</v>
      </c>
      <c r="U917" s="28" t="str">
        <f>+IF(COUNTIFS('Raw Period DMR Data'!$A:$A,B917, 'Raw Period DMR Data'!C:C,'Raw Annual DMR Data'!X917, 'Raw Period DMR Data'!M:M, "&gt;0")&gt;0,_xlfn.MAXIFS('Raw Period DMR Data'!M:M,'Raw Period DMR Data'!$A:$A,'Raw Annual DMR Data'!B917,'Raw Period DMR Data'!C:C,'Raw Annual DMR Data'!X917), "N/A - Period DMR Data Not Available")</f>
        <v>N/A - Period DMR Data Not Available</v>
      </c>
      <c r="V917" s="28" t="str" cm="1">
        <f t="array" ref="V917">IFERROR(INDEX('Raw Period DMR Data'!N:N,MATCH(1,(B917='Raw Period DMR Data'!$A:$A)*(U917='Raw Period DMR Data'!M:M)*(X917='Raw Period DMR Data'!C:C),0),1), "N/A")</f>
        <v>N/A</v>
      </c>
      <c r="W917" s="28" t="s">
        <v>1463</v>
      </c>
      <c r="X917" s="28" t="s">
        <v>2067</v>
      </c>
      <c r="Y917" s="28" t="s">
        <v>2068</v>
      </c>
      <c r="Z917" s="28">
        <v>7120005000849</v>
      </c>
      <c r="AA917" s="28"/>
      <c r="AB917" s="28" t="s">
        <v>1465</v>
      </c>
      <c r="AC917" s="28" t="s">
        <v>1466</v>
      </c>
    </row>
    <row r="918" spans="1:29" x14ac:dyDescent="0.25">
      <c r="A918" s="61">
        <v>110000547196</v>
      </c>
      <c r="B918" s="28">
        <v>2018</v>
      </c>
      <c r="C918" s="68">
        <f t="shared" si="14"/>
        <v>43101</v>
      </c>
      <c r="D918" s="28" t="s">
        <v>215</v>
      </c>
      <c r="E918" s="28" t="s">
        <v>2065</v>
      </c>
      <c r="F918" s="28" t="s">
        <v>1103</v>
      </c>
      <c r="G918" s="28" t="s">
        <v>345</v>
      </c>
      <c r="H918" s="28" t="s">
        <v>2066</v>
      </c>
      <c r="I918" s="28">
        <v>41.404808000000003</v>
      </c>
      <c r="J918" s="28">
        <v>-88.334732000000002</v>
      </c>
      <c r="K918" s="28" t="s">
        <v>727</v>
      </c>
      <c r="L918" s="61">
        <v>110000547196</v>
      </c>
      <c r="M918" s="28" t="s">
        <v>253</v>
      </c>
      <c r="N918" s="28">
        <v>2869</v>
      </c>
      <c r="O918" s="28" t="str">
        <f>IFERROR(VLOOKUP(N918, 'SIC &amp; NAICS Codes'!A:B, 2, FALSE), "")</f>
        <v>Industrial Organic Chemicals, NEC (aliphatics)</v>
      </c>
      <c r="S918" s="302">
        <v>0.10791156462585</v>
      </c>
      <c r="T918" s="315">
        <f>_xlfn.MAXIFS('Raw Period DMR Data'!$O:$O,'Raw Period DMR Data'!$A:$A,'Raw Annual DMR Data'!B918,'Raw Period DMR Data'!$C:$C,X918)/S918</f>
        <v>0</v>
      </c>
      <c r="U918" s="28" t="str">
        <f>+IF(COUNTIFS('Raw Period DMR Data'!$A:$A,B918, 'Raw Period DMR Data'!C:C,'Raw Annual DMR Data'!X918, 'Raw Period DMR Data'!M:M, "&gt;0")&gt;0,_xlfn.MAXIFS('Raw Period DMR Data'!M:M,'Raw Period DMR Data'!$A:$A,'Raw Annual DMR Data'!B918,'Raw Period DMR Data'!C:C,'Raw Annual DMR Data'!X918), "N/A - Period DMR Data Not Available")</f>
        <v>N/A - Period DMR Data Not Available</v>
      </c>
      <c r="V918" s="28" t="str" cm="1">
        <f t="array" ref="V918">IFERROR(INDEX('Raw Period DMR Data'!N:N,MATCH(1,(B918='Raw Period DMR Data'!$A:$A)*(U918='Raw Period DMR Data'!M:M)*(X918='Raw Period DMR Data'!C:C),0),1), "N/A")</f>
        <v>N/A</v>
      </c>
      <c r="W918" s="28" t="s">
        <v>1463</v>
      </c>
      <c r="X918" s="28" t="s">
        <v>2067</v>
      </c>
      <c r="Y918" s="28" t="s">
        <v>2068</v>
      </c>
      <c r="Z918" s="302" t="s">
        <v>2069</v>
      </c>
      <c r="AA918" s="28"/>
      <c r="AB918" s="28" t="s">
        <v>1465</v>
      </c>
      <c r="AC918" s="28" t="s">
        <v>1466</v>
      </c>
    </row>
    <row r="919" spans="1:29" x14ac:dyDescent="0.25">
      <c r="A919" s="61">
        <v>110000547196</v>
      </c>
      <c r="B919" s="28">
        <v>2019</v>
      </c>
      <c r="C919" s="68">
        <f t="shared" si="14"/>
        <v>43466</v>
      </c>
      <c r="D919" s="28" t="s">
        <v>215</v>
      </c>
      <c r="E919" s="28" t="s">
        <v>2065</v>
      </c>
      <c r="F919" s="28" t="s">
        <v>1103</v>
      </c>
      <c r="G919" s="28" t="s">
        <v>345</v>
      </c>
      <c r="H919" s="28" t="s">
        <v>2066</v>
      </c>
      <c r="I919" s="28">
        <v>41.404808000000003</v>
      </c>
      <c r="J919" s="28">
        <v>-88.334732000000002</v>
      </c>
      <c r="K919" s="28" t="s">
        <v>727</v>
      </c>
      <c r="L919" s="61">
        <v>110000547196</v>
      </c>
      <c r="M919" s="28" t="s">
        <v>253</v>
      </c>
      <c r="N919" s="28">
        <v>2869</v>
      </c>
      <c r="O919" s="28" t="str">
        <f>IFERROR(VLOOKUP(N919, 'SIC &amp; NAICS Codes'!A:B, 2, FALSE), "")</f>
        <v>Industrial Organic Chemicals, NEC (aliphatics)</v>
      </c>
      <c r="S919" s="28">
        <v>4.21020408163265E-2</v>
      </c>
      <c r="T919" s="315">
        <f>_xlfn.MAXIFS('Raw Period DMR Data'!$O:$O,'Raw Period DMR Data'!$A:$A,'Raw Annual DMR Data'!B919,'Raw Period DMR Data'!$C:$C,X919)/S919</f>
        <v>0</v>
      </c>
      <c r="U919" s="28" t="str">
        <f>+IF(COUNTIFS('Raw Period DMR Data'!$A:$A,B919, 'Raw Period DMR Data'!C:C,'Raw Annual DMR Data'!X919, 'Raw Period DMR Data'!M:M, "&gt;0")&gt;0,_xlfn.MAXIFS('Raw Period DMR Data'!M:M,'Raw Period DMR Data'!$A:$A,'Raw Annual DMR Data'!B919,'Raw Period DMR Data'!C:C,'Raw Annual DMR Data'!X919), "N/A - Period DMR Data Not Available")</f>
        <v>N/A - Period DMR Data Not Available</v>
      </c>
      <c r="V919" s="28" t="str" cm="1">
        <f t="array" ref="V919">IFERROR(INDEX('Raw Period DMR Data'!N:N,MATCH(1,(B919='Raw Period DMR Data'!$A:$A)*(U919='Raw Period DMR Data'!M:M)*(X919='Raw Period DMR Data'!C:C),0),1), "N/A")</f>
        <v>N/A</v>
      </c>
      <c r="W919" s="28" t="s">
        <v>1463</v>
      </c>
      <c r="X919" s="28" t="s">
        <v>2067</v>
      </c>
      <c r="Y919" s="28" t="s">
        <v>2068</v>
      </c>
      <c r="Z919" s="28">
        <v>7120005000849</v>
      </c>
      <c r="AA919" s="28"/>
      <c r="AB919" s="28" t="s">
        <v>1465</v>
      </c>
      <c r="AC919" s="28" t="s">
        <v>1466</v>
      </c>
    </row>
    <row r="920" spans="1:29" x14ac:dyDescent="0.25">
      <c r="A920" s="61">
        <v>110000547196</v>
      </c>
      <c r="B920" s="28">
        <v>2020</v>
      </c>
      <c r="C920" s="68">
        <f t="shared" si="14"/>
        <v>43831</v>
      </c>
      <c r="D920" s="28" t="s">
        <v>215</v>
      </c>
      <c r="E920" s="28" t="s">
        <v>2065</v>
      </c>
      <c r="F920" s="28" t="s">
        <v>1103</v>
      </c>
      <c r="G920" s="28" t="s">
        <v>345</v>
      </c>
      <c r="H920" s="28" t="s">
        <v>2066</v>
      </c>
      <c r="I920" s="28">
        <v>41.404808000000003</v>
      </c>
      <c r="J920" s="28">
        <v>-88.334732000000002</v>
      </c>
      <c r="K920" s="28" t="s">
        <v>727</v>
      </c>
      <c r="L920" s="61">
        <v>110000547196</v>
      </c>
      <c r="M920" s="28" t="s">
        <v>253</v>
      </c>
      <c r="N920" s="28">
        <v>2869</v>
      </c>
      <c r="O920" s="28" t="str">
        <f>IFERROR(VLOOKUP(N920, 'SIC &amp; NAICS Codes'!A:B, 2, FALSE), "")</f>
        <v>Industrial Organic Chemicals, NEC (aliphatics)</v>
      </c>
      <c r="S920" s="28">
        <v>8.0235827664399004E-2</v>
      </c>
      <c r="T920" s="315">
        <f>_xlfn.MAXIFS('Raw Period DMR Data'!$O:$O,'Raw Period DMR Data'!$A:$A,'Raw Annual DMR Data'!B920,'Raw Period DMR Data'!$C:$C,X920)/S920</f>
        <v>0</v>
      </c>
      <c r="U920" s="28" t="str">
        <f>+IF(COUNTIFS('Raw Period DMR Data'!$A:$A,B920, 'Raw Period DMR Data'!C:C,'Raw Annual DMR Data'!X920, 'Raw Period DMR Data'!M:M, "&gt;0")&gt;0,_xlfn.MAXIFS('Raw Period DMR Data'!M:M,'Raw Period DMR Data'!$A:$A,'Raw Annual DMR Data'!B920,'Raw Period DMR Data'!C:C,'Raw Annual DMR Data'!X920), "N/A - Period DMR Data Not Available")</f>
        <v>N/A - Period DMR Data Not Available</v>
      </c>
      <c r="V920" s="28" t="str" cm="1">
        <f t="array" ref="V920">IFERROR(INDEX('Raw Period DMR Data'!N:N,MATCH(1,(B920='Raw Period DMR Data'!$A:$A)*(U920='Raw Period DMR Data'!M:M)*(X920='Raw Period DMR Data'!C:C),0),1), "N/A")</f>
        <v>N/A</v>
      </c>
      <c r="W920" s="28" t="s">
        <v>1463</v>
      </c>
      <c r="X920" s="28" t="s">
        <v>2067</v>
      </c>
      <c r="Y920" s="28" t="s">
        <v>2068</v>
      </c>
      <c r="Z920" s="28">
        <v>7120005000849</v>
      </c>
      <c r="AA920" s="28"/>
      <c r="AB920" s="28" t="s">
        <v>1465</v>
      </c>
      <c r="AC920" s="28" t="s">
        <v>1466</v>
      </c>
    </row>
    <row r="921" spans="1:29" x14ac:dyDescent="0.25">
      <c r="A921" s="61">
        <v>110059344473</v>
      </c>
      <c r="B921" s="28">
        <v>2015</v>
      </c>
      <c r="C921" s="68">
        <f t="shared" si="14"/>
        <v>42005</v>
      </c>
      <c r="D921" s="28" t="s">
        <v>1266</v>
      </c>
      <c r="E921" s="28" t="s">
        <v>2070</v>
      </c>
      <c r="F921" s="28" t="s">
        <v>1267</v>
      </c>
      <c r="G921" s="28" t="s">
        <v>491</v>
      </c>
      <c r="H921" s="28">
        <v>15061</v>
      </c>
      <c r="I921" s="28">
        <v>40.655278000000003</v>
      </c>
      <c r="J921" s="28">
        <v>-80.356388999999993</v>
      </c>
      <c r="K921" s="28" t="s">
        <v>728</v>
      </c>
      <c r="L921" s="61">
        <v>110059344473</v>
      </c>
      <c r="M921" s="28" t="s">
        <v>265</v>
      </c>
      <c r="N921" s="28">
        <v>2821</v>
      </c>
      <c r="O921" s="28" t="str">
        <f>IFERROR(VLOOKUP(N921, 'SIC &amp; NAICS Codes'!A:B, 2, FALSE), "")</f>
        <v>Plastics Materials, Synthetic and Resins, and Nonvulcanizable Elastomers</v>
      </c>
      <c r="S921" s="28">
        <v>0.19201814058956901</v>
      </c>
      <c r="T921" s="315">
        <f>_xlfn.MAXIFS('Raw Period DMR Data'!$O:$O,'Raw Period DMR Data'!$A:$A,'Raw Annual DMR Data'!B921,'Raw Period DMR Data'!$C:$C,X921)/S921</f>
        <v>0</v>
      </c>
      <c r="U921" s="28" t="str">
        <f>+IF(COUNTIFS('Raw Period DMR Data'!$A:$A,B921, 'Raw Period DMR Data'!C:C,'Raw Annual DMR Data'!X921, 'Raw Period DMR Data'!M:M, "&gt;0")&gt;0,_xlfn.MAXIFS('Raw Period DMR Data'!M:M,'Raw Period DMR Data'!$A:$A,'Raw Annual DMR Data'!B921,'Raw Period DMR Data'!C:C,'Raw Annual DMR Data'!X921), "N/A - Period DMR Data Not Available")</f>
        <v>N/A - Period DMR Data Not Available</v>
      </c>
      <c r="V921" s="28" t="str" cm="1">
        <f t="array" ref="V921">IFERROR(INDEX('Raw Period DMR Data'!N:N,MATCH(1,(B921='Raw Period DMR Data'!$A:$A)*(U921='Raw Period DMR Data'!M:M)*(X921='Raw Period DMR Data'!C:C),0),1), "N/A")</f>
        <v>N/A</v>
      </c>
      <c r="W921" s="28" t="s">
        <v>1463</v>
      </c>
      <c r="X921" s="28" t="s">
        <v>2071</v>
      </c>
      <c r="Y921" s="28" t="s">
        <v>2072</v>
      </c>
      <c r="Z921" s="28">
        <v>5030101000019</v>
      </c>
      <c r="AA921" s="28"/>
      <c r="AB921" s="28" t="s">
        <v>1465</v>
      </c>
      <c r="AC921" s="28" t="s">
        <v>1466</v>
      </c>
    </row>
    <row r="922" spans="1:29" x14ac:dyDescent="0.25">
      <c r="A922" s="61">
        <v>110059344473</v>
      </c>
      <c r="B922" s="28">
        <v>2016</v>
      </c>
      <c r="C922" s="68">
        <f t="shared" si="14"/>
        <v>42370</v>
      </c>
      <c r="D922" s="28" t="s">
        <v>1266</v>
      </c>
      <c r="E922" s="28" t="s">
        <v>2070</v>
      </c>
      <c r="F922" s="28" t="s">
        <v>1267</v>
      </c>
      <c r="G922" s="28" t="s">
        <v>491</v>
      </c>
      <c r="H922" s="28">
        <v>15061</v>
      </c>
      <c r="I922" s="28">
        <v>40.655278000000003</v>
      </c>
      <c r="J922" s="28">
        <v>-80.356388999999993</v>
      </c>
      <c r="K922" s="28" t="s">
        <v>728</v>
      </c>
      <c r="L922" s="61">
        <v>110059344473</v>
      </c>
      <c r="M922" s="28" t="s">
        <v>265</v>
      </c>
      <c r="N922" s="28">
        <v>2821</v>
      </c>
      <c r="O922" s="28" t="str">
        <f>IFERROR(VLOOKUP(N922, 'SIC &amp; NAICS Codes'!A:B, 2, FALSE), "")</f>
        <v>Plastics Materials, Synthetic and Resins, and Nonvulcanizable Elastomers</v>
      </c>
      <c r="S922" s="28">
        <v>0.21933106575963701</v>
      </c>
      <c r="T922" s="315">
        <f>_xlfn.MAXIFS('Raw Period DMR Data'!$O:$O,'Raw Period DMR Data'!$A:$A,'Raw Annual DMR Data'!B922,'Raw Period DMR Data'!$C:$C,X922)/S922</f>
        <v>0</v>
      </c>
      <c r="U922" s="28" t="str">
        <f>+IF(COUNTIFS('Raw Period DMR Data'!$A:$A,B922, 'Raw Period DMR Data'!C:C,'Raw Annual DMR Data'!X922, 'Raw Period DMR Data'!M:M, "&gt;0")&gt;0,_xlfn.MAXIFS('Raw Period DMR Data'!M:M,'Raw Period DMR Data'!$A:$A,'Raw Annual DMR Data'!B922,'Raw Period DMR Data'!C:C,'Raw Annual DMR Data'!X922), "N/A - Period DMR Data Not Available")</f>
        <v>N/A - Period DMR Data Not Available</v>
      </c>
      <c r="V922" s="28" t="str" cm="1">
        <f t="array" ref="V922">IFERROR(INDEX('Raw Period DMR Data'!N:N,MATCH(1,(B922='Raw Period DMR Data'!$A:$A)*(U922='Raw Period DMR Data'!M:M)*(X922='Raw Period DMR Data'!C:C),0),1), "N/A")</f>
        <v>N/A</v>
      </c>
      <c r="W922" s="28" t="s">
        <v>1463</v>
      </c>
      <c r="X922" s="28" t="s">
        <v>2071</v>
      </c>
      <c r="Y922" s="28" t="s">
        <v>2072</v>
      </c>
      <c r="Z922" s="28">
        <v>5030101000019</v>
      </c>
      <c r="AA922" s="28"/>
      <c r="AB922" s="28" t="s">
        <v>1465</v>
      </c>
      <c r="AC922" s="28" t="s">
        <v>1466</v>
      </c>
    </row>
    <row r="923" spans="1:29" x14ac:dyDescent="0.25">
      <c r="A923" s="61">
        <v>110059344473</v>
      </c>
      <c r="B923" s="28">
        <v>2017</v>
      </c>
      <c r="C923" s="68">
        <f t="shared" si="14"/>
        <v>42736</v>
      </c>
      <c r="D923" s="28" t="s">
        <v>1266</v>
      </c>
      <c r="E923" s="28" t="s">
        <v>2070</v>
      </c>
      <c r="F923" s="28" t="s">
        <v>1267</v>
      </c>
      <c r="G923" s="28" t="s">
        <v>491</v>
      </c>
      <c r="H923" s="28">
        <v>15061</v>
      </c>
      <c r="I923" s="28">
        <v>40.655278000000003</v>
      </c>
      <c r="J923" s="28">
        <v>-80.356388999999993</v>
      </c>
      <c r="K923" s="28" t="s">
        <v>728</v>
      </c>
      <c r="L923" s="61">
        <v>110059344473</v>
      </c>
      <c r="M923" s="28" t="s">
        <v>265</v>
      </c>
      <c r="N923" s="28">
        <v>2821</v>
      </c>
      <c r="O923" s="28" t="str">
        <f>IFERROR(VLOOKUP(N923, 'SIC &amp; NAICS Codes'!A:B, 2, FALSE), "")</f>
        <v>Plastics Materials, Synthetic and Resins, and Nonvulcanizable Elastomers</v>
      </c>
      <c r="S923" s="28">
        <v>0.54294784580498801</v>
      </c>
      <c r="T923" s="315">
        <f>_xlfn.MAXIFS('Raw Period DMR Data'!$O:$O,'Raw Period DMR Data'!$A:$A,'Raw Annual DMR Data'!B923,'Raw Period DMR Data'!$C:$C,X923)/S923</f>
        <v>0</v>
      </c>
      <c r="U923" s="28" t="str">
        <f>+IF(COUNTIFS('Raw Period DMR Data'!$A:$A,B923, 'Raw Period DMR Data'!C:C,'Raw Annual DMR Data'!X923, 'Raw Period DMR Data'!M:M, "&gt;0")&gt;0,_xlfn.MAXIFS('Raw Period DMR Data'!M:M,'Raw Period DMR Data'!$A:$A,'Raw Annual DMR Data'!B923,'Raw Period DMR Data'!C:C,'Raw Annual DMR Data'!X923), "N/A - Period DMR Data Not Available")</f>
        <v>N/A - Period DMR Data Not Available</v>
      </c>
      <c r="V923" s="28" t="str" cm="1">
        <f t="array" ref="V923">IFERROR(INDEX('Raw Period DMR Data'!N:N,MATCH(1,(B923='Raw Period DMR Data'!$A:$A)*(U923='Raw Period DMR Data'!M:M)*(X923='Raw Period DMR Data'!C:C),0),1), "N/A")</f>
        <v>N/A</v>
      </c>
      <c r="W923" s="28" t="s">
        <v>1463</v>
      </c>
      <c r="X923" s="28" t="s">
        <v>2071</v>
      </c>
      <c r="Y923" s="28" t="s">
        <v>2072</v>
      </c>
      <c r="Z923" s="28">
        <v>5030101000019</v>
      </c>
      <c r="AA923" s="28"/>
      <c r="AB923" s="28" t="s">
        <v>1465</v>
      </c>
      <c r="AC923" s="28" t="s">
        <v>1466</v>
      </c>
    </row>
    <row r="924" spans="1:29" x14ac:dyDescent="0.25">
      <c r="A924" s="61">
        <v>110059344473</v>
      </c>
      <c r="B924" s="28">
        <v>2018</v>
      </c>
      <c r="C924" s="68">
        <f t="shared" si="14"/>
        <v>43101</v>
      </c>
      <c r="D924" s="28" t="s">
        <v>1266</v>
      </c>
      <c r="E924" s="28" t="s">
        <v>2070</v>
      </c>
      <c r="F924" s="28" t="s">
        <v>1267</v>
      </c>
      <c r="G924" s="28" t="s">
        <v>491</v>
      </c>
      <c r="H924" s="28">
        <v>15061</v>
      </c>
      <c r="I924" s="28">
        <v>40.655278000000003</v>
      </c>
      <c r="J924" s="28">
        <v>-80.356388999999993</v>
      </c>
      <c r="K924" s="28" t="s">
        <v>728</v>
      </c>
      <c r="L924" s="61">
        <v>110059344473</v>
      </c>
      <c r="M924" s="28" t="s">
        <v>265</v>
      </c>
      <c r="N924" s="28">
        <v>2821</v>
      </c>
      <c r="O924" s="28" t="str">
        <f>IFERROR(VLOOKUP(N924, 'SIC &amp; NAICS Codes'!A:B, 2, FALSE), "")</f>
        <v>Plastics Materials, Synthetic and Resins, and Nonvulcanizable Elastomers</v>
      </c>
      <c r="S924" s="302">
        <v>0.53798185941042997</v>
      </c>
      <c r="T924" s="315">
        <f>_xlfn.MAXIFS('Raw Period DMR Data'!$O:$O,'Raw Period DMR Data'!$A:$A,'Raw Annual DMR Data'!B924,'Raw Period DMR Data'!$C:$C,X924)/S924</f>
        <v>0</v>
      </c>
      <c r="U924" s="28" t="str">
        <f>+IF(COUNTIFS('Raw Period DMR Data'!$A:$A,B924, 'Raw Period DMR Data'!C:C,'Raw Annual DMR Data'!X924, 'Raw Period DMR Data'!M:M, "&gt;0")&gt;0,_xlfn.MAXIFS('Raw Period DMR Data'!M:M,'Raw Period DMR Data'!$A:$A,'Raw Annual DMR Data'!B924,'Raw Period DMR Data'!C:C,'Raw Annual DMR Data'!X924), "N/A - Period DMR Data Not Available")</f>
        <v>N/A - Period DMR Data Not Available</v>
      </c>
      <c r="V924" s="28" t="str" cm="1">
        <f t="array" ref="V924">IFERROR(INDEX('Raw Period DMR Data'!N:N,MATCH(1,(B924='Raw Period DMR Data'!$A:$A)*(U924='Raw Period DMR Data'!M:M)*(X924='Raw Period DMR Data'!C:C),0),1), "N/A")</f>
        <v>N/A</v>
      </c>
      <c r="W924" s="28" t="s">
        <v>1463</v>
      </c>
      <c r="X924" s="28" t="s">
        <v>2071</v>
      </c>
      <c r="Y924" s="28" t="s">
        <v>2072</v>
      </c>
      <c r="Z924" s="302" t="s">
        <v>2073</v>
      </c>
      <c r="AA924" s="28"/>
      <c r="AB924" s="28" t="s">
        <v>1465</v>
      </c>
      <c r="AC924" s="28" t="s">
        <v>1466</v>
      </c>
    </row>
    <row r="925" spans="1:29" x14ac:dyDescent="0.25">
      <c r="A925" s="61">
        <v>110059344473</v>
      </c>
      <c r="B925" s="28">
        <v>2019</v>
      </c>
      <c r="C925" s="68">
        <f t="shared" si="14"/>
        <v>43466</v>
      </c>
      <c r="D925" s="28" t="s">
        <v>1266</v>
      </c>
      <c r="E925" s="28" t="s">
        <v>2070</v>
      </c>
      <c r="F925" s="28" t="s">
        <v>1267</v>
      </c>
      <c r="G925" s="28" t="s">
        <v>491</v>
      </c>
      <c r="H925" s="28">
        <v>15061</v>
      </c>
      <c r="I925" s="28">
        <v>40.655278000000003</v>
      </c>
      <c r="J925" s="28">
        <v>-80.356388999999993</v>
      </c>
      <c r="K925" s="28" t="s">
        <v>728</v>
      </c>
      <c r="L925" s="61">
        <v>110059344473</v>
      </c>
      <c r="M925" s="28" t="s">
        <v>265</v>
      </c>
      <c r="N925" s="28">
        <v>2821</v>
      </c>
      <c r="O925" s="28" t="str">
        <f>IFERROR(VLOOKUP(N925, 'SIC &amp; NAICS Codes'!A:B, 2, FALSE), "")</f>
        <v>Plastics Materials, Synthetic and Resins, and Nonvulcanizable Elastomers</v>
      </c>
      <c r="S925" s="28">
        <v>0.57936507936507897</v>
      </c>
      <c r="T925" s="315">
        <f>_xlfn.MAXIFS('Raw Period DMR Data'!$O:$O,'Raw Period DMR Data'!$A:$A,'Raw Annual DMR Data'!B925,'Raw Period DMR Data'!$C:$C,X925)/S925</f>
        <v>0</v>
      </c>
      <c r="U925" s="28" t="str">
        <f>+IF(COUNTIFS('Raw Period DMR Data'!$A:$A,B925, 'Raw Period DMR Data'!C:C,'Raw Annual DMR Data'!X925, 'Raw Period DMR Data'!M:M, "&gt;0")&gt;0,_xlfn.MAXIFS('Raw Period DMR Data'!M:M,'Raw Period DMR Data'!$A:$A,'Raw Annual DMR Data'!B925,'Raw Period DMR Data'!C:C,'Raw Annual DMR Data'!X925), "N/A - Period DMR Data Not Available")</f>
        <v>N/A - Period DMR Data Not Available</v>
      </c>
      <c r="V925" s="28" t="str" cm="1">
        <f t="array" ref="V925">IFERROR(INDEX('Raw Period DMR Data'!N:N,MATCH(1,(B925='Raw Period DMR Data'!$A:$A)*(U925='Raw Period DMR Data'!M:M)*(X925='Raw Period DMR Data'!C:C),0),1), "N/A")</f>
        <v>N/A</v>
      </c>
      <c r="W925" s="28" t="s">
        <v>1463</v>
      </c>
      <c r="X925" s="28" t="s">
        <v>2071</v>
      </c>
      <c r="Y925" s="28" t="s">
        <v>2072</v>
      </c>
      <c r="Z925" s="28">
        <v>5030101000019</v>
      </c>
      <c r="AA925" s="28"/>
      <c r="AB925" s="28" t="s">
        <v>1465</v>
      </c>
      <c r="AC925" s="28" t="s">
        <v>1466</v>
      </c>
    </row>
    <row r="926" spans="1:29" x14ac:dyDescent="0.25">
      <c r="A926" s="61">
        <v>110059344473</v>
      </c>
      <c r="B926" s="28">
        <v>2020</v>
      </c>
      <c r="C926" s="68">
        <f t="shared" si="14"/>
        <v>43831</v>
      </c>
      <c r="D926" s="28" t="s">
        <v>1266</v>
      </c>
      <c r="E926" s="28" t="s">
        <v>2070</v>
      </c>
      <c r="F926" s="28" t="s">
        <v>1267</v>
      </c>
      <c r="G926" s="28" t="s">
        <v>491</v>
      </c>
      <c r="H926" s="28">
        <v>15061</v>
      </c>
      <c r="I926" s="28">
        <v>40.655278000000003</v>
      </c>
      <c r="J926" s="28">
        <v>-80.356388999999993</v>
      </c>
      <c r="K926" s="28" t="s">
        <v>728</v>
      </c>
      <c r="L926" s="61">
        <v>110059344473</v>
      </c>
      <c r="M926" s="28" t="s">
        <v>265</v>
      </c>
      <c r="N926" s="28">
        <v>2821</v>
      </c>
      <c r="O926" s="28" t="str">
        <f>IFERROR(VLOOKUP(N926, 'SIC &amp; NAICS Codes'!A:B, 2, FALSE), "")</f>
        <v>Plastics Materials, Synthetic and Resins, and Nonvulcanizable Elastomers</v>
      </c>
      <c r="S926" s="28">
        <v>0.41383219954648498</v>
      </c>
      <c r="T926" s="315">
        <f>_xlfn.MAXIFS('Raw Period DMR Data'!$O:$O,'Raw Period DMR Data'!$A:$A,'Raw Annual DMR Data'!B926,'Raw Period DMR Data'!$C:$C,X926)/S926</f>
        <v>0</v>
      </c>
      <c r="U926" s="28" t="str">
        <f>+IF(COUNTIFS('Raw Period DMR Data'!$A:$A,B926, 'Raw Period DMR Data'!C:C,'Raw Annual DMR Data'!X926, 'Raw Period DMR Data'!M:M, "&gt;0")&gt;0,_xlfn.MAXIFS('Raw Period DMR Data'!M:M,'Raw Period DMR Data'!$A:$A,'Raw Annual DMR Data'!B926,'Raw Period DMR Data'!C:C,'Raw Annual DMR Data'!X926), "N/A - Period DMR Data Not Available")</f>
        <v>N/A - Period DMR Data Not Available</v>
      </c>
      <c r="V926" s="28" t="str" cm="1">
        <f t="array" ref="V926">IFERROR(INDEX('Raw Period DMR Data'!N:N,MATCH(1,(B926='Raw Period DMR Data'!$A:$A)*(U926='Raw Period DMR Data'!M:M)*(X926='Raw Period DMR Data'!C:C),0),1), "N/A")</f>
        <v>N/A</v>
      </c>
      <c r="W926" s="28" t="s">
        <v>1463</v>
      </c>
      <c r="X926" s="28" t="s">
        <v>2071</v>
      </c>
      <c r="Y926" s="28" t="s">
        <v>2072</v>
      </c>
      <c r="Z926" s="28">
        <v>5030101000019</v>
      </c>
      <c r="AA926" s="28"/>
      <c r="AB926" s="28" t="s">
        <v>1465</v>
      </c>
      <c r="AC926" s="28" t="s">
        <v>1466</v>
      </c>
    </row>
    <row r="927" spans="1:29" x14ac:dyDescent="0.25">
      <c r="A927" s="61">
        <v>110000327361</v>
      </c>
      <c r="B927" s="28">
        <v>2018</v>
      </c>
      <c r="C927" s="68">
        <f t="shared" si="14"/>
        <v>43101</v>
      </c>
      <c r="D927" s="28" t="s">
        <v>176</v>
      </c>
      <c r="E927" s="28" t="s">
        <v>577</v>
      </c>
      <c r="F927" s="28" t="s">
        <v>578</v>
      </c>
      <c r="G927" s="28" t="s">
        <v>450</v>
      </c>
      <c r="H927" s="28">
        <v>14304</v>
      </c>
      <c r="I927" s="28">
        <v>43.086694000000001</v>
      </c>
      <c r="J927" s="28">
        <v>-79.003833</v>
      </c>
      <c r="K927" s="28" t="s">
        <v>579</v>
      </c>
      <c r="L927" s="61">
        <v>110000327361</v>
      </c>
      <c r="M927" s="28" t="s">
        <v>264</v>
      </c>
      <c r="N927" s="28">
        <v>2812</v>
      </c>
      <c r="O927" s="28" t="str">
        <f>IFERROR(VLOOKUP(N927, 'SIC &amp; NAICS Codes'!A:B, 2, FALSE), "")</f>
        <v>Alkalies and Chlorine</v>
      </c>
      <c r="S927" s="28">
        <v>1.08843537414965</v>
      </c>
      <c r="T927" s="315">
        <f>_xlfn.MAXIFS('Raw Period DMR Data'!$O:$O,'Raw Period DMR Data'!$A:$A,'Raw Annual DMR Data'!B927,'Raw Period DMR Data'!$C:$C,X927)/S927</f>
        <v>0</v>
      </c>
      <c r="U927" s="28" t="str">
        <f>+IF(COUNTIFS('Raw Period DMR Data'!$A:$A,B927, 'Raw Period DMR Data'!C:C,'Raw Annual DMR Data'!X927, 'Raw Period DMR Data'!M:M, "&gt;0")&gt;0,_xlfn.MAXIFS('Raw Period DMR Data'!M:M,'Raw Period DMR Data'!$A:$A,'Raw Annual DMR Data'!B927,'Raw Period DMR Data'!C:C,'Raw Annual DMR Data'!X927), "N/A - Period DMR Data Not Available")</f>
        <v>N/A - Period DMR Data Not Available</v>
      </c>
      <c r="V927" s="28" t="str" cm="1">
        <f t="array" ref="V927">IFERROR(INDEX('Raw Period DMR Data'!N:N,MATCH(1,(B927='Raw Period DMR Data'!$A:$A)*(U927='Raw Period DMR Data'!M:M)*(X927='Raw Period DMR Data'!C:C),0),1), "N/A")</f>
        <v>N/A</v>
      </c>
      <c r="W927" s="28" t="s">
        <v>1463</v>
      </c>
      <c r="X927" s="28" t="s">
        <v>908</v>
      </c>
      <c r="Y927" s="28" t="s">
        <v>909</v>
      </c>
      <c r="Z927" s="61">
        <v>4120104000901</v>
      </c>
    </row>
    <row r="928" spans="1:29" x14ac:dyDescent="0.25">
      <c r="A928" s="61">
        <v>110000599807</v>
      </c>
      <c r="B928" s="28">
        <v>2015</v>
      </c>
      <c r="C928" s="68">
        <f t="shared" si="14"/>
        <v>42005</v>
      </c>
      <c r="D928" s="28" t="s">
        <v>177</v>
      </c>
      <c r="E928" s="28" t="s">
        <v>581</v>
      </c>
      <c r="F928" s="28" t="s">
        <v>582</v>
      </c>
      <c r="G928" s="28" t="s">
        <v>362</v>
      </c>
      <c r="H928" s="28">
        <v>78362</v>
      </c>
      <c r="I928" s="28">
        <v>27.883610999999998</v>
      </c>
      <c r="J928" s="28">
        <v>-97.241382999999999</v>
      </c>
      <c r="K928" s="28" t="s">
        <v>583</v>
      </c>
      <c r="L928" s="61">
        <v>110000599807</v>
      </c>
      <c r="M928" s="28" t="s">
        <v>251</v>
      </c>
      <c r="N928" s="28">
        <v>2869</v>
      </c>
      <c r="O928" s="28" t="str">
        <f>IFERROR(VLOOKUP(N928, 'SIC &amp; NAICS Codes'!A:B, 2, FALSE), "")</f>
        <v>Industrial Organic Chemicals, NEC (aliphatics)</v>
      </c>
      <c r="S928" s="28">
        <v>24.4625850340136</v>
      </c>
      <c r="T928" s="315">
        <f>_xlfn.MAXIFS('Raw Period DMR Data'!$O:$O,'Raw Period DMR Data'!$A:$A,'Raw Annual DMR Data'!B928,'Raw Period DMR Data'!$C:$C,X928)/S928</f>
        <v>0</v>
      </c>
      <c r="U928" s="28" t="str">
        <f>+IF(COUNTIFS('Raw Period DMR Data'!$A:$A,B928, 'Raw Period DMR Data'!C:C,'Raw Annual DMR Data'!X928, 'Raw Period DMR Data'!M:M, "&gt;0")&gt;0,_xlfn.MAXIFS('Raw Period DMR Data'!M:M,'Raw Period DMR Data'!$A:$A,'Raw Annual DMR Data'!B928,'Raw Period DMR Data'!C:C,'Raw Annual DMR Data'!X928), "N/A - Period DMR Data Not Available")</f>
        <v>N/A - Period DMR Data Not Available</v>
      </c>
      <c r="V928" s="28" t="str" cm="1">
        <f t="array" ref="V928">IFERROR(INDEX('Raw Period DMR Data'!N:N,MATCH(1,(B928='Raw Period DMR Data'!$A:$A)*(U928='Raw Period DMR Data'!M:M)*(X928='Raw Period DMR Data'!C:C),0),1), "N/A")</f>
        <v>N/A</v>
      </c>
      <c r="W928" s="28" t="s">
        <v>1463</v>
      </c>
      <c r="X928" s="28" t="s">
        <v>910</v>
      </c>
      <c r="Y928" s="28" t="s">
        <v>911</v>
      </c>
      <c r="Z928" s="61">
        <v>12110201000002</v>
      </c>
    </row>
    <row r="929" spans="1:29" x14ac:dyDescent="0.25">
      <c r="A929" s="61">
        <v>110000599807</v>
      </c>
      <c r="B929" s="28">
        <v>2017</v>
      </c>
      <c r="C929" s="68">
        <f t="shared" si="14"/>
        <v>42736</v>
      </c>
      <c r="D929" s="28" t="s">
        <v>177</v>
      </c>
      <c r="E929" s="28" t="s">
        <v>581</v>
      </c>
      <c r="F929" s="28" t="s">
        <v>582</v>
      </c>
      <c r="G929" s="28" t="s">
        <v>362</v>
      </c>
      <c r="H929" s="28">
        <v>78362</v>
      </c>
      <c r="I929" s="28">
        <v>27.883610999999998</v>
      </c>
      <c r="J929" s="28">
        <v>-97.241382999999999</v>
      </c>
      <c r="K929" s="28" t="s">
        <v>583</v>
      </c>
      <c r="L929" s="61">
        <v>110000599807</v>
      </c>
      <c r="M929" s="28" t="s">
        <v>251</v>
      </c>
      <c r="N929" s="28">
        <v>2869</v>
      </c>
      <c r="O929" s="28" t="str">
        <f>IFERROR(VLOOKUP(N929, 'SIC &amp; NAICS Codes'!A:B, 2, FALSE), "")</f>
        <v>Industrial Organic Chemicals, NEC (aliphatics)</v>
      </c>
      <c r="S929" s="28">
        <v>76.734693877550995</v>
      </c>
      <c r="T929" s="315">
        <f>_xlfn.MAXIFS('Raw Period DMR Data'!$O:$O,'Raw Period DMR Data'!$A:$A,'Raw Annual DMR Data'!B929,'Raw Period DMR Data'!$C:$C,X929)/S929</f>
        <v>0</v>
      </c>
      <c r="U929" s="28" t="str">
        <f>+IF(COUNTIFS('Raw Period DMR Data'!$A:$A,B929, 'Raw Period DMR Data'!C:C,'Raw Annual DMR Data'!X929, 'Raw Period DMR Data'!M:M, "&gt;0")&gt;0,_xlfn.MAXIFS('Raw Period DMR Data'!M:M,'Raw Period DMR Data'!$A:$A,'Raw Annual DMR Data'!B929,'Raw Period DMR Data'!C:C,'Raw Annual DMR Data'!X929), "N/A - Period DMR Data Not Available")</f>
        <v>N/A - Period DMR Data Not Available</v>
      </c>
      <c r="V929" s="28" t="str" cm="1">
        <f t="array" ref="V929">IFERROR(INDEX('Raw Period DMR Data'!N:N,MATCH(1,(B929='Raw Period DMR Data'!$A:$A)*(U929='Raw Period DMR Data'!M:M)*(X929='Raw Period DMR Data'!C:C),0),1), "N/A")</f>
        <v>N/A</v>
      </c>
      <c r="W929" s="28" t="s">
        <v>1463</v>
      </c>
      <c r="X929" s="28" t="s">
        <v>910</v>
      </c>
      <c r="Y929" s="28" t="s">
        <v>911</v>
      </c>
      <c r="Z929" s="61">
        <v>12110201000002</v>
      </c>
      <c r="AA929" s="28"/>
    </row>
    <row r="930" spans="1:29" x14ac:dyDescent="0.25">
      <c r="A930" s="61">
        <v>110000449774</v>
      </c>
      <c r="B930" s="28">
        <v>2015</v>
      </c>
      <c r="C930" s="68">
        <f t="shared" si="14"/>
        <v>42005</v>
      </c>
      <c r="D930" s="28" t="s">
        <v>178</v>
      </c>
      <c r="E930" s="28" t="s">
        <v>584</v>
      </c>
      <c r="F930" s="28" t="s">
        <v>516</v>
      </c>
      <c r="G930" s="28" t="s">
        <v>303</v>
      </c>
      <c r="H930" s="28">
        <v>70734</v>
      </c>
      <c r="I930" s="28">
        <v>30.185099999999998</v>
      </c>
      <c r="J930" s="28">
        <v>-90.980400000000003</v>
      </c>
      <c r="K930" s="28" t="s">
        <v>585</v>
      </c>
      <c r="L930" s="61">
        <v>110000449774</v>
      </c>
      <c r="M930" s="28" t="s">
        <v>251</v>
      </c>
      <c r="N930" s="28">
        <v>2812</v>
      </c>
      <c r="O930" s="28" t="str">
        <f>IFERROR(VLOOKUP(N930, 'SIC &amp; NAICS Codes'!A:B, 2, FALSE), "")</f>
        <v>Alkalies and Chlorine</v>
      </c>
      <c r="S930" s="28">
        <v>9.1700680272108794</v>
      </c>
      <c r="T930" s="315">
        <f>_xlfn.MAXIFS('Raw Period DMR Data'!$O:$O,'Raw Period DMR Data'!$A:$A,'Raw Annual DMR Data'!B930,'Raw Period DMR Data'!$C:$C,X930)/S930</f>
        <v>0</v>
      </c>
      <c r="U930" s="28" t="str">
        <f>+IF(COUNTIFS('Raw Period DMR Data'!$A:$A,B930, 'Raw Period DMR Data'!C:C,'Raw Annual DMR Data'!X930, 'Raw Period DMR Data'!M:M, "&gt;0")&gt;0,_xlfn.MAXIFS('Raw Period DMR Data'!M:M,'Raw Period DMR Data'!$A:$A,'Raw Annual DMR Data'!B930,'Raw Period DMR Data'!C:C,'Raw Annual DMR Data'!X930), "N/A - Period DMR Data Not Available")</f>
        <v>N/A - Period DMR Data Not Available</v>
      </c>
      <c r="V930" s="28" t="str" cm="1">
        <f t="array" ref="V930">IFERROR(INDEX('Raw Period DMR Data'!N:N,MATCH(1,(B930='Raw Period DMR Data'!$A:$A)*(U930='Raw Period DMR Data'!M:M)*(X930='Raw Period DMR Data'!C:C),0),1), "N/A")</f>
        <v>N/A</v>
      </c>
      <c r="W930" s="28" t="s">
        <v>1463</v>
      </c>
      <c r="X930" s="28" t="s">
        <v>912</v>
      </c>
      <c r="Y930" s="28">
        <v>701</v>
      </c>
      <c r="Z930" s="61">
        <v>8090302006735</v>
      </c>
    </row>
    <row r="931" spans="1:29" x14ac:dyDescent="0.25">
      <c r="A931" s="61">
        <v>110000449774</v>
      </c>
      <c r="B931" s="28">
        <v>2016</v>
      </c>
      <c r="C931" s="68">
        <f t="shared" si="14"/>
        <v>42370</v>
      </c>
      <c r="D931" s="28" t="s">
        <v>178</v>
      </c>
      <c r="E931" s="28" t="s">
        <v>584</v>
      </c>
      <c r="F931" s="28" t="s">
        <v>516</v>
      </c>
      <c r="G931" s="28" t="s">
        <v>303</v>
      </c>
      <c r="H931" s="28">
        <v>70734</v>
      </c>
      <c r="I931" s="28">
        <v>30.185099999999998</v>
      </c>
      <c r="J931" s="28">
        <v>-90.980400000000003</v>
      </c>
      <c r="K931" s="28" t="s">
        <v>585</v>
      </c>
      <c r="L931" s="61">
        <v>110000449774</v>
      </c>
      <c r="M931" s="28" t="s">
        <v>251</v>
      </c>
      <c r="N931" s="28">
        <v>2812</v>
      </c>
      <c r="O931" s="28" t="str">
        <f>IFERROR(VLOOKUP(N931, 'SIC &amp; NAICS Codes'!A:B, 2, FALSE), "")</f>
        <v>Alkalies and Chlorine</v>
      </c>
      <c r="S931" s="28">
        <v>13.841269841269799</v>
      </c>
      <c r="T931" s="315">
        <f>_xlfn.MAXIFS('Raw Period DMR Data'!$O:$O,'Raw Period DMR Data'!$A:$A,'Raw Annual DMR Data'!B931,'Raw Period DMR Data'!$C:$C,X931)/S931</f>
        <v>0</v>
      </c>
      <c r="U931" s="28" t="str">
        <f>+IF(COUNTIFS('Raw Period DMR Data'!$A:$A,B931, 'Raw Period DMR Data'!C:C,'Raw Annual DMR Data'!X931, 'Raw Period DMR Data'!M:M, "&gt;0")&gt;0,_xlfn.MAXIFS('Raw Period DMR Data'!M:M,'Raw Period DMR Data'!$A:$A,'Raw Annual DMR Data'!B931,'Raw Period DMR Data'!C:C,'Raw Annual DMR Data'!X931), "N/A - Period DMR Data Not Available")</f>
        <v>N/A - Period DMR Data Not Available</v>
      </c>
      <c r="V931" s="28" t="str" cm="1">
        <f t="array" ref="V931">IFERROR(INDEX('Raw Period DMR Data'!N:N,MATCH(1,(B931='Raw Period DMR Data'!$A:$A)*(U931='Raw Period DMR Data'!M:M)*(X931='Raw Period DMR Data'!C:C),0),1), "N/A")</f>
        <v>N/A</v>
      </c>
      <c r="W931" s="28" t="s">
        <v>1463</v>
      </c>
      <c r="X931" s="28" t="s">
        <v>912</v>
      </c>
      <c r="Y931" s="28">
        <v>701</v>
      </c>
      <c r="Z931" s="61">
        <v>8090302006735</v>
      </c>
      <c r="AA931" s="28"/>
    </row>
    <row r="932" spans="1:29" x14ac:dyDescent="0.25">
      <c r="A932" s="61">
        <v>110000449774</v>
      </c>
      <c r="B932" s="28">
        <v>2017</v>
      </c>
      <c r="C932" s="68">
        <f t="shared" si="14"/>
        <v>42736</v>
      </c>
      <c r="D932" s="28" t="s">
        <v>178</v>
      </c>
      <c r="E932" s="28" t="s">
        <v>584</v>
      </c>
      <c r="F932" s="28" t="s">
        <v>516</v>
      </c>
      <c r="G932" s="28" t="s">
        <v>303</v>
      </c>
      <c r="H932" s="28">
        <v>70734</v>
      </c>
      <c r="I932" s="28">
        <v>30.185099999999998</v>
      </c>
      <c r="J932" s="28">
        <v>-90.980400000000003</v>
      </c>
      <c r="K932" s="28" t="s">
        <v>585</v>
      </c>
      <c r="L932" s="61">
        <v>110000449774</v>
      </c>
      <c r="M932" s="28" t="s">
        <v>251</v>
      </c>
      <c r="N932" s="28">
        <v>2812</v>
      </c>
      <c r="O932" s="28" t="str">
        <f>IFERROR(VLOOKUP(N932, 'SIC &amp; NAICS Codes'!A:B, 2, FALSE), "")</f>
        <v>Alkalies and Chlorine</v>
      </c>
      <c r="S932" s="28">
        <v>15.183673469387699</v>
      </c>
      <c r="T932" s="315">
        <f>_xlfn.MAXIFS('Raw Period DMR Data'!$O:$O,'Raw Period DMR Data'!$A:$A,'Raw Annual DMR Data'!B932,'Raw Period DMR Data'!$C:$C,X932)/S932</f>
        <v>0</v>
      </c>
      <c r="U932" s="28" t="str">
        <f>+IF(COUNTIFS('Raw Period DMR Data'!$A:$A,B932, 'Raw Period DMR Data'!C:C,'Raw Annual DMR Data'!X932, 'Raw Period DMR Data'!M:M, "&gt;0")&gt;0,_xlfn.MAXIFS('Raw Period DMR Data'!M:M,'Raw Period DMR Data'!$A:$A,'Raw Annual DMR Data'!B932,'Raw Period DMR Data'!C:C,'Raw Annual DMR Data'!X932), "N/A - Period DMR Data Not Available")</f>
        <v>N/A - Period DMR Data Not Available</v>
      </c>
      <c r="V932" s="28" t="str" cm="1">
        <f t="array" ref="V932">IFERROR(INDEX('Raw Period DMR Data'!N:N,MATCH(1,(B932='Raw Period DMR Data'!$A:$A)*(U932='Raw Period DMR Data'!M:M)*(X932='Raw Period DMR Data'!C:C),0),1), "N/A")</f>
        <v>N/A</v>
      </c>
      <c r="W932" s="28" t="s">
        <v>1463</v>
      </c>
      <c r="X932" s="28" t="s">
        <v>912</v>
      </c>
      <c r="Y932" s="28">
        <v>701</v>
      </c>
      <c r="Z932" s="61">
        <v>8090302006735</v>
      </c>
      <c r="AA932" s="28"/>
    </row>
    <row r="933" spans="1:29" x14ac:dyDescent="0.25">
      <c r="A933" s="61">
        <v>110000449774</v>
      </c>
      <c r="B933" s="28">
        <v>2018</v>
      </c>
      <c r="C933" s="68">
        <f t="shared" si="14"/>
        <v>43101</v>
      </c>
      <c r="D933" s="28" t="s">
        <v>178</v>
      </c>
      <c r="E933" s="28" t="s">
        <v>584</v>
      </c>
      <c r="F933" s="28" t="s">
        <v>516</v>
      </c>
      <c r="G933" s="28" t="s">
        <v>303</v>
      </c>
      <c r="H933" s="28">
        <v>70734</v>
      </c>
      <c r="I933" s="28">
        <v>30.185099999999998</v>
      </c>
      <c r="J933" s="28">
        <v>-90.980400000000003</v>
      </c>
      <c r="K933" s="28" t="s">
        <v>585</v>
      </c>
      <c r="L933" s="61">
        <v>110000449774</v>
      </c>
      <c r="M933" s="28" t="s">
        <v>251</v>
      </c>
      <c r="N933" s="28">
        <v>2812</v>
      </c>
      <c r="O933" s="28" t="str">
        <f>IFERROR(VLOOKUP(N933, 'SIC &amp; NAICS Codes'!A:B, 2, FALSE), "")</f>
        <v>Alkalies and Chlorine</v>
      </c>
      <c r="S933" s="28">
        <v>25.306122448979501</v>
      </c>
      <c r="T933" s="315">
        <f>_xlfn.MAXIFS('Raw Period DMR Data'!$O:$O,'Raw Period DMR Data'!$A:$A,'Raw Annual DMR Data'!B933,'Raw Period DMR Data'!$C:$C,X933)/S933</f>
        <v>0.3972520070511788</v>
      </c>
      <c r="U933" s="28">
        <f>+IF(COUNTIFS('Raw Period DMR Data'!$A:$A,B933, 'Raw Period DMR Data'!C:C,'Raw Annual DMR Data'!X933, 'Raw Period DMR Data'!M:M, "&gt;0")&gt;0,_xlfn.MAXIFS('Raw Period DMR Data'!M:M,'Raw Period DMR Data'!$A:$A,'Raw Annual DMR Data'!B933,'Raw Period DMR Data'!C:C,'Raw Annual DMR Data'!X933), "N/A - Period DMR Data Not Available")</f>
        <v>0.33050619999999997</v>
      </c>
      <c r="V933" s="28" cm="1">
        <f t="array" ref="V933">IFERROR(INDEX('Raw Period DMR Data'!N:N,MATCH(1,(B933='Raw Period DMR Data'!$A:$A)*(U933='Raw Period DMR Data'!M:M)*(X933='Raw Period DMR Data'!C:C),0),1), "N/A")</f>
        <v>31</v>
      </c>
      <c r="W933" s="28">
        <v>0.35730400000000001</v>
      </c>
      <c r="X933" s="28" t="s">
        <v>912</v>
      </c>
      <c r="Y933" s="28">
        <v>701</v>
      </c>
      <c r="Z933" s="61">
        <v>8090302006735</v>
      </c>
    </row>
    <row r="934" spans="1:29" x14ac:dyDescent="0.25">
      <c r="A934" s="61">
        <v>110000449774</v>
      </c>
      <c r="B934" s="28">
        <v>2019</v>
      </c>
      <c r="C934" s="68">
        <f t="shared" si="14"/>
        <v>43466</v>
      </c>
      <c r="D934" s="28" t="s">
        <v>178</v>
      </c>
      <c r="E934" s="28" t="s">
        <v>584</v>
      </c>
      <c r="F934" s="28" t="s">
        <v>516</v>
      </c>
      <c r="G934" s="28" t="s">
        <v>303</v>
      </c>
      <c r="H934" s="28">
        <v>70734</v>
      </c>
      <c r="I934" s="28">
        <v>30.185099999999998</v>
      </c>
      <c r="J934" s="28">
        <v>-90.980400000000003</v>
      </c>
      <c r="K934" s="28" t="s">
        <v>585</v>
      </c>
      <c r="L934" s="61">
        <v>110000449774</v>
      </c>
      <c r="M934" s="28" t="s">
        <v>251</v>
      </c>
      <c r="N934" s="28">
        <v>2812</v>
      </c>
      <c r="O934" s="28" t="str">
        <f>IFERROR(VLOOKUP(N934, 'SIC &amp; NAICS Codes'!A:B, 2, FALSE), "")</f>
        <v>Alkalies and Chlorine</v>
      </c>
      <c r="S934" s="28">
        <v>74.231292517006693</v>
      </c>
      <c r="T934" s="315">
        <f>_xlfn.MAXIFS('Raw Period DMR Data'!$O:$O,'Raw Period DMR Data'!$A:$A,'Raw Annual DMR Data'!B934,'Raw Period DMR Data'!$C:$C,X934)/S934</f>
        <v>0</v>
      </c>
      <c r="U934" s="28" t="str">
        <f>+IF(COUNTIFS('Raw Period DMR Data'!$A:$A,B934, 'Raw Period DMR Data'!C:C,'Raw Annual DMR Data'!X934, 'Raw Period DMR Data'!M:M, "&gt;0")&gt;0,_xlfn.MAXIFS('Raw Period DMR Data'!M:M,'Raw Period DMR Data'!$A:$A,'Raw Annual DMR Data'!B934,'Raw Period DMR Data'!C:C,'Raw Annual DMR Data'!X934), "N/A - Period DMR Data Not Available")</f>
        <v>N/A - Period DMR Data Not Available</v>
      </c>
      <c r="V934" s="28" t="str" cm="1">
        <f t="array" ref="V934">IFERROR(INDEX('Raw Period DMR Data'!N:N,MATCH(1,(B934='Raw Period DMR Data'!$A:$A)*(U934='Raw Period DMR Data'!M:M)*(X934='Raw Period DMR Data'!C:C),0),1), "N/A")</f>
        <v>N/A</v>
      </c>
      <c r="W934" s="28" t="s">
        <v>1463</v>
      </c>
      <c r="X934" s="28" t="s">
        <v>912</v>
      </c>
      <c r="Y934" s="28">
        <v>701</v>
      </c>
      <c r="Z934" s="61">
        <v>8090302006735</v>
      </c>
    </row>
    <row r="935" spans="1:29" x14ac:dyDescent="0.25">
      <c r="A935" s="61">
        <v>110000449774</v>
      </c>
      <c r="B935" s="28">
        <v>2020</v>
      </c>
      <c r="C935" s="68">
        <f t="shared" si="14"/>
        <v>43831</v>
      </c>
      <c r="D935" s="28" t="s">
        <v>178</v>
      </c>
      <c r="E935" s="28" t="s">
        <v>584</v>
      </c>
      <c r="F935" s="28" t="s">
        <v>516</v>
      </c>
      <c r="G935" s="28" t="s">
        <v>303</v>
      </c>
      <c r="H935" s="28">
        <v>70734</v>
      </c>
      <c r="I935" s="28">
        <v>30.185099999999998</v>
      </c>
      <c r="J935" s="28">
        <v>-90.980400000000003</v>
      </c>
      <c r="K935" s="28" t="s">
        <v>585</v>
      </c>
      <c r="L935" s="61">
        <v>110000449774</v>
      </c>
      <c r="M935" s="28" t="s">
        <v>251</v>
      </c>
      <c r="N935" s="28">
        <v>2812</v>
      </c>
      <c r="O935" s="28" t="str">
        <f>IFERROR(VLOOKUP(N935, 'SIC &amp; NAICS Codes'!A:B, 2, FALSE), "")</f>
        <v>Alkalies and Chlorine</v>
      </c>
      <c r="S935" s="28">
        <v>94.693877551020407</v>
      </c>
      <c r="T935" s="315">
        <f>_xlfn.MAXIFS('Raw Period DMR Data'!$O:$O,'Raw Period DMR Data'!$A:$A,'Raw Annual DMR Data'!B935,'Raw Period DMR Data'!$C:$C,X935)/S935</f>
        <v>0</v>
      </c>
      <c r="U935" s="28" t="str">
        <f>+IF(COUNTIFS('Raw Period DMR Data'!$A:$A,B935, 'Raw Period DMR Data'!C:C,'Raw Annual DMR Data'!X935, 'Raw Period DMR Data'!M:M, "&gt;0")&gt;0,_xlfn.MAXIFS('Raw Period DMR Data'!M:M,'Raw Period DMR Data'!$A:$A,'Raw Annual DMR Data'!B935,'Raw Period DMR Data'!C:C,'Raw Annual DMR Data'!X935), "N/A - Period DMR Data Not Available")</f>
        <v>N/A - Period DMR Data Not Available</v>
      </c>
      <c r="V935" s="28" t="str" cm="1">
        <f t="array" ref="V935">IFERROR(INDEX('Raw Period DMR Data'!N:N,MATCH(1,(B935='Raw Period DMR Data'!$A:$A)*(U935='Raw Period DMR Data'!M:M)*(X935='Raw Period DMR Data'!C:C),0),1), "N/A")</f>
        <v>N/A</v>
      </c>
      <c r="W935" s="28" t="s">
        <v>1463</v>
      </c>
      <c r="X935" s="28" t="s">
        <v>912</v>
      </c>
      <c r="Y935" s="28">
        <v>701</v>
      </c>
      <c r="Z935" s="61">
        <v>8090302006735</v>
      </c>
    </row>
    <row r="936" spans="1:29" x14ac:dyDescent="0.25">
      <c r="A936" s="61">
        <v>110022905588</v>
      </c>
      <c r="B936" s="28">
        <v>2020</v>
      </c>
      <c r="C936" s="68">
        <f t="shared" si="14"/>
        <v>43831</v>
      </c>
      <c r="D936" s="28" t="s">
        <v>1268</v>
      </c>
      <c r="E936" s="28" t="s">
        <v>2074</v>
      </c>
      <c r="F936" s="28" t="s">
        <v>1269</v>
      </c>
      <c r="G936" s="28" t="s">
        <v>324</v>
      </c>
      <c r="H936" s="28">
        <v>40026</v>
      </c>
      <c r="I936" s="28">
        <v>38.417499999999997</v>
      </c>
      <c r="J936" s="28">
        <v>-85.611109999999996</v>
      </c>
      <c r="L936" s="61">
        <v>110022905588</v>
      </c>
      <c r="M936" s="28" t="s">
        <v>263</v>
      </c>
      <c r="N936" s="28">
        <v>4952</v>
      </c>
      <c r="O936" s="28" t="str">
        <f>IFERROR(VLOOKUP(N936, 'SIC &amp; NAICS Codes'!A:B, 2, FALSE), "")</f>
        <v>Sewerage Systems</v>
      </c>
      <c r="S936" s="28">
        <v>2.1310023125000002</v>
      </c>
      <c r="T936" s="315">
        <f>_xlfn.MAXIFS('Raw Period DMR Data'!$O:$O,'Raw Period DMR Data'!$A:$A,'Raw Annual DMR Data'!B936,'Raw Period DMR Data'!$C:$C,X936)/S936</f>
        <v>0</v>
      </c>
      <c r="U936" s="28" t="str">
        <f>+IF(COUNTIFS('Raw Period DMR Data'!$A:$A,B936, 'Raw Period DMR Data'!C:C,'Raw Annual DMR Data'!X936, 'Raw Period DMR Data'!M:M, "&gt;0")&gt;0,_xlfn.MAXIFS('Raw Period DMR Data'!M:M,'Raw Period DMR Data'!$A:$A,'Raw Annual DMR Data'!B936,'Raw Period DMR Data'!C:C,'Raw Annual DMR Data'!X936), "N/A - Period DMR Data Not Available")</f>
        <v>N/A - Period DMR Data Not Available</v>
      </c>
      <c r="V936" s="28" t="str" cm="1">
        <f t="array" ref="V936">IFERROR(INDEX('Raw Period DMR Data'!N:N,MATCH(1,(B936='Raw Period DMR Data'!$A:$A)*(U936='Raw Period DMR Data'!M:M)*(X936='Raw Period DMR Data'!C:C),0),1), "N/A")</f>
        <v>N/A</v>
      </c>
      <c r="W936" s="28" t="s">
        <v>1463</v>
      </c>
      <c r="X936" s="28" t="s">
        <v>2075</v>
      </c>
      <c r="Y936" s="28" t="s">
        <v>830</v>
      </c>
      <c r="Z936" s="28">
        <v>5140101000032</v>
      </c>
      <c r="AA936" s="28"/>
      <c r="AB936" s="28" t="s">
        <v>1465</v>
      </c>
      <c r="AC936" s="28" t="s">
        <v>263</v>
      </c>
    </row>
    <row r="937" spans="1:29" x14ac:dyDescent="0.25">
      <c r="A937" s="61">
        <v>110006740161</v>
      </c>
      <c r="B937" s="28">
        <v>2016</v>
      </c>
      <c r="C937" s="68">
        <f t="shared" si="14"/>
        <v>42370</v>
      </c>
      <c r="D937" s="28" t="s">
        <v>1270</v>
      </c>
      <c r="E937" s="28" t="s">
        <v>2076</v>
      </c>
      <c r="F937" s="28" t="s">
        <v>1271</v>
      </c>
      <c r="G937" s="28" t="s">
        <v>427</v>
      </c>
      <c r="H937" s="28">
        <v>49424</v>
      </c>
      <c r="I937" s="28">
        <v>42.813049999999997</v>
      </c>
      <c r="J937" s="28">
        <v>-86.197429999999997</v>
      </c>
      <c r="L937" s="61">
        <v>110006740161</v>
      </c>
      <c r="M937" s="28" t="s">
        <v>265</v>
      </c>
      <c r="N937" s="28">
        <v>4953</v>
      </c>
      <c r="O937" s="28" t="str">
        <f>IFERROR(VLOOKUP(N937, 'SIC &amp; NAICS Codes'!A:B, 2, FALSE), "")</f>
        <v>Refuse Systems (hazardous waste treatment and disposal)</v>
      </c>
      <c r="S937" s="28">
        <v>0.22757690999999999</v>
      </c>
      <c r="T937" s="315">
        <f>_xlfn.MAXIFS('Raw Period DMR Data'!$O:$O,'Raw Period DMR Data'!$A:$A,'Raw Annual DMR Data'!B937,'Raw Period DMR Data'!$C:$C,X937)/S937</f>
        <v>0</v>
      </c>
      <c r="U937" s="28" t="str">
        <f>+IF(COUNTIFS('Raw Period DMR Data'!$A:$A,B937, 'Raw Period DMR Data'!C:C,'Raw Annual DMR Data'!X937, 'Raw Period DMR Data'!M:M, "&gt;0")&gt;0,_xlfn.MAXIFS('Raw Period DMR Data'!M:M,'Raw Period DMR Data'!$A:$A,'Raw Annual DMR Data'!B937,'Raw Period DMR Data'!C:C,'Raw Annual DMR Data'!X937), "N/A - Period DMR Data Not Available")</f>
        <v>N/A - Period DMR Data Not Available</v>
      </c>
      <c r="V937" s="28" t="str" cm="1">
        <f t="array" ref="V937">IFERROR(INDEX('Raw Period DMR Data'!N:N,MATCH(1,(B937='Raw Period DMR Data'!$A:$A)*(U937='Raw Period DMR Data'!M:M)*(X937='Raw Period DMR Data'!C:C),0),1), "N/A")</f>
        <v>N/A</v>
      </c>
      <c r="W937" s="28" t="s">
        <v>1463</v>
      </c>
      <c r="X937" s="28" t="s">
        <v>2077</v>
      </c>
      <c r="Y937" s="28" t="s">
        <v>2078</v>
      </c>
      <c r="Z937" s="28">
        <v>4050002000163</v>
      </c>
      <c r="AA937" s="28"/>
      <c r="AB937" s="28" t="s">
        <v>1465</v>
      </c>
      <c r="AC937" s="28" t="s">
        <v>1466</v>
      </c>
    </row>
    <row r="938" spans="1:29" x14ac:dyDescent="0.25">
      <c r="A938" s="61">
        <v>110006740161</v>
      </c>
      <c r="B938" s="28">
        <v>2017</v>
      </c>
      <c r="C938" s="68">
        <f t="shared" si="14"/>
        <v>42736</v>
      </c>
      <c r="D938" s="28" t="s">
        <v>1270</v>
      </c>
      <c r="E938" s="28" t="s">
        <v>2076</v>
      </c>
      <c r="F938" s="28" t="s">
        <v>1271</v>
      </c>
      <c r="G938" s="28" t="s">
        <v>427</v>
      </c>
      <c r="H938" s="28">
        <v>49424</v>
      </c>
      <c r="I938" s="28">
        <v>42.813049999999997</v>
      </c>
      <c r="J938" s="28">
        <v>-86.197429999999997</v>
      </c>
      <c r="L938" s="61">
        <v>110006740161</v>
      </c>
      <c r="M938" s="28" t="s">
        <v>265</v>
      </c>
      <c r="N938" s="28">
        <v>4953</v>
      </c>
      <c r="O938" s="28" t="str">
        <f>IFERROR(VLOOKUP(N938, 'SIC &amp; NAICS Codes'!A:B, 2, FALSE), "")</f>
        <v>Refuse Systems (hazardous waste treatment and disposal)</v>
      </c>
      <c r="S938" s="28">
        <v>0.19767730250000001</v>
      </c>
      <c r="T938" s="315">
        <f>_xlfn.MAXIFS('Raw Period DMR Data'!$O:$O,'Raw Period DMR Data'!$A:$A,'Raw Annual DMR Data'!B938,'Raw Period DMR Data'!$C:$C,X938)/S938</f>
        <v>0</v>
      </c>
      <c r="U938" s="28" t="str">
        <f>+IF(COUNTIFS('Raw Period DMR Data'!$A:$A,B938, 'Raw Period DMR Data'!C:C,'Raw Annual DMR Data'!X938, 'Raw Period DMR Data'!M:M, "&gt;0")&gt;0,_xlfn.MAXIFS('Raw Period DMR Data'!M:M,'Raw Period DMR Data'!$A:$A,'Raw Annual DMR Data'!B938,'Raw Period DMR Data'!C:C,'Raw Annual DMR Data'!X938), "N/A - Period DMR Data Not Available")</f>
        <v>N/A - Period DMR Data Not Available</v>
      </c>
      <c r="V938" s="28" t="str" cm="1">
        <f t="array" ref="V938">IFERROR(INDEX('Raw Period DMR Data'!N:N,MATCH(1,(B938='Raw Period DMR Data'!$A:$A)*(U938='Raw Period DMR Data'!M:M)*(X938='Raw Period DMR Data'!C:C),0),1), "N/A")</f>
        <v>N/A</v>
      </c>
      <c r="W938" s="28" t="s">
        <v>1463</v>
      </c>
      <c r="X938" s="28" t="s">
        <v>2077</v>
      </c>
      <c r="Y938" s="28" t="s">
        <v>2078</v>
      </c>
      <c r="Z938" s="28">
        <v>4050002000163</v>
      </c>
      <c r="AA938" s="28"/>
      <c r="AB938" s="28" t="s">
        <v>1465</v>
      </c>
      <c r="AC938" s="28" t="s">
        <v>1466</v>
      </c>
    </row>
    <row r="939" spans="1:29" x14ac:dyDescent="0.25">
      <c r="A939" s="61">
        <v>110006740161</v>
      </c>
      <c r="B939" s="28">
        <v>2018</v>
      </c>
      <c r="C939" s="68">
        <f t="shared" si="14"/>
        <v>43101</v>
      </c>
      <c r="D939" s="28" t="s">
        <v>1270</v>
      </c>
      <c r="E939" s="28" t="s">
        <v>2076</v>
      </c>
      <c r="F939" s="28" t="s">
        <v>1271</v>
      </c>
      <c r="G939" s="28" t="s">
        <v>427</v>
      </c>
      <c r="H939" s="28">
        <v>49424</v>
      </c>
      <c r="I939" s="28">
        <v>42.813049999999997</v>
      </c>
      <c r="J939" s="28">
        <v>-86.197429999999997</v>
      </c>
      <c r="L939" s="61">
        <v>110006740161</v>
      </c>
      <c r="M939" s="28" t="s">
        <v>265</v>
      </c>
      <c r="N939" s="28">
        <v>4953</v>
      </c>
      <c r="O939" s="28" t="str">
        <f>IFERROR(VLOOKUP(N939, 'SIC &amp; NAICS Codes'!A:B, 2, FALSE), "")</f>
        <v>Refuse Systems (hazardous waste treatment and disposal)</v>
      </c>
      <c r="S939" s="28">
        <v>0.21678209000000001</v>
      </c>
      <c r="T939" s="315">
        <f>_xlfn.MAXIFS('Raw Period DMR Data'!$O:$O,'Raw Period DMR Data'!$A:$A,'Raw Annual DMR Data'!B939,'Raw Period DMR Data'!$C:$C,X939)/S939</f>
        <v>0</v>
      </c>
      <c r="U939" s="28" t="str">
        <f>+IF(COUNTIFS('Raw Period DMR Data'!$A:$A,B939, 'Raw Period DMR Data'!C:C,'Raw Annual DMR Data'!X939, 'Raw Period DMR Data'!M:M, "&gt;0")&gt;0,_xlfn.MAXIFS('Raw Period DMR Data'!M:M,'Raw Period DMR Data'!$A:$A,'Raw Annual DMR Data'!B939,'Raw Period DMR Data'!C:C,'Raw Annual DMR Data'!X939), "N/A - Period DMR Data Not Available")</f>
        <v>N/A - Period DMR Data Not Available</v>
      </c>
      <c r="V939" s="28" t="str" cm="1">
        <f t="array" ref="V939">IFERROR(INDEX('Raw Period DMR Data'!N:N,MATCH(1,(B939='Raw Period DMR Data'!$A:$A)*(U939='Raw Period DMR Data'!M:M)*(X939='Raw Period DMR Data'!C:C),0),1), "N/A")</f>
        <v>N/A</v>
      </c>
      <c r="W939" s="28" t="s">
        <v>1463</v>
      </c>
      <c r="X939" s="28" t="s">
        <v>2077</v>
      </c>
      <c r="Y939" s="28" t="s">
        <v>2078</v>
      </c>
      <c r="Z939" s="302" t="s">
        <v>2079</v>
      </c>
      <c r="AA939" s="28"/>
      <c r="AB939" s="28" t="s">
        <v>1465</v>
      </c>
      <c r="AC939" s="28" t="s">
        <v>1466</v>
      </c>
    </row>
    <row r="940" spans="1:29" x14ac:dyDescent="0.25">
      <c r="A940" s="61">
        <v>110006740161</v>
      </c>
      <c r="B940" s="28">
        <v>2019</v>
      </c>
      <c r="C940" s="68">
        <f t="shared" si="14"/>
        <v>43466</v>
      </c>
      <c r="D940" s="28" t="s">
        <v>1270</v>
      </c>
      <c r="E940" s="28" t="s">
        <v>2076</v>
      </c>
      <c r="F940" s="28" t="s">
        <v>1271</v>
      </c>
      <c r="G940" s="28" t="s">
        <v>427</v>
      </c>
      <c r="H940" s="28">
        <v>49424</v>
      </c>
      <c r="I940" s="28">
        <v>42.813049999999997</v>
      </c>
      <c r="J940" s="28">
        <v>-86.197429999999997</v>
      </c>
      <c r="L940" s="61">
        <v>110006740161</v>
      </c>
      <c r="M940" s="28" t="s">
        <v>265</v>
      </c>
      <c r="N940" s="28">
        <v>4953</v>
      </c>
      <c r="O940" s="28" t="str">
        <f>IFERROR(VLOOKUP(N940, 'SIC &amp; NAICS Codes'!A:B, 2, FALSE), "")</f>
        <v>Refuse Systems (hazardous waste treatment and disposal)</v>
      </c>
      <c r="S940" s="28">
        <v>0.18207364000000001</v>
      </c>
      <c r="T940" s="315">
        <f>_xlfn.MAXIFS('Raw Period DMR Data'!$O:$O,'Raw Period DMR Data'!$A:$A,'Raw Annual DMR Data'!B940,'Raw Period DMR Data'!$C:$C,X940)/S940</f>
        <v>0</v>
      </c>
      <c r="U940" s="28" t="str">
        <f>+IF(COUNTIFS('Raw Period DMR Data'!$A:$A,B940, 'Raw Period DMR Data'!C:C,'Raw Annual DMR Data'!X940, 'Raw Period DMR Data'!M:M, "&gt;0")&gt;0,_xlfn.MAXIFS('Raw Period DMR Data'!M:M,'Raw Period DMR Data'!$A:$A,'Raw Annual DMR Data'!B940,'Raw Period DMR Data'!C:C,'Raw Annual DMR Data'!X940), "N/A - Period DMR Data Not Available")</f>
        <v>N/A - Period DMR Data Not Available</v>
      </c>
      <c r="V940" s="28" t="str" cm="1">
        <f t="array" ref="V940">IFERROR(INDEX('Raw Period DMR Data'!N:N,MATCH(1,(B940='Raw Period DMR Data'!$A:$A)*(U940='Raw Period DMR Data'!M:M)*(X940='Raw Period DMR Data'!C:C),0),1), "N/A")</f>
        <v>N/A</v>
      </c>
      <c r="W940" s="28" t="s">
        <v>1463</v>
      </c>
      <c r="X940" s="28" t="s">
        <v>2077</v>
      </c>
      <c r="Y940" s="28" t="s">
        <v>2078</v>
      </c>
      <c r="Z940" s="28">
        <v>4050002000163</v>
      </c>
      <c r="AA940" s="28"/>
      <c r="AB940" s="28" t="s">
        <v>1465</v>
      </c>
      <c r="AC940" s="28" t="s">
        <v>1466</v>
      </c>
    </row>
    <row r="941" spans="1:29" x14ac:dyDescent="0.25">
      <c r="A941" s="61">
        <v>110006740161</v>
      </c>
      <c r="B941" s="28">
        <v>2020</v>
      </c>
      <c r="C941" s="68">
        <f t="shared" si="14"/>
        <v>43831</v>
      </c>
      <c r="D941" s="28" t="s">
        <v>1270</v>
      </c>
      <c r="E941" s="28" t="s">
        <v>2076</v>
      </c>
      <c r="F941" s="28" t="s">
        <v>1271</v>
      </c>
      <c r="G941" s="28" t="s">
        <v>427</v>
      </c>
      <c r="H941" s="28">
        <v>49424</v>
      </c>
      <c r="I941" s="28">
        <v>42.813049999999997</v>
      </c>
      <c r="J941" s="28">
        <v>-86.197429999999997</v>
      </c>
      <c r="L941" s="61">
        <v>110006740161</v>
      </c>
      <c r="M941" s="28" t="s">
        <v>265</v>
      </c>
      <c r="N941" s="28">
        <v>4953</v>
      </c>
      <c r="O941" s="28" t="str">
        <f>IFERROR(VLOOKUP(N941, 'SIC &amp; NAICS Codes'!A:B, 2, FALSE), "")</f>
        <v>Refuse Systems (hazardous waste treatment and disposal)</v>
      </c>
      <c r="S941" s="28">
        <v>0.1659211525</v>
      </c>
      <c r="T941" s="315">
        <f>_xlfn.MAXIFS('Raw Period DMR Data'!$O:$O,'Raw Period DMR Data'!$A:$A,'Raw Annual DMR Data'!B941,'Raw Period DMR Data'!$C:$C,X941)/S941</f>
        <v>0</v>
      </c>
      <c r="U941" s="28" t="str">
        <f>+IF(COUNTIFS('Raw Period DMR Data'!$A:$A,B941, 'Raw Period DMR Data'!C:C,'Raw Annual DMR Data'!X941, 'Raw Period DMR Data'!M:M, "&gt;0")&gt;0,_xlfn.MAXIFS('Raw Period DMR Data'!M:M,'Raw Period DMR Data'!$A:$A,'Raw Annual DMR Data'!B941,'Raw Period DMR Data'!C:C,'Raw Annual DMR Data'!X941), "N/A - Period DMR Data Not Available")</f>
        <v>N/A - Period DMR Data Not Available</v>
      </c>
      <c r="V941" s="28" t="str" cm="1">
        <f t="array" ref="V941">IFERROR(INDEX('Raw Period DMR Data'!N:N,MATCH(1,(B941='Raw Period DMR Data'!$A:$A)*(U941='Raw Period DMR Data'!M:M)*(X941='Raw Period DMR Data'!C:C),0),1), "N/A")</f>
        <v>N/A</v>
      </c>
      <c r="W941" s="28" t="s">
        <v>1463</v>
      </c>
      <c r="X941" s="28" t="s">
        <v>2077</v>
      </c>
      <c r="Y941" s="28" t="s">
        <v>2078</v>
      </c>
      <c r="Z941" s="28">
        <v>4050002000163</v>
      </c>
      <c r="AA941" s="28"/>
      <c r="AB941" s="28" t="s">
        <v>1465</v>
      </c>
      <c r="AC941" s="28" t="s">
        <v>1466</v>
      </c>
    </row>
    <row r="942" spans="1:29" x14ac:dyDescent="0.25">
      <c r="A942" s="61">
        <v>110043734983</v>
      </c>
      <c r="B942" s="28">
        <v>2017</v>
      </c>
      <c r="C942" s="68">
        <f t="shared" si="14"/>
        <v>42736</v>
      </c>
      <c r="D942" s="28" t="s">
        <v>1272</v>
      </c>
      <c r="E942" s="28" t="s">
        <v>2080</v>
      </c>
      <c r="F942" s="28" t="s">
        <v>1273</v>
      </c>
      <c r="G942" s="28" t="s">
        <v>324</v>
      </c>
      <c r="H942" s="28">
        <v>42303</v>
      </c>
      <c r="I942" s="28">
        <v>37.770769999999999</v>
      </c>
      <c r="J942" s="28">
        <v>-87.065669999999997</v>
      </c>
      <c r="L942" s="61">
        <v>110043734983</v>
      </c>
      <c r="M942" s="28" t="s">
        <v>263</v>
      </c>
      <c r="N942" s="28">
        <v>4952</v>
      </c>
      <c r="O942" s="28" t="str">
        <f>IFERROR(VLOOKUP(N942, 'SIC &amp; NAICS Codes'!A:B, 2, FALSE), "")</f>
        <v>Sewerage Systems</v>
      </c>
      <c r="S942" s="28">
        <v>12.2955725</v>
      </c>
      <c r="T942" s="315">
        <f>_xlfn.MAXIFS('Raw Period DMR Data'!$O:$O,'Raw Period DMR Data'!$A:$A,'Raw Annual DMR Data'!B942,'Raw Period DMR Data'!$C:$C,X942)/S942</f>
        <v>0</v>
      </c>
      <c r="U942" s="28" t="str">
        <f>+IF(COUNTIFS('Raw Period DMR Data'!$A:$A,B942, 'Raw Period DMR Data'!C:C,'Raw Annual DMR Data'!X942, 'Raw Period DMR Data'!M:M, "&gt;0")&gt;0,_xlfn.MAXIFS('Raw Period DMR Data'!M:M,'Raw Period DMR Data'!$A:$A,'Raw Annual DMR Data'!B942,'Raw Period DMR Data'!C:C,'Raw Annual DMR Data'!X942), "N/A - Period DMR Data Not Available")</f>
        <v>N/A - Period DMR Data Not Available</v>
      </c>
      <c r="V942" s="28" t="str" cm="1">
        <f t="array" ref="V942">IFERROR(INDEX('Raw Period DMR Data'!N:N,MATCH(1,(B942='Raw Period DMR Data'!$A:$A)*(U942='Raw Period DMR Data'!M:M)*(X942='Raw Period DMR Data'!C:C),0),1), "N/A")</f>
        <v>N/A</v>
      </c>
      <c r="W942" s="28" t="s">
        <v>1463</v>
      </c>
      <c r="X942" s="28" t="s">
        <v>2081</v>
      </c>
      <c r="Y942" s="28" t="s">
        <v>830</v>
      </c>
      <c r="Z942" s="28">
        <v>5140201000008</v>
      </c>
      <c r="AA942" s="28"/>
      <c r="AB942" s="28" t="s">
        <v>1465</v>
      </c>
      <c r="AC942" s="28" t="s">
        <v>263</v>
      </c>
    </row>
    <row r="943" spans="1:29" x14ac:dyDescent="0.25">
      <c r="A943" s="61">
        <v>110043734983</v>
      </c>
      <c r="B943" s="28">
        <v>2018</v>
      </c>
      <c r="C943" s="68">
        <f t="shared" si="14"/>
        <v>43101</v>
      </c>
      <c r="D943" s="28" t="s">
        <v>1272</v>
      </c>
      <c r="E943" s="28" t="s">
        <v>2080</v>
      </c>
      <c r="F943" s="28" t="s">
        <v>1273</v>
      </c>
      <c r="G943" s="28" t="s">
        <v>324</v>
      </c>
      <c r="H943" s="28">
        <v>42303</v>
      </c>
      <c r="I943" s="28">
        <v>37.770769999999999</v>
      </c>
      <c r="J943" s="28">
        <v>-87.065669999999997</v>
      </c>
      <c r="L943" s="61">
        <v>110043734983</v>
      </c>
      <c r="M943" s="28" t="s">
        <v>263</v>
      </c>
      <c r="N943" s="28">
        <v>4952</v>
      </c>
      <c r="O943" s="28" t="str">
        <f>IFERROR(VLOOKUP(N943, 'SIC &amp; NAICS Codes'!A:B, 2, FALSE), "")</f>
        <v>Sewerage Systems</v>
      </c>
      <c r="S943" s="28">
        <v>18.443358750000002</v>
      </c>
      <c r="T943" s="315">
        <f>_xlfn.MAXIFS('Raw Period DMR Data'!$O:$O,'Raw Period DMR Data'!$A:$A,'Raw Annual DMR Data'!B943,'Raw Period DMR Data'!$C:$C,X943)/S943</f>
        <v>0</v>
      </c>
      <c r="U943" s="28" t="str">
        <f>+IF(COUNTIFS('Raw Period DMR Data'!$A:$A,B943, 'Raw Period DMR Data'!C:C,'Raw Annual DMR Data'!X943, 'Raw Period DMR Data'!M:M, "&gt;0")&gt;0,_xlfn.MAXIFS('Raw Period DMR Data'!M:M,'Raw Period DMR Data'!$A:$A,'Raw Annual DMR Data'!B943,'Raw Period DMR Data'!C:C,'Raw Annual DMR Data'!X943), "N/A - Period DMR Data Not Available")</f>
        <v>N/A - Period DMR Data Not Available</v>
      </c>
      <c r="V943" s="28" t="str" cm="1">
        <f t="array" ref="V943">IFERROR(INDEX('Raw Period DMR Data'!N:N,MATCH(1,(B943='Raw Period DMR Data'!$A:$A)*(U943='Raw Period DMR Data'!M:M)*(X943='Raw Period DMR Data'!C:C),0),1), "N/A")</f>
        <v>N/A</v>
      </c>
      <c r="W943" s="28" t="s">
        <v>1463</v>
      </c>
      <c r="X943" s="28" t="s">
        <v>2081</v>
      </c>
      <c r="Y943" s="28" t="s">
        <v>830</v>
      </c>
      <c r="Z943" s="302" t="s">
        <v>2082</v>
      </c>
      <c r="AA943" s="28"/>
      <c r="AB943" s="28" t="s">
        <v>1465</v>
      </c>
      <c r="AC943" s="28" t="s">
        <v>263</v>
      </c>
    </row>
    <row r="944" spans="1:29" x14ac:dyDescent="0.25">
      <c r="A944" s="61">
        <v>110043734983</v>
      </c>
      <c r="B944" s="28">
        <v>2019</v>
      </c>
      <c r="C944" s="68">
        <f t="shared" si="14"/>
        <v>43466</v>
      </c>
      <c r="D944" s="28" t="s">
        <v>1272</v>
      </c>
      <c r="E944" s="28" t="s">
        <v>2080</v>
      </c>
      <c r="F944" s="28" t="s">
        <v>1273</v>
      </c>
      <c r="G944" s="28" t="s">
        <v>324</v>
      </c>
      <c r="H944" s="28">
        <v>42303</v>
      </c>
      <c r="I944" s="28">
        <v>37.770769999999999</v>
      </c>
      <c r="J944" s="28">
        <v>-87.065669999999997</v>
      </c>
      <c r="L944" s="61">
        <v>110043734983</v>
      </c>
      <c r="M944" s="28" t="s">
        <v>263</v>
      </c>
      <c r="N944" s="28">
        <v>4952</v>
      </c>
      <c r="O944" s="28" t="str">
        <f>IFERROR(VLOOKUP(N944, 'SIC &amp; NAICS Codes'!A:B, 2, FALSE), "")</f>
        <v>Sewerage Systems</v>
      </c>
      <c r="S944" s="28">
        <v>18.236129999999999</v>
      </c>
      <c r="T944" s="315">
        <f>_xlfn.MAXIFS('Raw Period DMR Data'!$O:$O,'Raw Period DMR Data'!$A:$A,'Raw Annual DMR Data'!B944,'Raw Period DMR Data'!$C:$C,X944)/S944</f>
        <v>0</v>
      </c>
      <c r="U944" s="28" t="str">
        <f>+IF(COUNTIFS('Raw Period DMR Data'!$A:$A,B944, 'Raw Period DMR Data'!C:C,'Raw Annual DMR Data'!X944, 'Raw Period DMR Data'!M:M, "&gt;0")&gt;0,_xlfn.MAXIFS('Raw Period DMR Data'!M:M,'Raw Period DMR Data'!$A:$A,'Raw Annual DMR Data'!B944,'Raw Period DMR Data'!C:C,'Raw Annual DMR Data'!X944), "N/A - Period DMR Data Not Available")</f>
        <v>N/A - Period DMR Data Not Available</v>
      </c>
      <c r="V944" s="28" t="str" cm="1">
        <f t="array" ref="V944">IFERROR(INDEX('Raw Period DMR Data'!N:N,MATCH(1,(B944='Raw Period DMR Data'!$A:$A)*(U944='Raw Period DMR Data'!M:M)*(X944='Raw Period DMR Data'!C:C),0),1), "N/A")</f>
        <v>N/A</v>
      </c>
      <c r="W944" s="28" t="s">
        <v>1463</v>
      </c>
      <c r="X944" s="28" t="s">
        <v>2081</v>
      </c>
      <c r="Y944" s="28" t="s">
        <v>830</v>
      </c>
      <c r="Z944" s="28">
        <v>5140201000008</v>
      </c>
      <c r="AA944" s="28"/>
      <c r="AB944" s="28" t="s">
        <v>1465</v>
      </c>
      <c r="AC944" s="28" t="s">
        <v>263</v>
      </c>
    </row>
    <row r="945" spans="1:29" x14ac:dyDescent="0.25">
      <c r="A945" s="61">
        <v>110043734983</v>
      </c>
      <c r="B945" s="28">
        <v>2020</v>
      </c>
      <c r="C945" s="68">
        <f t="shared" si="14"/>
        <v>43831</v>
      </c>
      <c r="D945" s="28" t="s">
        <v>1272</v>
      </c>
      <c r="E945" s="28" t="s">
        <v>2080</v>
      </c>
      <c r="F945" s="28" t="s">
        <v>1273</v>
      </c>
      <c r="G945" s="28" t="s">
        <v>324</v>
      </c>
      <c r="H945" s="28">
        <v>42303</v>
      </c>
      <c r="I945" s="28">
        <v>37.770769999999999</v>
      </c>
      <c r="J945" s="28">
        <v>-87.065669999999997</v>
      </c>
      <c r="L945" s="61">
        <v>110043734983</v>
      </c>
      <c r="M945" s="28" t="s">
        <v>263</v>
      </c>
      <c r="N945" s="28">
        <v>4952</v>
      </c>
      <c r="O945" s="28" t="str">
        <f>IFERROR(VLOOKUP(N945, 'SIC &amp; NAICS Codes'!A:B, 2, FALSE), "")</f>
        <v>Sewerage Systems</v>
      </c>
      <c r="S945" s="28">
        <v>14.98954625</v>
      </c>
      <c r="T945" s="315">
        <f>_xlfn.MAXIFS('Raw Period DMR Data'!$O:$O,'Raw Period DMR Data'!$A:$A,'Raw Annual DMR Data'!B945,'Raw Period DMR Data'!$C:$C,X945)/S945</f>
        <v>0</v>
      </c>
      <c r="U945" s="28" t="str">
        <f>+IF(COUNTIFS('Raw Period DMR Data'!$A:$A,B945, 'Raw Period DMR Data'!C:C,'Raw Annual DMR Data'!X945, 'Raw Period DMR Data'!M:M, "&gt;0")&gt;0,_xlfn.MAXIFS('Raw Period DMR Data'!M:M,'Raw Period DMR Data'!$A:$A,'Raw Annual DMR Data'!B945,'Raw Period DMR Data'!C:C,'Raw Annual DMR Data'!X945), "N/A - Period DMR Data Not Available")</f>
        <v>N/A - Period DMR Data Not Available</v>
      </c>
      <c r="V945" s="28" t="str" cm="1">
        <f t="array" ref="V945">IFERROR(INDEX('Raw Period DMR Data'!N:N,MATCH(1,(B945='Raw Period DMR Data'!$A:$A)*(U945='Raw Period DMR Data'!M:M)*(X945='Raw Period DMR Data'!C:C),0),1), "N/A")</f>
        <v>N/A</v>
      </c>
      <c r="W945" s="28" t="s">
        <v>1463</v>
      </c>
      <c r="X945" s="28" t="s">
        <v>2081</v>
      </c>
      <c r="Y945" s="28" t="s">
        <v>830</v>
      </c>
      <c r="Z945" s="28">
        <v>5140201000008</v>
      </c>
      <c r="AA945" s="28"/>
      <c r="AB945" s="28" t="s">
        <v>1465</v>
      </c>
      <c r="AC945" s="28" t="s">
        <v>263</v>
      </c>
    </row>
    <row r="946" spans="1:29" x14ac:dyDescent="0.25">
      <c r="A946" s="61">
        <v>110000747835</v>
      </c>
      <c r="B946" s="28">
        <v>2015</v>
      </c>
      <c r="C946" s="68">
        <f t="shared" si="14"/>
        <v>42005</v>
      </c>
      <c r="D946" s="28" t="s">
        <v>1274</v>
      </c>
      <c r="E946" s="28" t="s">
        <v>2083</v>
      </c>
      <c r="F946" s="28" t="s">
        <v>1273</v>
      </c>
      <c r="G946" s="28" t="s">
        <v>324</v>
      </c>
      <c r="H946" s="28">
        <v>42303</v>
      </c>
      <c r="I946" s="28">
        <v>37.8125</v>
      </c>
      <c r="J946" s="28">
        <v>-87.05</v>
      </c>
      <c r="K946" s="28" t="s">
        <v>729</v>
      </c>
      <c r="L946" s="61">
        <v>110000747835</v>
      </c>
      <c r="M946" s="28" t="s">
        <v>265</v>
      </c>
      <c r="N946" s="28">
        <v>2821</v>
      </c>
      <c r="O946" s="28" t="str">
        <f>IFERROR(VLOOKUP(N946, 'SIC &amp; NAICS Codes'!A:B, 2, FALSE), "")</f>
        <v>Plastics Materials, Synthetic and Resins, and Nonvulcanizable Elastomers</v>
      </c>
      <c r="S946" s="28">
        <v>1.07596371882086E-2</v>
      </c>
      <c r="T946" s="315">
        <f>_xlfn.MAXIFS('Raw Period DMR Data'!$O:$O,'Raw Period DMR Data'!$A:$A,'Raw Annual DMR Data'!B946,'Raw Period DMR Data'!$C:$C,X946)/S946</f>
        <v>0</v>
      </c>
      <c r="U946" s="28" t="str">
        <f>+IF(COUNTIFS('Raw Period DMR Data'!$A:$A,B946, 'Raw Period DMR Data'!C:C,'Raw Annual DMR Data'!X946, 'Raw Period DMR Data'!M:M, "&gt;0")&gt;0,_xlfn.MAXIFS('Raw Period DMR Data'!M:M,'Raw Period DMR Data'!$A:$A,'Raw Annual DMR Data'!B946,'Raw Period DMR Data'!C:C,'Raw Annual DMR Data'!X946), "N/A - Period DMR Data Not Available")</f>
        <v>N/A - Period DMR Data Not Available</v>
      </c>
      <c r="V946" s="28" t="str" cm="1">
        <f t="array" ref="V946">IFERROR(INDEX('Raw Period DMR Data'!N:N,MATCH(1,(B946='Raw Period DMR Data'!$A:$A)*(U946='Raw Period DMR Data'!M:M)*(X946='Raw Period DMR Data'!C:C),0),1), "N/A")</f>
        <v>N/A</v>
      </c>
      <c r="W946" s="28" t="s">
        <v>1463</v>
      </c>
      <c r="X946" s="28" t="s">
        <v>2084</v>
      </c>
      <c r="Y946" s="28" t="s">
        <v>2085</v>
      </c>
      <c r="Z946" s="28">
        <v>5140201000239</v>
      </c>
      <c r="AA946" s="28"/>
      <c r="AB946" s="28" t="s">
        <v>1465</v>
      </c>
      <c r="AC946" s="28" t="s">
        <v>1466</v>
      </c>
    </row>
    <row r="947" spans="1:29" x14ac:dyDescent="0.25">
      <c r="A947" s="61">
        <v>110000747835</v>
      </c>
      <c r="B947" s="28">
        <v>2016</v>
      </c>
      <c r="C947" s="68">
        <f t="shared" si="14"/>
        <v>42370</v>
      </c>
      <c r="D947" s="28" t="s">
        <v>1274</v>
      </c>
      <c r="E947" s="28" t="s">
        <v>2083</v>
      </c>
      <c r="F947" s="28" t="s">
        <v>1273</v>
      </c>
      <c r="G947" s="28" t="s">
        <v>324</v>
      </c>
      <c r="H947" s="28">
        <v>42303</v>
      </c>
      <c r="I947" s="28">
        <v>37.8125</v>
      </c>
      <c r="J947" s="28">
        <v>-87.05</v>
      </c>
      <c r="K947" s="28" t="s">
        <v>729</v>
      </c>
      <c r="L947" s="61">
        <v>110000747835</v>
      </c>
      <c r="M947" s="28" t="s">
        <v>265</v>
      </c>
      <c r="N947" s="28">
        <v>2821</v>
      </c>
      <c r="O947" s="28" t="str">
        <f>IFERROR(VLOOKUP(N947, 'SIC &amp; NAICS Codes'!A:B, 2, FALSE), "")</f>
        <v>Plastics Materials, Synthetic and Resins, and Nonvulcanizable Elastomers</v>
      </c>
      <c r="S947" s="28">
        <v>2.59058956916099E-2</v>
      </c>
      <c r="T947" s="315">
        <f>_xlfn.MAXIFS('Raw Period DMR Data'!$O:$O,'Raw Period DMR Data'!$A:$A,'Raw Annual DMR Data'!B947,'Raw Period DMR Data'!$C:$C,X947)/S947</f>
        <v>0</v>
      </c>
      <c r="U947" s="28" t="str">
        <f>+IF(COUNTIFS('Raw Period DMR Data'!$A:$A,B947, 'Raw Period DMR Data'!C:C,'Raw Annual DMR Data'!X947, 'Raw Period DMR Data'!M:M, "&gt;0")&gt;0,_xlfn.MAXIFS('Raw Period DMR Data'!M:M,'Raw Period DMR Data'!$A:$A,'Raw Annual DMR Data'!B947,'Raw Period DMR Data'!C:C,'Raw Annual DMR Data'!X947), "N/A - Period DMR Data Not Available")</f>
        <v>N/A - Period DMR Data Not Available</v>
      </c>
      <c r="V947" s="28" t="str" cm="1">
        <f t="array" ref="V947">IFERROR(INDEX('Raw Period DMR Data'!N:N,MATCH(1,(B947='Raw Period DMR Data'!$A:$A)*(U947='Raw Period DMR Data'!M:M)*(X947='Raw Period DMR Data'!C:C),0),1), "N/A")</f>
        <v>N/A</v>
      </c>
      <c r="W947" s="28" t="s">
        <v>1463</v>
      </c>
      <c r="X947" s="28" t="s">
        <v>2084</v>
      </c>
      <c r="Y947" s="28" t="s">
        <v>2085</v>
      </c>
      <c r="Z947" s="28">
        <v>5140201000239</v>
      </c>
      <c r="AA947" s="28"/>
      <c r="AB947" s="28" t="s">
        <v>1465</v>
      </c>
      <c r="AC947" s="28" t="s">
        <v>1466</v>
      </c>
    </row>
    <row r="948" spans="1:29" x14ac:dyDescent="0.25">
      <c r="A948" s="61">
        <v>110000747835</v>
      </c>
      <c r="B948" s="28">
        <v>2017</v>
      </c>
      <c r="C948" s="68">
        <f t="shared" si="14"/>
        <v>42736</v>
      </c>
      <c r="D948" s="28" t="s">
        <v>1274</v>
      </c>
      <c r="E948" s="28" t="s">
        <v>2083</v>
      </c>
      <c r="F948" s="28" t="s">
        <v>1273</v>
      </c>
      <c r="G948" s="28" t="s">
        <v>324</v>
      </c>
      <c r="H948" s="28">
        <v>42303</v>
      </c>
      <c r="I948" s="28">
        <v>37.8125</v>
      </c>
      <c r="J948" s="28">
        <v>-87.05</v>
      </c>
      <c r="K948" s="28" t="s">
        <v>729</v>
      </c>
      <c r="L948" s="61">
        <v>110000747835</v>
      </c>
      <c r="M948" s="28" t="s">
        <v>265</v>
      </c>
      <c r="N948" s="28">
        <v>2821</v>
      </c>
      <c r="O948" s="28" t="str">
        <f>IFERROR(VLOOKUP(N948, 'SIC &amp; NAICS Codes'!A:B, 2, FALSE), "")</f>
        <v>Plastics Materials, Synthetic and Resins, and Nonvulcanizable Elastomers</v>
      </c>
      <c r="S948" s="28">
        <v>4.07210884353741E-2</v>
      </c>
      <c r="T948" s="315">
        <f>_xlfn.MAXIFS('Raw Period DMR Data'!$O:$O,'Raw Period DMR Data'!$A:$A,'Raw Annual DMR Data'!B948,'Raw Period DMR Data'!$C:$C,X948)/S948</f>
        <v>0</v>
      </c>
      <c r="U948" s="28" t="str">
        <f>+IF(COUNTIFS('Raw Period DMR Data'!$A:$A,B948, 'Raw Period DMR Data'!C:C,'Raw Annual DMR Data'!X948, 'Raw Period DMR Data'!M:M, "&gt;0")&gt;0,_xlfn.MAXIFS('Raw Period DMR Data'!M:M,'Raw Period DMR Data'!$A:$A,'Raw Annual DMR Data'!B948,'Raw Period DMR Data'!C:C,'Raw Annual DMR Data'!X948), "N/A - Period DMR Data Not Available")</f>
        <v>N/A - Period DMR Data Not Available</v>
      </c>
      <c r="V948" s="28" t="str" cm="1">
        <f t="array" ref="V948">IFERROR(INDEX('Raw Period DMR Data'!N:N,MATCH(1,(B948='Raw Period DMR Data'!$A:$A)*(U948='Raw Period DMR Data'!M:M)*(X948='Raw Period DMR Data'!C:C),0),1), "N/A")</f>
        <v>N/A</v>
      </c>
      <c r="W948" s="28" t="s">
        <v>1463</v>
      </c>
      <c r="X948" s="28" t="s">
        <v>2084</v>
      </c>
      <c r="Y948" s="28" t="s">
        <v>2085</v>
      </c>
      <c r="Z948" s="28">
        <v>5140201000239</v>
      </c>
      <c r="AA948" s="28"/>
      <c r="AB948" s="28" t="s">
        <v>1465</v>
      </c>
      <c r="AC948" s="28" t="s">
        <v>1466</v>
      </c>
    </row>
    <row r="949" spans="1:29" x14ac:dyDescent="0.25">
      <c r="A949" s="61">
        <v>110000747835</v>
      </c>
      <c r="B949" s="28">
        <v>2018</v>
      </c>
      <c r="C949" s="68">
        <f t="shared" si="14"/>
        <v>43101</v>
      </c>
      <c r="D949" s="28" t="s">
        <v>1274</v>
      </c>
      <c r="E949" s="28" t="s">
        <v>2083</v>
      </c>
      <c r="F949" s="28" t="s">
        <v>1273</v>
      </c>
      <c r="G949" s="28" t="s">
        <v>324</v>
      </c>
      <c r="H949" s="28">
        <v>42303</v>
      </c>
      <c r="I949" s="28">
        <v>37.8125</v>
      </c>
      <c r="J949" s="28">
        <v>-87.05</v>
      </c>
      <c r="K949" s="28" t="s">
        <v>729</v>
      </c>
      <c r="L949" s="61">
        <v>110000747835</v>
      </c>
      <c r="M949" s="28" t="s">
        <v>265</v>
      </c>
      <c r="N949" s="28">
        <v>2821</v>
      </c>
      <c r="O949" s="28" t="str">
        <f>IFERROR(VLOOKUP(N949, 'SIC &amp; NAICS Codes'!A:B, 2, FALSE), "")</f>
        <v>Plastics Materials, Synthetic and Resins, and Nonvulcanizable Elastomers</v>
      </c>
      <c r="S949" s="302">
        <v>3.72448979591836E-3</v>
      </c>
      <c r="T949" s="315">
        <f>_xlfn.MAXIFS('Raw Period DMR Data'!$O:$O,'Raw Period DMR Data'!$A:$A,'Raw Annual DMR Data'!B949,'Raw Period DMR Data'!$C:$C,X949)/S949</f>
        <v>0</v>
      </c>
      <c r="U949" s="28" t="str">
        <f>+IF(COUNTIFS('Raw Period DMR Data'!$A:$A,B949, 'Raw Period DMR Data'!C:C,'Raw Annual DMR Data'!X949, 'Raw Period DMR Data'!M:M, "&gt;0")&gt;0,_xlfn.MAXIFS('Raw Period DMR Data'!M:M,'Raw Period DMR Data'!$A:$A,'Raw Annual DMR Data'!B949,'Raw Period DMR Data'!C:C,'Raw Annual DMR Data'!X949), "N/A - Period DMR Data Not Available")</f>
        <v>N/A - Period DMR Data Not Available</v>
      </c>
      <c r="V949" s="28" t="str" cm="1">
        <f t="array" ref="V949">IFERROR(INDEX('Raw Period DMR Data'!N:N,MATCH(1,(B949='Raw Period DMR Data'!$A:$A)*(U949='Raw Period DMR Data'!M:M)*(X949='Raw Period DMR Data'!C:C),0),1), "N/A")</f>
        <v>N/A</v>
      </c>
      <c r="W949" s="28" t="s">
        <v>1463</v>
      </c>
      <c r="X949" s="28" t="s">
        <v>2084</v>
      </c>
      <c r="Y949" s="28" t="s">
        <v>2085</v>
      </c>
      <c r="Z949" s="302" t="s">
        <v>2086</v>
      </c>
      <c r="AA949" s="28"/>
      <c r="AB949" s="28" t="s">
        <v>1465</v>
      </c>
      <c r="AC949" s="28" t="s">
        <v>1466</v>
      </c>
    </row>
    <row r="950" spans="1:29" x14ac:dyDescent="0.25">
      <c r="A950" s="61">
        <v>110000747835</v>
      </c>
      <c r="B950" s="28">
        <v>2019</v>
      </c>
      <c r="C950" s="68">
        <f t="shared" si="14"/>
        <v>43466</v>
      </c>
      <c r="D950" s="28" t="s">
        <v>1274</v>
      </c>
      <c r="E950" s="28" t="s">
        <v>2083</v>
      </c>
      <c r="F950" s="28" t="s">
        <v>1273</v>
      </c>
      <c r="G950" s="28" t="s">
        <v>324</v>
      </c>
      <c r="H950" s="28">
        <v>42303</v>
      </c>
      <c r="I950" s="28">
        <v>37.8125</v>
      </c>
      <c r="J950" s="28">
        <v>-87.05</v>
      </c>
      <c r="K950" s="28" t="s">
        <v>729</v>
      </c>
      <c r="L950" s="61">
        <v>110000747835</v>
      </c>
      <c r="M950" s="28" t="s">
        <v>265</v>
      </c>
      <c r="N950" s="28">
        <v>2821</v>
      </c>
      <c r="O950" s="28" t="str">
        <f>IFERROR(VLOOKUP(N950, 'SIC &amp; NAICS Codes'!A:B, 2, FALSE), "")</f>
        <v>Plastics Materials, Synthetic and Resins, and Nonvulcanizable Elastomers</v>
      </c>
      <c r="S950" s="28">
        <v>9.6009070294784504E-2</v>
      </c>
      <c r="T950" s="315">
        <f>_xlfn.MAXIFS('Raw Period DMR Data'!$O:$O,'Raw Period DMR Data'!$A:$A,'Raw Annual DMR Data'!B950,'Raw Period DMR Data'!$C:$C,X950)/S950</f>
        <v>0</v>
      </c>
      <c r="U950" s="28" t="str">
        <f>+IF(COUNTIFS('Raw Period DMR Data'!$A:$A,B950, 'Raw Period DMR Data'!C:C,'Raw Annual DMR Data'!X950, 'Raw Period DMR Data'!M:M, "&gt;0")&gt;0,_xlfn.MAXIFS('Raw Period DMR Data'!M:M,'Raw Period DMR Data'!$A:$A,'Raw Annual DMR Data'!B950,'Raw Period DMR Data'!C:C,'Raw Annual DMR Data'!X950), "N/A - Period DMR Data Not Available")</f>
        <v>N/A - Period DMR Data Not Available</v>
      </c>
      <c r="V950" s="28" t="str" cm="1">
        <f t="array" ref="V950">IFERROR(INDEX('Raw Period DMR Data'!N:N,MATCH(1,(B950='Raw Period DMR Data'!$A:$A)*(U950='Raw Period DMR Data'!M:M)*(X950='Raw Period DMR Data'!C:C),0),1), "N/A")</f>
        <v>N/A</v>
      </c>
      <c r="W950" s="28" t="s">
        <v>1463</v>
      </c>
      <c r="X950" s="28" t="s">
        <v>2084</v>
      </c>
      <c r="Y950" s="28" t="s">
        <v>2085</v>
      </c>
      <c r="Z950" s="28">
        <v>5140201000239</v>
      </c>
      <c r="AA950" s="28"/>
      <c r="AB950" s="28" t="s">
        <v>1465</v>
      </c>
      <c r="AC950" s="28" t="s">
        <v>1466</v>
      </c>
    </row>
    <row r="951" spans="1:29" x14ac:dyDescent="0.25">
      <c r="A951" s="61">
        <v>110000747835</v>
      </c>
      <c r="B951" s="28">
        <v>2020</v>
      </c>
      <c r="C951" s="68">
        <f t="shared" si="14"/>
        <v>43831</v>
      </c>
      <c r="D951" s="28" t="s">
        <v>1274</v>
      </c>
      <c r="E951" s="28" t="s">
        <v>2083</v>
      </c>
      <c r="F951" s="28" t="s">
        <v>1273</v>
      </c>
      <c r="G951" s="28" t="s">
        <v>324</v>
      </c>
      <c r="H951" s="28">
        <v>42303</v>
      </c>
      <c r="I951" s="28">
        <v>37.8125</v>
      </c>
      <c r="J951" s="28">
        <v>-87.05</v>
      </c>
      <c r="K951" s="28" t="s">
        <v>729</v>
      </c>
      <c r="L951" s="61">
        <v>110000747835</v>
      </c>
      <c r="M951" s="28" t="s">
        <v>265</v>
      </c>
      <c r="N951" s="28">
        <v>2821</v>
      </c>
      <c r="O951" s="28" t="str">
        <f>IFERROR(VLOOKUP(N951, 'SIC &amp; NAICS Codes'!A:B, 2, FALSE), "")</f>
        <v>Plastics Materials, Synthetic and Resins, and Nonvulcanizable Elastomers</v>
      </c>
      <c r="S951" s="28">
        <v>0.33934240362811702</v>
      </c>
      <c r="T951" s="315">
        <f>_xlfn.MAXIFS('Raw Period DMR Data'!$O:$O,'Raw Period DMR Data'!$A:$A,'Raw Annual DMR Data'!B951,'Raw Period DMR Data'!$C:$C,X951)/S951</f>
        <v>0</v>
      </c>
      <c r="U951" s="28" t="str">
        <f>+IF(COUNTIFS('Raw Period DMR Data'!$A:$A,B951, 'Raw Period DMR Data'!C:C,'Raw Annual DMR Data'!X951, 'Raw Period DMR Data'!M:M, "&gt;0")&gt;0,_xlfn.MAXIFS('Raw Period DMR Data'!M:M,'Raw Period DMR Data'!$A:$A,'Raw Annual DMR Data'!B951,'Raw Period DMR Data'!C:C,'Raw Annual DMR Data'!X951), "N/A - Period DMR Data Not Available")</f>
        <v>N/A - Period DMR Data Not Available</v>
      </c>
      <c r="V951" s="28" t="str" cm="1">
        <f t="array" ref="V951">IFERROR(INDEX('Raw Period DMR Data'!N:N,MATCH(1,(B951='Raw Period DMR Data'!$A:$A)*(U951='Raw Period DMR Data'!M:M)*(X951='Raw Period DMR Data'!C:C),0),1), "N/A")</f>
        <v>N/A</v>
      </c>
      <c r="W951" s="28" t="s">
        <v>1463</v>
      </c>
      <c r="X951" s="28" t="s">
        <v>2084</v>
      </c>
      <c r="Y951" s="28" t="s">
        <v>2085</v>
      </c>
      <c r="Z951" s="28">
        <v>5140201000239</v>
      </c>
      <c r="AA951" s="28"/>
      <c r="AB951" s="28" t="s">
        <v>1465</v>
      </c>
      <c r="AC951" s="28" t="s">
        <v>1466</v>
      </c>
    </row>
    <row r="952" spans="1:29" x14ac:dyDescent="0.25">
      <c r="A952" s="61">
        <v>110070097306</v>
      </c>
      <c r="B952" s="28">
        <v>2015</v>
      </c>
      <c r="C952" s="68">
        <f t="shared" si="14"/>
        <v>42005</v>
      </c>
      <c r="D952" s="28" t="s">
        <v>1275</v>
      </c>
      <c r="E952" s="28" t="s">
        <v>2087</v>
      </c>
      <c r="F952" s="28" t="s">
        <v>1276</v>
      </c>
      <c r="G952" s="28" t="s">
        <v>366</v>
      </c>
      <c r="H952" s="28">
        <v>93033</v>
      </c>
      <c r="I952" s="28">
        <v>34.141618999999999</v>
      </c>
      <c r="J952" s="28">
        <v>-119.184014</v>
      </c>
      <c r="L952" s="61">
        <v>110070097306</v>
      </c>
      <c r="M952" s="28" t="s">
        <v>263</v>
      </c>
      <c r="N952" s="28">
        <v>4952</v>
      </c>
      <c r="O952" s="28" t="str">
        <f>IFERROR(VLOOKUP(N952, 'SIC &amp; NAICS Codes'!A:B, 2, FALSE), "")</f>
        <v>Sewerage Systems</v>
      </c>
      <c r="S952" s="28">
        <v>12.408163265306101</v>
      </c>
      <c r="T952" s="315">
        <f>_xlfn.MAXIFS('Raw Period DMR Data'!$O:$O,'Raw Period DMR Data'!$A:$A,'Raw Annual DMR Data'!B952,'Raw Period DMR Data'!$C:$C,X952)/S952</f>
        <v>0</v>
      </c>
      <c r="U952" s="28" t="str">
        <f>+IF(COUNTIFS('Raw Period DMR Data'!$A:$A,B952, 'Raw Period DMR Data'!C:C,'Raw Annual DMR Data'!X952, 'Raw Period DMR Data'!M:M, "&gt;0")&gt;0,_xlfn.MAXIFS('Raw Period DMR Data'!M:M,'Raw Period DMR Data'!$A:$A,'Raw Annual DMR Data'!B952,'Raw Period DMR Data'!C:C,'Raw Annual DMR Data'!X952), "N/A - Period DMR Data Not Available")</f>
        <v>N/A - Period DMR Data Not Available</v>
      </c>
      <c r="V952" s="28" t="str" cm="1">
        <f t="array" ref="V952">IFERROR(INDEX('Raw Period DMR Data'!N:N,MATCH(1,(B952='Raw Period DMR Data'!$A:$A)*(U952='Raw Period DMR Data'!M:M)*(X952='Raw Period DMR Data'!C:C),0),1), "N/A")</f>
        <v>N/A</v>
      </c>
      <c r="W952" s="28" t="s">
        <v>1463</v>
      </c>
      <c r="X952" s="28" t="s">
        <v>2088</v>
      </c>
      <c r="Y952" s="28" t="s">
        <v>926</v>
      </c>
      <c r="Z952" s="28">
        <v>18070103000060</v>
      </c>
      <c r="AA952" s="28"/>
      <c r="AB952" s="28" t="s">
        <v>1465</v>
      </c>
      <c r="AC952" s="28" t="s">
        <v>263</v>
      </c>
    </row>
    <row r="953" spans="1:29" x14ac:dyDescent="0.25">
      <c r="A953" s="61">
        <v>110070097306</v>
      </c>
      <c r="B953" s="28">
        <v>2016</v>
      </c>
      <c r="C953" s="68">
        <f t="shared" si="14"/>
        <v>42370</v>
      </c>
      <c r="D953" s="28" t="s">
        <v>1275</v>
      </c>
      <c r="E953" s="28" t="s">
        <v>2087</v>
      </c>
      <c r="F953" s="28" t="s">
        <v>1276</v>
      </c>
      <c r="G953" s="28" t="s">
        <v>366</v>
      </c>
      <c r="H953" s="28">
        <v>93033</v>
      </c>
      <c r="I953" s="28">
        <v>34.141618999999999</v>
      </c>
      <c r="J953" s="28">
        <v>-119.184014</v>
      </c>
      <c r="L953" s="61">
        <v>110070097306</v>
      </c>
      <c r="M953" s="28" t="s">
        <v>263</v>
      </c>
      <c r="N953" s="28">
        <v>4952</v>
      </c>
      <c r="O953" s="28" t="str">
        <f>IFERROR(VLOOKUP(N953, 'SIC &amp; NAICS Codes'!A:B, 2, FALSE), "")</f>
        <v>Sewerage Systems</v>
      </c>
      <c r="S953" s="28">
        <v>2.0657596371881999</v>
      </c>
      <c r="T953" s="315">
        <f>_xlfn.MAXIFS('Raw Period DMR Data'!$O:$O,'Raw Period DMR Data'!$A:$A,'Raw Annual DMR Data'!B953,'Raw Period DMR Data'!$C:$C,X953)/S953</f>
        <v>0</v>
      </c>
      <c r="U953" s="28" t="str">
        <f>+IF(COUNTIFS('Raw Period DMR Data'!$A:$A,B953, 'Raw Period DMR Data'!C:C,'Raw Annual DMR Data'!X953, 'Raw Period DMR Data'!M:M, "&gt;0")&gt;0,_xlfn.MAXIFS('Raw Period DMR Data'!M:M,'Raw Period DMR Data'!$A:$A,'Raw Annual DMR Data'!B953,'Raw Period DMR Data'!C:C,'Raw Annual DMR Data'!X953), "N/A - Period DMR Data Not Available")</f>
        <v>N/A - Period DMR Data Not Available</v>
      </c>
      <c r="V953" s="28" t="str" cm="1">
        <f t="array" ref="V953">IFERROR(INDEX('Raw Period DMR Data'!N:N,MATCH(1,(B953='Raw Period DMR Data'!$A:$A)*(U953='Raw Period DMR Data'!M:M)*(X953='Raw Period DMR Data'!C:C),0),1), "N/A")</f>
        <v>N/A</v>
      </c>
      <c r="W953" s="28" t="s">
        <v>1463</v>
      </c>
      <c r="X953" s="28" t="s">
        <v>2088</v>
      </c>
      <c r="Y953" s="28" t="s">
        <v>926</v>
      </c>
      <c r="Z953" s="28">
        <v>18070103000060</v>
      </c>
      <c r="AA953" s="28"/>
      <c r="AB953" s="28" t="s">
        <v>1465</v>
      </c>
      <c r="AC953" s="28" t="s">
        <v>263</v>
      </c>
    </row>
    <row r="954" spans="1:29" x14ac:dyDescent="0.25">
      <c r="A954" s="61">
        <v>110070097306</v>
      </c>
      <c r="B954" s="28">
        <v>2017</v>
      </c>
      <c r="C954" s="68">
        <f t="shared" si="14"/>
        <v>42736</v>
      </c>
      <c r="D954" s="28" t="s">
        <v>1275</v>
      </c>
      <c r="E954" s="28" t="s">
        <v>2087</v>
      </c>
      <c r="F954" s="28" t="s">
        <v>1276</v>
      </c>
      <c r="G954" s="28" t="s">
        <v>366</v>
      </c>
      <c r="H954" s="28">
        <v>93033</v>
      </c>
      <c r="I954" s="28">
        <v>34.141618999999999</v>
      </c>
      <c r="J954" s="28">
        <v>-119.184014</v>
      </c>
      <c r="L954" s="61">
        <v>110070097306</v>
      </c>
      <c r="M954" s="28" t="s">
        <v>263</v>
      </c>
      <c r="N954" s="28">
        <v>4952</v>
      </c>
      <c r="O954" s="28" t="str">
        <f>IFERROR(VLOOKUP(N954, 'SIC &amp; NAICS Codes'!A:B, 2, FALSE), "")</f>
        <v>Sewerage Systems</v>
      </c>
      <c r="S954" s="28">
        <v>2.4761904761904701</v>
      </c>
      <c r="T954" s="315">
        <f>_xlfn.MAXIFS('Raw Period DMR Data'!$O:$O,'Raw Period DMR Data'!$A:$A,'Raw Annual DMR Data'!B954,'Raw Period DMR Data'!$C:$C,X954)/S954</f>
        <v>0</v>
      </c>
      <c r="U954" s="28" t="str">
        <f>+IF(COUNTIFS('Raw Period DMR Data'!$A:$A,B954, 'Raw Period DMR Data'!C:C,'Raw Annual DMR Data'!X954, 'Raw Period DMR Data'!M:M, "&gt;0")&gt;0,_xlfn.MAXIFS('Raw Period DMR Data'!M:M,'Raw Period DMR Data'!$A:$A,'Raw Annual DMR Data'!B954,'Raw Period DMR Data'!C:C,'Raw Annual DMR Data'!X954), "N/A - Period DMR Data Not Available")</f>
        <v>N/A - Period DMR Data Not Available</v>
      </c>
      <c r="V954" s="28" t="str" cm="1">
        <f t="array" ref="V954">IFERROR(INDEX('Raw Period DMR Data'!N:N,MATCH(1,(B954='Raw Period DMR Data'!$A:$A)*(U954='Raw Period DMR Data'!M:M)*(X954='Raw Period DMR Data'!C:C),0),1), "N/A")</f>
        <v>N/A</v>
      </c>
      <c r="W954" s="28" t="s">
        <v>1463</v>
      </c>
      <c r="X954" s="28" t="s">
        <v>2088</v>
      </c>
      <c r="Y954" s="28" t="s">
        <v>926</v>
      </c>
      <c r="Z954" s="28">
        <v>18070103000060</v>
      </c>
      <c r="AA954" s="28"/>
      <c r="AB954" s="28" t="s">
        <v>1465</v>
      </c>
      <c r="AC954" s="28" t="s">
        <v>263</v>
      </c>
    </row>
    <row r="955" spans="1:29" x14ac:dyDescent="0.25">
      <c r="A955" s="61">
        <v>110070097306</v>
      </c>
      <c r="B955" s="28">
        <v>2018</v>
      </c>
      <c r="C955" s="68">
        <f t="shared" si="14"/>
        <v>43101</v>
      </c>
      <c r="D955" s="28" t="s">
        <v>1275</v>
      </c>
      <c r="E955" s="28" t="s">
        <v>2087</v>
      </c>
      <c r="F955" s="28" t="s">
        <v>1276</v>
      </c>
      <c r="G955" s="28" t="s">
        <v>366</v>
      </c>
      <c r="H955" s="28">
        <v>93033</v>
      </c>
      <c r="I955" s="28">
        <v>34.141618999999999</v>
      </c>
      <c r="J955" s="28">
        <v>-119.184014</v>
      </c>
      <c r="L955" s="61">
        <v>110070097306</v>
      </c>
      <c r="M955" s="28" t="s">
        <v>263</v>
      </c>
      <c r="N955" s="28">
        <v>4952</v>
      </c>
      <c r="O955" s="28" t="str">
        <f>IFERROR(VLOOKUP(N955, 'SIC &amp; NAICS Codes'!A:B, 2, FALSE), "")</f>
        <v>Sewerage Systems</v>
      </c>
      <c r="S955" s="302">
        <v>2.4625850340136002</v>
      </c>
      <c r="T955" s="315">
        <f>_xlfn.MAXIFS('Raw Period DMR Data'!$O:$O,'Raw Period DMR Data'!$A:$A,'Raw Annual DMR Data'!B955,'Raw Period DMR Data'!$C:$C,X955)/S955</f>
        <v>0</v>
      </c>
      <c r="U955" s="28" t="str">
        <f>+IF(COUNTIFS('Raw Period DMR Data'!$A:$A,B955, 'Raw Period DMR Data'!C:C,'Raw Annual DMR Data'!X955, 'Raw Period DMR Data'!M:M, "&gt;0")&gt;0,_xlfn.MAXIFS('Raw Period DMR Data'!M:M,'Raw Period DMR Data'!$A:$A,'Raw Annual DMR Data'!B955,'Raw Period DMR Data'!C:C,'Raw Annual DMR Data'!X955), "N/A - Period DMR Data Not Available")</f>
        <v>N/A - Period DMR Data Not Available</v>
      </c>
      <c r="V955" s="28" t="str" cm="1">
        <f t="array" ref="V955">IFERROR(INDEX('Raw Period DMR Data'!N:N,MATCH(1,(B955='Raw Period DMR Data'!$A:$A)*(U955='Raw Period DMR Data'!M:M)*(X955='Raw Period DMR Data'!C:C),0),1), "N/A")</f>
        <v>N/A</v>
      </c>
      <c r="W955" s="28" t="s">
        <v>1463</v>
      </c>
      <c r="X955" s="28" t="s">
        <v>2088</v>
      </c>
      <c r="Y955" s="28" t="s">
        <v>926</v>
      </c>
      <c r="Z955" s="28">
        <v>18070103000060</v>
      </c>
      <c r="AA955" s="28"/>
      <c r="AB955" s="28" t="s">
        <v>1465</v>
      </c>
      <c r="AC955" s="28" t="s">
        <v>263</v>
      </c>
    </row>
    <row r="956" spans="1:29" x14ac:dyDescent="0.25">
      <c r="A956" s="61">
        <v>110070097306</v>
      </c>
      <c r="B956" s="28">
        <v>2019</v>
      </c>
      <c r="C956" s="68">
        <f t="shared" si="14"/>
        <v>43466</v>
      </c>
      <c r="D956" s="28" t="s">
        <v>1275</v>
      </c>
      <c r="E956" s="28" t="s">
        <v>2087</v>
      </c>
      <c r="F956" s="28" t="s">
        <v>1276</v>
      </c>
      <c r="G956" s="28" t="s">
        <v>366</v>
      </c>
      <c r="H956" s="28">
        <v>93033</v>
      </c>
      <c r="I956" s="28">
        <v>34.141618999999999</v>
      </c>
      <c r="J956" s="28">
        <v>-119.184014</v>
      </c>
      <c r="L956" s="61">
        <v>110070097306</v>
      </c>
      <c r="M956" s="28" t="s">
        <v>263</v>
      </c>
      <c r="N956" s="28">
        <v>4952</v>
      </c>
      <c r="O956" s="28" t="str">
        <f>IFERROR(VLOOKUP(N956, 'SIC &amp; NAICS Codes'!A:B, 2, FALSE), "")</f>
        <v>Sewerage Systems</v>
      </c>
      <c r="S956" s="28">
        <v>2.8749043200000002</v>
      </c>
      <c r="T956" s="315">
        <f>_xlfn.MAXIFS('Raw Period DMR Data'!$O:$O,'Raw Period DMR Data'!$A:$A,'Raw Annual DMR Data'!B956,'Raw Period DMR Data'!$C:$C,X956)/S956</f>
        <v>0</v>
      </c>
      <c r="U956" s="28" t="str">
        <f>+IF(COUNTIFS('Raw Period DMR Data'!$A:$A,B956, 'Raw Period DMR Data'!C:C,'Raw Annual DMR Data'!X956, 'Raw Period DMR Data'!M:M, "&gt;0")&gt;0,_xlfn.MAXIFS('Raw Period DMR Data'!M:M,'Raw Period DMR Data'!$A:$A,'Raw Annual DMR Data'!B956,'Raw Period DMR Data'!C:C,'Raw Annual DMR Data'!X956), "N/A - Period DMR Data Not Available")</f>
        <v>N/A - Period DMR Data Not Available</v>
      </c>
      <c r="V956" s="28" t="str" cm="1">
        <f t="array" ref="V956">IFERROR(INDEX('Raw Period DMR Data'!N:N,MATCH(1,(B956='Raw Period DMR Data'!$A:$A)*(U956='Raw Period DMR Data'!M:M)*(X956='Raw Period DMR Data'!C:C),0),1), "N/A")</f>
        <v>N/A</v>
      </c>
      <c r="W956" s="28" t="s">
        <v>1463</v>
      </c>
      <c r="X956" s="28" t="s">
        <v>2088</v>
      </c>
      <c r="Y956" s="28" t="s">
        <v>926</v>
      </c>
      <c r="Z956" s="28">
        <v>18070103000060</v>
      </c>
      <c r="AA956" s="28"/>
      <c r="AB956" s="28" t="s">
        <v>1465</v>
      </c>
      <c r="AC956" s="28" t="s">
        <v>263</v>
      </c>
    </row>
    <row r="957" spans="1:29" x14ac:dyDescent="0.25">
      <c r="A957" s="61">
        <v>110070097306</v>
      </c>
      <c r="B957" s="28">
        <v>2020</v>
      </c>
      <c r="C957" s="68">
        <f t="shared" si="14"/>
        <v>43831</v>
      </c>
      <c r="D957" s="28" t="s">
        <v>1275</v>
      </c>
      <c r="E957" s="28" t="s">
        <v>2087</v>
      </c>
      <c r="F957" s="28" t="s">
        <v>1276</v>
      </c>
      <c r="G957" s="28" t="s">
        <v>366</v>
      </c>
      <c r="H957" s="28">
        <v>93033</v>
      </c>
      <c r="I957" s="28">
        <v>34.141618999999999</v>
      </c>
      <c r="J957" s="28">
        <v>-119.184014</v>
      </c>
      <c r="L957" s="61">
        <v>110070097306</v>
      </c>
      <c r="M957" s="28" t="s">
        <v>263</v>
      </c>
      <c r="N957" s="28">
        <v>4952</v>
      </c>
      <c r="O957" s="28" t="str">
        <f>IFERROR(VLOOKUP(N957, 'SIC &amp; NAICS Codes'!A:B, 2, FALSE), "")</f>
        <v>Sewerage Systems</v>
      </c>
      <c r="S957" s="28">
        <v>3.4469351549999998</v>
      </c>
      <c r="T957" s="315">
        <f>_xlfn.MAXIFS('Raw Period DMR Data'!$O:$O,'Raw Period DMR Data'!$A:$A,'Raw Annual DMR Data'!B957,'Raw Period DMR Data'!$C:$C,X957)/S957</f>
        <v>0</v>
      </c>
      <c r="U957" s="28" t="str">
        <f>+IF(COUNTIFS('Raw Period DMR Data'!$A:$A,B957, 'Raw Period DMR Data'!C:C,'Raw Annual DMR Data'!X957, 'Raw Period DMR Data'!M:M, "&gt;0")&gt;0,_xlfn.MAXIFS('Raw Period DMR Data'!M:M,'Raw Period DMR Data'!$A:$A,'Raw Annual DMR Data'!B957,'Raw Period DMR Data'!C:C,'Raw Annual DMR Data'!X957), "N/A - Period DMR Data Not Available")</f>
        <v>N/A - Period DMR Data Not Available</v>
      </c>
      <c r="V957" s="28" t="str" cm="1">
        <f t="array" ref="V957">IFERROR(INDEX('Raw Period DMR Data'!N:N,MATCH(1,(B957='Raw Period DMR Data'!$A:$A)*(U957='Raw Period DMR Data'!M:M)*(X957='Raw Period DMR Data'!C:C),0),1), "N/A")</f>
        <v>N/A</v>
      </c>
      <c r="W957" s="28" t="s">
        <v>1463</v>
      </c>
      <c r="X957" s="28" t="s">
        <v>2088</v>
      </c>
      <c r="Y957" s="28" t="s">
        <v>926</v>
      </c>
      <c r="Z957" s="28">
        <v>18070103000060</v>
      </c>
      <c r="AA957" s="28"/>
      <c r="AB957" s="28" t="s">
        <v>1465</v>
      </c>
      <c r="AC957" s="28" t="s">
        <v>263</v>
      </c>
    </row>
    <row r="958" spans="1:29" x14ac:dyDescent="0.25">
      <c r="A958" s="61">
        <v>110043782788</v>
      </c>
      <c r="B958" s="28">
        <v>2015</v>
      </c>
      <c r="C958" s="68">
        <f t="shared" si="14"/>
        <v>42005</v>
      </c>
      <c r="D958" s="28" t="s">
        <v>179</v>
      </c>
      <c r="E958" s="28" t="s">
        <v>589</v>
      </c>
      <c r="F958" s="28" t="s">
        <v>590</v>
      </c>
      <c r="G958" s="28" t="s">
        <v>362</v>
      </c>
      <c r="H958" s="28">
        <v>77536</v>
      </c>
      <c r="I958" s="28">
        <v>29.726130000000001</v>
      </c>
      <c r="J958" s="28">
        <v>-95.108019999999996</v>
      </c>
      <c r="K958" s="28" t="s">
        <v>591</v>
      </c>
      <c r="L958" s="61">
        <v>110043782788</v>
      </c>
      <c r="M958" s="28" t="s">
        <v>253</v>
      </c>
      <c r="N958" s="28">
        <v>2812</v>
      </c>
      <c r="O958" s="28" t="str">
        <f>IFERROR(VLOOKUP(N958, 'SIC &amp; NAICS Codes'!A:B, 2, FALSE), "")</f>
        <v>Alkalies and Chlorine</v>
      </c>
      <c r="S958" s="28">
        <v>11.5873015873015</v>
      </c>
      <c r="T958" s="315">
        <f>_xlfn.MAXIFS('Raw Period DMR Data'!$O:$O,'Raw Period DMR Data'!$A:$A,'Raw Annual DMR Data'!B958,'Raw Period DMR Data'!$C:$C,X958)/S958</f>
        <v>0.7749795992917865</v>
      </c>
      <c r="U958" s="28">
        <f>+IF(COUNTIFS('Raw Period DMR Data'!$A:$A,B958, 'Raw Period DMR Data'!C:C,'Raw Annual DMR Data'!X958, 'Raw Period DMR Data'!M:M, "&gt;0")&gt;0,_xlfn.MAXIFS('Raw Period DMR Data'!M:M,'Raw Period DMR Data'!$A:$A,'Raw Annual DMR Data'!B958,'Raw Period DMR Data'!C:C,'Raw Annual DMR Data'!X958), "N/A - Period DMR Data Not Available")</f>
        <v>0.29522999999999999</v>
      </c>
      <c r="V958" s="28" cm="1">
        <f t="array" ref="V958">IFERROR(INDEX('Raw Period DMR Data'!N:N,MATCH(1,(B958='Raw Period DMR Data'!$A:$A)*(U958='Raw Period DMR Data'!M:M)*(X958='Raw Period DMR Data'!C:C),0),1), "N/A")</f>
        <v>30</v>
      </c>
      <c r="W958" s="28">
        <v>0.62679599999999991</v>
      </c>
      <c r="X958" s="28" t="s">
        <v>913</v>
      </c>
      <c r="Y958" s="28" t="s">
        <v>914</v>
      </c>
      <c r="Z958" s="61">
        <v>12040104000662</v>
      </c>
    </row>
    <row r="959" spans="1:29" x14ac:dyDescent="0.25">
      <c r="A959" s="61">
        <v>110043782788</v>
      </c>
      <c r="B959" s="28">
        <v>2015</v>
      </c>
      <c r="C959" s="68">
        <f t="shared" si="14"/>
        <v>42005</v>
      </c>
      <c r="D959" s="28" t="s">
        <v>179</v>
      </c>
      <c r="E959" s="28" t="s">
        <v>589</v>
      </c>
      <c r="F959" s="28" t="s">
        <v>590</v>
      </c>
      <c r="G959" s="28" t="s">
        <v>362</v>
      </c>
      <c r="H959" s="28">
        <v>77536</v>
      </c>
      <c r="I959" s="28">
        <v>29.726130000000001</v>
      </c>
      <c r="J959" s="28">
        <v>-95.108019999999996</v>
      </c>
      <c r="K959" s="28" t="s">
        <v>591</v>
      </c>
      <c r="L959" s="61">
        <v>110043782788</v>
      </c>
      <c r="M959" s="28" t="s">
        <v>253</v>
      </c>
      <c r="N959" s="28">
        <v>2812</v>
      </c>
      <c r="O959" s="28" t="str">
        <f>IFERROR(VLOOKUP(N959, 'SIC &amp; NAICS Codes'!A:B, 2, FALSE), "")</f>
        <v>Alkalies and Chlorine</v>
      </c>
      <c r="S959" s="28">
        <v>69.465348000000006</v>
      </c>
      <c r="T959" s="315">
        <f>_xlfn.MAXIFS('Raw Period DMR Data'!$O:$O,'Raw Period DMR Data'!$A:$A,'Raw Annual DMR Data'!B959,'Raw Period DMR Data'!$C:$C,X959)/S959</f>
        <v>0.12927196939976457</v>
      </c>
      <c r="U959" s="28">
        <f>+IF(COUNTIFS('Raw Period DMR Data'!$A:$A,B959, 'Raw Period DMR Data'!C:C,'Raw Annual DMR Data'!X959, 'Raw Period DMR Data'!M:M, "&gt;0")&gt;0,_xlfn.MAXIFS('Raw Period DMR Data'!M:M,'Raw Period DMR Data'!$A:$A,'Raw Annual DMR Data'!B959,'Raw Period DMR Data'!C:C,'Raw Annual DMR Data'!X959), "N/A - Period DMR Data Not Available")</f>
        <v>0.29522999999999999</v>
      </c>
      <c r="V959" s="28" cm="1">
        <f t="array" ref="V959">IFERROR(INDEX('Raw Period DMR Data'!N:N,MATCH(1,(B959='Raw Period DMR Data'!$A:$A)*(U959='Raw Period DMR Data'!M:M)*(X959='Raw Period DMR Data'!C:C),0),1), "N/A")</f>
        <v>30</v>
      </c>
      <c r="W959" s="28">
        <v>0.62679599999999991</v>
      </c>
      <c r="X959" s="28" t="s">
        <v>913</v>
      </c>
      <c r="Y959" s="28" t="s">
        <v>914</v>
      </c>
      <c r="Z959" s="61">
        <v>12040104000662</v>
      </c>
    </row>
    <row r="960" spans="1:29" x14ac:dyDescent="0.25">
      <c r="A960" s="61">
        <v>110043782788</v>
      </c>
      <c r="B960" s="28">
        <v>2016</v>
      </c>
      <c r="C960" s="68">
        <f t="shared" si="14"/>
        <v>42370</v>
      </c>
      <c r="D960" s="28" t="s">
        <v>179</v>
      </c>
      <c r="E960" s="28" t="s">
        <v>589</v>
      </c>
      <c r="F960" s="28" t="s">
        <v>590</v>
      </c>
      <c r="G960" s="28" t="s">
        <v>362</v>
      </c>
      <c r="H960" s="28">
        <v>77536</v>
      </c>
      <c r="I960" s="28">
        <v>29.726130000000001</v>
      </c>
      <c r="J960" s="28">
        <v>-95.108019999999996</v>
      </c>
      <c r="K960" s="28" t="s">
        <v>591</v>
      </c>
      <c r="L960" s="61">
        <v>110043782788</v>
      </c>
      <c r="M960" s="28" t="s">
        <v>253</v>
      </c>
      <c r="N960" s="28">
        <v>2812</v>
      </c>
      <c r="O960" s="28" t="str">
        <f>IFERROR(VLOOKUP(N960, 'SIC &amp; NAICS Codes'!A:B, 2, FALSE), "")</f>
        <v>Alkalies and Chlorine</v>
      </c>
      <c r="S960" s="28">
        <v>77.259987749999993</v>
      </c>
      <c r="T960" s="315">
        <f>_xlfn.MAXIFS('Raw Period DMR Data'!$O:$O,'Raw Period DMR Data'!$A:$A,'Raw Annual DMR Data'!B960,'Raw Period DMR Data'!$C:$C,X960)/S960</f>
        <v>0</v>
      </c>
      <c r="U960" s="28" t="str">
        <f>+IF(COUNTIFS('Raw Period DMR Data'!$A:$A,B960, 'Raw Period DMR Data'!C:C,'Raw Annual DMR Data'!X960, 'Raw Period DMR Data'!M:M, "&gt;0")&gt;0,_xlfn.MAXIFS('Raw Period DMR Data'!M:M,'Raw Period DMR Data'!$A:$A,'Raw Annual DMR Data'!B960,'Raw Period DMR Data'!C:C,'Raw Annual DMR Data'!X960), "N/A - Period DMR Data Not Available")</f>
        <v>N/A - Period DMR Data Not Available</v>
      </c>
      <c r="V960" s="28" t="str" cm="1">
        <f t="array" ref="V960">IFERROR(INDEX('Raw Period DMR Data'!N:N,MATCH(1,(B960='Raw Period DMR Data'!$A:$A)*(U960='Raw Period DMR Data'!M:M)*(X960='Raw Period DMR Data'!C:C),0),1), "N/A")</f>
        <v>N/A</v>
      </c>
      <c r="W960" s="28" t="s">
        <v>1463</v>
      </c>
      <c r="X960" s="28" t="s">
        <v>913</v>
      </c>
      <c r="Y960" s="28" t="s">
        <v>914</v>
      </c>
      <c r="Z960" s="61">
        <v>12040104000662</v>
      </c>
      <c r="AA960" s="28"/>
    </row>
    <row r="961" spans="1:29" x14ac:dyDescent="0.25">
      <c r="A961" s="61">
        <v>110043782788</v>
      </c>
      <c r="B961" s="28">
        <v>2017</v>
      </c>
      <c r="C961" s="68">
        <f t="shared" si="14"/>
        <v>42736</v>
      </c>
      <c r="D961" s="28" t="s">
        <v>179</v>
      </c>
      <c r="E961" s="28" t="s">
        <v>589</v>
      </c>
      <c r="F961" s="28" t="s">
        <v>590</v>
      </c>
      <c r="G961" s="28" t="s">
        <v>362</v>
      </c>
      <c r="H961" s="28">
        <v>77536</v>
      </c>
      <c r="I961" s="28">
        <v>29.726130000000001</v>
      </c>
      <c r="J961" s="28">
        <v>-95.108019999999996</v>
      </c>
      <c r="K961" s="28" t="s">
        <v>591</v>
      </c>
      <c r="L961" s="61">
        <v>110043782788</v>
      </c>
      <c r="M961" s="28" t="s">
        <v>253</v>
      </c>
      <c r="N961" s="28">
        <v>2812</v>
      </c>
      <c r="O961" s="28" t="str">
        <f>IFERROR(VLOOKUP(N961, 'SIC &amp; NAICS Codes'!A:B, 2, FALSE), "")</f>
        <v>Alkalies and Chlorine</v>
      </c>
      <c r="S961" s="28">
        <v>71.433656142857103</v>
      </c>
      <c r="T961" s="315">
        <f>_xlfn.MAXIFS('Raw Period DMR Data'!$O:$O,'Raw Period DMR Data'!$A:$A,'Raw Annual DMR Data'!B961,'Raw Period DMR Data'!$C:$C,X961)/S961</f>
        <v>0</v>
      </c>
      <c r="U961" s="28" t="str">
        <f>+IF(COUNTIFS('Raw Period DMR Data'!$A:$A,B961, 'Raw Period DMR Data'!C:C,'Raw Annual DMR Data'!X961, 'Raw Period DMR Data'!M:M, "&gt;0")&gt;0,_xlfn.MAXIFS('Raw Period DMR Data'!M:M,'Raw Period DMR Data'!$A:$A,'Raw Annual DMR Data'!B961,'Raw Period DMR Data'!C:C,'Raw Annual DMR Data'!X961), "N/A - Period DMR Data Not Available")</f>
        <v>N/A - Period DMR Data Not Available</v>
      </c>
      <c r="V961" s="28" t="str" cm="1">
        <f t="array" ref="V961">IFERROR(INDEX('Raw Period DMR Data'!N:N,MATCH(1,(B961='Raw Period DMR Data'!$A:$A)*(U961='Raw Period DMR Data'!M:M)*(X961='Raw Period DMR Data'!C:C),0),1), "N/A")</f>
        <v>N/A</v>
      </c>
      <c r="W961" s="28" t="s">
        <v>1463</v>
      </c>
      <c r="X961" s="28" t="s">
        <v>913</v>
      </c>
      <c r="Y961" s="28" t="s">
        <v>914</v>
      </c>
      <c r="Z961" s="61">
        <v>12040104000662</v>
      </c>
      <c r="AA961" s="28"/>
    </row>
    <row r="962" spans="1:29" x14ac:dyDescent="0.25">
      <c r="A962" s="61">
        <v>110043782788</v>
      </c>
      <c r="B962" s="28">
        <v>2017</v>
      </c>
      <c r="C962" s="68">
        <f t="shared" si="14"/>
        <v>42736</v>
      </c>
      <c r="D962" s="28" t="s">
        <v>179</v>
      </c>
      <c r="E962" s="28" t="s">
        <v>589</v>
      </c>
      <c r="F962" s="28" t="s">
        <v>590</v>
      </c>
      <c r="G962" s="28" t="s">
        <v>362</v>
      </c>
      <c r="H962" s="28">
        <v>77536</v>
      </c>
      <c r="I962" s="28">
        <v>29.726130000000001</v>
      </c>
      <c r="J962" s="28">
        <v>-95.108019999999996</v>
      </c>
      <c r="K962" s="28" t="s">
        <v>591</v>
      </c>
      <c r="L962" s="61">
        <v>110043782788</v>
      </c>
      <c r="M962" s="28" t="s">
        <v>253</v>
      </c>
      <c r="N962" s="28">
        <v>2812</v>
      </c>
      <c r="O962" s="28" t="str">
        <f>IFERROR(VLOOKUP(N962, 'SIC &amp; NAICS Codes'!A:B, 2, FALSE), "")</f>
        <v>Alkalies and Chlorine</v>
      </c>
      <c r="S962" s="28">
        <v>3.3106575963718798</v>
      </c>
      <c r="T962" s="315">
        <f>_xlfn.MAXIFS('Raw Period DMR Data'!$O:$O,'Raw Period DMR Data'!$A:$A,'Raw Annual DMR Data'!B962,'Raw Period DMR Data'!$C:$C,X962)/S962</f>
        <v>0</v>
      </c>
      <c r="U962" s="28" t="str">
        <f>+IF(COUNTIFS('Raw Period DMR Data'!$A:$A,B962, 'Raw Period DMR Data'!C:C,'Raw Annual DMR Data'!X962, 'Raw Period DMR Data'!M:M, "&gt;0")&gt;0,_xlfn.MAXIFS('Raw Period DMR Data'!M:M,'Raw Period DMR Data'!$A:$A,'Raw Annual DMR Data'!B962,'Raw Period DMR Data'!C:C,'Raw Annual DMR Data'!X962), "N/A - Period DMR Data Not Available")</f>
        <v>N/A - Period DMR Data Not Available</v>
      </c>
      <c r="V962" s="28" t="str" cm="1">
        <f t="array" ref="V962">IFERROR(INDEX('Raw Period DMR Data'!N:N,MATCH(1,(B962='Raw Period DMR Data'!$A:$A)*(U962='Raw Period DMR Data'!M:M)*(X962='Raw Period DMR Data'!C:C),0),1), "N/A")</f>
        <v>N/A</v>
      </c>
      <c r="W962" s="28" t="s">
        <v>1463</v>
      </c>
      <c r="X962" s="28" t="s">
        <v>913</v>
      </c>
      <c r="Y962" s="28" t="s">
        <v>914</v>
      </c>
      <c r="Z962" s="61">
        <v>12040104000662</v>
      </c>
      <c r="AA962" s="28"/>
    </row>
    <row r="963" spans="1:29" x14ac:dyDescent="0.25">
      <c r="A963" s="61">
        <v>110043782788</v>
      </c>
      <c r="B963" s="28">
        <v>2018</v>
      </c>
      <c r="C963" s="68">
        <f t="shared" ref="C963:C1026" si="15">DATE(B963, 1, 1)</f>
        <v>43101</v>
      </c>
      <c r="D963" s="28" t="s">
        <v>179</v>
      </c>
      <c r="E963" s="28" t="s">
        <v>589</v>
      </c>
      <c r="F963" s="28" t="s">
        <v>590</v>
      </c>
      <c r="G963" s="28" t="s">
        <v>362</v>
      </c>
      <c r="H963" s="28">
        <v>77536</v>
      </c>
      <c r="I963" s="28">
        <v>29.726130000000001</v>
      </c>
      <c r="J963" s="28">
        <v>-95.108019999999996</v>
      </c>
      <c r="K963" s="28" t="s">
        <v>591</v>
      </c>
      <c r="L963" s="61">
        <v>110043782788</v>
      </c>
      <c r="M963" s="28" t="s">
        <v>253</v>
      </c>
      <c r="N963" s="28">
        <v>2812</v>
      </c>
      <c r="O963" s="28" t="str">
        <f>IFERROR(VLOOKUP(N963, 'SIC &amp; NAICS Codes'!A:B, 2, FALSE), "")</f>
        <v>Alkalies and Chlorine</v>
      </c>
      <c r="S963" s="28">
        <v>73.125539345454499</v>
      </c>
      <c r="T963" s="315">
        <f>_xlfn.MAXIFS('Raw Period DMR Data'!$O:$O,'Raw Period DMR Data'!$A:$A,'Raw Annual DMR Data'!B963,'Raw Period DMR Data'!$C:$C,X963)/S963</f>
        <v>0.15718585735387794</v>
      </c>
      <c r="U963" s="28">
        <f>+IF(COUNTIFS('Raw Period DMR Data'!$A:$A,B963, 'Raw Period DMR Data'!C:C,'Raw Annual DMR Data'!X963, 'Raw Period DMR Data'!M:M, "&gt;0")&gt;0,_xlfn.MAXIFS('Raw Period DMR Data'!M:M,'Raw Period DMR Data'!$A:$A,'Raw Annual DMR Data'!B963,'Raw Period DMR Data'!C:C,'Raw Annual DMR Data'!X963), "N/A - Period DMR Data Not Available")</f>
        <v>0.37789440000000007</v>
      </c>
      <c r="V963" s="28" cm="1">
        <f t="array" ref="V963">IFERROR(INDEX('Raw Period DMR Data'!N:N,MATCH(1,(B963='Raw Period DMR Data'!$A:$A)*(U963='Raw Period DMR Data'!M:M)*(X963='Raw Period DMR Data'!C:C),0),1), "N/A")</f>
        <v>31</v>
      </c>
      <c r="W963" s="28">
        <v>0.56237530000000002</v>
      </c>
      <c r="X963" s="28" t="s">
        <v>913</v>
      </c>
      <c r="Y963" s="28" t="s">
        <v>914</v>
      </c>
      <c r="Z963" s="61">
        <v>12040104000662</v>
      </c>
    </row>
    <row r="964" spans="1:29" x14ac:dyDescent="0.25">
      <c r="A964" s="61">
        <v>110043782788</v>
      </c>
      <c r="B964" s="28">
        <v>2019</v>
      </c>
      <c r="C964" s="68">
        <f t="shared" si="15"/>
        <v>43466</v>
      </c>
      <c r="D964" s="28" t="s">
        <v>179</v>
      </c>
      <c r="E964" s="28" t="s">
        <v>589</v>
      </c>
      <c r="F964" s="28" t="s">
        <v>590</v>
      </c>
      <c r="G964" s="28" t="s">
        <v>362</v>
      </c>
      <c r="H964" s="28">
        <v>77536</v>
      </c>
      <c r="I964" s="28">
        <v>29.726130000000001</v>
      </c>
      <c r="J964" s="28">
        <v>-95.108019999999996</v>
      </c>
      <c r="K964" s="28" t="s">
        <v>591</v>
      </c>
      <c r="L964" s="61">
        <v>110043782788</v>
      </c>
      <c r="M964" s="28" t="s">
        <v>253</v>
      </c>
      <c r="N964" s="28">
        <v>2812</v>
      </c>
      <c r="O964" s="28" t="str">
        <f>IFERROR(VLOOKUP(N964, 'SIC &amp; NAICS Codes'!A:B, 2, FALSE), "")</f>
        <v>Alkalies and Chlorine</v>
      </c>
      <c r="S964" s="28">
        <v>65.076950181818106</v>
      </c>
      <c r="T964" s="315">
        <f>_xlfn.MAXIFS('Raw Period DMR Data'!$O:$O,'Raw Period DMR Data'!$A:$A,'Raw Annual DMR Data'!B964,'Raw Period DMR Data'!$C:$C,X964)/S964</f>
        <v>0.17549407509866397</v>
      </c>
      <c r="U964" s="28">
        <f>+IF(COUNTIFS('Raw Period DMR Data'!$A:$A,B964, 'Raw Period DMR Data'!C:C,'Raw Annual DMR Data'!X964, 'Raw Period DMR Data'!M:M, "&gt;0")&gt;0,_xlfn.MAXIFS('Raw Period DMR Data'!M:M,'Raw Period DMR Data'!$A:$A,'Raw Annual DMR Data'!B964,'Raw Period DMR Data'!C:C,'Raw Annual DMR Data'!X964), "N/A - Period DMR Data Not Available")</f>
        <v>0.37547200000000003</v>
      </c>
      <c r="V964" s="28" cm="1">
        <f t="array" ref="V964">IFERROR(INDEX('Raw Period DMR Data'!N:N,MATCH(1,(B964='Raw Period DMR Data'!$A:$A)*(U964='Raw Period DMR Data'!M:M)*(X964='Raw Period DMR Data'!C:C),0),1), "N/A")</f>
        <v>31</v>
      </c>
      <c r="W964" s="28">
        <v>0.581376</v>
      </c>
      <c r="X964" s="28" t="s">
        <v>913</v>
      </c>
      <c r="Y964" s="28" t="s">
        <v>914</v>
      </c>
      <c r="Z964" s="61">
        <v>12040104000662</v>
      </c>
    </row>
    <row r="965" spans="1:29" x14ac:dyDescent="0.25">
      <c r="A965" s="61">
        <v>110043782788</v>
      </c>
      <c r="B965" s="28">
        <v>2020</v>
      </c>
      <c r="C965" s="68">
        <f t="shared" si="15"/>
        <v>43831</v>
      </c>
      <c r="D965" s="28" t="s">
        <v>179</v>
      </c>
      <c r="E965" s="28" t="s">
        <v>589</v>
      </c>
      <c r="F965" s="28" t="s">
        <v>590</v>
      </c>
      <c r="G965" s="28" t="s">
        <v>362</v>
      </c>
      <c r="H965" s="28">
        <v>77536</v>
      </c>
      <c r="I965" s="28">
        <v>29.726130000000001</v>
      </c>
      <c r="J965" s="28">
        <v>-95.108019999999996</v>
      </c>
      <c r="K965" s="28" t="s">
        <v>591</v>
      </c>
      <c r="L965" s="61">
        <v>110043782788</v>
      </c>
      <c r="M965" s="28" t="s">
        <v>253</v>
      </c>
      <c r="N965" s="28">
        <v>2812</v>
      </c>
      <c r="O965" s="28" t="str">
        <f>IFERROR(VLOOKUP(N965, 'SIC &amp; NAICS Codes'!A:B, 2, FALSE), "")</f>
        <v>Alkalies and Chlorine</v>
      </c>
      <c r="S965" s="28">
        <v>57.4163304</v>
      </c>
      <c r="T965" s="315">
        <f>_xlfn.MAXIFS('Raw Period DMR Data'!$O:$O,'Raw Period DMR Data'!$A:$A,'Raw Annual DMR Data'!B965,'Raw Period DMR Data'!$C:$C,X965)/S965</f>
        <v>0.13570720184792584</v>
      </c>
      <c r="U965" s="28">
        <f>+IF(COUNTIFS('Raw Period DMR Data'!$A:$A,B965, 'Raw Period DMR Data'!C:C,'Raw Annual DMR Data'!X965, 'Raw Period DMR Data'!M:M, "&gt;0")&gt;0,_xlfn.MAXIFS('Raw Period DMR Data'!M:M,'Raw Period DMR Data'!$A:$A,'Raw Annual DMR Data'!B965,'Raw Period DMR Data'!C:C,'Raw Annual DMR Data'!X965), "N/A - Period DMR Data Not Available")</f>
        <v>0.25616880000000003</v>
      </c>
      <c r="V965" s="28" cm="1">
        <f t="array" ref="V965">IFERROR(INDEX('Raw Period DMR Data'!N:N,MATCH(1,(B965='Raw Period DMR Data'!$A:$A)*(U965='Raw Period DMR Data'!M:M)*(X965='Raw Period DMR Data'!C:C),0),1), "N/A")</f>
        <v>28</v>
      </c>
      <c r="W965" s="28">
        <v>0.38152799999999998</v>
      </c>
      <c r="X965" s="28" t="s">
        <v>913</v>
      </c>
      <c r="Y965" s="28" t="s">
        <v>914</v>
      </c>
      <c r="Z965" s="61">
        <v>12040104000662</v>
      </c>
    </row>
    <row r="966" spans="1:29" x14ac:dyDescent="0.25">
      <c r="A966" s="61">
        <v>110006367136</v>
      </c>
      <c r="B966" s="28">
        <v>2020</v>
      </c>
      <c r="C966" s="68">
        <f t="shared" si="15"/>
        <v>43831</v>
      </c>
      <c r="D966" s="28" t="s">
        <v>1277</v>
      </c>
      <c r="E966" s="28" t="s">
        <v>2089</v>
      </c>
      <c r="F966" s="28" t="s">
        <v>1278</v>
      </c>
      <c r="G966" s="28" t="s">
        <v>324</v>
      </c>
      <c r="H966" s="28">
        <v>42001</v>
      </c>
      <c r="I966" s="28">
        <v>37.021974</v>
      </c>
      <c r="J966" s="28">
        <v>-88.512833000000001</v>
      </c>
      <c r="L966" s="61">
        <v>110006367136</v>
      </c>
      <c r="M966" s="28" t="s">
        <v>263</v>
      </c>
      <c r="N966" s="28">
        <v>4952</v>
      </c>
      <c r="O966" s="28" t="str">
        <f>IFERROR(VLOOKUP(N966, 'SIC &amp; NAICS Codes'!A:B, 2, FALSE), "")</f>
        <v>Sewerage Systems</v>
      </c>
      <c r="S966" s="28">
        <v>0.49734899999999999</v>
      </c>
      <c r="T966" s="315">
        <f>_xlfn.MAXIFS('Raw Period DMR Data'!$O:$O,'Raw Period DMR Data'!$A:$A,'Raw Annual DMR Data'!B966,'Raw Period DMR Data'!$C:$C,X966)/S966</f>
        <v>0</v>
      </c>
      <c r="U966" s="28" t="str">
        <f>+IF(COUNTIFS('Raw Period DMR Data'!$A:$A,B966, 'Raw Period DMR Data'!C:C,'Raw Annual DMR Data'!X966, 'Raw Period DMR Data'!M:M, "&gt;0")&gt;0,_xlfn.MAXIFS('Raw Period DMR Data'!M:M,'Raw Period DMR Data'!$A:$A,'Raw Annual DMR Data'!B966,'Raw Period DMR Data'!C:C,'Raw Annual DMR Data'!X966), "N/A - Period DMR Data Not Available")</f>
        <v>N/A - Period DMR Data Not Available</v>
      </c>
      <c r="V966" s="28" t="str" cm="1">
        <f t="array" ref="V966">IFERROR(INDEX('Raw Period DMR Data'!N:N,MATCH(1,(B966='Raw Period DMR Data'!$A:$A)*(U966='Raw Period DMR Data'!M:M)*(X966='Raw Period DMR Data'!C:C),0),1), "N/A")</f>
        <v>N/A</v>
      </c>
      <c r="W966" s="28" t="s">
        <v>1463</v>
      </c>
      <c r="X966" s="28" t="s">
        <v>2090</v>
      </c>
      <c r="Y966" s="28" t="s">
        <v>2091</v>
      </c>
      <c r="Z966" s="28">
        <v>6040006000343</v>
      </c>
      <c r="AA966" s="28"/>
      <c r="AB966" s="28" t="s">
        <v>1465</v>
      </c>
      <c r="AC966" s="28" t="s">
        <v>263</v>
      </c>
    </row>
    <row r="967" spans="1:29" x14ac:dyDescent="0.25">
      <c r="A967" s="61">
        <v>110015940776</v>
      </c>
      <c r="B967" s="28">
        <v>2015</v>
      </c>
      <c r="C967" s="68">
        <f t="shared" si="15"/>
        <v>42005</v>
      </c>
      <c r="D967" s="28" t="s">
        <v>1279</v>
      </c>
      <c r="E967" s="28" t="s">
        <v>2092</v>
      </c>
      <c r="F967" s="28" t="s">
        <v>1280</v>
      </c>
      <c r="G967" s="28" t="s">
        <v>374</v>
      </c>
      <c r="H967" s="28">
        <v>85138</v>
      </c>
      <c r="I967" s="28">
        <v>33.084569999999999</v>
      </c>
      <c r="J967" s="28">
        <v>-112.00959</v>
      </c>
      <c r="L967" s="61">
        <v>110015940776</v>
      </c>
      <c r="M967" s="28" t="s">
        <v>263</v>
      </c>
      <c r="N967" s="28">
        <v>4952</v>
      </c>
      <c r="O967" s="28" t="str">
        <f>IFERROR(VLOOKUP(N967, 'SIC &amp; NAICS Codes'!A:B, 2, FALSE), "")</f>
        <v>Sewerage Systems</v>
      </c>
      <c r="S967" s="28">
        <v>4.5300204749999997</v>
      </c>
      <c r="T967" s="315">
        <f>_xlfn.MAXIFS('Raw Period DMR Data'!$O:$O,'Raw Period DMR Data'!$A:$A,'Raw Annual DMR Data'!B967,'Raw Period DMR Data'!$C:$C,X967)/S967</f>
        <v>0</v>
      </c>
      <c r="U967" s="28" t="str">
        <f>+IF(COUNTIFS('Raw Period DMR Data'!$A:$A,B967, 'Raw Period DMR Data'!C:C,'Raw Annual DMR Data'!X967, 'Raw Period DMR Data'!M:M, "&gt;0")&gt;0,_xlfn.MAXIFS('Raw Period DMR Data'!M:M,'Raw Period DMR Data'!$A:$A,'Raw Annual DMR Data'!B967,'Raw Period DMR Data'!C:C,'Raw Annual DMR Data'!X967), "N/A - Period DMR Data Not Available")</f>
        <v>N/A - Period DMR Data Not Available</v>
      </c>
      <c r="V967" s="28" t="str" cm="1">
        <f t="array" ref="V967">IFERROR(INDEX('Raw Period DMR Data'!N:N,MATCH(1,(B967='Raw Period DMR Data'!$A:$A)*(U967='Raw Period DMR Data'!M:M)*(X967='Raw Period DMR Data'!C:C),0),1), "N/A")</f>
        <v>N/A</v>
      </c>
      <c r="W967" s="28" t="s">
        <v>1463</v>
      </c>
      <c r="X967" s="28" t="s">
        <v>2093</v>
      </c>
      <c r="Z967" s="28">
        <v>15020008000253</v>
      </c>
      <c r="AA967" s="28"/>
      <c r="AB967" s="28" t="s">
        <v>1465</v>
      </c>
      <c r="AC967" s="28" t="s">
        <v>1466</v>
      </c>
    </row>
    <row r="968" spans="1:29" x14ac:dyDescent="0.25">
      <c r="A968" s="61">
        <v>110015940776</v>
      </c>
      <c r="B968" s="28">
        <v>2015</v>
      </c>
      <c r="C968" s="68">
        <f t="shared" si="15"/>
        <v>42005</v>
      </c>
      <c r="D968" s="28" t="s">
        <v>1279</v>
      </c>
      <c r="E968" s="28" t="s">
        <v>2092</v>
      </c>
      <c r="F968" s="28" t="s">
        <v>1280</v>
      </c>
      <c r="G968" s="28" t="s">
        <v>374</v>
      </c>
      <c r="H968" s="28">
        <v>85138</v>
      </c>
      <c r="I968" s="28">
        <v>33.084569999999999</v>
      </c>
      <c r="J968" s="28">
        <v>-112.00959</v>
      </c>
      <c r="L968" s="61">
        <v>110015940776</v>
      </c>
      <c r="M968" s="28" t="s">
        <v>263</v>
      </c>
      <c r="N968" s="28">
        <v>4952</v>
      </c>
      <c r="O968" s="28" t="str">
        <f>IFERROR(VLOOKUP(N968, 'SIC &amp; NAICS Codes'!A:B, 2, FALSE), "")</f>
        <v>Sewerage Systems</v>
      </c>
      <c r="S968" s="28">
        <v>2.0852738350000002</v>
      </c>
      <c r="T968" s="315">
        <f>_xlfn.MAXIFS('Raw Period DMR Data'!$O:$O,'Raw Period DMR Data'!$A:$A,'Raw Annual DMR Data'!B968,'Raw Period DMR Data'!$C:$C,X968)/S968</f>
        <v>0</v>
      </c>
      <c r="U968" s="28" t="str">
        <f>+IF(COUNTIFS('Raw Period DMR Data'!$A:$A,B968, 'Raw Period DMR Data'!C:C,'Raw Annual DMR Data'!X968, 'Raw Period DMR Data'!M:M, "&gt;0")&gt;0,_xlfn.MAXIFS('Raw Period DMR Data'!M:M,'Raw Period DMR Data'!$A:$A,'Raw Annual DMR Data'!B968,'Raw Period DMR Data'!C:C,'Raw Annual DMR Data'!X968), "N/A - Period DMR Data Not Available")</f>
        <v>N/A - Period DMR Data Not Available</v>
      </c>
      <c r="V968" s="28" t="str" cm="1">
        <f t="array" ref="V968">IFERROR(INDEX('Raw Period DMR Data'!N:N,MATCH(1,(B968='Raw Period DMR Data'!$A:$A)*(U968='Raw Period DMR Data'!M:M)*(X968='Raw Period DMR Data'!C:C),0),1), "N/A")</f>
        <v>N/A</v>
      </c>
      <c r="W968" s="28" t="s">
        <v>1463</v>
      </c>
      <c r="X968" s="28" t="s">
        <v>2093</v>
      </c>
      <c r="Z968" s="28">
        <v>15020008000253</v>
      </c>
      <c r="AA968" s="28"/>
      <c r="AB968" s="28" t="s">
        <v>1465</v>
      </c>
      <c r="AC968" s="28" t="s">
        <v>1466</v>
      </c>
    </row>
    <row r="969" spans="1:29" x14ac:dyDescent="0.25">
      <c r="A969" s="61">
        <v>110015940776</v>
      </c>
      <c r="B969" s="28">
        <v>2016</v>
      </c>
      <c r="C969" s="68">
        <f t="shared" si="15"/>
        <v>42370</v>
      </c>
      <c r="D969" s="28" t="s">
        <v>1279</v>
      </c>
      <c r="E969" s="28" t="s">
        <v>2092</v>
      </c>
      <c r="F969" s="28" t="s">
        <v>1280</v>
      </c>
      <c r="G969" s="28" t="s">
        <v>374</v>
      </c>
      <c r="H969" s="28">
        <v>85138</v>
      </c>
      <c r="I969" s="28">
        <v>33.084569999999999</v>
      </c>
      <c r="J969" s="28">
        <v>-112.00959</v>
      </c>
      <c r="L969" s="61">
        <v>110015940776</v>
      </c>
      <c r="M969" s="28" t="s">
        <v>263</v>
      </c>
      <c r="N969" s="28">
        <v>4952</v>
      </c>
      <c r="O969" s="28" t="str">
        <f>IFERROR(VLOOKUP(N969, 'SIC &amp; NAICS Codes'!A:B, 2, FALSE), "")</f>
        <v>Sewerage Systems</v>
      </c>
      <c r="S969" s="28">
        <v>0.38675792375000001</v>
      </c>
      <c r="T969" s="315">
        <f>_xlfn.MAXIFS('Raw Period DMR Data'!$O:$O,'Raw Period DMR Data'!$A:$A,'Raw Annual DMR Data'!B969,'Raw Period DMR Data'!$C:$C,X969)/S969</f>
        <v>0</v>
      </c>
      <c r="U969" s="28" t="str">
        <f>+IF(COUNTIFS('Raw Period DMR Data'!$A:$A,B969, 'Raw Period DMR Data'!C:C,'Raw Annual DMR Data'!X969, 'Raw Period DMR Data'!M:M, "&gt;0")&gt;0,_xlfn.MAXIFS('Raw Period DMR Data'!M:M,'Raw Period DMR Data'!$A:$A,'Raw Annual DMR Data'!B969,'Raw Period DMR Data'!C:C,'Raw Annual DMR Data'!X969), "N/A - Period DMR Data Not Available")</f>
        <v>N/A - Period DMR Data Not Available</v>
      </c>
      <c r="V969" s="28" t="str" cm="1">
        <f t="array" ref="V969">IFERROR(INDEX('Raw Period DMR Data'!N:N,MATCH(1,(B969='Raw Period DMR Data'!$A:$A)*(U969='Raw Period DMR Data'!M:M)*(X969='Raw Period DMR Data'!C:C),0),1), "N/A")</f>
        <v>N/A</v>
      </c>
      <c r="W969" s="28" t="s">
        <v>1463</v>
      </c>
      <c r="X969" s="28" t="s">
        <v>2093</v>
      </c>
      <c r="Z969" s="28">
        <v>15020008000253</v>
      </c>
      <c r="AA969" s="28"/>
      <c r="AB969" s="28" t="s">
        <v>1465</v>
      </c>
      <c r="AC969" s="28" t="s">
        <v>1466</v>
      </c>
    </row>
    <row r="970" spans="1:29" x14ac:dyDescent="0.25">
      <c r="A970" s="61">
        <v>110015940776</v>
      </c>
      <c r="B970" s="28">
        <v>2016</v>
      </c>
      <c r="C970" s="68">
        <f t="shared" si="15"/>
        <v>42370</v>
      </c>
      <c r="D970" s="28" t="s">
        <v>1279</v>
      </c>
      <c r="E970" s="28" t="s">
        <v>2092</v>
      </c>
      <c r="F970" s="28" t="s">
        <v>1280</v>
      </c>
      <c r="G970" s="28" t="s">
        <v>374</v>
      </c>
      <c r="H970" s="28">
        <v>85138</v>
      </c>
      <c r="I970" s="28">
        <v>33.084569999999999</v>
      </c>
      <c r="J970" s="28">
        <v>-112.00959</v>
      </c>
      <c r="L970" s="61">
        <v>110015940776</v>
      </c>
      <c r="M970" s="28" t="s">
        <v>263</v>
      </c>
      <c r="N970" s="28">
        <v>4952</v>
      </c>
      <c r="O970" s="28" t="str">
        <f>IFERROR(VLOOKUP(N970, 'SIC &amp; NAICS Codes'!A:B, 2, FALSE), "")</f>
        <v>Sewerage Systems</v>
      </c>
      <c r="S970" s="28">
        <v>0.28507768374999998</v>
      </c>
      <c r="T970" s="315">
        <f>_xlfn.MAXIFS('Raw Period DMR Data'!$O:$O,'Raw Period DMR Data'!$A:$A,'Raw Annual DMR Data'!B970,'Raw Period DMR Data'!$C:$C,X970)/S970</f>
        <v>0</v>
      </c>
      <c r="U970" s="28" t="str">
        <f>+IF(COUNTIFS('Raw Period DMR Data'!$A:$A,B970, 'Raw Period DMR Data'!C:C,'Raw Annual DMR Data'!X970, 'Raw Period DMR Data'!M:M, "&gt;0")&gt;0,_xlfn.MAXIFS('Raw Period DMR Data'!M:M,'Raw Period DMR Data'!$A:$A,'Raw Annual DMR Data'!B970,'Raw Period DMR Data'!C:C,'Raw Annual DMR Data'!X970), "N/A - Period DMR Data Not Available")</f>
        <v>N/A - Period DMR Data Not Available</v>
      </c>
      <c r="V970" s="28" t="str" cm="1">
        <f t="array" ref="V970">IFERROR(INDEX('Raw Period DMR Data'!N:N,MATCH(1,(B970='Raw Period DMR Data'!$A:$A)*(U970='Raw Period DMR Data'!M:M)*(X970='Raw Period DMR Data'!C:C),0),1), "N/A")</f>
        <v>N/A</v>
      </c>
      <c r="W970" s="28" t="s">
        <v>1463</v>
      </c>
      <c r="X970" s="28" t="s">
        <v>2093</v>
      </c>
      <c r="Z970" s="28">
        <v>15020008000253</v>
      </c>
      <c r="AA970" s="28"/>
      <c r="AB970" s="28" t="s">
        <v>1465</v>
      </c>
      <c r="AC970" s="28" t="s">
        <v>1466</v>
      </c>
    </row>
    <row r="971" spans="1:29" x14ac:dyDescent="0.25">
      <c r="A971" s="61">
        <v>110045402079</v>
      </c>
      <c r="B971" s="28">
        <v>2016</v>
      </c>
      <c r="C971" s="68">
        <f t="shared" si="15"/>
        <v>42370</v>
      </c>
      <c r="D971" s="28" t="s">
        <v>1281</v>
      </c>
      <c r="E971" s="28" t="s">
        <v>2094</v>
      </c>
      <c r="F971" s="28" t="s">
        <v>1282</v>
      </c>
      <c r="G971" s="28" t="s">
        <v>366</v>
      </c>
      <c r="H971" s="28">
        <v>92029</v>
      </c>
      <c r="I971" s="28">
        <v>33.116990000000001</v>
      </c>
      <c r="J971" s="28">
        <v>-117.11819</v>
      </c>
      <c r="L971" s="61">
        <v>110045402079</v>
      </c>
      <c r="M971" s="28" t="s">
        <v>265</v>
      </c>
      <c r="N971" s="28">
        <v>4911</v>
      </c>
      <c r="O971" s="28" t="str">
        <f>IFERROR(VLOOKUP(N971, 'SIC &amp; NAICS Codes'!A:B, 2, FALSE), "")</f>
        <v>Electric Services (hydroelectric power generation)</v>
      </c>
      <c r="S971" s="28">
        <v>0.53841224489795902</v>
      </c>
      <c r="T971" s="315">
        <f>_xlfn.MAXIFS('Raw Period DMR Data'!$O:$O,'Raw Period DMR Data'!$A:$A,'Raw Annual DMR Data'!B971,'Raw Period DMR Data'!$C:$C,X971)/S971</f>
        <v>0</v>
      </c>
      <c r="U971" s="28" t="str">
        <f>+IF(COUNTIFS('Raw Period DMR Data'!$A:$A,B971, 'Raw Period DMR Data'!C:C,'Raw Annual DMR Data'!X971, 'Raw Period DMR Data'!M:M, "&gt;0")&gt;0,_xlfn.MAXIFS('Raw Period DMR Data'!M:M,'Raw Period DMR Data'!$A:$A,'Raw Annual DMR Data'!B971,'Raw Period DMR Data'!C:C,'Raw Annual DMR Data'!X971), "N/A - Period DMR Data Not Available")</f>
        <v>N/A - Period DMR Data Not Available</v>
      </c>
      <c r="V971" s="28" t="str" cm="1">
        <f t="array" ref="V971">IFERROR(INDEX('Raw Period DMR Data'!N:N,MATCH(1,(B971='Raw Period DMR Data'!$A:$A)*(U971='Raw Period DMR Data'!M:M)*(X971='Raw Period DMR Data'!C:C),0),1), "N/A")</f>
        <v>N/A</v>
      </c>
      <c r="W971" s="28" t="s">
        <v>1463</v>
      </c>
      <c r="X971" s="28" t="s">
        <v>2095</v>
      </c>
      <c r="Y971" s="28" t="s">
        <v>926</v>
      </c>
      <c r="Z971" s="28">
        <v>18070303000010</v>
      </c>
      <c r="AA971" s="28"/>
      <c r="AB971" s="28" t="s">
        <v>1465</v>
      </c>
      <c r="AC971" s="28" t="s">
        <v>1466</v>
      </c>
    </row>
    <row r="972" spans="1:29" x14ac:dyDescent="0.25">
      <c r="A972" s="61">
        <v>110000551082</v>
      </c>
      <c r="B972" s="28">
        <v>2018</v>
      </c>
      <c r="C972" s="68">
        <f t="shared" si="15"/>
        <v>43101</v>
      </c>
      <c r="D972" s="28" t="s">
        <v>1283</v>
      </c>
      <c r="E972" s="28" t="s">
        <v>2096</v>
      </c>
      <c r="F972" s="28" t="s">
        <v>1284</v>
      </c>
      <c r="G972" s="28" t="s">
        <v>324</v>
      </c>
      <c r="H972" s="28" t="s">
        <v>2097</v>
      </c>
      <c r="I972" s="28">
        <v>38.223610999999998</v>
      </c>
      <c r="J972" s="28">
        <v>-84.252778000000006</v>
      </c>
      <c r="L972" s="61">
        <v>110000551082</v>
      </c>
      <c r="M972" s="28" t="s">
        <v>263</v>
      </c>
      <c r="N972" s="28">
        <v>4952</v>
      </c>
      <c r="O972" s="28" t="str">
        <f>IFERROR(VLOOKUP(N972, 'SIC &amp; NAICS Codes'!A:B, 2, FALSE), "")</f>
        <v>Sewerage Systems</v>
      </c>
      <c r="S972" s="28">
        <v>7.6605561249999997E-3</v>
      </c>
      <c r="T972" s="315">
        <f>_xlfn.MAXIFS('Raw Period DMR Data'!$O:$O,'Raw Period DMR Data'!$A:$A,'Raw Annual DMR Data'!B972,'Raw Period DMR Data'!$C:$C,X972)/S972</f>
        <v>0</v>
      </c>
      <c r="U972" s="28" t="str">
        <f>+IF(COUNTIFS('Raw Period DMR Data'!$A:$A,B972, 'Raw Period DMR Data'!C:C,'Raw Annual DMR Data'!X972, 'Raw Period DMR Data'!M:M, "&gt;0")&gt;0,_xlfn.MAXIFS('Raw Period DMR Data'!M:M,'Raw Period DMR Data'!$A:$A,'Raw Annual DMR Data'!B972,'Raw Period DMR Data'!C:C,'Raw Annual DMR Data'!X972), "N/A - Period DMR Data Not Available")</f>
        <v>N/A - Period DMR Data Not Available</v>
      </c>
      <c r="V972" s="28" t="str" cm="1">
        <f t="array" ref="V972">IFERROR(INDEX('Raw Period DMR Data'!N:N,MATCH(1,(B972='Raw Period DMR Data'!$A:$A)*(U972='Raw Period DMR Data'!M:M)*(X972='Raw Period DMR Data'!C:C),0),1), "N/A")</f>
        <v>N/A</v>
      </c>
      <c r="W972" s="28" t="s">
        <v>1463</v>
      </c>
      <c r="X972" s="28" t="s">
        <v>2098</v>
      </c>
      <c r="Y972" s="28" t="s">
        <v>2099</v>
      </c>
      <c r="Z972" s="302" t="s">
        <v>2100</v>
      </c>
      <c r="AA972" s="28"/>
      <c r="AB972" s="28" t="s">
        <v>1465</v>
      </c>
      <c r="AC972" s="28" t="s">
        <v>263</v>
      </c>
    </row>
    <row r="973" spans="1:29" x14ac:dyDescent="0.25">
      <c r="A973" s="61">
        <v>110000551082</v>
      </c>
      <c r="B973" s="28">
        <v>2019</v>
      </c>
      <c r="C973" s="68">
        <f t="shared" si="15"/>
        <v>43466</v>
      </c>
      <c r="D973" s="28" t="s">
        <v>1283</v>
      </c>
      <c r="E973" s="28" t="s">
        <v>2096</v>
      </c>
      <c r="F973" s="28" t="s">
        <v>1284</v>
      </c>
      <c r="G973" s="28" t="s">
        <v>324</v>
      </c>
      <c r="H973" s="28" t="s">
        <v>2097</v>
      </c>
      <c r="I973" s="28">
        <v>38.223610999999998</v>
      </c>
      <c r="J973" s="28">
        <v>-84.252778000000006</v>
      </c>
      <c r="L973" s="61">
        <v>110000551082</v>
      </c>
      <c r="M973" s="28" t="s">
        <v>263</v>
      </c>
      <c r="N973" s="28">
        <v>4952</v>
      </c>
      <c r="O973" s="28" t="str">
        <f>IFERROR(VLOOKUP(N973, 'SIC &amp; NAICS Codes'!A:B, 2, FALSE), "")</f>
        <v>Sewerage Systems</v>
      </c>
      <c r="S973" s="28">
        <v>8.2787885625000002E-3</v>
      </c>
      <c r="T973" s="315">
        <f>_xlfn.MAXIFS('Raw Period DMR Data'!$O:$O,'Raw Period DMR Data'!$A:$A,'Raw Annual DMR Data'!B973,'Raw Period DMR Data'!$C:$C,X973)/S973</f>
        <v>0</v>
      </c>
      <c r="U973" s="28" t="str">
        <f>+IF(COUNTIFS('Raw Period DMR Data'!$A:$A,B973, 'Raw Period DMR Data'!C:C,'Raw Annual DMR Data'!X973, 'Raw Period DMR Data'!M:M, "&gt;0")&gt;0,_xlfn.MAXIFS('Raw Period DMR Data'!M:M,'Raw Period DMR Data'!$A:$A,'Raw Annual DMR Data'!B973,'Raw Period DMR Data'!C:C,'Raw Annual DMR Data'!X973), "N/A - Period DMR Data Not Available")</f>
        <v>N/A - Period DMR Data Not Available</v>
      </c>
      <c r="V973" s="28" t="str" cm="1">
        <f t="array" ref="V973">IFERROR(INDEX('Raw Period DMR Data'!N:N,MATCH(1,(B973='Raw Period DMR Data'!$A:$A)*(U973='Raw Period DMR Data'!M:M)*(X973='Raw Period DMR Data'!C:C),0),1), "N/A")</f>
        <v>N/A</v>
      </c>
      <c r="W973" s="28" t="s">
        <v>1463</v>
      </c>
      <c r="X973" s="28" t="s">
        <v>2098</v>
      </c>
      <c r="Y973" s="28" t="s">
        <v>2099</v>
      </c>
      <c r="Z973" s="28">
        <v>5100102000062</v>
      </c>
      <c r="AA973" s="28"/>
      <c r="AB973" s="28" t="s">
        <v>1465</v>
      </c>
      <c r="AC973" s="28" t="s">
        <v>263</v>
      </c>
    </row>
    <row r="974" spans="1:29" x14ac:dyDescent="0.25">
      <c r="A974" s="61">
        <v>110046184516</v>
      </c>
      <c r="B974" s="28">
        <v>2017</v>
      </c>
      <c r="C974" s="68">
        <f t="shared" si="15"/>
        <v>42736</v>
      </c>
      <c r="D974" s="28" t="s">
        <v>1285</v>
      </c>
      <c r="E974" s="28" t="s">
        <v>2101</v>
      </c>
      <c r="F974" s="28" t="s">
        <v>1286</v>
      </c>
      <c r="G974" s="28" t="s">
        <v>1171</v>
      </c>
      <c r="H974" s="28">
        <v>96818</v>
      </c>
      <c r="I974" s="28">
        <v>21.352499999999999</v>
      </c>
      <c r="J974" s="28">
        <v>-157.95813899999999</v>
      </c>
      <c r="L974" s="61">
        <v>110046184516</v>
      </c>
      <c r="M974" s="28" t="s">
        <v>265</v>
      </c>
      <c r="N974" s="28">
        <v>3731</v>
      </c>
      <c r="O974" s="28" t="str">
        <f>IFERROR(VLOOKUP(N974, 'SIC &amp; NAICS Codes'!A:B, 2, FALSE), "")</f>
        <v>Ship Building and Repairing (except repairs in floating drydocks)</v>
      </c>
      <c r="S974" s="28">
        <v>1.9065045</v>
      </c>
      <c r="T974" s="315">
        <f>_xlfn.MAXIFS('Raw Period DMR Data'!$O:$O,'Raw Period DMR Data'!$A:$A,'Raw Annual DMR Data'!B974,'Raw Period DMR Data'!$C:$C,X974)/S974</f>
        <v>0</v>
      </c>
      <c r="U974" s="28" t="str">
        <f>+IF(COUNTIFS('Raw Period DMR Data'!$A:$A,B974, 'Raw Period DMR Data'!C:C,'Raw Annual DMR Data'!X974, 'Raw Period DMR Data'!M:M, "&gt;0")&gt;0,_xlfn.MAXIFS('Raw Period DMR Data'!M:M,'Raw Period DMR Data'!$A:$A,'Raw Annual DMR Data'!B974,'Raw Period DMR Data'!C:C,'Raw Annual DMR Data'!X974), "N/A - Period DMR Data Not Available")</f>
        <v>N/A - Period DMR Data Not Available</v>
      </c>
      <c r="V974" s="28" t="str" cm="1">
        <f t="array" ref="V974">IFERROR(INDEX('Raw Period DMR Data'!N:N,MATCH(1,(B974='Raw Period DMR Data'!$A:$A)*(U974='Raw Period DMR Data'!M:M)*(X974='Raw Period DMR Data'!C:C),0),1), "N/A")</f>
        <v>N/A</v>
      </c>
      <c r="W974" s="28" t="s">
        <v>1463</v>
      </c>
      <c r="X974" s="28" t="s">
        <v>2102</v>
      </c>
      <c r="Y974" s="28" t="s">
        <v>1253</v>
      </c>
      <c r="Z974" s="28">
        <v>20060000000166</v>
      </c>
      <c r="AA974" s="28"/>
      <c r="AB974" s="28" t="s">
        <v>1465</v>
      </c>
      <c r="AC974" s="28" t="s">
        <v>1466</v>
      </c>
    </row>
    <row r="975" spans="1:29" x14ac:dyDescent="0.25">
      <c r="A975" s="61">
        <v>110046184516</v>
      </c>
      <c r="B975" s="28">
        <v>2017</v>
      </c>
      <c r="C975" s="68">
        <f t="shared" si="15"/>
        <v>42736</v>
      </c>
      <c r="D975" s="28" t="s">
        <v>1285</v>
      </c>
      <c r="E975" s="28" t="s">
        <v>2101</v>
      </c>
      <c r="F975" s="28" t="s">
        <v>1286</v>
      </c>
      <c r="G975" s="28" t="s">
        <v>1171</v>
      </c>
      <c r="H975" s="28">
        <v>96818</v>
      </c>
      <c r="I975" s="28">
        <v>21.352499999999999</v>
      </c>
      <c r="J975" s="28">
        <v>-157.95813899999999</v>
      </c>
      <c r="L975" s="61">
        <v>110046184516</v>
      </c>
      <c r="M975" s="28" t="s">
        <v>265</v>
      </c>
      <c r="N975" s="28">
        <v>3731</v>
      </c>
      <c r="O975" s="28" t="str">
        <f>IFERROR(VLOOKUP(N975, 'SIC &amp; NAICS Codes'!A:B, 2, FALSE), "")</f>
        <v>Ship Building and Repairing (except repairs in floating drydocks)</v>
      </c>
      <c r="S975" s="28">
        <v>11.936375999999999</v>
      </c>
      <c r="T975" s="315">
        <f>_xlfn.MAXIFS('Raw Period DMR Data'!$O:$O,'Raw Period DMR Data'!$A:$A,'Raw Annual DMR Data'!B975,'Raw Period DMR Data'!$C:$C,X975)/S975</f>
        <v>0</v>
      </c>
      <c r="U975" s="28" t="str">
        <f>+IF(COUNTIFS('Raw Period DMR Data'!$A:$A,B975, 'Raw Period DMR Data'!C:C,'Raw Annual DMR Data'!X975, 'Raw Period DMR Data'!M:M, "&gt;0")&gt;0,_xlfn.MAXIFS('Raw Period DMR Data'!M:M,'Raw Period DMR Data'!$A:$A,'Raw Annual DMR Data'!B975,'Raw Period DMR Data'!C:C,'Raw Annual DMR Data'!X975), "N/A - Period DMR Data Not Available")</f>
        <v>N/A - Period DMR Data Not Available</v>
      </c>
      <c r="V975" s="28" t="str" cm="1">
        <f t="array" ref="V975">IFERROR(INDEX('Raw Period DMR Data'!N:N,MATCH(1,(B975='Raw Period DMR Data'!$A:$A)*(U975='Raw Period DMR Data'!M:M)*(X975='Raw Period DMR Data'!C:C),0),1), "N/A")</f>
        <v>N/A</v>
      </c>
      <c r="W975" s="28" t="s">
        <v>1463</v>
      </c>
      <c r="X975" s="28" t="s">
        <v>2103</v>
      </c>
      <c r="Y975" s="28" t="s">
        <v>2104</v>
      </c>
      <c r="Z975" s="28">
        <v>20060000000162</v>
      </c>
      <c r="AA975" s="28"/>
      <c r="AB975" s="28" t="s">
        <v>1465</v>
      </c>
      <c r="AC975" s="28" t="s">
        <v>1466</v>
      </c>
    </row>
    <row r="976" spans="1:29" x14ac:dyDescent="0.25">
      <c r="A976" s="61">
        <v>110046184516</v>
      </c>
      <c r="B976" s="28">
        <v>2017</v>
      </c>
      <c r="C976" s="68">
        <f t="shared" si="15"/>
        <v>42736</v>
      </c>
      <c r="D976" s="28" t="s">
        <v>1285</v>
      </c>
      <c r="E976" s="28" t="s">
        <v>2101</v>
      </c>
      <c r="F976" s="28" t="s">
        <v>1286</v>
      </c>
      <c r="G976" s="28" t="s">
        <v>1171</v>
      </c>
      <c r="H976" s="28">
        <v>96818</v>
      </c>
      <c r="I976" s="28">
        <v>21.352499999999999</v>
      </c>
      <c r="J976" s="28">
        <v>-157.95813899999999</v>
      </c>
      <c r="L976" s="61">
        <v>110046184516</v>
      </c>
      <c r="M976" s="28" t="s">
        <v>265</v>
      </c>
      <c r="N976" s="28">
        <v>3731</v>
      </c>
      <c r="O976" s="28" t="str">
        <f>IFERROR(VLOOKUP(N976, 'SIC &amp; NAICS Codes'!A:B, 2, FALSE), "")</f>
        <v>Ship Building and Repairing (except repairs in floating drydocks)</v>
      </c>
      <c r="S976" s="28">
        <v>11.936375999999999</v>
      </c>
      <c r="T976" s="315">
        <f>_xlfn.MAXIFS('Raw Period DMR Data'!$O:$O,'Raw Period DMR Data'!$A:$A,'Raw Annual DMR Data'!B976,'Raw Period DMR Data'!$C:$C,X976)/S976</f>
        <v>0</v>
      </c>
      <c r="U976" s="28" t="str">
        <f>+IF(COUNTIFS('Raw Period DMR Data'!$A:$A,B976, 'Raw Period DMR Data'!C:C,'Raw Annual DMR Data'!X976, 'Raw Period DMR Data'!M:M, "&gt;0")&gt;0,_xlfn.MAXIFS('Raw Period DMR Data'!M:M,'Raw Period DMR Data'!$A:$A,'Raw Annual DMR Data'!B976,'Raw Period DMR Data'!C:C,'Raw Annual DMR Data'!X976), "N/A - Period DMR Data Not Available")</f>
        <v>N/A - Period DMR Data Not Available</v>
      </c>
      <c r="V976" s="28" t="str" cm="1">
        <f t="array" ref="V976">IFERROR(INDEX('Raw Period DMR Data'!N:N,MATCH(1,(B976='Raw Period DMR Data'!$A:$A)*(U976='Raw Period DMR Data'!M:M)*(X976='Raw Period DMR Data'!C:C),0),1), "N/A")</f>
        <v>N/A</v>
      </c>
      <c r="W976" s="28" t="s">
        <v>1463</v>
      </c>
      <c r="X976" s="28" t="s">
        <v>2103</v>
      </c>
      <c r="Y976" s="28" t="s">
        <v>2104</v>
      </c>
      <c r="Z976" s="28">
        <v>20060000000162</v>
      </c>
      <c r="AA976" s="28"/>
      <c r="AB976" s="28" t="s">
        <v>1465</v>
      </c>
      <c r="AC976" s="28" t="s">
        <v>1466</v>
      </c>
    </row>
    <row r="977" spans="1:29" x14ac:dyDescent="0.25">
      <c r="A977" s="61">
        <v>110046184516</v>
      </c>
      <c r="B977" s="28">
        <v>2018</v>
      </c>
      <c r="C977" s="68">
        <f t="shared" si="15"/>
        <v>43101</v>
      </c>
      <c r="D977" s="28" t="s">
        <v>1285</v>
      </c>
      <c r="E977" s="28" t="s">
        <v>2101</v>
      </c>
      <c r="F977" s="28" t="s">
        <v>1286</v>
      </c>
      <c r="G977" s="28" t="s">
        <v>1171</v>
      </c>
      <c r="H977" s="28">
        <v>96818</v>
      </c>
      <c r="I977" s="28">
        <v>21.352499999999999</v>
      </c>
      <c r="J977" s="28">
        <v>-157.95813899999999</v>
      </c>
      <c r="L977" s="61">
        <v>110046184516</v>
      </c>
      <c r="M977" s="28" t="s">
        <v>265</v>
      </c>
      <c r="N977" s="28">
        <v>3731</v>
      </c>
      <c r="O977" s="28" t="str">
        <f>IFERROR(VLOOKUP(N977, 'SIC &amp; NAICS Codes'!A:B, 2, FALSE), "")</f>
        <v>Ship Building and Repairing (except repairs in floating drydocks)</v>
      </c>
      <c r="S977" s="302">
        <v>5.9681879999999996</v>
      </c>
      <c r="T977" s="315">
        <f>_xlfn.MAXIFS('Raw Period DMR Data'!$O:$O,'Raw Period DMR Data'!$A:$A,'Raw Annual DMR Data'!B977,'Raw Period DMR Data'!$C:$C,X977)/S977</f>
        <v>0</v>
      </c>
      <c r="U977" s="28" t="str">
        <f>+IF(COUNTIFS('Raw Period DMR Data'!$A:$A,B977, 'Raw Period DMR Data'!C:C,'Raw Annual DMR Data'!X977, 'Raw Period DMR Data'!M:M, "&gt;0")&gt;0,_xlfn.MAXIFS('Raw Period DMR Data'!M:M,'Raw Period DMR Data'!$A:$A,'Raw Annual DMR Data'!B977,'Raw Period DMR Data'!C:C,'Raw Annual DMR Data'!X977), "N/A - Period DMR Data Not Available")</f>
        <v>N/A - Period DMR Data Not Available</v>
      </c>
      <c r="V977" s="28" t="str" cm="1">
        <f t="array" ref="V977">IFERROR(INDEX('Raw Period DMR Data'!N:N,MATCH(1,(B977='Raw Period DMR Data'!$A:$A)*(U977='Raw Period DMR Data'!M:M)*(X977='Raw Period DMR Data'!C:C),0),1), "N/A")</f>
        <v>N/A</v>
      </c>
      <c r="W977" s="28" t="s">
        <v>1463</v>
      </c>
      <c r="X977" s="28" t="s">
        <v>2103</v>
      </c>
      <c r="Y977" s="28" t="s">
        <v>2104</v>
      </c>
      <c r="Z977" s="28">
        <v>20060000000162</v>
      </c>
      <c r="AA977" s="28"/>
      <c r="AB977" s="28" t="s">
        <v>1465</v>
      </c>
      <c r="AC977" s="28" t="s">
        <v>1466</v>
      </c>
    </row>
    <row r="978" spans="1:29" x14ac:dyDescent="0.25">
      <c r="A978" s="61">
        <v>110046184516</v>
      </c>
      <c r="B978" s="28">
        <v>2018</v>
      </c>
      <c r="C978" s="68">
        <f t="shared" si="15"/>
        <v>43101</v>
      </c>
      <c r="D978" s="28" t="s">
        <v>1285</v>
      </c>
      <c r="E978" s="28" t="s">
        <v>2101</v>
      </c>
      <c r="F978" s="28" t="s">
        <v>1286</v>
      </c>
      <c r="G978" s="28" t="s">
        <v>1171</v>
      </c>
      <c r="H978" s="28">
        <v>96818</v>
      </c>
      <c r="I978" s="28">
        <v>21.352499999999999</v>
      </c>
      <c r="J978" s="28">
        <v>-157.95813899999999</v>
      </c>
      <c r="L978" s="61">
        <v>110046184516</v>
      </c>
      <c r="M978" s="28" t="s">
        <v>265</v>
      </c>
      <c r="N978" s="28">
        <v>3731</v>
      </c>
      <c r="O978" s="28" t="str">
        <f>IFERROR(VLOOKUP(N978, 'SIC &amp; NAICS Codes'!A:B, 2, FALSE), "")</f>
        <v>Ship Building and Repairing (except repairs in floating drydocks)</v>
      </c>
      <c r="S978" s="28">
        <v>0.30393550000000003</v>
      </c>
      <c r="T978" s="315">
        <f>_xlfn.MAXIFS('Raw Period DMR Data'!$O:$O,'Raw Period DMR Data'!$A:$A,'Raw Annual DMR Data'!B978,'Raw Period DMR Data'!$C:$C,X978)/S978</f>
        <v>0</v>
      </c>
      <c r="U978" s="28" t="str">
        <f>+IF(COUNTIFS('Raw Period DMR Data'!$A:$A,B978, 'Raw Period DMR Data'!C:C,'Raw Annual DMR Data'!X978, 'Raw Period DMR Data'!M:M, "&gt;0")&gt;0,_xlfn.MAXIFS('Raw Period DMR Data'!M:M,'Raw Period DMR Data'!$A:$A,'Raw Annual DMR Data'!B978,'Raw Period DMR Data'!C:C,'Raw Annual DMR Data'!X978), "N/A - Period DMR Data Not Available")</f>
        <v>N/A - Period DMR Data Not Available</v>
      </c>
      <c r="V978" s="28" t="str" cm="1">
        <f t="array" ref="V978">IFERROR(INDEX('Raw Period DMR Data'!N:N,MATCH(1,(B978='Raw Period DMR Data'!$A:$A)*(U978='Raw Period DMR Data'!M:M)*(X978='Raw Period DMR Data'!C:C),0),1), "N/A")</f>
        <v>N/A</v>
      </c>
      <c r="W978" s="28" t="s">
        <v>1463</v>
      </c>
      <c r="X978" s="28" t="s">
        <v>2102</v>
      </c>
      <c r="Y978" s="28" t="s">
        <v>1253</v>
      </c>
      <c r="Z978" s="28">
        <v>20060000000166</v>
      </c>
      <c r="AA978" s="28"/>
      <c r="AB978" s="28" t="s">
        <v>1465</v>
      </c>
      <c r="AC978" s="28" t="s">
        <v>1466</v>
      </c>
    </row>
    <row r="979" spans="1:29" x14ac:dyDescent="0.25">
      <c r="A979" s="61">
        <v>110046184516</v>
      </c>
      <c r="B979" s="28">
        <v>2018</v>
      </c>
      <c r="C979" s="68">
        <f t="shared" si="15"/>
        <v>43101</v>
      </c>
      <c r="D979" s="28" t="s">
        <v>1285</v>
      </c>
      <c r="E979" s="28" t="s">
        <v>2101</v>
      </c>
      <c r="F979" s="28" t="s">
        <v>1286</v>
      </c>
      <c r="G979" s="28" t="s">
        <v>1171</v>
      </c>
      <c r="H979" s="28">
        <v>96818</v>
      </c>
      <c r="I979" s="28">
        <v>21.352499999999999</v>
      </c>
      <c r="J979" s="28">
        <v>-157.95813899999999</v>
      </c>
      <c r="L979" s="61">
        <v>110046184516</v>
      </c>
      <c r="M979" s="28" t="s">
        <v>265</v>
      </c>
      <c r="N979" s="28">
        <v>3731</v>
      </c>
      <c r="O979" s="28" t="str">
        <f>IFERROR(VLOOKUP(N979, 'SIC &amp; NAICS Codes'!A:B, 2, FALSE), "")</f>
        <v>Ship Building and Repairing (except repairs in floating drydocks)</v>
      </c>
      <c r="S979" s="302">
        <v>5.9681879999999996</v>
      </c>
      <c r="T979" s="315">
        <f>_xlfn.MAXIFS('Raw Period DMR Data'!$O:$O,'Raw Period DMR Data'!$A:$A,'Raw Annual DMR Data'!B979,'Raw Period DMR Data'!$C:$C,X979)/S979</f>
        <v>0</v>
      </c>
      <c r="U979" s="28" t="str">
        <f>+IF(COUNTIFS('Raw Period DMR Data'!$A:$A,B979, 'Raw Period DMR Data'!C:C,'Raw Annual DMR Data'!X979, 'Raw Period DMR Data'!M:M, "&gt;0")&gt;0,_xlfn.MAXIFS('Raw Period DMR Data'!M:M,'Raw Period DMR Data'!$A:$A,'Raw Annual DMR Data'!B979,'Raw Period DMR Data'!C:C,'Raw Annual DMR Data'!X979), "N/A - Period DMR Data Not Available")</f>
        <v>N/A - Period DMR Data Not Available</v>
      </c>
      <c r="V979" s="28" t="str" cm="1">
        <f t="array" ref="V979">IFERROR(INDEX('Raw Period DMR Data'!N:N,MATCH(1,(B979='Raw Period DMR Data'!$A:$A)*(U979='Raw Period DMR Data'!M:M)*(X979='Raw Period DMR Data'!C:C),0),1), "N/A")</f>
        <v>N/A</v>
      </c>
      <c r="W979" s="28" t="s">
        <v>1463</v>
      </c>
      <c r="X979" s="28" t="s">
        <v>2103</v>
      </c>
      <c r="Y979" s="28" t="s">
        <v>2104</v>
      </c>
      <c r="Z979" s="28">
        <v>20060000000162</v>
      </c>
      <c r="AA979" s="28"/>
      <c r="AB979" s="28" t="s">
        <v>1465</v>
      </c>
      <c r="AC979" s="28" t="s">
        <v>1466</v>
      </c>
    </row>
    <row r="980" spans="1:29" x14ac:dyDescent="0.25">
      <c r="A980" s="61">
        <v>110046184516</v>
      </c>
      <c r="B980" s="28">
        <v>2018</v>
      </c>
      <c r="C980" s="68">
        <f t="shared" si="15"/>
        <v>43101</v>
      </c>
      <c r="D980" s="28" t="s">
        <v>1285</v>
      </c>
      <c r="E980" s="28" t="s">
        <v>2101</v>
      </c>
      <c r="F980" s="28" t="s">
        <v>1286</v>
      </c>
      <c r="G980" s="28" t="s">
        <v>1171</v>
      </c>
      <c r="H980" s="28">
        <v>96818</v>
      </c>
      <c r="I980" s="28">
        <v>21.352499999999999</v>
      </c>
      <c r="J980" s="28">
        <v>-157.95813899999999</v>
      </c>
      <c r="L980" s="61">
        <v>110046184516</v>
      </c>
      <c r="M980" s="28" t="s">
        <v>265</v>
      </c>
      <c r="N980" s="28">
        <v>3731</v>
      </c>
      <c r="O980" s="28" t="str">
        <f>IFERROR(VLOOKUP(N980, 'SIC &amp; NAICS Codes'!A:B, 2, FALSE), "")</f>
        <v>Ship Building and Repairing (except repairs in floating drydocks)</v>
      </c>
      <c r="S980" s="302">
        <v>11.936375999999999</v>
      </c>
      <c r="T980" s="315">
        <f>_xlfn.MAXIFS('Raw Period DMR Data'!$O:$O,'Raw Period DMR Data'!$A:$A,'Raw Annual DMR Data'!B980,'Raw Period DMR Data'!$C:$C,X980)/S980</f>
        <v>0</v>
      </c>
      <c r="U980" s="28" t="str">
        <f>+IF(COUNTIFS('Raw Period DMR Data'!$A:$A,B980, 'Raw Period DMR Data'!C:C,'Raw Annual DMR Data'!X980, 'Raw Period DMR Data'!M:M, "&gt;0")&gt;0,_xlfn.MAXIFS('Raw Period DMR Data'!M:M,'Raw Period DMR Data'!$A:$A,'Raw Annual DMR Data'!B980,'Raw Period DMR Data'!C:C,'Raw Annual DMR Data'!X980), "N/A - Period DMR Data Not Available")</f>
        <v>N/A - Period DMR Data Not Available</v>
      </c>
      <c r="V980" s="28" t="str" cm="1">
        <f t="array" ref="V980">IFERROR(INDEX('Raw Period DMR Data'!N:N,MATCH(1,(B980='Raw Period DMR Data'!$A:$A)*(U980='Raw Period DMR Data'!M:M)*(X980='Raw Period DMR Data'!C:C),0),1), "N/A")</f>
        <v>N/A</v>
      </c>
      <c r="W980" s="28" t="s">
        <v>1463</v>
      </c>
      <c r="X980" s="28" t="s">
        <v>2103</v>
      </c>
      <c r="Y980" s="28" t="s">
        <v>2104</v>
      </c>
      <c r="Z980" s="28">
        <v>20060000000162</v>
      </c>
      <c r="AA980" s="28"/>
      <c r="AB980" s="28" t="s">
        <v>1465</v>
      </c>
      <c r="AC980" s="28" t="s">
        <v>1466</v>
      </c>
    </row>
    <row r="981" spans="1:29" x14ac:dyDescent="0.25">
      <c r="A981" s="61">
        <v>110046184516</v>
      </c>
      <c r="B981" s="28">
        <v>2019</v>
      </c>
      <c r="C981" s="68">
        <f t="shared" si="15"/>
        <v>43466</v>
      </c>
      <c r="D981" s="28" t="s">
        <v>1285</v>
      </c>
      <c r="E981" s="28" t="s">
        <v>2101</v>
      </c>
      <c r="F981" s="28" t="s">
        <v>1286</v>
      </c>
      <c r="G981" s="28" t="s">
        <v>1171</v>
      </c>
      <c r="H981" s="28">
        <v>96818</v>
      </c>
      <c r="I981" s="28">
        <v>21.352499999999999</v>
      </c>
      <c r="J981" s="28">
        <v>-157.95813899999999</v>
      </c>
      <c r="L981" s="61">
        <v>110046184516</v>
      </c>
      <c r="M981" s="28" t="s">
        <v>265</v>
      </c>
      <c r="N981" s="28">
        <v>3731</v>
      </c>
      <c r="O981" s="28" t="str">
        <f>IFERROR(VLOOKUP(N981, 'SIC &amp; NAICS Codes'!A:B, 2, FALSE), "")</f>
        <v>Ship Building and Repairing (except repairs in floating drydocks)</v>
      </c>
      <c r="S981" s="28">
        <v>0.26248975000000002</v>
      </c>
      <c r="T981" s="315">
        <f>_xlfn.MAXIFS('Raw Period DMR Data'!$O:$O,'Raw Period DMR Data'!$A:$A,'Raw Annual DMR Data'!B981,'Raw Period DMR Data'!$C:$C,X981)/S981</f>
        <v>0</v>
      </c>
      <c r="U981" s="28" t="str">
        <f>+IF(COUNTIFS('Raw Period DMR Data'!$A:$A,B981, 'Raw Period DMR Data'!C:C,'Raw Annual DMR Data'!X981, 'Raw Period DMR Data'!M:M, "&gt;0")&gt;0,_xlfn.MAXIFS('Raw Period DMR Data'!M:M,'Raw Period DMR Data'!$A:$A,'Raw Annual DMR Data'!B981,'Raw Period DMR Data'!C:C,'Raw Annual DMR Data'!X981), "N/A - Period DMR Data Not Available")</f>
        <v>N/A - Period DMR Data Not Available</v>
      </c>
      <c r="V981" s="28" t="str" cm="1">
        <f t="array" ref="V981">IFERROR(INDEX('Raw Period DMR Data'!N:N,MATCH(1,(B981='Raw Period DMR Data'!$A:$A)*(U981='Raw Period DMR Data'!M:M)*(X981='Raw Period DMR Data'!C:C),0),1), "N/A")</f>
        <v>N/A</v>
      </c>
      <c r="W981" s="28" t="s">
        <v>1463</v>
      </c>
      <c r="X981" s="28" t="s">
        <v>2102</v>
      </c>
      <c r="Y981" s="28" t="s">
        <v>1253</v>
      </c>
      <c r="Z981" s="28">
        <v>20060000000166</v>
      </c>
      <c r="AA981" s="28"/>
      <c r="AB981" s="28" t="s">
        <v>1465</v>
      </c>
      <c r="AC981" s="28" t="s">
        <v>1466</v>
      </c>
    </row>
    <row r="982" spans="1:29" x14ac:dyDescent="0.25">
      <c r="A982" s="61">
        <v>110046184516</v>
      </c>
      <c r="B982" s="28">
        <v>2020</v>
      </c>
      <c r="C982" s="68">
        <f t="shared" si="15"/>
        <v>43831</v>
      </c>
      <c r="D982" s="28" t="s">
        <v>1285</v>
      </c>
      <c r="E982" s="28" t="s">
        <v>2101</v>
      </c>
      <c r="F982" s="28" t="s">
        <v>1286</v>
      </c>
      <c r="G982" s="28" t="s">
        <v>1171</v>
      </c>
      <c r="H982" s="28">
        <v>96818</v>
      </c>
      <c r="I982" s="28">
        <v>21.352499999999999</v>
      </c>
      <c r="J982" s="28">
        <v>-157.95813899999999</v>
      </c>
      <c r="L982" s="61">
        <v>110046184516</v>
      </c>
      <c r="M982" s="28" t="s">
        <v>265</v>
      </c>
      <c r="N982" s="28">
        <v>3731</v>
      </c>
      <c r="O982" s="28" t="str">
        <f>IFERROR(VLOOKUP(N982, 'SIC &amp; NAICS Codes'!A:B, 2, FALSE), "")</f>
        <v>Ship Building and Repairing (except repairs in floating drydocks)</v>
      </c>
      <c r="S982" s="28">
        <v>0.46971849999999998</v>
      </c>
      <c r="T982" s="315">
        <f>_xlfn.MAXIFS('Raw Period DMR Data'!$O:$O,'Raw Period DMR Data'!$A:$A,'Raw Annual DMR Data'!B982,'Raw Period DMR Data'!$C:$C,X982)/S982</f>
        <v>0</v>
      </c>
      <c r="U982" s="28" t="str">
        <f>+IF(COUNTIFS('Raw Period DMR Data'!$A:$A,B982, 'Raw Period DMR Data'!C:C,'Raw Annual DMR Data'!X982, 'Raw Period DMR Data'!M:M, "&gt;0")&gt;0,_xlfn.MAXIFS('Raw Period DMR Data'!M:M,'Raw Period DMR Data'!$A:$A,'Raw Annual DMR Data'!B982,'Raw Period DMR Data'!C:C,'Raw Annual DMR Data'!X982), "N/A - Period DMR Data Not Available")</f>
        <v>N/A - Period DMR Data Not Available</v>
      </c>
      <c r="V982" s="28" t="str" cm="1">
        <f t="array" ref="V982">IFERROR(INDEX('Raw Period DMR Data'!N:N,MATCH(1,(B982='Raw Period DMR Data'!$A:$A)*(U982='Raw Period DMR Data'!M:M)*(X982='Raw Period DMR Data'!C:C),0),1), "N/A")</f>
        <v>N/A</v>
      </c>
      <c r="W982" s="28" t="s">
        <v>1463</v>
      </c>
      <c r="X982" s="28" t="s">
        <v>2102</v>
      </c>
      <c r="Y982" s="28" t="s">
        <v>1253</v>
      </c>
      <c r="Z982" s="28">
        <v>20060000000166</v>
      </c>
      <c r="AA982" s="28"/>
      <c r="AB982" s="28" t="s">
        <v>1465</v>
      </c>
      <c r="AC982" s="28" t="s">
        <v>1466</v>
      </c>
    </row>
    <row r="983" spans="1:29" x14ac:dyDescent="0.25">
      <c r="A983" s="61">
        <v>110070217974</v>
      </c>
      <c r="B983" s="28">
        <v>2017</v>
      </c>
      <c r="C983" s="68">
        <f t="shared" si="15"/>
        <v>42736</v>
      </c>
      <c r="D983" s="28" t="s">
        <v>180</v>
      </c>
      <c r="E983" s="28" t="s">
        <v>596</v>
      </c>
      <c r="F983" s="28" t="s">
        <v>597</v>
      </c>
      <c r="G983" s="28" t="s">
        <v>338</v>
      </c>
      <c r="H983" s="28">
        <v>8844</v>
      </c>
      <c r="I983" s="28">
        <v>40.52516</v>
      </c>
      <c r="J983" s="28">
        <v>-74.601039999999998</v>
      </c>
      <c r="L983" s="61">
        <v>110070217974</v>
      </c>
      <c r="M983" s="28" t="s">
        <v>254</v>
      </c>
      <c r="N983" s="28">
        <v>2851</v>
      </c>
      <c r="O983" s="28" t="str">
        <f>IFERROR(VLOOKUP(N983, 'SIC &amp; NAICS Codes'!A:B, 2, FALSE), "")</f>
        <v>Paints, Varnishes, Lacquers, Enamels and Allied Products</v>
      </c>
      <c r="S983" s="28">
        <v>6.9758790103636298E-4</v>
      </c>
      <c r="T983" s="315">
        <f>_xlfn.MAXIFS('Raw Period DMR Data'!$O:$O,'Raw Period DMR Data'!$A:$A,'Raw Annual DMR Data'!B983,'Raw Period DMR Data'!$C:$C,X983)/S983</f>
        <v>0</v>
      </c>
      <c r="U983" s="28" t="str">
        <f>+IF(COUNTIFS('Raw Period DMR Data'!$A:$A,B983, 'Raw Period DMR Data'!C:C,'Raw Annual DMR Data'!X983, 'Raw Period DMR Data'!M:M, "&gt;0")&gt;0,_xlfn.MAXIFS('Raw Period DMR Data'!M:M,'Raw Period DMR Data'!$A:$A,'Raw Annual DMR Data'!B983,'Raw Period DMR Data'!C:C,'Raw Annual DMR Data'!X983), "N/A - Period DMR Data Not Available")</f>
        <v>N/A - Period DMR Data Not Available</v>
      </c>
      <c r="V983" s="28" t="str" cm="1">
        <f t="array" ref="V983">IFERROR(INDEX('Raw Period DMR Data'!N:N,MATCH(1,(B983='Raw Period DMR Data'!$A:$A)*(U983='Raw Period DMR Data'!M:M)*(X983='Raw Period DMR Data'!C:C),0),1), "N/A")</f>
        <v>N/A</v>
      </c>
      <c r="W983" s="28" t="s">
        <v>1463</v>
      </c>
      <c r="X983" s="28" t="s">
        <v>915</v>
      </c>
      <c r="Y983" s="28" t="s">
        <v>916</v>
      </c>
      <c r="Z983" s="61">
        <v>2030105000369</v>
      </c>
      <c r="AA983" s="28"/>
    </row>
    <row r="984" spans="1:29" x14ac:dyDescent="0.25">
      <c r="A984" s="61">
        <v>110070217974</v>
      </c>
      <c r="B984" s="28">
        <v>2018</v>
      </c>
      <c r="C984" s="68">
        <f t="shared" si="15"/>
        <v>43101</v>
      </c>
      <c r="D984" s="28" t="s">
        <v>180</v>
      </c>
      <c r="E984" s="28" t="s">
        <v>596</v>
      </c>
      <c r="F984" s="28" t="s">
        <v>597</v>
      </c>
      <c r="G984" s="28" t="s">
        <v>338</v>
      </c>
      <c r="H984" s="28">
        <v>8844</v>
      </c>
      <c r="I984" s="28">
        <v>40.52516</v>
      </c>
      <c r="J984" s="28">
        <v>-74.601039999999998</v>
      </c>
      <c r="L984" s="61">
        <v>110070217974</v>
      </c>
      <c r="M984" s="28" t="s">
        <v>254</v>
      </c>
      <c r="N984" s="28">
        <v>2851</v>
      </c>
      <c r="O984" s="28" t="str">
        <f>IFERROR(VLOOKUP(N984, 'SIC &amp; NAICS Codes'!A:B, 2, FALSE), "")</f>
        <v>Paints, Varnishes, Lacquers, Enamels and Allied Products</v>
      </c>
      <c r="S984" s="28">
        <v>2.4142252327000002E-3</v>
      </c>
      <c r="T984" s="315">
        <f>_xlfn.MAXIFS('Raw Period DMR Data'!$O:$O,'Raw Period DMR Data'!$A:$A,'Raw Annual DMR Data'!B984,'Raw Period DMR Data'!$C:$C,X984)/S984</f>
        <v>0</v>
      </c>
      <c r="U984" s="28" t="str">
        <f>+IF(COUNTIFS('Raw Period DMR Data'!$A:$A,B984, 'Raw Period DMR Data'!C:C,'Raw Annual DMR Data'!X984, 'Raw Period DMR Data'!M:M, "&gt;0")&gt;0,_xlfn.MAXIFS('Raw Period DMR Data'!M:M,'Raw Period DMR Data'!$A:$A,'Raw Annual DMR Data'!B984,'Raw Period DMR Data'!C:C,'Raw Annual DMR Data'!X984), "N/A - Period DMR Data Not Available")</f>
        <v>N/A - Period DMR Data Not Available</v>
      </c>
      <c r="V984" s="28" t="str" cm="1">
        <f t="array" ref="V984">IFERROR(INDEX('Raw Period DMR Data'!N:N,MATCH(1,(B984='Raw Period DMR Data'!$A:$A)*(U984='Raw Period DMR Data'!M:M)*(X984='Raw Period DMR Data'!C:C),0),1), "N/A")</f>
        <v>N/A</v>
      </c>
      <c r="W984" s="28" t="s">
        <v>1463</v>
      </c>
      <c r="X984" s="28" t="s">
        <v>915</v>
      </c>
      <c r="Y984" s="28" t="s">
        <v>916</v>
      </c>
      <c r="Z984" s="61">
        <v>2030105000369</v>
      </c>
    </row>
    <row r="985" spans="1:29" x14ac:dyDescent="0.25">
      <c r="A985" s="61">
        <v>110070217974</v>
      </c>
      <c r="B985" s="28">
        <v>2016</v>
      </c>
      <c r="C985" s="68">
        <f t="shared" si="15"/>
        <v>42370</v>
      </c>
      <c r="D985" s="28" t="s">
        <v>180</v>
      </c>
      <c r="E985" s="28" t="s">
        <v>596</v>
      </c>
      <c r="F985" s="28" t="s">
        <v>597</v>
      </c>
      <c r="G985" s="28" t="s">
        <v>338</v>
      </c>
      <c r="H985" s="28">
        <v>8844</v>
      </c>
      <c r="I985" s="28">
        <v>40.52516</v>
      </c>
      <c r="J985" s="28">
        <v>-74.601039999999998</v>
      </c>
      <c r="L985" s="61">
        <v>110070217974</v>
      </c>
      <c r="M985" s="28" t="s">
        <v>254</v>
      </c>
      <c r="N985" s="28">
        <v>2851</v>
      </c>
      <c r="O985" s="28" t="str">
        <f>IFERROR(VLOOKUP(N985, 'SIC &amp; NAICS Codes'!A:B, 2, FALSE), "")</f>
        <v>Paints, Varnishes, Lacquers, Enamels and Allied Products</v>
      </c>
      <c r="S985" s="28">
        <v>4.9677557249999996E-4</v>
      </c>
      <c r="T985" s="315">
        <f>_xlfn.MAXIFS('Raw Period DMR Data'!$O:$O,'Raw Period DMR Data'!$A:$A,'Raw Annual DMR Data'!B985,'Raw Period DMR Data'!$C:$C,X985)/S985</f>
        <v>0</v>
      </c>
      <c r="U985" s="28" t="str">
        <f>+IF(COUNTIFS('Raw Period DMR Data'!$A:$A,B985, 'Raw Period DMR Data'!C:C,'Raw Annual DMR Data'!X985, 'Raw Period DMR Data'!M:M, "&gt;0")&gt;0,_xlfn.MAXIFS('Raw Period DMR Data'!M:M,'Raw Period DMR Data'!$A:$A,'Raw Annual DMR Data'!B985,'Raw Period DMR Data'!C:C,'Raw Annual DMR Data'!X985), "N/A - Period DMR Data Not Available")</f>
        <v>N/A - Period DMR Data Not Available</v>
      </c>
      <c r="V985" s="28" t="str" cm="1">
        <f t="array" ref="V985">IFERROR(INDEX('Raw Period DMR Data'!N:N,MATCH(1,(B985='Raw Period DMR Data'!$A:$A)*(U985='Raw Period DMR Data'!M:M)*(X985='Raw Period DMR Data'!C:C),0),1), "N/A")</f>
        <v>N/A</v>
      </c>
      <c r="W985" s="28" t="s">
        <v>1463</v>
      </c>
      <c r="X985" s="28" t="s">
        <v>915</v>
      </c>
      <c r="Y985" s="28" t="s">
        <v>916</v>
      </c>
      <c r="Z985" s="28">
        <v>2030105000369</v>
      </c>
      <c r="AA985" s="28"/>
      <c r="AB985" s="28" t="s">
        <v>1465</v>
      </c>
      <c r="AC985" s="28" t="s">
        <v>1466</v>
      </c>
    </row>
    <row r="986" spans="1:29" x14ac:dyDescent="0.25">
      <c r="A986" s="61">
        <v>110070217974</v>
      </c>
      <c r="B986" s="28">
        <v>2017</v>
      </c>
      <c r="C986" s="68">
        <f t="shared" si="15"/>
        <v>42736</v>
      </c>
      <c r="D986" s="28" t="s">
        <v>180</v>
      </c>
      <c r="E986" s="28" t="s">
        <v>596</v>
      </c>
      <c r="F986" s="28" t="s">
        <v>597</v>
      </c>
      <c r="G986" s="28" t="s">
        <v>338</v>
      </c>
      <c r="H986" s="28">
        <v>8844</v>
      </c>
      <c r="I986" s="28">
        <v>40.52516</v>
      </c>
      <c r="J986" s="28">
        <v>-74.601039999999998</v>
      </c>
      <c r="L986" s="61">
        <v>110070217974</v>
      </c>
      <c r="M986" s="28" t="s">
        <v>254</v>
      </c>
      <c r="N986" s="28">
        <v>2851</v>
      </c>
      <c r="O986" s="28" t="str">
        <f>IFERROR(VLOOKUP(N986, 'SIC &amp; NAICS Codes'!A:B, 2, FALSE), "")</f>
        <v>Paints, Varnishes, Lacquers, Enamels and Allied Products</v>
      </c>
      <c r="S986" s="28">
        <v>9.6051395830909004E-4</v>
      </c>
      <c r="T986" s="315">
        <f>_xlfn.MAXIFS('Raw Period DMR Data'!$O:$O,'Raw Period DMR Data'!$A:$A,'Raw Annual DMR Data'!B986,'Raw Period DMR Data'!$C:$C,X986)/S986</f>
        <v>0</v>
      </c>
      <c r="U986" s="28" t="str">
        <f>+IF(COUNTIFS('Raw Period DMR Data'!$A:$A,B986, 'Raw Period DMR Data'!C:C,'Raw Annual DMR Data'!X986, 'Raw Period DMR Data'!M:M, "&gt;0")&gt;0,_xlfn.MAXIFS('Raw Period DMR Data'!M:M,'Raw Period DMR Data'!$A:$A,'Raw Annual DMR Data'!B986,'Raw Period DMR Data'!C:C,'Raw Annual DMR Data'!X986), "N/A - Period DMR Data Not Available")</f>
        <v>N/A - Period DMR Data Not Available</v>
      </c>
      <c r="V986" s="28" t="str" cm="1">
        <f t="array" ref="V986">IFERROR(INDEX('Raw Period DMR Data'!N:N,MATCH(1,(B986='Raw Period DMR Data'!$A:$A)*(U986='Raw Period DMR Data'!M:M)*(X986='Raw Period DMR Data'!C:C),0),1), "N/A")</f>
        <v>N/A</v>
      </c>
      <c r="W986" s="28" t="s">
        <v>1463</v>
      </c>
      <c r="X986" s="28" t="s">
        <v>915</v>
      </c>
      <c r="Y986" s="28" t="s">
        <v>916</v>
      </c>
      <c r="Z986" s="28">
        <v>2030105000369</v>
      </c>
      <c r="AA986" s="28"/>
      <c r="AB986" s="28" t="s">
        <v>1465</v>
      </c>
      <c r="AC986" s="28" t="s">
        <v>1466</v>
      </c>
    </row>
    <row r="987" spans="1:29" x14ac:dyDescent="0.25">
      <c r="A987" s="61">
        <v>110070217974</v>
      </c>
      <c r="B987" s="28">
        <v>2019</v>
      </c>
      <c r="C987" s="68">
        <f t="shared" si="15"/>
        <v>43466</v>
      </c>
      <c r="D987" s="28" t="s">
        <v>180</v>
      </c>
      <c r="E987" s="28" t="s">
        <v>596</v>
      </c>
      <c r="F987" s="28" t="s">
        <v>597</v>
      </c>
      <c r="G987" s="28" t="s">
        <v>338</v>
      </c>
      <c r="H987" s="28">
        <v>8844</v>
      </c>
      <c r="I987" s="28">
        <v>40.52516</v>
      </c>
      <c r="J987" s="28">
        <v>-74.601039999999998</v>
      </c>
      <c r="L987" s="61">
        <v>110070217974</v>
      </c>
      <c r="M987" s="28" t="s">
        <v>254</v>
      </c>
      <c r="N987" s="28">
        <v>2851</v>
      </c>
      <c r="O987" s="28" t="str">
        <f>IFERROR(VLOOKUP(N987, 'SIC &amp; NAICS Codes'!A:B, 2, FALSE), "")</f>
        <v>Paints, Varnishes, Lacquers, Enamels and Allied Products</v>
      </c>
      <c r="S987" s="28">
        <v>9.2434741619999998E-4</v>
      </c>
      <c r="T987" s="315">
        <f>_xlfn.MAXIFS('Raw Period DMR Data'!$O:$O,'Raw Period DMR Data'!$A:$A,'Raw Annual DMR Data'!B987,'Raw Period DMR Data'!$C:$C,X987)/S987</f>
        <v>0</v>
      </c>
      <c r="U987" s="28" t="str">
        <f>+IF(COUNTIFS('Raw Period DMR Data'!$A:$A,B987, 'Raw Period DMR Data'!C:C,'Raw Annual DMR Data'!X987, 'Raw Period DMR Data'!M:M, "&gt;0")&gt;0,_xlfn.MAXIFS('Raw Period DMR Data'!M:M,'Raw Period DMR Data'!$A:$A,'Raw Annual DMR Data'!B987,'Raw Period DMR Data'!C:C,'Raw Annual DMR Data'!X987), "N/A - Period DMR Data Not Available")</f>
        <v>N/A - Period DMR Data Not Available</v>
      </c>
      <c r="V987" s="28" t="str" cm="1">
        <f t="array" ref="V987">IFERROR(INDEX('Raw Period DMR Data'!N:N,MATCH(1,(B987='Raw Period DMR Data'!$A:$A)*(U987='Raw Period DMR Data'!M:M)*(X987='Raw Period DMR Data'!C:C),0),1), "N/A")</f>
        <v>N/A</v>
      </c>
      <c r="W987" s="28" t="s">
        <v>1463</v>
      </c>
      <c r="X987" s="28" t="s">
        <v>915</v>
      </c>
      <c r="Y987" s="28" t="s">
        <v>916</v>
      </c>
      <c r="Z987" s="28">
        <v>2030105000369</v>
      </c>
      <c r="AA987" s="28"/>
      <c r="AB987" s="28" t="s">
        <v>1465</v>
      </c>
      <c r="AC987" s="28" t="s">
        <v>1466</v>
      </c>
    </row>
    <row r="988" spans="1:29" x14ac:dyDescent="0.25">
      <c r="A988" s="61">
        <v>110070217974</v>
      </c>
      <c r="B988" s="28">
        <v>2020</v>
      </c>
      <c r="C988" s="68">
        <f t="shared" si="15"/>
        <v>43831</v>
      </c>
      <c r="D988" s="28" t="s">
        <v>180</v>
      </c>
      <c r="E988" s="28" t="s">
        <v>596</v>
      </c>
      <c r="F988" s="28" t="s">
        <v>597</v>
      </c>
      <c r="G988" s="28" t="s">
        <v>338</v>
      </c>
      <c r="H988" s="28">
        <v>8844</v>
      </c>
      <c r="I988" s="28">
        <v>40.52516</v>
      </c>
      <c r="J988" s="28">
        <v>-74.601039999999998</v>
      </c>
      <c r="L988" s="61">
        <v>110070217974</v>
      </c>
      <c r="M988" s="28" t="s">
        <v>254</v>
      </c>
      <c r="N988" s="28">
        <v>2851</v>
      </c>
      <c r="O988" s="28" t="str">
        <f>IFERROR(VLOOKUP(N988, 'SIC &amp; NAICS Codes'!A:B, 2, FALSE), "")</f>
        <v>Paints, Varnishes, Lacquers, Enamels and Allied Products</v>
      </c>
      <c r="S988" s="28">
        <v>9.6453594059999999E-4</v>
      </c>
      <c r="T988" s="315">
        <f>_xlfn.MAXIFS('Raw Period DMR Data'!$O:$O,'Raw Period DMR Data'!$A:$A,'Raw Annual DMR Data'!B988,'Raw Period DMR Data'!$C:$C,X988)/S988</f>
        <v>0</v>
      </c>
      <c r="U988" s="28" t="str">
        <f>+IF(COUNTIFS('Raw Period DMR Data'!$A:$A,B988, 'Raw Period DMR Data'!C:C,'Raw Annual DMR Data'!X988, 'Raw Period DMR Data'!M:M, "&gt;0")&gt;0,_xlfn.MAXIFS('Raw Period DMR Data'!M:M,'Raw Period DMR Data'!$A:$A,'Raw Annual DMR Data'!B988,'Raw Period DMR Data'!C:C,'Raw Annual DMR Data'!X988), "N/A - Period DMR Data Not Available")</f>
        <v>N/A - Period DMR Data Not Available</v>
      </c>
      <c r="V988" s="28" t="str" cm="1">
        <f t="array" ref="V988">IFERROR(INDEX('Raw Period DMR Data'!N:N,MATCH(1,(B988='Raw Period DMR Data'!$A:$A)*(U988='Raw Period DMR Data'!M:M)*(X988='Raw Period DMR Data'!C:C),0),1), "N/A")</f>
        <v>N/A</v>
      </c>
      <c r="W988" s="28" t="s">
        <v>1463</v>
      </c>
      <c r="X988" s="28" t="s">
        <v>915</v>
      </c>
      <c r="Y988" s="28" t="s">
        <v>916</v>
      </c>
      <c r="Z988" s="28">
        <v>2030105000369</v>
      </c>
      <c r="AA988" s="28"/>
      <c r="AB988" s="28" t="s">
        <v>1465</v>
      </c>
      <c r="AC988" s="28" t="s">
        <v>1466</v>
      </c>
    </row>
    <row r="989" spans="1:29" x14ac:dyDescent="0.25">
      <c r="A989" s="61">
        <v>110010062644</v>
      </c>
      <c r="B989" s="28">
        <v>2015</v>
      </c>
      <c r="C989" s="68">
        <f t="shared" si="15"/>
        <v>42005</v>
      </c>
      <c r="D989" s="28" t="s">
        <v>1287</v>
      </c>
      <c r="E989" s="28" t="s">
        <v>2105</v>
      </c>
      <c r="F989" s="28" t="s">
        <v>1205</v>
      </c>
      <c r="G989" s="28" t="s">
        <v>374</v>
      </c>
      <c r="H989" s="28">
        <v>86401</v>
      </c>
      <c r="I989" s="28">
        <v>35.16666</v>
      </c>
      <c r="J989" s="28">
        <v>-113.78333000000001</v>
      </c>
      <c r="L989" s="61">
        <v>110010062644</v>
      </c>
      <c r="M989" s="28" t="s">
        <v>265</v>
      </c>
      <c r="N989" s="28">
        <v>5541</v>
      </c>
      <c r="O989" s="28" t="str">
        <f>IFERROR(VLOOKUP(N989, 'SIC &amp; NAICS Codes'!A:B, 2, FALSE), "")</f>
        <v>Gasoline Service Station (gasoline station with convenience store)</v>
      </c>
      <c r="S989" s="28">
        <v>9.4634462500000002E-3</v>
      </c>
      <c r="T989" s="315">
        <f>_xlfn.MAXIFS('Raw Period DMR Data'!$O:$O,'Raw Period DMR Data'!$A:$A,'Raw Annual DMR Data'!B989,'Raw Period DMR Data'!$C:$C,X989)/S989</f>
        <v>0</v>
      </c>
      <c r="U989" s="28" t="str">
        <f>+IF(COUNTIFS('Raw Period DMR Data'!$A:$A,B989, 'Raw Period DMR Data'!C:C,'Raw Annual DMR Data'!X989, 'Raw Period DMR Data'!M:M, "&gt;0")&gt;0,_xlfn.MAXIFS('Raw Period DMR Data'!M:M,'Raw Period DMR Data'!$A:$A,'Raw Annual DMR Data'!B989,'Raw Period DMR Data'!C:C,'Raw Annual DMR Data'!X989), "N/A - Period DMR Data Not Available")</f>
        <v>N/A - Period DMR Data Not Available</v>
      </c>
      <c r="V989" s="28" t="str" cm="1">
        <f t="array" ref="V989">IFERROR(INDEX('Raw Period DMR Data'!N:N,MATCH(1,(B989='Raw Period DMR Data'!$A:$A)*(U989='Raw Period DMR Data'!M:M)*(X989='Raw Period DMR Data'!C:C),0),1), "N/A")</f>
        <v>N/A</v>
      </c>
      <c r="W989" s="28" t="s">
        <v>1463</v>
      </c>
      <c r="X989" s="28" t="s">
        <v>2106</v>
      </c>
      <c r="Z989" s="28">
        <v>15060106000200</v>
      </c>
      <c r="AA989" s="28"/>
      <c r="AB989" s="28" t="s">
        <v>1465</v>
      </c>
      <c r="AC989" s="28" t="s">
        <v>1466</v>
      </c>
    </row>
    <row r="990" spans="1:29" x14ac:dyDescent="0.25">
      <c r="A990" s="61">
        <v>110000748273</v>
      </c>
      <c r="B990" s="28">
        <v>2017</v>
      </c>
      <c r="C990" s="68">
        <f t="shared" si="15"/>
        <v>42736</v>
      </c>
      <c r="D990" s="28" t="s">
        <v>181</v>
      </c>
      <c r="E990" s="28" t="s">
        <v>599</v>
      </c>
      <c r="F990" s="28" t="s">
        <v>600</v>
      </c>
      <c r="G990" s="28" t="s">
        <v>601</v>
      </c>
      <c r="H990" s="28">
        <v>6473</v>
      </c>
      <c r="I990" s="28">
        <v>41.375383999999997</v>
      </c>
      <c r="J990" s="28">
        <v>-72.878625999999997</v>
      </c>
      <c r="L990" s="61">
        <v>110000748273</v>
      </c>
      <c r="M990" s="28" t="s">
        <v>251</v>
      </c>
      <c r="N990" s="28">
        <v>2869</v>
      </c>
      <c r="O990" s="28" t="str">
        <f>IFERROR(VLOOKUP(N990, 'SIC &amp; NAICS Codes'!A:B, 2, FALSE), "")</f>
        <v>Industrial Organic Chemicals, NEC (aliphatics)</v>
      </c>
      <c r="S990" s="28">
        <v>0.30343887014999898</v>
      </c>
      <c r="T990" s="315">
        <f>_xlfn.MAXIFS('Raw Period DMR Data'!$O:$O,'Raw Period DMR Data'!$A:$A,'Raw Annual DMR Data'!B990,'Raw Period DMR Data'!$C:$C,X990)/S990</f>
        <v>0</v>
      </c>
      <c r="U990" s="28" t="str">
        <f>+IF(COUNTIFS('Raw Period DMR Data'!$A:$A,B990, 'Raw Period DMR Data'!C:C,'Raw Annual DMR Data'!X990, 'Raw Period DMR Data'!M:M, "&gt;0")&gt;0,_xlfn.MAXIFS('Raw Period DMR Data'!M:M,'Raw Period DMR Data'!$A:$A,'Raw Annual DMR Data'!B990,'Raw Period DMR Data'!C:C,'Raw Annual DMR Data'!X990), "N/A - Period DMR Data Not Available")</f>
        <v>N/A - Period DMR Data Not Available</v>
      </c>
      <c r="V990" s="28" t="str" cm="1">
        <f t="array" ref="V990">IFERROR(INDEX('Raw Period DMR Data'!N:N,MATCH(1,(B990='Raw Period DMR Data'!$A:$A)*(U990='Raw Period DMR Data'!M:M)*(X990='Raw Period DMR Data'!C:C),0),1), "N/A")</f>
        <v>N/A</v>
      </c>
      <c r="W990" s="28" t="s">
        <v>1463</v>
      </c>
      <c r="X990" s="28" t="s">
        <v>917</v>
      </c>
      <c r="Y990" s="28" t="s">
        <v>918</v>
      </c>
      <c r="Z990" s="61">
        <v>1100004000144</v>
      </c>
      <c r="AA990" s="28"/>
    </row>
    <row r="991" spans="1:29" x14ac:dyDescent="0.25">
      <c r="A991" s="61">
        <v>110000540610</v>
      </c>
      <c r="B991" s="28">
        <v>2015</v>
      </c>
      <c r="C991" s="68">
        <f t="shared" si="15"/>
        <v>42005</v>
      </c>
      <c r="D991" s="28" t="s">
        <v>1288</v>
      </c>
      <c r="E991" s="28" t="s">
        <v>2107</v>
      </c>
      <c r="F991" s="28" t="s">
        <v>966</v>
      </c>
      <c r="G991" s="28" t="s">
        <v>491</v>
      </c>
      <c r="H991" s="28" t="s">
        <v>2108</v>
      </c>
      <c r="I991" s="28">
        <v>39.901820000000001</v>
      </c>
      <c r="J991" s="28">
        <v>-75.144549999999995</v>
      </c>
      <c r="L991" s="61">
        <v>110000540610</v>
      </c>
      <c r="M991" s="28" t="s">
        <v>263</v>
      </c>
      <c r="N991" s="28">
        <v>4952</v>
      </c>
      <c r="O991" s="28" t="str">
        <f>IFERROR(VLOOKUP(N991, 'SIC &amp; NAICS Codes'!A:B, 2, FALSE), "")</f>
        <v>Sewerage Systems</v>
      </c>
      <c r="S991" s="28">
        <v>265.36635000000001</v>
      </c>
      <c r="T991" s="315">
        <f>_xlfn.MAXIFS('Raw Period DMR Data'!$O:$O,'Raw Period DMR Data'!$A:$A,'Raw Annual DMR Data'!B991,'Raw Period DMR Data'!$C:$C,X991)/S991</f>
        <v>0</v>
      </c>
      <c r="U991" s="28" t="str">
        <f>+IF(COUNTIFS('Raw Period DMR Data'!$A:$A,B991, 'Raw Period DMR Data'!C:C,'Raw Annual DMR Data'!X991, 'Raw Period DMR Data'!M:M, "&gt;0")&gt;0,_xlfn.MAXIFS('Raw Period DMR Data'!M:M,'Raw Period DMR Data'!$A:$A,'Raw Annual DMR Data'!B991,'Raw Period DMR Data'!C:C,'Raw Annual DMR Data'!X991), "N/A - Period DMR Data Not Available")</f>
        <v>N/A - Period DMR Data Not Available</v>
      </c>
      <c r="V991" s="28" t="str" cm="1">
        <f t="array" ref="V991">IFERROR(INDEX('Raw Period DMR Data'!N:N,MATCH(1,(B991='Raw Period DMR Data'!$A:$A)*(U991='Raw Period DMR Data'!M:M)*(X991='Raw Period DMR Data'!C:C),0),1), "N/A")</f>
        <v>N/A</v>
      </c>
      <c r="W991" s="28" t="s">
        <v>1463</v>
      </c>
      <c r="X991" s="28" t="s">
        <v>2109</v>
      </c>
      <c r="Y991" s="28" t="s">
        <v>783</v>
      </c>
      <c r="Z991" s="28">
        <v>2040202000077</v>
      </c>
      <c r="AA991" s="28"/>
      <c r="AB991" s="28" t="s">
        <v>1465</v>
      </c>
      <c r="AC991" s="28" t="s">
        <v>263</v>
      </c>
    </row>
    <row r="992" spans="1:29" x14ac:dyDescent="0.25">
      <c r="A992" s="61">
        <v>110000540610</v>
      </c>
      <c r="B992" s="28">
        <v>2016</v>
      </c>
      <c r="C992" s="68">
        <f t="shared" si="15"/>
        <v>42370</v>
      </c>
      <c r="D992" s="28" t="s">
        <v>1288</v>
      </c>
      <c r="E992" s="28" t="s">
        <v>2107</v>
      </c>
      <c r="F992" s="28" t="s">
        <v>966</v>
      </c>
      <c r="G992" s="28" t="s">
        <v>491</v>
      </c>
      <c r="H992" s="28" t="s">
        <v>2108</v>
      </c>
      <c r="I992" s="28">
        <v>39.901820000000001</v>
      </c>
      <c r="J992" s="28">
        <v>-75.144549999999995</v>
      </c>
      <c r="L992" s="61">
        <v>110000540610</v>
      </c>
      <c r="M992" s="28" t="s">
        <v>263</v>
      </c>
      <c r="N992" s="28">
        <v>4952</v>
      </c>
      <c r="O992" s="28" t="str">
        <f>IFERROR(VLOOKUP(N992, 'SIC &amp; NAICS Codes'!A:B, 2, FALSE), "")</f>
        <v>Sewerage Systems</v>
      </c>
      <c r="S992" s="28">
        <v>99.44046625</v>
      </c>
      <c r="T992" s="315">
        <f>_xlfn.MAXIFS('Raw Period DMR Data'!$O:$O,'Raw Period DMR Data'!$A:$A,'Raw Annual DMR Data'!B992,'Raw Period DMR Data'!$C:$C,X992)/S992</f>
        <v>0</v>
      </c>
      <c r="U992" s="28" t="str">
        <f>+IF(COUNTIFS('Raw Period DMR Data'!$A:$A,B992, 'Raw Period DMR Data'!C:C,'Raw Annual DMR Data'!X992, 'Raw Period DMR Data'!M:M, "&gt;0")&gt;0,_xlfn.MAXIFS('Raw Period DMR Data'!M:M,'Raw Period DMR Data'!$A:$A,'Raw Annual DMR Data'!B992,'Raw Period DMR Data'!C:C,'Raw Annual DMR Data'!X992), "N/A - Period DMR Data Not Available")</f>
        <v>N/A - Period DMR Data Not Available</v>
      </c>
      <c r="V992" s="28" t="str" cm="1">
        <f t="array" ref="V992">IFERROR(INDEX('Raw Period DMR Data'!N:N,MATCH(1,(B992='Raw Period DMR Data'!$A:$A)*(U992='Raw Period DMR Data'!M:M)*(X992='Raw Period DMR Data'!C:C),0),1), "N/A")</f>
        <v>N/A</v>
      </c>
      <c r="W992" s="28" t="s">
        <v>1463</v>
      </c>
      <c r="X992" s="28" t="s">
        <v>2109</v>
      </c>
      <c r="Y992" s="28" t="s">
        <v>783</v>
      </c>
      <c r="Z992" s="28">
        <v>2040202000077</v>
      </c>
      <c r="AA992" s="28"/>
      <c r="AB992" s="28" t="s">
        <v>1465</v>
      </c>
      <c r="AC992" s="28" t="s">
        <v>263</v>
      </c>
    </row>
    <row r="993" spans="1:29" x14ac:dyDescent="0.25">
      <c r="A993" s="61">
        <v>110000540610</v>
      </c>
      <c r="B993" s="28">
        <v>2017</v>
      </c>
      <c r="C993" s="68">
        <f t="shared" si="15"/>
        <v>42736</v>
      </c>
      <c r="D993" s="28" t="s">
        <v>1288</v>
      </c>
      <c r="E993" s="28" t="s">
        <v>2107</v>
      </c>
      <c r="F993" s="28" t="s">
        <v>966</v>
      </c>
      <c r="G993" s="28" t="s">
        <v>491</v>
      </c>
      <c r="H993" s="28" t="s">
        <v>2108</v>
      </c>
      <c r="I993" s="28">
        <v>39.901820000000001</v>
      </c>
      <c r="J993" s="28">
        <v>-75.144549999999995</v>
      </c>
      <c r="L993" s="61">
        <v>110000540610</v>
      </c>
      <c r="M993" s="28" t="s">
        <v>263</v>
      </c>
      <c r="N993" s="28">
        <v>4952</v>
      </c>
      <c r="O993" s="28" t="str">
        <f>IFERROR(VLOOKUP(N993, 'SIC &amp; NAICS Codes'!A:B, 2, FALSE), "")</f>
        <v>Sewerage Systems</v>
      </c>
      <c r="S993" s="28">
        <v>82.494074999999995</v>
      </c>
      <c r="T993" s="315">
        <f>_xlfn.MAXIFS('Raw Period DMR Data'!$O:$O,'Raw Period DMR Data'!$A:$A,'Raw Annual DMR Data'!B993,'Raw Period DMR Data'!$C:$C,X993)/S993</f>
        <v>0</v>
      </c>
      <c r="U993" s="28" t="str">
        <f>+IF(COUNTIFS('Raw Period DMR Data'!$A:$A,B993, 'Raw Period DMR Data'!C:C,'Raw Annual DMR Data'!X993, 'Raw Period DMR Data'!M:M, "&gt;0")&gt;0,_xlfn.MAXIFS('Raw Period DMR Data'!M:M,'Raw Period DMR Data'!$A:$A,'Raw Annual DMR Data'!B993,'Raw Period DMR Data'!C:C,'Raw Annual DMR Data'!X993), "N/A - Period DMR Data Not Available")</f>
        <v>N/A - Period DMR Data Not Available</v>
      </c>
      <c r="V993" s="28" t="str" cm="1">
        <f t="array" ref="V993">IFERROR(INDEX('Raw Period DMR Data'!N:N,MATCH(1,(B993='Raw Period DMR Data'!$A:$A)*(U993='Raw Period DMR Data'!M:M)*(X993='Raw Period DMR Data'!C:C),0),1), "N/A")</f>
        <v>N/A</v>
      </c>
      <c r="W993" s="28" t="s">
        <v>1463</v>
      </c>
      <c r="X993" s="28" t="s">
        <v>2109</v>
      </c>
      <c r="Y993" s="28" t="s">
        <v>783</v>
      </c>
      <c r="Z993" s="28">
        <v>2040202000077</v>
      </c>
      <c r="AA993" s="28"/>
      <c r="AB993" s="28" t="s">
        <v>1465</v>
      </c>
      <c r="AC993" s="28" t="s">
        <v>263</v>
      </c>
    </row>
    <row r="994" spans="1:29" x14ac:dyDescent="0.25">
      <c r="A994" s="61">
        <v>110000540610</v>
      </c>
      <c r="B994" s="28">
        <v>2018</v>
      </c>
      <c r="C994" s="68">
        <f t="shared" si="15"/>
        <v>43101</v>
      </c>
      <c r="D994" s="28" t="s">
        <v>1288</v>
      </c>
      <c r="E994" s="28" t="s">
        <v>2107</v>
      </c>
      <c r="F994" s="28" t="s">
        <v>966</v>
      </c>
      <c r="G994" s="28" t="s">
        <v>491</v>
      </c>
      <c r="H994" s="28" t="s">
        <v>2108</v>
      </c>
      <c r="I994" s="28">
        <v>39.901820000000001</v>
      </c>
      <c r="J994" s="28">
        <v>-75.144549999999995</v>
      </c>
      <c r="L994" s="61">
        <v>110000540610</v>
      </c>
      <c r="M994" s="28" t="s">
        <v>263</v>
      </c>
      <c r="N994" s="28">
        <v>4952</v>
      </c>
      <c r="O994" s="28" t="str">
        <f>IFERROR(VLOOKUP(N994, 'SIC &amp; NAICS Codes'!A:B, 2, FALSE), "")</f>
        <v>Sewerage Systems</v>
      </c>
      <c r="S994" s="28">
        <v>76.746552500000007</v>
      </c>
      <c r="T994" s="315">
        <f>_xlfn.MAXIFS('Raw Period DMR Data'!$O:$O,'Raw Period DMR Data'!$A:$A,'Raw Annual DMR Data'!B994,'Raw Period DMR Data'!$C:$C,X994)/S994</f>
        <v>0</v>
      </c>
      <c r="U994" s="28" t="str">
        <f>+IF(COUNTIFS('Raw Period DMR Data'!$A:$A,B994, 'Raw Period DMR Data'!C:C,'Raw Annual DMR Data'!X994, 'Raw Period DMR Data'!M:M, "&gt;0")&gt;0,_xlfn.MAXIFS('Raw Period DMR Data'!M:M,'Raw Period DMR Data'!$A:$A,'Raw Annual DMR Data'!B994,'Raw Period DMR Data'!C:C,'Raw Annual DMR Data'!X994), "N/A - Period DMR Data Not Available")</f>
        <v>N/A - Period DMR Data Not Available</v>
      </c>
      <c r="V994" s="28" t="str" cm="1">
        <f t="array" ref="V994">IFERROR(INDEX('Raw Period DMR Data'!N:N,MATCH(1,(B994='Raw Period DMR Data'!$A:$A)*(U994='Raw Period DMR Data'!M:M)*(X994='Raw Period DMR Data'!C:C),0),1), "N/A")</f>
        <v>N/A</v>
      </c>
      <c r="W994" s="28" t="s">
        <v>1463</v>
      </c>
      <c r="X994" s="28" t="s">
        <v>2109</v>
      </c>
      <c r="Y994" s="28" t="s">
        <v>783</v>
      </c>
      <c r="Z994" s="302" t="s">
        <v>2110</v>
      </c>
      <c r="AA994" s="28"/>
      <c r="AB994" s="28" t="s">
        <v>1465</v>
      </c>
      <c r="AC994" s="28" t="s">
        <v>263</v>
      </c>
    </row>
    <row r="995" spans="1:29" x14ac:dyDescent="0.25">
      <c r="A995" s="61">
        <v>110000540610</v>
      </c>
      <c r="B995" s="28">
        <v>2019</v>
      </c>
      <c r="C995" s="68">
        <f t="shared" si="15"/>
        <v>43466</v>
      </c>
      <c r="D995" s="28" t="s">
        <v>1288</v>
      </c>
      <c r="E995" s="28" t="s">
        <v>2107</v>
      </c>
      <c r="F995" s="28" t="s">
        <v>966</v>
      </c>
      <c r="G995" s="28" t="s">
        <v>491</v>
      </c>
      <c r="H995" s="28" t="s">
        <v>2108</v>
      </c>
      <c r="I995" s="28">
        <v>39.901820000000001</v>
      </c>
      <c r="J995" s="28">
        <v>-75.144549999999995</v>
      </c>
      <c r="L995" s="61">
        <v>110000540610</v>
      </c>
      <c r="M995" s="28" t="s">
        <v>263</v>
      </c>
      <c r="N995" s="28">
        <v>4952</v>
      </c>
      <c r="O995" s="28" t="str">
        <f>IFERROR(VLOOKUP(N995, 'SIC &amp; NAICS Codes'!A:B, 2, FALSE), "")</f>
        <v>Sewerage Systems</v>
      </c>
      <c r="S995" s="28">
        <v>28.497264999999999</v>
      </c>
      <c r="T995" s="315">
        <f>_xlfn.MAXIFS('Raw Period DMR Data'!$O:$O,'Raw Period DMR Data'!$A:$A,'Raw Annual DMR Data'!B995,'Raw Period DMR Data'!$C:$C,X995)/S995</f>
        <v>0</v>
      </c>
      <c r="U995" s="28" t="str">
        <f>+IF(COUNTIFS('Raw Period DMR Data'!$A:$A,B995, 'Raw Period DMR Data'!C:C,'Raw Annual DMR Data'!X995, 'Raw Period DMR Data'!M:M, "&gt;0")&gt;0,_xlfn.MAXIFS('Raw Period DMR Data'!M:M,'Raw Period DMR Data'!$A:$A,'Raw Annual DMR Data'!B995,'Raw Period DMR Data'!C:C,'Raw Annual DMR Data'!X995), "N/A - Period DMR Data Not Available")</f>
        <v>N/A - Period DMR Data Not Available</v>
      </c>
      <c r="V995" s="28" t="str" cm="1">
        <f t="array" ref="V995">IFERROR(INDEX('Raw Period DMR Data'!N:N,MATCH(1,(B995='Raw Period DMR Data'!$A:$A)*(U995='Raw Period DMR Data'!M:M)*(X995='Raw Period DMR Data'!C:C),0),1), "N/A")</f>
        <v>N/A</v>
      </c>
      <c r="W995" s="28" t="s">
        <v>1463</v>
      </c>
      <c r="X995" s="28" t="s">
        <v>2109</v>
      </c>
      <c r="Y995" s="28" t="s">
        <v>783</v>
      </c>
      <c r="Z995" s="28">
        <v>2040202000077</v>
      </c>
      <c r="AA995" s="28"/>
      <c r="AB995" s="28" t="s">
        <v>1465</v>
      </c>
      <c r="AC995" s="28" t="s">
        <v>263</v>
      </c>
    </row>
    <row r="996" spans="1:29" x14ac:dyDescent="0.25">
      <c r="A996" s="61">
        <v>110000540610</v>
      </c>
      <c r="B996" s="28">
        <v>2020</v>
      </c>
      <c r="C996" s="68">
        <f t="shared" si="15"/>
        <v>43831</v>
      </c>
      <c r="D996" s="28" t="s">
        <v>1288</v>
      </c>
      <c r="E996" s="28" t="s">
        <v>2107</v>
      </c>
      <c r="F996" s="28" t="s">
        <v>966</v>
      </c>
      <c r="G996" s="28" t="s">
        <v>491</v>
      </c>
      <c r="H996" s="28" t="s">
        <v>2108</v>
      </c>
      <c r="I996" s="28">
        <v>39.901820000000001</v>
      </c>
      <c r="J996" s="28">
        <v>-75.144549999999995</v>
      </c>
      <c r="L996" s="61">
        <v>110000540610</v>
      </c>
      <c r="M996" s="28" t="s">
        <v>263</v>
      </c>
      <c r="N996" s="28">
        <v>4952</v>
      </c>
      <c r="O996" s="28" t="str">
        <f>IFERROR(VLOOKUP(N996, 'SIC &amp; NAICS Codes'!A:B, 2, FALSE), "")</f>
        <v>Sewerage Systems</v>
      </c>
      <c r="S996" s="28">
        <v>32.280372499999999</v>
      </c>
      <c r="T996" s="315">
        <f>_xlfn.MAXIFS('Raw Period DMR Data'!$O:$O,'Raw Period DMR Data'!$A:$A,'Raw Annual DMR Data'!B996,'Raw Period DMR Data'!$C:$C,X996)/S996</f>
        <v>0</v>
      </c>
      <c r="U996" s="28" t="str">
        <f>+IF(COUNTIFS('Raw Period DMR Data'!$A:$A,B996, 'Raw Period DMR Data'!C:C,'Raw Annual DMR Data'!X996, 'Raw Period DMR Data'!M:M, "&gt;0")&gt;0,_xlfn.MAXIFS('Raw Period DMR Data'!M:M,'Raw Period DMR Data'!$A:$A,'Raw Annual DMR Data'!B996,'Raw Period DMR Data'!C:C,'Raw Annual DMR Data'!X996), "N/A - Period DMR Data Not Available")</f>
        <v>N/A - Period DMR Data Not Available</v>
      </c>
      <c r="V996" s="28" t="str" cm="1">
        <f t="array" ref="V996">IFERROR(INDEX('Raw Period DMR Data'!N:N,MATCH(1,(B996='Raw Period DMR Data'!$A:$A)*(U996='Raw Period DMR Data'!M:M)*(X996='Raw Period DMR Data'!C:C),0),1), "N/A")</f>
        <v>N/A</v>
      </c>
      <c r="W996" s="28" t="s">
        <v>1463</v>
      </c>
      <c r="X996" s="28" t="s">
        <v>2109</v>
      </c>
      <c r="Y996" s="28" t="s">
        <v>783</v>
      </c>
      <c r="Z996" s="28">
        <v>2040202000077</v>
      </c>
      <c r="AA996" s="28"/>
      <c r="AB996" s="28" t="s">
        <v>1465</v>
      </c>
      <c r="AC996" s="28" t="s">
        <v>263</v>
      </c>
    </row>
    <row r="997" spans="1:29" x14ac:dyDescent="0.25">
      <c r="A997" s="61">
        <v>110000542119</v>
      </c>
      <c r="B997" s="28">
        <v>2015</v>
      </c>
      <c r="C997" s="68">
        <f t="shared" si="15"/>
        <v>42005</v>
      </c>
      <c r="D997" s="28" t="s">
        <v>1289</v>
      </c>
      <c r="E997" s="28" t="s">
        <v>2111</v>
      </c>
      <c r="F997" s="28" t="s">
        <v>966</v>
      </c>
      <c r="G997" s="28" t="s">
        <v>491</v>
      </c>
      <c r="H997" s="28">
        <v>19153</v>
      </c>
      <c r="I997" s="28">
        <v>39.886130000000001</v>
      </c>
      <c r="J997" s="28">
        <v>-75.218249999999998</v>
      </c>
      <c r="L997" s="61">
        <v>110000542119</v>
      </c>
      <c r="M997" s="28" t="s">
        <v>263</v>
      </c>
      <c r="O997" s="28" t="str">
        <f>IFERROR(VLOOKUP(N997, 'SIC &amp; NAICS Codes'!A:B, 2, FALSE), "")</f>
        <v/>
      </c>
      <c r="S997" s="28">
        <v>563.87037499999997</v>
      </c>
      <c r="T997" s="315">
        <f>_xlfn.MAXIFS('Raw Period DMR Data'!$O:$O,'Raw Period DMR Data'!$A:$A,'Raw Annual DMR Data'!B997,'Raw Period DMR Data'!$C:$C,X997)/S997</f>
        <v>0</v>
      </c>
      <c r="U997" s="28" t="str">
        <f>+IF(COUNTIFS('Raw Period DMR Data'!$A:$A,B997, 'Raw Period DMR Data'!C:C,'Raw Annual DMR Data'!X997, 'Raw Period DMR Data'!M:M, "&gt;0")&gt;0,_xlfn.MAXIFS('Raw Period DMR Data'!M:M,'Raw Period DMR Data'!$A:$A,'Raw Annual DMR Data'!B997,'Raw Period DMR Data'!C:C,'Raw Annual DMR Data'!X997), "N/A - Period DMR Data Not Available")</f>
        <v>N/A - Period DMR Data Not Available</v>
      </c>
      <c r="V997" s="28" t="str" cm="1">
        <f t="array" ref="V997">IFERROR(INDEX('Raw Period DMR Data'!N:N,MATCH(1,(B997='Raw Period DMR Data'!$A:$A)*(U997='Raw Period DMR Data'!M:M)*(X997='Raw Period DMR Data'!C:C),0),1), "N/A")</f>
        <v>N/A</v>
      </c>
      <c r="W997" s="28" t="s">
        <v>1463</v>
      </c>
      <c r="X997" s="28" t="s">
        <v>2112</v>
      </c>
      <c r="Y997" s="28" t="s">
        <v>2113</v>
      </c>
      <c r="Z997" s="28">
        <v>2040203009681</v>
      </c>
      <c r="AA997" s="28"/>
      <c r="AB997" s="28" t="s">
        <v>1465</v>
      </c>
      <c r="AC997" s="28" t="s">
        <v>263</v>
      </c>
    </row>
    <row r="998" spans="1:29" x14ac:dyDescent="0.25">
      <c r="A998" s="61">
        <v>110000542119</v>
      </c>
      <c r="B998" s="28">
        <v>2016</v>
      </c>
      <c r="C998" s="68">
        <f t="shared" si="15"/>
        <v>42370</v>
      </c>
      <c r="D998" s="28" t="s">
        <v>1289</v>
      </c>
      <c r="E998" s="28" t="s">
        <v>2111</v>
      </c>
      <c r="F998" s="28" t="s">
        <v>966</v>
      </c>
      <c r="G998" s="28" t="s">
        <v>491</v>
      </c>
      <c r="H998" s="28">
        <v>19153</v>
      </c>
      <c r="I998" s="28">
        <v>39.886130000000001</v>
      </c>
      <c r="J998" s="28">
        <v>-75.218249999999998</v>
      </c>
      <c r="L998" s="61">
        <v>110000542119</v>
      </c>
      <c r="M998" s="28" t="s">
        <v>263</v>
      </c>
      <c r="O998" s="28" t="str">
        <f>IFERROR(VLOOKUP(N998, 'SIC &amp; NAICS Codes'!A:B, 2, FALSE), "")</f>
        <v/>
      </c>
      <c r="S998" s="28">
        <v>206.76451975000001</v>
      </c>
      <c r="T998" s="315">
        <f>_xlfn.MAXIFS('Raw Period DMR Data'!$O:$O,'Raw Period DMR Data'!$A:$A,'Raw Annual DMR Data'!B998,'Raw Period DMR Data'!$C:$C,X998)/S998</f>
        <v>0</v>
      </c>
      <c r="U998" s="28" t="str">
        <f>+IF(COUNTIFS('Raw Period DMR Data'!$A:$A,B998, 'Raw Period DMR Data'!C:C,'Raw Annual DMR Data'!X998, 'Raw Period DMR Data'!M:M, "&gt;0")&gt;0,_xlfn.MAXIFS('Raw Period DMR Data'!M:M,'Raw Period DMR Data'!$A:$A,'Raw Annual DMR Data'!B998,'Raw Period DMR Data'!C:C,'Raw Annual DMR Data'!X998), "N/A - Period DMR Data Not Available")</f>
        <v>N/A - Period DMR Data Not Available</v>
      </c>
      <c r="V998" s="28" t="str" cm="1">
        <f t="array" ref="V998">IFERROR(INDEX('Raw Period DMR Data'!N:N,MATCH(1,(B998='Raw Period DMR Data'!$A:$A)*(U998='Raw Period DMR Data'!M:M)*(X998='Raw Period DMR Data'!C:C),0),1), "N/A")</f>
        <v>N/A</v>
      </c>
      <c r="W998" s="28" t="s">
        <v>1463</v>
      </c>
      <c r="X998" s="28" t="s">
        <v>2112</v>
      </c>
      <c r="Y998" s="28" t="s">
        <v>2113</v>
      </c>
      <c r="Z998" s="28">
        <v>2040203009681</v>
      </c>
      <c r="AA998" s="28"/>
      <c r="AB998" s="28" t="s">
        <v>1465</v>
      </c>
      <c r="AC998" s="28" t="s">
        <v>263</v>
      </c>
    </row>
    <row r="999" spans="1:29" x14ac:dyDescent="0.25">
      <c r="A999" s="61">
        <v>110000542119</v>
      </c>
      <c r="B999" s="28">
        <v>2017</v>
      </c>
      <c r="C999" s="68">
        <f t="shared" si="15"/>
        <v>42736</v>
      </c>
      <c r="D999" s="28" t="s">
        <v>1289</v>
      </c>
      <c r="E999" s="28" t="s">
        <v>2111</v>
      </c>
      <c r="F999" s="28" t="s">
        <v>966</v>
      </c>
      <c r="G999" s="28" t="s">
        <v>491</v>
      </c>
      <c r="H999" s="28">
        <v>19153</v>
      </c>
      <c r="I999" s="28">
        <v>39.886130000000001</v>
      </c>
      <c r="J999" s="28">
        <v>-75.218249999999998</v>
      </c>
      <c r="L999" s="61">
        <v>110000542119</v>
      </c>
      <c r="M999" s="28" t="s">
        <v>263</v>
      </c>
      <c r="O999" s="28" t="str">
        <f>IFERROR(VLOOKUP(N999, 'SIC &amp; NAICS Codes'!A:B, 2, FALSE), "")</f>
        <v/>
      </c>
      <c r="S999" s="28">
        <v>177.82781625000001</v>
      </c>
      <c r="T999" s="315">
        <f>_xlfn.MAXIFS('Raw Period DMR Data'!$O:$O,'Raw Period DMR Data'!$A:$A,'Raw Annual DMR Data'!B999,'Raw Period DMR Data'!$C:$C,X999)/S999</f>
        <v>0</v>
      </c>
      <c r="U999" s="28" t="str">
        <f>+IF(COUNTIFS('Raw Period DMR Data'!$A:$A,B999, 'Raw Period DMR Data'!C:C,'Raw Annual DMR Data'!X999, 'Raw Period DMR Data'!M:M, "&gt;0")&gt;0,_xlfn.MAXIFS('Raw Period DMR Data'!M:M,'Raw Period DMR Data'!$A:$A,'Raw Annual DMR Data'!B999,'Raw Period DMR Data'!C:C,'Raw Annual DMR Data'!X999), "N/A - Period DMR Data Not Available")</f>
        <v>N/A - Period DMR Data Not Available</v>
      </c>
      <c r="V999" s="28" t="str" cm="1">
        <f t="array" ref="V999">IFERROR(INDEX('Raw Period DMR Data'!N:N,MATCH(1,(B999='Raw Period DMR Data'!$A:$A)*(U999='Raw Period DMR Data'!M:M)*(X999='Raw Period DMR Data'!C:C),0),1), "N/A")</f>
        <v>N/A</v>
      </c>
      <c r="W999" s="28" t="s">
        <v>1463</v>
      </c>
      <c r="X999" s="28" t="s">
        <v>2112</v>
      </c>
      <c r="Y999" s="28" t="s">
        <v>2113</v>
      </c>
      <c r="Z999" s="28">
        <v>2040203009681</v>
      </c>
      <c r="AA999" s="28"/>
      <c r="AB999" s="28" t="s">
        <v>1465</v>
      </c>
      <c r="AC999" s="28" t="s">
        <v>263</v>
      </c>
    </row>
    <row r="1000" spans="1:29" x14ac:dyDescent="0.25">
      <c r="A1000" s="61">
        <v>110000542119</v>
      </c>
      <c r="B1000" s="28">
        <v>2018</v>
      </c>
      <c r="C1000" s="68">
        <f t="shared" si="15"/>
        <v>43101</v>
      </c>
      <c r="D1000" s="28" t="s">
        <v>1289</v>
      </c>
      <c r="E1000" s="28" t="s">
        <v>2111</v>
      </c>
      <c r="F1000" s="28" t="s">
        <v>966</v>
      </c>
      <c r="G1000" s="28" t="s">
        <v>491</v>
      </c>
      <c r="H1000" s="28">
        <v>19153</v>
      </c>
      <c r="I1000" s="28">
        <v>39.886130000000001</v>
      </c>
      <c r="J1000" s="28">
        <v>-75.218249999999998</v>
      </c>
      <c r="L1000" s="61">
        <v>110000542119</v>
      </c>
      <c r="M1000" s="28" t="s">
        <v>263</v>
      </c>
      <c r="O1000" s="28" t="str">
        <f>IFERROR(VLOOKUP(N1000, 'SIC &amp; NAICS Codes'!A:B, 2, FALSE), "")</f>
        <v/>
      </c>
      <c r="S1000" s="28">
        <v>97.374613249999996</v>
      </c>
      <c r="T1000" s="315">
        <f>_xlfn.MAXIFS('Raw Period DMR Data'!$O:$O,'Raw Period DMR Data'!$A:$A,'Raw Annual DMR Data'!B1000,'Raw Period DMR Data'!$C:$C,X1000)/S1000</f>
        <v>0</v>
      </c>
      <c r="U1000" s="28" t="str">
        <f>+IF(COUNTIFS('Raw Period DMR Data'!$A:$A,B1000, 'Raw Period DMR Data'!C:C,'Raw Annual DMR Data'!X1000, 'Raw Period DMR Data'!M:M, "&gt;0")&gt;0,_xlfn.MAXIFS('Raw Period DMR Data'!M:M,'Raw Period DMR Data'!$A:$A,'Raw Annual DMR Data'!B1000,'Raw Period DMR Data'!C:C,'Raw Annual DMR Data'!X1000), "N/A - Period DMR Data Not Available")</f>
        <v>N/A - Period DMR Data Not Available</v>
      </c>
      <c r="V1000" s="28" t="str" cm="1">
        <f t="array" ref="V1000">IFERROR(INDEX('Raw Period DMR Data'!N:N,MATCH(1,(B1000='Raw Period DMR Data'!$A:$A)*(U1000='Raw Period DMR Data'!M:M)*(X1000='Raw Period DMR Data'!C:C),0),1), "N/A")</f>
        <v>N/A</v>
      </c>
      <c r="W1000" s="28" t="s">
        <v>1463</v>
      </c>
      <c r="X1000" s="28" t="s">
        <v>2112</v>
      </c>
      <c r="Y1000" s="28" t="s">
        <v>2113</v>
      </c>
      <c r="Z1000" s="302" t="s">
        <v>2114</v>
      </c>
      <c r="AA1000" s="28"/>
      <c r="AB1000" s="28" t="s">
        <v>1465</v>
      </c>
      <c r="AC1000" s="28" t="s">
        <v>263</v>
      </c>
    </row>
    <row r="1001" spans="1:29" x14ac:dyDescent="0.25">
      <c r="A1001" s="61">
        <v>110000542119</v>
      </c>
      <c r="B1001" s="28">
        <v>2019</v>
      </c>
      <c r="C1001" s="68">
        <f t="shared" si="15"/>
        <v>43466</v>
      </c>
      <c r="D1001" s="28" t="s">
        <v>1289</v>
      </c>
      <c r="E1001" s="28" t="s">
        <v>2111</v>
      </c>
      <c r="F1001" s="28" t="s">
        <v>966</v>
      </c>
      <c r="G1001" s="28" t="s">
        <v>491</v>
      </c>
      <c r="H1001" s="28">
        <v>19153</v>
      </c>
      <c r="I1001" s="28">
        <v>39.886130000000001</v>
      </c>
      <c r="J1001" s="28">
        <v>-75.218249999999998</v>
      </c>
      <c r="L1001" s="61">
        <v>110000542119</v>
      </c>
      <c r="M1001" s="28" t="s">
        <v>263</v>
      </c>
      <c r="O1001" s="28" t="str">
        <f>IFERROR(VLOOKUP(N1001, 'SIC &amp; NAICS Codes'!A:B, 2, FALSE), "")</f>
        <v/>
      </c>
      <c r="S1001" s="28">
        <v>99.043041250000002</v>
      </c>
      <c r="T1001" s="315">
        <f>_xlfn.MAXIFS('Raw Period DMR Data'!$O:$O,'Raw Period DMR Data'!$A:$A,'Raw Annual DMR Data'!B1001,'Raw Period DMR Data'!$C:$C,X1001)/S1001</f>
        <v>0</v>
      </c>
      <c r="U1001" s="28" t="str">
        <f>+IF(COUNTIFS('Raw Period DMR Data'!$A:$A,B1001, 'Raw Period DMR Data'!C:C,'Raw Annual DMR Data'!X1001, 'Raw Period DMR Data'!M:M, "&gt;0")&gt;0,_xlfn.MAXIFS('Raw Period DMR Data'!M:M,'Raw Period DMR Data'!$A:$A,'Raw Annual DMR Data'!B1001,'Raw Period DMR Data'!C:C,'Raw Annual DMR Data'!X1001), "N/A - Period DMR Data Not Available")</f>
        <v>N/A - Period DMR Data Not Available</v>
      </c>
      <c r="V1001" s="28" t="str" cm="1">
        <f t="array" ref="V1001">IFERROR(INDEX('Raw Period DMR Data'!N:N,MATCH(1,(B1001='Raw Period DMR Data'!$A:$A)*(U1001='Raw Period DMR Data'!M:M)*(X1001='Raw Period DMR Data'!C:C),0),1), "N/A")</f>
        <v>N/A</v>
      </c>
      <c r="W1001" s="28" t="s">
        <v>1463</v>
      </c>
      <c r="X1001" s="28" t="s">
        <v>2112</v>
      </c>
      <c r="Y1001" s="28" t="s">
        <v>2113</v>
      </c>
      <c r="Z1001" s="28">
        <v>2040203009681</v>
      </c>
      <c r="AA1001" s="28"/>
      <c r="AB1001" s="28" t="s">
        <v>1465</v>
      </c>
      <c r="AC1001" s="28" t="s">
        <v>263</v>
      </c>
    </row>
    <row r="1002" spans="1:29" x14ac:dyDescent="0.25">
      <c r="A1002" s="61">
        <v>110000542119</v>
      </c>
      <c r="B1002" s="28">
        <v>2020</v>
      </c>
      <c r="C1002" s="68">
        <f t="shared" si="15"/>
        <v>43831</v>
      </c>
      <c r="D1002" s="28" t="s">
        <v>1289</v>
      </c>
      <c r="E1002" s="28" t="s">
        <v>2111</v>
      </c>
      <c r="F1002" s="28" t="s">
        <v>966</v>
      </c>
      <c r="G1002" s="28" t="s">
        <v>491</v>
      </c>
      <c r="H1002" s="28">
        <v>19153</v>
      </c>
      <c r="I1002" s="28">
        <v>39.886130000000001</v>
      </c>
      <c r="J1002" s="28">
        <v>-75.218249999999998</v>
      </c>
      <c r="L1002" s="61">
        <v>110000542119</v>
      </c>
      <c r="M1002" s="28" t="s">
        <v>263</v>
      </c>
      <c r="O1002" s="28" t="str">
        <f>IFERROR(VLOOKUP(N1002, 'SIC &amp; NAICS Codes'!A:B, 2, FALSE), "")</f>
        <v/>
      </c>
      <c r="S1002" s="28">
        <v>60.762497500000002</v>
      </c>
      <c r="T1002" s="315">
        <f>_xlfn.MAXIFS('Raw Period DMR Data'!$O:$O,'Raw Period DMR Data'!$A:$A,'Raw Annual DMR Data'!B1002,'Raw Period DMR Data'!$C:$C,X1002)/S1002</f>
        <v>0</v>
      </c>
      <c r="U1002" s="28" t="str">
        <f>+IF(COUNTIFS('Raw Period DMR Data'!$A:$A,B1002, 'Raw Period DMR Data'!C:C,'Raw Annual DMR Data'!X1002, 'Raw Period DMR Data'!M:M, "&gt;0")&gt;0,_xlfn.MAXIFS('Raw Period DMR Data'!M:M,'Raw Period DMR Data'!$A:$A,'Raw Annual DMR Data'!B1002,'Raw Period DMR Data'!C:C,'Raw Annual DMR Data'!X1002), "N/A - Period DMR Data Not Available")</f>
        <v>N/A - Period DMR Data Not Available</v>
      </c>
      <c r="V1002" s="28" t="str" cm="1">
        <f t="array" ref="V1002">IFERROR(INDEX('Raw Period DMR Data'!N:N,MATCH(1,(B1002='Raw Period DMR Data'!$A:$A)*(U1002='Raw Period DMR Data'!M:M)*(X1002='Raw Period DMR Data'!C:C),0),1), "N/A")</f>
        <v>N/A</v>
      </c>
      <c r="W1002" s="28" t="s">
        <v>1463</v>
      </c>
      <c r="X1002" s="28" t="s">
        <v>2112</v>
      </c>
      <c r="Y1002" s="28" t="s">
        <v>2113</v>
      </c>
      <c r="Z1002" s="28">
        <v>2040203009681</v>
      </c>
      <c r="AA1002" s="28"/>
      <c r="AB1002" s="28" t="s">
        <v>1465</v>
      </c>
      <c r="AC1002" s="28" t="s">
        <v>263</v>
      </c>
    </row>
    <row r="1003" spans="1:29" x14ac:dyDescent="0.25">
      <c r="A1003" s="61">
        <v>110009773192</v>
      </c>
      <c r="B1003" s="28">
        <v>2016</v>
      </c>
      <c r="C1003" s="68">
        <f t="shared" si="15"/>
        <v>42370</v>
      </c>
      <c r="D1003" s="28" t="s">
        <v>182</v>
      </c>
      <c r="E1003" s="28" t="s">
        <v>602</v>
      </c>
      <c r="F1003" s="28" t="s">
        <v>603</v>
      </c>
      <c r="G1003" s="28" t="s">
        <v>362</v>
      </c>
      <c r="H1003" s="28">
        <v>76067</v>
      </c>
      <c r="I1003" s="28">
        <v>32.788812999999998</v>
      </c>
      <c r="J1003" s="28">
        <v>-98.060989000000006</v>
      </c>
      <c r="L1003" s="61">
        <v>110009773192</v>
      </c>
      <c r="M1003" s="28" t="s">
        <v>265</v>
      </c>
      <c r="N1003" s="28">
        <v>9999</v>
      </c>
      <c r="O1003" s="28" t="str">
        <f>IFERROR(VLOOKUP(N1003, 'SIC &amp; NAICS Codes'!A:B, 2, FALSE), "")</f>
        <v>Nonclassifiable Establishments</v>
      </c>
      <c r="S1003" s="28">
        <v>8.1632653061224393E-3</v>
      </c>
      <c r="T1003" s="315">
        <f>_xlfn.MAXIFS('Raw Period DMR Data'!$O:$O,'Raw Period DMR Data'!$A:$A,'Raw Annual DMR Data'!B1003,'Raw Period DMR Data'!$C:$C,X1003)/S1003</f>
        <v>0</v>
      </c>
      <c r="U1003" s="28" t="str">
        <f>+IF(COUNTIFS('Raw Period DMR Data'!$A:$A,B1003, 'Raw Period DMR Data'!C:C,'Raw Annual DMR Data'!X1003, 'Raw Period DMR Data'!M:M, "&gt;0")&gt;0,_xlfn.MAXIFS('Raw Period DMR Data'!M:M,'Raw Period DMR Data'!$A:$A,'Raw Annual DMR Data'!B1003,'Raw Period DMR Data'!C:C,'Raw Annual DMR Data'!X1003), "N/A - Period DMR Data Not Available")</f>
        <v>N/A - Period DMR Data Not Available</v>
      </c>
      <c r="V1003" s="28" t="str" cm="1">
        <f t="array" ref="V1003">IFERROR(INDEX('Raw Period DMR Data'!N:N,MATCH(1,(B1003='Raw Period DMR Data'!$A:$A)*(U1003='Raw Period DMR Data'!M:M)*(X1003='Raw Period DMR Data'!C:C),0),1), "N/A")</f>
        <v>N/A</v>
      </c>
      <c r="W1003" s="28" t="s">
        <v>1463</v>
      </c>
      <c r="X1003" s="28" t="s">
        <v>919</v>
      </c>
      <c r="Y1003" s="28" t="s">
        <v>920</v>
      </c>
      <c r="Z1003" s="61">
        <v>12060201000042</v>
      </c>
      <c r="AA1003" s="28"/>
    </row>
    <row r="1004" spans="1:29" x14ac:dyDescent="0.25">
      <c r="A1004" s="61">
        <v>110041133163</v>
      </c>
      <c r="B1004" s="28">
        <v>2015</v>
      </c>
      <c r="C1004" s="68">
        <f t="shared" si="15"/>
        <v>42005</v>
      </c>
      <c r="D1004" s="28" t="s">
        <v>1290</v>
      </c>
      <c r="E1004" s="28" t="s">
        <v>2115</v>
      </c>
      <c r="F1004" s="28" t="s">
        <v>544</v>
      </c>
      <c r="G1004" s="28" t="s">
        <v>338</v>
      </c>
      <c r="H1004" s="28">
        <v>7036</v>
      </c>
      <c r="I1004" s="28">
        <v>40.636499999999998</v>
      </c>
      <c r="J1004" s="28">
        <v>-74.219899999999996</v>
      </c>
      <c r="K1004" s="28" t="s">
        <v>730</v>
      </c>
      <c r="L1004" s="61">
        <v>110041133163</v>
      </c>
      <c r="M1004" s="28" t="s">
        <v>265</v>
      </c>
      <c r="N1004" s="28">
        <v>2911</v>
      </c>
      <c r="O1004" s="28" t="str">
        <f>IFERROR(VLOOKUP(N1004, 'SIC &amp; NAICS Codes'!A:B, 2, FALSE), "")</f>
        <v>Petroleum Refining</v>
      </c>
      <c r="S1004" s="28">
        <v>1.845</v>
      </c>
      <c r="T1004" s="315">
        <f>_xlfn.MAXIFS('Raw Period DMR Data'!$O:$O,'Raw Period DMR Data'!$A:$A,'Raw Annual DMR Data'!B1004,'Raw Period DMR Data'!$C:$C,X1004)/S1004</f>
        <v>0</v>
      </c>
      <c r="U1004" s="28" t="str">
        <f>+IF(COUNTIFS('Raw Period DMR Data'!$A:$A,B1004, 'Raw Period DMR Data'!C:C,'Raw Annual DMR Data'!X1004, 'Raw Period DMR Data'!M:M, "&gt;0")&gt;0,_xlfn.MAXIFS('Raw Period DMR Data'!M:M,'Raw Period DMR Data'!$A:$A,'Raw Annual DMR Data'!B1004,'Raw Period DMR Data'!C:C,'Raw Annual DMR Data'!X1004), "N/A - Period DMR Data Not Available")</f>
        <v>N/A - Period DMR Data Not Available</v>
      </c>
      <c r="V1004" s="28" t="str" cm="1">
        <f t="array" ref="V1004">IFERROR(INDEX('Raw Period DMR Data'!N:N,MATCH(1,(B1004='Raw Period DMR Data'!$A:$A)*(U1004='Raw Period DMR Data'!M:M)*(X1004='Raw Period DMR Data'!C:C),0),1), "N/A")</f>
        <v>N/A</v>
      </c>
      <c r="W1004" s="28" t="s">
        <v>1463</v>
      </c>
      <c r="X1004" s="28" t="s">
        <v>2116</v>
      </c>
      <c r="Y1004" s="28" t="s">
        <v>2117</v>
      </c>
      <c r="Z1004" s="28">
        <v>2030104000282</v>
      </c>
      <c r="AA1004" s="28"/>
      <c r="AB1004" s="28" t="s">
        <v>1465</v>
      </c>
      <c r="AC1004" s="28" t="s">
        <v>1466</v>
      </c>
    </row>
    <row r="1005" spans="1:29" x14ac:dyDescent="0.25">
      <c r="A1005" s="61">
        <v>110041133163</v>
      </c>
      <c r="B1005" s="28">
        <v>2016</v>
      </c>
      <c r="C1005" s="68">
        <f t="shared" si="15"/>
        <v>42370</v>
      </c>
      <c r="D1005" s="28" t="s">
        <v>1290</v>
      </c>
      <c r="E1005" s="28" t="s">
        <v>2115</v>
      </c>
      <c r="F1005" s="28" t="s">
        <v>544</v>
      </c>
      <c r="G1005" s="28" t="s">
        <v>338</v>
      </c>
      <c r="H1005" s="28">
        <v>7036</v>
      </c>
      <c r="I1005" s="28">
        <v>40.636499999999998</v>
      </c>
      <c r="J1005" s="28">
        <v>-74.219899999999996</v>
      </c>
      <c r="K1005" s="28" t="s">
        <v>730</v>
      </c>
      <c r="L1005" s="61">
        <v>110041133163</v>
      </c>
      <c r="M1005" s="28" t="s">
        <v>265</v>
      </c>
      <c r="N1005" s="28">
        <v>2911</v>
      </c>
      <c r="O1005" s="28" t="str">
        <f>IFERROR(VLOOKUP(N1005, 'SIC &amp; NAICS Codes'!A:B, 2, FALSE), "")</f>
        <v>Petroleum Refining</v>
      </c>
      <c r="S1005" s="28">
        <v>1.69</v>
      </c>
      <c r="T1005" s="315">
        <f>_xlfn.MAXIFS('Raw Period DMR Data'!$O:$O,'Raw Period DMR Data'!$A:$A,'Raw Annual DMR Data'!B1005,'Raw Period DMR Data'!$C:$C,X1005)/S1005</f>
        <v>0</v>
      </c>
      <c r="U1005" s="28" t="str">
        <f>+IF(COUNTIFS('Raw Period DMR Data'!$A:$A,B1005, 'Raw Period DMR Data'!C:C,'Raw Annual DMR Data'!X1005, 'Raw Period DMR Data'!M:M, "&gt;0")&gt;0,_xlfn.MAXIFS('Raw Period DMR Data'!M:M,'Raw Period DMR Data'!$A:$A,'Raw Annual DMR Data'!B1005,'Raw Period DMR Data'!C:C,'Raw Annual DMR Data'!X1005), "N/A - Period DMR Data Not Available")</f>
        <v>N/A - Period DMR Data Not Available</v>
      </c>
      <c r="V1005" s="28" t="str" cm="1">
        <f t="array" ref="V1005">IFERROR(INDEX('Raw Period DMR Data'!N:N,MATCH(1,(B1005='Raw Period DMR Data'!$A:$A)*(U1005='Raw Period DMR Data'!M:M)*(X1005='Raw Period DMR Data'!C:C),0),1), "N/A")</f>
        <v>N/A</v>
      </c>
      <c r="W1005" s="28" t="s">
        <v>1463</v>
      </c>
      <c r="X1005" s="28" t="s">
        <v>2116</v>
      </c>
      <c r="Y1005" s="28" t="s">
        <v>2117</v>
      </c>
      <c r="Z1005" s="28">
        <v>2030104000282</v>
      </c>
      <c r="AA1005" s="28"/>
      <c r="AB1005" s="28" t="s">
        <v>1465</v>
      </c>
      <c r="AC1005" s="28" t="s">
        <v>1466</v>
      </c>
    </row>
    <row r="1006" spans="1:29" x14ac:dyDescent="0.25">
      <c r="A1006" s="61">
        <v>110041133163</v>
      </c>
      <c r="B1006" s="28">
        <v>2017</v>
      </c>
      <c r="C1006" s="68">
        <f t="shared" si="15"/>
        <v>42736</v>
      </c>
      <c r="D1006" s="28" t="s">
        <v>1290</v>
      </c>
      <c r="E1006" s="28" t="s">
        <v>2115</v>
      </c>
      <c r="F1006" s="28" t="s">
        <v>544</v>
      </c>
      <c r="G1006" s="28" t="s">
        <v>338</v>
      </c>
      <c r="H1006" s="28">
        <v>7036</v>
      </c>
      <c r="I1006" s="28">
        <v>40.636499999999998</v>
      </c>
      <c r="J1006" s="28">
        <v>-74.219899999999996</v>
      </c>
      <c r="K1006" s="28" t="s">
        <v>730</v>
      </c>
      <c r="L1006" s="61">
        <v>110041133163</v>
      </c>
      <c r="M1006" s="28" t="s">
        <v>265</v>
      </c>
      <c r="N1006" s="28">
        <v>2911</v>
      </c>
      <c r="O1006" s="28" t="str">
        <f>IFERROR(VLOOKUP(N1006, 'SIC &amp; NAICS Codes'!A:B, 2, FALSE), "")</f>
        <v>Petroleum Refining</v>
      </c>
      <c r="S1006" s="28">
        <v>1.9950000000000001</v>
      </c>
      <c r="T1006" s="315">
        <f>_xlfn.MAXIFS('Raw Period DMR Data'!$O:$O,'Raw Period DMR Data'!$A:$A,'Raw Annual DMR Data'!B1006,'Raw Period DMR Data'!$C:$C,X1006)/S1006</f>
        <v>0</v>
      </c>
      <c r="U1006" s="28" t="str">
        <f>+IF(COUNTIFS('Raw Period DMR Data'!$A:$A,B1006, 'Raw Period DMR Data'!C:C,'Raw Annual DMR Data'!X1006, 'Raw Period DMR Data'!M:M, "&gt;0")&gt;0,_xlfn.MAXIFS('Raw Period DMR Data'!M:M,'Raw Period DMR Data'!$A:$A,'Raw Annual DMR Data'!B1006,'Raw Period DMR Data'!C:C,'Raw Annual DMR Data'!X1006), "N/A - Period DMR Data Not Available")</f>
        <v>N/A - Period DMR Data Not Available</v>
      </c>
      <c r="V1006" s="28" t="str" cm="1">
        <f t="array" ref="V1006">IFERROR(INDEX('Raw Period DMR Data'!N:N,MATCH(1,(B1006='Raw Period DMR Data'!$A:$A)*(U1006='Raw Period DMR Data'!M:M)*(X1006='Raw Period DMR Data'!C:C),0),1), "N/A")</f>
        <v>N/A</v>
      </c>
      <c r="W1006" s="28" t="s">
        <v>1463</v>
      </c>
      <c r="X1006" s="28" t="s">
        <v>2116</v>
      </c>
      <c r="Y1006" s="28" t="s">
        <v>2117</v>
      </c>
      <c r="Z1006" s="28">
        <v>2030104000282</v>
      </c>
      <c r="AA1006" s="28"/>
      <c r="AB1006" s="28" t="s">
        <v>1465</v>
      </c>
      <c r="AC1006" s="28" t="s">
        <v>1466</v>
      </c>
    </row>
    <row r="1007" spans="1:29" x14ac:dyDescent="0.25">
      <c r="A1007" s="61">
        <v>110041133163</v>
      </c>
      <c r="B1007" s="28">
        <v>2018</v>
      </c>
      <c r="C1007" s="68">
        <f t="shared" si="15"/>
        <v>43101</v>
      </c>
      <c r="D1007" s="28" t="s">
        <v>1290</v>
      </c>
      <c r="E1007" s="28" t="s">
        <v>2115</v>
      </c>
      <c r="F1007" s="28" t="s">
        <v>544</v>
      </c>
      <c r="G1007" s="28" t="s">
        <v>338</v>
      </c>
      <c r="H1007" s="302" t="s">
        <v>1961</v>
      </c>
      <c r="I1007" s="28">
        <v>40.636499999999998</v>
      </c>
      <c r="J1007" s="28">
        <v>-74.219899999999996</v>
      </c>
      <c r="K1007" s="28" t="s">
        <v>730</v>
      </c>
      <c r="L1007" s="61">
        <v>110041133163</v>
      </c>
      <c r="M1007" s="28" t="s">
        <v>265</v>
      </c>
      <c r="N1007" s="28">
        <v>2911</v>
      </c>
      <c r="O1007" s="28" t="str">
        <f>IFERROR(VLOOKUP(N1007, 'SIC &amp; NAICS Codes'!A:B, 2, FALSE), "")</f>
        <v>Petroleum Refining</v>
      </c>
      <c r="S1007" s="28">
        <v>2</v>
      </c>
      <c r="T1007" s="315">
        <f>_xlfn.MAXIFS('Raw Period DMR Data'!$O:$O,'Raw Period DMR Data'!$A:$A,'Raw Annual DMR Data'!B1007,'Raw Period DMR Data'!$C:$C,X1007)/S1007</f>
        <v>0</v>
      </c>
      <c r="U1007" s="28" t="str">
        <f>+IF(COUNTIFS('Raw Period DMR Data'!$A:$A,B1007, 'Raw Period DMR Data'!C:C,'Raw Annual DMR Data'!X1007, 'Raw Period DMR Data'!M:M, "&gt;0")&gt;0,_xlfn.MAXIFS('Raw Period DMR Data'!M:M,'Raw Period DMR Data'!$A:$A,'Raw Annual DMR Data'!B1007,'Raw Period DMR Data'!C:C,'Raw Annual DMR Data'!X1007), "N/A - Period DMR Data Not Available")</f>
        <v>N/A - Period DMR Data Not Available</v>
      </c>
      <c r="V1007" s="28" t="str" cm="1">
        <f t="array" ref="V1007">IFERROR(INDEX('Raw Period DMR Data'!N:N,MATCH(1,(B1007='Raw Period DMR Data'!$A:$A)*(U1007='Raw Period DMR Data'!M:M)*(X1007='Raw Period DMR Data'!C:C),0),1), "N/A")</f>
        <v>N/A</v>
      </c>
      <c r="W1007" s="28" t="s">
        <v>1463</v>
      </c>
      <c r="X1007" s="28" t="s">
        <v>2116</v>
      </c>
      <c r="Y1007" s="28" t="s">
        <v>2117</v>
      </c>
      <c r="Z1007" s="302" t="s">
        <v>2118</v>
      </c>
      <c r="AA1007" s="28"/>
      <c r="AB1007" s="28" t="s">
        <v>1465</v>
      </c>
      <c r="AC1007" s="28" t="s">
        <v>1466</v>
      </c>
    </row>
    <row r="1008" spans="1:29" x14ac:dyDescent="0.25">
      <c r="A1008" s="61">
        <v>110041133163</v>
      </c>
      <c r="B1008" s="28">
        <v>2019</v>
      </c>
      <c r="C1008" s="68">
        <f t="shared" si="15"/>
        <v>43466</v>
      </c>
      <c r="D1008" s="28" t="s">
        <v>1290</v>
      </c>
      <c r="E1008" s="28" t="s">
        <v>2115</v>
      </c>
      <c r="F1008" s="28" t="s">
        <v>544</v>
      </c>
      <c r="G1008" s="28" t="s">
        <v>338</v>
      </c>
      <c r="H1008" s="28">
        <v>7036</v>
      </c>
      <c r="I1008" s="28">
        <v>40.636499999999998</v>
      </c>
      <c r="J1008" s="28">
        <v>-74.219899999999996</v>
      </c>
      <c r="K1008" s="28" t="s">
        <v>730</v>
      </c>
      <c r="L1008" s="61">
        <v>110041133163</v>
      </c>
      <c r="M1008" s="28" t="s">
        <v>265</v>
      </c>
      <c r="N1008" s="28">
        <v>2911</v>
      </c>
      <c r="O1008" s="28" t="str">
        <f>IFERROR(VLOOKUP(N1008, 'SIC &amp; NAICS Codes'!A:B, 2, FALSE), "")</f>
        <v>Petroleum Refining</v>
      </c>
      <c r="S1008" s="28">
        <v>2</v>
      </c>
      <c r="T1008" s="315">
        <f>_xlfn.MAXIFS('Raw Period DMR Data'!$O:$O,'Raw Period DMR Data'!$A:$A,'Raw Annual DMR Data'!B1008,'Raw Period DMR Data'!$C:$C,X1008)/S1008</f>
        <v>0</v>
      </c>
      <c r="U1008" s="28" t="str">
        <f>+IF(COUNTIFS('Raw Period DMR Data'!$A:$A,B1008, 'Raw Period DMR Data'!C:C,'Raw Annual DMR Data'!X1008, 'Raw Period DMR Data'!M:M, "&gt;0")&gt;0,_xlfn.MAXIFS('Raw Period DMR Data'!M:M,'Raw Period DMR Data'!$A:$A,'Raw Annual DMR Data'!B1008,'Raw Period DMR Data'!C:C,'Raw Annual DMR Data'!X1008), "N/A - Period DMR Data Not Available")</f>
        <v>N/A - Period DMR Data Not Available</v>
      </c>
      <c r="V1008" s="28" t="str" cm="1">
        <f t="array" ref="V1008">IFERROR(INDEX('Raw Period DMR Data'!N:N,MATCH(1,(B1008='Raw Period DMR Data'!$A:$A)*(U1008='Raw Period DMR Data'!M:M)*(X1008='Raw Period DMR Data'!C:C),0),1), "N/A")</f>
        <v>N/A</v>
      </c>
      <c r="W1008" s="28" t="s">
        <v>1463</v>
      </c>
      <c r="X1008" s="28" t="s">
        <v>2116</v>
      </c>
      <c r="Y1008" s="28" t="s">
        <v>2117</v>
      </c>
      <c r="Z1008" s="28">
        <v>2030104000282</v>
      </c>
      <c r="AA1008" s="28"/>
      <c r="AB1008" s="28" t="s">
        <v>1465</v>
      </c>
      <c r="AC1008" s="28" t="s">
        <v>1466</v>
      </c>
    </row>
    <row r="1009" spans="1:29" x14ac:dyDescent="0.25">
      <c r="A1009" s="61">
        <v>110041133163</v>
      </c>
      <c r="B1009" s="28">
        <v>2020</v>
      </c>
      <c r="C1009" s="68">
        <f t="shared" si="15"/>
        <v>43831</v>
      </c>
      <c r="D1009" s="28" t="s">
        <v>1290</v>
      </c>
      <c r="E1009" s="28" t="s">
        <v>2115</v>
      </c>
      <c r="F1009" s="28" t="s">
        <v>544</v>
      </c>
      <c r="G1009" s="28" t="s">
        <v>338</v>
      </c>
      <c r="H1009" s="28">
        <v>7036</v>
      </c>
      <c r="I1009" s="28">
        <v>40.636499999999998</v>
      </c>
      <c r="J1009" s="28">
        <v>-74.219899999999996</v>
      </c>
      <c r="K1009" s="28" t="s">
        <v>730</v>
      </c>
      <c r="L1009" s="61">
        <v>110041133163</v>
      </c>
      <c r="M1009" s="28" t="s">
        <v>265</v>
      </c>
      <c r="N1009" s="28">
        <v>2911</v>
      </c>
      <c r="O1009" s="28" t="str">
        <f>IFERROR(VLOOKUP(N1009, 'SIC &amp; NAICS Codes'!A:B, 2, FALSE), "")</f>
        <v>Petroleum Refining</v>
      </c>
      <c r="S1009" s="28">
        <v>2.3050000000000002</v>
      </c>
      <c r="T1009" s="315">
        <f>_xlfn.MAXIFS('Raw Period DMR Data'!$O:$O,'Raw Period DMR Data'!$A:$A,'Raw Annual DMR Data'!B1009,'Raw Period DMR Data'!$C:$C,X1009)/S1009</f>
        <v>0</v>
      </c>
      <c r="U1009" s="28" t="str">
        <f>+IF(COUNTIFS('Raw Period DMR Data'!$A:$A,B1009, 'Raw Period DMR Data'!C:C,'Raw Annual DMR Data'!X1009, 'Raw Period DMR Data'!M:M, "&gt;0")&gt;0,_xlfn.MAXIFS('Raw Period DMR Data'!M:M,'Raw Period DMR Data'!$A:$A,'Raw Annual DMR Data'!B1009,'Raw Period DMR Data'!C:C,'Raw Annual DMR Data'!X1009), "N/A - Period DMR Data Not Available")</f>
        <v>N/A - Period DMR Data Not Available</v>
      </c>
      <c r="V1009" s="28" t="str" cm="1">
        <f t="array" ref="V1009">IFERROR(INDEX('Raw Period DMR Data'!N:N,MATCH(1,(B1009='Raw Period DMR Data'!$A:$A)*(U1009='Raw Period DMR Data'!M:M)*(X1009='Raw Period DMR Data'!C:C),0),1), "N/A")</f>
        <v>N/A</v>
      </c>
      <c r="W1009" s="28" t="s">
        <v>1463</v>
      </c>
      <c r="X1009" s="28" t="s">
        <v>2116</v>
      </c>
      <c r="Y1009" s="28" t="s">
        <v>2117</v>
      </c>
      <c r="Z1009" s="28">
        <v>2030104000282</v>
      </c>
      <c r="AA1009" s="28"/>
      <c r="AB1009" s="28" t="s">
        <v>1465</v>
      </c>
      <c r="AC1009" s="28" t="s">
        <v>1466</v>
      </c>
    </row>
    <row r="1010" spans="1:29" x14ac:dyDescent="0.25">
      <c r="A1010" s="61">
        <v>110000539757</v>
      </c>
      <c r="B1010" s="28">
        <v>2017</v>
      </c>
      <c r="C1010" s="68">
        <f t="shared" si="15"/>
        <v>42736</v>
      </c>
      <c r="D1010" s="28" t="s">
        <v>183</v>
      </c>
      <c r="E1010" s="28" t="s">
        <v>604</v>
      </c>
      <c r="F1010" s="28" t="s">
        <v>446</v>
      </c>
      <c r="G1010" s="28" t="s">
        <v>303</v>
      </c>
      <c r="H1010" s="28">
        <v>70669</v>
      </c>
      <c r="I1010" s="28">
        <v>30.242155</v>
      </c>
      <c r="J1010" s="28">
        <v>-93.274386000000007</v>
      </c>
      <c r="K1010" s="28" t="s">
        <v>605</v>
      </c>
      <c r="L1010" s="61">
        <v>110000539757</v>
      </c>
      <c r="M1010" s="28" t="s">
        <v>252</v>
      </c>
      <c r="N1010" s="28">
        <v>2911</v>
      </c>
      <c r="O1010" s="28" t="str">
        <f>IFERROR(VLOOKUP(N1010, 'SIC &amp; NAICS Codes'!A:B, 2, FALSE), "")</f>
        <v>Petroleum Refining</v>
      </c>
      <c r="S1010" s="28">
        <v>3.900064</v>
      </c>
      <c r="T1010" s="315">
        <f>_xlfn.MAXIFS('Raw Period DMR Data'!$O:$O,'Raw Period DMR Data'!$A:$A,'Raw Annual DMR Data'!B1010,'Raw Period DMR Data'!$C:$C,X1010)/S1010</f>
        <v>0</v>
      </c>
      <c r="U1010" s="28" t="str">
        <f>+IF(COUNTIFS('Raw Period DMR Data'!$A:$A,B1010, 'Raw Period DMR Data'!C:C,'Raw Annual DMR Data'!X1010, 'Raw Period DMR Data'!M:M, "&gt;0")&gt;0,_xlfn.MAXIFS('Raw Period DMR Data'!M:M,'Raw Period DMR Data'!$A:$A,'Raw Annual DMR Data'!B1010,'Raw Period DMR Data'!C:C,'Raw Annual DMR Data'!X1010), "N/A - Period DMR Data Not Available")</f>
        <v>N/A - Period DMR Data Not Available</v>
      </c>
      <c r="V1010" s="28" t="str" cm="1">
        <f t="array" ref="V1010">IFERROR(INDEX('Raw Period DMR Data'!N:N,MATCH(1,(B1010='Raw Period DMR Data'!$A:$A)*(U1010='Raw Period DMR Data'!M:M)*(X1010='Raw Period DMR Data'!C:C),0),1), "N/A")</f>
        <v>N/A</v>
      </c>
      <c r="W1010" s="28" t="s">
        <v>1463</v>
      </c>
      <c r="X1010" s="28" t="s">
        <v>921</v>
      </c>
      <c r="Y1010" s="28" t="s">
        <v>922</v>
      </c>
      <c r="Z1010" s="61">
        <v>8080206001238</v>
      </c>
      <c r="AA1010" s="28"/>
    </row>
    <row r="1011" spans="1:29" x14ac:dyDescent="0.25">
      <c r="A1011" s="61">
        <v>110000539757</v>
      </c>
      <c r="B1011" s="28">
        <v>2018</v>
      </c>
      <c r="C1011" s="68">
        <f t="shared" si="15"/>
        <v>43101</v>
      </c>
      <c r="D1011" s="28" t="s">
        <v>183</v>
      </c>
      <c r="E1011" s="28" t="s">
        <v>604</v>
      </c>
      <c r="F1011" s="28" t="s">
        <v>446</v>
      </c>
      <c r="G1011" s="28" t="s">
        <v>303</v>
      </c>
      <c r="H1011" s="28">
        <v>70669</v>
      </c>
      <c r="I1011" s="28">
        <v>30.242155</v>
      </c>
      <c r="J1011" s="28">
        <v>-93.274386000000007</v>
      </c>
      <c r="K1011" s="28" t="s">
        <v>605</v>
      </c>
      <c r="L1011" s="61">
        <v>110000539757</v>
      </c>
      <c r="M1011" s="28" t="s">
        <v>252</v>
      </c>
      <c r="N1011" s="28">
        <v>2911</v>
      </c>
      <c r="O1011" s="28" t="str">
        <f>IFERROR(VLOOKUP(N1011, 'SIC &amp; NAICS Codes'!A:B, 2, FALSE), "")</f>
        <v>Petroleum Refining</v>
      </c>
      <c r="S1011" s="28">
        <v>2.9840939999999998</v>
      </c>
      <c r="T1011" s="315">
        <f>_xlfn.MAXIFS('Raw Period DMR Data'!$O:$O,'Raw Period DMR Data'!$A:$A,'Raw Annual DMR Data'!B1011,'Raw Period DMR Data'!$C:$C,X1011)/S1011</f>
        <v>0</v>
      </c>
      <c r="U1011" s="28" t="str">
        <f>+IF(COUNTIFS('Raw Period DMR Data'!$A:$A,B1011, 'Raw Period DMR Data'!C:C,'Raw Annual DMR Data'!X1011, 'Raw Period DMR Data'!M:M, "&gt;0")&gt;0,_xlfn.MAXIFS('Raw Period DMR Data'!M:M,'Raw Period DMR Data'!$A:$A,'Raw Annual DMR Data'!B1011,'Raw Period DMR Data'!C:C,'Raw Annual DMR Data'!X1011), "N/A - Period DMR Data Not Available")</f>
        <v>N/A - Period DMR Data Not Available</v>
      </c>
      <c r="V1011" s="28" t="str" cm="1">
        <f t="array" ref="V1011">IFERROR(INDEX('Raw Period DMR Data'!N:N,MATCH(1,(B1011='Raw Period DMR Data'!$A:$A)*(U1011='Raw Period DMR Data'!M:M)*(X1011='Raw Period DMR Data'!C:C),0),1), "N/A")</f>
        <v>N/A</v>
      </c>
      <c r="W1011" s="28" t="s">
        <v>1463</v>
      </c>
      <c r="X1011" s="28" t="s">
        <v>921</v>
      </c>
      <c r="Y1011" s="28" t="s">
        <v>922</v>
      </c>
      <c r="Z1011" s="61">
        <v>8080206001238</v>
      </c>
    </row>
    <row r="1012" spans="1:29" x14ac:dyDescent="0.25">
      <c r="A1012" s="61">
        <v>110000539757</v>
      </c>
      <c r="B1012" s="28">
        <v>2018</v>
      </c>
      <c r="C1012" s="68">
        <f t="shared" si="15"/>
        <v>43101</v>
      </c>
      <c r="D1012" s="28" t="s">
        <v>183</v>
      </c>
      <c r="E1012" s="28" t="s">
        <v>604</v>
      </c>
      <c r="F1012" s="28" t="s">
        <v>446</v>
      </c>
      <c r="G1012" s="28" t="s">
        <v>303</v>
      </c>
      <c r="H1012" s="28">
        <v>70669</v>
      </c>
      <c r="I1012" s="28">
        <v>30.242155</v>
      </c>
      <c r="J1012" s="28">
        <v>-93.274386000000007</v>
      </c>
      <c r="K1012" s="28" t="s">
        <v>605</v>
      </c>
      <c r="L1012" s="61">
        <v>110000539757</v>
      </c>
      <c r="M1012" s="28" t="s">
        <v>252</v>
      </c>
      <c r="N1012" s="28">
        <v>2911</v>
      </c>
      <c r="O1012" s="28" t="str">
        <f>IFERROR(VLOOKUP(N1012, 'SIC &amp; NAICS Codes'!A:B, 2, FALSE), "")</f>
        <v>Petroleum Refining</v>
      </c>
      <c r="S1012" s="28">
        <v>8.9520094800000005E-2</v>
      </c>
      <c r="T1012" s="315">
        <f>_xlfn.MAXIFS('Raw Period DMR Data'!$O:$O,'Raw Period DMR Data'!$A:$A,'Raw Annual DMR Data'!B1012,'Raw Period DMR Data'!$C:$C,X1012)/S1012</f>
        <v>0</v>
      </c>
      <c r="U1012" s="28" t="str">
        <f>+IF(COUNTIFS('Raw Period DMR Data'!$A:$A,B1012, 'Raw Period DMR Data'!C:C,'Raw Annual DMR Data'!X1012, 'Raw Period DMR Data'!M:M, "&gt;0")&gt;0,_xlfn.MAXIFS('Raw Period DMR Data'!M:M,'Raw Period DMR Data'!$A:$A,'Raw Annual DMR Data'!B1012,'Raw Period DMR Data'!C:C,'Raw Annual DMR Data'!X1012), "N/A - Period DMR Data Not Available")</f>
        <v>N/A - Period DMR Data Not Available</v>
      </c>
      <c r="V1012" s="28" t="str" cm="1">
        <f t="array" ref="V1012">IFERROR(INDEX('Raw Period DMR Data'!N:N,MATCH(1,(B1012='Raw Period DMR Data'!$A:$A)*(U1012='Raw Period DMR Data'!M:M)*(X1012='Raw Period DMR Data'!C:C),0),1), "N/A")</f>
        <v>N/A</v>
      </c>
      <c r="W1012" s="28" t="s">
        <v>1463</v>
      </c>
      <c r="X1012" s="28" t="s">
        <v>921</v>
      </c>
      <c r="Y1012" s="28" t="s">
        <v>922</v>
      </c>
      <c r="Z1012" s="61">
        <v>8080206001238</v>
      </c>
    </row>
    <row r="1013" spans="1:29" x14ac:dyDescent="0.25">
      <c r="A1013" s="61">
        <v>110000539757</v>
      </c>
      <c r="B1013" s="28">
        <v>2019</v>
      </c>
      <c r="C1013" s="68">
        <f t="shared" si="15"/>
        <v>43466</v>
      </c>
      <c r="D1013" s="28" t="s">
        <v>183</v>
      </c>
      <c r="E1013" s="28" t="s">
        <v>604</v>
      </c>
      <c r="F1013" s="28" t="s">
        <v>446</v>
      </c>
      <c r="G1013" s="28" t="s">
        <v>303</v>
      </c>
      <c r="H1013" s="28">
        <v>70669</v>
      </c>
      <c r="I1013" s="28">
        <v>30.242155</v>
      </c>
      <c r="J1013" s="28">
        <v>-93.274386000000007</v>
      </c>
      <c r="K1013" s="28" t="s">
        <v>605</v>
      </c>
      <c r="L1013" s="61">
        <v>110000539757</v>
      </c>
      <c r="M1013" s="28" t="s">
        <v>252</v>
      </c>
      <c r="N1013" s="28">
        <v>2911</v>
      </c>
      <c r="O1013" s="28" t="str">
        <f>IFERROR(VLOOKUP(N1013, 'SIC &amp; NAICS Codes'!A:B, 2, FALSE), "")</f>
        <v>Petroleum Refining</v>
      </c>
      <c r="S1013" s="28">
        <v>2.6464720000000002</v>
      </c>
      <c r="T1013" s="315">
        <f>_xlfn.MAXIFS('Raw Period DMR Data'!$O:$O,'Raw Period DMR Data'!$A:$A,'Raw Annual DMR Data'!B1013,'Raw Period DMR Data'!$C:$C,X1013)/S1013</f>
        <v>0</v>
      </c>
      <c r="U1013" s="28" t="str">
        <f>+IF(COUNTIFS('Raw Period DMR Data'!$A:$A,B1013, 'Raw Period DMR Data'!C:C,'Raw Annual DMR Data'!X1013, 'Raw Period DMR Data'!M:M, "&gt;0")&gt;0,_xlfn.MAXIFS('Raw Period DMR Data'!M:M,'Raw Period DMR Data'!$A:$A,'Raw Annual DMR Data'!B1013,'Raw Period DMR Data'!C:C,'Raw Annual DMR Data'!X1013), "N/A - Period DMR Data Not Available")</f>
        <v>N/A - Period DMR Data Not Available</v>
      </c>
      <c r="V1013" s="28" t="str" cm="1">
        <f t="array" ref="V1013">IFERROR(INDEX('Raw Period DMR Data'!N:N,MATCH(1,(B1013='Raw Period DMR Data'!$A:$A)*(U1013='Raw Period DMR Data'!M:M)*(X1013='Raw Period DMR Data'!C:C),0),1), "N/A")</f>
        <v>N/A</v>
      </c>
      <c r="W1013" s="28" t="s">
        <v>1463</v>
      </c>
      <c r="X1013" s="28" t="s">
        <v>921</v>
      </c>
      <c r="Y1013" s="28" t="s">
        <v>922</v>
      </c>
      <c r="Z1013" s="61">
        <v>8080206001238</v>
      </c>
    </row>
    <row r="1014" spans="1:29" x14ac:dyDescent="0.25">
      <c r="A1014" s="61">
        <v>110000539757</v>
      </c>
      <c r="B1014" s="28">
        <v>2020</v>
      </c>
      <c r="C1014" s="68">
        <f t="shared" si="15"/>
        <v>43831</v>
      </c>
      <c r="D1014" s="28" t="s">
        <v>183</v>
      </c>
      <c r="E1014" s="28" t="s">
        <v>604</v>
      </c>
      <c r="F1014" s="28" t="s">
        <v>446</v>
      </c>
      <c r="G1014" s="28" t="s">
        <v>303</v>
      </c>
      <c r="H1014" s="28">
        <v>70669</v>
      </c>
      <c r="I1014" s="28">
        <v>30.242155</v>
      </c>
      <c r="J1014" s="28">
        <v>-93.274386000000007</v>
      </c>
      <c r="K1014" s="28" t="s">
        <v>605</v>
      </c>
      <c r="L1014" s="61">
        <v>110000539757</v>
      </c>
      <c r="M1014" s="28" t="s">
        <v>252</v>
      </c>
      <c r="N1014" s="28">
        <v>2911</v>
      </c>
      <c r="O1014" s="28" t="str">
        <f>IFERROR(VLOOKUP(N1014, 'SIC &amp; NAICS Codes'!A:B, 2, FALSE), "")</f>
        <v>Petroleum Refining</v>
      </c>
      <c r="S1014" s="28">
        <v>13.979519</v>
      </c>
      <c r="T1014" s="315">
        <f>_xlfn.MAXIFS('Raw Period DMR Data'!$O:$O,'Raw Period DMR Data'!$A:$A,'Raw Annual DMR Data'!B1014,'Raw Period DMR Data'!$C:$C,X1014)/S1014</f>
        <v>0.14494339091352143</v>
      </c>
      <c r="U1014" s="28">
        <f>+IF(COUNTIFS('Raw Period DMR Data'!$A:$A,B1014, 'Raw Period DMR Data'!C:C,'Raw Annual DMR Data'!X1014, 'Raw Period DMR Data'!M:M, "&gt;0")&gt;0,_xlfn.MAXIFS('Raw Period DMR Data'!M:M,'Raw Period DMR Data'!$A:$A,'Raw Annual DMR Data'!B1014,'Raw Period DMR Data'!C:C,'Raw Annual DMR Data'!X1014), "N/A - Period DMR Data Not Available")</f>
        <v>6.6616000000000009E-2</v>
      </c>
      <c r="V1014" s="28" cm="1">
        <f t="array" ref="V1014">IFERROR(INDEX('Raw Period DMR Data'!N:N,MATCH(1,(B1014='Raw Period DMR Data'!$A:$A)*(U1014='Raw Period DMR Data'!M:M)*(X1014='Raw Period DMR Data'!C:C),0),1), "N/A")</f>
        <v>92</v>
      </c>
      <c r="W1014" s="28">
        <v>6.6616000000000009E-2</v>
      </c>
      <c r="X1014" s="28" t="s">
        <v>921</v>
      </c>
      <c r="Y1014" s="28" t="s">
        <v>922</v>
      </c>
      <c r="Z1014" s="61">
        <v>8080206001238</v>
      </c>
    </row>
    <row r="1015" spans="1:29" x14ac:dyDescent="0.25">
      <c r="A1015" s="61">
        <v>110028004175</v>
      </c>
      <c r="B1015" s="28">
        <v>2018</v>
      </c>
      <c r="C1015" s="68">
        <f t="shared" si="15"/>
        <v>43101</v>
      </c>
      <c r="D1015" s="28" t="s">
        <v>1291</v>
      </c>
      <c r="E1015" s="28" t="s">
        <v>2119</v>
      </c>
      <c r="F1015" s="28" t="s">
        <v>1292</v>
      </c>
      <c r="G1015" s="28" t="s">
        <v>366</v>
      </c>
      <c r="H1015" s="28">
        <v>90061</v>
      </c>
      <c r="I1015" s="28">
        <v>33.907359999999997</v>
      </c>
      <c r="J1015" s="28">
        <v>-118.2784</v>
      </c>
      <c r="L1015" s="61">
        <v>110028004175</v>
      </c>
      <c r="M1015" s="28" t="s">
        <v>252</v>
      </c>
      <c r="N1015" s="28">
        <v>2992</v>
      </c>
      <c r="O1015" s="28" t="str">
        <f>IFERROR(VLOOKUP(N1015, 'SIC &amp; NAICS Codes'!A:B, 2, FALSE), "")</f>
        <v>Lubricating Oils and Greases</v>
      </c>
      <c r="S1015" s="302">
        <v>1.3193563749999901E-3</v>
      </c>
      <c r="T1015" s="315">
        <f>_xlfn.MAXIFS('Raw Period DMR Data'!$O:$O,'Raw Period DMR Data'!$A:$A,'Raw Annual DMR Data'!B1015,'Raw Period DMR Data'!$C:$C,X1015)/S1015</f>
        <v>0</v>
      </c>
      <c r="U1015" s="28" t="str">
        <f>+IF(COUNTIFS('Raw Period DMR Data'!$A:$A,B1015, 'Raw Period DMR Data'!C:C,'Raw Annual DMR Data'!X1015, 'Raw Period DMR Data'!M:M, "&gt;0")&gt;0,_xlfn.MAXIFS('Raw Period DMR Data'!M:M,'Raw Period DMR Data'!$A:$A,'Raw Annual DMR Data'!B1015,'Raw Period DMR Data'!C:C,'Raw Annual DMR Data'!X1015), "N/A - Period DMR Data Not Available")</f>
        <v>N/A - Period DMR Data Not Available</v>
      </c>
      <c r="V1015" s="28" t="str" cm="1">
        <f t="array" ref="V1015">IFERROR(INDEX('Raw Period DMR Data'!N:N,MATCH(1,(B1015='Raw Period DMR Data'!$A:$A)*(U1015='Raw Period DMR Data'!M:M)*(X1015='Raw Period DMR Data'!C:C),0),1), "N/A")</f>
        <v>N/A</v>
      </c>
      <c r="W1015" s="28" t="s">
        <v>1463</v>
      </c>
      <c r="X1015" s="28" t="s">
        <v>2120</v>
      </c>
      <c r="Y1015" s="28" t="s">
        <v>2121</v>
      </c>
      <c r="Z1015" s="28">
        <v>18070105000116</v>
      </c>
      <c r="AA1015" s="28"/>
      <c r="AB1015" s="28" t="s">
        <v>1465</v>
      </c>
      <c r="AC1015" s="28" t="s">
        <v>1466</v>
      </c>
    </row>
    <row r="1016" spans="1:29" x14ac:dyDescent="0.25">
      <c r="A1016" s="61">
        <v>110006644872</v>
      </c>
      <c r="B1016" s="28">
        <v>2018</v>
      </c>
      <c r="C1016" s="68">
        <f t="shared" si="15"/>
        <v>43101</v>
      </c>
      <c r="D1016" s="28" t="s">
        <v>1293</v>
      </c>
      <c r="E1016" s="28" t="s">
        <v>2122</v>
      </c>
      <c r="F1016" s="28" t="s">
        <v>1294</v>
      </c>
      <c r="G1016" s="28" t="s">
        <v>324</v>
      </c>
      <c r="H1016" s="28">
        <v>41501</v>
      </c>
      <c r="I1016" s="28">
        <v>37.491857000000003</v>
      </c>
      <c r="J1016" s="28">
        <v>-82.539703000000003</v>
      </c>
      <c r="L1016" s="61">
        <v>110006644872</v>
      </c>
      <c r="M1016" s="28" t="s">
        <v>263</v>
      </c>
      <c r="N1016" s="28">
        <v>4952</v>
      </c>
      <c r="O1016" s="28" t="str">
        <f>IFERROR(VLOOKUP(N1016, 'SIC &amp; NAICS Codes'!A:B, 2, FALSE), "")</f>
        <v>Sewerage Systems</v>
      </c>
      <c r="S1016" s="28">
        <v>8.3305957500000005</v>
      </c>
      <c r="T1016" s="315">
        <f>_xlfn.MAXIFS('Raw Period DMR Data'!$O:$O,'Raw Period DMR Data'!$A:$A,'Raw Annual DMR Data'!B1016,'Raw Period DMR Data'!$C:$C,X1016)/S1016</f>
        <v>0</v>
      </c>
      <c r="U1016" s="28" t="str">
        <f>+IF(COUNTIFS('Raw Period DMR Data'!$A:$A,B1016, 'Raw Period DMR Data'!C:C,'Raw Annual DMR Data'!X1016, 'Raw Period DMR Data'!M:M, "&gt;0")&gt;0,_xlfn.MAXIFS('Raw Period DMR Data'!M:M,'Raw Period DMR Data'!$A:$A,'Raw Annual DMR Data'!B1016,'Raw Period DMR Data'!C:C,'Raw Annual DMR Data'!X1016), "N/A - Period DMR Data Not Available")</f>
        <v>N/A - Period DMR Data Not Available</v>
      </c>
      <c r="V1016" s="28" t="str" cm="1">
        <f t="array" ref="V1016">IFERROR(INDEX('Raw Period DMR Data'!N:N,MATCH(1,(B1016='Raw Period DMR Data'!$A:$A)*(U1016='Raw Period DMR Data'!M:M)*(X1016='Raw Period DMR Data'!C:C),0),1), "N/A")</f>
        <v>N/A</v>
      </c>
      <c r="W1016" s="28" t="s">
        <v>1463</v>
      </c>
      <c r="X1016" s="28" t="s">
        <v>2123</v>
      </c>
      <c r="Y1016" s="28" t="s">
        <v>2124</v>
      </c>
      <c r="Z1016" s="302" t="s">
        <v>2125</v>
      </c>
      <c r="AA1016" s="28"/>
      <c r="AB1016" s="28" t="s">
        <v>1465</v>
      </c>
      <c r="AC1016" s="28" t="s">
        <v>263</v>
      </c>
    </row>
    <row r="1017" spans="1:29" x14ac:dyDescent="0.25">
      <c r="A1017" s="61">
        <v>110006644872</v>
      </c>
      <c r="B1017" s="28">
        <v>2019</v>
      </c>
      <c r="C1017" s="68">
        <f t="shared" si="15"/>
        <v>43466</v>
      </c>
      <c r="D1017" s="28" t="s">
        <v>1293</v>
      </c>
      <c r="E1017" s="28" t="s">
        <v>2122</v>
      </c>
      <c r="F1017" s="28" t="s">
        <v>1294</v>
      </c>
      <c r="G1017" s="28" t="s">
        <v>324</v>
      </c>
      <c r="H1017" s="28">
        <v>41501</v>
      </c>
      <c r="I1017" s="28">
        <v>37.491857000000003</v>
      </c>
      <c r="J1017" s="28">
        <v>-82.539703000000003</v>
      </c>
      <c r="L1017" s="61">
        <v>110006644872</v>
      </c>
      <c r="M1017" s="28" t="s">
        <v>263</v>
      </c>
      <c r="N1017" s="28">
        <v>4952</v>
      </c>
      <c r="O1017" s="28" t="str">
        <f>IFERROR(VLOOKUP(N1017, 'SIC &amp; NAICS Codes'!A:B, 2, FALSE), "")</f>
        <v>Sewerage Systems</v>
      </c>
      <c r="S1017" s="28">
        <v>7.6501946875</v>
      </c>
      <c r="T1017" s="315">
        <f>_xlfn.MAXIFS('Raw Period DMR Data'!$O:$O,'Raw Period DMR Data'!$A:$A,'Raw Annual DMR Data'!B1017,'Raw Period DMR Data'!$C:$C,X1017)/S1017</f>
        <v>0</v>
      </c>
      <c r="U1017" s="28" t="str">
        <f>+IF(COUNTIFS('Raw Period DMR Data'!$A:$A,B1017, 'Raw Period DMR Data'!C:C,'Raw Annual DMR Data'!X1017, 'Raw Period DMR Data'!M:M, "&gt;0")&gt;0,_xlfn.MAXIFS('Raw Period DMR Data'!M:M,'Raw Period DMR Data'!$A:$A,'Raw Annual DMR Data'!B1017,'Raw Period DMR Data'!C:C,'Raw Annual DMR Data'!X1017), "N/A - Period DMR Data Not Available")</f>
        <v>N/A - Period DMR Data Not Available</v>
      </c>
      <c r="V1017" s="28" t="str" cm="1">
        <f t="array" ref="V1017">IFERROR(INDEX('Raw Period DMR Data'!N:N,MATCH(1,(B1017='Raw Period DMR Data'!$A:$A)*(U1017='Raw Period DMR Data'!M:M)*(X1017='Raw Period DMR Data'!C:C),0),1), "N/A")</f>
        <v>N/A</v>
      </c>
      <c r="W1017" s="28" t="s">
        <v>1463</v>
      </c>
      <c r="X1017" s="28" t="s">
        <v>2123</v>
      </c>
      <c r="Y1017" s="28" t="s">
        <v>2124</v>
      </c>
      <c r="Z1017" s="28">
        <v>5070203000244</v>
      </c>
      <c r="AA1017" s="28"/>
      <c r="AB1017" s="28" t="s">
        <v>1465</v>
      </c>
      <c r="AC1017" s="28" t="s">
        <v>263</v>
      </c>
    </row>
    <row r="1018" spans="1:29" x14ac:dyDescent="0.25">
      <c r="A1018" s="61">
        <v>110006644872</v>
      </c>
      <c r="B1018" s="28">
        <v>2020</v>
      </c>
      <c r="C1018" s="68">
        <f t="shared" si="15"/>
        <v>43831</v>
      </c>
      <c r="D1018" s="28" t="s">
        <v>1293</v>
      </c>
      <c r="E1018" s="28" t="s">
        <v>2122</v>
      </c>
      <c r="F1018" s="28" t="s">
        <v>1294</v>
      </c>
      <c r="G1018" s="28" t="s">
        <v>324</v>
      </c>
      <c r="H1018" s="28">
        <v>41501</v>
      </c>
      <c r="I1018" s="28">
        <v>37.491857000000003</v>
      </c>
      <c r="J1018" s="28">
        <v>-82.539703000000003</v>
      </c>
      <c r="L1018" s="61">
        <v>110006644872</v>
      </c>
      <c r="M1018" s="28" t="s">
        <v>263</v>
      </c>
      <c r="N1018" s="28">
        <v>4952</v>
      </c>
      <c r="O1018" s="28" t="str">
        <f>IFERROR(VLOOKUP(N1018, 'SIC &amp; NAICS Codes'!A:B, 2, FALSE), "")</f>
        <v>Sewerage Systems</v>
      </c>
      <c r="S1018" s="28">
        <v>1.3628744125000001</v>
      </c>
      <c r="T1018" s="315">
        <f>_xlfn.MAXIFS('Raw Period DMR Data'!$O:$O,'Raw Period DMR Data'!$A:$A,'Raw Annual DMR Data'!B1018,'Raw Period DMR Data'!$C:$C,X1018)/S1018</f>
        <v>0</v>
      </c>
      <c r="U1018" s="28" t="str">
        <f>+IF(COUNTIFS('Raw Period DMR Data'!$A:$A,B1018, 'Raw Period DMR Data'!C:C,'Raw Annual DMR Data'!X1018, 'Raw Period DMR Data'!M:M, "&gt;0")&gt;0,_xlfn.MAXIFS('Raw Period DMR Data'!M:M,'Raw Period DMR Data'!$A:$A,'Raw Annual DMR Data'!B1018,'Raw Period DMR Data'!C:C,'Raw Annual DMR Data'!X1018), "N/A - Period DMR Data Not Available")</f>
        <v>N/A - Period DMR Data Not Available</v>
      </c>
      <c r="V1018" s="28" t="str" cm="1">
        <f t="array" ref="V1018">IFERROR(INDEX('Raw Period DMR Data'!N:N,MATCH(1,(B1018='Raw Period DMR Data'!$A:$A)*(U1018='Raw Period DMR Data'!M:M)*(X1018='Raw Period DMR Data'!C:C),0),1), "N/A")</f>
        <v>N/A</v>
      </c>
      <c r="W1018" s="28" t="s">
        <v>1463</v>
      </c>
      <c r="X1018" s="28" t="s">
        <v>2123</v>
      </c>
      <c r="Y1018" s="28" t="s">
        <v>2124</v>
      </c>
      <c r="Z1018" s="28">
        <v>5070203000244</v>
      </c>
      <c r="AA1018" s="28"/>
      <c r="AB1018" s="28" t="s">
        <v>1465</v>
      </c>
      <c r="AC1018" s="28" t="s">
        <v>263</v>
      </c>
    </row>
    <row r="1019" spans="1:29" x14ac:dyDescent="0.25">
      <c r="A1019" s="61">
        <v>110039276404</v>
      </c>
      <c r="B1019" s="28">
        <v>2015</v>
      </c>
      <c r="C1019" s="68">
        <f t="shared" si="15"/>
        <v>42005</v>
      </c>
      <c r="D1019" s="28" t="s">
        <v>1295</v>
      </c>
      <c r="E1019" s="28" t="s">
        <v>2126</v>
      </c>
      <c r="F1019" s="28" t="s">
        <v>964</v>
      </c>
      <c r="G1019" s="28" t="s">
        <v>374</v>
      </c>
      <c r="H1019" s="28" t="s">
        <v>2127</v>
      </c>
      <c r="I1019" s="28">
        <v>32.334964999999997</v>
      </c>
      <c r="J1019" s="28">
        <v>-111.06332500000001</v>
      </c>
      <c r="L1019" s="61">
        <v>110039276404</v>
      </c>
      <c r="M1019" s="28" t="s">
        <v>263</v>
      </c>
      <c r="N1019" s="28">
        <v>4952</v>
      </c>
      <c r="O1019" s="28" t="str">
        <f>IFERROR(VLOOKUP(N1019, 'SIC &amp; NAICS Codes'!A:B, 2, FALSE), "")</f>
        <v>Sewerage Systems</v>
      </c>
      <c r="S1019" s="28">
        <v>1.8324960164999999</v>
      </c>
      <c r="T1019" s="315">
        <f>_xlfn.MAXIFS('Raw Period DMR Data'!$O:$O,'Raw Period DMR Data'!$A:$A,'Raw Annual DMR Data'!B1019,'Raw Period DMR Data'!$C:$C,X1019)/S1019</f>
        <v>0</v>
      </c>
      <c r="U1019" s="28" t="str">
        <f>+IF(COUNTIFS('Raw Period DMR Data'!$A:$A,B1019, 'Raw Period DMR Data'!C:C,'Raw Annual DMR Data'!X1019, 'Raw Period DMR Data'!M:M, "&gt;0")&gt;0,_xlfn.MAXIFS('Raw Period DMR Data'!M:M,'Raw Period DMR Data'!$A:$A,'Raw Annual DMR Data'!B1019,'Raw Period DMR Data'!C:C,'Raw Annual DMR Data'!X1019), "N/A - Period DMR Data Not Available")</f>
        <v>N/A - Period DMR Data Not Available</v>
      </c>
      <c r="V1019" s="28" t="str" cm="1">
        <f t="array" ref="V1019">IFERROR(INDEX('Raw Period DMR Data'!N:N,MATCH(1,(B1019='Raw Period DMR Data'!$A:$A)*(U1019='Raw Period DMR Data'!M:M)*(X1019='Raw Period DMR Data'!C:C),0),1), "N/A")</f>
        <v>N/A</v>
      </c>
      <c r="W1019" s="28" t="s">
        <v>1463</v>
      </c>
      <c r="X1019" s="28" t="s">
        <v>2128</v>
      </c>
      <c r="Z1019" s="28">
        <v>15060106000338</v>
      </c>
      <c r="AA1019" s="28"/>
      <c r="AB1019" s="28" t="s">
        <v>1465</v>
      </c>
      <c r="AC1019" s="28" t="s">
        <v>263</v>
      </c>
    </row>
    <row r="1020" spans="1:29" x14ac:dyDescent="0.25">
      <c r="A1020" s="61">
        <v>110039276404</v>
      </c>
      <c r="B1020" s="28">
        <v>2016</v>
      </c>
      <c r="C1020" s="68">
        <f t="shared" si="15"/>
        <v>42370</v>
      </c>
      <c r="D1020" s="28" t="s">
        <v>1295</v>
      </c>
      <c r="E1020" s="28" t="s">
        <v>2126</v>
      </c>
      <c r="F1020" s="28" t="s">
        <v>964</v>
      </c>
      <c r="G1020" s="28" t="s">
        <v>374</v>
      </c>
      <c r="H1020" s="28" t="s">
        <v>2127</v>
      </c>
      <c r="I1020" s="28">
        <v>32.334964999999997</v>
      </c>
      <c r="J1020" s="28">
        <v>-111.06332500000001</v>
      </c>
      <c r="L1020" s="61">
        <v>110039276404</v>
      </c>
      <c r="M1020" s="28" t="s">
        <v>263</v>
      </c>
      <c r="N1020" s="28">
        <v>4952</v>
      </c>
      <c r="O1020" s="28" t="str">
        <f>IFERROR(VLOOKUP(N1020, 'SIC &amp; NAICS Codes'!A:B, 2, FALSE), "")</f>
        <v>Sewerage Systems</v>
      </c>
      <c r="S1020" s="28">
        <v>1.8227789752500001</v>
      </c>
      <c r="T1020" s="315">
        <f>_xlfn.MAXIFS('Raw Period DMR Data'!$O:$O,'Raw Period DMR Data'!$A:$A,'Raw Annual DMR Data'!B1020,'Raw Period DMR Data'!$C:$C,X1020)/S1020</f>
        <v>0</v>
      </c>
      <c r="U1020" s="28" t="str">
        <f>+IF(COUNTIFS('Raw Period DMR Data'!$A:$A,B1020, 'Raw Period DMR Data'!C:C,'Raw Annual DMR Data'!X1020, 'Raw Period DMR Data'!M:M, "&gt;0")&gt;0,_xlfn.MAXIFS('Raw Period DMR Data'!M:M,'Raw Period DMR Data'!$A:$A,'Raw Annual DMR Data'!B1020,'Raw Period DMR Data'!C:C,'Raw Annual DMR Data'!X1020), "N/A - Period DMR Data Not Available")</f>
        <v>N/A - Period DMR Data Not Available</v>
      </c>
      <c r="V1020" s="28" t="str" cm="1">
        <f t="array" ref="V1020">IFERROR(INDEX('Raw Period DMR Data'!N:N,MATCH(1,(B1020='Raw Period DMR Data'!$A:$A)*(U1020='Raw Period DMR Data'!M:M)*(X1020='Raw Period DMR Data'!C:C),0),1), "N/A")</f>
        <v>N/A</v>
      </c>
      <c r="W1020" s="28" t="s">
        <v>1463</v>
      </c>
      <c r="X1020" s="28" t="s">
        <v>2128</v>
      </c>
      <c r="Z1020" s="28">
        <v>15060106000338</v>
      </c>
      <c r="AA1020" s="28"/>
      <c r="AB1020" s="28" t="s">
        <v>1465</v>
      </c>
      <c r="AC1020" s="28" t="s">
        <v>263</v>
      </c>
    </row>
    <row r="1021" spans="1:29" x14ac:dyDescent="0.25">
      <c r="A1021" s="61">
        <v>110039276404</v>
      </c>
      <c r="B1021" s="28">
        <v>2017</v>
      </c>
      <c r="C1021" s="68">
        <f t="shared" si="15"/>
        <v>42736</v>
      </c>
      <c r="D1021" s="28" t="s">
        <v>1295</v>
      </c>
      <c r="E1021" s="28" t="s">
        <v>2126</v>
      </c>
      <c r="F1021" s="28" t="s">
        <v>964</v>
      </c>
      <c r="G1021" s="28" t="s">
        <v>374</v>
      </c>
      <c r="H1021" s="28" t="s">
        <v>2127</v>
      </c>
      <c r="I1021" s="28">
        <v>32.334964999999997</v>
      </c>
      <c r="J1021" s="28">
        <v>-111.06332500000001</v>
      </c>
      <c r="L1021" s="61">
        <v>110039276404</v>
      </c>
      <c r="M1021" s="28" t="s">
        <v>263</v>
      </c>
      <c r="N1021" s="28">
        <v>4952</v>
      </c>
      <c r="O1021" s="28" t="str">
        <f>IFERROR(VLOOKUP(N1021, 'SIC &amp; NAICS Codes'!A:B, 2, FALSE), "")</f>
        <v>Sewerage Systems</v>
      </c>
      <c r="S1021" s="28">
        <v>1.688186457</v>
      </c>
      <c r="T1021" s="315">
        <f>_xlfn.MAXIFS('Raw Period DMR Data'!$O:$O,'Raw Period DMR Data'!$A:$A,'Raw Annual DMR Data'!B1021,'Raw Period DMR Data'!$C:$C,X1021)/S1021</f>
        <v>0</v>
      </c>
      <c r="U1021" s="28" t="str">
        <f>+IF(COUNTIFS('Raw Period DMR Data'!$A:$A,B1021, 'Raw Period DMR Data'!C:C,'Raw Annual DMR Data'!X1021, 'Raw Period DMR Data'!M:M, "&gt;0")&gt;0,_xlfn.MAXIFS('Raw Period DMR Data'!M:M,'Raw Period DMR Data'!$A:$A,'Raw Annual DMR Data'!B1021,'Raw Period DMR Data'!C:C,'Raw Annual DMR Data'!X1021), "N/A - Period DMR Data Not Available")</f>
        <v>N/A - Period DMR Data Not Available</v>
      </c>
      <c r="V1021" s="28" t="str" cm="1">
        <f t="array" ref="V1021">IFERROR(INDEX('Raw Period DMR Data'!N:N,MATCH(1,(B1021='Raw Period DMR Data'!$A:$A)*(U1021='Raw Period DMR Data'!M:M)*(X1021='Raw Period DMR Data'!C:C),0),1), "N/A")</f>
        <v>N/A</v>
      </c>
      <c r="W1021" s="28" t="s">
        <v>1463</v>
      </c>
      <c r="X1021" s="28" t="s">
        <v>2128</v>
      </c>
      <c r="Z1021" s="28">
        <v>15060106000338</v>
      </c>
      <c r="AA1021" s="28"/>
      <c r="AB1021" s="28" t="s">
        <v>1465</v>
      </c>
      <c r="AC1021" s="28" t="s">
        <v>263</v>
      </c>
    </row>
    <row r="1022" spans="1:29" x14ac:dyDescent="0.25">
      <c r="A1022" s="61">
        <v>110039276404</v>
      </c>
      <c r="B1022" s="28">
        <v>2018</v>
      </c>
      <c r="C1022" s="68">
        <f t="shared" si="15"/>
        <v>43101</v>
      </c>
      <c r="D1022" s="28" t="s">
        <v>1295</v>
      </c>
      <c r="E1022" s="28" t="s">
        <v>2126</v>
      </c>
      <c r="F1022" s="28" t="s">
        <v>964</v>
      </c>
      <c r="G1022" s="28" t="s">
        <v>374</v>
      </c>
      <c r="H1022" s="28" t="s">
        <v>2127</v>
      </c>
      <c r="I1022" s="28">
        <v>32.334964999999997</v>
      </c>
      <c r="J1022" s="28">
        <v>-111.06332500000001</v>
      </c>
      <c r="L1022" s="61">
        <v>110039276404</v>
      </c>
      <c r="M1022" s="28" t="s">
        <v>263</v>
      </c>
      <c r="N1022" s="28">
        <v>4952</v>
      </c>
      <c r="O1022" s="28" t="str">
        <f>IFERROR(VLOOKUP(N1022, 'SIC &amp; NAICS Codes'!A:B, 2, FALSE), "")</f>
        <v>Sewerage Systems</v>
      </c>
      <c r="S1022" s="28">
        <v>3.4681822525000001</v>
      </c>
      <c r="T1022" s="315">
        <f>_xlfn.MAXIFS('Raw Period DMR Data'!$O:$O,'Raw Period DMR Data'!$A:$A,'Raw Annual DMR Data'!B1022,'Raw Period DMR Data'!$C:$C,X1022)/S1022</f>
        <v>0</v>
      </c>
      <c r="U1022" s="28" t="str">
        <f>+IF(COUNTIFS('Raw Period DMR Data'!$A:$A,B1022, 'Raw Period DMR Data'!C:C,'Raw Annual DMR Data'!X1022, 'Raw Period DMR Data'!M:M, "&gt;0")&gt;0,_xlfn.MAXIFS('Raw Period DMR Data'!M:M,'Raw Period DMR Data'!$A:$A,'Raw Annual DMR Data'!B1022,'Raw Period DMR Data'!C:C,'Raw Annual DMR Data'!X1022), "N/A - Period DMR Data Not Available")</f>
        <v>N/A - Period DMR Data Not Available</v>
      </c>
      <c r="V1022" s="28" t="str" cm="1">
        <f t="array" ref="V1022">IFERROR(INDEX('Raw Period DMR Data'!N:N,MATCH(1,(B1022='Raw Period DMR Data'!$A:$A)*(U1022='Raw Period DMR Data'!M:M)*(X1022='Raw Period DMR Data'!C:C),0),1), "N/A")</f>
        <v>N/A</v>
      </c>
      <c r="W1022" s="28" t="s">
        <v>1463</v>
      </c>
      <c r="X1022" s="28" t="s">
        <v>2128</v>
      </c>
      <c r="Z1022" s="28">
        <v>15060106000338</v>
      </c>
      <c r="AA1022" s="28"/>
      <c r="AB1022" s="28" t="s">
        <v>1465</v>
      </c>
      <c r="AC1022" s="28" t="s">
        <v>263</v>
      </c>
    </row>
    <row r="1023" spans="1:29" x14ac:dyDescent="0.25">
      <c r="A1023" s="61">
        <v>110024409460</v>
      </c>
      <c r="B1023" s="28">
        <v>2015</v>
      </c>
      <c r="C1023" s="68">
        <f t="shared" si="15"/>
        <v>42005</v>
      </c>
      <c r="D1023" s="28" t="s">
        <v>1296</v>
      </c>
      <c r="E1023" s="28" t="s">
        <v>2129</v>
      </c>
      <c r="F1023" s="28" t="s">
        <v>1297</v>
      </c>
      <c r="G1023" s="28" t="s">
        <v>374</v>
      </c>
      <c r="H1023" s="28">
        <v>86510</v>
      </c>
      <c r="I1023" s="28">
        <v>35.092222</v>
      </c>
      <c r="J1023" s="28">
        <v>-110.22666700000001</v>
      </c>
      <c r="L1023" s="61">
        <v>110024409460</v>
      </c>
      <c r="M1023" s="28" t="s">
        <v>263</v>
      </c>
      <c r="N1023" s="28">
        <v>4952</v>
      </c>
      <c r="O1023" s="28" t="str">
        <f>IFERROR(VLOOKUP(N1023, 'SIC &amp; NAICS Codes'!A:B, 2, FALSE), "")</f>
        <v>Sewerage Systems</v>
      </c>
      <c r="S1023" s="28">
        <v>0.68060356</v>
      </c>
      <c r="T1023" s="315">
        <f>_xlfn.MAXIFS('Raw Period DMR Data'!$O:$O,'Raw Period DMR Data'!$A:$A,'Raw Annual DMR Data'!B1023,'Raw Period DMR Data'!$C:$C,X1023)/S1023</f>
        <v>0</v>
      </c>
      <c r="U1023" s="28" t="str">
        <f>+IF(COUNTIFS('Raw Period DMR Data'!$A:$A,B1023, 'Raw Period DMR Data'!C:C,'Raw Annual DMR Data'!X1023, 'Raw Period DMR Data'!M:M, "&gt;0")&gt;0,_xlfn.MAXIFS('Raw Period DMR Data'!M:M,'Raw Period DMR Data'!$A:$A,'Raw Annual DMR Data'!B1023,'Raw Period DMR Data'!C:C,'Raw Annual DMR Data'!X1023), "N/A - Period DMR Data Not Available")</f>
        <v>N/A - Period DMR Data Not Available</v>
      </c>
      <c r="V1023" s="28" t="str" cm="1">
        <f t="array" ref="V1023">IFERROR(INDEX('Raw Period DMR Data'!N:N,MATCH(1,(B1023='Raw Period DMR Data'!$A:$A)*(U1023='Raw Period DMR Data'!M:M)*(X1023='Raw Period DMR Data'!C:C),0),1), "N/A")</f>
        <v>N/A</v>
      </c>
      <c r="W1023" s="28" t="s">
        <v>1463</v>
      </c>
      <c r="X1023" s="28" t="s">
        <v>2130</v>
      </c>
      <c r="Y1023" s="28" t="s">
        <v>2131</v>
      </c>
      <c r="Z1023" s="28">
        <v>15020011000140</v>
      </c>
      <c r="AA1023" s="28"/>
      <c r="AB1023" s="28" t="s">
        <v>1465</v>
      </c>
      <c r="AC1023" s="28" t="s">
        <v>263</v>
      </c>
    </row>
    <row r="1024" spans="1:29" x14ac:dyDescent="0.25">
      <c r="A1024" s="61">
        <v>110010058757</v>
      </c>
      <c r="B1024" s="28">
        <v>2019</v>
      </c>
      <c r="C1024" s="68">
        <f t="shared" si="15"/>
        <v>43466</v>
      </c>
      <c r="D1024" s="28" t="s">
        <v>1298</v>
      </c>
      <c r="E1024" s="28" t="s">
        <v>2132</v>
      </c>
      <c r="F1024" s="28" t="s">
        <v>1299</v>
      </c>
      <c r="G1024" s="28" t="s">
        <v>366</v>
      </c>
      <c r="H1024" s="28">
        <v>96122</v>
      </c>
      <c r="I1024" s="28">
        <v>39.805480000000003</v>
      </c>
      <c r="J1024" s="28">
        <v>-120.47149</v>
      </c>
      <c r="L1024" s="61">
        <v>110010058757</v>
      </c>
      <c r="M1024" s="28" t="s">
        <v>263</v>
      </c>
      <c r="N1024" s="28">
        <v>4952</v>
      </c>
      <c r="O1024" s="28" t="str">
        <f>IFERROR(VLOOKUP(N1024, 'SIC &amp; NAICS Codes'!A:B, 2, FALSE), "")</f>
        <v>Sewerage Systems</v>
      </c>
      <c r="S1024" s="28">
        <v>1.5032373525E-2</v>
      </c>
      <c r="T1024" s="315">
        <f>_xlfn.MAXIFS('Raw Period DMR Data'!$O:$O,'Raw Period DMR Data'!$A:$A,'Raw Annual DMR Data'!B1024,'Raw Period DMR Data'!$C:$C,X1024)/S1024</f>
        <v>0</v>
      </c>
      <c r="U1024" s="28" t="str">
        <f>+IF(COUNTIFS('Raw Period DMR Data'!$A:$A,B1024, 'Raw Period DMR Data'!C:C,'Raw Annual DMR Data'!X1024, 'Raw Period DMR Data'!M:M, "&gt;0")&gt;0,_xlfn.MAXIFS('Raw Period DMR Data'!M:M,'Raw Period DMR Data'!$A:$A,'Raw Annual DMR Data'!B1024,'Raw Period DMR Data'!C:C,'Raw Annual DMR Data'!X1024), "N/A - Period DMR Data Not Available")</f>
        <v>N/A - Period DMR Data Not Available</v>
      </c>
      <c r="V1024" s="28" t="str" cm="1">
        <f t="array" ref="V1024">IFERROR(INDEX('Raw Period DMR Data'!N:N,MATCH(1,(B1024='Raw Period DMR Data'!$A:$A)*(U1024='Raw Period DMR Data'!M:M)*(X1024='Raw Period DMR Data'!C:C),0),1), "N/A")</f>
        <v>N/A</v>
      </c>
      <c r="W1024" s="28" t="s">
        <v>1463</v>
      </c>
      <c r="X1024" s="28" t="s">
        <v>2133</v>
      </c>
      <c r="Y1024" s="28" t="s">
        <v>2134</v>
      </c>
      <c r="Z1024" s="28">
        <v>18020123000184</v>
      </c>
      <c r="AA1024" s="28"/>
      <c r="AB1024" s="28" t="s">
        <v>1465</v>
      </c>
      <c r="AC1024" s="28" t="s">
        <v>263</v>
      </c>
    </row>
    <row r="1025" spans="1:29" x14ac:dyDescent="0.25">
      <c r="A1025" s="61">
        <v>110070884091</v>
      </c>
      <c r="B1025" s="28">
        <v>2020</v>
      </c>
      <c r="C1025" s="68">
        <f t="shared" si="15"/>
        <v>43831</v>
      </c>
      <c r="D1025" s="28" t="s">
        <v>1300</v>
      </c>
      <c r="E1025" s="28" t="s">
        <v>2135</v>
      </c>
      <c r="F1025" s="28" t="s">
        <v>968</v>
      </c>
      <c r="G1025" s="28" t="s">
        <v>294</v>
      </c>
      <c r="H1025" s="28">
        <v>22301</v>
      </c>
      <c r="I1025" s="28">
        <v>38.828830000000004</v>
      </c>
      <c r="J1025" s="28">
        <v>-77.049679999999995</v>
      </c>
      <c r="L1025" s="61">
        <v>110070884091</v>
      </c>
      <c r="M1025" s="28" t="s">
        <v>265</v>
      </c>
      <c r="N1025" s="28">
        <v>1794</v>
      </c>
      <c r="O1025" s="28" t="str">
        <f>IFERROR(VLOOKUP(N1025, 'SIC &amp; NAICS Codes'!A:B, 2, FALSE), "")</f>
        <v>Excavation Work</v>
      </c>
      <c r="S1025" s="28">
        <v>0.24077141999999899</v>
      </c>
      <c r="T1025" s="315">
        <f>_xlfn.MAXIFS('Raw Period DMR Data'!$O:$O,'Raw Period DMR Data'!$A:$A,'Raw Annual DMR Data'!B1025,'Raw Period DMR Data'!$C:$C,X1025)/S1025</f>
        <v>0</v>
      </c>
      <c r="U1025" s="28" t="str">
        <f>+IF(COUNTIFS('Raw Period DMR Data'!$A:$A,B1025, 'Raw Period DMR Data'!C:C,'Raw Annual DMR Data'!X1025, 'Raw Period DMR Data'!M:M, "&gt;0")&gt;0,_xlfn.MAXIFS('Raw Period DMR Data'!M:M,'Raw Period DMR Data'!$A:$A,'Raw Annual DMR Data'!B1025,'Raw Period DMR Data'!C:C,'Raw Annual DMR Data'!X1025), "N/A - Period DMR Data Not Available")</f>
        <v>N/A - Period DMR Data Not Available</v>
      </c>
      <c r="V1025" s="28" t="str" cm="1">
        <f t="array" ref="V1025">IFERROR(INDEX('Raw Period DMR Data'!N:N,MATCH(1,(B1025='Raw Period DMR Data'!$A:$A)*(U1025='Raw Period DMR Data'!M:M)*(X1025='Raw Period DMR Data'!C:C),0),1), "N/A")</f>
        <v>N/A</v>
      </c>
      <c r="W1025" s="28" t="s">
        <v>1463</v>
      </c>
      <c r="X1025" s="28" t="s">
        <v>2136</v>
      </c>
      <c r="Y1025" s="28" t="s">
        <v>1475</v>
      </c>
      <c r="AA1025" s="28"/>
      <c r="AB1025" s="28" t="s">
        <v>1465</v>
      </c>
      <c r="AC1025" s="28" t="s">
        <v>1466</v>
      </c>
    </row>
    <row r="1026" spans="1:29" x14ac:dyDescent="0.25">
      <c r="A1026" s="61">
        <v>110070884091</v>
      </c>
      <c r="B1026" s="28">
        <v>2020</v>
      </c>
      <c r="C1026" s="68">
        <f t="shared" si="15"/>
        <v>43831</v>
      </c>
      <c r="D1026" s="28" t="s">
        <v>1300</v>
      </c>
      <c r="E1026" s="28" t="s">
        <v>2135</v>
      </c>
      <c r="F1026" s="28" t="s">
        <v>968</v>
      </c>
      <c r="G1026" s="28" t="s">
        <v>294</v>
      </c>
      <c r="H1026" s="28">
        <v>22301</v>
      </c>
      <c r="I1026" s="28">
        <v>38.828830000000004</v>
      </c>
      <c r="J1026" s="28">
        <v>-77.049679999999995</v>
      </c>
      <c r="L1026" s="61">
        <v>110070884091</v>
      </c>
      <c r="M1026" s="28" t="s">
        <v>265</v>
      </c>
      <c r="N1026" s="28">
        <v>1794</v>
      </c>
      <c r="O1026" s="28" t="str">
        <f>IFERROR(VLOOKUP(N1026, 'SIC &amp; NAICS Codes'!A:B, 2, FALSE), "")</f>
        <v>Excavation Work</v>
      </c>
      <c r="S1026" s="28">
        <v>0.24077141999999899</v>
      </c>
      <c r="T1026" s="315">
        <f>_xlfn.MAXIFS('Raw Period DMR Data'!$O:$O,'Raw Period DMR Data'!$A:$A,'Raw Annual DMR Data'!B1026,'Raw Period DMR Data'!$C:$C,X1026)/S1026</f>
        <v>0</v>
      </c>
      <c r="U1026" s="28" t="str">
        <f>+IF(COUNTIFS('Raw Period DMR Data'!$A:$A,B1026, 'Raw Period DMR Data'!C:C,'Raw Annual DMR Data'!X1026, 'Raw Period DMR Data'!M:M, "&gt;0")&gt;0,_xlfn.MAXIFS('Raw Period DMR Data'!M:M,'Raw Period DMR Data'!$A:$A,'Raw Annual DMR Data'!B1026,'Raw Period DMR Data'!C:C,'Raw Annual DMR Data'!X1026), "N/A - Period DMR Data Not Available")</f>
        <v>N/A - Period DMR Data Not Available</v>
      </c>
      <c r="V1026" s="28" t="str" cm="1">
        <f t="array" ref="V1026">IFERROR(INDEX('Raw Period DMR Data'!N:N,MATCH(1,(B1026='Raw Period DMR Data'!$A:$A)*(U1026='Raw Period DMR Data'!M:M)*(X1026='Raw Period DMR Data'!C:C),0),1), "N/A")</f>
        <v>N/A</v>
      </c>
      <c r="W1026" s="28" t="s">
        <v>1463</v>
      </c>
      <c r="X1026" s="28" t="s">
        <v>2136</v>
      </c>
      <c r="Y1026" s="28" t="s">
        <v>1475</v>
      </c>
      <c r="AA1026" s="28"/>
      <c r="AB1026" s="28" t="s">
        <v>1465</v>
      </c>
      <c r="AC1026" s="28" t="s">
        <v>1466</v>
      </c>
    </row>
    <row r="1027" spans="1:29" x14ac:dyDescent="0.25">
      <c r="A1027" s="61">
        <v>110044852068</v>
      </c>
      <c r="B1027" s="28">
        <v>2018</v>
      </c>
      <c r="C1027" s="68">
        <f t="shared" ref="C1027:C1090" si="16">DATE(B1027, 1, 1)</f>
        <v>43101</v>
      </c>
      <c r="D1027" s="28" t="s">
        <v>1301</v>
      </c>
      <c r="E1027" s="28" t="s">
        <v>2137</v>
      </c>
      <c r="F1027" s="28" t="s">
        <v>1302</v>
      </c>
      <c r="G1027" s="28" t="s">
        <v>345</v>
      </c>
      <c r="H1027" s="28" t="s">
        <v>2138</v>
      </c>
      <c r="I1027" s="28">
        <v>38.2774</v>
      </c>
      <c r="J1027" s="28">
        <v>-89.666899999999998</v>
      </c>
      <c r="K1027" s="28" t="s">
        <v>731</v>
      </c>
      <c r="L1027" s="61">
        <v>110044852068</v>
      </c>
      <c r="M1027" s="28" t="s">
        <v>265</v>
      </c>
      <c r="N1027" s="28">
        <v>4911</v>
      </c>
      <c r="O1027" s="28" t="str">
        <f>IFERROR(VLOOKUP(N1027, 'SIC &amp; NAICS Codes'!A:B, 2, FALSE), "")</f>
        <v>Electric Services (hydroelectric power generation)</v>
      </c>
      <c r="S1027" s="28">
        <v>1.5611232500000001</v>
      </c>
      <c r="T1027" s="315">
        <f>_xlfn.MAXIFS('Raw Period DMR Data'!$O:$O,'Raw Period DMR Data'!$A:$A,'Raw Annual DMR Data'!B1027,'Raw Period DMR Data'!$C:$C,X1027)/S1027</f>
        <v>0</v>
      </c>
      <c r="U1027" s="28" t="str">
        <f>+IF(COUNTIFS('Raw Period DMR Data'!$A:$A,B1027, 'Raw Period DMR Data'!C:C,'Raw Annual DMR Data'!X1027, 'Raw Period DMR Data'!M:M, "&gt;0")&gt;0,_xlfn.MAXIFS('Raw Period DMR Data'!M:M,'Raw Period DMR Data'!$A:$A,'Raw Annual DMR Data'!B1027,'Raw Period DMR Data'!C:C,'Raw Annual DMR Data'!X1027), "N/A - Period DMR Data Not Available")</f>
        <v>N/A - Period DMR Data Not Available</v>
      </c>
      <c r="V1027" s="28" t="str" cm="1">
        <f t="array" ref="V1027">IFERROR(INDEX('Raw Period DMR Data'!N:N,MATCH(1,(B1027='Raw Period DMR Data'!$A:$A)*(U1027='Raw Period DMR Data'!M:M)*(X1027='Raw Period DMR Data'!C:C),0),1), "N/A")</f>
        <v>N/A</v>
      </c>
      <c r="W1027" s="28" t="s">
        <v>1463</v>
      </c>
      <c r="X1027" s="28" t="s">
        <v>2139</v>
      </c>
      <c r="Y1027" s="28" t="s">
        <v>2140</v>
      </c>
      <c r="Z1027" s="302" t="s">
        <v>2141</v>
      </c>
      <c r="AA1027" s="28"/>
      <c r="AB1027" s="28" t="s">
        <v>1465</v>
      </c>
      <c r="AC1027" s="28" t="s">
        <v>1466</v>
      </c>
    </row>
    <row r="1028" spans="1:29" x14ac:dyDescent="0.25">
      <c r="A1028" s="61">
        <v>110044852068</v>
      </c>
      <c r="B1028" s="28">
        <v>2019</v>
      </c>
      <c r="C1028" s="68">
        <f t="shared" si="16"/>
        <v>43466</v>
      </c>
      <c r="D1028" s="28" t="s">
        <v>1301</v>
      </c>
      <c r="E1028" s="28" t="s">
        <v>2137</v>
      </c>
      <c r="F1028" s="28" t="s">
        <v>1302</v>
      </c>
      <c r="G1028" s="28" t="s">
        <v>345</v>
      </c>
      <c r="H1028" s="28" t="s">
        <v>2138</v>
      </c>
      <c r="I1028" s="28">
        <v>38.2774</v>
      </c>
      <c r="J1028" s="28">
        <v>-89.666899999999998</v>
      </c>
      <c r="K1028" s="28" t="s">
        <v>731</v>
      </c>
      <c r="L1028" s="61">
        <v>110044852068</v>
      </c>
      <c r="M1028" s="28" t="s">
        <v>265</v>
      </c>
      <c r="N1028" s="28">
        <v>4911</v>
      </c>
      <c r="O1028" s="28" t="str">
        <f>IFERROR(VLOOKUP(N1028, 'SIC &amp; NAICS Codes'!A:B, 2, FALSE), "")</f>
        <v>Electric Services (hydroelectric power generation)</v>
      </c>
      <c r="S1028" s="28">
        <v>2.0336048</v>
      </c>
      <c r="T1028" s="315">
        <f>_xlfn.MAXIFS('Raw Period DMR Data'!$O:$O,'Raw Period DMR Data'!$A:$A,'Raw Annual DMR Data'!B1028,'Raw Period DMR Data'!$C:$C,X1028)/S1028</f>
        <v>0</v>
      </c>
      <c r="U1028" s="28" t="str">
        <f>+IF(COUNTIFS('Raw Period DMR Data'!$A:$A,B1028, 'Raw Period DMR Data'!C:C,'Raw Annual DMR Data'!X1028, 'Raw Period DMR Data'!M:M, "&gt;0")&gt;0,_xlfn.MAXIFS('Raw Period DMR Data'!M:M,'Raw Period DMR Data'!$A:$A,'Raw Annual DMR Data'!B1028,'Raw Period DMR Data'!C:C,'Raw Annual DMR Data'!X1028), "N/A - Period DMR Data Not Available")</f>
        <v>N/A - Period DMR Data Not Available</v>
      </c>
      <c r="V1028" s="28" t="str" cm="1">
        <f t="array" ref="V1028">IFERROR(INDEX('Raw Period DMR Data'!N:N,MATCH(1,(B1028='Raw Period DMR Data'!$A:$A)*(U1028='Raw Period DMR Data'!M:M)*(X1028='Raw Period DMR Data'!C:C),0),1), "N/A")</f>
        <v>N/A</v>
      </c>
      <c r="W1028" s="28" t="s">
        <v>1463</v>
      </c>
      <c r="X1028" s="28" t="s">
        <v>2139</v>
      </c>
      <c r="Y1028" s="28" t="s">
        <v>2140</v>
      </c>
      <c r="Z1028" s="28">
        <v>7140204002294</v>
      </c>
      <c r="AA1028" s="28"/>
      <c r="AB1028" s="28" t="s">
        <v>1465</v>
      </c>
      <c r="AC1028" s="28" t="s">
        <v>1466</v>
      </c>
    </row>
    <row r="1029" spans="1:29" x14ac:dyDescent="0.25">
      <c r="A1029" s="61">
        <v>110044852068</v>
      </c>
      <c r="B1029" s="28">
        <v>2020</v>
      </c>
      <c r="C1029" s="68">
        <f t="shared" si="16"/>
        <v>43831</v>
      </c>
      <c r="D1029" s="28" t="s">
        <v>1301</v>
      </c>
      <c r="E1029" s="28" t="s">
        <v>2137</v>
      </c>
      <c r="F1029" s="28" t="s">
        <v>1302</v>
      </c>
      <c r="G1029" s="28" t="s">
        <v>345</v>
      </c>
      <c r="H1029" s="28" t="s">
        <v>2138</v>
      </c>
      <c r="I1029" s="28">
        <v>38.2774</v>
      </c>
      <c r="J1029" s="28">
        <v>-89.666899999999998</v>
      </c>
      <c r="K1029" s="28" t="s">
        <v>731</v>
      </c>
      <c r="L1029" s="61">
        <v>110044852068</v>
      </c>
      <c r="M1029" s="28" t="s">
        <v>265</v>
      </c>
      <c r="N1029" s="28">
        <v>4911</v>
      </c>
      <c r="O1029" s="28" t="str">
        <f>IFERROR(VLOOKUP(N1029, 'SIC &amp; NAICS Codes'!A:B, 2, FALSE), "")</f>
        <v>Electric Services (hydroelectric power generation)</v>
      </c>
      <c r="S1029" s="28">
        <v>2.0337429524999999</v>
      </c>
      <c r="T1029" s="315">
        <f>_xlfn.MAXIFS('Raw Period DMR Data'!$O:$O,'Raw Period DMR Data'!$A:$A,'Raw Annual DMR Data'!B1029,'Raw Period DMR Data'!$C:$C,X1029)/S1029</f>
        <v>0</v>
      </c>
      <c r="U1029" s="28" t="str">
        <f>+IF(COUNTIFS('Raw Period DMR Data'!$A:$A,B1029, 'Raw Period DMR Data'!C:C,'Raw Annual DMR Data'!X1029, 'Raw Period DMR Data'!M:M, "&gt;0")&gt;0,_xlfn.MAXIFS('Raw Period DMR Data'!M:M,'Raw Period DMR Data'!$A:$A,'Raw Annual DMR Data'!B1029,'Raw Period DMR Data'!C:C,'Raw Annual DMR Data'!X1029), "N/A - Period DMR Data Not Available")</f>
        <v>N/A - Period DMR Data Not Available</v>
      </c>
      <c r="V1029" s="28" t="str" cm="1">
        <f t="array" ref="V1029">IFERROR(INDEX('Raw Period DMR Data'!N:N,MATCH(1,(B1029='Raw Period DMR Data'!$A:$A)*(U1029='Raw Period DMR Data'!M:M)*(X1029='Raw Period DMR Data'!C:C),0),1), "N/A")</f>
        <v>N/A</v>
      </c>
      <c r="W1029" s="28" t="s">
        <v>1463</v>
      </c>
      <c r="X1029" s="28" t="s">
        <v>2139</v>
      </c>
      <c r="Y1029" s="28" t="s">
        <v>2140</v>
      </c>
      <c r="Z1029" s="28">
        <v>7140204002294</v>
      </c>
      <c r="AA1029" s="28"/>
      <c r="AB1029" s="28" t="s">
        <v>1465</v>
      </c>
      <c r="AC1029" s="28" t="s">
        <v>1466</v>
      </c>
    </row>
    <row r="1030" spans="1:29" x14ac:dyDescent="0.25">
      <c r="A1030" s="61">
        <v>110010062528</v>
      </c>
      <c r="B1030" s="28">
        <v>2015</v>
      </c>
      <c r="C1030" s="68">
        <f t="shared" si="16"/>
        <v>42005</v>
      </c>
      <c r="D1030" s="28" t="s">
        <v>1303</v>
      </c>
      <c r="E1030" s="28" t="s">
        <v>2142</v>
      </c>
      <c r="F1030" s="28" t="s">
        <v>1304</v>
      </c>
      <c r="G1030" s="28" t="s">
        <v>374</v>
      </c>
      <c r="H1030" s="28">
        <v>85346</v>
      </c>
      <c r="I1030" s="28">
        <v>33.708300000000001</v>
      </c>
      <c r="J1030" s="28">
        <v>-114.2206</v>
      </c>
      <c r="L1030" s="61">
        <v>110010062528</v>
      </c>
      <c r="M1030" s="28" t="s">
        <v>263</v>
      </c>
      <c r="N1030" s="28">
        <v>4952</v>
      </c>
      <c r="O1030" s="28" t="str">
        <f>IFERROR(VLOOKUP(N1030, 'SIC &amp; NAICS Codes'!A:B, 2, FALSE), "")</f>
        <v>Sewerage Systems</v>
      </c>
      <c r="S1030" s="28">
        <v>0.29219253750000002</v>
      </c>
      <c r="T1030" s="315">
        <f>_xlfn.MAXIFS('Raw Period DMR Data'!$O:$O,'Raw Period DMR Data'!$A:$A,'Raw Annual DMR Data'!B1030,'Raw Period DMR Data'!$C:$C,X1030)/S1030</f>
        <v>0</v>
      </c>
      <c r="U1030" s="28" t="str">
        <f>+IF(COUNTIFS('Raw Period DMR Data'!$A:$A,B1030, 'Raw Period DMR Data'!C:C,'Raw Annual DMR Data'!X1030, 'Raw Period DMR Data'!M:M, "&gt;0")&gt;0,_xlfn.MAXIFS('Raw Period DMR Data'!M:M,'Raw Period DMR Data'!$A:$A,'Raw Annual DMR Data'!B1030,'Raw Period DMR Data'!C:C,'Raw Annual DMR Data'!X1030), "N/A - Period DMR Data Not Available")</f>
        <v>N/A - Period DMR Data Not Available</v>
      </c>
      <c r="V1030" s="28" t="str" cm="1">
        <f t="array" ref="V1030">IFERROR(INDEX('Raw Period DMR Data'!N:N,MATCH(1,(B1030='Raw Period DMR Data'!$A:$A)*(U1030='Raw Period DMR Data'!M:M)*(X1030='Raw Period DMR Data'!C:C),0),1), "N/A")</f>
        <v>N/A</v>
      </c>
      <c r="W1030" s="28" t="s">
        <v>1463</v>
      </c>
      <c r="X1030" s="28" t="s">
        <v>2143</v>
      </c>
      <c r="Z1030" s="28">
        <v>15060106000006</v>
      </c>
      <c r="AA1030" s="28"/>
      <c r="AB1030" s="28" t="s">
        <v>1465</v>
      </c>
      <c r="AC1030" s="28" t="s">
        <v>263</v>
      </c>
    </row>
    <row r="1031" spans="1:29" x14ac:dyDescent="0.25">
      <c r="A1031" s="61">
        <v>110070602296</v>
      </c>
      <c r="B1031" s="28">
        <v>2019</v>
      </c>
      <c r="C1031" s="68">
        <f t="shared" si="16"/>
        <v>43466</v>
      </c>
      <c r="D1031" s="28" t="s">
        <v>1305</v>
      </c>
      <c r="E1031" s="28" t="s">
        <v>2144</v>
      </c>
      <c r="F1031" s="28" t="s">
        <v>293</v>
      </c>
      <c r="G1031" s="28" t="s">
        <v>294</v>
      </c>
      <c r="H1031" s="28">
        <v>22209</v>
      </c>
      <c r="I1031" s="28">
        <v>38.89546</v>
      </c>
      <c r="J1031" s="28">
        <v>-77.076479000000006</v>
      </c>
      <c r="L1031" s="61">
        <v>110070602296</v>
      </c>
      <c r="M1031" s="28" t="s">
        <v>265</v>
      </c>
      <c r="N1031" s="28">
        <v>1794</v>
      </c>
      <c r="O1031" s="28" t="str">
        <f>IFERROR(VLOOKUP(N1031, 'SIC &amp; NAICS Codes'!A:B, 2, FALSE), "")</f>
        <v>Excavation Work</v>
      </c>
      <c r="S1031" s="28">
        <v>2.5347387999999898E-3</v>
      </c>
      <c r="T1031" s="315">
        <f>_xlfn.MAXIFS('Raw Period DMR Data'!$O:$O,'Raw Period DMR Data'!$A:$A,'Raw Annual DMR Data'!B1031,'Raw Period DMR Data'!$C:$C,X1031)/S1031</f>
        <v>0</v>
      </c>
      <c r="U1031" s="28" t="str">
        <f>+IF(COUNTIFS('Raw Period DMR Data'!$A:$A,B1031, 'Raw Period DMR Data'!C:C,'Raw Annual DMR Data'!X1031, 'Raw Period DMR Data'!M:M, "&gt;0")&gt;0,_xlfn.MAXIFS('Raw Period DMR Data'!M:M,'Raw Period DMR Data'!$A:$A,'Raw Annual DMR Data'!B1031,'Raw Period DMR Data'!C:C,'Raw Annual DMR Data'!X1031), "N/A - Period DMR Data Not Available")</f>
        <v>N/A - Period DMR Data Not Available</v>
      </c>
      <c r="V1031" s="28" t="str" cm="1">
        <f t="array" ref="V1031">IFERROR(INDEX('Raw Period DMR Data'!N:N,MATCH(1,(B1031='Raw Period DMR Data'!$A:$A)*(U1031='Raw Period DMR Data'!M:M)*(X1031='Raw Period DMR Data'!C:C),0),1), "N/A")</f>
        <v>N/A</v>
      </c>
      <c r="W1031" s="28" t="s">
        <v>1463</v>
      </c>
      <c r="X1031" s="28" t="s">
        <v>2145</v>
      </c>
      <c r="Y1031" s="28" t="s">
        <v>762</v>
      </c>
      <c r="AA1031" s="28"/>
      <c r="AB1031" s="28" t="s">
        <v>1465</v>
      </c>
      <c r="AC1031" s="28" t="s">
        <v>1466</v>
      </c>
    </row>
    <row r="1032" spans="1:29" x14ac:dyDescent="0.25">
      <c r="A1032" s="61">
        <v>110070602296</v>
      </c>
      <c r="B1032" s="28">
        <v>2020</v>
      </c>
      <c r="C1032" s="68">
        <f t="shared" si="16"/>
        <v>43831</v>
      </c>
      <c r="D1032" s="28" t="s">
        <v>1305</v>
      </c>
      <c r="E1032" s="28" t="s">
        <v>2144</v>
      </c>
      <c r="F1032" s="28" t="s">
        <v>293</v>
      </c>
      <c r="G1032" s="28" t="s">
        <v>294</v>
      </c>
      <c r="H1032" s="28">
        <v>22209</v>
      </c>
      <c r="I1032" s="28">
        <v>38.89546</v>
      </c>
      <c r="J1032" s="28">
        <v>-77.076479000000006</v>
      </c>
      <c r="L1032" s="61">
        <v>110070602296</v>
      </c>
      <c r="M1032" s="28" t="s">
        <v>265</v>
      </c>
      <c r="N1032" s="28">
        <v>1794</v>
      </c>
      <c r="O1032" s="28" t="str">
        <f>IFERROR(VLOOKUP(N1032, 'SIC &amp; NAICS Codes'!A:B, 2, FALSE), "")</f>
        <v>Excavation Work</v>
      </c>
      <c r="S1032" s="28">
        <v>3.9138868199999899E-3</v>
      </c>
      <c r="T1032" s="315">
        <f>_xlfn.MAXIFS('Raw Period DMR Data'!$O:$O,'Raw Period DMR Data'!$A:$A,'Raw Annual DMR Data'!B1032,'Raw Period DMR Data'!$C:$C,X1032)/S1032</f>
        <v>0</v>
      </c>
      <c r="U1032" s="28" t="str">
        <f>+IF(COUNTIFS('Raw Period DMR Data'!$A:$A,B1032, 'Raw Period DMR Data'!C:C,'Raw Annual DMR Data'!X1032, 'Raw Period DMR Data'!M:M, "&gt;0")&gt;0,_xlfn.MAXIFS('Raw Period DMR Data'!M:M,'Raw Period DMR Data'!$A:$A,'Raw Annual DMR Data'!B1032,'Raw Period DMR Data'!C:C,'Raw Annual DMR Data'!X1032), "N/A - Period DMR Data Not Available")</f>
        <v>N/A - Period DMR Data Not Available</v>
      </c>
      <c r="V1032" s="28" t="str" cm="1">
        <f t="array" ref="V1032">IFERROR(INDEX('Raw Period DMR Data'!N:N,MATCH(1,(B1032='Raw Period DMR Data'!$A:$A)*(U1032='Raw Period DMR Data'!M:M)*(X1032='Raw Period DMR Data'!C:C),0),1), "N/A")</f>
        <v>N/A</v>
      </c>
      <c r="W1032" s="28" t="s">
        <v>1463</v>
      </c>
      <c r="X1032" s="28" t="s">
        <v>2145</v>
      </c>
      <c r="Y1032" s="28" t="s">
        <v>762</v>
      </c>
      <c r="AA1032" s="28"/>
      <c r="AB1032" s="28" t="s">
        <v>1465</v>
      </c>
      <c r="AC1032" s="28" t="s">
        <v>1466</v>
      </c>
    </row>
    <row r="1033" spans="1:29" x14ac:dyDescent="0.25">
      <c r="A1033" s="61">
        <v>110000732253</v>
      </c>
      <c r="B1033" s="28">
        <v>2019</v>
      </c>
      <c r="C1033" s="68">
        <f t="shared" si="16"/>
        <v>43466</v>
      </c>
      <c r="D1033" s="28" t="s">
        <v>1306</v>
      </c>
      <c r="E1033" s="28" t="s">
        <v>2146</v>
      </c>
      <c r="F1033" s="28" t="s">
        <v>1307</v>
      </c>
      <c r="G1033" s="28" t="s">
        <v>324</v>
      </c>
      <c r="H1033" s="28">
        <v>40160</v>
      </c>
      <c r="I1033" s="28">
        <v>37.845027999999999</v>
      </c>
      <c r="J1033" s="28">
        <v>-85.940962999999996</v>
      </c>
      <c r="L1033" s="61">
        <v>110000732253</v>
      </c>
      <c r="M1033" s="28" t="s">
        <v>263</v>
      </c>
      <c r="N1033" s="28">
        <v>4952</v>
      </c>
      <c r="O1033" s="28" t="str">
        <f>IFERROR(VLOOKUP(N1033, 'SIC &amp; NAICS Codes'!A:B, 2, FALSE), "")</f>
        <v>Sewerage Systems</v>
      </c>
      <c r="S1033" s="28">
        <v>13.5216759375</v>
      </c>
      <c r="T1033" s="315">
        <f>_xlfn.MAXIFS('Raw Period DMR Data'!$O:$O,'Raw Period DMR Data'!$A:$A,'Raw Annual DMR Data'!B1033,'Raw Period DMR Data'!$C:$C,X1033)/S1033</f>
        <v>0</v>
      </c>
      <c r="U1033" s="28" t="str">
        <f>+IF(COUNTIFS('Raw Period DMR Data'!$A:$A,B1033, 'Raw Period DMR Data'!C:C,'Raw Annual DMR Data'!X1033, 'Raw Period DMR Data'!M:M, "&gt;0")&gt;0,_xlfn.MAXIFS('Raw Period DMR Data'!M:M,'Raw Period DMR Data'!$A:$A,'Raw Annual DMR Data'!B1033,'Raw Period DMR Data'!C:C,'Raw Annual DMR Data'!X1033), "N/A - Period DMR Data Not Available")</f>
        <v>N/A - Period DMR Data Not Available</v>
      </c>
      <c r="V1033" s="28" t="str" cm="1">
        <f t="array" ref="V1033">IFERROR(INDEX('Raw Period DMR Data'!N:N,MATCH(1,(B1033='Raw Period DMR Data'!$A:$A)*(U1033='Raw Period DMR Data'!M:M)*(X1033='Raw Period DMR Data'!C:C),0),1), "N/A")</f>
        <v>N/A</v>
      </c>
      <c r="W1033" s="28" t="s">
        <v>1463</v>
      </c>
      <c r="X1033" s="28" t="s">
        <v>2147</v>
      </c>
      <c r="Y1033" s="28" t="s">
        <v>2148</v>
      </c>
      <c r="Z1033" s="28">
        <v>5140102000422</v>
      </c>
      <c r="AA1033" s="28"/>
      <c r="AB1033" s="28" t="s">
        <v>1465</v>
      </c>
      <c r="AC1033" s="28" t="s">
        <v>263</v>
      </c>
    </row>
    <row r="1034" spans="1:29" x14ac:dyDescent="0.25">
      <c r="A1034" s="61">
        <v>110000732253</v>
      </c>
      <c r="B1034" s="28">
        <v>2020</v>
      </c>
      <c r="C1034" s="68">
        <f t="shared" si="16"/>
        <v>43831</v>
      </c>
      <c r="D1034" s="28" t="s">
        <v>1306</v>
      </c>
      <c r="E1034" s="28" t="s">
        <v>2146</v>
      </c>
      <c r="F1034" s="28" t="s">
        <v>1307</v>
      </c>
      <c r="G1034" s="28" t="s">
        <v>324</v>
      </c>
      <c r="H1034" s="28">
        <v>40160</v>
      </c>
      <c r="I1034" s="28">
        <v>37.845027999999999</v>
      </c>
      <c r="J1034" s="28">
        <v>-85.940962999999996</v>
      </c>
      <c r="L1034" s="61">
        <v>110000732253</v>
      </c>
      <c r="M1034" s="28" t="s">
        <v>263</v>
      </c>
      <c r="N1034" s="28">
        <v>4952</v>
      </c>
      <c r="O1034" s="28" t="str">
        <f>IFERROR(VLOOKUP(N1034, 'SIC &amp; NAICS Codes'!A:B, 2, FALSE), "")</f>
        <v>Sewerage Systems</v>
      </c>
      <c r="S1034" s="28">
        <v>8.2511580625000001</v>
      </c>
      <c r="T1034" s="315">
        <f>_xlfn.MAXIFS('Raw Period DMR Data'!$O:$O,'Raw Period DMR Data'!$A:$A,'Raw Annual DMR Data'!B1034,'Raw Period DMR Data'!$C:$C,X1034)/S1034</f>
        <v>0</v>
      </c>
      <c r="U1034" s="28" t="str">
        <f>+IF(COUNTIFS('Raw Period DMR Data'!$A:$A,B1034, 'Raw Period DMR Data'!C:C,'Raw Annual DMR Data'!X1034, 'Raw Period DMR Data'!M:M, "&gt;0")&gt;0,_xlfn.MAXIFS('Raw Period DMR Data'!M:M,'Raw Period DMR Data'!$A:$A,'Raw Annual DMR Data'!B1034,'Raw Period DMR Data'!C:C,'Raw Annual DMR Data'!X1034), "N/A - Period DMR Data Not Available")</f>
        <v>N/A - Period DMR Data Not Available</v>
      </c>
      <c r="V1034" s="28" t="str" cm="1">
        <f t="array" ref="V1034">IFERROR(INDEX('Raw Period DMR Data'!N:N,MATCH(1,(B1034='Raw Period DMR Data'!$A:$A)*(U1034='Raw Period DMR Data'!M:M)*(X1034='Raw Period DMR Data'!C:C),0),1), "N/A")</f>
        <v>N/A</v>
      </c>
      <c r="W1034" s="28" t="s">
        <v>1463</v>
      </c>
      <c r="X1034" s="28" t="s">
        <v>2147</v>
      </c>
      <c r="Y1034" s="28" t="s">
        <v>2148</v>
      </c>
      <c r="Z1034" s="28">
        <v>5140102000422</v>
      </c>
      <c r="AA1034" s="28"/>
      <c r="AB1034" s="28" t="s">
        <v>1465</v>
      </c>
      <c r="AC1034" s="28" t="s">
        <v>263</v>
      </c>
    </row>
    <row r="1035" spans="1:29" x14ac:dyDescent="0.25">
      <c r="A1035" s="61">
        <v>110041253256</v>
      </c>
      <c r="B1035" s="28">
        <v>2016</v>
      </c>
      <c r="C1035" s="68">
        <f t="shared" si="16"/>
        <v>42370</v>
      </c>
      <c r="D1035" s="28" t="s">
        <v>1308</v>
      </c>
      <c r="E1035" s="28" t="s">
        <v>2149</v>
      </c>
      <c r="F1035" s="28" t="s">
        <v>657</v>
      </c>
      <c r="G1035" s="28" t="s">
        <v>418</v>
      </c>
      <c r="H1035" s="28">
        <v>89109</v>
      </c>
      <c r="I1035" s="28">
        <v>36.132570000000001</v>
      </c>
      <c r="J1035" s="28">
        <v>-115.16477</v>
      </c>
      <c r="L1035" s="61">
        <v>110041253256</v>
      </c>
      <c r="M1035" s="28" t="s">
        <v>264</v>
      </c>
      <c r="N1035" s="28">
        <v>7011</v>
      </c>
      <c r="O1035" s="28" t="str">
        <f>IFERROR(VLOOKUP(N1035, 'SIC &amp; NAICS Codes'!A:B, 2, FALSE), "")</f>
        <v>Hotels and Motels (hotels, except casino hotels, and motels)</v>
      </c>
      <c r="S1035" s="28">
        <v>3.3992422624999998E-2</v>
      </c>
      <c r="T1035" s="315">
        <f>_xlfn.MAXIFS('Raw Period DMR Data'!$O:$O,'Raw Period DMR Data'!$A:$A,'Raw Annual DMR Data'!B1035,'Raw Period DMR Data'!$C:$C,X1035)/S1035</f>
        <v>0</v>
      </c>
      <c r="U1035" s="28" t="str">
        <f>+IF(COUNTIFS('Raw Period DMR Data'!$A:$A,B1035, 'Raw Period DMR Data'!C:C,'Raw Annual DMR Data'!X1035, 'Raw Period DMR Data'!M:M, "&gt;0")&gt;0,_xlfn.MAXIFS('Raw Period DMR Data'!M:M,'Raw Period DMR Data'!$A:$A,'Raw Annual DMR Data'!B1035,'Raw Period DMR Data'!C:C,'Raw Annual DMR Data'!X1035), "N/A - Period DMR Data Not Available")</f>
        <v>N/A - Period DMR Data Not Available</v>
      </c>
      <c r="V1035" s="28" t="str" cm="1">
        <f t="array" ref="V1035">IFERROR(INDEX('Raw Period DMR Data'!N:N,MATCH(1,(B1035='Raw Period DMR Data'!$A:$A)*(U1035='Raw Period DMR Data'!M:M)*(X1035='Raw Period DMR Data'!C:C),0),1), "N/A")</f>
        <v>N/A</v>
      </c>
      <c r="W1035" s="28" t="s">
        <v>1463</v>
      </c>
      <c r="X1035" s="28" t="s">
        <v>2150</v>
      </c>
      <c r="Y1035" s="28" t="s">
        <v>2151</v>
      </c>
      <c r="Z1035" s="28">
        <v>15010015000432</v>
      </c>
      <c r="AA1035" s="28"/>
      <c r="AB1035" s="28" t="s">
        <v>1465</v>
      </c>
      <c r="AC1035" s="28" t="s">
        <v>1466</v>
      </c>
    </row>
    <row r="1036" spans="1:29" x14ac:dyDescent="0.25">
      <c r="A1036" s="61">
        <v>110041253256</v>
      </c>
      <c r="B1036" s="28">
        <v>2017</v>
      </c>
      <c r="C1036" s="68">
        <f t="shared" si="16"/>
        <v>42736</v>
      </c>
      <c r="D1036" s="28" t="s">
        <v>1308</v>
      </c>
      <c r="E1036" s="28" t="s">
        <v>2149</v>
      </c>
      <c r="F1036" s="28" t="s">
        <v>657</v>
      </c>
      <c r="G1036" s="28" t="s">
        <v>418</v>
      </c>
      <c r="H1036" s="28">
        <v>89109</v>
      </c>
      <c r="I1036" s="28">
        <v>36.132570000000001</v>
      </c>
      <c r="J1036" s="28">
        <v>-115.16477</v>
      </c>
      <c r="L1036" s="61">
        <v>110041253256</v>
      </c>
      <c r="M1036" s="28" t="s">
        <v>264</v>
      </c>
      <c r="N1036" s="28">
        <v>7011</v>
      </c>
      <c r="O1036" s="28" t="str">
        <f>IFERROR(VLOOKUP(N1036, 'SIC &amp; NAICS Codes'!A:B, 2, FALSE), "")</f>
        <v>Hotels and Motels (hotels, except casino hotels, and motels)</v>
      </c>
      <c r="S1036" s="28">
        <v>0.10430513750000001</v>
      </c>
      <c r="T1036" s="315">
        <f>_xlfn.MAXIFS('Raw Period DMR Data'!$O:$O,'Raw Period DMR Data'!$A:$A,'Raw Annual DMR Data'!B1036,'Raw Period DMR Data'!$C:$C,X1036)/S1036</f>
        <v>0</v>
      </c>
      <c r="U1036" s="28" t="str">
        <f>+IF(COUNTIFS('Raw Period DMR Data'!$A:$A,B1036, 'Raw Period DMR Data'!C:C,'Raw Annual DMR Data'!X1036, 'Raw Period DMR Data'!M:M, "&gt;0")&gt;0,_xlfn.MAXIFS('Raw Period DMR Data'!M:M,'Raw Period DMR Data'!$A:$A,'Raw Annual DMR Data'!B1036,'Raw Period DMR Data'!C:C,'Raw Annual DMR Data'!X1036), "N/A - Period DMR Data Not Available")</f>
        <v>N/A - Period DMR Data Not Available</v>
      </c>
      <c r="V1036" s="28" t="str" cm="1">
        <f t="array" ref="V1036">IFERROR(INDEX('Raw Period DMR Data'!N:N,MATCH(1,(B1036='Raw Period DMR Data'!$A:$A)*(U1036='Raw Period DMR Data'!M:M)*(X1036='Raw Period DMR Data'!C:C),0),1), "N/A")</f>
        <v>N/A</v>
      </c>
      <c r="W1036" s="28" t="s">
        <v>1463</v>
      </c>
      <c r="X1036" s="28" t="s">
        <v>2150</v>
      </c>
      <c r="Y1036" s="28" t="s">
        <v>2151</v>
      </c>
      <c r="Z1036" s="28">
        <v>15010015000432</v>
      </c>
      <c r="AA1036" s="28"/>
      <c r="AB1036" s="28" t="s">
        <v>1465</v>
      </c>
      <c r="AC1036" s="28" t="s">
        <v>1466</v>
      </c>
    </row>
    <row r="1037" spans="1:29" x14ac:dyDescent="0.25">
      <c r="A1037" s="61">
        <v>110041253256</v>
      </c>
      <c r="B1037" s="28">
        <v>2018</v>
      </c>
      <c r="C1037" s="68">
        <f t="shared" si="16"/>
        <v>43101</v>
      </c>
      <c r="D1037" s="28" t="s">
        <v>1308</v>
      </c>
      <c r="E1037" s="28" t="s">
        <v>2149</v>
      </c>
      <c r="F1037" s="28" t="s">
        <v>657</v>
      </c>
      <c r="G1037" s="28" t="s">
        <v>418</v>
      </c>
      <c r="H1037" s="28">
        <v>89109</v>
      </c>
      <c r="I1037" s="28">
        <v>36.132570000000001</v>
      </c>
      <c r="J1037" s="28">
        <v>-115.16477</v>
      </c>
      <c r="L1037" s="61">
        <v>110041253256</v>
      </c>
      <c r="M1037" s="28" t="s">
        <v>264</v>
      </c>
      <c r="N1037" s="28">
        <v>7011</v>
      </c>
      <c r="O1037" s="28" t="str">
        <f>IFERROR(VLOOKUP(N1037, 'SIC &amp; NAICS Codes'!A:B, 2, FALSE), "")</f>
        <v>Hotels and Motels (hotels, except casino hotels, and motels)</v>
      </c>
      <c r="S1037" s="28">
        <v>0.11881115</v>
      </c>
      <c r="T1037" s="315">
        <f>_xlfn.MAXIFS('Raw Period DMR Data'!$O:$O,'Raw Period DMR Data'!$A:$A,'Raw Annual DMR Data'!B1037,'Raw Period DMR Data'!$C:$C,X1037)/S1037</f>
        <v>0</v>
      </c>
      <c r="U1037" s="28" t="str">
        <f>+IF(COUNTIFS('Raw Period DMR Data'!$A:$A,B1037, 'Raw Period DMR Data'!C:C,'Raw Annual DMR Data'!X1037, 'Raw Period DMR Data'!M:M, "&gt;0")&gt;0,_xlfn.MAXIFS('Raw Period DMR Data'!M:M,'Raw Period DMR Data'!$A:$A,'Raw Annual DMR Data'!B1037,'Raw Period DMR Data'!C:C,'Raw Annual DMR Data'!X1037), "N/A - Period DMR Data Not Available")</f>
        <v>N/A - Period DMR Data Not Available</v>
      </c>
      <c r="V1037" s="28" t="str" cm="1">
        <f t="array" ref="V1037">IFERROR(INDEX('Raw Period DMR Data'!N:N,MATCH(1,(B1037='Raw Period DMR Data'!$A:$A)*(U1037='Raw Period DMR Data'!M:M)*(X1037='Raw Period DMR Data'!C:C),0),1), "N/A")</f>
        <v>N/A</v>
      </c>
      <c r="W1037" s="28" t="s">
        <v>1463</v>
      </c>
      <c r="X1037" s="28" t="s">
        <v>2150</v>
      </c>
      <c r="Y1037" s="28" t="s">
        <v>2151</v>
      </c>
      <c r="Z1037" s="28">
        <v>15010015000432</v>
      </c>
      <c r="AA1037" s="28"/>
      <c r="AB1037" s="28" t="s">
        <v>1465</v>
      </c>
      <c r="AC1037" s="28" t="s">
        <v>1466</v>
      </c>
    </row>
    <row r="1038" spans="1:29" x14ac:dyDescent="0.25">
      <c r="A1038" s="61">
        <v>110041253256</v>
      </c>
      <c r="B1038" s="28">
        <v>2019</v>
      </c>
      <c r="C1038" s="68">
        <f t="shared" si="16"/>
        <v>43466</v>
      </c>
      <c r="D1038" s="28" t="s">
        <v>1308</v>
      </c>
      <c r="E1038" s="28" t="s">
        <v>2149</v>
      </c>
      <c r="F1038" s="28" t="s">
        <v>657</v>
      </c>
      <c r="G1038" s="28" t="s">
        <v>418</v>
      </c>
      <c r="H1038" s="28">
        <v>89109</v>
      </c>
      <c r="I1038" s="28">
        <v>36.132570000000001</v>
      </c>
      <c r="J1038" s="28">
        <v>-115.16477</v>
      </c>
      <c r="L1038" s="61">
        <v>110041253256</v>
      </c>
      <c r="M1038" s="28" t="s">
        <v>264</v>
      </c>
      <c r="N1038" s="28">
        <v>7011</v>
      </c>
      <c r="O1038" s="28" t="str">
        <f>IFERROR(VLOOKUP(N1038, 'SIC &amp; NAICS Codes'!A:B, 2, FALSE), "")</f>
        <v>Hotels and Motels (hotels, except casino hotels, and motels)</v>
      </c>
      <c r="S1038" s="28">
        <v>7.8746924999999995E-2</v>
      </c>
      <c r="T1038" s="315">
        <f>_xlfn.MAXIFS('Raw Period DMR Data'!$O:$O,'Raw Period DMR Data'!$A:$A,'Raw Annual DMR Data'!B1038,'Raw Period DMR Data'!$C:$C,X1038)/S1038</f>
        <v>0</v>
      </c>
      <c r="U1038" s="28" t="str">
        <f>+IF(COUNTIFS('Raw Period DMR Data'!$A:$A,B1038, 'Raw Period DMR Data'!C:C,'Raw Annual DMR Data'!X1038, 'Raw Period DMR Data'!M:M, "&gt;0")&gt;0,_xlfn.MAXIFS('Raw Period DMR Data'!M:M,'Raw Period DMR Data'!$A:$A,'Raw Annual DMR Data'!B1038,'Raw Period DMR Data'!C:C,'Raw Annual DMR Data'!X1038), "N/A - Period DMR Data Not Available")</f>
        <v>N/A - Period DMR Data Not Available</v>
      </c>
      <c r="V1038" s="28" t="str" cm="1">
        <f t="array" ref="V1038">IFERROR(INDEX('Raw Period DMR Data'!N:N,MATCH(1,(B1038='Raw Period DMR Data'!$A:$A)*(U1038='Raw Period DMR Data'!M:M)*(X1038='Raw Period DMR Data'!C:C),0),1), "N/A")</f>
        <v>N/A</v>
      </c>
      <c r="W1038" s="28" t="s">
        <v>1463</v>
      </c>
      <c r="X1038" s="28" t="s">
        <v>2150</v>
      </c>
      <c r="Y1038" s="28" t="s">
        <v>2151</v>
      </c>
      <c r="Z1038" s="28">
        <v>15010015000432</v>
      </c>
      <c r="AA1038" s="28"/>
      <c r="AB1038" s="28" t="s">
        <v>1465</v>
      </c>
      <c r="AC1038" s="28" t="s">
        <v>1466</v>
      </c>
    </row>
    <row r="1039" spans="1:29" x14ac:dyDescent="0.25">
      <c r="A1039" s="61">
        <v>110041253256</v>
      </c>
      <c r="B1039" s="28">
        <v>2020</v>
      </c>
      <c r="C1039" s="68">
        <f t="shared" si="16"/>
        <v>43831</v>
      </c>
      <c r="D1039" s="28" t="s">
        <v>1308</v>
      </c>
      <c r="E1039" s="28" t="s">
        <v>2149</v>
      </c>
      <c r="F1039" s="28" t="s">
        <v>657</v>
      </c>
      <c r="G1039" s="28" t="s">
        <v>418</v>
      </c>
      <c r="H1039" s="28">
        <v>89109</v>
      </c>
      <c r="I1039" s="28">
        <v>36.132570000000001</v>
      </c>
      <c r="J1039" s="28">
        <v>-115.16477</v>
      </c>
      <c r="L1039" s="61">
        <v>110041253256</v>
      </c>
      <c r="M1039" s="28" t="s">
        <v>264</v>
      </c>
      <c r="N1039" s="28">
        <v>7011</v>
      </c>
      <c r="O1039" s="28" t="str">
        <f>IFERROR(VLOOKUP(N1039, 'SIC &amp; NAICS Codes'!A:B, 2, FALSE), "")</f>
        <v>Hotels and Motels (hotels, except casino hotels, and motels)</v>
      </c>
      <c r="S1039" s="28">
        <v>0.1222649625</v>
      </c>
      <c r="T1039" s="315">
        <f>_xlfn.MAXIFS('Raw Period DMR Data'!$O:$O,'Raw Period DMR Data'!$A:$A,'Raw Annual DMR Data'!B1039,'Raw Period DMR Data'!$C:$C,X1039)/S1039</f>
        <v>0</v>
      </c>
      <c r="U1039" s="28" t="str">
        <f>+IF(COUNTIFS('Raw Period DMR Data'!$A:$A,B1039, 'Raw Period DMR Data'!C:C,'Raw Annual DMR Data'!X1039, 'Raw Period DMR Data'!M:M, "&gt;0")&gt;0,_xlfn.MAXIFS('Raw Period DMR Data'!M:M,'Raw Period DMR Data'!$A:$A,'Raw Annual DMR Data'!B1039,'Raw Period DMR Data'!C:C,'Raw Annual DMR Data'!X1039), "N/A - Period DMR Data Not Available")</f>
        <v>N/A - Period DMR Data Not Available</v>
      </c>
      <c r="V1039" s="28" t="str" cm="1">
        <f t="array" ref="V1039">IFERROR(INDEX('Raw Period DMR Data'!N:N,MATCH(1,(B1039='Raw Period DMR Data'!$A:$A)*(U1039='Raw Period DMR Data'!M:M)*(X1039='Raw Period DMR Data'!C:C),0),1), "N/A")</f>
        <v>N/A</v>
      </c>
      <c r="W1039" s="28" t="s">
        <v>1463</v>
      </c>
      <c r="X1039" s="28" t="s">
        <v>2150</v>
      </c>
      <c r="Y1039" s="28" t="s">
        <v>2151</v>
      </c>
      <c r="Z1039" s="28">
        <v>15010015000432</v>
      </c>
      <c r="AA1039" s="28"/>
      <c r="AB1039" s="28" t="s">
        <v>1465</v>
      </c>
      <c r="AC1039" s="28" t="s">
        <v>1466</v>
      </c>
    </row>
    <row r="1040" spans="1:29" x14ac:dyDescent="0.25">
      <c r="A1040" s="61">
        <v>110000525842</v>
      </c>
      <c r="B1040" s="28">
        <v>2015</v>
      </c>
      <c r="C1040" s="68">
        <f t="shared" si="16"/>
        <v>42005</v>
      </c>
      <c r="D1040" s="28" t="s">
        <v>1309</v>
      </c>
      <c r="E1040" s="28" t="s">
        <v>2152</v>
      </c>
      <c r="F1040" s="28" t="s">
        <v>1310</v>
      </c>
      <c r="G1040" s="28" t="s">
        <v>366</v>
      </c>
      <c r="H1040" s="28">
        <v>92316</v>
      </c>
      <c r="I1040" s="28">
        <v>34.055900000000001</v>
      </c>
      <c r="J1040" s="28">
        <v>-117.36134</v>
      </c>
      <c r="L1040" s="61">
        <v>110000525842</v>
      </c>
      <c r="M1040" s="28" t="s">
        <v>263</v>
      </c>
      <c r="N1040" s="28">
        <v>4952</v>
      </c>
      <c r="O1040" s="28" t="str">
        <f>IFERROR(VLOOKUP(N1040, 'SIC &amp; NAICS Codes'!A:B, 2, FALSE), "")</f>
        <v>Sewerage Systems</v>
      </c>
      <c r="S1040" s="28">
        <v>0.93800816249999996</v>
      </c>
      <c r="T1040" s="315">
        <f>_xlfn.MAXIFS('Raw Period DMR Data'!$O:$O,'Raw Period DMR Data'!$A:$A,'Raw Annual DMR Data'!B1040,'Raw Period DMR Data'!$C:$C,X1040)/S1040</f>
        <v>0</v>
      </c>
      <c r="U1040" s="28" t="str">
        <f>+IF(COUNTIFS('Raw Period DMR Data'!$A:$A,B1040, 'Raw Period DMR Data'!C:C,'Raw Annual DMR Data'!X1040, 'Raw Period DMR Data'!M:M, "&gt;0")&gt;0,_xlfn.MAXIFS('Raw Period DMR Data'!M:M,'Raw Period DMR Data'!$A:$A,'Raw Annual DMR Data'!B1040,'Raw Period DMR Data'!C:C,'Raw Annual DMR Data'!X1040), "N/A - Period DMR Data Not Available")</f>
        <v>N/A - Period DMR Data Not Available</v>
      </c>
      <c r="V1040" s="28" t="str" cm="1">
        <f t="array" ref="V1040">IFERROR(INDEX('Raw Period DMR Data'!N:N,MATCH(1,(B1040='Raw Period DMR Data'!$A:$A)*(U1040='Raw Period DMR Data'!M:M)*(X1040='Raw Period DMR Data'!C:C),0),1), "N/A")</f>
        <v>N/A</v>
      </c>
      <c r="W1040" s="28" t="s">
        <v>1463</v>
      </c>
      <c r="X1040" s="28" t="s">
        <v>2153</v>
      </c>
      <c r="Y1040" s="28" t="s">
        <v>2154</v>
      </c>
      <c r="Z1040" s="28">
        <v>18070203002243</v>
      </c>
      <c r="AA1040" s="28"/>
      <c r="AB1040" s="28" t="s">
        <v>1465</v>
      </c>
      <c r="AC1040" s="28" t="s">
        <v>263</v>
      </c>
    </row>
    <row r="1041" spans="1:29" x14ac:dyDescent="0.25">
      <c r="A1041" s="61">
        <v>110000525842</v>
      </c>
      <c r="B1041" s="28">
        <v>2016</v>
      </c>
      <c r="C1041" s="68">
        <f t="shared" si="16"/>
        <v>42370</v>
      </c>
      <c r="D1041" s="28" t="s">
        <v>1309</v>
      </c>
      <c r="E1041" s="28" t="s">
        <v>2152</v>
      </c>
      <c r="F1041" s="28" t="s">
        <v>1310</v>
      </c>
      <c r="G1041" s="28" t="s">
        <v>366</v>
      </c>
      <c r="H1041" s="28">
        <v>92316</v>
      </c>
      <c r="I1041" s="28">
        <v>34.055900000000001</v>
      </c>
      <c r="J1041" s="28">
        <v>-117.36134</v>
      </c>
      <c r="L1041" s="61">
        <v>110000525842</v>
      </c>
      <c r="M1041" s="28" t="s">
        <v>263</v>
      </c>
      <c r="N1041" s="28">
        <v>4952</v>
      </c>
      <c r="O1041" s="28" t="str">
        <f>IFERROR(VLOOKUP(N1041, 'SIC &amp; NAICS Codes'!A:B, 2, FALSE), "")</f>
        <v>Sewerage Systems</v>
      </c>
      <c r="S1041" s="28">
        <v>1.04871846625</v>
      </c>
      <c r="T1041" s="315">
        <f>_xlfn.MAXIFS('Raw Period DMR Data'!$O:$O,'Raw Period DMR Data'!$A:$A,'Raw Annual DMR Data'!B1041,'Raw Period DMR Data'!$C:$C,X1041)/S1041</f>
        <v>0</v>
      </c>
      <c r="U1041" s="28" t="str">
        <f>+IF(COUNTIFS('Raw Period DMR Data'!$A:$A,B1041, 'Raw Period DMR Data'!C:C,'Raw Annual DMR Data'!X1041, 'Raw Period DMR Data'!M:M, "&gt;0")&gt;0,_xlfn.MAXIFS('Raw Period DMR Data'!M:M,'Raw Period DMR Data'!$A:$A,'Raw Annual DMR Data'!B1041,'Raw Period DMR Data'!C:C,'Raw Annual DMR Data'!X1041), "N/A - Period DMR Data Not Available")</f>
        <v>N/A - Period DMR Data Not Available</v>
      </c>
      <c r="V1041" s="28" t="str" cm="1">
        <f t="array" ref="V1041">IFERROR(INDEX('Raw Period DMR Data'!N:N,MATCH(1,(B1041='Raw Period DMR Data'!$A:$A)*(U1041='Raw Period DMR Data'!M:M)*(X1041='Raw Period DMR Data'!C:C),0),1), "N/A")</f>
        <v>N/A</v>
      </c>
      <c r="W1041" s="28" t="s">
        <v>1463</v>
      </c>
      <c r="X1041" s="28" t="s">
        <v>2153</v>
      </c>
      <c r="Y1041" s="28" t="s">
        <v>2154</v>
      </c>
      <c r="Z1041" s="28">
        <v>18070203002243</v>
      </c>
      <c r="AA1041" s="28"/>
      <c r="AB1041" s="28" t="s">
        <v>1465</v>
      </c>
      <c r="AC1041" s="28" t="s">
        <v>263</v>
      </c>
    </row>
    <row r="1042" spans="1:29" x14ac:dyDescent="0.25">
      <c r="A1042" s="61">
        <v>110000525842</v>
      </c>
      <c r="B1042" s="28">
        <v>2017</v>
      </c>
      <c r="C1042" s="68">
        <f t="shared" si="16"/>
        <v>42736</v>
      </c>
      <c r="D1042" s="28" t="s">
        <v>1309</v>
      </c>
      <c r="E1042" s="28" t="s">
        <v>2152</v>
      </c>
      <c r="F1042" s="28" t="s">
        <v>1310</v>
      </c>
      <c r="G1042" s="28" t="s">
        <v>366</v>
      </c>
      <c r="H1042" s="28">
        <v>92316</v>
      </c>
      <c r="I1042" s="28">
        <v>34.055900000000001</v>
      </c>
      <c r="J1042" s="28">
        <v>-117.36134</v>
      </c>
      <c r="L1042" s="61">
        <v>110000525842</v>
      </c>
      <c r="M1042" s="28" t="s">
        <v>263</v>
      </c>
      <c r="N1042" s="28">
        <v>4952</v>
      </c>
      <c r="O1042" s="28" t="str">
        <f>IFERROR(VLOOKUP(N1042, 'SIC &amp; NAICS Codes'!A:B, 2, FALSE), "")</f>
        <v>Sewerage Systems</v>
      </c>
      <c r="S1042" s="28">
        <v>1.0033088750000001</v>
      </c>
      <c r="T1042" s="315">
        <f>_xlfn.MAXIFS('Raw Period DMR Data'!$O:$O,'Raw Period DMR Data'!$A:$A,'Raw Annual DMR Data'!B1042,'Raw Period DMR Data'!$C:$C,X1042)/S1042</f>
        <v>0</v>
      </c>
      <c r="U1042" s="28" t="str">
        <f>+IF(COUNTIFS('Raw Period DMR Data'!$A:$A,B1042, 'Raw Period DMR Data'!C:C,'Raw Annual DMR Data'!X1042, 'Raw Period DMR Data'!M:M, "&gt;0")&gt;0,_xlfn.MAXIFS('Raw Period DMR Data'!M:M,'Raw Period DMR Data'!$A:$A,'Raw Annual DMR Data'!B1042,'Raw Period DMR Data'!C:C,'Raw Annual DMR Data'!X1042), "N/A - Period DMR Data Not Available")</f>
        <v>N/A - Period DMR Data Not Available</v>
      </c>
      <c r="V1042" s="28" t="str" cm="1">
        <f t="array" ref="V1042">IFERROR(INDEX('Raw Period DMR Data'!N:N,MATCH(1,(B1042='Raw Period DMR Data'!$A:$A)*(U1042='Raw Period DMR Data'!M:M)*(X1042='Raw Period DMR Data'!C:C),0),1), "N/A")</f>
        <v>N/A</v>
      </c>
      <c r="W1042" s="28" t="s">
        <v>1463</v>
      </c>
      <c r="X1042" s="28" t="s">
        <v>2153</v>
      </c>
      <c r="Y1042" s="28" t="s">
        <v>2154</v>
      </c>
      <c r="Z1042" s="28">
        <v>18070203002243</v>
      </c>
      <c r="AA1042" s="28"/>
      <c r="AB1042" s="28" t="s">
        <v>1465</v>
      </c>
      <c r="AC1042" s="28" t="s">
        <v>263</v>
      </c>
    </row>
    <row r="1043" spans="1:29" x14ac:dyDescent="0.25">
      <c r="A1043" s="61">
        <v>110000525842</v>
      </c>
      <c r="B1043" s="28">
        <v>2018</v>
      </c>
      <c r="C1043" s="68">
        <f t="shared" si="16"/>
        <v>43101</v>
      </c>
      <c r="D1043" s="28" t="s">
        <v>1309</v>
      </c>
      <c r="E1043" s="28" t="s">
        <v>2152</v>
      </c>
      <c r="F1043" s="28" t="s">
        <v>1310</v>
      </c>
      <c r="G1043" s="28" t="s">
        <v>366</v>
      </c>
      <c r="H1043" s="28">
        <v>92316</v>
      </c>
      <c r="I1043" s="28">
        <v>34.055900000000001</v>
      </c>
      <c r="J1043" s="28">
        <v>-117.36134</v>
      </c>
      <c r="L1043" s="61">
        <v>110000525842</v>
      </c>
      <c r="M1043" s="28" t="s">
        <v>263</v>
      </c>
      <c r="N1043" s="28">
        <v>4952</v>
      </c>
      <c r="O1043" s="28" t="str">
        <f>IFERROR(VLOOKUP(N1043, 'SIC &amp; NAICS Codes'!A:B, 2, FALSE), "")</f>
        <v>Sewerage Systems</v>
      </c>
      <c r="S1043" s="28">
        <v>0.99492226125000005</v>
      </c>
      <c r="T1043" s="315">
        <f>_xlfn.MAXIFS('Raw Period DMR Data'!$O:$O,'Raw Period DMR Data'!$A:$A,'Raw Annual DMR Data'!B1043,'Raw Period DMR Data'!$C:$C,X1043)/S1043</f>
        <v>0</v>
      </c>
      <c r="U1043" s="28" t="str">
        <f>+IF(COUNTIFS('Raw Period DMR Data'!$A:$A,B1043, 'Raw Period DMR Data'!C:C,'Raw Annual DMR Data'!X1043, 'Raw Period DMR Data'!M:M, "&gt;0")&gt;0,_xlfn.MAXIFS('Raw Period DMR Data'!M:M,'Raw Period DMR Data'!$A:$A,'Raw Annual DMR Data'!B1043,'Raw Period DMR Data'!C:C,'Raw Annual DMR Data'!X1043), "N/A - Period DMR Data Not Available")</f>
        <v>N/A - Period DMR Data Not Available</v>
      </c>
      <c r="V1043" s="28" t="str" cm="1">
        <f t="array" ref="V1043">IFERROR(INDEX('Raw Period DMR Data'!N:N,MATCH(1,(B1043='Raw Period DMR Data'!$A:$A)*(U1043='Raw Period DMR Data'!M:M)*(X1043='Raw Period DMR Data'!C:C),0),1), "N/A")</f>
        <v>N/A</v>
      </c>
      <c r="W1043" s="28" t="s">
        <v>1463</v>
      </c>
      <c r="X1043" s="28" t="s">
        <v>2153</v>
      </c>
      <c r="Y1043" s="28" t="s">
        <v>2154</v>
      </c>
      <c r="Z1043" s="28">
        <v>18070203002243</v>
      </c>
      <c r="AA1043" s="28"/>
      <c r="AB1043" s="28" t="s">
        <v>1465</v>
      </c>
      <c r="AC1043" s="28" t="s">
        <v>263</v>
      </c>
    </row>
    <row r="1044" spans="1:29" x14ac:dyDescent="0.25">
      <c r="A1044" s="61">
        <v>110000525842</v>
      </c>
      <c r="B1044" s="28">
        <v>2019</v>
      </c>
      <c r="C1044" s="68">
        <f t="shared" si="16"/>
        <v>43466</v>
      </c>
      <c r="D1044" s="28" t="s">
        <v>1309</v>
      </c>
      <c r="E1044" s="28" t="s">
        <v>2152</v>
      </c>
      <c r="F1044" s="28" t="s">
        <v>1310</v>
      </c>
      <c r="G1044" s="28" t="s">
        <v>366</v>
      </c>
      <c r="H1044" s="28">
        <v>92316</v>
      </c>
      <c r="I1044" s="28">
        <v>34.055900000000001</v>
      </c>
      <c r="J1044" s="28">
        <v>-117.36134</v>
      </c>
      <c r="L1044" s="61">
        <v>110000525842</v>
      </c>
      <c r="M1044" s="28" t="s">
        <v>263</v>
      </c>
      <c r="N1044" s="28">
        <v>4952</v>
      </c>
      <c r="O1044" s="28" t="str">
        <f>IFERROR(VLOOKUP(N1044, 'SIC &amp; NAICS Codes'!A:B, 2, FALSE), "")</f>
        <v>Sewerage Systems</v>
      </c>
      <c r="S1044" s="28">
        <v>1.627694303125</v>
      </c>
      <c r="T1044" s="315">
        <f>_xlfn.MAXIFS('Raw Period DMR Data'!$O:$O,'Raw Period DMR Data'!$A:$A,'Raw Annual DMR Data'!B1044,'Raw Period DMR Data'!$C:$C,X1044)/S1044</f>
        <v>0</v>
      </c>
      <c r="U1044" s="28" t="str">
        <f>+IF(COUNTIFS('Raw Period DMR Data'!$A:$A,B1044, 'Raw Period DMR Data'!C:C,'Raw Annual DMR Data'!X1044, 'Raw Period DMR Data'!M:M, "&gt;0")&gt;0,_xlfn.MAXIFS('Raw Period DMR Data'!M:M,'Raw Period DMR Data'!$A:$A,'Raw Annual DMR Data'!B1044,'Raw Period DMR Data'!C:C,'Raw Annual DMR Data'!X1044), "N/A - Period DMR Data Not Available")</f>
        <v>N/A - Period DMR Data Not Available</v>
      </c>
      <c r="V1044" s="28" t="str" cm="1">
        <f t="array" ref="V1044">IFERROR(INDEX('Raw Period DMR Data'!N:N,MATCH(1,(B1044='Raw Period DMR Data'!$A:$A)*(U1044='Raw Period DMR Data'!M:M)*(X1044='Raw Period DMR Data'!C:C),0),1), "N/A")</f>
        <v>N/A</v>
      </c>
      <c r="W1044" s="28" t="s">
        <v>1463</v>
      </c>
      <c r="X1044" s="28" t="s">
        <v>2153</v>
      </c>
      <c r="Y1044" s="28" t="s">
        <v>2154</v>
      </c>
      <c r="Z1044" s="28">
        <v>18070203002243</v>
      </c>
      <c r="AA1044" s="28"/>
      <c r="AB1044" s="28" t="s">
        <v>1465</v>
      </c>
      <c r="AC1044" s="28" t="s">
        <v>263</v>
      </c>
    </row>
    <row r="1045" spans="1:29" x14ac:dyDescent="0.25">
      <c r="A1045" s="61">
        <v>110000525842</v>
      </c>
      <c r="B1045" s="28">
        <v>2020</v>
      </c>
      <c r="C1045" s="68">
        <f t="shared" si="16"/>
        <v>43831</v>
      </c>
      <c r="D1045" s="28" t="s">
        <v>1309</v>
      </c>
      <c r="E1045" s="28" t="s">
        <v>2152</v>
      </c>
      <c r="F1045" s="28" t="s">
        <v>1310</v>
      </c>
      <c r="G1045" s="28" t="s">
        <v>366</v>
      </c>
      <c r="H1045" s="28">
        <v>92316</v>
      </c>
      <c r="I1045" s="28">
        <v>34.055900000000001</v>
      </c>
      <c r="J1045" s="28">
        <v>-117.36134</v>
      </c>
      <c r="L1045" s="61">
        <v>110000525842</v>
      </c>
      <c r="M1045" s="28" t="s">
        <v>263</v>
      </c>
      <c r="N1045" s="28">
        <v>4952</v>
      </c>
      <c r="O1045" s="28" t="str">
        <f>IFERROR(VLOOKUP(N1045, 'SIC &amp; NAICS Codes'!A:B, 2, FALSE), "")</f>
        <v>Sewerage Systems</v>
      </c>
      <c r="S1045" s="28">
        <v>2.38767924875</v>
      </c>
      <c r="T1045" s="315">
        <f>_xlfn.MAXIFS('Raw Period DMR Data'!$O:$O,'Raw Period DMR Data'!$A:$A,'Raw Annual DMR Data'!B1045,'Raw Period DMR Data'!$C:$C,X1045)/S1045</f>
        <v>0</v>
      </c>
      <c r="U1045" s="28" t="str">
        <f>+IF(COUNTIFS('Raw Period DMR Data'!$A:$A,B1045, 'Raw Period DMR Data'!C:C,'Raw Annual DMR Data'!X1045, 'Raw Period DMR Data'!M:M, "&gt;0")&gt;0,_xlfn.MAXIFS('Raw Period DMR Data'!M:M,'Raw Period DMR Data'!$A:$A,'Raw Annual DMR Data'!B1045,'Raw Period DMR Data'!C:C,'Raw Annual DMR Data'!X1045), "N/A - Period DMR Data Not Available")</f>
        <v>N/A - Period DMR Data Not Available</v>
      </c>
      <c r="V1045" s="28" t="str" cm="1">
        <f t="array" ref="V1045">IFERROR(INDEX('Raw Period DMR Data'!N:N,MATCH(1,(B1045='Raw Period DMR Data'!$A:$A)*(U1045='Raw Period DMR Data'!M:M)*(X1045='Raw Period DMR Data'!C:C),0),1), "N/A")</f>
        <v>N/A</v>
      </c>
      <c r="W1045" s="28" t="s">
        <v>1463</v>
      </c>
      <c r="X1045" s="28" t="s">
        <v>2153</v>
      </c>
      <c r="Y1045" s="28" t="s">
        <v>2154</v>
      </c>
      <c r="Z1045" s="28">
        <v>18070203002243</v>
      </c>
      <c r="AA1045" s="28"/>
      <c r="AB1045" s="28" t="s">
        <v>1465</v>
      </c>
      <c r="AC1045" s="28" t="s">
        <v>263</v>
      </c>
    </row>
    <row r="1046" spans="1:29" x14ac:dyDescent="0.25">
      <c r="A1046" s="61">
        <v>110009933484</v>
      </c>
      <c r="B1046" s="28">
        <v>2018</v>
      </c>
      <c r="C1046" s="68">
        <f t="shared" si="16"/>
        <v>43101</v>
      </c>
      <c r="D1046" s="28" t="s">
        <v>184</v>
      </c>
      <c r="E1046" s="28" t="s">
        <v>607</v>
      </c>
      <c r="F1046" s="28" t="s">
        <v>608</v>
      </c>
      <c r="G1046" s="28" t="s">
        <v>324</v>
      </c>
      <c r="H1046" s="28">
        <v>404039742</v>
      </c>
      <c r="I1046" s="28">
        <v>37.640973000000002</v>
      </c>
      <c r="J1046" s="28">
        <v>-84.312661000000006</v>
      </c>
      <c r="L1046" s="61">
        <v>110009933484</v>
      </c>
      <c r="M1046" s="28" t="s">
        <v>263</v>
      </c>
      <c r="N1046" s="28">
        <v>4952</v>
      </c>
      <c r="O1046" s="28" t="str">
        <f>IFERROR(VLOOKUP(N1046, 'SIC &amp; NAICS Codes'!A:B, 2, FALSE), "")</f>
        <v>Sewerage Systems</v>
      </c>
      <c r="S1046" s="28">
        <v>3.1982303750000001</v>
      </c>
      <c r="T1046" s="315">
        <f>_xlfn.MAXIFS('Raw Period DMR Data'!$O:$O,'Raw Period DMR Data'!$A:$A,'Raw Annual DMR Data'!B1046,'Raw Period DMR Data'!$C:$C,X1046)/S1046</f>
        <v>0</v>
      </c>
      <c r="U1046" s="28" t="str">
        <f>+IF(COUNTIFS('Raw Period DMR Data'!$A:$A,B1046, 'Raw Period DMR Data'!C:C,'Raw Annual DMR Data'!X1046, 'Raw Period DMR Data'!M:M, "&gt;0")&gt;0,_xlfn.MAXIFS('Raw Period DMR Data'!M:M,'Raw Period DMR Data'!$A:$A,'Raw Annual DMR Data'!B1046,'Raw Period DMR Data'!C:C,'Raw Annual DMR Data'!X1046), "N/A - Period DMR Data Not Available")</f>
        <v>N/A - Period DMR Data Not Available</v>
      </c>
      <c r="V1046" s="28" t="str" cm="1">
        <f t="array" ref="V1046">IFERROR(INDEX('Raw Period DMR Data'!N:N,MATCH(1,(B1046='Raw Period DMR Data'!$A:$A)*(U1046='Raw Period DMR Data'!M:M)*(X1046='Raw Period DMR Data'!C:C),0),1), "N/A")</f>
        <v>N/A</v>
      </c>
      <c r="W1046" s="28" t="s">
        <v>1463</v>
      </c>
      <c r="X1046" s="28" t="s">
        <v>923</v>
      </c>
      <c r="Y1046" s="28" t="s">
        <v>924</v>
      </c>
      <c r="Z1046" s="61">
        <v>5100205000153</v>
      </c>
    </row>
    <row r="1047" spans="1:29" x14ac:dyDescent="0.25">
      <c r="A1047" s="61">
        <v>110009933484</v>
      </c>
      <c r="B1047" s="28">
        <v>2019</v>
      </c>
      <c r="C1047" s="68">
        <f t="shared" si="16"/>
        <v>43466</v>
      </c>
      <c r="D1047" s="28" t="s">
        <v>184</v>
      </c>
      <c r="E1047" s="28" t="s">
        <v>607</v>
      </c>
      <c r="F1047" s="28" t="s">
        <v>608</v>
      </c>
      <c r="G1047" s="28" t="s">
        <v>324</v>
      </c>
      <c r="H1047" s="28">
        <v>404039742</v>
      </c>
      <c r="I1047" s="28">
        <v>37.640973000000002</v>
      </c>
      <c r="J1047" s="28">
        <v>-84.312661000000006</v>
      </c>
      <c r="L1047" s="61">
        <v>110009933484</v>
      </c>
      <c r="M1047" s="28" t="s">
        <v>263</v>
      </c>
      <c r="N1047" s="28">
        <v>4952</v>
      </c>
      <c r="O1047" s="28" t="str">
        <f>IFERROR(VLOOKUP(N1047, 'SIC &amp; NAICS Codes'!A:B, 2, FALSE), "")</f>
        <v>Sewerage Systems</v>
      </c>
      <c r="S1047" s="28">
        <v>3.2327685000000002</v>
      </c>
      <c r="T1047" s="315">
        <f>_xlfn.MAXIFS('Raw Period DMR Data'!$O:$O,'Raw Period DMR Data'!$A:$A,'Raw Annual DMR Data'!B1047,'Raw Period DMR Data'!$C:$C,X1047)/S1047</f>
        <v>0</v>
      </c>
      <c r="U1047" s="28" t="str">
        <f>+IF(COUNTIFS('Raw Period DMR Data'!$A:$A,B1047, 'Raw Period DMR Data'!C:C,'Raw Annual DMR Data'!X1047, 'Raw Period DMR Data'!M:M, "&gt;0")&gt;0,_xlfn.MAXIFS('Raw Period DMR Data'!M:M,'Raw Period DMR Data'!$A:$A,'Raw Annual DMR Data'!B1047,'Raw Period DMR Data'!C:C,'Raw Annual DMR Data'!X1047), "N/A - Period DMR Data Not Available")</f>
        <v>N/A - Period DMR Data Not Available</v>
      </c>
      <c r="V1047" s="28" t="str" cm="1">
        <f t="array" ref="V1047">IFERROR(INDEX('Raw Period DMR Data'!N:N,MATCH(1,(B1047='Raw Period DMR Data'!$A:$A)*(U1047='Raw Period DMR Data'!M:M)*(X1047='Raw Period DMR Data'!C:C),0),1), "N/A")</f>
        <v>N/A</v>
      </c>
      <c r="W1047" s="28" t="s">
        <v>1463</v>
      </c>
      <c r="X1047" s="28" t="s">
        <v>923</v>
      </c>
      <c r="Y1047" s="28" t="s">
        <v>924</v>
      </c>
      <c r="Z1047" s="61">
        <v>5100205000153</v>
      </c>
    </row>
    <row r="1048" spans="1:29" x14ac:dyDescent="0.25">
      <c r="A1048" s="61">
        <v>110009933484</v>
      </c>
      <c r="B1048" s="28">
        <v>2020</v>
      </c>
      <c r="C1048" s="68">
        <f t="shared" si="16"/>
        <v>43831</v>
      </c>
      <c r="D1048" s="28" t="s">
        <v>184</v>
      </c>
      <c r="E1048" s="28" t="s">
        <v>607</v>
      </c>
      <c r="F1048" s="28" t="s">
        <v>608</v>
      </c>
      <c r="G1048" s="28" t="s">
        <v>324</v>
      </c>
      <c r="H1048" s="28">
        <v>404039742</v>
      </c>
      <c r="I1048" s="28">
        <v>37.640973000000002</v>
      </c>
      <c r="J1048" s="28">
        <v>-84.312661000000006</v>
      </c>
      <c r="L1048" s="61">
        <v>110009933484</v>
      </c>
      <c r="M1048" s="28" t="s">
        <v>263</v>
      </c>
      <c r="N1048" s="28">
        <v>4952</v>
      </c>
      <c r="O1048" s="28" t="str">
        <f>IFERROR(VLOOKUP(N1048, 'SIC &amp; NAICS Codes'!A:B, 2, FALSE), "")</f>
        <v>Sewerage Systems</v>
      </c>
      <c r="S1048" s="28">
        <v>2.5420060000000002</v>
      </c>
      <c r="T1048" s="315">
        <f>_xlfn.MAXIFS('Raw Period DMR Data'!$O:$O,'Raw Period DMR Data'!$A:$A,'Raw Annual DMR Data'!B1048,'Raw Period DMR Data'!$C:$C,X1048)/S1048</f>
        <v>0</v>
      </c>
      <c r="U1048" s="28" t="str">
        <f>+IF(COUNTIFS('Raw Period DMR Data'!$A:$A,B1048, 'Raw Period DMR Data'!C:C,'Raw Annual DMR Data'!X1048, 'Raw Period DMR Data'!M:M, "&gt;0")&gt;0,_xlfn.MAXIFS('Raw Period DMR Data'!M:M,'Raw Period DMR Data'!$A:$A,'Raw Annual DMR Data'!B1048,'Raw Period DMR Data'!C:C,'Raw Annual DMR Data'!X1048), "N/A - Period DMR Data Not Available")</f>
        <v>N/A - Period DMR Data Not Available</v>
      </c>
      <c r="V1048" s="28" t="str" cm="1">
        <f t="array" ref="V1048">IFERROR(INDEX('Raw Period DMR Data'!N:N,MATCH(1,(B1048='Raw Period DMR Data'!$A:$A)*(U1048='Raw Period DMR Data'!M:M)*(X1048='Raw Period DMR Data'!C:C),0),1), "N/A")</f>
        <v>N/A</v>
      </c>
      <c r="W1048" s="28" t="s">
        <v>1463</v>
      </c>
      <c r="X1048" s="28" t="s">
        <v>923</v>
      </c>
      <c r="Y1048" s="28" t="s">
        <v>924</v>
      </c>
      <c r="Z1048" s="61">
        <v>5100205000153</v>
      </c>
    </row>
    <row r="1049" spans="1:29" x14ac:dyDescent="0.25">
      <c r="A1049" s="61">
        <v>110041245015</v>
      </c>
      <c r="B1049" s="28">
        <v>2017</v>
      </c>
      <c r="C1049" s="68">
        <f t="shared" si="16"/>
        <v>42736</v>
      </c>
      <c r="D1049" s="28" t="s">
        <v>1311</v>
      </c>
      <c r="E1049" s="28" t="s">
        <v>2155</v>
      </c>
      <c r="F1049" s="28" t="s">
        <v>1312</v>
      </c>
      <c r="G1049" s="28" t="s">
        <v>506</v>
      </c>
      <c r="H1049" s="28">
        <v>21157</v>
      </c>
      <c r="I1049" s="28">
        <v>39.567390000000003</v>
      </c>
      <c r="J1049" s="28">
        <v>-76.920410000000004</v>
      </c>
      <c r="L1049" s="61">
        <v>110041245015</v>
      </c>
      <c r="M1049" s="28" t="s">
        <v>265</v>
      </c>
      <c r="O1049" s="28" t="str">
        <f>IFERROR(VLOOKUP(N1049, 'SIC &amp; NAICS Codes'!A:B, 2, FALSE), "")</f>
        <v/>
      </c>
      <c r="S1049" s="28">
        <v>1.16738862499999E-4</v>
      </c>
      <c r="T1049" s="315">
        <f>_xlfn.MAXIFS('Raw Period DMR Data'!$O:$O,'Raw Period DMR Data'!$A:$A,'Raw Annual DMR Data'!B1049,'Raw Period DMR Data'!$C:$C,X1049)/S1049</f>
        <v>0</v>
      </c>
      <c r="U1049" s="28" t="str">
        <f>+IF(COUNTIFS('Raw Period DMR Data'!$A:$A,B1049, 'Raw Period DMR Data'!C:C,'Raw Annual DMR Data'!X1049, 'Raw Period DMR Data'!M:M, "&gt;0")&gt;0,_xlfn.MAXIFS('Raw Period DMR Data'!M:M,'Raw Period DMR Data'!$A:$A,'Raw Annual DMR Data'!B1049,'Raw Period DMR Data'!C:C,'Raw Annual DMR Data'!X1049), "N/A - Period DMR Data Not Available")</f>
        <v>N/A - Period DMR Data Not Available</v>
      </c>
      <c r="V1049" s="28" t="str" cm="1">
        <f t="array" ref="V1049">IFERROR(INDEX('Raw Period DMR Data'!N:N,MATCH(1,(B1049='Raw Period DMR Data'!$A:$A)*(U1049='Raw Period DMR Data'!M:M)*(X1049='Raw Period DMR Data'!C:C),0),1), "N/A")</f>
        <v>N/A</v>
      </c>
      <c r="W1049" s="28" t="s">
        <v>1463</v>
      </c>
      <c r="X1049" s="28" t="s">
        <v>2156</v>
      </c>
      <c r="Z1049" s="28">
        <v>2060003000267</v>
      </c>
      <c r="AA1049" s="28"/>
      <c r="AB1049" s="28" t="s">
        <v>1465</v>
      </c>
      <c r="AC1049" s="28" t="s">
        <v>1466</v>
      </c>
    </row>
    <row r="1050" spans="1:29" x14ac:dyDescent="0.25">
      <c r="A1050" s="61">
        <v>110041245015</v>
      </c>
      <c r="B1050" s="28">
        <v>2017</v>
      </c>
      <c r="C1050" s="68">
        <f t="shared" si="16"/>
        <v>42736</v>
      </c>
      <c r="D1050" s="28" t="s">
        <v>1311</v>
      </c>
      <c r="E1050" s="28" t="s">
        <v>2155</v>
      </c>
      <c r="F1050" s="28" t="s">
        <v>1312</v>
      </c>
      <c r="G1050" s="28" t="s">
        <v>506</v>
      </c>
      <c r="H1050" s="28">
        <v>21157</v>
      </c>
      <c r="I1050" s="28">
        <v>39.567390000000003</v>
      </c>
      <c r="J1050" s="28">
        <v>-76.920410000000004</v>
      </c>
      <c r="L1050" s="61">
        <v>110041245015</v>
      </c>
      <c r="M1050" s="28" t="s">
        <v>265</v>
      </c>
      <c r="O1050" s="28" t="str">
        <f>IFERROR(VLOOKUP(N1050, 'SIC &amp; NAICS Codes'!A:B, 2, FALSE), "")</f>
        <v/>
      </c>
      <c r="S1050" s="28">
        <v>1.16738862499999E-4</v>
      </c>
      <c r="T1050" s="315">
        <f>_xlfn.MAXIFS('Raw Period DMR Data'!$O:$O,'Raw Period DMR Data'!$A:$A,'Raw Annual DMR Data'!B1050,'Raw Period DMR Data'!$C:$C,X1050)/S1050</f>
        <v>0</v>
      </c>
      <c r="U1050" s="28" t="str">
        <f>+IF(COUNTIFS('Raw Period DMR Data'!$A:$A,B1050, 'Raw Period DMR Data'!C:C,'Raw Annual DMR Data'!X1050, 'Raw Period DMR Data'!M:M, "&gt;0")&gt;0,_xlfn.MAXIFS('Raw Period DMR Data'!M:M,'Raw Period DMR Data'!$A:$A,'Raw Annual DMR Data'!B1050,'Raw Period DMR Data'!C:C,'Raw Annual DMR Data'!X1050), "N/A - Period DMR Data Not Available")</f>
        <v>N/A - Period DMR Data Not Available</v>
      </c>
      <c r="V1050" s="28" t="str" cm="1">
        <f t="array" ref="V1050">IFERROR(INDEX('Raw Period DMR Data'!N:N,MATCH(1,(B1050='Raw Period DMR Data'!$A:$A)*(U1050='Raw Period DMR Data'!M:M)*(X1050='Raw Period DMR Data'!C:C),0),1), "N/A")</f>
        <v>N/A</v>
      </c>
      <c r="W1050" s="28" t="s">
        <v>1463</v>
      </c>
      <c r="X1050" s="28" t="s">
        <v>2156</v>
      </c>
      <c r="Z1050" s="28">
        <v>2060003000267</v>
      </c>
      <c r="AA1050" s="28"/>
      <c r="AB1050" s="28" t="s">
        <v>1465</v>
      </c>
      <c r="AC1050" s="28" t="s">
        <v>1466</v>
      </c>
    </row>
    <row r="1051" spans="1:29" x14ac:dyDescent="0.25">
      <c r="A1051" s="61">
        <v>110041245015</v>
      </c>
      <c r="B1051" s="28">
        <v>2018</v>
      </c>
      <c r="C1051" s="68">
        <f t="shared" si="16"/>
        <v>43101</v>
      </c>
      <c r="D1051" s="28" t="s">
        <v>1311</v>
      </c>
      <c r="E1051" s="28" t="s">
        <v>2155</v>
      </c>
      <c r="F1051" s="28" t="s">
        <v>1312</v>
      </c>
      <c r="G1051" s="28" t="s">
        <v>506</v>
      </c>
      <c r="H1051" s="28">
        <v>21157</v>
      </c>
      <c r="I1051" s="28">
        <v>39.567390000000003</v>
      </c>
      <c r="J1051" s="28">
        <v>-76.920410000000004</v>
      </c>
      <c r="L1051" s="61">
        <v>110041245015</v>
      </c>
      <c r="M1051" s="28" t="s">
        <v>265</v>
      </c>
      <c r="O1051" s="28" t="str">
        <f>IFERROR(VLOOKUP(N1051, 'SIC &amp; NAICS Codes'!A:B, 2, FALSE), "")</f>
        <v/>
      </c>
      <c r="S1051" s="302">
        <v>1.32626399999999E-4</v>
      </c>
      <c r="T1051" s="315">
        <f>_xlfn.MAXIFS('Raw Period DMR Data'!$O:$O,'Raw Period DMR Data'!$A:$A,'Raw Annual DMR Data'!B1051,'Raw Period DMR Data'!$C:$C,X1051)/S1051</f>
        <v>0</v>
      </c>
      <c r="U1051" s="28" t="str">
        <f>+IF(COUNTIFS('Raw Period DMR Data'!$A:$A,B1051, 'Raw Period DMR Data'!C:C,'Raw Annual DMR Data'!X1051, 'Raw Period DMR Data'!M:M, "&gt;0")&gt;0,_xlfn.MAXIFS('Raw Period DMR Data'!M:M,'Raw Period DMR Data'!$A:$A,'Raw Annual DMR Data'!B1051,'Raw Period DMR Data'!C:C,'Raw Annual DMR Data'!X1051), "N/A - Period DMR Data Not Available")</f>
        <v>N/A - Period DMR Data Not Available</v>
      </c>
      <c r="V1051" s="28" t="str" cm="1">
        <f t="array" ref="V1051">IFERROR(INDEX('Raw Period DMR Data'!N:N,MATCH(1,(B1051='Raw Period DMR Data'!$A:$A)*(U1051='Raw Period DMR Data'!M:M)*(X1051='Raw Period DMR Data'!C:C),0),1), "N/A")</f>
        <v>N/A</v>
      </c>
      <c r="W1051" s="28" t="s">
        <v>1463</v>
      </c>
      <c r="X1051" s="28" t="s">
        <v>2156</v>
      </c>
      <c r="Z1051" s="302" t="s">
        <v>2157</v>
      </c>
      <c r="AA1051" s="28"/>
      <c r="AB1051" s="28" t="s">
        <v>1465</v>
      </c>
      <c r="AC1051" s="28" t="s">
        <v>1466</v>
      </c>
    </row>
    <row r="1052" spans="1:29" x14ac:dyDescent="0.25">
      <c r="A1052" s="61">
        <v>110041245015</v>
      </c>
      <c r="B1052" s="28">
        <v>2018</v>
      </c>
      <c r="C1052" s="68">
        <f t="shared" si="16"/>
        <v>43101</v>
      </c>
      <c r="D1052" s="28" t="s">
        <v>1311</v>
      </c>
      <c r="E1052" s="28" t="s">
        <v>2155</v>
      </c>
      <c r="F1052" s="28" t="s">
        <v>1312</v>
      </c>
      <c r="G1052" s="28" t="s">
        <v>506</v>
      </c>
      <c r="H1052" s="28">
        <v>21157</v>
      </c>
      <c r="I1052" s="28">
        <v>39.567390000000003</v>
      </c>
      <c r="J1052" s="28">
        <v>-76.920410000000004</v>
      </c>
      <c r="L1052" s="61">
        <v>110041245015</v>
      </c>
      <c r="M1052" s="28" t="s">
        <v>265</v>
      </c>
      <c r="O1052" s="28" t="str">
        <f>IFERROR(VLOOKUP(N1052, 'SIC &amp; NAICS Codes'!A:B, 2, FALSE), "")</f>
        <v/>
      </c>
      <c r="S1052" s="302">
        <v>1.32626399999999E-4</v>
      </c>
      <c r="T1052" s="315">
        <f>_xlfn.MAXIFS('Raw Period DMR Data'!$O:$O,'Raw Period DMR Data'!$A:$A,'Raw Annual DMR Data'!B1052,'Raw Period DMR Data'!$C:$C,X1052)/S1052</f>
        <v>0</v>
      </c>
      <c r="U1052" s="28" t="str">
        <f>+IF(COUNTIFS('Raw Period DMR Data'!$A:$A,B1052, 'Raw Period DMR Data'!C:C,'Raw Annual DMR Data'!X1052, 'Raw Period DMR Data'!M:M, "&gt;0")&gt;0,_xlfn.MAXIFS('Raw Period DMR Data'!M:M,'Raw Period DMR Data'!$A:$A,'Raw Annual DMR Data'!B1052,'Raw Period DMR Data'!C:C,'Raw Annual DMR Data'!X1052), "N/A - Period DMR Data Not Available")</f>
        <v>N/A - Period DMR Data Not Available</v>
      </c>
      <c r="V1052" s="28" t="str" cm="1">
        <f t="array" ref="V1052">IFERROR(INDEX('Raw Period DMR Data'!N:N,MATCH(1,(B1052='Raw Period DMR Data'!$A:$A)*(U1052='Raw Period DMR Data'!M:M)*(X1052='Raw Period DMR Data'!C:C),0),1), "N/A")</f>
        <v>N/A</v>
      </c>
      <c r="W1052" s="28" t="s">
        <v>1463</v>
      </c>
      <c r="X1052" s="28" t="s">
        <v>2156</v>
      </c>
      <c r="Z1052" s="302" t="s">
        <v>2157</v>
      </c>
      <c r="AA1052" s="28"/>
      <c r="AB1052" s="28" t="s">
        <v>1465</v>
      </c>
      <c r="AC1052" s="28" t="s">
        <v>1466</v>
      </c>
    </row>
    <row r="1053" spans="1:29" x14ac:dyDescent="0.25">
      <c r="A1053" s="61">
        <v>110041245015</v>
      </c>
      <c r="B1053" s="28">
        <v>2019</v>
      </c>
      <c r="C1053" s="68">
        <f t="shared" si="16"/>
        <v>43466</v>
      </c>
      <c r="D1053" s="28" t="s">
        <v>1311</v>
      </c>
      <c r="E1053" s="28" t="s">
        <v>2155</v>
      </c>
      <c r="F1053" s="28" t="s">
        <v>1312</v>
      </c>
      <c r="G1053" s="28" t="s">
        <v>506</v>
      </c>
      <c r="H1053" s="28">
        <v>21157</v>
      </c>
      <c r="I1053" s="28">
        <v>39.567390000000003</v>
      </c>
      <c r="J1053" s="28">
        <v>-76.920410000000004</v>
      </c>
      <c r="L1053" s="61">
        <v>110041245015</v>
      </c>
      <c r="M1053" s="28" t="s">
        <v>265</v>
      </c>
      <c r="O1053" s="28" t="str">
        <f>IFERROR(VLOOKUP(N1053, 'SIC &amp; NAICS Codes'!A:B, 2, FALSE), "")</f>
        <v/>
      </c>
      <c r="S1053" s="28">
        <v>6.9421631249999896E-4</v>
      </c>
      <c r="T1053" s="315">
        <f>_xlfn.MAXIFS('Raw Period DMR Data'!$O:$O,'Raw Period DMR Data'!$A:$A,'Raw Annual DMR Data'!B1053,'Raw Period DMR Data'!$C:$C,X1053)/S1053</f>
        <v>0</v>
      </c>
      <c r="U1053" s="28" t="str">
        <f>+IF(COUNTIFS('Raw Period DMR Data'!$A:$A,B1053, 'Raw Period DMR Data'!C:C,'Raw Annual DMR Data'!X1053, 'Raw Period DMR Data'!M:M, "&gt;0")&gt;0,_xlfn.MAXIFS('Raw Period DMR Data'!M:M,'Raw Period DMR Data'!$A:$A,'Raw Annual DMR Data'!B1053,'Raw Period DMR Data'!C:C,'Raw Annual DMR Data'!X1053), "N/A - Period DMR Data Not Available")</f>
        <v>N/A - Period DMR Data Not Available</v>
      </c>
      <c r="V1053" s="28" t="str" cm="1">
        <f t="array" ref="V1053">IFERROR(INDEX('Raw Period DMR Data'!N:N,MATCH(1,(B1053='Raw Period DMR Data'!$A:$A)*(U1053='Raw Period DMR Data'!M:M)*(X1053='Raw Period DMR Data'!C:C),0),1), "N/A")</f>
        <v>N/A</v>
      </c>
      <c r="W1053" s="28" t="s">
        <v>1463</v>
      </c>
      <c r="X1053" s="28" t="s">
        <v>2156</v>
      </c>
      <c r="Z1053" s="28">
        <v>2060003000267</v>
      </c>
      <c r="AA1053" s="28"/>
      <c r="AB1053" s="28" t="s">
        <v>1465</v>
      </c>
      <c r="AC1053" s="28" t="s">
        <v>1466</v>
      </c>
    </row>
    <row r="1054" spans="1:29" x14ac:dyDescent="0.25">
      <c r="A1054" s="61">
        <v>110041245015</v>
      </c>
      <c r="B1054" s="28">
        <v>2019</v>
      </c>
      <c r="C1054" s="68">
        <f t="shared" si="16"/>
        <v>43466</v>
      </c>
      <c r="D1054" s="28" t="s">
        <v>1311</v>
      </c>
      <c r="E1054" s="28" t="s">
        <v>2155</v>
      </c>
      <c r="F1054" s="28" t="s">
        <v>1312</v>
      </c>
      <c r="G1054" s="28" t="s">
        <v>506</v>
      </c>
      <c r="H1054" s="28">
        <v>21157</v>
      </c>
      <c r="I1054" s="28">
        <v>39.567390000000003</v>
      </c>
      <c r="J1054" s="28">
        <v>-76.920410000000004</v>
      </c>
      <c r="L1054" s="61">
        <v>110041245015</v>
      </c>
      <c r="M1054" s="28" t="s">
        <v>265</v>
      </c>
      <c r="O1054" s="28" t="str">
        <f>IFERROR(VLOOKUP(N1054, 'SIC &amp; NAICS Codes'!A:B, 2, FALSE), "")</f>
        <v/>
      </c>
      <c r="S1054" s="28">
        <v>6.9421631249999896E-4</v>
      </c>
      <c r="T1054" s="315">
        <f>_xlfn.MAXIFS('Raw Period DMR Data'!$O:$O,'Raw Period DMR Data'!$A:$A,'Raw Annual DMR Data'!B1054,'Raw Period DMR Data'!$C:$C,X1054)/S1054</f>
        <v>0</v>
      </c>
      <c r="U1054" s="28" t="str">
        <f>+IF(COUNTIFS('Raw Period DMR Data'!$A:$A,B1054, 'Raw Period DMR Data'!C:C,'Raw Annual DMR Data'!X1054, 'Raw Period DMR Data'!M:M, "&gt;0")&gt;0,_xlfn.MAXIFS('Raw Period DMR Data'!M:M,'Raw Period DMR Data'!$A:$A,'Raw Annual DMR Data'!B1054,'Raw Period DMR Data'!C:C,'Raw Annual DMR Data'!X1054), "N/A - Period DMR Data Not Available")</f>
        <v>N/A - Period DMR Data Not Available</v>
      </c>
      <c r="V1054" s="28" t="str" cm="1">
        <f t="array" ref="V1054">IFERROR(INDEX('Raw Period DMR Data'!N:N,MATCH(1,(B1054='Raw Period DMR Data'!$A:$A)*(U1054='Raw Period DMR Data'!M:M)*(X1054='Raw Period DMR Data'!C:C),0),1), "N/A")</f>
        <v>N/A</v>
      </c>
      <c r="W1054" s="28" t="s">
        <v>1463</v>
      </c>
      <c r="X1054" s="28" t="s">
        <v>2156</v>
      </c>
      <c r="Z1054" s="28">
        <v>2060003000267</v>
      </c>
      <c r="AA1054" s="28"/>
      <c r="AB1054" s="28" t="s">
        <v>1465</v>
      </c>
      <c r="AC1054" s="28" t="s">
        <v>1466</v>
      </c>
    </row>
    <row r="1055" spans="1:29" x14ac:dyDescent="0.25">
      <c r="A1055" s="61">
        <v>110041245015</v>
      </c>
      <c r="B1055" s="28">
        <v>2020</v>
      </c>
      <c r="C1055" s="68">
        <f t="shared" si="16"/>
        <v>43831</v>
      </c>
      <c r="D1055" s="28" t="s">
        <v>1311</v>
      </c>
      <c r="E1055" s="28" t="s">
        <v>2155</v>
      </c>
      <c r="F1055" s="28" t="s">
        <v>1312</v>
      </c>
      <c r="G1055" s="28" t="s">
        <v>506</v>
      </c>
      <c r="H1055" s="28">
        <v>21157</v>
      </c>
      <c r="I1055" s="28">
        <v>39.567390000000003</v>
      </c>
      <c r="J1055" s="28">
        <v>-76.920410000000004</v>
      </c>
      <c r="L1055" s="61">
        <v>110041245015</v>
      </c>
      <c r="M1055" s="28" t="s">
        <v>265</v>
      </c>
      <c r="O1055" s="28" t="str">
        <f>IFERROR(VLOOKUP(N1055, 'SIC &amp; NAICS Codes'!A:B, 2, FALSE), "")</f>
        <v/>
      </c>
      <c r="S1055" s="28">
        <v>7.5638493749999899E-4</v>
      </c>
      <c r="T1055" s="315">
        <f>_xlfn.MAXIFS('Raw Period DMR Data'!$O:$O,'Raw Period DMR Data'!$A:$A,'Raw Annual DMR Data'!B1055,'Raw Period DMR Data'!$C:$C,X1055)/S1055</f>
        <v>0</v>
      </c>
      <c r="U1055" s="28" t="str">
        <f>+IF(COUNTIFS('Raw Period DMR Data'!$A:$A,B1055, 'Raw Period DMR Data'!C:C,'Raw Annual DMR Data'!X1055, 'Raw Period DMR Data'!M:M, "&gt;0")&gt;0,_xlfn.MAXIFS('Raw Period DMR Data'!M:M,'Raw Period DMR Data'!$A:$A,'Raw Annual DMR Data'!B1055,'Raw Period DMR Data'!C:C,'Raw Annual DMR Data'!X1055), "N/A - Period DMR Data Not Available")</f>
        <v>N/A - Period DMR Data Not Available</v>
      </c>
      <c r="V1055" s="28" t="str" cm="1">
        <f t="array" ref="V1055">IFERROR(INDEX('Raw Period DMR Data'!N:N,MATCH(1,(B1055='Raw Period DMR Data'!$A:$A)*(U1055='Raw Period DMR Data'!M:M)*(X1055='Raw Period DMR Data'!C:C),0),1), "N/A")</f>
        <v>N/A</v>
      </c>
      <c r="W1055" s="28" t="s">
        <v>1463</v>
      </c>
      <c r="X1055" s="28" t="s">
        <v>2156</v>
      </c>
      <c r="Z1055" s="28">
        <v>2060003000267</v>
      </c>
      <c r="AA1055" s="28"/>
      <c r="AB1055" s="28" t="s">
        <v>1465</v>
      </c>
      <c r="AC1055" s="28" t="s">
        <v>1466</v>
      </c>
    </row>
    <row r="1056" spans="1:29" x14ac:dyDescent="0.25">
      <c r="A1056" s="61">
        <v>110041245015</v>
      </c>
      <c r="B1056" s="28">
        <v>2020</v>
      </c>
      <c r="C1056" s="68">
        <f t="shared" si="16"/>
        <v>43831</v>
      </c>
      <c r="D1056" s="28" t="s">
        <v>1311</v>
      </c>
      <c r="E1056" s="28" t="s">
        <v>2155</v>
      </c>
      <c r="F1056" s="28" t="s">
        <v>1312</v>
      </c>
      <c r="G1056" s="28" t="s">
        <v>506</v>
      </c>
      <c r="H1056" s="28">
        <v>21157</v>
      </c>
      <c r="I1056" s="28">
        <v>39.567390000000003</v>
      </c>
      <c r="J1056" s="28">
        <v>-76.920410000000004</v>
      </c>
      <c r="L1056" s="61">
        <v>110041245015</v>
      </c>
      <c r="M1056" s="28" t="s">
        <v>265</v>
      </c>
      <c r="O1056" s="28" t="str">
        <f>IFERROR(VLOOKUP(N1056, 'SIC &amp; NAICS Codes'!A:B, 2, FALSE), "")</f>
        <v/>
      </c>
      <c r="S1056" s="28">
        <v>7.5638493749999899E-4</v>
      </c>
      <c r="T1056" s="315">
        <f>_xlfn.MAXIFS('Raw Period DMR Data'!$O:$O,'Raw Period DMR Data'!$A:$A,'Raw Annual DMR Data'!B1056,'Raw Period DMR Data'!$C:$C,X1056)/S1056</f>
        <v>0</v>
      </c>
      <c r="U1056" s="28" t="str">
        <f>+IF(COUNTIFS('Raw Period DMR Data'!$A:$A,B1056, 'Raw Period DMR Data'!C:C,'Raw Annual DMR Data'!X1056, 'Raw Period DMR Data'!M:M, "&gt;0")&gt;0,_xlfn.MAXIFS('Raw Period DMR Data'!M:M,'Raw Period DMR Data'!$A:$A,'Raw Annual DMR Data'!B1056,'Raw Period DMR Data'!C:C,'Raw Annual DMR Data'!X1056), "N/A - Period DMR Data Not Available")</f>
        <v>N/A - Period DMR Data Not Available</v>
      </c>
      <c r="V1056" s="28" t="str" cm="1">
        <f t="array" ref="V1056">IFERROR(INDEX('Raw Period DMR Data'!N:N,MATCH(1,(B1056='Raw Period DMR Data'!$A:$A)*(U1056='Raw Period DMR Data'!M:M)*(X1056='Raw Period DMR Data'!C:C),0),1), "N/A")</f>
        <v>N/A</v>
      </c>
      <c r="W1056" s="28" t="s">
        <v>1463</v>
      </c>
      <c r="X1056" s="28" t="s">
        <v>2156</v>
      </c>
      <c r="Z1056" s="28">
        <v>2060003000267</v>
      </c>
      <c r="AA1056" s="28"/>
      <c r="AB1056" s="28" t="s">
        <v>1465</v>
      </c>
      <c r="AC1056" s="28" t="s">
        <v>1466</v>
      </c>
    </row>
    <row r="1057" spans="1:29" x14ac:dyDescent="0.25">
      <c r="A1057" s="61">
        <v>110064629442</v>
      </c>
      <c r="B1057" s="28">
        <v>2015</v>
      </c>
      <c r="C1057" s="68">
        <f t="shared" si="16"/>
        <v>42005</v>
      </c>
      <c r="D1057" s="28" t="s">
        <v>1313</v>
      </c>
      <c r="E1057" s="28" t="s">
        <v>2158</v>
      </c>
      <c r="F1057" s="28" t="s">
        <v>1314</v>
      </c>
      <c r="G1057" s="28" t="s">
        <v>374</v>
      </c>
      <c r="H1057" s="28">
        <v>86001</v>
      </c>
      <c r="I1057" s="28">
        <v>35.188434999999998</v>
      </c>
      <c r="J1057" s="28">
        <v>-111.63066000000001</v>
      </c>
      <c r="L1057" s="61">
        <v>110064629442</v>
      </c>
      <c r="M1057" s="28" t="s">
        <v>263</v>
      </c>
      <c r="N1057" s="28">
        <v>4952</v>
      </c>
      <c r="O1057" s="28" t="str">
        <f>IFERROR(VLOOKUP(N1057, 'SIC &amp; NAICS Codes'!A:B, 2, FALSE), "")</f>
        <v>Sewerage Systems</v>
      </c>
      <c r="S1057" s="28">
        <v>0.15127698749999999</v>
      </c>
      <c r="T1057" s="315">
        <f>_xlfn.MAXIFS('Raw Period DMR Data'!$O:$O,'Raw Period DMR Data'!$A:$A,'Raw Annual DMR Data'!B1057,'Raw Period DMR Data'!$C:$C,X1057)/S1057</f>
        <v>0</v>
      </c>
      <c r="U1057" s="28" t="str">
        <f>+IF(COUNTIFS('Raw Period DMR Data'!$A:$A,B1057, 'Raw Period DMR Data'!C:C,'Raw Annual DMR Data'!X1057, 'Raw Period DMR Data'!M:M, "&gt;0")&gt;0,_xlfn.MAXIFS('Raw Period DMR Data'!M:M,'Raw Period DMR Data'!$A:$A,'Raw Annual DMR Data'!B1057,'Raw Period DMR Data'!C:C,'Raw Annual DMR Data'!X1057), "N/A - Period DMR Data Not Available")</f>
        <v>N/A - Period DMR Data Not Available</v>
      </c>
      <c r="V1057" s="28" t="str" cm="1">
        <f t="array" ref="V1057">IFERROR(INDEX('Raw Period DMR Data'!N:N,MATCH(1,(B1057='Raw Period DMR Data'!$A:$A)*(U1057='Raw Period DMR Data'!M:M)*(X1057='Raw Period DMR Data'!C:C),0),1), "N/A")</f>
        <v>N/A</v>
      </c>
      <c r="W1057" s="28" t="s">
        <v>1463</v>
      </c>
      <c r="X1057" s="28" t="s">
        <v>2159</v>
      </c>
      <c r="Z1057" s="28">
        <v>15030108000333</v>
      </c>
      <c r="AA1057" s="28"/>
      <c r="AB1057" s="28" t="s">
        <v>1465</v>
      </c>
      <c r="AC1057" s="28" t="s">
        <v>263</v>
      </c>
    </row>
    <row r="1058" spans="1:29" x14ac:dyDescent="0.25">
      <c r="A1058" s="61">
        <v>110064629442</v>
      </c>
      <c r="B1058" s="28">
        <v>2016</v>
      </c>
      <c r="C1058" s="68">
        <f t="shared" si="16"/>
        <v>42370</v>
      </c>
      <c r="D1058" s="28" t="s">
        <v>1313</v>
      </c>
      <c r="E1058" s="28" t="s">
        <v>2158</v>
      </c>
      <c r="F1058" s="28" t="s">
        <v>1314</v>
      </c>
      <c r="G1058" s="28" t="s">
        <v>374</v>
      </c>
      <c r="H1058" s="28">
        <v>86001</v>
      </c>
      <c r="I1058" s="28">
        <v>35.188434999999998</v>
      </c>
      <c r="J1058" s="28">
        <v>-111.63066000000001</v>
      </c>
      <c r="L1058" s="61">
        <v>110064629442</v>
      </c>
      <c r="M1058" s="28" t="s">
        <v>263</v>
      </c>
      <c r="N1058" s="28">
        <v>4952</v>
      </c>
      <c r="O1058" s="28" t="str">
        <f>IFERROR(VLOOKUP(N1058, 'SIC &amp; NAICS Codes'!A:B, 2, FALSE), "")</f>
        <v>Sewerage Systems</v>
      </c>
      <c r="S1058" s="28">
        <v>0.14727056499999999</v>
      </c>
      <c r="T1058" s="315">
        <f>_xlfn.MAXIFS('Raw Period DMR Data'!$O:$O,'Raw Period DMR Data'!$A:$A,'Raw Annual DMR Data'!B1058,'Raw Period DMR Data'!$C:$C,X1058)/S1058</f>
        <v>0</v>
      </c>
      <c r="U1058" s="28" t="str">
        <f>+IF(COUNTIFS('Raw Period DMR Data'!$A:$A,B1058, 'Raw Period DMR Data'!C:C,'Raw Annual DMR Data'!X1058, 'Raw Period DMR Data'!M:M, "&gt;0")&gt;0,_xlfn.MAXIFS('Raw Period DMR Data'!M:M,'Raw Period DMR Data'!$A:$A,'Raw Annual DMR Data'!B1058,'Raw Period DMR Data'!C:C,'Raw Annual DMR Data'!X1058), "N/A - Period DMR Data Not Available")</f>
        <v>N/A - Period DMR Data Not Available</v>
      </c>
      <c r="V1058" s="28" t="str" cm="1">
        <f t="array" ref="V1058">IFERROR(INDEX('Raw Period DMR Data'!N:N,MATCH(1,(B1058='Raw Period DMR Data'!$A:$A)*(U1058='Raw Period DMR Data'!M:M)*(X1058='Raw Period DMR Data'!C:C),0),1), "N/A")</f>
        <v>N/A</v>
      </c>
      <c r="W1058" s="28" t="s">
        <v>1463</v>
      </c>
      <c r="X1058" s="28" t="s">
        <v>2159</v>
      </c>
      <c r="Z1058" s="28">
        <v>15030108000333</v>
      </c>
      <c r="AA1058" s="28"/>
      <c r="AB1058" s="28" t="s">
        <v>1465</v>
      </c>
      <c r="AC1058" s="28" t="s">
        <v>263</v>
      </c>
    </row>
    <row r="1059" spans="1:29" x14ac:dyDescent="0.25">
      <c r="A1059" s="61">
        <v>110064629442</v>
      </c>
      <c r="B1059" s="28">
        <v>2017</v>
      </c>
      <c r="C1059" s="68">
        <f t="shared" si="16"/>
        <v>42736</v>
      </c>
      <c r="D1059" s="28" t="s">
        <v>1313</v>
      </c>
      <c r="E1059" s="28" t="s">
        <v>2158</v>
      </c>
      <c r="F1059" s="28" t="s">
        <v>1314</v>
      </c>
      <c r="G1059" s="28" t="s">
        <v>374</v>
      </c>
      <c r="H1059" s="28">
        <v>86001</v>
      </c>
      <c r="I1059" s="28">
        <v>35.188434999999998</v>
      </c>
      <c r="J1059" s="28">
        <v>-111.63066000000001</v>
      </c>
      <c r="L1059" s="61">
        <v>110064629442</v>
      </c>
      <c r="M1059" s="28" t="s">
        <v>263</v>
      </c>
      <c r="N1059" s="28">
        <v>4952</v>
      </c>
      <c r="O1059" s="28" t="str">
        <f>IFERROR(VLOOKUP(N1059, 'SIC &amp; NAICS Codes'!A:B, 2, FALSE), "")</f>
        <v>Sewerage Systems</v>
      </c>
      <c r="S1059" s="28">
        <v>4.2896351249999999E-2</v>
      </c>
      <c r="T1059" s="315">
        <f>_xlfn.MAXIFS('Raw Period DMR Data'!$O:$O,'Raw Period DMR Data'!$A:$A,'Raw Annual DMR Data'!B1059,'Raw Period DMR Data'!$C:$C,X1059)/S1059</f>
        <v>0</v>
      </c>
      <c r="U1059" s="28" t="str">
        <f>+IF(COUNTIFS('Raw Period DMR Data'!$A:$A,B1059, 'Raw Period DMR Data'!C:C,'Raw Annual DMR Data'!X1059, 'Raw Period DMR Data'!M:M, "&gt;0")&gt;0,_xlfn.MAXIFS('Raw Period DMR Data'!M:M,'Raw Period DMR Data'!$A:$A,'Raw Annual DMR Data'!B1059,'Raw Period DMR Data'!C:C,'Raw Annual DMR Data'!X1059), "N/A - Period DMR Data Not Available")</f>
        <v>N/A - Period DMR Data Not Available</v>
      </c>
      <c r="V1059" s="28" t="str" cm="1">
        <f t="array" ref="V1059">IFERROR(INDEX('Raw Period DMR Data'!N:N,MATCH(1,(B1059='Raw Period DMR Data'!$A:$A)*(U1059='Raw Period DMR Data'!M:M)*(X1059='Raw Period DMR Data'!C:C),0),1), "N/A")</f>
        <v>N/A</v>
      </c>
      <c r="W1059" s="28" t="s">
        <v>1463</v>
      </c>
      <c r="X1059" s="28" t="s">
        <v>2159</v>
      </c>
      <c r="Z1059" s="28">
        <v>15030108000333</v>
      </c>
      <c r="AA1059" s="28"/>
      <c r="AB1059" s="28" t="s">
        <v>1465</v>
      </c>
      <c r="AC1059" s="28" t="s">
        <v>263</v>
      </c>
    </row>
    <row r="1060" spans="1:29" x14ac:dyDescent="0.25">
      <c r="A1060" s="61">
        <v>110064629442</v>
      </c>
      <c r="B1060" s="28">
        <v>2018</v>
      </c>
      <c r="C1060" s="68">
        <f t="shared" si="16"/>
        <v>43101</v>
      </c>
      <c r="D1060" s="28" t="s">
        <v>1313</v>
      </c>
      <c r="E1060" s="28" t="s">
        <v>2158</v>
      </c>
      <c r="F1060" s="28" t="s">
        <v>1314</v>
      </c>
      <c r="G1060" s="28" t="s">
        <v>374</v>
      </c>
      <c r="H1060" s="28">
        <v>86001</v>
      </c>
      <c r="I1060" s="28">
        <v>35.188434999999998</v>
      </c>
      <c r="J1060" s="28">
        <v>-111.63066000000001</v>
      </c>
      <c r="L1060" s="61">
        <v>110064629442</v>
      </c>
      <c r="M1060" s="28" t="s">
        <v>263</v>
      </c>
      <c r="N1060" s="28">
        <v>4952</v>
      </c>
      <c r="O1060" s="28" t="str">
        <f>IFERROR(VLOOKUP(N1060, 'SIC &amp; NAICS Codes'!A:B, 2, FALSE), "")</f>
        <v>Sewerage Systems</v>
      </c>
      <c r="S1060" s="28">
        <v>3.5712421250000001E-2</v>
      </c>
      <c r="T1060" s="315">
        <f>_xlfn.MAXIFS('Raw Period DMR Data'!$O:$O,'Raw Period DMR Data'!$A:$A,'Raw Annual DMR Data'!B1060,'Raw Period DMR Data'!$C:$C,X1060)/S1060</f>
        <v>0</v>
      </c>
      <c r="U1060" s="28" t="str">
        <f>+IF(COUNTIFS('Raw Period DMR Data'!$A:$A,B1060, 'Raw Period DMR Data'!C:C,'Raw Annual DMR Data'!X1060, 'Raw Period DMR Data'!M:M, "&gt;0")&gt;0,_xlfn.MAXIFS('Raw Period DMR Data'!M:M,'Raw Period DMR Data'!$A:$A,'Raw Annual DMR Data'!B1060,'Raw Period DMR Data'!C:C,'Raw Annual DMR Data'!X1060), "N/A - Period DMR Data Not Available")</f>
        <v>N/A - Period DMR Data Not Available</v>
      </c>
      <c r="V1060" s="28" t="str" cm="1">
        <f t="array" ref="V1060">IFERROR(INDEX('Raw Period DMR Data'!N:N,MATCH(1,(B1060='Raw Period DMR Data'!$A:$A)*(U1060='Raw Period DMR Data'!M:M)*(X1060='Raw Period DMR Data'!C:C),0),1), "N/A")</f>
        <v>N/A</v>
      </c>
      <c r="W1060" s="28" t="s">
        <v>1463</v>
      </c>
      <c r="X1060" s="28" t="s">
        <v>2159</v>
      </c>
      <c r="Z1060" s="28">
        <v>15030108000333</v>
      </c>
      <c r="AA1060" s="28"/>
      <c r="AB1060" s="28" t="s">
        <v>1465</v>
      </c>
      <c r="AC1060" s="28" t="s">
        <v>263</v>
      </c>
    </row>
    <row r="1061" spans="1:29" x14ac:dyDescent="0.25">
      <c r="A1061" s="61">
        <v>110070544905</v>
      </c>
      <c r="B1061" s="28">
        <v>2018</v>
      </c>
      <c r="C1061" s="68">
        <f t="shared" si="16"/>
        <v>43101</v>
      </c>
      <c r="D1061" s="28" t="s">
        <v>1315</v>
      </c>
      <c r="E1061" s="28" t="s">
        <v>2160</v>
      </c>
      <c r="F1061" s="28" t="s">
        <v>1316</v>
      </c>
      <c r="G1061" s="28" t="s">
        <v>294</v>
      </c>
      <c r="H1061" s="28">
        <v>22801</v>
      </c>
      <c r="I1061" s="28">
        <v>38.400409000000003</v>
      </c>
      <c r="J1061" s="28">
        <v>-78.895222000000004</v>
      </c>
      <c r="L1061" s="61">
        <v>110070544905</v>
      </c>
      <c r="M1061" s="28" t="s">
        <v>6750</v>
      </c>
      <c r="N1061" s="28">
        <v>4953</v>
      </c>
      <c r="O1061" s="28" t="str">
        <f>IFERROR(VLOOKUP(N1061, 'SIC &amp; NAICS Codes'!A:B, 2, FALSE), "")</f>
        <v>Refuse Systems (hazardous waste treatment and disposal)</v>
      </c>
      <c r="S1061" s="302">
        <v>0.121186956952799</v>
      </c>
      <c r="T1061" s="315">
        <f>_xlfn.MAXIFS('Raw Period DMR Data'!$O:$O,'Raw Period DMR Data'!$A:$A,'Raw Annual DMR Data'!B1061,'Raw Period DMR Data'!$C:$C,X1061)/S1061</f>
        <v>0</v>
      </c>
      <c r="U1061" s="28" t="str">
        <f>+IF(COUNTIFS('Raw Period DMR Data'!$A:$A,B1061, 'Raw Period DMR Data'!C:C,'Raw Annual DMR Data'!X1061, 'Raw Period DMR Data'!M:M, "&gt;0")&gt;0,_xlfn.MAXIFS('Raw Period DMR Data'!M:M,'Raw Period DMR Data'!$A:$A,'Raw Annual DMR Data'!B1061,'Raw Period DMR Data'!C:C,'Raw Annual DMR Data'!X1061), "N/A - Period DMR Data Not Available")</f>
        <v>N/A - Period DMR Data Not Available</v>
      </c>
      <c r="V1061" s="28" t="str" cm="1">
        <f t="array" ref="V1061">IFERROR(INDEX('Raw Period DMR Data'!N:N,MATCH(1,(B1061='Raw Period DMR Data'!$A:$A)*(U1061='Raw Period DMR Data'!M:M)*(X1061='Raw Period DMR Data'!C:C),0),1), "N/A")</f>
        <v>N/A</v>
      </c>
      <c r="W1061" s="28" t="s">
        <v>1463</v>
      </c>
      <c r="X1061" s="28" t="s">
        <v>2161</v>
      </c>
      <c r="Y1061" s="28" t="s">
        <v>2162</v>
      </c>
      <c r="AA1061" s="28"/>
      <c r="AB1061" s="28" t="s">
        <v>1465</v>
      </c>
      <c r="AC1061" s="28" t="s">
        <v>1466</v>
      </c>
    </row>
    <row r="1062" spans="1:29" x14ac:dyDescent="0.25">
      <c r="A1062" s="61">
        <v>110070544905</v>
      </c>
      <c r="B1062" s="28">
        <v>2019</v>
      </c>
      <c r="C1062" s="68">
        <f t="shared" si="16"/>
        <v>43466</v>
      </c>
      <c r="D1062" s="28" t="s">
        <v>1315</v>
      </c>
      <c r="E1062" s="28" t="s">
        <v>2160</v>
      </c>
      <c r="F1062" s="28" t="s">
        <v>1316</v>
      </c>
      <c r="G1062" s="28" t="s">
        <v>294</v>
      </c>
      <c r="H1062" s="28">
        <v>22801</v>
      </c>
      <c r="I1062" s="28">
        <v>38.400409000000003</v>
      </c>
      <c r="J1062" s="28">
        <v>-78.895222000000004</v>
      </c>
      <c r="L1062" s="61">
        <v>110070544905</v>
      </c>
      <c r="M1062" s="28" t="s">
        <v>6750</v>
      </c>
      <c r="N1062" s="28">
        <v>4953</v>
      </c>
      <c r="O1062" s="28" t="str">
        <f>IFERROR(VLOOKUP(N1062, 'SIC &amp; NAICS Codes'!A:B, 2, FALSE), "")</f>
        <v>Refuse Systems (hazardous waste treatment and disposal)</v>
      </c>
      <c r="S1062" s="28">
        <v>5.5778246366499903E-2</v>
      </c>
      <c r="T1062" s="315">
        <f>_xlfn.MAXIFS('Raw Period DMR Data'!$O:$O,'Raw Period DMR Data'!$A:$A,'Raw Annual DMR Data'!B1062,'Raw Period DMR Data'!$C:$C,X1062)/S1062</f>
        <v>0</v>
      </c>
      <c r="U1062" s="28" t="str">
        <f>+IF(COUNTIFS('Raw Period DMR Data'!$A:$A,B1062, 'Raw Period DMR Data'!C:C,'Raw Annual DMR Data'!X1062, 'Raw Period DMR Data'!M:M, "&gt;0")&gt;0,_xlfn.MAXIFS('Raw Period DMR Data'!M:M,'Raw Period DMR Data'!$A:$A,'Raw Annual DMR Data'!B1062,'Raw Period DMR Data'!C:C,'Raw Annual DMR Data'!X1062), "N/A - Period DMR Data Not Available")</f>
        <v>N/A - Period DMR Data Not Available</v>
      </c>
      <c r="V1062" s="28" t="str" cm="1">
        <f t="array" ref="V1062">IFERROR(INDEX('Raw Period DMR Data'!N:N,MATCH(1,(B1062='Raw Period DMR Data'!$A:$A)*(U1062='Raw Period DMR Data'!M:M)*(X1062='Raw Period DMR Data'!C:C),0),1), "N/A")</f>
        <v>N/A</v>
      </c>
      <c r="W1062" s="28" t="s">
        <v>1463</v>
      </c>
      <c r="X1062" s="28" t="s">
        <v>2161</v>
      </c>
      <c r="Y1062" s="28" t="s">
        <v>2162</v>
      </c>
      <c r="AA1062" s="28"/>
      <c r="AB1062" s="28" t="s">
        <v>1465</v>
      </c>
      <c r="AC1062" s="28" t="s">
        <v>1466</v>
      </c>
    </row>
    <row r="1063" spans="1:29" x14ac:dyDescent="0.25">
      <c r="A1063" s="61">
        <v>110070544905</v>
      </c>
      <c r="B1063" s="28">
        <v>2020</v>
      </c>
      <c r="C1063" s="68">
        <f t="shared" si="16"/>
        <v>43831</v>
      </c>
      <c r="D1063" s="28" t="s">
        <v>1315</v>
      </c>
      <c r="E1063" s="28" t="s">
        <v>2160</v>
      </c>
      <c r="F1063" s="28" t="s">
        <v>1316</v>
      </c>
      <c r="G1063" s="28" t="s">
        <v>294</v>
      </c>
      <c r="H1063" s="28">
        <v>22801</v>
      </c>
      <c r="I1063" s="28">
        <v>38.400409000000003</v>
      </c>
      <c r="J1063" s="28">
        <v>-78.895222000000004</v>
      </c>
      <c r="L1063" s="61">
        <v>110070544905</v>
      </c>
      <c r="M1063" s="28" t="s">
        <v>6750</v>
      </c>
      <c r="N1063" s="28">
        <v>4953</v>
      </c>
      <c r="O1063" s="28" t="str">
        <f>IFERROR(VLOOKUP(N1063, 'SIC &amp; NAICS Codes'!A:B, 2, FALSE), "")</f>
        <v>Refuse Systems (hazardous waste treatment and disposal)</v>
      </c>
      <c r="S1063" s="28">
        <v>4.0296476006499903E-2</v>
      </c>
      <c r="T1063" s="315">
        <f>_xlfn.MAXIFS('Raw Period DMR Data'!$O:$O,'Raw Period DMR Data'!$A:$A,'Raw Annual DMR Data'!B1063,'Raw Period DMR Data'!$C:$C,X1063)/S1063</f>
        <v>0</v>
      </c>
      <c r="U1063" s="28" t="str">
        <f>+IF(COUNTIFS('Raw Period DMR Data'!$A:$A,B1063, 'Raw Period DMR Data'!C:C,'Raw Annual DMR Data'!X1063, 'Raw Period DMR Data'!M:M, "&gt;0")&gt;0,_xlfn.MAXIFS('Raw Period DMR Data'!M:M,'Raw Period DMR Data'!$A:$A,'Raw Annual DMR Data'!B1063,'Raw Period DMR Data'!C:C,'Raw Annual DMR Data'!X1063), "N/A - Period DMR Data Not Available")</f>
        <v>N/A - Period DMR Data Not Available</v>
      </c>
      <c r="V1063" s="28" t="str" cm="1">
        <f t="array" ref="V1063">IFERROR(INDEX('Raw Period DMR Data'!N:N,MATCH(1,(B1063='Raw Period DMR Data'!$A:$A)*(U1063='Raw Period DMR Data'!M:M)*(X1063='Raw Period DMR Data'!C:C),0),1), "N/A")</f>
        <v>N/A</v>
      </c>
      <c r="W1063" s="28" t="s">
        <v>1463</v>
      </c>
      <c r="X1063" s="28" t="s">
        <v>2161</v>
      </c>
      <c r="Y1063" s="28" t="s">
        <v>2162</v>
      </c>
      <c r="AA1063" s="28"/>
      <c r="AB1063" s="28" t="s">
        <v>1465</v>
      </c>
      <c r="AC1063" s="28" t="s">
        <v>1466</v>
      </c>
    </row>
    <row r="1064" spans="1:29" x14ac:dyDescent="0.25">
      <c r="A1064" s="61">
        <v>110064634686</v>
      </c>
      <c r="B1064" s="28">
        <v>2015</v>
      </c>
      <c r="C1064" s="68">
        <f t="shared" si="16"/>
        <v>42005</v>
      </c>
      <c r="D1064" s="28" t="s">
        <v>1317</v>
      </c>
      <c r="E1064" s="28" t="s">
        <v>2163</v>
      </c>
      <c r="F1064" s="28" t="s">
        <v>1318</v>
      </c>
      <c r="G1064" s="28" t="s">
        <v>491</v>
      </c>
      <c r="H1064" s="28">
        <v>19021</v>
      </c>
      <c r="I1064" s="28">
        <v>40.095258000000001</v>
      </c>
      <c r="J1064" s="28">
        <v>-74.877359999999996</v>
      </c>
      <c r="L1064" s="61">
        <v>110064634686</v>
      </c>
      <c r="M1064" s="28" t="s">
        <v>265</v>
      </c>
      <c r="N1064" s="28">
        <v>2821</v>
      </c>
      <c r="O1064" s="28" t="str">
        <f>IFERROR(VLOOKUP(N1064, 'SIC &amp; NAICS Codes'!A:B, 2, FALSE), "")</f>
        <v>Plastics Materials, Synthetic and Resins, and Nonvulcanizable Elastomers</v>
      </c>
      <c r="S1064" s="28">
        <v>0.10095238095238</v>
      </c>
      <c r="T1064" s="315">
        <f>_xlfn.MAXIFS('Raw Period DMR Data'!$O:$O,'Raw Period DMR Data'!$A:$A,'Raw Annual DMR Data'!B1064,'Raw Period DMR Data'!$C:$C,X1064)/S1064</f>
        <v>0</v>
      </c>
      <c r="U1064" s="28" t="str">
        <f>+IF(COUNTIFS('Raw Period DMR Data'!$A:$A,B1064, 'Raw Period DMR Data'!C:C,'Raw Annual DMR Data'!X1064, 'Raw Period DMR Data'!M:M, "&gt;0")&gt;0,_xlfn.MAXIFS('Raw Period DMR Data'!M:M,'Raw Period DMR Data'!$A:$A,'Raw Annual DMR Data'!B1064,'Raw Period DMR Data'!C:C,'Raw Annual DMR Data'!X1064), "N/A - Period DMR Data Not Available")</f>
        <v>N/A - Period DMR Data Not Available</v>
      </c>
      <c r="V1064" s="28" t="str" cm="1">
        <f t="array" ref="V1064">IFERROR(INDEX('Raw Period DMR Data'!N:N,MATCH(1,(B1064='Raw Period DMR Data'!$A:$A)*(U1064='Raw Period DMR Data'!M:M)*(X1064='Raw Period DMR Data'!C:C),0),1), "N/A")</f>
        <v>N/A</v>
      </c>
      <c r="W1064" s="28" t="s">
        <v>1463</v>
      </c>
      <c r="X1064" s="28" t="s">
        <v>2164</v>
      </c>
      <c r="Y1064" s="28" t="s">
        <v>2165</v>
      </c>
      <c r="Z1064" s="28">
        <v>2040201000476</v>
      </c>
      <c r="AA1064" s="28"/>
      <c r="AB1064" s="28" t="s">
        <v>1465</v>
      </c>
      <c r="AC1064" s="28" t="s">
        <v>1466</v>
      </c>
    </row>
    <row r="1065" spans="1:29" x14ac:dyDescent="0.25">
      <c r="A1065" s="61">
        <v>110064634686</v>
      </c>
      <c r="B1065" s="28">
        <v>2016</v>
      </c>
      <c r="C1065" s="68">
        <f t="shared" si="16"/>
        <v>42370</v>
      </c>
      <c r="D1065" s="28" t="s">
        <v>1317</v>
      </c>
      <c r="E1065" s="28" t="s">
        <v>2163</v>
      </c>
      <c r="F1065" s="28" t="s">
        <v>1318</v>
      </c>
      <c r="G1065" s="28" t="s">
        <v>491</v>
      </c>
      <c r="H1065" s="28">
        <v>19021</v>
      </c>
      <c r="I1065" s="28">
        <v>40.095258000000001</v>
      </c>
      <c r="J1065" s="28">
        <v>-74.877359999999996</v>
      </c>
      <c r="L1065" s="61">
        <v>110064634686</v>
      </c>
      <c r="M1065" s="28" t="s">
        <v>265</v>
      </c>
      <c r="N1065" s="28">
        <v>2821</v>
      </c>
      <c r="O1065" s="28" t="str">
        <f>IFERROR(VLOOKUP(N1065, 'SIC &amp; NAICS Codes'!A:B, 2, FALSE), "")</f>
        <v>Plastics Materials, Synthetic and Resins, and Nonvulcanizable Elastomers</v>
      </c>
      <c r="S1065" s="28">
        <v>0.13195011337868401</v>
      </c>
      <c r="T1065" s="315">
        <f>_xlfn.MAXIFS('Raw Period DMR Data'!$O:$O,'Raw Period DMR Data'!$A:$A,'Raw Annual DMR Data'!B1065,'Raw Period DMR Data'!$C:$C,X1065)/S1065</f>
        <v>0</v>
      </c>
      <c r="U1065" s="28" t="str">
        <f>+IF(COUNTIFS('Raw Period DMR Data'!$A:$A,B1065, 'Raw Period DMR Data'!C:C,'Raw Annual DMR Data'!X1065, 'Raw Period DMR Data'!M:M, "&gt;0")&gt;0,_xlfn.MAXIFS('Raw Period DMR Data'!M:M,'Raw Period DMR Data'!$A:$A,'Raw Annual DMR Data'!B1065,'Raw Period DMR Data'!C:C,'Raw Annual DMR Data'!X1065), "N/A - Period DMR Data Not Available")</f>
        <v>N/A - Period DMR Data Not Available</v>
      </c>
      <c r="V1065" s="28" t="str" cm="1">
        <f t="array" ref="V1065">IFERROR(INDEX('Raw Period DMR Data'!N:N,MATCH(1,(B1065='Raw Period DMR Data'!$A:$A)*(U1065='Raw Period DMR Data'!M:M)*(X1065='Raw Period DMR Data'!C:C),0),1), "N/A")</f>
        <v>N/A</v>
      </c>
      <c r="W1065" s="28" t="s">
        <v>1463</v>
      </c>
      <c r="X1065" s="28" t="s">
        <v>2164</v>
      </c>
      <c r="Y1065" s="28" t="s">
        <v>2165</v>
      </c>
      <c r="Z1065" s="28">
        <v>2040201000476</v>
      </c>
      <c r="AA1065" s="28"/>
      <c r="AB1065" s="28" t="s">
        <v>1465</v>
      </c>
      <c r="AC1065" s="28" t="s">
        <v>1466</v>
      </c>
    </row>
    <row r="1066" spans="1:29" x14ac:dyDescent="0.25">
      <c r="A1066" s="61">
        <v>110064634686</v>
      </c>
      <c r="B1066" s="28">
        <v>2017</v>
      </c>
      <c r="C1066" s="68">
        <f t="shared" si="16"/>
        <v>42736</v>
      </c>
      <c r="D1066" s="28" t="s">
        <v>1317</v>
      </c>
      <c r="E1066" s="28" t="s">
        <v>2163</v>
      </c>
      <c r="F1066" s="28" t="s">
        <v>1318</v>
      </c>
      <c r="G1066" s="28" t="s">
        <v>491</v>
      </c>
      <c r="H1066" s="28">
        <v>19021</v>
      </c>
      <c r="I1066" s="28">
        <v>40.095258000000001</v>
      </c>
      <c r="J1066" s="28">
        <v>-74.877359999999996</v>
      </c>
      <c r="L1066" s="61">
        <v>110064634686</v>
      </c>
      <c r="M1066" s="28" t="s">
        <v>265</v>
      </c>
      <c r="N1066" s="28">
        <v>2821</v>
      </c>
      <c r="O1066" s="28" t="str">
        <f>IFERROR(VLOOKUP(N1066, 'SIC &amp; NAICS Codes'!A:B, 2, FALSE), "")</f>
        <v>Plastics Materials, Synthetic and Resins, and Nonvulcanizable Elastomers</v>
      </c>
      <c r="S1066" s="28">
        <v>0.12750566893424001</v>
      </c>
      <c r="T1066" s="315">
        <f>_xlfn.MAXIFS('Raw Period DMR Data'!$O:$O,'Raw Period DMR Data'!$A:$A,'Raw Annual DMR Data'!B1066,'Raw Period DMR Data'!$C:$C,X1066)/S1066</f>
        <v>0</v>
      </c>
      <c r="U1066" s="28" t="str">
        <f>+IF(COUNTIFS('Raw Period DMR Data'!$A:$A,B1066, 'Raw Period DMR Data'!C:C,'Raw Annual DMR Data'!X1066, 'Raw Period DMR Data'!M:M, "&gt;0")&gt;0,_xlfn.MAXIFS('Raw Period DMR Data'!M:M,'Raw Period DMR Data'!$A:$A,'Raw Annual DMR Data'!B1066,'Raw Period DMR Data'!C:C,'Raw Annual DMR Data'!X1066), "N/A - Period DMR Data Not Available")</f>
        <v>N/A - Period DMR Data Not Available</v>
      </c>
      <c r="V1066" s="28" t="str" cm="1">
        <f t="array" ref="V1066">IFERROR(INDEX('Raw Period DMR Data'!N:N,MATCH(1,(B1066='Raw Period DMR Data'!$A:$A)*(U1066='Raw Period DMR Data'!M:M)*(X1066='Raw Period DMR Data'!C:C),0),1), "N/A")</f>
        <v>N/A</v>
      </c>
      <c r="W1066" s="28" t="s">
        <v>1463</v>
      </c>
      <c r="X1066" s="28" t="s">
        <v>2164</v>
      </c>
      <c r="Y1066" s="28" t="s">
        <v>2165</v>
      </c>
      <c r="Z1066" s="28">
        <v>2040201000476</v>
      </c>
      <c r="AA1066" s="28"/>
      <c r="AB1066" s="28" t="s">
        <v>1465</v>
      </c>
      <c r="AC1066" s="28" t="s">
        <v>1466</v>
      </c>
    </row>
    <row r="1067" spans="1:29" x14ac:dyDescent="0.25">
      <c r="A1067" s="61">
        <v>110064634686</v>
      </c>
      <c r="B1067" s="28">
        <v>2018</v>
      </c>
      <c r="C1067" s="68">
        <f t="shared" si="16"/>
        <v>43101</v>
      </c>
      <c r="D1067" s="28" t="s">
        <v>1317</v>
      </c>
      <c r="E1067" s="28" t="s">
        <v>2163</v>
      </c>
      <c r="F1067" s="28" t="s">
        <v>1318</v>
      </c>
      <c r="G1067" s="28" t="s">
        <v>491</v>
      </c>
      <c r="H1067" s="28">
        <v>19021</v>
      </c>
      <c r="I1067" s="28">
        <v>40.095258000000001</v>
      </c>
      <c r="J1067" s="28">
        <v>-74.877359999999996</v>
      </c>
      <c r="L1067" s="61">
        <v>110064634686</v>
      </c>
      <c r="M1067" s="28" t="s">
        <v>265</v>
      </c>
      <c r="N1067" s="28">
        <v>2821</v>
      </c>
      <c r="O1067" s="28" t="str">
        <f>IFERROR(VLOOKUP(N1067, 'SIC &amp; NAICS Codes'!A:B, 2, FALSE), "")</f>
        <v>Plastics Materials, Synthetic and Resins, and Nonvulcanizable Elastomers</v>
      </c>
      <c r="S1067" s="302">
        <v>0.16247165532879801</v>
      </c>
      <c r="T1067" s="315">
        <f>_xlfn.MAXIFS('Raw Period DMR Data'!$O:$O,'Raw Period DMR Data'!$A:$A,'Raw Annual DMR Data'!B1067,'Raw Period DMR Data'!$C:$C,X1067)/S1067</f>
        <v>0</v>
      </c>
      <c r="U1067" s="28" t="str">
        <f>+IF(COUNTIFS('Raw Period DMR Data'!$A:$A,B1067, 'Raw Period DMR Data'!C:C,'Raw Annual DMR Data'!X1067, 'Raw Period DMR Data'!M:M, "&gt;0")&gt;0,_xlfn.MAXIFS('Raw Period DMR Data'!M:M,'Raw Period DMR Data'!$A:$A,'Raw Annual DMR Data'!B1067,'Raw Period DMR Data'!C:C,'Raw Annual DMR Data'!X1067), "N/A - Period DMR Data Not Available")</f>
        <v>N/A - Period DMR Data Not Available</v>
      </c>
      <c r="V1067" s="28" t="str" cm="1">
        <f t="array" ref="V1067">IFERROR(INDEX('Raw Period DMR Data'!N:N,MATCH(1,(B1067='Raw Period DMR Data'!$A:$A)*(U1067='Raw Period DMR Data'!M:M)*(X1067='Raw Period DMR Data'!C:C),0),1), "N/A")</f>
        <v>N/A</v>
      </c>
      <c r="W1067" s="28" t="s">
        <v>1463</v>
      </c>
      <c r="X1067" s="28" t="s">
        <v>2164</v>
      </c>
      <c r="Y1067" s="28" t="s">
        <v>2165</v>
      </c>
      <c r="Z1067" s="302" t="s">
        <v>2166</v>
      </c>
      <c r="AA1067" s="28"/>
      <c r="AB1067" s="28" t="s">
        <v>1465</v>
      </c>
      <c r="AC1067" s="28" t="s">
        <v>1466</v>
      </c>
    </row>
    <row r="1068" spans="1:29" x14ac:dyDescent="0.25">
      <c r="A1068" s="61">
        <v>110064634686</v>
      </c>
      <c r="B1068" s="28">
        <v>2019</v>
      </c>
      <c r="C1068" s="68">
        <f t="shared" si="16"/>
        <v>43466</v>
      </c>
      <c r="D1068" s="28" t="s">
        <v>1317</v>
      </c>
      <c r="E1068" s="28" t="s">
        <v>2163</v>
      </c>
      <c r="F1068" s="28" t="s">
        <v>1318</v>
      </c>
      <c r="G1068" s="28" t="s">
        <v>491</v>
      </c>
      <c r="H1068" s="28">
        <v>19021</v>
      </c>
      <c r="I1068" s="28">
        <v>40.095258000000001</v>
      </c>
      <c r="J1068" s="28">
        <v>-74.877359999999996</v>
      </c>
      <c r="L1068" s="61">
        <v>110064634686</v>
      </c>
      <c r="M1068" s="28" t="s">
        <v>265</v>
      </c>
      <c r="N1068" s="28">
        <v>2821</v>
      </c>
      <c r="O1068" s="28" t="str">
        <f>IFERROR(VLOOKUP(N1068, 'SIC &amp; NAICS Codes'!A:B, 2, FALSE), "")</f>
        <v>Plastics Materials, Synthetic and Resins, and Nonvulcanizable Elastomers</v>
      </c>
      <c r="S1068" s="28">
        <v>0.26344671201814002</v>
      </c>
      <c r="T1068" s="315">
        <f>_xlfn.MAXIFS('Raw Period DMR Data'!$O:$O,'Raw Period DMR Data'!$A:$A,'Raw Annual DMR Data'!B1068,'Raw Period DMR Data'!$C:$C,X1068)/S1068</f>
        <v>0</v>
      </c>
      <c r="U1068" s="28" t="str">
        <f>+IF(COUNTIFS('Raw Period DMR Data'!$A:$A,B1068, 'Raw Period DMR Data'!C:C,'Raw Annual DMR Data'!X1068, 'Raw Period DMR Data'!M:M, "&gt;0")&gt;0,_xlfn.MAXIFS('Raw Period DMR Data'!M:M,'Raw Period DMR Data'!$A:$A,'Raw Annual DMR Data'!B1068,'Raw Period DMR Data'!C:C,'Raw Annual DMR Data'!X1068), "N/A - Period DMR Data Not Available")</f>
        <v>N/A - Period DMR Data Not Available</v>
      </c>
      <c r="V1068" s="28" t="str" cm="1">
        <f t="array" ref="V1068">IFERROR(INDEX('Raw Period DMR Data'!N:N,MATCH(1,(B1068='Raw Period DMR Data'!$A:$A)*(U1068='Raw Period DMR Data'!M:M)*(X1068='Raw Period DMR Data'!C:C),0),1), "N/A")</f>
        <v>N/A</v>
      </c>
      <c r="W1068" s="28" t="s">
        <v>1463</v>
      </c>
      <c r="X1068" s="28" t="s">
        <v>2164</v>
      </c>
      <c r="Y1068" s="28" t="s">
        <v>2165</v>
      </c>
      <c r="Z1068" s="28">
        <v>2040201000476</v>
      </c>
      <c r="AA1068" s="28"/>
      <c r="AB1068" s="28" t="s">
        <v>1465</v>
      </c>
      <c r="AC1068" s="28" t="s">
        <v>1466</v>
      </c>
    </row>
    <row r="1069" spans="1:29" x14ac:dyDescent="0.25">
      <c r="A1069" s="61">
        <v>110064634686</v>
      </c>
      <c r="B1069" s="28">
        <v>2020</v>
      </c>
      <c r="C1069" s="68">
        <f t="shared" si="16"/>
        <v>43831</v>
      </c>
      <c r="D1069" s="28" t="s">
        <v>1317</v>
      </c>
      <c r="E1069" s="28" t="s">
        <v>2163</v>
      </c>
      <c r="F1069" s="28" t="s">
        <v>1318</v>
      </c>
      <c r="G1069" s="28" t="s">
        <v>491</v>
      </c>
      <c r="H1069" s="28">
        <v>19021</v>
      </c>
      <c r="I1069" s="28">
        <v>40.095258000000001</v>
      </c>
      <c r="J1069" s="28">
        <v>-74.877359999999996</v>
      </c>
      <c r="L1069" s="61">
        <v>110064634686</v>
      </c>
      <c r="M1069" s="28" t="s">
        <v>265</v>
      </c>
      <c r="N1069" s="28">
        <v>2821</v>
      </c>
      <c r="O1069" s="28" t="str">
        <f>IFERROR(VLOOKUP(N1069, 'SIC &amp; NAICS Codes'!A:B, 2, FALSE), "")</f>
        <v>Plastics Materials, Synthetic and Resins, and Nonvulcanizable Elastomers</v>
      </c>
      <c r="S1069" s="28">
        <v>0.33598639455782298</v>
      </c>
      <c r="T1069" s="315">
        <f>_xlfn.MAXIFS('Raw Period DMR Data'!$O:$O,'Raw Period DMR Data'!$A:$A,'Raw Annual DMR Data'!B1069,'Raw Period DMR Data'!$C:$C,X1069)/S1069</f>
        <v>0</v>
      </c>
      <c r="U1069" s="28" t="str">
        <f>+IF(COUNTIFS('Raw Period DMR Data'!$A:$A,B1069, 'Raw Period DMR Data'!C:C,'Raw Annual DMR Data'!X1069, 'Raw Period DMR Data'!M:M, "&gt;0")&gt;0,_xlfn.MAXIFS('Raw Period DMR Data'!M:M,'Raw Period DMR Data'!$A:$A,'Raw Annual DMR Data'!B1069,'Raw Period DMR Data'!C:C,'Raw Annual DMR Data'!X1069), "N/A - Period DMR Data Not Available")</f>
        <v>N/A - Period DMR Data Not Available</v>
      </c>
      <c r="V1069" s="28" t="str" cm="1">
        <f t="array" ref="V1069">IFERROR(INDEX('Raw Period DMR Data'!N:N,MATCH(1,(B1069='Raw Period DMR Data'!$A:$A)*(U1069='Raw Period DMR Data'!M:M)*(X1069='Raw Period DMR Data'!C:C),0),1), "N/A")</f>
        <v>N/A</v>
      </c>
      <c r="W1069" s="28" t="s">
        <v>1463</v>
      </c>
      <c r="X1069" s="28" t="s">
        <v>2164</v>
      </c>
      <c r="Y1069" s="28" t="s">
        <v>2165</v>
      </c>
      <c r="Z1069" s="28">
        <v>2040201000476</v>
      </c>
      <c r="AA1069" s="28"/>
      <c r="AB1069" s="28" t="s">
        <v>1465</v>
      </c>
      <c r="AC1069" s="28" t="s">
        <v>1466</v>
      </c>
    </row>
    <row r="1070" spans="1:29" x14ac:dyDescent="0.25">
      <c r="A1070" s="61">
        <v>110000719045</v>
      </c>
      <c r="B1070" s="28">
        <v>2017</v>
      </c>
      <c r="C1070" s="68">
        <f t="shared" si="16"/>
        <v>42736</v>
      </c>
      <c r="D1070" s="28" t="s">
        <v>1319</v>
      </c>
      <c r="E1070" s="28" t="s">
        <v>2167</v>
      </c>
      <c r="F1070" s="28" t="s">
        <v>1320</v>
      </c>
      <c r="G1070" s="28" t="s">
        <v>324</v>
      </c>
      <c r="H1070" s="28">
        <v>42629</v>
      </c>
      <c r="I1070" s="28">
        <v>36.946111000000002</v>
      </c>
      <c r="J1070" s="28">
        <v>-85.020832999999996</v>
      </c>
      <c r="L1070" s="61">
        <v>110000719045</v>
      </c>
      <c r="M1070" s="28" t="s">
        <v>263</v>
      </c>
      <c r="N1070" s="28">
        <v>4952</v>
      </c>
      <c r="O1070" s="28" t="str">
        <f>IFERROR(VLOOKUP(N1070, 'SIC &amp; NAICS Codes'!A:B, 2, FALSE), "")</f>
        <v>Sewerage Systems</v>
      </c>
      <c r="S1070" s="28">
        <v>0.4089314</v>
      </c>
      <c r="T1070" s="315">
        <f>_xlfn.MAXIFS('Raw Period DMR Data'!$O:$O,'Raw Period DMR Data'!$A:$A,'Raw Annual DMR Data'!B1070,'Raw Period DMR Data'!$C:$C,X1070)/S1070</f>
        <v>0</v>
      </c>
      <c r="U1070" s="28" t="str">
        <f>+IF(COUNTIFS('Raw Period DMR Data'!$A:$A,B1070, 'Raw Period DMR Data'!C:C,'Raw Annual DMR Data'!X1070, 'Raw Period DMR Data'!M:M, "&gt;0")&gt;0,_xlfn.MAXIFS('Raw Period DMR Data'!M:M,'Raw Period DMR Data'!$A:$A,'Raw Annual DMR Data'!B1070,'Raw Period DMR Data'!C:C,'Raw Annual DMR Data'!X1070), "N/A - Period DMR Data Not Available")</f>
        <v>N/A - Period DMR Data Not Available</v>
      </c>
      <c r="V1070" s="28" t="str" cm="1">
        <f t="array" ref="V1070">IFERROR(INDEX('Raw Period DMR Data'!N:N,MATCH(1,(B1070='Raw Period DMR Data'!$A:$A)*(U1070='Raw Period DMR Data'!M:M)*(X1070='Raw Period DMR Data'!C:C),0),1), "N/A")</f>
        <v>N/A</v>
      </c>
      <c r="W1070" s="28" t="s">
        <v>1463</v>
      </c>
      <c r="X1070" s="28" t="s">
        <v>2168</v>
      </c>
      <c r="Y1070" s="28" t="s">
        <v>2169</v>
      </c>
      <c r="Z1070" s="28">
        <v>5130103010237</v>
      </c>
      <c r="AA1070" s="28"/>
      <c r="AB1070" s="28" t="s">
        <v>1465</v>
      </c>
      <c r="AC1070" s="28" t="s">
        <v>263</v>
      </c>
    </row>
    <row r="1071" spans="1:29" x14ac:dyDescent="0.25">
      <c r="A1071" s="61">
        <v>110000719045</v>
      </c>
      <c r="B1071" s="28">
        <v>2018</v>
      </c>
      <c r="C1071" s="68">
        <f t="shared" si="16"/>
        <v>43101</v>
      </c>
      <c r="D1071" s="28" t="s">
        <v>1319</v>
      </c>
      <c r="E1071" s="28" t="s">
        <v>2167</v>
      </c>
      <c r="F1071" s="28" t="s">
        <v>1320</v>
      </c>
      <c r="G1071" s="28" t="s">
        <v>324</v>
      </c>
      <c r="H1071" s="28">
        <v>42629</v>
      </c>
      <c r="I1071" s="28">
        <v>36.946111000000002</v>
      </c>
      <c r="J1071" s="28">
        <v>-85.020832999999996</v>
      </c>
      <c r="L1071" s="61">
        <v>110000719045</v>
      </c>
      <c r="M1071" s="28" t="s">
        <v>263</v>
      </c>
      <c r="N1071" s="28">
        <v>4952</v>
      </c>
      <c r="O1071" s="28" t="str">
        <f>IFERROR(VLOOKUP(N1071, 'SIC &amp; NAICS Codes'!A:B, 2, FALSE), "")</f>
        <v>Sewerage Systems</v>
      </c>
      <c r="S1071" s="28">
        <v>0.84065796250000002</v>
      </c>
      <c r="T1071" s="315">
        <f>_xlfn.MAXIFS('Raw Period DMR Data'!$O:$O,'Raw Period DMR Data'!$A:$A,'Raw Annual DMR Data'!B1071,'Raw Period DMR Data'!$C:$C,X1071)/S1071</f>
        <v>0</v>
      </c>
      <c r="U1071" s="28" t="str">
        <f>+IF(COUNTIFS('Raw Period DMR Data'!$A:$A,B1071, 'Raw Period DMR Data'!C:C,'Raw Annual DMR Data'!X1071, 'Raw Period DMR Data'!M:M, "&gt;0")&gt;0,_xlfn.MAXIFS('Raw Period DMR Data'!M:M,'Raw Period DMR Data'!$A:$A,'Raw Annual DMR Data'!B1071,'Raw Period DMR Data'!C:C,'Raw Annual DMR Data'!X1071), "N/A - Period DMR Data Not Available")</f>
        <v>N/A - Period DMR Data Not Available</v>
      </c>
      <c r="V1071" s="28" t="str" cm="1">
        <f t="array" ref="V1071">IFERROR(INDEX('Raw Period DMR Data'!N:N,MATCH(1,(B1071='Raw Period DMR Data'!$A:$A)*(U1071='Raw Period DMR Data'!M:M)*(X1071='Raw Period DMR Data'!C:C),0),1), "N/A")</f>
        <v>N/A</v>
      </c>
      <c r="W1071" s="28" t="s">
        <v>1463</v>
      </c>
      <c r="X1071" s="28" t="s">
        <v>2168</v>
      </c>
      <c r="Y1071" s="28" t="s">
        <v>2169</v>
      </c>
      <c r="Z1071" s="302" t="s">
        <v>2170</v>
      </c>
      <c r="AA1071" s="28"/>
      <c r="AB1071" s="28" t="s">
        <v>1465</v>
      </c>
      <c r="AC1071" s="28" t="s">
        <v>263</v>
      </c>
    </row>
    <row r="1072" spans="1:29" x14ac:dyDescent="0.25">
      <c r="A1072" s="61">
        <v>110000719045</v>
      </c>
      <c r="B1072" s="28">
        <v>2019</v>
      </c>
      <c r="C1072" s="68">
        <f t="shared" si="16"/>
        <v>43466</v>
      </c>
      <c r="D1072" s="28" t="s">
        <v>1319</v>
      </c>
      <c r="E1072" s="28" t="s">
        <v>2167</v>
      </c>
      <c r="F1072" s="28" t="s">
        <v>1320</v>
      </c>
      <c r="G1072" s="28" t="s">
        <v>324</v>
      </c>
      <c r="H1072" s="28">
        <v>42629</v>
      </c>
      <c r="I1072" s="28">
        <v>36.946111000000002</v>
      </c>
      <c r="J1072" s="28">
        <v>-85.020832999999996</v>
      </c>
      <c r="L1072" s="61">
        <v>110000719045</v>
      </c>
      <c r="M1072" s="28" t="s">
        <v>263</v>
      </c>
      <c r="N1072" s="28">
        <v>4952</v>
      </c>
      <c r="O1072" s="28" t="str">
        <f>IFERROR(VLOOKUP(N1072, 'SIC &amp; NAICS Codes'!A:B, 2, FALSE), "")</f>
        <v>Sewerage Systems</v>
      </c>
      <c r="S1072" s="28">
        <v>0.69628860000000004</v>
      </c>
      <c r="T1072" s="315">
        <f>_xlfn.MAXIFS('Raw Period DMR Data'!$O:$O,'Raw Period DMR Data'!$A:$A,'Raw Annual DMR Data'!B1072,'Raw Period DMR Data'!$C:$C,X1072)/S1072</f>
        <v>0</v>
      </c>
      <c r="U1072" s="28" t="str">
        <f>+IF(COUNTIFS('Raw Period DMR Data'!$A:$A,B1072, 'Raw Period DMR Data'!C:C,'Raw Annual DMR Data'!X1072, 'Raw Period DMR Data'!M:M, "&gt;0")&gt;0,_xlfn.MAXIFS('Raw Period DMR Data'!M:M,'Raw Period DMR Data'!$A:$A,'Raw Annual DMR Data'!B1072,'Raw Period DMR Data'!C:C,'Raw Annual DMR Data'!X1072), "N/A - Period DMR Data Not Available")</f>
        <v>N/A - Period DMR Data Not Available</v>
      </c>
      <c r="V1072" s="28" t="str" cm="1">
        <f t="array" ref="V1072">IFERROR(INDEX('Raw Period DMR Data'!N:N,MATCH(1,(B1072='Raw Period DMR Data'!$A:$A)*(U1072='Raw Period DMR Data'!M:M)*(X1072='Raw Period DMR Data'!C:C),0),1), "N/A")</f>
        <v>N/A</v>
      </c>
      <c r="W1072" s="28" t="s">
        <v>1463</v>
      </c>
      <c r="X1072" s="28" t="s">
        <v>2168</v>
      </c>
      <c r="Y1072" s="28" t="s">
        <v>2169</v>
      </c>
      <c r="Z1072" s="28">
        <v>5130103010237</v>
      </c>
      <c r="AA1072" s="28"/>
      <c r="AB1072" s="28" t="s">
        <v>1465</v>
      </c>
      <c r="AC1072" s="28" t="s">
        <v>263</v>
      </c>
    </row>
    <row r="1073" spans="1:29" x14ac:dyDescent="0.25">
      <c r="A1073" s="61">
        <v>110000719045</v>
      </c>
      <c r="B1073" s="28">
        <v>2020</v>
      </c>
      <c r="C1073" s="68">
        <f t="shared" si="16"/>
        <v>43831</v>
      </c>
      <c r="D1073" s="28" t="s">
        <v>1319</v>
      </c>
      <c r="E1073" s="28" t="s">
        <v>2167</v>
      </c>
      <c r="F1073" s="28" t="s">
        <v>1320</v>
      </c>
      <c r="G1073" s="28" t="s">
        <v>324</v>
      </c>
      <c r="H1073" s="28">
        <v>42629</v>
      </c>
      <c r="I1073" s="28">
        <v>36.946111000000002</v>
      </c>
      <c r="J1073" s="28">
        <v>-85.020832999999996</v>
      </c>
      <c r="L1073" s="61">
        <v>110000719045</v>
      </c>
      <c r="M1073" s="28" t="s">
        <v>263</v>
      </c>
      <c r="N1073" s="28">
        <v>4952</v>
      </c>
      <c r="O1073" s="28" t="str">
        <f>IFERROR(VLOOKUP(N1073, 'SIC &amp; NAICS Codes'!A:B, 2, FALSE), "")</f>
        <v>Sewerage Systems</v>
      </c>
      <c r="S1073" s="28">
        <v>0.5353409375</v>
      </c>
      <c r="T1073" s="315">
        <f>_xlfn.MAXIFS('Raw Period DMR Data'!$O:$O,'Raw Period DMR Data'!$A:$A,'Raw Annual DMR Data'!B1073,'Raw Period DMR Data'!$C:$C,X1073)/S1073</f>
        <v>0</v>
      </c>
      <c r="U1073" s="28" t="str">
        <f>+IF(COUNTIFS('Raw Period DMR Data'!$A:$A,B1073, 'Raw Period DMR Data'!C:C,'Raw Annual DMR Data'!X1073, 'Raw Period DMR Data'!M:M, "&gt;0")&gt;0,_xlfn.MAXIFS('Raw Period DMR Data'!M:M,'Raw Period DMR Data'!$A:$A,'Raw Annual DMR Data'!B1073,'Raw Period DMR Data'!C:C,'Raw Annual DMR Data'!X1073), "N/A - Period DMR Data Not Available")</f>
        <v>N/A - Period DMR Data Not Available</v>
      </c>
      <c r="V1073" s="28" t="str" cm="1">
        <f t="array" ref="V1073">IFERROR(INDEX('Raw Period DMR Data'!N:N,MATCH(1,(B1073='Raw Period DMR Data'!$A:$A)*(U1073='Raw Period DMR Data'!M:M)*(X1073='Raw Period DMR Data'!C:C),0),1), "N/A")</f>
        <v>N/A</v>
      </c>
      <c r="W1073" s="28" t="s">
        <v>1463</v>
      </c>
      <c r="X1073" s="28" t="s">
        <v>2168</v>
      </c>
      <c r="Y1073" s="28" t="s">
        <v>2169</v>
      </c>
      <c r="Z1073" s="28">
        <v>5130103010237</v>
      </c>
      <c r="AA1073" s="28"/>
      <c r="AB1073" s="28" t="s">
        <v>1465</v>
      </c>
      <c r="AC1073" s="28" t="s">
        <v>263</v>
      </c>
    </row>
    <row r="1074" spans="1:29" x14ac:dyDescent="0.25">
      <c r="A1074" s="61">
        <v>110000736730</v>
      </c>
      <c r="B1074" s="28">
        <v>2019</v>
      </c>
      <c r="C1074" s="68">
        <f t="shared" si="16"/>
        <v>43466</v>
      </c>
      <c r="D1074" s="28" t="s">
        <v>1321</v>
      </c>
      <c r="E1074" s="28" t="s">
        <v>2171</v>
      </c>
      <c r="F1074" s="28" t="s">
        <v>626</v>
      </c>
      <c r="G1074" s="28" t="s">
        <v>324</v>
      </c>
      <c r="H1074" s="28">
        <v>42276</v>
      </c>
      <c r="I1074" s="28">
        <v>36.856732000000001</v>
      </c>
      <c r="J1074" s="28">
        <v>-86.889048000000003</v>
      </c>
      <c r="L1074" s="61">
        <v>110000736730</v>
      </c>
      <c r="M1074" s="28" t="s">
        <v>263</v>
      </c>
      <c r="N1074" s="28">
        <v>4952</v>
      </c>
      <c r="O1074" s="28" t="str">
        <f>IFERROR(VLOOKUP(N1074, 'SIC &amp; NAICS Codes'!A:B, 2, FALSE), "")</f>
        <v>Sewerage Systems</v>
      </c>
      <c r="S1074" s="28">
        <v>1.4202077</v>
      </c>
      <c r="T1074" s="315">
        <f>_xlfn.MAXIFS('Raw Period DMR Data'!$O:$O,'Raw Period DMR Data'!$A:$A,'Raw Annual DMR Data'!B1074,'Raw Period DMR Data'!$C:$C,X1074)/S1074</f>
        <v>0</v>
      </c>
      <c r="U1074" s="28" t="str">
        <f>+IF(COUNTIFS('Raw Period DMR Data'!$A:$A,B1074, 'Raw Period DMR Data'!C:C,'Raw Annual DMR Data'!X1074, 'Raw Period DMR Data'!M:M, "&gt;0")&gt;0,_xlfn.MAXIFS('Raw Period DMR Data'!M:M,'Raw Period DMR Data'!$A:$A,'Raw Annual DMR Data'!B1074,'Raw Period DMR Data'!C:C,'Raw Annual DMR Data'!X1074), "N/A - Period DMR Data Not Available")</f>
        <v>N/A - Period DMR Data Not Available</v>
      </c>
      <c r="V1074" s="28" t="str" cm="1">
        <f t="array" ref="V1074">IFERROR(INDEX('Raw Period DMR Data'!N:N,MATCH(1,(B1074='Raw Period DMR Data'!$A:$A)*(U1074='Raw Period DMR Data'!M:M)*(X1074='Raw Period DMR Data'!C:C),0),1), "N/A")</f>
        <v>N/A</v>
      </c>
      <c r="W1074" s="28" t="s">
        <v>1463</v>
      </c>
      <c r="X1074" s="28" t="s">
        <v>2172</v>
      </c>
      <c r="Y1074" s="28" t="s">
        <v>1760</v>
      </c>
      <c r="Z1074" s="28">
        <v>5110003000994</v>
      </c>
      <c r="AA1074" s="28"/>
      <c r="AB1074" s="28" t="s">
        <v>1465</v>
      </c>
      <c r="AC1074" s="28" t="s">
        <v>263</v>
      </c>
    </row>
    <row r="1075" spans="1:29" x14ac:dyDescent="0.25">
      <c r="A1075" s="61">
        <v>110000736730</v>
      </c>
      <c r="B1075" s="28">
        <v>2020</v>
      </c>
      <c r="C1075" s="68">
        <f t="shared" si="16"/>
        <v>43831</v>
      </c>
      <c r="D1075" s="28" t="s">
        <v>1321</v>
      </c>
      <c r="E1075" s="28" t="s">
        <v>2171</v>
      </c>
      <c r="F1075" s="28" t="s">
        <v>626</v>
      </c>
      <c r="G1075" s="28" t="s">
        <v>324</v>
      </c>
      <c r="H1075" s="28">
        <v>42276</v>
      </c>
      <c r="I1075" s="28">
        <v>36.856732000000001</v>
      </c>
      <c r="J1075" s="28">
        <v>-86.889048000000003</v>
      </c>
      <c r="L1075" s="61">
        <v>110000736730</v>
      </c>
      <c r="M1075" s="28" t="s">
        <v>263</v>
      </c>
      <c r="N1075" s="28">
        <v>4952</v>
      </c>
      <c r="O1075" s="28" t="str">
        <f>IFERROR(VLOOKUP(N1075, 'SIC &amp; NAICS Codes'!A:B, 2, FALSE), "")</f>
        <v>Sewerage Systems</v>
      </c>
      <c r="S1075" s="28">
        <v>0.6762564875</v>
      </c>
      <c r="T1075" s="315">
        <f>_xlfn.MAXIFS('Raw Period DMR Data'!$O:$O,'Raw Period DMR Data'!$A:$A,'Raw Annual DMR Data'!B1075,'Raw Period DMR Data'!$C:$C,X1075)/S1075</f>
        <v>0</v>
      </c>
      <c r="U1075" s="28" t="str">
        <f>+IF(COUNTIFS('Raw Period DMR Data'!$A:$A,B1075, 'Raw Period DMR Data'!C:C,'Raw Annual DMR Data'!X1075, 'Raw Period DMR Data'!M:M, "&gt;0")&gt;0,_xlfn.MAXIFS('Raw Period DMR Data'!M:M,'Raw Period DMR Data'!$A:$A,'Raw Annual DMR Data'!B1075,'Raw Period DMR Data'!C:C,'Raw Annual DMR Data'!X1075), "N/A - Period DMR Data Not Available")</f>
        <v>N/A - Period DMR Data Not Available</v>
      </c>
      <c r="V1075" s="28" t="str" cm="1">
        <f t="array" ref="V1075">IFERROR(INDEX('Raw Period DMR Data'!N:N,MATCH(1,(B1075='Raw Period DMR Data'!$A:$A)*(U1075='Raw Period DMR Data'!M:M)*(X1075='Raw Period DMR Data'!C:C),0),1), "N/A")</f>
        <v>N/A</v>
      </c>
      <c r="W1075" s="28" t="s">
        <v>1463</v>
      </c>
      <c r="X1075" s="28" t="s">
        <v>2172</v>
      </c>
      <c r="Y1075" s="28" t="s">
        <v>1760</v>
      </c>
      <c r="Z1075" s="28">
        <v>5110003000994</v>
      </c>
      <c r="AA1075" s="28"/>
      <c r="AB1075" s="28" t="s">
        <v>1465</v>
      </c>
      <c r="AC1075" s="28" t="s">
        <v>263</v>
      </c>
    </row>
    <row r="1076" spans="1:29" x14ac:dyDescent="0.25">
      <c r="A1076" s="61">
        <v>110039998214</v>
      </c>
      <c r="B1076" s="28">
        <v>2017</v>
      </c>
      <c r="C1076" s="68">
        <f t="shared" si="16"/>
        <v>42736</v>
      </c>
      <c r="D1076" s="28" t="s">
        <v>1322</v>
      </c>
      <c r="E1076" s="28" t="s">
        <v>2173</v>
      </c>
      <c r="F1076" s="28" t="s">
        <v>1273</v>
      </c>
      <c r="G1076" s="28" t="s">
        <v>324</v>
      </c>
      <c r="H1076" s="28">
        <v>42301</v>
      </c>
      <c r="I1076" s="28">
        <v>37.790278000000001</v>
      </c>
      <c r="J1076" s="28">
        <v>-87.140277999999995</v>
      </c>
      <c r="L1076" s="61">
        <v>110039998214</v>
      </c>
      <c r="M1076" s="28" t="s">
        <v>263</v>
      </c>
      <c r="N1076" s="28">
        <v>4952</v>
      </c>
      <c r="O1076" s="28" t="str">
        <f>IFERROR(VLOOKUP(N1076, 'SIC &amp; NAICS Codes'!A:B, 2, FALSE), "")</f>
        <v>Sewerage Systems</v>
      </c>
      <c r="S1076" s="28">
        <v>18.764563312500002</v>
      </c>
      <c r="T1076" s="315">
        <f>_xlfn.MAXIFS('Raw Period DMR Data'!$O:$O,'Raw Period DMR Data'!$A:$A,'Raw Annual DMR Data'!B1076,'Raw Period DMR Data'!$C:$C,X1076)/S1076</f>
        <v>0</v>
      </c>
      <c r="U1076" s="28" t="str">
        <f>+IF(COUNTIFS('Raw Period DMR Data'!$A:$A,B1076, 'Raw Period DMR Data'!C:C,'Raw Annual DMR Data'!X1076, 'Raw Period DMR Data'!M:M, "&gt;0")&gt;0,_xlfn.MAXIFS('Raw Period DMR Data'!M:M,'Raw Period DMR Data'!$A:$A,'Raw Annual DMR Data'!B1076,'Raw Period DMR Data'!C:C,'Raw Annual DMR Data'!X1076), "N/A - Period DMR Data Not Available")</f>
        <v>N/A - Period DMR Data Not Available</v>
      </c>
      <c r="V1076" s="28" t="str" cm="1">
        <f t="array" ref="V1076">IFERROR(INDEX('Raw Period DMR Data'!N:N,MATCH(1,(B1076='Raw Period DMR Data'!$A:$A)*(U1076='Raw Period DMR Data'!M:M)*(X1076='Raw Period DMR Data'!C:C),0),1), "N/A")</f>
        <v>N/A</v>
      </c>
      <c r="W1076" s="28" t="s">
        <v>1463</v>
      </c>
      <c r="X1076" s="28" t="s">
        <v>2174</v>
      </c>
      <c r="Y1076" s="28" t="s">
        <v>830</v>
      </c>
      <c r="Z1076" s="28">
        <v>5140201000008</v>
      </c>
      <c r="AA1076" s="28"/>
      <c r="AB1076" s="28" t="s">
        <v>1465</v>
      </c>
      <c r="AC1076" s="28" t="s">
        <v>263</v>
      </c>
    </row>
    <row r="1077" spans="1:29" x14ac:dyDescent="0.25">
      <c r="A1077" s="61">
        <v>110039998214</v>
      </c>
      <c r="B1077" s="28">
        <v>2018</v>
      </c>
      <c r="C1077" s="68">
        <f t="shared" si="16"/>
        <v>43101</v>
      </c>
      <c r="D1077" s="28" t="s">
        <v>1322</v>
      </c>
      <c r="E1077" s="28" t="s">
        <v>2173</v>
      </c>
      <c r="F1077" s="28" t="s">
        <v>1273</v>
      </c>
      <c r="G1077" s="28" t="s">
        <v>324</v>
      </c>
      <c r="H1077" s="28">
        <v>42301</v>
      </c>
      <c r="I1077" s="28">
        <v>37.790278000000001</v>
      </c>
      <c r="J1077" s="28">
        <v>-87.140277999999995</v>
      </c>
      <c r="L1077" s="61">
        <v>110039998214</v>
      </c>
      <c r="M1077" s="28" t="s">
        <v>263</v>
      </c>
      <c r="N1077" s="28">
        <v>4952</v>
      </c>
      <c r="O1077" s="28" t="str">
        <f>IFERROR(VLOOKUP(N1077, 'SIC &amp; NAICS Codes'!A:B, 2, FALSE), "")</f>
        <v>Sewerage Systems</v>
      </c>
      <c r="S1077" s="28">
        <v>29.7822251875</v>
      </c>
      <c r="T1077" s="315">
        <f>_xlfn.MAXIFS('Raw Period DMR Data'!$O:$O,'Raw Period DMR Data'!$A:$A,'Raw Annual DMR Data'!B1077,'Raw Period DMR Data'!$C:$C,X1077)/S1077</f>
        <v>0</v>
      </c>
      <c r="U1077" s="28" t="str">
        <f>+IF(COUNTIFS('Raw Period DMR Data'!$A:$A,B1077, 'Raw Period DMR Data'!C:C,'Raw Annual DMR Data'!X1077, 'Raw Period DMR Data'!M:M, "&gt;0")&gt;0,_xlfn.MAXIFS('Raw Period DMR Data'!M:M,'Raw Period DMR Data'!$A:$A,'Raw Annual DMR Data'!B1077,'Raw Period DMR Data'!C:C,'Raw Annual DMR Data'!X1077), "N/A - Period DMR Data Not Available")</f>
        <v>N/A - Period DMR Data Not Available</v>
      </c>
      <c r="V1077" s="28" t="str" cm="1">
        <f t="array" ref="V1077">IFERROR(INDEX('Raw Period DMR Data'!N:N,MATCH(1,(B1077='Raw Period DMR Data'!$A:$A)*(U1077='Raw Period DMR Data'!M:M)*(X1077='Raw Period DMR Data'!C:C),0),1), "N/A")</f>
        <v>N/A</v>
      </c>
      <c r="W1077" s="28" t="s">
        <v>1463</v>
      </c>
      <c r="X1077" s="28" t="s">
        <v>2174</v>
      </c>
      <c r="Y1077" s="28" t="s">
        <v>830</v>
      </c>
      <c r="Z1077" s="302" t="s">
        <v>2082</v>
      </c>
      <c r="AA1077" s="28"/>
      <c r="AB1077" s="28" t="s">
        <v>1465</v>
      </c>
      <c r="AC1077" s="28" t="s">
        <v>263</v>
      </c>
    </row>
    <row r="1078" spans="1:29" x14ac:dyDescent="0.25">
      <c r="A1078" s="61">
        <v>110039998214</v>
      </c>
      <c r="B1078" s="28">
        <v>2019</v>
      </c>
      <c r="C1078" s="68">
        <f t="shared" si="16"/>
        <v>43466</v>
      </c>
      <c r="D1078" s="28" t="s">
        <v>1322</v>
      </c>
      <c r="E1078" s="28" t="s">
        <v>2173</v>
      </c>
      <c r="F1078" s="28" t="s">
        <v>1273</v>
      </c>
      <c r="G1078" s="28" t="s">
        <v>324</v>
      </c>
      <c r="H1078" s="28">
        <v>42301</v>
      </c>
      <c r="I1078" s="28">
        <v>37.790278000000001</v>
      </c>
      <c r="J1078" s="28">
        <v>-87.140277999999995</v>
      </c>
      <c r="L1078" s="61">
        <v>110039998214</v>
      </c>
      <c r="M1078" s="28" t="s">
        <v>263</v>
      </c>
      <c r="N1078" s="28">
        <v>4952</v>
      </c>
      <c r="O1078" s="28" t="str">
        <f>IFERROR(VLOOKUP(N1078, 'SIC &amp; NAICS Codes'!A:B, 2, FALSE), "")</f>
        <v>Sewerage Systems</v>
      </c>
      <c r="S1078" s="28">
        <v>18.809462875000001</v>
      </c>
      <c r="T1078" s="315">
        <f>_xlfn.MAXIFS('Raw Period DMR Data'!$O:$O,'Raw Period DMR Data'!$A:$A,'Raw Annual DMR Data'!B1078,'Raw Period DMR Data'!$C:$C,X1078)/S1078</f>
        <v>0</v>
      </c>
      <c r="U1078" s="28" t="str">
        <f>+IF(COUNTIFS('Raw Period DMR Data'!$A:$A,B1078, 'Raw Period DMR Data'!C:C,'Raw Annual DMR Data'!X1078, 'Raw Period DMR Data'!M:M, "&gt;0")&gt;0,_xlfn.MAXIFS('Raw Period DMR Data'!M:M,'Raw Period DMR Data'!$A:$A,'Raw Annual DMR Data'!B1078,'Raw Period DMR Data'!C:C,'Raw Annual DMR Data'!X1078), "N/A - Period DMR Data Not Available")</f>
        <v>N/A - Period DMR Data Not Available</v>
      </c>
      <c r="V1078" s="28" t="str" cm="1">
        <f t="array" ref="V1078">IFERROR(INDEX('Raw Period DMR Data'!N:N,MATCH(1,(B1078='Raw Period DMR Data'!$A:$A)*(U1078='Raw Period DMR Data'!M:M)*(X1078='Raw Period DMR Data'!C:C),0),1), "N/A")</f>
        <v>N/A</v>
      </c>
      <c r="W1078" s="28" t="s">
        <v>1463</v>
      </c>
      <c r="X1078" s="28" t="s">
        <v>2174</v>
      </c>
      <c r="Y1078" s="28" t="s">
        <v>830</v>
      </c>
      <c r="Z1078" s="28">
        <v>5140201000008</v>
      </c>
      <c r="AA1078" s="28"/>
      <c r="AB1078" s="28" t="s">
        <v>1465</v>
      </c>
      <c r="AC1078" s="28" t="s">
        <v>263</v>
      </c>
    </row>
    <row r="1079" spans="1:29" x14ac:dyDescent="0.25">
      <c r="A1079" s="61">
        <v>110039998214</v>
      </c>
      <c r="B1079" s="28">
        <v>2020</v>
      </c>
      <c r="C1079" s="68">
        <f t="shared" si="16"/>
        <v>43831</v>
      </c>
      <c r="D1079" s="28" t="s">
        <v>1322</v>
      </c>
      <c r="E1079" s="28" t="s">
        <v>2173</v>
      </c>
      <c r="F1079" s="28" t="s">
        <v>1273</v>
      </c>
      <c r="G1079" s="28" t="s">
        <v>324</v>
      </c>
      <c r="H1079" s="28">
        <v>42301</v>
      </c>
      <c r="I1079" s="28">
        <v>37.790278000000001</v>
      </c>
      <c r="J1079" s="28">
        <v>-87.140277999999995</v>
      </c>
      <c r="L1079" s="61">
        <v>110039998214</v>
      </c>
      <c r="M1079" s="28" t="s">
        <v>263</v>
      </c>
      <c r="N1079" s="28">
        <v>4952</v>
      </c>
      <c r="O1079" s="28" t="str">
        <f>IFERROR(VLOOKUP(N1079, 'SIC &amp; NAICS Codes'!A:B, 2, FALSE), "")</f>
        <v>Sewerage Systems</v>
      </c>
      <c r="S1079" s="28">
        <v>24.977972000000001</v>
      </c>
      <c r="T1079" s="315">
        <f>_xlfn.MAXIFS('Raw Period DMR Data'!$O:$O,'Raw Period DMR Data'!$A:$A,'Raw Annual DMR Data'!B1079,'Raw Period DMR Data'!$C:$C,X1079)/S1079</f>
        <v>0</v>
      </c>
      <c r="U1079" s="28" t="str">
        <f>+IF(COUNTIFS('Raw Period DMR Data'!$A:$A,B1079, 'Raw Period DMR Data'!C:C,'Raw Annual DMR Data'!X1079, 'Raw Period DMR Data'!M:M, "&gt;0")&gt;0,_xlfn.MAXIFS('Raw Period DMR Data'!M:M,'Raw Period DMR Data'!$A:$A,'Raw Annual DMR Data'!B1079,'Raw Period DMR Data'!C:C,'Raw Annual DMR Data'!X1079), "N/A - Period DMR Data Not Available")</f>
        <v>N/A - Period DMR Data Not Available</v>
      </c>
      <c r="V1079" s="28" t="str" cm="1">
        <f t="array" ref="V1079">IFERROR(INDEX('Raw Period DMR Data'!N:N,MATCH(1,(B1079='Raw Period DMR Data'!$A:$A)*(U1079='Raw Period DMR Data'!M:M)*(X1079='Raw Period DMR Data'!C:C),0),1), "N/A")</f>
        <v>N/A</v>
      </c>
      <c r="W1079" s="28" t="s">
        <v>1463</v>
      </c>
      <c r="X1079" s="28" t="s">
        <v>2174</v>
      </c>
      <c r="Y1079" s="28" t="s">
        <v>830</v>
      </c>
      <c r="Z1079" s="28">
        <v>5140201000008</v>
      </c>
      <c r="AA1079" s="28"/>
      <c r="AB1079" s="28" t="s">
        <v>1465</v>
      </c>
      <c r="AC1079" s="28" t="s">
        <v>263</v>
      </c>
    </row>
    <row r="1080" spans="1:29" x14ac:dyDescent="0.25">
      <c r="A1080" s="61">
        <v>110000324391</v>
      </c>
      <c r="B1080" s="28">
        <v>2015</v>
      </c>
      <c r="C1080" s="68">
        <f t="shared" si="16"/>
        <v>42005</v>
      </c>
      <c r="D1080" s="28" t="s">
        <v>1323</v>
      </c>
      <c r="E1080" s="28" t="s">
        <v>2175</v>
      </c>
      <c r="F1080" s="28" t="s">
        <v>1324</v>
      </c>
      <c r="G1080" s="28" t="s">
        <v>450</v>
      </c>
      <c r="H1080" s="28">
        <v>12158</v>
      </c>
      <c r="I1080" s="28">
        <v>42.574556000000001</v>
      </c>
      <c r="J1080" s="28">
        <v>-73.851360999999997</v>
      </c>
      <c r="L1080" s="61">
        <v>110000324391</v>
      </c>
      <c r="M1080" s="28" t="s">
        <v>265</v>
      </c>
      <c r="N1080" s="28">
        <v>2821</v>
      </c>
      <c r="O1080" s="28" t="str">
        <f>IFERROR(VLOOKUP(N1080, 'SIC &amp; NAICS Codes'!A:B, 2, FALSE), "")</f>
        <v>Plastics Materials, Synthetic and Resins, and Nonvulcanizable Elastomers</v>
      </c>
      <c r="S1080" s="28">
        <v>0.53492063492063402</v>
      </c>
      <c r="T1080" s="315">
        <f>_xlfn.MAXIFS('Raw Period DMR Data'!$O:$O,'Raw Period DMR Data'!$A:$A,'Raw Annual DMR Data'!B1080,'Raw Period DMR Data'!$C:$C,X1080)/S1080</f>
        <v>0</v>
      </c>
      <c r="U1080" s="28" t="str">
        <f>+IF(COUNTIFS('Raw Period DMR Data'!$A:$A,B1080, 'Raw Period DMR Data'!C:C,'Raw Annual DMR Data'!X1080, 'Raw Period DMR Data'!M:M, "&gt;0")&gt;0,_xlfn.MAXIFS('Raw Period DMR Data'!M:M,'Raw Period DMR Data'!$A:$A,'Raw Annual DMR Data'!B1080,'Raw Period DMR Data'!C:C,'Raw Annual DMR Data'!X1080), "N/A - Period DMR Data Not Available")</f>
        <v>N/A - Period DMR Data Not Available</v>
      </c>
      <c r="V1080" s="28" t="str" cm="1">
        <f t="array" ref="V1080">IFERROR(INDEX('Raw Period DMR Data'!N:N,MATCH(1,(B1080='Raw Period DMR Data'!$A:$A)*(U1080='Raw Period DMR Data'!M:M)*(X1080='Raw Period DMR Data'!C:C),0),1), "N/A")</f>
        <v>N/A</v>
      </c>
      <c r="W1080" s="28" t="s">
        <v>1463</v>
      </c>
      <c r="X1080" s="28" t="s">
        <v>2176</v>
      </c>
      <c r="Y1080" s="28" t="s">
        <v>2177</v>
      </c>
      <c r="Z1080" s="28">
        <v>2020006000238</v>
      </c>
      <c r="AA1080" s="28"/>
      <c r="AB1080" s="28" t="s">
        <v>1465</v>
      </c>
      <c r="AC1080" s="28" t="s">
        <v>1466</v>
      </c>
    </row>
    <row r="1081" spans="1:29" x14ac:dyDescent="0.25">
      <c r="A1081" s="61">
        <v>110000324391</v>
      </c>
      <c r="B1081" s="28">
        <v>2016</v>
      </c>
      <c r="C1081" s="68">
        <f t="shared" si="16"/>
        <v>42370</v>
      </c>
      <c r="D1081" s="28" t="s">
        <v>1323</v>
      </c>
      <c r="E1081" s="28" t="s">
        <v>2175</v>
      </c>
      <c r="F1081" s="28" t="s">
        <v>1324</v>
      </c>
      <c r="G1081" s="28" t="s">
        <v>450</v>
      </c>
      <c r="H1081" s="28">
        <v>12158</v>
      </c>
      <c r="I1081" s="28">
        <v>42.574556000000001</v>
      </c>
      <c r="J1081" s="28">
        <v>-73.851360999999997</v>
      </c>
      <c r="L1081" s="61">
        <v>110000324391</v>
      </c>
      <c r="M1081" s="28" t="s">
        <v>265</v>
      </c>
      <c r="N1081" s="28">
        <v>2821</v>
      </c>
      <c r="O1081" s="28" t="str">
        <f>IFERROR(VLOOKUP(N1081, 'SIC &amp; NAICS Codes'!A:B, 2, FALSE), "")</f>
        <v>Plastics Materials, Synthetic and Resins, and Nonvulcanizable Elastomers</v>
      </c>
      <c r="S1081" s="28">
        <v>0.37414965986394499</v>
      </c>
      <c r="T1081" s="315">
        <f>_xlfn.MAXIFS('Raw Period DMR Data'!$O:$O,'Raw Period DMR Data'!$A:$A,'Raw Annual DMR Data'!B1081,'Raw Period DMR Data'!$C:$C,X1081)/S1081</f>
        <v>0</v>
      </c>
      <c r="U1081" s="28" t="str">
        <f>+IF(COUNTIFS('Raw Period DMR Data'!$A:$A,B1081, 'Raw Period DMR Data'!C:C,'Raw Annual DMR Data'!X1081, 'Raw Period DMR Data'!M:M, "&gt;0")&gt;0,_xlfn.MAXIFS('Raw Period DMR Data'!M:M,'Raw Period DMR Data'!$A:$A,'Raw Annual DMR Data'!B1081,'Raw Period DMR Data'!C:C,'Raw Annual DMR Data'!X1081), "N/A - Period DMR Data Not Available")</f>
        <v>N/A - Period DMR Data Not Available</v>
      </c>
      <c r="V1081" s="28" t="str" cm="1">
        <f t="array" ref="V1081">IFERROR(INDEX('Raw Period DMR Data'!N:N,MATCH(1,(B1081='Raw Period DMR Data'!$A:$A)*(U1081='Raw Period DMR Data'!M:M)*(X1081='Raw Period DMR Data'!C:C),0),1), "N/A")</f>
        <v>N/A</v>
      </c>
      <c r="W1081" s="28" t="s">
        <v>1463</v>
      </c>
      <c r="X1081" s="28" t="s">
        <v>2176</v>
      </c>
      <c r="Y1081" s="28" t="s">
        <v>2177</v>
      </c>
      <c r="Z1081" s="28">
        <v>2020006000238</v>
      </c>
      <c r="AA1081" s="28"/>
      <c r="AB1081" s="28" t="s">
        <v>1465</v>
      </c>
      <c r="AC1081" s="28" t="s">
        <v>1466</v>
      </c>
    </row>
    <row r="1082" spans="1:29" x14ac:dyDescent="0.25">
      <c r="A1082" s="61">
        <v>110000324391</v>
      </c>
      <c r="B1082" s="28">
        <v>2017</v>
      </c>
      <c r="C1082" s="68">
        <f t="shared" si="16"/>
        <v>42736</v>
      </c>
      <c r="D1082" s="28" t="s">
        <v>1323</v>
      </c>
      <c r="E1082" s="28" t="s">
        <v>2175</v>
      </c>
      <c r="F1082" s="28" t="s">
        <v>1324</v>
      </c>
      <c r="G1082" s="28" t="s">
        <v>450</v>
      </c>
      <c r="H1082" s="28">
        <v>12158</v>
      </c>
      <c r="I1082" s="28">
        <v>42.574556000000001</v>
      </c>
      <c r="J1082" s="28">
        <v>-73.851360999999997</v>
      </c>
      <c r="L1082" s="61">
        <v>110000324391</v>
      </c>
      <c r="M1082" s="28" t="s">
        <v>265</v>
      </c>
      <c r="N1082" s="28">
        <v>2821</v>
      </c>
      <c r="O1082" s="28" t="str">
        <f>IFERROR(VLOOKUP(N1082, 'SIC &amp; NAICS Codes'!A:B, 2, FALSE), "")</f>
        <v>Plastics Materials, Synthetic and Resins, and Nonvulcanizable Elastomers</v>
      </c>
      <c r="S1082" s="28">
        <v>1.2312925170068001</v>
      </c>
      <c r="T1082" s="315">
        <f>_xlfn.MAXIFS('Raw Period DMR Data'!$O:$O,'Raw Period DMR Data'!$A:$A,'Raw Annual DMR Data'!B1082,'Raw Period DMR Data'!$C:$C,X1082)/S1082</f>
        <v>0</v>
      </c>
      <c r="U1082" s="28" t="str">
        <f>+IF(COUNTIFS('Raw Period DMR Data'!$A:$A,B1082, 'Raw Period DMR Data'!C:C,'Raw Annual DMR Data'!X1082, 'Raw Period DMR Data'!M:M, "&gt;0")&gt;0,_xlfn.MAXIFS('Raw Period DMR Data'!M:M,'Raw Period DMR Data'!$A:$A,'Raw Annual DMR Data'!B1082,'Raw Period DMR Data'!C:C,'Raw Annual DMR Data'!X1082), "N/A - Period DMR Data Not Available")</f>
        <v>N/A - Period DMR Data Not Available</v>
      </c>
      <c r="V1082" s="28" t="str" cm="1">
        <f t="array" ref="V1082">IFERROR(INDEX('Raw Period DMR Data'!N:N,MATCH(1,(B1082='Raw Period DMR Data'!$A:$A)*(U1082='Raw Period DMR Data'!M:M)*(X1082='Raw Period DMR Data'!C:C),0),1), "N/A")</f>
        <v>N/A</v>
      </c>
      <c r="W1082" s="28" t="s">
        <v>1463</v>
      </c>
      <c r="X1082" s="28" t="s">
        <v>2176</v>
      </c>
      <c r="Y1082" s="28" t="s">
        <v>2177</v>
      </c>
      <c r="Z1082" s="28">
        <v>2020006000238</v>
      </c>
      <c r="AA1082" s="28"/>
      <c r="AB1082" s="28" t="s">
        <v>1465</v>
      </c>
      <c r="AC1082" s="28" t="s">
        <v>1466</v>
      </c>
    </row>
    <row r="1083" spans="1:29" x14ac:dyDescent="0.25">
      <c r="A1083" s="61">
        <v>110000324391</v>
      </c>
      <c r="B1083" s="28">
        <v>2018</v>
      </c>
      <c r="C1083" s="68">
        <f t="shared" si="16"/>
        <v>43101</v>
      </c>
      <c r="D1083" s="28" t="s">
        <v>1323</v>
      </c>
      <c r="E1083" s="28" t="s">
        <v>2175</v>
      </c>
      <c r="F1083" s="28" t="s">
        <v>1324</v>
      </c>
      <c r="G1083" s="28" t="s">
        <v>450</v>
      </c>
      <c r="H1083" s="28">
        <v>12158</v>
      </c>
      <c r="I1083" s="28">
        <v>42.574556000000001</v>
      </c>
      <c r="J1083" s="28">
        <v>-73.851360999999997</v>
      </c>
      <c r="L1083" s="61">
        <v>110000324391</v>
      </c>
      <c r="M1083" s="28" t="s">
        <v>265</v>
      </c>
      <c r="N1083" s="28">
        <v>2821</v>
      </c>
      <c r="O1083" s="28" t="str">
        <f>IFERROR(VLOOKUP(N1083, 'SIC &amp; NAICS Codes'!A:B, 2, FALSE), "")</f>
        <v>Plastics Materials, Synthetic and Resins, and Nonvulcanizable Elastomers</v>
      </c>
      <c r="S1083" s="302">
        <v>3.2907029478458001</v>
      </c>
      <c r="T1083" s="315">
        <f>_xlfn.MAXIFS('Raw Period DMR Data'!$O:$O,'Raw Period DMR Data'!$A:$A,'Raw Annual DMR Data'!B1083,'Raw Period DMR Data'!$C:$C,X1083)/S1083</f>
        <v>0</v>
      </c>
      <c r="U1083" s="28" t="str">
        <f>+IF(COUNTIFS('Raw Period DMR Data'!$A:$A,B1083, 'Raw Period DMR Data'!C:C,'Raw Annual DMR Data'!X1083, 'Raw Period DMR Data'!M:M, "&gt;0")&gt;0,_xlfn.MAXIFS('Raw Period DMR Data'!M:M,'Raw Period DMR Data'!$A:$A,'Raw Annual DMR Data'!B1083,'Raw Period DMR Data'!C:C,'Raw Annual DMR Data'!X1083), "N/A - Period DMR Data Not Available")</f>
        <v>N/A - Period DMR Data Not Available</v>
      </c>
      <c r="V1083" s="28" t="str" cm="1">
        <f t="array" ref="V1083">IFERROR(INDEX('Raw Period DMR Data'!N:N,MATCH(1,(B1083='Raw Period DMR Data'!$A:$A)*(U1083='Raw Period DMR Data'!M:M)*(X1083='Raw Period DMR Data'!C:C),0),1), "N/A")</f>
        <v>N/A</v>
      </c>
      <c r="W1083" s="28" t="s">
        <v>1463</v>
      </c>
      <c r="X1083" s="28" t="s">
        <v>2176</v>
      </c>
      <c r="Y1083" s="28" t="s">
        <v>2177</v>
      </c>
      <c r="Z1083" s="302" t="s">
        <v>2178</v>
      </c>
      <c r="AA1083" s="28"/>
      <c r="AB1083" s="28" t="s">
        <v>1465</v>
      </c>
      <c r="AC1083" s="28" t="s">
        <v>1466</v>
      </c>
    </row>
    <row r="1084" spans="1:29" x14ac:dyDescent="0.25">
      <c r="A1084" s="61">
        <v>110000324391</v>
      </c>
      <c r="B1084" s="28">
        <v>2019</v>
      </c>
      <c r="C1084" s="68">
        <f t="shared" si="16"/>
        <v>43466</v>
      </c>
      <c r="D1084" s="28" t="s">
        <v>1323</v>
      </c>
      <c r="E1084" s="28" t="s">
        <v>2175</v>
      </c>
      <c r="F1084" s="28" t="s">
        <v>1324</v>
      </c>
      <c r="G1084" s="28" t="s">
        <v>450</v>
      </c>
      <c r="H1084" s="28">
        <v>12158</v>
      </c>
      <c r="I1084" s="28">
        <v>42.574556000000001</v>
      </c>
      <c r="J1084" s="28">
        <v>-73.851360999999997</v>
      </c>
      <c r="L1084" s="61">
        <v>110000324391</v>
      </c>
      <c r="M1084" s="28" t="s">
        <v>265</v>
      </c>
      <c r="N1084" s="28">
        <v>2821</v>
      </c>
      <c r="O1084" s="28" t="str">
        <f>IFERROR(VLOOKUP(N1084, 'SIC &amp; NAICS Codes'!A:B, 2, FALSE), "")</f>
        <v>Plastics Materials, Synthetic and Resins, and Nonvulcanizable Elastomers</v>
      </c>
      <c r="S1084" s="28">
        <v>1.66893424036281</v>
      </c>
      <c r="T1084" s="315">
        <f>_xlfn.MAXIFS('Raw Period DMR Data'!$O:$O,'Raw Period DMR Data'!$A:$A,'Raw Annual DMR Data'!B1084,'Raw Period DMR Data'!$C:$C,X1084)/S1084</f>
        <v>0</v>
      </c>
      <c r="U1084" s="28" t="str">
        <f>+IF(COUNTIFS('Raw Period DMR Data'!$A:$A,B1084, 'Raw Period DMR Data'!C:C,'Raw Annual DMR Data'!X1084, 'Raw Period DMR Data'!M:M, "&gt;0")&gt;0,_xlfn.MAXIFS('Raw Period DMR Data'!M:M,'Raw Period DMR Data'!$A:$A,'Raw Annual DMR Data'!B1084,'Raw Period DMR Data'!C:C,'Raw Annual DMR Data'!X1084), "N/A - Period DMR Data Not Available")</f>
        <v>N/A - Period DMR Data Not Available</v>
      </c>
      <c r="V1084" s="28" t="str" cm="1">
        <f t="array" ref="V1084">IFERROR(INDEX('Raw Period DMR Data'!N:N,MATCH(1,(B1084='Raw Period DMR Data'!$A:$A)*(U1084='Raw Period DMR Data'!M:M)*(X1084='Raw Period DMR Data'!C:C),0),1), "N/A")</f>
        <v>N/A</v>
      </c>
      <c r="W1084" s="28" t="s">
        <v>1463</v>
      </c>
      <c r="X1084" s="28" t="s">
        <v>2176</v>
      </c>
      <c r="Y1084" s="28" t="s">
        <v>2177</v>
      </c>
      <c r="Z1084" s="28">
        <v>2020006000238</v>
      </c>
      <c r="AA1084" s="28"/>
      <c r="AB1084" s="28" t="s">
        <v>1465</v>
      </c>
      <c r="AC1084" s="28" t="s">
        <v>1466</v>
      </c>
    </row>
    <row r="1085" spans="1:29" x14ac:dyDescent="0.25">
      <c r="A1085" s="61">
        <v>110000324391</v>
      </c>
      <c r="B1085" s="28">
        <v>2019</v>
      </c>
      <c r="C1085" s="68">
        <f t="shared" si="16"/>
        <v>43466</v>
      </c>
      <c r="D1085" s="28" t="s">
        <v>1323</v>
      </c>
      <c r="E1085" s="28" t="s">
        <v>2175</v>
      </c>
      <c r="F1085" s="28" t="s">
        <v>1324</v>
      </c>
      <c r="G1085" s="28" t="s">
        <v>450</v>
      </c>
      <c r="H1085" s="28">
        <v>12158</v>
      </c>
      <c r="I1085" s="28">
        <v>42.574556000000001</v>
      </c>
      <c r="J1085" s="28">
        <v>-73.851360999999997</v>
      </c>
      <c r="L1085" s="61">
        <v>110000324391</v>
      </c>
      <c r="M1085" s="28" t="s">
        <v>265</v>
      </c>
      <c r="N1085" s="28">
        <v>2821</v>
      </c>
      <c r="O1085" s="28" t="str">
        <f>IFERROR(VLOOKUP(N1085, 'SIC &amp; NAICS Codes'!A:B, 2, FALSE), "")</f>
        <v>Plastics Materials, Synthetic and Resins, and Nonvulcanizable Elastomers</v>
      </c>
      <c r="S1085" s="28">
        <v>0.45283446712018099</v>
      </c>
      <c r="T1085" s="315">
        <f>_xlfn.MAXIFS('Raw Period DMR Data'!$O:$O,'Raw Period DMR Data'!$A:$A,'Raw Annual DMR Data'!B1085,'Raw Period DMR Data'!$C:$C,X1085)/S1085</f>
        <v>0</v>
      </c>
      <c r="U1085" s="28" t="str">
        <f>+IF(COUNTIFS('Raw Period DMR Data'!$A:$A,B1085, 'Raw Period DMR Data'!C:C,'Raw Annual DMR Data'!X1085, 'Raw Period DMR Data'!M:M, "&gt;0")&gt;0,_xlfn.MAXIFS('Raw Period DMR Data'!M:M,'Raw Period DMR Data'!$A:$A,'Raw Annual DMR Data'!B1085,'Raw Period DMR Data'!C:C,'Raw Annual DMR Data'!X1085), "N/A - Period DMR Data Not Available")</f>
        <v>N/A - Period DMR Data Not Available</v>
      </c>
      <c r="V1085" s="28" t="str" cm="1">
        <f t="array" ref="V1085">IFERROR(INDEX('Raw Period DMR Data'!N:N,MATCH(1,(B1085='Raw Period DMR Data'!$A:$A)*(U1085='Raw Period DMR Data'!M:M)*(X1085='Raw Period DMR Data'!C:C),0),1), "N/A")</f>
        <v>N/A</v>
      </c>
      <c r="W1085" s="28" t="s">
        <v>1463</v>
      </c>
      <c r="X1085" s="28" t="s">
        <v>2176</v>
      </c>
      <c r="Y1085" s="28" t="s">
        <v>2177</v>
      </c>
      <c r="Z1085" s="28">
        <v>2020006000238</v>
      </c>
      <c r="AA1085" s="28"/>
      <c r="AB1085" s="28" t="s">
        <v>1465</v>
      </c>
      <c r="AC1085" s="28" t="s">
        <v>1466</v>
      </c>
    </row>
    <row r="1086" spans="1:29" x14ac:dyDescent="0.25">
      <c r="A1086" s="61">
        <v>110000324391</v>
      </c>
      <c r="B1086" s="28">
        <v>2020</v>
      </c>
      <c r="C1086" s="68">
        <f t="shared" si="16"/>
        <v>43831</v>
      </c>
      <c r="D1086" s="28" t="s">
        <v>1323</v>
      </c>
      <c r="E1086" s="28" t="s">
        <v>2175</v>
      </c>
      <c r="F1086" s="28" t="s">
        <v>1324</v>
      </c>
      <c r="G1086" s="28" t="s">
        <v>450</v>
      </c>
      <c r="H1086" s="28">
        <v>12158</v>
      </c>
      <c r="I1086" s="28">
        <v>42.574556000000001</v>
      </c>
      <c r="J1086" s="28">
        <v>-73.851360999999997</v>
      </c>
      <c r="L1086" s="61">
        <v>110000324391</v>
      </c>
      <c r="M1086" s="28" t="s">
        <v>265</v>
      </c>
      <c r="N1086" s="28">
        <v>2821</v>
      </c>
      <c r="O1086" s="28" t="str">
        <f>IFERROR(VLOOKUP(N1086, 'SIC &amp; NAICS Codes'!A:B, 2, FALSE), "")</f>
        <v>Plastics Materials, Synthetic and Resins, and Nonvulcanizable Elastomers</v>
      </c>
      <c r="S1086" s="28">
        <v>0.82766439909296996</v>
      </c>
      <c r="T1086" s="315">
        <f>_xlfn.MAXIFS('Raw Period DMR Data'!$O:$O,'Raw Period DMR Data'!$A:$A,'Raw Annual DMR Data'!B1086,'Raw Period DMR Data'!$C:$C,X1086)/S1086</f>
        <v>0</v>
      </c>
      <c r="U1086" s="28" t="str">
        <f>+IF(COUNTIFS('Raw Period DMR Data'!$A:$A,B1086, 'Raw Period DMR Data'!C:C,'Raw Annual DMR Data'!X1086, 'Raw Period DMR Data'!M:M, "&gt;0")&gt;0,_xlfn.MAXIFS('Raw Period DMR Data'!M:M,'Raw Period DMR Data'!$A:$A,'Raw Annual DMR Data'!B1086,'Raw Period DMR Data'!C:C,'Raw Annual DMR Data'!X1086), "N/A - Period DMR Data Not Available")</f>
        <v>N/A - Period DMR Data Not Available</v>
      </c>
      <c r="V1086" s="28" t="str" cm="1">
        <f t="array" ref="V1086">IFERROR(INDEX('Raw Period DMR Data'!N:N,MATCH(1,(B1086='Raw Period DMR Data'!$A:$A)*(U1086='Raw Period DMR Data'!M:M)*(X1086='Raw Period DMR Data'!C:C),0),1), "N/A")</f>
        <v>N/A</v>
      </c>
      <c r="W1086" s="28" t="s">
        <v>1463</v>
      </c>
      <c r="X1086" s="28" t="s">
        <v>2176</v>
      </c>
      <c r="Y1086" s="28" t="s">
        <v>2177</v>
      </c>
      <c r="Z1086" s="28">
        <v>2020006000238</v>
      </c>
      <c r="AA1086" s="28"/>
      <c r="AB1086" s="28" t="s">
        <v>1465</v>
      </c>
      <c r="AC1086" s="28" t="s">
        <v>1466</v>
      </c>
    </row>
    <row r="1087" spans="1:29" x14ac:dyDescent="0.25">
      <c r="A1087" s="61">
        <v>110000324391</v>
      </c>
      <c r="B1087" s="28">
        <v>2020</v>
      </c>
      <c r="C1087" s="68">
        <f t="shared" si="16"/>
        <v>43831</v>
      </c>
      <c r="D1087" s="28" t="s">
        <v>1323</v>
      </c>
      <c r="E1087" s="28" t="s">
        <v>2175</v>
      </c>
      <c r="F1087" s="28" t="s">
        <v>1324</v>
      </c>
      <c r="G1087" s="28" t="s">
        <v>450</v>
      </c>
      <c r="H1087" s="28">
        <v>12158</v>
      </c>
      <c r="I1087" s="28">
        <v>42.574556000000001</v>
      </c>
      <c r="J1087" s="28">
        <v>-73.851360999999997</v>
      </c>
      <c r="L1087" s="61">
        <v>110000324391</v>
      </c>
      <c r="M1087" s="28" t="s">
        <v>265</v>
      </c>
      <c r="N1087" s="28">
        <v>2821</v>
      </c>
      <c r="O1087" s="28" t="str">
        <f>IFERROR(VLOOKUP(N1087, 'SIC &amp; NAICS Codes'!A:B, 2, FALSE), "")</f>
        <v>Plastics Materials, Synthetic and Resins, and Nonvulcanizable Elastomers</v>
      </c>
      <c r="S1087" s="28">
        <v>0.20657596371882</v>
      </c>
      <c r="T1087" s="315">
        <f>_xlfn.MAXIFS('Raw Period DMR Data'!$O:$O,'Raw Period DMR Data'!$A:$A,'Raw Annual DMR Data'!B1087,'Raw Period DMR Data'!$C:$C,X1087)/S1087</f>
        <v>0</v>
      </c>
      <c r="U1087" s="28" t="str">
        <f>+IF(COUNTIFS('Raw Period DMR Data'!$A:$A,B1087, 'Raw Period DMR Data'!C:C,'Raw Annual DMR Data'!X1087, 'Raw Period DMR Data'!M:M, "&gt;0")&gt;0,_xlfn.MAXIFS('Raw Period DMR Data'!M:M,'Raw Period DMR Data'!$A:$A,'Raw Annual DMR Data'!B1087,'Raw Period DMR Data'!C:C,'Raw Annual DMR Data'!X1087), "N/A - Period DMR Data Not Available")</f>
        <v>N/A - Period DMR Data Not Available</v>
      </c>
      <c r="V1087" s="28" t="str" cm="1">
        <f t="array" ref="V1087">IFERROR(INDEX('Raw Period DMR Data'!N:N,MATCH(1,(B1087='Raw Period DMR Data'!$A:$A)*(U1087='Raw Period DMR Data'!M:M)*(X1087='Raw Period DMR Data'!C:C),0),1), "N/A")</f>
        <v>N/A</v>
      </c>
      <c r="W1087" s="28" t="s">
        <v>1463</v>
      </c>
      <c r="X1087" s="28" t="s">
        <v>2176</v>
      </c>
      <c r="Y1087" s="28" t="s">
        <v>2177</v>
      </c>
      <c r="Z1087" s="28">
        <v>2020006000238</v>
      </c>
      <c r="AA1087" s="28"/>
      <c r="AB1087" s="28" t="s">
        <v>1465</v>
      </c>
      <c r="AC1087" s="28" t="s">
        <v>1466</v>
      </c>
    </row>
    <row r="1088" spans="1:29" x14ac:dyDescent="0.25">
      <c r="A1088" s="61">
        <v>110000403670</v>
      </c>
      <c r="B1088" s="28">
        <v>2015</v>
      </c>
      <c r="C1088" s="68">
        <f t="shared" si="16"/>
        <v>42005</v>
      </c>
      <c r="D1088" s="28" t="s">
        <v>1325</v>
      </c>
      <c r="E1088" s="28" t="s">
        <v>2179</v>
      </c>
      <c r="F1088" s="28" t="s">
        <v>1326</v>
      </c>
      <c r="G1088" s="28" t="s">
        <v>469</v>
      </c>
      <c r="H1088" s="28">
        <v>47620</v>
      </c>
      <c r="I1088" s="28">
        <v>37.907200000000003</v>
      </c>
      <c r="J1088" s="28">
        <v>-87.927099999999996</v>
      </c>
      <c r="K1088" s="28" t="s">
        <v>732</v>
      </c>
      <c r="L1088" s="61">
        <v>110000403670</v>
      </c>
      <c r="M1088" s="28" t="s">
        <v>253</v>
      </c>
      <c r="N1088" s="28">
        <v>2821</v>
      </c>
      <c r="O1088" s="28" t="str">
        <f>IFERROR(VLOOKUP(N1088, 'SIC &amp; NAICS Codes'!A:B, 2, FALSE), "")</f>
        <v>Plastics Materials, Synthetic and Resins, and Nonvulcanizable Elastomers</v>
      </c>
      <c r="S1088" s="28">
        <v>22.775510204081598</v>
      </c>
      <c r="T1088" s="315">
        <f>_xlfn.MAXIFS('Raw Period DMR Data'!$O:$O,'Raw Period DMR Data'!$A:$A,'Raw Annual DMR Data'!B1088,'Raw Period DMR Data'!$C:$C,X1088)/S1088</f>
        <v>0</v>
      </c>
      <c r="U1088" s="28" t="str">
        <f>+IF(COUNTIFS('Raw Period DMR Data'!$A:$A,B1088, 'Raw Period DMR Data'!C:C,'Raw Annual DMR Data'!X1088, 'Raw Period DMR Data'!M:M, "&gt;0")&gt;0,_xlfn.MAXIFS('Raw Period DMR Data'!M:M,'Raw Period DMR Data'!$A:$A,'Raw Annual DMR Data'!B1088,'Raw Period DMR Data'!C:C,'Raw Annual DMR Data'!X1088), "N/A - Period DMR Data Not Available")</f>
        <v>N/A - Period DMR Data Not Available</v>
      </c>
      <c r="V1088" s="28" t="str" cm="1">
        <f t="array" ref="V1088">IFERROR(INDEX('Raw Period DMR Data'!N:N,MATCH(1,(B1088='Raw Period DMR Data'!$A:$A)*(U1088='Raw Period DMR Data'!M:M)*(X1088='Raw Period DMR Data'!C:C),0),1), "N/A")</f>
        <v>N/A</v>
      </c>
      <c r="W1088" s="28" t="s">
        <v>1463</v>
      </c>
      <c r="X1088" s="28" t="s">
        <v>2180</v>
      </c>
      <c r="Y1088" s="28" t="s">
        <v>830</v>
      </c>
      <c r="Z1088" s="28">
        <v>5140202000333</v>
      </c>
      <c r="AA1088" s="28"/>
      <c r="AB1088" s="28" t="s">
        <v>1465</v>
      </c>
      <c r="AC1088" s="28" t="s">
        <v>1466</v>
      </c>
    </row>
    <row r="1089" spans="1:29" x14ac:dyDescent="0.25">
      <c r="A1089" s="61">
        <v>110000403670</v>
      </c>
      <c r="B1089" s="28">
        <v>2016</v>
      </c>
      <c r="C1089" s="68">
        <f t="shared" si="16"/>
        <v>42370</v>
      </c>
      <c r="D1089" s="28" t="s">
        <v>1325</v>
      </c>
      <c r="E1089" s="28" t="s">
        <v>2179</v>
      </c>
      <c r="F1089" s="28" t="s">
        <v>1326</v>
      </c>
      <c r="G1089" s="28" t="s">
        <v>469</v>
      </c>
      <c r="H1089" s="28">
        <v>47620</v>
      </c>
      <c r="I1089" s="28">
        <v>37.907200000000003</v>
      </c>
      <c r="J1089" s="28">
        <v>-87.927099999999996</v>
      </c>
      <c r="K1089" s="28" t="s">
        <v>732</v>
      </c>
      <c r="L1089" s="61">
        <v>110000403670</v>
      </c>
      <c r="M1089" s="28" t="s">
        <v>253</v>
      </c>
      <c r="N1089" s="28">
        <v>2821</v>
      </c>
      <c r="O1089" s="28" t="str">
        <f>IFERROR(VLOOKUP(N1089, 'SIC &amp; NAICS Codes'!A:B, 2, FALSE), "")</f>
        <v>Plastics Materials, Synthetic and Resins, and Nonvulcanizable Elastomers</v>
      </c>
      <c r="S1089" s="28">
        <v>21.088435374149601</v>
      </c>
      <c r="T1089" s="315">
        <f>_xlfn.MAXIFS('Raw Period DMR Data'!$O:$O,'Raw Period DMR Data'!$A:$A,'Raw Annual DMR Data'!B1089,'Raw Period DMR Data'!$C:$C,X1089)/S1089</f>
        <v>0</v>
      </c>
      <c r="U1089" s="28" t="str">
        <f>+IF(COUNTIFS('Raw Period DMR Data'!$A:$A,B1089, 'Raw Period DMR Data'!C:C,'Raw Annual DMR Data'!X1089, 'Raw Period DMR Data'!M:M, "&gt;0")&gt;0,_xlfn.MAXIFS('Raw Period DMR Data'!M:M,'Raw Period DMR Data'!$A:$A,'Raw Annual DMR Data'!B1089,'Raw Period DMR Data'!C:C,'Raw Annual DMR Data'!X1089), "N/A - Period DMR Data Not Available")</f>
        <v>N/A - Period DMR Data Not Available</v>
      </c>
      <c r="V1089" s="28" t="str" cm="1">
        <f t="array" ref="V1089">IFERROR(INDEX('Raw Period DMR Data'!N:N,MATCH(1,(B1089='Raw Period DMR Data'!$A:$A)*(U1089='Raw Period DMR Data'!M:M)*(X1089='Raw Period DMR Data'!C:C),0),1), "N/A")</f>
        <v>N/A</v>
      </c>
      <c r="W1089" s="28" t="s">
        <v>1463</v>
      </c>
      <c r="X1089" s="28" t="s">
        <v>2180</v>
      </c>
      <c r="Y1089" s="28" t="s">
        <v>830</v>
      </c>
      <c r="Z1089" s="28">
        <v>5140202000333</v>
      </c>
      <c r="AA1089" s="28"/>
      <c r="AB1089" s="28" t="s">
        <v>1465</v>
      </c>
      <c r="AC1089" s="28" t="s">
        <v>1466</v>
      </c>
    </row>
    <row r="1090" spans="1:29" x14ac:dyDescent="0.25">
      <c r="A1090" s="61">
        <v>110000403670</v>
      </c>
      <c r="B1090" s="28">
        <v>2017</v>
      </c>
      <c r="C1090" s="68">
        <f t="shared" si="16"/>
        <v>42736</v>
      </c>
      <c r="D1090" s="28" t="s">
        <v>1325</v>
      </c>
      <c r="E1090" s="28" t="s">
        <v>2179</v>
      </c>
      <c r="F1090" s="28" t="s">
        <v>1326</v>
      </c>
      <c r="G1090" s="28" t="s">
        <v>469</v>
      </c>
      <c r="H1090" s="28">
        <v>47620</v>
      </c>
      <c r="I1090" s="28">
        <v>37.907200000000003</v>
      </c>
      <c r="J1090" s="28">
        <v>-87.927099999999996</v>
      </c>
      <c r="K1090" s="28" t="s">
        <v>732</v>
      </c>
      <c r="L1090" s="61">
        <v>110000403670</v>
      </c>
      <c r="M1090" s="28" t="s">
        <v>253</v>
      </c>
      <c r="N1090" s="28">
        <v>2821</v>
      </c>
      <c r="O1090" s="28" t="str">
        <f>IFERROR(VLOOKUP(N1090, 'SIC &amp; NAICS Codes'!A:B, 2, FALSE), "")</f>
        <v>Plastics Materials, Synthetic and Resins, and Nonvulcanizable Elastomers</v>
      </c>
      <c r="S1090" s="28">
        <v>21.931972789115601</v>
      </c>
      <c r="T1090" s="315">
        <f>_xlfn.MAXIFS('Raw Period DMR Data'!$O:$O,'Raw Period DMR Data'!$A:$A,'Raw Annual DMR Data'!B1090,'Raw Period DMR Data'!$C:$C,X1090)/S1090</f>
        <v>0</v>
      </c>
      <c r="U1090" s="28" t="str">
        <f>+IF(COUNTIFS('Raw Period DMR Data'!$A:$A,B1090, 'Raw Period DMR Data'!C:C,'Raw Annual DMR Data'!X1090, 'Raw Period DMR Data'!M:M, "&gt;0")&gt;0,_xlfn.MAXIFS('Raw Period DMR Data'!M:M,'Raw Period DMR Data'!$A:$A,'Raw Annual DMR Data'!B1090,'Raw Period DMR Data'!C:C,'Raw Annual DMR Data'!X1090), "N/A - Period DMR Data Not Available")</f>
        <v>N/A - Period DMR Data Not Available</v>
      </c>
      <c r="V1090" s="28" t="str" cm="1">
        <f t="array" ref="V1090">IFERROR(INDEX('Raw Period DMR Data'!N:N,MATCH(1,(B1090='Raw Period DMR Data'!$A:$A)*(U1090='Raw Period DMR Data'!M:M)*(X1090='Raw Period DMR Data'!C:C),0),1), "N/A")</f>
        <v>N/A</v>
      </c>
      <c r="W1090" s="28" t="s">
        <v>1463</v>
      </c>
      <c r="X1090" s="28" t="s">
        <v>2180</v>
      </c>
      <c r="Y1090" s="28" t="s">
        <v>830</v>
      </c>
      <c r="Z1090" s="28">
        <v>5140202000333</v>
      </c>
      <c r="AA1090" s="28"/>
      <c r="AB1090" s="28" t="s">
        <v>1465</v>
      </c>
      <c r="AC1090" s="28" t="s">
        <v>1466</v>
      </c>
    </row>
    <row r="1091" spans="1:29" x14ac:dyDescent="0.25">
      <c r="A1091" s="61">
        <v>110000403670</v>
      </c>
      <c r="B1091" s="28">
        <v>2018</v>
      </c>
      <c r="C1091" s="68">
        <f t="shared" ref="C1091:C1154" si="17">DATE(B1091, 1, 1)</f>
        <v>43101</v>
      </c>
      <c r="D1091" s="28" t="s">
        <v>1325</v>
      </c>
      <c r="E1091" s="28" t="s">
        <v>2179</v>
      </c>
      <c r="F1091" s="28" t="s">
        <v>1326</v>
      </c>
      <c r="G1091" s="28" t="s">
        <v>469</v>
      </c>
      <c r="H1091" s="28">
        <v>47620</v>
      </c>
      <c r="I1091" s="28">
        <v>37.907200000000003</v>
      </c>
      <c r="J1091" s="28">
        <v>-87.927099999999996</v>
      </c>
      <c r="K1091" s="28" t="s">
        <v>732</v>
      </c>
      <c r="L1091" s="61">
        <v>110000403670</v>
      </c>
      <c r="M1091" s="28" t="s">
        <v>253</v>
      </c>
      <c r="N1091" s="28">
        <v>2821</v>
      </c>
      <c r="O1091" s="28" t="str">
        <f>IFERROR(VLOOKUP(N1091, 'SIC &amp; NAICS Codes'!A:B, 2, FALSE), "")</f>
        <v>Plastics Materials, Synthetic and Resins, and Nonvulcanizable Elastomers</v>
      </c>
      <c r="S1091" s="302">
        <v>9.1791383219954596</v>
      </c>
      <c r="T1091" s="315">
        <f>_xlfn.MAXIFS('Raw Period DMR Data'!$O:$O,'Raw Period DMR Data'!$A:$A,'Raw Annual DMR Data'!B1091,'Raw Period DMR Data'!$C:$C,X1091)/S1091</f>
        <v>0</v>
      </c>
      <c r="U1091" s="28" t="str">
        <f>+IF(COUNTIFS('Raw Period DMR Data'!$A:$A,B1091, 'Raw Period DMR Data'!C:C,'Raw Annual DMR Data'!X1091, 'Raw Period DMR Data'!M:M, "&gt;0")&gt;0,_xlfn.MAXIFS('Raw Period DMR Data'!M:M,'Raw Period DMR Data'!$A:$A,'Raw Annual DMR Data'!B1091,'Raw Period DMR Data'!C:C,'Raw Annual DMR Data'!X1091), "N/A - Period DMR Data Not Available")</f>
        <v>N/A - Period DMR Data Not Available</v>
      </c>
      <c r="V1091" s="28" t="str" cm="1">
        <f t="array" ref="V1091">IFERROR(INDEX('Raw Period DMR Data'!N:N,MATCH(1,(B1091='Raw Period DMR Data'!$A:$A)*(U1091='Raw Period DMR Data'!M:M)*(X1091='Raw Period DMR Data'!C:C),0),1), "N/A")</f>
        <v>N/A</v>
      </c>
      <c r="W1091" s="28" t="s">
        <v>1463</v>
      </c>
      <c r="X1091" s="28" t="s">
        <v>2180</v>
      </c>
      <c r="Y1091" s="28" t="s">
        <v>830</v>
      </c>
      <c r="Z1091" s="302" t="s">
        <v>2181</v>
      </c>
      <c r="AA1091" s="28"/>
      <c r="AB1091" s="28" t="s">
        <v>1465</v>
      </c>
      <c r="AC1091" s="28" t="s">
        <v>1466</v>
      </c>
    </row>
    <row r="1092" spans="1:29" x14ac:dyDescent="0.25">
      <c r="A1092" s="61">
        <v>110000403670</v>
      </c>
      <c r="B1092" s="28">
        <v>2019</v>
      </c>
      <c r="C1092" s="68">
        <f t="shared" si="17"/>
        <v>43466</v>
      </c>
      <c r="D1092" s="28" t="s">
        <v>1325</v>
      </c>
      <c r="E1092" s="28" t="s">
        <v>2179</v>
      </c>
      <c r="F1092" s="28" t="s">
        <v>1326</v>
      </c>
      <c r="G1092" s="28" t="s">
        <v>469</v>
      </c>
      <c r="H1092" s="28">
        <v>47620</v>
      </c>
      <c r="I1092" s="28">
        <v>37.907200000000003</v>
      </c>
      <c r="J1092" s="28">
        <v>-87.927099999999996</v>
      </c>
      <c r="K1092" s="28" t="s">
        <v>732</v>
      </c>
      <c r="L1092" s="61">
        <v>110000403670</v>
      </c>
      <c r="M1092" s="28" t="s">
        <v>253</v>
      </c>
      <c r="N1092" s="28">
        <v>2821</v>
      </c>
      <c r="O1092" s="28" t="str">
        <f>IFERROR(VLOOKUP(N1092, 'SIC &amp; NAICS Codes'!A:B, 2, FALSE), "")</f>
        <v>Plastics Materials, Synthetic and Resins, and Nonvulcanizable Elastomers</v>
      </c>
      <c r="S1092" s="28">
        <v>10.848072562358199</v>
      </c>
      <c r="T1092" s="315">
        <f>_xlfn.MAXIFS('Raw Period DMR Data'!$O:$O,'Raw Period DMR Data'!$A:$A,'Raw Annual DMR Data'!B1092,'Raw Period DMR Data'!$C:$C,X1092)/S1092</f>
        <v>0</v>
      </c>
      <c r="U1092" s="28" t="str">
        <f>+IF(COUNTIFS('Raw Period DMR Data'!$A:$A,B1092, 'Raw Period DMR Data'!C:C,'Raw Annual DMR Data'!X1092, 'Raw Period DMR Data'!M:M, "&gt;0")&gt;0,_xlfn.MAXIFS('Raw Period DMR Data'!M:M,'Raw Period DMR Data'!$A:$A,'Raw Annual DMR Data'!B1092,'Raw Period DMR Data'!C:C,'Raw Annual DMR Data'!X1092), "N/A - Period DMR Data Not Available")</f>
        <v>N/A - Period DMR Data Not Available</v>
      </c>
      <c r="V1092" s="28" t="str" cm="1">
        <f t="array" ref="V1092">IFERROR(INDEX('Raw Period DMR Data'!N:N,MATCH(1,(B1092='Raw Period DMR Data'!$A:$A)*(U1092='Raw Period DMR Data'!M:M)*(X1092='Raw Period DMR Data'!C:C),0),1), "N/A")</f>
        <v>N/A</v>
      </c>
      <c r="W1092" s="28" t="s">
        <v>1463</v>
      </c>
      <c r="X1092" s="28" t="s">
        <v>2180</v>
      </c>
      <c r="Y1092" s="28" t="s">
        <v>830</v>
      </c>
      <c r="Z1092" s="28">
        <v>5140202000333</v>
      </c>
      <c r="AA1092" s="28"/>
      <c r="AB1092" s="28" t="s">
        <v>1465</v>
      </c>
      <c r="AC1092" s="28" t="s">
        <v>1466</v>
      </c>
    </row>
    <row r="1093" spans="1:29" x14ac:dyDescent="0.25">
      <c r="A1093" s="61">
        <v>110000403670</v>
      </c>
      <c r="B1093" s="28">
        <v>2020</v>
      </c>
      <c r="C1093" s="68">
        <f t="shared" si="17"/>
        <v>43831</v>
      </c>
      <c r="D1093" s="28" t="s">
        <v>1325</v>
      </c>
      <c r="E1093" s="28" t="s">
        <v>2179</v>
      </c>
      <c r="F1093" s="28" t="s">
        <v>1326</v>
      </c>
      <c r="G1093" s="28" t="s">
        <v>469</v>
      </c>
      <c r="H1093" s="28">
        <v>47620</v>
      </c>
      <c r="I1093" s="28">
        <v>37.907200000000003</v>
      </c>
      <c r="J1093" s="28">
        <v>-87.927099999999996</v>
      </c>
      <c r="K1093" s="28" t="s">
        <v>732</v>
      </c>
      <c r="L1093" s="61">
        <v>110000403670</v>
      </c>
      <c r="M1093" s="28" t="s">
        <v>253</v>
      </c>
      <c r="N1093" s="28">
        <v>2821</v>
      </c>
      <c r="O1093" s="28" t="str">
        <f>IFERROR(VLOOKUP(N1093, 'SIC &amp; NAICS Codes'!A:B, 2, FALSE), "")</f>
        <v>Plastics Materials, Synthetic and Resins, and Nonvulcanizable Elastomers</v>
      </c>
      <c r="S1093" s="28">
        <v>7.5102040816326499</v>
      </c>
      <c r="T1093" s="315">
        <f>_xlfn.MAXIFS('Raw Period DMR Data'!$O:$O,'Raw Period DMR Data'!$A:$A,'Raw Annual DMR Data'!B1093,'Raw Period DMR Data'!$C:$C,X1093)/S1093</f>
        <v>0</v>
      </c>
      <c r="U1093" s="28" t="str">
        <f>+IF(COUNTIFS('Raw Period DMR Data'!$A:$A,B1093, 'Raw Period DMR Data'!C:C,'Raw Annual DMR Data'!X1093, 'Raw Period DMR Data'!M:M, "&gt;0")&gt;0,_xlfn.MAXIFS('Raw Period DMR Data'!M:M,'Raw Period DMR Data'!$A:$A,'Raw Annual DMR Data'!B1093,'Raw Period DMR Data'!C:C,'Raw Annual DMR Data'!X1093), "N/A - Period DMR Data Not Available")</f>
        <v>N/A - Period DMR Data Not Available</v>
      </c>
      <c r="V1093" s="28" t="str" cm="1">
        <f t="array" ref="V1093">IFERROR(INDEX('Raw Period DMR Data'!N:N,MATCH(1,(B1093='Raw Period DMR Data'!$A:$A)*(U1093='Raw Period DMR Data'!M:M)*(X1093='Raw Period DMR Data'!C:C),0),1), "N/A")</f>
        <v>N/A</v>
      </c>
      <c r="W1093" s="28" t="s">
        <v>1463</v>
      </c>
      <c r="X1093" s="28" t="s">
        <v>2180</v>
      </c>
      <c r="Y1093" s="28" t="s">
        <v>830</v>
      </c>
      <c r="Z1093" s="28">
        <v>5140202000333</v>
      </c>
      <c r="AA1093" s="28"/>
      <c r="AB1093" s="28" t="s">
        <v>1465</v>
      </c>
      <c r="AC1093" s="28" t="s">
        <v>1466</v>
      </c>
    </row>
    <row r="1094" spans="1:29" x14ac:dyDescent="0.25">
      <c r="A1094" s="61">
        <v>110017972764</v>
      </c>
      <c r="B1094" s="28">
        <v>2017</v>
      </c>
      <c r="C1094" s="68">
        <f t="shared" si="17"/>
        <v>42736</v>
      </c>
      <c r="D1094" s="28" t="s">
        <v>1327</v>
      </c>
      <c r="E1094" s="28" t="s">
        <v>2182</v>
      </c>
      <c r="F1094" s="28" t="s">
        <v>1328</v>
      </c>
      <c r="G1094" s="28" t="s">
        <v>366</v>
      </c>
      <c r="H1094" s="28">
        <v>95683</v>
      </c>
      <c r="I1094" s="28">
        <v>38.516390000000001</v>
      </c>
      <c r="J1094" s="28">
        <v>-121.19723999999999</v>
      </c>
      <c r="L1094" s="61">
        <v>110017972764</v>
      </c>
      <c r="M1094" s="28" t="s">
        <v>6750</v>
      </c>
      <c r="N1094" s="28">
        <v>4953</v>
      </c>
      <c r="O1094" s="28" t="str">
        <f>IFERROR(VLOOKUP(N1094, 'SIC &amp; NAICS Codes'!A:B, 2, FALSE), "")</f>
        <v>Refuse Systems (hazardous waste treatment and disposal)</v>
      </c>
      <c r="S1094" s="28">
        <v>1.001605625E-2</v>
      </c>
      <c r="T1094" s="315">
        <f>_xlfn.MAXIFS('Raw Period DMR Data'!$O:$O,'Raw Period DMR Data'!$A:$A,'Raw Annual DMR Data'!B1094,'Raw Period DMR Data'!$C:$C,X1094)/S1094</f>
        <v>0</v>
      </c>
      <c r="U1094" s="28" t="str">
        <f>+IF(COUNTIFS('Raw Period DMR Data'!$A:$A,B1094, 'Raw Period DMR Data'!C:C,'Raw Annual DMR Data'!X1094, 'Raw Period DMR Data'!M:M, "&gt;0")&gt;0,_xlfn.MAXIFS('Raw Period DMR Data'!M:M,'Raw Period DMR Data'!$A:$A,'Raw Annual DMR Data'!B1094,'Raw Period DMR Data'!C:C,'Raw Annual DMR Data'!X1094), "N/A - Period DMR Data Not Available")</f>
        <v>N/A - Period DMR Data Not Available</v>
      </c>
      <c r="V1094" s="28" t="str" cm="1">
        <f t="array" ref="V1094">IFERROR(INDEX('Raw Period DMR Data'!N:N,MATCH(1,(B1094='Raw Period DMR Data'!$A:$A)*(U1094='Raw Period DMR Data'!M:M)*(X1094='Raw Period DMR Data'!C:C),0),1), "N/A")</f>
        <v>N/A</v>
      </c>
      <c r="W1094" s="28" t="s">
        <v>1463</v>
      </c>
      <c r="X1094" s="28" t="s">
        <v>2183</v>
      </c>
      <c r="Y1094" s="28" t="s">
        <v>1672</v>
      </c>
      <c r="Z1094" s="28">
        <v>18040013009470</v>
      </c>
      <c r="AA1094" s="28"/>
      <c r="AB1094" s="28" t="s">
        <v>1465</v>
      </c>
      <c r="AC1094" s="28" t="s">
        <v>1466</v>
      </c>
    </row>
    <row r="1095" spans="1:29" x14ac:dyDescent="0.25">
      <c r="A1095" s="61">
        <v>110039713067</v>
      </c>
      <c r="B1095" s="28">
        <v>2015</v>
      </c>
      <c r="C1095" s="68">
        <f t="shared" si="17"/>
        <v>42005</v>
      </c>
      <c r="D1095" s="28" t="s">
        <v>1329</v>
      </c>
      <c r="E1095" s="28" t="s">
        <v>2184</v>
      </c>
      <c r="F1095" s="28" t="s">
        <v>1330</v>
      </c>
      <c r="G1095" s="28" t="s">
        <v>374</v>
      </c>
      <c r="H1095" s="28">
        <v>85603</v>
      </c>
      <c r="I1095" s="28">
        <v>31.359059999999999</v>
      </c>
      <c r="J1095" s="28">
        <v>-109.91528</v>
      </c>
      <c r="L1095" s="61">
        <v>110039713067</v>
      </c>
      <c r="M1095" s="28" t="s">
        <v>263</v>
      </c>
      <c r="N1095" s="28">
        <v>4952</v>
      </c>
      <c r="O1095" s="28" t="str">
        <f>IFERROR(VLOOKUP(N1095, 'SIC &amp; NAICS Codes'!A:B, 2, FALSE), "")</f>
        <v>Sewerage Systems</v>
      </c>
      <c r="S1095" s="28">
        <v>0.46695544999999999</v>
      </c>
      <c r="T1095" s="315">
        <f>_xlfn.MAXIFS('Raw Period DMR Data'!$O:$O,'Raw Period DMR Data'!$A:$A,'Raw Annual DMR Data'!B1095,'Raw Period DMR Data'!$C:$C,X1095)/S1095</f>
        <v>0</v>
      </c>
      <c r="U1095" s="28" t="str">
        <f>+IF(COUNTIFS('Raw Period DMR Data'!$A:$A,B1095, 'Raw Period DMR Data'!C:C,'Raw Annual DMR Data'!X1095, 'Raw Period DMR Data'!M:M, "&gt;0")&gt;0,_xlfn.MAXIFS('Raw Period DMR Data'!M:M,'Raw Period DMR Data'!$A:$A,'Raw Annual DMR Data'!B1095,'Raw Period DMR Data'!C:C,'Raw Annual DMR Data'!X1095), "N/A - Period DMR Data Not Available")</f>
        <v>N/A - Period DMR Data Not Available</v>
      </c>
      <c r="V1095" s="28" t="str" cm="1">
        <f t="array" ref="V1095">IFERROR(INDEX('Raw Period DMR Data'!N:N,MATCH(1,(B1095='Raw Period DMR Data'!$A:$A)*(U1095='Raw Period DMR Data'!M:M)*(X1095='Raw Period DMR Data'!C:C),0),1), "N/A")</f>
        <v>N/A</v>
      </c>
      <c r="W1095" s="28" t="s">
        <v>1463</v>
      </c>
      <c r="X1095" s="28" t="s">
        <v>2185</v>
      </c>
      <c r="Z1095" s="28">
        <v>15080301000134</v>
      </c>
      <c r="AA1095" s="28"/>
      <c r="AB1095" s="28" t="s">
        <v>1465</v>
      </c>
      <c r="AC1095" s="28" t="s">
        <v>1466</v>
      </c>
    </row>
    <row r="1096" spans="1:29" x14ac:dyDescent="0.25">
      <c r="A1096" s="61">
        <v>110039713067</v>
      </c>
      <c r="B1096" s="28">
        <v>2016</v>
      </c>
      <c r="C1096" s="68">
        <f t="shared" si="17"/>
        <v>42370</v>
      </c>
      <c r="D1096" s="28" t="s">
        <v>1329</v>
      </c>
      <c r="E1096" s="28" t="s">
        <v>2184</v>
      </c>
      <c r="F1096" s="28" t="s">
        <v>1330</v>
      </c>
      <c r="G1096" s="28" t="s">
        <v>374</v>
      </c>
      <c r="H1096" s="28">
        <v>85603</v>
      </c>
      <c r="I1096" s="28">
        <v>31.359059999999999</v>
      </c>
      <c r="J1096" s="28">
        <v>-109.91528</v>
      </c>
      <c r="L1096" s="61">
        <v>110039713067</v>
      </c>
      <c r="M1096" s="28" t="s">
        <v>263</v>
      </c>
      <c r="N1096" s="28">
        <v>4952</v>
      </c>
      <c r="O1096" s="28" t="str">
        <f>IFERROR(VLOOKUP(N1096, 'SIC &amp; NAICS Codes'!A:B, 2, FALSE), "")</f>
        <v>Sewerage Systems</v>
      </c>
      <c r="S1096" s="28">
        <v>0.53050560000000002</v>
      </c>
      <c r="T1096" s="315">
        <f>_xlfn.MAXIFS('Raw Period DMR Data'!$O:$O,'Raw Period DMR Data'!$A:$A,'Raw Annual DMR Data'!B1096,'Raw Period DMR Data'!$C:$C,X1096)/S1096</f>
        <v>0</v>
      </c>
      <c r="U1096" s="28" t="str">
        <f>+IF(COUNTIFS('Raw Period DMR Data'!$A:$A,B1096, 'Raw Period DMR Data'!C:C,'Raw Annual DMR Data'!X1096, 'Raw Period DMR Data'!M:M, "&gt;0")&gt;0,_xlfn.MAXIFS('Raw Period DMR Data'!M:M,'Raw Period DMR Data'!$A:$A,'Raw Annual DMR Data'!B1096,'Raw Period DMR Data'!C:C,'Raw Annual DMR Data'!X1096), "N/A - Period DMR Data Not Available")</f>
        <v>N/A - Period DMR Data Not Available</v>
      </c>
      <c r="V1096" s="28" t="str" cm="1">
        <f t="array" ref="V1096">IFERROR(INDEX('Raw Period DMR Data'!N:N,MATCH(1,(B1096='Raw Period DMR Data'!$A:$A)*(U1096='Raw Period DMR Data'!M:M)*(X1096='Raw Period DMR Data'!C:C),0),1), "N/A")</f>
        <v>N/A</v>
      </c>
      <c r="W1096" s="28" t="s">
        <v>1463</v>
      </c>
      <c r="X1096" s="28" t="s">
        <v>2185</v>
      </c>
      <c r="Z1096" s="28">
        <v>15080301000134</v>
      </c>
      <c r="AA1096" s="28"/>
      <c r="AB1096" s="28" t="s">
        <v>1465</v>
      </c>
      <c r="AC1096" s="28" t="s">
        <v>1466</v>
      </c>
    </row>
    <row r="1097" spans="1:29" x14ac:dyDescent="0.25">
      <c r="A1097" s="61">
        <v>110039713067</v>
      </c>
      <c r="B1097" s="28">
        <v>2018</v>
      </c>
      <c r="C1097" s="68">
        <f t="shared" si="17"/>
        <v>43101</v>
      </c>
      <c r="D1097" s="28" t="s">
        <v>1329</v>
      </c>
      <c r="E1097" s="28" t="s">
        <v>2184</v>
      </c>
      <c r="F1097" s="28" t="s">
        <v>1330</v>
      </c>
      <c r="G1097" s="28" t="s">
        <v>374</v>
      </c>
      <c r="H1097" s="28">
        <v>85603</v>
      </c>
      <c r="I1097" s="28">
        <v>31.359059999999999</v>
      </c>
      <c r="J1097" s="28">
        <v>-109.91528</v>
      </c>
      <c r="L1097" s="61">
        <v>110039713067</v>
      </c>
      <c r="M1097" s="28" t="s">
        <v>263</v>
      </c>
      <c r="N1097" s="28">
        <v>4952</v>
      </c>
      <c r="O1097" s="28" t="str">
        <f>IFERROR(VLOOKUP(N1097, 'SIC &amp; NAICS Codes'!A:B, 2, FALSE), "")</f>
        <v>Sewerage Systems</v>
      </c>
      <c r="S1097" s="28">
        <v>9.6706749999999994E-2</v>
      </c>
      <c r="T1097" s="315">
        <f>_xlfn.MAXIFS('Raw Period DMR Data'!$O:$O,'Raw Period DMR Data'!$A:$A,'Raw Annual DMR Data'!B1097,'Raw Period DMR Data'!$C:$C,X1097)/S1097</f>
        <v>0</v>
      </c>
      <c r="U1097" s="28" t="str">
        <f>+IF(COUNTIFS('Raw Period DMR Data'!$A:$A,B1097, 'Raw Period DMR Data'!C:C,'Raw Annual DMR Data'!X1097, 'Raw Period DMR Data'!M:M, "&gt;0")&gt;0,_xlfn.MAXIFS('Raw Period DMR Data'!M:M,'Raw Period DMR Data'!$A:$A,'Raw Annual DMR Data'!B1097,'Raw Period DMR Data'!C:C,'Raw Annual DMR Data'!X1097), "N/A - Period DMR Data Not Available")</f>
        <v>N/A - Period DMR Data Not Available</v>
      </c>
      <c r="V1097" s="28" t="str" cm="1">
        <f t="array" ref="V1097">IFERROR(INDEX('Raw Period DMR Data'!N:N,MATCH(1,(B1097='Raw Period DMR Data'!$A:$A)*(U1097='Raw Period DMR Data'!M:M)*(X1097='Raw Period DMR Data'!C:C),0),1), "N/A")</f>
        <v>N/A</v>
      </c>
      <c r="W1097" s="28" t="s">
        <v>1463</v>
      </c>
      <c r="X1097" s="28" t="s">
        <v>2185</v>
      </c>
      <c r="Z1097" s="28">
        <v>15080301000134</v>
      </c>
      <c r="AA1097" s="28"/>
      <c r="AB1097" s="28" t="s">
        <v>1465</v>
      </c>
      <c r="AC1097" s="28" t="s">
        <v>1466</v>
      </c>
    </row>
    <row r="1098" spans="1:29" x14ac:dyDescent="0.25">
      <c r="A1098" s="61">
        <v>110055984546</v>
      </c>
      <c r="B1098" s="28">
        <v>2018</v>
      </c>
      <c r="C1098" s="68">
        <f t="shared" si="17"/>
        <v>43101</v>
      </c>
      <c r="D1098" s="28" t="s">
        <v>185</v>
      </c>
      <c r="E1098" s="28" t="s">
        <v>609</v>
      </c>
      <c r="F1098" s="28" t="s">
        <v>610</v>
      </c>
      <c r="G1098" s="28" t="s">
        <v>366</v>
      </c>
      <c r="H1098" s="28">
        <v>93452</v>
      </c>
      <c r="I1098" s="28">
        <v>35.611660000000001</v>
      </c>
      <c r="J1098" s="28">
        <v>-121.14564</v>
      </c>
      <c r="L1098" s="61">
        <v>110055984546</v>
      </c>
      <c r="M1098" s="28" t="s">
        <v>263</v>
      </c>
      <c r="N1098" s="28">
        <v>4952</v>
      </c>
      <c r="O1098" s="28" t="str">
        <f>IFERROR(VLOOKUP(N1098, 'SIC &amp; NAICS Codes'!A:B, 2, FALSE), "")</f>
        <v>Sewerage Systems</v>
      </c>
      <c r="S1098" s="28">
        <v>7.1685818250000005E-2</v>
      </c>
      <c r="T1098" s="315">
        <f>_xlfn.MAXIFS('Raw Period DMR Data'!$O:$O,'Raw Period DMR Data'!$A:$A,'Raw Annual DMR Data'!B1098,'Raw Period DMR Data'!$C:$C,X1098)/S1098</f>
        <v>0</v>
      </c>
      <c r="U1098" s="28" t="str">
        <f>+IF(COUNTIFS('Raw Period DMR Data'!$A:$A,B1098, 'Raw Period DMR Data'!C:C,'Raw Annual DMR Data'!X1098, 'Raw Period DMR Data'!M:M, "&gt;0")&gt;0,_xlfn.MAXIFS('Raw Period DMR Data'!M:M,'Raw Period DMR Data'!$A:$A,'Raw Annual DMR Data'!B1098,'Raw Period DMR Data'!C:C,'Raw Annual DMR Data'!X1098), "N/A - Period DMR Data Not Available")</f>
        <v>N/A - Period DMR Data Not Available</v>
      </c>
      <c r="V1098" s="28" t="str" cm="1">
        <f t="array" ref="V1098">IFERROR(INDEX('Raw Period DMR Data'!N:N,MATCH(1,(B1098='Raw Period DMR Data'!$A:$A)*(U1098='Raw Period DMR Data'!M:M)*(X1098='Raw Period DMR Data'!C:C),0),1), "N/A")</f>
        <v>N/A</v>
      </c>
      <c r="W1098" s="28" t="s">
        <v>1463</v>
      </c>
      <c r="X1098" s="28" t="s">
        <v>925</v>
      </c>
      <c r="Y1098" s="28" t="s">
        <v>926</v>
      </c>
      <c r="Z1098" s="61">
        <v>18060006000118</v>
      </c>
    </row>
    <row r="1099" spans="1:29" x14ac:dyDescent="0.25">
      <c r="A1099" s="61">
        <v>110005726802</v>
      </c>
      <c r="B1099" s="28">
        <v>2018</v>
      </c>
      <c r="C1099" s="68">
        <f t="shared" si="17"/>
        <v>43101</v>
      </c>
      <c r="D1099" s="28" t="s">
        <v>1331</v>
      </c>
      <c r="E1099" s="28" t="s">
        <v>2186</v>
      </c>
      <c r="F1099" s="28" t="s">
        <v>1286</v>
      </c>
      <c r="G1099" s="28" t="s">
        <v>1171</v>
      </c>
      <c r="H1099" s="28" t="s">
        <v>2187</v>
      </c>
      <c r="I1099" s="28">
        <v>21.304500000000001</v>
      </c>
      <c r="J1099" s="28">
        <v>-157.88205600000001</v>
      </c>
      <c r="L1099" s="61">
        <v>110005726802</v>
      </c>
      <c r="M1099" s="28" t="s">
        <v>263</v>
      </c>
      <c r="N1099" s="28">
        <v>4952</v>
      </c>
      <c r="O1099" s="28" t="str">
        <f>IFERROR(VLOOKUP(N1099, 'SIC &amp; NAICS Codes'!A:B, 2, FALSE), "")</f>
        <v>Sewerage Systems</v>
      </c>
      <c r="S1099" s="28">
        <v>1.6146264960000001</v>
      </c>
      <c r="T1099" s="315">
        <f>_xlfn.MAXIFS('Raw Period DMR Data'!$O:$O,'Raw Period DMR Data'!$A:$A,'Raw Annual DMR Data'!B1099,'Raw Period DMR Data'!$C:$C,X1099)/S1099</f>
        <v>0</v>
      </c>
      <c r="U1099" s="28" t="str">
        <f>+IF(COUNTIFS('Raw Period DMR Data'!$A:$A,B1099, 'Raw Period DMR Data'!C:C,'Raw Annual DMR Data'!X1099, 'Raw Period DMR Data'!M:M, "&gt;0")&gt;0,_xlfn.MAXIFS('Raw Period DMR Data'!M:M,'Raw Period DMR Data'!$A:$A,'Raw Annual DMR Data'!B1099,'Raw Period DMR Data'!C:C,'Raw Annual DMR Data'!X1099), "N/A - Period DMR Data Not Available")</f>
        <v>N/A - Period DMR Data Not Available</v>
      </c>
      <c r="V1099" s="28" t="str" cm="1">
        <f t="array" ref="V1099">IFERROR(INDEX('Raw Period DMR Data'!N:N,MATCH(1,(B1099='Raw Period DMR Data'!$A:$A)*(U1099='Raw Period DMR Data'!M:M)*(X1099='Raw Period DMR Data'!C:C),0),1), "N/A")</f>
        <v>N/A</v>
      </c>
      <c r="W1099" s="28" t="s">
        <v>1463</v>
      </c>
      <c r="X1099" s="28" t="s">
        <v>2188</v>
      </c>
      <c r="Y1099" s="28" t="s">
        <v>926</v>
      </c>
      <c r="Z1099" s="28">
        <v>20060000003277</v>
      </c>
      <c r="AA1099" s="28"/>
      <c r="AB1099" s="28" t="s">
        <v>1465</v>
      </c>
      <c r="AC1099" s="28" t="s">
        <v>263</v>
      </c>
    </row>
    <row r="1100" spans="1:29" x14ac:dyDescent="0.25">
      <c r="A1100" s="61">
        <v>110005726802</v>
      </c>
      <c r="B1100" s="28">
        <v>2019</v>
      </c>
      <c r="C1100" s="68">
        <f t="shared" si="17"/>
        <v>43466</v>
      </c>
      <c r="D1100" s="28" t="s">
        <v>1331</v>
      </c>
      <c r="E1100" s="28" t="s">
        <v>2186</v>
      </c>
      <c r="F1100" s="28" t="s">
        <v>1286</v>
      </c>
      <c r="G1100" s="28" t="s">
        <v>1171</v>
      </c>
      <c r="H1100" s="28" t="s">
        <v>2187</v>
      </c>
      <c r="I1100" s="28">
        <v>21.304500000000001</v>
      </c>
      <c r="J1100" s="28">
        <v>-157.88205600000001</v>
      </c>
      <c r="L1100" s="61">
        <v>110005726802</v>
      </c>
      <c r="M1100" s="28" t="s">
        <v>263</v>
      </c>
      <c r="N1100" s="28">
        <v>4952</v>
      </c>
      <c r="O1100" s="28" t="str">
        <f>IFERROR(VLOOKUP(N1100, 'SIC &amp; NAICS Codes'!A:B, 2, FALSE), "")</f>
        <v>Sewerage Systems</v>
      </c>
      <c r="S1100" s="28">
        <v>0.85369615200000004</v>
      </c>
      <c r="T1100" s="315">
        <f>_xlfn.MAXIFS('Raw Period DMR Data'!$O:$O,'Raw Period DMR Data'!$A:$A,'Raw Annual DMR Data'!B1100,'Raw Period DMR Data'!$C:$C,X1100)/S1100</f>
        <v>0</v>
      </c>
      <c r="U1100" s="28" t="str">
        <f>+IF(COUNTIFS('Raw Period DMR Data'!$A:$A,B1100, 'Raw Period DMR Data'!C:C,'Raw Annual DMR Data'!X1100, 'Raw Period DMR Data'!M:M, "&gt;0")&gt;0,_xlfn.MAXIFS('Raw Period DMR Data'!M:M,'Raw Period DMR Data'!$A:$A,'Raw Annual DMR Data'!B1100,'Raw Period DMR Data'!C:C,'Raw Annual DMR Data'!X1100), "N/A - Period DMR Data Not Available")</f>
        <v>N/A - Period DMR Data Not Available</v>
      </c>
      <c r="V1100" s="28" t="str" cm="1">
        <f t="array" ref="V1100">IFERROR(INDEX('Raw Period DMR Data'!N:N,MATCH(1,(B1100='Raw Period DMR Data'!$A:$A)*(U1100='Raw Period DMR Data'!M:M)*(X1100='Raw Period DMR Data'!C:C),0),1), "N/A")</f>
        <v>N/A</v>
      </c>
      <c r="W1100" s="28" t="s">
        <v>1463</v>
      </c>
      <c r="X1100" s="28" t="s">
        <v>2188</v>
      </c>
      <c r="Y1100" s="28" t="s">
        <v>926</v>
      </c>
      <c r="Z1100" s="28">
        <v>20060000003277</v>
      </c>
      <c r="AA1100" s="28"/>
      <c r="AB1100" s="28" t="s">
        <v>1465</v>
      </c>
      <c r="AC1100" s="28" t="s">
        <v>263</v>
      </c>
    </row>
    <row r="1101" spans="1:29" x14ac:dyDescent="0.25">
      <c r="A1101" s="61">
        <v>110005726802</v>
      </c>
      <c r="B1101" s="28">
        <v>2020</v>
      </c>
      <c r="C1101" s="68">
        <f t="shared" si="17"/>
        <v>43831</v>
      </c>
      <c r="D1101" s="28" t="s">
        <v>1331</v>
      </c>
      <c r="E1101" s="28" t="s">
        <v>2186</v>
      </c>
      <c r="F1101" s="28" t="s">
        <v>1286</v>
      </c>
      <c r="G1101" s="28" t="s">
        <v>1171</v>
      </c>
      <c r="H1101" s="28" t="s">
        <v>2187</v>
      </c>
      <c r="I1101" s="28">
        <v>21.304500000000001</v>
      </c>
      <c r="J1101" s="28">
        <v>-157.88205600000001</v>
      </c>
      <c r="L1101" s="61">
        <v>110005726802</v>
      </c>
      <c r="M1101" s="28" t="s">
        <v>263</v>
      </c>
      <c r="N1101" s="28">
        <v>4952</v>
      </c>
      <c r="O1101" s="28" t="str">
        <f>IFERROR(VLOOKUP(N1101, 'SIC &amp; NAICS Codes'!A:B, 2, FALSE), "")</f>
        <v>Sewerage Systems</v>
      </c>
      <c r="S1101" s="28">
        <v>10.63046016</v>
      </c>
      <c r="T1101" s="315">
        <f>_xlfn.MAXIFS('Raw Period DMR Data'!$O:$O,'Raw Period DMR Data'!$A:$A,'Raw Annual DMR Data'!B1101,'Raw Period DMR Data'!$C:$C,X1101)/S1101</f>
        <v>0</v>
      </c>
      <c r="U1101" s="28" t="str">
        <f>+IF(COUNTIFS('Raw Period DMR Data'!$A:$A,B1101, 'Raw Period DMR Data'!C:C,'Raw Annual DMR Data'!X1101, 'Raw Period DMR Data'!M:M, "&gt;0")&gt;0,_xlfn.MAXIFS('Raw Period DMR Data'!M:M,'Raw Period DMR Data'!$A:$A,'Raw Annual DMR Data'!B1101,'Raw Period DMR Data'!C:C,'Raw Annual DMR Data'!X1101), "N/A - Period DMR Data Not Available")</f>
        <v>N/A - Period DMR Data Not Available</v>
      </c>
      <c r="V1101" s="28" t="str" cm="1">
        <f t="array" ref="V1101">IFERROR(INDEX('Raw Period DMR Data'!N:N,MATCH(1,(B1101='Raw Period DMR Data'!$A:$A)*(U1101='Raw Period DMR Data'!M:M)*(X1101='Raw Period DMR Data'!C:C),0),1), "N/A")</f>
        <v>N/A</v>
      </c>
      <c r="W1101" s="28" t="s">
        <v>1463</v>
      </c>
      <c r="X1101" s="28" t="s">
        <v>2188</v>
      </c>
      <c r="Y1101" s="28" t="s">
        <v>926</v>
      </c>
      <c r="Z1101" s="28">
        <v>20060000003277</v>
      </c>
      <c r="AA1101" s="28"/>
      <c r="AB1101" s="28" t="s">
        <v>1465</v>
      </c>
      <c r="AC1101" s="28" t="s">
        <v>263</v>
      </c>
    </row>
    <row r="1102" spans="1:29" x14ac:dyDescent="0.25">
      <c r="A1102" s="61">
        <v>110006522735</v>
      </c>
      <c r="B1102" s="28">
        <v>2018</v>
      </c>
      <c r="C1102" s="68">
        <f t="shared" si="17"/>
        <v>43101</v>
      </c>
      <c r="D1102" s="28" t="s">
        <v>1332</v>
      </c>
      <c r="E1102" s="28" t="s">
        <v>2189</v>
      </c>
      <c r="F1102" s="28" t="s">
        <v>1333</v>
      </c>
      <c r="G1102" s="28" t="s">
        <v>491</v>
      </c>
      <c r="H1102" s="28">
        <v>18370</v>
      </c>
      <c r="I1102" s="28">
        <v>41.094749999999998</v>
      </c>
      <c r="J1102" s="28">
        <v>-75.326319999999996</v>
      </c>
      <c r="K1102" s="28" t="s">
        <v>733</v>
      </c>
      <c r="L1102" s="61">
        <v>110006522735</v>
      </c>
      <c r="M1102" s="28" t="s">
        <v>265</v>
      </c>
      <c r="N1102" s="28">
        <v>2834</v>
      </c>
      <c r="O1102" s="28" t="str">
        <f>IFERROR(VLOOKUP(N1102, 'SIC &amp; NAICS Codes'!A:B, 2, FALSE), "")</f>
        <v xml:space="preserve">Pharmaceutical Preparations </v>
      </c>
      <c r="S1102" s="302">
        <v>8.2766439909296996E-2</v>
      </c>
      <c r="T1102" s="315">
        <f>_xlfn.MAXIFS('Raw Period DMR Data'!$O:$O,'Raw Period DMR Data'!$A:$A,'Raw Annual DMR Data'!B1102,'Raw Period DMR Data'!$C:$C,X1102)/S1102</f>
        <v>0</v>
      </c>
      <c r="U1102" s="28" t="str">
        <f>+IF(COUNTIFS('Raw Period DMR Data'!$A:$A,B1102, 'Raw Period DMR Data'!C:C,'Raw Annual DMR Data'!X1102, 'Raw Period DMR Data'!M:M, "&gt;0")&gt;0,_xlfn.MAXIFS('Raw Period DMR Data'!M:M,'Raw Period DMR Data'!$A:$A,'Raw Annual DMR Data'!B1102,'Raw Period DMR Data'!C:C,'Raw Annual DMR Data'!X1102), "N/A - Period DMR Data Not Available")</f>
        <v>N/A - Period DMR Data Not Available</v>
      </c>
      <c r="V1102" s="28" t="str" cm="1">
        <f t="array" ref="V1102">IFERROR(INDEX('Raw Period DMR Data'!N:N,MATCH(1,(B1102='Raw Period DMR Data'!$A:$A)*(U1102='Raw Period DMR Data'!M:M)*(X1102='Raw Period DMR Data'!C:C),0),1), "N/A")</f>
        <v>N/A</v>
      </c>
      <c r="W1102" s="28" t="s">
        <v>1463</v>
      </c>
      <c r="X1102" s="28" t="s">
        <v>2190</v>
      </c>
      <c r="Y1102" s="28" t="s">
        <v>2191</v>
      </c>
      <c r="Z1102" s="302" t="s">
        <v>2192</v>
      </c>
      <c r="AA1102" s="28"/>
      <c r="AB1102" s="28" t="s">
        <v>1465</v>
      </c>
      <c r="AC1102" s="28" t="s">
        <v>1466</v>
      </c>
    </row>
    <row r="1103" spans="1:29" x14ac:dyDescent="0.25">
      <c r="A1103" s="61">
        <v>110006522735</v>
      </c>
      <c r="B1103" s="28">
        <v>2019</v>
      </c>
      <c r="C1103" s="68">
        <f t="shared" si="17"/>
        <v>43466</v>
      </c>
      <c r="D1103" s="28" t="s">
        <v>1332</v>
      </c>
      <c r="E1103" s="28" t="s">
        <v>2189</v>
      </c>
      <c r="F1103" s="28" t="s">
        <v>1333</v>
      </c>
      <c r="G1103" s="28" t="s">
        <v>491</v>
      </c>
      <c r="H1103" s="28">
        <v>18370</v>
      </c>
      <c r="I1103" s="28">
        <v>41.094749999999998</v>
      </c>
      <c r="J1103" s="28">
        <v>-75.326319999999996</v>
      </c>
      <c r="K1103" s="28" t="s">
        <v>733</v>
      </c>
      <c r="L1103" s="61">
        <v>110006522735</v>
      </c>
      <c r="M1103" s="28" t="s">
        <v>265</v>
      </c>
      <c r="N1103" s="28">
        <v>2834</v>
      </c>
      <c r="O1103" s="28" t="str">
        <f>IFERROR(VLOOKUP(N1103, 'SIC &amp; NAICS Codes'!A:B, 2, FALSE), "")</f>
        <v xml:space="preserve">Pharmaceutical Preparations </v>
      </c>
      <c r="S1103" s="28">
        <v>8.2766439909296996E-2</v>
      </c>
      <c r="T1103" s="315">
        <f>_xlfn.MAXIFS('Raw Period DMR Data'!$O:$O,'Raw Period DMR Data'!$A:$A,'Raw Annual DMR Data'!B1103,'Raw Period DMR Data'!$C:$C,X1103)/S1103</f>
        <v>0</v>
      </c>
      <c r="U1103" s="28" t="str">
        <f>+IF(COUNTIFS('Raw Period DMR Data'!$A:$A,B1103, 'Raw Period DMR Data'!C:C,'Raw Annual DMR Data'!X1103, 'Raw Period DMR Data'!M:M, "&gt;0")&gt;0,_xlfn.MAXIFS('Raw Period DMR Data'!M:M,'Raw Period DMR Data'!$A:$A,'Raw Annual DMR Data'!B1103,'Raw Period DMR Data'!C:C,'Raw Annual DMR Data'!X1103), "N/A - Period DMR Data Not Available")</f>
        <v>N/A - Period DMR Data Not Available</v>
      </c>
      <c r="V1103" s="28" t="str" cm="1">
        <f t="array" ref="V1103">IFERROR(INDEX('Raw Period DMR Data'!N:N,MATCH(1,(B1103='Raw Period DMR Data'!$A:$A)*(U1103='Raw Period DMR Data'!M:M)*(X1103='Raw Period DMR Data'!C:C),0),1), "N/A")</f>
        <v>N/A</v>
      </c>
      <c r="W1103" s="28" t="s">
        <v>1463</v>
      </c>
      <c r="X1103" s="28" t="s">
        <v>2190</v>
      </c>
      <c r="Y1103" s="28" t="s">
        <v>2191</v>
      </c>
      <c r="Z1103" s="28">
        <v>2040104000718</v>
      </c>
      <c r="AA1103" s="28"/>
      <c r="AB1103" s="28" t="s">
        <v>1465</v>
      </c>
      <c r="AC1103" s="28" t="s">
        <v>1466</v>
      </c>
    </row>
    <row r="1104" spans="1:29" x14ac:dyDescent="0.25">
      <c r="A1104" s="61">
        <v>110006522735</v>
      </c>
      <c r="B1104" s="28">
        <v>2020</v>
      </c>
      <c r="C1104" s="68">
        <f t="shared" si="17"/>
        <v>43831</v>
      </c>
      <c r="D1104" s="28" t="s">
        <v>1332</v>
      </c>
      <c r="E1104" s="28" t="s">
        <v>2189</v>
      </c>
      <c r="F1104" s="28" t="s">
        <v>1333</v>
      </c>
      <c r="G1104" s="28" t="s">
        <v>491</v>
      </c>
      <c r="H1104" s="28">
        <v>18370</v>
      </c>
      <c r="I1104" s="28">
        <v>41.094749999999998</v>
      </c>
      <c r="J1104" s="28">
        <v>-75.326319999999996</v>
      </c>
      <c r="K1104" s="28" t="s">
        <v>733</v>
      </c>
      <c r="L1104" s="61">
        <v>110006522735</v>
      </c>
      <c r="M1104" s="28" t="s">
        <v>265</v>
      </c>
      <c r="N1104" s="28">
        <v>2834</v>
      </c>
      <c r="O1104" s="28" t="str">
        <f>IFERROR(VLOOKUP(N1104, 'SIC &amp; NAICS Codes'!A:B, 2, FALSE), "")</f>
        <v xml:space="preserve">Pharmaceutical Preparations </v>
      </c>
      <c r="S1104" s="28">
        <v>4.5632653061224403E-2</v>
      </c>
      <c r="T1104" s="315">
        <f>_xlfn.MAXIFS('Raw Period DMR Data'!$O:$O,'Raw Period DMR Data'!$A:$A,'Raw Annual DMR Data'!B1104,'Raw Period DMR Data'!$C:$C,X1104)/S1104</f>
        <v>0</v>
      </c>
      <c r="U1104" s="28" t="str">
        <f>+IF(COUNTIFS('Raw Period DMR Data'!$A:$A,B1104, 'Raw Period DMR Data'!C:C,'Raw Annual DMR Data'!X1104, 'Raw Period DMR Data'!M:M, "&gt;0")&gt;0,_xlfn.MAXIFS('Raw Period DMR Data'!M:M,'Raw Period DMR Data'!$A:$A,'Raw Annual DMR Data'!B1104,'Raw Period DMR Data'!C:C,'Raw Annual DMR Data'!X1104), "N/A - Period DMR Data Not Available")</f>
        <v>N/A - Period DMR Data Not Available</v>
      </c>
      <c r="V1104" s="28" t="str" cm="1">
        <f t="array" ref="V1104">IFERROR(INDEX('Raw Period DMR Data'!N:N,MATCH(1,(B1104='Raw Period DMR Data'!$A:$A)*(U1104='Raw Period DMR Data'!M:M)*(X1104='Raw Period DMR Data'!C:C),0),1), "N/A")</f>
        <v>N/A</v>
      </c>
      <c r="W1104" s="28" t="s">
        <v>1463</v>
      </c>
      <c r="X1104" s="28" t="s">
        <v>2190</v>
      </c>
      <c r="Y1104" s="28" t="s">
        <v>2191</v>
      </c>
      <c r="Z1104" s="28">
        <v>2040104000718</v>
      </c>
      <c r="AA1104" s="28"/>
      <c r="AB1104" s="28" t="s">
        <v>1465</v>
      </c>
      <c r="AC1104" s="28" t="s">
        <v>1466</v>
      </c>
    </row>
    <row r="1105" spans="1:29" x14ac:dyDescent="0.25">
      <c r="A1105" s="61">
        <v>110013848453</v>
      </c>
      <c r="B1105" s="28">
        <v>2015</v>
      </c>
      <c r="C1105" s="68">
        <f t="shared" si="17"/>
        <v>42005</v>
      </c>
      <c r="D1105" s="28" t="s">
        <v>1334</v>
      </c>
      <c r="E1105" s="28" t="s">
        <v>2193</v>
      </c>
      <c r="F1105" s="28" t="s">
        <v>1335</v>
      </c>
      <c r="G1105" s="28" t="s">
        <v>366</v>
      </c>
      <c r="H1105" s="28" t="s">
        <v>2194</v>
      </c>
      <c r="I1105" s="28">
        <v>36.963245999999998</v>
      </c>
      <c r="J1105" s="28">
        <v>-122.034009</v>
      </c>
      <c r="L1105" s="61">
        <v>110013848453</v>
      </c>
      <c r="M1105" s="28" t="s">
        <v>263</v>
      </c>
      <c r="N1105" s="28">
        <v>4952</v>
      </c>
      <c r="O1105" s="28" t="str">
        <f>IFERROR(VLOOKUP(N1105, 'SIC &amp; NAICS Codes'!A:B, 2, FALSE), "")</f>
        <v>Sewerage Systems</v>
      </c>
      <c r="S1105" s="28">
        <v>2.3917698875000002</v>
      </c>
      <c r="T1105" s="315">
        <f>_xlfn.MAXIFS('Raw Period DMR Data'!$O:$O,'Raw Period DMR Data'!$A:$A,'Raw Annual DMR Data'!B1105,'Raw Period DMR Data'!$C:$C,X1105)/S1105</f>
        <v>0</v>
      </c>
      <c r="U1105" s="28" t="str">
        <f>+IF(COUNTIFS('Raw Period DMR Data'!$A:$A,B1105, 'Raw Period DMR Data'!C:C,'Raw Annual DMR Data'!X1105, 'Raw Period DMR Data'!M:M, "&gt;0")&gt;0,_xlfn.MAXIFS('Raw Period DMR Data'!M:M,'Raw Period DMR Data'!$A:$A,'Raw Annual DMR Data'!B1105,'Raw Period DMR Data'!C:C,'Raw Annual DMR Data'!X1105), "N/A - Period DMR Data Not Available")</f>
        <v>N/A - Period DMR Data Not Available</v>
      </c>
      <c r="V1105" s="28" t="str" cm="1">
        <f t="array" ref="V1105">IFERROR(INDEX('Raw Period DMR Data'!N:N,MATCH(1,(B1105='Raw Period DMR Data'!$A:$A)*(U1105='Raw Period DMR Data'!M:M)*(X1105='Raw Period DMR Data'!C:C),0),1), "N/A")</f>
        <v>N/A</v>
      </c>
      <c r="W1105" s="28" t="s">
        <v>1463</v>
      </c>
      <c r="X1105" s="28" t="s">
        <v>2195</v>
      </c>
      <c r="Y1105" s="28" t="s">
        <v>2196</v>
      </c>
      <c r="Z1105" s="28">
        <v>18060015000054</v>
      </c>
      <c r="AA1105" s="28"/>
      <c r="AB1105" s="28" t="s">
        <v>1465</v>
      </c>
      <c r="AC1105" s="28" t="s">
        <v>263</v>
      </c>
    </row>
    <row r="1106" spans="1:29" x14ac:dyDescent="0.25">
      <c r="A1106" s="61">
        <v>110013848453</v>
      </c>
      <c r="B1106" s="28">
        <v>2016</v>
      </c>
      <c r="C1106" s="68">
        <f t="shared" si="17"/>
        <v>42370</v>
      </c>
      <c r="D1106" s="28" t="s">
        <v>1334</v>
      </c>
      <c r="E1106" s="28" t="s">
        <v>2193</v>
      </c>
      <c r="F1106" s="28" t="s">
        <v>1335</v>
      </c>
      <c r="G1106" s="28" t="s">
        <v>366</v>
      </c>
      <c r="H1106" s="28" t="s">
        <v>2194</v>
      </c>
      <c r="I1106" s="28">
        <v>36.963245999999998</v>
      </c>
      <c r="J1106" s="28">
        <v>-122.034009</v>
      </c>
      <c r="L1106" s="61">
        <v>110013848453</v>
      </c>
      <c r="M1106" s="28" t="s">
        <v>263</v>
      </c>
      <c r="N1106" s="28">
        <v>4952</v>
      </c>
      <c r="O1106" s="28" t="str">
        <f>IFERROR(VLOOKUP(N1106, 'SIC &amp; NAICS Codes'!A:B, 2, FALSE), "")</f>
        <v>Sewerage Systems</v>
      </c>
      <c r="S1106" s="28">
        <v>1.623113223</v>
      </c>
      <c r="T1106" s="315">
        <f>_xlfn.MAXIFS('Raw Period DMR Data'!$O:$O,'Raw Period DMR Data'!$A:$A,'Raw Annual DMR Data'!B1106,'Raw Period DMR Data'!$C:$C,X1106)/S1106</f>
        <v>0</v>
      </c>
      <c r="U1106" s="28" t="str">
        <f>+IF(COUNTIFS('Raw Period DMR Data'!$A:$A,B1106, 'Raw Period DMR Data'!C:C,'Raw Annual DMR Data'!X1106, 'Raw Period DMR Data'!M:M, "&gt;0")&gt;0,_xlfn.MAXIFS('Raw Period DMR Data'!M:M,'Raw Period DMR Data'!$A:$A,'Raw Annual DMR Data'!B1106,'Raw Period DMR Data'!C:C,'Raw Annual DMR Data'!X1106), "N/A - Period DMR Data Not Available")</f>
        <v>N/A - Period DMR Data Not Available</v>
      </c>
      <c r="V1106" s="28" t="str" cm="1">
        <f t="array" ref="V1106">IFERROR(INDEX('Raw Period DMR Data'!N:N,MATCH(1,(B1106='Raw Period DMR Data'!$A:$A)*(U1106='Raw Period DMR Data'!M:M)*(X1106='Raw Period DMR Data'!C:C),0),1), "N/A")</f>
        <v>N/A</v>
      </c>
      <c r="W1106" s="28" t="s">
        <v>1463</v>
      </c>
      <c r="X1106" s="28" t="s">
        <v>2195</v>
      </c>
      <c r="Y1106" s="28" t="s">
        <v>2196</v>
      </c>
      <c r="Z1106" s="28">
        <v>18060015000054</v>
      </c>
      <c r="AA1106" s="28"/>
      <c r="AB1106" s="28" t="s">
        <v>1465</v>
      </c>
      <c r="AC1106" s="28" t="s">
        <v>263</v>
      </c>
    </row>
    <row r="1107" spans="1:29" x14ac:dyDescent="0.25">
      <c r="A1107" s="61">
        <v>110013848453</v>
      </c>
      <c r="B1107" s="28">
        <v>2017</v>
      </c>
      <c r="C1107" s="68">
        <f t="shared" si="17"/>
        <v>42736</v>
      </c>
      <c r="D1107" s="28" t="s">
        <v>1334</v>
      </c>
      <c r="E1107" s="28" t="s">
        <v>2193</v>
      </c>
      <c r="F1107" s="28" t="s">
        <v>1335</v>
      </c>
      <c r="G1107" s="28" t="s">
        <v>366</v>
      </c>
      <c r="H1107" s="28" t="s">
        <v>2194</v>
      </c>
      <c r="I1107" s="28">
        <v>36.963245999999998</v>
      </c>
      <c r="J1107" s="28">
        <v>-122.034009</v>
      </c>
      <c r="L1107" s="61">
        <v>110013848453</v>
      </c>
      <c r="M1107" s="28" t="s">
        <v>263</v>
      </c>
      <c r="N1107" s="28">
        <v>4952</v>
      </c>
      <c r="O1107" s="28" t="str">
        <f>IFERROR(VLOOKUP(N1107, 'SIC &amp; NAICS Codes'!A:B, 2, FALSE), "")</f>
        <v>Sewerage Systems</v>
      </c>
      <c r="S1107" s="28">
        <v>2.7449577000000001</v>
      </c>
      <c r="T1107" s="315">
        <f>_xlfn.MAXIFS('Raw Period DMR Data'!$O:$O,'Raw Period DMR Data'!$A:$A,'Raw Annual DMR Data'!B1107,'Raw Period DMR Data'!$C:$C,X1107)/S1107</f>
        <v>0</v>
      </c>
      <c r="U1107" s="28" t="str">
        <f>+IF(COUNTIFS('Raw Period DMR Data'!$A:$A,B1107, 'Raw Period DMR Data'!C:C,'Raw Annual DMR Data'!X1107, 'Raw Period DMR Data'!M:M, "&gt;0")&gt;0,_xlfn.MAXIFS('Raw Period DMR Data'!M:M,'Raw Period DMR Data'!$A:$A,'Raw Annual DMR Data'!B1107,'Raw Period DMR Data'!C:C,'Raw Annual DMR Data'!X1107), "N/A - Period DMR Data Not Available")</f>
        <v>N/A - Period DMR Data Not Available</v>
      </c>
      <c r="V1107" s="28" t="str" cm="1">
        <f t="array" ref="V1107">IFERROR(INDEX('Raw Period DMR Data'!N:N,MATCH(1,(B1107='Raw Period DMR Data'!$A:$A)*(U1107='Raw Period DMR Data'!M:M)*(X1107='Raw Period DMR Data'!C:C),0),1), "N/A")</f>
        <v>N/A</v>
      </c>
      <c r="W1107" s="28" t="s">
        <v>1463</v>
      </c>
      <c r="X1107" s="28" t="s">
        <v>2195</v>
      </c>
      <c r="Y1107" s="28" t="s">
        <v>2196</v>
      </c>
      <c r="Z1107" s="28">
        <v>18060015000054</v>
      </c>
      <c r="AA1107" s="28"/>
      <c r="AB1107" s="28" t="s">
        <v>1465</v>
      </c>
      <c r="AC1107" s="28" t="s">
        <v>263</v>
      </c>
    </row>
    <row r="1108" spans="1:29" x14ac:dyDescent="0.25">
      <c r="A1108" s="61">
        <v>110013848453</v>
      </c>
      <c r="B1108" s="28">
        <v>2018</v>
      </c>
      <c r="C1108" s="68">
        <f t="shared" si="17"/>
        <v>43101</v>
      </c>
      <c r="D1108" s="28" t="s">
        <v>1334</v>
      </c>
      <c r="E1108" s="28" t="s">
        <v>2193</v>
      </c>
      <c r="F1108" s="28" t="s">
        <v>1335</v>
      </c>
      <c r="G1108" s="28" t="s">
        <v>366</v>
      </c>
      <c r="H1108" s="28" t="s">
        <v>2194</v>
      </c>
      <c r="I1108" s="28">
        <v>36.963245999999998</v>
      </c>
      <c r="J1108" s="28">
        <v>-122.034009</v>
      </c>
      <c r="L1108" s="61">
        <v>110013848453</v>
      </c>
      <c r="M1108" s="28" t="s">
        <v>263</v>
      </c>
      <c r="N1108" s="28">
        <v>4952</v>
      </c>
      <c r="O1108" s="28" t="str">
        <f>IFERROR(VLOOKUP(N1108, 'SIC &amp; NAICS Codes'!A:B, 2, FALSE), "")</f>
        <v>Sewerage Systems</v>
      </c>
      <c r="S1108" s="28">
        <v>2.4487435999999998</v>
      </c>
      <c r="T1108" s="315">
        <f>_xlfn.MAXIFS('Raw Period DMR Data'!$O:$O,'Raw Period DMR Data'!$A:$A,'Raw Annual DMR Data'!B1108,'Raw Period DMR Data'!$C:$C,X1108)/S1108</f>
        <v>0</v>
      </c>
      <c r="U1108" s="28" t="str">
        <f>+IF(COUNTIFS('Raw Period DMR Data'!$A:$A,B1108, 'Raw Period DMR Data'!C:C,'Raw Annual DMR Data'!X1108, 'Raw Period DMR Data'!M:M, "&gt;0")&gt;0,_xlfn.MAXIFS('Raw Period DMR Data'!M:M,'Raw Period DMR Data'!$A:$A,'Raw Annual DMR Data'!B1108,'Raw Period DMR Data'!C:C,'Raw Annual DMR Data'!X1108), "N/A - Period DMR Data Not Available")</f>
        <v>N/A - Period DMR Data Not Available</v>
      </c>
      <c r="V1108" s="28" t="str" cm="1">
        <f t="array" ref="V1108">IFERROR(INDEX('Raw Period DMR Data'!N:N,MATCH(1,(B1108='Raw Period DMR Data'!$A:$A)*(U1108='Raw Period DMR Data'!M:M)*(X1108='Raw Period DMR Data'!C:C),0),1), "N/A")</f>
        <v>N/A</v>
      </c>
      <c r="W1108" s="28" t="s">
        <v>1463</v>
      </c>
      <c r="X1108" s="28" t="s">
        <v>2195</v>
      </c>
      <c r="Y1108" s="28" t="s">
        <v>2196</v>
      </c>
      <c r="Z1108" s="28">
        <v>18060015000054</v>
      </c>
      <c r="AA1108" s="28"/>
      <c r="AB1108" s="28" t="s">
        <v>1465</v>
      </c>
      <c r="AC1108" s="28" t="s">
        <v>263</v>
      </c>
    </row>
    <row r="1109" spans="1:29" x14ac:dyDescent="0.25">
      <c r="A1109" s="61">
        <v>110013848453</v>
      </c>
      <c r="B1109" s="28">
        <v>2019</v>
      </c>
      <c r="C1109" s="68">
        <f t="shared" si="17"/>
        <v>43466</v>
      </c>
      <c r="D1109" s="28" t="s">
        <v>1334</v>
      </c>
      <c r="E1109" s="28" t="s">
        <v>2193</v>
      </c>
      <c r="F1109" s="28" t="s">
        <v>1335</v>
      </c>
      <c r="G1109" s="28" t="s">
        <v>366</v>
      </c>
      <c r="H1109" s="28" t="s">
        <v>2194</v>
      </c>
      <c r="I1109" s="28">
        <v>36.963245999999998</v>
      </c>
      <c r="J1109" s="28">
        <v>-122.034009</v>
      </c>
      <c r="L1109" s="61">
        <v>110013848453</v>
      </c>
      <c r="M1109" s="28" t="s">
        <v>263</v>
      </c>
      <c r="N1109" s="28">
        <v>4952</v>
      </c>
      <c r="O1109" s="28" t="str">
        <f>IFERROR(VLOOKUP(N1109, 'SIC &amp; NAICS Codes'!A:B, 2, FALSE), "")</f>
        <v>Sewerage Systems</v>
      </c>
      <c r="S1109" s="28">
        <v>1.6136022750000001</v>
      </c>
      <c r="T1109" s="315">
        <f>_xlfn.MAXIFS('Raw Period DMR Data'!$O:$O,'Raw Period DMR Data'!$A:$A,'Raw Annual DMR Data'!B1109,'Raw Period DMR Data'!$C:$C,X1109)/S1109</f>
        <v>0</v>
      </c>
      <c r="U1109" s="28" t="str">
        <f>+IF(COUNTIFS('Raw Period DMR Data'!$A:$A,B1109, 'Raw Period DMR Data'!C:C,'Raw Annual DMR Data'!X1109, 'Raw Period DMR Data'!M:M, "&gt;0")&gt;0,_xlfn.MAXIFS('Raw Period DMR Data'!M:M,'Raw Period DMR Data'!$A:$A,'Raw Annual DMR Data'!B1109,'Raw Period DMR Data'!C:C,'Raw Annual DMR Data'!X1109), "N/A - Period DMR Data Not Available")</f>
        <v>N/A - Period DMR Data Not Available</v>
      </c>
      <c r="V1109" s="28" t="str" cm="1">
        <f t="array" ref="V1109">IFERROR(INDEX('Raw Period DMR Data'!N:N,MATCH(1,(B1109='Raw Period DMR Data'!$A:$A)*(U1109='Raw Period DMR Data'!M:M)*(X1109='Raw Period DMR Data'!C:C),0),1), "N/A")</f>
        <v>N/A</v>
      </c>
      <c r="W1109" s="28" t="s">
        <v>1463</v>
      </c>
      <c r="X1109" s="28" t="s">
        <v>2195</v>
      </c>
      <c r="Y1109" s="28" t="s">
        <v>2196</v>
      </c>
      <c r="Z1109" s="28">
        <v>18060015000054</v>
      </c>
      <c r="AA1109" s="28"/>
      <c r="AB1109" s="28" t="s">
        <v>1465</v>
      </c>
      <c r="AC1109" s="28" t="s">
        <v>263</v>
      </c>
    </row>
    <row r="1110" spans="1:29" x14ac:dyDescent="0.25">
      <c r="A1110" s="61">
        <v>110013848453</v>
      </c>
      <c r="B1110" s="28">
        <v>2020</v>
      </c>
      <c r="C1110" s="68">
        <f t="shared" si="17"/>
        <v>43831</v>
      </c>
      <c r="D1110" s="28" t="s">
        <v>1334</v>
      </c>
      <c r="E1110" s="28" t="s">
        <v>2193</v>
      </c>
      <c r="F1110" s="28" t="s">
        <v>1335</v>
      </c>
      <c r="G1110" s="28" t="s">
        <v>366</v>
      </c>
      <c r="H1110" s="28" t="s">
        <v>2194</v>
      </c>
      <c r="I1110" s="28">
        <v>36.963245999999998</v>
      </c>
      <c r="J1110" s="28">
        <v>-122.034009</v>
      </c>
      <c r="L1110" s="61">
        <v>110013848453</v>
      </c>
      <c r="M1110" s="28" t="s">
        <v>263</v>
      </c>
      <c r="N1110" s="28">
        <v>4952</v>
      </c>
      <c r="O1110" s="28" t="str">
        <f>IFERROR(VLOOKUP(N1110, 'SIC &amp; NAICS Codes'!A:B, 2, FALSE), "")</f>
        <v>Sewerage Systems</v>
      </c>
      <c r="S1110" s="28">
        <v>8.1874920914999996E-2</v>
      </c>
      <c r="T1110" s="315">
        <f>_xlfn.MAXIFS('Raw Period DMR Data'!$O:$O,'Raw Period DMR Data'!$A:$A,'Raw Annual DMR Data'!B1110,'Raw Period DMR Data'!$C:$C,X1110)/S1110</f>
        <v>0</v>
      </c>
      <c r="U1110" s="28" t="str">
        <f>+IF(COUNTIFS('Raw Period DMR Data'!$A:$A,B1110, 'Raw Period DMR Data'!C:C,'Raw Annual DMR Data'!X1110, 'Raw Period DMR Data'!M:M, "&gt;0")&gt;0,_xlfn.MAXIFS('Raw Period DMR Data'!M:M,'Raw Period DMR Data'!$A:$A,'Raw Annual DMR Data'!B1110,'Raw Period DMR Data'!C:C,'Raw Annual DMR Data'!X1110), "N/A - Period DMR Data Not Available")</f>
        <v>N/A - Period DMR Data Not Available</v>
      </c>
      <c r="V1110" s="28" t="str" cm="1">
        <f t="array" ref="V1110">IFERROR(INDEX('Raw Period DMR Data'!N:N,MATCH(1,(B1110='Raw Period DMR Data'!$A:$A)*(U1110='Raw Period DMR Data'!M:M)*(X1110='Raw Period DMR Data'!C:C),0),1), "N/A")</f>
        <v>N/A</v>
      </c>
      <c r="W1110" s="28" t="s">
        <v>1463</v>
      </c>
      <c r="X1110" s="28" t="s">
        <v>2195</v>
      </c>
      <c r="Y1110" s="28" t="s">
        <v>2196</v>
      </c>
      <c r="Z1110" s="28">
        <v>18060015000054</v>
      </c>
      <c r="AA1110" s="28"/>
      <c r="AB1110" s="28" t="s">
        <v>1465</v>
      </c>
      <c r="AC1110" s="28" t="s">
        <v>263</v>
      </c>
    </row>
    <row r="1111" spans="1:29" x14ac:dyDescent="0.25">
      <c r="A1111" s="61">
        <v>110000730460</v>
      </c>
      <c r="B1111" s="28">
        <v>2016</v>
      </c>
      <c r="C1111" s="68">
        <f t="shared" si="17"/>
        <v>42370</v>
      </c>
      <c r="D1111" s="28" t="s">
        <v>1336</v>
      </c>
      <c r="E1111" s="28" t="s">
        <v>2197</v>
      </c>
      <c r="F1111" s="28" t="s">
        <v>1337</v>
      </c>
      <c r="G1111" s="28" t="s">
        <v>366</v>
      </c>
      <c r="H1111" s="28" t="s">
        <v>2198</v>
      </c>
      <c r="I1111" s="28">
        <v>38.368760000000002</v>
      </c>
      <c r="J1111" s="28">
        <v>-122.76860000000001</v>
      </c>
      <c r="L1111" s="61">
        <v>110000730460</v>
      </c>
      <c r="M1111" s="28" t="s">
        <v>263</v>
      </c>
      <c r="N1111" s="28">
        <v>4952</v>
      </c>
      <c r="O1111" s="28" t="str">
        <f>IFERROR(VLOOKUP(N1111, 'SIC &amp; NAICS Codes'!A:B, 2, FALSE), "")</f>
        <v>Sewerage Systems</v>
      </c>
      <c r="S1111" s="28">
        <v>0.41729624999999998</v>
      </c>
      <c r="T1111" s="315">
        <f>_xlfn.MAXIFS('Raw Period DMR Data'!$O:$O,'Raw Period DMR Data'!$A:$A,'Raw Annual DMR Data'!B1111,'Raw Period DMR Data'!$C:$C,X1111)/S1111</f>
        <v>0</v>
      </c>
      <c r="U1111" s="28" t="str">
        <f>+IF(COUNTIFS('Raw Period DMR Data'!$A:$A,B1111, 'Raw Period DMR Data'!C:C,'Raw Annual DMR Data'!X1111, 'Raw Period DMR Data'!M:M, "&gt;0")&gt;0,_xlfn.MAXIFS('Raw Period DMR Data'!M:M,'Raw Period DMR Data'!$A:$A,'Raw Annual DMR Data'!B1111,'Raw Period DMR Data'!C:C,'Raw Annual DMR Data'!X1111), "N/A - Period DMR Data Not Available")</f>
        <v>N/A - Period DMR Data Not Available</v>
      </c>
      <c r="V1111" s="28" t="str" cm="1">
        <f t="array" ref="V1111">IFERROR(INDEX('Raw Period DMR Data'!N:N,MATCH(1,(B1111='Raw Period DMR Data'!$A:$A)*(U1111='Raw Period DMR Data'!M:M)*(X1111='Raw Period DMR Data'!C:C),0),1), "N/A")</f>
        <v>N/A</v>
      </c>
      <c r="W1111" s="28" t="s">
        <v>1463</v>
      </c>
      <c r="X1111" s="28" t="s">
        <v>2199</v>
      </c>
      <c r="Y1111" s="28" t="s">
        <v>2200</v>
      </c>
      <c r="Z1111" s="28">
        <v>18010110000032</v>
      </c>
      <c r="AA1111" s="28"/>
      <c r="AB1111" s="28" t="s">
        <v>1465</v>
      </c>
      <c r="AC1111" s="28" t="s">
        <v>263</v>
      </c>
    </row>
    <row r="1112" spans="1:29" x14ac:dyDescent="0.25">
      <c r="A1112" s="61">
        <v>110000730460</v>
      </c>
      <c r="B1112" s="28">
        <v>2017</v>
      </c>
      <c r="C1112" s="68">
        <f t="shared" si="17"/>
        <v>42736</v>
      </c>
      <c r="D1112" s="28" t="s">
        <v>1336</v>
      </c>
      <c r="E1112" s="28" t="s">
        <v>2197</v>
      </c>
      <c r="F1112" s="28" t="s">
        <v>1337</v>
      </c>
      <c r="G1112" s="28" t="s">
        <v>366</v>
      </c>
      <c r="H1112" s="28" t="s">
        <v>2198</v>
      </c>
      <c r="I1112" s="28">
        <v>38.368760000000002</v>
      </c>
      <c r="J1112" s="28">
        <v>-122.76860000000001</v>
      </c>
      <c r="L1112" s="61">
        <v>110000730460</v>
      </c>
      <c r="M1112" s="28" t="s">
        <v>263</v>
      </c>
      <c r="N1112" s="28">
        <v>4952</v>
      </c>
      <c r="O1112" s="28" t="str">
        <f>IFERROR(VLOOKUP(N1112, 'SIC &amp; NAICS Codes'!A:B, 2, FALSE), "")</f>
        <v>Sewerage Systems</v>
      </c>
      <c r="S1112" s="28">
        <v>1.93318875</v>
      </c>
      <c r="T1112" s="315">
        <f>_xlfn.MAXIFS('Raw Period DMR Data'!$O:$O,'Raw Period DMR Data'!$A:$A,'Raw Annual DMR Data'!B1112,'Raw Period DMR Data'!$C:$C,X1112)/S1112</f>
        <v>0</v>
      </c>
      <c r="U1112" s="28" t="str">
        <f>+IF(COUNTIFS('Raw Period DMR Data'!$A:$A,B1112, 'Raw Period DMR Data'!C:C,'Raw Annual DMR Data'!X1112, 'Raw Period DMR Data'!M:M, "&gt;0")&gt;0,_xlfn.MAXIFS('Raw Period DMR Data'!M:M,'Raw Period DMR Data'!$A:$A,'Raw Annual DMR Data'!B1112,'Raw Period DMR Data'!C:C,'Raw Annual DMR Data'!X1112), "N/A - Period DMR Data Not Available")</f>
        <v>N/A - Period DMR Data Not Available</v>
      </c>
      <c r="V1112" s="28" t="str" cm="1">
        <f t="array" ref="V1112">IFERROR(INDEX('Raw Period DMR Data'!N:N,MATCH(1,(B1112='Raw Period DMR Data'!$A:$A)*(U1112='Raw Period DMR Data'!M:M)*(X1112='Raw Period DMR Data'!C:C),0),1), "N/A")</f>
        <v>N/A</v>
      </c>
      <c r="W1112" s="28" t="s">
        <v>1463</v>
      </c>
      <c r="X1112" s="28" t="s">
        <v>2199</v>
      </c>
      <c r="Y1112" s="28" t="s">
        <v>2200</v>
      </c>
      <c r="Z1112" s="28">
        <v>18010110000032</v>
      </c>
      <c r="AA1112" s="28"/>
      <c r="AB1112" s="28" t="s">
        <v>1465</v>
      </c>
      <c r="AC1112" s="28" t="s">
        <v>263</v>
      </c>
    </row>
    <row r="1113" spans="1:29" x14ac:dyDescent="0.25">
      <c r="A1113" s="61">
        <v>110000730460</v>
      </c>
      <c r="B1113" s="28">
        <v>2019</v>
      </c>
      <c r="C1113" s="68">
        <f t="shared" si="17"/>
        <v>43466</v>
      </c>
      <c r="D1113" s="28" t="s">
        <v>1336</v>
      </c>
      <c r="E1113" s="28" t="s">
        <v>2197</v>
      </c>
      <c r="F1113" s="28" t="s">
        <v>1337</v>
      </c>
      <c r="G1113" s="28" t="s">
        <v>366</v>
      </c>
      <c r="H1113" s="28" t="s">
        <v>2198</v>
      </c>
      <c r="I1113" s="28">
        <v>38.368760000000002</v>
      </c>
      <c r="J1113" s="28">
        <v>-122.76860000000001</v>
      </c>
      <c r="L1113" s="61">
        <v>110000730460</v>
      </c>
      <c r="M1113" s="28" t="s">
        <v>263</v>
      </c>
      <c r="N1113" s="28">
        <v>4952</v>
      </c>
      <c r="O1113" s="28" t="str">
        <f>IFERROR(VLOOKUP(N1113, 'SIC &amp; NAICS Codes'!A:B, 2, FALSE), "")</f>
        <v>Sewerage Systems</v>
      </c>
      <c r="S1113" s="28">
        <v>2.2312574999999999</v>
      </c>
      <c r="T1113" s="315">
        <f>_xlfn.MAXIFS('Raw Period DMR Data'!$O:$O,'Raw Period DMR Data'!$A:$A,'Raw Annual DMR Data'!B1113,'Raw Period DMR Data'!$C:$C,X1113)/S1113</f>
        <v>0</v>
      </c>
      <c r="U1113" s="28" t="str">
        <f>+IF(COUNTIFS('Raw Period DMR Data'!$A:$A,B1113, 'Raw Period DMR Data'!C:C,'Raw Annual DMR Data'!X1113, 'Raw Period DMR Data'!M:M, "&gt;0")&gt;0,_xlfn.MAXIFS('Raw Period DMR Data'!M:M,'Raw Period DMR Data'!$A:$A,'Raw Annual DMR Data'!B1113,'Raw Period DMR Data'!C:C,'Raw Annual DMR Data'!X1113), "N/A - Period DMR Data Not Available")</f>
        <v>N/A - Period DMR Data Not Available</v>
      </c>
      <c r="V1113" s="28" t="str" cm="1">
        <f t="array" ref="V1113">IFERROR(INDEX('Raw Period DMR Data'!N:N,MATCH(1,(B1113='Raw Period DMR Data'!$A:$A)*(U1113='Raw Period DMR Data'!M:M)*(X1113='Raw Period DMR Data'!C:C),0),1), "N/A")</f>
        <v>N/A</v>
      </c>
      <c r="W1113" s="28" t="s">
        <v>1463</v>
      </c>
      <c r="X1113" s="28" t="s">
        <v>2199</v>
      </c>
      <c r="Y1113" s="28" t="s">
        <v>2200</v>
      </c>
      <c r="Z1113" s="28">
        <v>18010110000032</v>
      </c>
      <c r="AA1113" s="28"/>
      <c r="AB1113" s="28" t="s">
        <v>1465</v>
      </c>
      <c r="AC1113" s="28" t="s">
        <v>263</v>
      </c>
    </row>
    <row r="1114" spans="1:29" x14ac:dyDescent="0.25">
      <c r="A1114" s="61">
        <v>110000730460</v>
      </c>
      <c r="B1114" s="28">
        <v>2019</v>
      </c>
      <c r="C1114" s="68">
        <f t="shared" si="17"/>
        <v>43466</v>
      </c>
      <c r="D1114" s="28" t="s">
        <v>1336</v>
      </c>
      <c r="E1114" s="28" t="s">
        <v>2197</v>
      </c>
      <c r="F1114" s="28" t="s">
        <v>1337</v>
      </c>
      <c r="G1114" s="28" t="s">
        <v>366</v>
      </c>
      <c r="H1114" s="28" t="s">
        <v>2198</v>
      </c>
      <c r="I1114" s="28">
        <v>38.368760000000002</v>
      </c>
      <c r="J1114" s="28">
        <v>-122.76860000000001</v>
      </c>
      <c r="L1114" s="61">
        <v>110000730460</v>
      </c>
      <c r="M1114" s="28" t="s">
        <v>263</v>
      </c>
      <c r="N1114" s="28">
        <v>4952</v>
      </c>
      <c r="O1114" s="28" t="str">
        <f>IFERROR(VLOOKUP(N1114, 'SIC &amp; NAICS Codes'!A:B, 2, FALSE), "")</f>
        <v>Sewerage Systems</v>
      </c>
      <c r="S1114" s="28">
        <v>2.51229375</v>
      </c>
      <c r="T1114" s="315">
        <f>_xlfn.MAXIFS('Raw Period DMR Data'!$O:$O,'Raw Period DMR Data'!$A:$A,'Raw Annual DMR Data'!B1114,'Raw Period DMR Data'!$C:$C,X1114)/S1114</f>
        <v>0</v>
      </c>
      <c r="U1114" s="28" t="str">
        <f>+IF(COUNTIFS('Raw Period DMR Data'!$A:$A,B1114, 'Raw Period DMR Data'!C:C,'Raw Annual DMR Data'!X1114, 'Raw Period DMR Data'!M:M, "&gt;0")&gt;0,_xlfn.MAXIFS('Raw Period DMR Data'!M:M,'Raw Period DMR Data'!$A:$A,'Raw Annual DMR Data'!B1114,'Raw Period DMR Data'!C:C,'Raw Annual DMR Data'!X1114), "N/A - Period DMR Data Not Available")</f>
        <v>N/A - Period DMR Data Not Available</v>
      </c>
      <c r="V1114" s="28" t="str" cm="1">
        <f t="array" ref="V1114">IFERROR(INDEX('Raw Period DMR Data'!N:N,MATCH(1,(B1114='Raw Period DMR Data'!$A:$A)*(U1114='Raw Period DMR Data'!M:M)*(X1114='Raw Period DMR Data'!C:C),0),1), "N/A")</f>
        <v>N/A</v>
      </c>
      <c r="W1114" s="28" t="s">
        <v>1463</v>
      </c>
      <c r="X1114" s="28" t="s">
        <v>2199</v>
      </c>
      <c r="Y1114" s="28" t="s">
        <v>2200</v>
      </c>
      <c r="Z1114" s="28">
        <v>18010110000032</v>
      </c>
      <c r="AA1114" s="28"/>
      <c r="AB1114" s="28" t="s">
        <v>1465</v>
      </c>
      <c r="AC1114" s="28" t="s">
        <v>263</v>
      </c>
    </row>
    <row r="1115" spans="1:29" x14ac:dyDescent="0.25">
      <c r="A1115" s="61">
        <v>110000730460</v>
      </c>
      <c r="B1115" s="28">
        <v>2019</v>
      </c>
      <c r="C1115" s="68">
        <f t="shared" si="17"/>
        <v>43466</v>
      </c>
      <c r="D1115" s="28" t="s">
        <v>1336</v>
      </c>
      <c r="E1115" s="28" t="s">
        <v>2197</v>
      </c>
      <c r="F1115" s="28" t="s">
        <v>1337</v>
      </c>
      <c r="G1115" s="28" t="s">
        <v>366</v>
      </c>
      <c r="H1115" s="28" t="s">
        <v>2198</v>
      </c>
      <c r="I1115" s="28">
        <v>38.368760000000002</v>
      </c>
      <c r="J1115" s="28">
        <v>-122.76860000000001</v>
      </c>
      <c r="L1115" s="61">
        <v>110000730460</v>
      </c>
      <c r="M1115" s="28" t="s">
        <v>263</v>
      </c>
      <c r="N1115" s="28">
        <v>4952</v>
      </c>
      <c r="O1115" s="28" t="str">
        <f>IFERROR(VLOOKUP(N1115, 'SIC &amp; NAICS Codes'!A:B, 2, FALSE), "")</f>
        <v>Sewerage Systems</v>
      </c>
      <c r="S1115" s="28">
        <v>3.9515400000000001</v>
      </c>
      <c r="T1115" s="315">
        <f>_xlfn.MAXIFS('Raw Period DMR Data'!$O:$O,'Raw Period DMR Data'!$A:$A,'Raw Annual DMR Data'!B1115,'Raw Period DMR Data'!$C:$C,X1115)/S1115</f>
        <v>0</v>
      </c>
      <c r="U1115" s="28" t="str">
        <f>+IF(COUNTIFS('Raw Period DMR Data'!$A:$A,B1115, 'Raw Period DMR Data'!C:C,'Raw Annual DMR Data'!X1115, 'Raw Period DMR Data'!M:M, "&gt;0")&gt;0,_xlfn.MAXIFS('Raw Period DMR Data'!M:M,'Raw Period DMR Data'!$A:$A,'Raw Annual DMR Data'!B1115,'Raw Period DMR Data'!C:C,'Raw Annual DMR Data'!X1115), "N/A - Period DMR Data Not Available")</f>
        <v>N/A - Period DMR Data Not Available</v>
      </c>
      <c r="V1115" s="28" t="str" cm="1">
        <f t="array" ref="V1115">IFERROR(INDEX('Raw Period DMR Data'!N:N,MATCH(1,(B1115='Raw Period DMR Data'!$A:$A)*(U1115='Raw Period DMR Data'!M:M)*(X1115='Raw Period DMR Data'!C:C),0),1), "N/A")</f>
        <v>N/A</v>
      </c>
      <c r="W1115" s="28" t="s">
        <v>1463</v>
      </c>
      <c r="X1115" s="28" t="s">
        <v>2199</v>
      </c>
      <c r="Y1115" s="28" t="s">
        <v>2200</v>
      </c>
      <c r="Z1115" s="28">
        <v>18010110000032</v>
      </c>
      <c r="AA1115" s="28"/>
      <c r="AB1115" s="28" t="s">
        <v>1465</v>
      </c>
      <c r="AC1115" s="28" t="s">
        <v>263</v>
      </c>
    </row>
    <row r="1116" spans="1:29" x14ac:dyDescent="0.25">
      <c r="A1116" s="61">
        <v>110000730460</v>
      </c>
      <c r="B1116" s="28">
        <v>2019</v>
      </c>
      <c r="C1116" s="68">
        <f t="shared" si="17"/>
        <v>43466</v>
      </c>
      <c r="D1116" s="28" t="s">
        <v>1336</v>
      </c>
      <c r="E1116" s="28" t="s">
        <v>2197</v>
      </c>
      <c r="F1116" s="28" t="s">
        <v>1337</v>
      </c>
      <c r="G1116" s="28" t="s">
        <v>366</v>
      </c>
      <c r="H1116" s="28" t="s">
        <v>2198</v>
      </c>
      <c r="I1116" s="28">
        <v>38.368760000000002</v>
      </c>
      <c r="J1116" s="28">
        <v>-122.76860000000001</v>
      </c>
      <c r="L1116" s="61">
        <v>110000730460</v>
      </c>
      <c r="M1116" s="28" t="s">
        <v>263</v>
      </c>
      <c r="N1116" s="28">
        <v>4952</v>
      </c>
      <c r="O1116" s="28" t="str">
        <f>IFERROR(VLOOKUP(N1116, 'SIC &amp; NAICS Codes'!A:B, 2, FALSE), "")</f>
        <v>Sewerage Systems</v>
      </c>
      <c r="S1116" s="28">
        <v>2.51229375</v>
      </c>
      <c r="T1116" s="315">
        <f>_xlfn.MAXIFS('Raw Period DMR Data'!$O:$O,'Raw Period DMR Data'!$A:$A,'Raw Annual DMR Data'!B1116,'Raw Period DMR Data'!$C:$C,X1116)/S1116</f>
        <v>0</v>
      </c>
      <c r="U1116" s="28" t="str">
        <f>+IF(COUNTIFS('Raw Period DMR Data'!$A:$A,B1116, 'Raw Period DMR Data'!C:C,'Raw Annual DMR Data'!X1116, 'Raw Period DMR Data'!M:M, "&gt;0")&gt;0,_xlfn.MAXIFS('Raw Period DMR Data'!M:M,'Raw Period DMR Data'!$A:$A,'Raw Annual DMR Data'!B1116,'Raw Period DMR Data'!C:C,'Raw Annual DMR Data'!X1116), "N/A - Period DMR Data Not Available")</f>
        <v>N/A - Period DMR Data Not Available</v>
      </c>
      <c r="V1116" s="28" t="str" cm="1">
        <f t="array" ref="V1116">IFERROR(INDEX('Raw Period DMR Data'!N:N,MATCH(1,(B1116='Raw Period DMR Data'!$A:$A)*(U1116='Raw Period DMR Data'!M:M)*(X1116='Raw Period DMR Data'!C:C),0),1), "N/A")</f>
        <v>N/A</v>
      </c>
      <c r="W1116" s="28" t="s">
        <v>1463</v>
      </c>
      <c r="X1116" s="28" t="s">
        <v>2199</v>
      </c>
      <c r="Y1116" s="28" t="s">
        <v>2200</v>
      </c>
      <c r="Z1116" s="28">
        <v>18010110000032</v>
      </c>
      <c r="AA1116" s="28"/>
      <c r="AB1116" s="28" t="s">
        <v>1465</v>
      </c>
      <c r="AC1116" s="28" t="s">
        <v>263</v>
      </c>
    </row>
    <row r="1117" spans="1:29" x14ac:dyDescent="0.25">
      <c r="A1117" s="61">
        <v>110008476327</v>
      </c>
      <c r="B1117" s="28">
        <v>2017</v>
      </c>
      <c r="C1117" s="68">
        <f t="shared" si="17"/>
        <v>42736</v>
      </c>
      <c r="D1117" s="28" t="s">
        <v>1338</v>
      </c>
      <c r="E1117" s="28" t="s">
        <v>2201</v>
      </c>
      <c r="F1117" s="28" t="s">
        <v>1339</v>
      </c>
      <c r="G1117" s="28" t="s">
        <v>491</v>
      </c>
      <c r="H1117" s="28" t="s">
        <v>2202</v>
      </c>
      <c r="I1117" s="28">
        <v>41.452778000000002</v>
      </c>
      <c r="J1117" s="28">
        <v>-79.690278000000006</v>
      </c>
      <c r="K1117" s="28" t="s">
        <v>734</v>
      </c>
      <c r="L1117" s="61">
        <v>110008476327</v>
      </c>
      <c r="M1117" s="28" t="s">
        <v>265</v>
      </c>
      <c r="N1117" s="28">
        <v>2865</v>
      </c>
      <c r="O1117" s="28" t="str">
        <f>IFERROR(VLOOKUP(N1117, 'SIC &amp; NAICS Codes'!A:B, 2, FALSE), "")</f>
        <v>Cyclic Organic Crudes and Intermediates, and Organic Dyes and Pigments (aromatics)</v>
      </c>
      <c r="S1117" s="28">
        <v>0.182086167800453</v>
      </c>
      <c r="T1117" s="315">
        <f>_xlfn.MAXIFS('Raw Period DMR Data'!$O:$O,'Raw Period DMR Data'!$A:$A,'Raw Annual DMR Data'!B1117,'Raw Period DMR Data'!$C:$C,X1117)/S1117</f>
        <v>0</v>
      </c>
      <c r="U1117" s="28" t="str">
        <f>+IF(COUNTIFS('Raw Period DMR Data'!$A:$A,B1117, 'Raw Period DMR Data'!C:C,'Raw Annual DMR Data'!X1117, 'Raw Period DMR Data'!M:M, "&gt;0")&gt;0,_xlfn.MAXIFS('Raw Period DMR Data'!M:M,'Raw Period DMR Data'!$A:$A,'Raw Annual DMR Data'!B1117,'Raw Period DMR Data'!C:C,'Raw Annual DMR Data'!X1117), "N/A - Period DMR Data Not Available")</f>
        <v>N/A - Period DMR Data Not Available</v>
      </c>
      <c r="V1117" s="28" t="str" cm="1">
        <f t="array" ref="V1117">IFERROR(INDEX('Raw Period DMR Data'!N:N,MATCH(1,(B1117='Raw Period DMR Data'!$A:$A)*(U1117='Raw Period DMR Data'!M:M)*(X1117='Raw Period DMR Data'!C:C),0),1), "N/A")</f>
        <v>N/A</v>
      </c>
      <c r="W1117" s="28" t="s">
        <v>1463</v>
      </c>
      <c r="X1117" s="28" t="s">
        <v>2203</v>
      </c>
      <c r="Y1117" s="28" t="s">
        <v>2204</v>
      </c>
      <c r="Z1117" s="28">
        <v>5010003001287</v>
      </c>
      <c r="AA1117" s="28"/>
      <c r="AB1117" s="28" t="s">
        <v>1465</v>
      </c>
      <c r="AC1117" s="28" t="s">
        <v>1466</v>
      </c>
    </row>
    <row r="1118" spans="1:29" x14ac:dyDescent="0.25">
      <c r="A1118" s="61">
        <v>110008476327</v>
      </c>
      <c r="B1118" s="28">
        <v>2018</v>
      </c>
      <c r="C1118" s="68">
        <f t="shared" si="17"/>
        <v>43101</v>
      </c>
      <c r="D1118" s="28" t="s">
        <v>1338</v>
      </c>
      <c r="E1118" s="28" t="s">
        <v>2201</v>
      </c>
      <c r="F1118" s="28" t="s">
        <v>1339</v>
      </c>
      <c r="G1118" s="28" t="s">
        <v>491</v>
      </c>
      <c r="H1118" s="28" t="s">
        <v>2202</v>
      </c>
      <c r="I1118" s="28">
        <v>41.452778000000002</v>
      </c>
      <c r="J1118" s="28">
        <v>-79.690278000000006</v>
      </c>
      <c r="K1118" s="28" t="s">
        <v>734</v>
      </c>
      <c r="L1118" s="61">
        <v>110008476327</v>
      </c>
      <c r="M1118" s="28" t="s">
        <v>265</v>
      </c>
      <c r="N1118" s="28">
        <v>2865</v>
      </c>
      <c r="O1118" s="28" t="str">
        <f>IFERROR(VLOOKUP(N1118, 'SIC &amp; NAICS Codes'!A:B, 2, FALSE), "")</f>
        <v>Cyclic Organic Crudes and Intermediates, and Organic Dyes and Pigments (aromatics)</v>
      </c>
      <c r="S1118" s="302">
        <v>8.2766439909296996E-3</v>
      </c>
      <c r="T1118" s="315">
        <f>_xlfn.MAXIFS('Raw Period DMR Data'!$O:$O,'Raw Period DMR Data'!$A:$A,'Raw Annual DMR Data'!B1118,'Raw Period DMR Data'!$C:$C,X1118)/S1118</f>
        <v>0</v>
      </c>
      <c r="U1118" s="28" t="str">
        <f>+IF(COUNTIFS('Raw Period DMR Data'!$A:$A,B1118, 'Raw Period DMR Data'!C:C,'Raw Annual DMR Data'!X1118, 'Raw Period DMR Data'!M:M, "&gt;0")&gt;0,_xlfn.MAXIFS('Raw Period DMR Data'!M:M,'Raw Period DMR Data'!$A:$A,'Raw Annual DMR Data'!B1118,'Raw Period DMR Data'!C:C,'Raw Annual DMR Data'!X1118), "N/A - Period DMR Data Not Available")</f>
        <v>N/A - Period DMR Data Not Available</v>
      </c>
      <c r="V1118" s="28" t="str" cm="1">
        <f t="array" ref="V1118">IFERROR(INDEX('Raw Period DMR Data'!N:N,MATCH(1,(B1118='Raw Period DMR Data'!$A:$A)*(U1118='Raw Period DMR Data'!M:M)*(X1118='Raw Period DMR Data'!C:C),0),1), "N/A")</f>
        <v>N/A</v>
      </c>
      <c r="W1118" s="28" t="s">
        <v>1463</v>
      </c>
      <c r="X1118" s="28" t="s">
        <v>2203</v>
      </c>
      <c r="Y1118" s="28" t="s">
        <v>2204</v>
      </c>
      <c r="Z1118" s="302" t="s">
        <v>2205</v>
      </c>
      <c r="AA1118" s="28"/>
      <c r="AB1118" s="28" t="s">
        <v>1465</v>
      </c>
      <c r="AC1118" s="28" t="s">
        <v>1466</v>
      </c>
    </row>
    <row r="1119" spans="1:29" x14ac:dyDescent="0.25">
      <c r="A1119" s="61">
        <v>110008476327</v>
      </c>
      <c r="B1119" s="28">
        <v>2019</v>
      </c>
      <c r="C1119" s="68">
        <f t="shared" si="17"/>
        <v>43466</v>
      </c>
      <c r="D1119" s="28" t="s">
        <v>1338</v>
      </c>
      <c r="E1119" s="28" t="s">
        <v>2201</v>
      </c>
      <c r="F1119" s="28" t="s">
        <v>1339</v>
      </c>
      <c r="G1119" s="28" t="s">
        <v>491</v>
      </c>
      <c r="H1119" s="28" t="s">
        <v>2202</v>
      </c>
      <c r="I1119" s="28">
        <v>41.452778000000002</v>
      </c>
      <c r="J1119" s="28">
        <v>-79.690278000000006</v>
      </c>
      <c r="K1119" s="28" t="s">
        <v>734</v>
      </c>
      <c r="L1119" s="61">
        <v>110008476327</v>
      </c>
      <c r="M1119" s="28" t="s">
        <v>265</v>
      </c>
      <c r="N1119" s="28">
        <v>2865</v>
      </c>
      <c r="O1119" s="28" t="str">
        <f>IFERROR(VLOOKUP(N1119, 'SIC &amp; NAICS Codes'!A:B, 2, FALSE), "")</f>
        <v>Cyclic Organic Crudes and Intermediates, and Organic Dyes and Pigments (aromatics)</v>
      </c>
      <c r="S1119" s="28">
        <v>8.2766439909296996E-3</v>
      </c>
      <c r="T1119" s="315">
        <f>_xlfn.MAXIFS('Raw Period DMR Data'!$O:$O,'Raw Period DMR Data'!$A:$A,'Raw Annual DMR Data'!B1119,'Raw Period DMR Data'!$C:$C,X1119)/S1119</f>
        <v>0</v>
      </c>
      <c r="U1119" s="28" t="str">
        <f>+IF(COUNTIFS('Raw Period DMR Data'!$A:$A,B1119, 'Raw Period DMR Data'!C:C,'Raw Annual DMR Data'!X1119, 'Raw Period DMR Data'!M:M, "&gt;0")&gt;0,_xlfn.MAXIFS('Raw Period DMR Data'!M:M,'Raw Period DMR Data'!$A:$A,'Raw Annual DMR Data'!B1119,'Raw Period DMR Data'!C:C,'Raw Annual DMR Data'!X1119), "N/A - Period DMR Data Not Available")</f>
        <v>N/A - Period DMR Data Not Available</v>
      </c>
      <c r="V1119" s="28" t="str" cm="1">
        <f t="array" ref="V1119">IFERROR(INDEX('Raw Period DMR Data'!N:N,MATCH(1,(B1119='Raw Period DMR Data'!$A:$A)*(U1119='Raw Period DMR Data'!M:M)*(X1119='Raw Period DMR Data'!C:C),0),1), "N/A")</f>
        <v>N/A</v>
      </c>
      <c r="W1119" s="28" t="s">
        <v>1463</v>
      </c>
      <c r="X1119" s="28" t="s">
        <v>2203</v>
      </c>
      <c r="Y1119" s="28" t="s">
        <v>2204</v>
      </c>
      <c r="Z1119" s="28">
        <v>5010003001287</v>
      </c>
      <c r="AA1119" s="28"/>
      <c r="AB1119" s="28" t="s">
        <v>1465</v>
      </c>
      <c r="AC1119" s="28" t="s">
        <v>1466</v>
      </c>
    </row>
    <row r="1120" spans="1:29" x14ac:dyDescent="0.25">
      <c r="A1120" s="61">
        <v>110008476327</v>
      </c>
      <c r="B1120" s="28">
        <v>2020</v>
      </c>
      <c r="C1120" s="68">
        <f t="shared" si="17"/>
        <v>43831</v>
      </c>
      <c r="D1120" s="28" t="s">
        <v>1338</v>
      </c>
      <c r="E1120" s="28" t="s">
        <v>2201</v>
      </c>
      <c r="F1120" s="28" t="s">
        <v>1339</v>
      </c>
      <c r="G1120" s="28" t="s">
        <v>491</v>
      </c>
      <c r="H1120" s="28" t="s">
        <v>2202</v>
      </c>
      <c r="I1120" s="28">
        <v>41.452778000000002</v>
      </c>
      <c r="J1120" s="28">
        <v>-79.690278000000006</v>
      </c>
      <c r="K1120" s="28" t="s">
        <v>734</v>
      </c>
      <c r="L1120" s="61">
        <v>110008476327</v>
      </c>
      <c r="M1120" s="28" t="s">
        <v>265</v>
      </c>
      <c r="N1120" s="28">
        <v>2865</v>
      </c>
      <c r="O1120" s="28" t="str">
        <f>IFERROR(VLOOKUP(N1120, 'SIC &amp; NAICS Codes'!A:B, 2, FALSE), "")</f>
        <v>Cyclic Organic Crudes and Intermediates, and Organic Dyes and Pigments (aromatics)</v>
      </c>
      <c r="S1120" s="28">
        <v>3.3106575963718801E-3</v>
      </c>
      <c r="T1120" s="315">
        <f>_xlfn.MAXIFS('Raw Period DMR Data'!$O:$O,'Raw Period DMR Data'!$A:$A,'Raw Annual DMR Data'!B1120,'Raw Period DMR Data'!$C:$C,X1120)/S1120</f>
        <v>0</v>
      </c>
      <c r="U1120" s="28" t="str">
        <f>+IF(COUNTIFS('Raw Period DMR Data'!$A:$A,B1120, 'Raw Period DMR Data'!C:C,'Raw Annual DMR Data'!X1120, 'Raw Period DMR Data'!M:M, "&gt;0")&gt;0,_xlfn.MAXIFS('Raw Period DMR Data'!M:M,'Raw Period DMR Data'!$A:$A,'Raw Annual DMR Data'!B1120,'Raw Period DMR Data'!C:C,'Raw Annual DMR Data'!X1120), "N/A - Period DMR Data Not Available")</f>
        <v>N/A - Period DMR Data Not Available</v>
      </c>
      <c r="V1120" s="28" t="str" cm="1">
        <f t="array" ref="V1120">IFERROR(INDEX('Raw Period DMR Data'!N:N,MATCH(1,(B1120='Raw Period DMR Data'!$A:$A)*(U1120='Raw Period DMR Data'!M:M)*(X1120='Raw Period DMR Data'!C:C),0),1), "N/A")</f>
        <v>N/A</v>
      </c>
      <c r="W1120" s="28" t="s">
        <v>1463</v>
      </c>
      <c r="X1120" s="28" t="s">
        <v>2203</v>
      </c>
      <c r="Y1120" s="28" t="s">
        <v>2204</v>
      </c>
      <c r="Z1120" s="28">
        <v>5010003001287</v>
      </c>
      <c r="AA1120" s="28"/>
      <c r="AB1120" s="28" t="s">
        <v>1465</v>
      </c>
      <c r="AC1120" s="28" t="s">
        <v>1466</v>
      </c>
    </row>
    <row r="1121" spans="1:29" x14ac:dyDescent="0.25">
      <c r="A1121" s="61">
        <v>110070218704</v>
      </c>
      <c r="B1121" s="28">
        <v>2019</v>
      </c>
      <c r="C1121" s="68">
        <f t="shared" si="17"/>
        <v>43466</v>
      </c>
      <c r="D1121" s="28" t="s">
        <v>1340</v>
      </c>
      <c r="E1121" s="28" t="s">
        <v>2206</v>
      </c>
      <c r="F1121" s="28" t="s">
        <v>1341</v>
      </c>
      <c r="G1121" s="28" t="s">
        <v>338</v>
      </c>
      <c r="H1121" s="28">
        <v>7041</v>
      </c>
      <c r="I1121" s="28">
        <v>40.723140000000001</v>
      </c>
      <c r="J1121" s="28">
        <v>-74.310130000000001</v>
      </c>
      <c r="L1121" s="61">
        <v>110070218704</v>
      </c>
      <c r="M1121" s="28" t="s">
        <v>265</v>
      </c>
      <c r="O1121" s="28" t="str">
        <f>IFERROR(VLOOKUP(N1121, 'SIC &amp; NAICS Codes'!A:B, 2, FALSE), "")</f>
        <v/>
      </c>
      <c r="S1121" s="28">
        <v>3.8544871928571398E-4</v>
      </c>
      <c r="T1121" s="315">
        <f>_xlfn.MAXIFS('Raw Period DMR Data'!$O:$O,'Raw Period DMR Data'!$A:$A,'Raw Annual DMR Data'!B1121,'Raw Period DMR Data'!$C:$C,X1121)/S1121</f>
        <v>0</v>
      </c>
      <c r="U1121" s="28" t="str">
        <f>+IF(COUNTIFS('Raw Period DMR Data'!$A:$A,B1121, 'Raw Period DMR Data'!C:C,'Raw Annual DMR Data'!X1121, 'Raw Period DMR Data'!M:M, "&gt;0")&gt;0,_xlfn.MAXIFS('Raw Period DMR Data'!M:M,'Raw Period DMR Data'!$A:$A,'Raw Annual DMR Data'!B1121,'Raw Period DMR Data'!C:C,'Raw Annual DMR Data'!X1121), "N/A - Period DMR Data Not Available")</f>
        <v>N/A - Period DMR Data Not Available</v>
      </c>
      <c r="V1121" s="28" t="str" cm="1">
        <f t="array" ref="V1121">IFERROR(INDEX('Raw Period DMR Data'!N:N,MATCH(1,(B1121='Raw Period DMR Data'!$A:$A)*(U1121='Raw Period DMR Data'!M:M)*(X1121='Raw Period DMR Data'!C:C),0),1), "N/A")</f>
        <v>N/A</v>
      </c>
      <c r="W1121" s="28" t="s">
        <v>1463</v>
      </c>
      <c r="X1121" s="28" t="s">
        <v>2207</v>
      </c>
      <c r="Y1121" s="28" t="s">
        <v>2208</v>
      </c>
      <c r="Z1121" s="28">
        <v>2030104000062</v>
      </c>
      <c r="AA1121" s="28"/>
      <c r="AB1121" s="28" t="s">
        <v>1465</v>
      </c>
      <c r="AC1121" s="28" t="s">
        <v>1466</v>
      </c>
    </row>
    <row r="1122" spans="1:29" x14ac:dyDescent="0.25">
      <c r="A1122" s="61">
        <v>110070218704</v>
      </c>
      <c r="B1122" s="28">
        <v>2020</v>
      </c>
      <c r="C1122" s="68">
        <f t="shared" si="17"/>
        <v>43831</v>
      </c>
      <c r="D1122" s="28" t="s">
        <v>1340</v>
      </c>
      <c r="E1122" s="28" t="s">
        <v>2206</v>
      </c>
      <c r="F1122" s="28" t="s">
        <v>1341</v>
      </c>
      <c r="G1122" s="28" t="s">
        <v>338</v>
      </c>
      <c r="H1122" s="28">
        <v>7041</v>
      </c>
      <c r="I1122" s="28">
        <v>40.723140000000001</v>
      </c>
      <c r="J1122" s="28">
        <v>-74.310130000000001</v>
      </c>
      <c r="L1122" s="61">
        <v>110070218704</v>
      </c>
      <c r="M1122" s="28" t="s">
        <v>265</v>
      </c>
      <c r="O1122" s="28" t="str">
        <f>IFERROR(VLOOKUP(N1122, 'SIC &amp; NAICS Codes'!A:B, 2, FALSE), "")</f>
        <v/>
      </c>
      <c r="S1122" s="28">
        <v>1.67876104999999E-4</v>
      </c>
      <c r="T1122" s="315">
        <f>_xlfn.MAXIFS('Raw Period DMR Data'!$O:$O,'Raw Period DMR Data'!$A:$A,'Raw Annual DMR Data'!B1122,'Raw Period DMR Data'!$C:$C,X1122)/S1122</f>
        <v>0</v>
      </c>
      <c r="U1122" s="28" t="str">
        <f>+IF(COUNTIFS('Raw Period DMR Data'!$A:$A,B1122, 'Raw Period DMR Data'!C:C,'Raw Annual DMR Data'!X1122, 'Raw Period DMR Data'!M:M, "&gt;0")&gt;0,_xlfn.MAXIFS('Raw Period DMR Data'!M:M,'Raw Period DMR Data'!$A:$A,'Raw Annual DMR Data'!B1122,'Raw Period DMR Data'!C:C,'Raw Annual DMR Data'!X1122), "N/A - Period DMR Data Not Available")</f>
        <v>N/A - Period DMR Data Not Available</v>
      </c>
      <c r="V1122" s="28" t="str" cm="1">
        <f t="array" ref="V1122">IFERROR(INDEX('Raw Period DMR Data'!N:N,MATCH(1,(B1122='Raw Period DMR Data'!$A:$A)*(U1122='Raw Period DMR Data'!M:M)*(X1122='Raw Period DMR Data'!C:C),0),1), "N/A")</f>
        <v>N/A</v>
      </c>
      <c r="W1122" s="28" t="s">
        <v>1463</v>
      </c>
      <c r="X1122" s="28" t="s">
        <v>2207</v>
      </c>
      <c r="Y1122" s="28" t="s">
        <v>2208</v>
      </c>
      <c r="Z1122" s="28">
        <v>2030104000062</v>
      </c>
      <c r="AA1122" s="28"/>
      <c r="AB1122" s="28" t="s">
        <v>1465</v>
      </c>
      <c r="AC1122" s="28" t="s">
        <v>1466</v>
      </c>
    </row>
    <row r="1123" spans="1:29" x14ac:dyDescent="0.25">
      <c r="A1123" s="61">
        <v>110017860894</v>
      </c>
      <c r="B1123" s="28">
        <v>2015</v>
      </c>
      <c r="C1123" s="68">
        <f t="shared" si="17"/>
        <v>42005</v>
      </c>
      <c r="D1123" s="28" t="s">
        <v>186</v>
      </c>
      <c r="E1123" s="28" t="s">
        <v>611</v>
      </c>
      <c r="F1123" s="28" t="s">
        <v>612</v>
      </c>
      <c r="G1123" s="28" t="s">
        <v>366</v>
      </c>
      <c r="H1123" s="28">
        <v>92109</v>
      </c>
      <c r="I1123" s="28">
        <v>32.761164000000001</v>
      </c>
      <c r="J1123" s="28">
        <v>-117.230639</v>
      </c>
      <c r="L1123" s="61">
        <v>110017860894</v>
      </c>
      <c r="M1123" s="28" t="s">
        <v>6751</v>
      </c>
      <c r="N1123" s="28">
        <v>7996</v>
      </c>
      <c r="O1123" s="28" t="str">
        <f>IFERROR(VLOOKUP(N1123, 'SIC &amp; NAICS Codes'!A:B, 2, FALSE), "")</f>
        <v>Amusement Parks</v>
      </c>
      <c r="S1123" s="28">
        <v>4.1383219954648496</v>
      </c>
      <c r="T1123" s="315">
        <f>_xlfn.MAXIFS('Raw Period DMR Data'!$O:$O,'Raw Period DMR Data'!$A:$A,'Raw Annual DMR Data'!B1123,'Raw Period DMR Data'!$C:$C,X1123)/S1123</f>
        <v>0</v>
      </c>
      <c r="U1123" s="28" t="str">
        <f>+IF(COUNTIFS('Raw Period DMR Data'!$A:$A,B1123, 'Raw Period DMR Data'!C:C,'Raw Annual DMR Data'!X1123, 'Raw Period DMR Data'!M:M, "&gt;0")&gt;0,_xlfn.MAXIFS('Raw Period DMR Data'!M:M,'Raw Period DMR Data'!$A:$A,'Raw Annual DMR Data'!B1123,'Raw Period DMR Data'!C:C,'Raw Annual DMR Data'!X1123), "N/A - Period DMR Data Not Available")</f>
        <v>N/A - Period DMR Data Not Available</v>
      </c>
      <c r="V1123" s="28" t="str" cm="1">
        <f t="array" ref="V1123">IFERROR(INDEX('Raw Period DMR Data'!N:N,MATCH(1,(B1123='Raw Period DMR Data'!$A:$A)*(U1123='Raw Period DMR Data'!M:M)*(X1123='Raw Period DMR Data'!C:C),0),1), "N/A")</f>
        <v>N/A</v>
      </c>
      <c r="W1123" s="28" t="s">
        <v>1463</v>
      </c>
      <c r="X1123" s="28" t="s">
        <v>927</v>
      </c>
      <c r="Y1123" s="28" t="s">
        <v>928</v>
      </c>
      <c r="Z1123" s="61">
        <v>18070304000120</v>
      </c>
    </row>
    <row r="1124" spans="1:29" x14ac:dyDescent="0.25">
      <c r="A1124" s="61">
        <v>110017860894</v>
      </c>
      <c r="B1124" s="28">
        <v>2015</v>
      </c>
      <c r="C1124" s="68">
        <f t="shared" si="17"/>
        <v>42005</v>
      </c>
      <c r="D1124" s="28" t="s">
        <v>186</v>
      </c>
      <c r="E1124" s="28" t="s">
        <v>611</v>
      </c>
      <c r="F1124" s="28" t="s">
        <v>612</v>
      </c>
      <c r="G1124" s="28" t="s">
        <v>366</v>
      </c>
      <c r="H1124" s="28">
        <v>92109</v>
      </c>
      <c r="I1124" s="28">
        <v>32.761164000000001</v>
      </c>
      <c r="J1124" s="28">
        <v>-117.230639</v>
      </c>
      <c r="L1124" s="61">
        <v>110017860894</v>
      </c>
      <c r="M1124" s="28" t="s">
        <v>6751</v>
      </c>
      <c r="N1124" s="28">
        <v>7996</v>
      </c>
      <c r="O1124" s="28" t="str">
        <f>IFERROR(VLOOKUP(N1124, 'SIC &amp; NAICS Codes'!A:B, 2, FALSE), "")</f>
        <v>Amusement Parks</v>
      </c>
      <c r="S1124" s="28">
        <v>2.1519274376417199</v>
      </c>
      <c r="T1124" s="315">
        <f>_xlfn.MAXIFS('Raw Period DMR Data'!$O:$O,'Raw Period DMR Data'!$A:$A,'Raw Annual DMR Data'!B1124,'Raw Period DMR Data'!$C:$C,X1124)/S1124</f>
        <v>0</v>
      </c>
      <c r="U1124" s="28" t="str">
        <f>+IF(COUNTIFS('Raw Period DMR Data'!$A:$A,B1124, 'Raw Period DMR Data'!C:C,'Raw Annual DMR Data'!X1124, 'Raw Period DMR Data'!M:M, "&gt;0")&gt;0,_xlfn.MAXIFS('Raw Period DMR Data'!M:M,'Raw Period DMR Data'!$A:$A,'Raw Annual DMR Data'!B1124,'Raw Period DMR Data'!C:C,'Raw Annual DMR Data'!X1124), "N/A - Period DMR Data Not Available")</f>
        <v>N/A - Period DMR Data Not Available</v>
      </c>
      <c r="V1124" s="28" t="str" cm="1">
        <f t="array" ref="V1124">IFERROR(INDEX('Raw Period DMR Data'!N:N,MATCH(1,(B1124='Raw Period DMR Data'!$A:$A)*(U1124='Raw Period DMR Data'!M:M)*(X1124='Raw Period DMR Data'!C:C),0),1), "N/A")</f>
        <v>N/A</v>
      </c>
      <c r="W1124" s="28" t="s">
        <v>1463</v>
      </c>
      <c r="X1124" s="28" t="s">
        <v>927</v>
      </c>
      <c r="Y1124" s="28" t="s">
        <v>928</v>
      </c>
      <c r="Z1124" s="61">
        <v>18070304000120</v>
      </c>
    </row>
    <row r="1125" spans="1:29" x14ac:dyDescent="0.25">
      <c r="A1125" s="61">
        <v>110064622519</v>
      </c>
      <c r="B1125" s="28">
        <v>2019</v>
      </c>
      <c r="C1125" s="68">
        <f t="shared" si="17"/>
        <v>43466</v>
      </c>
      <c r="D1125" s="28" t="s">
        <v>1342</v>
      </c>
      <c r="E1125" s="28" t="s">
        <v>2209</v>
      </c>
      <c r="F1125" s="28" t="s">
        <v>1343</v>
      </c>
      <c r="G1125" s="28" t="s">
        <v>366</v>
      </c>
      <c r="H1125" s="28">
        <v>94128</v>
      </c>
      <c r="I1125" s="28">
        <v>37.636249999999997</v>
      </c>
      <c r="J1125" s="28">
        <v>-122.38583</v>
      </c>
      <c r="L1125" s="61">
        <v>110064622519</v>
      </c>
      <c r="M1125" s="28" t="s">
        <v>263</v>
      </c>
      <c r="N1125" s="28">
        <v>4952</v>
      </c>
      <c r="O1125" s="28" t="str">
        <f>IFERROR(VLOOKUP(N1125, 'SIC &amp; NAICS Codes'!A:B, 2, FALSE), "")</f>
        <v>Sewerage Systems</v>
      </c>
      <c r="S1125" s="28">
        <v>1.0361437500000001E-2</v>
      </c>
      <c r="T1125" s="315">
        <f>_xlfn.MAXIFS('Raw Period DMR Data'!$O:$O,'Raw Period DMR Data'!$A:$A,'Raw Annual DMR Data'!B1125,'Raw Period DMR Data'!$C:$C,X1125)/S1125</f>
        <v>0</v>
      </c>
      <c r="U1125" s="28" t="str">
        <f>+IF(COUNTIFS('Raw Period DMR Data'!$A:$A,B1125, 'Raw Period DMR Data'!C:C,'Raw Annual DMR Data'!X1125, 'Raw Period DMR Data'!M:M, "&gt;0")&gt;0,_xlfn.MAXIFS('Raw Period DMR Data'!M:M,'Raw Period DMR Data'!$A:$A,'Raw Annual DMR Data'!B1125,'Raw Period DMR Data'!C:C,'Raw Annual DMR Data'!X1125), "N/A - Period DMR Data Not Available")</f>
        <v>N/A - Period DMR Data Not Available</v>
      </c>
      <c r="V1125" s="28" t="str" cm="1">
        <f t="array" ref="V1125">IFERROR(INDEX('Raw Period DMR Data'!N:N,MATCH(1,(B1125='Raw Period DMR Data'!$A:$A)*(U1125='Raw Period DMR Data'!M:M)*(X1125='Raw Period DMR Data'!C:C),0),1), "N/A")</f>
        <v>N/A</v>
      </c>
      <c r="W1125" s="28" t="s">
        <v>1463</v>
      </c>
      <c r="X1125" s="28" t="s">
        <v>2210</v>
      </c>
      <c r="Y1125" s="28" t="s">
        <v>799</v>
      </c>
      <c r="Z1125" s="28">
        <v>18050004001801</v>
      </c>
      <c r="AA1125" s="28"/>
      <c r="AB1125" s="28" t="s">
        <v>1465</v>
      </c>
      <c r="AC1125" s="28" t="s">
        <v>263</v>
      </c>
    </row>
    <row r="1126" spans="1:29" x14ac:dyDescent="0.25">
      <c r="A1126" s="61">
        <v>110039689851</v>
      </c>
      <c r="B1126" s="28">
        <v>2017</v>
      </c>
      <c r="C1126" s="68">
        <f t="shared" si="17"/>
        <v>42736</v>
      </c>
      <c r="D1126" s="28" t="s">
        <v>1344</v>
      </c>
      <c r="E1126" s="28" t="s">
        <v>2211</v>
      </c>
      <c r="F1126" s="28" t="s">
        <v>1345</v>
      </c>
      <c r="G1126" s="28" t="s">
        <v>366</v>
      </c>
      <c r="H1126" s="28">
        <v>95589</v>
      </c>
      <c r="I1126" s="28">
        <v>40.032722</v>
      </c>
      <c r="J1126" s="28">
        <v>-124.07983299999999</v>
      </c>
      <c r="L1126" s="61">
        <v>110039689851</v>
      </c>
      <c r="M1126" s="28" t="s">
        <v>263</v>
      </c>
      <c r="N1126" s="28">
        <v>4952</v>
      </c>
      <c r="O1126" s="28" t="str">
        <f>IFERROR(VLOOKUP(N1126, 'SIC &amp; NAICS Codes'!A:B, 2, FALSE), "")</f>
        <v>Sewerage Systems</v>
      </c>
      <c r="S1126" s="28">
        <v>4.9044137500000001E-2</v>
      </c>
      <c r="T1126" s="315">
        <f>_xlfn.MAXIFS('Raw Period DMR Data'!$O:$O,'Raw Period DMR Data'!$A:$A,'Raw Annual DMR Data'!B1126,'Raw Period DMR Data'!$C:$C,X1126)/S1126</f>
        <v>0</v>
      </c>
      <c r="U1126" s="28" t="str">
        <f>+IF(COUNTIFS('Raw Period DMR Data'!$A:$A,B1126, 'Raw Period DMR Data'!C:C,'Raw Annual DMR Data'!X1126, 'Raw Period DMR Data'!M:M, "&gt;0")&gt;0,_xlfn.MAXIFS('Raw Period DMR Data'!M:M,'Raw Period DMR Data'!$A:$A,'Raw Annual DMR Data'!B1126,'Raw Period DMR Data'!C:C,'Raw Annual DMR Data'!X1126), "N/A - Period DMR Data Not Available")</f>
        <v>N/A - Period DMR Data Not Available</v>
      </c>
      <c r="V1126" s="28" t="str" cm="1">
        <f t="array" ref="V1126">IFERROR(INDEX('Raw Period DMR Data'!N:N,MATCH(1,(B1126='Raw Period DMR Data'!$A:$A)*(U1126='Raw Period DMR Data'!M:M)*(X1126='Raw Period DMR Data'!C:C),0),1), "N/A")</f>
        <v>N/A</v>
      </c>
      <c r="W1126" s="28" t="s">
        <v>1463</v>
      </c>
      <c r="X1126" s="28" t="s">
        <v>2212</v>
      </c>
      <c r="Y1126" s="28" t="s">
        <v>926</v>
      </c>
      <c r="Z1126" s="28">
        <v>18010107000005</v>
      </c>
      <c r="AA1126" s="28"/>
      <c r="AB1126" s="28" t="s">
        <v>1465</v>
      </c>
      <c r="AC1126" s="28" t="s">
        <v>263</v>
      </c>
    </row>
    <row r="1127" spans="1:29" x14ac:dyDescent="0.25">
      <c r="A1127" s="61">
        <v>110039689851</v>
      </c>
      <c r="B1127" s="28">
        <v>2018</v>
      </c>
      <c r="C1127" s="68">
        <f t="shared" si="17"/>
        <v>43101</v>
      </c>
      <c r="D1127" s="28" t="s">
        <v>1344</v>
      </c>
      <c r="E1127" s="28" t="s">
        <v>2211</v>
      </c>
      <c r="F1127" s="28" t="s">
        <v>1345</v>
      </c>
      <c r="G1127" s="28" t="s">
        <v>366</v>
      </c>
      <c r="H1127" s="28">
        <v>95589</v>
      </c>
      <c r="I1127" s="28">
        <v>40.032722</v>
      </c>
      <c r="J1127" s="28">
        <v>-124.07983299999999</v>
      </c>
      <c r="L1127" s="61">
        <v>110039689851</v>
      </c>
      <c r="M1127" s="28" t="s">
        <v>263</v>
      </c>
      <c r="N1127" s="28">
        <v>4952</v>
      </c>
      <c r="O1127" s="28" t="str">
        <f>IFERROR(VLOOKUP(N1127, 'SIC &amp; NAICS Codes'!A:B, 2, FALSE), "")</f>
        <v>Sewerage Systems</v>
      </c>
      <c r="S1127" s="28">
        <v>7.6674637500000004E-2</v>
      </c>
      <c r="T1127" s="315">
        <f>_xlfn.MAXIFS('Raw Period DMR Data'!$O:$O,'Raw Period DMR Data'!$A:$A,'Raw Annual DMR Data'!B1127,'Raw Period DMR Data'!$C:$C,X1127)/S1127</f>
        <v>0</v>
      </c>
      <c r="U1127" s="28" t="str">
        <f>+IF(COUNTIFS('Raw Period DMR Data'!$A:$A,B1127, 'Raw Period DMR Data'!C:C,'Raw Annual DMR Data'!X1127, 'Raw Period DMR Data'!M:M, "&gt;0")&gt;0,_xlfn.MAXIFS('Raw Period DMR Data'!M:M,'Raw Period DMR Data'!$A:$A,'Raw Annual DMR Data'!B1127,'Raw Period DMR Data'!C:C,'Raw Annual DMR Data'!X1127), "N/A - Period DMR Data Not Available")</f>
        <v>N/A - Period DMR Data Not Available</v>
      </c>
      <c r="V1127" s="28" t="str" cm="1">
        <f t="array" ref="V1127">IFERROR(INDEX('Raw Period DMR Data'!N:N,MATCH(1,(B1127='Raw Period DMR Data'!$A:$A)*(U1127='Raw Period DMR Data'!M:M)*(X1127='Raw Period DMR Data'!C:C),0),1), "N/A")</f>
        <v>N/A</v>
      </c>
      <c r="W1127" s="28" t="s">
        <v>1463</v>
      </c>
      <c r="X1127" s="28" t="s">
        <v>2212</v>
      </c>
      <c r="Y1127" s="28" t="s">
        <v>926</v>
      </c>
      <c r="Z1127" s="28">
        <v>18010107000005</v>
      </c>
      <c r="AA1127" s="28"/>
      <c r="AB1127" s="28" t="s">
        <v>1465</v>
      </c>
      <c r="AC1127" s="28" t="s">
        <v>263</v>
      </c>
    </row>
    <row r="1128" spans="1:29" x14ac:dyDescent="0.25">
      <c r="A1128" s="61">
        <v>110020941383</v>
      </c>
      <c r="B1128" s="28">
        <v>2017</v>
      </c>
      <c r="C1128" s="68">
        <f t="shared" si="17"/>
        <v>42736</v>
      </c>
      <c r="D1128" s="28" t="s">
        <v>1346</v>
      </c>
      <c r="E1128" s="28" t="s">
        <v>2213</v>
      </c>
      <c r="F1128" s="28" t="s">
        <v>1347</v>
      </c>
      <c r="G1128" s="28" t="s">
        <v>324</v>
      </c>
      <c r="H1128" s="28">
        <v>40165</v>
      </c>
      <c r="I1128" s="28">
        <v>37.985444000000001</v>
      </c>
      <c r="J1128" s="28">
        <v>-85.720056</v>
      </c>
      <c r="L1128" s="61">
        <v>110020941383</v>
      </c>
      <c r="M1128" s="28" t="s">
        <v>263</v>
      </c>
      <c r="N1128" s="28">
        <v>4952</v>
      </c>
      <c r="O1128" s="28" t="str">
        <f>IFERROR(VLOOKUP(N1128, 'SIC &amp; NAICS Codes'!A:B, 2, FALSE), "")</f>
        <v>Sewerage Systems</v>
      </c>
      <c r="S1128" s="28">
        <v>1.6909866</v>
      </c>
      <c r="T1128" s="315">
        <f>_xlfn.MAXIFS('Raw Period DMR Data'!$O:$O,'Raw Period DMR Data'!$A:$A,'Raw Annual DMR Data'!B1128,'Raw Period DMR Data'!$C:$C,X1128)/S1128</f>
        <v>0</v>
      </c>
      <c r="U1128" s="28" t="str">
        <f>+IF(COUNTIFS('Raw Period DMR Data'!$A:$A,B1128, 'Raw Period DMR Data'!C:C,'Raw Annual DMR Data'!X1128, 'Raw Period DMR Data'!M:M, "&gt;0")&gt;0,_xlfn.MAXIFS('Raw Period DMR Data'!M:M,'Raw Period DMR Data'!$A:$A,'Raw Annual DMR Data'!B1128,'Raw Period DMR Data'!C:C,'Raw Annual DMR Data'!X1128), "N/A - Period DMR Data Not Available")</f>
        <v>N/A - Period DMR Data Not Available</v>
      </c>
      <c r="V1128" s="28" t="str" cm="1">
        <f t="array" ref="V1128">IFERROR(INDEX('Raw Period DMR Data'!N:N,MATCH(1,(B1128='Raw Period DMR Data'!$A:$A)*(U1128='Raw Period DMR Data'!M:M)*(X1128='Raw Period DMR Data'!C:C),0),1), "N/A")</f>
        <v>N/A</v>
      </c>
      <c r="W1128" s="28" t="s">
        <v>1463</v>
      </c>
      <c r="X1128" s="28" t="s">
        <v>2214</v>
      </c>
      <c r="Y1128" s="28" t="s">
        <v>2215</v>
      </c>
      <c r="Z1128" s="28">
        <v>5140102000052</v>
      </c>
      <c r="AA1128" s="28"/>
      <c r="AB1128" s="28" t="s">
        <v>1465</v>
      </c>
      <c r="AC1128" s="28" t="s">
        <v>263</v>
      </c>
    </row>
    <row r="1129" spans="1:29" x14ac:dyDescent="0.25">
      <c r="A1129" s="61">
        <v>110020941383</v>
      </c>
      <c r="B1129" s="28">
        <v>2018</v>
      </c>
      <c r="C1129" s="68">
        <f t="shared" si="17"/>
        <v>43101</v>
      </c>
      <c r="D1129" s="28" t="s">
        <v>1346</v>
      </c>
      <c r="E1129" s="28" t="s">
        <v>2213</v>
      </c>
      <c r="F1129" s="28" t="s">
        <v>1347</v>
      </c>
      <c r="G1129" s="28" t="s">
        <v>324</v>
      </c>
      <c r="H1129" s="28">
        <v>40165</v>
      </c>
      <c r="I1129" s="28">
        <v>37.985444000000001</v>
      </c>
      <c r="J1129" s="28">
        <v>-85.720056</v>
      </c>
      <c r="L1129" s="61">
        <v>110020941383</v>
      </c>
      <c r="M1129" s="28" t="s">
        <v>263</v>
      </c>
      <c r="N1129" s="28">
        <v>4952</v>
      </c>
      <c r="O1129" s="28" t="str">
        <f>IFERROR(VLOOKUP(N1129, 'SIC &amp; NAICS Codes'!A:B, 2, FALSE), "")</f>
        <v>Sewerage Systems</v>
      </c>
      <c r="S1129" s="302">
        <v>0.70859525714285698</v>
      </c>
      <c r="T1129" s="315">
        <f>_xlfn.MAXIFS('Raw Period DMR Data'!$O:$O,'Raw Period DMR Data'!$A:$A,'Raw Annual DMR Data'!B1129,'Raw Period DMR Data'!$C:$C,X1129)/S1129</f>
        <v>0</v>
      </c>
      <c r="U1129" s="28" t="str">
        <f>+IF(COUNTIFS('Raw Period DMR Data'!$A:$A,B1129, 'Raw Period DMR Data'!C:C,'Raw Annual DMR Data'!X1129, 'Raw Period DMR Data'!M:M, "&gt;0")&gt;0,_xlfn.MAXIFS('Raw Period DMR Data'!M:M,'Raw Period DMR Data'!$A:$A,'Raw Annual DMR Data'!B1129,'Raw Period DMR Data'!C:C,'Raw Annual DMR Data'!X1129), "N/A - Period DMR Data Not Available")</f>
        <v>N/A - Period DMR Data Not Available</v>
      </c>
      <c r="V1129" s="28" t="str" cm="1">
        <f t="array" ref="V1129">IFERROR(INDEX('Raw Period DMR Data'!N:N,MATCH(1,(B1129='Raw Period DMR Data'!$A:$A)*(U1129='Raw Period DMR Data'!M:M)*(X1129='Raw Period DMR Data'!C:C),0),1), "N/A")</f>
        <v>N/A</v>
      </c>
      <c r="W1129" s="28" t="s">
        <v>1463</v>
      </c>
      <c r="X1129" s="28" t="s">
        <v>2214</v>
      </c>
      <c r="Y1129" s="28" t="s">
        <v>2215</v>
      </c>
      <c r="Z1129" s="302" t="s">
        <v>2216</v>
      </c>
      <c r="AA1129" s="28"/>
      <c r="AB1129" s="28" t="s">
        <v>1465</v>
      </c>
      <c r="AC1129" s="28" t="s">
        <v>263</v>
      </c>
    </row>
    <row r="1130" spans="1:29" x14ac:dyDescent="0.25">
      <c r="A1130" s="61">
        <v>110020941383</v>
      </c>
      <c r="B1130" s="28">
        <v>2018</v>
      </c>
      <c r="C1130" s="68">
        <f t="shared" si="17"/>
        <v>43101</v>
      </c>
      <c r="D1130" s="28" t="s">
        <v>1346</v>
      </c>
      <c r="E1130" s="28" t="s">
        <v>2213</v>
      </c>
      <c r="F1130" s="28" t="s">
        <v>1347</v>
      </c>
      <c r="G1130" s="28" t="s">
        <v>324</v>
      </c>
      <c r="H1130" s="28">
        <v>40165</v>
      </c>
      <c r="I1130" s="28">
        <v>37.985444000000001</v>
      </c>
      <c r="J1130" s="28">
        <v>-85.720056</v>
      </c>
      <c r="L1130" s="61">
        <v>110020941383</v>
      </c>
      <c r="M1130" s="28" t="s">
        <v>263</v>
      </c>
      <c r="N1130" s="28">
        <v>4952</v>
      </c>
      <c r="O1130" s="28" t="str">
        <f>IFERROR(VLOOKUP(N1130, 'SIC &amp; NAICS Codes'!A:B, 2, FALSE), "")</f>
        <v>Sewerage Systems</v>
      </c>
      <c r="S1130" s="302">
        <v>1.2117947857142799</v>
      </c>
      <c r="T1130" s="315">
        <f>_xlfn.MAXIFS('Raw Period DMR Data'!$O:$O,'Raw Period DMR Data'!$A:$A,'Raw Annual DMR Data'!B1130,'Raw Period DMR Data'!$C:$C,X1130)/S1130</f>
        <v>0</v>
      </c>
      <c r="U1130" s="28" t="str">
        <f>+IF(COUNTIFS('Raw Period DMR Data'!$A:$A,B1130, 'Raw Period DMR Data'!C:C,'Raw Annual DMR Data'!X1130, 'Raw Period DMR Data'!M:M, "&gt;0")&gt;0,_xlfn.MAXIFS('Raw Period DMR Data'!M:M,'Raw Period DMR Data'!$A:$A,'Raw Annual DMR Data'!B1130,'Raw Period DMR Data'!C:C,'Raw Annual DMR Data'!X1130), "N/A - Period DMR Data Not Available")</f>
        <v>N/A - Period DMR Data Not Available</v>
      </c>
      <c r="V1130" s="28" t="str" cm="1">
        <f t="array" ref="V1130">IFERROR(INDEX('Raw Period DMR Data'!N:N,MATCH(1,(B1130='Raw Period DMR Data'!$A:$A)*(U1130='Raw Period DMR Data'!M:M)*(X1130='Raw Period DMR Data'!C:C),0),1), "N/A")</f>
        <v>N/A</v>
      </c>
      <c r="W1130" s="28" t="s">
        <v>1463</v>
      </c>
      <c r="X1130" s="28" t="s">
        <v>2214</v>
      </c>
      <c r="Y1130" s="28" t="s">
        <v>2215</v>
      </c>
      <c r="Z1130" s="302" t="s">
        <v>2216</v>
      </c>
      <c r="AA1130" s="28"/>
      <c r="AB1130" s="28" t="s">
        <v>1465</v>
      </c>
      <c r="AC1130" s="28" t="s">
        <v>263</v>
      </c>
    </row>
    <row r="1131" spans="1:29" x14ac:dyDescent="0.25">
      <c r="A1131" s="61">
        <v>110020941383</v>
      </c>
      <c r="B1131" s="28">
        <v>2019</v>
      </c>
      <c r="C1131" s="68">
        <f t="shared" si="17"/>
        <v>43466</v>
      </c>
      <c r="D1131" s="28" t="s">
        <v>1346</v>
      </c>
      <c r="E1131" s="28" t="s">
        <v>2213</v>
      </c>
      <c r="F1131" s="28" t="s">
        <v>1347</v>
      </c>
      <c r="G1131" s="28" t="s">
        <v>324</v>
      </c>
      <c r="H1131" s="28">
        <v>40165</v>
      </c>
      <c r="I1131" s="28">
        <v>37.985444000000001</v>
      </c>
      <c r="J1131" s="28">
        <v>-85.720056</v>
      </c>
      <c r="L1131" s="61">
        <v>110020941383</v>
      </c>
      <c r="M1131" s="28" t="s">
        <v>263</v>
      </c>
      <c r="N1131" s="28">
        <v>4952</v>
      </c>
      <c r="O1131" s="28" t="str">
        <f>IFERROR(VLOOKUP(N1131, 'SIC &amp; NAICS Codes'!A:B, 2, FALSE), "")</f>
        <v>Sewerage Systems</v>
      </c>
      <c r="S1131" s="28">
        <v>2.3485925000000001</v>
      </c>
      <c r="T1131" s="315">
        <f>_xlfn.MAXIFS('Raw Period DMR Data'!$O:$O,'Raw Period DMR Data'!$A:$A,'Raw Annual DMR Data'!B1131,'Raw Period DMR Data'!$C:$C,X1131)/S1131</f>
        <v>0</v>
      </c>
      <c r="U1131" s="28" t="str">
        <f>+IF(COUNTIFS('Raw Period DMR Data'!$A:$A,B1131, 'Raw Period DMR Data'!C:C,'Raw Annual DMR Data'!X1131, 'Raw Period DMR Data'!M:M, "&gt;0")&gt;0,_xlfn.MAXIFS('Raw Period DMR Data'!M:M,'Raw Period DMR Data'!$A:$A,'Raw Annual DMR Data'!B1131,'Raw Period DMR Data'!C:C,'Raw Annual DMR Data'!X1131), "N/A - Period DMR Data Not Available")</f>
        <v>N/A - Period DMR Data Not Available</v>
      </c>
      <c r="V1131" s="28" t="str" cm="1">
        <f t="array" ref="V1131">IFERROR(INDEX('Raw Period DMR Data'!N:N,MATCH(1,(B1131='Raw Period DMR Data'!$A:$A)*(U1131='Raw Period DMR Data'!M:M)*(X1131='Raw Period DMR Data'!C:C),0),1), "N/A")</f>
        <v>N/A</v>
      </c>
      <c r="W1131" s="28" t="s">
        <v>1463</v>
      </c>
      <c r="X1131" s="28" t="s">
        <v>2214</v>
      </c>
      <c r="Y1131" s="28" t="s">
        <v>2215</v>
      </c>
      <c r="Z1131" s="28">
        <v>5140102000052</v>
      </c>
      <c r="AA1131" s="28"/>
      <c r="AB1131" s="28" t="s">
        <v>1465</v>
      </c>
      <c r="AC1131" s="28" t="s">
        <v>263</v>
      </c>
    </row>
    <row r="1132" spans="1:29" x14ac:dyDescent="0.25">
      <c r="A1132" s="61">
        <v>110020941383</v>
      </c>
      <c r="B1132" s="28">
        <v>2020</v>
      </c>
      <c r="C1132" s="68">
        <f t="shared" si="17"/>
        <v>43831</v>
      </c>
      <c r="D1132" s="28" t="s">
        <v>1346</v>
      </c>
      <c r="E1132" s="28" t="s">
        <v>2213</v>
      </c>
      <c r="F1132" s="28" t="s">
        <v>1347</v>
      </c>
      <c r="G1132" s="28" t="s">
        <v>324</v>
      </c>
      <c r="H1132" s="28">
        <v>40165</v>
      </c>
      <c r="I1132" s="28">
        <v>37.985444000000001</v>
      </c>
      <c r="J1132" s="28">
        <v>-85.720056</v>
      </c>
      <c r="L1132" s="61">
        <v>110020941383</v>
      </c>
      <c r="M1132" s="28" t="s">
        <v>263</v>
      </c>
      <c r="N1132" s="28">
        <v>4952</v>
      </c>
      <c r="O1132" s="28" t="str">
        <f>IFERROR(VLOOKUP(N1132, 'SIC &amp; NAICS Codes'!A:B, 2, FALSE), "")</f>
        <v>Sewerage Systems</v>
      </c>
      <c r="S1132" s="28">
        <v>1.58875375</v>
      </c>
      <c r="T1132" s="315">
        <f>_xlfn.MAXIFS('Raw Period DMR Data'!$O:$O,'Raw Period DMR Data'!$A:$A,'Raw Annual DMR Data'!B1132,'Raw Period DMR Data'!$C:$C,X1132)/S1132</f>
        <v>0</v>
      </c>
      <c r="U1132" s="28" t="str">
        <f>+IF(COUNTIFS('Raw Period DMR Data'!$A:$A,B1132, 'Raw Period DMR Data'!C:C,'Raw Annual DMR Data'!X1132, 'Raw Period DMR Data'!M:M, "&gt;0")&gt;0,_xlfn.MAXIFS('Raw Period DMR Data'!M:M,'Raw Period DMR Data'!$A:$A,'Raw Annual DMR Data'!B1132,'Raw Period DMR Data'!C:C,'Raw Annual DMR Data'!X1132), "N/A - Period DMR Data Not Available")</f>
        <v>N/A - Period DMR Data Not Available</v>
      </c>
      <c r="V1132" s="28" t="str" cm="1">
        <f t="array" ref="V1132">IFERROR(INDEX('Raw Period DMR Data'!N:N,MATCH(1,(B1132='Raw Period DMR Data'!$A:$A)*(U1132='Raw Period DMR Data'!M:M)*(X1132='Raw Period DMR Data'!C:C),0),1), "N/A")</f>
        <v>N/A</v>
      </c>
      <c r="W1132" s="28" t="s">
        <v>1463</v>
      </c>
      <c r="X1132" s="28" t="s">
        <v>2214</v>
      </c>
      <c r="Y1132" s="28" t="s">
        <v>2215</v>
      </c>
      <c r="Z1132" s="28">
        <v>5140102000052</v>
      </c>
      <c r="AA1132" s="28"/>
      <c r="AB1132" s="28" t="s">
        <v>1465</v>
      </c>
      <c r="AC1132" s="28" t="s">
        <v>263</v>
      </c>
    </row>
    <row r="1133" spans="1:29" x14ac:dyDescent="0.25">
      <c r="A1133" s="61">
        <v>110024409362</v>
      </c>
      <c r="B1133" s="28">
        <v>2017</v>
      </c>
      <c r="C1133" s="68">
        <f t="shared" si="17"/>
        <v>42736</v>
      </c>
      <c r="D1133" s="28" t="s">
        <v>1348</v>
      </c>
      <c r="E1133" s="28" t="s">
        <v>2217</v>
      </c>
      <c r="F1133" s="28" t="s">
        <v>1349</v>
      </c>
      <c r="G1133" s="28" t="s">
        <v>1249</v>
      </c>
      <c r="H1133" s="28">
        <v>87420</v>
      </c>
      <c r="I1133" s="28">
        <v>36.786963999999998</v>
      </c>
      <c r="J1133" s="28">
        <v>-108.711493</v>
      </c>
      <c r="L1133" s="61">
        <v>110024409362</v>
      </c>
      <c r="M1133" s="28" t="s">
        <v>263</v>
      </c>
      <c r="N1133" s="28">
        <v>4952</v>
      </c>
      <c r="O1133" s="28" t="str">
        <f>IFERROR(VLOOKUP(N1133, 'SIC &amp; NAICS Codes'!A:B, 2, FALSE), "")</f>
        <v>Sewerage Systems</v>
      </c>
      <c r="S1133" s="28">
        <v>1.253592</v>
      </c>
      <c r="T1133" s="315">
        <f>_xlfn.MAXIFS('Raw Period DMR Data'!$O:$O,'Raw Period DMR Data'!$A:$A,'Raw Annual DMR Data'!B1133,'Raw Period DMR Data'!$C:$C,X1133)/S1133</f>
        <v>0</v>
      </c>
      <c r="U1133" s="28" t="str">
        <f>+IF(COUNTIFS('Raw Period DMR Data'!$A:$A,B1133, 'Raw Period DMR Data'!C:C,'Raw Annual DMR Data'!X1133, 'Raw Period DMR Data'!M:M, "&gt;0")&gt;0,_xlfn.MAXIFS('Raw Period DMR Data'!M:M,'Raw Period DMR Data'!$A:$A,'Raw Annual DMR Data'!B1133,'Raw Period DMR Data'!C:C,'Raw Annual DMR Data'!X1133), "N/A - Period DMR Data Not Available")</f>
        <v>N/A - Period DMR Data Not Available</v>
      </c>
      <c r="V1133" s="28" t="str" cm="1">
        <f t="array" ref="V1133">IFERROR(INDEX('Raw Period DMR Data'!N:N,MATCH(1,(B1133='Raw Period DMR Data'!$A:$A)*(U1133='Raw Period DMR Data'!M:M)*(X1133='Raw Period DMR Data'!C:C),0),1), "N/A")</f>
        <v>N/A</v>
      </c>
      <c r="W1133" s="28" t="s">
        <v>1463</v>
      </c>
      <c r="X1133" s="28" t="s">
        <v>2218</v>
      </c>
      <c r="Y1133" s="28" t="s">
        <v>2219</v>
      </c>
      <c r="Z1133" s="28">
        <v>14080105001216</v>
      </c>
      <c r="AA1133" s="28"/>
      <c r="AB1133" s="28" t="s">
        <v>1465</v>
      </c>
      <c r="AC1133" s="28" t="s">
        <v>263</v>
      </c>
    </row>
    <row r="1134" spans="1:29" x14ac:dyDescent="0.25">
      <c r="A1134" s="61">
        <v>110024409362</v>
      </c>
      <c r="B1134" s="28">
        <v>2018</v>
      </c>
      <c r="C1134" s="68">
        <f t="shared" si="17"/>
        <v>43101</v>
      </c>
      <c r="D1134" s="28" t="s">
        <v>1348</v>
      </c>
      <c r="E1134" s="28" t="s">
        <v>2217</v>
      </c>
      <c r="F1134" s="28" t="s">
        <v>1349</v>
      </c>
      <c r="G1134" s="28" t="s">
        <v>1249</v>
      </c>
      <c r="H1134" s="28">
        <v>87420</v>
      </c>
      <c r="I1134" s="28">
        <v>36.786963999999998</v>
      </c>
      <c r="J1134" s="28">
        <v>-108.711493</v>
      </c>
      <c r="L1134" s="61">
        <v>110024409362</v>
      </c>
      <c r="M1134" s="28" t="s">
        <v>263</v>
      </c>
      <c r="N1134" s="28">
        <v>4952</v>
      </c>
      <c r="O1134" s="28" t="str">
        <f>IFERROR(VLOOKUP(N1134, 'SIC &amp; NAICS Codes'!A:B, 2, FALSE), "")</f>
        <v>Sewerage Systems</v>
      </c>
      <c r="S1134" s="28">
        <v>1.1021920000000001</v>
      </c>
      <c r="T1134" s="315">
        <f>_xlfn.MAXIFS('Raw Period DMR Data'!$O:$O,'Raw Period DMR Data'!$A:$A,'Raw Annual DMR Data'!B1134,'Raw Period DMR Data'!$C:$C,X1134)/S1134</f>
        <v>0</v>
      </c>
      <c r="U1134" s="28" t="str">
        <f>+IF(COUNTIFS('Raw Period DMR Data'!$A:$A,B1134, 'Raw Period DMR Data'!C:C,'Raw Annual DMR Data'!X1134, 'Raw Period DMR Data'!M:M, "&gt;0")&gt;0,_xlfn.MAXIFS('Raw Period DMR Data'!M:M,'Raw Period DMR Data'!$A:$A,'Raw Annual DMR Data'!B1134,'Raw Period DMR Data'!C:C,'Raw Annual DMR Data'!X1134), "N/A - Period DMR Data Not Available")</f>
        <v>N/A - Period DMR Data Not Available</v>
      </c>
      <c r="V1134" s="28" t="str" cm="1">
        <f t="array" ref="V1134">IFERROR(INDEX('Raw Period DMR Data'!N:N,MATCH(1,(B1134='Raw Period DMR Data'!$A:$A)*(U1134='Raw Period DMR Data'!M:M)*(X1134='Raw Period DMR Data'!C:C),0),1), "N/A")</f>
        <v>N/A</v>
      </c>
      <c r="W1134" s="28" t="s">
        <v>1463</v>
      </c>
      <c r="X1134" s="28" t="s">
        <v>2218</v>
      </c>
      <c r="Y1134" s="28" t="s">
        <v>2219</v>
      </c>
      <c r="Z1134" s="28">
        <v>14080105001216</v>
      </c>
      <c r="AA1134" s="28"/>
      <c r="AB1134" s="28" t="s">
        <v>1465</v>
      </c>
      <c r="AC1134" s="28" t="s">
        <v>263</v>
      </c>
    </row>
    <row r="1135" spans="1:29" x14ac:dyDescent="0.25">
      <c r="A1135" s="61">
        <v>110000501519</v>
      </c>
      <c r="B1135" s="28">
        <v>2019</v>
      </c>
      <c r="C1135" s="68">
        <f t="shared" si="17"/>
        <v>43466</v>
      </c>
      <c r="D1135" s="28" t="s">
        <v>187</v>
      </c>
      <c r="E1135" s="28" t="s">
        <v>614</v>
      </c>
      <c r="F1135" s="28" t="s">
        <v>615</v>
      </c>
      <c r="G1135" s="28" t="s">
        <v>362</v>
      </c>
      <c r="H1135" s="28">
        <v>77520</v>
      </c>
      <c r="I1135" s="28">
        <v>29.771018000000002</v>
      </c>
      <c r="J1135" s="28">
        <v>-95.018456</v>
      </c>
      <c r="K1135" s="28" t="s">
        <v>616</v>
      </c>
      <c r="L1135" s="61">
        <v>110000501519</v>
      </c>
      <c r="M1135" s="28" t="s">
        <v>251</v>
      </c>
      <c r="N1135" s="28">
        <v>2869</v>
      </c>
      <c r="O1135" s="28" t="str">
        <f>IFERROR(VLOOKUP(N1135, 'SIC &amp; NAICS Codes'!A:B, 2, FALSE), "")</f>
        <v>Industrial Organic Chemicals, NEC (aliphatics)</v>
      </c>
      <c r="S1135" s="28">
        <v>9.8364579999999995E-5</v>
      </c>
      <c r="T1135" s="315">
        <f>_xlfn.MAXIFS('Raw Period DMR Data'!$O:$O,'Raw Period DMR Data'!$A:$A,'Raw Annual DMR Data'!B1135,'Raw Period DMR Data'!$C:$C,X1135)/S1135</f>
        <v>0</v>
      </c>
      <c r="U1135" s="28" t="str">
        <f>+IF(COUNTIFS('Raw Period DMR Data'!$A:$A,B1135, 'Raw Period DMR Data'!C:C,'Raw Annual DMR Data'!X1135, 'Raw Period DMR Data'!M:M, "&gt;0")&gt;0,_xlfn.MAXIFS('Raw Period DMR Data'!M:M,'Raw Period DMR Data'!$A:$A,'Raw Annual DMR Data'!B1135,'Raw Period DMR Data'!C:C,'Raw Annual DMR Data'!X1135), "N/A - Period DMR Data Not Available")</f>
        <v>N/A - Period DMR Data Not Available</v>
      </c>
      <c r="V1135" s="28" t="str" cm="1">
        <f t="array" ref="V1135">IFERROR(INDEX('Raw Period DMR Data'!N:N,MATCH(1,(B1135='Raw Period DMR Data'!$A:$A)*(U1135='Raw Period DMR Data'!M:M)*(X1135='Raw Period DMR Data'!C:C),0),1), "N/A")</f>
        <v>N/A</v>
      </c>
      <c r="W1135" s="28" t="s">
        <v>1463</v>
      </c>
      <c r="X1135" s="28" t="s">
        <v>929</v>
      </c>
      <c r="Y1135" s="28" t="s">
        <v>930</v>
      </c>
      <c r="Z1135" s="61">
        <v>12040104015035</v>
      </c>
    </row>
    <row r="1136" spans="1:29" x14ac:dyDescent="0.25">
      <c r="A1136" s="61">
        <v>110000501519</v>
      </c>
      <c r="B1136" s="28">
        <v>2020</v>
      </c>
      <c r="C1136" s="68">
        <f t="shared" si="17"/>
        <v>43831</v>
      </c>
      <c r="D1136" s="28" t="s">
        <v>187</v>
      </c>
      <c r="E1136" s="28" t="s">
        <v>614</v>
      </c>
      <c r="F1136" s="28" t="s">
        <v>615</v>
      </c>
      <c r="G1136" s="28" t="s">
        <v>362</v>
      </c>
      <c r="H1136" s="28">
        <v>77520</v>
      </c>
      <c r="I1136" s="28">
        <v>29.771018000000002</v>
      </c>
      <c r="J1136" s="28">
        <v>-95.018456</v>
      </c>
      <c r="K1136" s="28" t="s">
        <v>616</v>
      </c>
      <c r="L1136" s="61">
        <v>110000501519</v>
      </c>
      <c r="M1136" s="28" t="s">
        <v>251</v>
      </c>
      <c r="N1136" s="28">
        <v>2869</v>
      </c>
      <c r="O1136" s="28" t="str">
        <f>IFERROR(VLOOKUP(N1136, 'SIC &amp; NAICS Codes'!A:B, 2, FALSE), "")</f>
        <v>Industrial Organic Chemicals, NEC (aliphatics)</v>
      </c>
      <c r="S1136" s="28">
        <v>4.9513856E-5</v>
      </c>
      <c r="T1136" s="315">
        <f>_xlfn.MAXIFS('Raw Period DMR Data'!$O:$O,'Raw Period DMR Data'!$A:$A,'Raw Annual DMR Data'!B1136,'Raw Period DMR Data'!$C:$C,X1136)/S1136</f>
        <v>0</v>
      </c>
      <c r="U1136" s="28" t="str">
        <f>+IF(COUNTIFS('Raw Period DMR Data'!$A:$A,B1136, 'Raw Period DMR Data'!C:C,'Raw Annual DMR Data'!X1136, 'Raw Period DMR Data'!M:M, "&gt;0")&gt;0,_xlfn.MAXIFS('Raw Period DMR Data'!M:M,'Raw Period DMR Data'!$A:$A,'Raw Annual DMR Data'!B1136,'Raw Period DMR Data'!C:C,'Raw Annual DMR Data'!X1136), "N/A - Period DMR Data Not Available")</f>
        <v>N/A - Period DMR Data Not Available</v>
      </c>
      <c r="V1136" s="28" t="str" cm="1">
        <f t="array" ref="V1136">IFERROR(INDEX('Raw Period DMR Data'!N:N,MATCH(1,(B1136='Raw Period DMR Data'!$A:$A)*(U1136='Raw Period DMR Data'!M:M)*(X1136='Raw Period DMR Data'!C:C),0),1), "N/A")</f>
        <v>N/A</v>
      </c>
      <c r="W1136" s="28" t="s">
        <v>1463</v>
      </c>
      <c r="X1136" s="28" t="s">
        <v>929</v>
      </c>
      <c r="Y1136" s="28" t="s">
        <v>930</v>
      </c>
      <c r="Z1136" s="61">
        <v>12040104015035</v>
      </c>
    </row>
    <row r="1137" spans="1:29" x14ac:dyDescent="0.25">
      <c r="A1137" s="61">
        <v>110000572782</v>
      </c>
      <c r="B1137" s="28">
        <v>2015</v>
      </c>
      <c r="C1137" s="68">
        <f t="shared" si="17"/>
        <v>42005</v>
      </c>
      <c r="D1137" s="28" t="s">
        <v>188</v>
      </c>
      <c r="E1137" s="28" t="s">
        <v>617</v>
      </c>
      <c r="F1137" s="28" t="s">
        <v>618</v>
      </c>
      <c r="G1137" s="28" t="s">
        <v>311</v>
      </c>
      <c r="H1137" s="28">
        <v>265019624</v>
      </c>
      <c r="I1137" s="28">
        <v>39.599829999999997</v>
      </c>
      <c r="J1137" s="28">
        <v>-79.97148</v>
      </c>
      <c r="K1137" s="28" t="s">
        <v>619</v>
      </c>
      <c r="L1137" s="61">
        <v>110000572782</v>
      </c>
      <c r="M1137" s="28" t="s">
        <v>251</v>
      </c>
      <c r="N1137" s="28">
        <v>2869</v>
      </c>
      <c r="O1137" s="28" t="str">
        <f>IFERROR(VLOOKUP(N1137, 'SIC &amp; NAICS Codes'!A:B, 2, FALSE), "")</f>
        <v>Industrial Organic Chemicals, NEC (aliphatics)</v>
      </c>
      <c r="S1137" s="28">
        <v>2.3259637188208601E-2</v>
      </c>
      <c r="T1137" s="315">
        <f>_xlfn.MAXIFS('Raw Period DMR Data'!$O:$O,'Raw Period DMR Data'!$A:$A,'Raw Annual DMR Data'!B1137,'Raw Period DMR Data'!$C:$C,X1137)/S1137</f>
        <v>0</v>
      </c>
      <c r="U1137" s="28" t="str">
        <f>+IF(COUNTIFS('Raw Period DMR Data'!$A:$A,B1137, 'Raw Period DMR Data'!C:C,'Raw Annual DMR Data'!X1137, 'Raw Period DMR Data'!M:M, "&gt;0")&gt;0,_xlfn.MAXIFS('Raw Period DMR Data'!M:M,'Raw Period DMR Data'!$A:$A,'Raw Annual DMR Data'!B1137,'Raw Period DMR Data'!C:C,'Raw Annual DMR Data'!X1137), "N/A - Period DMR Data Not Available")</f>
        <v>N/A - Period DMR Data Not Available</v>
      </c>
      <c r="V1137" s="28" t="str" cm="1">
        <f t="array" ref="V1137">IFERROR(INDEX('Raw Period DMR Data'!N:N,MATCH(1,(B1137='Raw Period DMR Data'!$A:$A)*(U1137='Raw Period DMR Data'!M:M)*(X1137='Raw Period DMR Data'!C:C),0),1), "N/A")</f>
        <v>N/A</v>
      </c>
      <c r="W1137" s="28" t="s">
        <v>1463</v>
      </c>
      <c r="X1137" s="28" t="s">
        <v>931</v>
      </c>
      <c r="Y1137" s="28" t="s">
        <v>932</v>
      </c>
      <c r="Z1137" s="61">
        <v>5020003000026</v>
      </c>
    </row>
    <row r="1138" spans="1:29" x14ac:dyDescent="0.25">
      <c r="A1138" s="61">
        <v>110000572782</v>
      </c>
      <c r="B1138" s="28">
        <v>2015</v>
      </c>
      <c r="C1138" s="68">
        <f t="shared" si="17"/>
        <v>42005</v>
      </c>
      <c r="D1138" s="28" t="s">
        <v>188</v>
      </c>
      <c r="E1138" s="28" t="s">
        <v>617</v>
      </c>
      <c r="F1138" s="28" t="s">
        <v>618</v>
      </c>
      <c r="G1138" s="28" t="s">
        <v>311</v>
      </c>
      <c r="H1138" s="28">
        <v>265019624</v>
      </c>
      <c r="I1138" s="28">
        <v>39.599829999999997</v>
      </c>
      <c r="J1138" s="28">
        <v>-79.97148</v>
      </c>
      <c r="K1138" s="28" t="s">
        <v>619</v>
      </c>
      <c r="L1138" s="61">
        <v>110000572782</v>
      </c>
      <c r="M1138" s="28" t="s">
        <v>251</v>
      </c>
      <c r="N1138" s="28">
        <v>2869</v>
      </c>
      <c r="O1138" s="28" t="str">
        <f>IFERROR(VLOOKUP(N1138, 'SIC &amp; NAICS Codes'!A:B, 2, FALSE), "")</f>
        <v>Industrial Organic Chemicals, NEC (aliphatics)</v>
      </c>
      <c r="S1138" s="28">
        <v>4.3130075000000004E-3</v>
      </c>
      <c r="T1138" s="315">
        <f>_xlfn.MAXIFS('Raw Period DMR Data'!$O:$O,'Raw Period DMR Data'!$A:$A,'Raw Annual DMR Data'!B1138,'Raw Period DMR Data'!$C:$C,X1138)/S1138</f>
        <v>0</v>
      </c>
      <c r="U1138" s="28" t="str">
        <f>+IF(COUNTIFS('Raw Period DMR Data'!$A:$A,B1138, 'Raw Period DMR Data'!C:C,'Raw Annual DMR Data'!X1138, 'Raw Period DMR Data'!M:M, "&gt;0")&gt;0,_xlfn.MAXIFS('Raw Period DMR Data'!M:M,'Raw Period DMR Data'!$A:$A,'Raw Annual DMR Data'!B1138,'Raw Period DMR Data'!C:C,'Raw Annual DMR Data'!X1138), "N/A - Period DMR Data Not Available")</f>
        <v>N/A - Period DMR Data Not Available</v>
      </c>
      <c r="V1138" s="28" t="str" cm="1">
        <f t="array" ref="V1138">IFERROR(INDEX('Raw Period DMR Data'!N:N,MATCH(1,(B1138='Raw Period DMR Data'!$A:$A)*(U1138='Raw Period DMR Data'!M:M)*(X1138='Raw Period DMR Data'!C:C),0),1), "N/A")</f>
        <v>N/A</v>
      </c>
      <c r="W1138" s="28" t="s">
        <v>1463</v>
      </c>
      <c r="X1138" s="28" t="s">
        <v>931</v>
      </c>
      <c r="Y1138" s="28" t="s">
        <v>932</v>
      </c>
      <c r="Z1138" s="61">
        <v>5020003000026</v>
      </c>
    </row>
    <row r="1139" spans="1:29" x14ac:dyDescent="0.25">
      <c r="A1139" s="61">
        <v>110000572782</v>
      </c>
      <c r="B1139" s="28">
        <v>2016</v>
      </c>
      <c r="C1139" s="68">
        <f t="shared" si="17"/>
        <v>42370</v>
      </c>
      <c r="D1139" s="28" t="s">
        <v>188</v>
      </c>
      <c r="E1139" s="28" t="s">
        <v>617</v>
      </c>
      <c r="F1139" s="28" t="s">
        <v>618</v>
      </c>
      <c r="G1139" s="28" t="s">
        <v>311</v>
      </c>
      <c r="H1139" s="28">
        <v>265019624</v>
      </c>
      <c r="I1139" s="28">
        <v>39.599829999999997</v>
      </c>
      <c r="J1139" s="28">
        <v>-79.97148</v>
      </c>
      <c r="K1139" s="28" t="s">
        <v>619</v>
      </c>
      <c r="L1139" s="61">
        <v>110000572782</v>
      </c>
      <c r="M1139" s="28" t="s">
        <v>251</v>
      </c>
      <c r="N1139" s="28">
        <v>2869</v>
      </c>
      <c r="O1139" s="28" t="str">
        <f>IFERROR(VLOOKUP(N1139, 'SIC &amp; NAICS Codes'!A:B, 2, FALSE), "")</f>
        <v>Industrial Organic Chemicals, NEC (aliphatics)</v>
      </c>
      <c r="S1139" s="28">
        <v>2.1519274376417201E-2</v>
      </c>
      <c r="T1139" s="315">
        <f>_xlfn.MAXIFS('Raw Period DMR Data'!$O:$O,'Raw Period DMR Data'!$A:$A,'Raw Annual DMR Data'!B1139,'Raw Period DMR Data'!$C:$C,X1139)/S1139</f>
        <v>0</v>
      </c>
      <c r="U1139" s="28" t="str">
        <f>+IF(COUNTIFS('Raw Period DMR Data'!$A:$A,B1139, 'Raw Period DMR Data'!C:C,'Raw Annual DMR Data'!X1139, 'Raw Period DMR Data'!M:M, "&gt;0")&gt;0,_xlfn.MAXIFS('Raw Period DMR Data'!M:M,'Raw Period DMR Data'!$A:$A,'Raw Annual DMR Data'!B1139,'Raw Period DMR Data'!C:C,'Raw Annual DMR Data'!X1139), "N/A - Period DMR Data Not Available")</f>
        <v>N/A - Period DMR Data Not Available</v>
      </c>
      <c r="V1139" s="28" t="str" cm="1">
        <f t="array" ref="V1139">IFERROR(INDEX('Raw Period DMR Data'!N:N,MATCH(1,(B1139='Raw Period DMR Data'!$A:$A)*(U1139='Raw Period DMR Data'!M:M)*(X1139='Raw Period DMR Data'!C:C),0),1), "N/A")</f>
        <v>N/A</v>
      </c>
      <c r="W1139" s="28" t="s">
        <v>1463</v>
      </c>
      <c r="X1139" s="28" t="s">
        <v>931</v>
      </c>
      <c r="Y1139" s="28" t="s">
        <v>932</v>
      </c>
      <c r="Z1139" s="61">
        <v>5020003000026</v>
      </c>
      <c r="AA1139" s="28"/>
    </row>
    <row r="1140" spans="1:29" x14ac:dyDescent="0.25">
      <c r="A1140" s="61">
        <v>110000572782</v>
      </c>
      <c r="B1140" s="28">
        <v>2016</v>
      </c>
      <c r="C1140" s="68">
        <f t="shared" si="17"/>
        <v>42370</v>
      </c>
      <c r="D1140" s="28" t="s">
        <v>188</v>
      </c>
      <c r="E1140" s="28" t="s">
        <v>617</v>
      </c>
      <c r="F1140" s="28" t="s">
        <v>618</v>
      </c>
      <c r="G1140" s="28" t="s">
        <v>311</v>
      </c>
      <c r="H1140" s="28">
        <v>265019624</v>
      </c>
      <c r="I1140" s="28">
        <v>39.599829999999997</v>
      </c>
      <c r="J1140" s="28">
        <v>-79.97148</v>
      </c>
      <c r="K1140" s="28" t="s">
        <v>619</v>
      </c>
      <c r="L1140" s="61">
        <v>110000572782</v>
      </c>
      <c r="M1140" s="28" t="s">
        <v>251</v>
      </c>
      <c r="N1140" s="28">
        <v>2869</v>
      </c>
      <c r="O1140" s="28" t="str">
        <f>IFERROR(VLOOKUP(N1140, 'SIC &amp; NAICS Codes'!A:B, 2, FALSE), "")</f>
        <v>Industrial Organic Chemicals, NEC (aliphatics)</v>
      </c>
      <c r="S1140" s="28">
        <v>1.152332652E-2</v>
      </c>
      <c r="T1140" s="315">
        <f>_xlfn.MAXIFS('Raw Period DMR Data'!$O:$O,'Raw Period DMR Data'!$A:$A,'Raw Annual DMR Data'!B1140,'Raw Period DMR Data'!$C:$C,X1140)/S1140</f>
        <v>0</v>
      </c>
      <c r="U1140" s="28" t="str">
        <f>+IF(COUNTIFS('Raw Period DMR Data'!$A:$A,B1140, 'Raw Period DMR Data'!C:C,'Raw Annual DMR Data'!X1140, 'Raw Period DMR Data'!M:M, "&gt;0")&gt;0,_xlfn.MAXIFS('Raw Period DMR Data'!M:M,'Raw Period DMR Data'!$A:$A,'Raw Annual DMR Data'!B1140,'Raw Period DMR Data'!C:C,'Raw Annual DMR Data'!X1140), "N/A - Period DMR Data Not Available")</f>
        <v>N/A - Period DMR Data Not Available</v>
      </c>
      <c r="V1140" s="28" t="str" cm="1">
        <f t="array" ref="V1140">IFERROR(INDEX('Raw Period DMR Data'!N:N,MATCH(1,(B1140='Raw Period DMR Data'!$A:$A)*(U1140='Raw Period DMR Data'!M:M)*(X1140='Raw Period DMR Data'!C:C),0),1), "N/A")</f>
        <v>N/A</v>
      </c>
      <c r="W1140" s="28" t="s">
        <v>1463</v>
      </c>
      <c r="X1140" s="28" t="s">
        <v>931</v>
      </c>
      <c r="Y1140" s="28" t="s">
        <v>932</v>
      </c>
      <c r="Z1140" s="61">
        <v>5020003000026</v>
      </c>
      <c r="AA1140" s="28"/>
    </row>
    <row r="1141" spans="1:29" x14ac:dyDescent="0.25">
      <c r="A1141" s="61">
        <v>110000572782</v>
      </c>
      <c r="B1141" s="28">
        <v>2017</v>
      </c>
      <c r="C1141" s="68">
        <f t="shared" si="17"/>
        <v>42736</v>
      </c>
      <c r="D1141" s="28" t="s">
        <v>188</v>
      </c>
      <c r="E1141" s="28" t="s">
        <v>617</v>
      </c>
      <c r="F1141" s="28" t="s">
        <v>618</v>
      </c>
      <c r="G1141" s="28" t="s">
        <v>311</v>
      </c>
      <c r="H1141" s="28">
        <v>265019624</v>
      </c>
      <c r="I1141" s="28">
        <v>39.599829999999997</v>
      </c>
      <c r="J1141" s="28">
        <v>-79.97148</v>
      </c>
      <c r="K1141" s="28" t="s">
        <v>619</v>
      </c>
      <c r="L1141" s="61">
        <v>110000572782</v>
      </c>
      <c r="M1141" s="28" t="s">
        <v>251</v>
      </c>
      <c r="N1141" s="28">
        <v>2869</v>
      </c>
      <c r="O1141" s="28" t="str">
        <f>IFERROR(VLOOKUP(N1141, 'SIC &amp; NAICS Codes'!A:B, 2, FALSE), "")</f>
        <v>Industrial Organic Chemicals, NEC (aliphatics)</v>
      </c>
      <c r="S1141" s="28">
        <v>2.3356009070294701E-2</v>
      </c>
      <c r="T1141" s="315">
        <f>_xlfn.MAXIFS('Raw Period DMR Data'!$O:$O,'Raw Period DMR Data'!$A:$A,'Raw Annual DMR Data'!B1141,'Raw Period DMR Data'!$C:$C,X1141)/S1141</f>
        <v>0</v>
      </c>
      <c r="U1141" s="28" t="str">
        <f>+IF(COUNTIFS('Raw Period DMR Data'!$A:$A,B1141, 'Raw Period DMR Data'!C:C,'Raw Annual DMR Data'!X1141, 'Raw Period DMR Data'!M:M, "&gt;0")&gt;0,_xlfn.MAXIFS('Raw Period DMR Data'!M:M,'Raw Period DMR Data'!$A:$A,'Raw Annual DMR Data'!B1141,'Raw Period DMR Data'!C:C,'Raw Annual DMR Data'!X1141), "N/A - Period DMR Data Not Available")</f>
        <v>N/A - Period DMR Data Not Available</v>
      </c>
      <c r="V1141" s="28" t="str" cm="1">
        <f t="array" ref="V1141">IFERROR(INDEX('Raw Period DMR Data'!N:N,MATCH(1,(B1141='Raw Period DMR Data'!$A:$A)*(U1141='Raw Period DMR Data'!M:M)*(X1141='Raw Period DMR Data'!C:C),0),1), "N/A")</f>
        <v>N/A</v>
      </c>
      <c r="W1141" s="28" t="s">
        <v>1463</v>
      </c>
      <c r="X1141" s="28" t="s">
        <v>931</v>
      </c>
      <c r="Y1141" s="28" t="s">
        <v>932</v>
      </c>
      <c r="Z1141" s="61">
        <v>5020003000026</v>
      </c>
      <c r="AA1141" s="28"/>
    </row>
    <row r="1142" spans="1:29" x14ac:dyDescent="0.25">
      <c r="A1142" s="61">
        <v>110000572782</v>
      </c>
      <c r="B1142" s="28">
        <v>2017</v>
      </c>
      <c r="C1142" s="68">
        <f t="shared" si="17"/>
        <v>42736</v>
      </c>
      <c r="D1142" s="28" t="s">
        <v>188</v>
      </c>
      <c r="E1142" s="28" t="s">
        <v>617</v>
      </c>
      <c r="F1142" s="28" t="s">
        <v>618</v>
      </c>
      <c r="G1142" s="28" t="s">
        <v>311</v>
      </c>
      <c r="H1142" s="28">
        <v>265019624</v>
      </c>
      <c r="I1142" s="28">
        <v>39.599829999999997</v>
      </c>
      <c r="J1142" s="28">
        <v>-79.97148</v>
      </c>
      <c r="K1142" s="28" t="s">
        <v>619</v>
      </c>
      <c r="L1142" s="61">
        <v>110000572782</v>
      </c>
      <c r="M1142" s="28" t="s">
        <v>251</v>
      </c>
      <c r="N1142" s="28">
        <v>2869</v>
      </c>
      <c r="O1142" s="28" t="str">
        <f>IFERROR(VLOOKUP(N1142, 'SIC &amp; NAICS Codes'!A:B, 2, FALSE), "")</f>
        <v>Industrial Organic Chemicals, NEC (aliphatics)</v>
      </c>
      <c r="S1142" s="28">
        <v>8.3365571249999996E-3</v>
      </c>
      <c r="T1142" s="315">
        <f>_xlfn.MAXIFS('Raw Period DMR Data'!$O:$O,'Raw Period DMR Data'!$A:$A,'Raw Annual DMR Data'!B1142,'Raw Period DMR Data'!$C:$C,X1142)/S1142</f>
        <v>0</v>
      </c>
      <c r="U1142" s="28" t="str">
        <f>+IF(COUNTIFS('Raw Period DMR Data'!$A:$A,B1142, 'Raw Period DMR Data'!C:C,'Raw Annual DMR Data'!X1142, 'Raw Period DMR Data'!M:M, "&gt;0")&gt;0,_xlfn.MAXIFS('Raw Period DMR Data'!M:M,'Raw Period DMR Data'!$A:$A,'Raw Annual DMR Data'!B1142,'Raw Period DMR Data'!C:C,'Raw Annual DMR Data'!X1142), "N/A - Period DMR Data Not Available")</f>
        <v>N/A - Period DMR Data Not Available</v>
      </c>
      <c r="V1142" s="28" t="str" cm="1">
        <f t="array" ref="V1142">IFERROR(INDEX('Raw Period DMR Data'!N:N,MATCH(1,(B1142='Raw Period DMR Data'!$A:$A)*(U1142='Raw Period DMR Data'!M:M)*(X1142='Raw Period DMR Data'!C:C),0),1), "N/A")</f>
        <v>N/A</v>
      </c>
      <c r="W1142" s="28" t="s">
        <v>1463</v>
      </c>
      <c r="X1142" s="28" t="s">
        <v>931</v>
      </c>
      <c r="Y1142" s="28" t="s">
        <v>932</v>
      </c>
      <c r="Z1142" s="61">
        <v>5020003000026</v>
      </c>
      <c r="AA1142" s="28"/>
    </row>
    <row r="1143" spans="1:29" x14ac:dyDescent="0.25">
      <c r="A1143" s="61">
        <v>110000572782</v>
      </c>
      <c r="B1143" s="28">
        <v>2018</v>
      </c>
      <c r="C1143" s="68">
        <f t="shared" si="17"/>
        <v>43101</v>
      </c>
      <c r="D1143" s="28" t="s">
        <v>188</v>
      </c>
      <c r="E1143" s="28" t="s">
        <v>617</v>
      </c>
      <c r="F1143" s="28" t="s">
        <v>618</v>
      </c>
      <c r="G1143" s="28" t="s">
        <v>311</v>
      </c>
      <c r="H1143" s="28">
        <v>265019624</v>
      </c>
      <c r="I1143" s="28">
        <v>39.599829999999997</v>
      </c>
      <c r="J1143" s="28">
        <v>-79.97148</v>
      </c>
      <c r="K1143" s="28" t="s">
        <v>619</v>
      </c>
      <c r="L1143" s="61">
        <v>110000572782</v>
      </c>
      <c r="M1143" s="28" t="s">
        <v>251</v>
      </c>
      <c r="N1143" s="28">
        <v>2869</v>
      </c>
      <c r="O1143" s="28" t="str">
        <f>IFERROR(VLOOKUP(N1143, 'SIC &amp; NAICS Codes'!A:B, 2, FALSE), "")</f>
        <v>Industrial Organic Chemicals, NEC (aliphatics)</v>
      </c>
      <c r="S1143" s="28">
        <v>1.09750566893424E-2</v>
      </c>
      <c r="T1143" s="315">
        <f>_xlfn.MAXIFS('Raw Period DMR Data'!$O:$O,'Raw Period DMR Data'!$A:$A,'Raw Annual DMR Data'!B1143,'Raw Period DMR Data'!$C:$C,X1143)/S1143</f>
        <v>0</v>
      </c>
      <c r="U1143" s="28" t="str">
        <f>+IF(COUNTIFS('Raw Period DMR Data'!$A:$A,B1143, 'Raw Period DMR Data'!C:C,'Raw Annual DMR Data'!X1143, 'Raw Period DMR Data'!M:M, "&gt;0")&gt;0,_xlfn.MAXIFS('Raw Period DMR Data'!M:M,'Raw Period DMR Data'!$A:$A,'Raw Annual DMR Data'!B1143,'Raw Period DMR Data'!C:C,'Raw Annual DMR Data'!X1143), "N/A - Period DMR Data Not Available")</f>
        <v>N/A - Period DMR Data Not Available</v>
      </c>
      <c r="V1143" s="28" t="str" cm="1">
        <f t="array" ref="V1143">IFERROR(INDEX('Raw Period DMR Data'!N:N,MATCH(1,(B1143='Raw Period DMR Data'!$A:$A)*(U1143='Raw Period DMR Data'!M:M)*(X1143='Raw Period DMR Data'!C:C),0),1), "N/A")</f>
        <v>N/A</v>
      </c>
      <c r="W1143" s="28" t="s">
        <v>1463</v>
      </c>
      <c r="X1143" s="28" t="s">
        <v>931</v>
      </c>
      <c r="Y1143" s="28" t="s">
        <v>932</v>
      </c>
      <c r="Z1143" s="61">
        <v>5020003000026</v>
      </c>
    </row>
    <row r="1144" spans="1:29" x14ac:dyDescent="0.25">
      <c r="A1144" s="61">
        <v>110000572782</v>
      </c>
      <c r="B1144" s="28">
        <v>2019</v>
      </c>
      <c r="C1144" s="68">
        <f t="shared" si="17"/>
        <v>43466</v>
      </c>
      <c r="D1144" s="28" t="s">
        <v>188</v>
      </c>
      <c r="E1144" s="28" t="s">
        <v>617</v>
      </c>
      <c r="F1144" s="28" t="s">
        <v>618</v>
      </c>
      <c r="G1144" s="28" t="s">
        <v>311</v>
      </c>
      <c r="H1144" s="28">
        <v>265019624</v>
      </c>
      <c r="I1144" s="28">
        <v>39.599829999999997</v>
      </c>
      <c r="J1144" s="28">
        <v>-79.97148</v>
      </c>
      <c r="K1144" s="28" t="s">
        <v>619</v>
      </c>
      <c r="L1144" s="61">
        <v>110000572782</v>
      </c>
      <c r="M1144" s="28" t="s">
        <v>251</v>
      </c>
      <c r="N1144" s="28">
        <v>2869</v>
      </c>
      <c r="O1144" s="28" t="str">
        <f>IFERROR(VLOOKUP(N1144, 'SIC &amp; NAICS Codes'!A:B, 2, FALSE), "")</f>
        <v>Industrial Organic Chemicals, NEC (aliphatics)</v>
      </c>
      <c r="S1144" s="28">
        <v>2.00907029478458E-2</v>
      </c>
      <c r="T1144" s="315">
        <f>_xlfn.MAXIFS('Raw Period DMR Data'!$O:$O,'Raw Period DMR Data'!$A:$A,'Raw Annual DMR Data'!B1144,'Raw Period DMR Data'!$C:$C,X1144)/S1144</f>
        <v>0</v>
      </c>
      <c r="U1144" s="28" t="str">
        <f>+IF(COUNTIFS('Raw Period DMR Data'!$A:$A,B1144, 'Raw Period DMR Data'!C:C,'Raw Annual DMR Data'!X1144, 'Raw Period DMR Data'!M:M, "&gt;0")&gt;0,_xlfn.MAXIFS('Raw Period DMR Data'!M:M,'Raw Period DMR Data'!$A:$A,'Raw Annual DMR Data'!B1144,'Raw Period DMR Data'!C:C,'Raw Annual DMR Data'!X1144), "N/A - Period DMR Data Not Available")</f>
        <v>N/A - Period DMR Data Not Available</v>
      </c>
      <c r="V1144" s="28" t="str" cm="1">
        <f t="array" ref="V1144">IFERROR(INDEX('Raw Period DMR Data'!N:N,MATCH(1,(B1144='Raw Period DMR Data'!$A:$A)*(U1144='Raw Period DMR Data'!M:M)*(X1144='Raw Period DMR Data'!C:C),0),1), "N/A")</f>
        <v>N/A</v>
      </c>
      <c r="W1144" s="28" t="s">
        <v>1463</v>
      </c>
      <c r="X1144" s="28" t="s">
        <v>931</v>
      </c>
      <c r="Y1144" s="28" t="s">
        <v>932</v>
      </c>
      <c r="Z1144" s="61">
        <v>5020003000026</v>
      </c>
    </row>
    <row r="1145" spans="1:29" x14ac:dyDescent="0.25">
      <c r="A1145" s="61">
        <v>110000572782</v>
      </c>
      <c r="B1145" s="28">
        <v>2020</v>
      </c>
      <c r="C1145" s="68">
        <f t="shared" si="17"/>
        <v>43831</v>
      </c>
      <c r="D1145" s="28" t="s">
        <v>188</v>
      </c>
      <c r="E1145" s="28" t="s">
        <v>617</v>
      </c>
      <c r="F1145" s="28" t="s">
        <v>618</v>
      </c>
      <c r="G1145" s="28" t="s">
        <v>311</v>
      </c>
      <c r="H1145" s="28">
        <v>265019624</v>
      </c>
      <c r="I1145" s="28">
        <v>39.599829999999997</v>
      </c>
      <c r="J1145" s="28">
        <v>-79.97148</v>
      </c>
      <c r="K1145" s="28" t="s">
        <v>619</v>
      </c>
      <c r="L1145" s="61">
        <v>110000572782</v>
      </c>
      <c r="M1145" s="28" t="s">
        <v>251</v>
      </c>
      <c r="N1145" s="28">
        <v>2869</v>
      </c>
      <c r="O1145" s="28" t="str">
        <f>IFERROR(VLOOKUP(N1145, 'SIC &amp; NAICS Codes'!A:B, 2, FALSE), "")</f>
        <v>Industrial Organic Chemicals, NEC (aliphatics)</v>
      </c>
      <c r="S1145" s="28">
        <v>3.9989584799999998E-2</v>
      </c>
      <c r="T1145" s="315">
        <f>_xlfn.MAXIFS('Raw Period DMR Data'!$O:$O,'Raw Period DMR Data'!$A:$A,'Raw Annual DMR Data'!B1145,'Raw Period DMR Data'!$C:$C,X1145)/S1145</f>
        <v>0</v>
      </c>
      <c r="U1145" s="28" t="str">
        <f>+IF(COUNTIFS('Raw Period DMR Data'!$A:$A,B1145, 'Raw Period DMR Data'!C:C,'Raw Annual DMR Data'!X1145, 'Raw Period DMR Data'!M:M, "&gt;0")&gt;0,_xlfn.MAXIFS('Raw Period DMR Data'!M:M,'Raw Period DMR Data'!$A:$A,'Raw Annual DMR Data'!B1145,'Raw Period DMR Data'!C:C,'Raw Annual DMR Data'!X1145), "N/A - Period DMR Data Not Available")</f>
        <v>N/A - Period DMR Data Not Available</v>
      </c>
      <c r="V1145" s="28" t="str" cm="1">
        <f t="array" ref="V1145">IFERROR(INDEX('Raw Period DMR Data'!N:N,MATCH(1,(B1145='Raw Period DMR Data'!$A:$A)*(U1145='Raw Period DMR Data'!M:M)*(X1145='Raw Period DMR Data'!C:C),0),1), "N/A")</f>
        <v>N/A</v>
      </c>
      <c r="W1145" s="28" t="s">
        <v>1463</v>
      </c>
      <c r="X1145" s="28" t="s">
        <v>931</v>
      </c>
      <c r="Y1145" s="28" t="s">
        <v>932</v>
      </c>
      <c r="Z1145" s="61">
        <v>5020003000026</v>
      </c>
    </row>
    <row r="1146" spans="1:29" x14ac:dyDescent="0.25">
      <c r="A1146" s="61">
        <v>110000572782</v>
      </c>
      <c r="B1146" s="28">
        <v>2020</v>
      </c>
      <c r="C1146" s="68">
        <f t="shared" si="17"/>
        <v>43831</v>
      </c>
      <c r="D1146" s="28" t="s">
        <v>188</v>
      </c>
      <c r="E1146" s="28" t="s">
        <v>617</v>
      </c>
      <c r="F1146" s="28" t="s">
        <v>618</v>
      </c>
      <c r="G1146" s="28" t="s">
        <v>311</v>
      </c>
      <c r="H1146" s="28">
        <v>265019624</v>
      </c>
      <c r="I1146" s="28">
        <v>39.599829999999997</v>
      </c>
      <c r="J1146" s="28">
        <v>-79.97148</v>
      </c>
      <c r="K1146" s="28" t="s">
        <v>619</v>
      </c>
      <c r="L1146" s="61">
        <v>110000572782</v>
      </c>
      <c r="M1146" s="28" t="s">
        <v>251</v>
      </c>
      <c r="N1146" s="28">
        <v>2869</v>
      </c>
      <c r="O1146" s="28" t="str">
        <f>IFERROR(VLOOKUP(N1146, 'SIC &amp; NAICS Codes'!A:B, 2, FALSE), "")</f>
        <v>Industrial Organic Chemicals, NEC (aliphatics)</v>
      </c>
      <c r="S1146" s="28">
        <v>3.8140589569160901E-2</v>
      </c>
      <c r="T1146" s="315">
        <f>_xlfn.MAXIFS('Raw Period DMR Data'!$O:$O,'Raw Period DMR Data'!$A:$A,'Raw Annual DMR Data'!B1146,'Raw Period DMR Data'!$C:$C,X1146)/S1146</f>
        <v>0</v>
      </c>
      <c r="U1146" s="28" t="str">
        <f>+IF(COUNTIFS('Raw Period DMR Data'!$A:$A,B1146, 'Raw Period DMR Data'!C:C,'Raw Annual DMR Data'!X1146, 'Raw Period DMR Data'!M:M, "&gt;0")&gt;0,_xlfn.MAXIFS('Raw Period DMR Data'!M:M,'Raw Period DMR Data'!$A:$A,'Raw Annual DMR Data'!B1146,'Raw Period DMR Data'!C:C,'Raw Annual DMR Data'!X1146), "N/A - Period DMR Data Not Available")</f>
        <v>N/A - Period DMR Data Not Available</v>
      </c>
      <c r="V1146" s="28" t="str" cm="1">
        <f t="array" ref="V1146">IFERROR(INDEX('Raw Period DMR Data'!N:N,MATCH(1,(B1146='Raw Period DMR Data'!$A:$A)*(U1146='Raw Period DMR Data'!M:M)*(X1146='Raw Period DMR Data'!C:C),0),1), "N/A")</f>
        <v>N/A</v>
      </c>
      <c r="W1146" s="28" t="s">
        <v>1463</v>
      </c>
      <c r="X1146" s="28" t="s">
        <v>931</v>
      </c>
      <c r="Y1146" s="28" t="s">
        <v>932</v>
      </c>
      <c r="Z1146" s="61">
        <v>5020003000026</v>
      </c>
    </row>
    <row r="1147" spans="1:29" x14ac:dyDescent="0.25">
      <c r="A1147" s="61">
        <v>110000572782</v>
      </c>
      <c r="B1147" s="28">
        <v>2020</v>
      </c>
      <c r="C1147" s="68">
        <f t="shared" si="17"/>
        <v>43831</v>
      </c>
      <c r="D1147" s="28" t="s">
        <v>188</v>
      </c>
      <c r="E1147" s="28" t="s">
        <v>617</v>
      </c>
      <c r="F1147" s="28" t="s">
        <v>618</v>
      </c>
      <c r="G1147" s="28" t="s">
        <v>311</v>
      </c>
      <c r="H1147" s="28">
        <v>265019624</v>
      </c>
      <c r="I1147" s="28">
        <v>39.599829999999997</v>
      </c>
      <c r="J1147" s="28">
        <v>-79.97148</v>
      </c>
      <c r="K1147" s="28" t="s">
        <v>619</v>
      </c>
      <c r="L1147" s="61">
        <v>110000572782</v>
      </c>
      <c r="M1147" s="28" t="s">
        <v>251</v>
      </c>
      <c r="N1147" s="28">
        <v>2869</v>
      </c>
      <c r="O1147" s="28" t="str">
        <f>IFERROR(VLOOKUP(N1147, 'SIC &amp; NAICS Codes'!A:B, 2, FALSE), "")</f>
        <v>Industrial Organic Chemicals, NEC (aliphatics)</v>
      </c>
      <c r="S1147" s="28">
        <v>2.1031731000000001E-2</v>
      </c>
      <c r="T1147" s="315">
        <f>_xlfn.MAXIFS('Raw Period DMR Data'!$O:$O,'Raw Period DMR Data'!$A:$A,'Raw Annual DMR Data'!B1147,'Raw Period DMR Data'!$C:$C,X1147)/S1147</f>
        <v>0</v>
      </c>
      <c r="U1147" s="28" t="str">
        <f>+IF(COUNTIFS('Raw Period DMR Data'!$A:$A,B1147, 'Raw Period DMR Data'!C:C,'Raw Annual DMR Data'!X1147, 'Raw Period DMR Data'!M:M, "&gt;0")&gt;0,_xlfn.MAXIFS('Raw Period DMR Data'!M:M,'Raw Period DMR Data'!$A:$A,'Raw Annual DMR Data'!B1147,'Raw Period DMR Data'!C:C,'Raw Annual DMR Data'!X1147), "N/A - Period DMR Data Not Available")</f>
        <v>N/A - Period DMR Data Not Available</v>
      </c>
      <c r="V1147" s="28" t="str" cm="1">
        <f t="array" ref="V1147">IFERROR(INDEX('Raw Period DMR Data'!N:N,MATCH(1,(B1147='Raw Period DMR Data'!$A:$A)*(U1147='Raw Period DMR Data'!M:M)*(X1147='Raw Period DMR Data'!C:C),0),1), "N/A")</f>
        <v>N/A</v>
      </c>
      <c r="W1147" s="28" t="s">
        <v>1463</v>
      </c>
      <c r="X1147" s="28" t="s">
        <v>931</v>
      </c>
      <c r="Y1147" s="28" t="s">
        <v>932</v>
      </c>
      <c r="Z1147" s="61">
        <v>5020003000026</v>
      </c>
    </row>
    <row r="1148" spans="1:29" x14ac:dyDescent="0.25">
      <c r="A1148" s="61">
        <v>110000572782</v>
      </c>
      <c r="B1148" s="28">
        <v>2020</v>
      </c>
      <c r="C1148" s="68">
        <f t="shared" si="17"/>
        <v>43831</v>
      </c>
      <c r="D1148" s="28" t="s">
        <v>188</v>
      </c>
      <c r="E1148" s="28" t="s">
        <v>617</v>
      </c>
      <c r="F1148" s="28" t="s">
        <v>618</v>
      </c>
      <c r="G1148" s="28" t="s">
        <v>311</v>
      </c>
      <c r="H1148" s="28">
        <v>265019624</v>
      </c>
      <c r="I1148" s="28">
        <v>39.599829999999997</v>
      </c>
      <c r="J1148" s="28">
        <v>-79.97148</v>
      </c>
      <c r="K1148" s="28" t="s">
        <v>619</v>
      </c>
      <c r="L1148" s="61">
        <v>110000572782</v>
      </c>
      <c r="M1148" s="28" t="s">
        <v>251</v>
      </c>
      <c r="N1148" s="28">
        <v>2869</v>
      </c>
      <c r="O1148" s="28" t="str">
        <f>IFERROR(VLOOKUP(N1148, 'SIC &amp; NAICS Codes'!A:B, 2, FALSE), "")</f>
        <v>Industrial Organic Chemicals, NEC (aliphatics)</v>
      </c>
      <c r="S1148" s="28">
        <v>1.42403628117913E-2</v>
      </c>
      <c r="T1148" s="315">
        <f>_xlfn.MAXIFS('Raw Period DMR Data'!$O:$O,'Raw Period DMR Data'!$A:$A,'Raw Annual DMR Data'!B1148,'Raw Period DMR Data'!$C:$C,X1148)/S1148</f>
        <v>0</v>
      </c>
      <c r="U1148" s="28" t="str">
        <f>+IF(COUNTIFS('Raw Period DMR Data'!$A:$A,B1148, 'Raw Period DMR Data'!C:C,'Raw Annual DMR Data'!X1148, 'Raw Period DMR Data'!M:M, "&gt;0")&gt;0,_xlfn.MAXIFS('Raw Period DMR Data'!M:M,'Raw Period DMR Data'!$A:$A,'Raw Annual DMR Data'!B1148,'Raw Period DMR Data'!C:C,'Raw Annual DMR Data'!X1148), "N/A - Period DMR Data Not Available")</f>
        <v>N/A - Period DMR Data Not Available</v>
      </c>
      <c r="V1148" s="28" t="str" cm="1">
        <f t="array" ref="V1148">IFERROR(INDEX('Raw Period DMR Data'!N:N,MATCH(1,(B1148='Raw Period DMR Data'!$A:$A)*(U1148='Raw Period DMR Data'!M:M)*(X1148='Raw Period DMR Data'!C:C),0),1), "N/A")</f>
        <v>N/A</v>
      </c>
      <c r="W1148" s="28" t="s">
        <v>1463</v>
      </c>
      <c r="X1148" s="28" t="s">
        <v>931</v>
      </c>
      <c r="Y1148" s="28" t="s">
        <v>932</v>
      </c>
      <c r="Z1148" s="61">
        <v>5020003000026</v>
      </c>
    </row>
    <row r="1149" spans="1:29" x14ac:dyDescent="0.25">
      <c r="A1149" s="61">
        <v>110015408600</v>
      </c>
      <c r="B1149" s="28">
        <v>2016</v>
      </c>
      <c r="C1149" s="68">
        <f t="shared" si="17"/>
        <v>42370</v>
      </c>
      <c r="D1149" s="28" t="s">
        <v>1350</v>
      </c>
      <c r="E1149" s="28" t="s">
        <v>2220</v>
      </c>
      <c r="F1149" s="28" t="s">
        <v>1351</v>
      </c>
      <c r="G1149" s="28" t="s">
        <v>1352</v>
      </c>
      <c r="H1149" s="28">
        <v>98290</v>
      </c>
      <c r="I1149" s="28">
        <v>47.914602000000002</v>
      </c>
      <c r="J1149" s="28">
        <v>-122.112173</v>
      </c>
      <c r="L1149" s="61">
        <v>110015408600</v>
      </c>
      <c r="M1149" s="28" t="s">
        <v>263</v>
      </c>
      <c r="N1149" s="28">
        <v>4952</v>
      </c>
      <c r="O1149" s="28" t="str">
        <f>IFERROR(VLOOKUP(N1149, 'SIC &amp; NAICS Codes'!A:B, 2, FALSE), "")</f>
        <v>Sewerage Systems</v>
      </c>
      <c r="S1149" s="28">
        <v>0.36790200000000001</v>
      </c>
      <c r="T1149" s="315">
        <f>_xlfn.MAXIFS('Raw Period DMR Data'!$O:$O,'Raw Period DMR Data'!$A:$A,'Raw Annual DMR Data'!B1149,'Raw Period DMR Data'!$C:$C,X1149)/S1149</f>
        <v>0</v>
      </c>
      <c r="U1149" s="28" t="str">
        <f>+IF(COUNTIFS('Raw Period DMR Data'!$A:$A,B1149, 'Raw Period DMR Data'!C:C,'Raw Annual DMR Data'!X1149, 'Raw Period DMR Data'!M:M, "&gt;0")&gt;0,_xlfn.MAXIFS('Raw Period DMR Data'!M:M,'Raw Period DMR Data'!$A:$A,'Raw Annual DMR Data'!B1149,'Raw Period DMR Data'!C:C,'Raw Annual DMR Data'!X1149), "N/A - Period DMR Data Not Available")</f>
        <v>N/A - Period DMR Data Not Available</v>
      </c>
      <c r="V1149" s="28" t="str" cm="1">
        <f t="array" ref="V1149">IFERROR(INDEX('Raw Period DMR Data'!N:N,MATCH(1,(B1149='Raw Period DMR Data'!$A:$A)*(U1149='Raw Period DMR Data'!M:M)*(X1149='Raw Period DMR Data'!C:C),0),1), "N/A")</f>
        <v>N/A</v>
      </c>
      <c r="W1149" s="28" t="s">
        <v>1463</v>
      </c>
      <c r="X1149" s="28" t="s">
        <v>2221</v>
      </c>
      <c r="Y1149" s="28" t="s">
        <v>2222</v>
      </c>
      <c r="Z1149" s="28">
        <v>17110011000245</v>
      </c>
      <c r="AA1149" s="28"/>
      <c r="AB1149" s="28" t="s">
        <v>1465</v>
      </c>
      <c r="AC1149" s="28" t="s">
        <v>263</v>
      </c>
    </row>
    <row r="1150" spans="1:29" x14ac:dyDescent="0.25">
      <c r="A1150" s="61">
        <v>110022421002</v>
      </c>
      <c r="B1150" s="28">
        <v>2015</v>
      </c>
      <c r="C1150" s="68">
        <f t="shared" si="17"/>
        <v>42005</v>
      </c>
      <c r="D1150" s="28" t="s">
        <v>189</v>
      </c>
      <c r="E1150" s="28" t="s">
        <v>620</v>
      </c>
      <c r="F1150" s="28" t="s">
        <v>621</v>
      </c>
      <c r="G1150" s="28" t="s">
        <v>311</v>
      </c>
      <c r="H1150" s="28">
        <v>25143</v>
      </c>
      <c r="I1150" s="28">
        <v>38.439749999999997</v>
      </c>
      <c r="J1150" s="28">
        <v>-81.845930999999993</v>
      </c>
      <c r="L1150" s="61">
        <v>110022421002</v>
      </c>
      <c r="M1150" s="28" t="s">
        <v>264</v>
      </c>
      <c r="N1150" s="28">
        <v>2869</v>
      </c>
      <c r="O1150" s="28" t="str">
        <f>IFERROR(VLOOKUP(N1150, 'SIC &amp; NAICS Codes'!A:B, 2, FALSE), "")</f>
        <v>Industrial Organic Chemicals, NEC (aliphatics)</v>
      </c>
      <c r="S1150" s="28">
        <v>8.5099479749999998E-2</v>
      </c>
      <c r="T1150" s="315">
        <f>_xlfn.MAXIFS('Raw Period DMR Data'!$O:$O,'Raw Period DMR Data'!$A:$A,'Raw Annual DMR Data'!B1150,'Raw Period DMR Data'!$C:$C,X1150)/S1150</f>
        <v>0</v>
      </c>
      <c r="U1150" s="28" t="str">
        <f>+IF(COUNTIFS('Raw Period DMR Data'!$A:$A,B1150, 'Raw Period DMR Data'!C:C,'Raw Annual DMR Data'!X1150, 'Raw Period DMR Data'!M:M, "&gt;0")&gt;0,_xlfn.MAXIFS('Raw Period DMR Data'!M:M,'Raw Period DMR Data'!$A:$A,'Raw Annual DMR Data'!B1150,'Raw Period DMR Data'!C:C,'Raw Annual DMR Data'!X1150), "N/A - Period DMR Data Not Available")</f>
        <v>N/A - Period DMR Data Not Available</v>
      </c>
      <c r="V1150" s="28" t="str" cm="1">
        <f t="array" ref="V1150">IFERROR(INDEX('Raw Period DMR Data'!N:N,MATCH(1,(B1150='Raw Period DMR Data'!$A:$A)*(U1150='Raw Period DMR Data'!M:M)*(X1150='Raw Period DMR Data'!C:C),0),1), "N/A")</f>
        <v>N/A</v>
      </c>
      <c r="W1150" s="28" t="s">
        <v>1463</v>
      </c>
      <c r="X1150" s="28" t="s">
        <v>933</v>
      </c>
      <c r="Y1150" s="28" t="s">
        <v>771</v>
      </c>
      <c r="Z1150" s="61">
        <v>5050008000042</v>
      </c>
    </row>
    <row r="1151" spans="1:29" x14ac:dyDescent="0.25">
      <c r="A1151" s="61">
        <v>110022421002</v>
      </c>
      <c r="B1151" s="28">
        <v>2016</v>
      </c>
      <c r="C1151" s="68">
        <f t="shared" si="17"/>
        <v>42370</v>
      </c>
      <c r="D1151" s="28" t="s">
        <v>189</v>
      </c>
      <c r="E1151" s="28" t="s">
        <v>620</v>
      </c>
      <c r="F1151" s="28" t="s">
        <v>621</v>
      </c>
      <c r="G1151" s="28" t="s">
        <v>311</v>
      </c>
      <c r="H1151" s="28">
        <v>25143</v>
      </c>
      <c r="I1151" s="28">
        <v>38.439749999999997</v>
      </c>
      <c r="J1151" s="28">
        <v>-81.845930999999993</v>
      </c>
      <c r="L1151" s="61">
        <v>110022421002</v>
      </c>
      <c r="M1151" s="28" t="s">
        <v>264</v>
      </c>
      <c r="N1151" s="28">
        <v>2869</v>
      </c>
      <c r="O1151" s="28" t="str">
        <f>IFERROR(VLOOKUP(N1151, 'SIC &amp; NAICS Codes'!A:B, 2, FALSE), "")</f>
        <v>Industrial Organic Chemicals, NEC (aliphatics)</v>
      </c>
      <c r="S1151" s="28">
        <v>3.8886787200000002E-2</v>
      </c>
      <c r="T1151" s="315">
        <f>_xlfn.MAXIFS('Raw Period DMR Data'!$O:$O,'Raw Period DMR Data'!$A:$A,'Raw Annual DMR Data'!B1151,'Raw Period DMR Data'!$C:$C,X1151)/S1151</f>
        <v>0</v>
      </c>
      <c r="U1151" s="28" t="str">
        <f>+IF(COUNTIFS('Raw Period DMR Data'!$A:$A,B1151, 'Raw Period DMR Data'!C:C,'Raw Annual DMR Data'!X1151, 'Raw Period DMR Data'!M:M, "&gt;0")&gt;0,_xlfn.MAXIFS('Raw Period DMR Data'!M:M,'Raw Period DMR Data'!$A:$A,'Raw Annual DMR Data'!B1151,'Raw Period DMR Data'!C:C,'Raw Annual DMR Data'!X1151), "N/A - Period DMR Data Not Available")</f>
        <v>N/A - Period DMR Data Not Available</v>
      </c>
      <c r="V1151" s="28" t="str" cm="1">
        <f t="array" ref="V1151">IFERROR(INDEX('Raw Period DMR Data'!N:N,MATCH(1,(B1151='Raw Period DMR Data'!$A:$A)*(U1151='Raw Period DMR Data'!M:M)*(X1151='Raw Period DMR Data'!C:C),0),1), "N/A")</f>
        <v>N/A</v>
      </c>
      <c r="W1151" s="28" t="s">
        <v>1463</v>
      </c>
      <c r="X1151" s="28" t="s">
        <v>933</v>
      </c>
      <c r="Y1151" s="28" t="s">
        <v>771</v>
      </c>
      <c r="Z1151" s="61">
        <v>5050008000042</v>
      </c>
      <c r="AA1151" s="28"/>
    </row>
    <row r="1152" spans="1:29" x14ac:dyDescent="0.25">
      <c r="A1152" s="61">
        <v>110013317614</v>
      </c>
      <c r="B1152" s="28">
        <v>2015</v>
      </c>
      <c r="C1152" s="68">
        <f t="shared" si="17"/>
        <v>42005</v>
      </c>
      <c r="D1152" s="28" t="s">
        <v>190</v>
      </c>
      <c r="E1152" s="28" t="s">
        <v>622</v>
      </c>
      <c r="F1152" s="28" t="s">
        <v>623</v>
      </c>
      <c r="G1152" s="28" t="s">
        <v>338</v>
      </c>
      <c r="H1152" s="28">
        <v>8086</v>
      </c>
      <c r="I1152" s="28">
        <v>39.845474000000003</v>
      </c>
      <c r="J1152" s="28">
        <v>-75.209485999999998</v>
      </c>
      <c r="K1152" s="28" t="s">
        <v>624</v>
      </c>
      <c r="L1152" s="61">
        <v>110013317614</v>
      </c>
      <c r="M1152" s="28" t="s">
        <v>253</v>
      </c>
      <c r="N1152" s="28">
        <v>2821</v>
      </c>
      <c r="O1152" s="28" t="str">
        <f>IFERROR(VLOOKUP(N1152, 'SIC &amp; NAICS Codes'!A:B, 2, FALSE), "")</f>
        <v>Plastics Materials, Synthetic and Resins, and Nonvulcanizable Elastomers</v>
      </c>
      <c r="S1152" s="28">
        <v>6.5595999999999997</v>
      </c>
      <c r="T1152" s="315">
        <f>_xlfn.MAXIFS('Raw Period DMR Data'!$O:$O,'Raw Period DMR Data'!$A:$A,'Raw Annual DMR Data'!B1152,'Raw Period DMR Data'!$C:$C,X1152)/S1152</f>
        <v>0</v>
      </c>
      <c r="U1152" s="28" t="str">
        <f>+IF(COUNTIFS('Raw Period DMR Data'!$A:$A,B1152, 'Raw Period DMR Data'!C:C,'Raw Annual DMR Data'!X1152, 'Raw Period DMR Data'!M:M, "&gt;0")&gt;0,_xlfn.MAXIFS('Raw Period DMR Data'!M:M,'Raw Period DMR Data'!$A:$A,'Raw Annual DMR Data'!B1152,'Raw Period DMR Data'!C:C,'Raw Annual DMR Data'!X1152), "N/A - Period DMR Data Not Available")</f>
        <v>N/A - Period DMR Data Not Available</v>
      </c>
      <c r="V1152" s="28" t="str" cm="1">
        <f t="array" ref="V1152">IFERROR(INDEX('Raw Period DMR Data'!N:N,MATCH(1,(B1152='Raw Period DMR Data'!$A:$A)*(U1152='Raw Period DMR Data'!M:M)*(X1152='Raw Period DMR Data'!C:C),0),1), "N/A")</f>
        <v>N/A</v>
      </c>
      <c r="W1152" s="28" t="s">
        <v>1463</v>
      </c>
      <c r="X1152" s="28" t="s">
        <v>934</v>
      </c>
      <c r="Y1152" s="28" t="s">
        <v>935</v>
      </c>
      <c r="Z1152" s="61">
        <v>2040202001763</v>
      </c>
      <c r="AA1152" s="60" t="s">
        <v>1694</v>
      </c>
    </row>
    <row r="1153" spans="1:29" x14ac:dyDescent="0.25">
      <c r="A1153" s="61">
        <v>110013317614</v>
      </c>
      <c r="B1153" s="28">
        <v>2019</v>
      </c>
      <c r="C1153" s="68">
        <f t="shared" si="17"/>
        <v>43466</v>
      </c>
      <c r="D1153" s="28" t="s">
        <v>190</v>
      </c>
      <c r="E1153" s="28" t="s">
        <v>622</v>
      </c>
      <c r="F1153" s="28" t="s">
        <v>623</v>
      </c>
      <c r="G1153" s="28" t="s">
        <v>338</v>
      </c>
      <c r="H1153" s="28">
        <v>8086</v>
      </c>
      <c r="I1153" s="28">
        <v>39.845474000000003</v>
      </c>
      <c r="J1153" s="28">
        <v>-75.209485999999998</v>
      </c>
      <c r="K1153" s="28" t="s">
        <v>624</v>
      </c>
      <c r="L1153" s="61">
        <v>110013317614</v>
      </c>
      <c r="M1153" s="28" t="s">
        <v>253</v>
      </c>
      <c r="N1153" s="28">
        <v>2821</v>
      </c>
      <c r="O1153" s="28" t="str">
        <f>IFERROR(VLOOKUP(N1153, 'SIC &amp; NAICS Codes'!A:B, 2, FALSE), "")</f>
        <v>Plastics Materials, Synthetic and Resins, and Nonvulcanizable Elastomers</v>
      </c>
      <c r="S1153" s="28">
        <v>9.9199999999999997E-2</v>
      </c>
      <c r="T1153" s="315">
        <f>_xlfn.MAXIFS('Raw Period DMR Data'!$O:$O,'Raw Period DMR Data'!$A:$A,'Raw Annual DMR Data'!B1153,'Raw Period DMR Data'!$C:$C,X1153)/S1153</f>
        <v>0</v>
      </c>
      <c r="U1153" s="28" t="str">
        <f>+IF(COUNTIFS('Raw Period DMR Data'!$A:$A,B1153, 'Raw Period DMR Data'!C:C,'Raw Annual DMR Data'!X1153, 'Raw Period DMR Data'!M:M, "&gt;0")&gt;0,_xlfn.MAXIFS('Raw Period DMR Data'!M:M,'Raw Period DMR Data'!$A:$A,'Raw Annual DMR Data'!B1153,'Raw Period DMR Data'!C:C,'Raw Annual DMR Data'!X1153), "N/A - Period DMR Data Not Available")</f>
        <v>N/A - Period DMR Data Not Available</v>
      </c>
      <c r="V1153" s="28" t="str" cm="1">
        <f t="array" ref="V1153">IFERROR(INDEX('Raw Period DMR Data'!N:N,MATCH(1,(B1153='Raw Period DMR Data'!$A:$A)*(U1153='Raw Period DMR Data'!M:M)*(X1153='Raw Period DMR Data'!C:C),0),1), "N/A")</f>
        <v>N/A</v>
      </c>
      <c r="W1153" s="28" t="s">
        <v>1463</v>
      </c>
      <c r="X1153" s="28" t="s">
        <v>934</v>
      </c>
      <c r="Y1153" s="28" t="s">
        <v>935</v>
      </c>
      <c r="Z1153" s="61">
        <v>2040202001763</v>
      </c>
      <c r="AA1153" s="60" t="s">
        <v>1694</v>
      </c>
    </row>
    <row r="1154" spans="1:29" x14ac:dyDescent="0.25">
      <c r="A1154" s="61">
        <v>110013317614</v>
      </c>
      <c r="B1154" s="28">
        <v>2015</v>
      </c>
      <c r="C1154" s="68">
        <f t="shared" si="17"/>
        <v>42005</v>
      </c>
      <c r="D1154" s="28" t="s">
        <v>190</v>
      </c>
      <c r="E1154" s="28" t="s">
        <v>622</v>
      </c>
      <c r="F1154" s="28" t="s">
        <v>623</v>
      </c>
      <c r="G1154" s="28" t="s">
        <v>338</v>
      </c>
      <c r="H1154" s="28">
        <v>8086</v>
      </c>
      <c r="I1154" s="28">
        <v>39.845474000000003</v>
      </c>
      <c r="J1154" s="28">
        <v>-75.209485999999998</v>
      </c>
      <c r="K1154" s="28" t="s">
        <v>624</v>
      </c>
      <c r="L1154" s="61">
        <v>110013317614</v>
      </c>
      <c r="M1154" s="28" t="s">
        <v>265</v>
      </c>
      <c r="N1154" s="28">
        <v>2821</v>
      </c>
      <c r="O1154" s="28" t="str">
        <f>IFERROR(VLOOKUP(N1154, 'SIC &amp; NAICS Codes'!A:B, 2, FALSE), "")</f>
        <v>Plastics Materials, Synthetic and Resins, and Nonvulcanizable Elastomers</v>
      </c>
      <c r="S1154" s="28">
        <v>6.8153499999999996</v>
      </c>
      <c r="T1154" s="315">
        <f>_xlfn.MAXIFS('Raw Period DMR Data'!$O:$O,'Raw Period DMR Data'!$A:$A,'Raw Annual DMR Data'!B1154,'Raw Period DMR Data'!$C:$C,X1154)/S1154</f>
        <v>0</v>
      </c>
      <c r="U1154" s="28" t="str">
        <f>+IF(COUNTIFS('Raw Period DMR Data'!$A:$A,B1154, 'Raw Period DMR Data'!C:C,'Raw Annual DMR Data'!X1154, 'Raw Period DMR Data'!M:M, "&gt;0")&gt;0,_xlfn.MAXIFS('Raw Period DMR Data'!M:M,'Raw Period DMR Data'!$A:$A,'Raw Annual DMR Data'!B1154,'Raw Period DMR Data'!C:C,'Raw Annual DMR Data'!X1154), "N/A - Period DMR Data Not Available")</f>
        <v>N/A - Period DMR Data Not Available</v>
      </c>
      <c r="V1154" s="28" t="str" cm="1">
        <f t="array" ref="V1154">IFERROR(INDEX('Raw Period DMR Data'!N:N,MATCH(1,(B1154='Raw Period DMR Data'!$A:$A)*(U1154='Raw Period DMR Data'!M:M)*(X1154='Raw Period DMR Data'!C:C),0),1), "N/A")</f>
        <v>N/A</v>
      </c>
      <c r="W1154" s="28" t="s">
        <v>1463</v>
      </c>
      <c r="X1154" s="28" t="s">
        <v>934</v>
      </c>
      <c r="Y1154" s="28" t="s">
        <v>935</v>
      </c>
      <c r="Z1154" s="28">
        <v>2040202001763</v>
      </c>
      <c r="AA1154" s="28"/>
      <c r="AB1154" s="28" t="s">
        <v>1465</v>
      </c>
      <c r="AC1154" s="28" t="s">
        <v>1466</v>
      </c>
    </row>
    <row r="1155" spans="1:29" x14ac:dyDescent="0.25">
      <c r="A1155" s="61">
        <v>110013317614</v>
      </c>
      <c r="B1155" s="28">
        <v>2016</v>
      </c>
      <c r="C1155" s="68">
        <f t="shared" ref="C1155:C1218" si="18">DATE(B1155, 1, 1)</f>
        <v>42370</v>
      </c>
      <c r="D1155" s="28" t="s">
        <v>190</v>
      </c>
      <c r="E1155" s="28" t="s">
        <v>622</v>
      </c>
      <c r="F1155" s="28" t="s">
        <v>623</v>
      </c>
      <c r="G1155" s="28" t="s">
        <v>338</v>
      </c>
      <c r="H1155" s="28">
        <v>8086</v>
      </c>
      <c r="I1155" s="28">
        <v>39.845474000000003</v>
      </c>
      <c r="J1155" s="28">
        <v>-75.209485999999998</v>
      </c>
      <c r="K1155" s="28" t="s">
        <v>624</v>
      </c>
      <c r="L1155" s="61">
        <v>110013317614</v>
      </c>
      <c r="M1155" s="28" t="s">
        <v>265</v>
      </c>
      <c r="N1155" s="28">
        <v>2821</v>
      </c>
      <c r="O1155" s="28" t="str">
        <f>IFERROR(VLOOKUP(N1155, 'SIC &amp; NAICS Codes'!A:B, 2, FALSE), "")</f>
        <v>Plastics Materials, Synthetic and Resins, and Nonvulcanizable Elastomers</v>
      </c>
      <c r="S1155" s="28">
        <v>4.07E-2</v>
      </c>
      <c r="T1155" s="315">
        <f>_xlfn.MAXIFS('Raw Period DMR Data'!$O:$O,'Raw Period DMR Data'!$A:$A,'Raw Annual DMR Data'!B1155,'Raw Period DMR Data'!$C:$C,X1155)/S1155</f>
        <v>0</v>
      </c>
      <c r="U1155" s="28" t="str">
        <f>+IF(COUNTIFS('Raw Period DMR Data'!$A:$A,B1155, 'Raw Period DMR Data'!C:C,'Raw Annual DMR Data'!X1155, 'Raw Period DMR Data'!M:M, "&gt;0")&gt;0,_xlfn.MAXIFS('Raw Period DMR Data'!M:M,'Raw Period DMR Data'!$A:$A,'Raw Annual DMR Data'!B1155,'Raw Period DMR Data'!C:C,'Raw Annual DMR Data'!X1155), "N/A - Period DMR Data Not Available")</f>
        <v>N/A - Period DMR Data Not Available</v>
      </c>
      <c r="V1155" s="28" t="str" cm="1">
        <f t="array" ref="V1155">IFERROR(INDEX('Raw Period DMR Data'!N:N,MATCH(1,(B1155='Raw Period DMR Data'!$A:$A)*(U1155='Raw Period DMR Data'!M:M)*(X1155='Raw Period DMR Data'!C:C),0),1), "N/A")</f>
        <v>N/A</v>
      </c>
      <c r="W1155" s="28" t="s">
        <v>1463</v>
      </c>
      <c r="X1155" s="28" t="s">
        <v>934</v>
      </c>
      <c r="Y1155" s="28" t="s">
        <v>935</v>
      </c>
      <c r="Z1155" s="28">
        <v>2040202001763</v>
      </c>
      <c r="AA1155" s="28"/>
      <c r="AB1155" s="28" t="s">
        <v>1465</v>
      </c>
      <c r="AC1155" s="28" t="s">
        <v>1466</v>
      </c>
    </row>
    <row r="1156" spans="1:29" x14ac:dyDescent="0.25">
      <c r="A1156" s="61">
        <v>110013317614</v>
      </c>
      <c r="B1156" s="28">
        <v>2017</v>
      </c>
      <c r="C1156" s="68">
        <f t="shared" si="18"/>
        <v>42736</v>
      </c>
      <c r="D1156" s="28" t="s">
        <v>190</v>
      </c>
      <c r="E1156" s="28" t="s">
        <v>622</v>
      </c>
      <c r="F1156" s="28" t="s">
        <v>623</v>
      </c>
      <c r="G1156" s="28" t="s">
        <v>338</v>
      </c>
      <c r="H1156" s="28">
        <v>8086</v>
      </c>
      <c r="I1156" s="28">
        <v>39.845474000000003</v>
      </c>
      <c r="J1156" s="28">
        <v>-75.209485999999998</v>
      </c>
      <c r="K1156" s="28" t="s">
        <v>624</v>
      </c>
      <c r="L1156" s="61">
        <v>110013317614</v>
      </c>
      <c r="M1156" s="28" t="s">
        <v>265</v>
      </c>
      <c r="N1156" s="28">
        <v>2821</v>
      </c>
      <c r="O1156" s="28" t="str">
        <f>IFERROR(VLOOKUP(N1156, 'SIC &amp; NAICS Codes'!A:B, 2, FALSE), "")</f>
        <v>Plastics Materials, Synthetic and Resins, and Nonvulcanizable Elastomers</v>
      </c>
      <c r="S1156" s="28">
        <v>0.03</v>
      </c>
      <c r="T1156" s="315">
        <f>_xlfn.MAXIFS('Raw Period DMR Data'!$O:$O,'Raw Period DMR Data'!$A:$A,'Raw Annual DMR Data'!B1156,'Raw Period DMR Data'!$C:$C,X1156)/S1156</f>
        <v>0</v>
      </c>
      <c r="U1156" s="28" t="str">
        <f>+IF(COUNTIFS('Raw Period DMR Data'!$A:$A,B1156, 'Raw Period DMR Data'!C:C,'Raw Annual DMR Data'!X1156, 'Raw Period DMR Data'!M:M, "&gt;0")&gt;0,_xlfn.MAXIFS('Raw Period DMR Data'!M:M,'Raw Period DMR Data'!$A:$A,'Raw Annual DMR Data'!B1156,'Raw Period DMR Data'!C:C,'Raw Annual DMR Data'!X1156), "N/A - Period DMR Data Not Available")</f>
        <v>N/A - Period DMR Data Not Available</v>
      </c>
      <c r="V1156" s="28" t="str" cm="1">
        <f t="array" ref="V1156">IFERROR(INDEX('Raw Period DMR Data'!N:N,MATCH(1,(B1156='Raw Period DMR Data'!$A:$A)*(U1156='Raw Period DMR Data'!M:M)*(X1156='Raw Period DMR Data'!C:C),0),1), "N/A")</f>
        <v>N/A</v>
      </c>
      <c r="W1156" s="28" t="s">
        <v>1463</v>
      </c>
      <c r="X1156" s="28" t="s">
        <v>934</v>
      </c>
      <c r="Y1156" s="28" t="s">
        <v>935</v>
      </c>
      <c r="Z1156" s="28">
        <v>2040202001763</v>
      </c>
      <c r="AA1156" s="28"/>
      <c r="AB1156" s="28" t="s">
        <v>1465</v>
      </c>
      <c r="AC1156" s="28" t="s">
        <v>1466</v>
      </c>
    </row>
    <row r="1157" spans="1:29" x14ac:dyDescent="0.25">
      <c r="A1157" s="61">
        <v>110013317614</v>
      </c>
      <c r="B1157" s="28">
        <v>2018</v>
      </c>
      <c r="C1157" s="68">
        <f t="shared" si="18"/>
        <v>43101</v>
      </c>
      <c r="D1157" s="28" t="s">
        <v>190</v>
      </c>
      <c r="E1157" s="28" t="s">
        <v>622</v>
      </c>
      <c r="F1157" s="28" t="s">
        <v>623</v>
      </c>
      <c r="G1157" s="28" t="s">
        <v>338</v>
      </c>
      <c r="H1157" s="302" t="s">
        <v>2223</v>
      </c>
      <c r="I1157" s="28">
        <v>39.845474000000003</v>
      </c>
      <c r="J1157" s="28">
        <v>-75.209485999999998</v>
      </c>
      <c r="K1157" s="28" t="s">
        <v>624</v>
      </c>
      <c r="L1157" s="61">
        <v>110013317614</v>
      </c>
      <c r="M1157" s="28" t="s">
        <v>265</v>
      </c>
      <c r="N1157" s="28">
        <v>2821</v>
      </c>
      <c r="O1157" s="28" t="str">
        <f>IFERROR(VLOOKUP(N1157, 'SIC &amp; NAICS Codes'!A:B, 2, FALSE), "")</f>
        <v>Plastics Materials, Synthetic and Resins, and Nonvulcanizable Elastomers</v>
      </c>
      <c r="S1157" s="28">
        <v>1.4999999999999999E-2</v>
      </c>
      <c r="T1157" s="315">
        <f>_xlfn.MAXIFS('Raw Period DMR Data'!$O:$O,'Raw Period DMR Data'!$A:$A,'Raw Annual DMR Data'!B1157,'Raw Period DMR Data'!$C:$C,X1157)/S1157</f>
        <v>0</v>
      </c>
      <c r="U1157" s="28" t="str">
        <f>+IF(COUNTIFS('Raw Period DMR Data'!$A:$A,B1157, 'Raw Period DMR Data'!C:C,'Raw Annual DMR Data'!X1157, 'Raw Period DMR Data'!M:M, "&gt;0")&gt;0,_xlfn.MAXIFS('Raw Period DMR Data'!M:M,'Raw Period DMR Data'!$A:$A,'Raw Annual DMR Data'!B1157,'Raw Period DMR Data'!C:C,'Raw Annual DMR Data'!X1157), "N/A - Period DMR Data Not Available")</f>
        <v>N/A - Period DMR Data Not Available</v>
      </c>
      <c r="V1157" s="28" t="str" cm="1">
        <f t="array" ref="V1157">IFERROR(INDEX('Raw Period DMR Data'!N:N,MATCH(1,(B1157='Raw Period DMR Data'!$A:$A)*(U1157='Raw Period DMR Data'!M:M)*(X1157='Raw Period DMR Data'!C:C),0),1), "N/A")</f>
        <v>N/A</v>
      </c>
      <c r="W1157" s="28" t="s">
        <v>1463</v>
      </c>
      <c r="X1157" s="28" t="s">
        <v>934</v>
      </c>
      <c r="Y1157" s="28" t="s">
        <v>935</v>
      </c>
      <c r="Z1157" s="302" t="s">
        <v>2224</v>
      </c>
      <c r="AA1157" s="28"/>
      <c r="AB1157" s="28" t="s">
        <v>1465</v>
      </c>
      <c r="AC1157" s="28" t="s">
        <v>1466</v>
      </c>
    </row>
    <row r="1158" spans="1:29" x14ac:dyDescent="0.25">
      <c r="A1158" s="61">
        <v>110013317614</v>
      </c>
      <c r="B1158" s="28">
        <v>2019</v>
      </c>
      <c r="C1158" s="68">
        <f t="shared" si="18"/>
        <v>43466</v>
      </c>
      <c r="D1158" s="28" t="s">
        <v>190</v>
      </c>
      <c r="E1158" s="28" t="s">
        <v>622</v>
      </c>
      <c r="F1158" s="28" t="s">
        <v>623</v>
      </c>
      <c r="G1158" s="28" t="s">
        <v>338</v>
      </c>
      <c r="H1158" s="28">
        <v>8086</v>
      </c>
      <c r="I1158" s="28">
        <v>39.845474000000003</v>
      </c>
      <c r="J1158" s="28">
        <v>-75.209485999999998</v>
      </c>
      <c r="K1158" s="28" t="s">
        <v>624</v>
      </c>
      <c r="L1158" s="61">
        <v>110013317614</v>
      </c>
      <c r="M1158" s="28" t="s">
        <v>265</v>
      </c>
      <c r="N1158" s="28">
        <v>2821</v>
      </c>
      <c r="O1158" s="28" t="str">
        <f>IFERROR(VLOOKUP(N1158, 'SIC &amp; NAICS Codes'!A:B, 2, FALSE), "")</f>
        <v>Plastics Materials, Synthetic and Resins, and Nonvulcanizable Elastomers</v>
      </c>
      <c r="S1158" s="28">
        <v>0.114745</v>
      </c>
      <c r="T1158" s="315">
        <f>_xlfn.MAXIFS('Raw Period DMR Data'!$O:$O,'Raw Period DMR Data'!$A:$A,'Raw Annual DMR Data'!B1158,'Raw Period DMR Data'!$C:$C,X1158)/S1158</f>
        <v>0</v>
      </c>
      <c r="U1158" s="28" t="str">
        <f>+IF(COUNTIFS('Raw Period DMR Data'!$A:$A,B1158, 'Raw Period DMR Data'!C:C,'Raw Annual DMR Data'!X1158, 'Raw Period DMR Data'!M:M, "&gt;0")&gt;0,_xlfn.MAXIFS('Raw Period DMR Data'!M:M,'Raw Period DMR Data'!$A:$A,'Raw Annual DMR Data'!B1158,'Raw Period DMR Data'!C:C,'Raw Annual DMR Data'!X1158), "N/A - Period DMR Data Not Available")</f>
        <v>N/A - Period DMR Data Not Available</v>
      </c>
      <c r="V1158" s="28" t="str" cm="1">
        <f t="array" ref="V1158">IFERROR(INDEX('Raw Period DMR Data'!N:N,MATCH(1,(B1158='Raw Period DMR Data'!$A:$A)*(U1158='Raw Period DMR Data'!M:M)*(X1158='Raw Period DMR Data'!C:C),0),1), "N/A")</f>
        <v>N/A</v>
      </c>
      <c r="W1158" s="28" t="s">
        <v>1463</v>
      </c>
      <c r="X1158" s="28" t="s">
        <v>934</v>
      </c>
      <c r="Y1158" s="28" t="s">
        <v>935</v>
      </c>
      <c r="Z1158" s="28">
        <v>2040202001763</v>
      </c>
      <c r="AA1158" s="28"/>
      <c r="AB1158" s="28" t="s">
        <v>1465</v>
      </c>
      <c r="AC1158" s="28" t="s">
        <v>1466</v>
      </c>
    </row>
    <row r="1159" spans="1:29" x14ac:dyDescent="0.25">
      <c r="A1159" s="61">
        <v>110013317614</v>
      </c>
      <c r="B1159" s="28">
        <v>2020</v>
      </c>
      <c r="C1159" s="68">
        <f t="shared" si="18"/>
        <v>43831</v>
      </c>
      <c r="D1159" s="28" t="s">
        <v>190</v>
      </c>
      <c r="E1159" s="28" t="s">
        <v>622</v>
      </c>
      <c r="F1159" s="28" t="s">
        <v>623</v>
      </c>
      <c r="G1159" s="28" t="s">
        <v>338</v>
      </c>
      <c r="H1159" s="28">
        <v>8086</v>
      </c>
      <c r="I1159" s="28">
        <v>39.845474000000003</v>
      </c>
      <c r="J1159" s="28">
        <v>-75.209485999999998</v>
      </c>
      <c r="K1159" s="28" t="s">
        <v>624</v>
      </c>
      <c r="L1159" s="61">
        <v>110013317614</v>
      </c>
      <c r="M1159" s="28" t="s">
        <v>263</v>
      </c>
      <c r="N1159" s="28">
        <v>2821</v>
      </c>
      <c r="O1159" s="28" t="str">
        <f>IFERROR(VLOOKUP(N1159, 'SIC &amp; NAICS Codes'!A:B, 2, FALSE), "")</f>
        <v>Plastics Materials, Synthetic and Resins, and Nonvulcanizable Elastomers</v>
      </c>
      <c r="S1159" s="28">
        <v>1.5654999999999999E-2</v>
      </c>
      <c r="T1159" s="315">
        <f>_xlfn.MAXIFS('Raw Period DMR Data'!$O:$O,'Raw Period DMR Data'!$A:$A,'Raw Annual DMR Data'!B1159,'Raw Period DMR Data'!$C:$C,X1159)/S1159</f>
        <v>0</v>
      </c>
      <c r="U1159" s="28" t="str">
        <f>+IF(COUNTIFS('Raw Period DMR Data'!$A:$A,B1159, 'Raw Period DMR Data'!C:C,'Raw Annual DMR Data'!X1159, 'Raw Period DMR Data'!M:M, "&gt;0")&gt;0,_xlfn.MAXIFS('Raw Period DMR Data'!M:M,'Raw Period DMR Data'!$A:$A,'Raw Annual DMR Data'!B1159,'Raw Period DMR Data'!C:C,'Raw Annual DMR Data'!X1159), "N/A - Period DMR Data Not Available")</f>
        <v>N/A - Period DMR Data Not Available</v>
      </c>
      <c r="V1159" s="28" t="str" cm="1">
        <f t="array" ref="V1159">IFERROR(INDEX('Raw Period DMR Data'!N:N,MATCH(1,(B1159='Raw Period DMR Data'!$A:$A)*(U1159='Raw Period DMR Data'!M:M)*(X1159='Raw Period DMR Data'!C:C),0),1), "N/A")</f>
        <v>N/A</v>
      </c>
      <c r="W1159" s="28" t="s">
        <v>1463</v>
      </c>
      <c r="X1159" s="28" t="s">
        <v>934</v>
      </c>
      <c r="Y1159" s="28" t="s">
        <v>935</v>
      </c>
      <c r="Z1159" s="28">
        <v>2040202001763</v>
      </c>
      <c r="AA1159" s="28"/>
      <c r="AB1159" s="28" t="s">
        <v>1465</v>
      </c>
      <c r="AC1159" s="28" t="s">
        <v>1466</v>
      </c>
    </row>
    <row r="1160" spans="1:29" x14ac:dyDescent="0.25">
      <c r="A1160" s="61">
        <v>110002912750</v>
      </c>
      <c r="B1160" s="28">
        <v>2019</v>
      </c>
      <c r="C1160" s="68">
        <f t="shared" si="18"/>
        <v>43466</v>
      </c>
      <c r="D1160" s="28" t="s">
        <v>1353</v>
      </c>
      <c r="E1160" s="28" t="s">
        <v>2225</v>
      </c>
      <c r="F1160" s="28" t="s">
        <v>612</v>
      </c>
      <c r="G1160" s="28" t="s">
        <v>366</v>
      </c>
      <c r="H1160" s="28" t="s">
        <v>2226</v>
      </c>
      <c r="I1160" s="28">
        <v>32.544722</v>
      </c>
      <c r="J1160" s="28">
        <v>-117.068056</v>
      </c>
      <c r="L1160" s="61">
        <v>110002912750</v>
      </c>
      <c r="M1160" s="28" t="s">
        <v>263</v>
      </c>
      <c r="N1160" s="28">
        <v>4952</v>
      </c>
      <c r="O1160" s="28" t="str">
        <f>IFERROR(VLOOKUP(N1160, 'SIC &amp; NAICS Codes'!A:B, 2, FALSE), "")</f>
        <v>Sewerage Systems</v>
      </c>
      <c r="S1160" s="28">
        <v>1.2517006802721</v>
      </c>
      <c r="T1160" s="315">
        <f>_xlfn.MAXIFS('Raw Period DMR Data'!$O:$O,'Raw Period DMR Data'!$A:$A,'Raw Annual DMR Data'!B1160,'Raw Period DMR Data'!$C:$C,X1160)/S1160</f>
        <v>0</v>
      </c>
      <c r="U1160" s="28" t="str">
        <f>+IF(COUNTIFS('Raw Period DMR Data'!$A:$A,B1160, 'Raw Period DMR Data'!C:C,'Raw Annual DMR Data'!X1160, 'Raw Period DMR Data'!M:M, "&gt;0")&gt;0,_xlfn.MAXIFS('Raw Period DMR Data'!M:M,'Raw Period DMR Data'!$A:$A,'Raw Annual DMR Data'!B1160,'Raw Period DMR Data'!C:C,'Raw Annual DMR Data'!X1160), "N/A - Period DMR Data Not Available")</f>
        <v>N/A - Period DMR Data Not Available</v>
      </c>
      <c r="V1160" s="28" t="str" cm="1">
        <f t="array" ref="V1160">IFERROR(INDEX('Raw Period DMR Data'!N:N,MATCH(1,(B1160='Raw Period DMR Data'!$A:$A)*(U1160='Raw Period DMR Data'!M:M)*(X1160='Raw Period DMR Data'!C:C),0),1), "N/A")</f>
        <v>N/A</v>
      </c>
      <c r="W1160" s="28" t="s">
        <v>1463</v>
      </c>
      <c r="X1160" s="28" t="s">
        <v>2227</v>
      </c>
      <c r="Y1160" s="28" t="s">
        <v>926</v>
      </c>
      <c r="Z1160" s="28">
        <v>18070304005658</v>
      </c>
      <c r="AA1160" s="28"/>
      <c r="AB1160" s="28" t="s">
        <v>1465</v>
      </c>
      <c r="AC1160" s="28" t="s">
        <v>1466</v>
      </c>
    </row>
    <row r="1161" spans="1:29" x14ac:dyDescent="0.25">
      <c r="A1161" s="61">
        <v>110002912750</v>
      </c>
      <c r="B1161" s="28">
        <v>2020</v>
      </c>
      <c r="C1161" s="68">
        <f t="shared" si="18"/>
        <v>43831</v>
      </c>
      <c r="D1161" s="28" t="s">
        <v>1353</v>
      </c>
      <c r="E1161" s="28" t="s">
        <v>2225</v>
      </c>
      <c r="F1161" s="28" t="s">
        <v>612</v>
      </c>
      <c r="G1161" s="28" t="s">
        <v>366</v>
      </c>
      <c r="H1161" s="28" t="s">
        <v>2226</v>
      </c>
      <c r="I1161" s="28">
        <v>32.544722</v>
      </c>
      <c r="J1161" s="28">
        <v>-117.068056</v>
      </c>
      <c r="L1161" s="61">
        <v>110002912750</v>
      </c>
      <c r="M1161" s="28" t="s">
        <v>263</v>
      </c>
      <c r="N1161" s="28">
        <v>4952</v>
      </c>
      <c r="O1161" s="28" t="str">
        <f>IFERROR(VLOOKUP(N1161, 'SIC &amp; NAICS Codes'!A:B, 2, FALSE), "")</f>
        <v>Sewerage Systems</v>
      </c>
      <c r="S1161" s="28">
        <v>4.55555555555555</v>
      </c>
      <c r="T1161" s="315">
        <f>_xlfn.MAXIFS('Raw Period DMR Data'!$O:$O,'Raw Period DMR Data'!$A:$A,'Raw Annual DMR Data'!B1161,'Raw Period DMR Data'!$C:$C,X1161)/S1161</f>
        <v>0</v>
      </c>
      <c r="U1161" s="28" t="str">
        <f>+IF(COUNTIFS('Raw Period DMR Data'!$A:$A,B1161, 'Raw Period DMR Data'!C:C,'Raw Annual DMR Data'!X1161, 'Raw Period DMR Data'!M:M, "&gt;0")&gt;0,_xlfn.MAXIFS('Raw Period DMR Data'!M:M,'Raw Period DMR Data'!$A:$A,'Raw Annual DMR Data'!B1161,'Raw Period DMR Data'!C:C,'Raw Annual DMR Data'!X1161), "N/A - Period DMR Data Not Available")</f>
        <v>N/A - Period DMR Data Not Available</v>
      </c>
      <c r="V1161" s="28" t="str" cm="1">
        <f t="array" ref="V1161">IFERROR(INDEX('Raw Period DMR Data'!N:N,MATCH(1,(B1161='Raw Period DMR Data'!$A:$A)*(U1161='Raw Period DMR Data'!M:M)*(X1161='Raw Period DMR Data'!C:C),0),1), "N/A")</f>
        <v>N/A</v>
      </c>
      <c r="W1161" s="28" t="s">
        <v>1463</v>
      </c>
      <c r="X1161" s="28" t="s">
        <v>2227</v>
      </c>
      <c r="Y1161" s="28" t="s">
        <v>926</v>
      </c>
      <c r="Z1161" s="28">
        <v>18070304005658</v>
      </c>
      <c r="AA1161" s="28"/>
      <c r="AB1161" s="28" t="s">
        <v>1465</v>
      </c>
      <c r="AC1161" s="28" t="s">
        <v>1466</v>
      </c>
    </row>
    <row r="1162" spans="1:29" x14ac:dyDescent="0.25">
      <c r="A1162" s="61">
        <v>110000730629</v>
      </c>
      <c r="B1162" s="28">
        <v>2019</v>
      </c>
      <c r="C1162" s="68">
        <f t="shared" si="18"/>
        <v>43466</v>
      </c>
      <c r="D1162" s="28" t="s">
        <v>1354</v>
      </c>
      <c r="E1162" s="28" t="s">
        <v>2228</v>
      </c>
      <c r="F1162" s="28" t="s">
        <v>1355</v>
      </c>
      <c r="G1162" s="28" t="s">
        <v>366</v>
      </c>
      <c r="H1162" s="28" t="s">
        <v>2229</v>
      </c>
      <c r="I1162" s="28">
        <v>35.102089999999997</v>
      </c>
      <c r="J1162" s="28">
        <v>-120.62509</v>
      </c>
      <c r="L1162" s="61">
        <v>110000730629</v>
      </c>
      <c r="M1162" s="28" t="s">
        <v>263</v>
      </c>
      <c r="N1162" s="28">
        <v>4952</v>
      </c>
      <c r="O1162" s="28" t="str">
        <f>IFERROR(VLOOKUP(N1162, 'SIC &amp; NAICS Codes'!A:B, 2, FALSE), "")</f>
        <v>Sewerage Systems</v>
      </c>
      <c r="S1162" s="28">
        <v>0.91043083900226696</v>
      </c>
      <c r="T1162" s="315">
        <f>_xlfn.MAXIFS('Raw Period DMR Data'!$O:$O,'Raw Period DMR Data'!$A:$A,'Raw Annual DMR Data'!B1162,'Raw Period DMR Data'!$C:$C,X1162)/S1162</f>
        <v>0</v>
      </c>
      <c r="U1162" s="28" t="str">
        <f>+IF(COUNTIFS('Raw Period DMR Data'!$A:$A,B1162, 'Raw Period DMR Data'!C:C,'Raw Annual DMR Data'!X1162, 'Raw Period DMR Data'!M:M, "&gt;0")&gt;0,_xlfn.MAXIFS('Raw Period DMR Data'!M:M,'Raw Period DMR Data'!$A:$A,'Raw Annual DMR Data'!B1162,'Raw Period DMR Data'!C:C,'Raw Annual DMR Data'!X1162), "N/A - Period DMR Data Not Available")</f>
        <v>N/A - Period DMR Data Not Available</v>
      </c>
      <c r="V1162" s="28" t="str" cm="1">
        <f t="array" ref="V1162">IFERROR(INDEX('Raw Period DMR Data'!N:N,MATCH(1,(B1162='Raw Period DMR Data'!$A:$A)*(U1162='Raw Period DMR Data'!M:M)*(X1162='Raw Period DMR Data'!C:C),0),1), "N/A")</f>
        <v>N/A</v>
      </c>
      <c r="W1162" s="28" t="s">
        <v>1463</v>
      </c>
      <c r="X1162" s="28" t="s">
        <v>2230</v>
      </c>
      <c r="Y1162" s="28" t="s">
        <v>926</v>
      </c>
      <c r="Z1162" s="28">
        <v>18060006000024</v>
      </c>
      <c r="AA1162" s="28"/>
      <c r="AB1162" s="28" t="s">
        <v>1465</v>
      </c>
      <c r="AC1162" s="28" t="s">
        <v>263</v>
      </c>
    </row>
    <row r="1163" spans="1:29" x14ac:dyDescent="0.25">
      <c r="A1163" s="61">
        <v>110000730629</v>
      </c>
      <c r="B1163" s="28">
        <v>2020</v>
      </c>
      <c r="C1163" s="68">
        <f t="shared" si="18"/>
        <v>43831</v>
      </c>
      <c r="D1163" s="28" t="s">
        <v>1354</v>
      </c>
      <c r="E1163" s="28" t="s">
        <v>2228</v>
      </c>
      <c r="F1163" s="28" t="s">
        <v>1355</v>
      </c>
      <c r="G1163" s="28" t="s">
        <v>366</v>
      </c>
      <c r="H1163" s="28" t="s">
        <v>2229</v>
      </c>
      <c r="I1163" s="28">
        <v>35.102089999999997</v>
      </c>
      <c r="J1163" s="28">
        <v>-120.62509</v>
      </c>
      <c r="L1163" s="61">
        <v>110000730629</v>
      </c>
      <c r="M1163" s="28" t="s">
        <v>263</v>
      </c>
      <c r="N1163" s="28">
        <v>4952</v>
      </c>
      <c r="O1163" s="28" t="str">
        <f>IFERROR(VLOOKUP(N1163, 'SIC &amp; NAICS Codes'!A:B, 2, FALSE), "")</f>
        <v>Sewerage Systems</v>
      </c>
      <c r="S1163" s="28">
        <v>0.14401360544217601</v>
      </c>
      <c r="T1163" s="315">
        <f>_xlfn.MAXIFS('Raw Period DMR Data'!$O:$O,'Raw Period DMR Data'!$A:$A,'Raw Annual DMR Data'!B1163,'Raw Period DMR Data'!$C:$C,X1163)/S1163</f>
        <v>0</v>
      </c>
      <c r="U1163" s="28" t="str">
        <f>+IF(COUNTIFS('Raw Period DMR Data'!$A:$A,B1163, 'Raw Period DMR Data'!C:C,'Raw Annual DMR Data'!X1163, 'Raw Period DMR Data'!M:M, "&gt;0")&gt;0,_xlfn.MAXIFS('Raw Period DMR Data'!M:M,'Raw Period DMR Data'!$A:$A,'Raw Annual DMR Data'!B1163,'Raw Period DMR Data'!C:C,'Raw Annual DMR Data'!X1163), "N/A - Period DMR Data Not Available")</f>
        <v>N/A - Period DMR Data Not Available</v>
      </c>
      <c r="V1163" s="28" t="str" cm="1">
        <f t="array" ref="V1163">IFERROR(INDEX('Raw Period DMR Data'!N:N,MATCH(1,(B1163='Raw Period DMR Data'!$A:$A)*(U1163='Raw Period DMR Data'!M:M)*(X1163='Raw Period DMR Data'!C:C),0),1), "N/A")</f>
        <v>N/A</v>
      </c>
      <c r="W1163" s="28" t="s">
        <v>1463</v>
      </c>
      <c r="X1163" s="28" t="s">
        <v>2230</v>
      </c>
      <c r="Y1163" s="28" t="s">
        <v>926</v>
      </c>
      <c r="Z1163" s="28">
        <v>18060006000024</v>
      </c>
      <c r="AA1163" s="28"/>
      <c r="AB1163" s="28" t="s">
        <v>1465</v>
      </c>
      <c r="AC1163" s="28" t="s">
        <v>263</v>
      </c>
    </row>
    <row r="1164" spans="1:29" x14ac:dyDescent="0.25">
      <c r="A1164" s="61">
        <v>110009830200</v>
      </c>
      <c r="B1164" s="28">
        <v>2015</v>
      </c>
      <c r="C1164" s="68">
        <f t="shared" si="18"/>
        <v>42005</v>
      </c>
      <c r="D1164" s="28" t="s">
        <v>1356</v>
      </c>
      <c r="E1164" s="28" t="s">
        <v>2231</v>
      </c>
      <c r="F1164" s="28" t="s">
        <v>1357</v>
      </c>
      <c r="G1164" s="28" t="s">
        <v>418</v>
      </c>
      <c r="H1164" s="28">
        <v>89434</v>
      </c>
      <c r="I1164" s="28">
        <v>39.530619999999999</v>
      </c>
      <c r="J1164" s="28">
        <v>-119.73309</v>
      </c>
      <c r="L1164" s="61">
        <v>110009830200</v>
      </c>
      <c r="M1164" s="28" t="s">
        <v>265</v>
      </c>
      <c r="N1164" s="28">
        <v>9511</v>
      </c>
      <c r="O1164" s="28" t="str">
        <f>IFERROR(VLOOKUP(N1164, 'SIC &amp; NAICS Codes'!A:B, 2, FALSE), "")</f>
        <v>Air and Water Resource and Solid Waste Management</v>
      </c>
      <c r="S1164" s="28">
        <v>1.8857816249999999</v>
      </c>
      <c r="T1164" s="315">
        <f>_xlfn.MAXIFS('Raw Period DMR Data'!$O:$O,'Raw Period DMR Data'!$A:$A,'Raw Annual DMR Data'!B1164,'Raw Period DMR Data'!$C:$C,X1164)/S1164</f>
        <v>0</v>
      </c>
      <c r="U1164" s="28" t="str">
        <f>+IF(COUNTIFS('Raw Period DMR Data'!$A:$A,B1164, 'Raw Period DMR Data'!C:C,'Raw Annual DMR Data'!X1164, 'Raw Period DMR Data'!M:M, "&gt;0")&gt;0,_xlfn.MAXIFS('Raw Period DMR Data'!M:M,'Raw Period DMR Data'!$A:$A,'Raw Annual DMR Data'!B1164,'Raw Period DMR Data'!C:C,'Raw Annual DMR Data'!X1164), "N/A - Period DMR Data Not Available")</f>
        <v>N/A - Period DMR Data Not Available</v>
      </c>
      <c r="V1164" s="28" t="str" cm="1">
        <f t="array" ref="V1164">IFERROR(INDEX('Raw Period DMR Data'!N:N,MATCH(1,(B1164='Raw Period DMR Data'!$A:$A)*(U1164='Raw Period DMR Data'!M:M)*(X1164='Raw Period DMR Data'!C:C),0),1), "N/A")</f>
        <v>N/A</v>
      </c>
      <c r="W1164" s="28" t="s">
        <v>1463</v>
      </c>
      <c r="X1164" s="28" t="s">
        <v>2232</v>
      </c>
      <c r="Y1164" s="28" t="s">
        <v>2233</v>
      </c>
      <c r="Z1164" s="28">
        <v>16050102000423</v>
      </c>
      <c r="AA1164" s="28"/>
      <c r="AB1164" s="28" t="s">
        <v>1465</v>
      </c>
      <c r="AC1164" s="28" t="s">
        <v>1466</v>
      </c>
    </row>
    <row r="1165" spans="1:29" x14ac:dyDescent="0.25">
      <c r="A1165" s="61">
        <v>110009830200</v>
      </c>
      <c r="B1165" s="28">
        <v>2016</v>
      </c>
      <c r="C1165" s="68">
        <f t="shared" si="18"/>
        <v>42370</v>
      </c>
      <c r="D1165" s="28" t="s">
        <v>1356</v>
      </c>
      <c r="E1165" s="28" t="s">
        <v>2231</v>
      </c>
      <c r="F1165" s="28" t="s">
        <v>1357</v>
      </c>
      <c r="G1165" s="28" t="s">
        <v>418</v>
      </c>
      <c r="H1165" s="28">
        <v>89434</v>
      </c>
      <c r="I1165" s="28">
        <v>39.530619999999999</v>
      </c>
      <c r="J1165" s="28">
        <v>-119.73309</v>
      </c>
      <c r="L1165" s="61">
        <v>110009830200</v>
      </c>
      <c r="M1165" s="28" t="s">
        <v>265</v>
      </c>
      <c r="N1165" s="28">
        <v>9511</v>
      </c>
      <c r="O1165" s="28" t="str">
        <f>IFERROR(VLOOKUP(N1165, 'SIC &amp; NAICS Codes'!A:B, 2, FALSE), "")</f>
        <v>Air and Water Resource and Solid Waste Management</v>
      </c>
      <c r="S1165" s="28">
        <v>1.8443358750000001</v>
      </c>
      <c r="T1165" s="315">
        <f>_xlfn.MAXIFS('Raw Period DMR Data'!$O:$O,'Raw Period DMR Data'!$A:$A,'Raw Annual DMR Data'!B1165,'Raw Period DMR Data'!$C:$C,X1165)/S1165</f>
        <v>0</v>
      </c>
      <c r="U1165" s="28" t="str">
        <f>+IF(COUNTIFS('Raw Period DMR Data'!$A:$A,B1165, 'Raw Period DMR Data'!C:C,'Raw Annual DMR Data'!X1165, 'Raw Period DMR Data'!M:M, "&gt;0")&gt;0,_xlfn.MAXIFS('Raw Period DMR Data'!M:M,'Raw Period DMR Data'!$A:$A,'Raw Annual DMR Data'!B1165,'Raw Period DMR Data'!C:C,'Raw Annual DMR Data'!X1165), "N/A - Period DMR Data Not Available")</f>
        <v>N/A - Period DMR Data Not Available</v>
      </c>
      <c r="V1165" s="28" t="str" cm="1">
        <f t="array" ref="V1165">IFERROR(INDEX('Raw Period DMR Data'!N:N,MATCH(1,(B1165='Raw Period DMR Data'!$A:$A)*(U1165='Raw Period DMR Data'!M:M)*(X1165='Raw Period DMR Data'!C:C),0),1), "N/A")</f>
        <v>N/A</v>
      </c>
      <c r="W1165" s="28" t="s">
        <v>1463</v>
      </c>
      <c r="X1165" s="28" t="s">
        <v>2232</v>
      </c>
      <c r="Y1165" s="28" t="s">
        <v>2233</v>
      </c>
      <c r="Z1165" s="28">
        <v>16050102000423</v>
      </c>
      <c r="AA1165" s="28"/>
      <c r="AB1165" s="28" t="s">
        <v>1465</v>
      </c>
      <c r="AC1165" s="28" t="s">
        <v>1466</v>
      </c>
    </row>
    <row r="1166" spans="1:29" x14ac:dyDescent="0.25">
      <c r="A1166" s="61">
        <v>110009830200</v>
      </c>
      <c r="B1166" s="28">
        <v>2017</v>
      </c>
      <c r="C1166" s="68">
        <f t="shared" si="18"/>
        <v>42736</v>
      </c>
      <c r="D1166" s="28" t="s">
        <v>1356</v>
      </c>
      <c r="E1166" s="28" t="s">
        <v>2231</v>
      </c>
      <c r="F1166" s="28" t="s">
        <v>1357</v>
      </c>
      <c r="G1166" s="28" t="s">
        <v>418</v>
      </c>
      <c r="H1166" s="28">
        <v>89434</v>
      </c>
      <c r="I1166" s="28">
        <v>39.530619999999999</v>
      </c>
      <c r="J1166" s="28">
        <v>-119.73309</v>
      </c>
      <c r="L1166" s="61">
        <v>110009830200</v>
      </c>
      <c r="M1166" s="28" t="s">
        <v>265</v>
      </c>
      <c r="N1166" s="28">
        <v>9511</v>
      </c>
      <c r="O1166" s="28" t="str">
        <f>IFERROR(VLOOKUP(N1166, 'SIC &amp; NAICS Codes'!A:B, 2, FALSE), "")</f>
        <v>Air and Water Resource and Solid Waste Management</v>
      </c>
      <c r="S1166" s="28">
        <v>2.8873872500000002</v>
      </c>
      <c r="T1166" s="315">
        <f>_xlfn.MAXIFS('Raw Period DMR Data'!$O:$O,'Raw Period DMR Data'!$A:$A,'Raw Annual DMR Data'!B1166,'Raw Period DMR Data'!$C:$C,X1166)/S1166</f>
        <v>0</v>
      </c>
      <c r="U1166" s="28" t="str">
        <f>+IF(COUNTIFS('Raw Period DMR Data'!$A:$A,B1166, 'Raw Period DMR Data'!C:C,'Raw Annual DMR Data'!X1166, 'Raw Period DMR Data'!M:M, "&gt;0")&gt;0,_xlfn.MAXIFS('Raw Period DMR Data'!M:M,'Raw Period DMR Data'!$A:$A,'Raw Annual DMR Data'!B1166,'Raw Period DMR Data'!C:C,'Raw Annual DMR Data'!X1166), "N/A - Period DMR Data Not Available")</f>
        <v>N/A - Period DMR Data Not Available</v>
      </c>
      <c r="V1166" s="28" t="str" cm="1">
        <f t="array" ref="V1166">IFERROR(INDEX('Raw Period DMR Data'!N:N,MATCH(1,(B1166='Raw Period DMR Data'!$A:$A)*(U1166='Raw Period DMR Data'!M:M)*(X1166='Raw Period DMR Data'!C:C),0),1), "N/A")</f>
        <v>N/A</v>
      </c>
      <c r="W1166" s="28" t="s">
        <v>1463</v>
      </c>
      <c r="X1166" s="28" t="s">
        <v>2232</v>
      </c>
      <c r="Y1166" s="28" t="s">
        <v>2233</v>
      </c>
      <c r="Z1166" s="28">
        <v>16050102000423</v>
      </c>
      <c r="AA1166" s="28"/>
      <c r="AB1166" s="28" t="s">
        <v>1465</v>
      </c>
      <c r="AC1166" s="28" t="s">
        <v>1466</v>
      </c>
    </row>
    <row r="1167" spans="1:29" x14ac:dyDescent="0.25">
      <c r="A1167" s="61">
        <v>110009830200</v>
      </c>
      <c r="B1167" s="28">
        <v>2018</v>
      </c>
      <c r="C1167" s="68">
        <f t="shared" si="18"/>
        <v>43101</v>
      </c>
      <c r="D1167" s="28" t="s">
        <v>1356</v>
      </c>
      <c r="E1167" s="28" t="s">
        <v>2231</v>
      </c>
      <c r="F1167" s="28" t="s">
        <v>1357</v>
      </c>
      <c r="G1167" s="28" t="s">
        <v>418</v>
      </c>
      <c r="H1167" s="28">
        <v>89434</v>
      </c>
      <c r="I1167" s="28">
        <v>39.530619999999999</v>
      </c>
      <c r="J1167" s="28">
        <v>-119.73309</v>
      </c>
      <c r="L1167" s="61">
        <v>110009830200</v>
      </c>
      <c r="M1167" s="28" t="s">
        <v>265</v>
      </c>
      <c r="N1167" s="28">
        <v>9511</v>
      </c>
      <c r="O1167" s="28" t="str">
        <f>IFERROR(VLOOKUP(N1167, 'SIC &amp; NAICS Codes'!A:B, 2, FALSE), "")</f>
        <v>Air and Water Resource and Solid Waste Management</v>
      </c>
      <c r="S1167" s="28">
        <v>3.7715632499999998</v>
      </c>
      <c r="T1167" s="315">
        <f>_xlfn.MAXIFS('Raw Period DMR Data'!$O:$O,'Raw Period DMR Data'!$A:$A,'Raw Annual DMR Data'!B1167,'Raw Period DMR Data'!$C:$C,X1167)/S1167</f>
        <v>0</v>
      </c>
      <c r="U1167" s="28" t="str">
        <f>+IF(COUNTIFS('Raw Period DMR Data'!$A:$A,B1167, 'Raw Period DMR Data'!C:C,'Raw Annual DMR Data'!X1167, 'Raw Period DMR Data'!M:M, "&gt;0")&gt;0,_xlfn.MAXIFS('Raw Period DMR Data'!M:M,'Raw Period DMR Data'!$A:$A,'Raw Annual DMR Data'!B1167,'Raw Period DMR Data'!C:C,'Raw Annual DMR Data'!X1167), "N/A - Period DMR Data Not Available")</f>
        <v>N/A - Period DMR Data Not Available</v>
      </c>
      <c r="V1167" s="28" t="str" cm="1">
        <f t="array" ref="V1167">IFERROR(INDEX('Raw Period DMR Data'!N:N,MATCH(1,(B1167='Raw Period DMR Data'!$A:$A)*(U1167='Raw Period DMR Data'!M:M)*(X1167='Raw Period DMR Data'!C:C),0),1), "N/A")</f>
        <v>N/A</v>
      </c>
      <c r="W1167" s="28" t="s">
        <v>1463</v>
      </c>
      <c r="X1167" s="28" t="s">
        <v>2232</v>
      </c>
      <c r="Y1167" s="28" t="s">
        <v>2233</v>
      </c>
      <c r="Z1167" s="28">
        <v>16050102000423</v>
      </c>
      <c r="AA1167" s="28"/>
      <c r="AB1167" s="28" t="s">
        <v>1465</v>
      </c>
      <c r="AC1167" s="28" t="s">
        <v>1466</v>
      </c>
    </row>
    <row r="1168" spans="1:29" x14ac:dyDescent="0.25">
      <c r="A1168" s="61">
        <v>110009830200</v>
      </c>
      <c r="B1168" s="28">
        <v>2019</v>
      </c>
      <c r="C1168" s="68">
        <f t="shared" si="18"/>
        <v>43466</v>
      </c>
      <c r="D1168" s="28" t="s">
        <v>1356</v>
      </c>
      <c r="E1168" s="28" t="s">
        <v>2231</v>
      </c>
      <c r="F1168" s="28" t="s">
        <v>1357</v>
      </c>
      <c r="G1168" s="28" t="s">
        <v>418</v>
      </c>
      <c r="H1168" s="28">
        <v>89434</v>
      </c>
      <c r="I1168" s="28">
        <v>39.530619999999999</v>
      </c>
      <c r="J1168" s="28">
        <v>-119.73309</v>
      </c>
      <c r="L1168" s="61">
        <v>110009830200</v>
      </c>
      <c r="M1168" s="28" t="s">
        <v>265</v>
      </c>
      <c r="N1168" s="28">
        <v>9511</v>
      </c>
      <c r="O1168" s="28" t="str">
        <f>IFERROR(VLOOKUP(N1168, 'SIC &amp; NAICS Codes'!A:B, 2, FALSE), "")</f>
        <v>Air and Water Resource and Solid Waste Management</v>
      </c>
      <c r="S1168" s="28">
        <v>13.573483124999999</v>
      </c>
      <c r="T1168" s="315">
        <f>_xlfn.MAXIFS('Raw Period DMR Data'!$O:$O,'Raw Period DMR Data'!$A:$A,'Raw Annual DMR Data'!B1168,'Raw Period DMR Data'!$C:$C,X1168)/S1168</f>
        <v>0</v>
      </c>
      <c r="U1168" s="28" t="str">
        <f>+IF(COUNTIFS('Raw Period DMR Data'!$A:$A,B1168, 'Raw Period DMR Data'!C:C,'Raw Annual DMR Data'!X1168, 'Raw Period DMR Data'!M:M, "&gt;0")&gt;0,_xlfn.MAXIFS('Raw Period DMR Data'!M:M,'Raw Period DMR Data'!$A:$A,'Raw Annual DMR Data'!B1168,'Raw Period DMR Data'!C:C,'Raw Annual DMR Data'!X1168), "N/A - Period DMR Data Not Available")</f>
        <v>N/A - Period DMR Data Not Available</v>
      </c>
      <c r="V1168" s="28" t="str" cm="1">
        <f t="array" ref="V1168">IFERROR(INDEX('Raw Period DMR Data'!N:N,MATCH(1,(B1168='Raw Period DMR Data'!$A:$A)*(U1168='Raw Period DMR Data'!M:M)*(X1168='Raw Period DMR Data'!C:C),0),1), "N/A")</f>
        <v>N/A</v>
      </c>
      <c r="W1168" s="28" t="s">
        <v>1463</v>
      </c>
      <c r="X1168" s="28" t="s">
        <v>2232</v>
      </c>
      <c r="Y1168" s="28" t="s">
        <v>2233</v>
      </c>
      <c r="Z1168" s="28">
        <v>16050102000423</v>
      </c>
      <c r="AA1168" s="28"/>
      <c r="AB1168" s="28" t="s">
        <v>1465</v>
      </c>
      <c r="AC1168" s="28" t="s">
        <v>1466</v>
      </c>
    </row>
    <row r="1169" spans="1:29" x14ac:dyDescent="0.25">
      <c r="A1169" s="61">
        <v>110017206432</v>
      </c>
      <c r="B1169" s="28">
        <v>2017</v>
      </c>
      <c r="C1169" s="68">
        <f t="shared" si="18"/>
        <v>42736</v>
      </c>
      <c r="D1169" s="28" t="s">
        <v>1358</v>
      </c>
      <c r="E1169" s="28" t="s">
        <v>2234</v>
      </c>
      <c r="F1169" s="28" t="s">
        <v>1359</v>
      </c>
      <c r="G1169" s="28" t="s">
        <v>374</v>
      </c>
      <c r="H1169" s="28">
        <v>86508</v>
      </c>
      <c r="I1169" s="28">
        <v>35.359191000000003</v>
      </c>
      <c r="J1169" s="28">
        <v>-109.05148</v>
      </c>
      <c r="L1169" s="61">
        <v>110017206432</v>
      </c>
      <c r="M1169" s="28" t="s">
        <v>260</v>
      </c>
      <c r="N1169" s="28">
        <v>5541</v>
      </c>
      <c r="O1169" s="28" t="str">
        <f>IFERROR(VLOOKUP(N1169, 'SIC &amp; NAICS Codes'!A:B, 2, FALSE), "")</f>
        <v>Gasoline Service Station (gasoline station with convenience store)</v>
      </c>
      <c r="S1169" s="28">
        <v>2.4929830963499901E-5</v>
      </c>
      <c r="T1169" s="315">
        <f>_xlfn.MAXIFS('Raw Period DMR Data'!$O:$O,'Raw Period DMR Data'!$A:$A,'Raw Annual DMR Data'!B1169,'Raw Period DMR Data'!$C:$C,X1169)/S1169</f>
        <v>0</v>
      </c>
      <c r="U1169" s="28" t="str">
        <f>+IF(COUNTIFS('Raw Period DMR Data'!$A:$A,B1169, 'Raw Period DMR Data'!C:C,'Raw Annual DMR Data'!X1169, 'Raw Period DMR Data'!M:M, "&gt;0")&gt;0,_xlfn.MAXIFS('Raw Period DMR Data'!M:M,'Raw Period DMR Data'!$A:$A,'Raw Annual DMR Data'!B1169,'Raw Period DMR Data'!C:C,'Raw Annual DMR Data'!X1169), "N/A - Period DMR Data Not Available")</f>
        <v>N/A - Period DMR Data Not Available</v>
      </c>
      <c r="V1169" s="28" t="str" cm="1">
        <f t="array" ref="V1169">IFERROR(INDEX('Raw Period DMR Data'!N:N,MATCH(1,(B1169='Raw Period DMR Data'!$A:$A)*(U1169='Raw Period DMR Data'!M:M)*(X1169='Raw Period DMR Data'!C:C),0),1), "N/A")</f>
        <v>N/A</v>
      </c>
      <c r="W1169" s="28" t="s">
        <v>1463</v>
      </c>
      <c r="X1169" s="28" t="s">
        <v>2235</v>
      </c>
      <c r="Y1169" s="28" t="s">
        <v>2236</v>
      </c>
      <c r="Z1169" s="28">
        <v>15020006000047</v>
      </c>
      <c r="AA1169" s="28"/>
      <c r="AB1169" s="28" t="s">
        <v>1465</v>
      </c>
      <c r="AC1169" s="28" t="s">
        <v>1466</v>
      </c>
    </row>
    <row r="1170" spans="1:29" x14ac:dyDescent="0.25">
      <c r="A1170" s="61">
        <v>110017206432</v>
      </c>
      <c r="B1170" s="28">
        <v>2018</v>
      </c>
      <c r="C1170" s="68">
        <f t="shared" si="18"/>
        <v>43101</v>
      </c>
      <c r="D1170" s="28" t="s">
        <v>1358</v>
      </c>
      <c r="E1170" s="28" t="s">
        <v>2234</v>
      </c>
      <c r="F1170" s="28" t="s">
        <v>1359</v>
      </c>
      <c r="G1170" s="28" t="s">
        <v>374</v>
      </c>
      <c r="H1170" s="28">
        <v>86508</v>
      </c>
      <c r="I1170" s="28">
        <v>35.359191000000003</v>
      </c>
      <c r="J1170" s="28">
        <v>-109.05148</v>
      </c>
      <c r="L1170" s="61">
        <v>110017206432</v>
      </c>
      <c r="M1170" s="28" t="s">
        <v>260</v>
      </c>
      <c r="N1170" s="28">
        <v>5541</v>
      </c>
      <c r="O1170" s="28" t="str">
        <f>IFERROR(VLOOKUP(N1170, 'SIC &amp; NAICS Codes'!A:B, 2, FALSE), "")</f>
        <v>Gasoline Service Station (gasoline station with convenience store)</v>
      </c>
      <c r="S1170" s="302">
        <v>9.9538066672908996E-5</v>
      </c>
      <c r="T1170" s="315">
        <f>_xlfn.MAXIFS('Raw Period DMR Data'!$O:$O,'Raw Period DMR Data'!$A:$A,'Raw Annual DMR Data'!B1170,'Raw Period DMR Data'!$C:$C,X1170)/S1170</f>
        <v>0</v>
      </c>
      <c r="U1170" s="28" t="str">
        <f>+IF(COUNTIFS('Raw Period DMR Data'!$A:$A,B1170, 'Raw Period DMR Data'!C:C,'Raw Annual DMR Data'!X1170, 'Raw Period DMR Data'!M:M, "&gt;0")&gt;0,_xlfn.MAXIFS('Raw Period DMR Data'!M:M,'Raw Period DMR Data'!$A:$A,'Raw Annual DMR Data'!B1170,'Raw Period DMR Data'!C:C,'Raw Annual DMR Data'!X1170), "N/A - Period DMR Data Not Available")</f>
        <v>N/A - Period DMR Data Not Available</v>
      </c>
      <c r="V1170" s="28" t="str" cm="1">
        <f t="array" ref="V1170">IFERROR(INDEX('Raw Period DMR Data'!N:N,MATCH(1,(B1170='Raw Period DMR Data'!$A:$A)*(U1170='Raw Period DMR Data'!M:M)*(X1170='Raw Period DMR Data'!C:C),0),1), "N/A")</f>
        <v>N/A</v>
      </c>
      <c r="W1170" s="28" t="s">
        <v>1463</v>
      </c>
      <c r="X1170" s="28" t="s">
        <v>2235</v>
      </c>
      <c r="Y1170" s="28" t="s">
        <v>2236</v>
      </c>
      <c r="Z1170" s="28">
        <v>15020006000047</v>
      </c>
      <c r="AA1170" s="28"/>
      <c r="AB1170" s="28" t="s">
        <v>1465</v>
      </c>
      <c r="AC1170" s="28" t="s">
        <v>1466</v>
      </c>
    </row>
    <row r="1171" spans="1:29" x14ac:dyDescent="0.25">
      <c r="A1171" s="61">
        <v>110006783463</v>
      </c>
      <c r="B1171" s="28">
        <v>2017</v>
      </c>
      <c r="C1171" s="68">
        <f t="shared" si="18"/>
        <v>42736</v>
      </c>
      <c r="D1171" s="28" t="s">
        <v>1360</v>
      </c>
      <c r="E1171" s="28" t="s">
        <v>2237</v>
      </c>
      <c r="F1171" s="28" t="s">
        <v>1361</v>
      </c>
      <c r="G1171" s="28" t="s">
        <v>366</v>
      </c>
      <c r="H1171" s="28">
        <v>93561</v>
      </c>
      <c r="I1171" s="28">
        <v>35.082410000000003</v>
      </c>
      <c r="J1171" s="28">
        <v>-118.63708</v>
      </c>
      <c r="L1171" s="61">
        <v>110006783463</v>
      </c>
      <c r="M1171" s="28" t="s">
        <v>263</v>
      </c>
      <c r="N1171" s="28">
        <v>4952</v>
      </c>
      <c r="O1171" s="28" t="str">
        <f>IFERROR(VLOOKUP(N1171, 'SIC &amp; NAICS Codes'!A:B, 2, FALSE), "")</f>
        <v>Sewerage Systems</v>
      </c>
      <c r="S1171" s="28">
        <v>1.2276723200000001E-2</v>
      </c>
      <c r="T1171" s="315">
        <f>_xlfn.MAXIFS('Raw Period DMR Data'!$O:$O,'Raw Period DMR Data'!$A:$A,'Raw Annual DMR Data'!B1171,'Raw Period DMR Data'!$C:$C,X1171)/S1171</f>
        <v>0</v>
      </c>
      <c r="U1171" s="28" t="str">
        <f>+IF(COUNTIFS('Raw Period DMR Data'!$A:$A,B1171, 'Raw Period DMR Data'!C:C,'Raw Annual DMR Data'!X1171, 'Raw Period DMR Data'!M:M, "&gt;0")&gt;0,_xlfn.MAXIFS('Raw Period DMR Data'!M:M,'Raw Period DMR Data'!$A:$A,'Raw Annual DMR Data'!B1171,'Raw Period DMR Data'!C:C,'Raw Annual DMR Data'!X1171), "N/A - Period DMR Data Not Available")</f>
        <v>N/A - Period DMR Data Not Available</v>
      </c>
      <c r="V1171" s="28" t="str" cm="1">
        <f t="array" ref="V1171">IFERROR(INDEX('Raw Period DMR Data'!N:N,MATCH(1,(B1171='Raw Period DMR Data'!$A:$A)*(U1171='Raw Period DMR Data'!M:M)*(X1171='Raw Period DMR Data'!C:C),0),1), "N/A")</f>
        <v>N/A</v>
      </c>
      <c r="W1171" s="28" t="s">
        <v>1463</v>
      </c>
      <c r="X1171" s="28" t="s">
        <v>2238</v>
      </c>
      <c r="Y1171" s="28" t="s">
        <v>2239</v>
      </c>
      <c r="Z1171" s="28">
        <v>18030003001307</v>
      </c>
      <c r="AA1171" s="28"/>
      <c r="AB1171" s="28" t="s">
        <v>1465</v>
      </c>
      <c r="AC1171" s="28" t="s">
        <v>263</v>
      </c>
    </row>
    <row r="1172" spans="1:29" x14ac:dyDescent="0.25">
      <c r="A1172" s="61">
        <v>110046299778</v>
      </c>
      <c r="B1172" s="28">
        <v>2017</v>
      </c>
      <c r="C1172" s="68">
        <f t="shared" si="18"/>
        <v>42736</v>
      </c>
      <c r="D1172" s="28" t="s">
        <v>191</v>
      </c>
      <c r="E1172" s="28" t="s">
        <v>625</v>
      </c>
      <c r="F1172" s="28" t="s">
        <v>626</v>
      </c>
      <c r="G1172" s="28" t="s">
        <v>324</v>
      </c>
      <c r="H1172" s="28">
        <v>42276</v>
      </c>
      <c r="I1172" s="28">
        <v>36.982500000000002</v>
      </c>
      <c r="J1172" s="28">
        <v>-86.78</v>
      </c>
      <c r="L1172" s="61">
        <v>110046299778</v>
      </c>
      <c r="M1172" s="28" t="s">
        <v>265</v>
      </c>
      <c r="N1172" s="28">
        <v>3532</v>
      </c>
      <c r="O1172" s="28" t="str">
        <f>IFERROR(VLOOKUP(N1172, 'SIC &amp; NAICS Codes'!A:B, 2, FALSE), "")</f>
        <v>Mining Machinery and Equipment, Except Oil and Gas Field Machinery and Equipment</v>
      </c>
      <c r="S1172" s="28">
        <v>2.7251999999999998E-2</v>
      </c>
      <c r="T1172" s="315">
        <f>_xlfn.MAXIFS('Raw Period DMR Data'!$O:$O,'Raw Period DMR Data'!$A:$A,'Raw Annual DMR Data'!B1172,'Raw Period DMR Data'!$C:$C,X1172)/S1172</f>
        <v>0</v>
      </c>
      <c r="U1172" s="28" t="str">
        <f>+IF(COUNTIFS('Raw Period DMR Data'!$A:$A,B1172, 'Raw Period DMR Data'!C:C,'Raw Annual DMR Data'!X1172, 'Raw Period DMR Data'!M:M, "&gt;0")&gt;0,_xlfn.MAXIFS('Raw Period DMR Data'!M:M,'Raw Period DMR Data'!$A:$A,'Raw Annual DMR Data'!B1172,'Raw Period DMR Data'!C:C,'Raw Annual DMR Data'!X1172), "N/A - Period DMR Data Not Available")</f>
        <v>N/A - Period DMR Data Not Available</v>
      </c>
      <c r="V1172" s="28" t="str" cm="1">
        <f t="array" ref="V1172">IFERROR(INDEX('Raw Period DMR Data'!N:N,MATCH(1,(B1172='Raw Period DMR Data'!$A:$A)*(U1172='Raw Period DMR Data'!M:M)*(X1172='Raw Period DMR Data'!C:C),0),1), "N/A")</f>
        <v>N/A</v>
      </c>
      <c r="W1172" s="28" t="s">
        <v>1463</v>
      </c>
      <c r="X1172" s="28" t="s">
        <v>936</v>
      </c>
      <c r="Y1172" s="28" t="s">
        <v>937</v>
      </c>
      <c r="Z1172" s="61">
        <v>5110003000734</v>
      </c>
      <c r="AA1172" s="28"/>
    </row>
    <row r="1173" spans="1:29" x14ac:dyDescent="0.25">
      <c r="A1173" s="61">
        <v>110046299778</v>
      </c>
      <c r="B1173" s="28">
        <v>2015</v>
      </c>
      <c r="C1173" s="68">
        <f t="shared" si="18"/>
        <v>42005</v>
      </c>
      <c r="D1173" s="28" t="s">
        <v>191</v>
      </c>
      <c r="E1173" s="28" t="s">
        <v>625</v>
      </c>
      <c r="F1173" s="28" t="s">
        <v>626</v>
      </c>
      <c r="G1173" s="28" t="s">
        <v>324</v>
      </c>
      <c r="H1173" s="28">
        <v>42276</v>
      </c>
      <c r="I1173" s="28">
        <v>36.985556000000003</v>
      </c>
      <c r="J1173" s="28">
        <v>-86.787499999999994</v>
      </c>
      <c r="L1173" s="61">
        <v>110046299778</v>
      </c>
      <c r="M1173" s="28" t="s">
        <v>265</v>
      </c>
      <c r="N1173" s="28">
        <v>3532</v>
      </c>
      <c r="O1173" s="28" t="str">
        <f>IFERROR(VLOOKUP(N1173, 'SIC &amp; NAICS Codes'!A:B, 2, FALSE), "")</f>
        <v>Mining Machinery and Equipment, Except Oil and Gas Field Machinery and Equipment</v>
      </c>
      <c r="S1173" s="28">
        <v>1.3789512E-2</v>
      </c>
      <c r="T1173" s="315">
        <f>_xlfn.MAXIFS('Raw Period DMR Data'!$O:$O,'Raw Period DMR Data'!$A:$A,'Raw Annual DMR Data'!B1173,'Raw Period DMR Data'!$C:$C,X1173)/S1173</f>
        <v>0</v>
      </c>
      <c r="U1173" s="28" t="str">
        <f>+IF(COUNTIFS('Raw Period DMR Data'!$A:$A,B1173, 'Raw Period DMR Data'!C:C,'Raw Annual DMR Data'!X1173, 'Raw Period DMR Data'!M:M, "&gt;0")&gt;0,_xlfn.MAXIFS('Raw Period DMR Data'!M:M,'Raw Period DMR Data'!$A:$A,'Raw Annual DMR Data'!B1173,'Raw Period DMR Data'!C:C,'Raw Annual DMR Data'!X1173), "N/A - Period DMR Data Not Available")</f>
        <v>N/A - Period DMR Data Not Available</v>
      </c>
      <c r="V1173" s="28" t="str" cm="1">
        <f t="array" ref="V1173">IFERROR(INDEX('Raw Period DMR Data'!N:N,MATCH(1,(B1173='Raw Period DMR Data'!$A:$A)*(U1173='Raw Period DMR Data'!M:M)*(X1173='Raw Period DMR Data'!C:C),0),1), "N/A")</f>
        <v>N/A</v>
      </c>
      <c r="W1173" s="28" t="s">
        <v>1463</v>
      </c>
      <c r="X1173" s="28" t="s">
        <v>936</v>
      </c>
      <c r="Y1173" s="28" t="s">
        <v>937</v>
      </c>
      <c r="Z1173" s="28">
        <v>5110003000734</v>
      </c>
      <c r="AA1173" s="28"/>
      <c r="AB1173" s="28" t="s">
        <v>1465</v>
      </c>
      <c r="AC1173" s="28" t="s">
        <v>1466</v>
      </c>
    </row>
    <row r="1174" spans="1:29" x14ac:dyDescent="0.25">
      <c r="A1174" s="61">
        <v>110046299778</v>
      </c>
      <c r="B1174" s="28">
        <v>2015</v>
      </c>
      <c r="C1174" s="68">
        <f t="shared" si="18"/>
        <v>42005</v>
      </c>
      <c r="D1174" s="28" t="s">
        <v>191</v>
      </c>
      <c r="E1174" s="28" t="s">
        <v>625</v>
      </c>
      <c r="F1174" s="28" t="s">
        <v>626</v>
      </c>
      <c r="G1174" s="28" t="s">
        <v>324</v>
      </c>
      <c r="H1174" s="28">
        <v>42276</v>
      </c>
      <c r="I1174" s="28">
        <v>36.985556000000003</v>
      </c>
      <c r="J1174" s="28">
        <v>-86.787499999999994</v>
      </c>
      <c r="L1174" s="61">
        <v>110046299778</v>
      </c>
      <c r="M1174" s="28" t="s">
        <v>265</v>
      </c>
      <c r="N1174" s="28">
        <v>3532</v>
      </c>
      <c r="O1174" s="28" t="str">
        <f>IFERROR(VLOOKUP(N1174, 'SIC &amp; NAICS Codes'!A:B, 2, FALSE), "")</f>
        <v>Mining Machinery and Equipment, Except Oil and Gas Field Machinery and Equipment</v>
      </c>
      <c r="S1174" s="28">
        <v>1.3663849999999999E-3</v>
      </c>
      <c r="T1174" s="315">
        <f>_xlfn.MAXIFS('Raw Period DMR Data'!$O:$O,'Raw Period DMR Data'!$A:$A,'Raw Annual DMR Data'!B1174,'Raw Period DMR Data'!$C:$C,X1174)/S1174</f>
        <v>0</v>
      </c>
      <c r="U1174" s="28" t="str">
        <f>+IF(COUNTIFS('Raw Period DMR Data'!$A:$A,B1174, 'Raw Period DMR Data'!C:C,'Raw Annual DMR Data'!X1174, 'Raw Period DMR Data'!M:M, "&gt;0")&gt;0,_xlfn.MAXIFS('Raw Period DMR Data'!M:M,'Raw Period DMR Data'!$A:$A,'Raw Annual DMR Data'!B1174,'Raw Period DMR Data'!C:C,'Raw Annual DMR Data'!X1174), "N/A - Period DMR Data Not Available")</f>
        <v>N/A - Period DMR Data Not Available</v>
      </c>
      <c r="V1174" s="28" t="str" cm="1">
        <f t="array" ref="V1174">IFERROR(INDEX('Raw Period DMR Data'!N:N,MATCH(1,(B1174='Raw Period DMR Data'!$A:$A)*(U1174='Raw Period DMR Data'!M:M)*(X1174='Raw Period DMR Data'!C:C),0),1), "N/A")</f>
        <v>N/A</v>
      </c>
      <c r="W1174" s="28" t="s">
        <v>1463</v>
      </c>
      <c r="X1174" s="28" t="s">
        <v>936</v>
      </c>
      <c r="Y1174" s="28" t="s">
        <v>937</v>
      </c>
      <c r="Z1174" s="28">
        <v>5110003000734</v>
      </c>
      <c r="AA1174" s="28"/>
      <c r="AB1174" s="28" t="s">
        <v>1465</v>
      </c>
      <c r="AC1174" s="28" t="s">
        <v>1466</v>
      </c>
    </row>
    <row r="1175" spans="1:29" x14ac:dyDescent="0.25">
      <c r="A1175" s="61">
        <v>110046299778</v>
      </c>
      <c r="B1175" s="28">
        <v>2015</v>
      </c>
      <c r="C1175" s="68">
        <f t="shared" si="18"/>
        <v>42005</v>
      </c>
      <c r="D1175" s="28" t="s">
        <v>191</v>
      </c>
      <c r="E1175" s="28" t="s">
        <v>625</v>
      </c>
      <c r="F1175" s="28" t="s">
        <v>626</v>
      </c>
      <c r="G1175" s="28" t="s">
        <v>324</v>
      </c>
      <c r="H1175" s="28">
        <v>42276</v>
      </c>
      <c r="I1175" s="28">
        <v>36.985556000000003</v>
      </c>
      <c r="J1175" s="28">
        <v>-86.787499999999994</v>
      </c>
      <c r="L1175" s="61">
        <v>110046299778</v>
      </c>
      <c r="M1175" s="28" t="s">
        <v>265</v>
      </c>
      <c r="N1175" s="28">
        <v>3532</v>
      </c>
      <c r="O1175" s="28" t="str">
        <f>IFERROR(VLOOKUP(N1175, 'SIC &amp; NAICS Codes'!A:B, 2, FALSE), "")</f>
        <v>Mining Machinery and Equipment, Except Oil and Gas Field Machinery and Equipment</v>
      </c>
      <c r="S1175" s="28">
        <v>2.7504333333333302E-3</v>
      </c>
      <c r="T1175" s="315">
        <f>_xlfn.MAXIFS('Raw Period DMR Data'!$O:$O,'Raw Period DMR Data'!$A:$A,'Raw Annual DMR Data'!B1175,'Raw Period DMR Data'!$C:$C,X1175)/S1175</f>
        <v>0</v>
      </c>
      <c r="U1175" s="28" t="str">
        <f>+IF(COUNTIFS('Raw Period DMR Data'!$A:$A,B1175, 'Raw Period DMR Data'!C:C,'Raw Annual DMR Data'!X1175, 'Raw Period DMR Data'!M:M, "&gt;0")&gt;0,_xlfn.MAXIFS('Raw Period DMR Data'!M:M,'Raw Period DMR Data'!$A:$A,'Raw Annual DMR Data'!B1175,'Raw Period DMR Data'!C:C,'Raw Annual DMR Data'!X1175), "N/A - Period DMR Data Not Available")</f>
        <v>N/A - Period DMR Data Not Available</v>
      </c>
      <c r="V1175" s="28" t="str" cm="1">
        <f t="array" ref="V1175">IFERROR(INDEX('Raw Period DMR Data'!N:N,MATCH(1,(B1175='Raw Period DMR Data'!$A:$A)*(U1175='Raw Period DMR Data'!M:M)*(X1175='Raw Period DMR Data'!C:C),0),1), "N/A")</f>
        <v>N/A</v>
      </c>
      <c r="W1175" s="28" t="s">
        <v>1463</v>
      </c>
      <c r="X1175" s="28" t="s">
        <v>936</v>
      </c>
      <c r="Y1175" s="28" t="s">
        <v>937</v>
      </c>
      <c r="Z1175" s="28">
        <v>5110003000734</v>
      </c>
      <c r="AA1175" s="28"/>
      <c r="AB1175" s="28" t="s">
        <v>1465</v>
      </c>
      <c r="AC1175" s="28" t="s">
        <v>1466</v>
      </c>
    </row>
    <row r="1176" spans="1:29" x14ac:dyDescent="0.25">
      <c r="A1176" s="61">
        <v>110046299778</v>
      </c>
      <c r="B1176" s="28">
        <v>2016</v>
      </c>
      <c r="C1176" s="68">
        <f t="shared" si="18"/>
        <v>42370</v>
      </c>
      <c r="D1176" s="28" t="s">
        <v>191</v>
      </c>
      <c r="E1176" s="28" t="s">
        <v>625</v>
      </c>
      <c r="F1176" s="28" t="s">
        <v>626</v>
      </c>
      <c r="G1176" s="28" t="s">
        <v>324</v>
      </c>
      <c r="H1176" s="28">
        <v>42276</v>
      </c>
      <c r="I1176" s="28">
        <v>36.985556000000003</v>
      </c>
      <c r="J1176" s="28">
        <v>-86.787499999999994</v>
      </c>
      <c r="L1176" s="61">
        <v>110046299778</v>
      </c>
      <c r="M1176" s="28" t="s">
        <v>265</v>
      </c>
      <c r="N1176" s="28">
        <v>3532</v>
      </c>
      <c r="O1176" s="28" t="str">
        <f>IFERROR(VLOOKUP(N1176, 'SIC &amp; NAICS Codes'!A:B, 2, FALSE), "")</f>
        <v>Mining Machinery and Equipment, Except Oil and Gas Field Machinery and Equipment</v>
      </c>
      <c r="S1176" s="28">
        <v>1.7032500000000001E-4</v>
      </c>
      <c r="T1176" s="315">
        <f>_xlfn.MAXIFS('Raw Period DMR Data'!$O:$O,'Raw Period DMR Data'!$A:$A,'Raw Annual DMR Data'!B1176,'Raw Period DMR Data'!$C:$C,X1176)/S1176</f>
        <v>0</v>
      </c>
      <c r="U1176" s="28" t="str">
        <f>+IF(COUNTIFS('Raw Period DMR Data'!$A:$A,B1176, 'Raw Period DMR Data'!C:C,'Raw Annual DMR Data'!X1176, 'Raw Period DMR Data'!M:M, "&gt;0")&gt;0,_xlfn.MAXIFS('Raw Period DMR Data'!M:M,'Raw Period DMR Data'!$A:$A,'Raw Annual DMR Data'!B1176,'Raw Period DMR Data'!C:C,'Raw Annual DMR Data'!X1176), "N/A - Period DMR Data Not Available")</f>
        <v>N/A - Period DMR Data Not Available</v>
      </c>
      <c r="V1176" s="28" t="str" cm="1">
        <f t="array" ref="V1176">IFERROR(INDEX('Raw Period DMR Data'!N:N,MATCH(1,(B1176='Raw Period DMR Data'!$A:$A)*(U1176='Raw Period DMR Data'!M:M)*(X1176='Raw Period DMR Data'!C:C),0),1), "N/A")</f>
        <v>N/A</v>
      </c>
      <c r="W1176" s="28" t="s">
        <v>1463</v>
      </c>
      <c r="X1176" s="28" t="s">
        <v>936</v>
      </c>
      <c r="Y1176" s="28" t="s">
        <v>937</v>
      </c>
      <c r="Z1176" s="28">
        <v>5110003000734</v>
      </c>
      <c r="AA1176" s="28"/>
      <c r="AB1176" s="28" t="s">
        <v>1465</v>
      </c>
      <c r="AC1176" s="28" t="s">
        <v>1466</v>
      </c>
    </row>
    <row r="1177" spans="1:29" x14ac:dyDescent="0.25">
      <c r="A1177" s="61">
        <v>110046299778</v>
      </c>
      <c r="B1177" s="28">
        <v>2016</v>
      </c>
      <c r="C1177" s="68">
        <f t="shared" si="18"/>
        <v>42370</v>
      </c>
      <c r="D1177" s="28" t="s">
        <v>191</v>
      </c>
      <c r="E1177" s="28" t="s">
        <v>625</v>
      </c>
      <c r="F1177" s="28" t="s">
        <v>626</v>
      </c>
      <c r="G1177" s="28" t="s">
        <v>324</v>
      </c>
      <c r="H1177" s="28">
        <v>42276</v>
      </c>
      <c r="I1177" s="28">
        <v>36.985556000000003</v>
      </c>
      <c r="J1177" s="28">
        <v>-86.787499999999994</v>
      </c>
      <c r="L1177" s="61">
        <v>110046299778</v>
      </c>
      <c r="M1177" s="28" t="s">
        <v>265</v>
      </c>
      <c r="N1177" s="28">
        <v>3532</v>
      </c>
      <c r="O1177" s="28" t="str">
        <f>IFERROR(VLOOKUP(N1177, 'SIC &amp; NAICS Codes'!A:B, 2, FALSE), "")</f>
        <v>Mining Machinery and Equipment, Except Oil and Gas Field Machinery and Equipment</v>
      </c>
      <c r="S1177" s="28">
        <v>1.7032500000000001E-4</v>
      </c>
      <c r="T1177" s="315">
        <f>_xlfn.MAXIFS('Raw Period DMR Data'!$O:$O,'Raw Period DMR Data'!$A:$A,'Raw Annual DMR Data'!B1177,'Raw Period DMR Data'!$C:$C,X1177)/S1177</f>
        <v>0</v>
      </c>
      <c r="U1177" s="28" t="str">
        <f>+IF(COUNTIFS('Raw Period DMR Data'!$A:$A,B1177, 'Raw Period DMR Data'!C:C,'Raw Annual DMR Data'!X1177, 'Raw Period DMR Data'!M:M, "&gt;0")&gt;0,_xlfn.MAXIFS('Raw Period DMR Data'!M:M,'Raw Period DMR Data'!$A:$A,'Raw Annual DMR Data'!B1177,'Raw Period DMR Data'!C:C,'Raw Annual DMR Data'!X1177), "N/A - Period DMR Data Not Available")</f>
        <v>N/A - Period DMR Data Not Available</v>
      </c>
      <c r="V1177" s="28" t="str" cm="1">
        <f t="array" ref="V1177">IFERROR(INDEX('Raw Period DMR Data'!N:N,MATCH(1,(B1177='Raw Period DMR Data'!$A:$A)*(U1177='Raw Period DMR Data'!M:M)*(X1177='Raw Period DMR Data'!C:C),0),1), "N/A")</f>
        <v>N/A</v>
      </c>
      <c r="W1177" s="28" t="s">
        <v>1463</v>
      </c>
      <c r="X1177" s="28" t="s">
        <v>936</v>
      </c>
      <c r="Y1177" s="28" t="s">
        <v>937</v>
      </c>
      <c r="Z1177" s="28">
        <v>5110003000734</v>
      </c>
      <c r="AA1177" s="28"/>
      <c r="AB1177" s="28" t="s">
        <v>1465</v>
      </c>
      <c r="AC1177" s="28" t="s">
        <v>1466</v>
      </c>
    </row>
    <row r="1178" spans="1:29" x14ac:dyDescent="0.25">
      <c r="A1178" s="61">
        <v>110046299778</v>
      </c>
      <c r="B1178" s="28">
        <v>2016</v>
      </c>
      <c r="C1178" s="68">
        <f t="shared" si="18"/>
        <v>42370</v>
      </c>
      <c r="D1178" s="28" t="s">
        <v>191</v>
      </c>
      <c r="E1178" s="28" t="s">
        <v>625</v>
      </c>
      <c r="F1178" s="28" t="s">
        <v>626</v>
      </c>
      <c r="G1178" s="28" t="s">
        <v>324</v>
      </c>
      <c r="H1178" s="28">
        <v>42276</v>
      </c>
      <c r="I1178" s="28">
        <v>36.985556000000003</v>
      </c>
      <c r="J1178" s="28">
        <v>-86.787499999999994</v>
      </c>
      <c r="L1178" s="61">
        <v>110046299778</v>
      </c>
      <c r="M1178" s="28" t="s">
        <v>265</v>
      </c>
      <c r="N1178" s="28">
        <v>3532</v>
      </c>
      <c r="O1178" s="28" t="str">
        <f>IFERROR(VLOOKUP(N1178, 'SIC &amp; NAICS Codes'!A:B, 2, FALSE), "")</f>
        <v>Mining Machinery and Equipment, Except Oil and Gas Field Machinery and Equipment</v>
      </c>
      <c r="S1178" s="28">
        <v>1.85673175E-2</v>
      </c>
      <c r="T1178" s="315">
        <f>_xlfn.MAXIFS('Raw Period DMR Data'!$O:$O,'Raw Period DMR Data'!$A:$A,'Raw Annual DMR Data'!B1178,'Raw Period DMR Data'!$C:$C,X1178)/S1178</f>
        <v>0</v>
      </c>
      <c r="U1178" s="28" t="str">
        <f>+IF(COUNTIFS('Raw Period DMR Data'!$A:$A,B1178, 'Raw Period DMR Data'!C:C,'Raw Annual DMR Data'!X1178, 'Raw Period DMR Data'!M:M, "&gt;0")&gt;0,_xlfn.MAXIFS('Raw Period DMR Data'!M:M,'Raw Period DMR Data'!$A:$A,'Raw Annual DMR Data'!B1178,'Raw Period DMR Data'!C:C,'Raw Annual DMR Data'!X1178), "N/A - Period DMR Data Not Available")</f>
        <v>N/A - Period DMR Data Not Available</v>
      </c>
      <c r="V1178" s="28" t="str" cm="1">
        <f t="array" ref="V1178">IFERROR(INDEX('Raw Period DMR Data'!N:N,MATCH(1,(B1178='Raw Period DMR Data'!$A:$A)*(U1178='Raw Period DMR Data'!M:M)*(X1178='Raw Period DMR Data'!C:C),0),1), "N/A")</f>
        <v>N/A</v>
      </c>
      <c r="W1178" s="28" t="s">
        <v>1463</v>
      </c>
      <c r="X1178" s="28" t="s">
        <v>936</v>
      </c>
      <c r="Y1178" s="28" t="s">
        <v>937</v>
      </c>
      <c r="Z1178" s="28">
        <v>5110003000734</v>
      </c>
      <c r="AA1178" s="28"/>
      <c r="AB1178" s="28" t="s">
        <v>1465</v>
      </c>
      <c r="AC1178" s="28" t="s">
        <v>1466</v>
      </c>
    </row>
    <row r="1179" spans="1:29" x14ac:dyDescent="0.25">
      <c r="A1179" s="61">
        <v>110000432504</v>
      </c>
      <c r="B1179" s="28">
        <v>2015</v>
      </c>
      <c r="C1179" s="68">
        <f t="shared" si="18"/>
        <v>42005</v>
      </c>
      <c r="D1179" s="28" t="s">
        <v>192</v>
      </c>
      <c r="E1179" s="28" t="s">
        <v>628</v>
      </c>
      <c r="F1179" s="28" t="s">
        <v>629</v>
      </c>
      <c r="G1179" s="28" t="s">
        <v>345</v>
      </c>
      <c r="H1179" s="28" t="s">
        <v>630</v>
      </c>
      <c r="I1179" s="28">
        <v>41.441667000000002</v>
      </c>
      <c r="J1179" s="28">
        <v>-88.159719999999993</v>
      </c>
      <c r="K1179" s="28" t="s">
        <v>631</v>
      </c>
      <c r="L1179" s="61">
        <v>110000432504</v>
      </c>
      <c r="M1179" s="28" t="s">
        <v>254</v>
      </c>
      <c r="N1179" s="28">
        <v>2843</v>
      </c>
      <c r="O1179" s="28" t="str">
        <f>IFERROR(VLOOKUP(N1179, 'SIC &amp; NAICS Codes'!A:B, 2, FALSE), "")</f>
        <v>Surface Active Agents, Finishing Agents, Sulfonated Oils, and Assistants</v>
      </c>
      <c r="S1179" s="28">
        <v>1.15464852607709</v>
      </c>
      <c r="T1179" s="315">
        <f>_xlfn.MAXIFS('Raw Period DMR Data'!$O:$O,'Raw Period DMR Data'!$A:$A,'Raw Annual DMR Data'!B1179,'Raw Period DMR Data'!$C:$C,X1179)/S1179</f>
        <v>0</v>
      </c>
      <c r="U1179" s="28" t="str">
        <f>+IF(COUNTIFS('Raw Period DMR Data'!$A:$A,B1179, 'Raw Period DMR Data'!C:C,'Raw Annual DMR Data'!X1179, 'Raw Period DMR Data'!M:M, "&gt;0")&gt;0,_xlfn.MAXIFS('Raw Period DMR Data'!M:M,'Raw Period DMR Data'!$A:$A,'Raw Annual DMR Data'!B1179,'Raw Period DMR Data'!C:C,'Raw Annual DMR Data'!X1179), "N/A - Period DMR Data Not Available")</f>
        <v>N/A - Period DMR Data Not Available</v>
      </c>
      <c r="V1179" s="28" t="str" cm="1">
        <f t="array" ref="V1179">IFERROR(INDEX('Raw Period DMR Data'!N:N,MATCH(1,(B1179='Raw Period DMR Data'!$A:$A)*(U1179='Raw Period DMR Data'!M:M)*(X1179='Raw Period DMR Data'!C:C),0),1), "N/A")</f>
        <v>N/A</v>
      </c>
      <c r="W1179" s="28" t="s">
        <v>1463</v>
      </c>
      <c r="X1179" s="28" t="s">
        <v>938</v>
      </c>
      <c r="Y1179" s="28" t="s">
        <v>939</v>
      </c>
      <c r="Z1179" s="61">
        <v>7120004000886</v>
      </c>
    </row>
    <row r="1180" spans="1:29" x14ac:dyDescent="0.25">
      <c r="A1180" s="61">
        <v>110000432504</v>
      </c>
      <c r="B1180" s="28">
        <v>2016</v>
      </c>
      <c r="C1180" s="68">
        <f t="shared" si="18"/>
        <v>42370</v>
      </c>
      <c r="D1180" s="28" t="s">
        <v>192</v>
      </c>
      <c r="E1180" s="28" t="s">
        <v>628</v>
      </c>
      <c r="F1180" s="28" t="s">
        <v>629</v>
      </c>
      <c r="G1180" s="28" t="s">
        <v>345</v>
      </c>
      <c r="H1180" s="28" t="s">
        <v>630</v>
      </c>
      <c r="I1180" s="28">
        <v>41.441667000000002</v>
      </c>
      <c r="J1180" s="28">
        <v>-88.159719999999993</v>
      </c>
      <c r="K1180" s="28" t="s">
        <v>631</v>
      </c>
      <c r="L1180" s="61">
        <v>110000432504</v>
      </c>
      <c r="M1180" s="28" t="s">
        <v>254</v>
      </c>
      <c r="N1180" s="28">
        <v>2843</v>
      </c>
      <c r="O1180" s="28" t="str">
        <f>IFERROR(VLOOKUP(N1180, 'SIC &amp; NAICS Codes'!A:B, 2, FALSE), "")</f>
        <v>Surface Active Agents, Finishing Agents, Sulfonated Oils, and Assistants</v>
      </c>
      <c r="S1180" s="28">
        <v>0.580045351473922</v>
      </c>
      <c r="T1180" s="315">
        <f>_xlfn.MAXIFS('Raw Period DMR Data'!$O:$O,'Raw Period DMR Data'!$A:$A,'Raw Annual DMR Data'!B1180,'Raw Period DMR Data'!$C:$C,X1180)/S1180</f>
        <v>0</v>
      </c>
      <c r="U1180" s="28" t="str">
        <f>+IF(COUNTIFS('Raw Period DMR Data'!$A:$A,B1180, 'Raw Period DMR Data'!C:C,'Raw Annual DMR Data'!X1180, 'Raw Period DMR Data'!M:M, "&gt;0")&gt;0,_xlfn.MAXIFS('Raw Period DMR Data'!M:M,'Raw Period DMR Data'!$A:$A,'Raw Annual DMR Data'!B1180,'Raw Period DMR Data'!C:C,'Raw Annual DMR Data'!X1180), "N/A - Period DMR Data Not Available")</f>
        <v>N/A - Period DMR Data Not Available</v>
      </c>
      <c r="V1180" s="28" t="str" cm="1">
        <f t="array" ref="V1180">IFERROR(INDEX('Raw Period DMR Data'!N:N,MATCH(1,(B1180='Raw Period DMR Data'!$A:$A)*(U1180='Raw Period DMR Data'!M:M)*(X1180='Raw Period DMR Data'!C:C),0),1), "N/A")</f>
        <v>N/A</v>
      </c>
      <c r="W1180" s="28" t="s">
        <v>1463</v>
      </c>
      <c r="X1180" s="28" t="s">
        <v>938</v>
      </c>
      <c r="Y1180" s="28" t="s">
        <v>939</v>
      </c>
      <c r="Z1180" s="61">
        <v>7120004000886</v>
      </c>
      <c r="AA1180" s="28"/>
    </row>
    <row r="1181" spans="1:29" x14ac:dyDescent="0.25">
      <c r="A1181" s="61">
        <v>110000432504</v>
      </c>
      <c r="B1181" s="28">
        <v>2017</v>
      </c>
      <c r="C1181" s="68">
        <f t="shared" si="18"/>
        <v>42736</v>
      </c>
      <c r="D1181" s="28" t="s">
        <v>192</v>
      </c>
      <c r="E1181" s="28" t="s">
        <v>628</v>
      </c>
      <c r="F1181" s="28" t="s">
        <v>629</v>
      </c>
      <c r="G1181" s="28" t="s">
        <v>345</v>
      </c>
      <c r="H1181" s="28" t="s">
        <v>630</v>
      </c>
      <c r="I1181" s="28">
        <v>41.441667000000002</v>
      </c>
      <c r="J1181" s="28">
        <v>-88.159719999999993</v>
      </c>
      <c r="K1181" s="28" t="s">
        <v>631</v>
      </c>
      <c r="L1181" s="61">
        <v>110000432504</v>
      </c>
      <c r="M1181" s="28" t="s">
        <v>254</v>
      </c>
      <c r="N1181" s="28">
        <v>2843</v>
      </c>
      <c r="O1181" s="28" t="str">
        <f>IFERROR(VLOOKUP(N1181, 'SIC &amp; NAICS Codes'!A:B, 2, FALSE), "")</f>
        <v>Surface Active Agents, Finishing Agents, Sulfonated Oils, and Assistants</v>
      </c>
      <c r="S1181" s="28">
        <v>0.49659863945578198</v>
      </c>
      <c r="T1181" s="315">
        <f>_xlfn.MAXIFS('Raw Period DMR Data'!$O:$O,'Raw Period DMR Data'!$A:$A,'Raw Annual DMR Data'!B1181,'Raw Period DMR Data'!$C:$C,X1181)/S1181</f>
        <v>0</v>
      </c>
      <c r="U1181" s="28" t="str">
        <f>+IF(COUNTIFS('Raw Period DMR Data'!$A:$A,B1181, 'Raw Period DMR Data'!C:C,'Raw Annual DMR Data'!X1181, 'Raw Period DMR Data'!M:M, "&gt;0")&gt;0,_xlfn.MAXIFS('Raw Period DMR Data'!M:M,'Raw Period DMR Data'!$A:$A,'Raw Annual DMR Data'!B1181,'Raw Period DMR Data'!C:C,'Raw Annual DMR Data'!X1181), "N/A - Period DMR Data Not Available")</f>
        <v>N/A - Period DMR Data Not Available</v>
      </c>
      <c r="V1181" s="28" t="str" cm="1">
        <f t="array" ref="V1181">IFERROR(INDEX('Raw Period DMR Data'!N:N,MATCH(1,(B1181='Raw Period DMR Data'!$A:$A)*(U1181='Raw Period DMR Data'!M:M)*(X1181='Raw Period DMR Data'!C:C),0),1), "N/A")</f>
        <v>N/A</v>
      </c>
      <c r="W1181" s="28" t="s">
        <v>1463</v>
      </c>
      <c r="X1181" s="28" t="s">
        <v>938</v>
      </c>
      <c r="Y1181" s="28" t="s">
        <v>939</v>
      </c>
      <c r="Z1181" s="61">
        <v>7120004000886</v>
      </c>
      <c r="AA1181" s="28"/>
    </row>
    <row r="1182" spans="1:29" x14ac:dyDescent="0.25">
      <c r="A1182" s="61">
        <v>110000432504</v>
      </c>
      <c r="B1182" s="28">
        <v>2018</v>
      </c>
      <c r="C1182" s="68">
        <f t="shared" si="18"/>
        <v>43101</v>
      </c>
      <c r="D1182" s="28" t="s">
        <v>192</v>
      </c>
      <c r="E1182" s="28" t="s">
        <v>628</v>
      </c>
      <c r="F1182" s="28" t="s">
        <v>629</v>
      </c>
      <c r="G1182" s="28" t="s">
        <v>345</v>
      </c>
      <c r="H1182" s="28" t="s">
        <v>630</v>
      </c>
      <c r="I1182" s="28">
        <v>41.441667000000002</v>
      </c>
      <c r="J1182" s="28">
        <v>-88.159719999999993</v>
      </c>
      <c r="K1182" s="28" t="s">
        <v>631</v>
      </c>
      <c r="L1182" s="61">
        <v>110000432504</v>
      </c>
      <c r="M1182" s="28" t="s">
        <v>254</v>
      </c>
      <c r="N1182" s="28">
        <v>2843</v>
      </c>
      <c r="O1182" s="28" t="str">
        <f>IFERROR(VLOOKUP(N1182, 'SIC &amp; NAICS Codes'!A:B, 2, FALSE), "")</f>
        <v>Surface Active Agents, Finishing Agents, Sulfonated Oils, and Assistants</v>
      </c>
      <c r="S1182" s="28">
        <v>0.49659863945578198</v>
      </c>
      <c r="T1182" s="315">
        <f>_xlfn.MAXIFS('Raw Period DMR Data'!$O:$O,'Raw Period DMR Data'!$A:$A,'Raw Annual DMR Data'!B1182,'Raw Period DMR Data'!$C:$C,X1182)/S1182</f>
        <v>0</v>
      </c>
      <c r="U1182" s="28" t="str">
        <f>+IF(COUNTIFS('Raw Period DMR Data'!$A:$A,B1182, 'Raw Period DMR Data'!C:C,'Raw Annual DMR Data'!X1182, 'Raw Period DMR Data'!M:M, "&gt;0")&gt;0,_xlfn.MAXIFS('Raw Period DMR Data'!M:M,'Raw Period DMR Data'!$A:$A,'Raw Annual DMR Data'!B1182,'Raw Period DMR Data'!C:C,'Raw Annual DMR Data'!X1182), "N/A - Period DMR Data Not Available")</f>
        <v>N/A - Period DMR Data Not Available</v>
      </c>
      <c r="V1182" s="28" t="str" cm="1">
        <f t="array" ref="V1182">IFERROR(INDEX('Raw Period DMR Data'!N:N,MATCH(1,(B1182='Raw Period DMR Data'!$A:$A)*(U1182='Raw Period DMR Data'!M:M)*(X1182='Raw Period DMR Data'!C:C),0),1), "N/A")</f>
        <v>N/A</v>
      </c>
      <c r="W1182" s="28" t="s">
        <v>1463</v>
      </c>
      <c r="X1182" s="28" t="s">
        <v>938</v>
      </c>
      <c r="Y1182" s="28" t="s">
        <v>939</v>
      </c>
      <c r="Z1182" s="61">
        <v>7120004000886</v>
      </c>
    </row>
    <row r="1183" spans="1:29" x14ac:dyDescent="0.25">
      <c r="A1183" s="61">
        <v>110000432504</v>
      </c>
      <c r="B1183" s="28">
        <v>2019</v>
      </c>
      <c r="C1183" s="68">
        <f t="shared" si="18"/>
        <v>43466</v>
      </c>
      <c r="D1183" s="28" t="s">
        <v>192</v>
      </c>
      <c r="E1183" s="28" t="s">
        <v>628</v>
      </c>
      <c r="F1183" s="28" t="s">
        <v>629</v>
      </c>
      <c r="G1183" s="28" t="s">
        <v>345</v>
      </c>
      <c r="H1183" s="28" t="s">
        <v>630</v>
      </c>
      <c r="I1183" s="28">
        <v>41.441667000000002</v>
      </c>
      <c r="J1183" s="28">
        <v>-88.159719999999993</v>
      </c>
      <c r="K1183" s="28" t="s">
        <v>631</v>
      </c>
      <c r="L1183" s="61">
        <v>110000432504</v>
      </c>
      <c r="M1183" s="28" t="s">
        <v>254</v>
      </c>
      <c r="N1183" s="28">
        <v>2843</v>
      </c>
      <c r="O1183" s="28" t="str">
        <f>IFERROR(VLOOKUP(N1183, 'SIC &amp; NAICS Codes'!A:B, 2, FALSE), "")</f>
        <v>Surface Active Agents, Finishing Agents, Sulfonated Oils, and Assistants</v>
      </c>
      <c r="S1183" s="28">
        <v>0.57868480725623495</v>
      </c>
      <c r="T1183" s="315">
        <f>_xlfn.MAXIFS('Raw Period DMR Data'!$O:$O,'Raw Period DMR Data'!$A:$A,'Raw Annual DMR Data'!B1183,'Raw Period DMR Data'!$C:$C,X1183)/S1183</f>
        <v>0</v>
      </c>
      <c r="U1183" s="28" t="str">
        <f>+IF(COUNTIFS('Raw Period DMR Data'!$A:$A,B1183, 'Raw Period DMR Data'!C:C,'Raw Annual DMR Data'!X1183, 'Raw Period DMR Data'!M:M, "&gt;0")&gt;0,_xlfn.MAXIFS('Raw Period DMR Data'!M:M,'Raw Period DMR Data'!$A:$A,'Raw Annual DMR Data'!B1183,'Raw Period DMR Data'!C:C,'Raw Annual DMR Data'!X1183), "N/A - Period DMR Data Not Available")</f>
        <v>N/A - Period DMR Data Not Available</v>
      </c>
      <c r="V1183" s="28" t="str" cm="1">
        <f t="array" ref="V1183">IFERROR(INDEX('Raw Period DMR Data'!N:N,MATCH(1,(B1183='Raw Period DMR Data'!$A:$A)*(U1183='Raw Period DMR Data'!M:M)*(X1183='Raw Period DMR Data'!C:C),0),1), "N/A")</f>
        <v>N/A</v>
      </c>
      <c r="W1183" s="28" t="s">
        <v>1463</v>
      </c>
      <c r="X1183" s="28" t="s">
        <v>938</v>
      </c>
      <c r="Y1183" s="28" t="s">
        <v>939</v>
      </c>
      <c r="Z1183" s="61">
        <v>7120004000886</v>
      </c>
    </row>
    <row r="1184" spans="1:29" x14ac:dyDescent="0.25">
      <c r="A1184" s="61">
        <v>110000432504</v>
      </c>
      <c r="B1184" s="28">
        <v>2020</v>
      </c>
      <c r="C1184" s="68">
        <f t="shared" si="18"/>
        <v>43831</v>
      </c>
      <c r="D1184" s="28" t="s">
        <v>192</v>
      </c>
      <c r="E1184" s="28" t="s">
        <v>628</v>
      </c>
      <c r="F1184" s="28" t="s">
        <v>629</v>
      </c>
      <c r="G1184" s="28" t="s">
        <v>345</v>
      </c>
      <c r="H1184" s="28" t="s">
        <v>630</v>
      </c>
      <c r="I1184" s="28">
        <v>41.441667000000002</v>
      </c>
      <c r="J1184" s="28">
        <v>-88.159719999999993</v>
      </c>
      <c r="K1184" s="28" t="s">
        <v>631</v>
      </c>
      <c r="L1184" s="61">
        <v>110000432504</v>
      </c>
      <c r="M1184" s="28" t="s">
        <v>254</v>
      </c>
      <c r="N1184" s="28">
        <v>2843</v>
      </c>
      <c r="O1184" s="28" t="str">
        <f>IFERROR(VLOOKUP(N1184, 'SIC &amp; NAICS Codes'!A:B, 2, FALSE), "")</f>
        <v>Surface Active Agents, Finishing Agents, Sulfonated Oils, and Assistants</v>
      </c>
      <c r="S1184" s="28">
        <v>0.57868480725623495</v>
      </c>
      <c r="T1184" s="315">
        <f>_xlfn.MAXIFS('Raw Period DMR Data'!$O:$O,'Raw Period DMR Data'!$A:$A,'Raw Annual DMR Data'!B1184,'Raw Period DMR Data'!$C:$C,X1184)/S1184</f>
        <v>0</v>
      </c>
      <c r="U1184" s="28" t="str">
        <f>+IF(COUNTIFS('Raw Period DMR Data'!$A:$A,B1184, 'Raw Period DMR Data'!C:C,'Raw Annual DMR Data'!X1184, 'Raw Period DMR Data'!M:M, "&gt;0")&gt;0,_xlfn.MAXIFS('Raw Period DMR Data'!M:M,'Raw Period DMR Data'!$A:$A,'Raw Annual DMR Data'!B1184,'Raw Period DMR Data'!C:C,'Raw Annual DMR Data'!X1184), "N/A - Period DMR Data Not Available")</f>
        <v>N/A - Period DMR Data Not Available</v>
      </c>
      <c r="V1184" s="28" t="str" cm="1">
        <f t="array" ref="V1184">IFERROR(INDEX('Raw Period DMR Data'!N:N,MATCH(1,(B1184='Raw Period DMR Data'!$A:$A)*(U1184='Raw Period DMR Data'!M:M)*(X1184='Raw Period DMR Data'!C:C),0),1), "N/A")</f>
        <v>N/A</v>
      </c>
      <c r="W1184" s="28" t="s">
        <v>1463</v>
      </c>
      <c r="X1184" s="28" t="s">
        <v>938</v>
      </c>
      <c r="Y1184" s="28" t="s">
        <v>939</v>
      </c>
      <c r="Z1184" s="61">
        <v>7120004000886</v>
      </c>
    </row>
    <row r="1185" spans="1:29" x14ac:dyDescent="0.25">
      <c r="A1185" s="61">
        <v>110045515180</v>
      </c>
      <c r="B1185" s="28">
        <v>2019</v>
      </c>
      <c r="C1185" s="68">
        <f t="shared" si="18"/>
        <v>43466</v>
      </c>
      <c r="D1185" s="28" t="s">
        <v>1362</v>
      </c>
      <c r="E1185" s="28" t="s">
        <v>2240</v>
      </c>
      <c r="F1185" s="28" t="s">
        <v>1282</v>
      </c>
      <c r="G1185" s="28" t="s">
        <v>366</v>
      </c>
      <c r="H1185" s="28">
        <v>92029</v>
      </c>
      <c r="I1185" s="28">
        <v>33.115580000000001</v>
      </c>
      <c r="J1185" s="28">
        <v>-117.1194</v>
      </c>
      <c r="L1185" s="61">
        <v>110045515180</v>
      </c>
      <c r="M1185" s="28" t="s">
        <v>265</v>
      </c>
      <c r="N1185" s="28">
        <v>2082</v>
      </c>
      <c r="O1185" s="28" t="str">
        <f>IFERROR(VLOOKUP(N1185, 'SIC &amp; NAICS Codes'!A:B, 2, FALSE), "")</f>
        <v>Malt Beverages (malt extract)</v>
      </c>
      <c r="S1185" s="28">
        <v>9.9183673469387702E-3</v>
      </c>
      <c r="T1185" s="315">
        <f>_xlfn.MAXIFS('Raw Period DMR Data'!$O:$O,'Raw Period DMR Data'!$A:$A,'Raw Annual DMR Data'!B1185,'Raw Period DMR Data'!$C:$C,X1185)/S1185</f>
        <v>0</v>
      </c>
      <c r="U1185" s="28" t="str">
        <f>+IF(COUNTIFS('Raw Period DMR Data'!$A:$A,B1185, 'Raw Period DMR Data'!C:C,'Raw Annual DMR Data'!X1185, 'Raw Period DMR Data'!M:M, "&gt;0")&gt;0,_xlfn.MAXIFS('Raw Period DMR Data'!M:M,'Raw Period DMR Data'!$A:$A,'Raw Annual DMR Data'!B1185,'Raw Period DMR Data'!C:C,'Raw Annual DMR Data'!X1185), "N/A - Period DMR Data Not Available")</f>
        <v>N/A - Period DMR Data Not Available</v>
      </c>
      <c r="V1185" s="28" t="str" cm="1">
        <f t="array" ref="V1185">IFERROR(INDEX('Raw Period DMR Data'!N:N,MATCH(1,(B1185='Raw Period DMR Data'!$A:$A)*(U1185='Raw Period DMR Data'!M:M)*(X1185='Raw Period DMR Data'!C:C),0),1), "N/A")</f>
        <v>N/A</v>
      </c>
      <c r="W1185" s="28" t="s">
        <v>1463</v>
      </c>
      <c r="X1185" s="28" t="s">
        <v>2241</v>
      </c>
      <c r="Y1185" s="28" t="s">
        <v>926</v>
      </c>
      <c r="Z1185" s="28">
        <v>18070303000010</v>
      </c>
      <c r="AA1185" s="28"/>
      <c r="AB1185" s="28" t="s">
        <v>1465</v>
      </c>
      <c r="AC1185" s="28" t="s">
        <v>1466</v>
      </c>
    </row>
    <row r="1186" spans="1:29" x14ac:dyDescent="0.25">
      <c r="A1186" s="61">
        <v>110045515180</v>
      </c>
      <c r="B1186" s="28">
        <v>2020</v>
      </c>
      <c r="C1186" s="68">
        <f t="shared" si="18"/>
        <v>43831</v>
      </c>
      <c r="D1186" s="28" t="s">
        <v>1362</v>
      </c>
      <c r="E1186" s="28" t="s">
        <v>2240</v>
      </c>
      <c r="F1186" s="28" t="s">
        <v>1282</v>
      </c>
      <c r="G1186" s="28" t="s">
        <v>366</v>
      </c>
      <c r="H1186" s="28">
        <v>92029</v>
      </c>
      <c r="I1186" s="28">
        <v>33.115580000000001</v>
      </c>
      <c r="J1186" s="28">
        <v>-117.1194</v>
      </c>
      <c r="L1186" s="61">
        <v>110045515180</v>
      </c>
      <c r="M1186" s="28" t="s">
        <v>265</v>
      </c>
      <c r="N1186" s="28">
        <v>2082</v>
      </c>
      <c r="O1186" s="28" t="str">
        <f>IFERROR(VLOOKUP(N1186, 'SIC &amp; NAICS Codes'!A:B, 2, FALSE), "")</f>
        <v>Malt Beverages (malt extract)</v>
      </c>
      <c r="S1186" s="28">
        <v>9.4448979591836707E-3</v>
      </c>
      <c r="T1186" s="315">
        <f>_xlfn.MAXIFS('Raw Period DMR Data'!$O:$O,'Raw Period DMR Data'!$A:$A,'Raw Annual DMR Data'!B1186,'Raw Period DMR Data'!$C:$C,X1186)/S1186</f>
        <v>0</v>
      </c>
      <c r="U1186" s="28" t="str">
        <f>+IF(COUNTIFS('Raw Period DMR Data'!$A:$A,B1186, 'Raw Period DMR Data'!C:C,'Raw Annual DMR Data'!X1186, 'Raw Period DMR Data'!M:M, "&gt;0")&gt;0,_xlfn.MAXIFS('Raw Period DMR Data'!M:M,'Raw Period DMR Data'!$A:$A,'Raw Annual DMR Data'!B1186,'Raw Period DMR Data'!C:C,'Raw Annual DMR Data'!X1186), "N/A - Period DMR Data Not Available")</f>
        <v>N/A - Period DMR Data Not Available</v>
      </c>
      <c r="V1186" s="28" t="str" cm="1">
        <f t="array" ref="V1186">IFERROR(INDEX('Raw Period DMR Data'!N:N,MATCH(1,(B1186='Raw Period DMR Data'!$A:$A)*(U1186='Raw Period DMR Data'!M:M)*(X1186='Raw Period DMR Data'!C:C),0),1), "N/A")</f>
        <v>N/A</v>
      </c>
      <c r="W1186" s="28" t="s">
        <v>1463</v>
      </c>
      <c r="X1186" s="28" t="s">
        <v>2241</v>
      </c>
      <c r="Y1186" s="28" t="s">
        <v>926</v>
      </c>
      <c r="Z1186" s="28">
        <v>18070303000010</v>
      </c>
      <c r="AA1186" s="28"/>
      <c r="AB1186" s="28" t="s">
        <v>1465</v>
      </c>
      <c r="AC1186" s="28" t="s">
        <v>1466</v>
      </c>
    </row>
    <row r="1187" spans="1:29" x14ac:dyDescent="0.25">
      <c r="A1187" s="61">
        <v>110008458597</v>
      </c>
      <c r="B1187" s="28">
        <v>2015</v>
      </c>
      <c r="C1187" s="68">
        <f t="shared" si="18"/>
        <v>42005</v>
      </c>
      <c r="D1187" s="28" t="s">
        <v>193</v>
      </c>
      <c r="E1187" s="28" t="s">
        <v>633</v>
      </c>
      <c r="F1187" s="28" t="s">
        <v>634</v>
      </c>
      <c r="G1187" s="28" t="s">
        <v>345</v>
      </c>
      <c r="H1187" s="28" t="s">
        <v>635</v>
      </c>
      <c r="I1187" s="28">
        <v>41.412533000000003</v>
      </c>
      <c r="J1187" s="28">
        <v>-88.197281000000004</v>
      </c>
      <c r="K1187" s="28" t="s">
        <v>636</v>
      </c>
      <c r="L1187" s="61">
        <v>110008458597</v>
      </c>
      <c r="M1187" s="28" t="s">
        <v>253</v>
      </c>
      <c r="N1187" s="28">
        <v>2821</v>
      </c>
      <c r="O1187" s="28" t="str">
        <f>IFERROR(VLOOKUP(N1187, 'SIC &amp; NAICS Codes'!A:B, 2, FALSE), "")</f>
        <v>Plastics Materials, Synthetic and Resins, and Nonvulcanizable Elastomers</v>
      </c>
      <c r="S1187" s="28">
        <v>0.16553287981859399</v>
      </c>
      <c r="T1187" s="315">
        <f>_xlfn.MAXIFS('Raw Period DMR Data'!$O:$O,'Raw Period DMR Data'!$A:$A,'Raw Annual DMR Data'!B1187,'Raw Period DMR Data'!$C:$C,X1187)/S1187</f>
        <v>0</v>
      </c>
      <c r="U1187" s="28" t="str">
        <f>+IF(COUNTIFS('Raw Period DMR Data'!$A:$A,B1187, 'Raw Period DMR Data'!C:C,'Raw Annual DMR Data'!X1187, 'Raw Period DMR Data'!M:M, "&gt;0")&gt;0,_xlfn.MAXIFS('Raw Period DMR Data'!M:M,'Raw Period DMR Data'!$A:$A,'Raw Annual DMR Data'!B1187,'Raw Period DMR Data'!C:C,'Raw Annual DMR Data'!X1187), "N/A - Period DMR Data Not Available")</f>
        <v>N/A - Period DMR Data Not Available</v>
      </c>
      <c r="V1187" s="28" t="str" cm="1">
        <f t="array" ref="V1187">IFERROR(INDEX('Raw Period DMR Data'!N:N,MATCH(1,(B1187='Raw Period DMR Data'!$A:$A)*(U1187='Raw Period DMR Data'!M:M)*(X1187='Raw Period DMR Data'!C:C),0),1), "N/A")</f>
        <v>N/A</v>
      </c>
      <c r="W1187" s="28" t="s">
        <v>1463</v>
      </c>
      <c r="X1187" s="28" t="s">
        <v>940</v>
      </c>
      <c r="Y1187" s="28" t="s">
        <v>941</v>
      </c>
      <c r="Z1187" s="61">
        <v>7120004000957</v>
      </c>
    </row>
    <row r="1188" spans="1:29" x14ac:dyDescent="0.25">
      <c r="A1188" s="61">
        <v>110008458597</v>
      </c>
      <c r="B1188" s="28">
        <v>2016</v>
      </c>
      <c r="C1188" s="68">
        <f t="shared" si="18"/>
        <v>42370</v>
      </c>
      <c r="D1188" s="28" t="s">
        <v>193</v>
      </c>
      <c r="E1188" s="28" t="s">
        <v>633</v>
      </c>
      <c r="F1188" s="28" t="s">
        <v>634</v>
      </c>
      <c r="G1188" s="28" t="s">
        <v>345</v>
      </c>
      <c r="H1188" s="28" t="s">
        <v>635</v>
      </c>
      <c r="I1188" s="28">
        <v>41.412533000000003</v>
      </c>
      <c r="J1188" s="28">
        <v>-88.197281000000004</v>
      </c>
      <c r="K1188" s="28" t="s">
        <v>636</v>
      </c>
      <c r="L1188" s="61">
        <v>110008458597</v>
      </c>
      <c r="M1188" s="28" t="s">
        <v>253</v>
      </c>
      <c r="N1188" s="28">
        <v>2821</v>
      </c>
      <c r="O1188" s="28" t="str">
        <f>IFERROR(VLOOKUP(N1188, 'SIC &amp; NAICS Codes'!A:B, 2, FALSE), "")</f>
        <v>Plastics Materials, Synthetic and Resins, and Nonvulcanizable Elastomers</v>
      </c>
      <c r="S1188" s="28">
        <v>0.33106575963718798</v>
      </c>
      <c r="T1188" s="315">
        <f>_xlfn.MAXIFS('Raw Period DMR Data'!$O:$O,'Raw Period DMR Data'!$A:$A,'Raw Annual DMR Data'!B1188,'Raw Period DMR Data'!$C:$C,X1188)/S1188</f>
        <v>0</v>
      </c>
      <c r="U1188" s="28" t="str">
        <f>+IF(COUNTIFS('Raw Period DMR Data'!$A:$A,B1188, 'Raw Period DMR Data'!C:C,'Raw Annual DMR Data'!X1188, 'Raw Period DMR Data'!M:M, "&gt;0")&gt;0,_xlfn.MAXIFS('Raw Period DMR Data'!M:M,'Raw Period DMR Data'!$A:$A,'Raw Annual DMR Data'!B1188,'Raw Period DMR Data'!C:C,'Raw Annual DMR Data'!X1188), "N/A - Period DMR Data Not Available")</f>
        <v>N/A - Period DMR Data Not Available</v>
      </c>
      <c r="V1188" s="28" t="str" cm="1">
        <f t="array" ref="V1188">IFERROR(INDEX('Raw Period DMR Data'!N:N,MATCH(1,(B1188='Raw Period DMR Data'!$A:$A)*(U1188='Raw Period DMR Data'!M:M)*(X1188='Raw Period DMR Data'!C:C),0),1), "N/A")</f>
        <v>N/A</v>
      </c>
      <c r="W1188" s="28" t="s">
        <v>1463</v>
      </c>
      <c r="X1188" s="28" t="s">
        <v>940</v>
      </c>
      <c r="Y1188" s="28" t="s">
        <v>941</v>
      </c>
      <c r="Z1188" s="61">
        <v>7120004000957</v>
      </c>
      <c r="AA1188" s="28"/>
    </row>
    <row r="1189" spans="1:29" x14ac:dyDescent="0.25">
      <c r="A1189" s="61">
        <v>110008458597</v>
      </c>
      <c r="B1189" s="28">
        <v>2017</v>
      </c>
      <c r="C1189" s="68">
        <f t="shared" si="18"/>
        <v>42736</v>
      </c>
      <c r="D1189" s="28" t="s">
        <v>193</v>
      </c>
      <c r="E1189" s="28" t="s">
        <v>633</v>
      </c>
      <c r="F1189" s="28" t="s">
        <v>634</v>
      </c>
      <c r="G1189" s="28" t="s">
        <v>345</v>
      </c>
      <c r="H1189" s="28" t="s">
        <v>635</v>
      </c>
      <c r="I1189" s="28">
        <v>41.412533000000003</v>
      </c>
      <c r="J1189" s="28">
        <v>-88.197281000000004</v>
      </c>
      <c r="K1189" s="28" t="s">
        <v>636</v>
      </c>
      <c r="L1189" s="61">
        <v>110008458597</v>
      </c>
      <c r="M1189" s="28" t="s">
        <v>253</v>
      </c>
      <c r="N1189" s="28">
        <v>2821</v>
      </c>
      <c r="O1189" s="28" t="str">
        <f>IFERROR(VLOOKUP(N1189, 'SIC &amp; NAICS Codes'!A:B, 2, FALSE), "")</f>
        <v>Plastics Materials, Synthetic and Resins, and Nonvulcanizable Elastomers</v>
      </c>
      <c r="S1189" s="28">
        <v>0.33106575963718798</v>
      </c>
      <c r="T1189" s="315">
        <f>_xlfn.MAXIFS('Raw Period DMR Data'!$O:$O,'Raw Period DMR Data'!$A:$A,'Raw Annual DMR Data'!B1189,'Raw Period DMR Data'!$C:$C,X1189)/S1189</f>
        <v>0</v>
      </c>
      <c r="U1189" s="28" t="str">
        <f>+IF(COUNTIFS('Raw Period DMR Data'!$A:$A,B1189, 'Raw Period DMR Data'!C:C,'Raw Annual DMR Data'!X1189, 'Raw Period DMR Data'!M:M, "&gt;0")&gt;0,_xlfn.MAXIFS('Raw Period DMR Data'!M:M,'Raw Period DMR Data'!$A:$A,'Raw Annual DMR Data'!B1189,'Raw Period DMR Data'!C:C,'Raw Annual DMR Data'!X1189), "N/A - Period DMR Data Not Available")</f>
        <v>N/A - Period DMR Data Not Available</v>
      </c>
      <c r="V1189" s="28" t="str" cm="1">
        <f t="array" ref="V1189">IFERROR(INDEX('Raw Period DMR Data'!N:N,MATCH(1,(B1189='Raw Period DMR Data'!$A:$A)*(U1189='Raw Period DMR Data'!M:M)*(X1189='Raw Period DMR Data'!C:C),0),1), "N/A")</f>
        <v>N/A</v>
      </c>
      <c r="W1189" s="28" t="s">
        <v>1463</v>
      </c>
      <c r="X1189" s="28" t="s">
        <v>940</v>
      </c>
      <c r="Y1189" s="28" t="s">
        <v>941</v>
      </c>
      <c r="Z1189" s="61">
        <v>7120004000957</v>
      </c>
      <c r="AA1189" s="28"/>
    </row>
    <row r="1190" spans="1:29" x14ac:dyDescent="0.25">
      <c r="A1190" s="61">
        <v>110000597426</v>
      </c>
      <c r="B1190" s="28">
        <v>2015</v>
      </c>
      <c r="C1190" s="68">
        <f t="shared" si="18"/>
        <v>42005</v>
      </c>
      <c r="D1190" s="28" t="s">
        <v>1363</v>
      </c>
      <c r="E1190" s="28" t="s">
        <v>2242</v>
      </c>
      <c r="F1190" s="28" t="s">
        <v>1364</v>
      </c>
      <c r="G1190" s="28" t="s">
        <v>303</v>
      </c>
      <c r="H1190" s="28">
        <v>70776</v>
      </c>
      <c r="I1190" s="28">
        <v>30.241299999999999</v>
      </c>
      <c r="J1190" s="28">
        <v>-91.100899999999996</v>
      </c>
      <c r="K1190" s="28" t="s">
        <v>735</v>
      </c>
      <c r="L1190" s="61">
        <v>110000597426</v>
      </c>
      <c r="M1190" s="28" t="s">
        <v>265</v>
      </c>
      <c r="N1190" s="28">
        <v>2819</v>
      </c>
      <c r="O1190" s="28" t="str">
        <f>IFERROR(VLOOKUP(N1190, 'SIC &amp; NAICS Codes'!A:B, 2, FALSE), "")</f>
        <v>Industrial Inorganic Chemicals, NEC (recovering sulfur from natural gas)</v>
      </c>
      <c r="S1190" s="28">
        <v>0.82766439909296996</v>
      </c>
      <c r="T1190" s="315">
        <f>_xlfn.MAXIFS('Raw Period DMR Data'!$O:$O,'Raw Period DMR Data'!$A:$A,'Raw Annual DMR Data'!B1190,'Raw Period DMR Data'!$C:$C,X1190)/S1190</f>
        <v>0</v>
      </c>
      <c r="U1190" s="28" t="str">
        <f>+IF(COUNTIFS('Raw Period DMR Data'!$A:$A,B1190, 'Raw Period DMR Data'!C:C,'Raw Annual DMR Data'!X1190, 'Raw Period DMR Data'!M:M, "&gt;0")&gt;0,_xlfn.MAXIFS('Raw Period DMR Data'!M:M,'Raw Period DMR Data'!$A:$A,'Raw Annual DMR Data'!B1190,'Raw Period DMR Data'!C:C,'Raw Annual DMR Data'!X1190), "N/A - Period DMR Data Not Available")</f>
        <v>N/A - Period DMR Data Not Available</v>
      </c>
      <c r="V1190" s="28" t="str" cm="1">
        <f t="array" ref="V1190">IFERROR(INDEX('Raw Period DMR Data'!N:N,MATCH(1,(B1190='Raw Period DMR Data'!$A:$A)*(U1190='Raw Period DMR Data'!M:M)*(X1190='Raw Period DMR Data'!C:C),0),1), "N/A")</f>
        <v>N/A</v>
      </c>
      <c r="W1190" s="28" t="s">
        <v>1463</v>
      </c>
      <c r="X1190" s="28" t="s">
        <v>2243</v>
      </c>
      <c r="Y1190" s="28">
        <v>402</v>
      </c>
      <c r="Z1190" s="28">
        <v>8070202002351</v>
      </c>
      <c r="AA1190" s="28"/>
      <c r="AB1190" s="28" t="s">
        <v>1465</v>
      </c>
      <c r="AC1190" s="28" t="s">
        <v>1466</v>
      </c>
    </row>
    <row r="1191" spans="1:29" x14ac:dyDescent="0.25">
      <c r="A1191" s="61">
        <v>110000597426</v>
      </c>
      <c r="B1191" s="28">
        <v>2016</v>
      </c>
      <c r="C1191" s="68">
        <f t="shared" si="18"/>
        <v>42370</v>
      </c>
      <c r="D1191" s="28" t="s">
        <v>1363</v>
      </c>
      <c r="E1191" s="28" t="s">
        <v>2242</v>
      </c>
      <c r="F1191" s="28" t="s">
        <v>1364</v>
      </c>
      <c r="G1191" s="28" t="s">
        <v>303</v>
      </c>
      <c r="H1191" s="28">
        <v>70776</v>
      </c>
      <c r="I1191" s="28">
        <v>30.241299999999999</v>
      </c>
      <c r="J1191" s="28">
        <v>-91.100899999999996</v>
      </c>
      <c r="K1191" s="28" t="s">
        <v>735</v>
      </c>
      <c r="L1191" s="61">
        <v>110000597426</v>
      </c>
      <c r="M1191" s="28" t="s">
        <v>265</v>
      </c>
      <c r="N1191" s="28">
        <v>2819</v>
      </c>
      <c r="O1191" s="28" t="str">
        <f>IFERROR(VLOOKUP(N1191, 'SIC &amp; NAICS Codes'!A:B, 2, FALSE), "")</f>
        <v>Industrial Inorganic Chemicals, NEC (recovering sulfur from natural gas)</v>
      </c>
      <c r="S1191" s="28">
        <v>0.82766439909296996</v>
      </c>
      <c r="T1191" s="315">
        <f>_xlfn.MAXIFS('Raw Period DMR Data'!$O:$O,'Raw Period DMR Data'!$A:$A,'Raw Annual DMR Data'!B1191,'Raw Period DMR Data'!$C:$C,X1191)/S1191</f>
        <v>0</v>
      </c>
      <c r="U1191" s="28" t="str">
        <f>+IF(COUNTIFS('Raw Period DMR Data'!$A:$A,B1191, 'Raw Period DMR Data'!C:C,'Raw Annual DMR Data'!X1191, 'Raw Period DMR Data'!M:M, "&gt;0")&gt;0,_xlfn.MAXIFS('Raw Period DMR Data'!M:M,'Raw Period DMR Data'!$A:$A,'Raw Annual DMR Data'!B1191,'Raw Period DMR Data'!C:C,'Raw Annual DMR Data'!X1191), "N/A - Period DMR Data Not Available")</f>
        <v>N/A - Period DMR Data Not Available</v>
      </c>
      <c r="V1191" s="28" t="str" cm="1">
        <f t="array" ref="V1191">IFERROR(INDEX('Raw Period DMR Data'!N:N,MATCH(1,(B1191='Raw Period DMR Data'!$A:$A)*(U1191='Raw Period DMR Data'!M:M)*(X1191='Raw Period DMR Data'!C:C),0),1), "N/A")</f>
        <v>N/A</v>
      </c>
      <c r="W1191" s="28" t="s">
        <v>1463</v>
      </c>
      <c r="X1191" s="28" t="s">
        <v>2243</v>
      </c>
      <c r="Y1191" s="28">
        <v>402</v>
      </c>
      <c r="Z1191" s="28">
        <v>8070202002351</v>
      </c>
      <c r="AA1191" s="28"/>
      <c r="AB1191" s="28" t="s">
        <v>1465</v>
      </c>
      <c r="AC1191" s="28" t="s">
        <v>1466</v>
      </c>
    </row>
    <row r="1192" spans="1:29" x14ac:dyDescent="0.25">
      <c r="A1192" s="61">
        <v>110000597426</v>
      </c>
      <c r="B1192" s="28">
        <v>2017</v>
      </c>
      <c r="C1192" s="68">
        <f t="shared" si="18"/>
        <v>42736</v>
      </c>
      <c r="D1192" s="28" t="s">
        <v>1363</v>
      </c>
      <c r="E1192" s="28" t="s">
        <v>2242</v>
      </c>
      <c r="F1192" s="28" t="s">
        <v>1364</v>
      </c>
      <c r="G1192" s="28" t="s">
        <v>303</v>
      </c>
      <c r="H1192" s="28">
        <v>70776</v>
      </c>
      <c r="I1192" s="28">
        <v>30.241299999999999</v>
      </c>
      <c r="J1192" s="28">
        <v>-91.100899999999996</v>
      </c>
      <c r="K1192" s="28" t="s">
        <v>735</v>
      </c>
      <c r="L1192" s="61">
        <v>110000597426</v>
      </c>
      <c r="M1192" s="28" t="s">
        <v>265</v>
      </c>
      <c r="N1192" s="28">
        <v>2819</v>
      </c>
      <c r="O1192" s="28" t="str">
        <f>IFERROR(VLOOKUP(N1192, 'SIC &amp; NAICS Codes'!A:B, 2, FALSE), "")</f>
        <v>Industrial Inorganic Chemicals, NEC (recovering sulfur from natural gas)</v>
      </c>
      <c r="S1192" s="28">
        <v>0.82766439909296996</v>
      </c>
      <c r="T1192" s="315">
        <f>_xlfn.MAXIFS('Raw Period DMR Data'!$O:$O,'Raw Period DMR Data'!$A:$A,'Raw Annual DMR Data'!B1192,'Raw Period DMR Data'!$C:$C,X1192)/S1192</f>
        <v>0</v>
      </c>
      <c r="U1192" s="28" t="str">
        <f>+IF(COUNTIFS('Raw Period DMR Data'!$A:$A,B1192, 'Raw Period DMR Data'!C:C,'Raw Annual DMR Data'!X1192, 'Raw Period DMR Data'!M:M, "&gt;0")&gt;0,_xlfn.MAXIFS('Raw Period DMR Data'!M:M,'Raw Period DMR Data'!$A:$A,'Raw Annual DMR Data'!B1192,'Raw Period DMR Data'!C:C,'Raw Annual DMR Data'!X1192), "N/A - Period DMR Data Not Available")</f>
        <v>N/A - Period DMR Data Not Available</v>
      </c>
      <c r="V1192" s="28" t="str" cm="1">
        <f t="array" ref="V1192">IFERROR(INDEX('Raw Period DMR Data'!N:N,MATCH(1,(B1192='Raw Period DMR Data'!$A:$A)*(U1192='Raw Period DMR Data'!M:M)*(X1192='Raw Period DMR Data'!C:C),0),1), "N/A")</f>
        <v>N/A</v>
      </c>
      <c r="W1192" s="28" t="s">
        <v>1463</v>
      </c>
      <c r="X1192" s="28" t="s">
        <v>2243</v>
      </c>
      <c r="Y1192" s="28">
        <v>402</v>
      </c>
      <c r="Z1192" s="28">
        <v>8070202002351</v>
      </c>
      <c r="AA1192" s="28"/>
      <c r="AB1192" s="28" t="s">
        <v>1465</v>
      </c>
      <c r="AC1192" s="28" t="s">
        <v>1466</v>
      </c>
    </row>
    <row r="1193" spans="1:29" x14ac:dyDescent="0.25">
      <c r="A1193" s="61">
        <v>110000597426</v>
      </c>
      <c r="B1193" s="28">
        <v>2018</v>
      </c>
      <c r="C1193" s="68">
        <f t="shared" si="18"/>
        <v>43101</v>
      </c>
      <c r="D1193" s="28" t="s">
        <v>1363</v>
      </c>
      <c r="E1193" s="28" t="s">
        <v>2242</v>
      </c>
      <c r="F1193" s="28" t="s">
        <v>1364</v>
      </c>
      <c r="G1193" s="28" t="s">
        <v>303</v>
      </c>
      <c r="H1193" s="28">
        <v>70776</v>
      </c>
      <c r="I1193" s="28">
        <v>30.241299999999999</v>
      </c>
      <c r="J1193" s="28">
        <v>-91.100899999999996</v>
      </c>
      <c r="K1193" s="28" t="s">
        <v>735</v>
      </c>
      <c r="L1193" s="61">
        <v>110000597426</v>
      </c>
      <c r="M1193" s="28" t="s">
        <v>265</v>
      </c>
      <c r="N1193" s="28">
        <v>2819</v>
      </c>
      <c r="O1193" s="28" t="str">
        <f>IFERROR(VLOOKUP(N1193, 'SIC &amp; NAICS Codes'!A:B, 2, FALSE), "")</f>
        <v>Industrial Inorganic Chemicals, NEC (recovering sulfur from natural gas)</v>
      </c>
      <c r="S1193" s="302">
        <v>0.82766439909296996</v>
      </c>
      <c r="T1193" s="315">
        <f>_xlfn.MAXIFS('Raw Period DMR Data'!$O:$O,'Raw Period DMR Data'!$A:$A,'Raw Annual DMR Data'!B1193,'Raw Period DMR Data'!$C:$C,X1193)/S1193</f>
        <v>0</v>
      </c>
      <c r="U1193" s="28" t="str">
        <f>+IF(COUNTIFS('Raw Period DMR Data'!$A:$A,B1193, 'Raw Period DMR Data'!C:C,'Raw Annual DMR Data'!X1193, 'Raw Period DMR Data'!M:M, "&gt;0")&gt;0,_xlfn.MAXIFS('Raw Period DMR Data'!M:M,'Raw Period DMR Data'!$A:$A,'Raw Annual DMR Data'!B1193,'Raw Period DMR Data'!C:C,'Raw Annual DMR Data'!X1193), "N/A - Period DMR Data Not Available")</f>
        <v>N/A - Period DMR Data Not Available</v>
      </c>
      <c r="V1193" s="28" t="str" cm="1">
        <f t="array" ref="V1193">IFERROR(INDEX('Raw Period DMR Data'!N:N,MATCH(1,(B1193='Raw Period DMR Data'!$A:$A)*(U1193='Raw Period DMR Data'!M:M)*(X1193='Raw Period DMR Data'!C:C),0),1), "N/A")</f>
        <v>N/A</v>
      </c>
      <c r="W1193" s="28" t="s">
        <v>1463</v>
      </c>
      <c r="X1193" s="28" t="s">
        <v>2243</v>
      </c>
      <c r="Y1193" s="302" t="s">
        <v>2244</v>
      </c>
      <c r="Z1193" s="302" t="s">
        <v>2245</v>
      </c>
      <c r="AA1193" s="28"/>
      <c r="AB1193" s="28" t="s">
        <v>1465</v>
      </c>
      <c r="AC1193" s="28" t="s">
        <v>1466</v>
      </c>
    </row>
    <row r="1194" spans="1:29" x14ac:dyDescent="0.25">
      <c r="A1194" s="61">
        <v>110000597426</v>
      </c>
      <c r="B1194" s="28">
        <v>2019</v>
      </c>
      <c r="C1194" s="68">
        <f t="shared" si="18"/>
        <v>43466</v>
      </c>
      <c r="D1194" s="28" t="s">
        <v>1363</v>
      </c>
      <c r="E1194" s="28" t="s">
        <v>2242</v>
      </c>
      <c r="F1194" s="28" t="s">
        <v>1364</v>
      </c>
      <c r="G1194" s="28" t="s">
        <v>303</v>
      </c>
      <c r="H1194" s="28">
        <v>70776</v>
      </c>
      <c r="I1194" s="28">
        <v>30.241299999999999</v>
      </c>
      <c r="J1194" s="28">
        <v>-91.100899999999996</v>
      </c>
      <c r="K1194" s="28" t="s">
        <v>735</v>
      </c>
      <c r="L1194" s="61">
        <v>110000597426</v>
      </c>
      <c r="M1194" s="28" t="s">
        <v>265</v>
      </c>
      <c r="N1194" s="28">
        <v>2819</v>
      </c>
      <c r="O1194" s="28" t="str">
        <f>IFERROR(VLOOKUP(N1194, 'SIC &amp; NAICS Codes'!A:B, 2, FALSE), "")</f>
        <v>Industrial Inorganic Chemicals, NEC (recovering sulfur from natural gas)</v>
      </c>
      <c r="S1194" s="28">
        <v>0.82766439909296996</v>
      </c>
      <c r="T1194" s="315">
        <f>_xlfn.MAXIFS('Raw Period DMR Data'!$O:$O,'Raw Period DMR Data'!$A:$A,'Raw Annual DMR Data'!B1194,'Raw Period DMR Data'!$C:$C,X1194)/S1194</f>
        <v>0</v>
      </c>
      <c r="U1194" s="28" t="str">
        <f>+IF(COUNTIFS('Raw Period DMR Data'!$A:$A,B1194, 'Raw Period DMR Data'!C:C,'Raw Annual DMR Data'!X1194, 'Raw Period DMR Data'!M:M, "&gt;0")&gt;0,_xlfn.MAXIFS('Raw Period DMR Data'!M:M,'Raw Period DMR Data'!$A:$A,'Raw Annual DMR Data'!B1194,'Raw Period DMR Data'!C:C,'Raw Annual DMR Data'!X1194), "N/A - Period DMR Data Not Available")</f>
        <v>N/A - Period DMR Data Not Available</v>
      </c>
      <c r="V1194" s="28" t="str" cm="1">
        <f t="array" ref="V1194">IFERROR(INDEX('Raw Period DMR Data'!N:N,MATCH(1,(B1194='Raw Period DMR Data'!$A:$A)*(U1194='Raw Period DMR Data'!M:M)*(X1194='Raw Period DMR Data'!C:C),0),1), "N/A")</f>
        <v>N/A</v>
      </c>
      <c r="W1194" s="28" t="s">
        <v>1463</v>
      </c>
      <c r="X1194" s="28" t="s">
        <v>2243</v>
      </c>
      <c r="Y1194" s="28">
        <v>402</v>
      </c>
      <c r="Z1194" s="28">
        <v>8070202002351</v>
      </c>
      <c r="AA1194" s="28"/>
      <c r="AB1194" s="28" t="s">
        <v>1465</v>
      </c>
      <c r="AC1194" s="28" t="s">
        <v>1466</v>
      </c>
    </row>
    <row r="1195" spans="1:29" x14ac:dyDescent="0.25">
      <c r="A1195" s="61">
        <v>110000597426</v>
      </c>
      <c r="B1195" s="28">
        <v>2020</v>
      </c>
      <c r="C1195" s="68">
        <f t="shared" si="18"/>
        <v>43831</v>
      </c>
      <c r="D1195" s="28" t="s">
        <v>1363</v>
      </c>
      <c r="E1195" s="28" t="s">
        <v>2242</v>
      </c>
      <c r="F1195" s="28" t="s">
        <v>1364</v>
      </c>
      <c r="G1195" s="28" t="s">
        <v>303</v>
      </c>
      <c r="H1195" s="28">
        <v>70776</v>
      </c>
      <c r="I1195" s="28">
        <v>30.241299999999999</v>
      </c>
      <c r="J1195" s="28">
        <v>-91.100899999999996</v>
      </c>
      <c r="K1195" s="28" t="s">
        <v>735</v>
      </c>
      <c r="L1195" s="61">
        <v>110000597426</v>
      </c>
      <c r="M1195" s="28" t="s">
        <v>265</v>
      </c>
      <c r="N1195" s="28">
        <v>2819</v>
      </c>
      <c r="O1195" s="28" t="str">
        <f>IFERROR(VLOOKUP(N1195, 'SIC &amp; NAICS Codes'!A:B, 2, FALSE), "")</f>
        <v>Industrial Inorganic Chemicals, NEC (recovering sulfur from natural gas)</v>
      </c>
      <c r="S1195" s="28">
        <v>0.82766439909296996</v>
      </c>
      <c r="T1195" s="315">
        <f>_xlfn.MAXIFS('Raw Period DMR Data'!$O:$O,'Raw Period DMR Data'!$A:$A,'Raw Annual DMR Data'!B1195,'Raw Period DMR Data'!$C:$C,X1195)/S1195</f>
        <v>0</v>
      </c>
      <c r="U1195" s="28" t="str">
        <f>+IF(COUNTIFS('Raw Period DMR Data'!$A:$A,B1195, 'Raw Period DMR Data'!C:C,'Raw Annual DMR Data'!X1195, 'Raw Period DMR Data'!M:M, "&gt;0")&gt;0,_xlfn.MAXIFS('Raw Period DMR Data'!M:M,'Raw Period DMR Data'!$A:$A,'Raw Annual DMR Data'!B1195,'Raw Period DMR Data'!C:C,'Raw Annual DMR Data'!X1195), "N/A - Period DMR Data Not Available")</f>
        <v>N/A - Period DMR Data Not Available</v>
      </c>
      <c r="V1195" s="28" t="str" cm="1">
        <f t="array" ref="V1195">IFERROR(INDEX('Raw Period DMR Data'!N:N,MATCH(1,(B1195='Raw Period DMR Data'!$A:$A)*(U1195='Raw Period DMR Data'!M:M)*(X1195='Raw Period DMR Data'!C:C),0),1), "N/A")</f>
        <v>N/A</v>
      </c>
      <c r="W1195" s="28" t="s">
        <v>1463</v>
      </c>
      <c r="X1195" s="28" t="s">
        <v>2243</v>
      </c>
      <c r="Y1195" s="28">
        <v>402</v>
      </c>
      <c r="Z1195" s="28">
        <v>8070202002351</v>
      </c>
      <c r="AA1195" s="28"/>
      <c r="AB1195" s="28" t="s">
        <v>1465</v>
      </c>
      <c r="AC1195" s="28" t="s">
        <v>1466</v>
      </c>
    </row>
    <row r="1196" spans="1:29" x14ac:dyDescent="0.25">
      <c r="A1196" s="61">
        <v>110008479397</v>
      </c>
      <c r="B1196" s="28">
        <v>2017</v>
      </c>
      <c r="C1196" s="68">
        <f t="shared" si="18"/>
        <v>42736</v>
      </c>
      <c r="D1196" s="28" t="s">
        <v>1365</v>
      </c>
      <c r="E1196" s="28" t="s">
        <v>2246</v>
      </c>
      <c r="F1196" s="28" t="s">
        <v>1366</v>
      </c>
      <c r="G1196" s="28" t="s">
        <v>506</v>
      </c>
      <c r="H1196" s="28" t="s">
        <v>2247</v>
      </c>
      <c r="I1196" s="28">
        <v>38.082917000000002</v>
      </c>
      <c r="J1196" s="28">
        <v>-75.602999999999994</v>
      </c>
      <c r="L1196" s="61">
        <v>110008479397</v>
      </c>
      <c r="M1196" s="28" t="s">
        <v>265</v>
      </c>
      <c r="N1196" s="28">
        <v>5149</v>
      </c>
      <c r="O1196" s="28" t="str">
        <f>IFERROR(VLOOKUP(N1196, 'SIC &amp; NAICS Codes'!A:B, 2, FALSE), "")</f>
        <v xml:space="preserve">Groceries and Related Products, NEC (processed bottled water manufacturing) </v>
      </c>
      <c r="S1196" s="28">
        <v>3.1270155999999901E-3</v>
      </c>
      <c r="T1196" s="315">
        <f>_xlfn.MAXIFS('Raw Period DMR Data'!$O:$O,'Raw Period DMR Data'!$A:$A,'Raw Annual DMR Data'!B1196,'Raw Period DMR Data'!$C:$C,X1196)/S1196</f>
        <v>0</v>
      </c>
      <c r="U1196" s="28" t="str">
        <f>+IF(COUNTIFS('Raw Period DMR Data'!$A:$A,B1196, 'Raw Period DMR Data'!C:C,'Raw Annual DMR Data'!X1196, 'Raw Period DMR Data'!M:M, "&gt;0")&gt;0,_xlfn.MAXIFS('Raw Period DMR Data'!M:M,'Raw Period DMR Data'!$A:$A,'Raw Annual DMR Data'!B1196,'Raw Period DMR Data'!C:C,'Raw Annual DMR Data'!X1196), "N/A - Period DMR Data Not Available")</f>
        <v>N/A - Period DMR Data Not Available</v>
      </c>
      <c r="V1196" s="28" t="str" cm="1">
        <f t="array" ref="V1196">IFERROR(INDEX('Raw Period DMR Data'!N:N,MATCH(1,(B1196='Raw Period DMR Data'!$A:$A)*(U1196='Raw Period DMR Data'!M:M)*(X1196='Raw Period DMR Data'!C:C),0),1), "N/A")</f>
        <v>N/A</v>
      </c>
      <c r="W1196" s="28" t="s">
        <v>1463</v>
      </c>
      <c r="X1196" s="28" t="s">
        <v>2248</v>
      </c>
      <c r="Y1196" s="28" t="s">
        <v>2249</v>
      </c>
      <c r="Z1196" s="28">
        <v>2080111014856</v>
      </c>
      <c r="AA1196" s="28"/>
      <c r="AB1196" s="28" t="s">
        <v>1465</v>
      </c>
      <c r="AC1196" s="28" t="s">
        <v>1466</v>
      </c>
    </row>
    <row r="1197" spans="1:29" x14ac:dyDescent="0.25">
      <c r="A1197" s="61">
        <v>110008479397</v>
      </c>
      <c r="B1197" s="28">
        <v>2018</v>
      </c>
      <c r="C1197" s="68">
        <f t="shared" si="18"/>
        <v>43101</v>
      </c>
      <c r="D1197" s="28" t="s">
        <v>1365</v>
      </c>
      <c r="E1197" s="28" t="s">
        <v>2246</v>
      </c>
      <c r="F1197" s="28" t="s">
        <v>1366</v>
      </c>
      <c r="G1197" s="28" t="s">
        <v>506</v>
      </c>
      <c r="H1197" s="28" t="s">
        <v>2247</v>
      </c>
      <c r="I1197" s="28">
        <v>38.082917000000002</v>
      </c>
      <c r="J1197" s="28">
        <v>-75.602999999999994</v>
      </c>
      <c r="L1197" s="61">
        <v>110008479397</v>
      </c>
      <c r="M1197" s="28" t="s">
        <v>265</v>
      </c>
      <c r="N1197" s="28">
        <v>5149</v>
      </c>
      <c r="O1197" s="28" t="str">
        <f>IFERROR(VLOOKUP(N1197, 'SIC &amp; NAICS Codes'!A:B, 2, FALSE), "")</f>
        <v xml:space="preserve">Groceries and Related Products, NEC (processed bottled water manufacturing) </v>
      </c>
      <c r="S1197" s="302">
        <v>5.8821152074999897E-3</v>
      </c>
      <c r="T1197" s="315">
        <f>_xlfn.MAXIFS('Raw Period DMR Data'!$O:$O,'Raw Period DMR Data'!$A:$A,'Raw Annual DMR Data'!B1197,'Raw Period DMR Data'!$C:$C,X1197)/S1197</f>
        <v>0</v>
      </c>
      <c r="U1197" s="28" t="str">
        <f>+IF(COUNTIFS('Raw Period DMR Data'!$A:$A,B1197, 'Raw Period DMR Data'!C:C,'Raw Annual DMR Data'!X1197, 'Raw Period DMR Data'!M:M, "&gt;0")&gt;0,_xlfn.MAXIFS('Raw Period DMR Data'!M:M,'Raw Period DMR Data'!$A:$A,'Raw Annual DMR Data'!B1197,'Raw Period DMR Data'!C:C,'Raw Annual DMR Data'!X1197), "N/A - Period DMR Data Not Available")</f>
        <v>N/A - Period DMR Data Not Available</v>
      </c>
      <c r="V1197" s="28" t="str" cm="1">
        <f t="array" ref="V1197">IFERROR(INDEX('Raw Period DMR Data'!N:N,MATCH(1,(B1197='Raw Period DMR Data'!$A:$A)*(U1197='Raw Period DMR Data'!M:M)*(X1197='Raw Period DMR Data'!C:C),0),1), "N/A")</f>
        <v>N/A</v>
      </c>
      <c r="W1197" s="28" t="s">
        <v>1463</v>
      </c>
      <c r="X1197" s="28" t="s">
        <v>2248</v>
      </c>
      <c r="Y1197" s="28" t="s">
        <v>2249</v>
      </c>
      <c r="Z1197" s="302" t="s">
        <v>2250</v>
      </c>
      <c r="AA1197" s="28"/>
      <c r="AB1197" s="28" t="s">
        <v>1465</v>
      </c>
      <c r="AC1197" s="28" t="s">
        <v>1466</v>
      </c>
    </row>
    <row r="1198" spans="1:29" x14ac:dyDescent="0.25">
      <c r="A1198" s="61">
        <v>110056972432</v>
      </c>
      <c r="B1198" s="28">
        <v>2015</v>
      </c>
      <c r="C1198" s="68">
        <f t="shared" si="18"/>
        <v>42005</v>
      </c>
      <c r="D1198" s="28" t="s">
        <v>1367</v>
      </c>
      <c r="E1198" s="28" t="s">
        <v>2251</v>
      </c>
      <c r="F1198" s="28" t="s">
        <v>1364</v>
      </c>
      <c r="G1198" s="28" t="s">
        <v>303</v>
      </c>
      <c r="H1198" s="28">
        <v>70776</v>
      </c>
      <c r="I1198" s="28">
        <v>30.250833</v>
      </c>
      <c r="J1198" s="28">
        <v>-91.092277999999993</v>
      </c>
      <c r="K1198" s="28" t="s">
        <v>736</v>
      </c>
      <c r="L1198" s="61">
        <v>110056972432</v>
      </c>
      <c r="M1198" s="28" t="s">
        <v>265</v>
      </c>
      <c r="N1198" s="28">
        <v>2869</v>
      </c>
      <c r="O1198" s="28" t="str">
        <f>IFERROR(VLOOKUP(N1198, 'SIC &amp; NAICS Codes'!A:B, 2, FALSE), "")</f>
        <v>Industrial Organic Chemicals, NEC (aliphatics)</v>
      </c>
      <c r="S1198" s="28">
        <v>0.41383219954648498</v>
      </c>
      <c r="T1198" s="315">
        <f>_xlfn.MAXIFS('Raw Period DMR Data'!$O:$O,'Raw Period DMR Data'!$A:$A,'Raw Annual DMR Data'!B1198,'Raw Period DMR Data'!$C:$C,X1198)/S1198</f>
        <v>0</v>
      </c>
      <c r="U1198" s="28" t="str">
        <f>+IF(COUNTIFS('Raw Period DMR Data'!$A:$A,B1198, 'Raw Period DMR Data'!C:C,'Raw Annual DMR Data'!X1198, 'Raw Period DMR Data'!M:M, "&gt;0")&gt;0,_xlfn.MAXIFS('Raw Period DMR Data'!M:M,'Raw Period DMR Data'!$A:$A,'Raw Annual DMR Data'!B1198,'Raw Period DMR Data'!C:C,'Raw Annual DMR Data'!X1198), "N/A - Period DMR Data Not Available")</f>
        <v>N/A - Period DMR Data Not Available</v>
      </c>
      <c r="V1198" s="28" t="str" cm="1">
        <f t="array" ref="V1198">IFERROR(INDEX('Raw Period DMR Data'!N:N,MATCH(1,(B1198='Raw Period DMR Data'!$A:$A)*(U1198='Raw Period DMR Data'!M:M)*(X1198='Raw Period DMR Data'!C:C),0),1), "N/A")</f>
        <v>N/A</v>
      </c>
      <c r="W1198" s="28" t="s">
        <v>1463</v>
      </c>
      <c r="X1198" s="28" t="s">
        <v>2252</v>
      </c>
      <c r="Z1198" s="28">
        <v>8070202000842</v>
      </c>
      <c r="AA1198" s="28"/>
      <c r="AB1198" s="28" t="s">
        <v>1465</v>
      </c>
      <c r="AC1198" s="28" t="s">
        <v>1466</v>
      </c>
    </row>
    <row r="1199" spans="1:29" x14ac:dyDescent="0.25">
      <c r="A1199" s="61">
        <v>110056972432</v>
      </c>
      <c r="B1199" s="28">
        <v>2019</v>
      </c>
      <c r="C1199" s="68">
        <f t="shared" si="18"/>
        <v>43466</v>
      </c>
      <c r="D1199" s="28" t="s">
        <v>1367</v>
      </c>
      <c r="E1199" s="28" t="s">
        <v>2251</v>
      </c>
      <c r="F1199" s="28" t="s">
        <v>1364</v>
      </c>
      <c r="G1199" s="28" t="s">
        <v>303</v>
      </c>
      <c r="H1199" s="28">
        <v>70776</v>
      </c>
      <c r="I1199" s="28">
        <v>30.250833</v>
      </c>
      <c r="J1199" s="28">
        <v>-91.092277999999993</v>
      </c>
      <c r="K1199" s="28" t="s">
        <v>736</v>
      </c>
      <c r="L1199" s="61">
        <v>110056972432</v>
      </c>
      <c r="M1199" s="28" t="s">
        <v>265</v>
      </c>
      <c r="N1199" s="28">
        <v>2869</v>
      </c>
      <c r="O1199" s="28" t="str">
        <f>IFERROR(VLOOKUP(N1199, 'SIC &amp; NAICS Codes'!A:B, 2, FALSE), "")</f>
        <v>Industrial Organic Chemicals, NEC (aliphatics)</v>
      </c>
      <c r="S1199" s="28">
        <v>0.41383219954648498</v>
      </c>
      <c r="T1199" s="315">
        <f>_xlfn.MAXIFS('Raw Period DMR Data'!$O:$O,'Raw Period DMR Data'!$A:$A,'Raw Annual DMR Data'!B1199,'Raw Period DMR Data'!$C:$C,X1199)/S1199</f>
        <v>0</v>
      </c>
      <c r="U1199" s="28" t="str">
        <f>+IF(COUNTIFS('Raw Period DMR Data'!$A:$A,B1199, 'Raw Period DMR Data'!C:C,'Raw Annual DMR Data'!X1199, 'Raw Period DMR Data'!M:M, "&gt;0")&gt;0,_xlfn.MAXIFS('Raw Period DMR Data'!M:M,'Raw Period DMR Data'!$A:$A,'Raw Annual DMR Data'!B1199,'Raw Period DMR Data'!C:C,'Raw Annual DMR Data'!X1199), "N/A - Period DMR Data Not Available")</f>
        <v>N/A - Period DMR Data Not Available</v>
      </c>
      <c r="V1199" s="28" t="str" cm="1">
        <f t="array" ref="V1199">IFERROR(INDEX('Raw Period DMR Data'!N:N,MATCH(1,(B1199='Raw Period DMR Data'!$A:$A)*(U1199='Raw Period DMR Data'!M:M)*(X1199='Raw Period DMR Data'!C:C),0),1), "N/A")</f>
        <v>N/A</v>
      </c>
      <c r="W1199" s="28" t="s">
        <v>1463</v>
      </c>
      <c r="X1199" s="28" t="s">
        <v>2252</v>
      </c>
      <c r="Z1199" s="28">
        <v>8070202000842</v>
      </c>
      <c r="AA1199" s="28"/>
      <c r="AB1199" s="28" t="s">
        <v>1465</v>
      </c>
      <c r="AC1199" s="28" t="s">
        <v>1466</v>
      </c>
    </row>
    <row r="1200" spans="1:29" x14ac:dyDescent="0.25">
      <c r="A1200" s="61">
        <v>110056972432</v>
      </c>
      <c r="B1200" s="28">
        <v>2020</v>
      </c>
      <c r="C1200" s="68">
        <f t="shared" si="18"/>
        <v>43831</v>
      </c>
      <c r="D1200" s="28" t="s">
        <v>1367</v>
      </c>
      <c r="E1200" s="28" t="s">
        <v>2251</v>
      </c>
      <c r="F1200" s="28" t="s">
        <v>1364</v>
      </c>
      <c r="G1200" s="28" t="s">
        <v>303</v>
      </c>
      <c r="H1200" s="28">
        <v>70776</v>
      </c>
      <c r="I1200" s="28">
        <v>30.250833</v>
      </c>
      <c r="J1200" s="28">
        <v>-91.092277999999993</v>
      </c>
      <c r="K1200" s="28" t="s">
        <v>736</v>
      </c>
      <c r="L1200" s="61">
        <v>110056972432</v>
      </c>
      <c r="M1200" s="28" t="s">
        <v>265</v>
      </c>
      <c r="N1200" s="28">
        <v>2869</v>
      </c>
      <c r="O1200" s="28" t="str">
        <f>IFERROR(VLOOKUP(N1200, 'SIC &amp; NAICS Codes'!A:B, 2, FALSE), "")</f>
        <v>Industrial Organic Chemicals, NEC (aliphatics)</v>
      </c>
      <c r="S1200" s="28">
        <v>0.41383219954648498</v>
      </c>
      <c r="T1200" s="315">
        <f>_xlfn.MAXIFS('Raw Period DMR Data'!$O:$O,'Raw Period DMR Data'!$A:$A,'Raw Annual DMR Data'!B1200,'Raw Period DMR Data'!$C:$C,X1200)/S1200</f>
        <v>0</v>
      </c>
      <c r="U1200" s="28" t="str">
        <f>+IF(COUNTIFS('Raw Period DMR Data'!$A:$A,B1200, 'Raw Period DMR Data'!C:C,'Raw Annual DMR Data'!X1200, 'Raw Period DMR Data'!M:M, "&gt;0")&gt;0,_xlfn.MAXIFS('Raw Period DMR Data'!M:M,'Raw Period DMR Data'!$A:$A,'Raw Annual DMR Data'!B1200,'Raw Period DMR Data'!C:C,'Raw Annual DMR Data'!X1200), "N/A - Period DMR Data Not Available")</f>
        <v>N/A - Period DMR Data Not Available</v>
      </c>
      <c r="V1200" s="28" t="str" cm="1">
        <f t="array" ref="V1200">IFERROR(INDEX('Raw Period DMR Data'!N:N,MATCH(1,(B1200='Raw Period DMR Data'!$A:$A)*(U1200='Raw Period DMR Data'!M:M)*(X1200='Raw Period DMR Data'!C:C),0),1), "N/A")</f>
        <v>N/A</v>
      </c>
      <c r="W1200" s="28" t="s">
        <v>1463</v>
      </c>
      <c r="X1200" s="28" t="s">
        <v>2252</v>
      </c>
      <c r="Z1200" s="28">
        <v>8070202000842</v>
      </c>
      <c r="AA1200" s="28"/>
      <c r="AB1200" s="28" t="s">
        <v>1465</v>
      </c>
      <c r="AC1200" s="28" t="s">
        <v>1466</v>
      </c>
    </row>
    <row r="1201" spans="1:29" x14ac:dyDescent="0.25">
      <c r="A1201" s="61">
        <v>110041903223</v>
      </c>
      <c r="B1201" s="28">
        <v>2017</v>
      </c>
      <c r="C1201" s="68">
        <f t="shared" si="18"/>
        <v>42736</v>
      </c>
      <c r="D1201" s="28" t="s">
        <v>1368</v>
      </c>
      <c r="E1201" s="28" t="s">
        <v>2253</v>
      </c>
      <c r="F1201" s="28" t="s">
        <v>657</v>
      </c>
      <c r="G1201" s="28" t="s">
        <v>418</v>
      </c>
      <c r="H1201" s="28">
        <v>89119</v>
      </c>
      <c r="I1201" s="28">
        <v>36.074100000000001</v>
      </c>
      <c r="J1201" s="28">
        <v>-115.17274</v>
      </c>
      <c r="L1201" s="61">
        <v>110041903223</v>
      </c>
      <c r="M1201" s="28" t="s">
        <v>265</v>
      </c>
      <c r="N1201" s="28">
        <v>5541</v>
      </c>
      <c r="O1201" s="28" t="str">
        <f>IFERROR(VLOOKUP(N1201, 'SIC &amp; NAICS Codes'!A:B, 2, FALSE), "")</f>
        <v>Gasoline Service Station (gasoline station with convenience store)</v>
      </c>
      <c r="S1201" s="28">
        <v>2.2387612625000002E-3</v>
      </c>
      <c r="T1201" s="315">
        <f>_xlfn.MAXIFS('Raw Period DMR Data'!$O:$O,'Raw Period DMR Data'!$A:$A,'Raw Annual DMR Data'!B1201,'Raw Period DMR Data'!$C:$C,X1201)/S1201</f>
        <v>0</v>
      </c>
      <c r="U1201" s="28" t="str">
        <f>+IF(COUNTIFS('Raw Period DMR Data'!$A:$A,B1201, 'Raw Period DMR Data'!C:C,'Raw Annual DMR Data'!X1201, 'Raw Period DMR Data'!M:M, "&gt;0")&gt;0,_xlfn.MAXIFS('Raw Period DMR Data'!M:M,'Raw Period DMR Data'!$A:$A,'Raw Annual DMR Data'!B1201,'Raw Period DMR Data'!C:C,'Raw Annual DMR Data'!X1201), "N/A - Period DMR Data Not Available")</f>
        <v>N/A - Period DMR Data Not Available</v>
      </c>
      <c r="V1201" s="28" t="str" cm="1">
        <f t="array" ref="V1201">IFERROR(INDEX('Raw Period DMR Data'!N:N,MATCH(1,(B1201='Raw Period DMR Data'!$A:$A)*(U1201='Raw Period DMR Data'!M:M)*(X1201='Raw Period DMR Data'!C:C),0),1), "N/A")</f>
        <v>N/A</v>
      </c>
      <c r="W1201" s="28" t="s">
        <v>1463</v>
      </c>
      <c r="X1201" s="28" t="s">
        <v>2254</v>
      </c>
      <c r="Y1201" s="28" t="s">
        <v>2255</v>
      </c>
      <c r="Z1201" s="28">
        <v>15010015000141</v>
      </c>
      <c r="AA1201" s="28"/>
      <c r="AB1201" s="28" t="s">
        <v>1465</v>
      </c>
      <c r="AC1201" s="28" t="s">
        <v>1466</v>
      </c>
    </row>
    <row r="1202" spans="1:29" x14ac:dyDescent="0.25">
      <c r="A1202" s="61">
        <v>110041903223</v>
      </c>
      <c r="B1202" s="28">
        <v>2018</v>
      </c>
      <c r="C1202" s="68">
        <f t="shared" si="18"/>
        <v>43101</v>
      </c>
      <c r="D1202" s="28" t="s">
        <v>1368</v>
      </c>
      <c r="E1202" s="28" t="s">
        <v>2253</v>
      </c>
      <c r="F1202" s="28" t="s">
        <v>657</v>
      </c>
      <c r="G1202" s="28" t="s">
        <v>418</v>
      </c>
      <c r="H1202" s="28">
        <v>89119</v>
      </c>
      <c r="I1202" s="28">
        <v>36.074100000000001</v>
      </c>
      <c r="J1202" s="28">
        <v>-115.17274</v>
      </c>
      <c r="L1202" s="61">
        <v>110041903223</v>
      </c>
      <c r="M1202" s="28" t="s">
        <v>265</v>
      </c>
      <c r="N1202" s="28">
        <v>5541</v>
      </c>
      <c r="O1202" s="28" t="str">
        <f>IFERROR(VLOOKUP(N1202, 'SIC &amp; NAICS Codes'!A:B, 2, FALSE), "")</f>
        <v>Gasoline Service Station (gasoline station with convenience store)</v>
      </c>
      <c r="S1202" s="28">
        <v>3.16541915625E-3</v>
      </c>
      <c r="T1202" s="315">
        <f>_xlfn.MAXIFS('Raw Period DMR Data'!$O:$O,'Raw Period DMR Data'!$A:$A,'Raw Annual DMR Data'!B1202,'Raw Period DMR Data'!$C:$C,X1202)/S1202</f>
        <v>0</v>
      </c>
      <c r="U1202" s="28" t="str">
        <f>+IF(COUNTIFS('Raw Period DMR Data'!$A:$A,B1202, 'Raw Period DMR Data'!C:C,'Raw Annual DMR Data'!X1202, 'Raw Period DMR Data'!M:M, "&gt;0")&gt;0,_xlfn.MAXIFS('Raw Period DMR Data'!M:M,'Raw Period DMR Data'!$A:$A,'Raw Annual DMR Data'!B1202,'Raw Period DMR Data'!C:C,'Raw Annual DMR Data'!X1202), "N/A - Period DMR Data Not Available")</f>
        <v>N/A - Period DMR Data Not Available</v>
      </c>
      <c r="V1202" s="28" t="str" cm="1">
        <f t="array" ref="V1202">IFERROR(INDEX('Raw Period DMR Data'!N:N,MATCH(1,(B1202='Raw Period DMR Data'!$A:$A)*(U1202='Raw Period DMR Data'!M:M)*(X1202='Raw Period DMR Data'!C:C),0),1), "N/A")</f>
        <v>N/A</v>
      </c>
      <c r="W1202" s="28" t="s">
        <v>1463</v>
      </c>
      <c r="X1202" s="28" t="s">
        <v>2254</v>
      </c>
      <c r="Y1202" s="28" t="s">
        <v>2255</v>
      </c>
      <c r="Z1202" s="28">
        <v>15010015000141</v>
      </c>
      <c r="AA1202" s="28"/>
      <c r="AB1202" s="28" t="s">
        <v>1465</v>
      </c>
      <c r="AC1202" s="28" t="s">
        <v>1466</v>
      </c>
    </row>
    <row r="1203" spans="1:29" x14ac:dyDescent="0.25">
      <c r="A1203" s="61">
        <v>110041903223</v>
      </c>
      <c r="B1203" s="28">
        <v>2019</v>
      </c>
      <c r="C1203" s="68">
        <f t="shared" si="18"/>
        <v>43466</v>
      </c>
      <c r="D1203" s="28" t="s">
        <v>1368</v>
      </c>
      <c r="E1203" s="28" t="s">
        <v>2253</v>
      </c>
      <c r="F1203" s="28" t="s">
        <v>657</v>
      </c>
      <c r="G1203" s="28" t="s">
        <v>418</v>
      </c>
      <c r="H1203" s="28">
        <v>89119</v>
      </c>
      <c r="I1203" s="28">
        <v>36.074100000000001</v>
      </c>
      <c r="J1203" s="28">
        <v>-115.17274</v>
      </c>
      <c r="L1203" s="61">
        <v>110041903223</v>
      </c>
      <c r="M1203" s="28" t="s">
        <v>265</v>
      </c>
      <c r="N1203" s="28">
        <v>5541</v>
      </c>
      <c r="O1203" s="28" t="str">
        <f>IFERROR(VLOOKUP(N1203, 'SIC &amp; NAICS Codes'!A:B, 2, FALSE), "")</f>
        <v>Gasoline Service Station (gasoline station with convenience store)</v>
      </c>
      <c r="S1203" s="28">
        <v>2.39176515625E-3</v>
      </c>
      <c r="T1203" s="315">
        <f>_xlfn.MAXIFS('Raw Period DMR Data'!$O:$O,'Raw Period DMR Data'!$A:$A,'Raw Annual DMR Data'!B1203,'Raw Period DMR Data'!$C:$C,X1203)/S1203</f>
        <v>0</v>
      </c>
      <c r="U1203" s="28" t="str">
        <f>+IF(COUNTIFS('Raw Period DMR Data'!$A:$A,B1203, 'Raw Period DMR Data'!C:C,'Raw Annual DMR Data'!X1203, 'Raw Period DMR Data'!M:M, "&gt;0")&gt;0,_xlfn.MAXIFS('Raw Period DMR Data'!M:M,'Raw Period DMR Data'!$A:$A,'Raw Annual DMR Data'!B1203,'Raw Period DMR Data'!C:C,'Raw Annual DMR Data'!X1203), "N/A - Period DMR Data Not Available")</f>
        <v>N/A - Period DMR Data Not Available</v>
      </c>
      <c r="V1203" s="28" t="str" cm="1">
        <f t="array" ref="V1203">IFERROR(INDEX('Raw Period DMR Data'!N:N,MATCH(1,(B1203='Raw Period DMR Data'!$A:$A)*(U1203='Raw Period DMR Data'!M:M)*(X1203='Raw Period DMR Data'!C:C),0),1), "N/A")</f>
        <v>N/A</v>
      </c>
      <c r="W1203" s="28" t="s">
        <v>1463</v>
      </c>
      <c r="X1203" s="28" t="s">
        <v>2254</v>
      </c>
      <c r="Y1203" s="28" t="s">
        <v>2255</v>
      </c>
      <c r="Z1203" s="28">
        <v>15010015000141</v>
      </c>
      <c r="AA1203" s="28"/>
      <c r="AB1203" s="28" t="s">
        <v>1465</v>
      </c>
      <c r="AC1203" s="28" t="s">
        <v>1466</v>
      </c>
    </row>
    <row r="1204" spans="1:29" x14ac:dyDescent="0.25">
      <c r="A1204" s="61">
        <v>110041903223</v>
      </c>
      <c r="B1204" s="28">
        <v>2020</v>
      </c>
      <c r="C1204" s="68">
        <f t="shared" si="18"/>
        <v>43831</v>
      </c>
      <c r="D1204" s="28" t="s">
        <v>1368</v>
      </c>
      <c r="E1204" s="28" t="s">
        <v>2253</v>
      </c>
      <c r="F1204" s="28" t="s">
        <v>657</v>
      </c>
      <c r="G1204" s="28" t="s">
        <v>418</v>
      </c>
      <c r="H1204" s="28">
        <v>89119</v>
      </c>
      <c r="I1204" s="28">
        <v>36.074100000000001</v>
      </c>
      <c r="J1204" s="28">
        <v>-115.17274</v>
      </c>
      <c r="L1204" s="61">
        <v>110041903223</v>
      </c>
      <c r="M1204" s="28" t="s">
        <v>265</v>
      </c>
      <c r="N1204" s="28">
        <v>5541</v>
      </c>
      <c r="O1204" s="28" t="str">
        <f>IFERROR(VLOOKUP(N1204, 'SIC &amp; NAICS Codes'!A:B, 2, FALSE), "")</f>
        <v>Gasoline Service Station (gasoline station with convenience store)</v>
      </c>
      <c r="S1204" s="28">
        <v>1.8132515625E-3</v>
      </c>
      <c r="T1204" s="315">
        <f>_xlfn.MAXIFS('Raw Period DMR Data'!$O:$O,'Raw Period DMR Data'!$A:$A,'Raw Annual DMR Data'!B1204,'Raw Period DMR Data'!$C:$C,X1204)/S1204</f>
        <v>0</v>
      </c>
      <c r="U1204" s="28" t="str">
        <f>+IF(COUNTIFS('Raw Period DMR Data'!$A:$A,B1204, 'Raw Period DMR Data'!C:C,'Raw Annual DMR Data'!X1204, 'Raw Period DMR Data'!M:M, "&gt;0")&gt;0,_xlfn.MAXIFS('Raw Period DMR Data'!M:M,'Raw Period DMR Data'!$A:$A,'Raw Annual DMR Data'!B1204,'Raw Period DMR Data'!C:C,'Raw Annual DMR Data'!X1204), "N/A - Period DMR Data Not Available")</f>
        <v>N/A - Period DMR Data Not Available</v>
      </c>
      <c r="V1204" s="28" t="str" cm="1">
        <f t="array" ref="V1204">IFERROR(INDEX('Raw Period DMR Data'!N:N,MATCH(1,(B1204='Raw Period DMR Data'!$A:$A)*(U1204='Raw Period DMR Data'!M:M)*(X1204='Raw Period DMR Data'!C:C),0),1), "N/A")</f>
        <v>N/A</v>
      </c>
      <c r="W1204" s="28" t="s">
        <v>1463</v>
      </c>
      <c r="X1204" s="28" t="s">
        <v>2254</v>
      </c>
      <c r="Y1204" s="28" t="s">
        <v>2255</v>
      </c>
      <c r="Z1204" s="28">
        <v>15010015000141</v>
      </c>
      <c r="AA1204" s="28"/>
      <c r="AB1204" s="28" t="s">
        <v>1465</v>
      </c>
      <c r="AC1204" s="28" t="s">
        <v>1466</v>
      </c>
    </row>
    <row r="1205" spans="1:29" x14ac:dyDescent="0.25">
      <c r="A1205" s="61">
        <v>110070602569</v>
      </c>
      <c r="B1205" s="28">
        <v>2019</v>
      </c>
      <c r="C1205" s="68">
        <f t="shared" si="18"/>
        <v>43466</v>
      </c>
      <c r="D1205" s="28" t="s">
        <v>1369</v>
      </c>
      <c r="E1205" s="28" t="s">
        <v>2256</v>
      </c>
      <c r="F1205" s="28" t="s">
        <v>1370</v>
      </c>
      <c r="G1205" s="28" t="s">
        <v>308</v>
      </c>
      <c r="H1205" s="28">
        <v>2048</v>
      </c>
      <c r="I1205" s="28">
        <v>42.020510000000002</v>
      </c>
      <c r="J1205" s="28">
        <v>-71.267250000000004</v>
      </c>
      <c r="L1205" s="61">
        <v>110070602569</v>
      </c>
      <c r="M1205" s="28" t="s">
        <v>265</v>
      </c>
      <c r="O1205" s="28" t="str">
        <f>IFERROR(VLOOKUP(N1205, 'SIC &amp; NAICS Codes'!A:B, 2, FALSE), "")</f>
        <v/>
      </c>
      <c r="S1205" s="28">
        <v>6.9159463224999999E-3</v>
      </c>
      <c r="T1205" s="315">
        <f>_xlfn.MAXIFS('Raw Period DMR Data'!$O:$O,'Raw Period DMR Data'!$A:$A,'Raw Annual DMR Data'!B1205,'Raw Period DMR Data'!$C:$C,X1205)/S1205</f>
        <v>0</v>
      </c>
      <c r="U1205" s="28" t="str">
        <f>+IF(COUNTIFS('Raw Period DMR Data'!$A:$A,B1205, 'Raw Period DMR Data'!C:C,'Raw Annual DMR Data'!X1205, 'Raw Period DMR Data'!M:M, "&gt;0")&gt;0,_xlfn.MAXIFS('Raw Period DMR Data'!M:M,'Raw Period DMR Data'!$A:$A,'Raw Annual DMR Data'!B1205,'Raw Period DMR Data'!C:C,'Raw Annual DMR Data'!X1205), "N/A - Period DMR Data Not Available")</f>
        <v>N/A - Period DMR Data Not Available</v>
      </c>
      <c r="V1205" s="28" t="str" cm="1">
        <f t="array" ref="V1205">IFERROR(INDEX('Raw Period DMR Data'!N:N,MATCH(1,(B1205='Raw Period DMR Data'!$A:$A)*(U1205='Raw Period DMR Data'!M:M)*(X1205='Raw Period DMR Data'!C:C),0),1), "N/A")</f>
        <v>N/A</v>
      </c>
      <c r="W1205" s="28" t="s">
        <v>1463</v>
      </c>
      <c r="X1205" s="28" t="s">
        <v>2257</v>
      </c>
      <c r="Y1205" s="28" t="s">
        <v>2258</v>
      </c>
      <c r="AA1205" s="28"/>
      <c r="AB1205" s="28" t="s">
        <v>1465</v>
      </c>
      <c r="AC1205" s="28" t="s">
        <v>1466</v>
      </c>
    </row>
    <row r="1206" spans="1:29" x14ac:dyDescent="0.25">
      <c r="A1206" s="61">
        <v>110070602569</v>
      </c>
      <c r="B1206" s="28">
        <v>2020</v>
      </c>
      <c r="C1206" s="68">
        <f t="shared" si="18"/>
        <v>43831</v>
      </c>
      <c r="D1206" s="28" t="s">
        <v>1369</v>
      </c>
      <c r="E1206" s="28" t="s">
        <v>2256</v>
      </c>
      <c r="F1206" s="28" t="s">
        <v>1370</v>
      </c>
      <c r="G1206" s="28" t="s">
        <v>308</v>
      </c>
      <c r="H1206" s="28">
        <v>2048</v>
      </c>
      <c r="I1206" s="28">
        <v>42.020510000000002</v>
      </c>
      <c r="J1206" s="28">
        <v>-71.267250000000004</v>
      </c>
      <c r="L1206" s="61">
        <v>110070602569</v>
      </c>
      <c r="M1206" s="28" t="s">
        <v>265</v>
      </c>
      <c r="O1206" s="28" t="str">
        <f>IFERROR(VLOOKUP(N1206, 'SIC &amp; NAICS Codes'!A:B, 2, FALSE), "")</f>
        <v/>
      </c>
      <c r="S1206" s="28">
        <v>1.9756942999999999E-2</v>
      </c>
      <c r="T1206" s="315">
        <f>_xlfn.MAXIFS('Raw Period DMR Data'!$O:$O,'Raw Period DMR Data'!$A:$A,'Raw Annual DMR Data'!B1206,'Raw Period DMR Data'!$C:$C,X1206)/S1206</f>
        <v>0</v>
      </c>
      <c r="U1206" s="28" t="str">
        <f>+IF(COUNTIFS('Raw Period DMR Data'!$A:$A,B1206, 'Raw Period DMR Data'!C:C,'Raw Annual DMR Data'!X1206, 'Raw Period DMR Data'!M:M, "&gt;0")&gt;0,_xlfn.MAXIFS('Raw Period DMR Data'!M:M,'Raw Period DMR Data'!$A:$A,'Raw Annual DMR Data'!B1206,'Raw Period DMR Data'!C:C,'Raw Annual DMR Data'!X1206), "N/A - Period DMR Data Not Available")</f>
        <v>N/A - Period DMR Data Not Available</v>
      </c>
      <c r="V1206" s="28" t="str" cm="1">
        <f t="array" ref="V1206">IFERROR(INDEX('Raw Period DMR Data'!N:N,MATCH(1,(B1206='Raw Period DMR Data'!$A:$A)*(U1206='Raw Period DMR Data'!M:M)*(X1206='Raw Period DMR Data'!C:C),0),1), "N/A")</f>
        <v>N/A</v>
      </c>
      <c r="W1206" s="28" t="s">
        <v>1463</v>
      </c>
      <c r="X1206" s="28" t="s">
        <v>2257</v>
      </c>
      <c r="Y1206" s="28" t="s">
        <v>2258</v>
      </c>
      <c r="AA1206" s="28"/>
      <c r="AB1206" s="28" t="s">
        <v>1465</v>
      </c>
      <c r="AC1206" s="28" t="s">
        <v>1466</v>
      </c>
    </row>
    <row r="1207" spans="1:29" x14ac:dyDescent="0.25">
      <c r="A1207" s="61">
        <v>110040078279</v>
      </c>
      <c r="B1207" s="28">
        <v>2019</v>
      </c>
      <c r="C1207" s="68">
        <f t="shared" si="18"/>
        <v>43466</v>
      </c>
      <c r="D1207" s="28" t="s">
        <v>1371</v>
      </c>
      <c r="E1207" s="28" t="s">
        <v>2259</v>
      </c>
      <c r="F1207" s="28" t="s">
        <v>1372</v>
      </c>
      <c r="G1207" s="28" t="s">
        <v>366</v>
      </c>
      <c r="H1207" s="28">
        <v>91320</v>
      </c>
      <c r="I1207" s="28">
        <v>34.189751999999999</v>
      </c>
      <c r="J1207" s="28">
        <v>-118.94147599999999</v>
      </c>
      <c r="L1207" s="61">
        <v>110040078279</v>
      </c>
      <c r="M1207" s="28" t="s">
        <v>265</v>
      </c>
      <c r="N1207" s="28">
        <v>9999</v>
      </c>
      <c r="O1207" s="28" t="str">
        <f>IFERROR(VLOOKUP(N1207, 'SIC &amp; NAICS Codes'!A:B, 2, FALSE), "")</f>
        <v>Nonclassifiable Establishments</v>
      </c>
      <c r="S1207" s="28">
        <v>5.1020408163265296</v>
      </c>
      <c r="T1207" s="315">
        <f>_xlfn.MAXIFS('Raw Period DMR Data'!$O:$O,'Raw Period DMR Data'!$A:$A,'Raw Annual DMR Data'!B1207,'Raw Period DMR Data'!$C:$C,X1207)/S1207</f>
        <v>0</v>
      </c>
      <c r="U1207" s="28" t="str">
        <f>+IF(COUNTIFS('Raw Period DMR Data'!$A:$A,B1207, 'Raw Period DMR Data'!C:C,'Raw Annual DMR Data'!X1207, 'Raw Period DMR Data'!M:M, "&gt;0")&gt;0,_xlfn.MAXIFS('Raw Period DMR Data'!M:M,'Raw Period DMR Data'!$A:$A,'Raw Annual DMR Data'!B1207,'Raw Period DMR Data'!C:C,'Raw Annual DMR Data'!X1207), "N/A - Period DMR Data Not Available")</f>
        <v>N/A - Period DMR Data Not Available</v>
      </c>
      <c r="V1207" s="28" t="str" cm="1">
        <f t="array" ref="V1207">IFERROR(INDEX('Raw Period DMR Data'!N:N,MATCH(1,(B1207='Raw Period DMR Data'!$A:$A)*(U1207='Raw Period DMR Data'!M:M)*(X1207='Raw Period DMR Data'!C:C),0),1), "N/A")</f>
        <v>N/A</v>
      </c>
      <c r="W1207" s="28" t="s">
        <v>1463</v>
      </c>
      <c r="X1207" s="28" t="s">
        <v>2260</v>
      </c>
      <c r="Y1207" s="28" t="s">
        <v>2261</v>
      </c>
      <c r="Z1207" s="28">
        <v>18070103000071</v>
      </c>
      <c r="AA1207" s="28"/>
      <c r="AB1207" s="28" t="s">
        <v>1465</v>
      </c>
      <c r="AC1207" s="28" t="s">
        <v>1466</v>
      </c>
    </row>
    <row r="1208" spans="1:29" x14ac:dyDescent="0.25">
      <c r="A1208" s="61">
        <v>110059861065</v>
      </c>
      <c r="B1208" s="28">
        <v>2020</v>
      </c>
      <c r="C1208" s="68">
        <f t="shared" si="18"/>
        <v>43831</v>
      </c>
      <c r="D1208" s="28" t="s">
        <v>1373</v>
      </c>
      <c r="E1208" s="28" t="s">
        <v>2262</v>
      </c>
      <c r="F1208" s="28" t="s">
        <v>657</v>
      </c>
      <c r="G1208" s="28" t="s">
        <v>418</v>
      </c>
      <c r="H1208" s="28">
        <v>89103</v>
      </c>
      <c r="I1208" s="28">
        <v>36.108890000000002</v>
      </c>
      <c r="J1208" s="28">
        <v>-115.18118</v>
      </c>
      <c r="L1208" s="61">
        <v>110059861065</v>
      </c>
      <c r="M1208" s="28" t="s">
        <v>265</v>
      </c>
      <c r="N1208" s="28">
        <v>6531</v>
      </c>
      <c r="O1208" s="28" t="str">
        <f>IFERROR(VLOOKUP(N1208, 'SIC &amp; NAICS Codes'!A:B, 2, FALSE), "")</f>
        <v>Real Estate Agents and Managers (operating housing authorities)</v>
      </c>
      <c r="S1208" s="28">
        <v>7.7365400000000003E-4</v>
      </c>
      <c r="T1208" s="315">
        <f>_xlfn.MAXIFS('Raw Period DMR Data'!$O:$O,'Raw Period DMR Data'!$A:$A,'Raw Annual DMR Data'!B1208,'Raw Period DMR Data'!$C:$C,X1208)/S1208</f>
        <v>0</v>
      </c>
      <c r="U1208" s="28" t="str">
        <f>+IF(COUNTIFS('Raw Period DMR Data'!$A:$A,B1208, 'Raw Period DMR Data'!C:C,'Raw Annual DMR Data'!X1208, 'Raw Period DMR Data'!M:M, "&gt;0")&gt;0,_xlfn.MAXIFS('Raw Period DMR Data'!M:M,'Raw Period DMR Data'!$A:$A,'Raw Annual DMR Data'!B1208,'Raw Period DMR Data'!C:C,'Raw Annual DMR Data'!X1208), "N/A - Period DMR Data Not Available")</f>
        <v>N/A - Period DMR Data Not Available</v>
      </c>
      <c r="V1208" s="28" t="str" cm="1">
        <f t="array" ref="V1208">IFERROR(INDEX('Raw Period DMR Data'!N:N,MATCH(1,(B1208='Raw Period DMR Data'!$A:$A)*(U1208='Raw Period DMR Data'!M:M)*(X1208='Raw Period DMR Data'!C:C),0),1), "N/A")</f>
        <v>N/A</v>
      </c>
      <c r="W1208" s="28" t="s">
        <v>1463</v>
      </c>
      <c r="X1208" s="28" t="s">
        <v>2263</v>
      </c>
      <c r="Y1208" s="28" t="s">
        <v>1893</v>
      </c>
      <c r="Z1208" s="28">
        <v>15010015000432</v>
      </c>
      <c r="AA1208" s="28"/>
      <c r="AB1208" s="28" t="s">
        <v>1465</v>
      </c>
      <c r="AC1208" s="28" t="s">
        <v>1466</v>
      </c>
    </row>
    <row r="1209" spans="1:29" x14ac:dyDescent="0.25">
      <c r="A1209" s="61">
        <v>110059861065</v>
      </c>
      <c r="B1209" s="28">
        <v>2020</v>
      </c>
      <c r="C1209" s="68">
        <f t="shared" si="18"/>
        <v>43831</v>
      </c>
      <c r="D1209" s="28" t="s">
        <v>1373</v>
      </c>
      <c r="E1209" s="28" t="s">
        <v>2262</v>
      </c>
      <c r="F1209" s="28" t="s">
        <v>657</v>
      </c>
      <c r="G1209" s="28" t="s">
        <v>418</v>
      </c>
      <c r="H1209" s="28">
        <v>89103</v>
      </c>
      <c r="I1209" s="28">
        <v>36.108890000000002</v>
      </c>
      <c r="J1209" s="28">
        <v>-115.18118</v>
      </c>
      <c r="L1209" s="61">
        <v>110059861065</v>
      </c>
      <c r="M1209" s="28" t="s">
        <v>265</v>
      </c>
      <c r="N1209" s="28">
        <v>6531</v>
      </c>
      <c r="O1209" s="28" t="str">
        <f>IFERROR(VLOOKUP(N1209, 'SIC &amp; NAICS Codes'!A:B, 2, FALSE), "")</f>
        <v>Real Estate Agents and Managers (operating housing authorities)</v>
      </c>
      <c r="S1209" s="28">
        <v>7.0803156250000005E-4</v>
      </c>
      <c r="T1209" s="315">
        <f>_xlfn.MAXIFS('Raw Period DMR Data'!$O:$O,'Raw Period DMR Data'!$A:$A,'Raw Annual DMR Data'!B1209,'Raw Period DMR Data'!$C:$C,X1209)/S1209</f>
        <v>0</v>
      </c>
      <c r="U1209" s="28" t="str">
        <f>+IF(COUNTIFS('Raw Period DMR Data'!$A:$A,B1209, 'Raw Period DMR Data'!C:C,'Raw Annual DMR Data'!X1209, 'Raw Period DMR Data'!M:M, "&gt;0")&gt;0,_xlfn.MAXIFS('Raw Period DMR Data'!M:M,'Raw Period DMR Data'!$A:$A,'Raw Annual DMR Data'!B1209,'Raw Period DMR Data'!C:C,'Raw Annual DMR Data'!X1209), "N/A - Period DMR Data Not Available")</f>
        <v>N/A - Period DMR Data Not Available</v>
      </c>
      <c r="V1209" s="28" t="str" cm="1">
        <f t="array" ref="V1209">IFERROR(INDEX('Raw Period DMR Data'!N:N,MATCH(1,(B1209='Raw Period DMR Data'!$A:$A)*(U1209='Raw Period DMR Data'!M:M)*(X1209='Raw Period DMR Data'!C:C),0),1), "N/A")</f>
        <v>N/A</v>
      </c>
      <c r="W1209" s="28" t="s">
        <v>1463</v>
      </c>
      <c r="X1209" s="28" t="s">
        <v>2263</v>
      </c>
      <c r="Y1209" s="28" t="s">
        <v>1893</v>
      </c>
      <c r="Z1209" s="28">
        <v>15010015000432</v>
      </c>
      <c r="AA1209" s="28"/>
      <c r="AB1209" s="28" t="s">
        <v>1465</v>
      </c>
      <c r="AC1209" s="28" t="s">
        <v>1466</v>
      </c>
    </row>
    <row r="1210" spans="1:29" x14ac:dyDescent="0.25">
      <c r="A1210" s="61">
        <v>110010844426</v>
      </c>
      <c r="B1210" s="28">
        <v>2018</v>
      </c>
      <c r="C1210" s="68">
        <f t="shared" si="18"/>
        <v>43101</v>
      </c>
      <c r="D1210" s="28" t="s">
        <v>1374</v>
      </c>
      <c r="E1210" s="28" t="s">
        <v>2264</v>
      </c>
      <c r="F1210" s="28" t="s">
        <v>293</v>
      </c>
      <c r="G1210" s="28" t="s">
        <v>294</v>
      </c>
      <c r="H1210" s="28">
        <v>222031606</v>
      </c>
      <c r="I1210" s="28">
        <v>38.88223</v>
      </c>
      <c r="J1210" s="28">
        <v>-77.112300000000005</v>
      </c>
      <c r="L1210" s="61">
        <v>110010844426</v>
      </c>
      <c r="M1210" s="28" t="s">
        <v>265</v>
      </c>
      <c r="N1210" s="28">
        <v>4959</v>
      </c>
      <c r="O1210" s="28" t="str">
        <f>IFERROR(VLOOKUP(N1210, 'SIC &amp; NAICS Codes'!A:B, 2, FALSE), "")</f>
        <v>Sanitary Services, NEC (vacuuming of runways)</v>
      </c>
      <c r="S1210" s="28">
        <v>1.4581334E-4</v>
      </c>
      <c r="T1210" s="315">
        <f>_xlfn.MAXIFS('Raw Period DMR Data'!$O:$O,'Raw Period DMR Data'!$A:$A,'Raw Annual DMR Data'!B1210,'Raw Period DMR Data'!$C:$C,X1210)/S1210</f>
        <v>0</v>
      </c>
      <c r="U1210" s="28" t="str">
        <f>+IF(COUNTIFS('Raw Period DMR Data'!$A:$A,B1210, 'Raw Period DMR Data'!C:C,'Raw Annual DMR Data'!X1210, 'Raw Period DMR Data'!M:M, "&gt;0")&gt;0,_xlfn.MAXIFS('Raw Period DMR Data'!M:M,'Raw Period DMR Data'!$A:$A,'Raw Annual DMR Data'!B1210,'Raw Period DMR Data'!C:C,'Raw Annual DMR Data'!X1210), "N/A - Period DMR Data Not Available")</f>
        <v>N/A - Period DMR Data Not Available</v>
      </c>
      <c r="V1210" s="28" t="str" cm="1">
        <f t="array" ref="V1210">IFERROR(INDEX('Raw Period DMR Data'!N:N,MATCH(1,(B1210='Raw Period DMR Data'!$A:$A)*(U1210='Raw Period DMR Data'!M:M)*(X1210='Raw Period DMR Data'!C:C),0),1), "N/A")</f>
        <v>N/A</v>
      </c>
      <c r="W1210" s="28" t="s">
        <v>1463</v>
      </c>
      <c r="X1210" s="28" t="s">
        <v>2265</v>
      </c>
      <c r="Y1210" s="28" t="s">
        <v>2266</v>
      </c>
      <c r="Z1210" s="302" t="s">
        <v>2267</v>
      </c>
      <c r="AA1210" s="28"/>
      <c r="AB1210" s="28" t="s">
        <v>1465</v>
      </c>
      <c r="AC1210" s="28" t="s">
        <v>1466</v>
      </c>
    </row>
    <row r="1211" spans="1:29" x14ac:dyDescent="0.25">
      <c r="A1211" s="61">
        <v>110010844426</v>
      </c>
      <c r="B1211" s="28">
        <v>2019</v>
      </c>
      <c r="C1211" s="68">
        <f t="shared" si="18"/>
        <v>43466</v>
      </c>
      <c r="D1211" s="28" t="s">
        <v>1374</v>
      </c>
      <c r="E1211" s="28" t="s">
        <v>2264</v>
      </c>
      <c r="F1211" s="28" t="s">
        <v>293</v>
      </c>
      <c r="G1211" s="28" t="s">
        <v>294</v>
      </c>
      <c r="H1211" s="28">
        <v>222031606</v>
      </c>
      <c r="I1211" s="28">
        <v>38.88223</v>
      </c>
      <c r="J1211" s="28">
        <v>-77.112300000000005</v>
      </c>
      <c r="L1211" s="61">
        <v>110010844426</v>
      </c>
      <c r="M1211" s="28" t="s">
        <v>265</v>
      </c>
      <c r="N1211" s="28">
        <v>4959</v>
      </c>
      <c r="O1211" s="28" t="str">
        <f>IFERROR(VLOOKUP(N1211, 'SIC &amp; NAICS Codes'!A:B, 2, FALSE), "")</f>
        <v>Sanitary Services, NEC (vacuuming of runways)</v>
      </c>
      <c r="S1211" s="28">
        <v>1.114304E-4</v>
      </c>
      <c r="T1211" s="315">
        <f>_xlfn.MAXIFS('Raw Period DMR Data'!$O:$O,'Raw Period DMR Data'!$A:$A,'Raw Annual DMR Data'!B1211,'Raw Period DMR Data'!$C:$C,X1211)/S1211</f>
        <v>0</v>
      </c>
      <c r="U1211" s="28" t="str">
        <f>+IF(COUNTIFS('Raw Period DMR Data'!$A:$A,B1211, 'Raw Period DMR Data'!C:C,'Raw Annual DMR Data'!X1211, 'Raw Period DMR Data'!M:M, "&gt;0")&gt;0,_xlfn.MAXIFS('Raw Period DMR Data'!M:M,'Raw Period DMR Data'!$A:$A,'Raw Annual DMR Data'!B1211,'Raw Period DMR Data'!C:C,'Raw Annual DMR Data'!X1211), "N/A - Period DMR Data Not Available")</f>
        <v>N/A - Period DMR Data Not Available</v>
      </c>
      <c r="V1211" s="28" t="str" cm="1">
        <f t="array" ref="V1211">IFERROR(INDEX('Raw Period DMR Data'!N:N,MATCH(1,(B1211='Raw Period DMR Data'!$A:$A)*(U1211='Raw Period DMR Data'!M:M)*(X1211='Raw Period DMR Data'!C:C),0),1), "N/A")</f>
        <v>N/A</v>
      </c>
      <c r="W1211" s="28" t="s">
        <v>1463</v>
      </c>
      <c r="X1211" s="28" t="s">
        <v>2265</v>
      </c>
      <c r="Y1211" s="28" t="s">
        <v>2266</v>
      </c>
      <c r="Z1211" s="28">
        <v>2070010001022</v>
      </c>
      <c r="AA1211" s="28"/>
      <c r="AB1211" s="28" t="s">
        <v>1465</v>
      </c>
      <c r="AC1211" s="28" t="s">
        <v>1466</v>
      </c>
    </row>
    <row r="1212" spans="1:29" x14ac:dyDescent="0.25">
      <c r="A1212" s="61">
        <v>110010844426</v>
      </c>
      <c r="B1212" s="28">
        <v>2020</v>
      </c>
      <c r="C1212" s="68">
        <f t="shared" si="18"/>
        <v>43831</v>
      </c>
      <c r="D1212" s="28" t="s">
        <v>1374</v>
      </c>
      <c r="E1212" s="28" t="s">
        <v>2264</v>
      </c>
      <c r="F1212" s="28" t="s">
        <v>293</v>
      </c>
      <c r="G1212" s="28" t="s">
        <v>294</v>
      </c>
      <c r="H1212" s="28">
        <v>222031606</v>
      </c>
      <c r="I1212" s="28">
        <v>38.88223</v>
      </c>
      <c r="J1212" s="28">
        <v>-77.112300000000005</v>
      </c>
      <c r="L1212" s="61">
        <v>110010844426</v>
      </c>
      <c r="M1212" s="28" t="s">
        <v>265</v>
      </c>
      <c r="N1212" s="28">
        <v>4959</v>
      </c>
      <c r="O1212" s="28" t="str">
        <f>IFERROR(VLOOKUP(N1212, 'SIC &amp; NAICS Codes'!A:B, 2, FALSE), "")</f>
        <v>Sanitary Services, NEC (vacuuming of runways)</v>
      </c>
      <c r="S1212" s="28">
        <v>8.2548957500000006E-5</v>
      </c>
      <c r="T1212" s="315">
        <f>_xlfn.MAXIFS('Raw Period DMR Data'!$O:$O,'Raw Period DMR Data'!$A:$A,'Raw Annual DMR Data'!B1212,'Raw Period DMR Data'!$C:$C,X1212)/S1212</f>
        <v>0</v>
      </c>
      <c r="U1212" s="28" t="str">
        <f>+IF(COUNTIFS('Raw Period DMR Data'!$A:$A,B1212, 'Raw Period DMR Data'!C:C,'Raw Annual DMR Data'!X1212, 'Raw Period DMR Data'!M:M, "&gt;0")&gt;0,_xlfn.MAXIFS('Raw Period DMR Data'!M:M,'Raw Period DMR Data'!$A:$A,'Raw Annual DMR Data'!B1212,'Raw Period DMR Data'!C:C,'Raw Annual DMR Data'!X1212), "N/A - Period DMR Data Not Available")</f>
        <v>N/A - Period DMR Data Not Available</v>
      </c>
      <c r="V1212" s="28" t="str" cm="1">
        <f t="array" ref="V1212">IFERROR(INDEX('Raw Period DMR Data'!N:N,MATCH(1,(B1212='Raw Period DMR Data'!$A:$A)*(U1212='Raw Period DMR Data'!M:M)*(X1212='Raw Period DMR Data'!C:C),0),1), "N/A")</f>
        <v>N/A</v>
      </c>
      <c r="W1212" s="28" t="s">
        <v>1463</v>
      </c>
      <c r="X1212" s="28" t="s">
        <v>2265</v>
      </c>
      <c r="Y1212" s="28" t="s">
        <v>2266</v>
      </c>
      <c r="Z1212" s="28">
        <v>2070010001022</v>
      </c>
      <c r="AA1212" s="28"/>
      <c r="AB1212" s="28" t="s">
        <v>1465</v>
      </c>
      <c r="AC1212" s="28" t="s">
        <v>1466</v>
      </c>
    </row>
    <row r="1213" spans="1:29" x14ac:dyDescent="0.25">
      <c r="A1213" s="61">
        <v>110020039402</v>
      </c>
      <c r="B1213" s="28">
        <v>2015</v>
      </c>
      <c r="C1213" s="68">
        <f t="shared" si="18"/>
        <v>42005</v>
      </c>
      <c r="D1213" s="28" t="s">
        <v>1375</v>
      </c>
      <c r="E1213" s="28" t="s">
        <v>2268</v>
      </c>
      <c r="F1213" s="28" t="s">
        <v>657</v>
      </c>
      <c r="G1213" s="28" t="s">
        <v>418</v>
      </c>
      <c r="H1213" s="28">
        <v>89109</v>
      </c>
      <c r="I1213" s="28">
        <v>36.137529999999998</v>
      </c>
      <c r="J1213" s="28">
        <v>-115.15479000000001</v>
      </c>
      <c r="L1213" s="61">
        <v>110020039402</v>
      </c>
      <c r="M1213" s="28" t="s">
        <v>265</v>
      </c>
      <c r="N1213" s="28">
        <v>7011</v>
      </c>
      <c r="O1213" s="28" t="str">
        <f>IFERROR(VLOOKUP(N1213, 'SIC &amp; NAICS Codes'!A:B, 2, FALSE), "")</f>
        <v>Hotels and Motels (hotels, except casino hotels, and motels)</v>
      </c>
      <c r="S1213" s="28">
        <v>1.3915174000000001E-2</v>
      </c>
      <c r="T1213" s="315">
        <f>_xlfn.MAXIFS('Raw Period DMR Data'!$O:$O,'Raw Period DMR Data'!$A:$A,'Raw Annual DMR Data'!B1213,'Raw Period DMR Data'!$C:$C,X1213)/S1213</f>
        <v>0</v>
      </c>
      <c r="U1213" s="28" t="str">
        <f>+IF(COUNTIFS('Raw Period DMR Data'!$A:$A,B1213, 'Raw Period DMR Data'!C:C,'Raw Annual DMR Data'!X1213, 'Raw Period DMR Data'!M:M, "&gt;0")&gt;0,_xlfn.MAXIFS('Raw Period DMR Data'!M:M,'Raw Period DMR Data'!$A:$A,'Raw Annual DMR Data'!B1213,'Raw Period DMR Data'!C:C,'Raw Annual DMR Data'!X1213), "N/A - Period DMR Data Not Available")</f>
        <v>N/A - Period DMR Data Not Available</v>
      </c>
      <c r="V1213" s="28" t="str" cm="1">
        <f t="array" ref="V1213">IFERROR(INDEX('Raw Period DMR Data'!N:N,MATCH(1,(B1213='Raw Period DMR Data'!$A:$A)*(U1213='Raw Period DMR Data'!M:M)*(X1213='Raw Period DMR Data'!C:C),0),1), "N/A")</f>
        <v>N/A</v>
      </c>
      <c r="W1213" s="28" t="s">
        <v>1463</v>
      </c>
      <c r="X1213" s="28" t="s">
        <v>2269</v>
      </c>
      <c r="Y1213" s="28" t="s">
        <v>2270</v>
      </c>
      <c r="Z1213" s="28">
        <v>15010015000432</v>
      </c>
      <c r="AA1213" s="28"/>
      <c r="AB1213" s="28" t="s">
        <v>1465</v>
      </c>
      <c r="AC1213" s="28" t="s">
        <v>1466</v>
      </c>
    </row>
    <row r="1214" spans="1:29" x14ac:dyDescent="0.25">
      <c r="A1214" s="61">
        <v>110020039402</v>
      </c>
      <c r="B1214" s="28">
        <v>2016</v>
      </c>
      <c r="C1214" s="68">
        <f t="shared" si="18"/>
        <v>42370</v>
      </c>
      <c r="D1214" s="28" t="s">
        <v>1375</v>
      </c>
      <c r="E1214" s="28" t="s">
        <v>2268</v>
      </c>
      <c r="F1214" s="28" t="s">
        <v>657</v>
      </c>
      <c r="G1214" s="28" t="s">
        <v>418</v>
      </c>
      <c r="H1214" s="28">
        <v>89109</v>
      </c>
      <c r="I1214" s="28">
        <v>36.137529999999998</v>
      </c>
      <c r="J1214" s="28">
        <v>-115.15479000000001</v>
      </c>
      <c r="L1214" s="61">
        <v>110020039402</v>
      </c>
      <c r="M1214" s="28" t="s">
        <v>265</v>
      </c>
      <c r="N1214" s="28">
        <v>7011</v>
      </c>
      <c r="O1214" s="28" t="str">
        <f>IFERROR(VLOOKUP(N1214, 'SIC &amp; NAICS Codes'!A:B, 2, FALSE), "")</f>
        <v>Hotels and Motels (hotels, except casino hotels, and motels)</v>
      </c>
      <c r="S1214" s="28">
        <v>1.5766091990000002E-2</v>
      </c>
      <c r="T1214" s="315">
        <f>_xlfn.MAXIFS('Raw Period DMR Data'!$O:$O,'Raw Period DMR Data'!$A:$A,'Raw Annual DMR Data'!B1214,'Raw Period DMR Data'!$C:$C,X1214)/S1214</f>
        <v>0</v>
      </c>
      <c r="U1214" s="28" t="str">
        <f>+IF(COUNTIFS('Raw Period DMR Data'!$A:$A,B1214, 'Raw Period DMR Data'!C:C,'Raw Annual DMR Data'!X1214, 'Raw Period DMR Data'!M:M, "&gt;0")&gt;0,_xlfn.MAXIFS('Raw Period DMR Data'!M:M,'Raw Period DMR Data'!$A:$A,'Raw Annual DMR Data'!B1214,'Raw Period DMR Data'!C:C,'Raw Annual DMR Data'!X1214), "N/A - Period DMR Data Not Available")</f>
        <v>N/A - Period DMR Data Not Available</v>
      </c>
      <c r="V1214" s="28" t="str" cm="1">
        <f t="array" ref="V1214">IFERROR(INDEX('Raw Period DMR Data'!N:N,MATCH(1,(B1214='Raw Period DMR Data'!$A:$A)*(U1214='Raw Period DMR Data'!M:M)*(X1214='Raw Period DMR Data'!C:C),0),1), "N/A")</f>
        <v>N/A</v>
      </c>
      <c r="W1214" s="28" t="s">
        <v>1463</v>
      </c>
      <c r="X1214" s="28" t="s">
        <v>2269</v>
      </c>
      <c r="Y1214" s="28" t="s">
        <v>2270</v>
      </c>
      <c r="Z1214" s="28">
        <v>15010015000432</v>
      </c>
      <c r="AA1214" s="28"/>
      <c r="AB1214" s="28" t="s">
        <v>1465</v>
      </c>
      <c r="AC1214" s="28" t="s">
        <v>1466</v>
      </c>
    </row>
    <row r="1215" spans="1:29" x14ac:dyDescent="0.25">
      <c r="A1215" s="61">
        <v>110020039402</v>
      </c>
      <c r="B1215" s="28">
        <v>2017</v>
      </c>
      <c r="C1215" s="68">
        <f t="shared" si="18"/>
        <v>42736</v>
      </c>
      <c r="D1215" s="28" t="s">
        <v>1375</v>
      </c>
      <c r="E1215" s="28" t="s">
        <v>2268</v>
      </c>
      <c r="F1215" s="28" t="s">
        <v>657</v>
      </c>
      <c r="G1215" s="28" t="s">
        <v>418</v>
      </c>
      <c r="H1215" s="28">
        <v>89109</v>
      </c>
      <c r="I1215" s="28">
        <v>36.137529999999998</v>
      </c>
      <c r="J1215" s="28">
        <v>-115.15479000000001</v>
      </c>
      <c r="L1215" s="61">
        <v>110020039402</v>
      </c>
      <c r="M1215" s="28" t="s">
        <v>265</v>
      </c>
      <c r="N1215" s="28">
        <v>7011</v>
      </c>
      <c r="O1215" s="28" t="str">
        <f>IFERROR(VLOOKUP(N1215, 'SIC &amp; NAICS Codes'!A:B, 2, FALSE), "")</f>
        <v>Hotels and Motels (hotels, except casino hotels, and motels)</v>
      </c>
      <c r="S1215" s="28">
        <v>1.4097232499999899E-8</v>
      </c>
      <c r="T1215" s="315">
        <f>_xlfn.MAXIFS('Raw Period DMR Data'!$O:$O,'Raw Period DMR Data'!$A:$A,'Raw Annual DMR Data'!B1215,'Raw Period DMR Data'!$C:$C,X1215)/S1215</f>
        <v>0</v>
      </c>
      <c r="U1215" s="28" t="str">
        <f>+IF(COUNTIFS('Raw Period DMR Data'!$A:$A,B1215, 'Raw Period DMR Data'!C:C,'Raw Annual DMR Data'!X1215, 'Raw Period DMR Data'!M:M, "&gt;0")&gt;0,_xlfn.MAXIFS('Raw Period DMR Data'!M:M,'Raw Period DMR Data'!$A:$A,'Raw Annual DMR Data'!B1215,'Raw Period DMR Data'!C:C,'Raw Annual DMR Data'!X1215), "N/A - Period DMR Data Not Available")</f>
        <v>N/A - Period DMR Data Not Available</v>
      </c>
      <c r="V1215" s="28" t="str" cm="1">
        <f t="array" ref="V1215">IFERROR(INDEX('Raw Period DMR Data'!N:N,MATCH(1,(B1215='Raw Period DMR Data'!$A:$A)*(U1215='Raw Period DMR Data'!M:M)*(X1215='Raw Period DMR Data'!C:C),0),1), "N/A")</f>
        <v>N/A</v>
      </c>
      <c r="W1215" s="28" t="s">
        <v>1463</v>
      </c>
      <c r="X1215" s="28" t="s">
        <v>2269</v>
      </c>
      <c r="Y1215" s="28" t="s">
        <v>2270</v>
      </c>
      <c r="Z1215" s="28">
        <v>15010015000432</v>
      </c>
      <c r="AA1215" s="28"/>
      <c r="AB1215" s="28" t="s">
        <v>1465</v>
      </c>
      <c r="AC1215" s="28" t="s">
        <v>1466</v>
      </c>
    </row>
    <row r="1216" spans="1:29" x14ac:dyDescent="0.25">
      <c r="A1216" s="61">
        <v>110020039402</v>
      </c>
      <c r="B1216" s="28">
        <v>2018</v>
      </c>
      <c r="C1216" s="68">
        <f t="shared" si="18"/>
        <v>43101</v>
      </c>
      <c r="D1216" s="28" t="s">
        <v>1375</v>
      </c>
      <c r="E1216" s="28" t="s">
        <v>2268</v>
      </c>
      <c r="F1216" s="28" t="s">
        <v>657</v>
      </c>
      <c r="G1216" s="28" t="s">
        <v>418</v>
      </c>
      <c r="H1216" s="28">
        <v>89109</v>
      </c>
      <c r="I1216" s="28">
        <v>36.137529999999998</v>
      </c>
      <c r="J1216" s="28">
        <v>-115.15479000000001</v>
      </c>
      <c r="L1216" s="61">
        <v>110020039402</v>
      </c>
      <c r="M1216" s="28" t="s">
        <v>265</v>
      </c>
      <c r="N1216" s="28">
        <v>7011</v>
      </c>
      <c r="O1216" s="28" t="str">
        <f>IFERROR(VLOOKUP(N1216, 'SIC &amp; NAICS Codes'!A:B, 2, FALSE), "")</f>
        <v>Hotels and Motels (hotels, except casino hotels, and motels)</v>
      </c>
      <c r="S1216" s="302">
        <v>6.0327222499999902E-8</v>
      </c>
      <c r="T1216" s="315">
        <f>_xlfn.MAXIFS('Raw Period DMR Data'!$O:$O,'Raw Period DMR Data'!$A:$A,'Raw Annual DMR Data'!B1216,'Raw Period DMR Data'!$C:$C,X1216)/S1216</f>
        <v>0</v>
      </c>
      <c r="U1216" s="28" t="str">
        <f>+IF(COUNTIFS('Raw Period DMR Data'!$A:$A,B1216, 'Raw Period DMR Data'!C:C,'Raw Annual DMR Data'!X1216, 'Raw Period DMR Data'!M:M, "&gt;0")&gt;0,_xlfn.MAXIFS('Raw Period DMR Data'!M:M,'Raw Period DMR Data'!$A:$A,'Raw Annual DMR Data'!B1216,'Raw Period DMR Data'!C:C,'Raw Annual DMR Data'!X1216), "N/A - Period DMR Data Not Available")</f>
        <v>N/A - Period DMR Data Not Available</v>
      </c>
      <c r="V1216" s="28" t="str" cm="1">
        <f t="array" ref="V1216">IFERROR(INDEX('Raw Period DMR Data'!N:N,MATCH(1,(B1216='Raw Period DMR Data'!$A:$A)*(U1216='Raw Period DMR Data'!M:M)*(X1216='Raw Period DMR Data'!C:C),0),1), "N/A")</f>
        <v>N/A</v>
      </c>
      <c r="W1216" s="28" t="s">
        <v>1463</v>
      </c>
      <c r="X1216" s="28" t="s">
        <v>2269</v>
      </c>
      <c r="Y1216" s="28" t="s">
        <v>2270</v>
      </c>
      <c r="Z1216" s="28">
        <v>15010015000432</v>
      </c>
      <c r="AA1216" s="28"/>
      <c r="AB1216" s="28" t="s">
        <v>1465</v>
      </c>
      <c r="AC1216" s="28" t="s">
        <v>1466</v>
      </c>
    </row>
    <row r="1217" spans="1:29" x14ac:dyDescent="0.25">
      <c r="A1217" s="61">
        <v>110020039402</v>
      </c>
      <c r="B1217" s="28">
        <v>2019</v>
      </c>
      <c r="C1217" s="68">
        <f t="shared" si="18"/>
        <v>43466</v>
      </c>
      <c r="D1217" s="28" t="s">
        <v>1375</v>
      </c>
      <c r="E1217" s="28" t="s">
        <v>2268</v>
      </c>
      <c r="F1217" s="28" t="s">
        <v>657</v>
      </c>
      <c r="G1217" s="28" t="s">
        <v>418</v>
      </c>
      <c r="H1217" s="28">
        <v>89109</v>
      </c>
      <c r="I1217" s="28">
        <v>36.137529999999998</v>
      </c>
      <c r="J1217" s="28">
        <v>-115.15479000000001</v>
      </c>
      <c r="L1217" s="61">
        <v>110020039402</v>
      </c>
      <c r="M1217" s="28" t="s">
        <v>265</v>
      </c>
      <c r="N1217" s="28">
        <v>7011</v>
      </c>
      <c r="O1217" s="28" t="str">
        <f>IFERROR(VLOOKUP(N1217, 'SIC &amp; NAICS Codes'!A:B, 2, FALSE), "")</f>
        <v>Hotels and Motels (hotels, except casino hotels, and motels)</v>
      </c>
      <c r="S1217" s="28">
        <v>1.8135196666666601E-8</v>
      </c>
      <c r="T1217" s="315">
        <f>_xlfn.MAXIFS('Raw Period DMR Data'!$O:$O,'Raw Period DMR Data'!$A:$A,'Raw Annual DMR Data'!B1217,'Raw Period DMR Data'!$C:$C,X1217)/S1217</f>
        <v>0</v>
      </c>
      <c r="U1217" s="28" t="str">
        <f>+IF(COUNTIFS('Raw Period DMR Data'!$A:$A,B1217, 'Raw Period DMR Data'!C:C,'Raw Annual DMR Data'!X1217, 'Raw Period DMR Data'!M:M, "&gt;0")&gt;0,_xlfn.MAXIFS('Raw Period DMR Data'!M:M,'Raw Period DMR Data'!$A:$A,'Raw Annual DMR Data'!B1217,'Raw Period DMR Data'!C:C,'Raw Annual DMR Data'!X1217), "N/A - Period DMR Data Not Available")</f>
        <v>N/A - Period DMR Data Not Available</v>
      </c>
      <c r="V1217" s="28" t="str" cm="1">
        <f t="array" ref="V1217">IFERROR(INDEX('Raw Period DMR Data'!N:N,MATCH(1,(B1217='Raw Period DMR Data'!$A:$A)*(U1217='Raw Period DMR Data'!M:M)*(X1217='Raw Period DMR Data'!C:C),0),1), "N/A")</f>
        <v>N/A</v>
      </c>
      <c r="W1217" s="28" t="s">
        <v>1463</v>
      </c>
      <c r="X1217" s="28" t="s">
        <v>2269</v>
      </c>
      <c r="Y1217" s="28" t="s">
        <v>2270</v>
      </c>
      <c r="Z1217" s="28">
        <v>15010015000432</v>
      </c>
      <c r="AA1217" s="28"/>
      <c r="AB1217" s="28" t="s">
        <v>1465</v>
      </c>
      <c r="AC1217" s="28" t="s">
        <v>1466</v>
      </c>
    </row>
    <row r="1218" spans="1:29" x14ac:dyDescent="0.25">
      <c r="A1218" s="61">
        <v>110020039402</v>
      </c>
      <c r="B1218" s="28">
        <v>2020</v>
      </c>
      <c r="C1218" s="68">
        <f t="shared" si="18"/>
        <v>43831</v>
      </c>
      <c r="D1218" s="28" t="s">
        <v>1375</v>
      </c>
      <c r="E1218" s="28" t="s">
        <v>2268</v>
      </c>
      <c r="F1218" s="28" t="s">
        <v>657</v>
      </c>
      <c r="G1218" s="28" t="s">
        <v>418</v>
      </c>
      <c r="H1218" s="28">
        <v>89109</v>
      </c>
      <c r="I1218" s="28">
        <v>36.137529999999998</v>
      </c>
      <c r="J1218" s="28">
        <v>-115.15479000000001</v>
      </c>
      <c r="L1218" s="61">
        <v>110020039402</v>
      </c>
      <c r="M1218" s="28" t="s">
        <v>265</v>
      </c>
      <c r="N1218" s="28">
        <v>7011</v>
      </c>
      <c r="O1218" s="28" t="str">
        <f>IFERROR(VLOOKUP(N1218, 'SIC &amp; NAICS Codes'!A:B, 2, FALSE), "")</f>
        <v>Hotels and Motels (hotels, except casino hotels, and motels)</v>
      </c>
      <c r="S1218" s="28">
        <v>2.0058607499999901E-8</v>
      </c>
      <c r="T1218" s="315">
        <f>_xlfn.MAXIFS('Raw Period DMR Data'!$O:$O,'Raw Period DMR Data'!$A:$A,'Raw Annual DMR Data'!B1218,'Raw Period DMR Data'!$C:$C,X1218)/S1218</f>
        <v>0</v>
      </c>
      <c r="U1218" s="28" t="str">
        <f>+IF(COUNTIFS('Raw Period DMR Data'!$A:$A,B1218, 'Raw Period DMR Data'!C:C,'Raw Annual DMR Data'!X1218, 'Raw Period DMR Data'!M:M, "&gt;0")&gt;0,_xlfn.MAXIFS('Raw Period DMR Data'!M:M,'Raw Period DMR Data'!$A:$A,'Raw Annual DMR Data'!B1218,'Raw Period DMR Data'!C:C,'Raw Annual DMR Data'!X1218), "N/A - Period DMR Data Not Available")</f>
        <v>N/A - Period DMR Data Not Available</v>
      </c>
      <c r="V1218" s="28" t="str" cm="1">
        <f t="array" ref="V1218">IFERROR(INDEX('Raw Period DMR Data'!N:N,MATCH(1,(B1218='Raw Period DMR Data'!$A:$A)*(U1218='Raw Period DMR Data'!M:M)*(X1218='Raw Period DMR Data'!C:C),0),1), "N/A")</f>
        <v>N/A</v>
      </c>
      <c r="W1218" s="28" t="s">
        <v>1463</v>
      </c>
      <c r="X1218" s="28" t="s">
        <v>2269</v>
      </c>
      <c r="Y1218" s="28" t="s">
        <v>2270</v>
      </c>
      <c r="Z1218" s="28">
        <v>15010015000432</v>
      </c>
      <c r="AA1218" s="28"/>
      <c r="AB1218" s="28" t="s">
        <v>1465</v>
      </c>
      <c r="AC1218" s="28" t="s">
        <v>1466</v>
      </c>
    </row>
    <row r="1219" spans="1:29" x14ac:dyDescent="0.25">
      <c r="A1219" s="61">
        <v>110020069076</v>
      </c>
      <c r="B1219" s="28">
        <v>2016</v>
      </c>
      <c r="C1219" s="68">
        <f t="shared" ref="C1219:C1282" si="19">DATE(B1219, 1, 1)</f>
        <v>42370</v>
      </c>
      <c r="D1219" s="28" t="s">
        <v>1376</v>
      </c>
      <c r="E1219" s="28" t="s">
        <v>2271</v>
      </c>
      <c r="F1219" s="28" t="s">
        <v>1377</v>
      </c>
      <c r="G1219" s="28" t="s">
        <v>601</v>
      </c>
      <c r="H1219" s="28">
        <v>6812</v>
      </c>
      <c r="I1219" s="28">
        <v>41.468741000000001</v>
      </c>
      <c r="J1219" s="28">
        <v>-73.486214000000004</v>
      </c>
      <c r="L1219" s="61">
        <v>110020069076</v>
      </c>
      <c r="M1219" s="28" t="s">
        <v>265</v>
      </c>
      <c r="N1219" s="28">
        <v>5411</v>
      </c>
      <c r="O1219" s="28" t="str">
        <f>IFERROR(VLOOKUP(N1219, 'SIC &amp; NAICS Codes'!A:B, 2, FALSE), "")</f>
        <v>Grocery Stores (except convenience stores, freezer plans, and grocery stores with substantial general merchandise)</v>
      </c>
      <c r="S1219" s="28">
        <v>1.26033686999999E-2</v>
      </c>
      <c r="T1219" s="315">
        <f>_xlfn.MAXIFS('Raw Period DMR Data'!$O:$O,'Raw Period DMR Data'!$A:$A,'Raw Annual DMR Data'!B1219,'Raw Period DMR Data'!$C:$C,X1219)/S1219</f>
        <v>0</v>
      </c>
      <c r="U1219" s="28" t="str">
        <f>+IF(COUNTIFS('Raw Period DMR Data'!$A:$A,B1219, 'Raw Period DMR Data'!C:C,'Raw Annual DMR Data'!X1219, 'Raw Period DMR Data'!M:M, "&gt;0")&gt;0,_xlfn.MAXIFS('Raw Period DMR Data'!M:M,'Raw Period DMR Data'!$A:$A,'Raw Annual DMR Data'!B1219,'Raw Period DMR Data'!C:C,'Raw Annual DMR Data'!X1219), "N/A - Period DMR Data Not Available")</f>
        <v>N/A - Period DMR Data Not Available</v>
      </c>
      <c r="V1219" s="28" t="str" cm="1">
        <f t="array" ref="V1219">IFERROR(INDEX('Raw Period DMR Data'!N:N,MATCH(1,(B1219='Raw Period DMR Data'!$A:$A)*(U1219='Raw Period DMR Data'!M:M)*(X1219='Raw Period DMR Data'!C:C),0),1), "N/A")</f>
        <v>N/A</v>
      </c>
      <c r="W1219" s="28" t="s">
        <v>1463</v>
      </c>
      <c r="X1219" s="28" t="s">
        <v>2272</v>
      </c>
      <c r="Y1219" s="28" t="s">
        <v>2273</v>
      </c>
      <c r="Z1219" s="28">
        <v>1100005000445</v>
      </c>
      <c r="AA1219" s="28"/>
      <c r="AB1219" s="28" t="s">
        <v>1465</v>
      </c>
      <c r="AC1219" s="28" t="s">
        <v>1466</v>
      </c>
    </row>
    <row r="1220" spans="1:29" x14ac:dyDescent="0.25">
      <c r="A1220" s="61">
        <v>110070212009</v>
      </c>
      <c r="B1220" s="28">
        <v>2016</v>
      </c>
      <c r="C1220" s="68">
        <f t="shared" si="19"/>
        <v>42370</v>
      </c>
      <c r="D1220" s="28" t="s">
        <v>1378</v>
      </c>
      <c r="E1220" s="28" t="s">
        <v>2274</v>
      </c>
      <c r="F1220" s="28" t="s">
        <v>474</v>
      </c>
      <c r="G1220" s="28" t="s">
        <v>338</v>
      </c>
      <c r="H1220" s="28">
        <v>7470</v>
      </c>
      <c r="I1220" s="28">
        <v>40.936109999999999</v>
      </c>
      <c r="J1220" s="28">
        <v>-74.273809999999997</v>
      </c>
      <c r="L1220" s="61">
        <v>110070212009</v>
      </c>
      <c r="M1220" s="28" t="s">
        <v>265</v>
      </c>
      <c r="O1220" s="28" t="str">
        <f>IFERROR(VLOOKUP(N1220, 'SIC &amp; NAICS Codes'!A:B, 2, FALSE), "")</f>
        <v/>
      </c>
      <c r="S1220" s="28">
        <v>8.4518277859999902E-4</v>
      </c>
      <c r="T1220" s="315">
        <f>_xlfn.MAXIFS('Raw Period DMR Data'!$O:$O,'Raw Period DMR Data'!$A:$A,'Raw Annual DMR Data'!B1220,'Raw Period DMR Data'!$C:$C,X1220)/S1220</f>
        <v>0</v>
      </c>
      <c r="U1220" s="28" t="str">
        <f>+IF(COUNTIFS('Raw Period DMR Data'!$A:$A,B1220, 'Raw Period DMR Data'!C:C,'Raw Annual DMR Data'!X1220, 'Raw Period DMR Data'!M:M, "&gt;0")&gt;0,_xlfn.MAXIFS('Raw Period DMR Data'!M:M,'Raw Period DMR Data'!$A:$A,'Raw Annual DMR Data'!B1220,'Raw Period DMR Data'!C:C,'Raw Annual DMR Data'!X1220), "N/A - Period DMR Data Not Available")</f>
        <v>N/A - Period DMR Data Not Available</v>
      </c>
      <c r="V1220" s="28" t="str" cm="1">
        <f t="array" ref="V1220">IFERROR(INDEX('Raw Period DMR Data'!N:N,MATCH(1,(B1220='Raw Period DMR Data'!$A:$A)*(U1220='Raw Period DMR Data'!M:M)*(X1220='Raw Period DMR Data'!C:C),0),1), "N/A")</f>
        <v>N/A</v>
      </c>
      <c r="W1220" s="28" t="s">
        <v>1463</v>
      </c>
      <c r="X1220" s="28" t="s">
        <v>2275</v>
      </c>
      <c r="Y1220" s="28" t="s">
        <v>2276</v>
      </c>
      <c r="Z1220" s="28">
        <v>2030103000052</v>
      </c>
      <c r="AA1220" s="28"/>
      <c r="AB1220" s="28" t="s">
        <v>1465</v>
      </c>
      <c r="AC1220" s="28" t="s">
        <v>1466</v>
      </c>
    </row>
    <row r="1221" spans="1:29" x14ac:dyDescent="0.25">
      <c r="A1221" s="61">
        <v>110070212009</v>
      </c>
      <c r="B1221" s="28">
        <v>2017</v>
      </c>
      <c r="C1221" s="68">
        <f t="shared" si="19"/>
        <v>42736</v>
      </c>
      <c r="D1221" s="28" t="s">
        <v>1378</v>
      </c>
      <c r="E1221" s="28" t="s">
        <v>2274</v>
      </c>
      <c r="F1221" s="28" t="s">
        <v>474</v>
      </c>
      <c r="G1221" s="28" t="s">
        <v>338</v>
      </c>
      <c r="H1221" s="28">
        <v>7470</v>
      </c>
      <c r="I1221" s="28">
        <v>40.936109999999999</v>
      </c>
      <c r="J1221" s="28">
        <v>-74.273809999999997</v>
      </c>
      <c r="L1221" s="61">
        <v>110070212009</v>
      </c>
      <c r="M1221" s="28" t="s">
        <v>265</v>
      </c>
      <c r="O1221" s="28" t="str">
        <f>IFERROR(VLOOKUP(N1221, 'SIC &amp; NAICS Codes'!A:B, 2, FALSE), "")</f>
        <v/>
      </c>
      <c r="S1221" s="28">
        <v>1.0042151175499901E-3</v>
      </c>
      <c r="T1221" s="315">
        <f>_xlfn.MAXIFS('Raw Period DMR Data'!$O:$O,'Raw Period DMR Data'!$A:$A,'Raw Annual DMR Data'!B1221,'Raw Period DMR Data'!$C:$C,X1221)/S1221</f>
        <v>0</v>
      </c>
      <c r="U1221" s="28" t="str">
        <f>+IF(COUNTIFS('Raw Period DMR Data'!$A:$A,B1221, 'Raw Period DMR Data'!C:C,'Raw Annual DMR Data'!X1221, 'Raw Period DMR Data'!M:M, "&gt;0")&gt;0,_xlfn.MAXIFS('Raw Period DMR Data'!M:M,'Raw Period DMR Data'!$A:$A,'Raw Annual DMR Data'!B1221,'Raw Period DMR Data'!C:C,'Raw Annual DMR Data'!X1221), "N/A - Period DMR Data Not Available")</f>
        <v>N/A - Period DMR Data Not Available</v>
      </c>
      <c r="V1221" s="28" t="str" cm="1">
        <f t="array" ref="V1221">IFERROR(INDEX('Raw Period DMR Data'!N:N,MATCH(1,(B1221='Raw Period DMR Data'!$A:$A)*(U1221='Raw Period DMR Data'!M:M)*(X1221='Raw Period DMR Data'!C:C),0),1), "N/A")</f>
        <v>N/A</v>
      </c>
      <c r="W1221" s="28" t="s">
        <v>1463</v>
      </c>
      <c r="X1221" s="28" t="s">
        <v>2275</v>
      </c>
      <c r="Y1221" s="28" t="s">
        <v>2276</v>
      </c>
      <c r="Z1221" s="28">
        <v>2030103000052</v>
      </c>
      <c r="AA1221" s="28"/>
      <c r="AB1221" s="28" t="s">
        <v>1465</v>
      </c>
      <c r="AC1221" s="28" t="s">
        <v>1466</v>
      </c>
    </row>
    <row r="1222" spans="1:29" x14ac:dyDescent="0.25">
      <c r="A1222" s="61">
        <v>110070212009</v>
      </c>
      <c r="B1222" s="28">
        <v>2018</v>
      </c>
      <c r="C1222" s="68">
        <f t="shared" si="19"/>
        <v>43101</v>
      </c>
      <c r="D1222" s="28" t="s">
        <v>1378</v>
      </c>
      <c r="E1222" s="28" t="s">
        <v>2274</v>
      </c>
      <c r="F1222" s="28" t="s">
        <v>474</v>
      </c>
      <c r="G1222" s="28" t="s">
        <v>338</v>
      </c>
      <c r="H1222" s="302" t="s">
        <v>1778</v>
      </c>
      <c r="I1222" s="28">
        <v>40.936109999999999</v>
      </c>
      <c r="J1222" s="28">
        <v>-74.273809999999997</v>
      </c>
      <c r="L1222" s="61">
        <v>110070212009</v>
      </c>
      <c r="M1222" s="28" t="s">
        <v>265</v>
      </c>
      <c r="O1222" s="28" t="str">
        <f>IFERROR(VLOOKUP(N1222, 'SIC &amp; NAICS Codes'!A:B, 2, FALSE), "")</f>
        <v/>
      </c>
      <c r="S1222" s="302">
        <v>7.88708856424999E-4</v>
      </c>
      <c r="T1222" s="315">
        <f>_xlfn.MAXIFS('Raw Period DMR Data'!$O:$O,'Raw Period DMR Data'!$A:$A,'Raw Annual DMR Data'!B1222,'Raw Period DMR Data'!$C:$C,X1222)/S1222</f>
        <v>0</v>
      </c>
      <c r="U1222" s="28" t="str">
        <f>+IF(COUNTIFS('Raw Period DMR Data'!$A:$A,B1222, 'Raw Period DMR Data'!C:C,'Raw Annual DMR Data'!X1222, 'Raw Period DMR Data'!M:M, "&gt;0")&gt;0,_xlfn.MAXIFS('Raw Period DMR Data'!M:M,'Raw Period DMR Data'!$A:$A,'Raw Annual DMR Data'!B1222,'Raw Period DMR Data'!C:C,'Raw Annual DMR Data'!X1222), "N/A - Period DMR Data Not Available")</f>
        <v>N/A - Period DMR Data Not Available</v>
      </c>
      <c r="V1222" s="28" t="str" cm="1">
        <f t="array" ref="V1222">IFERROR(INDEX('Raw Period DMR Data'!N:N,MATCH(1,(B1222='Raw Period DMR Data'!$A:$A)*(U1222='Raw Period DMR Data'!M:M)*(X1222='Raw Period DMR Data'!C:C),0),1), "N/A")</f>
        <v>N/A</v>
      </c>
      <c r="W1222" s="28" t="s">
        <v>1463</v>
      </c>
      <c r="X1222" s="28" t="s">
        <v>2275</v>
      </c>
      <c r="Y1222" s="28" t="s">
        <v>2276</v>
      </c>
      <c r="Z1222" s="302" t="s">
        <v>2277</v>
      </c>
      <c r="AA1222" s="28"/>
      <c r="AB1222" s="28" t="s">
        <v>1465</v>
      </c>
      <c r="AC1222" s="28" t="s">
        <v>1466</v>
      </c>
    </row>
    <row r="1223" spans="1:29" x14ac:dyDescent="0.25">
      <c r="A1223" s="61">
        <v>110070212009</v>
      </c>
      <c r="B1223" s="28">
        <v>2019</v>
      </c>
      <c r="C1223" s="68">
        <f t="shared" si="19"/>
        <v>43466</v>
      </c>
      <c r="D1223" s="28" t="s">
        <v>1378</v>
      </c>
      <c r="E1223" s="28" t="s">
        <v>2274</v>
      </c>
      <c r="F1223" s="28" t="s">
        <v>474</v>
      </c>
      <c r="G1223" s="28" t="s">
        <v>338</v>
      </c>
      <c r="H1223" s="28">
        <v>7470</v>
      </c>
      <c r="I1223" s="28">
        <v>40.936109999999999</v>
      </c>
      <c r="J1223" s="28">
        <v>-74.273809999999997</v>
      </c>
      <c r="L1223" s="61">
        <v>110070212009</v>
      </c>
      <c r="M1223" s="28" t="s">
        <v>265</v>
      </c>
      <c r="O1223" s="28" t="str">
        <f>IFERROR(VLOOKUP(N1223, 'SIC &amp; NAICS Codes'!A:B, 2, FALSE), "")</f>
        <v/>
      </c>
      <c r="S1223" s="28">
        <v>8.1052436629999898E-4</v>
      </c>
      <c r="T1223" s="315">
        <f>_xlfn.MAXIFS('Raw Period DMR Data'!$O:$O,'Raw Period DMR Data'!$A:$A,'Raw Annual DMR Data'!B1223,'Raw Period DMR Data'!$C:$C,X1223)/S1223</f>
        <v>0</v>
      </c>
      <c r="U1223" s="28" t="str">
        <f>+IF(COUNTIFS('Raw Period DMR Data'!$A:$A,B1223, 'Raw Period DMR Data'!C:C,'Raw Annual DMR Data'!X1223, 'Raw Period DMR Data'!M:M, "&gt;0")&gt;0,_xlfn.MAXIFS('Raw Period DMR Data'!M:M,'Raw Period DMR Data'!$A:$A,'Raw Annual DMR Data'!B1223,'Raw Period DMR Data'!C:C,'Raw Annual DMR Data'!X1223), "N/A - Period DMR Data Not Available")</f>
        <v>N/A - Period DMR Data Not Available</v>
      </c>
      <c r="V1223" s="28" t="str" cm="1">
        <f t="array" ref="V1223">IFERROR(INDEX('Raw Period DMR Data'!N:N,MATCH(1,(B1223='Raw Period DMR Data'!$A:$A)*(U1223='Raw Period DMR Data'!M:M)*(X1223='Raw Period DMR Data'!C:C),0),1), "N/A")</f>
        <v>N/A</v>
      </c>
      <c r="W1223" s="28" t="s">
        <v>1463</v>
      </c>
      <c r="X1223" s="28" t="s">
        <v>2275</v>
      </c>
      <c r="Y1223" s="28" t="s">
        <v>2276</v>
      </c>
      <c r="Z1223" s="28">
        <v>2030103000052</v>
      </c>
      <c r="AA1223" s="28"/>
      <c r="AB1223" s="28" t="s">
        <v>1465</v>
      </c>
      <c r="AC1223" s="28" t="s">
        <v>1466</v>
      </c>
    </row>
    <row r="1224" spans="1:29" x14ac:dyDescent="0.25">
      <c r="A1224" s="61">
        <v>110070212009</v>
      </c>
      <c r="B1224" s="28">
        <v>2020</v>
      </c>
      <c r="C1224" s="68">
        <f t="shared" si="19"/>
        <v>43831</v>
      </c>
      <c r="D1224" s="28" t="s">
        <v>1378</v>
      </c>
      <c r="E1224" s="28" t="s">
        <v>2274</v>
      </c>
      <c r="F1224" s="28" t="s">
        <v>474</v>
      </c>
      <c r="G1224" s="28" t="s">
        <v>338</v>
      </c>
      <c r="H1224" s="28">
        <v>7470</v>
      </c>
      <c r="I1224" s="28">
        <v>40.936109999999999</v>
      </c>
      <c r="J1224" s="28">
        <v>-74.273809999999997</v>
      </c>
      <c r="L1224" s="61">
        <v>110070212009</v>
      </c>
      <c r="M1224" s="28" t="s">
        <v>265</v>
      </c>
      <c r="O1224" s="28" t="str">
        <f>IFERROR(VLOOKUP(N1224, 'SIC &amp; NAICS Codes'!A:B, 2, FALSE), "")</f>
        <v/>
      </c>
      <c r="S1224" s="28">
        <v>7.7118018077499903E-4</v>
      </c>
      <c r="T1224" s="315">
        <f>_xlfn.MAXIFS('Raw Period DMR Data'!$O:$O,'Raw Period DMR Data'!$A:$A,'Raw Annual DMR Data'!B1224,'Raw Period DMR Data'!$C:$C,X1224)/S1224</f>
        <v>0</v>
      </c>
      <c r="U1224" s="28" t="str">
        <f>+IF(COUNTIFS('Raw Period DMR Data'!$A:$A,B1224, 'Raw Period DMR Data'!C:C,'Raw Annual DMR Data'!X1224, 'Raw Period DMR Data'!M:M, "&gt;0")&gt;0,_xlfn.MAXIFS('Raw Period DMR Data'!M:M,'Raw Period DMR Data'!$A:$A,'Raw Annual DMR Data'!B1224,'Raw Period DMR Data'!C:C,'Raw Annual DMR Data'!X1224), "N/A - Period DMR Data Not Available")</f>
        <v>N/A - Period DMR Data Not Available</v>
      </c>
      <c r="V1224" s="28" t="str" cm="1">
        <f t="array" ref="V1224">IFERROR(INDEX('Raw Period DMR Data'!N:N,MATCH(1,(B1224='Raw Period DMR Data'!$A:$A)*(U1224='Raw Period DMR Data'!M:M)*(X1224='Raw Period DMR Data'!C:C),0),1), "N/A")</f>
        <v>N/A</v>
      </c>
      <c r="W1224" s="28" t="s">
        <v>1463</v>
      </c>
      <c r="X1224" s="28" t="s">
        <v>2275</v>
      </c>
      <c r="Y1224" s="28" t="s">
        <v>2276</v>
      </c>
      <c r="Z1224" s="28">
        <v>2030103000052</v>
      </c>
      <c r="AA1224" s="28"/>
      <c r="AB1224" s="28" t="s">
        <v>1465</v>
      </c>
      <c r="AC1224" s="28" t="s">
        <v>1466</v>
      </c>
    </row>
    <row r="1225" spans="1:29" x14ac:dyDescent="0.25">
      <c r="A1225" s="61">
        <v>110000619652</v>
      </c>
      <c r="B1225" s="28">
        <v>2020</v>
      </c>
      <c r="C1225" s="68">
        <f t="shared" si="19"/>
        <v>43831</v>
      </c>
      <c r="D1225" s="28" t="s">
        <v>194</v>
      </c>
      <c r="E1225" s="28" t="s">
        <v>645</v>
      </c>
      <c r="F1225" s="28" t="s">
        <v>590</v>
      </c>
      <c r="G1225" s="28" t="s">
        <v>362</v>
      </c>
      <c r="H1225" s="28">
        <v>77536</v>
      </c>
      <c r="I1225" s="28">
        <v>29.726111</v>
      </c>
      <c r="J1225" s="28">
        <v>-95.089449999999999</v>
      </c>
      <c r="K1225" s="28" t="s">
        <v>646</v>
      </c>
      <c r="L1225" s="61">
        <v>110000619652</v>
      </c>
      <c r="M1225" s="28" t="s">
        <v>253</v>
      </c>
      <c r="N1225" s="28">
        <v>2821</v>
      </c>
      <c r="O1225" s="28" t="str">
        <f>IFERROR(VLOOKUP(N1225, 'SIC &amp; NAICS Codes'!A:B, 2, FALSE), "")</f>
        <v>Plastics Materials, Synthetic and Resins, and Nonvulcanizable Elastomers</v>
      </c>
      <c r="S1225" s="28">
        <v>0.16553287981859399</v>
      </c>
      <c r="T1225" s="315">
        <f>_xlfn.MAXIFS('Raw Period DMR Data'!$O:$O,'Raw Period DMR Data'!$A:$A,'Raw Annual DMR Data'!B1225,'Raw Period DMR Data'!$C:$C,X1225)/S1225</f>
        <v>0</v>
      </c>
      <c r="U1225" s="28" t="str">
        <f>+IF(COUNTIFS('Raw Period DMR Data'!$A:$A,B1225, 'Raw Period DMR Data'!C:C,'Raw Annual DMR Data'!X1225, 'Raw Period DMR Data'!M:M, "&gt;0")&gt;0,_xlfn.MAXIFS('Raw Period DMR Data'!M:M,'Raw Period DMR Data'!$A:$A,'Raw Annual DMR Data'!B1225,'Raw Period DMR Data'!C:C,'Raw Annual DMR Data'!X1225), "N/A - Period DMR Data Not Available")</f>
        <v>N/A - Period DMR Data Not Available</v>
      </c>
      <c r="V1225" s="28" t="str" cm="1">
        <f t="array" ref="V1225">IFERROR(INDEX('Raw Period DMR Data'!N:N,MATCH(1,(B1225='Raw Period DMR Data'!$A:$A)*(U1225='Raw Period DMR Data'!M:M)*(X1225='Raw Period DMR Data'!C:C),0),1), "N/A")</f>
        <v>N/A</v>
      </c>
      <c r="W1225" s="28" t="s">
        <v>1463</v>
      </c>
      <c r="X1225" s="28" t="s">
        <v>943</v>
      </c>
      <c r="Y1225" s="28" t="s">
        <v>944</v>
      </c>
      <c r="Z1225" s="61">
        <v>12040104000661</v>
      </c>
    </row>
    <row r="1226" spans="1:29" x14ac:dyDescent="0.25">
      <c r="A1226" s="61">
        <v>110010677829</v>
      </c>
      <c r="B1226" s="28">
        <v>2015</v>
      </c>
      <c r="C1226" s="68">
        <f t="shared" si="19"/>
        <v>42005</v>
      </c>
      <c r="D1226" s="28" t="s">
        <v>1379</v>
      </c>
      <c r="E1226" s="28" t="s">
        <v>2278</v>
      </c>
      <c r="F1226" s="28" t="s">
        <v>1380</v>
      </c>
      <c r="G1226" s="28" t="s">
        <v>374</v>
      </c>
      <c r="H1226" s="28">
        <v>85337</v>
      </c>
      <c r="I1226" s="28">
        <v>32.970362000000002</v>
      </c>
      <c r="J1226" s="28">
        <v>-112.73018399999999</v>
      </c>
      <c r="L1226" s="61">
        <v>110010677829</v>
      </c>
      <c r="M1226" s="28" t="s">
        <v>263</v>
      </c>
      <c r="N1226" s="28">
        <v>4952</v>
      </c>
      <c r="O1226" s="28" t="str">
        <f>IFERROR(VLOOKUP(N1226, 'SIC &amp; NAICS Codes'!A:B, 2, FALSE), "")</f>
        <v>Sewerage Systems</v>
      </c>
      <c r="S1226" s="28">
        <v>5.6433714403874999E-2</v>
      </c>
      <c r="T1226" s="315">
        <f>_xlfn.MAXIFS('Raw Period DMR Data'!$O:$O,'Raw Period DMR Data'!$A:$A,'Raw Annual DMR Data'!B1226,'Raw Period DMR Data'!$C:$C,X1226)/S1226</f>
        <v>0</v>
      </c>
      <c r="U1226" s="28" t="str">
        <f>+IF(COUNTIFS('Raw Period DMR Data'!$A:$A,B1226, 'Raw Period DMR Data'!C:C,'Raw Annual DMR Data'!X1226, 'Raw Period DMR Data'!M:M, "&gt;0")&gt;0,_xlfn.MAXIFS('Raw Period DMR Data'!M:M,'Raw Period DMR Data'!$A:$A,'Raw Annual DMR Data'!B1226,'Raw Period DMR Data'!C:C,'Raw Annual DMR Data'!X1226), "N/A - Period DMR Data Not Available")</f>
        <v>N/A - Period DMR Data Not Available</v>
      </c>
      <c r="V1226" s="28" t="str" cm="1">
        <f t="array" ref="V1226">IFERROR(INDEX('Raw Period DMR Data'!N:N,MATCH(1,(B1226='Raw Period DMR Data'!$A:$A)*(U1226='Raw Period DMR Data'!M:M)*(X1226='Raw Period DMR Data'!C:C),0),1), "N/A")</f>
        <v>N/A</v>
      </c>
      <c r="W1226" s="28" t="s">
        <v>1463</v>
      </c>
      <c r="X1226" s="28" t="s">
        <v>2279</v>
      </c>
      <c r="Z1226" s="28">
        <v>15070101000221</v>
      </c>
      <c r="AA1226" s="28"/>
      <c r="AB1226" s="28" t="s">
        <v>1465</v>
      </c>
      <c r="AC1226" s="28" t="s">
        <v>263</v>
      </c>
    </row>
    <row r="1227" spans="1:29" x14ac:dyDescent="0.25">
      <c r="A1227" s="61">
        <v>110000914725</v>
      </c>
      <c r="B1227" s="28">
        <v>2016</v>
      </c>
      <c r="C1227" s="68">
        <f t="shared" si="19"/>
        <v>42370</v>
      </c>
      <c r="D1227" s="28" t="s">
        <v>1381</v>
      </c>
      <c r="E1227" s="28" t="s">
        <v>2280</v>
      </c>
      <c r="F1227" s="28" t="s">
        <v>1382</v>
      </c>
      <c r="G1227" s="28" t="s">
        <v>374</v>
      </c>
      <c r="H1227" s="28">
        <v>863148622</v>
      </c>
      <c r="I1227" s="28">
        <v>34.591583999999997</v>
      </c>
      <c r="J1227" s="28">
        <v>-112.31693</v>
      </c>
      <c r="L1227" s="61">
        <v>110000914725</v>
      </c>
      <c r="M1227" s="28" t="s">
        <v>263</v>
      </c>
      <c r="N1227" s="28">
        <v>4952</v>
      </c>
      <c r="O1227" s="28" t="str">
        <f>IFERROR(VLOOKUP(N1227, 'SIC &amp; NAICS Codes'!A:B, 2, FALSE), "")</f>
        <v>Sewerage Systems</v>
      </c>
      <c r="S1227" s="28">
        <v>2.7029442000000001</v>
      </c>
      <c r="T1227" s="315">
        <f>_xlfn.MAXIFS('Raw Period DMR Data'!$O:$O,'Raw Period DMR Data'!$A:$A,'Raw Annual DMR Data'!B1227,'Raw Period DMR Data'!$C:$C,X1227)/S1227</f>
        <v>0</v>
      </c>
      <c r="U1227" s="28" t="str">
        <f>+IF(COUNTIFS('Raw Period DMR Data'!$A:$A,B1227, 'Raw Period DMR Data'!C:C,'Raw Annual DMR Data'!X1227, 'Raw Period DMR Data'!M:M, "&gt;0")&gt;0,_xlfn.MAXIFS('Raw Period DMR Data'!M:M,'Raw Period DMR Data'!$A:$A,'Raw Annual DMR Data'!B1227,'Raw Period DMR Data'!C:C,'Raw Annual DMR Data'!X1227), "N/A - Period DMR Data Not Available")</f>
        <v>N/A - Period DMR Data Not Available</v>
      </c>
      <c r="V1227" s="28" t="str" cm="1">
        <f t="array" ref="V1227">IFERROR(INDEX('Raw Period DMR Data'!N:N,MATCH(1,(B1227='Raw Period DMR Data'!$A:$A)*(U1227='Raw Period DMR Data'!M:M)*(X1227='Raw Period DMR Data'!C:C),0),1), "N/A")</f>
        <v>N/A</v>
      </c>
      <c r="W1227" s="28" t="s">
        <v>1463</v>
      </c>
      <c r="X1227" s="28" t="s">
        <v>2281</v>
      </c>
      <c r="Z1227" s="28">
        <v>15070102009265</v>
      </c>
      <c r="AA1227" s="28"/>
      <c r="AB1227" s="28" t="s">
        <v>1465</v>
      </c>
      <c r="AC1227" s="28" t="s">
        <v>263</v>
      </c>
    </row>
    <row r="1228" spans="1:29" x14ac:dyDescent="0.25">
      <c r="A1228" s="61">
        <v>110000914725</v>
      </c>
      <c r="B1228" s="28">
        <v>2017</v>
      </c>
      <c r="C1228" s="68">
        <f t="shared" si="19"/>
        <v>42736</v>
      </c>
      <c r="D1228" s="28" t="s">
        <v>1381</v>
      </c>
      <c r="E1228" s="28" t="s">
        <v>2280</v>
      </c>
      <c r="F1228" s="28" t="s">
        <v>1382</v>
      </c>
      <c r="G1228" s="28" t="s">
        <v>374</v>
      </c>
      <c r="H1228" s="28">
        <v>863148622</v>
      </c>
      <c r="I1228" s="28">
        <v>34.591583999999997</v>
      </c>
      <c r="J1228" s="28">
        <v>-112.31693</v>
      </c>
      <c r="L1228" s="61">
        <v>110000914725</v>
      </c>
      <c r="M1228" s="28" t="s">
        <v>263</v>
      </c>
      <c r="N1228" s="28">
        <v>4952</v>
      </c>
      <c r="O1228" s="28" t="str">
        <f>IFERROR(VLOOKUP(N1228, 'SIC &amp; NAICS Codes'!A:B, 2, FALSE), "")</f>
        <v>Sewerage Systems</v>
      </c>
      <c r="S1228" s="28">
        <v>3.1067279999999999</v>
      </c>
      <c r="T1228" s="315">
        <f>_xlfn.MAXIFS('Raw Period DMR Data'!$O:$O,'Raw Period DMR Data'!$A:$A,'Raw Annual DMR Data'!B1228,'Raw Period DMR Data'!$C:$C,X1228)/S1228</f>
        <v>0</v>
      </c>
      <c r="U1228" s="28" t="str">
        <f>+IF(COUNTIFS('Raw Period DMR Data'!$A:$A,B1228, 'Raw Period DMR Data'!C:C,'Raw Annual DMR Data'!X1228, 'Raw Period DMR Data'!M:M, "&gt;0")&gt;0,_xlfn.MAXIFS('Raw Period DMR Data'!M:M,'Raw Period DMR Data'!$A:$A,'Raw Annual DMR Data'!B1228,'Raw Period DMR Data'!C:C,'Raw Annual DMR Data'!X1228), "N/A - Period DMR Data Not Available")</f>
        <v>N/A - Period DMR Data Not Available</v>
      </c>
      <c r="V1228" s="28" t="str" cm="1">
        <f t="array" ref="V1228">IFERROR(INDEX('Raw Period DMR Data'!N:N,MATCH(1,(B1228='Raw Period DMR Data'!$A:$A)*(U1228='Raw Period DMR Data'!M:M)*(X1228='Raw Period DMR Data'!C:C),0),1), "N/A")</f>
        <v>N/A</v>
      </c>
      <c r="W1228" s="28" t="s">
        <v>1463</v>
      </c>
      <c r="X1228" s="28" t="s">
        <v>2281</v>
      </c>
      <c r="Z1228" s="28">
        <v>15070102009265</v>
      </c>
      <c r="AA1228" s="28"/>
      <c r="AB1228" s="28" t="s">
        <v>1465</v>
      </c>
      <c r="AC1228" s="28" t="s">
        <v>263</v>
      </c>
    </row>
    <row r="1229" spans="1:29" x14ac:dyDescent="0.25">
      <c r="A1229" s="61">
        <v>110000914725</v>
      </c>
      <c r="B1229" s="28">
        <v>2018</v>
      </c>
      <c r="C1229" s="68">
        <f t="shared" si="19"/>
        <v>43101</v>
      </c>
      <c r="D1229" s="28" t="s">
        <v>1381</v>
      </c>
      <c r="E1229" s="28" t="s">
        <v>2280</v>
      </c>
      <c r="F1229" s="28" t="s">
        <v>1382</v>
      </c>
      <c r="G1229" s="28" t="s">
        <v>374</v>
      </c>
      <c r="H1229" s="28">
        <v>863148622</v>
      </c>
      <c r="I1229" s="28">
        <v>34.591583999999997</v>
      </c>
      <c r="J1229" s="28">
        <v>-112.31693</v>
      </c>
      <c r="L1229" s="61">
        <v>110000914725</v>
      </c>
      <c r="M1229" s="28" t="s">
        <v>263</v>
      </c>
      <c r="N1229" s="28">
        <v>4952</v>
      </c>
      <c r="O1229" s="28" t="str">
        <f>IFERROR(VLOOKUP(N1229, 'SIC &amp; NAICS Codes'!A:B, 2, FALSE), "")</f>
        <v>Sewerage Systems</v>
      </c>
      <c r="S1229" s="28">
        <v>2.9150177500000001</v>
      </c>
      <c r="T1229" s="315">
        <f>_xlfn.MAXIFS('Raw Period DMR Data'!$O:$O,'Raw Period DMR Data'!$A:$A,'Raw Annual DMR Data'!B1229,'Raw Period DMR Data'!$C:$C,X1229)/S1229</f>
        <v>0</v>
      </c>
      <c r="U1229" s="28" t="str">
        <f>+IF(COUNTIFS('Raw Period DMR Data'!$A:$A,B1229, 'Raw Period DMR Data'!C:C,'Raw Annual DMR Data'!X1229, 'Raw Period DMR Data'!M:M, "&gt;0")&gt;0,_xlfn.MAXIFS('Raw Period DMR Data'!M:M,'Raw Period DMR Data'!$A:$A,'Raw Annual DMR Data'!B1229,'Raw Period DMR Data'!C:C,'Raw Annual DMR Data'!X1229), "N/A - Period DMR Data Not Available")</f>
        <v>N/A - Period DMR Data Not Available</v>
      </c>
      <c r="V1229" s="28" t="str" cm="1">
        <f t="array" ref="V1229">IFERROR(INDEX('Raw Period DMR Data'!N:N,MATCH(1,(B1229='Raw Period DMR Data'!$A:$A)*(U1229='Raw Period DMR Data'!M:M)*(X1229='Raw Period DMR Data'!C:C),0),1), "N/A")</f>
        <v>N/A</v>
      </c>
      <c r="W1229" s="28" t="s">
        <v>1463</v>
      </c>
      <c r="X1229" s="28" t="s">
        <v>2281</v>
      </c>
      <c r="Z1229" s="28">
        <v>15070102009265</v>
      </c>
      <c r="AA1229" s="28"/>
      <c r="AB1229" s="28" t="s">
        <v>1465</v>
      </c>
      <c r="AC1229" s="28" t="s">
        <v>263</v>
      </c>
    </row>
    <row r="1230" spans="1:29" x14ac:dyDescent="0.25">
      <c r="A1230" s="61">
        <v>110000911309</v>
      </c>
      <c r="B1230" s="28">
        <v>2017</v>
      </c>
      <c r="C1230" s="68">
        <f t="shared" si="19"/>
        <v>42736</v>
      </c>
      <c r="D1230" s="28" t="s">
        <v>1383</v>
      </c>
      <c r="E1230" s="28" t="s">
        <v>2282</v>
      </c>
      <c r="F1230" s="28" t="s">
        <v>516</v>
      </c>
      <c r="G1230" s="28" t="s">
        <v>303</v>
      </c>
      <c r="H1230" s="28">
        <v>707340000</v>
      </c>
      <c r="I1230" s="28">
        <v>30.233011999999999</v>
      </c>
      <c r="J1230" s="28">
        <v>-91.022057000000004</v>
      </c>
      <c r="L1230" s="61">
        <v>110000911309</v>
      </c>
      <c r="M1230" s="28" t="s">
        <v>252</v>
      </c>
      <c r="N1230" s="28">
        <v>4789</v>
      </c>
      <c r="O1230" s="28" t="str">
        <f>IFERROR(VLOOKUP(N1230, 'SIC &amp; NAICS Codes'!A:B, 2, FALSE), "")</f>
        <v>Transportation Services, NEC (horse-drawn cabs and carriages)</v>
      </c>
      <c r="S1230" s="28">
        <v>2.1814344095E-2</v>
      </c>
      <c r="T1230" s="315">
        <f>_xlfn.MAXIFS('Raw Period DMR Data'!$O:$O,'Raw Period DMR Data'!$A:$A,'Raw Annual DMR Data'!B1230,'Raw Period DMR Data'!$C:$C,X1230)/S1230</f>
        <v>0</v>
      </c>
      <c r="U1230" s="28" t="str">
        <f>+IF(COUNTIFS('Raw Period DMR Data'!$A:$A,B1230, 'Raw Period DMR Data'!C:C,'Raw Annual DMR Data'!X1230, 'Raw Period DMR Data'!M:M, "&gt;0")&gt;0,_xlfn.MAXIFS('Raw Period DMR Data'!M:M,'Raw Period DMR Data'!$A:$A,'Raw Annual DMR Data'!B1230,'Raw Period DMR Data'!C:C,'Raw Annual DMR Data'!X1230), "N/A - Period DMR Data Not Available")</f>
        <v>N/A - Period DMR Data Not Available</v>
      </c>
      <c r="V1230" s="28" t="str" cm="1">
        <f t="array" ref="V1230">IFERROR(INDEX('Raw Period DMR Data'!N:N,MATCH(1,(B1230='Raw Period DMR Data'!$A:$A)*(U1230='Raw Period DMR Data'!M:M)*(X1230='Raw Period DMR Data'!C:C),0),1), "N/A")</f>
        <v>N/A</v>
      </c>
      <c r="W1230" s="28" t="s">
        <v>1463</v>
      </c>
      <c r="X1230" s="28" t="s">
        <v>2283</v>
      </c>
      <c r="Y1230" s="28" t="s">
        <v>795</v>
      </c>
      <c r="Z1230" s="28">
        <v>8070204000034</v>
      </c>
      <c r="AA1230" s="28"/>
      <c r="AB1230" s="28" t="s">
        <v>1465</v>
      </c>
      <c r="AC1230" s="28" t="s">
        <v>1466</v>
      </c>
    </row>
    <row r="1231" spans="1:29" x14ac:dyDescent="0.25">
      <c r="A1231" s="61">
        <v>110000911309</v>
      </c>
      <c r="B1231" s="28">
        <v>2018</v>
      </c>
      <c r="C1231" s="68">
        <f t="shared" si="19"/>
        <v>43101</v>
      </c>
      <c r="D1231" s="28" t="s">
        <v>1383</v>
      </c>
      <c r="E1231" s="28" t="s">
        <v>2282</v>
      </c>
      <c r="F1231" s="28" t="s">
        <v>516</v>
      </c>
      <c r="G1231" s="28" t="s">
        <v>303</v>
      </c>
      <c r="H1231" s="28">
        <v>707340000</v>
      </c>
      <c r="I1231" s="28">
        <v>30.233011999999999</v>
      </c>
      <c r="J1231" s="28">
        <v>-91.022057000000004</v>
      </c>
      <c r="L1231" s="61">
        <v>110000911309</v>
      </c>
      <c r="M1231" s="28" t="s">
        <v>252</v>
      </c>
      <c r="N1231" s="28">
        <v>4789</v>
      </c>
      <c r="O1231" s="28" t="str">
        <f>IFERROR(VLOOKUP(N1231, 'SIC &amp; NAICS Codes'!A:B, 2, FALSE), "")</f>
        <v>Transportation Services, NEC (horse-drawn cabs and carriages)</v>
      </c>
      <c r="S1231" s="28">
        <v>8.8001250000000004E-5</v>
      </c>
      <c r="T1231" s="315">
        <f>_xlfn.MAXIFS('Raw Period DMR Data'!$O:$O,'Raw Period DMR Data'!$A:$A,'Raw Annual DMR Data'!B1231,'Raw Period DMR Data'!$C:$C,X1231)/S1231</f>
        <v>0</v>
      </c>
      <c r="U1231" s="28" t="str">
        <f>+IF(COUNTIFS('Raw Period DMR Data'!$A:$A,B1231, 'Raw Period DMR Data'!C:C,'Raw Annual DMR Data'!X1231, 'Raw Period DMR Data'!M:M, "&gt;0")&gt;0,_xlfn.MAXIFS('Raw Period DMR Data'!M:M,'Raw Period DMR Data'!$A:$A,'Raw Annual DMR Data'!B1231,'Raw Period DMR Data'!C:C,'Raw Annual DMR Data'!X1231), "N/A - Period DMR Data Not Available")</f>
        <v>N/A - Period DMR Data Not Available</v>
      </c>
      <c r="V1231" s="28" t="str" cm="1">
        <f t="array" ref="V1231">IFERROR(INDEX('Raw Period DMR Data'!N:N,MATCH(1,(B1231='Raw Period DMR Data'!$A:$A)*(U1231='Raw Period DMR Data'!M:M)*(X1231='Raw Period DMR Data'!C:C),0),1), "N/A")</f>
        <v>N/A</v>
      </c>
      <c r="W1231" s="28" t="s">
        <v>1463</v>
      </c>
      <c r="X1231" s="28" t="s">
        <v>2283</v>
      </c>
      <c r="Y1231" s="28" t="s">
        <v>795</v>
      </c>
      <c r="Z1231" s="302" t="s">
        <v>2284</v>
      </c>
      <c r="AA1231" s="28"/>
      <c r="AB1231" s="28" t="s">
        <v>1465</v>
      </c>
      <c r="AC1231" s="28" t="s">
        <v>1466</v>
      </c>
    </row>
    <row r="1232" spans="1:29" x14ac:dyDescent="0.25">
      <c r="A1232" s="61">
        <v>110000911309</v>
      </c>
      <c r="B1232" s="28">
        <v>2019</v>
      </c>
      <c r="C1232" s="68">
        <f t="shared" si="19"/>
        <v>43466</v>
      </c>
      <c r="D1232" s="28" t="s">
        <v>1383</v>
      </c>
      <c r="E1232" s="28" t="s">
        <v>2282</v>
      </c>
      <c r="F1232" s="28" t="s">
        <v>516</v>
      </c>
      <c r="G1232" s="28" t="s">
        <v>303</v>
      </c>
      <c r="H1232" s="28">
        <v>707340000</v>
      </c>
      <c r="I1232" s="28">
        <v>30.233011999999999</v>
      </c>
      <c r="J1232" s="28">
        <v>-91.022057000000004</v>
      </c>
      <c r="L1232" s="61">
        <v>110000911309</v>
      </c>
      <c r="M1232" s="28" t="s">
        <v>252</v>
      </c>
      <c r="N1232" s="28">
        <v>4789</v>
      </c>
      <c r="O1232" s="28" t="str">
        <f>IFERROR(VLOOKUP(N1232, 'SIC &amp; NAICS Codes'!A:B, 2, FALSE), "")</f>
        <v>Transportation Services, NEC (horse-drawn cabs and carriages)</v>
      </c>
      <c r="S1232" s="28">
        <v>1.1140674375E-2</v>
      </c>
      <c r="T1232" s="315">
        <f>_xlfn.MAXIFS('Raw Period DMR Data'!$O:$O,'Raw Period DMR Data'!$A:$A,'Raw Annual DMR Data'!B1232,'Raw Period DMR Data'!$C:$C,X1232)/S1232</f>
        <v>0</v>
      </c>
      <c r="U1232" s="28" t="str">
        <f>+IF(COUNTIFS('Raw Period DMR Data'!$A:$A,B1232, 'Raw Period DMR Data'!C:C,'Raw Annual DMR Data'!X1232, 'Raw Period DMR Data'!M:M, "&gt;0")&gt;0,_xlfn.MAXIFS('Raw Period DMR Data'!M:M,'Raw Period DMR Data'!$A:$A,'Raw Annual DMR Data'!B1232,'Raw Period DMR Data'!C:C,'Raw Annual DMR Data'!X1232), "N/A - Period DMR Data Not Available")</f>
        <v>N/A - Period DMR Data Not Available</v>
      </c>
      <c r="V1232" s="28" t="str" cm="1">
        <f t="array" ref="V1232">IFERROR(INDEX('Raw Period DMR Data'!N:N,MATCH(1,(B1232='Raw Period DMR Data'!$A:$A)*(U1232='Raw Period DMR Data'!M:M)*(X1232='Raw Period DMR Data'!C:C),0),1), "N/A")</f>
        <v>N/A</v>
      </c>
      <c r="W1232" s="28" t="s">
        <v>1463</v>
      </c>
      <c r="X1232" s="28" t="s">
        <v>2283</v>
      </c>
      <c r="Y1232" s="28" t="s">
        <v>795</v>
      </c>
      <c r="Z1232" s="28">
        <v>8070204000034</v>
      </c>
      <c r="AA1232" s="28"/>
      <c r="AB1232" s="28" t="s">
        <v>1465</v>
      </c>
      <c r="AC1232" s="28" t="s">
        <v>1466</v>
      </c>
    </row>
    <row r="1233" spans="1:29" x14ac:dyDescent="0.25">
      <c r="A1233" s="61">
        <v>110000911309</v>
      </c>
      <c r="B1233" s="28">
        <v>2020</v>
      </c>
      <c r="C1233" s="68">
        <f t="shared" si="19"/>
        <v>43831</v>
      </c>
      <c r="D1233" s="28" t="s">
        <v>1383</v>
      </c>
      <c r="E1233" s="28" t="s">
        <v>2282</v>
      </c>
      <c r="F1233" s="28" t="s">
        <v>516</v>
      </c>
      <c r="G1233" s="28" t="s">
        <v>303</v>
      </c>
      <c r="H1233" s="28">
        <v>707340000</v>
      </c>
      <c r="I1233" s="28">
        <v>30.233011999999999</v>
      </c>
      <c r="J1233" s="28">
        <v>-91.022057000000004</v>
      </c>
      <c r="L1233" s="61">
        <v>110000911309</v>
      </c>
      <c r="M1233" s="28" t="s">
        <v>252</v>
      </c>
      <c r="N1233" s="28">
        <v>4789</v>
      </c>
      <c r="O1233" s="28" t="str">
        <f>IFERROR(VLOOKUP(N1233, 'SIC &amp; NAICS Codes'!A:B, 2, FALSE), "")</f>
        <v>Transportation Services, NEC (horse-drawn cabs and carriages)</v>
      </c>
      <c r="S1233" s="28">
        <v>2.3930662500000002E-2</v>
      </c>
      <c r="T1233" s="315">
        <f>_xlfn.MAXIFS('Raw Period DMR Data'!$O:$O,'Raw Period DMR Data'!$A:$A,'Raw Annual DMR Data'!B1233,'Raw Period DMR Data'!$C:$C,X1233)/S1233</f>
        <v>0</v>
      </c>
      <c r="U1233" s="28" t="str">
        <f>+IF(COUNTIFS('Raw Period DMR Data'!$A:$A,B1233, 'Raw Period DMR Data'!C:C,'Raw Annual DMR Data'!X1233, 'Raw Period DMR Data'!M:M, "&gt;0")&gt;0,_xlfn.MAXIFS('Raw Period DMR Data'!M:M,'Raw Period DMR Data'!$A:$A,'Raw Annual DMR Data'!B1233,'Raw Period DMR Data'!C:C,'Raw Annual DMR Data'!X1233), "N/A - Period DMR Data Not Available")</f>
        <v>N/A - Period DMR Data Not Available</v>
      </c>
      <c r="V1233" s="28" t="str" cm="1">
        <f t="array" ref="V1233">IFERROR(INDEX('Raw Period DMR Data'!N:N,MATCH(1,(B1233='Raw Period DMR Data'!$A:$A)*(U1233='Raw Period DMR Data'!M:M)*(X1233='Raw Period DMR Data'!C:C),0),1), "N/A")</f>
        <v>N/A</v>
      </c>
      <c r="W1233" s="28" t="s">
        <v>1463</v>
      </c>
      <c r="X1233" s="28" t="s">
        <v>2283</v>
      </c>
      <c r="Y1233" s="28" t="s">
        <v>795</v>
      </c>
      <c r="Z1233" s="28">
        <v>8070204000034</v>
      </c>
      <c r="AA1233" s="28"/>
      <c r="AB1233" s="28" t="s">
        <v>1465</v>
      </c>
      <c r="AC1233" s="28" t="s">
        <v>1466</v>
      </c>
    </row>
    <row r="1234" spans="1:29" x14ac:dyDescent="0.25">
      <c r="A1234" s="61">
        <v>110000611703</v>
      </c>
      <c r="B1234" s="28">
        <v>2017</v>
      </c>
      <c r="C1234" s="68">
        <f t="shared" si="19"/>
        <v>42736</v>
      </c>
      <c r="D1234" s="28" t="s">
        <v>195</v>
      </c>
      <c r="E1234" s="28" t="s">
        <v>647</v>
      </c>
      <c r="F1234" s="28" t="s">
        <v>648</v>
      </c>
      <c r="G1234" s="28" t="s">
        <v>328</v>
      </c>
      <c r="H1234" s="28">
        <v>307215466</v>
      </c>
      <c r="I1234" s="28">
        <v>34.632592000000002</v>
      </c>
      <c r="J1234" s="28">
        <v>-84.927667999999997</v>
      </c>
      <c r="K1234" s="28" t="s">
        <v>649</v>
      </c>
      <c r="L1234" s="61">
        <v>110000611703</v>
      </c>
      <c r="M1234" s="28" t="s">
        <v>253</v>
      </c>
      <c r="N1234" s="28">
        <v>2821</v>
      </c>
      <c r="O1234" s="28" t="str">
        <f>IFERROR(VLOOKUP(N1234, 'SIC &amp; NAICS Codes'!A:B, 2, FALSE), "")</f>
        <v>Plastics Materials, Synthetic and Resins, and Nonvulcanizable Elastomers</v>
      </c>
      <c r="S1234" s="28">
        <v>5.0612244897959097E-2</v>
      </c>
      <c r="T1234" s="315">
        <f>_xlfn.MAXIFS('Raw Period DMR Data'!$O:$O,'Raw Period DMR Data'!$A:$A,'Raw Annual DMR Data'!B1234,'Raw Period DMR Data'!$C:$C,X1234)/S1234</f>
        <v>0</v>
      </c>
      <c r="U1234" s="28" t="str">
        <f>+IF(COUNTIFS('Raw Period DMR Data'!$A:$A,B1234, 'Raw Period DMR Data'!C:C,'Raw Annual DMR Data'!X1234, 'Raw Period DMR Data'!M:M, "&gt;0")&gt;0,_xlfn.MAXIFS('Raw Period DMR Data'!M:M,'Raw Period DMR Data'!$A:$A,'Raw Annual DMR Data'!B1234,'Raw Period DMR Data'!C:C,'Raw Annual DMR Data'!X1234), "N/A - Period DMR Data Not Available")</f>
        <v>N/A - Period DMR Data Not Available</v>
      </c>
      <c r="V1234" s="28" t="str" cm="1">
        <f t="array" ref="V1234">IFERROR(INDEX('Raw Period DMR Data'!N:N,MATCH(1,(B1234='Raw Period DMR Data'!$A:$A)*(U1234='Raw Period DMR Data'!M:M)*(X1234='Raw Period DMR Data'!C:C),0),1), "N/A")</f>
        <v>N/A</v>
      </c>
      <c r="W1234" s="28" t="s">
        <v>1463</v>
      </c>
      <c r="X1234" s="28" t="s">
        <v>945</v>
      </c>
      <c r="Y1234" s="28" t="s">
        <v>946</v>
      </c>
      <c r="Z1234" s="61">
        <v>3150101000005</v>
      </c>
      <c r="AA1234" s="28"/>
    </row>
    <row r="1235" spans="1:29" x14ac:dyDescent="0.25">
      <c r="A1235" s="61">
        <v>110000611703</v>
      </c>
      <c r="B1235" s="28">
        <v>2020</v>
      </c>
      <c r="C1235" s="68">
        <f t="shared" si="19"/>
        <v>43831</v>
      </c>
      <c r="D1235" s="28" t="s">
        <v>195</v>
      </c>
      <c r="E1235" s="28" t="s">
        <v>647</v>
      </c>
      <c r="F1235" s="28" t="s">
        <v>648</v>
      </c>
      <c r="G1235" s="28" t="s">
        <v>328</v>
      </c>
      <c r="H1235" s="28">
        <v>307215466</v>
      </c>
      <c r="I1235" s="28">
        <v>34.632592000000002</v>
      </c>
      <c r="J1235" s="28">
        <v>-84.927667999999997</v>
      </c>
      <c r="K1235" s="28" t="s">
        <v>649</v>
      </c>
      <c r="L1235" s="61">
        <v>110000611703</v>
      </c>
      <c r="M1235" s="28" t="s">
        <v>253</v>
      </c>
      <c r="N1235" s="28">
        <v>2821</v>
      </c>
      <c r="O1235" s="28" t="str">
        <f>IFERROR(VLOOKUP(N1235, 'SIC &amp; NAICS Codes'!A:B, 2, FALSE), "")</f>
        <v>Plastics Materials, Synthetic and Resins, and Nonvulcanizable Elastomers</v>
      </c>
      <c r="S1235" s="28">
        <v>1.40589569160997E-2</v>
      </c>
      <c r="T1235" s="315">
        <f>_xlfn.MAXIFS('Raw Period DMR Data'!$O:$O,'Raw Period DMR Data'!$A:$A,'Raw Annual DMR Data'!B1235,'Raw Period DMR Data'!$C:$C,X1235)/S1235</f>
        <v>0</v>
      </c>
      <c r="U1235" s="28" t="str">
        <f>+IF(COUNTIFS('Raw Period DMR Data'!$A:$A,B1235, 'Raw Period DMR Data'!C:C,'Raw Annual DMR Data'!X1235, 'Raw Period DMR Data'!M:M, "&gt;0")&gt;0,_xlfn.MAXIFS('Raw Period DMR Data'!M:M,'Raw Period DMR Data'!$A:$A,'Raw Annual DMR Data'!B1235,'Raw Period DMR Data'!C:C,'Raw Annual DMR Data'!X1235), "N/A - Period DMR Data Not Available")</f>
        <v>N/A - Period DMR Data Not Available</v>
      </c>
      <c r="V1235" s="28" t="str" cm="1">
        <f t="array" ref="V1235">IFERROR(INDEX('Raw Period DMR Data'!N:N,MATCH(1,(B1235='Raw Period DMR Data'!$A:$A)*(U1235='Raw Period DMR Data'!M:M)*(X1235='Raw Period DMR Data'!C:C),0),1), "N/A")</f>
        <v>N/A</v>
      </c>
      <c r="W1235" s="28" t="s">
        <v>1463</v>
      </c>
      <c r="X1235" s="28" t="s">
        <v>945</v>
      </c>
      <c r="Y1235" s="28" t="s">
        <v>946</v>
      </c>
      <c r="Z1235" s="61">
        <v>3150101000005</v>
      </c>
    </row>
    <row r="1236" spans="1:29" x14ac:dyDescent="0.25">
      <c r="A1236" s="61">
        <v>110043808467</v>
      </c>
      <c r="B1236" s="28">
        <v>2017</v>
      </c>
      <c r="C1236" s="68">
        <f t="shared" si="19"/>
        <v>42736</v>
      </c>
      <c r="D1236" s="28" t="s">
        <v>196</v>
      </c>
      <c r="E1236" s="28" t="s">
        <v>650</v>
      </c>
      <c r="F1236" s="28" t="s">
        <v>651</v>
      </c>
      <c r="G1236" s="28" t="s">
        <v>418</v>
      </c>
      <c r="H1236" s="28">
        <v>89015</v>
      </c>
      <c r="I1236" s="28">
        <v>36.035440000000001</v>
      </c>
      <c r="J1236" s="28">
        <v>-114.99994</v>
      </c>
      <c r="K1236" s="28" t="s">
        <v>652</v>
      </c>
      <c r="L1236" s="61">
        <v>110043808467</v>
      </c>
      <c r="M1236" s="28" t="s">
        <v>264</v>
      </c>
      <c r="N1236" s="28">
        <v>1799</v>
      </c>
      <c r="O1236" s="28" t="str">
        <f>IFERROR(VLOOKUP(N1236, 'SIC &amp; NAICS Codes'!A:B, 2, FALSE), "")</f>
        <v>Special Trade Contractors, NEC (indoor swimming pool construction contractors)</v>
      </c>
      <c r="S1236" s="28">
        <v>0.247375488</v>
      </c>
      <c r="T1236" s="315">
        <f>_xlfn.MAXIFS('Raw Period DMR Data'!$O:$O,'Raw Period DMR Data'!$A:$A,'Raw Annual DMR Data'!B1236,'Raw Period DMR Data'!$C:$C,X1236)/S1236</f>
        <v>0</v>
      </c>
      <c r="U1236" s="28" t="str">
        <f>+IF(COUNTIFS('Raw Period DMR Data'!$A:$A,B1236, 'Raw Period DMR Data'!C:C,'Raw Annual DMR Data'!X1236, 'Raw Period DMR Data'!M:M, "&gt;0")&gt;0,_xlfn.MAXIFS('Raw Period DMR Data'!M:M,'Raw Period DMR Data'!$A:$A,'Raw Annual DMR Data'!B1236,'Raw Period DMR Data'!C:C,'Raw Annual DMR Data'!X1236), "N/A - Period DMR Data Not Available")</f>
        <v>N/A - Period DMR Data Not Available</v>
      </c>
      <c r="V1236" s="28" t="str" cm="1">
        <f t="array" ref="V1236">IFERROR(INDEX('Raw Period DMR Data'!N:N,MATCH(1,(B1236='Raw Period DMR Data'!$A:$A)*(U1236='Raw Period DMR Data'!M:M)*(X1236='Raw Period DMR Data'!C:C),0),1), "N/A")</f>
        <v>N/A</v>
      </c>
      <c r="W1236" s="28" t="s">
        <v>1463</v>
      </c>
      <c r="X1236" s="28" t="s">
        <v>947</v>
      </c>
      <c r="Y1236" s="28" t="s">
        <v>948</v>
      </c>
      <c r="Z1236" s="61">
        <v>15010015000957</v>
      </c>
      <c r="AA1236" s="28"/>
    </row>
    <row r="1237" spans="1:29" x14ac:dyDescent="0.25">
      <c r="A1237" s="61">
        <v>110043808467</v>
      </c>
      <c r="B1237" s="28">
        <v>2015</v>
      </c>
      <c r="C1237" s="68">
        <f t="shared" si="19"/>
        <v>42005</v>
      </c>
      <c r="D1237" s="28" t="s">
        <v>196</v>
      </c>
      <c r="E1237" s="28" t="s">
        <v>650</v>
      </c>
      <c r="F1237" s="28" t="s">
        <v>651</v>
      </c>
      <c r="G1237" s="28" t="s">
        <v>418</v>
      </c>
      <c r="H1237" s="28">
        <v>89015</v>
      </c>
      <c r="I1237" s="28">
        <v>36.035440000000001</v>
      </c>
      <c r="J1237" s="28">
        <v>-114.99994</v>
      </c>
      <c r="K1237" s="28" t="s">
        <v>652</v>
      </c>
      <c r="L1237" s="61">
        <v>110043808467</v>
      </c>
      <c r="M1237" s="28" t="s">
        <v>264</v>
      </c>
      <c r="N1237" s="28">
        <v>1799</v>
      </c>
      <c r="O1237" s="28" t="str">
        <f>IFERROR(VLOOKUP(N1237, 'SIC &amp; NAICS Codes'!A:B, 2, FALSE), "")</f>
        <v>Special Trade Contractors, NEC (indoor swimming pool construction contractors)</v>
      </c>
      <c r="S1237" s="28">
        <v>0.179535166666666</v>
      </c>
      <c r="T1237" s="315">
        <f>_xlfn.MAXIFS('Raw Period DMR Data'!$O:$O,'Raw Period DMR Data'!$A:$A,'Raw Annual DMR Data'!B1237,'Raw Period DMR Data'!$C:$C,X1237)/S1237</f>
        <v>0</v>
      </c>
      <c r="U1237" s="28" t="str">
        <f>+IF(COUNTIFS('Raw Period DMR Data'!$A:$A,B1237, 'Raw Period DMR Data'!C:C,'Raw Annual DMR Data'!X1237, 'Raw Period DMR Data'!M:M, "&gt;0")&gt;0,_xlfn.MAXIFS('Raw Period DMR Data'!M:M,'Raw Period DMR Data'!$A:$A,'Raw Annual DMR Data'!B1237,'Raw Period DMR Data'!C:C,'Raw Annual DMR Data'!X1237), "N/A - Period DMR Data Not Available")</f>
        <v>N/A - Period DMR Data Not Available</v>
      </c>
      <c r="V1237" s="28" t="str" cm="1">
        <f t="array" ref="V1237">IFERROR(INDEX('Raw Period DMR Data'!N:N,MATCH(1,(B1237='Raw Period DMR Data'!$A:$A)*(U1237='Raw Period DMR Data'!M:M)*(X1237='Raw Period DMR Data'!C:C),0),1), "N/A")</f>
        <v>N/A</v>
      </c>
      <c r="W1237" s="28" t="s">
        <v>1463</v>
      </c>
      <c r="X1237" s="28" t="s">
        <v>947</v>
      </c>
      <c r="Y1237" s="28" t="s">
        <v>948</v>
      </c>
      <c r="Z1237" s="28">
        <v>15010015000957</v>
      </c>
      <c r="AA1237" s="28"/>
      <c r="AB1237" s="28" t="s">
        <v>1465</v>
      </c>
      <c r="AC1237" s="28" t="s">
        <v>1466</v>
      </c>
    </row>
    <row r="1238" spans="1:29" x14ac:dyDescent="0.25">
      <c r="A1238" s="61">
        <v>110043808467</v>
      </c>
      <c r="B1238" s="28">
        <v>2016</v>
      </c>
      <c r="C1238" s="68">
        <f t="shared" si="19"/>
        <v>42370</v>
      </c>
      <c r="D1238" s="28" t="s">
        <v>196</v>
      </c>
      <c r="E1238" s="28" t="s">
        <v>650</v>
      </c>
      <c r="F1238" s="28" t="s">
        <v>651</v>
      </c>
      <c r="G1238" s="28" t="s">
        <v>418</v>
      </c>
      <c r="H1238" s="28">
        <v>89015</v>
      </c>
      <c r="I1238" s="28">
        <v>36.035440000000001</v>
      </c>
      <c r="J1238" s="28">
        <v>-114.99994</v>
      </c>
      <c r="K1238" s="28" t="s">
        <v>652</v>
      </c>
      <c r="L1238" s="61">
        <v>110043808467</v>
      </c>
      <c r="M1238" s="28" t="s">
        <v>264</v>
      </c>
      <c r="N1238" s="28">
        <v>1799</v>
      </c>
      <c r="O1238" s="28" t="str">
        <f>IFERROR(VLOOKUP(N1238, 'SIC &amp; NAICS Codes'!A:B, 2, FALSE), "")</f>
        <v>Special Trade Contractors, NEC (indoor swimming pool construction contractors)</v>
      </c>
      <c r="S1238" s="28">
        <v>0.16900782</v>
      </c>
      <c r="T1238" s="315">
        <f>_xlfn.MAXIFS('Raw Period DMR Data'!$O:$O,'Raw Period DMR Data'!$A:$A,'Raw Annual DMR Data'!B1238,'Raw Period DMR Data'!$C:$C,X1238)/S1238</f>
        <v>0</v>
      </c>
      <c r="U1238" s="28" t="str">
        <f>+IF(COUNTIFS('Raw Period DMR Data'!$A:$A,B1238, 'Raw Period DMR Data'!C:C,'Raw Annual DMR Data'!X1238, 'Raw Period DMR Data'!M:M, "&gt;0")&gt;0,_xlfn.MAXIFS('Raw Period DMR Data'!M:M,'Raw Period DMR Data'!$A:$A,'Raw Annual DMR Data'!B1238,'Raw Period DMR Data'!C:C,'Raw Annual DMR Data'!X1238), "N/A - Period DMR Data Not Available")</f>
        <v>N/A - Period DMR Data Not Available</v>
      </c>
      <c r="V1238" s="28" t="str" cm="1">
        <f t="array" ref="V1238">IFERROR(INDEX('Raw Period DMR Data'!N:N,MATCH(1,(B1238='Raw Period DMR Data'!$A:$A)*(U1238='Raw Period DMR Data'!M:M)*(X1238='Raw Period DMR Data'!C:C),0),1), "N/A")</f>
        <v>N/A</v>
      </c>
      <c r="W1238" s="28" t="s">
        <v>1463</v>
      </c>
      <c r="X1238" s="28" t="s">
        <v>947</v>
      </c>
      <c r="Y1238" s="28" t="s">
        <v>948</v>
      </c>
      <c r="Z1238" s="28">
        <v>15010015000957</v>
      </c>
      <c r="AA1238" s="28"/>
      <c r="AB1238" s="28" t="s">
        <v>1465</v>
      </c>
      <c r="AC1238" s="28" t="s">
        <v>1466</v>
      </c>
    </row>
    <row r="1239" spans="1:29" x14ac:dyDescent="0.25">
      <c r="A1239" s="61">
        <v>110043808467</v>
      </c>
      <c r="B1239" s="28">
        <v>2017</v>
      </c>
      <c r="C1239" s="68">
        <f t="shared" si="19"/>
        <v>42736</v>
      </c>
      <c r="D1239" s="28" t="s">
        <v>196</v>
      </c>
      <c r="E1239" s="28" t="s">
        <v>650</v>
      </c>
      <c r="F1239" s="28" t="s">
        <v>651</v>
      </c>
      <c r="G1239" s="28" t="s">
        <v>418</v>
      </c>
      <c r="H1239" s="28">
        <v>89015</v>
      </c>
      <c r="I1239" s="28">
        <v>36.035440000000001</v>
      </c>
      <c r="J1239" s="28">
        <v>-114.99994</v>
      </c>
      <c r="K1239" s="28" t="s">
        <v>652</v>
      </c>
      <c r="L1239" s="61">
        <v>110043808467</v>
      </c>
      <c r="M1239" s="28" t="s">
        <v>264</v>
      </c>
      <c r="N1239" s="28">
        <v>1799</v>
      </c>
      <c r="O1239" s="28" t="str">
        <f>IFERROR(VLOOKUP(N1239, 'SIC &amp; NAICS Codes'!A:B, 2, FALSE), "")</f>
        <v>Special Trade Contractors, NEC (indoor swimming pool construction contractors)</v>
      </c>
      <c r="S1239" s="28">
        <v>0.46911025049999999</v>
      </c>
      <c r="T1239" s="315">
        <f>_xlfn.MAXIFS('Raw Period DMR Data'!$O:$O,'Raw Period DMR Data'!$A:$A,'Raw Annual DMR Data'!B1239,'Raw Period DMR Data'!$C:$C,X1239)/S1239</f>
        <v>0</v>
      </c>
      <c r="U1239" s="28" t="str">
        <f>+IF(COUNTIFS('Raw Period DMR Data'!$A:$A,B1239, 'Raw Period DMR Data'!C:C,'Raw Annual DMR Data'!X1239, 'Raw Period DMR Data'!M:M, "&gt;0")&gt;0,_xlfn.MAXIFS('Raw Period DMR Data'!M:M,'Raw Period DMR Data'!$A:$A,'Raw Annual DMR Data'!B1239,'Raw Period DMR Data'!C:C,'Raw Annual DMR Data'!X1239), "N/A - Period DMR Data Not Available")</f>
        <v>N/A - Period DMR Data Not Available</v>
      </c>
      <c r="V1239" s="28" t="str" cm="1">
        <f t="array" ref="V1239">IFERROR(INDEX('Raw Period DMR Data'!N:N,MATCH(1,(B1239='Raw Period DMR Data'!$A:$A)*(U1239='Raw Period DMR Data'!M:M)*(X1239='Raw Period DMR Data'!C:C),0),1), "N/A")</f>
        <v>N/A</v>
      </c>
      <c r="W1239" s="28" t="s">
        <v>1463</v>
      </c>
      <c r="X1239" s="28" t="s">
        <v>947</v>
      </c>
      <c r="Y1239" s="28" t="s">
        <v>948</v>
      </c>
      <c r="Z1239" s="28">
        <v>15010015000957</v>
      </c>
      <c r="AA1239" s="28"/>
      <c r="AB1239" s="28" t="s">
        <v>1465</v>
      </c>
      <c r="AC1239" s="28" t="s">
        <v>1466</v>
      </c>
    </row>
    <row r="1240" spans="1:29" x14ac:dyDescent="0.25">
      <c r="A1240" s="61">
        <v>110043808467</v>
      </c>
      <c r="B1240" s="28">
        <v>2018</v>
      </c>
      <c r="C1240" s="68">
        <f t="shared" si="19"/>
        <v>43101</v>
      </c>
      <c r="D1240" s="28" t="s">
        <v>196</v>
      </c>
      <c r="E1240" s="28" t="s">
        <v>650</v>
      </c>
      <c r="F1240" s="28" t="s">
        <v>651</v>
      </c>
      <c r="G1240" s="28" t="s">
        <v>418</v>
      </c>
      <c r="H1240" s="28">
        <v>89015</v>
      </c>
      <c r="I1240" s="28">
        <v>36.035440000000001</v>
      </c>
      <c r="J1240" s="28">
        <v>-114.99994</v>
      </c>
      <c r="K1240" s="28" t="s">
        <v>652</v>
      </c>
      <c r="L1240" s="61">
        <v>110043808467</v>
      </c>
      <c r="M1240" s="28" t="s">
        <v>264</v>
      </c>
      <c r="N1240" s="28">
        <v>1799</v>
      </c>
      <c r="O1240" s="28" t="str">
        <f>IFERROR(VLOOKUP(N1240, 'SIC &amp; NAICS Codes'!A:B, 2, FALSE), "")</f>
        <v>Special Trade Contractors, NEC (indoor swimming pool construction contractors)</v>
      </c>
      <c r="S1240" s="28">
        <v>0.30132858125</v>
      </c>
      <c r="T1240" s="315">
        <f>_xlfn.MAXIFS('Raw Period DMR Data'!$O:$O,'Raw Period DMR Data'!$A:$A,'Raw Annual DMR Data'!B1240,'Raw Period DMR Data'!$C:$C,X1240)/S1240</f>
        <v>0</v>
      </c>
      <c r="U1240" s="28" t="str">
        <f>+IF(COUNTIFS('Raw Period DMR Data'!$A:$A,B1240, 'Raw Period DMR Data'!C:C,'Raw Annual DMR Data'!X1240, 'Raw Period DMR Data'!M:M, "&gt;0")&gt;0,_xlfn.MAXIFS('Raw Period DMR Data'!M:M,'Raw Period DMR Data'!$A:$A,'Raw Annual DMR Data'!B1240,'Raw Period DMR Data'!C:C,'Raw Annual DMR Data'!X1240), "N/A - Period DMR Data Not Available")</f>
        <v>N/A - Period DMR Data Not Available</v>
      </c>
      <c r="V1240" s="28" t="str" cm="1">
        <f t="array" ref="V1240">IFERROR(INDEX('Raw Period DMR Data'!N:N,MATCH(1,(B1240='Raw Period DMR Data'!$A:$A)*(U1240='Raw Period DMR Data'!M:M)*(X1240='Raw Period DMR Data'!C:C),0),1), "N/A")</f>
        <v>N/A</v>
      </c>
      <c r="W1240" s="28" t="s">
        <v>1463</v>
      </c>
      <c r="X1240" s="28" t="s">
        <v>947</v>
      </c>
      <c r="Y1240" s="28" t="s">
        <v>948</v>
      </c>
      <c r="Z1240" s="28">
        <v>15010015000957</v>
      </c>
      <c r="AA1240" s="28"/>
      <c r="AB1240" s="28" t="s">
        <v>1465</v>
      </c>
      <c r="AC1240" s="28" t="s">
        <v>1466</v>
      </c>
    </row>
    <row r="1241" spans="1:29" x14ac:dyDescent="0.25">
      <c r="A1241" s="61">
        <v>110043808467</v>
      </c>
      <c r="B1241" s="28">
        <v>2019</v>
      </c>
      <c r="C1241" s="68">
        <f t="shared" si="19"/>
        <v>43466</v>
      </c>
      <c r="D1241" s="28" t="s">
        <v>196</v>
      </c>
      <c r="E1241" s="28" t="s">
        <v>650</v>
      </c>
      <c r="F1241" s="28" t="s">
        <v>651</v>
      </c>
      <c r="G1241" s="28" t="s">
        <v>418</v>
      </c>
      <c r="H1241" s="28">
        <v>89015</v>
      </c>
      <c r="I1241" s="28">
        <v>36.035440000000001</v>
      </c>
      <c r="J1241" s="28">
        <v>-114.99994</v>
      </c>
      <c r="K1241" s="28" t="s">
        <v>652</v>
      </c>
      <c r="L1241" s="61">
        <v>110043808467</v>
      </c>
      <c r="M1241" s="28" t="s">
        <v>264</v>
      </c>
      <c r="N1241" s="28">
        <v>1799</v>
      </c>
      <c r="O1241" s="28" t="str">
        <f>IFERROR(VLOOKUP(N1241, 'SIC &amp; NAICS Codes'!A:B, 2, FALSE), "")</f>
        <v>Special Trade Contractors, NEC (indoor swimming pool construction contractors)</v>
      </c>
      <c r="S1241" s="28">
        <v>0.29663518124999999</v>
      </c>
      <c r="T1241" s="315">
        <f>_xlfn.MAXIFS('Raw Period DMR Data'!$O:$O,'Raw Period DMR Data'!$A:$A,'Raw Annual DMR Data'!B1241,'Raw Period DMR Data'!$C:$C,X1241)/S1241</f>
        <v>0</v>
      </c>
      <c r="U1241" s="28" t="str">
        <f>+IF(COUNTIFS('Raw Period DMR Data'!$A:$A,B1241, 'Raw Period DMR Data'!C:C,'Raw Annual DMR Data'!X1241, 'Raw Period DMR Data'!M:M, "&gt;0")&gt;0,_xlfn.MAXIFS('Raw Period DMR Data'!M:M,'Raw Period DMR Data'!$A:$A,'Raw Annual DMR Data'!B1241,'Raw Period DMR Data'!C:C,'Raw Annual DMR Data'!X1241), "N/A - Period DMR Data Not Available")</f>
        <v>N/A - Period DMR Data Not Available</v>
      </c>
      <c r="V1241" s="28" t="str" cm="1">
        <f t="array" ref="V1241">IFERROR(INDEX('Raw Period DMR Data'!N:N,MATCH(1,(B1241='Raw Period DMR Data'!$A:$A)*(U1241='Raw Period DMR Data'!M:M)*(X1241='Raw Period DMR Data'!C:C),0),1), "N/A")</f>
        <v>N/A</v>
      </c>
      <c r="W1241" s="28" t="s">
        <v>1463</v>
      </c>
      <c r="X1241" s="28" t="s">
        <v>947</v>
      </c>
      <c r="Y1241" s="28" t="s">
        <v>948</v>
      </c>
      <c r="Z1241" s="28">
        <v>15010015000957</v>
      </c>
      <c r="AA1241" s="28"/>
      <c r="AB1241" s="28" t="s">
        <v>1465</v>
      </c>
      <c r="AC1241" s="28" t="s">
        <v>1466</v>
      </c>
    </row>
    <row r="1242" spans="1:29" x14ac:dyDescent="0.25">
      <c r="A1242" s="61">
        <v>110043808467</v>
      </c>
      <c r="B1242" s="28">
        <v>2020</v>
      </c>
      <c r="C1242" s="68">
        <f t="shared" si="19"/>
        <v>43831</v>
      </c>
      <c r="D1242" s="28" t="s">
        <v>196</v>
      </c>
      <c r="E1242" s="28" t="s">
        <v>650</v>
      </c>
      <c r="F1242" s="28" t="s">
        <v>651</v>
      </c>
      <c r="G1242" s="28" t="s">
        <v>418</v>
      </c>
      <c r="H1242" s="28">
        <v>89015</v>
      </c>
      <c r="I1242" s="28">
        <v>36.035440000000001</v>
      </c>
      <c r="J1242" s="28">
        <v>-114.99994</v>
      </c>
      <c r="K1242" s="28" t="s">
        <v>652</v>
      </c>
      <c r="L1242" s="61">
        <v>110043808467</v>
      </c>
      <c r="M1242" s="28" t="s">
        <v>264</v>
      </c>
      <c r="N1242" s="28">
        <v>1799</v>
      </c>
      <c r="O1242" s="28" t="str">
        <f>IFERROR(VLOOKUP(N1242, 'SIC &amp; NAICS Codes'!A:B, 2, FALSE), "")</f>
        <v>Special Trade Contractors, NEC (indoor swimming pool construction contractors)</v>
      </c>
      <c r="S1242" s="28">
        <v>0.33667480374999997</v>
      </c>
      <c r="T1242" s="315">
        <f>_xlfn.MAXIFS('Raw Period DMR Data'!$O:$O,'Raw Period DMR Data'!$A:$A,'Raw Annual DMR Data'!B1242,'Raw Period DMR Data'!$C:$C,X1242)/S1242</f>
        <v>0</v>
      </c>
      <c r="U1242" s="28" t="str">
        <f>+IF(COUNTIFS('Raw Period DMR Data'!$A:$A,B1242, 'Raw Period DMR Data'!C:C,'Raw Annual DMR Data'!X1242, 'Raw Period DMR Data'!M:M, "&gt;0")&gt;0,_xlfn.MAXIFS('Raw Period DMR Data'!M:M,'Raw Period DMR Data'!$A:$A,'Raw Annual DMR Data'!B1242,'Raw Period DMR Data'!C:C,'Raw Annual DMR Data'!X1242), "N/A - Period DMR Data Not Available")</f>
        <v>N/A - Period DMR Data Not Available</v>
      </c>
      <c r="V1242" s="28" t="str" cm="1">
        <f t="array" ref="V1242">IFERROR(INDEX('Raw Period DMR Data'!N:N,MATCH(1,(B1242='Raw Period DMR Data'!$A:$A)*(U1242='Raw Period DMR Data'!M:M)*(X1242='Raw Period DMR Data'!C:C),0),1), "N/A")</f>
        <v>N/A</v>
      </c>
      <c r="W1242" s="28" t="s">
        <v>1463</v>
      </c>
      <c r="X1242" s="28" t="s">
        <v>947</v>
      </c>
      <c r="Y1242" s="28" t="s">
        <v>948</v>
      </c>
      <c r="Z1242" s="28">
        <v>15010015000957</v>
      </c>
      <c r="AA1242" s="28"/>
      <c r="AB1242" s="28" t="s">
        <v>1465</v>
      </c>
      <c r="AC1242" s="28" t="s">
        <v>1466</v>
      </c>
    </row>
    <row r="1243" spans="1:29" x14ac:dyDescent="0.25">
      <c r="A1243" s="61">
        <v>110004018731</v>
      </c>
      <c r="B1243" s="28">
        <v>2015</v>
      </c>
      <c r="C1243" s="68">
        <f t="shared" si="19"/>
        <v>42005</v>
      </c>
      <c r="D1243" s="28" t="s">
        <v>197</v>
      </c>
      <c r="E1243" s="28" t="s">
        <v>654</v>
      </c>
      <c r="F1243" s="28" t="s">
        <v>434</v>
      </c>
      <c r="G1243" s="28" t="s">
        <v>435</v>
      </c>
      <c r="H1243" s="28">
        <v>28214</v>
      </c>
      <c r="I1243" s="28">
        <v>35.259729999999998</v>
      </c>
      <c r="J1243" s="28">
        <v>-81.000079999999997</v>
      </c>
      <c r="L1243" s="61">
        <v>110004018731</v>
      </c>
      <c r="M1243" s="28" t="s">
        <v>264</v>
      </c>
      <c r="N1243" s="28">
        <v>3552</v>
      </c>
      <c r="O1243" s="28" t="str">
        <f>IFERROR(VLOOKUP(N1243, 'SIC &amp; NAICS Codes'!A:B, 2, FALSE), "")</f>
        <v>Textile Machinery</v>
      </c>
      <c r="S1243" s="28">
        <v>2.0100166800000002E-3</v>
      </c>
      <c r="T1243" s="315">
        <f>_xlfn.MAXIFS('Raw Period DMR Data'!$O:$O,'Raw Period DMR Data'!$A:$A,'Raw Annual DMR Data'!B1243,'Raw Period DMR Data'!$C:$C,X1243)/S1243</f>
        <v>0</v>
      </c>
      <c r="U1243" s="28" t="str">
        <f>+IF(COUNTIFS('Raw Period DMR Data'!$A:$A,B1243, 'Raw Period DMR Data'!C:C,'Raw Annual DMR Data'!X1243, 'Raw Period DMR Data'!M:M, "&gt;0")&gt;0,_xlfn.MAXIFS('Raw Period DMR Data'!M:M,'Raw Period DMR Data'!$A:$A,'Raw Annual DMR Data'!B1243,'Raw Period DMR Data'!C:C,'Raw Annual DMR Data'!X1243), "N/A - Period DMR Data Not Available")</f>
        <v>N/A - Period DMR Data Not Available</v>
      </c>
      <c r="V1243" s="28" t="str" cm="1">
        <f t="array" ref="V1243">IFERROR(INDEX('Raw Period DMR Data'!N:N,MATCH(1,(B1243='Raw Period DMR Data'!$A:$A)*(U1243='Raw Period DMR Data'!M:M)*(X1243='Raw Period DMR Data'!C:C),0),1), "N/A")</f>
        <v>N/A</v>
      </c>
      <c r="W1243" s="28" t="s">
        <v>1463</v>
      </c>
      <c r="X1243" s="28" t="s">
        <v>949</v>
      </c>
      <c r="Y1243" s="28" t="s">
        <v>950</v>
      </c>
      <c r="Z1243" s="61">
        <v>3050101002046</v>
      </c>
    </row>
    <row r="1244" spans="1:29" x14ac:dyDescent="0.25">
      <c r="A1244" s="61">
        <v>110024409344</v>
      </c>
      <c r="B1244" s="28">
        <v>2015</v>
      </c>
      <c r="C1244" s="68">
        <f t="shared" si="19"/>
        <v>42005</v>
      </c>
      <c r="D1244" s="28" t="s">
        <v>1384</v>
      </c>
      <c r="E1244" s="28" t="s">
        <v>2285</v>
      </c>
      <c r="F1244" s="28" t="s">
        <v>1385</v>
      </c>
      <c r="G1244" s="28" t="s">
        <v>374</v>
      </c>
      <c r="H1244" s="28">
        <v>86045</v>
      </c>
      <c r="I1244" s="28">
        <v>36.091380999999998</v>
      </c>
      <c r="J1244" s="28">
        <v>-111.289585</v>
      </c>
      <c r="L1244" s="61">
        <v>110024409344</v>
      </c>
      <c r="M1244" s="28" t="s">
        <v>263</v>
      </c>
      <c r="N1244" s="28">
        <v>4952</v>
      </c>
      <c r="O1244" s="28" t="str">
        <f>IFERROR(VLOOKUP(N1244, 'SIC &amp; NAICS Codes'!A:B, 2, FALSE), "")</f>
        <v>Sewerage Systems</v>
      </c>
      <c r="S1244" s="28">
        <v>1.5342876000000001</v>
      </c>
      <c r="T1244" s="315">
        <f>_xlfn.MAXIFS('Raw Period DMR Data'!$O:$O,'Raw Period DMR Data'!$A:$A,'Raw Annual DMR Data'!B1244,'Raw Period DMR Data'!$C:$C,X1244)/S1244</f>
        <v>0</v>
      </c>
      <c r="U1244" s="28" t="str">
        <f>+IF(COUNTIFS('Raw Period DMR Data'!$A:$A,B1244, 'Raw Period DMR Data'!C:C,'Raw Annual DMR Data'!X1244, 'Raw Period DMR Data'!M:M, "&gt;0")&gt;0,_xlfn.MAXIFS('Raw Period DMR Data'!M:M,'Raw Period DMR Data'!$A:$A,'Raw Annual DMR Data'!B1244,'Raw Period DMR Data'!C:C,'Raw Annual DMR Data'!X1244), "N/A - Period DMR Data Not Available")</f>
        <v>N/A - Period DMR Data Not Available</v>
      </c>
      <c r="V1244" s="28" t="str" cm="1">
        <f t="array" ref="V1244">IFERROR(INDEX('Raw Period DMR Data'!N:N,MATCH(1,(B1244='Raw Period DMR Data'!$A:$A)*(U1244='Raw Period DMR Data'!M:M)*(X1244='Raw Period DMR Data'!C:C),0),1), "N/A")</f>
        <v>N/A</v>
      </c>
      <c r="W1244" s="28" t="s">
        <v>1463</v>
      </c>
      <c r="X1244" s="28" t="s">
        <v>2286</v>
      </c>
      <c r="Y1244" s="28" t="s">
        <v>2287</v>
      </c>
      <c r="Z1244" s="28">
        <v>14080204013964</v>
      </c>
      <c r="AA1244" s="28"/>
      <c r="AB1244" s="28" t="s">
        <v>1465</v>
      </c>
      <c r="AC1244" s="28" t="s">
        <v>263</v>
      </c>
    </row>
    <row r="1245" spans="1:29" x14ac:dyDescent="0.25">
      <c r="A1245" s="61">
        <v>110024409344</v>
      </c>
      <c r="B1245" s="28">
        <v>2020</v>
      </c>
      <c r="C1245" s="68">
        <f t="shared" si="19"/>
        <v>43831</v>
      </c>
      <c r="D1245" s="28" t="s">
        <v>1384</v>
      </c>
      <c r="E1245" s="28" t="s">
        <v>2285</v>
      </c>
      <c r="F1245" s="28" t="s">
        <v>1385</v>
      </c>
      <c r="G1245" s="28" t="s">
        <v>374</v>
      </c>
      <c r="H1245" s="28">
        <v>86045</v>
      </c>
      <c r="I1245" s="28">
        <v>36.091380999999998</v>
      </c>
      <c r="J1245" s="28">
        <v>-111.289585</v>
      </c>
      <c r="L1245" s="61">
        <v>110024409344</v>
      </c>
      <c r="M1245" s="28" t="s">
        <v>263</v>
      </c>
      <c r="N1245" s="28">
        <v>4952</v>
      </c>
      <c r="O1245" s="28" t="str">
        <f>IFERROR(VLOOKUP(N1245, 'SIC &amp; NAICS Codes'!A:B, 2, FALSE), "")</f>
        <v>Sewerage Systems</v>
      </c>
      <c r="S1245" s="28">
        <v>0.75772671999999996</v>
      </c>
      <c r="T1245" s="315">
        <f>_xlfn.MAXIFS('Raw Period DMR Data'!$O:$O,'Raw Period DMR Data'!$A:$A,'Raw Annual DMR Data'!B1245,'Raw Period DMR Data'!$C:$C,X1245)/S1245</f>
        <v>0</v>
      </c>
      <c r="U1245" s="28" t="str">
        <f>+IF(COUNTIFS('Raw Period DMR Data'!$A:$A,B1245, 'Raw Period DMR Data'!C:C,'Raw Annual DMR Data'!X1245, 'Raw Period DMR Data'!M:M, "&gt;0")&gt;0,_xlfn.MAXIFS('Raw Period DMR Data'!M:M,'Raw Period DMR Data'!$A:$A,'Raw Annual DMR Data'!B1245,'Raw Period DMR Data'!C:C,'Raw Annual DMR Data'!X1245), "N/A - Period DMR Data Not Available")</f>
        <v>N/A - Period DMR Data Not Available</v>
      </c>
      <c r="V1245" s="28" t="str" cm="1">
        <f t="array" ref="V1245">IFERROR(INDEX('Raw Period DMR Data'!N:N,MATCH(1,(B1245='Raw Period DMR Data'!$A:$A)*(U1245='Raw Period DMR Data'!M:M)*(X1245='Raw Period DMR Data'!C:C),0),1), "N/A")</f>
        <v>N/A</v>
      </c>
      <c r="W1245" s="28" t="s">
        <v>1463</v>
      </c>
      <c r="X1245" s="28" t="s">
        <v>2286</v>
      </c>
      <c r="Y1245" s="28" t="s">
        <v>2287</v>
      </c>
      <c r="Z1245" s="28">
        <v>14080204013964</v>
      </c>
      <c r="AA1245" s="28"/>
      <c r="AB1245" s="28" t="s">
        <v>1465</v>
      </c>
      <c r="AC1245" s="28" t="s">
        <v>263</v>
      </c>
    </row>
    <row r="1246" spans="1:29" x14ac:dyDescent="0.25">
      <c r="A1246" s="61">
        <v>110059716776</v>
      </c>
      <c r="B1246" s="28">
        <v>2018</v>
      </c>
      <c r="C1246" s="68">
        <f t="shared" si="19"/>
        <v>43101</v>
      </c>
      <c r="D1246" s="28" t="s">
        <v>1386</v>
      </c>
      <c r="E1246" s="28" t="s">
        <v>2288</v>
      </c>
      <c r="F1246" s="28" t="s">
        <v>1314</v>
      </c>
      <c r="G1246" s="28" t="s">
        <v>374</v>
      </c>
      <c r="H1246" s="28">
        <v>86004</v>
      </c>
      <c r="I1246" s="28">
        <v>35.167265999999998</v>
      </c>
      <c r="J1246" s="28">
        <v>-111.258888</v>
      </c>
      <c r="L1246" s="61">
        <v>110059716776</v>
      </c>
      <c r="M1246" s="28" t="s">
        <v>263</v>
      </c>
      <c r="N1246" s="28">
        <v>4952</v>
      </c>
      <c r="O1246" s="28" t="str">
        <f>IFERROR(VLOOKUP(N1246, 'SIC &amp; NAICS Codes'!A:B, 2, FALSE), "")</f>
        <v>Sewerage Systems</v>
      </c>
      <c r="S1246" s="28">
        <v>6.2679600000000002E-2</v>
      </c>
      <c r="T1246" s="315">
        <f>_xlfn.MAXIFS('Raw Period DMR Data'!$O:$O,'Raw Period DMR Data'!$A:$A,'Raw Annual DMR Data'!B1246,'Raw Period DMR Data'!$C:$C,X1246)/S1246</f>
        <v>0</v>
      </c>
      <c r="U1246" s="28" t="str">
        <f>+IF(COUNTIFS('Raw Period DMR Data'!$A:$A,B1246, 'Raw Period DMR Data'!C:C,'Raw Annual DMR Data'!X1246, 'Raw Period DMR Data'!M:M, "&gt;0")&gt;0,_xlfn.MAXIFS('Raw Period DMR Data'!M:M,'Raw Period DMR Data'!$A:$A,'Raw Annual DMR Data'!B1246,'Raw Period DMR Data'!C:C,'Raw Annual DMR Data'!X1246), "N/A - Period DMR Data Not Available")</f>
        <v>N/A - Period DMR Data Not Available</v>
      </c>
      <c r="V1246" s="28" t="str" cm="1">
        <f t="array" ref="V1246">IFERROR(INDEX('Raw Period DMR Data'!N:N,MATCH(1,(B1246='Raw Period DMR Data'!$A:$A)*(U1246='Raw Period DMR Data'!M:M)*(X1246='Raw Period DMR Data'!C:C),0),1), "N/A")</f>
        <v>N/A</v>
      </c>
      <c r="W1246" s="28" t="s">
        <v>1463</v>
      </c>
      <c r="X1246" s="28" t="s">
        <v>2289</v>
      </c>
      <c r="Y1246" s="28" t="s">
        <v>2290</v>
      </c>
      <c r="Z1246" s="28">
        <v>15020015000049</v>
      </c>
      <c r="AA1246" s="28"/>
      <c r="AB1246" s="28" t="s">
        <v>1465</v>
      </c>
      <c r="AC1246" s="28" t="s">
        <v>263</v>
      </c>
    </row>
    <row r="1247" spans="1:29" x14ac:dyDescent="0.25">
      <c r="A1247" s="61">
        <v>110070684897</v>
      </c>
      <c r="B1247" s="28">
        <v>2019</v>
      </c>
      <c r="C1247" s="68">
        <f t="shared" si="19"/>
        <v>43466</v>
      </c>
      <c r="D1247" s="28" t="s">
        <v>1387</v>
      </c>
      <c r="E1247" s="28" t="s">
        <v>2291</v>
      </c>
      <c r="F1247" s="28" t="s">
        <v>1388</v>
      </c>
      <c r="G1247" s="28" t="s">
        <v>294</v>
      </c>
      <c r="H1247" s="28">
        <v>221822454</v>
      </c>
      <c r="I1247" s="28">
        <v>38.920251999999998</v>
      </c>
      <c r="J1247" s="28">
        <v>-77.231944999999996</v>
      </c>
      <c r="L1247" s="61">
        <v>110070684897</v>
      </c>
      <c r="M1247" s="28" t="s">
        <v>265</v>
      </c>
      <c r="N1247" s="28">
        <v>1794</v>
      </c>
      <c r="O1247" s="28" t="str">
        <f>IFERROR(VLOOKUP(N1247, 'SIC &amp; NAICS Codes'!A:B, 2, FALSE), "")</f>
        <v>Excavation Work</v>
      </c>
      <c r="S1247" s="28">
        <v>1.01377439999999E-2</v>
      </c>
      <c r="T1247" s="315">
        <f>_xlfn.MAXIFS('Raw Period DMR Data'!$O:$O,'Raw Period DMR Data'!$A:$A,'Raw Annual DMR Data'!B1247,'Raw Period DMR Data'!$C:$C,X1247)/S1247</f>
        <v>0</v>
      </c>
      <c r="U1247" s="28" t="str">
        <f>+IF(COUNTIFS('Raw Period DMR Data'!$A:$A,B1247, 'Raw Period DMR Data'!C:C,'Raw Annual DMR Data'!X1247, 'Raw Period DMR Data'!M:M, "&gt;0")&gt;0,_xlfn.MAXIFS('Raw Period DMR Data'!M:M,'Raw Period DMR Data'!$A:$A,'Raw Annual DMR Data'!B1247,'Raw Period DMR Data'!C:C,'Raw Annual DMR Data'!X1247), "N/A - Period DMR Data Not Available")</f>
        <v>N/A - Period DMR Data Not Available</v>
      </c>
      <c r="V1247" s="28" t="str" cm="1">
        <f t="array" ref="V1247">IFERROR(INDEX('Raw Period DMR Data'!N:N,MATCH(1,(B1247='Raw Period DMR Data'!$A:$A)*(U1247='Raw Period DMR Data'!M:M)*(X1247='Raw Period DMR Data'!C:C),0),1), "N/A")</f>
        <v>N/A</v>
      </c>
      <c r="W1247" s="28" t="s">
        <v>1463</v>
      </c>
      <c r="X1247" s="28" t="s">
        <v>2292</v>
      </c>
      <c r="Y1247" s="28" t="s">
        <v>2293</v>
      </c>
      <c r="AA1247" s="28"/>
      <c r="AB1247" s="28" t="s">
        <v>1465</v>
      </c>
      <c r="AC1247" s="28" t="s">
        <v>1466</v>
      </c>
    </row>
    <row r="1248" spans="1:29" x14ac:dyDescent="0.25">
      <c r="A1248" s="61">
        <v>110070684897</v>
      </c>
      <c r="B1248" s="28">
        <v>2020</v>
      </c>
      <c r="C1248" s="68">
        <f t="shared" si="19"/>
        <v>43831</v>
      </c>
      <c r="D1248" s="28" t="s">
        <v>1387</v>
      </c>
      <c r="E1248" s="28" t="s">
        <v>2291</v>
      </c>
      <c r="F1248" s="28" t="s">
        <v>1388</v>
      </c>
      <c r="G1248" s="28" t="s">
        <v>294</v>
      </c>
      <c r="H1248" s="28">
        <v>221822454</v>
      </c>
      <c r="I1248" s="28">
        <v>38.920251999999998</v>
      </c>
      <c r="J1248" s="28">
        <v>-77.231944999999996</v>
      </c>
      <c r="L1248" s="61">
        <v>110070684897</v>
      </c>
      <c r="M1248" s="28" t="s">
        <v>265</v>
      </c>
      <c r="N1248" s="28">
        <v>1794</v>
      </c>
      <c r="O1248" s="28" t="str">
        <f>IFERROR(VLOOKUP(N1248, 'SIC &amp; NAICS Codes'!A:B, 2, FALSE), "")</f>
        <v>Excavation Work</v>
      </c>
      <c r="S1248" s="28">
        <v>1.9963328727272699E-2</v>
      </c>
      <c r="T1248" s="315">
        <f>_xlfn.MAXIFS('Raw Period DMR Data'!$O:$O,'Raw Period DMR Data'!$A:$A,'Raw Annual DMR Data'!B1248,'Raw Period DMR Data'!$C:$C,X1248)/S1248</f>
        <v>0</v>
      </c>
      <c r="U1248" s="28" t="str">
        <f>+IF(COUNTIFS('Raw Period DMR Data'!$A:$A,B1248, 'Raw Period DMR Data'!C:C,'Raw Annual DMR Data'!X1248, 'Raw Period DMR Data'!M:M, "&gt;0")&gt;0,_xlfn.MAXIFS('Raw Period DMR Data'!M:M,'Raw Period DMR Data'!$A:$A,'Raw Annual DMR Data'!B1248,'Raw Period DMR Data'!C:C,'Raw Annual DMR Data'!X1248), "N/A - Period DMR Data Not Available")</f>
        <v>N/A - Period DMR Data Not Available</v>
      </c>
      <c r="V1248" s="28" t="str" cm="1">
        <f t="array" ref="V1248">IFERROR(INDEX('Raw Period DMR Data'!N:N,MATCH(1,(B1248='Raw Period DMR Data'!$A:$A)*(U1248='Raw Period DMR Data'!M:M)*(X1248='Raw Period DMR Data'!C:C),0),1), "N/A")</f>
        <v>N/A</v>
      </c>
      <c r="W1248" s="28" t="s">
        <v>1463</v>
      </c>
      <c r="X1248" s="28" t="s">
        <v>2292</v>
      </c>
      <c r="Y1248" s="28" t="s">
        <v>2293</v>
      </c>
      <c r="AA1248" s="28"/>
      <c r="AB1248" s="28" t="s">
        <v>1465</v>
      </c>
      <c r="AC1248" s="28" t="s">
        <v>1466</v>
      </c>
    </row>
    <row r="1249" spans="1:29" x14ac:dyDescent="0.25">
      <c r="A1249" s="61">
        <v>110062644367</v>
      </c>
      <c r="B1249" s="28">
        <v>2015</v>
      </c>
      <c r="C1249" s="68">
        <f t="shared" si="19"/>
        <v>42005</v>
      </c>
      <c r="D1249" s="28" t="s">
        <v>1389</v>
      </c>
      <c r="E1249" s="28" t="s">
        <v>2294</v>
      </c>
      <c r="F1249" s="28" t="s">
        <v>358</v>
      </c>
      <c r="G1249" s="28" t="s">
        <v>275</v>
      </c>
      <c r="H1249" s="28">
        <v>83704</v>
      </c>
      <c r="I1249" s="28">
        <v>43.605383000000003</v>
      </c>
      <c r="J1249" s="28">
        <v>-116.27849000000001</v>
      </c>
      <c r="L1249" s="61">
        <v>110062644367</v>
      </c>
      <c r="M1249" s="28" t="s">
        <v>265</v>
      </c>
      <c r="O1249" s="28" t="str">
        <f>IFERROR(VLOOKUP(N1249, 'SIC &amp; NAICS Codes'!A:B, 2, FALSE), "")</f>
        <v/>
      </c>
      <c r="S1249" s="28">
        <v>6.6055474532727199E-2</v>
      </c>
      <c r="T1249" s="315">
        <f>_xlfn.MAXIFS('Raw Period DMR Data'!$O:$O,'Raw Period DMR Data'!$A:$A,'Raw Annual DMR Data'!B1249,'Raw Period DMR Data'!$C:$C,X1249)/S1249</f>
        <v>0</v>
      </c>
      <c r="U1249" s="28" t="str">
        <f>+IF(COUNTIFS('Raw Period DMR Data'!$A:$A,B1249, 'Raw Period DMR Data'!C:C,'Raw Annual DMR Data'!X1249, 'Raw Period DMR Data'!M:M, "&gt;0")&gt;0,_xlfn.MAXIFS('Raw Period DMR Data'!M:M,'Raw Period DMR Data'!$A:$A,'Raw Annual DMR Data'!B1249,'Raw Period DMR Data'!C:C,'Raw Annual DMR Data'!X1249), "N/A - Period DMR Data Not Available")</f>
        <v>N/A - Period DMR Data Not Available</v>
      </c>
      <c r="V1249" s="28" t="str" cm="1">
        <f t="array" ref="V1249">IFERROR(INDEX('Raw Period DMR Data'!N:N,MATCH(1,(B1249='Raw Period DMR Data'!$A:$A)*(U1249='Raw Period DMR Data'!M:M)*(X1249='Raw Period DMR Data'!C:C),0),1), "N/A")</f>
        <v>N/A</v>
      </c>
      <c r="W1249" s="28" t="s">
        <v>1463</v>
      </c>
      <c r="X1249" s="28" t="s">
        <v>2295</v>
      </c>
      <c r="Y1249" s="28" t="s">
        <v>2296</v>
      </c>
      <c r="Z1249" s="28">
        <v>17050114001337</v>
      </c>
      <c r="AA1249" s="28"/>
      <c r="AB1249" s="28" t="s">
        <v>1465</v>
      </c>
      <c r="AC1249" s="28" t="s">
        <v>1466</v>
      </c>
    </row>
    <row r="1250" spans="1:29" x14ac:dyDescent="0.25">
      <c r="A1250" s="61">
        <v>110062644367</v>
      </c>
      <c r="B1250" s="28">
        <v>2016</v>
      </c>
      <c r="C1250" s="68">
        <f t="shared" si="19"/>
        <v>42370</v>
      </c>
      <c r="D1250" s="28" t="s">
        <v>1389</v>
      </c>
      <c r="E1250" s="28" t="s">
        <v>2294</v>
      </c>
      <c r="F1250" s="28" t="s">
        <v>358</v>
      </c>
      <c r="G1250" s="28" t="s">
        <v>275</v>
      </c>
      <c r="H1250" s="28">
        <v>83704</v>
      </c>
      <c r="I1250" s="28">
        <v>43.605383000000003</v>
      </c>
      <c r="J1250" s="28">
        <v>-116.27849000000001</v>
      </c>
      <c r="L1250" s="61">
        <v>110062644367</v>
      </c>
      <c r="M1250" s="28" t="s">
        <v>265</v>
      </c>
      <c r="O1250" s="28" t="str">
        <f>IFERROR(VLOOKUP(N1250, 'SIC &amp; NAICS Codes'!A:B, 2, FALSE), "")</f>
        <v/>
      </c>
      <c r="S1250" s="28">
        <v>4.8908748049999902E-3</v>
      </c>
      <c r="T1250" s="315">
        <f>_xlfn.MAXIFS('Raw Period DMR Data'!$O:$O,'Raw Period DMR Data'!$A:$A,'Raw Annual DMR Data'!B1250,'Raw Period DMR Data'!$C:$C,X1250)/S1250</f>
        <v>0</v>
      </c>
      <c r="U1250" s="28" t="str">
        <f>+IF(COUNTIFS('Raw Period DMR Data'!$A:$A,B1250, 'Raw Period DMR Data'!C:C,'Raw Annual DMR Data'!X1250, 'Raw Period DMR Data'!M:M, "&gt;0")&gt;0,_xlfn.MAXIFS('Raw Period DMR Data'!M:M,'Raw Period DMR Data'!$A:$A,'Raw Annual DMR Data'!B1250,'Raw Period DMR Data'!C:C,'Raw Annual DMR Data'!X1250), "N/A - Period DMR Data Not Available")</f>
        <v>N/A - Period DMR Data Not Available</v>
      </c>
      <c r="V1250" s="28" t="str" cm="1">
        <f t="array" ref="V1250">IFERROR(INDEX('Raw Period DMR Data'!N:N,MATCH(1,(B1250='Raw Period DMR Data'!$A:$A)*(U1250='Raw Period DMR Data'!M:M)*(X1250='Raw Period DMR Data'!C:C),0),1), "N/A")</f>
        <v>N/A</v>
      </c>
      <c r="W1250" s="28" t="s">
        <v>1463</v>
      </c>
      <c r="X1250" s="28" t="s">
        <v>2295</v>
      </c>
      <c r="Y1250" s="28" t="s">
        <v>2296</v>
      </c>
      <c r="Z1250" s="28">
        <v>17050114001337</v>
      </c>
      <c r="AA1250" s="28"/>
      <c r="AB1250" s="28" t="s">
        <v>1465</v>
      </c>
      <c r="AC1250" s="28" t="s">
        <v>1466</v>
      </c>
    </row>
    <row r="1251" spans="1:29" x14ac:dyDescent="0.25">
      <c r="A1251" s="61">
        <v>110062644367</v>
      </c>
      <c r="B1251" s="28">
        <v>2017</v>
      </c>
      <c r="C1251" s="68">
        <f t="shared" si="19"/>
        <v>42736</v>
      </c>
      <c r="D1251" s="28" t="s">
        <v>1389</v>
      </c>
      <c r="E1251" s="28" t="s">
        <v>2294</v>
      </c>
      <c r="F1251" s="28" t="s">
        <v>358</v>
      </c>
      <c r="G1251" s="28" t="s">
        <v>275</v>
      </c>
      <c r="H1251" s="28">
        <v>83704</v>
      </c>
      <c r="I1251" s="28">
        <v>43.605383000000003</v>
      </c>
      <c r="J1251" s="28">
        <v>-116.27849000000001</v>
      </c>
      <c r="L1251" s="61">
        <v>110062644367</v>
      </c>
      <c r="M1251" s="28" t="s">
        <v>265</v>
      </c>
      <c r="O1251" s="28" t="str">
        <f>IFERROR(VLOOKUP(N1251, 'SIC &amp; NAICS Codes'!A:B, 2, FALSE), "")</f>
        <v/>
      </c>
      <c r="S1251" s="28">
        <v>1.0918256419999901E-2</v>
      </c>
      <c r="T1251" s="315">
        <f>_xlfn.MAXIFS('Raw Period DMR Data'!$O:$O,'Raw Period DMR Data'!$A:$A,'Raw Annual DMR Data'!B1251,'Raw Period DMR Data'!$C:$C,X1251)/S1251</f>
        <v>0</v>
      </c>
      <c r="U1251" s="28" t="str">
        <f>+IF(COUNTIFS('Raw Period DMR Data'!$A:$A,B1251, 'Raw Period DMR Data'!C:C,'Raw Annual DMR Data'!X1251, 'Raw Period DMR Data'!M:M, "&gt;0")&gt;0,_xlfn.MAXIFS('Raw Period DMR Data'!M:M,'Raw Period DMR Data'!$A:$A,'Raw Annual DMR Data'!B1251,'Raw Period DMR Data'!C:C,'Raw Annual DMR Data'!X1251), "N/A - Period DMR Data Not Available")</f>
        <v>N/A - Period DMR Data Not Available</v>
      </c>
      <c r="V1251" s="28" t="str" cm="1">
        <f t="array" ref="V1251">IFERROR(INDEX('Raw Period DMR Data'!N:N,MATCH(1,(B1251='Raw Period DMR Data'!$A:$A)*(U1251='Raw Period DMR Data'!M:M)*(X1251='Raw Period DMR Data'!C:C),0),1), "N/A")</f>
        <v>N/A</v>
      </c>
      <c r="W1251" s="28" t="s">
        <v>1463</v>
      </c>
      <c r="X1251" s="28" t="s">
        <v>2295</v>
      </c>
      <c r="Y1251" s="28" t="s">
        <v>2296</v>
      </c>
      <c r="Z1251" s="28">
        <v>17050114001337</v>
      </c>
      <c r="AA1251" s="28"/>
      <c r="AB1251" s="28" t="s">
        <v>1465</v>
      </c>
      <c r="AC1251" s="28" t="s">
        <v>1466</v>
      </c>
    </row>
    <row r="1252" spans="1:29" x14ac:dyDescent="0.25">
      <c r="A1252" s="61">
        <v>110062644367</v>
      </c>
      <c r="B1252" s="28">
        <v>2018</v>
      </c>
      <c r="C1252" s="68">
        <f t="shared" si="19"/>
        <v>43101</v>
      </c>
      <c r="D1252" s="28" t="s">
        <v>1389</v>
      </c>
      <c r="E1252" s="28" t="s">
        <v>2294</v>
      </c>
      <c r="F1252" s="28" t="s">
        <v>358</v>
      </c>
      <c r="G1252" s="28" t="s">
        <v>275</v>
      </c>
      <c r="H1252" s="28">
        <v>83704</v>
      </c>
      <c r="I1252" s="28">
        <v>43.605383000000003</v>
      </c>
      <c r="J1252" s="28">
        <v>-116.27849000000001</v>
      </c>
      <c r="L1252" s="61">
        <v>110062644367</v>
      </c>
      <c r="M1252" s="28" t="s">
        <v>265</v>
      </c>
      <c r="O1252" s="28" t="str">
        <f>IFERROR(VLOOKUP(N1252, 'SIC &amp; NAICS Codes'!A:B, 2, FALSE), "")</f>
        <v/>
      </c>
      <c r="S1252" s="302">
        <v>7.1724538799999901E-3</v>
      </c>
      <c r="T1252" s="315">
        <f>_xlfn.MAXIFS('Raw Period DMR Data'!$O:$O,'Raw Period DMR Data'!$A:$A,'Raw Annual DMR Data'!B1252,'Raw Period DMR Data'!$C:$C,X1252)/S1252</f>
        <v>0</v>
      </c>
      <c r="U1252" s="28" t="str">
        <f>+IF(COUNTIFS('Raw Period DMR Data'!$A:$A,B1252, 'Raw Period DMR Data'!C:C,'Raw Annual DMR Data'!X1252, 'Raw Period DMR Data'!M:M, "&gt;0")&gt;0,_xlfn.MAXIFS('Raw Period DMR Data'!M:M,'Raw Period DMR Data'!$A:$A,'Raw Annual DMR Data'!B1252,'Raw Period DMR Data'!C:C,'Raw Annual DMR Data'!X1252), "N/A - Period DMR Data Not Available")</f>
        <v>N/A - Period DMR Data Not Available</v>
      </c>
      <c r="V1252" s="28" t="str" cm="1">
        <f t="array" ref="V1252">IFERROR(INDEX('Raw Period DMR Data'!N:N,MATCH(1,(B1252='Raw Period DMR Data'!$A:$A)*(U1252='Raw Period DMR Data'!M:M)*(X1252='Raw Period DMR Data'!C:C),0),1), "N/A")</f>
        <v>N/A</v>
      </c>
      <c r="W1252" s="28" t="s">
        <v>1463</v>
      </c>
      <c r="X1252" s="28" t="s">
        <v>2295</v>
      </c>
      <c r="Y1252" s="28" t="s">
        <v>2296</v>
      </c>
      <c r="Z1252" s="28">
        <v>17050114001337</v>
      </c>
      <c r="AA1252" s="28"/>
      <c r="AB1252" s="28" t="s">
        <v>1465</v>
      </c>
      <c r="AC1252" s="28" t="s">
        <v>1466</v>
      </c>
    </row>
    <row r="1253" spans="1:29" x14ac:dyDescent="0.25">
      <c r="A1253" s="61">
        <v>110062644367</v>
      </c>
      <c r="B1253" s="28">
        <v>2019</v>
      </c>
      <c r="C1253" s="68">
        <f t="shared" si="19"/>
        <v>43466</v>
      </c>
      <c r="D1253" s="28" t="s">
        <v>1389</v>
      </c>
      <c r="E1253" s="28" t="s">
        <v>2294</v>
      </c>
      <c r="F1253" s="28" t="s">
        <v>358</v>
      </c>
      <c r="G1253" s="28" t="s">
        <v>275</v>
      </c>
      <c r="H1253" s="28">
        <v>83704</v>
      </c>
      <c r="I1253" s="28">
        <v>43.605383000000003</v>
      </c>
      <c r="J1253" s="28">
        <v>-116.27849000000001</v>
      </c>
      <c r="L1253" s="61">
        <v>110062644367</v>
      </c>
      <c r="M1253" s="28" t="s">
        <v>265</v>
      </c>
      <c r="O1253" s="28" t="str">
        <f>IFERROR(VLOOKUP(N1253, 'SIC &amp; NAICS Codes'!A:B, 2, FALSE), "")</f>
        <v/>
      </c>
      <c r="S1253" s="28">
        <v>9.9584561199999901E-3</v>
      </c>
      <c r="T1253" s="315">
        <f>_xlfn.MAXIFS('Raw Period DMR Data'!$O:$O,'Raw Period DMR Data'!$A:$A,'Raw Annual DMR Data'!B1253,'Raw Period DMR Data'!$C:$C,X1253)/S1253</f>
        <v>0</v>
      </c>
      <c r="U1253" s="28" t="str">
        <f>+IF(COUNTIFS('Raw Period DMR Data'!$A:$A,B1253, 'Raw Period DMR Data'!C:C,'Raw Annual DMR Data'!X1253, 'Raw Period DMR Data'!M:M, "&gt;0")&gt;0,_xlfn.MAXIFS('Raw Period DMR Data'!M:M,'Raw Period DMR Data'!$A:$A,'Raw Annual DMR Data'!B1253,'Raw Period DMR Data'!C:C,'Raw Annual DMR Data'!X1253), "N/A - Period DMR Data Not Available")</f>
        <v>N/A - Period DMR Data Not Available</v>
      </c>
      <c r="V1253" s="28" t="str" cm="1">
        <f t="array" ref="V1253">IFERROR(INDEX('Raw Period DMR Data'!N:N,MATCH(1,(B1253='Raw Period DMR Data'!$A:$A)*(U1253='Raw Period DMR Data'!M:M)*(X1253='Raw Period DMR Data'!C:C),0),1), "N/A")</f>
        <v>N/A</v>
      </c>
      <c r="W1253" s="28" t="s">
        <v>1463</v>
      </c>
      <c r="X1253" s="28" t="s">
        <v>2295</v>
      </c>
      <c r="Y1253" s="28" t="s">
        <v>2296</v>
      </c>
      <c r="Z1253" s="28">
        <v>17050114001337</v>
      </c>
      <c r="AA1253" s="28"/>
      <c r="AB1253" s="28" t="s">
        <v>1465</v>
      </c>
      <c r="AC1253" s="28" t="s">
        <v>1466</v>
      </c>
    </row>
    <row r="1254" spans="1:29" x14ac:dyDescent="0.25">
      <c r="A1254" s="61">
        <v>110062644367</v>
      </c>
      <c r="B1254" s="28">
        <v>2020</v>
      </c>
      <c r="C1254" s="68">
        <f t="shared" si="19"/>
        <v>43831</v>
      </c>
      <c r="D1254" s="28" t="s">
        <v>1389</v>
      </c>
      <c r="E1254" s="28" t="s">
        <v>2294</v>
      </c>
      <c r="F1254" s="28" t="s">
        <v>358</v>
      </c>
      <c r="G1254" s="28" t="s">
        <v>275</v>
      </c>
      <c r="H1254" s="28">
        <v>83704</v>
      </c>
      <c r="I1254" s="28">
        <v>43.605383000000003</v>
      </c>
      <c r="J1254" s="28">
        <v>-116.27849000000001</v>
      </c>
      <c r="L1254" s="61">
        <v>110062644367</v>
      </c>
      <c r="M1254" s="28" t="s">
        <v>265</v>
      </c>
      <c r="O1254" s="28" t="str">
        <f>IFERROR(VLOOKUP(N1254, 'SIC &amp; NAICS Codes'!A:B, 2, FALSE), "")</f>
        <v/>
      </c>
      <c r="S1254" s="28">
        <v>9.9774643899999908E-3</v>
      </c>
      <c r="T1254" s="315">
        <f>_xlfn.MAXIFS('Raw Period DMR Data'!$O:$O,'Raw Period DMR Data'!$A:$A,'Raw Annual DMR Data'!B1254,'Raw Period DMR Data'!$C:$C,X1254)/S1254</f>
        <v>0</v>
      </c>
      <c r="U1254" s="28" t="str">
        <f>+IF(COUNTIFS('Raw Period DMR Data'!$A:$A,B1254, 'Raw Period DMR Data'!C:C,'Raw Annual DMR Data'!X1254, 'Raw Period DMR Data'!M:M, "&gt;0")&gt;0,_xlfn.MAXIFS('Raw Period DMR Data'!M:M,'Raw Period DMR Data'!$A:$A,'Raw Annual DMR Data'!B1254,'Raw Period DMR Data'!C:C,'Raw Annual DMR Data'!X1254), "N/A - Period DMR Data Not Available")</f>
        <v>N/A - Period DMR Data Not Available</v>
      </c>
      <c r="V1254" s="28" t="str" cm="1">
        <f t="array" ref="V1254">IFERROR(INDEX('Raw Period DMR Data'!N:N,MATCH(1,(B1254='Raw Period DMR Data'!$A:$A)*(U1254='Raw Period DMR Data'!M:M)*(X1254='Raw Period DMR Data'!C:C),0),1), "N/A")</f>
        <v>N/A</v>
      </c>
      <c r="W1254" s="28" t="s">
        <v>1463</v>
      </c>
      <c r="X1254" s="28" t="s">
        <v>2295</v>
      </c>
      <c r="Y1254" s="28" t="s">
        <v>2296</v>
      </c>
      <c r="Z1254" s="28">
        <v>17050114001337</v>
      </c>
      <c r="AA1254" s="28"/>
      <c r="AB1254" s="28" t="s">
        <v>1465</v>
      </c>
      <c r="AC1254" s="28" t="s">
        <v>1466</v>
      </c>
    </row>
    <row r="1255" spans="1:29" x14ac:dyDescent="0.25">
      <c r="A1255" s="61">
        <v>110000487447</v>
      </c>
      <c r="B1255" s="28">
        <v>2019</v>
      </c>
      <c r="C1255" s="68">
        <f t="shared" si="19"/>
        <v>43466</v>
      </c>
      <c r="D1255" s="28" t="s">
        <v>1390</v>
      </c>
      <c r="E1255" s="28" t="s">
        <v>2297</v>
      </c>
      <c r="F1255" s="28" t="s">
        <v>1007</v>
      </c>
      <c r="G1255" s="28" t="s">
        <v>1008</v>
      </c>
      <c r="H1255" s="28">
        <v>972101412</v>
      </c>
      <c r="I1255" s="28">
        <v>45.548641000000003</v>
      </c>
      <c r="J1255" s="28">
        <v>-122.72292299999999</v>
      </c>
      <c r="K1255" s="28" t="s">
        <v>737</v>
      </c>
      <c r="L1255" s="61">
        <v>110000487447</v>
      </c>
      <c r="M1255" s="28" t="s">
        <v>252</v>
      </c>
      <c r="N1255" s="28">
        <v>5169</v>
      </c>
      <c r="O1255" s="28" t="str">
        <f>IFERROR(VLOOKUP(N1255, 'SIC &amp; NAICS Codes'!A:B, 2, FALSE), "")</f>
        <v>Chemicals and Allied Products, NEC (merchant wholesalers)</v>
      </c>
      <c r="S1255" s="28">
        <v>4.10057262308571E-3</v>
      </c>
      <c r="T1255" s="315">
        <f>_xlfn.MAXIFS('Raw Period DMR Data'!$O:$O,'Raw Period DMR Data'!$A:$A,'Raw Annual DMR Data'!B1255,'Raw Period DMR Data'!$C:$C,X1255)/S1255</f>
        <v>0</v>
      </c>
      <c r="U1255" s="28" t="str">
        <f>+IF(COUNTIFS('Raw Period DMR Data'!$A:$A,B1255, 'Raw Period DMR Data'!C:C,'Raw Annual DMR Data'!X1255, 'Raw Period DMR Data'!M:M, "&gt;0")&gt;0,_xlfn.MAXIFS('Raw Period DMR Data'!M:M,'Raw Period DMR Data'!$A:$A,'Raw Annual DMR Data'!B1255,'Raw Period DMR Data'!C:C,'Raw Annual DMR Data'!X1255), "N/A - Period DMR Data Not Available")</f>
        <v>N/A - Period DMR Data Not Available</v>
      </c>
      <c r="V1255" s="28" t="str" cm="1">
        <f t="array" ref="V1255">IFERROR(INDEX('Raw Period DMR Data'!N:N,MATCH(1,(B1255='Raw Period DMR Data'!$A:$A)*(U1255='Raw Period DMR Data'!M:M)*(X1255='Raw Period DMR Data'!C:C),0),1), "N/A")</f>
        <v>N/A</v>
      </c>
      <c r="W1255" s="28" t="s">
        <v>1463</v>
      </c>
      <c r="X1255" s="28" t="s">
        <v>2298</v>
      </c>
      <c r="Y1255" s="28" t="s">
        <v>2299</v>
      </c>
      <c r="Z1255" s="28">
        <v>17090012000085</v>
      </c>
      <c r="AA1255" s="28"/>
      <c r="AB1255" s="28" t="s">
        <v>1465</v>
      </c>
      <c r="AC1255" s="28" t="s">
        <v>1466</v>
      </c>
    </row>
    <row r="1256" spans="1:29" x14ac:dyDescent="0.25">
      <c r="A1256" s="61">
        <v>110000487447</v>
      </c>
      <c r="B1256" s="28">
        <v>2020</v>
      </c>
      <c r="C1256" s="68">
        <f t="shared" si="19"/>
        <v>43831</v>
      </c>
      <c r="D1256" s="28" t="s">
        <v>1390</v>
      </c>
      <c r="E1256" s="28" t="s">
        <v>2297</v>
      </c>
      <c r="F1256" s="28" t="s">
        <v>1007</v>
      </c>
      <c r="G1256" s="28" t="s">
        <v>1008</v>
      </c>
      <c r="H1256" s="28">
        <v>972101412</v>
      </c>
      <c r="I1256" s="28">
        <v>45.548641000000003</v>
      </c>
      <c r="J1256" s="28">
        <v>-122.72292299999999</v>
      </c>
      <c r="K1256" s="28" t="s">
        <v>737</v>
      </c>
      <c r="L1256" s="61">
        <v>110000487447</v>
      </c>
      <c r="M1256" s="28" t="s">
        <v>252</v>
      </c>
      <c r="N1256" s="28">
        <v>5169</v>
      </c>
      <c r="O1256" s="28" t="str">
        <f>IFERROR(VLOOKUP(N1256, 'SIC &amp; NAICS Codes'!A:B, 2, FALSE), "")</f>
        <v>Chemicals and Allied Products, NEC (merchant wholesalers)</v>
      </c>
      <c r="S1256" s="28">
        <v>3.919505274E-3</v>
      </c>
      <c r="T1256" s="315">
        <f>_xlfn.MAXIFS('Raw Period DMR Data'!$O:$O,'Raw Period DMR Data'!$A:$A,'Raw Annual DMR Data'!B1256,'Raw Period DMR Data'!$C:$C,X1256)/S1256</f>
        <v>0</v>
      </c>
      <c r="U1256" s="28" t="str">
        <f>+IF(COUNTIFS('Raw Period DMR Data'!$A:$A,B1256, 'Raw Period DMR Data'!C:C,'Raw Annual DMR Data'!X1256, 'Raw Period DMR Data'!M:M, "&gt;0")&gt;0,_xlfn.MAXIFS('Raw Period DMR Data'!M:M,'Raw Period DMR Data'!$A:$A,'Raw Annual DMR Data'!B1256,'Raw Period DMR Data'!C:C,'Raw Annual DMR Data'!X1256), "N/A - Period DMR Data Not Available")</f>
        <v>N/A - Period DMR Data Not Available</v>
      </c>
      <c r="V1256" s="28" t="str" cm="1">
        <f t="array" ref="V1256">IFERROR(INDEX('Raw Period DMR Data'!N:N,MATCH(1,(B1256='Raw Period DMR Data'!$A:$A)*(U1256='Raw Period DMR Data'!M:M)*(X1256='Raw Period DMR Data'!C:C),0),1), "N/A")</f>
        <v>N/A</v>
      </c>
      <c r="W1256" s="28" t="s">
        <v>1463</v>
      </c>
      <c r="X1256" s="28" t="s">
        <v>2298</v>
      </c>
      <c r="Y1256" s="28" t="s">
        <v>2299</v>
      </c>
      <c r="Z1256" s="28">
        <v>17090012000085</v>
      </c>
      <c r="AA1256" s="28"/>
      <c r="AB1256" s="28" t="s">
        <v>1465</v>
      </c>
      <c r="AC1256" s="28" t="s">
        <v>1466</v>
      </c>
    </row>
    <row r="1257" spans="1:29" x14ac:dyDescent="0.25">
      <c r="A1257" s="61">
        <v>110005791107</v>
      </c>
      <c r="B1257" s="28">
        <v>2015</v>
      </c>
      <c r="C1257" s="68">
        <f t="shared" si="19"/>
        <v>42005</v>
      </c>
      <c r="D1257" s="28" t="s">
        <v>1391</v>
      </c>
      <c r="E1257" s="28" t="s">
        <v>2300</v>
      </c>
      <c r="F1257" s="28" t="s">
        <v>358</v>
      </c>
      <c r="G1257" s="28" t="s">
        <v>275</v>
      </c>
      <c r="H1257" s="28">
        <v>83704</v>
      </c>
      <c r="I1257" s="28">
        <v>43.60971</v>
      </c>
      <c r="J1257" s="28">
        <v>-116.28819</v>
      </c>
      <c r="L1257" s="61">
        <v>110005791107</v>
      </c>
      <c r="M1257" s="28" t="s">
        <v>265</v>
      </c>
      <c r="O1257" s="28" t="str">
        <f>IFERROR(VLOOKUP(N1257, 'SIC &amp; NAICS Codes'!A:B, 2, FALSE), "")</f>
        <v/>
      </c>
      <c r="S1257" s="28">
        <v>0.14453857281749899</v>
      </c>
      <c r="T1257" s="315">
        <f>_xlfn.MAXIFS('Raw Period DMR Data'!$O:$O,'Raw Period DMR Data'!$A:$A,'Raw Annual DMR Data'!B1257,'Raw Period DMR Data'!$C:$C,X1257)/S1257</f>
        <v>0</v>
      </c>
      <c r="U1257" s="28" t="str">
        <f>+IF(COUNTIFS('Raw Period DMR Data'!$A:$A,B1257, 'Raw Period DMR Data'!C:C,'Raw Annual DMR Data'!X1257, 'Raw Period DMR Data'!M:M, "&gt;0")&gt;0,_xlfn.MAXIFS('Raw Period DMR Data'!M:M,'Raw Period DMR Data'!$A:$A,'Raw Annual DMR Data'!B1257,'Raw Period DMR Data'!C:C,'Raw Annual DMR Data'!X1257), "N/A - Period DMR Data Not Available")</f>
        <v>N/A - Period DMR Data Not Available</v>
      </c>
      <c r="V1257" s="28" t="str" cm="1">
        <f t="array" ref="V1257">IFERROR(INDEX('Raw Period DMR Data'!N:N,MATCH(1,(B1257='Raw Period DMR Data'!$A:$A)*(U1257='Raw Period DMR Data'!M:M)*(X1257='Raw Period DMR Data'!C:C),0),1), "N/A")</f>
        <v>N/A</v>
      </c>
      <c r="W1257" s="28" t="s">
        <v>1463</v>
      </c>
      <c r="X1257" s="28" t="s">
        <v>2301</v>
      </c>
      <c r="Y1257" s="28" t="s">
        <v>2296</v>
      </c>
      <c r="Z1257" s="28">
        <v>17050114001337</v>
      </c>
      <c r="AA1257" s="28"/>
      <c r="AB1257" s="28" t="s">
        <v>1465</v>
      </c>
      <c r="AC1257" s="28" t="s">
        <v>1466</v>
      </c>
    </row>
    <row r="1258" spans="1:29" x14ac:dyDescent="0.25">
      <c r="A1258" s="61">
        <v>110070596765</v>
      </c>
      <c r="B1258" s="28">
        <v>2019</v>
      </c>
      <c r="C1258" s="68">
        <f t="shared" si="19"/>
        <v>43466</v>
      </c>
      <c r="D1258" s="28" t="s">
        <v>1392</v>
      </c>
      <c r="E1258" s="28" t="s">
        <v>2302</v>
      </c>
      <c r="F1258" s="28" t="s">
        <v>1393</v>
      </c>
      <c r="G1258" s="28" t="s">
        <v>294</v>
      </c>
      <c r="H1258" s="28">
        <v>22060</v>
      </c>
      <c r="I1258" s="28">
        <v>38.711596</v>
      </c>
      <c r="J1258" s="28">
        <v>-77.147887999999995</v>
      </c>
      <c r="L1258" s="61">
        <v>110070596765</v>
      </c>
      <c r="M1258" s="28" t="s">
        <v>261</v>
      </c>
      <c r="N1258" s="28">
        <v>3825</v>
      </c>
      <c r="O1258" s="28" t="str">
        <f>IFERROR(VLOOKUP(N1258, 'SIC &amp; NAICS Codes'!A:B, 2, FALSE), "")</f>
        <v>Instruments for Measuring and Testing of Electricity and Electrical Signals (automotive ammeters and voltmeters)</v>
      </c>
      <c r="S1258" s="28">
        <v>1.20344831999999E-3</v>
      </c>
      <c r="T1258" s="315">
        <f>_xlfn.MAXIFS('Raw Period DMR Data'!$O:$O,'Raw Period DMR Data'!$A:$A,'Raw Annual DMR Data'!B1258,'Raw Period DMR Data'!$C:$C,X1258)/S1258</f>
        <v>0</v>
      </c>
      <c r="U1258" s="28" t="str">
        <f>+IF(COUNTIFS('Raw Period DMR Data'!$A:$A,B1258, 'Raw Period DMR Data'!C:C,'Raw Annual DMR Data'!X1258, 'Raw Period DMR Data'!M:M, "&gt;0")&gt;0,_xlfn.MAXIFS('Raw Period DMR Data'!M:M,'Raw Period DMR Data'!$A:$A,'Raw Annual DMR Data'!B1258,'Raw Period DMR Data'!C:C,'Raw Annual DMR Data'!X1258), "N/A - Period DMR Data Not Available")</f>
        <v>N/A - Period DMR Data Not Available</v>
      </c>
      <c r="V1258" s="28" t="str" cm="1">
        <f t="array" ref="V1258">IFERROR(INDEX('Raw Period DMR Data'!N:N,MATCH(1,(B1258='Raw Period DMR Data'!$A:$A)*(U1258='Raw Period DMR Data'!M:M)*(X1258='Raw Period DMR Data'!C:C),0),1), "N/A")</f>
        <v>N/A</v>
      </c>
      <c r="W1258" s="28" t="s">
        <v>1463</v>
      </c>
      <c r="X1258" s="28" t="s">
        <v>2303</v>
      </c>
      <c r="Y1258" s="28" t="s">
        <v>877</v>
      </c>
      <c r="AA1258" s="28"/>
      <c r="AB1258" s="28" t="s">
        <v>1465</v>
      </c>
      <c r="AC1258" s="28" t="s">
        <v>1466</v>
      </c>
    </row>
    <row r="1259" spans="1:29" x14ac:dyDescent="0.25">
      <c r="A1259" s="61">
        <v>110070596765</v>
      </c>
      <c r="B1259" s="28">
        <v>2020</v>
      </c>
      <c r="C1259" s="68">
        <f t="shared" si="19"/>
        <v>43831</v>
      </c>
      <c r="D1259" s="28" t="s">
        <v>1392</v>
      </c>
      <c r="E1259" s="28" t="s">
        <v>2302</v>
      </c>
      <c r="F1259" s="28" t="s">
        <v>1393</v>
      </c>
      <c r="G1259" s="28" t="s">
        <v>294</v>
      </c>
      <c r="H1259" s="28">
        <v>22060</v>
      </c>
      <c r="I1259" s="28">
        <v>38.711596</v>
      </c>
      <c r="J1259" s="28">
        <v>-77.147887999999995</v>
      </c>
      <c r="L1259" s="61">
        <v>110070596765</v>
      </c>
      <c r="M1259" s="28" t="s">
        <v>261</v>
      </c>
      <c r="N1259" s="28">
        <v>3825</v>
      </c>
      <c r="O1259" s="28" t="str">
        <f>IFERROR(VLOOKUP(N1259, 'SIC &amp; NAICS Codes'!A:B, 2, FALSE), "")</f>
        <v>Instruments for Measuring and Testing of Electricity and Electrical Signals (automotive ammeters and voltmeters)</v>
      </c>
      <c r="S1259" s="28">
        <v>1.2917542624999901E-3</v>
      </c>
      <c r="T1259" s="315">
        <f>_xlfn.MAXIFS('Raw Period DMR Data'!$O:$O,'Raw Period DMR Data'!$A:$A,'Raw Annual DMR Data'!B1259,'Raw Period DMR Data'!$C:$C,X1259)/S1259</f>
        <v>0</v>
      </c>
      <c r="U1259" s="28" t="str">
        <f>+IF(COUNTIFS('Raw Period DMR Data'!$A:$A,B1259, 'Raw Period DMR Data'!C:C,'Raw Annual DMR Data'!X1259, 'Raw Period DMR Data'!M:M, "&gt;0")&gt;0,_xlfn.MAXIFS('Raw Period DMR Data'!M:M,'Raw Period DMR Data'!$A:$A,'Raw Annual DMR Data'!B1259,'Raw Period DMR Data'!C:C,'Raw Annual DMR Data'!X1259), "N/A - Period DMR Data Not Available")</f>
        <v>N/A - Period DMR Data Not Available</v>
      </c>
      <c r="V1259" s="28" t="str" cm="1">
        <f t="array" ref="V1259">IFERROR(INDEX('Raw Period DMR Data'!N:N,MATCH(1,(B1259='Raw Period DMR Data'!$A:$A)*(U1259='Raw Period DMR Data'!M:M)*(X1259='Raw Period DMR Data'!C:C),0),1), "N/A")</f>
        <v>N/A</v>
      </c>
      <c r="W1259" s="28" t="s">
        <v>1463</v>
      </c>
      <c r="X1259" s="28" t="s">
        <v>2303</v>
      </c>
      <c r="Y1259" s="28" t="s">
        <v>877</v>
      </c>
      <c r="AA1259" s="28"/>
      <c r="AB1259" s="28" t="s">
        <v>1465</v>
      </c>
      <c r="AC1259" s="28" t="s">
        <v>1466</v>
      </c>
    </row>
    <row r="1260" spans="1:29" x14ac:dyDescent="0.25">
      <c r="A1260" s="61">
        <v>110042004915</v>
      </c>
      <c r="B1260" s="28">
        <v>2015</v>
      </c>
      <c r="C1260" s="68">
        <f t="shared" si="19"/>
        <v>42005</v>
      </c>
      <c r="D1260" s="28" t="s">
        <v>1394</v>
      </c>
      <c r="E1260" s="28" t="s">
        <v>2304</v>
      </c>
      <c r="F1260" s="28" t="s">
        <v>1395</v>
      </c>
      <c r="G1260" s="28" t="s">
        <v>362</v>
      </c>
      <c r="H1260" s="28">
        <v>78241</v>
      </c>
      <c r="I1260" s="28">
        <v>29.378699999999998</v>
      </c>
      <c r="J1260" s="28">
        <v>-98.551670000000001</v>
      </c>
      <c r="L1260" s="61">
        <v>110042004915</v>
      </c>
      <c r="M1260" s="28" t="s">
        <v>265</v>
      </c>
      <c r="N1260" s="28">
        <v>9711</v>
      </c>
      <c r="O1260" s="28" t="str">
        <f>IFERROR(VLOOKUP(N1260, 'SIC &amp; NAICS Codes'!A:B, 2, FALSE), "")</f>
        <v>National Security</v>
      </c>
      <c r="S1260" s="28">
        <v>2.3839176526666599E-2</v>
      </c>
      <c r="T1260" s="315">
        <f>_xlfn.MAXIFS('Raw Period DMR Data'!$O:$O,'Raw Period DMR Data'!$A:$A,'Raw Annual DMR Data'!B1260,'Raw Period DMR Data'!$C:$C,X1260)/S1260</f>
        <v>0</v>
      </c>
      <c r="U1260" s="28" t="str">
        <f>+IF(COUNTIFS('Raw Period DMR Data'!$A:$A,B1260, 'Raw Period DMR Data'!C:C,'Raw Annual DMR Data'!X1260, 'Raw Period DMR Data'!M:M, "&gt;0")&gt;0,_xlfn.MAXIFS('Raw Period DMR Data'!M:M,'Raw Period DMR Data'!$A:$A,'Raw Annual DMR Data'!B1260,'Raw Period DMR Data'!C:C,'Raw Annual DMR Data'!X1260), "N/A - Period DMR Data Not Available")</f>
        <v>N/A - Period DMR Data Not Available</v>
      </c>
      <c r="V1260" s="28" t="str" cm="1">
        <f t="array" ref="V1260">IFERROR(INDEX('Raw Period DMR Data'!N:N,MATCH(1,(B1260='Raw Period DMR Data'!$A:$A)*(U1260='Raw Period DMR Data'!M:M)*(X1260='Raw Period DMR Data'!C:C),0),1), "N/A")</f>
        <v>N/A</v>
      </c>
      <c r="W1260" s="28" t="s">
        <v>1463</v>
      </c>
      <c r="X1260" s="28" t="s">
        <v>2305</v>
      </c>
      <c r="Y1260" s="28" t="s">
        <v>2306</v>
      </c>
      <c r="Z1260" s="28">
        <v>12100302000008</v>
      </c>
      <c r="AA1260" s="28"/>
      <c r="AB1260" s="28" t="s">
        <v>1465</v>
      </c>
      <c r="AC1260" s="28" t="s">
        <v>1466</v>
      </c>
    </row>
    <row r="1261" spans="1:29" x14ac:dyDescent="0.25">
      <c r="A1261" s="61">
        <v>110042004915</v>
      </c>
      <c r="B1261" s="28">
        <v>2016</v>
      </c>
      <c r="C1261" s="68">
        <f t="shared" si="19"/>
        <v>42370</v>
      </c>
      <c r="D1261" s="28" t="s">
        <v>1394</v>
      </c>
      <c r="E1261" s="28" t="s">
        <v>2304</v>
      </c>
      <c r="F1261" s="28" t="s">
        <v>1395</v>
      </c>
      <c r="G1261" s="28" t="s">
        <v>362</v>
      </c>
      <c r="H1261" s="28">
        <v>78241</v>
      </c>
      <c r="I1261" s="28">
        <v>29.378699999999998</v>
      </c>
      <c r="J1261" s="28">
        <v>-98.551670000000001</v>
      </c>
      <c r="L1261" s="61">
        <v>110042004915</v>
      </c>
      <c r="M1261" s="28" t="s">
        <v>265</v>
      </c>
      <c r="N1261" s="28">
        <v>9711</v>
      </c>
      <c r="O1261" s="28" t="str">
        <f>IFERROR(VLOOKUP(N1261, 'SIC &amp; NAICS Codes'!A:B, 2, FALSE), "")</f>
        <v>National Security</v>
      </c>
      <c r="S1261" s="28">
        <v>2.1720368601E-2</v>
      </c>
      <c r="T1261" s="315">
        <f>_xlfn.MAXIFS('Raw Period DMR Data'!$O:$O,'Raw Period DMR Data'!$A:$A,'Raw Annual DMR Data'!B1261,'Raw Period DMR Data'!$C:$C,X1261)/S1261</f>
        <v>0</v>
      </c>
      <c r="U1261" s="28" t="str">
        <f>+IF(COUNTIFS('Raw Period DMR Data'!$A:$A,B1261, 'Raw Period DMR Data'!C:C,'Raw Annual DMR Data'!X1261, 'Raw Period DMR Data'!M:M, "&gt;0")&gt;0,_xlfn.MAXIFS('Raw Period DMR Data'!M:M,'Raw Period DMR Data'!$A:$A,'Raw Annual DMR Data'!B1261,'Raw Period DMR Data'!C:C,'Raw Annual DMR Data'!X1261), "N/A - Period DMR Data Not Available")</f>
        <v>N/A - Period DMR Data Not Available</v>
      </c>
      <c r="V1261" s="28" t="str" cm="1">
        <f t="array" ref="V1261">IFERROR(INDEX('Raw Period DMR Data'!N:N,MATCH(1,(B1261='Raw Period DMR Data'!$A:$A)*(U1261='Raw Period DMR Data'!M:M)*(X1261='Raw Period DMR Data'!C:C),0),1), "N/A")</f>
        <v>N/A</v>
      </c>
      <c r="W1261" s="28" t="s">
        <v>1463</v>
      </c>
      <c r="X1261" s="28" t="s">
        <v>2305</v>
      </c>
      <c r="Y1261" s="28" t="s">
        <v>2306</v>
      </c>
      <c r="Z1261" s="28">
        <v>12100302000008</v>
      </c>
      <c r="AA1261" s="28"/>
      <c r="AB1261" s="28" t="s">
        <v>1465</v>
      </c>
      <c r="AC1261" s="28" t="s">
        <v>1466</v>
      </c>
    </row>
    <row r="1262" spans="1:29" x14ac:dyDescent="0.25">
      <c r="A1262" s="61">
        <v>110042004915</v>
      </c>
      <c r="B1262" s="28">
        <v>2017</v>
      </c>
      <c r="C1262" s="68">
        <f t="shared" si="19"/>
        <v>42736</v>
      </c>
      <c r="D1262" s="28" t="s">
        <v>1394</v>
      </c>
      <c r="E1262" s="28" t="s">
        <v>2304</v>
      </c>
      <c r="F1262" s="28" t="s">
        <v>1395</v>
      </c>
      <c r="G1262" s="28" t="s">
        <v>362</v>
      </c>
      <c r="H1262" s="28">
        <v>78241</v>
      </c>
      <c r="I1262" s="28">
        <v>29.378699999999998</v>
      </c>
      <c r="J1262" s="28">
        <v>-98.551670000000001</v>
      </c>
      <c r="L1262" s="61">
        <v>110042004915</v>
      </c>
      <c r="M1262" s="28" t="s">
        <v>265</v>
      </c>
      <c r="N1262" s="28">
        <v>9711</v>
      </c>
      <c r="O1262" s="28" t="str">
        <f>IFERROR(VLOOKUP(N1262, 'SIC &amp; NAICS Codes'!A:B, 2, FALSE), "")</f>
        <v>National Security</v>
      </c>
      <c r="S1262" s="28">
        <v>1.7013377422999999E-2</v>
      </c>
      <c r="T1262" s="315">
        <f>_xlfn.MAXIFS('Raw Period DMR Data'!$O:$O,'Raw Period DMR Data'!$A:$A,'Raw Annual DMR Data'!B1262,'Raw Period DMR Data'!$C:$C,X1262)/S1262</f>
        <v>0</v>
      </c>
      <c r="U1262" s="28" t="str">
        <f>+IF(COUNTIFS('Raw Period DMR Data'!$A:$A,B1262, 'Raw Period DMR Data'!C:C,'Raw Annual DMR Data'!X1262, 'Raw Period DMR Data'!M:M, "&gt;0")&gt;0,_xlfn.MAXIFS('Raw Period DMR Data'!M:M,'Raw Period DMR Data'!$A:$A,'Raw Annual DMR Data'!B1262,'Raw Period DMR Data'!C:C,'Raw Annual DMR Data'!X1262), "N/A - Period DMR Data Not Available")</f>
        <v>N/A - Period DMR Data Not Available</v>
      </c>
      <c r="V1262" s="28" t="str" cm="1">
        <f t="array" ref="V1262">IFERROR(INDEX('Raw Period DMR Data'!N:N,MATCH(1,(B1262='Raw Period DMR Data'!$A:$A)*(U1262='Raw Period DMR Data'!M:M)*(X1262='Raw Period DMR Data'!C:C),0),1), "N/A")</f>
        <v>N/A</v>
      </c>
      <c r="W1262" s="28" t="s">
        <v>1463</v>
      </c>
      <c r="X1262" s="28" t="s">
        <v>2305</v>
      </c>
      <c r="Y1262" s="28" t="s">
        <v>2306</v>
      </c>
      <c r="Z1262" s="28">
        <v>12100302000008</v>
      </c>
      <c r="AA1262" s="28"/>
      <c r="AB1262" s="28" t="s">
        <v>1465</v>
      </c>
      <c r="AC1262" s="28" t="s">
        <v>1466</v>
      </c>
    </row>
    <row r="1263" spans="1:29" x14ac:dyDescent="0.25">
      <c r="A1263" s="61">
        <v>110042004915</v>
      </c>
      <c r="B1263" s="28">
        <v>2018</v>
      </c>
      <c r="C1263" s="68">
        <f t="shared" si="19"/>
        <v>43101</v>
      </c>
      <c r="D1263" s="28" t="s">
        <v>1394</v>
      </c>
      <c r="E1263" s="28" t="s">
        <v>2304</v>
      </c>
      <c r="F1263" s="28" t="s">
        <v>1395</v>
      </c>
      <c r="G1263" s="28" t="s">
        <v>362</v>
      </c>
      <c r="H1263" s="28">
        <v>78241</v>
      </c>
      <c r="I1263" s="28">
        <v>29.378699999999998</v>
      </c>
      <c r="J1263" s="28">
        <v>-98.551670000000001</v>
      </c>
      <c r="L1263" s="61">
        <v>110042004915</v>
      </c>
      <c r="M1263" s="28" t="s">
        <v>265</v>
      </c>
      <c r="N1263" s="28">
        <v>9711</v>
      </c>
      <c r="O1263" s="28" t="str">
        <f>IFERROR(VLOOKUP(N1263, 'SIC &amp; NAICS Codes'!A:B, 2, FALSE), "")</f>
        <v>National Security</v>
      </c>
      <c r="S1263" s="28">
        <v>2.1024224209499998E-2</v>
      </c>
      <c r="T1263" s="315">
        <f>_xlfn.MAXIFS('Raw Period DMR Data'!$O:$O,'Raw Period DMR Data'!$A:$A,'Raw Annual DMR Data'!B1263,'Raw Period DMR Data'!$C:$C,X1263)/S1263</f>
        <v>0</v>
      </c>
      <c r="U1263" s="28" t="str">
        <f>+IF(COUNTIFS('Raw Period DMR Data'!$A:$A,B1263, 'Raw Period DMR Data'!C:C,'Raw Annual DMR Data'!X1263, 'Raw Period DMR Data'!M:M, "&gt;0")&gt;0,_xlfn.MAXIFS('Raw Period DMR Data'!M:M,'Raw Period DMR Data'!$A:$A,'Raw Annual DMR Data'!B1263,'Raw Period DMR Data'!C:C,'Raw Annual DMR Data'!X1263), "N/A - Period DMR Data Not Available")</f>
        <v>N/A - Period DMR Data Not Available</v>
      </c>
      <c r="V1263" s="28" t="str" cm="1">
        <f t="array" ref="V1263">IFERROR(INDEX('Raw Period DMR Data'!N:N,MATCH(1,(B1263='Raw Period DMR Data'!$A:$A)*(U1263='Raw Period DMR Data'!M:M)*(X1263='Raw Period DMR Data'!C:C),0),1), "N/A")</f>
        <v>N/A</v>
      </c>
      <c r="W1263" s="28" t="s">
        <v>1463</v>
      </c>
      <c r="X1263" s="28" t="s">
        <v>2305</v>
      </c>
      <c r="Y1263" s="28" t="s">
        <v>2306</v>
      </c>
      <c r="Z1263" s="28">
        <v>12100302000008</v>
      </c>
      <c r="AA1263" s="28"/>
      <c r="AB1263" s="28" t="s">
        <v>1465</v>
      </c>
      <c r="AC1263" s="28" t="s">
        <v>1466</v>
      </c>
    </row>
    <row r="1264" spans="1:29" x14ac:dyDescent="0.25">
      <c r="A1264" s="61">
        <v>110042004915</v>
      </c>
      <c r="B1264" s="28">
        <v>2019</v>
      </c>
      <c r="C1264" s="68">
        <f t="shared" si="19"/>
        <v>43466</v>
      </c>
      <c r="D1264" s="28" t="s">
        <v>1394</v>
      </c>
      <c r="E1264" s="28" t="s">
        <v>2304</v>
      </c>
      <c r="F1264" s="28" t="s">
        <v>1395</v>
      </c>
      <c r="G1264" s="28" t="s">
        <v>362</v>
      </c>
      <c r="H1264" s="28">
        <v>78241</v>
      </c>
      <c r="I1264" s="28">
        <v>29.378699999999998</v>
      </c>
      <c r="J1264" s="28">
        <v>-98.551670000000001</v>
      </c>
      <c r="L1264" s="61">
        <v>110042004915</v>
      </c>
      <c r="M1264" s="28" t="s">
        <v>265</v>
      </c>
      <c r="N1264" s="28">
        <v>9711</v>
      </c>
      <c r="O1264" s="28" t="str">
        <f>IFERROR(VLOOKUP(N1264, 'SIC &amp; NAICS Codes'!A:B, 2, FALSE), "")</f>
        <v>National Security</v>
      </c>
      <c r="S1264" s="28">
        <v>1.81746819633E-2</v>
      </c>
      <c r="T1264" s="315">
        <f>_xlfn.MAXIFS('Raw Period DMR Data'!$O:$O,'Raw Period DMR Data'!$A:$A,'Raw Annual DMR Data'!B1264,'Raw Period DMR Data'!$C:$C,X1264)/S1264</f>
        <v>0</v>
      </c>
      <c r="U1264" s="28" t="str">
        <f>+IF(COUNTIFS('Raw Period DMR Data'!$A:$A,B1264, 'Raw Period DMR Data'!C:C,'Raw Annual DMR Data'!X1264, 'Raw Period DMR Data'!M:M, "&gt;0")&gt;0,_xlfn.MAXIFS('Raw Period DMR Data'!M:M,'Raw Period DMR Data'!$A:$A,'Raw Annual DMR Data'!B1264,'Raw Period DMR Data'!C:C,'Raw Annual DMR Data'!X1264), "N/A - Period DMR Data Not Available")</f>
        <v>N/A - Period DMR Data Not Available</v>
      </c>
      <c r="V1264" s="28" t="str" cm="1">
        <f t="array" ref="V1264">IFERROR(INDEX('Raw Period DMR Data'!N:N,MATCH(1,(B1264='Raw Period DMR Data'!$A:$A)*(U1264='Raw Period DMR Data'!M:M)*(X1264='Raw Period DMR Data'!C:C),0),1), "N/A")</f>
        <v>N/A</v>
      </c>
      <c r="W1264" s="28" t="s">
        <v>1463</v>
      </c>
      <c r="X1264" s="28" t="s">
        <v>2305</v>
      </c>
      <c r="Y1264" s="28" t="s">
        <v>2306</v>
      </c>
      <c r="Z1264" s="28">
        <v>12100302000008</v>
      </c>
      <c r="AA1264" s="28"/>
      <c r="AB1264" s="28" t="s">
        <v>1465</v>
      </c>
      <c r="AC1264" s="28" t="s">
        <v>1466</v>
      </c>
    </row>
    <row r="1265" spans="1:29" x14ac:dyDescent="0.25">
      <c r="A1265" s="61">
        <v>110042004915</v>
      </c>
      <c r="B1265" s="28">
        <v>2020</v>
      </c>
      <c r="C1265" s="68">
        <f t="shared" si="19"/>
        <v>43831</v>
      </c>
      <c r="D1265" s="28" t="s">
        <v>1394</v>
      </c>
      <c r="E1265" s="28" t="s">
        <v>2304</v>
      </c>
      <c r="F1265" s="28" t="s">
        <v>1395</v>
      </c>
      <c r="G1265" s="28" t="s">
        <v>362</v>
      </c>
      <c r="H1265" s="28">
        <v>78241</v>
      </c>
      <c r="I1265" s="28">
        <v>29.378699999999998</v>
      </c>
      <c r="J1265" s="28">
        <v>-98.551670000000001</v>
      </c>
      <c r="L1265" s="61">
        <v>110042004915</v>
      </c>
      <c r="M1265" s="28" t="s">
        <v>265</v>
      </c>
      <c r="N1265" s="28">
        <v>9711</v>
      </c>
      <c r="O1265" s="28" t="str">
        <f>IFERROR(VLOOKUP(N1265, 'SIC &amp; NAICS Codes'!A:B, 2, FALSE), "")</f>
        <v>National Security</v>
      </c>
      <c r="S1265" s="28">
        <v>2.0305705074374999E-2</v>
      </c>
      <c r="T1265" s="315">
        <f>_xlfn.MAXIFS('Raw Period DMR Data'!$O:$O,'Raw Period DMR Data'!$A:$A,'Raw Annual DMR Data'!B1265,'Raw Period DMR Data'!$C:$C,X1265)/S1265</f>
        <v>0</v>
      </c>
      <c r="U1265" s="28" t="str">
        <f>+IF(COUNTIFS('Raw Period DMR Data'!$A:$A,B1265, 'Raw Period DMR Data'!C:C,'Raw Annual DMR Data'!X1265, 'Raw Period DMR Data'!M:M, "&gt;0")&gt;0,_xlfn.MAXIFS('Raw Period DMR Data'!M:M,'Raw Period DMR Data'!$A:$A,'Raw Annual DMR Data'!B1265,'Raw Period DMR Data'!C:C,'Raw Annual DMR Data'!X1265), "N/A - Period DMR Data Not Available")</f>
        <v>N/A - Period DMR Data Not Available</v>
      </c>
      <c r="V1265" s="28" t="str" cm="1">
        <f t="array" ref="V1265">IFERROR(INDEX('Raw Period DMR Data'!N:N,MATCH(1,(B1265='Raw Period DMR Data'!$A:$A)*(U1265='Raw Period DMR Data'!M:M)*(X1265='Raw Period DMR Data'!C:C),0),1), "N/A")</f>
        <v>N/A</v>
      </c>
      <c r="W1265" s="28" t="s">
        <v>1463</v>
      </c>
      <c r="X1265" s="28" t="s">
        <v>2305</v>
      </c>
      <c r="Y1265" s="28" t="s">
        <v>2306</v>
      </c>
      <c r="Z1265" s="28">
        <v>12100302000008</v>
      </c>
      <c r="AA1265" s="28"/>
      <c r="AB1265" s="28" t="s">
        <v>1465</v>
      </c>
      <c r="AC1265" s="28" t="s">
        <v>1466</v>
      </c>
    </row>
    <row r="1266" spans="1:29" x14ac:dyDescent="0.25">
      <c r="A1266" s="61">
        <v>110041963168</v>
      </c>
      <c r="B1266" s="28">
        <v>2015</v>
      </c>
      <c r="C1266" s="68">
        <f t="shared" si="19"/>
        <v>42005</v>
      </c>
      <c r="D1266" s="28" t="s">
        <v>1396</v>
      </c>
      <c r="E1266" s="28" t="s">
        <v>2307</v>
      </c>
      <c r="F1266" s="28" t="s">
        <v>1397</v>
      </c>
      <c r="G1266" s="28" t="s">
        <v>345</v>
      </c>
      <c r="H1266" s="28" t="s">
        <v>2308</v>
      </c>
      <c r="I1266" s="28">
        <v>41.715769999999999</v>
      </c>
      <c r="J1266" s="28">
        <v>-87.978629999999995</v>
      </c>
      <c r="K1266" s="28" t="s">
        <v>738</v>
      </c>
      <c r="L1266" s="61">
        <v>110041963168</v>
      </c>
      <c r="M1266" s="28" t="s">
        <v>261</v>
      </c>
      <c r="N1266" s="28">
        <v>8733</v>
      </c>
      <c r="O1266" s="28" t="str">
        <f>IFERROR(VLOOKUP(N1266, 'SIC &amp; NAICS Codes'!A:B, 2, FALSE), "")</f>
        <v>Noncommercial Research Organizations (physical, engineering, and life sciences)</v>
      </c>
      <c r="S1266" s="28">
        <v>4.76626125E-2</v>
      </c>
      <c r="T1266" s="315">
        <f>_xlfn.MAXIFS('Raw Period DMR Data'!$O:$O,'Raw Period DMR Data'!$A:$A,'Raw Annual DMR Data'!B1266,'Raw Period DMR Data'!$C:$C,X1266)/S1266</f>
        <v>0</v>
      </c>
      <c r="U1266" s="28" t="str">
        <f>+IF(COUNTIFS('Raw Period DMR Data'!$A:$A,B1266, 'Raw Period DMR Data'!C:C,'Raw Annual DMR Data'!X1266, 'Raw Period DMR Data'!M:M, "&gt;0")&gt;0,_xlfn.MAXIFS('Raw Period DMR Data'!M:M,'Raw Period DMR Data'!$A:$A,'Raw Annual DMR Data'!B1266,'Raw Period DMR Data'!C:C,'Raw Annual DMR Data'!X1266), "N/A - Period DMR Data Not Available")</f>
        <v>N/A - Period DMR Data Not Available</v>
      </c>
      <c r="V1266" s="28" t="str" cm="1">
        <f t="array" ref="V1266">IFERROR(INDEX('Raw Period DMR Data'!N:N,MATCH(1,(B1266='Raw Period DMR Data'!$A:$A)*(U1266='Raw Period DMR Data'!M:M)*(X1266='Raw Period DMR Data'!C:C),0),1), "N/A")</f>
        <v>N/A</v>
      </c>
      <c r="W1266" s="28" t="s">
        <v>1463</v>
      </c>
      <c r="X1266" s="28" t="s">
        <v>2309</v>
      </c>
      <c r="Y1266" s="28" t="s">
        <v>2310</v>
      </c>
      <c r="Z1266" s="28">
        <v>7120004000870</v>
      </c>
      <c r="AA1266" s="28"/>
      <c r="AB1266" s="28" t="s">
        <v>1465</v>
      </c>
      <c r="AC1266" s="28" t="s">
        <v>1466</v>
      </c>
    </row>
    <row r="1267" spans="1:29" x14ac:dyDescent="0.25">
      <c r="A1267" s="61">
        <v>110041973460</v>
      </c>
      <c r="B1267" s="28">
        <v>2017</v>
      </c>
      <c r="C1267" s="68">
        <f t="shared" si="19"/>
        <v>42736</v>
      </c>
      <c r="D1267" s="28" t="s">
        <v>1398</v>
      </c>
      <c r="E1267" s="28" t="s">
        <v>2311</v>
      </c>
      <c r="F1267" s="28" t="s">
        <v>1399</v>
      </c>
      <c r="G1267" s="28" t="s">
        <v>1171</v>
      </c>
      <c r="H1267" s="28">
        <v>968633062</v>
      </c>
      <c r="I1267" s="28">
        <v>21.438638999999998</v>
      </c>
      <c r="J1267" s="28">
        <v>-157.75847200000001</v>
      </c>
      <c r="L1267" s="61">
        <v>110041973460</v>
      </c>
      <c r="M1267" s="28" t="s">
        <v>263</v>
      </c>
      <c r="N1267" s="28">
        <v>4952</v>
      </c>
      <c r="O1267" s="28" t="str">
        <f>IFERROR(VLOOKUP(N1267, 'SIC &amp; NAICS Codes'!A:B, 2, FALSE), "")</f>
        <v>Sewerage Systems</v>
      </c>
      <c r="S1267" s="28">
        <v>0.87795913749999999</v>
      </c>
      <c r="T1267" s="315">
        <f>_xlfn.MAXIFS('Raw Period DMR Data'!$O:$O,'Raw Period DMR Data'!$A:$A,'Raw Annual DMR Data'!B1267,'Raw Period DMR Data'!$C:$C,X1267)/S1267</f>
        <v>0</v>
      </c>
      <c r="U1267" s="28" t="str">
        <f>+IF(COUNTIFS('Raw Period DMR Data'!$A:$A,B1267, 'Raw Period DMR Data'!C:C,'Raw Annual DMR Data'!X1267, 'Raw Period DMR Data'!M:M, "&gt;0")&gt;0,_xlfn.MAXIFS('Raw Period DMR Data'!M:M,'Raw Period DMR Data'!$A:$A,'Raw Annual DMR Data'!B1267,'Raw Period DMR Data'!C:C,'Raw Annual DMR Data'!X1267), "N/A - Period DMR Data Not Available")</f>
        <v>N/A - Period DMR Data Not Available</v>
      </c>
      <c r="V1267" s="28" t="str" cm="1">
        <f t="array" ref="V1267">IFERROR(INDEX('Raw Period DMR Data'!N:N,MATCH(1,(B1267='Raw Period DMR Data'!$A:$A)*(U1267='Raw Period DMR Data'!M:M)*(X1267='Raw Period DMR Data'!C:C),0),1), "N/A")</f>
        <v>N/A</v>
      </c>
      <c r="W1267" s="28" t="s">
        <v>1463</v>
      </c>
      <c r="X1267" s="28" t="s">
        <v>2312</v>
      </c>
      <c r="Y1267" s="28" t="s">
        <v>926</v>
      </c>
      <c r="Z1267" s="28">
        <v>20060000000122</v>
      </c>
      <c r="AA1267" s="28"/>
      <c r="AB1267" s="28" t="s">
        <v>1465</v>
      </c>
      <c r="AC1267" s="28" t="s">
        <v>1466</v>
      </c>
    </row>
    <row r="1268" spans="1:29" x14ac:dyDescent="0.25">
      <c r="A1268" s="61">
        <v>110041973460</v>
      </c>
      <c r="B1268" s="28">
        <v>2020</v>
      </c>
      <c r="C1268" s="68">
        <f t="shared" si="19"/>
        <v>43831</v>
      </c>
      <c r="D1268" s="28" t="s">
        <v>1398</v>
      </c>
      <c r="E1268" s="28" t="s">
        <v>2311</v>
      </c>
      <c r="F1268" s="28" t="s">
        <v>1399</v>
      </c>
      <c r="G1268" s="28" t="s">
        <v>1171</v>
      </c>
      <c r="H1268" s="28">
        <v>968633062</v>
      </c>
      <c r="I1268" s="28">
        <v>21.438638999999998</v>
      </c>
      <c r="J1268" s="28">
        <v>-157.75847200000001</v>
      </c>
      <c r="L1268" s="61">
        <v>110041973460</v>
      </c>
      <c r="M1268" s="28" t="s">
        <v>263</v>
      </c>
      <c r="N1268" s="28">
        <v>4952</v>
      </c>
      <c r="O1268" s="28" t="str">
        <f>IFERROR(VLOOKUP(N1268, 'SIC &amp; NAICS Codes'!A:B, 2, FALSE), "")</f>
        <v>Sewerage Systems</v>
      </c>
      <c r="S1268" s="28">
        <v>0.99055342499999999</v>
      </c>
      <c r="T1268" s="315">
        <f>_xlfn.MAXIFS('Raw Period DMR Data'!$O:$O,'Raw Period DMR Data'!$A:$A,'Raw Annual DMR Data'!B1268,'Raw Period DMR Data'!$C:$C,X1268)/S1268</f>
        <v>0</v>
      </c>
      <c r="U1268" s="28" t="str">
        <f>+IF(COUNTIFS('Raw Period DMR Data'!$A:$A,B1268, 'Raw Period DMR Data'!C:C,'Raw Annual DMR Data'!X1268, 'Raw Period DMR Data'!M:M, "&gt;0")&gt;0,_xlfn.MAXIFS('Raw Period DMR Data'!M:M,'Raw Period DMR Data'!$A:$A,'Raw Annual DMR Data'!B1268,'Raw Period DMR Data'!C:C,'Raw Annual DMR Data'!X1268), "N/A - Period DMR Data Not Available")</f>
        <v>N/A - Period DMR Data Not Available</v>
      </c>
      <c r="V1268" s="28" t="str" cm="1">
        <f t="array" ref="V1268">IFERROR(INDEX('Raw Period DMR Data'!N:N,MATCH(1,(B1268='Raw Period DMR Data'!$A:$A)*(U1268='Raw Period DMR Data'!M:M)*(X1268='Raw Period DMR Data'!C:C),0),1), "N/A")</f>
        <v>N/A</v>
      </c>
      <c r="W1268" s="28" t="s">
        <v>1463</v>
      </c>
      <c r="X1268" s="28" t="s">
        <v>2312</v>
      </c>
      <c r="Y1268" s="28" t="s">
        <v>926</v>
      </c>
      <c r="Z1268" s="28">
        <v>20060000000122</v>
      </c>
      <c r="AA1268" s="28"/>
      <c r="AB1268" s="28" t="s">
        <v>1465</v>
      </c>
      <c r="AC1268" s="28" t="s">
        <v>1466</v>
      </c>
    </row>
    <row r="1269" spans="1:29" x14ac:dyDescent="0.25">
      <c r="A1269" s="61">
        <v>110000571373</v>
      </c>
      <c r="B1269" s="28">
        <v>2019</v>
      </c>
      <c r="C1269" s="68">
        <f t="shared" si="19"/>
        <v>43466</v>
      </c>
      <c r="D1269" s="28" t="s">
        <v>1400</v>
      </c>
      <c r="E1269" s="28" t="s">
        <v>2313</v>
      </c>
      <c r="F1269" s="28" t="s">
        <v>1401</v>
      </c>
      <c r="G1269" s="28" t="s">
        <v>324</v>
      </c>
      <c r="H1269" s="28" t="s">
        <v>2314</v>
      </c>
      <c r="I1269" s="28">
        <v>37.642310000000002</v>
      </c>
      <c r="J1269" s="28">
        <v>-85.903570000000002</v>
      </c>
      <c r="L1269" s="61">
        <v>110000571373</v>
      </c>
      <c r="M1269" s="28" t="s">
        <v>263</v>
      </c>
      <c r="N1269" s="28">
        <v>4952</v>
      </c>
      <c r="O1269" s="28" t="str">
        <f>IFERROR(VLOOKUP(N1269, 'SIC &amp; NAICS Codes'!A:B, 2, FALSE), "")</f>
        <v>Sewerage Systems</v>
      </c>
      <c r="S1269" s="28">
        <v>33.847362500000003</v>
      </c>
      <c r="T1269" s="315">
        <f>_xlfn.MAXIFS('Raw Period DMR Data'!$O:$O,'Raw Period DMR Data'!$A:$A,'Raw Annual DMR Data'!B1269,'Raw Period DMR Data'!$C:$C,X1269)/S1269</f>
        <v>0</v>
      </c>
      <c r="U1269" s="28" t="str">
        <f>+IF(COUNTIFS('Raw Period DMR Data'!$A:$A,B1269, 'Raw Period DMR Data'!C:C,'Raw Annual DMR Data'!X1269, 'Raw Period DMR Data'!M:M, "&gt;0")&gt;0,_xlfn.MAXIFS('Raw Period DMR Data'!M:M,'Raw Period DMR Data'!$A:$A,'Raw Annual DMR Data'!B1269,'Raw Period DMR Data'!C:C,'Raw Annual DMR Data'!X1269), "N/A - Period DMR Data Not Available")</f>
        <v>N/A - Period DMR Data Not Available</v>
      </c>
      <c r="V1269" s="28" t="str" cm="1">
        <f t="array" ref="V1269">IFERROR(INDEX('Raw Period DMR Data'!N:N,MATCH(1,(B1269='Raw Period DMR Data'!$A:$A)*(U1269='Raw Period DMR Data'!M:M)*(X1269='Raw Period DMR Data'!C:C),0),1), "N/A")</f>
        <v>N/A</v>
      </c>
      <c r="W1269" s="28" t="s">
        <v>1463</v>
      </c>
      <c r="X1269" s="28" t="s">
        <v>2315</v>
      </c>
      <c r="Y1269" s="28" t="s">
        <v>2316</v>
      </c>
      <c r="Z1269" s="28">
        <v>5110001000593</v>
      </c>
      <c r="AA1269" s="28"/>
      <c r="AB1269" s="28" t="s">
        <v>1465</v>
      </c>
      <c r="AC1269" s="28" t="s">
        <v>263</v>
      </c>
    </row>
    <row r="1270" spans="1:29" x14ac:dyDescent="0.25">
      <c r="A1270" s="61">
        <v>110000571373</v>
      </c>
      <c r="B1270" s="28">
        <v>2020</v>
      </c>
      <c r="C1270" s="68">
        <f t="shared" si="19"/>
        <v>43831</v>
      </c>
      <c r="D1270" s="28" t="s">
        <v>1400</v>
      </c>
      <c r="E1270" s="28" t="s">
        <v>2313</v>
      </c>
      <c r="F1270" s="28" t="s">
        <v>1401</v>
      </c>
      <c r="G1270" s="28" t="s">
        <v>324</v>
      </c>
      <c r="H1270" s="28" t="s">
        <v>2314</v>
      </c>
      <c r="I1270" s="28">
        <v>37.642310000000002</v>
      </c>
      <c r="J1270" s="28">
        <v>-85.903570000000002</v>
      </c>
      <c r="L1270" s="61">
        <v>110000571373</v>
      </c>
      <c r="M1270" s="28" t="s">
        <v>263</v>
      </c>
      <c r="N1270" s="28">
        <v>4952</v>
      </c>
      <c r="O1270" s="28" t="str">
        <f>IFERROR(VLOOKUP(N1270, 'SIC &amp; NAICS Codes'!A:B, 2, FALSE), "")</f>
        <v>Sewerage Systems</v>
      </c>
      <c r="S1270" s="28">
        <v>20.377493749999999</v>
      </c>
      <c r="T1270" s="315">
        <f>_xlfn.MAXIFS('Raw Period DMR Data'!$O:$O,'Raw Period DMR Data'!$A:$A,'Raw Annual DMR Data'!B1270,'Raw Period DMR Data'!$C:$C,X1270)/S1270</f>
        <v>0</v>
      </c>
      <c r="U1270" s="28" t="str">
        <f>+IF(COUNTIFS('Raw Period DMR Data'!$A:$A,B1270, 'Raw Period DMR Data'!C:C,'Raw Annual DMR Data'!X1270, 'Raw Period DMR Data'!M:M, "&gt;0")&gt;0,_xlfn.MAXIFS('Raw Period DMR Data'!M:M,'Raw Period DMR Data'!$A:$A,'Raw Annual DMR Data'!B1270,'Raw Period DMR Data'!C:C,'Raw Annual DMR Data'!X1270), "N/A - Period DMR Data Not Available")</f>
        <v>N/A - Period DMR Data Not Available</v>
      </c>
      <c r="V1270" s="28" t="str" cm="1">
        <f t="array" ref="V1270">IFERROR(INDEX('Raw Period DMR Data'!N:N,MATCH(1,(B1270='Raw Period DMR Data'!$A:$A)*(U1270='Raw Period DMR Data'!M:M)*(X1270='Raw Period DMR Data'!C:C),0),1), "N/A")</f>
        <v>N/A</v>
      </c>
      <c r="W1270" s="28" t="s">
        <v>1463</v>
      </c>
      <c r="X1270" s="28" t="s">
        <v>2315</v>
      </c>
      <c r="Y1270" s="28" t="s">
        <v>2316</v>
      </c>
      <c r="Z1270" s="28">
        <v>5110001000593</v>
      </c>
      <c r="AA1270" s="28"/>
      <c r="AB1270" s="28" t="s">
        <v>1465</v>
      </c>
      <c r="AC1270" s="28" t="s">
        <v>263</v>
      </c>
    </row>
    <row r="1271" spans="1:29" x14ac:dyDescent="0.25">
      <c r="A1271" s="61">
        <v>110070548097</v>
      </c>
      <c r="B1271" s="28">
        <v>2019</v>
      </c>
      <c r="C1271" s="68">
        <f t="shared" si="19"/>
        <v>43466</v>
      </c>
      <c r="D1271" s="28" t="s">
        <v>1402</v>
      </c>
      <c r="E1271" s="28" t="s">
        <v>2317</v>
      </c>
      <c r="F1271" s="28" t="s">
        <v>1403</v>
      </c>
      <c r="G1271" s="28" t="s">
        <v>294</v>
      </c>
      <c r="H1271" s="28">
        <v>23462</v>
      </c>
      <c r="I1271" s="28">
        <v>36.844679999999997</v>
      </c>
      <c r="J1271" s="28">
        <v>-76.184235000000001</v>
      </c>
      <c r="L1271" s="61">
        <v>110070548097</v>
      </c>
      <c r="M1271" s="28" t="s">
        <v>265</v>
      </c>
      <c r="N1271" s="28">
        <v>5541</v>
      </c>
      <c r="O1271" s="28" t="str">
        <f>IFERROR(VLOOKUP(N1271, 'SIC &amp; NAICS Codes'!A:B, 2, FALSE), "")</f>
        <v>Gasoline Service Station (gasoline station with convenience store)</v>
      </c>
      <c r="S1271" s="28">
        <v>6.6024025999999902E-2</v>
      </c>
      <c r="T1271" s="315">
        <f>_xlfn.MAXIFS('Raw Period DMR Data'!$O:$O,'Raw Period DMR Data'!$A:$A,'Raw Annual DMR Data'!B1271,'Raw Period DMR Data'!$C:$C,X1271)/S1271</f>
        <v>0</v>
      </c>
      <c r="U1271" s="28" t="str">
        <f>+IF(COUNTIFS('Raw Period DMR Data'!$A:$A,B1271, 'Raw Period DMR Data'!C:C,'Raw Annual DMR Data'!X1271, 'Raw Period DMR Data'!M:M, "&gt;0")&gt;0,_xlfn.MAXIFS('Raw Period DMR Data'!M:M,'Raw Period DMR Data'!$A:$A,'Raw Annual DMR Data'!B1271,'Raw Period DMR Data'!C:C,'Raw Annual DMR Data'!X1271), "N/A - Period DMR Data Not Available")</f>
        <v>N/A - Period DMR Data Not Available</v>
      </c>
      <c r="V1271" s="28" t="str" cm="1">
        <f t="array" ref="V1271">IFERROR(INDEX('Raw Period DMR Data'!N:N,MATCH(1,(B1271='Raw Period DMR Data'!$A:$A)*(U1271='Raw Period DMR Data'!M:M)*(X1271='Raw Period DMR Data'!C:C),0),1), "N/A")</f>
        <v>N/A</v>
      </c>
      <c r="W1271" s="28" t="s">
        <v>1463</v>
      </c>
      <c r="X1271" s="28" t="s">
        <v>2318</v>
      </c>
      <c r="Y1271" s="28" t="s">
        <v>2319</v>
      </c>
      <c r="AA1271" s="28"/>
      <c r="AB1271" s="28" t="s">
        <v>1465</v>
      </c>
      <c r="AC1271" s="28" t="s">
        <v>1466</v>
      </c>
    </row>
    <row r="1272" spans="1:29" x14ac:dyDescent="0.25">
      <c r="A1272" s="61">
        <v>110004306938</v>
      </c>
      <c r="B1272" s="28">
        <v>2018</v>
      </c>
      <c r="C1272" s="68">
        <f t="shared" si="19"/>
        <v>43101</v>
      </c>
      <c r="D1272" s="28" t="s">
        <v>198</v>
      </c>
      <c r="E1272" s="28" t="s">
        <v>656</v>
      </c>
      <c r="F1272" s="28" t="s">
        <v>657</v>
      </c>
      <c r="G1272" s="28" t="s">
        <v>418</v>
      </c>
      <c r="H1272" s="28">
        <v>89109</v>
      </c>
      <c r="I1272" s="28">
        <v>36.122100000000003</v>
      </c>
      <c r="J1272" s="28">
        <v>-115.17139</v>
      </c>
      <c r="L1272" s="61">
        <v>110004306938</v>
      </c>
      <c r="M1272" s="28" t="s">
        <v>264</v>
      </c>
      <c r="N1272" s="28">
        <v>7011</v>
      </c>
      <c r="O1272" s="28" t="str">
        <f>IFERROR(VLOOKUP(N1272, 'SIC &amp; NAICS Codes'!A:B, 2, FALSE), "")</f>
        <v>Hotels and Motels (hotels, except casino hotels, and motels)</v>
      </c>
      <c r="S1272" s="28">
        <v>1.7715295075000002E-2</v>
      </c>
      <c r="T1272" s="315">
        <f>_xlfn.MAXIFS('Raw Period DMR Data'!$O:$O,'Raw Period DMR Data'!$A:$A,'Raw Annual DMR Data'!B1272,'Raw Period DMR Data'!$C:$C,X1272)/S1272</f>
        <v>0</v>
      </c>
      <c r="U1272" s="28" t="str">
        <f>+IF(COUNTIFS('Raw Period DMR Data'!$A:$A,B1272, 'Raw Period DMR Data'!C:C,'Raw Annual DMR Data'!X1272, 'Raw Period DMR Data'!M:M, "&gt;0")&gt;0,_xlfn.MAXIFS('Raw Period DMR Data'!M:M,'Raw Period DMR Data'!$A:$A,'Raw Annual DMR Data'!B1272,'Raw Period DMR Data'!C:C,'Raw Annual DMR Data'!X1272), "N/A - Period DMR Data Not Available")</f>
        <v>N/A - Period DMR Data Not Available</v>
      </c>
      <c r="V1272" s="28" t="str" cm="1">
        <f t="array" ref="V1272">IFERROR(INDEX('Raw Period DMR Data'!N:N,MATCH(1,(B1272='Raw Period DMR Data'!$A:$A)*(U1272='Raw Period DMR Data'!M:M)*(X1272='Raw Period DMR Data'!C:C),0),1), "N/A")</f>
        <v>N/A</v>
      </c>
      <c r="W1272" s="28" t="s">
        <v>1463</v>
      </c>
      <c r="X1272" s="28" t="s">
        <v>951</v>
      </c>
      <c r="Y1272" s="28" t="s">
        <v>952</v>
      </c>
      <c r="Z1272" s="61">
        <v>15010015000432</v>
      </c>
    </row>
    <row r="1273" spans="1:29" x14ac:dyDescent="0.25">
      <c r="A1273" s="61">
        <v>110004306938</v>
      </c>
      <c r="B1273" s="28">
        <v>2016</v>
      </c>
      <c r="C1273" s="68">
        <f t="shared" si="19"/>
        <v>42370</v>
      </c>
      <c r="D1273" s="28" t="s">
        <v>198</v>
      </c>
      <c r="E1273" s="28" t="s">
        <v>656</v>
      </c>
      <c r="F1273" s="28" t="s">
        <v>657</v>
      </c>
      <c r="G1273" s="28" t="s">
        <v>418</v>
      </c>
      <c r="H1273" s="28">
        <v>89109</v>
      </c>
      <c r="I1273" s="28">
        <v>36.122100000000003</v>
      </c>
      <c r="J1273" s="28">
        <v>-115.17139</v>
      </c>
      <c r="L1273" s="61">
        <v>110004306938</v>
      </c>
      <c r="M1273" s="28" t="s">
        <v>264</v>
      </c>
      <c r="N1273" s="28">
        <v>7011</v>
      </c>
      <c r="O1273" s="28" t="str">
        <f>IFERROR(VLOOKUP(N1273, 'SIC &amp; NAICS Codes'!A:B, 2, FALSE), "")</f>
        <v>Hotels and Motels (hotels, except casino hotels, and motels)</v>
      </c>
      <c r="S1273" s="28">
        <v>4.3863418749999997E-3</v>
      </c>
      <c r="T1273" s="315">
        <f>_xlfn.MAXIFS('Raw Period DMR Data'!$O:$O,'Raw Period DMR Data'!$A:$A,'Raw Annual DMR Data'!B1273,'Raw Period DMR Data'!$C:$C,X1273)/S1273</f>
        <v>0</v>
      </c>
      <c r="U1273" s="28" t="str">
        <f>+IF(COUNTIFS('Raw Period DMR Data'!$A:$A,B1273, 'Raw Period DMR Data'!C:C,'Raw Annual DMR Data'!X1273, 'Raw Period DMR Data'!M:M, "&gt;0")&gt;0,_xlfn.MAXIFS('Raw Period DMR Data'!M:M,'Raw Period DMR Data'!$A:$A,'Raw Annual DMR Data'!B1273,'Raw Period DMR Data'!C:C,'Raw Annual DMR Data'!X1273), "N/A - Period DMR Data Not Available")</f>
        <v>N/A - Period DMR Data Not Available</v>
      </c>
      <c r="V1273" s="28" t="str" cm="1">
        <f t="array" ref="V1273">IFERROR(INDEX('Raw Period DMR Data'!N:N,MATCH(1,(B1273='Raw Period DMR Data'!$A:$A)*(U1273='Raw Period DMR Data'!M:M)*(X1273='Raw Period DMR Data'!C:C),0),1), "N/A")</f>
        <v>N/A</v>
      </c>
      <c r="W1273" s="28" t="s">
        <v>1463</v>
      </c>
      <c r="X1273" s="28" t="s">
        <v>951</v>
      </c>
      <c r="Y1273" s="28" t="s">
        <v>952</v>
      </c>
      <c r="Z1273" s="28">
        <v>15010015000432</v>
      </c>
      <c r="AA1273" s="28"/>
      <c r="AB1273" s="28" t="s">
        <v>1465</v>
      </c>
      <c r="AC1273" s="28" t="s">
        <v>1466</v>
      </c>
    </row>
    <row r="1274" spans="1:29" x14ac:dyDescent="0.25">
      <c r="A1274" s="61">
        <v>110004306938</v>
      </c>
      <c r="B1274" s="28">
        <v>2016</v>
      </c>
      <c r="C1274" s="68">
        <f t="shared" si="19"/>
        <v>42370</v>
      </c>
      <c r="D1274" s="28" t="s">
        <v>198</v>
      </c>
      <c r="E1274" s="28" t="s">
        <v>656</v>
      </c>
      <c r="F1274" s="28" t="s">
        <v>657</v>
      </c>
      <c r="G1274" s="28" t="s">
        <v>418</v>
      </c>
      <c r="H1274" s="28">
        <v>89109</v>
      </c>
      <c r="I1274" s="28">
        <v>36.122100000000003</v>
      </c>
      <c r="J1274" s="28">
        <v>-115.17139</v>
      </c>
      <c r="L1274" s="61">
        <v>110004306938</v>
      </c>
      <c r="M1274" s="28" t="s">
        <v>264</v>
      </c>
      <c r="N1274" s="28">
        <v>7011</v>
      </c>
      <c r="O1274" s="28" t="str">
        <f>IFERROR(VLOOKUP(N1274, 'SIC &amp; NAICS Codes'!A:B, 2, FALSE), "")</f>
        <v>Hotels and Motels (hotels, except casino hotels, and motels)</v>
      </c>
      <c r="S1274" s="28">
        <v>4.4899562499999997E-3</v>
      </c>
      <c r="T1274" s="315">
        <f>_xlfn.MAXIFS('Raw Period DMR Data'!$O:$O,'Raw Period DMR Data'!$A:$A,'Raw Annual DMR Data'!B1274,'Raw Period DMR Data'!$C:$C,X1274)/S1274</f>
        <v>0</v>
      </c>
      <c r="U1274" s="28" t="str">
        <f>+IF(COUNTIFS('Raw Period DMR Data'!$A:$A,B1274, 'Raw Period DMR Data'!C:C,'Raw Annual DMR Data'!X1274, 'Raw Period DMR Data'!M:M, "&gt;0")&gt;0,_xlfn.MAXIFS('Raw Period DMR Data'!M:M,'Raw Period DMR Data'!$A:$A,'Raw Annual DMR Data'!B1274,'Raw Period DMR Data'!C:C,'Raw Annual DMR Data'!X1274), "N/A - Period DMR Data Not Available")</f>
        <v>N/A - Period DMR Data Not Available</v>
      </c>
      <c r="V1274" s="28" t="str" cm="1">
        <f t="array" ref="V1274">IFERROR(INDEX('Raw Period DMR Data'!N:N,MATCH(1,(B1274='Raw Period DMR Data'!$A:$A)*(U1274='Raw Period DMR Data'!M:M)*(X1274='Raw Period DMR Data'!C:C),0),1), "N/A")</f>
        <v>N/A</v>
      </c>
      <c r="W1274" s="28" t="s">
        <v>1463</v>
      </c>
      <c r="X1274" s="28" t="s">
        <v>951</v>
      </c>
      <c r="Y1274" s="28" t="s">
        <v>952</v>
      </c>
      <c r="Z1274" s="28">
        <v>15010015000432</v>
      </c>
      <c r="AA1274" s="28"/>
      <c r="AB1274" s="28" t="s">
        <v>1465</v>
      </c>
      <c r="AC1274" s="28" t="s">
        <v>1466</v>
      </c>
    </row>
    <row r="1275" spans="1:29" x14ac:dyDescent="0.25">
      <c r="A1275" s="61">
        <v>110004306938</v>
      </c>
      <c r="B1275" s="28">
        <v>2016</v>
      </c>
      <c r="C1275" s="68">
        <f t="shared" si="19"/>
        <v>42370</v>
      </c>
      <c r="D1275" s="28" t="s">
        <v>198</v>
      </c>
      <c r="E1275" s="28" t="s">
        <v>656</v>
      </c>
      <c r="F1275" s="28" t="s">
        <v>657</v>
      </c>
      <c r="G1275" s="28" t="s">
        <v>418</v>
      </c>
      <c r="H1275" s="28">
        <v>89109</v>
      </c>
      <c r="I1275" s="28">
        <v>36.122100000000003</v>
      </c>
      <c r="J1275" s="28">
        <v>-115.17139</v>
      </c>
      <c r="L1275" s="61">
        <v>110004306938</v>
      </c>
      <c r="M1275" s="28" t="s">
        <v>264</v>
      </c>
      <c r="N1275" s="28">
        <v>7011</v>
      </c>
      <c r="O1275" s="28" t="str">
        <f>IFERROR(VLOOKUP(N1275, 'SIC &amp; NAICS Codes'!A:B, 2, FALSE), "")</f>
        <v>Hotels and Motels (hotels, except casino hotels, and motels)</v>
      </c>
      <c r="S1275" s="28">
        <v>5.9750956250000001E-2</v>
      </c>
      <c r="T1275" s="315">
        <f>_xlfn.MAXIFS('Raw Period DMR Data'!$O:$O,'Raw Period DMR Data'!$A:$A,'Raw Annual DMR Data'!B1275,'Raw Period DMR Data'!$C:$C,X1275)/S1275</f>
        <v>0</v>
      </c>
      <c r="U1275" s="28" t="str">
        <f>+IF(COUNTIFS('Raw Period DMR Data'!$A:$A,B1275, 'Raw Period DMR Data'!C:C,'Raw Annual DMR Data'!X1275, 'Raw Period DMR Data'!M:M, "&gt;0")&gt;0,_xlfn.MAXIFS('Raw Period DMR Data'!M:M,'Raw Period DMR Data'!$A:$A,'Raw Annual DMR Data'!B1275,'Raw Period DMR Data'!C:C,'Raw Annual DMR Data'!X1275), "N/A - Period DMR Data Not Available")</f>
        <v>N/A - Period DMR Data Not Available</v>
      </c>
      <c r="V1275" s="28" t="str" cm="1">
        <f t="array" ref="V1275">IFERROR(INDEX('Raw Period DMR Data'!N:N,MATCH(1,(B1275='Raw Period DMR Data'!$A:$A)*(U1275='Raw Period DMR Data'!M:M)*(X1275='Raw Period DMR Data'!C:C),0),1), "N/A")</f>
        <v>N/A</v>
      </c>
      <c r="W1275" s="28" t="s">
        <v>1463</v>
      </c>
      <c r="X1275" s="28" t="s">
        <v>951</v>
      </c>
      <c r="Y1275" s="28" t="s">
        <v>952</v>
      </c>
      <c r="Z1275" s="28">
        <v>15010015000432</v>
      </c>
      <c r="AA1275" s="28"/>
      <c r="AB1275" s="28" t="s">
        <v>1465</v>
      </c>
      <c r="AC1275" s="28" t="s">
        <v>1466</v>
      </c>
    </row>
    <row r="1276" spans="1:29" x14ac:dyDescent="0.25">
      <c r="A1276" s="61">
        <v>110004306938</v>
      </c>
      <c r="B1276" s="28">
        <v>2016</v>
      </c>
      <c r="C1276" s="68">
        <f t="shared" si="19"/>
        <v>42370</v>
      </c>
      <c r="D1276" s="28" t="s">
        <v>198</v>
      </c>
      <c r="E1276" s="28" t="s">
        <v>656</v>
      </c>
      <c r="F1276" s="28" t="s">
        <v>657</v>
      </c>
      <c r="G1276" s="28" t="s">
        <v>418</v>
      </c>
      <c r="H1276" s="28">
        <v>89109</v>
      </c>
      <c r="I1276" s="28">
        <v>36.122100000000003</v>
      </c>
      <c r="J1276" s="28">
        <v>-115.17139</v>
      </c>
      <c r="L1276" s="61">
        <v>110004306938</v>
      </c>
      <c r="M1276" s="28" t="s">
        <v>264</v>
      </c>
      <c r="N1276" s="28">
        <v>7011</v>
      </c>
      <c r="O1276" s="28" t="str">
        <f>IFERROR(VLOOKUP(N1276, 'SIC &amp; NAICS Codes'!A:B, 2, FALSE), "")</f>
        <v>Hotels and Motels (hotels, except casino hotels, and motels)</v>
      </c>
      <c r="S1276" s="28">
        <v>2.0308417499999998E-2</v>
      </c>
      <c r="T1276" s="315">
        <f>_xlfn.MAXIFS('Raw Period DMR Data'!$O:$O,'Raw Period DMR Data'!$A:$A,'Raw Annual DMR Data'!B1276,'Raw Period DMR Data'!$C:$C,X1276)/S1276</f>
        <v>0</v>
      </c>
      <c r="U1276" s="28" t="str">
        <f>+IF(COUNTIFS('Raw Period DMR Data'!$A:$A,B1276, 'Raw Period DMR Data'!C:C,'Raw Annual DMR Data'!X1276, 'Raw Period DMR Data'!M:M, "&gt;0")&gt;0,_xlfn.MAXIFS('Raw Period DMR Data'!M:M,'Raw Period DMR Data'!$A:$A,'Raw Annual DMR Data'!B1276,'Raw Period DMR Data'!C:C,'Raw Annual DMR Data'!X1276), "N/A - Period DMR Data Not Available")</f>
        <v>N/A - Period DMR Data Not Available</v>
      </c>
      <c r="V1276" s="28" t="str" cm="1">
        <f t="array" ref="V1276">IFERROR(INDEX('Raw Period DMR Data'!N:N,MATCH(1,(B1276='Raw Period DMR Data'!$A:$A)*(U1276='Raw Period DMR Data'!M:M)*(X1276='Raw Period DMR Data'!C:C),0),1), "N/A")</f>
        <v>N/A</v>
      </c>
      <c r="W1276" s="28" t="s">
        <v>1463</v>
      </c>
      <c r="X1276" s="28" t="s">
        <v>951</v>
      </c>
      <c r="Y1276" s="28" t="s">
        <v>952</v>
      </c>
      <c r="Z1276" s="28">
        <v>15010015000432</v>
      </c>
      <c r="AA1276" s="28"/>
      <c r="AB1276" s="28" t="s">
        <v>1465</v>
      </c>
      <c r="AC1276" s="28" t="s">
        <v>1466</v>
      </c>
    </row>
    <row r="1277" spans="1:29" x14ac:dyDescent="0.25">
      <c r="A1277" s="61">
        <v>110004306938</v>
      </c>
      <c r="B1277" s="28">
        <v>2016</v>
      </c>
      <c r="C1277" s="68">
        <f t="shared" si="19"/>
        <v>42370</v>
      </c>
      <c r="D1277" s="28" t="s">
        <v>198</v>
      </c>
      <c r="E1277" s="28" t="s">
        <v>656</v>
      </c>
      <c r="F1277" s="28" t="s">
        <v>657</v>
      </c>
      <c r="G1277" s="28" t="s">
        <v>418</v>
      </c>
      <c r="H1277" s="28">
        <v>89109</v>
      </c>
      <c r="I1277" s="28">
        <v>36.122100000000003</v>
      </c>
      <c r="J1277" s="28">
        <v>-115.17139</v>
      </c>
      <c r="L1277" s="61">
        <v>110004306938</v>
      </c>
      <c r="M1277" s="28" t="s">
        <v>264</v>
      </c>
      <c r="N1277" s="28">
        <v>7011</v>
      </c>
      <c r="O1277" s="28" t="str">
        <f>IFERROR(VLOOKUP(N1277, 'SIC &amp; NAICS Codes'!A:B, 2, FALSE), "")</f>
        <v>Hotels and Motels (hotels, except casino hotels, and motels)</v>
      </c>
      <c r="S1277" s="28">
        <v>3.5228887500000001E-3</v>
      </c>
      <c r="T1277" s="315">
        <f>_xlfn.MAXIFS('Raw Period DMR Data'!$O:$O,'Raw Period DMR Data'!$A:$A,'Raw Annual DMR Data'!B1277,'Raw Period DMR Data'!$C:$C,X1277)/S1277</f>
        <v>0</v>
      </c>
      <c r="U1277" s="28" t="str">
        <f>+IF(COUNTIFS('Raw Period DMR Data'!$A:$A,B1277, 'Raw Period DMR Data'!C:C,'Raw Annual DMR Data'!X1277, 'Raw Period DMR Data'!M:M, "&gt;0")&gt;0,_xlfn.MAXIFS('Raw Period DMR Data'!M:M,'Raw Period DMR Data'!$A:$A,'Raw Annual DMR Data'!B1277,'Raw Period DMR Data'!C:C,'Raw Annual DMR Data'!X1277), "N/A - Period DMR Data Not Available")</f>
        <v>N/A - Period DMR Data Not Available</v>
      </c>
      <c r="V1277" s="28" t="str" cm="1">
        <f t="array" ref="V1277">IFERROR(INDEX('Raw Period DMR Data'!N:N,MATCH(1,(B1277='Raw Period DMR Data'!$A:$A)*(U1277='Raw Period DMR Data'!M:M)*(X1277='Raw Period DMR Data'!C:C),0),1), "N/A")</f>
        <v>N/A</v>
      </c>
      <c r="W1277" s="28" t="s">
        <v>1463</v>
      </c>
      <c r="X1277" s="28" t="s">
        <v>951</v>
      </c>
      <c r="Y1277" s="28" t="s">
        <v>952</v>
      </c>
      <c r="Z1277" s="28">
        <v>15010015000432</v>
      </c>
      <c r="AA1277" s="28"/>
      <c r="AB1277" s="28" t="s">
        <v>1465</v>
      </c>
      <c r="AC1277" s="28" t="s">
        <v>1466</v>
      </c>
    </row>
    <row r="1278" spans="1:29" x14ac:dyDescent="0.25">
      <c r="A1278" s="61">
        <v>110004306938</v>
      </c>
      <c r="B1278" s="28">
        <v>2016</v>
      </c>
      <c r="C1278" s="68">
        <f t="shared" si="19"/>
        <v>42370</v>
      </c>
      <c r="D1278" s="28" t="s">
        <v>198</v>
      </c>
      <c r="E1278" s="28" t="s">
        <v>656</v>
      </c>
      <c r="F1278" s="28" t="s">
        <v>657</v>
      </c>
      <c r="G1278" s="28" t="s">
        <v>418</v>
      </c>
      <c r="H1278" s="28">
        <v>89109</v>
      </c>
      <c r="I1278" s="28">
        <v>36.122100000000003</v>
      </c>
      <c r="J1278" s="28">
        <v>-115.17139</v>
      </c>
      <c r="L1278" s="61">
        <v>110004306938</v>
      </c>
      <c r="M1278" s="28" t="s">
        <v>264</v>
      </c>
      <c r="N1278" s="28">
        <v>7011</v>
      </c>
      <c r="O1278" s="28" t="str">
        <f>IFERROR(VLOOKUP(N1278, 'SIC &amp; NAICS Codes'!A:B, 2, FALSE), "")</f>
        <v>Hotels and Motels (hotels, except casino hotels, and motels)</v>
      </c>
      <c r="S1278" s="28">
        <v>0.27388733124999998</v>
      </c>
      <c r="T1278" s="315">
        <f>_xlfn.MAXIFS('Raw Period DMR Data'!$O:$O,'Raw Period DMR Data'!$A:$A,'Raw Annual DMR Data'!B1278,'Raw Period DMR Data'!$C:$C,X1278)/S1278</f>
        <v>0</v>
      </c>
      <c r="U1278" s="28" t="str">
        <f>+IF(COUNTIFS('Raw Period DMR Data'!$A:$A,B1278, 'Raw Period DMR Data'!C:C,'Raw Annual DMR Data'!X1278, 'Raw Period DMR Data'!M:M, "&gt;0")&gt;0,_xlfn.MAXIFS('Raw Period DMR Data'!M:M,'Raw Period DMR Data'!$A:$A,'Raw Annual DMR Data'!B1278,'Raw Period DMR Data'!C:C,'Raw Annual DMR Data'!X1278), "N/A - Period DMR Data Not Available")</f>
        <v>N/A - Period DMR Data Not Available</v>
      </c>
      <c r="V1278" s="28" t="str" cm="1">
        <f t="array" ref="V1278">IFERROR(INDEX('Raw Period DMR Data'!N:N,MATCH(1,(B1278='Raw Period DMR Data'!$A:$A)*(U1278='Raw Period DMR Data'!M:M)*(X1278='Raw Period DMR Data'!C:C),0),1), "N/A")</f>
        <v>N/A</v>
      </c>
      <c r="W1278" s="28" t="s">
        <v>1463</v>
      </c>
      <c r="X1278" s="28" t="s">
        <v>951</v>
      </c>
      <c r="Y1278" s="28" t="s">
        <v>952</v>
      </c>
      <c r="Z1278" s="28">
        <v>15010015000432</v>
      </c>
      <c r="AA1278" s="28"/>
      <c r="AB1278" s="28" t="s">
        <v>1465</v>
      </c>
      <c r="AC1278" s="28" t="s">
        <v>1466</v>
      </c>
    </row>
    <row r="1279" spans="1:29" x14ac:dyDescent="0.25">
      <c r="A1279" s="61">
        <v>110004306938</v>
      </c>
      <c r="B1279" s="28">
        <v>2017</v>
      </c>
      <c r="C1279" s="68">
        <f t="shared" si="19"/>
        <v>42736</v>
      </c>
      <c r="D1279" s="28" t="s">
        <v>198</v>
      </c>
      <c r="E1279" s="28" t="s">
        <v>656</v>
      </c>
      <c r="F1279" s="28" t="s">
        <v>657</v>
      </c>
      <c r="G1279" s="28" t="s">
        <v>418</v>
      </c>
      <c r="H1279" s="28">
        <v>89109</v>
      </c>
      <c r="I1279" s="28">
        <v>36.122100000000003</v>
      </c>
      <c r="J1279" s="28">
        <v>-115.17139</v>
      </c>
      <c r="L1279" s="61">
        <v>110004306938</v>
      </c>
      <c r="M1279" s="28" t="s">
        <v>264</v>
      </c>
      <c r="N1279" s="28">
        <v>7011</v>
      </c>
      <c r="O1279" s="28" t="str">
        <f>IFERROR(VLOOKUP(N1279, 'SIC &amp; NAICS Codes'!A:B, 2, FALSE), "")</f>
        <v>Hotels and Motels (hotels, except casino hotels, and motels)</v>
      </c>
      <c r="S1279" s="28">
        <v>0.13325154006250001</v>
      </c>
      <c r="T1279" s="315">
        <f>_xlfn.MAXIFS('Raw Period DMR Data'!$O:$O,'Raw Period DMR Data'!$A:$A,'Raw Annual DMR Data'!B1279,'Raw Period DMR Data'!$C:$C,X1279)/S1279</f>
        <v>0</v>
      </c>
      <c r="U1279" s="28" t="str">
        <f>+IF(COUNTIFS('Raw Period DMR Data'!$A:$A,B1279, 'Raw Period DMR Data'!C:C,'Raw Annual DMR Data'!X1279, 'Raw Period DMR Data'!M:M, "&gt;0")&gt;0,_xlfn.MAXIFS('Raw Period DMR Data'!M:M,'Raw Period DMR Data'!$A:$A,'Raw Annual DMR Data'!B1279,'Raw Period DMR Data'!C:C,'Raw Annual DMR Data'!X1279), "N/A - Period DMR Data Not Available")</f>
        <v>N/A - Period DMR Data Not Available</v>
      </c>
      <c r="V1279" s="28" t="str" cm="1">
        <f t="array" ref="V1279">IFERROR(INDEX('Raw Period DMR Data'!N:N,MATCH(1,(B1279='Raw Period DMR Data'!$A:$A)*(U1279='Raw Period DMR Data'!M:M)*(X1279='Raw Period DMR Data'!C:C),0),1), "N/A")</f>
        <v>N/A</v>
      </c>
      <c r="W1279" s="28" t="s">
        <v>1463</v>
      </c>
      <c r="X1279" s="28" t="s">
        <v>951</v>
      </c>
      <c r="Y1279" s="28" t="s">
        <v>952</v>
      </c>
      <c r="Z1279" s="28">
        <v>15010015000432</v>
      </c>
      <c r="AA1279" s="28"/>
      <c r="AB1279" s="28" t="s">
        <v>1465</v>
      </c>
      <c r="AC1279" s="28" t="s">
        <v>1466</v>
      </c>
    </row>
    <row r="1280" spans="1:29" x14ac:dyDescent="0.25">
      <c r="A1280" s="61">
        <v>110004306938</v>
      </c>
      <c r="B1280" s="28">
        <v>2017</v>
      </c>
      <c r="C1280" s="68">
        <f t="shared" si="19"/>
        <v>42736</v>
      </c>
      <c r="D1280" s="28" t="s">
        <v>198</v>
      </c>
      <c r="E1280" s="28" t="s">
        <v>656</v>
      </c>
      <c r="F1280" s="28" t="s">
        <v>657</v>
      </c>
      <c r="G1280" s="28" t="s">
        <v>418</v>
      </c>
      <c r="H1280" s="28">
        <v>89109</v>
      </c>
      <c r="I1280" s="28">
        <v>36.122100000000003</v>
      </c>
      <c r="J1280" s="28">
        <v>-115.17139</v>
      </c>
      <c r="L1280" s="61">
        <v>110004306938</v>
      </c>
      <c r="M1280" s="28" t="s">
        <v>264</v>
      </c>
      <c r="N1280" s="28">
        <v>7011</v>
      </c>
      <c r="O1280" s="28" t="str">
        <f>IFERROR(VLOOKUP(N1280, 'SIC &amp; NAICS Codes'!A:B, 2, FALSE), "")</f>
        <v>Hotels and Motels (hotels, except casino hotels, and motels)</v>
      </c>
      <c r="S1280" s="28">
        <v>0.13299941174999999</v>
      </c>
      <c r="T1280" s="315">
        <f>_xlfn.MAXIFS('Raw Period DMR Data'!$O:$O,'Raw Period DMR Data'!$A:$A,'Raw Annual DMR Data'!B1280,'Raw Period DMR Data'!$C:$C,X1280)/S1280</f>
        <v>0</v>
      </c>
      <c r="U1280" s="28" t="str">
        <f>+IF(COUNTIFS('Raw Period DMR Data'!$A:$A,B1280, 'Raw Period DMR Data'!C:C,'Raw Annual DMR Data'!X1280, 'Raw Period DMR Data'!M:M, "&gt;0")&gt;0,_xlfn.MAXIFS('Raw Period DMR Data'!M:M,'Raw Period DMR Data'!$A:$A,'Raw Annual DMR Data'!B1280,'Raw Period DMR Data'!C:C,'Raw Annual DMR Data'!X1280), "N/A - Period DMR Data Not Available")</f>
        <v>N/A - Period DMR Data Not Available</v>
      </c>
      <c r="V1280" s="28" t="str" cm="1">
        <f t="array" ref="V1280">IFERROR(INDEX('Raw Period DMR Data'!N:N,MATCH(1,(B1280='Raw Period DMR Data'!$A:$A)*(U1280='Raw Period DMR Data'!M:M)*(X1280='Raw Period DMR Data'!C:C),0),1), "N/A")</f>
        <v>N/A</v>
      </c>
      <c r="W1280" s="28" t="s">
        <v>1463</v>
      </c>
      <c r="X1280" s="28" t="s">
        <v>951</v>
      </c>
      <c r="Y1280" s="28" t="s">
        <v>952</v>
      </c>
      <c r="Z1280" s="28">
        <v>15010015000432</v>
      </c>
      <c r="AA1280" s="28"/>
      <c r="AB1280" s="28" t="s">
        <v>1465</v>
      </c>
      <c r="AC1280" s="28" t="s">
        <v>1466</v>
      </c>
    </row>
    <row r="1281" spans="1:29" x14ac:dyDescent="0.25">
      <c r="A1281" s="61">
        <v>110004306938</v>
      </c>
      <c r="B1281" s="28">
        <v>2017</v>
      </c>
      <c r="C1281" s="68">
        <f t="shared" si="19"/>
        <v>42736</v>
      </c>
      <c r="D1281" s="28" t="s">
        <v>198</v>
      </c>
      <c r="E1281" s="28" t="s">
        <v>656</v>
      </c>
      <c r="F1281" s="28" t="s">
        <v>657</v>
      </c>
      <c r="G1281" s="28" t="s">
        <v>418</v>
      </c>
      <c r="H1281" s="28">
        <v>89109</v>
      </c>
      <c r="I1281" s="28">
        <v>36.122100000000003</v>
      </c>
      <c r="J1281" s="28">
        <v>-115.17139</v>
      </c>
      <c r="L1281" s="61">
        <v>110004306938</v>
      </c>
      <c r="M1281" s="28" t="s">
        <v>264</v>
      </c>
      <c r="N1281" s="28">
        <v>7011</v>
      </c>
      <c r="O1281" s="28" t="str">
        <f>IFERROR(VLOOKUP(N1281, 'SIC &amp; NAICS Codes'!A:B, 2, FALSE), "")</f>
        <v>Hotels and Motels (hotels, except casino hotels, and motels)</v>
      </c>
      <c r="S1281" s="28">
        <v>3.3156600000000001E-2</v>
      </c>
      <c r="T1281" s="315">
        <f>_xlfn.MAXIFS('Raw Period DMR Data'!$O:$O,'Raw Period DMR Data'!$A:$A,'Raw Annual DMR Data'!B1281,'Raw Period DMR Data'!$C:$C,X1281)/S1281</f>
        <v>0</v>
      </c>
      <c r="U1281" s="28" t="str">
        <f>+IF(COUNTIFS('Raw Period DMR Data'!$A:$A,B1281, 'Raw Period DMR Data'!C:C,'Raw Annual DMR Data'!X1281, 'Raw Period DMR Data'!M:M, "&gt;0")&gt;0,_xlfn.MAXIFS('Raw Period DMR Data'!M:M,'Raw Period DMR Data'!$A:$A,'Raw Annual DMR Data'!B1281,'Raw Period DMR Data'!C:C,'Raw Annual DMR Data'!X1281), "N/A - Period DMR Data Not Available")</f>
        <v>N/A - Period DMR Data Not Available</v>
      </c>
      <c r="V1281" s="28" t="str" cm="1">
        <f t="array" ref="V1281">IFERROR(INDEX('Raw Period DMR Data'!N:N,MATCH(1,(B1281='Raw Period DMR Data'!$A:$A)*(U1281='Raw Period DMR Data'!M:M)*(X1281='Raw Period DMR Data'!C:C),0),1), "N/A")</f>
        <v>N/A</v>
      </c>
      <c r="W1281" s="28" t="s">
        <v>1463</v>
      </c>
      <c r="X1281" s="28" t="s">
        <v>951</v>
      </c>
      <c r="Y1281" s="28" t="s">
        <v>952</v>
      </c>
      <c r="Z1281" s="28">
        <v>15010015000432</v>
      </c>
      <c r="AA1281" s="28"/>
      <c r="AB1281" s="28" t="s">
        <v>1465</v>
      </c>
      <c r="AC1281" s="28" t="s">
        <v>1466</v>
      </c>
    </row>
    <row r="1282" spans="1:29" x14ac:dyDescent="0.25">
      <c r="A1282" s="61">
        <v>110004306938</v>
      </c>
      <c r="B1282" s="28">
        <v>2017</v>
      </c>
      <c r="C1282" s="68">
        <f t="shared" si="19"/>
        <v>42736</v>
      </c>
      <c r="D1282" s="28" t="s">
        <v>198</v>
      </c>
      <c r="E1282" s="28" t="s">
        <v>656</v>
      </c>
      <c r="F1282" s="28" t="s">
        <v>657</v>
      </c>
      <c r="G1282" s="28" t="s">
        <v>418</v>
      </c>
      <c r="H1282" s="28">
        <v>89109</v>
      </c>
      <c r="I1282" s="28">
        <v>36.122100000000003</v>
      </c>
      <c r="J1282" s="28">
        <v>-115.17139</v>
      </c>
      <c r="L1282" s="61">
        <v>110004306938</v>
      </c>
      <c r="M1282" s="28" t="s">
        <v>264</v>
      </c>
      <c r="N1282" s="28">
        <v>7011</v>
      </c>
      <c r="O1282" s="28" t="str">
        <f>IFERROR(VLOOKUP(N1282, 'SIC &amp; NAICS Codes'!A:B, 2, FALSE), "")</f>
        <v>Hotels and Motels (hotels, except casino hotels, and motels)</v>
      </c>
      <c r="S1282" s="28">
        <v>2.1068256249999999E-4</v>
      </c>
      <c r="T1282" s="315">
        <f>_xlfn.MAXIFS('Raw Period DMR Data'!$O:$O,'Raw Period DMR Data'!$A:$A,'Raw Annual DMR Data'!B1282,'Raw Period DMR Data'!$C:$C,X1282)/S1282</f>
        <v>0</v>
      </c>
      <c r="U1282" s="28" t="str">
        <f>+IF(COUNTIFS('Raw Period DMR Data'!$A:$A,B1282, 'Raw Period DMR Data'!C:C,'Raw Annual DMR Data'!X1282, 'Raw Period DMR Data'!M:M, "&gt;0")&gt;0,_xlfn.MAXIFS('Raw Period DMR Data'!M:M,'Raw Period DMR Data'!$A:$A,'Raw Annual DMR Data'!B1282,'Raw Period DMR Data'!C:C,'Raw Annual DMR Data'!X1282), "N/A - Period DMR Data Not Available")</f>
        <v>N/A - Period DMR Data Not Available</v>
      </c>
      <c r="V1282" s="28" t="str" cm="1">
        <f t="array" ref="V1282">IFERROR(INDEX('Raw Period DMR Data'!N:N,MATCH(1,(B1282='Raw Period DMR Data'!$A:$A)*(U1282='Raw Period DMR Data'!M:M)*(X1282='Raw Period DMR Data'!C:C),0),1), "N/A")</f>
        <v>N/A</v>
      </c>
      <c r="W1282" s="28" t="s">
        <v>1463</v>
      </c>
      <c r="X1282" s="28" t="s">
        <v>951</v>
      </c>
      <c r="Y1282" s="28" t="s">
        <v>952</v>
      </c>
      <c r="Z1282" s="28">
        <v>15010015000432</v>
      </c>
      <c r="AA1282" s="28"/>
      <c r="AB1282" s="28" t="s">
        <v>1465</v>
      </c>
      <c r="AC1282" s="28" t="s">
        <v>1466</v>
      </c>
    </row>
    <row r="1283" spans="1:29" x14ac:dyDescent="0.25">
      <c r="A1283" s="61">
        <v>110004306938</v>
      </c>
      <c r="B1283" s="28">
        <v>2017</v>
      </c>
      <c r="C1283" s="68">
        <f t="shared" ref="C1283:C1346" si="20">DATE(B1283, 1, 1)</f>
        <v>42736</v>
      </c>
      <c r="D1283" s="28" t="s">
        <v>198</v>
      </c>
      <c r="E1283" s="28" t="s">
        <v>656</v>
      </c>
      <c r="F1283" s="28" t="s">
        <v>657</v>
      </c>
      <c r="G1283" s="28" t="s">
        <v>418</v>
      </c>
      <c r="H1283" s="28">
        <v>89109</v>
      </c>
      <c r="I1283" s="28">
        <v>36.122100000000003</v>
      </c>
      <c r="J1283" s="28">
        <v>-115.17139</v>
      </c>
      <c r="L1283" s="61">
        <v>110004306938</v>
      </c>
      <c r="M1283" s="28" t="s">
        <v>264</v>
      </c>
      <c r="N1283" s="28">
        <v>7011</v>
      </c>
      <c r="O1283" s="28" t="str">
        <f>IFERROR(VLOOKUP(N1283, 'SIC &amp; NAICS Codes'!A:B, 2, FALSE), "")</f>
        <v>Hotels and Motels (hotels, except casino hotels, and motels)</v>
      </c>
      <c r="S1283" s="28">
        <v>2.6939737500000002E-4</v>
      </c>
      <c r="T1283" s="315">
        <f>_xlfn.MAXIFS('Raw Period DMR Data'!$O:$O,'Raw Period DMR Data'!$A:$A,'Raw Annual DMR Data'!B1283,'Raw Period DMR Data'!$C:$C,X1283)/S1283</f>
        <v>0</v>
      </c>
      <c r="U1283" s="28" t="str">
        <f>+IF(COUNTIFS('Raw Period DMR Data'!$A:$A,B1283, 'Raw Period DMR Data'!C:C,'Raw Annual DMR Data'!X1283, 'Raw Period DMR Data'!M:M, "&gt;0")&gt;0,_xlfn.MAXIFS('Raw Period DMR Data'!M:M,'Raw Period DMR Data'!$A:$A,'Raw Annual DMR Data'!B1283,'Raw Period DMR Data'!C:C,'Raw Annual DMR Data'!X1283), "N/A - Period DMR Data Not Available")</f>
        <v>N/A - Period DMR Data Not Available</v>
      </c>
      <c r="V1283" s="28" t="str" cm="1">
        <f t="array" ref="V1283">IFERROR(INDEX('Raw Period DMR Data'!N:N,MATCH(1,(B1283='Raw Period DMR Data'!$A:$A)*(U1283='Raw Period DMR Data'!M:M)*(X1283='Raw Period DMR Data'!C:C),0),1), "N/A")</f>
        <v>N/A</v>
      </c>
      <c r="W1283" s="28" t="s">
        <v>1463</v>
      </c>
      <c r="X1283" s="28" t="s">
        <v>951</v>
      </c>
      <c r="Y1283" s="28" t="s">
        <v>952</v>
      </c>
      <c r="Z1283" s="28">
        <v>15010015000432</v>
      </c>
      <c r="AA1283" s="28"/>
      <c r="AB1283" s="28" t="s">
        <v>1465</v>
      </c>
      <c r="AC1283" s="28" t="s">
        <v>1466</v>
      </c>
    </row>
    <row r="1284" spans="1:29" x14ac:dyDescent="0.25">
      <c r="A1284" s="61">
        <v>110004306938</v>
      </c>
      <c r="B1284" s="28">
        <v>2017</v>
      </c>
      <c r="C1284" s="68">
        <f t="shared" si="20"/>
        <v>42736</v>
      </c>
      <c r="D1284" s="28" t="s">
        <v>198</v>
      </c>
      <c r="E1284" s="28" t="s">
        <v>656</v>
      </c>
      <c r="F1284" s="28" t="s">
        <v>657</v>
      </c>
      <c r="G1284" s="28" t="s">
        <v>418</v>
      </c>
      <c r="H1284" s="28">
        <v>89109</v>
      </c>
      <c r="I1284" s="28">
        <v>36.122100000000003</v>
      </c>
      <c r="J1284" s="28">
        <v>-115.17139</v>
      </c>
      <c r="L1284" s="61">
        <v>110004306938</v>
      </c>
      <c r="M1284" s="28" t="s">
        <v>264</v>
      </c>
      <c r="N1284" s="28">
        <v>7011</v>
      </c>
      <c r="O1284" s="28" t="str">
        <f>IFERROR(VLOOKUP(N1284, 'SIC &amp; NAICS Codes'!A:B, 2, FALSE), "")</f>
        <v>Hotels and Motels (hotels, except casino hotels, and motels)</v>
      </c>
      <c r="S1284" s="28">
        <v>3.9445992562499997E-2</v>
      </c>
      <c r="T1284" s="315">
        <f>_xlfn.MAXIFS('Raw Period DMR Data'!$O:$O,'Raw Period DMR Data'!$A:$A,'Raw Annual DMR Data'!B1284,'Raw Period DMR Data'!$C:$C,X1284)/S1284</f>
        <v>0</v>
      </c>
      <c r="U1284" s="28" t="str">
        <f>+IF(COUNTIFS('Raw Period DMR Data'!$A:$A,B1284, 'Raw Period DMR Data'!C:C,'Raw Annual DMR Data'!X1284, 'Raw Period DMR Data'!M:M, "&gt;0")&gt;0,_xlfn.MAXIFS('Raw Period DMR Data'!M:M,'Raw Period DMR Data'!$A:$A,'Raw Annual DMR Data'!B1284,'Raw Period DMR Data'!C:C,'Raw Annual DMR Data'!X1284), "N/A - Period DMR Data Not Available")</f>
        <v>N/A - Period DMR Data Not Available</v>
      </c>
      <c r="V1284" s="28" t="str" cm="1">
        <f t="array" ref="V1284">IFERROR(INDEX('Raw Period DMR Data'!N:N,MATCH(1,(B1284='Raw Period DMR Data'!$A:$A)*(U1284='Raw Period DMR Data'!M:M)*(X1284='Raw Period DMR Data'!C:C),0),1), "N/A")</f>
        <v>N/A</v>
      </c>
      <c r="W1284" s="28" t="s">
        <v>1463</v>
      </c>
      <c r="X1284" s="28" t="s">
        <v>951</v>
      </c>
      <c r="Y1284" s="28" t="s">
        <v>952</v>
      </c>
      <c r="Z1284" s="28">
        <v>15010015000432</v>
      </c>
      <c r="AA1284" s="28"/>
      <c r="AB1284" s="28" t="s">
        <v>1465</v>
      </c>
      <c r="AC1284" s="28" t="s">
        <v>1466</v>
      </c>
    </row>
    <row r="1285" spans="1:29" x14ac:dyDescent="0.25">
      <c r="A1285" s="61">
        <v>110004306938</v>
      </c>
      <c r="B1285" s="28">
        <v>2018</v>
      </c>
      <c r="C1285" s="68">
        <f t="shared" si="20"/>
        <v>43101</v>
      </c>
      <c r="D1285" s="28" t="s">
        <v>198</v>
      </c>
      <c r="E1285" s="28" t="s">
        <v>656</v>
      </c>
      <c r="F1285" s="28" t="s">
        <v>657</v>
      </c>
      <c r="G1285" s="28" t="s">
        <v>418</v>
      </c>
      <c r="H1285" s="28">
        <v>89109</v>
      </c>
      <c r="I1285" s="28">
        <v>36.122100000000003</v>
      </c>
      <c r="J1285" s="28">
        <v>-115.17139</v>
      </c>
      <c r="L1285" s="61">
        <v>110004306938</v>
      </c>
      <c r="M1285" s="28" t="s">
        <v>264</v>
      </c>
      <c r="N1285" s="28">
        <v>7011</v>
      </c>
      <c r="O1285" s="28" t="str">
        <f>IFERROR(VLOOKUP(N1285, 'SIC &amp; NAICS Codes'!A:B, 2, FALSE), "")</f>
        <v>Hotels and Motels (hotels, except casino hotels, and motels)</v>
      </c>
      <c r="S1285" s="28">
        <v>0.2146371778125</v>
      </c>
      <c r="T1285" s="315">
        <f>_xlfn.MAXIFS('Raw Period DMR Data'!$O:$O,'Raw Period DMR Data'!$A:$A,'Raw Annual DMR Data'!B1285,'Raw Period DMR Data'!$C:$C,X1285)/S1285</f>
        <v>0</v>
      </c>
      <c r="U1285" s="28" t="str">
        <f>+IF(COUNTIFS('Raw Period DMR Data'!$A:$A,B1285, 'Raw Period DMR Data'!C:C,'Raw Annual DMR Data'!X1285, 'Raw Period DMR Data'!M:M, "&gt;0")&gt;0,_xlfn.MAXIFS('Raw Period DMR Data'!M:M,'Raw Period DMR Data'!$A:$A,'Raw Annual DMR Data'!B1285,'Raw Period DMR Data'!C:C,'Raw Annual DMR Data'!X1285), "N/A - Period DMR Data Not Available")</f>
        <v>N/A - Period DMR Data Not Available</v>
      </c>
      <c r="V1285" s="28" t="str" cm="1">
        <f t="array" ref="V1285">IFERROR(INDEX('Raw Period DMR Data'!N:N,MATCH(1,(B1285='Raw Period DMR Data'!$A:$A)*(U1285='Raw Period DMR Data'!M:M)*(X1285='Raw Period DMR Data'!C:C),0),1), "N/A")</f>
        <v>N/A</v>
      </c>
      <c r="W1285" s="28" t="s">
        <v>1463</v>
      </c>
      <c r="X1285" s="28" t="s">
        <v>951</v>
      </c>
      <c r="Y1285" s="28" t="s">
        <v>952</v>
      </c>
      <c r="Z1285" s="28">
        <v>15010015000432</v>
      </c>
      <c r="AA1285" s="28"/>
      <c r="AB1285" s="28" t="s">
        <v>1465</v>
      </c>
      <c r="AC1285" s="28" t="s">
        <v>1466</v>
      </c>
    </row>
    <row r="1286" spans="1:29" x14ac:dyDescent="0.25">
      <c r="A1286" s="61">
        <v>110004306938</v>
      </c>
      <c r="B1286" s="28">
        <v>2018</v>
      </c>
      <c r="C1286" s="68">
        <f t="shared" si="20"/>
        <v>43101</v>
      </c>
      <c r="D1286" s="28" t="s">
        <v>198</v>
      </c>
      <c r="E1286" s="28" t="s">
        <v>656</v>
      </c>
      <c r="F1286" s="28" t="s">
        <v>657</v>
      </c>
      <c r="G1286" s="28" t="s">
        <v>418</v>
      </c>
      <c r="H1286" s="28">
        <v>89109</v>
      </c>
      <c r="I1286" s="28">
        <v>36.122100000000003</v>
      </c>
      <c r="J1286" s="28">
        <v>-115.17139</v>
      </c>
      <c r="L1286" s="61">
        <v>110004306938</v>
      </c>
      <c r="M1286" s="28" t="s">
        <v>264</v>
      </c>
      <c r="N1286" s="28">
        <v>7011</v>
      </c>
      <c r="O1286" s="28" t="str">
        <f>IFERROR(VLOOKUP(N1286, 'SIC &amp; NAICS Codes'!A:B, 2, FALSE), "")</f>
        <v>Hotels and Motels (hotels, except casino hotels, and motels)</v>
      </c>
      <c r="S1286" s="28">
        <v>1.282987729375E-2</v>
      </c>
      <c r="T1286" s="315">
        <f>_xlfn.MAXIFS('Raw Period DMR Data'!$O:$O,'Raw Period DMR Data'!$A:$A,'Raw Annual DMR Data'!B1286,'Raw Period DMR Data'!$C:$C,X1286)/S1286</f>
        <v>0</v>
      </c>
      <c r="U1286" s="28" t="str">
        <f>+IF(COUNTIFS('Raw Period DMR Data'!$A:$A,B1286, 'Raw Period DMR Data'!C:C,'Raw Annual DMR Data'!X1286, 'Raw Period DMR Data'!M:M, "&gt;0")&gt;0,_xlfn.MAXIFS('Raw Period DMR Data'!M:M,'Raw Period DMR Data'!$A:$A,'Raw Annual DMR Data'!B1286,'Raw Period DMR Data'!C:C,'Raw Annual DMR Data'!X1286), "N/A - Period DMR Data Not Available")</f>
        <v>N/A - Period DMR Data Not Available</v>
      </c>
      <c r="V1286" s="28" t="str" cm="1">
        <f t="array" ref="V1286">IFERROR(INDEX('Raw Period DMR Data'!N:N,MATCH(1,(B1286='Raw Period DMR Data'!$A:$A)*(U1286='Raw Period DMR Data'!M:M)*(X1286='Raw Period DMR Data'!C:C),0),1), "N/A")</f>
        <v>N/A</v>
      </c>
      <c r="W1286" s="28" t="s">
        <v>1463</v>
      </c>
      <c r="X1286" s="28" t="s">
        <v>951</v>
      </c>
      <c r="Y1286" s="28" t="s">
        <v>952</v>
      </c>
      <c r="Z1286" s="28">
        <v>15010015000432</v>
      </c>
      <c r="AA1286" s="28"/>
      <c r="AB1286" s="28" t="s">
        <v>1465</v>
      </c>
      <c r="AC1286" s="28" t="s">
        <v>1466</v>
      </c>
    </row>
    <row r="1287" spans="1:29" x14ac:dyDescent="0.25">
      <c r="A1287" s="61">
        <v>110004306938</v>
      </c>
      <c r="B1287" s="28">
        <v>2018</v>
      </c>
      <c r="C1287" s="68">
        <f t="shared" si="20"/>
        <v>43101</v>
      </c>
      <c r="D1287" s="28" t="s">
        <v>198</v>
      </c>
      <c r="E1287" s="28" t="s">
        <v>656</v>
      </c>
      <c r="F1287" s="28" t="s">
        <v>657</v>
      </c>
      <c r="G1287" s="28" t="s">
        <v>418</v>
      </c>
      <c r="H1287" s="28">
        <v>89109</v>
      </c>
      <c r="I1287" s="28">
        <v>36.122100000000003</v>
      </c>
      <c r="J1287" s="28">
        <v>-115.17139</v>
      </c>
      <c r="L1287" s="61">
        <v>110004306938</v>
      </c>
      <c r="M1287" s="28" t="s">
        <v>264</v>
      </c>
      <c r="N1287" s="28">
        <v>7011</v>
      </c>
      <c r="O1287" s="28" t="str">
        <f>IFERROR(VLOOKUP(N1287, 'SIC &amp; NAICS Codes'!A:B, 2, FALSE), "")</f>
        <v>Hotels and Motels (hotels, except casino hotels, and motels)</v>
      </c>
      <c r="S1287" s="28">
        <v>4.082406375E-3</v>
      </c>
      <c r="T1287" s="315">
        <f>_xlfn.MAXIFS('Raw Period DMR Data'!$O:$O,'Raw Period DMR Data'!$A:$A,'Raw Annual DMR Data'!B1287,'Raw Period DMR Data'!$C:$C,X1287)/S1287</f>
        <v>0</v>
      </c>
      <c r="U1287" s="28" t="str">
        <f>+IF(COUNTIFS('Raw Period DMR Data'!$A:$A,B1287, 'Raw Period DMR Data'!C:C,'Raw Annual DMR Data'!X1287, 'Raw Period DMR Data'!M:M, "&gt;0")&gt;0,_xlfn.MAXIFS('Raw Period DMR Data'!M:M,'Raw Period DMR Data'!$A:$A,'Raw Annual DMR Data'!B1287,'Raw Period DMR Data'!C:C,'Raw Annual DMR Data'!X1287), "N/A - Period DMR Data Not Available")</f>
        <v>N/A - Period DMR Data Not Available</v>
      </c>
      <c r="V1287" s="28" t="str" cm="1">
        <f t="array" ref="V1287">IFERROR(INDEX('Raw Period DMR Data'!N:N,MATCH(1,(B1287='Raw Period DMR Data'!$A:$A)*(U1287='Raw Period DMR Data'!M:M)*(X1287='Raw Period DMR Data'!C:C),0),1), "N/A")</f>
        <v>N/A</v>
      </c>
      <c r="W1287" s="28" t="s">
        <v>1463</v>
      </c>
      <c r="X1287" s="28" t="s">
        <v>951</v>
      </c>
      <c r="Y1287" s="28" t="s">
        <v>952</v>
      </c>
      <c r="Z1287" s="28">
        <v>15010015000432</v>
      </c>
      <c r="AA1287" s="28"/>
      <c r="AB1287" s="28" t="s">
        <v>1465</v>
      </c>
      <c r="AC1287" s="28" t="s">
        <v>1466</v>
      </c>
    </row>
    <row r="1288" spans="1:29" x14ac:dyDescent="0.25">
      <c r="A1288" s="61">
        <v>110004306938</v>
      </c>
      <c r="B1288" s="28">
        <v>2018</v>
      </c>
      <c r="C1288" s="68">
        <f t="shared" si="20"/>
        <v>43101</v>
      </c>
      <c r="D1288" s="28" t="s">
        <v>198</v>
      </c>
      <c r="E1288" s="28" t="s">
        <v>656</v>
      </c>
      <c r="F1288" s="28" t="s">
        <v>657</v>
      </c>
      <c r="G1288" s="28" t="s">
        <v>418</v>
      </c>
      <c r="H1288" s="28">
        <v>89109</v>
      </c>
      <c r="I1288" s="28">
        <v>36.122100000000003</v>
      </c>
      <c r="J1288" s="28">
        <v>-115.17139</v>
      </c>
      <c r="L1288" s="61">
        <v>110004306938</v>
      </c>
      <c r="M1288" s="28" t="s">
        <v>264</v>
      </c>
      <c r="N1288" s="28">
        <v>7011</v>
      </c>
      <c r="O1288" s="28" t="str">
        <f>IFERROR(VLOOKUP(N1288, 'SIC &amp; NAICS Codes'!A:B, 2, FALSE), "")</f>
        <v>Hotels and Motels (hotels, except casino hotels, and motels)</v>
      </c>
      <c r="S1288" s="28">
        <v>2.8839334375000002E-3</v>
      </c>
      <c r="T1288" s="315">
        <f>_xlfn.MAXIFS('Raw Period DMR Data'!$O:$O,'Raw Period DMR Data'!$A:$A,'Raw Annual DMR Data'!B1288,'Raw Period DMR Data'!$C:$C,X1288)/S1288</f>
        <v>0</v>
      </c>
      <c r="U1288" s="28" t="str">
        <f>+IF(COUNTIFS('Raw Period DMR Data'!$A:$A,B1288, 'Raw Period DMR Data'!C:C,'Raw Annual DMR Data'!X1288, 'Raw Period DMR Data'!M:M, "&gt;0")&gt;0,_xlfn.MAXIFS('Raw Period DMR Data'!M:M,'Raw Period DMR Data'!$A:$A,'Raw Annual DMR Data'!B1288,'Raw Period DMR Data'!C:C,'Raw Annual DMR Data'!X1288), "N/A - Period DMR Data Not Available")</f>
        <v>N/A - Period DMR Data Not Available</v>
      </c>
      <c r="V1288" s="28" t="str" cm="1">
        <f t="array" ref="V1288">IFERROR(INDEX('Raw Period DMR Data'!N:N,MATCH(1,(B1288='Raw Period DMR Data'!$A:$A)*(U1288='Raw Period DMR Data'!M:M)*(X1288='Raw Period DMR Data'!C:C),0),1), "N/A")</f>
        <v>N/A</v>
      </c>
      <c r="W1288" s="28" t="s">
        <v>1463</v>
      </c>
      <c r="X1288" s="28" t="s">
        <v>951</v>
      </c>
      <c r="Y1288" s="28" t="s">
        <v>952</v>
      </c>
      <c r="Z1288" s="28">
        <v>15010015000432</v>
      </c>
      <c r="AA1288" s="28"/>
      <c r="AB1288" s="28" t="s">
        <v>1465</v>
      </c>
      <c r="AC1288" s="28" t="s">
        <v>1466</v>
      </c>
    </row>
    <row r="1289" spans="1:29" x14ac:dyDescent="0.25">
      <c r="A1289" s="61">
        <v>110004306938</v>
      </c>
      <c r="B1289" s="28">
        <v>2018</v>
      </c>
      <c r="C1289" s="68">
        <f t="shared" si="20"/>
        <v>43101</v>
      </c>
      <c r="D1289" s="28" t="s">
        <v>198</v>
      </c>
      <c r="E1289" s="28" t="s">
        <v>656</v>
      </c>
      <c r="F1289" s="28" t="s">
        <v>657</v>
      </c>
      <c r="G1289" s="28" t="s">
        <v>418</v>
      </c>
      <c r="H1289" s="28">
        <v>89109</v>
      </c>
      <c r="I1289" s="28">
        <v>36.122100000000003</v>
      </c>
      <c r="J1289" s="28">
        <v>-115.17139</v>
      </c>
      <c r="L1289" s="61">
        <v>110004306938</v>
      </c>
      <c r="M1289" s="28" t="s">
        <v>264</v>
      </c>
      <c r="N1289" s="28">
        <v>7011</v>
      </c>
      <c r="O1289" s="28" t="str">
        <f>IFERROR(VLOOKUP(N1289, 'SIC &amp; NAICS Codes'!A:B, 2, FALSE), "")</f>
        <v>Hotels and Motels (hotels, except casino hotels, and motels)</v>
      </c>
      <c r="S1289" s="28">
        <v>3.6907440375000003E-2</v>
      </c>
      <c r="T1289" s="315">
        <f>_xlfn.MAXIFS('Raw Period DMR Data'!$O:$O,'Raw Period DMR Data'!$A:$A,'Raw Annual DMR Data'!B1289,'Raw Period DMR Data'!$C:$C,X1289)/S1289</f>
        <v>0</v>
      </c>
      <c r="U1289" s="28" t="str">
        <f>+IF(COUNTIFS('Raw Period DMR Data'!$A:$A,B1289, 'Raw Period DMR Data'!C:C,'Raw Annual DMR Data'!X1289, 'Raw Period DMR Data'!M:M, "&gt;0")&gt;0,_xlfn.MAXIFS('Raw Period DMR Data'!M:M,'Raw Period DMR Data'!$A:$A,'Raw Annual DMR Data'!B1289,'Raw Period DMR Data'!C:C,'Raw Annual DMR Data'!X1289), "N/A - Period DMR Data Not Available")</f>
        <v>N/A - Period DMR Data Not Available</v>
      </c>
      <c r="V1289" s="28" t="str" cm="1">
        <f t="array" ref="V1289">IFERROR(INDEX('Raw Period DMR Data'!N:N,MATCH(1,(B1289='Raw Period DMR Data'!$A:$A)*(U1289='Raw Period DMR Data'!M:M)*(X1289='Raw Period DMR Data'!C:C),0),1), "N/A")</f>
        <v>N/A</v>
      </c>
      <c r="W1289" s="28" t="s">
        <v>1463</v>
      </c>
      <c r="X1289" s="28" t="s">
        <v>951</v>
      </c>
      <c r="Y1289" s="28" t="s">
        <v>952</v>
      </c>
      <c r="Z1289" s="28">
        <v>15010015000432</v>
      </c>
      <c r="AA1289" s="28"/>
      <c r="AB1289" s="28" t="s">
        <v>1465</v>
      </c>
      <c r="AC1289" s="28" t="s">
        <v>1466</v>
      </c>
    </row>
    <row r="1290" spans="1:29" x14ac:dyDescent="0.25">
      <c r="A1290" s="61">
        <v>110004306938</v>
      </c>
      <c r="B1290" s="28">
        <v>2019</v>
      </c>
      <c r="C1290" s="68">
        <f t="shared" si="20"/>
        <v>43466</v>
      </c>
      <c r="D1290" s="28" t="s">
        <v>198</v>
      </c>
      <c r="E1290" s="28" t="s">
        <v>656</v>
      </c>
      <c r="F1290" s="28" t="s">
        <v>657</v>
      </c>
      <c r="G1290" s="28" t="s">
        <v>418</v>
      </c>
      <c r="H1290" s="28">
        <v>89109</v>
      </c>
      <c r="I1290" s="28">
        <v>36.122100000000003</v>
      </c>
      <c r="J1290" s="28">
        <v>-115.17139</v>
      </c>
      <c r="L1290" s="61">
        <v>110004306938</v>
      </c>
      <c r="M1290" s="28" t="s">
        <v>264</v>
      </c>
      <c r="N1290" s="28">
        <v>7011</v>
      </c>
      <c r="O1290" s="28" t="str">
        <f>IFERROR(VLOOKUP(N1290, 'SIC &amp; NAICS Codes'!A:B, 2, FALSE), "")</f>
        <v>Hotels and Motels (hotels, except casino hotels, and motels)</v>
      </c>
      <c r="S1290" s="28">
        <v>7.4878655000000004E-3</v>
      </c>
      <c r="T1290" s="315">
        <f>_xlfn.MAXIFS('Raw Period DMR Data'!$O:$O,'Raw Period DMR Data'!$A:$A,'Raw Annual DMR Data'!B1290,'Raw Period DMR Data'!$C:$C,X1290)/S1290</f>
        <v>0</v>
      </c>
      <c r="U1290" s="28" t="str">
        <f>+IF(COUNTIFS('Raw Period DMR Data'!$A:$A,B1290, 'Raw Period DMR Data'!C:C,'Raw Annual DMR Data'!X1290, 'Raw Period DMR Data'!M:M, "&gt;0")&gt;0,_xlfn.MAXIFS('Raw Period DMR Data'!M:M,'Raw Period DMR Data'!$A:$A,'Raw Annual DMR Data'!B1290,'Raw Period DMR Data'!C:C,'Raw Annual DMR Data'!X1290), "N/A - Period DMR Data Not Available")</f>
        <v>N/A - Period DMR Data Not Available</v>
      </c>
      <c r="V1290" s="28" t="str" cm="1">
        <f t="array" ref="V1290">IFERROR(INDEX('Raw Period DMR Data'!N:N,MATCH(1,(B1290='Raw Period DMR Data'!$A:$A)*(U1290='Raw Period DMR Data'!M:M)*(X1290='Raw Period DMR Data'!C:C),0),1), "N/A")</f>
        <v>N/A</v>
      </c>
      <c r="W1290" s="28" t="s">
        <v>1463</v>
      </c>
      <c r="X1290" s="28" t="s">
        <v>951</v>
      </c>
      <c r="Y1290" s="28" t="s">
        <v>952</v>
      </c>
      <c r="Z1290" s="28">
        <v>15010015000432</v>
      </c>
      <c r="AA1290" s="28"/>
      <c r="AB1290" s="28" t="s">
        <v>1465</v>
      </c>
      <c r="AC1290" s="28" t="s">
        <v>1466</v>
      </c>
    </row>
    <row r="1291" spans="1:29" x14ac:dyDescent="0.25">
      <c r="A1291" s="61">
        <v>110004306938</v>
      </c>
      <c r="B1291" s="28">
        <v>2019</v>
      </c>
      <c r="C1291" s="68">
        <f t="shared" si="20"/>
        <v>43466</v>
      </c>
      <c r="D1291" s="28" t="s">
        <v>198</v>
      </c>
      <c r="E1291" s="28" t="s">
        <v>656</v>
      </c>
      <c r="F1291" s="28" t="s">
        <v>657</v>
      </c>
      <c r="G1291" s="28" t="s">
        <v>418</v>
      </c>
      <c r="H1291" s="28">
        <v>89109</v>
      </c>
      <c r="I1291" s="28">
        <v>36.122100000000003</v>
      </c>
      <c r="J1291" s="28">
        <v>-115.17139</v>
      </c>
      <c r="L1291" s="61">
        <v>110004306938</v>
      </c>
      <c r="M1291" s="28" t="s">
        <v>264</v>
      </c>
      <c r="N1291" s="28">
        <v>7011</v>
      </c>
      <c r="O1291" s="28" t="str">
        <f>IFERROR(VLOOKUP(N1291, 'SIC &amp; NAICS Codes'!A:B, 2, FALSE), "")</f>
        <v>Hotels and Motels (hotels, except casino hotels, and motels)</v>
      </c>
      <c r="S1291" s="28">
        <v>0.1224687374375</v>
      </c>
      <c r="T1291" s="315">
        <f>_xlfn.MAXIFS('Raw Period DMR Data'!$O:$O,'Raw Period DMR Data'!$A:$A,'Raw Annual DMR Data'!B1291,'Raw Period DMR Data'!$C:$C,X1291)/S1291</f>
        <v>0</v>
      </c>
      <c r="U1291" s="28" t="str">
        <f>+IF(COUNTIFS('Raw Period DMR Data'!$A:$A,B1291, 'Raw Period DMR Data'!C:C,'Raw Annual DMR Data'!X1291, 'Raw Period DMR Data'!M:M, "&gt;0")&gt;0,_xlfn.MAXIFS('Raw Period DMR Data'!M:M,'Raw Period DMR Data'!$A:$A,'Raw Annual DMR Data'!B1291,'Raw Period DMR Data'!C:C,'Raw Annual DMR Data'!X1291), "N/A - Period DMR Data Not Available")</f>
        <v>N/A - Period DMR Data Not Available</v>
      </c>
      <c r="V1291" s="28" t="str" cm="1">
        <f t="array" ref="V1291">IFERROR(INDEX('Raw Period DMR Data'!N:N,MATCH(1,(B1291='Raw Period DMR Data'!$A:$A)*(U1291='Raw Period DMR Data'!M:M)*(X1291='Raw Period DMR Data'!C:C),0),1), "N/A")</f>
        <v>N/A</v>
      </c>
      <c r="W1291" s="28" t="s">
        <v>1463</v>
      </c>
      <c r="X1291" s="28" t="s">
        <v>951</v>
      </c>
      <c r="Y1291" s="28" t="s">
        <v>952</v>
      </c>
      <c r="Z1291" s="28">
        <v>15010015000432</v>
      </c>
      <c r="AA1291" s="28"/>
      <c r="AB1291" s="28" t="s">
        <v>1465</v>
      </c>
      <c r="AC1291" s="28" t="s">
        <v>1466</v>
      </c>
    </row>
    <row r="1292" spans="1:29" x14ac:dyDescent="0.25">
      <c r="A1292" s="61">
        <v>110004306938</v>
      </c>
      <c r="B1292" s="28">
        <v>2019</v>
      </c>
      <c r="C1292" s="68">
        <f t="shared" si="20"/>
        <v>43466</v>
      </c>
      <c r="D1292" s="28" t="s">
        <v>198</v>
      </c>
      <c r="E1292" s="28" t="s">
        <v>656</v>
      </c>
      <c r="F1292" s="28" t="s">
        <v>657</v>
      </c>
      <c r="G1292" s="28" t="s">
        <v>418</v>
      </c>
      <c r="H1292" s="28">
        <v>89109</v>
      </c>
      <c r="I1292" s="28">
        <v>36.122100000000003</v>
      </c>
      <c r="J1292" s="28">
        <v>-115.17139</v>
      </c>
      <c r="L1292" s="61">
        <v>110004306938</v>
      </c>
      <c r="M1292" s="28" t="s">
        <v>264</v>
      </c>
      <c r="N1292" s="28">
        <v>7011</v>
      </c>
      <c r="O1292" s="28" t="str">
        <f>IFERROR(VLOOKUP(N1292, 'SIC &amp; NAICS Codes'!A:B, 2, FALSE), "")</f>
        <v>Hotels and Motels (hotels, except casino hotels, and motels)</v>
      </c>
      <c r="S1292" s="28">
        <v>1.34456920625E-2</v>
      </c>
      <c r="T1292" s="315">
        <f>_xlfn.MAXIFS('Raw Period DMR Data'!$O:$O,'Raw Period DMR Data'!$A:$A,'Raw Annual DMR Data'!B1292,'Raw Period DMR Data'!$C:$C,X1292)/S1292</f>
        <v>0</v>
      </c>
      <c r="U1292" s="28" t="str">
        <f>+IF(COUNTIFS('Raw Period DMR Data'!$A:$A,B1292, 'Raw Period DMR Data'!C:C,'Raw Annual DMR Data'!X1292, 'Raw Period DMR Data'!M:M, "&gt;0")&gt;0,_xlfn.MAXIFS('Raw Period DMR Data'!M:M,'Raw Period DMR Data'!$A:$A,'Raw Annual DMR Data'!B1292,'Raw Period DMR Data'!C:C,'Raw Annual DMR Data'!X1292), "N/A - Period DMR Data Not Available")</f>
        <v>N/A - Period DMR Data Not Available</v>
      </c>
      <c r="V1292" s="28" t="str" cm="1">
        <f t="array" ref="V1292">IFERROR(INDEX('Raw Period DMR Data'!N:N,MATCH(1,(B1292='Raw Period DMR Data'!$A:$A)*(U1292='Raw Period DMR Data'!M:M)*(X1292='Raw Period DMR Data'!C:C),0),1), "N/A")</f>
        <v>N/A</v>
      </c>
      <c r="W1292" s="28" t="s">
        <v>1463</v>
      </c>
      <c r="X1292" s="28" t="s">
        <v>951</v>
      </c>
      <c r="Y1292" s="28" t="s">
        <v>952</v>
      </c>
      <c r="Z1292" s="28">
        <v>15010015000432</v>
      </c>
      <c r="AA1292" s="28"/>
      <c r="AB1292" s="28" t="s">
        <v>1465</v>
      </c>
      <c r="AC1292" s="28" t="s">
        <v>1466</v>
      </c>
    </row>
    <row r="1293" spans="1:29" x14ac:dyDescent="0.25">
      <c r="A1293" s="61">
        <v>110004306938</v>
      </c>
      <c r="B1293" s="28">
        <v>2019</v>
      </c>
      <c r="C1293" s="68">
        <f t="shared" si="20"/>
        <v>43466</v>
      </c>
      <c r="D1293" s="28" t="s">
        <v>198</v>
      </c>
      <c r="E1293" s="28" t="s">
        <v>656</v>
      </c>
      <c r="F1293" s="28" t="s">
        <v>657</v>
      </c>
      <c r="G1293" s="28" t="s">
        <v>418</v>
      </c>
      <c r="H1293" s="28">
        <v>89109</v>
      </c>
      <c r="I1293" s="28">
        <v>36.122100000000003</v>
      </c>
      <c r="J1293" s="28">
        <v>-115.17139</v>
      </c>
      <c r="L1293" s="61">
        <v>110004306938</v>
      </c>
      <c r="M1293" s="28" t="s">
        <v>264</v>
      </c>
      <c r="N1293" s="28">
        <v>7011</v>
      </c>
      <c r="O1293" s="28" t="str">
        <f>IFERROR(VLOOKUP(N1293, 'SIC &amp; NAICS Codes'!A:B, 2, FALSE), "")</f>
        <v>Hotels and Motels (hotels, except casino hotels, and motels)</v>
      </c>
      <c r="S1293" s="28">
        <v>4.2723660624999996E-3</v>
      </c>
      <c r="T1293" s="315">
        <f>_xlfn.MAXIFS('Raw Period DMR Data'!$O:$O,'Raw Period DMR Data'!$A:$A,'Raw Annual DMR Data'!B1293,'Raw Period DMR Data'!$C:$C,X1293)/S1293</f>
        <v>0</v>
      </c>
      <c r="U1293" s="28" t="str">
        <f>+IF(COUNTIFS('Raw Period DMR Data'!$A:$A,B1293, 'Raw Period DMR Data'!C:C,'Raw Annual DMR Data'!X1293, 'Raw Period DMR Data'!M:M, "&gt;0")&gt;0,_xlfn.MAXIFS('Raw Period DMR Data'!M:M,'Raw Period DMR Data'!$A:$A,'Raw Annual DMR Data'!B1293,'Raw Period DMR Data'!C:C,'Raw Annual DMR Data'!X1293), "N/A - Period DMR Data Not Available")</f>
        <v>N/A - Period DMR Data Not Available</v>
      </c>
      <c r="V1293" s="28" t="str" cm="1">
        <f t="array" ref="V1293">IFERROR(INDEX('Raw Period DMR Data'!N:N,MATCH(1,(B1293='Raw Period DMR Data'!$A:$A)*(U1293='Raw Period DMR Data'!M:M)*(X1293='Raw Period DMR Data'!C:C),0),1), "N/A")</f>
        <v>N/A</v>
      </c>
      <c r="W1293" s="28" t="s">
        <v>1463</v>
      </c>
      <c r="X1293" s="28" t="s">
        <v>951</v>
      </c>
      <c r="Y1293" s="28" t="s">
        <v>952</v>
      </c>
      <c r="Z1293" s="28">
        <v>15010015000432</v>
      </c>
      <c r="AA1293" s="28"/>
      <c r="AB1293" s="28" t="s">
        <v>1465</v>
      </c>
      <c r="AC1293" s="28" t="s">
        <v>1466</v>
      </c>
    </row>
    <row r="1294" spans="1:29" x14ac:dyDescent="0.25">
      <c r="A1294" s="61">
        <v>110004306938</v>
      </c>
      <c r="B1294" s="28">
        <v>2019</v>
      </c>
      <c r="C1294" s="68">
        <f t="shared" si="20"/>
        <v>43466</v>
      </c>
      <c r="D1294" s="28" t="s">
        <v>198</v>
      </c>
      <c r="E1294" s="28" t="s">
        <v>656</v>
      </c>
      <c r="F1294" s="28" t="s">
        <v>657</v>
      </c>
      <c r="G1294" s="28" t="s">
        <v>418</v>
      </c>
      <c r="H1294" s="28">
        <v>89109</v>
      </c>
      <c r="I1294" s="28">
        <v>36.122100000000003</v>
      </c>
      <c r="J1294" s="28">
        <v>-115.17139</v>
      </c>
      <c r="L1294" s="61">
        <v>110004306938</v>
      </c>
      <c r="M1294" s="28" t="s">
        <v>264</v>
      </c>
      <c r="N1294" s="28">
        <v>7011</v>
      </c>
      <c r="O1294" s="28" t="str">
        <f>IFERROR(VLOOKUP(N1294, 'SIC &amp; NAICS Codes'!A:B, 2, FALSE), "")</f>
        <v>Hotels and Motels (hotels, except casino hotels, and motels)</v>
      </c>
      <c r="S1294" s="28">
        <v>3.61579630625E-2</v>
      </c>
      <c r="T1294" s="315">
        <f>_xlfn.MAXIFS('Raw Period DMR Data'!$O:$O,'Raw Period DMR Data'!$A:$A,'Raw Annual DMR Data'!B1294,'Raw Period DMR Data'!$C:$C,X1294)/S1294</f>
        <v>0</v>
      </c>
      <c r="U1294" s="28" t="str">
        <f>+IF(COUNTIFS('Raw Period DMR Data'!$A:$A,B1294, 'Raw Period DMR Data'!C:C,'Raw Annual DMR Data'!X1294, 'Raw Period DMR Data'!M:M, "&gt;0")&gt;0,_xlfn.MAXIFS('Raw Period DMR Data'!M:M,'Raw Period DMR Data'!$A:$A,'Raw Annual DMR Data'!B1294,'Raw Period DMR Data'!C:C,'Raw Annual DMR Data'!X1294), "N/A - Period DMR Data Not Available")</f>
        <v>N/A - Period DMR Data Not Available</v>
      </c>
      <c r="V1294" s="28" t="str" cm="1">
        <f t="array" ref="V1294">IFERROR(INDEX('Raw Period DMR Data'!N:N,MATCH(1,(B1294='Raw Period DMR Data'!$A:$A)*(U1294='Raw Period DMR Data'!M:M)*(X1294='Raw Period DMR Data'!C:C),0),1), "N/A")</f>
        <v>N/A</v>
      </c>
      <c r="W1294" s="28" t="s">
        <v>1463</v>
      </c>
      <c r="X1294" s="28" t="s">
        <v>951</v>
      </c>
      <c r="Y1294" s="28" t="s">
        <v>952</v>
      </c>
      <c r="Z1294" s="28">
        <v>15010015000432</v>
      </c>
      <c r="AA1294" s="28"/>
      <c r="AB1294" s="28" t="s">
        <v>1465</v>
      </c>
      <c r="AC1294" s="28" t="s">
        <v>1466</v>
      </c>
    </row>
    <row r="1295" spans="1:29" x14ac:dyDescent="0.25">
      <c r="A1295" s="61">
        <v>110004306938</v>
      </c>
      <c r="B1295" s="28">
        <v>2019</v>
      </c>
      <c r="C1295" s="68">
        <f t="shared" si="20"/>
        <v>43466</v>
      </c>
      <c r="D1295" s="28" t="s">
        <v>198</v>
      </c>
      <c r="E1295" s="28" t="s">
        <v>656</v>
      </c>
      <c r="F1295" s="28" t="s">
        <v>657</v>
      </c>
      <c r="G1295" s="28" t="s">
        <v>418</v>
      </c>
      <c r="H1295" s="28">
        <v>89109</v>
      </c>
      <c r="I1295" s="28">
        <v>36.122100000000003</v>
      </c>
      <c r="J1295" s="28">
        <v>-115.17139</v>
      </c>
      <c r="L1295" s="61">
        <v>110004306938</v>
      </c>
      <c r="M1295" s="28" t="s">
        <v>264</v>
      </c>
      <c r="N1295" s="28">
        <v>7011</v>
      </c>
      <c r="O1295" s="28" t="str">
        <f>IFERROR(VLOOKUP(N1295, 'SIC &amp; NAICS Codes'!A:B, 2, FALSE), "")</f>
        <v>Hotels and Motels (hotels, except casino hotels, and motels)</v>
      </c>
      <c r="S1295" s="28">
        <v>1.5086253000000001E-2</v>
      </c>
      <c r="T1295" s="315">
        <f>_xlfn.MAXIFS('Raw Period DMR Data'!$O:$O,'Raw Period DMR Data'!$A:$A,'Raw Annual DMR Data'!B1295,'Raw Period DMR Data'!$C:$C,X1295)/S1295</f>
        <v>0</v>
      </c>
      <c r="U1295" s="28" t="str">
        <f>+IF(COUNTIFS('Raw Period DMR Data'!$A:$A,B1295, 'Raw Period DMR Data'!C:C,'Raw Annual DMR Data'!X1295, 'Raw Period DMR Data'!M:M, "&gt;0")&gt;0,_xlfn.MAXIFS('Raw Period DMR Data'!M:M,'Raw Period DMR Data'!$A:$A,'Raw Annual DMR Data'!B1295,'Raw Period DMR Data'!C:C,'Raw Annual DMR Data'!X1295), "N/A - Period DMR Data Not Available")</f>
        <v>N/A - Period DMR Data Not Available</v>
      </c>
      <c r="V1295" s="28" t="str" cm="1">
        <f t="array" ref="V1295">IFERROR(INDEX('Raw Period DMR Data'!N:N,MATCH(1,(B1295='Raw Period DMR Data'!$A:$A)*(U1295='Raw Period DMR Data'!M:M)*(X1295='Raw Period DMR Data'!C:C),0),1), "N/A")</f>
        <v>N/A</v>
      </c>
      <c r="W1295" s="28" t="s">
        <v>1463</v>
      </c>
      <c r="X1295" s="28" t="s">
        <v>951</v>
      </c>
      <c r="Y1295" s="28" t="s">
        <v>952</v>
      </c>
      <c r="Z1295" s="28">
        <v>15010015000432</v>
      </c>
      <c r="AA1295" s="28"/>
      <c r="AB1295" s="28" t="s">
        <v>1465</v>
      </c>
      <c r="AC1295" s="28" t="s">
        <v>1466</v>
      </c>
    </row>
    <row r="1296" spans="1:29" x14ac:dyDescent="0.25">
      <c r="A1296" s="61">
        <v>110004306938</v>
      </c>
      <c r="B1296" s="28">
        <v>2020</v>
      </c>
      <c r="C1296" s="68">
        <f t="shared" si="20"/>
        <v>43831</v>
      </c>
      <c r="D1296" s="28" t="s">
        <v>198</v>
      </c>
      <c r="E1296" s="28" t="s">
        <v>656</v>
      </c>
      <c r="F1296" s="28" t="s">
        <v>657</v>
      </c>
      <c r="G1296" s="28" t="s">
        <v>418</v>
      </c>
      <c r="H1296" s="28">
        <v>89109</v>
      </c>
      <c r="I1296" s="28">
        <v>36.122100000000003</v>
      </c>
      <c r="J1296" s="28">
        <v>-115.17139</v>
      </c>
      <c r="L1296" s="61">
        <v>110004306938</v>
      </c>
      <c r="M1296" s="28" t="s">
        <v>264</v>
      </c>
      <c r="N1296" s="28">
        <v>7011</v>
      </c>
      <c r="O1296" s="28" t="str">
        <f>IFERROR(VLOOKUP(N1296, 'SIC &amp; NAICS Codes'!A:B, 2, FALSE), "")</f>
        <v>Hotels and Motels (hotels, except casino hotels, and motels)</v>
      </c>
      <c r="S1296" s="28">
        <v>2.5523674375E-3</v>
      </c>
      <c r="T1296" s="315">
        <f>_xlfn.MAXIFS('Raw Period DMR Data'!$O:$O,'Raw Period DMR Data'!$A:$A,'Raw Annual DMR Data'!B1296,'Raw Period DMR Data'!$C:$C,X1296)/S1296</f>
        <v>0</v>
      </c>
      <c r="U1296" s="28" t="str">
        <f>+IF(COUNTIFS('Raw Period DMR Data'!$A:$A,B1296, 'Raw Period DMR Data'!C:C,'Raw Annual DMR Data'!X1296, 'Raw Period DMR Data'!M:M, "&gt;0")&gt;0,_xlfn.MAXIFS('Raw Period DMR Data'!M:M,'Raw Period DMR Data'!$A:$A,'Raw Annual DMR Data'!B1296,'Raw Period DMR Data'!C:C,'Raw Annual DMR Data'!X1296), "N/A - Period DMR Data Not Available")</f>
        <v>N/A - Period DMR Data Not Available</v>
      </c>
      <c r="V1296" s="28" t="str" cm="1">
        <f t="array" ref="V1296">IFERROR(INDEX('Raw Period DMR Data'!N:N,MATCH(1,(B1296='Raw Period DMR Data'!$A:$A)*(U1296='Raw Period DMR Data'!M:M)*(X1296='Raw Period DMR Data'!C:C),0),1), "N/A")</f>
        <v>N/A</v>
      </c>
      <c r="W1296" s="28" t="s">
        <v>1463</v>
      </c>
      <c r="X1296" s="28" t="s">
        <v>951</v>
      </c>
      <c r="Y1296" s="28" t="s">
        <v>952</v>
      </c>
      <c r="Z1296" s="28">
        <v>15010015000432</v>
      </c>
      <c r="AA1296" s="28"/>
      <c r="AB1296" s="28" t="s">
        <v>1465</v>
      </c>
      <c r="AC1296" s="28" t="s">
        <v>1466</v>
      </c>
    </row>
    <row r="1297" spans="1:29" x14ac:dyDescent="0.25">
      <c r="A1297" s="61">
        <v>110004306938</v>
      </c>
      <c r="B1297" s="28">
        <v>2020</v>
      </c>
      <c r="C1297" s="68">
        <f t="shared" si="20"/>
        <v>43831</v>
      </c>
      <c r="D1297" s="28" t="s">
        <v>198</v>
      </c>
      <c r="E1297" s="28" t="s">
        <v>656</v>
      </c>
      <c r="F1297" s="28" t="s">
        <v>657</v>
      </c>
      <c r="G1297" s="28" t="s">
        <v>418</v>
      </c>
      <c r="H1297" s="28">
        <v>89109</v>
      </c>
      <c r="I1297" s="28">
        <v>36.122100000000003</v>
      </c>
      <c r="J1297" s="28">
        <v>-115.17139</v>
      </c>
      <c r="L1297" s="61">
        <v>110004306938</v>
      </c>
      <c r="M1297" s="28" t="s">
        <v>264</v>
      </c>
      <c r="N1297" s="28">
        <v>7011</v>
      </c>
      <c r="O1297" s="28" t="str">
        <f>IFERROR(VLOOKUP(N1297, 'SIC &amp; NAICS Codes'!A:B, 2, FALSE), "")</f>
        <v>Hotels and Motels (hotels, except casino hotels, and motels)</v>
      </c>
      <c r="S1297" s="28">
        <v>3.2673066249999999E-3</v>
      </c>
      <c r="T1297" s="315">
        <f>_xlfn.MAXIFS('Raw Period DMR Data'!$O:$O,'Raw Period DMR Data'!$A:$A,'Raw Annual DMR Data'!B1297,'Raw Period DMR Data'!$C:$C,X1297)/S1297</f>
        <v>0</v>
      </c>
      <c r="U1297" s="28" t="str">
        <f>+IF(COUNTIFS('Raw Period DMR Data'!$A:$A,B1297, 'Raw Period DMR Data'!C:C,'Raw Annual DMR Data'!X1297, 'Raw Period DMR Data'!M:M, "&gt;0")&gt;0,_xlfn.MAXIFS('Raw Period DMR Data'!M:M,'Raw Period DMR Data'!$A:$A,'Raw Annual DMR Data'!B1297,'Raw Period DMR Data'!C:C,'Raw Annual DMR Data'!X1297), "N/A - Period DMR Data Not Available")</f>
        <v>N/A - Period DMR Data Not Available</v>
      </c>
      <c r="V1297" s="28" t="str" cm="1">
        <f t="array" ref="V1297">IFERROR(INDEX('Raw Period DMR Data'!N:N,MATCH(1,(B1297='Raw Period DMR Data'!$A:$A)*(U1297='Raw Period DMR Data'!M:M)*(X1297='Raw Period DMR Data'!C:C),0),1), "N/A")</f>
        <v>N/A</v>
      </c>
      <c r="W1297" s="28" t="s">
        <v>1463</v>
      </c>
      <c r="X1297" s="28" t="s">
        <v>951</v>
      </c>
      <c r="Y1297" s="28" t="s">
        <v>952</v>
      </c>
      <c r="Z1297" s="28">
        <v>15010015000432</v>
      </c>
      <c r="AA1297" s="28"/>
      <c r="AB1297" s="28" t="s">
        <v>1465</v>
      </c>
      <c r="AC1297" s="28" t="s">
        <v>1466</v>
      </c>
    </row>
    <row r="1298" spans="1:29" x14ac:dyDescent="0.25">
      <c r="A1298" s="61">
        <v>110004306938</v>
      </c>
      <c r="B1298" s="28">
        <v>2020</v>
      </c>
      <c r="C1298" s="68">
        <f t="shared" si="20"/>
        <v>43831</v>
      </c>
      <c r="D1298" s="28" t="s">
        <v>198</v>
      </c>
      <c r="E1298" s="28" t="s">
        <v>656</v>
      </c>
      <c r="F1298" s="28" t="s">
        <v>657</v>
      </c>
      <c r="G1298" s="28" t="s">
        <v>418</v>
      </c>
      <c r="H1298" s="28">
        <v>89109</v>
      </c>
      <c r="I1298" s="28">
        <v>36.122100000000003</v>
      </c>
      <c r="J1298" s="28">
        <v>-115.17139</v>
      </c>
      <c r="L1298" s="61">
        <v>110004306938</v>
      </c>
      <c r="M1298" s="28" t="s">
        <v>264</v>
      </c>
      <c r="N1298" s="28">
        <v>7011</v>
      </c>
      <c r="O1298" s="28" t="str">
        <f>IFERROR(VLOOKUP(N1298, 'SIC &amp; NAICS Codes'!A:B, 2, FALSE), "")</f>
        <v>Hotels and Motels (hotels, except casino hotels, and motels)</v>
      </c>
      <c r="S1298" s="28">
        <v>3.1084312499999998E-4</v>
      </c>
      <c r="T1298" s="315">
        <f>_xlfn.MAXIFS('Raw Period DMR Data'!$O:$O,'Raw Period DMR Data'!$A:$A,'Raw Annual DMR Data'!B1298,'Raw Period DMR Data'!$C:$C,X1298)/S1298</f>
        <v>0</v>
      </c>
      <c r="U1298" s="28" t="str">
        <f>+IF(COUNTIFS('Raw Period DMR Data'!$A:$A,B1298, 'Raw Period DMR Data'!C:C,'Raw Annual DMR Data'!X1298, 'Raw Period DMR Data'!M:M, "&gt;0")&gt;0,_xlfn.MAXIFS('Raw Period DMR Data'!M:M,'Raw Period DMR Data'!$A:$A,'Raw Annual DMR Data'!B1298,'Raw Period DMR Data'!C:C,'Raw Annual DMR Data'!X1298), "N/A - Period DMR Data Not Available")</f>
        <v>N/A - Period DMR Data Not Available</v>
      </c>
      <c r="V1298" s="28" t="str" cm="1">
        <f t="array" ref="V1298">IFERROR(INDEX('Raw Period DMR Data'!N:N,MATCH(1,(B1298='Raw Period DMR Data'!$A:$A)*(U1298='Raw Period DMR Data'!M:M)*(X1298='Raw Period DMR Data'!C:C),0),1), "N/A")</f>
        <v>N/A</v>
      </c>
      <c r="W1298" s="28" t="s">
        <v>1463</v>
      </c>
      <c r="X1298" s="28" t="s">
        <v>951</v>
      </c>
      <c r="Y1298" s="28" t="s">
        <v>952</v>
      </c>
      <c r="Z1298" s="28">
        <v>15010015000432</v>
      </c>
      <c r="AA1298" s="28"/>
      <c r="AB1298" s="28" t="s">
        <v>1465</v>
      </c>
      <c r="AC1298" s="28" t="s">
        <v>1466</v>
      </c>
    </row>
    <row r="1299" spans="1:29" x14ac:dyDescent="0.25">
      <c r="A1299" s="61">
        <v>110004306938</v>
      </c>
      <c r="B1299" s="28">
        <v>2020</v>
      </c>
      <c r="C1299" s="68">
        <f t="shared" si="20"/>
        <v>43831</v>
      </c>
      <c r="D1299" s="28" t="s">
        <v>198</v>
      </c>
      <c r="E1299" s="28" t="s">
        <v>656</v>
      </c>
      <c r="F1299" s="28" t="s">
        <v>657</v>
      </c>
      <c r="G1299" s="28" t="s">
        <v>418</v>
      </c>
      <c r="H1299" s="28">
        <v>89109</v>
      </c>
      <c r="I1299" s="28">
        <v>36.122100000000003</v>
      </c>
      <c r="J1299" s="28">
        <v>-115.17139</v>
      </c>
      <c r="L1299" s="61">
        <v>110004306938</v>
      </c>
      <c r="M1299" s="28" t="s">
        <v>264</v>
      </c>
      <c r="N1299" s="28">
        <v>7011</v>
      </c>
      <c r="O1299" s="28" t="str">
        <f>IFERROR(VLOOKUP(N1299, 'SIC &amp; NAICS Codes'!A:B, 2, FALSE), "")</f>
        <v>Hotels and Motels (hotels, except casino hotels, and motels)</v>
      </c>
      <c r="S1299" s="28">
        <v>8.7864989999999997E-3</v>
      </c>
      <c r="T1299" s="315">
        <f>_xlfn.MAXIFS('Raw Period DMR Data'!$O:$O,'Raw Period DMR Data'!$A:$A,'Raw Annual DMR Data'!B1299,'Raw Period DMR Data'!$C:$C,X1299)/S1299</f>
        <v>0</v>
      </c>
      <c r="U1299" s="28" t="str">
        <f>+IF(COUNTIFS('Raw Period DMR Data'!$A:$A,B1299, 'Raw Period DMR Data'!C:C,'Raw Annual DMR Data'!X1299, 'Raw Period DMR Data'!M:M, "&gt;0")&gt;0,_xlfn.MAXIFS('Raw Period DMR Data'!M:M,'Raw Period DMR Data'!$A:$A,'Raw Annual DMR Data'!B1299,'Raw Period DMR Data'!C:C,'Raw Annual DMR Data'!X1299), "N/A - Period DMR Data Not Available")</f>
        <v>N/A - Period DMR Data Not Available</v>
      </c>
      <c r="V1299" s="28" t="str" cm="1">
        <f t="array" ref="V1299">IFERROR(INDEX('Raw Period DMR Data'!N:N,MATCH(1,(B1299='Raw Period DMR Data'!$A:$A)*(U1299='Raw Period DMR Data'!M:M)*(X1299='Raw Period DMR Data'!C:C),0),1), "N/A")</f>
        <v>N/A</v>
      </c>
      <c r="W1299" s="28" t="s">
        <v>1463</v>
      </c>
      <c r="X1299" s="28" t="s">
        <v>951</v>
      </c>
      <c r="Y1299" s="28" t="s">
        <v>952</v>
      </c>
      <c r="Z1299" s="28">
        <v>15010015000432</v>
      </c>
      <c r="AA1299" s="28"/>
      <c r="AB1299" s="28" t="s">
        <v>1465</v>
      </c>
      <c r="AC1299" s="28" t="s">
        <v>1466</v>
      </c>
    </row>
    <row r="1300" spans="1:29" x14ac:dyDescent="0.25">
      <c r="A1300" s="61">
        <v>110004306938</v>
      </c>
      <c r="B1300" s="28">
        <v>2020</v>
      </c>
      <c r="C1300" s="68">
        <f t="shared" si="20"/>
        <v>43831</v>
      </c>
      <c r="D1300" s="28" t="s">
        <v>198</v>
      </c>
      <c r="E1300" s="28" t="s">
        <v>656</v>
      </c>
      <c r="F1300" s="28" t="s">
        <v>657</v>
      </c>
      <c r="G1300" s="28" t="s">
        <v>418</v>
      </c>
      <c r="H1300" s="28">
        <v>89109</v>
      </c>
      <c r="I1300" s="28">
        <v>36.122100000000003</v>
      </c>
      <c r="J1300" s="28">
        <v>-115.17139</v>
      </c>
      <c r="L1300" s="61">
        <v>110004306938</v>
      </c>
      <c r="M1300" s="28" t="s">
        <v>264</v>
      </c>
      <c r="N1300" s="28">
        <v>7011</v>
      </c>
      <c r="O1300" s="28" t="str">
        <f>IFERROR(VLOOKUP(N1300, 'SIC &amp; NAICS Codes'!A:B, 2, FALSE), "")</f>
        <v>Hotels and Motels (hotels, except casino hotels, and motels)</v>
      </c>
      <c r="S1300" s="28">
        <v>6.6727657500000002E-3</v>
      </c>
      <c r="T1300" s="315">
        <f>_xlfn.MAXIFS('Raw Period DMR Data'!$O:$O,'Raw Period DMR Data'!$A:$A,'Raw Annual DMR Data'!B1300,'Raw Period DMR Data'!$C:$C,X1300)/S1300</f>
        <v>0</v>
      </c>
      <c r="U1300" s="28" t="str">
        <f>+IF(COUNTIFS('Raw Period DMR Data'!$A:$A,B1300, 'Raw Period DMR Data'!C:C,'Raw Annual DMR Data'!X1300, 'Raw Period DMR Data'!M:M, "&gt;0")&gt;0,_xlfn.MAXIFS('Raw Period DMR Data'!M:M,'Raw Period DMR Data'!$A:$A,'Raw Annual DMR Data'!B1300,'Raw Period DMR Data'!C:C,'Raw Annual DMR Data'!X1300), "N/A - Period DMR Data Not Available")</f>
        <v>N/A - Period DMR Data Not Available</v>
      </c>
      <c r="V1300" s="28" t="str" cm="1">
        <f t="array" ref="V1300">IFERROR(INDEX('Raw Period DMR Data'!N:N,MATCH(1,(B1300='Raw Period DMR Data'!$A:$A)*(U1300='Raw Period DMR Data'!M:M)*(X1300='Raw Period DMR Data'!C:C),0),1), "N/A")</f>
        <v>N/A</v>
      </c>
      <c r="W1300" s="28" t="s">
        <v>1463</v>
      </c>
      <c r="X1300" s="28" t="s">
        <v>951</v>
      </c>
      <c r="Y1300" s="28" t="s">
        <v>952</v>
      </c>
      <c r="Z1300" s="28">
        <v>15010015000432</v>
      </c>
      <c r="AA1300" s="28"/>
      <c r="AB1300" s="28" t="s">
        <v>1465</v>
      </c>
      <c r="AC1300" s="28" t="s">
        <v>1466</v>
      </c>
    </row>
    <row r="1301" spans="1:29" x14ac:dyDescent="0.25">
      <c r="A1301" s="61">
        <v>110004306938</v>
      </c>
      <c r="B1301" s="28">
        <v>2020</v>
      </c>
      <c r="C1301" s="68">
        <f t="shared" si="20"/>
        <v>43831</v>
      </c>
      <c r="D1301" s="28" t="s">
        <v>198</v>
      </c>
      <c r="E1301" s="28" t="s">
        <v>656</v>
      </c>
      <c r="F1301" s="28" t="s">
        <v>657</v>
      </c>
      <c r="G1301" s="28" t="s">
        <v>418</v>
      </c>
      <c r="H1301" s="28">
        <v>89109</v>
      </c>
      <c r="I1301" s="28">
        <v>36.122100000000003</v>
      </c>
      <c r="J1301" s="28">
        <v>-115.17139</v>
      </c>
      <c r="L1301" s="61">
        <v>110004306938</v>
      </c>
      <c r="M1301" s="28" t="s">
        <v>264</v>
      </c>
      <c r="N1301" s="28">
        <v>7011</v>
      </c>
      <c r="O1301" s="28" t="str">
        <f>IFERROR(VLOOKUP(N1301, 'SIC &amp; NAICS Codes'!A:B, 2, FALSE), "")</f>
        <v>Hotels and Motels (hotels, except casino hotels, and motels)</v>
      </c>
      <c r="S1301" s="28">
        <v>4.2388640812500003E-2</v>
      </c>
      <c r="T1301" s="315">
        <f>_xlfn.MAXIFS('Raw Period DMR Data'!$O:$O,'Raw Period DMR Data'!$A:$A,'Raw Annual DMR Data'!B1301,'Raw Period DMR Data'!$C:$C,X1301)/S1301</f>
        <v>0</v>
      </c>
      <c r="U1301" s="28" t="str">
        <f>+IF(COUNTIFS('Raw Period DMR Data'!$A:$A,B1301, 'Raw Period DMR Data'!C:C,'Raw Annual DMR Data'!X1301, 'Raw Period DMR Data'!M:M, "&gt;0")&gt;0,_xlfn.MAXIFS('Raw Period DMR Data'!M:M,'Raw Period DMR Data'!$A:$A,'Raw Annual DMR Data'!B1301,'Raw Period DMR Data'!C:C,'Raw Annual DMR Data'!X1301), "N/A - Period DMR Data Not Available")</f>
        <v>N/A - Period DMR Data Not Available</v>
      </c>
      <c r="V1301" s="28" t="str" cm="1">
        <f t="array" ref="V1301">IFERROR(INDEX('Raw Period DMR Data'!N:N,MATCH(1,(B1301='Raw Period DMR Data'!$A:$A)*(U1301='Raw Period DMR Data'!M:M)*(X1301='Raw Period DMR Data'!C:C),0),1), "N/A")</f>
        <v>N/A</v>
      </c>
      <c r="W1301" s="28" t="s">
        <v>1463</v>
      </c>
      <c r="X1301" s="28" t="s">
        <v>951</v>
      </c>
      <c r="Y1301" s="28" t="s">
        <v>952</v>
      </c>
      <c r="Z1301" s="28">
        <v>15010015000432</v>
      </c>
      <c r="AA1301" s="28"/>
      <c r="AB1301" s="28" t="s">
        <v>1465</v>
      </c>
      <c r="AC1301" s="28" t="s">
        <v>1466</v>
      </c>
    </row>
    <row r="1302" spans="1:29" x14ac:dyDescent="0.25">
      <c r="A1302" s="61">
        <v>110006040989</v>
      </c>
      <c r="B1302" s="28">
        <v>2019</v>
      </c>
      <c r="C1302" s="68">
        <f t="shared" si="20"/>
        <v>43466</v>
      </c>
      <c r="D1302" s="28" t="s">
        <v>1404</v>
      </c>
      <c r="E1302" s="28" t="s">
        <v>2320</v>
      </c>
      <c r="F1302" s="28" t="s">
        <v>1405</v>
      </c>
      <c r="G1302" s="28" t="s">
        <v>427</v>
      </c>
      <c r="H1302" s="28" t="s">
        <v>2321</v>
      </c>
      <c r="I1302" s="28">
        <v>42.338805999999998</v>
      </c>
      <c r="J1302" s="28">
        <v>-85.144028000000006</v>
      </c>
      <c r="L1302" s="61">
        <v>110006040989</v>
      </c>
      <c r="M1302" s="28" t="s">
        <v>265</v>
      </c>
      <c r="N1302" s="28">
        <v>9999</v>
      </c>
      <c r="O1302" s="28" t="str">
        <f>IFERROR(VLOOKUP(N1302, 'SIC &amp; NAICS Codes'!A:B, 2, FALSE), "")</f>
        <v>Nonclassifiable Establishments</v>
      </c>
      <c r="S1302" s="28">
        <v>0.55194383999999996</v>
      </c>
      <c r="T1302" s="315">
        <f>_xlfn.MAXIFS('Raw Period DMR Data'!$O:$O,'Raw Period DMR Data'!$A:$A,'Raw Annual DMR Data'!B1302,'Raw Period DMR Data'!$C:$C,X1302)/S1302</f>
        <v>0</v>
      </c>
      <c r="U1302" s="28" t="str">
        <f>+IF(COUNTIFS('Raw Period DMR Data'!$A:$A,B1302, 'Raw Period DMR Data'!C:C,'Raw Annual DMR Data'!X1302, 'Raw Period DMR Data'!M:M, "&gt;0")&gt;0,_xlfn.MAXIFS('Raw Period DMR Data'!M:M,'Raw Period DMR Data'!$A:$A,'Raw Annual DMR Data'!B1302,'Raw Period DMR Data'!C:C,'Raw Annual DMR Data'!X1302), "N/A - Period DMR Data Not Available")</f>
        <v>N/A - Period DMR Data Not Available</v>
      </c>
      <c r="V1302" s="28" t="str" cm="1">
        <f t="array" ref="V1302">IFERROR(INDEX('Raw Period DMR Data'!N:N,MATCH(1,(B1302='Raw Period DMR Data'!$A:$A)*(U1302='Raw Period DMR Data'!M:M)*(X1302='Raw Period DMR Data'!C:C),0),1), "N/A")</f>
        <v>N/A</v>
      </c>
      <c r="W1302" s="28" t="s">
        <v>1463</v>
      </c>
      <c r="X1302" s="28" t="s">
        <v>2322</v>
      </c>
      <c r="Y1302" s="28" t="s">
        <v>2323</v>
      </c>
      <c r="Z1302" s="28">
        <v>4050003000125</v>
      </c>
      <c r="AA1302" s="28"/>
      <c r="AB1302" s="28" t="s">
        <v>1465</v>
      </c>
      <c r="AC1302" s="28" t="s">
        <v>1466</v>
      </c>
    </row>
    <row r="1303" spans="1:29" x14ac:dyDescent="0.25">
      <c r="A1303" s="61">
        <v>110006040989</v>
      </c>
      <c r="B1303" s="28">
        <v>2020</v>
      </c>
      <c r="C1303" s="68">
        <f t="shared" si="20"/>
        <v>43831</v>
      </c>
      <c r="D1303" s="28" t="s">
        <v>1404</v>
      </c>
      <c r="E1303" s="28" t="s">
        <v>2320</v>
      </c>
      <c r="F1303" s="28" t="s">
        <v>1405</v>
      </c>
      <c r="G1303" s="28" t="s">
        <v>427</v>
      </c>
      <c r="H1303" s="28" t="s">
        <v>2321</v>
      </c>
      <c r="I1303" s="28">
        <v>42.338805999999998</v>
      </c>
      <c r="J1303" s="28">
        <v>-85.144028000000006</v>
      </c>
      <c r="L1303" s="61">
        <v>110006040989</v>
      </c>
      <c r="M1303" s="28" t="s">
        <v>265</v>
      </c>
      <c r="N1303" s="28">
        <v>9999</v>
      </c>
      <c r="O1303" s="28" t="str">
        <f>IFERROR(VLOOKUP(N1303, 'SIC &amp; NAICS Codes'!A:B, 2, FALSE), "")</f>
        <v>Nonclassifiable Establishments</v>
      </c>
      <c r="S1303" s="28">
        <v>0.90196549999999998</v>
      </c>
      <c r="T1303" s="315">
        <f>_xlfn.MAXIFS('Raw Period DMR Data'!$O:$O,'Raw Period DMR Data'!$A:$A,'Raw Annual DMR Data'!B1303,'Raw Period DMR Data'!$C:$C,X1303)/S1303</f>
        <v>0</v>
      </c>
      <c r="U1303" s="28" t="str">
        <f>+IF(COUNTIFS('Raw Period DMR Data'!$A:$A,B1303, 'Raw Period DMR Data'!C:C,'Raw Annual DMR Data'!X1303, 'Raw Period DMR Data'!M:M, "&gt;0")&gt;0,_xlfn.MAXIFS('Raw Period DMR Data'!M:M,'Raw Period DMR Data'!$A:$A,'Raw Annual DMR Data'!B1303,'Raw Period DMR Data'!C:C,'Raw Annual DMR Data'!X1303), "N/A - Period DMR Data Not Available")</f>
        <v>N/A - Period DMR Data Not Available</v>
      </c>
      <c r="V1303" s="28" t="str" cm="1">
        <f t="array" ref="V1303">IFERROR(INDEX('Raw Period DMR Data'!N:N,MATCH(1,(B1303='Raw Period DMR Data'!$A:$A)*(U1303='Raw Period DMR Data'!M:M)*(X1303='Raw Period DMR Data'!C:C),0),1), "N/A")</f>
        <v>N/A</v>
      </c>
      <c r="W1303" s="28" t="s">
        <v>1463</v>
      </c>
      <c r="X1303" s="28" t="s">
        <v>2322</v>
      </c>
      <c r="Y1303" s="28" t="s">
        <v>2323</v>
      </c>
      <c r="Z1303" s="28">
        <v>4050003000125</v>
      </c>
      <c r="AA1303" s="28"/>
      <c r="AB1303" s="28" t="s">
        <v>1465</v>
      </c>
      <c r="AC1303" s="28" t="s">
        <v>1466</v>
      </c>
    </row>
    <row r="1304" spans="1:29" x14ac:dyDescent="0.25">
      <c r="A1304" s="61">
        <v>110000732226</v>
      </c>
      <c r="B1304" s="28">
        <v>2020</v>
      </c>
      <c r="C1304" s="68">
        <f t="shared" si="20"/>
        <v>43831</v>
      </c>
      <c r="D1304" s="28" t="s">
        <v>1406</v>
      </c>
      <c r="E1304" s="28" t="s">
        <v>2324</v>
      </c>
      <c r="F1304" s="28" t="s">
        <v>1407</v>
      </c>
      <c r="G1304" s="28" t="s">
        <v>324</v>
      </c>
      <c r="H1304" s="28">
        <v>40383</v>
      </c>
      <c r="I1304" s="28">
        <v>38.057777999999999</v>
      </c>
      <c r="J1304" s="28">
        <v>-84.743888999999996</v>
      </c>
      <c r="L1304" s="61">
        <v>110000732226</v>
      </c>
      <c r="M1304" s="28" t="s">
        <v>263</v>
      </c>
      <c r="N1304" s="28">
        <v>4952</v>
      </c>
      <c r="O1304" s="28" t="str">
        <f>IFERROR(VLOOKUP(N1304, 'SIC &amp; NAICS Codes'!A:B, 2, FALSE), "")</f>
        <v>Sewerage Systems</v>
      </c>
      <c r="S1304" s="28">
        <v>5.636622</v>
      </c>
      <c r="T1304" s="315">
        <f>_xlfn.MAXIFS('Raw Period DMR Data'!$O:$O,'Raw Period DMR Data'!$A:$A,'Raw Annual DMR Data'!B1304,'Raw Period DMR Data'!$C:$C,X1304)/S1304</f>
        <v>0</v>
      </c>
      <c r="U1304" s="28" t="str">
        <f>+IF(COUNTIFS('Raw Period DMR Data'!$A:$A,B1304, 'Raw Period DMR Data'!C:C,'Raw Annual DMR Data'!X1304, 'Raw Period DMR Data'!M:M, "&gt;0")&gt;0,_xlfn.MAXIFS('Raw Period DMR Data'!M:M,'Raw Period DMR Data'!$A:$A,'Raw Annual DMR Data'!B1304,'Raw Period DMR Data'!C:C,'Raw Annual DMR Data'!X1304), "N/A - Period DMR Data Not Available")</f>
        <v>N/A - Period DMR Data Not Available</v>
      </c>
      <c r="V1304" s="28" t="str" cm="1">
        <f t="array" ref="V1304">IFERROR(INDEX('Raw Period DMR Data'!N:N,MATCH(1,(B1304='Raw Period DMR Data'!$A:$A)*(U1304='Raw Period DMR Data'!M:M)*(X1304='Raw Period DMR Data'!C:C),0),1), "N/A")</f>
        <v>N/A</v>
      </c>
      <c r="W1304" s="28" t="s">
        <v>1463</v>
      </c>
      <c r="X1304" s="28" t="s">
        <v>2325</v>
      </c>
      <c r="Y1304" s="28" t="s">
        <v>2326</v>
      </c>
      <c r="Z1304" s="28">
        <v>5100205000239</v>
      </c>
      <c r="AA1304" s="28"/>
      <c r="AB1304" s="28" t="s">
        <v>1465</v>
      </c>
      <c r="AC1304" s="28" t="s">
        <v>263</v>
      </c>
    </row>
    <row r="1305" spans="1:29" x14ac:dyDescent="0.25">
      <c r="A1305" s="61">
        <v>110000517637</v>
      </c>
      <c r="B1305" s="28">
        <v>2015</v>
      </c>
      <c r="C1305" s="68">
        <f t="shared" si="20"/>
        <v>42005</v>
      </c>
      <c r="D1305" s="28" t="s">
        <v>1408</v>
      </c>
      <c r="E1305" s="28" t="s">
        <v>2327</v>
      </c>
      <c r="F1305" s="28" t="s">
        <v>1409</v>
      </c>
      <c r="G1305" s="28" t="s">
        <v>366</v>
      </c>
      <c r="H1305" s="28" t="s">
        <v>2328</v>
      </c>
      <c r="I1305" s="28">
        <v>34.616658000000001</v>
      </c>
      <c r="J1305" s="28">
        <v>-117.355048</v>
      </c>
      <c r="L1305" s="61">
        <v>110000517637</v>
      </c>
      <c r="M1305" s="28" t="s">
        <v>263</v>
      </c>
      <c r="N1305" s="28">
        <v>4952</v>
      </c>
      <c r="O1305" s="28" t="str">
        <f>IFERROR(VLOOKUP(N1305, 'SIC &amp; NAICS Codes'!A:B, 2, FALSE), "")</f>
        <v>Sewerage Systems</v>
      </c>
      <c r="S1305" s="28">
        <v>1.86505875</v>
      </c>
      <c r="T1305" s="315">
        <f>_xlfn.MAXIFS('Raw Period DMR Data'!$O:$O,'Raw Period DMR Data'!$A:$A,'Raw Annual DMR Data'!B1305,'Raw Period DMR Data'!$C:$C,X1305)/S1305</f>
        <v>0</v>
      </c>
      <c r="U1305" s="28" t="str">
        <f>+IF(COUNTIFS('Raw Period DMR Data'!$A:$A,B1305, 'Raw Period DMR Data'!C:C,'Raw Annual DMR Data'!X1305, 'Raw Period DMR Data'!M:M, "&gt;0")&gt;0,_xlfn.MAXIFS('Raw Period DMR Data'!M:M,'Raw Period DMR Data'!$A:$A,'Raw Annual DMR Data'!B1305,'Raw Period DMR Data'!C:C,'Raw Annual DMR Data'!X1305), "N/A - Period DMR Data Not Available")</f>
        <v>N/A - Period DMR Data Not Available</v>
      </c>
      <c r="V1305" s="28" t="str" cm="1">
        <f t="array" ref="V1305">IFERROR(INDEX('Raw Period DMR Data'!N:N,MATCH(1,(B1305='Raw Period DMR Data'!$A:$A)*(U1305='Raw Period DMR Data'!M:M)*(X1305='Raw Period DMR Data'!C:C),0),1), "N/A")</f>
        <v>N/A</v>
      </c>
      <c r="W1305" s="28" t="s">
        <v>1463</v>
      </c>
      <c r="X1305" s="28" t="s">
        <v>2329</v>
      </c>
      <c r="Y1305" s="28" t="s">
        <v>2330</v>
      </c>
      <c r="Z1305" s="28">
        <v>18090208000542</v>
      </c>
      <c r="AA1305" s="28"/>
      <c r="AB1305" s="28" t="s">
        <v>1465</v>
      </c>
      <c r="AC1305" s="28" t="s">
        <v>263</v>
      </c>
    </row>
    <row r="1306" spans="1:29" x14ac:dyDescent="0.25">
      <c r="A1306" s="61">
        <v>110000517637</v>
      </c>
      <c r="B1306" s="28">
        <v>2016</v>
      </c>
      <c r="C1306" s="68">
        <f t="shared" si="20"/>
        <v>42370</v>
      </c>
      <c r="D1306" s="28" t="s">
        <v>1408</v>
      </c>
      <c r="E1306" s="28" t="s">
        <v>2327</v>
      </c>
      <c r="F1306" s="28" t="s">
        <v>1409</v>
      </c>
      <c r="G1306" s="28" t="s">
        <v>366</v>
      </c>
      <c r="H1306" s="28" t="s">
        <v>2328</v>
      </c>
      <c r="I1306" s="28">
        <v>34.616658000000001</v>
      </c>
      <c r="J1306" s="28">
        <v>-117.355048</v>
      </c>
      <c r="L1306" s="61">
        <v>110000517637</v>
      </c>
      <c r="M1306" s="28" t="s">
        <v>263</v>
      </c>
      <c r="N1306" s="28">
        <v>4952</v>
      </c>
      <c r="O1306" s="28" t="str">
        <f>IFERROR(VLOOKUP(N1306, 'SIC &amp; NAICS Codes'!A:B, 2, FALSE), "")</f>
        <v>Sewerage Systems</v>
      </c>
      <c r="S1306" s="28">
        <v>0.87036075000000002</v>
      </c>
      <c r="T1306" s="315">
        <f>_xlfn.MAXIFS('Raw Period DMR Data'!$O:$O,'Raw Period DMR Data'!$A:$A,'Raw Annual DMR Data'!B1306,'Raw Period DMR Data'!$C:$C,X1306)/S1306</f>
        <v>0</v>
      </c>
      <c r="U1306" s="28" t="str">
        <f>+IF(COUNTIFS('Raw Period DMR Data'!$A:$A,B1306, 'Raw Period DMR Data'!C:C,'Raw Annual DMR Data'!X1306, 'Raw Period DMR Data'!M:M, "&gt;0")&gt;0,_xlfn.MAXIFS('Raw Period DMR Data'!M:M,'Raw Period DMR Data'!$A:$A,'Raw Annual DMR Data'!B1306,'Raw Period DMR Data'!C:C,'Raw Annual DMR Data'!X1306), "N/A - Period DMR Data Not Available")</f>
        <v>N/A - Period DMR Data Not Available</v>
      </c>
      <c r="V1306" s="28" t="str" cm="1">
        <f t="array" ref="V1306">IFERROR(INDEX('Raw Period DMR Data'!N:N,MATCH(1,(B1306='Raw Period DMR Data'!$A:$A)*(U1306='Raw Period DMR Data'!M:M)*(X1306='Raw Period DMR Data'!C:C),0),1), "N/A")</f>
        <v>N/A</v>
      </c>
      <c r="W1306" s="28" t="s">
        <v>1463</v>
      </c>
      <c r="X1306" s="28" t="s">
        <v>2329</v>
      </c>
      <c r="Y1306" s="28" t="s">
        <v>2330</v>
      </c>
      <c r="Z1306" s="28">
        <v>18090208000542</v>
      </c>
      <c r="AA1306" s="28"/>
      <c r="AB1306" s="28" t="s">
        <v>1465</v>
      </c>
      <c r="AC1306" s="28" t="s">
        <v>263</v>
      </c>
    </row>
    <row r="1307" spans="1:29" x14ac:dyDescent="0.25">
      <c r="A1307" s="61">
        <v>110000517637</v>
      </c>
      <c r="B1307" s="28">
        <v>2017</v>
      </c>
      <c r="C1307" s="68">
        <f t="shared" si="20"/>
        <v>42736</v>
      </c>
      <c r="D1307" s="28" t="s">
        <v>1408</v>
      </c>
      <c r="E1307" s="28" t="s">
        <v>2327</v>
      </c>
      <c r="F1307" s="28" t="s">
        <v>1409</v>
      </c>
      <c r="G1307" s="28" t="s">
        <v>366</v>
      </c>
      <c r="H1307" s="28" t="s">
        <v>2328</v>
      </c>
      <c r="I1307" s="28">
        <v>34.616658000000001</v>
      </c>
      <c r="J1307" s="28">
        <v>-117.355048</v>
      </c>
      <c r="L1307" s="61">
        <v>110000517637</v>
      </c>
      <c r="M1307" s="28" t="s">
        <v>263</v>
      </c>
      <c r="N1307" s="28">
        <v>4952</v>
      </c>
      <c r="O1307" s="28" t="str">
        <f>IFERROR(VLOOKUP(N1307, 'SIC &amp; NAICS Codes'!A:B, 2, FALSE), "")</f>
        <v>Sewerage Systems</v>
      </c>
      <c r="S1307" s="28">
        <v>0.46419240000000001</v>
      </c>
      <c r="T1307" s="315">
        <f>_xlfn.MAXIFS('Raw Period DMR Data'!$O:$O,'Raw Period DMR Data'!$A:$A,'Raw Annual DMR Data'!B1307,'Raw Period DMR Data'!$C:$C,X1307)/S1307</f>
        <v>0</v>
      </c>
      <c r="U1307" s="28" t="str">
        <f>+IF(COUNTIFS('Raw Period DMR Data'!$A:$A,B1307, 'Raw Period DMR Data'!C:C,'Raw Annual DMR Data'!X1307, 'Raw Period DMR Data'!M:M, "&gt;0")&gt;0,_xlfn.MAXIFS('Raw Period DMR Data'!M:M,'Raw Period DMR Data'!$A:$A,'Raw Annual DMR Data'!B1307,'Raw Period DMR Data'!C:C,'Raw Annual DMR Data'!X1307), "N/A - Period DMR Data Not Available")</f>
        <v>N/A - Period DMR Data Not Available</v>
      </c>
      <c r="V1307" s="28" t="str" cm="1">
        <f t="array" ref="V1307">IFERROR(INDEX('Raw Period DMR Data'!N:N,MATCH(1,(B1307='Raw Period DMR Data'!$A:$A)*(U1307='Raw Period DMR Data'!M:M)*(X1307='Raw Period DMR Data'!C:C),0),1), "N/A")</f>
        <v>N/A</v>
      </c>
      <c r="W1307" s="28" t="s">
        <v>1463</v>
      </c>
      <c r="X1307" s="28" t="s">
        <v>2329</v>
      </c>
      <c r="Y1307" s="28" t="s">
        <v>2330</v>
      </c>
      <c r="Z1307" s="28">
        <v>18090208000542</v>
      </c>
      <c r="AA1307" s="28"/>
      <c r="AB1307" s="28" t="s">
        <v>1465</v>
      </c>
      <c r="AC1307" s="28" t="s">
        <v>263</v>
      </c>
    </row>
    <row r="1308" spans="1:29" x14ac:dyDescent="0.25">
      <c r="A1308" s="61">
        <v>110000517637</v>
      </c>
      <c r="B1308" s="28">
        <v>2018</v>
      </c>
      <c r="C1308" s="68">
        <f t="shared" si="20"/>
        <v>43101</v>
      </c>
      <c r="D1308" s="28" t="s">
        <v>1408</v>
      </c>
      <c r="E1308" s="28" t="s">
        <v>2327</v>
      </c>
      <c r="F1308" s="28" t="s">
        <v>1409</v>
      </c>
      <c r="G1308" s="28" t="s">
        <v>366</v>
      </c>
      <c r="H1308" s="28" t="s">
        <v>2328</v>
      </c>
      <c r="I1308" s="28">
        <v>34.616658000000001</v>
      </c>
      <c r="J1308" s="28">
        <v>-117.355048</v>
      </c>
      <c r="L1308" s="61">
        <v>110000517637</v>
      </c>
      <c r="M1308" s="28" t="s">
        <v>263</v>
      </c>
      <c r="N1308" s="28">
        <v>4952</v>
      </c>
      <c r="O1308" s="28" t="str">
        <f>IFERROR(VLOOKUP(N1308, 'SIC &amp; NAICS Codes'!A:B, 2, FALSE), "")</f>
        <v>Sewerage Systems</v>
      </c>
      <c r="S1308" s="28">
        <v>0.43932494999999999</v>
      </c>
      <c r="T1308" s="315">
        <f>_xlfn.MAXIFS('Raw Period DMR Data'!$O:$O,'Raw Period DMR Data'!$A:$A,'Raw Annual DMR Data'!B1308,'Raw Period DMR Data'!$C:$C,X1308)/S1308</f>
        <v>0</v>
      </c>
      <c r="U1308" s="28" t="str">
        <f>+IF(COUNTIFS('Raw Period DMR Data'!$A:$A,B1308, 'Raw Period DMR Data'!C:C,'Raw Annual DMR Data'!X1308, 'Raw Period DMR Data'!M:M, "&gt;0")&gt;0,_xlfn.MAXIFS('Raw Period DMR Data'!M:M,'Raw Period DMR Data'!$A:$A,'Raw Annual DMR Data'!B1308,'Raw Period DMR Data'!C:C,'Raw Annual DMR Data'!X1308), "N/A - Period DMR Data Not Available")</f>
        <v>N/A - Period DMR Data Not Available</v>
      </c>
      <c r="V1308" s="28" t="str" cm="1">
        <f t="array" ref="V1308">IFERROR(INDEX('Raw Period DMR Data'!N:N,MATCH(1,(B1308='Raw Period DMR Data'!$A:$A)*(U1308='Raw Period DMR Data'!M:M)*(X1308='Raw Period DMR Data'!C:C),0),1), "N/A")</f>
        <v>N/A</v>
      </c>
      <c r="W1308" s="28" t="s">
        <v>1463</v>
      </c>
      <c r="X1308" s="28" t="s">
        <v>2329</v>
      </c>
      <c r="Y1308" s="28" t="s">
        <v>2330</v>
      </c>
      <c r="Z1308" s="28">
        <v>18090208000542</v>
      </c>
      <c r="AA1308" s="28"/>
      <c r="AB1308" s="28" t="s">
        <v>1465</v>
      </c>
      <c r="AC1308" s="28" t="s">
        <v>263</v>
      </c>
    </row>
    <row r="1309" spans="1:29" x14ac:dyDescent="0.25">
      <c r="A1309" s="61">
        <v>110000517637</v>
      </c>
      <c r="B1309" s="28">
        <v>2019</v>
      </c>
      <c r="C1309" s="68">
        <f t="shared" si="20"/>
        <v>43466</v>
      </c>
      <c r="D1309" s="28" t="s">
        <v>1408</v>
      </c>
      <c r="E1309" s="28" t="s">
        <v>2327</v>
      </c>
      <c r="F1309" s="28" t="s">
        <v>1409</v>
      </c>
      <c r="G1309" s="28" t="s">
        <v>366</v>
      </c>
      <c r="H1309" s="28" t="s">
        <v>2328</v>
      </c>
      <c r="I1309" s="28">
        <v>34.616658000000001</v>
      </c>
      <c r="J1309" s="28">
        <v>-117.355048</v>
      </c>
      <c r="L1309" s="61">
        <v>110000517637</v>
      </c>
      <c r="M1309" s="28" t="s">
        <v>263</v>
      </c>
      <c r="N1309" s="28">
        <v>4952</v>
      </c>
      <c r="O1309" s="28" t="str">
        <f>IFERROR(VLOOKUP(N1309, 'SIC &amp; NAICS Codes'!A:B, 2, FALSE), "")</f>
        <v>Sewerage Systems</v>
      </c>
      <c r="S1309" s="28">
        <v>0.49044137500000001</v>
      </c>
      <c r="T1309" s="315">
        <f>_xlfn.MAXIFS('Raw Period DMR Data'!$O:$O,'Raw Period DMR Data'!$A:$A,'Raw Annual DMR Data'!B1309,'Raw Period DMR Data'!$C:$C,X1309)/S1309</f>
        <v>0</v>
      </c>
      <c r="U1309" s="28" t="str">
        <f>+IF(COUNTIFS('Raw Period DMR Data'!$A:$A,B1309, 'Raw Period DMR Data'!C:C,'Raw Annual DMR Data'!X1309, 'Raw Period DMR Data'!M:M, "&gt;0")&gt;0,_xlfn.MAXIFS('Raw Period DMR Data'!M:M,'Raw Period DMR Data'!$A:$A,'Raw Annual DMR Data'!B1309,'Raw Period DMR Data'!C:C,'Raw Annual DMR Data'!X1309), "N/A - Period DMR Data Not Available")</f>
        <v>N/A - Period DMR Data Not Available</v>
      </c>
      <c r="V1309" s="28" t="str" cm="1">
        <f t="array" ref="V1309">IFERROR(INDEX('Raw Period DMR Data'!N:N,MATCH(1,(B1309='Raw Period DMR Data'!$A:$A)*(U1309='Raw Period DMR Data'!M:M)*(X1309='Raw Period DMR Data'!C:C),0),1), "N/A")</f>
        <v>N/A</v>
      </c>
      <c r="W1309" s="28" t="s">
        <v>1463</v>
      </c>
      <c r="X1309" s="28" t="s">
        <v>2329</v>
      </c>
      <c r="Y1309" s="28" t="s">
        <v>2330</v>
      </c>
      <c r="Z1309" s="28">
        <v>18090208000542</v>
      </c>
      <c r="AA1309" s="28"/>
      <c r="AB1309" s="28" t="s">
        <v>1465</v>
      </c>
      <c r="AC1309" s="28" t="s">
        <v>263</v>
      </c>
    </row>
    <row r="1310" spans="1:29" x14ac:dyDescent="0.25">
      <c r="A1310" s="61">
        <v>110064418553</v>
      </c>
      <c r="B1310" s="28">
        <v>2016</v>
      </c>
      <c r="C1310" s="68">
        <f t="shared" si="20"/>
        <v>42370</v>
      </c>
      <c r="D1310" s="28" t="s">
        <v>1410</v>
      </c>
      <c r="E1310" s="28" t="s">
        <v>2331</v>
      </c>
      <c r="F1310" s="28" t="s">
        <v>657</v>
      </c>
      <c r="G1310" s="28" t="s">
        <v>418</v>
      </c>
      <c r="H1310" s="28">
        <v>89106</v>
      </c>
      <c r="I1310" s="28">
        <v>36.19997</v>
      </c>
      <c r="J1310" s="28">
        <v>-115.19658</v>
      </c>
      <c r="L1310" s="61">
        <v>110064418553</v>
      </c>
      <c r="M1310" s="28" t="s">
        <v>265</v>
      </c>
      <c r="N1310" s="28">
        <v>5541</v>
      </c>
      <c r="O1310" s="28" t="str">
        <f>IFERROR(VLOOKUP(N1310, 'SIC &amp; NAICS Codes'!A:B, 2, FALSE), "")</f>
        <v>Gasoline Service Station (gasoline station with convenience store)</v>
      </c>
      <c r="S1310" s="28">
        <v>8.2926038125000004E-3</v>
      </c>
      <c r="T1310" s="315">
        <f>_xlfn.MAXIFS('Raw Period DMR Data'!$O:$O,'Raw Period DMR Data'!$A:$A,'Raw Annual DMR Data'!B1310,'Raw Period DMR Data'!$C:$C,X1310)/S1310</f>
        <v>0</v>
      </c>
      <c r="U1310" s="28" t="str">
        <f>+IF(COUNTIFS('Raw Period DMR Data'!$A:$A,B1310, 'Raw Period DMR Data'!C:C,'Raw Annual DMR Data'!X1310, 'Raw Period DMR Data'!M:M, "&gt;0")&gt;0,_xlfn.MAXIFS('Raw Period DMR Data'!M:M,'Raw Period DMR Data'!$A:$A,'Raw Annual DMR Data'!B1310,'Raw Period DMR Data'!C:C,'Raw Annual DMR Data'!X1310), "N/A - Period DMR Data Not Available")</f>
        <v>N/A - Period DMR Data Not Available</v>
      </c>
      <c r="V1310" s="28" t="str" cm="1">
        <f t="array" ref="V1310">IFERROR(INDEX('Raw Period DMR Data'!N:N,MATCH(1,(B1310='Raw Period DMR Data'!$A:$A)*(U1310='Raw Period DMR Data'!M:M)*(X1310='Raw Period DMR Data'!C:C),0),1), "N/A")</f>
        <v>N/A</v>
      </c>
      <c r="W1310" s="28" t="s">
        <v>1463</v>
      </c>
      <c r="X1310" s="28" t="s">
        <v>2332</v>
      </c>
      <c r="Y1310" s="28" t="s">
        <v>1893</v>
      </c>
      <c r="Z1310" s="28">
        <v>15010015000124</v>
      </c>
      <c r="AA1310" s="28"/>
      <c r="AB1310" s="28" t="s">
        <v>1465</v>
      </c>
      <c r="AC1310" s="28" t="s">
        <v>1466</v>
      </c>
    </row>
    <row r="1311" spans="1:29" x14ac:dyDescent="0.25">
      <c r="A1311" s="61">
        <v>110064418553</v>
      </c>
      <c r="B1311" s="28">
        <v>2017</v>
      </c>
      <c r="C1311" s="68">
        <f t="shared" si="20"/>
        <v>42736</v>
      </c>
      <c r="D1311" s="28" t="s">
        <v>1410</v>
      </c>
      <c r="E1311" s="28" t="s">
        <v>2331</v>
      </c>
      <c r="F1311" s="28" t="s">
        <v>657</v>
      </c>
      <c r="G1311" s="28" t="s">
        <v>418</v>
      </c>
      <c r="H1311" s="28">
        <v>89106</v>
      </c>
      <c r="I1311" s="28">
        <v>36.19997</v>
      </c>
      <c r="J1311" s="28">
        <v>-115.19658</v>
      </c>
      <c r="L1311" s="61">
        <v>110064418553</v>
      </c>
      <c r="M1311" s="28" t="s">
        <v>265</v>
      </c>
      <c r="N1311" s="28">
        <v>5541</v>
      </c>
      <c r="O1311" s="28" t="str">
        <f>IFERROR(VLOOKUP(N1311, 'SIC &amp; NAICS Codes'!A:B, 2, FALSE), "")</f>
        <v>Gasoline Service Station (gasoline station with convenience store)</v>
      </c>
      <c r="S1311" s="28">
        <v>7.9852145000000006E-3</v>
      </c>
      <c r="T1311" s="315">
        <f>_xlfn.MAXIFS('Raw Period DMR Data'!$O:$O,'Raw Period DMR Data'!$A:$A,'Raw Annual DMR Data'!B1311,'Raw Period DMR Data'!$C:$C,X1311)/S1311</f>
        <v>0</v>
      </c>
      <c r="U1311" s="28" t="str">
        <f>+IF(COUNTIFS('Raw Period DMR Data'!$A:$A,B1311, 'Raw Period DMR Data'!C:C,'Raw Annual DMR Data'!X1311, 'Raw Period DMR Data'!M:M, "&gt;0")&gt;0,_xlfn.MAXIFS('Raw Period DMR Data'!M:M,'Raw Period DMR Data'!$A:$A,'Raw Annual DMR Data'!B1311,'Raw Period DMR Data'!C:C,'Raw Annual DMR Data'!X1311), "N/A - Period DMR Data Not Available")</f>
        <v>N/A - Period DMR Data Not Available</v>
      </c>
      <c r="V1311" s="28" t="str" cm="1">
        <f t="array" ref="V1311">IFERROR(INDEX('Raw Period DMR Data'!N:N,MATCH(1,(B1311='Raw Period DMR Data'!$A:$A)*(U1311='Raw Period DMR Data'!M:M)*(X1311='Raw Period DMR Data'!C:C),0),1), "N/A")</f>
        <v>N/A</v>
      </c>
      <c r="W1311" s="28" t="s">
        <v>1463</v>
      </c>
      <c r="X1311" s="28" t="s">
        <v>2332</v>
      </c>
      <c r="Y1311" s="28" t="s">
        <v>1893</v>
      </c>
      <c r="Z1311" s="28">
        <v>15010015000124</v>
      </c>
      <c r="AA1311" s="28"/>
      <c r="AB1311" s="28" t="s">
        <v>1465</v>
      </c>
      <c r="AC1311" s="28" t="s">
        <v>1466</v>
      </c>
    </row>
    <row r="1312" spans="1:29" x14ac:dyDescent="0.25">
      <c r="A1312" s="61">
        <v>110064418553</v>
      </c>
      <c r="B1312" s="28">
        <v>2018</v>
      </c>
      <c r="C1312" s="68">
        <f t="shared" si="20"/>
        <v>43101</v>
      </c>
      <c r="D1312" s="28" t="s">
        <v>1410</v>
      </c>
      <c r="E1312" s="28" t="s">
        <v>2331</v>
      </c>
      <c r="F1312" s="28" t="s">
        <v>657</v>
      </c>
      <c r="G1312" s="28" t="s">
        <v>418</v>
      </c>
      <c r="H1312" s="28">
        <v>89106</v>
      </c>
      <c r="I1312" s="28">
        <v>36.19997</v>
      </c>
      <c r="J1312" s="28">
        <v>-115.19658</v>
      </c>
      <c r="L1312" s="61">
        <v>110064418553</v>
      </c>
      <c r="M1312" s="28" t="s">
        <v>265</v>
      </c>
      <c r="N1312" s="28">
        <v>5541</v>
      </c>
      <c r="O1312" s="28" t="str">
        <f>IFERROR(VLOOKUP(N1312, 'SIC &amp; NAICS Codes'!A:B, 2, FALSE), "")</f>
        <v>Gasoline Service Station (gasoline station with convenience store)</v>
      </c>
      <c r="S1312" s="28">
        <v>6.5415208749999999E-3</v>
      </c>
      <c r="T1312" s="315">
        <f>_xlfn.MAXIFS('Raw Period DMR Data'!$O:$O,'Raw Period DMR Data'!$A:$A,'Raw Annual DMR Data'!B1312,'Raw Period DMR Data'!$C:$C,X1312)/S1312</f>
        <v>0</v>
      </c>
      <c r="U1312" s="28" t="str">
        <f>+IF(COUNTIFS('Raw Period DMR Data'!$A:$A,B1312, 'Raw Period DMR Data'!C:C,'Raw Annual DMR Data'!X1312, 'Raw Period DMR Data'!M:M, "&gt;0")&gt;0,_xlfn.MAXIFS('Raw Period DMR Data'!M:M,'Raw Period DMR Data'!$A:$A,'Raw Annual DMR Data'!B1312,'Raw Period DMR Data'!C:C,'Raw Annual DMR Data'!X1312), "N/A - Period DMR Data Not Available")</f>
        <v>N/A - Period DMR Data Not Available</v>
      </c>
      <c r="V1312" s="28" t="str" cm="1">
        <f t="array" ref="V1312">IFERROR(INDEX('Raw Period DMR Data'!N:N,MATCH(1,(B1312='Raw Period DMR Data'!$A:$A)*(U1312='Raw Period DMR Data'!M:M)*(X1312='Raw Period DMR Data'!C:C),0),1), "N/A")</f>
        <v>N/A</v>
      </c>
      <c r="W1312" s="28" t="s">
        <v>1463</v>
      </c>
      <c r="X1312" s="28" t="s">
        <v>2332</v>
      </c>
      <c r="Y1312" s="28" t="s">
        <v>1893</v>
      </c>
      <c r="Z1312" s="28">
        <v>15010015000124</v>
      </c>
      <c r="AA1312" s="28"/>
      <c r="AB1312" s="28" t="s">
        <v>1465</v>
      </c>
      <c r="AC1312" s="28" t="s">
        <v>1466</v>
      </c>
    </row>
    <row r="1313" spans="1:29" x14ac:dyDescent="0.25">
      <c r="A1313" s="61">
        <v>110064418553</v>
      </c>
      <c r="B1313" s="28">
        <v>2020</v>
      </c>
      <c r="C1313" s="68">
        <f t="shared" si="20"/>
        <v>43831</v>
      </c>
      <c r="D1313" s="28" t="s">
        <v>1410</v>
      </c>
      <c r="E1313" s="28" t="s">
        <v>2331</v>
      </c>
      <c r="F1313" s="28" t="s">
        <v>657</v>
      </c>
      <c r="G1313" s="28" t="s">
        <v>418</v>
      </c>
      <c r="H1313" s="28">
        <v>89106</v>
      </c>
      <c r="I1313" s="28">
        <v>36.19997</v>
      </c>
      <c r="J1313" s="28">
        <v>-115.19658</v>
      </c>
      <c r="L1313" s="61">
        <v>110064418553</v>
      </c>
      <c r="M1313" s="28" t="s">
        <v>265</v>
      </c>
      <c r="N1313" s="28">
        <v>5541</v>
      </c>
      <c r="O1313" s="28" t="str">
        <f>IFERROR(VLOOKUP(N1313, 'SIC &amp; NAICS Codes'!A:B, 2, FALSE), "")</f>
        <v>Gasoline Service Station (gasoline station with convenience store)</v>
      </c>
      <c r="S1313" s="28">
        <v>7.2530062500000001E-3</v>
      </c>
      <c r="T1313" s="315">
        <f>_xlfn.MAXIFS('Raw Period DMR Data'!$O:$O,'Raw Period DMR Data'!$A:$A,'Raw Annual DMR Data'!B1313,'Raw Period DMR Data'!$C:$C,X1313)/S1313</f>
        <v>0</v>
      </c>
      <c r="U1313" s="28" t="str">
        <f>+IF(COUNTIFS('Raw Period DMR Data'!$A:$A,B1313, 'Raw Period DMR Data'!C:C,'Raw Annual DMR Data'!X1313, 'Raw Period DMR Data'!M:M, "&gt;0")&gt;0,_xlfn.MAXIFS('Raw Period DMR Data'!M:M,'Raw Period DMR Data'!$A:$A,'Raw Annual DMR Data'!B1313,'Raw Period DMR Data'!C:C,'Raw Annual DMR Data'!X1313), "N/A - Period DMR Data Not Available")</f>
        <v>N/A - Period DMR Data Not Available</v>
      </c>
      <c r="V1313" s="28" t="str" cm="1">
        <f t="array" ref="V1313">IFERROR(INDEX('Raw Period DMR Data'!N:N,MATCH(1,(B1313='Raw Period DMR Data'!$A:$A)*(U1313='Raw Period DMR Data'!M:M)*(X1313='Raw Period DMR Data'!C:C),0),1), "N/A")</f>
        <v>N/A</v>
      </c>
      <c r="W1313" s="28" t="s">
        <v>1463</v>
      </c>
      <c r="X1313" s="28" t="s">
        <v>2332</v>
      </c>
      <c r="Y1313" s="28" t="s">
        <v>1893</v>
      </c>
      <c r="Z1313" s="28">
        <v>15010015000124</v>
      </c>
      <c r="AA1313" s="28"/>
      <c r="AB1313" s="28" t="s">
        <v>1465</v>
      </c>
      <c r="AC1313" s="28" t="s">
        <v>1466</v>
      </c>
    </row>
    <row r="1314" spans="1:29" x14ac:dyDescent="0.25">
      <c r="A1314" s="61">
        <v>110070884632</v>
      </c>
      <c r="B1314" s="28">
        <v>2020</v>
      </c>
      <c r="C1314" s="68">
        <f t="shared" si="20"/>
        <v>43831</v>
      </c>
      <c r="D1314" s="28" t="s">
        <v>1411</v>
      </c>
      <c r="E1314" s="28" t="s">
        <v>2333</v>
      </c>
      <c r="F1314" s="28" t="s">
        <v>1403</v>
      </c>
      <c r="G1314" s="28" t="s">
        <v>294</v>
      </c>
      <c r="H1314" s="28">
        <v>23452</v>
      </c>
      <c r="I1314" s="28">
        <v>36.844686000000003</v>
      </c>
      <c r="J1314" s="28">
        <v>-76.072886999999994</v>
      </c>
      <c r="L1314" s="61">
        <v>110070884632</v>
      </c>
      <c r="M1314" s="28" t="s">
        <v>265</v>
      </c>
      <c r="N1314" s="28">
        <v>5541</v>
      </c>
      <c r="O1314" s="28" t="str">
        <f>IFERROR(VLOOKUP(N1314, 'SIC &amp; NAICS Codes'!A:B, 2, FALSE), "")</f>
        <v>Gasoline Service Station (gasoline station with convenience store)</v>
      </c>
      <c r="S1314" s="28">
        <v>1.4628873599999899E-2</v>
      </c>
      <c r="T1314" s="315">
        <f>_xlfn.MAXIFS('Raw Period DMR Data'!$O:$O,'Raw Period DMR Data'!$A:$A,'Raw Annual DMR Data'!B1314,'Raw Period DMR Data'!$C:$C,X1314)/S1314</f>
        <v>0</v>
      </c>
      <c r="U1314" s="28" t="str">
        <f>+IF(COUNTIFS('Raw Period DMR Data'!$A:$A,B1314, 'Raw Period DMR Data'!C:C,'Raw Annual DMR Data'!X1314, 'Raw Period DMR Data'!M:M, "&gt;0")&gt;0,_xlfn.MAXIFS('Raw Period DMR Data'!M:M,'Raw Period DMR Data'!$A:$A,'Raw Annual DMR Data'!B1314,'Raw Period DMR Data'!C:C,'Raw Annual DMR Data'!X1314), "N/A - Period DMR Data Not Available")</f>
        <v>N/A - Period DMR Data Not Available</v>
      </c>
      <c r="V1314" s="28" t="str" cm="1">
        <f t="array" ref="V1314">IFERROR(INDEX('Raw Period DMR Data'!N:N,MATCH(1,(B1314='Raw Period DMR Data'!$A:$A)*(U1314='Raw Period DMR Data'!M:M)*(X1314='Raw Period DMR Data'!C:C),0),1), "N/A")</f>
        <v>N/A</v>
      </c>
      <c r="W1314" s="28" t="s">
        <v>1463</v>
      </c>
      <c r="X1314" s="28" t="s">
        <v>2334</v>
      </c>
      <c r="Y1314" s="28" t="s">
        <v>2335</v>
      </c>
      <c r="AA1314" s="28"/>
      <c r="AB1314" s="28" t="s">
        <v>1465</v>
      </c>
      <c r="AC1314" s="28" t="s">
        <v>1466</v>
      </c>
    </row>
    <row r="1315" spans="1:29" x14ac:dyDescent="0.25">
      <c r="A1315" s="61">
        <v>110070884632</v>
      </c>
      <c r="B1315" s="28">
        <v>2020</v>
      </c>
      <c r="C1315" s="68">
        <f t="shared" si="20"/>
        <v>43831</v>
      </c>
      <c r="D1315" s="28" t="s">
        <v>1411</v>
      </c>
      <c r="E1315" s="28" t="s">
        <v>2333</v>
      </c>
      <c r="F1315" s="28" t="s">
        <v>1403</v>
      </c>
      <c r="G1315" s="28" t="s">
        <v>294</v>
      </c>
      <c r="H1315" s="28">
        <v>23452</v>
      </c>
      <c r="I1315" s="28">
        <v>36.844686000000003</v>
      </c>
      <c r="J1315" s="28">
        <v>-76.072886999999994</v>
      </c>
      <c r="L1315" s="61">
        <v>110070884632</v>
      </c>
      <c r="M1315" s="28" t="s">
        <v>265</v>
      </c>
      <c r="N1315" s="28">
        <v>5541</v>
      </c>
      <c r="O1315" s="28" t="str">
        <f>IFERROR(VLOOKUP(N1315, 'SIC &amp; NAICS Codes'!A:B, 2, FALSE), "")</f>
        <v>Gasoline Service Station (gasoline station with convenience store)</v>
      </c>
      <c r="S1315" s="28">
        <v>2.5344359999999902E-3</v>
      </c>
      <c r="T1315" s="315">
        <f>_xlfn.MAXIFS('Raw Period DMR Data'!$O:$O,'Raw Period DMR Data'!$A:$A,'Raw Annual DMR Data'!B1315,'Raw Period DMR Data'!$C:$C,X1315)/S1315</f>
        <v>0</v>
      </c>
      <c r="U1315" s="28" t="str">
        <f>+IF(COUNTIFS('Raw Period DMR Data'!$A:$A,B1315, 'Raw Period DMR Data'!C:C,'Raw Annual DMR Data'!X1315, 'Raw Period DMR Data'!M:M, "&gt;0")&gt;0,_xlfn.MAXIFS('Raw Period DMR Data'!M:M,'Raw Period DMR Data'!$A:$A,'Raw Annual DMR Data'!B1315,'Raw Period DMR Data'!C:C,'Raw Annual DMR Data'!X1315), "N/A - Period DMR Data Not Available")</f>
        <v>N/A - Period DMR Data Not Available</v>
      </c>
      <c r="V1315" s="28" t="str" cm="1">
        <f t="array" ref="V1315">IFERROR(INDEX('Raw Period DMR Data'!N:N,MATCH(1,(B1315='Raw Period DMR Data'!$A:$A)*(U1315='Raw Period DMR Data'!M:M)*(X1315='Raw Period DMR Data'!C:C),0),1), "N/A")</f>
        <v>N/A</v>
      </c>
      <c r="W1315" s="28" t="s">
        <v>1463</v>
      </c>
      <c r="X1315" s="28" t="s">
        <v>2334</v>
      </c>
      <c r="Y1315" s="28" t="s">
        <v>2335</v>
      </c>
      <c r="AA1315" s="28"/>
      <c r="AB1315" s="28" t="s">
        <v>1465</v>
      </c>
      <c r="AC1315" s="28" t="s">
        <v>1466</v>
      </c>
    </row>
    <row r="1316" spans="1:29" x14ac:dyDescent="0.25">
      <c r="A1316" s="61">
        <v>110070685409</v>
      </c>
      <c r="B1316" s="28">
        <v>2020</v>
      </c>
      <c r="C1316" s="68">
        <f t="shared" si="20"/>
        <v>43831</v>
      </c>
      <c r="D1316" s="28" t="s">
        <v>1412</v>
      </c>
      <c r="E1316" s="28" t="s">
        <v>2336</v>
      </c>
      <c r="F1316" s="28" t="s">
        <v>1403</v>
      </c>
      <c r="G1316" s="28" t="s">
        <v>294</v>
      </c>
      <c r="H1316" s="28">
        <v>23451</v>
      </c>
      <c r="I1316" s="28">
        <v>36.910065000000003</v>
      </c>
      <c r="J1316" s="28">
        <v>-76.072417999999999</v>
      </c>
      <c r="L1316" s="61">
        <v>110070685409</v>
      </c>
      <c r="M1316" s="28" t="s">
        <v>265</v>
      </c>
      <c r="N1316" s="28">
        <v>5541</v>
      </c>
      <c r="O1316" s="28" t="str">
        <f>IFERROR(VLOOKUP(N1316, 'SIC &amp; NAICS Codes'!A:B, 2, FALSE), "")</f>
        <v>Gasoline Service Station (gasoline station with convenience store)</v>
      </c>
      <c r="S1316" s="28">
        <v>6.3360899999999904E-3</v>
      </c>
      <c r="T1316" s="315">
        <f>_xlfn.MAXIFS('Raw Period DMR Data'!$O:$O,'Raw Period DMR Data'!$A:$A,'Raw Annual DMR Data'!B1316,'Raw Period DMR Data'!$C:$C,X1316)/S1316</f>
        <v>0</v>
      </c>
      <c r="U1316" s="28" t="str">
        <f>+IF(COUNTIFS('Raw Period DMR Data'!$A:$A,B1316, 'Raw Period DMR Data'!C:C,'Raw Annual DMR Data'!X1316, 'Raw Period DMR Data'!M:M, "&gt;0")&gt;0,_xlfn.MAXIFS('Raw Period DMR Data'!M:M,'Raw Period DMR Data'!$A:$A,'Raw Annual DMR Data'!B1316,'Raw Period DMR Data'!C:C,'Raw Annual DMR Data'!X1316), "N/A - Period DMR Data Not Available")</f>
        <v>N/A - Period DMR Data Not Available</v>
      </c>
      <c r="V1316" s="28" t="str" cm="1">
        <f t="array" ref="V1316">IFERROR(INDEX('Raw Period DMR Data'!N:N,MATCH(1,(B1316='Raw Period DMR Data'!$A:$A)*(U1316='Raw Period DMR Data'!M:M)*(X1316='Raw Period DMR Data'!C:C),0),1), "N/A")</f>
        <v>N/A</v>
      </c>
      <c r="W1316" s="28" t="s">
        <v>1463</v>
      </c>
      <c r="X1316" s="28" t="s">
        <v>2337</v>
      </c>
      <c r="Y1316" s="28" t="s">
        <v>2335</v>
      </c>
      <c r="AA1316" s="28"/>
      <c r="AB1316" s="28" t="s">
        <v>1465</v>
      </c>
      <c r="AC1316" s="28" t="s">
        <v>1466</v>
      </c>
    </row>
    <row r="1317" spans="1:29" x14ac:dyDescent="0.25">
      <c r="A1317" s="61">
        <v>110070685409</v>
      </c>
      <c r="B1317" s="28">
        <v>2020</v>
      </c>
      <c r="C1317" s="68">
        <f t="shared" si="20"/>
        <v>43831</v>
      </c>
      <c r="D1317" s="28" t="s">
        <v>1412</v>
      </c>
      <c r="E1317" s="28" t="s">
        <v>2336</v>
      </c>
      <c r="F1317" s="28" t="s">
        <v>1403</v>
      </c>
      <c r="G1317" s="28" t="s">
        <v>294</v>
      </c>
      <c r="H1317" s="28">
        <v>23451</v>
      </c>
      <c r="I1317" s="28">
        <v>36.910065000000003</v>
      </c>
      <c r="J1317" s="28">
        <v>-76.072417999999999</v>
      </c>
      <c r="L1317" s="61">
        <v>110070685409</v>
      </c>
      <c r="M1317" s="28" t="s">
        <v>265</v>
      </c>
      <c r="N1317" s="28">
        <v>5541</v>
      </c>
      <c r="O1317" s="28" t="str">
        <f>IFERROR(VLOOKUP(N1317, 'SIC &amp; NAICS Codes'!A:B, 2, FALSE), "")</f>
        <v>Gasoline Service Station (gasoline station with convenience store)</v>
      </c>
      <c r="S1317" s="28">
        <v>1.2038570999999901E-2</v>
      </c>
      <c r="T1317" s="315">
        <f>_xlfn.MAXIFS('Raw Period DMR Data'!$O:$O,'Raw Period DMR Data'!$A:$A,'Raw Annual DMR Data'!B1317,'Raw Period DMR Data'!$C:$C,X1317)/S1317</f>
        <v>0</v>
      </c>
      <c r="U1317" s="28" t="str">
        <f>+IF(COUNTIFS('Raw Period DMR Data'!$A:$A,B1317, 'Raw Period DMR Data'!C:C,'Raw Annual DMR Data'!X1317, 'Raw Period DMR Data'!M:M, "&gt;0")&gt;0,_xlfn.MAXIFS('Raw Period DMR Data'!M:M,'Raw Period DMR Data'!$A:$A,'Raw Annual DMR Data'!B1317,'Raw Period DMR Data'!C:C,'Raw Annual DMR Data'!X1317), "N/A - Period DMR Data Not Available")</f>
        <v>N/A - Period DMR Data Not Available</v>
      </c>
      <c r="V1317" s="28" t="str" cm="1">
        <f t="array" ref="V1317">IFERROR(INDEX('Raw Period DMR Data'!N:N,MATCH(1,(B1317='Raw Period DMR Data'!$A:$A)*(U1317='Raw Period DMR Data'!M:M)*(X1317='Raw Period DMR Data'!C:C),0),1), "N/A")</f>
        <v>N/A</v>
      </c>
      <c r="W1317" s="28" t="s">
        <v>1463</v>
      </c>
      <c r="X1317" s="28" t="s">
        <v>2337</v>
      </c>
      <c r="Y1317" s="28" t="s">
        <v>2335</v>
      </c>
      <c r="AA1317" s="28"/>
      <c r="AB1317" s="28" t="s">
        <v>1465</v>
      </c>
      <c r="AC1317" s="28" t="s">
        <v>1466</v>
      </c>
    </row>
    <row r="1318" spans="1:29" x14ac:dyDescent="0.25">
      <c r="A1318" s="61">
        <v>110070246981</v>
      </c>
      <c r="B1318" s="28">
        <v>2019</v>
      </c>
      <c r="C1318" s="68">
        <f t="shared" si="20"/>
        <v>43466</v>
      </c>
      <c r="D1318" s="28" t="s">
        <v>1413</v>
      </c>
      <c r="E1318" s="28" t="s">
        <v>2338</v>
      </c>
      <c r="F1318" s="28" t="s">
        <v>1414</v>
      </c>
      <c r="G1318" s="28" t="s">
        <v>1415</v>
      </c>
      <c r="H1318" s="28">
        <v>68601</v>
      </c>
      <c r="I1318" s="28">
        <v>41.424084999999998</v>
      </c>
      <c r="J1318" s="28">
        <v>-97.286036999999993</v>
      </c>
      <c r="L1318" s="61">
        <v>110070246981</v>
      </c>
      <c r="M1318" s="28" t="s">
        <v>265</v>
      </c>
      <c r="N1318" s="28">
        <v>2899</v>
      </c>
      <c r="O1318" s="28" t="str">
        <f>IFERROR(VLOOKUP(N1318, 'SIC &amp; NAICS Codes'!A:B, 2, FALSE), "")</f>
        <v>Chemicals and Chemical Preparations, NEC (table salt)</v>
      </c>
      <c r="S1318" s="28">
        <v>0.27600000000000002</v>
      </c>
      <c r="T1318" s="315">
        <f>_xlfn.MAXIFS('Raw Period DMR Data'!$O:$O,'Raw Period DMR Data'!$A:$A,'Raw Annual DMR Data'!B1318,'Raw Period DMR Data'!$C:$C,X1318)/S1318</f>
        <v>0</v>
      </c>
      <c r="U1318" s="28" t="str">
        <f>+IF(COUNTIFS('Raw Period DMR Data'!$A:$A,B1318, 'Raw Period DMR Data'!C:C,'Raw Annual DMR Data'!X1318, 'Raw Period DMR Data'!M:M, "&gt;0")&gt;0,_xlfn.MAXIFS('Raw Period DMR Data'!M:M,'Raw Period DMR Data'!$A:$A,'Raw Annual DMR Data'!B1318,'Raw Period DMR Data'!C:C,'Raw Annual DMR Data'!X1318), "N/A - Period DMR Data Not Available")</f>
        <v>N/A - Period DMR Data Not Available</v>
      </c>
      <c r="V1318" s="28" t="str" cm="1">
        <f t="array" ref="V1318">IFERROR(INDEX('Raw Period DMR Data'!N:N,MATCH(1,(B1318='Raw Period DMR Data'!$A:$A)*(U1318='Raw Period DMR Data'!M:M)*(X1318='Raw Period DMR Data'!C:C),0),1), "N/A")</f>
        <v>N/A</v>
      </c>
      <c r="W1318" s="28" t="s">
        <v>1463</v>
      </c>
      <c r="X1318" s="28" t="s">
        <v>2339</v>
      </c>
      <c r="AA1318" s="28"/>
      <c r="AB1318" s="28" t="s">
        <v>1465</v>
      </c>
      <c r="AC1318" s="28" t="s">
        <v>1466</v>
      </c>
    </row>
    <row r="1319" spans="1:29" x14ac:dyDescent="0.25">
      <c r="A1319" s="61">
        <v>110017217545</v>
      </c>
      <c r="B1319" s="28">
        <v>2018</v>
      </c>
      <c r="C1319" s="68">
        <f t="shared" si="20"/>
        <v>43101</v>
      </c>
      <c r="D1319" s="28" t="s">
        <v>1416</v>
      </c>
      <c r="E1319" s="28" t="s">
        <v>2340</v>
      </c>
      <c r="F1319" s="28" t="s">
        <v>1417</v>
      </c>
      <c r="G1319" s="28" t="s">
        <v>366</v>
      </c>
      <c r="H1319" s="28" t="s">
        <v>2341</v>
      </c>
      <c r="I1319" s="28">
        <v>33.762349999999998</v>
      </c>
      <c r="J1319" s="28">
        <v>-118.241775</v>
      </c>
      <c r="L1319" s="61">
        <v>110017217545</v>
      </c>
      <c r="M1319" s="28" t="s">
        <v>252</v>
      </c>
      <c r="N1319" s="28">
        <v>5171</v>
      </c>
      <c r="O1319" s="28" t="str">
        <f>IFERROR(VLOOKUP(N1319, 'SIC &amp; NAICS Codes'!A:B, 2, FALSE), "")</f>
        <v>Petroleum Bulk Stations and Terminals (except petroleum sold via retail method)</v>
      </c>
      <c r="S1319" s="28">
        <v>7.9990297500000009E-3</v>
      </c>
      <c r="T1319" s="315">
        <f>_xlfn.MAXIFS('Raw Period DMR Data'!$O:$O,'Raw Period DMR Data'!$A:$A,'Raw Annual DMR Data'!B1319,'Raw Period DMR Data'!$C:$C,X1319)/S1319</f>
        <v>0</v>
      </c>
      <c r="U1319" s="28" t="str">
        <f>+IF(COUNTIFS('Raw Period DMR Data'!$A:$A,B1319, 'Raw Period DMR Data'!C:C,'Raw Annual DMR Data'!X1319, 'Raw Period DMR Data'!M:M, "&gt;0")&gt;0,_xlfn.MAXIFS('Raw Period DMR Data'!M:M,'Raw Period DMR Data'!$A:$A,'Raw Annual DMR Data'!B1319,'Raw Period DMR Data'!C:C,'Raw Annual DMR Data'!X1319), "N/A - Period DMR Data Not Available")</f>
        <v>N/A - Period DMR Data Not Available</v>
      </c>
      <c r="V1319" s="28" t="str" cm="1">
        <f t="array" ref="V1319">IFERROR(INDEX('Raw Period DMR Data'!N:N,MATCH(1,(B1319='Raw Period DMR Data'!$A:$A)*(U1319='Raw Period DMR Data'!M:M)*(X1319='Raw Period DMR Data'!C:C),0),1), "N/A")</f>
        <v>N/A</v>
      </c>
      <c r="W1319" s="28" t="s">
        <v>1463</v>
      </c>
      <c r="X1319" s="28" t="s">
        <v>2342</v>
      </c>
      <c r="Y1319" s="28" t="s">
        <v>2343</v>
      </c>
      <c r="Z1319" s="28">
        <v>18070106002148</v>
      </c>
      <c r="AA1319" s="28"/>
      <c r="AB1319" s="28" t="s">
        <v>1465</v>
      </c>
      <c r="AC1319" s="28" t="s">
        <v>1466</v>
      </c>
    </row>
    <row r="1320" spans="1:29" x14ac:dyDescent="0.25">
      <c r="A1320" s="61">
        <v>110017217545</v>
      </c>
      <c r="B1320" s="28">
        <v>2019</v>
      </c>
      <c r="C1320" s="68">
        <f t="shared" si="20"/>
        <v>43466</v>
      </c>
      <c r="D1320" s="28" t="s">
        <v>1416</v>
      </c>
      <c r="E1320" s="28" t="s">
        <v>2340</v>
      </c>
      <c r="F1320" s="28" t="s">
        <v>1417</v>
      </c>
      <c r="G1320" s="28" t="s">
        <v>366</v>
      </c>
      <c r="H1320" s="28" t="s">
        <v>2341</v>
      </c>
      <c r="I1320" s="28">
        <v>33.762349999999998</v>
      </c>
      <c r="J1320" s="28">
        <v>-118.241775</v>
      </c>
      <c r="L1320" s="61">
        <v>110017217545</v>
      </c>
      <c r="M1320" s="28" t="s">
        <v>252</v>
      </c>
      <c r="N1320" s="28">
        <v>5171</v>
      </c>
      <c r="O1320" s="28" t="str">
        <f>IFERROR(VLOOKUP(N1320, 'SIC &amp; NAICS Codes'!A:B, 2, FALSE), "")</f>
        <v>Petroleum Bulk Stations and Terminals (except petroleum sold via retail method)</v>
      </c>
      <c r="S1320" s="28">
        <v>8.5171016250000006E-3</v>
      </c>
      <c r="T1320" s="315">
        <f>_xlfn.MAXIFS('Raw Period DMR Data'!$O:$O,'Raw Period DMR Data'!$A:$A,'Raw Annual DMR Data'!B1320,'Raw Period DMR Data'!$C:$C,X1320)/S1320</f>
        <v>0</v>
      </c>
      <c r="U1320" s="28" t="str">
        <f>+IF(COUNTIFS('Raw Period DMR Data'!$A:$A,B1320, 'Raw Period DMR Data'!C:C,'Raw Annual DMR Data'!X1320, 'Raw Period DMR Data'!M:M, "&gt;0")&gt;0,_xlfn.MAXIFS('Raw Period DMR Data'!M:M,'Raw Period DMR Data'!$A:$A,'Raw Annual DMR Data'!B1320,'Raw Period DMR Data'!C:C,'Raw Annual DMR Data'!X1320), "N/A - Period DMR Data Not Available")</f>
        <v>N/A - Period DMR Data Not Available</v>
      </c>
      <c r="V1320" s="28" t="str" cm="1">
        <f t="array" ref="V1320">IFERROR(INDEX('Raw Period DMR Data'!N:N,MATCH(1,(B1320='Raw Period DMR Data'!$A:$A)*(U1320='Raw Period DMR Data'!M:M)*(X1320='Raw Period DMR Data'!C:C),0),1), "N/A")</f>
        <v>N/A</v>
      </c>
      <c r="W1320" s="28" t="s">
        <v>1463</v>
      </c>
      <c r="X1320" s="28" t="s">
        <v>2342</v>
      </c>
      <c r="Y1320" s="28" t="s">
        <v>2343</v>
      </c>
      <c r="Z1320" s="28">
        <v>18070106002148</v>
      </c>
      <c r="AA1320" s="28"/>
      <c r="AB1320" s="28" t="s">
        <v>1465</v>
      </c>
      <c r="AC1320" s="28" t="s">
        <v>1466</v>
      </c>
    </row>
    <row r="1321" spans="1:29" x14ac:dyDescent="0.25">
      <c r="A1321" s="61">
        <v>110028243791</v>
      </c>
      <c r="B1321" s="28">
        <v>2018</v>
      </c>
      <c r="C1321" s="68">
        <f t="shared" si="20"/>
        <v>43101</v>
      </c>
      <c r="D1321" s="28" t="s">
        <v>1418</v>
      </c>
      <c r="E1321" s="28" t="s">
        <v>2344</v>
      </c>
      <c r="F1321" s="28" t="s">
        <v>1041</v>
      </c>
      <c r="G1321" s="28" t="s">
        <v>366</v>
      </c>
      <c r="H1321" s="28">
        <v>90744</v>
      </c>
      <c r="I1321" s="28">
        <v>33.791108999999999</v>
      </c>
      <c r="J1321" s="28">
        <v>-118.244609</v>
      </c>
      <c r="L1321" s="61">
        <v>110028243791</v>
      </c>
      <c r="M1321" s="28" t="s">
        <v>252</v>
      </c>
      <c r="N1321" s="28">
        <v>5171</v>
      </c>
      <c r="O1321" s="28" t="str">
        <f>IFERROR(VLOOKUP(N1321, 'SIC &amp; NAICS Codes'!A:B, 2, FALSE), "")</f>
        <v>Petroleum Bulk Stations and Terminals (except petroleum sold via retail method)</v>
      </c>
      <c r="S1321" s="28">
        <v>1.36598284375E-2</v>
      </c>
      <c r="T1321" s="315">
        <f>_xlfn.MAXIFS('Raw Period DMR Data'!$O:$O,'Raw Period DMR Data'!$A:$A,'Raw Annual DMR Data'!B1321,'Raw Period DMR Data'!$C:$C,X1321)/S1321</f>
        <v>0</v>
      </c>
      <c r="U1321" s="28" t="str">
        <f>+IF(COUNTIFS('Raw Period DMR Data'!$A:$A,B1321, 'Raw Period DMR Data'!C:C,'Raw Annual DMR Data'!X1321, 'Raw Period DMR Data'!M:M, "&gt;0")&gt;0,_xlfn.MAXIFS('Raw Period DMR Data'!M:M,'Raw Period DMR Data'!$A:$A,'Raw Annual DMR Data'!B1321,'Raw Period DMR Data'!C:C,'Raw Annual DMR Data'!X1321), "N/A - Period DMR Data Not Available")</f>
        <v>N/A - Period DMR Data Not Available</v>
      </c>
      <c r="V1321" s="28" t="str" cm="1">
        <f t="array" ref="V1321">IFERROR(INDEX('Raw Period DMR Data'!N:N,MATCH(1,(B1321='Raw Period DMR Data'!$A:$A)*(U1321='Raw Period DMR Data'!M:M)*(X1321='Raw Period DMR Data'!C:C),0),1), "N/A")</f>
        <v>N/A</v>
      </c>
      <c r="W1321" s="28" t="s">
        <v>1463</v>
      </c>
      <c r="X1321" s="28" t="s">
        <v>2345</v>
      </c>
      <c r="Y1321" s="28" t="s">
        <v>1556</v>
      </c>
      <c r="Z1321" s="28">
        <v>18070106002149</v>
      </c>
      <c r="AA1321" s="28"/>
      <c r="AB1321" s="28" t="s">
        <v>1465</v>
      </c>
      <c r="AC1321" s="28" t="s">
        <v>1466</v>
      </c>
    </row>
    <row r="1322" spans="1:29" x14ac:dyDescent="0.25">
      <c r="A1322" s="61">
        <v>110028243791</v>
      </c>
      <c r="B1322" s="28">
        <v>2019</v>
      </c>
      <c r="C1322" s="68">
        <f t="shared" si="20"/>
        <v>43466</v>
      </c>
      <c r="D1322" s="28" t="s">
        <v>1418</v>
      </c>
      <c r="E1322" s="28" t="s">
        <v>2344</v>
      </c>
      <c r="F1322" s="28" t="s">
        <v>1041</v>
      </c>
      <c r="G1322" s="28" t="s">
        <v>366</v>
      </c>
      <c r="H1322" s="28">
        <v>90744</v>
      </c>
      <c r="I1322" s="28">
        <v>33.791108999999999</v>
      </c>
      <c r="J1322" s="28">
        <v>-118.244609</v>
      </c>
      <c r="L1322" s="61">
        <v>110028243791</v>
      </c>
      <c r="M1322" s="28" t="s">
        <v>252</v>
      </c>
      <c r="N1322" s="28">
        <v>5171</v>
      </c>
      <c r="O1322" s="28" t="str">
        <f>IFERROR(VLOOKUP(N1322, 'SIC &amp; NAICS Codes'!A:B, 2, FALSE), "")</f>
        <v>Petroleum Bulk Stations and Terminals (except petroleum sold via retail method)</v>
      </c>
      <c r="S1322" s="28">
        <v>2.02980560625E-2</v>
      </c>
      <c r="T1322" s="315">
        <f>_xlfn.MAXIFS('Raw Period DMR Data'!$O:$O,'Raw Period DMR Data'!$A:$A,'Raw Annual DMR Data'!B1322,'Raw Period DMR Data'!$C:$C,X1322)/S1322</f>
        <v>0</v>
      </c>
      <c r="U1322" s="28" t="str">
        <f>+IF(COUNTIFS('Raw Period DMR Data'!$A:$A,B1322, 'Raw Period DMR Data'!C:C,'Raw Annual DMR Data'!X1322, 'Raw Period DMR Data'!M:M, "&gt;0")&gt;0,_xlfn.MAXIFS('Raw Period DMR Data'!M:M,'Raw Period DMR Data'!$A:$A,'Raw Annual DMR Data'!B1322,'Raw Period DMR Data'!C:C,'Raw Annual DMR Data'!X1322), "N/A - Period DMR Data Not Available")</f>
        <v>N/A - Period DMR Data Not Available</v>
      </c>
      <c r="V1322" s="28" t="str" cm="1">
        <f t="array" ref="V1322">IFERROR(INDEX('Raw Period DMR Data'!N:N,MATCH(1,(B1322='Raw Period DMR Data'!$A:$A)*(U1322='Raw Period DMR Data'!M:M)*(X1322='Raw Period DMR Data'!C:C),0),1), "N/A")</f>
        <v>N/A</v>
      </c>
      <c r="W1322" s="28" t="s">
        <v>1463</v>
      </c>
      <c r="X1322" s="28" t="s">
        <v>2345</v>
      </c>
      <c r="Y1322" s="28" t="s">
        <v>1556</v>
      </c>
      <c r="Z1322" s="28">
        <v>18070106002149</v>
      </c>
      <c r="AA1322" s="28"/>
      <c r="AB1322" s="28" t="s">
        <v>1465</v>
      </c>
      <c r="AC1322" s="28" t="s">
        <v>1466</v>
      </c>
    </row>
    <row r="1323" spans="1:29" x14ac:dyDescent="0.25">
      <c r="A1323" s="61">
        <v>110000834688</v>
      </c>
      <c r="B1323" s="28">
        <v>2019</v>
      </c>
      <c r="C1323" s="68">
        <f t="shared" si="20"/>
        <v>43466</v>
      </c>
      <c r="D1323" s="28" t="s">
        <v>199</v>
      </c>
      <c r="E1323" s="28" t="s">
        <v>658</v>
      </c>
      <c r="F1323" s="28" t="s">
        <v>659</v>
      </c>
      <c r="G1323" s="28" t="s">
        <v>303</v>
      </c>
      <c r="H1323" s="28" t="s">
        <v>660</v>
      </c>
      <c r="I1323" s="28">
        <v>29.924576999999999</v>
      </c>
      <c r="J1323" s="28">
        <v>-90.145308</v>
      </c>
      <c r="L1323" s="61">
        <v>110000834688</v>
      </c>
      <c r="M1323" s="28" t="s">
        <v>252</v>
      </c>
      <c r="N1323" s="28">
        <v>4226</v>
      </c>
      <c r="O1323" s="28" t="str">
        <f>IFERROR(VLOOKUP(N1323, 'SIC &amp; NAICS Codes'!A:B, 2, FALSE), "")</f>
        <v>Special Warehousing and Storage, NEC (warehousing in foreign trade zones)</v>
      </c>
      <c r="S1323" s="28">
        <v>0.50139005525000002</v>
      </c>
      <c r="T1323" s="315">
        <f>_xlfn.MAXIFS('Raw Period DMR Data'!$O:$O,'Raw Period DMR Data'!$A:$A,'Raw Annual DMR Data'!B1323,'Raw Period DMR Data'!$C:$C,X1323)/S1323</f>
        <v>0</v>
      </c>
      <c r="U1323" s="28" t="str">
        <f>+IF(COUNTIFS('Raw Period DMR Data'!$A:$A,B1323, 'Raw Period DMR Data'!C:C,'Raw Annual DMR Data'!X1323, 'Raw Period DMR Data'!M:M, "&gt;0")&gt;0,_xlfn.MAXIFS('Raw Period DMR Data'!M:M,'Raw Period DMR Data'!$A:$A,'Raw Annual DMR Data'!B1323,'Raw Period DMR Data'!C:C,'Raw Annual DMR Data'!X1323), "N/A - Period DMR Data Not Available")</f>
        <v>N/A - Period DMR Data Not Available</v>
      </c>
      <c r="V1323" s="28" t="str" cm="1">
        <f t="array" ref="V1323">IFERROR(INDEX('Raw Period DMR Data'!N:N,MATCH(1,(B1323='Raw Period DMR Data'!$A:$A)*(U1323='Raw Period DMR Data'!M:M)*(X1323='Raw Period DMR Data'!C:C),0),1), "N/A")</f>
        <v>N/A</v>
      </c>
      <c r="W1323" s="28" t="s">
        <v>1463</v>
      </c>
      <c r="X1323" s="28" t="s">
        <v>953</v>
      </c>
      <c r="Z1323" s="61">
        <v>8090100000652</v>
      </c>
    </row>
    <row r="1324" spans="1:29" x14ac:dyDescent="0.25">
      <c r="A1324" s="61">
        <v>110056966699</v>
      </c>
      <c r="B1324" s="28">
        <v>2018</v>
      </c>
      <c r="C1324" s="68">
        <f t="shared" si="20"/>
        <v>43101</v>
      </c>
      <c r="D1324" s="28" t="s">
        <v>1419</v>
      </c>
      <c r="E1324" s="28" t="s">
        <v>2346</v>
      </c>
      <c r="F1324" s="28" t="s">
        <v>1420</v>
      </c>
      <c r="G1324" s="28" t="s">
        <v>427</v>
      </c>
      <c r="H1324" s="28">
        <v>49221</v>
      </c>
      <c r="I1324" s="28">
        <v>41.948850999999998</v>
      </c>
      <c r="J1324" s="28">
        <v>-83.958619999999996</v>
      </c>
      <c r="K1324" s="28" t="s">
        <v>739</v>
      </c>
      <c r="L1324" s="61">
        <v>110056966699</v>
      </c>
      <c r="M1324" s="28" t="s">
        <v>265</v>
      </c>
      <c r="N1324" s="28">
        <v>2821</v>
      </c>
      <c r="O1324" s="28" t="str">
        <f>IFERROR(VLOOKUP(N1324, 'SIC &amp; NAICS Codes'!A:B, 2, FALSE), "")</f>
        <v>Plastics Materials, Synthetic and Resins, and Nonvulcanizable Elastomers</v>
      </c>
      <c r="S1324" s="112">
        <v>3.8538807335799798E-7</v>
      </c>
      <c r="T1324" s="315">
        <f>_xlfn.MAXIFS('Raw Period DMR Data'!$O:$O,'Raw Period DMR Data'!$A:$A,'Raw Annual DMR Data'!B1324,'Raw Period DMR Data'!$C:$C,X1324)/S1324</f>
        <v>0</v>
      </c>
      <c r="U1324" s="28" t="str">
        <f>+IF(COUNTIFS('Raw Period DMR Data'!$A:$A,B1324, 'Raw Period DMR Data'!C:C,'Raw Annual DMR Data'!X1324, 'Raw Period DMR Data'!M:M, "&gt;0")&gt;0,_xlfn.MAXIFS('Raw Period DMR Data'!M:M,'Raw Period DMR Data'!$A:$A,'Raw Annual DMR Data'!B1324,'Raw Period DMR Data'!C:C,'Raw Annual DMR Data'!X1324), "N/A - Period DMR Data Not Available")</f>
        <v>N/A - Period DMR Data Not Available</v>
      </c>
      <c r="V1324" s="28" t="str" cm="1">
        <f t="array" ref="V1324">IFERROR(INDEX('Raw Period DMR Data'!N:N,MATCH(1,(B1324='Raw Period DMR Data'!$A:$A)*(U1324='Raw Period DMR Data'!M:M)*(X1324='Raw Period DMR Data'!C:C),0),1), "N/A")</f>
        <v>N/A</v>
      </c>
      <c r="W1324" s="28" t="s">
        <v>1463</v>
      </c>
      <c r="X1324" s="28" t="s">
        <v>2347</v>
      </c>
      <c r="Y1324" s="28" t="s">
        <v>2348</v>
      </c>
      <c r="Z1324" s="302" t="s">
        <v>2349</v>
      </c>
      <c r="AA1324" s="28"/>
      <c r="AB1324" s="28" t="s">
        <v>1465</v>
      </c>
      <c r="AC1324" s="28" t="s">
        <v>1466</v>
      </c>
    </row>
    <row r="1325" spans="1:29" x14ac:dyDescent="0.25">
      <c r="A1325" s="61">
        <v>110056966699</v>
      </c>
      <c r="B1325" s="28">
        <v>2019</v>
      </c>
      <c r="C1325" s="68">
        <f t="shared" si="20"/>
        <v>43466</v>
      </c>
      <c r="D1325" s="28" t="s">
        <v>1419</v>
      </c>
      <c r="E1325" s="28" t="s">
        <v>2346</v>
      </c>
      <c r="F1325" s="28" t="s">
        <v>1420</v>
      </c>
      <c r="G1325" s="28" t="s">
        <v>427</v>
      </c>
      <c r="H1325" s="28">
        <v>49221</v>
      </c>
      <c r="I1325" s="28">
        <v>41.948850999999998</v>
      </c>
      <c r="J1325" s="28">
        <v>-83.958619999999996</v>
      </c>
      <c r="K1325" s="28" t="s">
        <v>739</v>
      </c>
      <c r="L1325" s="61">
        <v>110056966699</v>
      </c>
      <c r="M1325" s="28" t="s">
        <v>265</v>
      </c>
      <c r="N1325" s="28">
        <v>2821</v>
      </c>
      <c r="O1325" s="28" t="str">
        <f>IFERROR(VLOOKUP(N1325, 'SIC &amp; NAICS Codes'!A:B, 2, FALSE), "")</f>
        <v>Plastics Materials, Synthetic and Resins, and Nonvulcanizable Elastomers</v>
      </c>
      <c r="S1325" s="28">
        <v>3.8538807335799803E-6</v>
      </c>
      <c r="T1325" s="315">
        <f>_xlfn.MAXIFS('Raw Period DMR Data'!$O:$O,'Raw Period DMR Data'!$A:$A,'Raw Annual DMR Data'!B1325,'Raw Period DMR Data'!$C:$C,X1325)/S1325</f>
        <v>0</v>
      </c>
      <c r="U1325" s="28" t="str">
        <f>+IF(COUNTIFS('Raw Period DMR Data'!$A:$A,B1325, 'Raw Period DMR Data'!C:C,'Raw Annual DMR Data'!X1325, 'Raw Period DMR Data'!M:M, "&gt;0")&gt;0,_xlfn.MAXIFS('Raw Period DMR Data'!M:M,'Raw Period DMR Data'!$A:$A,'Raw Annual DMR Data'!B1325,'Raw Period DMR Data'!C:C,'Raw Annual DMR Data'!X1325), "N/A - Period DMR Data Not Available")</f>
        <v>N/A - Period DMR Data Not Available</v>
      </c>
      <c r="V1325" s="28" t="str" cm="1">
        <f t="array" ref="V1325">IFERROR(INDEX('Raw Period DMR Data'!N:N,MATCH(1,(B1325='Raw Period DMR Data'!$A:$A)*(U1325='Raw Period DMR Data'!M:M)*(X1325='Raw Period DMR Data'!C:C),0),1), "N/A")</f>
        <v>N/A</v>
      </c>
      <c r="W1325" s="28" t="s">
        <v>1463</v>
      </c>
      <c r="X1325" s="28" t="s">
        <v>2347</v>
      </c>
      <c r="Y1325" s="28" t="s">
        <v>2348</v>
      </c>
      <c r="Z1325" s="28">
        <v>4100002000101</v>
      </c>
      <c r="AA1325" s="28"/>
      <c r="AB1325" s="28" t="s">
        <v>1465</v>
      </c>
      <c r="AC1325" s="28" t="s">
        <v>1466</v>
      </c>
    </row>
    <row r="1326" spans="1:29" x14ac:dyDescent="0.25">
      <c r="A1326" s="61">
        <v>110056966699</v>
      </c>
      <c r="B1326" s="28">
        <v>2020</v>
      </c>
      <c r="C1326" s="68">
        <f t="shared" si="20"/>
        <v>43831</v>
      </c>
      <c r="D1326" s="28" t="s">
        <v>1419</v>
      </c>
      <c r="E1326" s="28" t="s">
        <v>2346</v>
      </c>
      <c r="F1326" s="28" t="s">
        <v>1420</v>
      </c>
      <c r="G1326" s="28" t="s">
        <v>427</v>
      </c>
      <c r="H1326" s="28">
        <v>49221</v>
      </c>
      <c r="I1326" s="28">
        <v>41.948850999999998</v>
      </c>
      <c r="J1326" s="28">
        <v>-83.958619999999996</v>
      </c>
      <c r="K1326" s="28" t="s">
        <v>739</v>
      </c>
      <c r="L1326" s="61">
        <v>110056966699</v>
      </c>
      <c r="M1326" s="28" t="s">
        <v>265</v>
      </c>
      <c r="N1326" s="28">
        <v>2821</v>
      </c>
      <c r="O1326" s="28" t="str">
        <f>IFERROR(VLOOKUP(N1326, 'SIC &amp; NAICS Codes'!A:B, 2, FALSE), "")</f>
        <v>Plastics Materials, Synthetic and Resins, and Nonvulcanizable Elastomers</v>
      </c>
      <c r="S1326" s="28">
        <v>4.6246568802959696E-6</v>
      </c>
      <c r="T1326" s="315">
        <f>_xlfn.MAXIFS('Raw Period DMR Data'!$O:$O,'Raw Period DMR Data'!$A:$A,'Raw Annual DMR Data'!B1326,'Raw Period DMR Data'!$C:$C,X1326)/S1326</f>
        <v>0</v>
      </c>
      <c r="U1326" s="28" t="str">
        <f>+IF(COUNTIFS('Raw Period DMR Data'!$A:$A,B1326, 'Raw Period DMR Data'!C:C,'Raw Annual DMR Data'!X1326, 'Raw Period DMR Data'!M:M, "&gt;0")&gt;0,_xlfn.MAXIFS('Raw Period DMR Data'!M:M,'Raw Period DMR Data'!$A:$A,'Raw Annual DMR Data'!B1326,'Raw Period DMR Data'!C:C,'Raw Annual DMR Data'!X1326), "N/A - Period DMR Data Not Available")</f>
        <v>N/A - Period DMR Data Not Available</v>
      </c>
      <c r="V1326" s="28" t="str" cm="1">
        <f t="array" ref="V1326">IFERROR(INDEX('Raw Period DMR Data'!N:N,MATCH(1,(B1326='Raw Period DMR Data'!$A:$A)*(U1326='Raw Period DMR Data'!M:M)*(X1326='Raw Period DMR Data'!C:C),0),1), "N/A")</f>
        <v>N/A</v>
      </c>
      <c r="W1326" s="28" t="s">
        <v>1463</v>
      </c>
      <c r="X1326" s="28" t="s">
        <v>2347</v>
      </c>
      <c r="Y1326" s="28" t="s">
        <v>2348</v>
      </c>
      <c r="Z1326" s="28">
        <v>4100002000101</v>
      </c>
      <c r="AA1326" s="28"/>
      <c r="AB1326" s="28" t="s">
        <v>1465</v>
      </c>
      <c r="AC1326" s="28" t="s">
        <v>1466</v>
      </c>
    </row>
    <row r="1327" spans="1:29" x14ac:dyDescent="0.25">
      <c r="A1327" s="61">
        <v>110010731262</v>
      </c>
      <c r="B1327" s="28">
        <v>2015</v>
      </c>
      <c r="C1327" s="68">
        <f t="shared" si="20"/>
        <v>42005</v>
      </c>
      <c r="D1327" s="28" t="s">
        <v>1421</v>
      </c>
      <c r="E1327" s="28" t="s">
        <v>2350</v>
      </c>
      <c r="F1327" s="28" t="s">
        <v>1422</v>
      </c>
      <c r="G1327" s="28" t="s">
        <v>1171</v>
      </c>
      <c r="H1327" s="28">
        <v>96746</v>
      </c>
      <c r="I1327" s="28">
        <v>22.079093</v>
      </c>
      <c r="J1327" s="28">
        <v>-159.35138900000001</v>
      </c>
      <c r="L1327" s="61">
        <v>110010731262</v>
      </c>
      <c r="M1327" s="28" t="s">
        <v>263</v>
      </c>
      <c r="N1327" s="28">
        <v>4952</v>
      </c>
      <c r="O1327" s="28" t="str">
        <f>IFERROR(VLOOKUP(N1327, 'SIC &amp; NAICS Codes'!A:B, 2, FALSE), "")</f>
        <v>Sewerage Systems</v>
      </c>
      <c r="S1327" s="28">
        <v>0.10465051875</v>
      </c>
      <c r="T1327" s="315">
        <f>_xlfn.MAXIFS('Raw Period DMR Data'!$O:$O,'Raw Period DMR Data'!$A:$A,'Raw Annual DMR Data'!B1327,'Raw Period DMR Data'!$C:$C,X1327)/S1327</f>
        <v>0</v>
      </c>
      <c r="U1327" s="28" t="str">
        <f>+IF(COUNTIFS('Raw Period DMR Data'!$A:$A,B1327, 'Raw Period DMR Data'!C:C,'Raw Annual DMR Data'!X1327, 'Raw Period DMR Data'!M:M, "&gt;0")&gt;0,_xlfn.MAXIFS('Raw Period DMR Data'!M:M,'Raw Period DMR Data'!$A:$A,'Raw Annual DMR Data'!B1327,'Raw Period DMR Data'!C:C,'Raw Annual DMR Data'!X1327), "N/A - Period DMR Data Not Available")</f>
        <v>N/A - Period DMR Data Not Available</v>
      </c>
      <c r="V1327" s="28" t="str" cm="1">
        <f t="array" ref="V1327">IFERROR(INDEX('Raw Period DMR Data'!N:N,MATCH(1,(B1327='Raw Period DMR Data'!$A:$A)*(U1327='Raw Period DMR Data'!M:M)*(X1327='Raw Period DMR Data'!C:C),0),1), "N/A")</f>
        <v>N/A</v>
      </c>
      <c r="W1327" s="28" t="s">
        <v>1463</v>
      </c>
      <c r="X1327" s="28" t="s">
        <v>2351</v>
      </c>
      <c r="Y1327" s="28" t="s">
        <v>2352</v>
      </c>
      <c r="Z1327" s="28">
        <v>20070000000062</v>
      </c>
      <c r="AA1327" s="28"/>
      <c r="AB1327" s="28" t="s">
        <v>1465</v>
      </c>
      <c r="AC1327" s="28" t="s">
        <v>263</v>
      </c>
    </row>
    <row r="1328" spans="1:29" x14ac:dyDescent="0.25">
      <c r="A1328" s="61">
        <v>110010731262</v>
      </c>
      <c r="B1328" s="28">
        <v>2016</v>
      </c>
      <c r="C1328" s="68">
        <f t="shared" si="20"/>
        <v>42370</v>
      </c>
      <c r="D1328" s="28" t="s">
        <v>1421</v>
      </c>
      <c r="E1328" s="28" t="s">
        <v>2350</v>
      </c>
      <c r="F1328" s="28" t="s">
        <v>1422</v>
      </c>
      <c r="G1328" s="28" t="s">
        <v>1171</v>
      </c>
      <c r="H1328" s="28">
        <v>96746</v>
      </c>
      <c r="I1328" s="28">
        <v>22.079093</v>
      </c>
      <c r="J1328" s="28">
        <v>-159.35138900000001</v>
      </c>
      <c r="L1328" s="61">
        <v>110010731262</v>
      </c>
      <c r="M1328" s="28" t="s">
        <v>263</v>
      </c>
      <c r="N1328" s="28">
        <v>4952</v>
      </c>
      <c r="O1328" s="28" t="str">
        <f>IFERROR(VLOOKUP(N1328, 'SIC &amp; NAICS Codes'!A:B, 2, FALSE), "")</f>
        <v>Sewerage Systems</v>
      </c>
      <c r="S1328" s="28">
        <v>0.26456203750000001</v>
      </c>
      <c r="T1328" s="315">
        <f>_xlfn.MAXIFS('Raw Period DMR Data'!$O:$O,'Raw Period DMR Data'!$A:$A,'Raw Annual DMR Data'!B1328,'Raw Period DMR Data'!$C:$C,X1328)/S1328</f>
        <v>0</v>
      </c>
      <c r="U1328" s="28" t="str">
        <f>+IF(COUNTIFS('Raw Period DMR Data'!$A:$A,B1328, 'Raw Period DMR Data'!C:C,'Raw Annual DMR Data'!X1328, 'Raw Period DMR Data'!M:M, "&gt;0")&gt;0,_xlfn.MAXIFS('Raw Period DMR Data'!M:M,'Raw Period DMR Data'!$A:$A,'Raw Annual DMR Data'!B1328,'Raw Period DMR Data'!C:C,'Raw Annual DMR Data'!X1328), "N/A - Period DMR Data Not Available")</f>
        <v>N/A - Period DMR Data Not Available</v>
      </c>
      <c r="V1328" s="28" t="str" cm="1">
        <f t="array" ref="V1328">IFERROR(INDEX('Raw Period DMR Data'!N:N,MATCH(1,(B1328='Raw Period DMR Data'!$A:$A)*(U1328='Raw Period DMR Data'!M:M)*(X1328='Raw Period DMR Data'!C:C),0),1), "N/A")</f>
        <v>N/A</v>
      </c>
      <c r="W1328" s="28" t="s">
        <v>1463</v>
      </c>
      <c r="X1328" s="28" t="s">
        <v>2351</v>
      </c>
      <c r="Y1328" s="28" t="s">
        <v>2352</v>
      </c>
      <c r="Z1328" s="28">
        <v>20070000000062</v>
      </c>
      <c r="AA1328" s="28"/>
      <c r="AB1328" s="28" t="s">
        <v>1465</v>
      </c>
      <c r="AC1328" s="28" t="s">
        <v>263</v>
      </c>
    </row>
    <row r="1329" spans="1:29" x14ac:dyDescent="0.25">
      <c r="A1329" s="61">
        <v>110010731262</v>
      </c>
      <c r="B1329" s="28">
        <v>2017</v>
      </c>
      <c r="C1329" s="68">
        <f t="shared" si="20"/>
        <v>42736</v>
      </c>
      <c r="D1329" s="28" t="s">
        <v>1421</v>
      </c>
      <c r="E1329" s="28" t="s">
        <v>2350</v>
      </c>
      <c r="F1329" s="28" t="s">
        <v>1422</v>
      </c>
      <c r="G1329" s="28" t="s">
        <v>1171</v>
      </c>
      <c r="H1329" s="28">
        <v>96746</v>
      </c>
      <c r="I1329" s="28">
        <v>22.079093</v>
      </c>
      <c r="J1329" s="28">
        <v>-159.35138900000001</v>
      </c>
      <c r="L1329" s="61">
        <v>110010731262</v>
      </c>
      <c r="M1329" s="28" t="s">
        <v>263</v>
      </c>
      <c r="N1329" s="28">
        <v>4952</v>
      </c>
      <c r="O1329" s="28" t="str">
        <f>IFERROR(VLOOKUP(N1329, 'SIC &amp; NAICS Codes'!A:B, 2, FALSE), "")</f>
        <v>Sewerage Systems</v>
      </c>
      <c r="S1329" s="28">
        <v>0.31222464999999999</v>
      </c>
      <c r="T1329" s="315">
        <f>_xlfn.MAXIFS('Raw Period DMR Data'!$O:$O,'Raw Period DMR Data'!$A:$A,'Raw Annual DMR Data'!B1329,'Raw Period DMR Data'!$C:$C,X1329)/S1329</f>
        <v>0</v>
      </c>
      <c r="U1329" s="28" t="str">
        <f>+IF(COUNTIFS('Raw Period DMR Data'!$A:$A,B1329, 'Raw Period DMR Data'!C:C,'Raw Annual DMR Data'!X1329, 'Raw Period DMR Data'!M:M, "&gt;0")&gt;0,_xlfn.MAXIFS('Raw Period DMR Data'!M:M,'Raw Period DMR Data'!$A:$A,'Raw Annual DMR Data'!B1329,'Raw Period DMR Data'!C:C,'Raw Annual DMR Data'!X1329), "N/A - Period DMR Data Not Available")</f>
        <v>N/A - Period DMR Data Not Available</v>
      </c>
      <c r="V1329" s="28" t="str" cm="1">
        <f t="array" ref="V1329">IFERROR(INDEX('Raw Period DMR Data'!N:N,MATCH(1,(B1329='Raw Period DMR Data'!$A:$A)*(U1329='Raw Period DMR Data'!M:M)*(X1329='Raw Period DMR Data'!C:C),0),1), "N/A")</f>
        <v>N/A</v>
      </c>
      <c r="W1329" s="28" t="s">
        <v>1463</v>
      </c>
      <c r="X1329" s="28" t="s">
        <v>2351</v>
      </c>
      <c r="Y1329" s="28" t="s">
        <v>2352</v>
      </c>
      <c r="Z1329" s="28">
        <v>20070000000062</v>
      </c>
      <c r="AA1329" s="28"/>
      <c r="AB1329" s="28" t="s">
        <v>1465</v>
      </c>
      <c r="AC1329" s="28" t="s">
        <v>263</v>
      </c>
    </row>
    <row r="1330" spans="1:29" x14ac:dyDescent="0.25">
      <c r="A1330" s="61">
        <v>110010731262</v>
      </c>
      <c r="B1330" s="28">
        <v>2018</v>
      </c>
      <c r="C1330" s="68">
        <f t="shared" si="20"/>
        <v>43101</v>
      </c>
      <c r="D1330" s="28" t="s">
        <v>1421</v>
      </c>
      <c r="E1330" s="28" t="s">
        <v>2350</v>
      </c>
      <c r="F1330" s="28" t="s">
        <v>1422</v>
      </c>
      <c r="G1330" s="28" t="s">
        <v>1171</v>
      </c>
      <c r="H1330" s="28">
        <v>96746</v>
      </c>
      <c r="I1330" s="28">
        <v>22.079093</v>
      </c>
      <c r="J1330" s="28">
        <v>-159.35138900000001</v>
      </c>
      <c r="L1330" s="61">
        <v>110010731262</v>
      </c>
      <c r="M1330" s="28" t="s">
        <v>263</v>
      </c>
      <c r="N1330" s="28">
        <v>4952</v>
      </c>
      <c r="O1330" s="28" t="str">
        <f>IFERROR(VLOOKUP(N1330, 'SIC &amp; NAICS Codes'!A:B, 2, FALSE), "")</f>
        <v>Sewerage Systems</v>
      </c>
      <c r="S1330" s="28">
        <v>0.32742142499999999</v>
      </c>
      <c r="T1330" s="315">
        <f>_xlfn.MAXIFS('Raw Period DMR Data'!$O:$O,'Raw Period DMR Data'!$A:$A,'Raw Annual DMR Data'!B1330,'Raw Period DMR Data'!$C:$C,X1330)/S1330</f>
        <v>0</v>
      </c>
      <c r="U1330" s="28" t="str">
        <f>+IF(COUNTIFS('Raw Period DMR Data'!$A:$A,B1330, 'Raw Period DMR Data'!C:C,'Raw Annual DMR Data'!X1330, 'Raw Period DMR Data'!M:M, "&gt;0")&gt;0,_xlfn.MAXIFS('Raw Period DMR Data'!M:M,'Raw Period DMR Data'!$A:$A,'Raw Annual DMR Data'!B1330,'Raw Period DMR Data'!C:C,'Raw Annual DMR Data'!X1330), "N/A - Period DMR Data Not Available")</f>
        <v>N/A - Period DMR Data Not Available</v>
      </c>
      <c r="V1330" s="28" t="str" cm="1">
        <f t="array" ref="V1330">IFERROR(INDEX('Raw Period DMR Data'!N:N,MATCH(1,(B1330='Raw Period DMR Data'!$A:$A)*(U1330='Raw Period DMR Data'!M:M)*(X1330='Raw Period DMR Data'!C:C),0),1), "N/A")</f>
        <v>N/A</v>
      </c>
      <c r="W1330" s="28" t="s">
        <v>1463</v>
      </c>
      <c r="X1330" s="28" t="s">
        <v>2351</v>
      </c>
      <c r="Y1330" s="28" t="s">
        <v>2352</v>
      </c>
      <c r="Z1330" s="28">
        <v>20070000000062</v>
      </c>
      <c r="AA1330" s="28"/>
      <c r="AB1330" s="28" t="s">
        <v>1465</v>
      </c>
      <c r="AC1330" s="28" t="s">
        <v>263</v>
      </c>
    </row>
    <row r="1331" spans="1:29" x14ac:dyDescent="0.25">
      <c r="A1331" s="61">
        <v>110010731262</v>
      </c>
      <c r="B1331" s="28">
        <v>2020</v>
      </c>
      <c r="C1331" s="68">
        <f t="shared" si="20"/>
        <v>43831</v>
      </c>
      <c r="D1331" s="28" t="s">
        <v>1421</v>
      </c>
      <c r="E1331" s="28" t="s">
        <v>2350</v>
      </c>
      <c r="F1331" s="28" t="s">
        <v>1422</v>
      </c>
      <c r="G1331" s="28" t="s">
        <v>1171</v>
      </c>
      <c r="H1331" s="28">
        <v>96746</v>
      </c>
      <c r="I1331" s="28">
        <v>22.079093</v>
      </c>
      <c r="J1331" s="28">
        <v>-159.35138900000001</v>
      </c>
      <c r="L1331" s="61">
        <v>110010731262</v>
      </c>
      <c r="M1331" s="28" t="s">
        <v>263</v>
      </c>
      <c r="N1331" s="28">
        <v>4952</v>
      </c>
      <c r="O1331" s="28" t="str">
        <f>IFERROR(VLOOKUP(N1331, 'SIC &amp; NAICS Codes'!A:B, 2, FALSE), "")</f>
        <v>Sewerage Systems</v>
      </c>
      <c r="S1331" s="28">
        <v>0.1692368125</v>
      </c>
      <c r="T1331" s="315">
        <f>_xlfn.MAXIFS('Raw Period DMR Data'!$O:$O,'Raw Period DMR Data'!$A:$A,'Raw Annual DMR Data'!B1331,'Raw Period DMR Data'!$C:$C,X1331)/S1331</f>
        <v>0</v>
      </c>
      <c r="U1331" s="28" t="str">
        <f>+IF(COUNTIFS('Raw Period DMR Data'!$A:$A,B1331, 'Raw Period DMR Data'!C:C,'Raw Annual DMR Data'!X1331, 'Raw Period DMR Data'!M:M, "&gt;0")&gt;0,_xlfn.MAXIFS('Raw Period DMR Data'!M:M,'Raw Period DMR Data'!$A:$A,'Raw Annual DMR Data'!B1331,'Raw Period DMR Data'!C:C,'Raw Annual DMR Data'!X1331), "N/A - Period DMR Data Not Available")</f>
        <v>N/A - Period DMR Data Not Available</v>
      </c>
      <c r="V1331" s="28" t="str" cm="1">
        <f t="array" ref="V1331">IFERROR(INDEX('Raw Period DMR Data'!N:N,MATCH(1,(B1331='Raw Period DMR Data'!$A:$A)*(U1331='Raw Period DMR Data'!M:M)*(X1331='Raw Period DMR Data'!C:C),0),1), "N/A")</f>
        <v>N/A</v>
      </c>
      <c r="W1331" s="28" t="s">
        <v>1463</v>
      </c>
      <c r="X1331" s="28" t="s">
        <v>2351</v>
      </c>
      <c r="Y1331" s="28" t="s">
        <v>2352</v>
      </c>
      <c r="Z1331" s="28">
        <v>20070000000062</v>
      </c>
      <c r="AA1331" s="28"/>
      <c r="AB1331" s="28" t="s">
        <v>1465</v>
      </c>
      <c r="AC1331" s="28" t="s">
        <v>263</v>
      </c>
    </row>
    <row r="1332" spans="1:29" x14ac:dyDescent="0.25">
      <c r="A1332" s="61">
        <v>110054919406</v>
      </c>
      <c r="B1332" s="28">
        <v>2018</v>
      </c>
      <c r="C1332" s="68">
        <f t="shared" si="20"/>
        <v>43101</v>
      </c>
      <c r="D1332" s="28" t="s">
        <v>1423</v>
      </c>
      <c r="E1332" s="28" t="s">
        <v>2353</v>
      </c>
      <c r="F1332" s="28" t="s">
        <v>1424</v>
      </c>
      <c r="G1332" s="28" t="s">
        <v>294</v>
      </c>
      <c r="H1332" s="28">
        <v>22610</v>
      </c>
      <c r="I1332" s="28">
        <v>38.814979999999998</v>
      </c>
      <c r="J1332" s="28">
        <v>-78.2834</v>
      </c>
      <c r="L1332" s="61">
        <v>110054919406</v>
      </c>
      <c r="M1332" s="28" t="s">
        <v>6750</v>
      </c>
      <c r="N1332" s="28">
        <v>4953</v>
      </c>
      <c r="O1332" s="28" t="str">
        <f>IFERROR(VLOOKUP(N1332, 'SIC &amp; NAICS Codes'!A:B, 2, FALSE), "")</f>
        <v>Refuse Systems (hazardous waste treatment and disposal)</v>
      </c>
      <c r="S1332" s="302">
        <v>9.1860519269999904E-4</v>
      </c>
      <c r="T1332" s="315">
        <f>_xlfn.MAXIFS('Raw Period DMR Data'!$O:$O,'Raw Period DMR Data'!$A:$A,'Raw Annual DMR Data'!B1332,'Raw Period DMR Data'!$C:$C,X1332)/S1332</f>
        <v>0</v>
      </c>
      <c r="U1332" s="28" t="str">
        <f>+IF(COUNTIFS('Raw Period DMR Data'!$A:$A,B1332, 'Raw Period DMR Data'!C:C,'Raw Annual DMR Data'!X1332, 'Raw Period DMR Data'!M:M, "&gt;0")&gt;0,_xlfn.MAXIFS('Raw Period DMR Data'!M:M,'Raw Period DMR Data'!$A:$A,'Raw Annual DMR Data'!B1332,'Raw Period DMR Data'!C:C,'Raw Annual DMR Data'!X1332), "N/A - Period DMR Data Not Available")</f>
        <v>N/A - Period DMR Data Not Available</v>
      </c>
      <c r="V1332" s="28" t="str" cm="1">
        <f t="array" ref="V1332">IFERROR(INDEX('Raw Period DMR Data'!N:N,MATCH(1,(B1332='Raw Period DMR Data'!$A:$A)*(U1332='Raw Period DMR Data'!M:M)*(X1332='Raw Period DMR Data'!C:C),0),1), "N/A")</f>
        <v>N/A</v>
      </c>
      <c r="W1332" s="28" t="s">
        <v>1463</v>
      </c>
      <c r="X1332" s="28" t="s">
        <v>2354</v>
      </c>
      <c r="Y1332" s="28" t="s">
        <v>2355</v>
      </c>
      <c r="AA1332" s="28"/>
      <c r="AB1332" s="28" t="s">
        <v>1465</v>
      </c>
      <c r="AC1332" s="28" t="s">
        <v>1466</v>
      </c>
    </row>
    <row r="1333" spans="1:29" x14ac:dyDescent="0.25">
      <c r="A1333" s="61">
        <v>110054919406</v>
      </c>
      <c r="B1333" s="28">
        <v>2019</v>
      </c>
      <c r="C1333" s="68">
        <f t="shared" si="20"/>
        <v>43466</v>
      </c>
      <c r="D1333" s="28" t="s">
        <v>1423</v>
      </c>
      <c r="E1333" s="28" t="s">
        <v>2353</v>
      </c>
      <c r="F1333" s="28" t="s">
        <v>1424</v>
      </c>
      <c r="G1333" s="28" t="s">
        <v>294</v>
      </c>
      <c r="H1333" s="28">
        <v>22610</v>
      </c>
      <c r="I1333" s="28">
        <v>38.814979999999998</v>
      </c>
      <c r="J1333" s="28">
        <v>-78.2834</v>
      </c>
      <c r="L1333" s="61">
        <v>110054919406</v>
      </c>
      <c r="M1333" s="28" t="s">
        <v>6750</v>
      </c>
      <c r="N1333" s="28">
        <v>4953</v>
      </c>
      <c r="O1333" s="28" t="str">
        <f>IFERROR(VLOOKUP(N1333, 'SIC &amp; NAICS Codes'!A:B, 2, FALSE), "")</f>
        <v>Refuse Systems (hazardous waste treatment and disposal)</v>
      </c>
      <c r="S1333" s="28">
        <v>9.36183028686999E-4</v>
      </c>
      <c r="T1333" s="315">
        <f>_xlfn.MAXIFS('Raw Period DMR Data'!$O:$O,'Raw Period DMR Data'!$A:$A,'Raw Annual DMR Data'!B1333,'Raw Period DMR Data'!$C:$C,X1333)/S1333</f>
        <v>0</v>
      </c>
      <c r="U1333" s="28" t="str">
        <f>+IF(COUNTIFS('Raw Period DMR Data'!$A:$A,B1333, 'Raw Period DMR Data'!C:C,'Raw Annual DMR Data'!X1333, 'Raw Period DMR Data'!M:M, "&gt;0")&gt;0,_xlfn.MAXIFS('Raw Period DMR Data'!M:M,'Raw Period DMR Data'!$A:$A,'Raw Annual DMR Data'!B1333,'Raw Period DMR Data'!C:C,'Raw Annual DMR Data'!X1333), "N/A - Period DMR Data Not Available")</f>
        <v>N/A - Period DMR Data Not Available</v>
      </c>
      <c r="V1333" s="28" t="str" cm="1">
        <f t="array" ref="V1333">IFERROR(INDEX('Raw Period DMR Data'!N:N,MATCH(1,(B1333='Raw Period DMR Data'!$A:$A)*(U1333='Raw Period DMR Data'!M:M)*(X1333='Raw Period DMR Data'!C:C),0),1), "N/A")</f>
        <v>N/A</v>
      </c>
      <c r="W1333" s="28" t="s">
        <v>1463</v>
      </c>
      <c r="X1333" s="28" t="s">
        <v>2354</v>
      </c>
      <c r="Y1333" s="28" t="s">
        <v>2355</v>
      </c>
      <c r="AA1333" s="28"/>
      <c r="AB1333" s="28" t="s">
        <v>1465</v>
      </c>
      <c r="AC1333" s="28" t="s">
        <v>1466</v>
      </c>
    </row>
    <row r="1334" spans="1:29" x14ac:dyDescent="0.25">
      <c r="A1334" s="61">
        <v>110054919406</v>
      </c>
      <c r="B1334" s="28">
        <v>2020</v>
      </c>
      <c r="C1334" s="68">
        <f t="shared" si="20"/>
        <v>43831</v>
      </c>
      <c r="D1334" s="28" t="s">
        <v>1423</v>
      </c>
      <c r="E1334" s="28" t="s">
        <v>2353</v>
      </c>
      <c r="F1334" s="28" t="s">
        <v>1424</v>
      </c>
      <c r="G1334" s="28" t="s">
        <v>294</v>
      </c>
      <c r="H1334" s="28">
        <v>22610</v>
      </c>
      <c r="I1334" s="28">
        <v>38.814979999999998</v>
      </c>
      <c r="J1334" s="28">
        <v>-78.2834</v>
      </c>
      <c r="L1334" s="61">
        <v>110054919406</v>
      </c>
      <c r="M1334" s="28" t="s">
        <v>6750</v>
      </c>
      <c r="N1334" s="28">
        <v>4953</v>
      </c>
      <c r="O1334" s="28" t="str">
        <f>IFERROR(VLOOKUP(N1334, 'SIC &amp; NAICS Codes'!A:B, 2, FALSE), "")</f>
        <v>Refuse Systems (hazardous waste treatment and disposal)</v>
      </c>
      <c r="S1334" s="28">
        <v>6.3708873974999895E-4</v>
      </c>
      <c r="T1334" s="315">
        <f>_xlfn.MAXIFS('Raw Period DMR Data'!$O:$O,'Raw Period DMR Data'!$A:$A,'Raw Annual DMR Data'!B1334,'Raw Period DMR Data'!$C:$C,X1334)/S1334</f>
        <v>0</v>
      </c>
      <c r="U1334" s="28" t="str">
        <f>+IF(COUNTIFS('Raw Period DMR Data'!$A:$A,B1334, 'Raw Period DMR Data'!C:C,'Raw Annual DMR Data'!X1334, 'Raw Period DMR Data'!M:M, "&gt;0")&gt;0,_xlfn.MAXIFS('Raw Period DMR Data'!M:M,'Raw Period DMR Data'!$A:$A,'Raw Annual DMR Data'!B1334,'Raw Period DMR Data'!C:C,'Raw Annual DMR Data'!X1334), "N/A - Period DMR Data Not Available")</f>
        <v>N/A - Period DMR Data Not Available</v>
      </c>
      <c r="V1334" s="28" t="str" cm="1">
        <f t="array" ref="V1334">IFERROR(INDEX('Raw Period DMR Data'!N:N,MATCH(1,(B1334='Raw Period DMR Data'!$A:$A)*(U1334='Raw Period DMR Data'!M:M)*(X1334='Raw Period DMR Data'!C:C),0),1), "N/A")</f>
        <v>N/A</v>
      </c>
      <c r="W1334" s="28" t="s">
        <v>1463</v>
      </c>
      <c r="X1334" s="28" t="s">
        <v>2354</v>
      </c>
      <c r="Y1334" s="28" t="s">
        <v>2355</v>
      </c>
      <c r="AA1334" s="28"/>
      <c r="AB1334" s="28" t="s">
        <v>1465</v>
      </c>
      <c r="AC1334" s="28" t="s">
        <v>1466</v>
      </c>
    </row>
    <row r="1335" spans="1:29" x14ac:dyDescent="0.25">
      <c r="A1335" s="61">
        <v>110001869899</v>
      </c>
      <c r="B1335" s="28">
        <v>2017</v>
      </c>
      <c r="C1335" s="68">
        <f t="shared" si="20"/>
        <v>42736</v>
      </c>
      <c r="D1335" s="28" t="s">
        <v>200</v>
      </c>
      <c r="E1335" s="28" t="s">
        <v>661</v>
      </c>
      <c r="F1335" s="28" t="s">
        <v>463</v>
      </c>
      <c r="G1335" s="28" t="s">
        <v>362</v>
      </c>
      <c r="H1335" s="28" t="s">
        <v>662</v>
      </c>
      <c r="I1335" s="28">
        <v>29.721309999999999</v>
      </c>
      <c r="J1335" s="28">
        <v>-95.220079999999996</v>
      </c>
      <c r="L1335" s="61">
        <v>110001869899</v>
      </c>
      <c r="M1335" s="28" t="s">
        <v>263</v>
      </c>
      <c r="N1335" s="28">
        <v>4952</v>
      </c>
      <c r="O1335" s="28" t="str">
        <f>IFERROR(VLOOKUP(N1335, 'SIC &amp; NAICS Codes'!A:B, 2, FALSE), "")</f>
        <v>Sewerage Systems</v>
      </c>
      <c r="S1335" s="28">
        <v>1118.5306122448901</v>
      </c>
      <c r="T1335" s="315">
        <f>_xlfn.MAXIFS('Raw Period DMR Data'!$O:$O,'Raw Period DMR Data'!$A:$A,'Raw Annual DMR Data'!B1335,'Raw Period DMR Data'!$C:$C,X1335)/S1335</f>
        <v>0</v>
      </c>
      <c r="U1335" s="28" t="str">
        <f>+IF(COUNTIFS('Raw Period DMR Data'!$A:$A,B1335, 'Raw Period DMR Data'!C:C,'Raw Annual DMR Data'!X1335, 'Raw Period DMR Data'!M:M, "&gt;0")&gt;0,_xlfn.MAXIFS('Raw Period DMR Data'!M:M,'Raw Period DMR Data'!$A:$A,'Raw Annual DMR Data'!B1335,'Raw Period DMR Data'!C:C,'Raw Annual DMR Data'!X1335), "N/A - Period DMR Data Not Available")</f>
        <v>N/A - Period DMR Data Not Available</v>
      </c>
      <c r="V1335" s="28" t="str" cm="1">
        <f t="array" ref="V1335">IFERROR(INDEX('Raw Period DMR Data'!N:N,MATCH(1,(B1335='Raw Period DMR Data'!$A:$A)*(U1335='Raw Period DMR Data'!M:M)*(X1335='Raw Period DMR Data'!C:C),0),1), "N/A")</f>
        <v>N/A</v>
      </c>
      <c r="W1335" s="28" t="s">
        <v>1463</v>
      </c>
      <c r="X1335" s="28" t="s">
        <v>954</v>
      </c>
      <c r="Y1335" s="28" t="s">
        <v>955</v>
      </c>
      <c r="Z1335" s="61">
        <v>12040104000891</v>
      </c>
      <c r="AA1335" s="28"/>
    </row>
    <row r="1336" spans="1:29" x14ac:dyDescent="0.25">
      <c r="A1336" s="61">
        <v>110001869899</v>
      </c>
      <c r="B1336" s="28">
        <v>2017</v>
      </c>
      <c r="C1336" s="68">
        <f t="shared" si="20"/>
        <v>42736</v>
      </c>
      <c r="D1336" s="28" t="s">
        <v>200</v>
      </c>
      <c r="E1336" s="28" t="s">
        <v>661</v>
      </c>
      <c r="F1336" s="28" t="s">
        <v>463</v>
      </c>
      <c r="G1336" s="28" t="s">
        <v>362</v>
      </c>
      <c r="H1336" s="28" t="s">
        <v>662</v>
      </c>
      <c r="I1336" s="28">
        <v>29.721309999999999</v>
      </c>
      <c r="J1336" s="28">
        <v>-95.220079999999996</v>
      </c>
      <c r="L1336" s="61">
        <v>110001869899</v>
      </c>
      <c r="M1336" s="28" t="s">
        <v>263</v>
      </c>
      <c r="N1336" s="28">
        <v>4952</v>
      </c>
      <c r="O1336" s="28" t="str">
        <f>IFERROR(VLOOKUP(N1336, 'SIC &amp; NAICS Codes'!A:B, 2, FALSE), "")</f>
        <v>Sewerage Systems</v>
      </c>
      <c r="S1336" s="28">
        <v>1118.5306122448901</v>
      </c>
      <c r="T1336" s="315">
        <f>_xlfn.MAXIFS('Raw Period DMR Data'!$O:$O,'Raw Period DMR Data'!$A:$A,'Raw Annual DMR Data'!B1336,'Raw Period DMR Data'!$C:$C,X1336)/S1336</f>
        <v>0</v>
      </c>
      <c r="U1336" s="28" t="str">
        <f>+IF(COUNTIFS('Raw Period DMR Data'!$A:$A,B1336, 'Raw Period DMR Data'!C:C,'Raw Annual DMR Data'!X1336, 'Raw Period DMR Data'!M:M, "&gt;0")&gt;0,_xlfn.MAXIFS('Raw Period DMR Data'!M:M,'Raw Period DMR Data'!$A:$A,'Raw Annual DMR Data'!B1336,'Raw Period DMR Data'!C:C,'Raw Annual DMR Data'!X1336), "N/A - Period DMR Data Not Available")</f>
        <v>N/A - Period DMR Data Not Available</v>
      </c>
      <c r="V1336" s="28" t="str" cm="1">
        <f t="array" ref="V1336">IFERROR(INDEX('Raw Period DMR Data'!N:N,MATCH(1,(B1336='Raw Period DMR Data'!$A:$A)*(U1336='Raw Period DMR Data'!M:M)*(X1336='Raw Period DMR Data'!C:C),0),1), "N/A")</f>
        <v>N/A</v>
      </c>
      <c r="W1336" s="28" t="s">
        <v>1463</v>
      </c>
      <c r="X1336" s="28" t="s">
        <v>954</v>
      </c>
      <c r="Y1336" s="28" t="s">
        <v>955</v>
      </c>
      <c r="Z1336" s="61">
        <v>12040104000891</v>
      </c>
      <c r="AA1336" s="28"/>
    </row>
    <row r="1337" spans="1:29" x14ac:dyDescent="0.25">
      <c r="A1337" s="61">
        <v>110013819706</v>
      </c>
      <c r="B1337" s="28">
        <v>2016</v>
      </c>
      <c r="C1337" s="68">
        <f t="shared" si="20"/>
        <v>42370</v>
      </c>
      <c r="D1337" s="28" t="s">
        <v>1425</v>
      </c>
      <c r="E1337" s="28" t="s">
        <v>2356</v>
      </c>
      <c r="F1337" s="28" t="s">
        <v>1426</v>
      </c>
      <c r="G1337" s="28" t="s">
        <v>366</v>
      </c>
      <c r="H1337" s="28" t="s">
        <v>2357</v>
      </c>
      <c r="I1337" s="28">
        <v>36.889969999999998</v>
      </c>
      <c r="J1337" s="28">
        <v>-121.78815</v>
      </c>
      <c r="L1337" s="61">
        <v>110013819706</v>
      </c>
      <c r="M1337" s="28" t="s">
        <v>263</v>
      </c>
      <c r="N1337" s="28">
        <v>4952</v>
      </c>
      <c r="O1337" s="28" t="str">
        <f>IFERROR(VLOOKUP(N1337, 'SIC &amp; NAICS Codes'!A:B, 2, FALSE), "")</f>
        <v>Sewerage Systems</v>
      </c>
      <c r="S1337" s="28">
        <v>5.36507936507936E-3</v>
      </c>
      <c r="T1337" s="315">
        <f>_xlfn.MAXIFS('Raw Period DMR Data'!$O:$O,'Raw Period DMR Data'!$A:$A,'Raw Annual DMR Data'!B1337,'Raw Period DMR Data'!$C:$C,X1337)/S1337</f>
        <v>0</v>
      </c>
      <c r="U1337" s="28" t="str">
        <f>+IF(COUNTIFS('Raw Period DMR Data'!$A:$A,B1337, 'Raw Period DMR Data'!C:C,'Raw Annual DMR Data'!X1337, 'Raw Period DMR Data'!M:M, "&gt;0")&gt;0,_xlfn.MAXIFS('Raw Period DMR Data'!M:M,'Raw Period DMR Data'!$A:$A,'Raw Annual DMR Data'!B1337,'Raw Period DMR Data'!C:C,'Raw Annual DMR Data'!X1337), "N/A - Period DMR Data Not Available")</f>
        <v>N/A - Period DMR Data Not Available</v>
      </c>
      <c r="V1337" s="28" t="str" cm="1">
        <f t="array" ref="V1337">IFERROR(INDEX('Raw Period DMR Data'!N:N,MATCH(1,(B1337='Raw Period DMR Data'!$A:$A)*(U1337='Raw Period DMR Data'!M:M)*(X1337='Raw Period DMR Data'!C:C),0),1), "N/A")</f>
        <v>N/A</v>
      </c>
      <c r="W1337" s="28" t="s">
        <v>1463</v>
      </c>
      <c r="X1337" s="28" t="s">
        <v>2358</v>
      </c>
      <c r="Y1337" s="28" t="s">
        <v>926</v>
      </c>
      <c r="AA1337" s="28"/>
      <c r="AB1337" s="28" t="s">
        <v>1465</v>
      </c>
      <c r="AC1337" s="28" t="s">
        <v>263</v>
      </c>
    </row>
    <row r="1338" spans="1:29" x14ac:dyDescent="0.25">
      <c r="A1338" s="61">
        <v>110064252419</v>
      </c>
      <c r="B1338" s="28">
        <v>2019</v>
      </c>
      <c r="C1338" s="68">
        <f t="shared" si="20"/>
        <v>43466</v>
      </c>
      <c r="D1338" s="28" t="s">
        <v>1427</v>
      </c>
      <c r="E1338" s="28" t="s">
        <v>2359</v>
      </c>
      <c r="F1338" s="28" t="s">
        <v>1265</v>
      </c>
      <c r="G1338" s="28" t="s">
        <v>366</v>
      </c>
      <c r="H1338" s="28">
        <v>94806</v>
      </c>
      <c r="I1338" s="28">
        <v>37.977150000000002</v>
      </c>
      <c r="J1338" s="28">
        <v>-122.33269</v>
      </c>
      <c r="L1338" s="61">
        <v>110064252419</v>
      </c>
      <c r="M1338" s="28" t="s">
        <v>263</v>
      </c>
      <c r="N1338" s="28">
        <v>4952</v>
      </c>
      <c r="O1338" s="28" t="str">
        <f>IFERROR(VLOOKUP(N1338, 'SIC &amp; NAICS Codes'!A:B, 2, FALSE), "")</f>
        <v>Sewerage Systems</v>
      </c>
      <c r="S1338" s="28">
        <v>3.7646556250000001</v>
      </c>
      <c r="T1338" s="315">
        <f>_xlfn.MAXIFS('Raw Period DMR Data'!$O:$O,'Raw Period DMR Data'!$A:$A,'Raw Annual DMR Data'!B1338,'Raw Period DMR Data'!$C:$C,X1338)/S1338</f>
        <v>0</v>
      </c>
      <c r="U1338" s="28" t="str">
        <f>+IF(COUNTIFS('Raw Period DMR Data'!$A:$A,B1338, 'Raw Period DMR Data'!C:C,'Raw Annual DMR Data'!X1338, 'Raw Period DMR Data'!M:M, "&gt;0")&gt;0,_xlfn.MAXIFS('Raw Period DMR Data'!M:M,'Raw Period DMR Data'!$A:$A,'Raw Annual DMR Data'!B1338,'Raw Period DMR Data'!C:C,'Raw Annual DMR Data'!X1338), "N/A - Period DMR Data Not Available")</f>
        <v>N/A - Period DMR Data Not Available</v>
      </c>
      <c r="V1338" s="28" t="str" cm="1">
        <f t="array" ref="V1338">IFERROR(INDEX('Raw Period DMR Data'!N:N,MATCH(1,(B1338='Raw Period DMR Data'!$A:$A)*(U1338='Raw Period DMR Data'!M:M)*(X1338='Raw Period DMR Data'!C:C),0),1), "N/A")</f>
        <v>N/A</v>
      </c>
      <c r="W1338" s="28" t="s">
        <v>1463</v>
      </c>
      <c r="X1338" s="28" t="s">
        <v>2360</v>
      </c>
      <c r="Y1338" s="28" t="s">
        <v>2361</v>
      </c>
      <c r="Z1338" s="28">
        <v>18050002001022</v>
      </c>
      <c r="AA1338" s="28"/>
      <c r="AB1338" s="28" t="s">
        <v>1465</v>
      </c>
      <c r="AC1338" s="28" t="s">
        <v>263</v>
      </c>
    </row>
    <row r="1339" spans="1:29" x14ac:dyDescent="0.25">
      <c r="A1339" s="61">
        <v>110010354810</v>
      </c>
      <c r="B1339" s="28">
        <v>2015</v>
      </c>
      <c r="C1339" s="68">
        <f t="shared" si="20"/>
        <v>42005</v>
      </c>
      <c r="D1339" s="28" t="s">
        <v>1428</v>
      </c>
      <c r="E1339" s="28" t="s">
        <v>2362</v>
      </c>
      <c r="F1339" s="28" t="s">
        <v>337</v>
      </c>
      <c r="G1339" s="28" t="s">
        <v>338</v>
      </c>
      <c r="H1339" s="28">
        <v>8066</v>
      </c>
      <c r="I1339" s="28">
        <v>39.837310000000002</v>
      </c>
      <c r="J1339" s="28">
        <v>-75.224580000000003</v>
      </c>
      <c r="L1339" s="61">
        <v>110010354810</v>
      </c>
      <c r="M1339" s="28" t="s">
        <v>265</v>
      </c>
      <c r="N1339" s="28">
        <v>4911</v>
      </c>
      <c r="O1339" s="28" t="str">
        <f>IFERROR(VLOOKUP(N1339, 'SIC &amp; NAICS Codes'!A:B, 2, FALSE), "")</f>
        <v>Electric Services (hydroelectric power generation)</v>
      </c>
      <c r="S1339" s="28">
        <v>0.39142956000000001</v>
      </c>
      <c r="T1339" s="315">
        <f>_xlfn.MAXIFS('Raw Period DMR Data'!$O:$O,'Raw Period DMR Data'!$A:$A,'Raw Annual DMR Data'!B1339,'Raw Period DMR Data'!$C:$C,X1339)/S1339</f>
        <v>0</v>
      </c>
      <c r="U1339" s="28" t="str">
        <f>+IF(COUNTIFS('Raw Period DMR Data'!$A:$A,B1339, 'Raw Period DMR Data'!C:C,'Raw Annual DMR Data'!X1339, 'Raw Period DMR Data'!M:M, "&gt;0")&gt;0,_xlfn.MAXIFS('Raw Period DMR Data'!M:M,'Raw Period DMR Data'!$A:$A,'Raw Annual DMR Data'!B1339,'Raw Period DMR Data'!C:C,'Raw Annual DMR Data'!X1339), "N/A - Period DMR Data Not Available")</f>
        <v>N/A - Period DMR Data Not Available</v>
      </c>
      <c r="V1339" s="28" t="str" cm="1">
        <f t="array" ref="V1339">IFERROR(INDEX('Raw Period DMR Data'!N:N,MATCH(1,(B1339='Raw Period DMR Data'!$A:$A)*(U1339='Raw Period DMR Data'!M:M)*(X1339='Raw Period DMR Data'!C:C),0),1), "N/A")</f>
        <v>N/A</v>
      </c>
      <c r="W1339" s="28" t="s">
        <v>1463</v>
      </c>
      <c r="X1339" s="28" t="s">
        <v>2363</v>
      </c>
      <c r="Y1339" s="28" t="s">
        <v>783</v>
      </c>
      <c r="Z1339" s="28">
        <v>2040202001766</v>
      </c>
      <c r="AA1339" s="28"/>
      <c r="AB1339" s="28" t="s">
        <v>1465</v>
      </c>
      <c r="AC1339" s="28" t="s">
        <v>1466</v>
      </c>
    </row>
    <row r="1340" spans="1:29" x14ac:dyDescent="0.25">
      <c r="A1340" s="61">
        <v>110010354810</v>
      </c>
      <c r="B1340" s="28">
        <v>2016</v>
      </c>
      <c r="C1340" s="68">
        <f t="shared" si="20"/>
        <v>42370</v>
      </c>
      <c r="D1340" s="28" t="s">
        <v>1428</v>
      </c>
      <c r="E1340" s="28" t="s">
        <v>2362</v>
      </c>
      <c r="F1340" s="28" t="s">
        <v>337</v>
      </c>
      <c r="G1340" s="28" t="s">
        <v>338</v>
      </c>
      <c r="H1340" s="28">
        <v>8066</v>
      </c>
      <c r="I1340" s="28">
        <v>39.837310000000002</v>
      </c>
      <c r="J1340" s="28">
        <v>-75.224580000000003</v>
      </c>
      <c r="L1340" s="61">
        <v>110010354810</v>
      </c>
      <c r="M1340" s="28" t="s">
        <v>265</v>
      </c>
      <c r="N1340" s="28">
        <v>4911</v>
      </c>
      <c r="O1340" s="28" t="str">
        <f>IFERROR(VLOOKUP(N1340, 'SIC &amp; NAICS Codes'!A:B, 2, FALSE), "")</f>
        <v>Electric Services (hydroelectric power generation)</v>
      </c>
      <c r="S1340" s="28">
        <v>0.16203585000000001</v>
      </c>
      <c r="T1340" s="315">
        <f>_xlfn.MAXIFS('Raw Period DMR Data'!$O:$O,'Raw Period DMR Data'!$A:$A,'Raw Annual DMR Data'!B1340,'Raw Period DMR Data'!$C:$C,X1340)/S1340</f>
        <v>0</v>
      </c>
      <c r="U1340" s="28" t="str">
        <f>+IF(COUNTIFS('Raw Period DMR Data'!$A:$A,B1340, 'Raw Period DMR Data'!C:C,'Raw Annual DMR Data'!X1340, 'Raw Period DMR Data'!M:M, "&gt;0")&gt;0,_xlfn.MAXIFS('Raw Period DMR Data'!M:M,'Raw Period DMR Data'!$A:$A,'Raw Annual DMR Data'!B1340,'Raw Period DMR Data'!C:C,'Raw Annual DMR Data'!X1340), "N/A - Period DMR Data Not Available")</f>
        <v>N/A - Period DMR Data Not Available</v>
      </c>
      <c r="V1340" s="28" t="str" cm="1">
        <f t="array" ref="V1340">IFERROR(INDEX('Raw Period DMR Data'!N:N,MATCH(1,(B1340='Raw Period DMR Data'!$A:$A)*(U1340='Raw Period DMR Data'!M:M)*(X1340='Raw Period DMR Data'!C:C),0),1), "N/A")</f>
        <v>N/A</v>
      </c>
      <c r="W1340" s="28" t="s">
        <v>1463</v>
      </c>
      <c r="X1340" s="28" t="s">
        <v>2363</v>
      </c>
      <c r="Y1340" s="28" t="s">
        <v>783</v>
      </c>
      <c r="Z1340" s="28">
        <v>2040202001766</v>
      </c>
      <c r="AA1340" s="28"/>
      <c r="AB1340" s="28" t="s">
        <v>1465</v>
      </c>
      <c r="AC1340" s="28" t="s">
        <v>1466</v>
      </c>
    </row>
    <row r="1341" spans="1:29" x14ac:dyDescent="0.25">
      <c r="A1341" s="61">
        <v>110010354810</v>
      </c>
      <c r="B1341" s="28">
        <v>2017</v>
      </c>
      <c r="C1341" s="68">
        <f t="shared" si="20"/>
        <v>42736</v>
      </c>
      <c r="D1341" s="28" t="s">
        <v>1428</v>
      </c>
      <c r="E1341" s="28" t="s">
        <v>2362</v>
      </c>
      <c r="F1341" s="28" t="s">
        <v>337</v>
      </c>
      <c r="G1341" s="28" t="s">
        <v>338</v>
      </c>
      <c r="H1341" s="28">
        <v>8066</v>
      </c>
      <c r="I1341" s="28">
        <v>39.837310000000002</v>
      </c>
      <c r="J1341" s="28">
        <v>-75.224580000000003</v>
      </c>
      <c r="L1341" s="61">
        <v>110010354810</v>
      </c>
      <c r="M1341" s="28" t="s">
        <v>265</v>
      </c>
      <c r="N1341" s="28">
        <v>4911</v>
      </c>
      <c r="O1341" s="28" t="str">
        <f>IFERROR(VLOOKUP(N1341, 'SIC &amp; NAICS Codes'!A:B, 2, FALSE), "")</f>
        <v>Electric Services (hydroelectric power generation)</v>
      </c>
      <c r="S1341" s="28">
        <v>2.863376724E-2</v>
      </c>
      <c r="T1341" s="315">
        <f>_xlfn.MAXIFS('Raw Period DMR Data'!$O:$O,'Raw Period DMR Data'!$A:$A,'Raw Annual DMR Data'!B1341,'Raw Period DMR Data'!$C:$C,X1341)/S1341</f>
        <v>0</v>
      </c>
      <c r="U1341" s="28" t="str">
        <f>+IF(COUNTIFS('Raw Period DMR Data'!$A:$A,B1341, 'Raw Period DMR Data'!C:C,'Raw Annual DMR Data'!X1341, 'Raw Period DMR Data'!M:M, "&gt;0")&gt;0,_xlfn.MAXIFS('Raw Period DMR Data'!M:M,'Raw Period DMR Data'!$A:$A,'Raw Annual DMR Data'!B1341,'Raw Period DMR Data'!C:C,'Raw Annual DMR Data'!X1341), "N/A - Period DMR Data Not Available")</f>
        <v>N/A - Period DMR Data Not Available</v>
      </c>
      <c r="V1341" s="28" t="str" cm="1">
        <f t="array" ref="V1341">IFERROR(INDEX('Raw Period DMR Data'!N:N,MATCH(1,(B1341='Raw Period DMR Data'!$A:$A)*(U1341='Raw Period DMR Data'!M:M)*(X1341='Raw Period DMR Data'!C:C),0),1), "N/A")</f>
        <v>N/A</v>
      </c>
      <c r="W1341" s="28" t="s">
        <v>1463</v>
      </c>
      <c r="X1341" s="28" t="s">
        <v>2363</v>
      </c>
      <c r="Y1341" s="28" t="s">
        <v>783</v>
      </c>
      <c r="Z1341" s="28">
        <v>2040202001766</v>
      </c>
      <c r="AA1341" s="28"/>
      <c r="AB1341" s="28" t="s">
        <v>1465</v>
      </c>
      <c r="AC1341" s="28" t="s">
        <v>1466</v>
      </c>
    </row>
    <row r="1342" spans="1:29" x14ac:dyDescent="0.25">
      <c r="A1342" s="61">
        <v>110010354810</v>
      </c>
      <c r="B1342" s="28">
        <v>2018</v>
      </c>
      <c r="C1342" s="68">
        <f t="shared" si="20"/>
        <v>43101</v>
      </c>
      <c r="D1342" s="28" t="s">
        <v>1428</v>
      </c>
      <c r="E1342" s="28" t="s">
        <v>2362</v>
      </c>
      <c r="F1342" s="28" t="s">
        <v>337</v>
      </c>
      <c r="G1342" s="28" t="s">
        <v>338</v>
      </c>
      <c r="H1342" s="302" t="s">
        <v>1817</v>
      </c>
      <c r="I1342" s="28">
        <v>39.837310000000002</v>
      </c>
      <c r="J1342" s="28">
        <v>-75.224580000000003</v>
      </c>
      <c r="L1342" s="61">
        <v>110010354810</v>
      </c>
      <c r="M1342" s="28" t="s">
        <v>265</v>
      </c>
      <c r="N1342" s="28">
        <v>4911</v>
      </c>
      <c r="O1342" s="28" t="str">
        <f>IFERROR(VLOOKUP(N1342, 'SIC &amp; NAICS Codes'!A:B, 2, FALSE), "")</f>
        <v>Electric Services (hydroelectric power generation)</v>
      </c>
      <c r="S1342" s="28">
        <v>4.2172848499999999E-2</v>
      </c>
      <c r="T1342" s="315">
        <f>_xlfn.MAXIFS('Raw Period DMR Data'!$O:$O,'Raw Period DMR Data'!$A:$A,'Raw Annual DMR Data'!B1342,'Raw Period DMR Data'!$C:$C,X1342)/S1342</f>
        <v>0</v>
      </c>
      <c r="U1342" s="28" t="str">
        <f>+IF(COUNTIFS('Raw Period DMR Data'!$A:$A,B1342, 'Raw Period DMR Data'!C:C,'Raw Annual DMR Data'!X1342, 'Raw Period DMR Data'!M:M, "&gt;0")&gt;0,_xlfn.MAXIFS('Raw Period DMR Data'!M:M,'Raw Period DMR Data'!$A:$A,'Raw Annual DMR Data'!B1342,'Raw Period DMR Data'!C:C,'Raw Annual DMR Data'!X1342), "N/A - Period DMR Data Not Available")</f>
        <v>N/A - Period DMR Data Not Available</v>
      </c>
      <c r="V1342" s="28" t="str" cm="1">
        <f t="array" ref="V1342">IFERROR(INDEX('Raw Period DMR Data'!N:N,MATCH(1,(B1342='Raw Period DMR Data'!$A:$A)*(U1342='Raw Period DMR Data'!M:M)*(X1342='Raw Period DMR Data'!C:C),0),1), "N/A")</f>
        <v>N/A</v>
      </c>
      <c r="W1342" s="28" t="s">
        <v>1463</v>
      </c>
      <c r="X1342" s="28" t="s">
        <v>2363</v>
      </c>
      <c r="Y1342" s="28" t="s">
        <v>783</v>
      </c>
      <c r="Z1342" s="302" t="s">
        <v>2364</v>
      </c>
      <c r="AA1342" s="28"/>
      <c r="AB1342" s="28" t="s">
        <v>1465</v>
      </c>
      <c r="AC1342" s="28" t="s">
        <v>1466</v>
      </c>
    </row>
    <row r="1343" spans="1:29" x14ac:dyDescent="0.25">
      <c r="A1343" s="61">
        <v>110010354810</v>
      </c>
      <c r="B1343" s="28">
        <v>2019</v>
      </c>
      <c r="C1343" s="68">
        <f t="shared" si="20"/>
        <v>43466</v>
      </c>
      <c r="D1343" s="28" t="s">
        <v>1428</v>
      </c>
      <c r="E1343" s="28" t="s">
        <v>2362</v>
      </c>
      <c r="F1343" s="28" t="s">
        <v>337</v>
      </c>
      <c r="G1343" s="28" t="s">
        <v>338</v>
      </c>
      <c r="H1343" s="28">
        <v>8066</v>
      </c>
      <c r="I1343" s="28">
        <v>39.837310000000002</v>
      </c>
      <c r="J1343" s="28">
        <v>-75.224580000000003</v>
      </c>
      <c r="L1343" s="61">
        <v>110010354810</v>
      </c>
      <c r="M1343" s="28" t="s">
        <v>265</v>
      </c>
      <c r="N1343" s="28">
        <v>4911</v>
      </c>
      <c r="O1343" s="28" t="str">
        <f>IFERROR(VLOOKUP(N1343, 'SIC &amp; NAICS Codes'!A:B, 2, FALSE), "")</f>
        <v>Electric Services (hydroelectric power generation)</v>
      </c>
      <c r="S1343" s="28">
        <v>0.11613061299999999</v>
      </c>
      <c r="T1343" s="315">
        <f>_xlfn.MAXIFS('Raw Period DMR Data'!$O:$O,'Raw Period DMR Data'!$A:$A,'Raw Annual DMR Data'!B1343,'Raw Period DMR Data'!$C:$C,X1343)/S1343</f>
        <v>0</v>
      </c>
      <c r="U1343" s="28" t="str">
        <f>+IF(COUNTIFS('Raw Period DMR Data'!$A:$A,B1343, 'Raw Period DMR Data'!C:C,'Raw Annual DMR Data'!X1343, 'Raw Period DMR Data'!M:M, "&gt;0")&gt;0,_xlfn.MAXIFS('Raw Period DMR Data'!M:M,'Raw Period DMR Data'!$A:$A,'Raw Annual DMR Data'!B1343,'Raw Period DMR Data'!C:C,'Raw Annual DMR Data'!X1343), "N/A - Period DMR Data Not Available")</f>
        <v>N/A - Period DMR Data Not Available</v>
      </c>
      <c r="V1343" s="28" t="str" cm="1">
        <f t="array" ref="V1343">IFERROR(INDEX('Raw Period DMR Data'!N:N,MATCH(1,(B1343='Raw Period DMR Data'!$A:$A)*(U1343='Raw Period DMR Data'!M:M)*(X1343='Raw Period DMR Data'!C:C),0),1), "N/A")</f>
        <v>N/A</v>
      </c>
      <c r="W1343" s="28" t="s">
        <v>1463</v>
      </c>
      <c r="X1343" s="28" t="s">
        <v>2363</v>
      </c>
      <c r="Y1343" s="28" t="s">
        <v>783</v>
      </c>
      <c r="Z1343" s="28">
        <v>2040202001766</v>
      </c>
      <c r="AA1343" s="28"/>
      <c r="AB1343" s="28" t="s">
        <v>1465</v>
      </c>
      <c r="AC1343" s="28" t="s">
        <v>1466</v>
      </c>
    </row>
    <row r="1344" spans="1:29" x14ac:dyDescent="0.25">
      <c r="A1344" s="61">
        <v>110010354810</v>
      </c>
      <c r="B1344" s="28">
        <v>2020</v>
      </c>
      <c r="C1344" s="68">
        <f t="shared" si="20"/>
        <v>43831</v>
      </c>
      <c r="D1344" s="28" t="s">
        <v>1428</v>
      </c>
      <c r="E1344" s="28" t="s">
        <v>2362</v>
      </c>
      <c r="F1344" s="28" t="s">
        <v>337</v>
      </c>
      <c r="G1344" s="28" t="s">
        <v>338</v>
      </c>
      <c r="H1344" s="28">
        <v>8066</v>
      </c>
      <c r="I1344" s="28">
        <v>39.837310000000002</v>
      </c>
      <c r="J1344" s="28">
        <v>-75.224580000000003</v>
      </c>
      <c r="L1344" s="61">
        <v>110010354810</v>
      </c>
      <c r="M1344" s="28" t="s">
        <v>265</v>
      </c>
      <c r="N1344" s="28">
        <v>4911</v>
      </c>
      <c r="O1344" s="28" t="str">
        <f>IFERROR(VLOOKUP(N1344, 'SIC &amp; NAICS Codes'!A:B, 2, FALSE), "")</f>
        <v>Electric Services (hydroelectric power generation)</v>
      </c>
      <c r="S1344" s="28">
        <v>2.3940882E-2</v>
      </c>
      <c r="T1344" s="315">
        <f>_xlfn.MAXIFS('Raw Period DMR Data'!$O:$O,'Raw Period DMR Data'!$A:$A,'Raw Annual DMR Data'!B1344,'Raw Period DMR Data'!$C:$C,X1344)/S1344</f>
        <v>0</v>
      </c>
      <c r="U1344" s="28" t="str">
        <f>+IF(COUNTIFS('Raw Period DMR Data'!$A:$A,B1344, 'Raw Period DMR Data'!C:C,'Raw Annual DMR Data'!X1344, 'Raw Period DMR Data'!M:M, "&gt;0")&gt;0,_xlfn.MAXIFS('Raw Period DMR Data'!M:M,'Raw Period DMR Data'!$A:$A,'Raw Annual DMR Data'!B1344,'Raw Period DMR Data'!C:C,'Raw Annual DMR Data'!X1344), "N/A - Period DMR Data Not Available")</f>
        <v>N/A - Period DMR Data Not Available</v>
      </c>
      <c r="V1344" s="28" t="str" cm="1">
        <f t="array" ref="V1344">IFERROR(INDEX('Raw Period DMR Data'!N:N,MATCH(1,(B1344='Raw Period DMR Data'!$A:$A)*(U1344='Raw Period DMR Data'!M:M)*(X1344='Raw Period DMR Data'!C:C),0),1), "N/A")</f>
        <v>N/A</v>
      </c>
      <c r="W1344" s="28" t="s">
        <v>1463</v>
      </c>
      <c r="X1344" s="28" t="s">
        <v>2363</v>
      </c>
      <c r="Y1344" s="28" t="s">
        <v>783</v>
      </c>
      <c r="Z1344" s="28">
        <v>2040202001766</v>
      </c>
      <c r="AA1344" s="28"/>
      <c r="AB1344" s="28" t="s">
        <v>1465</v>
      </c>
      <c r="AC1344" s="28" t="s">
        <v>1466</v>
      </c>
    </row>
    <row r="1345" spans="1:29" x14ac:dyDescent="0.25">
      <c r="A1345" s="61">
        <v>110055043705</v>
      </c>
      <c r="B1345" s="28">
        <v>2018</v>
      </c>
      <c r="C1345" s="68">
        <f t="shared" si="20"/>
        <v>43101</v>
      </c>
      <c r="D1345" s="28" t="s">
        <v>1429</v>
      </c>
      <c r="E1345" s="28" t="s">
        <v>2365</v>
      </c>
      <c r="F1345" s="28" t="s">
        <v>1430</v>
      </c>
      <c r="G1345" s="28" t="s">
        <v>324</v>
      </c>
      <c r="H1345" s="28">
        <v>41080</v>
      </c>
      <c r="I1345" s="28">
        <v>39.00703</v>
      </c>
      <c r="J1345" s="28">
        <v>-84.841210000000004</v>
      </c>
      <c r="L1345" s="61">
        <v>110055043705</v>
      </c>
      <c r="M1345" s="28" t="s">
        <v>263</v>
      </c>
      <c r="N1345" s="28">
        <v>4952</v>
      </c>
      <c r="O1345" s="28" t="str">
        <f>IFERROR(VLOOKUP(N1345, 'SIC &amp; NAICS Codes'!A:B, 2, FALSE), "")</f>
        <v>Sewerage Systems</v>
      </c>
      <c r="S1345" s="28">
        <v>35.436116249999998</v>
      </c>
      <c r="T1345" s="315">
        <f>_xlfn.MAXIFS('Raw Period DMR Data'!$O:$O,'Raw Period DMR Data'!$A:$A,'Raw Annual DMR Data'!B1345,'Raw Period DMR Data'!$C:$C,X1345)/S1345</f>
        <v>0</v>
      </c>
      <c r="U1345" s="28" t="str">
        <f>+IF(COUNTIFS('Raw Period DMR Data'!$A:$A,B1345, 'Raw Period DMR Data'!C:C,'Raw Annual DMR Data'!X1345, 'Raw Period DMR Data'!M:M, "&gt;0")&gt;0,_xlfn.MAXIFS('Raw Period DMR Data'!M:M,'Raw Period DMR Data'!$A:$A,'Raw Annual DMR Data'!B1345,'Raw Period DMR Data'!C:C,'Raw Annual DMR Data'!X1345), "N/A - Period DMR Data Not Available")</f>
        <v>N/A - Period DMR Data Not Available</v>
      </c>
      <c r="V1345" s="28" t="str" cm="1">
        <f t="array" ref="V1345">IFERROR(INDEX('Raw Period DMR Data'!N:N,MATCH(1,(B1345='Raw Period DMR Data'!$A:$A)*(U1345='Raw Period DMR Data'!M:M)*(X1345='Raw Period DMR Data'!C:C),0),1), "N/A")</f>
        <v>N/A</v>
      </c>
      <c r="W1345" s="28" t="s">
        <v>1463</v>
      </c>
      <c r="X1345" s="28" t="s">
        <v>2366</v>
      </c>
      <c r="Y1345" s="28" t="s">
        <v>830</v>
      </c>
      <c r="Z1345" s="302" t="s">
        <v>2367</v>
      </c>
      <c r="AA1345" s="28"/>
      <c r="AB1345" s="28" t="s">
        <v>1465</v>
      </c>
      <c r="AC1345" s="28" t="s">
        <v>263</v>
      </c>
    </row>
    <row r="1346" spans="1:29" x14ac:dyDescent="0.25">
      <c r="A1346" s="61">
        <v>110055043705</v>
      </c>
      <c r="B1346" s="28">
        <v>2020</v>
      </c>
      <c r="C1346" s="68">
        <f t="shared" si="20"/>
        <v>43831</v>
      </c>
      <c r="D1346" s="28" t="s">
        <v>1429</v>
      </c>
      <c r="E1346" s="28" t="s">
        <v>2365</v>
      </c>
      <c r="F1346" s="28" t="s">
        <v>1430</v>
      </c>
      <c r="G1346" s="28" t="s">
        <v>324</v>
      </c>
      <c r="H1346" s="28">
        <v>41080</v>
      </c>
      <c r="I1346" s="28">
        <v>39.00703</v>
      </c>
      <c r="J1346" s="28">
        <v>-84.841210000000004</v>
      </c>
      <c r="L1346" s="61">
        <v>110055043705</v>
      </c>
      <c r="M1346" s="28" t="s">
        <v>263</v>
      </c>
      <c r="N1346" s="28">
        <v>4952</v>
      </c>
      <c r="O1346" s="28" t="str">
        <f>IFERROR(VLOOKUP(N1346, 'SIC &amp; NAICS Codes'!A:B, 2, FALSE), "")</f>
        <v>Sewerage Systems</v>
      </c>
      <c r="S1346" s="28">
        <v>5.7747744999999996E-3</v>
      </c>
      <c r="T1346" s="315">
        <f>_xlfn.MAXIFS('Raw Period DMR Data'!$O:$O,'Raw Period DMR Data'!$A:$A,'Raw Annual DMR Data'!B1346,'Raw Period DMR Data'!$C:$C,X1346)/S1346</f>
        <v>0</v>
      </c>
      <c r="U1346" s="28" t="str">
        <f>+IF(COUNTIFS('Raw Period DMR Data'!$A:$A,B1346, 'Raw Period DMR Data'!C:C,'Raw Annual DMR Data'!X1346, 'Raw Period DMR Data'!M:M, "&gt;0")&gt;0,_xlfn.MAXIFS('Raw Period DMR Data'!M:M,'Raw Period DMR Data'!$A:$A,'Raw Annual DMR Data'!B1346,'Raw Period DMR Data'!C:C,'Raw Annual DMR Data'!X1346), "N/A - Period DMR Data Not Available")</f>
        <v>N/A - Period DMR Data Not Available</v>
      </c>
      <c r="V1346" s="28" t="str" cm="1">
        <f t="array" ref="V1346">IFERROR(INDEX('Raw Period DMR Data'!N:N,MATCH(1,(B1346='Raw Period DMR Data'!$A:$A)*(U1346='Raw Period DMR Data'!M:M)*(X1346='Raw Period DMR Data'!C:C),0),1), "N/A")</f>
        <v>N/A</v>
      </c>
      <c r="W1346" s="28" t="s">
        <v>1463</v>
      </c>
      <c r="X1346" s="28" t="s">
        <v>2366</v>
      </c>
      <c r="Y1346" s="28" t="s">
        <v>830</v>
      </c>
      <c r="Z1346" s="28">
        <v>5090203000041</v>
      </c>
      <c r="AA1346" s="28"/>
      <c r="AB1346" s="28" t="s">
        <v>1465</v>
      </c>
      <c r="AC1346" s="28" t="s">
        <v>263</v>
      </c>
    </row>
    <row r="1347" spans="1:29" x14ac:dyDescent="0.25">
      <c r="A1347" s="61">
        <v>110000746328</v>
      </c>
      <c r="B1347" s="28">
        <v>2015</v>
      </c>
      <c r="C1347" s="68">
        <f t="shared" ref="C1347:C1410" si="21">DATE(B1347, 1, 1)</f>
        <v>42005</v>
      </c>
      <c r="D1347" s="28" t="s">
        <v>201</v>
      </c>
      <c r="E1347" s="28" t="s">
        <v>665</v>
      </c>
      <c r="F1347" s="28" t="s">
        <v>516</v>
      </c>
      <c r="G1347" s="28" t="s">
        <v>303</v>
      </c>
      <c r="H1347" s="28">
        <v>70734</v>
      </c>
      <c r="I1347" s="28">
        <v>30.208604000000001</v>
      </c>
      <c r="J1347" s="28">
        <v>-91.011127999999999</v>
      </c>
      <c r="K1347" s="28" t="s">
        <v>666</v>
      </c>
      <c r="L1347" s="61">
        <v>110000746328</v>
      </c>
      <c r="M1347" s="28" t="s">
        <v>251</v>
      </c>
      <c r="N1347" s="28">
        <v>2869</v>
      </c>
      <c r="O1347" s="28" t="str">
        <f>IFERROR(VLOOKUP(N1347, 'SIC &amp; NAICS Codes'!A:B, 2, FALSE), "")</f>
        <v>Industrial Organic Chemicals, NEC (aliphatics)</v>
      </c>
      <c r="S1347" s="28">
        <v>26.999244142101201</v>
      </c>
      <c r="T1347" s="315">
        <f>_xlfn.MAXIFS('Raw Period DMR Data'!$O:$O,'Raw Period DMR Data'!$A:$A,'Raw Annual DMR Data'!B1347,'Raw Period DMR Data'!$C:$C,X1347)/S1347</f>
        <v>0</v>
      </c>
      <c r="U1347" s="28" t="str">
        <f>+IF(COUNTIFS('Raw Period DMR Data'!$A:$A,B1347, 'Raw Period DMR Data'!C:C,'Raw Annual DMR Data'!X1347, 'Raw Period DMR Data'!M:M, "&gt;0")&gt;0,_xlfn.MAXIFS('Raw Period DMR Data'!M:M,'Raw Period DMR Data'!$A:$A,'Raw Annual DMR Data'!B1347,'Raw Period DMR Data'!C:C,'Raw Annual DMR Data'!X1347), "N/A - Period DMR Data Not Available")</f>
        <v>N/A - Period DMR Data Not Available</v>
      </c>
      <c r="V1347" s="28" t="str" cm="1">
        <f t="array" ref="V1347">IFERROR(INDEX('Raw Period DMR Data'!N:N,MATCH(1,(B1347='Raw Period DMR Data'!$A:$A)*(U1347='Raw Period DMR Data'!M:M)*(X1347='Raw Period DMR Data'!C:C),0),1), "N/A")</f>
        <v>N/A</v>
      </c>
      <c r="W1347" s="28" t="s">
        <v>1463</v>
      </c>
      <c r="X1347" s="28" t="s">
        <v>956</v>
      </c>
      <c r="Y1347" s="28" t="s">
        <v>816</v>
      </c>
      <c r="Z1347" s="61">
        <v>8070204000982</v>
      </c>
    </row>
    <row r="1348" spans="1:29" x14ac:dyDescent="0.25">
      <c r="A1348" s="61">
        <v>110000746328</v>
      </c>
      <c r="B1348" s="28">
        <v>2016</v>
      </c>
      <c r="C1348" s="68">
        <f t="shared" si="21"/>
        <v>42370</v>
      </c>
      <c r="D1348" s="28" t="s">
        <v>201</v>
      </c>
      <c r="E1348" s="28" t="s">
        <v>665</v>
      </c>
      <c r="F1348" s="28" t="s">
        <v>516</v>
      </c>
      <c r="G1348" s="28" t="s">
        <v>303</v>
      </c>
      <c r="H1348" s="28">
        <v>70734</v>
      </c>
      <c r="I1348" s="28">
        <v>30.208604000000001</v>
      </c>
      <c r="J1348" s="28">
        <v>-91.011127999999999</v>
      </c>
      <c r="K1348" s="28" t="s">
        <v>666</v>
      </c>
      <c r="L1348" s="61">
        <v>110000746328</v>
      </c>
      <c r="M1348" s="28" t="s">
        <v>251</v>
      </c>
      <c r="N1348" s="28">
        <v>2869</v>
      </c>
      <c r="O1348" s="28" t="str">
        <f>IFERROR(VLOOKUP(N1348, 'SIC &amp; NAICS Codes'!A:B, 2, FALSE), "")</f>
        <v>Industrial Organic Chemicals, NEC (aliphatics)</v>
      </c>
      <c r="S1348" s="28">
        <v>15.183673469387699</v>
      </c>
      <c r="T1348" s="315">
        <f>_xlfn.MAXIFS('Raw Period DMR Data'!$O:$O,'Raw Period DMR Data'!$A:$A,'Raw Annual DMR Data'!B1348,'Raw Period DMR Data'!$C:$C,X1348)/S1348</f>
        <v>0</v>
      </c>
      <c r="U1348" s="28" t="str">
        <f>+IF(COUNTIFS('Raw Period DMR Data'!$A:$A,B1348, 'Raw Period DMR Data'!C:C,'Raw Annual DMR Data'!X1348, 'Raw Period DMR Data'!M:M, "&gt;0")&gt;0,_xlfn.MAXIFS('Raw Period DMR Data'!M:M,'Raw Period DMR Data'!$A:$A,'Raw Annual DMR Data'!B1348,'Raw Period DMR Data'!C:C,'Raw Annual DMR Data'!X1348), "N/A - Period DMR Data Not Available")</f>
        <v>N/A - Period DMR Data Not Available</v>
      </c>
      <c r="V1348" s="28" t="str" cm="1">
        <f t="array" ref="V1348">IFERROR(INDEX('Raw Period DMR Data'!N:N,MATCH(1,(B1348='Raw Period DMR Data'!$A:$A)*(U1348='Raw Period DMR Data'!M:M)*(X1348='Raw Period DMR Data'!C:C),0),1), "N/A")</f>
        <v>N/A</v>
      </c>
      <c r="W1348" s="28" t="s">
        <v>1463</v>
      </c>
      <c r="X1348" s="28" t="s">
        <v>956</v>
      </c>
      <c r="Y1348" s="28" t="s">
        <v>816</v>
      </c>
      <c r="Z1348" s="61">
        <v>8070204000982</v>
      </c>
      <c r="AA1348" s="28"/>
    </row>
    <row r="1349" spans="1:29" x14ac:dyDescent="0.25">
      <c r="A1349" s="61">
        <v>110000746328</v>
      </c>
      <c r="B1349" s="28">
        <v>2017</v>
      </c>
      <c r="C1349" s="68">
        <f t="shared" si="21"/>
        <v>42736</v>
      </c>
      <c r="D1349" s="28" t="s">
        <v>201</v>
      </c>
      <c r="E1349" s="28" t="s">
        <v>665</v>
      </c>
      <c r="F1349" s="28" t="s">
        <v>516</v>
      </c>
      <c r="G1349" s="28" t="s">
        <v>303</v>
      </c>
      <c r="H1349" s="28">
        <v>70734</v>
      </c>
      <c r="I1349" s="28">
        <v>30.208604000000001</v>
      </c>
      <c r="J1349" s="28">
        <v>-91.011127999999999</v>
      </c>
      <c r="K1349" s="28" t="s">
        <v>666</v>
      </c>
      <c r="L1349" s="61">
        <v>110000746328</v>
      </c>
      <c r="M1349" s="28" t="s">
        <v>251</v>
      </c>
      <c r="N1349" s="28">
        <v>2869</v>
      </c>
      <c r="O1349" s="28" t="str">
        <f>IFERROR(VLOOKUP(N1349, 'SIC &amp; NAICS Codes'!A:B, 2, FALSE), "")</f>
        <v>Industrial Organic Chemicals, NEC (aliphatics)</v>
      </c>
      <c r="S1349" s="28">
        <v>18.557823129251599</v>
      </c>
      <c r="T1349" s="315">
        <f>_xlfn.MAXIFS('Raw Period DMR Data'!$O:$O,'Raw Period DMR Data'!$A:$A,'Raw Annual DMR Data'!B1349,'Raw Period DMR Data'!$C:$C,X1349)/S1349</f>
        <v>0</v>
      </c>
      <c r="U1349" s="28" t="str">
        <f>+IF(COUNTIFS('Raw Period DMR Data'!$A:$A,B1349, 'Raw Period DMR Data'!C:C,'Raw Annual DMR Data'!X1349, 'Raw Period DMR Data'!M:M, "&gt;0")&gt;0,_xlfn.MAXIFS('Raw Period DMR Data'!M:M,'Raw Period DMR Data'!$A:$A,'Raw Annual DMR Data'!B1349,'Raw Period DMR Data'!C:C,'Raw Annual DMR Data'!X1349), "N/A - Period DMR Data Not Available")</f>
        <v>N/A - Period DMR Data Not Available</v>
      </c>
      <c r="V1349" s="28" t="str" cm="1">
        <f t="array" ref="V1349">IFERROR(INDEX('Raw Period DMR Data'!N:N,MATCH(1,(B1349='Raw Period DMR Data'!$A:$A)*(U1349='Raw Period DMR Data'!M:M)*(X1349='Raw Period DMR Data'!C:C),0),1), "N/A")</f>
        <v>N/A</v>
      </c>
      <c r="W1349" s="28" t="s">
        <v>1463</v>
      </c>
      <c r="X1349" s="28" t="s">
        <v>956</v>
      </c>
      <c r="Y1349" s="28" t="s">
        <v>816</v>
      </c>
      <c r="Z1349" s="61">
        <v>8070204000982</v>
      </c>
      <c r="AA1349" s="28"/>
    </row>
    <row r="1350" spans="1:29" x14ac:dyDescent="0.25">
      <c r="A1350" s="61">
        <v>110000746328</v>
      </c>
      <c r="B1350" s="28">
        <v>2018</v>
      </c>
      <c r="C1350" s="68">
        <f t="shared" si="21"/>
        <v>43101</v>
      </c>
      <c r="D1350" s="28" t="s">
        <v>201</v>
      </c>
      <c r="E1350" s="28" t="s">
        <v>665</v>
      </c>
      <c r="F1350" s="28" t="s">
        <v>516</v>
      </c>
      <c r="G1350" s="28" t="s">
        <v>303</v>
      </c>
      <c r="H1350" s="28">
        <v>70734</v>
      </c>
      <c r="I1350" s="28">
        <v>30.208604000000001</v>
      </c>
      <c r="J1350" s="28">
        <v>-91.011127999999999</v>
      </c>
      <c r="K1350" s="28" t="s">
        <v>666</v>
      </c>
      <c r="L1350" s="61">
        <v>110000746328</v>
      </c>
      <c r="M1350" s="28" t="s">
        <v>251</v>
      </c>
      <c r="N1350" s="28">
        <v>2869</v>
      </c>
      <c r="O1350" s="28" t="str">
        <f>IFERROR(VLOOKUP(N1350, 'SIC &amp; NAICS Codes'!A:B, 2, FALSE), "")</f>
        <v>Industrial Organic Chemicals, NEC (aliphatics)</v>
      </c>
      <c r="S1350" s="28">
        <v>45.667638483965</v>
      </c>
      <c r="T1350" s="315">
        <f>_xlfn.MAXIFS('Raw Period DMR Data'!$O:$O,'Raw Period DMR Data'!$A:$A,'Raw Annual DMR Data'!B1350,'Raw Period DMR Data'!$C:$C,X1350)/S1350</f>
        <v>0</v>
      </c>
      <c r="U1350" s="28" t="str">
        <f>+IF(COUNTIFS('Raw Period DMR Data'!$A:$A,B1350, 'Raw Period DMR Data'!C:C,'Raw Annual DMR Data'!X1350, 'Raw Period DMR Data'!M:M, "&gt;0")&gt;0,_xlfn.MAXIFS('Raw Period DMR Data'!M:M,'Raw Period DMR Data'!$A:$A,'Raw Annual DMR Data'!B1350,'Raw Period DMR Data'!C:C,'Raw Annual DMR Data'!X1350), "N/A - Period DMR Data Not Available")</f>
        <v>N/A - Period DMR Data Not Available</v>
      </c>
      <c r="V1350" s="28" t="str" cm="1">
        <f t="array" ref="V1350">IFERROR(INDEX('Raw Period DMR Data'!N:N,MATCH(1,(B1350='Raw Period DMR Data'!$A:$A)*(U1350='Raw Period DMR Data'!M:M)*(X1350='Raw Period DMR Data'!C:C),0),1), "N/A")</f>
        <v>N/A</v>
      </c>
      <c r="W1350" s="28" t="s">
        <v>1463</v>
      </c>
      <c r="X1350" s="28" t="s">
        <v>956</v>
      </c>
      <c r="Y1350" s="28" t="s">
        <v>816</v>
      </c>
      <c r="Z1350" s="61">
        <v>8070204000982</v>
      </c>
    </row>
    <row r="1351" spans="1:29" x14ac:dyDescent="0.25">
      <c r="A1351" s="61">
        <v>110000746328</v>
      </c>
      <c r="B1351" s="28">
        <v>2019</v>
      </c>
      <c r="C1351" s="68">
        <f t="shared" si="21"/>
        <v>43466</v>
      </c>
      <c r="D1351" s="28" t="s">
        <v>201</v>
      </c>
      <c r="E1351" s="28" t="s">
        <v>665</v>
      </c>
      <c r="F1351" s="28" t="s">
        <v>516</v>
      </c>
      <c r="G1351" s="28" t="s">
        <v>303</v>
      </c>
      <c r="H1351" s="28">
        <v>70734</v>
      </c>
      <c r="I1351" s="28">
        <v>30.208604000000001</v>
      </c>
      <c r="J1351" s="28">
        <v>-91.011127999999999</v>
      </c>
      <c r="K1351" s="28" t="s">
        <v>666</v>
      </c>
      <c r="L1351" s="61">
        <v>110000746328</v>
      </c>
      <c r="M1351" s="28" t="s">
        <v>251</v>
      </c>
      <c r="N1351" s="28">
        <v>2869</v>
      </c>
      <c r="O1351" s="28" t="str">
        <f>IFERROR(VLOOKUP(N1351, 'SIC &amp; NAICS Codes'!A:B, 2, FALSE), "")</f>
        <v>Industrial Organic Chemicals, NEC (aliphatics)</v>
      </c>
      <c r="S1351" s="28">
        <v>11.6734693877551</v>
      </c>
      <c r="T1351" s="315">
        <f>_xlfn.MAXIFS('Raw Period DMR Data'!$O:$O,'Raw Period DMR Data'!$A:$A,'Raw Annual DMR Data'!B1351,'Raw Period DMR Data'!$C:$C,X1351)/S1351</f>
        <v>0</v>
      </c>
      <c r="U1351" s="28" t="str">
        <f>+IF(COUNTIFS('Raw Period DMR Data'!$A:$A,B1351, 'Raw Period DMR Data'!C:C,'Raw Annual DMR Data'!X1351, 'Raw Period DMR Data'!M:M, "&gt;0")&gt;0,_xlfn.MAXIFS('Raw Period DMR Data'!M:M,'Raw Period DMR Data'!$A:$A,'Raw Annual DMR Data'!B1351,'Raw Period DMR Data'!C:C,'Raw Annual DMR Data'!X1351), "N/A - Period DMR Data Not Available")</f>
        <v>N/A - Period DMR Data Not Available</v>
      </c>
      <c r="V1351" s="28" t="str" cm="1">
        <f t="array" ref="V1351">IFERROR(INDEX('Raw Period DMR Data'!N:N,MATCH(1,(B1351='Raw Period DMR Data'!$A:$A)*(U1351='Raw Period DMR Data'!M:M)*(X1351='Raw Period DMR Data'!C:C),0),1), "N/A")</f>
        <v>N/A</v>
      </c>
      <c r="W1351" s="28" t="s">
        <v>1463</v>
      </c>
      <c r="X1351" s="28" t="s">
        <v>956</v>
      </c>
      <c r="Y1351" s="28" t="s">
        <v>816</v>
      </c>
      <c r="Z1351" s="61">
        <v>8070204000982</v>
      </c>
    </row>
    <row r="1352" spans="1:29" x14ac:dyDescent="0.25">
      <c r="A1352" s="61">
        <v>110000746328</v>
      </c>
      <c r="B1352" s="28">
        <v>2020</v>
      </c>
      <c r="C1352" s="68">
        <f t="shared" si="21"/>
        <v>43831</v>
      </c>
      <c r="D1352" s="28" t="s">
        <v>201</v>
      </c>
      <c r="E1352" s="28" t="s">
        <v>665</v>
      </c>
      <c r="F1352" s="28" t="s">
        <v>516</v>
      </c>
      <c r="G1352" s="28" t="s">
        <v>303</v>
      </c>
      <c r="H1352" s="28">
        <v>70734</v>
      </c>
      <c r="I1352" s="28">
        <v>30.208604000000001</v>
      </c>
      <c r="J1352" s="28">
        <v>-91.011127999999999</v>
      </c>
      <c r="K1352" s="28" t="s">
        <v>666</v>
      </c>
      <c r="L1352" s="61">
        <v>110000746328</v>
      </c>
      <c r="M1352" s="28" t="s">
        <v>251</v>
      </c>
      <c r="N1352" s="28">
        <v>2869</v>
      </c>
      <c r="O1352" s="28" t="str">
        <f>IFERROR(VLOOKUP(N1352, 'SIC &amp; NAICS Codes'!A:B, 2, FALSE), "")</f>
        <v>Industrial Organic Chemicals, NEC (aliphatics)</v>
      </c>
      <c r="S1352" s="28">
        <v>5.0612244897959098</v>
      </c>
      <c r="T1352" s="315">
        <f>_xlfn.MAXIFS('Raw Period DMR Data'!$O:$O,'Raw Period DMR Data'!$A:$A,'Raw Annual DMR Data'!B1352,'Raw Period DMR Data'!$C:$C,X1352)/S1352</f>
        <v>0</v>
      </c>
      <c r="U1352" s="28" t="str">
        <f>+IF(COUNTIFS('Raw Period DMR Data'!$A:$A,B1352, 'Raw Period DMR Data'!C:C,'Raw Annual DMR Data'!X1352, 'Raw Period DMR Data'!M:M, "&gt;0")&gt;0,_xlfn.MAXIFS('Raw Period DMR Data'!M:M,'Raw Period DMR Data'!$A:$A,'Raw Annual DMR Data'!B1352,'Raw Period DMR Data'!C:C,'Raw Annual DMR Data'!X1352), "N/A - Period DMR Data Not Available")</f>
        <v>N/A - Period DMR Data Not Available</v>
      </c>
      <c r="V1352" s="28" t="str" cm="1">
        <f t="array" ref="V1352">IFERROR(INDEX('Raw Period DMR Data'!N:N,MATCH(1,(B1352='Raw Period DMR Data'!$A:$A)*(U1352='Raw Period DMR Data'!M:M)*(X1352='Raw Period DMR Data'!C:C),0),1), "N/A")</f>
        <v>N/A</v>
      </c>
      <c r="W1352" s="28" t="s">
        <v>1463</v>
      </c>
      <c r="X1352" s="28" t="s">
        <v>956</v>
      </c>
      <c r="Y1352" s="28" t="s">
        <v>816</v>
      </c>
      <c r="Z1352" s="61">
        <v>8070204000982</v>
      </c>
    </row>
    <row r="1353" spans="1:29" x14ac:dyDescent="0.25">
      <c r="A1353" s="61">
        <v>110000746328</v>
      </c>
      <c r="B1353" s="28">
        <v>2020</v>
      </c>
      <c r="C1353" s="68">
        <f t="shared" si="21"/>
        <v>43831</v>
      </c>
      <c r="D1353" s="28" t="s">
        <v>2368</v>
      </c>
      <c r="E1353" s="28" t="s">
        <v>665</v>
      </c>
      <c r="F1353" s="28" t="s">
        <v>516</v>
      </c>
      <c r="G1353" s="28" t="s">
        <v>303</v>
      </c>
      <c r="H1353" s="28">
        <v>70734</v>
      </c>
      <c r="I1353" s="28">
        <v>30.208604000000001</v>
      </c>
      <c r="J1353" s="28">
        <v>-91.011127999999999</v>
      </c>
      <c r="K1353" s="28" t="s">
        <v>666</v>
      </c>
      <c r="L1353" s="61">
        <v>110000746328</v>
      </c>
      <c r="M1353" s="28" t="s">
        <v>251</v>
      </c>
      <c r="N1353" s="28">
        <v>2869</v>
      </c>
      <c r="O1353" s="28" t="str">
        <f>IFERROR(VLOOKUP(N1353, 'SIC &amp; NAICS Codes'!A:B, 2, FALSE), "")</f>
        <v>Industrial Organic Chemicals, NEC (aliphatics)</v>
      </c>
      <c r="S1353" s="28">
        <v>5.3333333333333304</v>
      </c>
      <c r="T1353" s="315">
        <f>_xlfn.MAXIFS('Raw Period DMR Data'!$O:$O,'Raw Period DMR Data'!$A:$A,'Raw Annual DMR Data'!B1353,'Raw Period DMR Data'!$C:$C,X1353)/S1353</f>
        <v>0</v>
      </c>
      <c r="U1353" s="28" t="str">
        <f>+IF(COUNTIFS('Raw Period DMR Data'!$A:$A,B1353, 'Raw Period DMR Data'!C:C,'Raw Annual DMR Data'!X1353, 'Raw Period DMR Data'!M:M, "&gt;0")&gt;0,_xlfn.MAXIFS('Raw Period DMR Data'!M:M,'Raw Period DMR Data'!$A:$A,'Raw Annual DMR Data'!B1353,'Raw Period DMR Data'!C:C,'Raw Annual DMR Data'!X1353), "N/A - Period DMR Data Not Available")</f>
        <v>N/A - Period DMR Data Not Available</v>
      </c>
      <c r="V1353" s="28" t="str" cm="1">
        <f t="array" ref="V1353">IFERROR(INDEX('Raw Period DMR Data'!N:N,MATCH(1,(B1353='Raw Period DMR Data'!$A:$A)*(U1353='Raw Period DMR Data'!M:M)*(X1353='Raw Period DMR Data'!C:C),0),1), "N/A")</f>
        <v>N/A</v>
      </c>
      <c r="W1353" s="28" t="s">
        <v>1463</v>
      </c>
      <c r="X1353" s="28" t="s">
        <v>956</v>
      </c>
      <c r="Y1353" s="28" t="s">
        <v>816</v>
      </c>
      <c r="Z1353" s="28">
        <v>8070204000982</v>
      </c>
      <c r="AA1353" s="28"/>
      <c r="AB1353" s="28" t="s">
        <v>1465</v>
      </c>
      <c r="AC1353" s="28" t="s">
        <v>1466</v>
      </c>
    </row>
    <row r="1354" spans="1:29" x14ac:dyDescent="0.25">
      <c r="A1354" s="61">
        <v>110027373072</v>
      </c>
      <c r="B1354" s="28">
        <v>2015</v>
      </c>
      <c r="C1354" s="68">
        <f t="shared" si="21"/>
        <v>42005</v>
      </c>
      <c r="D1354" s="28" t="s">
        <v>202</v>
      </c>
      <c r="E1354" s="28" t="s">
        <v>667</v>
      </c>
      <c r="F1354" s="28" t="s">
        <v>323</v>
      </c>
      <c r="G1354" s="28" t="s">
        <v>324</v>
      </c>
      <c r="H1354" s="28">
        <v>42029</v>
      </c>
      <c r="I1354" s="28">
        <v>37.051110999999999</v>
      </c>
      <c r="J1354" s="28">
        <v>-88.334166999999994</v>
      </c>
      <c r="K1354" s="28" t="s">
        <v>668</v>
      </c>
      <c r="L1354" s="61">
        <v>110027373072</v>
      </c>
      <c r="M1354" s="28" t="s">
        <v>251</v>
      </c>
      <c r="N1354" s="28">
        <v>2812</v>
      </c>
      <c r="O1354" s="28" t="str">
        <f>IFERROR(VLOOKUP(N1354, 'SIC &amp; NAICS Codes'!A:B, 2, FALSE), "")</f>
        <v>Alkalies and Chlorine</v>
      </c>
      <c r="S1354" s="28">
        <v>750.56430242600004</v>
      </c>
      <c r="T1354" s="315">
        <f>_xlfn.MAXIFS('Raw Period DMR Data'!$O:$O,'Raw Period DMR Data'!$A:$A,'Raw Annual DMR Data'!B1354,'Raw Period DMR Data'!$C:$C,X1354)/S1354</f>
        <v>0.68924152769298697</v>
      </c>
      <c r="U1354" s="28">
        <f>+IF(COUNTIFS('Raw Period DMR Data'!$A:$A,B1354, 'Raw Period DMR Data'!C:C,'Raw Annual DMR Data'!X1354, 'Raw Period DMR Data'!M:M, "&gt;0")&gt;0,_xlfn.MAXIFS('Raw Period DMR Data'!M:M,'Raw Period DMR Data'!$A:$A,'Raw Annual DMR Data'!B1354,'Raw Period DMR Data'!C:C,'Raw Annual DMR Data'!X1354), "N/A - Period DMR Data Not Available")</f>
        <v>17.007765024999998</v>
      </c>
      <c r="V1354" s="28" cm="1">
        <f t="array" ref="V1354">IFERROR(INDEX('Raw Period DMR Data'!N:N,MATCH(1,(B1354='Raw Period DMR Data'!$A:$A)*(U1354='Raw Period DMR Data'!M:M)*(X1354='Raw Period DMR Data'!C:C),0),1), "N/A")</f>
        <v>31</v>
      </c>
      <c r="W1354" s="28">
        <v>18.518801370000002</v>
      </c>
      <c r="X1354" s="28" t="s">
        <v>957</v>
      </c>
      <c r="Y1354" s="28" t="s">
        <v>958</v>
      </c>
      <c r="Z1354" s="61">
        <v>6040006000172</v>
      </c>
    </row>
    <row r="1355" spans="1:29" x14ac:dyDescent="0.25">
      <c r="A1355" s="61">
        <v>110027373072</v>
      </c>
      <c r="B1355" s="28">
        <v>2015</v>
      </c>
      <c r="C1355" s="68">
        <f t="shared" si="21"/>
        <v>42005</v>
      </c>
      <c r="D1355" s="28" t="s">
        <v>202</v>
      </c>
      <c r="E1355" s="28" t="s">
        <v>667</v>
      </c>
      <c r="F1355" s="28" t="s">
        <v>323</v>
      </c>
      <c r="G1355" s="28" t="s">
        <v>324</v>
      </c>
      <c r="H1355" s="28">
        <v>42029</v>
      </c>
      <c r="I1355" s="28">
        <v>37.051110999999999</v>
      </c>
      <c r="J1355" s="28">
        <v>-88.334166999999994</v>
      </c>
      <c r="K1355" s="28" t="s">
        <v>668</v>
      </c>
      <c r="L1355" s="61">
        <v>110027373072</v>
      </c>
      <c r="M1355" s="28" t="s">
        <v>251</v>
      </c>
      <c r="N1355" s="28">
        <v>2812</v>
      </c>
      <c r="O1355" s="28" t="str">
        <f>IFERROR(VLOOKUP(N1355, 'SIC &amp; NAICS Codes'!A:B, 2, FALSE), "")</f>
        <v>Alkalies and Chlorine</v>
      </c>
      <c r="S1355" s="28">
        <v>1.28072562358276</v>
      </c>
      <c r="T1355" s="315">
        <f>_xlfn.MAXIFS('Raw Period DMR Data'!$O:$O,'Raw Period DMR Data'!$A:$A,'Raw Annual DMR Data'!B1355,'Raw Period DMR Data'!$C:$C,X1355)/S1355</f>
        <v>403.92733377875476</v>
      </c>
      <c r="U1355" s="28">
        <f>+IF(COUNTIFS('Raw Period DMR Data'!$A:$A,B1355, 'Raw Period DMR Data'!C:C,'Raw Annual DMR Data'!X1355, 'Raw Period DMR Data'!M:M, "&gt;0")&gt;0,_xlfn.MAXIFS('Raw Period DMR Data'!M:M,'Raw Period DMR Data'!$A:$A,'Raw Annual DMR Data'!B1355,'Raw Period DMR Data'!C:C,'Raw Annual DMR Data'!X1355), "N/A - Period DMR Data Not Available")</f>
        <v>17.007765024999998</v>
      </c>
      <c r="V1355" s="28" cm="1">
        <f t="array" ref="V1355">IFERROR(INDEX('Raw Period DMR Data'!N:N,MATCH(1,(B1355='Raw Period DMR Data'!$A:$A)*(U1355='Raw Period DMR Data'!M:M)*(X1355='Raw Period DMR Data'!C:C),0),1), "N/A")</f>
        <v>31</v>
      </c>
      <c r="W1355" s="28">
        <v>18.518801370000002</v>
      </c>
      <c r="X1355" s="28" t="s">
        <v>957</v>
      </c>
      <c r="Y1355" s="28" t="s">
        <v>958</v>
      </c>
      <c r="Z1355" s="61">
        <v>6040006000172</v>
      </c>
    </row>
    <row r="1356" spans="1:29" x14ac:dyDescent="0.25">
      <c r="A1356" s="61">
        <v>110027373072</v>
      </c>
      <c r="B1356" s="28">
        <v>2015</v>
      </c>
      <c r="C1356" s="68">
        <f t="shared" si="21"/>
        <v>42005</v>
      </c>
      <c r="D1356" s="28" t="s">
        <v>202</v>
      </c>
      <c r="E1356" s="28" t="s">
        <v>667</v>
      </c>
      <c r="F1356" s="28" t="s">
        <v>323</v>
      </c>
      <c r="G1356" s="28" t="s">
        <v>324</v>
      </c>
      <c r="H1356" s="28">
        <v>42029</v>
      </c>
      <c r="I1356" s="28">
        <v>37.051110999999999</v>
      </c>
      <c r="J1356" s="28">
        <v>-88.334166999999994</v>
      </c>
      <c r="K1356" s="28" t="s">
        <v>668</v>
      </c>
      <c r="L1356" s="61">
        <v>110027373072</v>
      </c>
      <c r="M1356" s="28" t="s">
        <v>251</v>
      </c>
      <c r="N1356" s="28">
        <v>2812</v>
      </c>
      <c r="O1356" s="28" t="str">
        <f>IFERROR(VLOOKUP(N1356, 'SIC &amp; NAICS Codes'!A:B, 2, FALSE), "")</f>
        <v>Alkalies and Chlorine</v>
      </c>
      <c r="S1356" s="28">
        <v>11.459863945578199</v>
      </c>
      <c r="T1356" s="315">
        <f>_xlfn.MAXIFS('Raw Period DMR Data'!$O:$O,'Raw Period DMR Data'!$A:$A,'Raw Annual DMR Data'!B1356,'Raw Period DMR Data'!$C:$C,X1356)/S1356</f>
        <v>45.141904728766512</v>
      </c>
      <c r="U1356" s="28">
        <f>+IF(COUNTIFS('Raw Period DMR Data'!$A:$A,B1356, 'Raw Period DMR Data'!C:C,'Raw Annual DMR Data'!X1356, 'Raw Period DMR Data'!M:M, "&gt;0")&gt;0,_xlfn.MAXIFS('Raw Period DMR Data'!M:M,'Raw Period DMR Data'!$A:$A,'Raw Annual DMR Data'!B1356,'Raw Period DMR Data'!C:C,'Raw Annual DMR Data'!X1356), "N/A - Period DMR Data Not Available")</f>
        <v>17.007765024999998</v>
      </c>
      <c r="V1356" s="28" cm="1">
        <f t="array" ref="V1356">IFERROR(INDEX('Raw Period DMR Data'!N:N,MATCH(1,(B1356='Raw Period DMR Data'!$A:$A)*(U1356='Raw Period DMR Data'!M:M)*(X1356='Raw Period DMR Data'!C:C),0),1), "N/A")</f>
        <v>31</v>
      </c>
      <c r="W1356" s="28">
        <v>18.518801370000002</v>
      </c>
      <c r="X1356" s="28" t="s">
        <v>957</v>
      </c>
      <c r="Y1356" s="28" t="s">
        <v>958</v>
      </c>
      <c r="Z1356" s="61">
        <v>6040006000172</v>
      </c>
    </row>
    <row r="1357" spans="1:29" x14ac:dyDescent="0.25">
      <c r="A1357" s="61">
        <v>110027373072</v>
      </c>
      <c r="B1357" s="28">
        <v>2016</v>
      </c>
      <c r="C1357" s="68">
        <f t="shared" si="21"/>
        <v>42370</v>
      </c>
      <c r="D1357" s="28" t="s">
        <v>202</v>
      </c>
      <c r="E1357" s="28" t="s">
        <v>667</v>
      </c>
      <c r="F1357" s="28" t="s">
        <v>323</v>
      </c>
      <c r="G1357" s="28" t="s">
        <v>324</v>
      </c>
      <c r="H1357" s="28">
        <v>42029</v>
      </c>
      <c r="I1357" s="28">
        <v>37.051110999999999</v>
      </c>
      <c r="J1357" s="28">
        <v>-88.334166999999994</v>
      </c>
      <c r="K1357" s="28" t="s">
        <v>668</v>
      </c>
      <c r="L1357" s="61">
        <v>110027373072</v>
      </c>
      <c r="M1357" s="28" t="s">
        <v>251</v>
      </c>
      <c r="N1357" s="28">
        <v>2812</v>
      </c>
      <c r="O1357" s="28" t="str">
        <f>IFERROR(VLOOKUP(N1357, 'SIC &amp; NAICS Codes'!A:B, 2, FALSE), "")</f>
        <v>Alkalies and Chlorine</v>
      </c>
      <c r="S1357" s="28">
        <v>362.32959960900001</v>
      </c>
      <c r="T1357" s="315">
        <f>_xlfn.MAXIFS('Raw Period DMR Data'!$O:$O,'Raw Period DMR Data'!$A:$A,'Raw Annual DMR Data'!B1357,'Raw Period DMR Data'!$C:$C,X1357)/S1357</f>
        <v>0.38474861348850387</v>
      </c>
      <c r="U1357" s="28">
        <f>+IF(COUNTIFS('Raw Period DMR Data'!$A:$A,B1357, 'Raw Period DMR Data'!C:C,'Raw Annual DMR Data'!X1357, 'Raw Period DMR Data'!M:M, "&gt;0")&gt;0,_xlfn.MAXIFS('Raw Period DMR Data'!M:M,'Raw Period DMR Data'!$A:$A,'Raw Annual DMR Data'!B1357,'Raw Period DMR Data'!C:C,'Raw Annual DMR Data'!X1357), "N/A - Period DMR Data Not Available")</f>
        <v>4.5831997250000009</v>
      </c>
      <c r="V1357" s="28" cm="1">
        <f t="array" ref="V1357">IFERROR(INDEX('Raw Period DMR Data'!N:N,MATCH(1,(B1357='Raw Period DMR Data'!$A:$A)*(U1357='Raw Period DMR Data'!M:M)*(X1357='Raw Period DMR Data'!C:C),0),1), "N/A")</f>
        <v>31</v>
      </c>
      <c r="W1357" s="28">
        <v>6.5144959750000009</v>
      </c>
      <c r="X1357" s="28" t="s">
        <v>957</v>
      </c>
      <c r="Y1357" s="28" t="s">
        <v>958</v>
      </c>
      <c r="Z1357" s="61">
        <v>6040006000172</v>
      </c>
      <c r="AA1357" s="28"/>
    </row>
    <row r="1358" spans="1:29" x14ac:dyDescent="0.25">
      <c r="A1358" s="61">
        <v>110027373072</v>
      </c>
      <c r="B1358" s="28">
        <v>2016</v>
      </c>
      <c r="C1358" s="68">
        <f t="shared" si="21"/>
        <v>42370</v>
      </c>
      <c r="D1358" s="28" t="s">
        <v>202</v>
      </c>
      <c r="E1358" s="28" t="s">
        <v>667</v>
      </c>
      <c r="F1358" s="28" t="s">
        <v>323</v>
      </c>
      <c r="G1358" s="28" t="s">
        <v>324</v>
      </c>
      <c r="H1358" s="28">
        <v>42029</v>
      </c>
      <c r="I1358" s="28">
        <v>37.051110999999999</v>
      </c>
      <c r="J1358" s="28">
        <v>-88.334166999999994</v>
      </c>
      <c r="K1358" s="28" t="s">
        <v>668</v>
      </c>
      <c r="L1358" s="61">
        <v>110027373072</v>
      </c>
      <c r="M1358" s="28" t="s">
        <v>251</v>
      </c>
      <c r="N1358" s="28">
        <v>2812</v>
      </c>
      <c r="O1358" s="28" t="str">
        <f>IFERROR(VLOOKUP(N1358, 'SIC &amp; NAICS Codes'!A:B, 2, FALSE), "")</f>
        <v>Alkalies and Chlorine</v>
      </c>
      <c r="S1358" s="28">
        <v>19.296145124716499</v>
      </c>
      <c r="T1358" s="315">
        <f>_xlfn.MAXIFS('Raw Period DMR Data'!$O:$O,'Raw Period DMR Data'!$A:$A,'Raw Annual DMR Data'!B1358,'Raw Period DMR Data'!$C:$C,X1358)/S1358</f>
        <v>7.2245420095251109</v>
      </c>
      <c r="U1358" s="28">
        <f>+IF(COUNTIFS('Raw Period DMR Data'!$A:$A,B1358, 'Raw Period DMR Data'!C:C,'Raw Annual DMR Data'!X1358, 'Raw Period DMR Data'!M:M, "&gt;0")&gt;0,_xlfn.MAXIFS('Raw Period DMR Data'!M:M,'Raw Period DMR Data'!$A:$A,'Raw Annual DMR Data'!B1358,'Raw Period DMR Data'!C:C,'Raw Annual DMR Data'!X1358), "N/A - Period DMR Data Not Available")</f>
        <v>4.5831997250000009</v>
      </c>
      <c r="V1358" s="28" cm="1">
        <f t="array" ref="V1358">IFERROR(INDEX('Raw Period DMR Data'!N:N,MATCH(1,(B1358='Raw Period DMR Data'!$A:$A)*(U1358='Raw Period DMR Data'!M:M)*(X1358='Raw Period DMR Data'!C:C),0),1), "N/A")</f>
        <v>31</v>
      </c>
      <c r="W1358" s="28">
        <v>6.5144959750000009</v>
      </c>
      <c r="X1358" s="28" t="s">
        <v>957</v>
      </c>
      <c r="Y1358" s="28" t="s">
        <v>958</v>
      </c>
      <c r="Z1358" s="61">
        <v>6040006000172</v>
      </c>
      <c r="AA1358" s="28"/>
    </row>
    <row r="1359" spans="1:29" x14ac:dyDescent="0.25">
      <c r="A1359" s="61">
        <v>110027373072</v>
      </c>
      <c r="B1359" s="28">
        <v>2016</v>
      </c>
      <c r="C1359" s="68">
        <f t="shared" si="21"/>
        <v>42370</v>
      </c>
      <c r="D1359" s="28" t="s">
        <v>202</v>
      </c>
      <c r="E1359" s="28" t="s">
        <v>667</v>
      </c>
      <c r="F1359" s="28" t="s">
        <v>323</v>
      </c>
      <c r="G1359" s="28" t="s">
        <v>324</v>
      </c>
      <c r="H1359" s="28">
        <v>42029</v>
      </c>
      <c r="I1359" s="28">
        <v>37.051110999999999</v>
      </c>
      <c r="J1359" s="28">
        <v>-88.334166999999994</v>
      </c>
      <c r="K1359" s="28" t="s">
        <v>668</v>
      </c>
      <c r="L1359" s="61">
        <v>110027373072</v>
      </c>
      <c r="M1359" s="28" t="s">
        <v>251</v>
      </c>
      <c r="N1359" s="28">
        <v>2812</v>
      </c>
      <c r="O1359" s="28" t="str">
        <f>IFERROR(VLOOKUP(N1359, 'SIC &amp; NAICS Codes'!A:B, 2, FALSE), "")</f>
        <v>Alkalies and Chlorine</v>
      </c>
      <c r="S1359" s="28">
        <v>1.32517006802721</v>
      </c>
      <c r="T1359" s="315">
        <f>_xlfn.MAXIFS('Raw Period DMR Data'!$O:$O,'Raw Period DMR Data'!$A:$A,'Raw Annual DMR Data'!B1359,'Raw Period DMR Data'!$C:$C,X1359)/S1359</f>
        <v>105.19843032897802</v>
      </c>
      <c r="U1359" s="28">
        <f>+IF(COUNTIFS('Raw Period DMR Data'!$A:$A,B1359, 'Raw Period DMR Data'!C:C,'Raw Annual DMR Data'!X1359, 'Raw Period DMR Data'!M:M, "&gt;0")&gt;0,_xlfn.MAXIFS('Raw Period DMR Data'!M:M,'Raw Period DMR Data'!$A:$A,'Raw Annual DMR Data'!B1359,'Raw Period DMR Data'!C:C,'Raw Annual DMR Data'!X1359), "N/A - Period DMR Data Not Available")</f>
        <v>4.5831997250000009</v>
      </c>
      <c r="V1359" s="28" cm="1">
        <f t="array" ref="V1359">IFERROR(INDEX('Raw Period DMR Data'!N:N,MATCH(1,(B1359='Raw Period DMR Data'!$A:$A)*(U1359='Raw Period DMR Data'!M:M)*(X1359='Raw Period DMR Data'!C:C),0),1), "N/A")</f>
        <v>31</v>
      </c>
      <c r="W1359" s="28">
        <v>6.5144959750000009</v>
      </c>
      <c r="X1359" s="28" t="s">
        <v>957</v>
      </c>
      <c r="Y1359" s="28" t="s">
        <v>958</v>
      </c>
      <c r="Z1359" s="61">
        <v>6040006000172</v>
      </c>
      <c r="AA1359" s="28"/>
    </row>
    <row r="1360" spans="1:29" x14ac:dyDescent="0.25">
      <c r="A1360" s="61">
        <v>110027373072</v>
      </c>
      <c r="B1360" s="28">
        <v>2017</v>
      </c>
      <c r="C1360" s="68">
        <f t="shared" si="21"/>
        <v>42736</v>
      </c>
      <c r="D1360" s="28" t="s">
        <v>202</v>
      </c>
      <c r="E1360" s="28" t="s">
        <v>667</v>
      </c>
      <c r="F1360" s="28" t="s">
        <v>323</v>
      </c>
      <c r="G1360" s="28" t="s">
        <v>324</v>
      </c>
      <c r="H1360" s="28">
        <v>42029</v>
      </c>
      <c r="I1360" s="28">
        <v>37.051110999999999</v>
      </c>
      <c r="J1360" s="28">
        <v>-88.334166999999994</v>
      </c>
      <c r="K1360" s="28" t="s">
        <v>668</v>
      </c>
      <c r="L1360" s="61">
        <v>110027373072</v>
      </c>
      <c r="M1360" s="28" t="s">
        <v>251</v>
      </c>
      <c r="N1360" s="28">
        <v>2812</v>
      </c>
      <c r="O1360" s="28" t="str">
        <f>IFERROR(VLOOKUP(N1360, 'SIC &amp; NAICS Codes'!A:B, 2, FALSE), "")</f>
        <v>Alkalies and Chlorine</v>
      </c>
      <c r="S1360" s="28">
        <v>933.36804697299999</v>
      </c>
      <c r="T1360" s="315">
        <f>_xlfn.MAXIFS('Raw Period DMR Data'!$O:$O,'Raw Period DMR Data'!$A:$A,'Raw Annual DMR Data'!B1360,'Raw Period DMR Data'!$C:$C,X1360)/S1360</f>
        <v>0.72454620983470908</v>
      </c>
      <c r="U1360" s="28">
        <f>+IF(COUNTIFS('Raw Period DMR Data'!$A:$A,B1360, 'Raw Period DMR Data'!C:C,'Raw Annual DMR Data'!X1360, 'Raw Period DMR Data'!M:M, "&gt;0")&gt;0,_xlfn.MAXIFS('Raw Period DMR Data'!M:M,'Raw Period DMR Data'!$A:$A,'Raw Annual DMR Data'!B1360,'Raw Period DMR Data'!C:C,'Raw Annual DMR Data'!X1360), "N/A - Period DMR Data Not Available")</f>
        <v>22.233453359999999</v>
      </c>
      <c r="V1360" s="28" cm="1">
        <f t="array" ref="V1360">IFERROR(INDEX('Raw Period DMR Data'!N:N,MATCH(1,(B1360='Raw Period DMR Data'!$A:$A)*(U1360='Raw Period DMR Data'!M:M)*(X1360='Raw Period DMR Data'!C:C),0),1), "N/A")</f>
        <v>31</v>
      </c>
      <c r="W1360" s="28">
        <v>23.312507655000005</v>
      </c>
      <c r="X1360" s="28" t="s">
        <v>957</v>
      </c>
      <c r="Y1360" s="28" t="s">
        <v>958</v>
      </c>
      <c r="Z1360" s="61">
        <v>6040006000172</v>
      </c>
      <c r="AA1360" s="28"/>
    </row>
    <row r="1361" spans="1:29" x14ac:dyDescent="0.25">
      <c r="A1361" s="61">
        <v>110027373072</v>
      </c>
      <c r="B1361" s="28">
        <v>2017</v>
      </c>
      <c r="C1361" s="68">
        <f t="shared" si="21"/>
        <v>42736</v>
      </c>
      <c r="D1361" s="28" t="s">
        <v>202</v>
      </c>
      <c r="E1361" s="28" t="s">
        <v>667</v>
      </c>
      <c r="F1361" s="28" t="s">
        <v>323</v>
      </c>
      <c r="G1361" s="28" t="s">
        <v>324</v>
      </c>
      <c r="H1361" s="28">
        <v>42029</v>
      </c>
      <c r="I1361" s="28">
        <v>37.051110999999999</v>
      </c>
      <c r="J1361" s="28">
        <v>-88.334166999999994</v>
      </c>
      <c r="K1361" s="28" t="s">
        <v>668</v>
      </c>
      <c r="L1361" s="61">
        <v>110027373072</v>
      </c>
      <c r="M1361" s="28" t="s">
        <v>251</v>
      </c>
      <c r="N1361" s="28">
        <v>2812</v>
      </c>
      <c r="O1361" s="28" t="str">
        <f>IFERROR(VLOOKUP(N1361, 'SIC &amp; NAICS Codes'!A:B, 2, FALSE), "")</f>
        <v>Alkalies and Chlorine</v>
      </c>
      <c r="S1361" s="28">
        <v>27.1637188208616</v>
      </c>
      <c r="T1361" s="315">
        <f>_xlfn.MAXIFS('Raw Period DMR Data'!$O:$O,'Raw Period DMR Data'!$A:$A,'Raw Annual DMR Data'!B1361,'Raw Period DMR Data'!$C:$C,X1361)/S1361</f>
        <v>24.896012408129526</v>
      </c>
      <c r="U1361" s="28">
        <f>+IF(COUNTIFS('Raw Period DMR Data'!$A:$A,B1361, 'Raw Period DMR Data'!C:C,'Raw Annual DMR Data'!X1361, 'Raw Period DMR Data'!M:M, "&gt;0")&gt;0,_xlfn.MAXIFS('Raw Period DMR Data'!M:M,'Raw Period DMR Data'!$A:$A,'Raw Annual DMR Data'!B1361,'Raw Period DMR Data'!C:C,'Raw Annual DMR Data'!X1361), "N/A - Period DMR Data Not Available")</f>
        <v>22.233453359999999</v>
      </c>
      <c r="V1361" s="28" cm="1">
        <f t="array" ref="V1361">IFERROR(INDEX('Raw Period DMR Data'!N:N,MATCH(1,(B1361='Raw Period DMR Data'!$A:$A)*(U1361='Raw Period DMR Data'!M:M)*(X1361='Raw Period DMR Data'!C:C),0),1), "N/A")</f>
        <v>31</v>
      </c>
      <c r="W1361" s="28">
        <v>23.312507655000005</v>
      </c>
      <c r="X1361" s="28" t="s">
        <v>957</v>
      </c>
      <c r="Y1361" s="28" t="s">
        <v>958</v>
      </c>
      <c r="Z1361" s="61">
        <v>6040006000172</v>
      </c>
      <c r="AA1361" s="28"/>
    </row>
    <row r="1362" spans="1:29" x14ac:dyDescent="0.25">
      <c r="A1362" s="61">
        <v>110027373072</v>
      </c>
      <c r="B1362" s="28">
        <v>2017</v>
      </c>
      <c r="C1362" s="68">
        <f t="shared" si="21"/>
        <v>42736</v>
      </c>
      <c r="D1362" s="28" t="s">
        <v>202</v>
      </c>
      <c r="E1362" s="28" t="s">
        <v>667</v>
      </c>
      <c r="F1362" s="28" t="s">
        <v>323</v>
      </c>
      <c r="G1362" s="28" t="s">
        <v>324</v>
      </c>
      <c r="H1362" s="28">
        <v>42029</v>
      </c>
      <c r="I1362" s="28">
        <v>37.051110999999999</v>
      </c>
      <c r="J1362" s="28">
        <v>-88.334166999999994</v>
      </c>
      <c r="K1362" s="28" t="s">
        <v>668</v>
      </c>
      <c r="L1362" s="61">
        <v>110027373072</v>
      </c>
      <c r="M1362" s="28" t="s">
        <v>251</v>
      </c>
      <c r="N1362" s="28">
        <v>2812</v>
      </c>
      <c r="O1362" s="28" t="str">
        <f>IFERROR(VLOOKUP(N1362, 'SIC &amp; NAICS Codes'!A:B, 2, FALSE), "")</f>
        <v>Alkalies and Chlorine</v>
      </c>
      <c r="S1362" s="28">
        <v>12.972335600907</v>
      </c>
      <c r="T1362" s="315">
        <f>_xlfn.MAXIFS('Raw Period DMR Data'!$O:$O,'Raw Period DMR Data'!$A:$A,'Raw Annual DMR Data'!B1362,'Raw Period DMR Data'!$C:$C,X1362)/S1362</f>
        <v>52.131574576888724</v>
      </c>
      <c r="U1362" s="28">
        <f>+IF(COUNTIFS('Raw Period DMR Data'!$A:$A,B1362, 'Raw Period DMR Data'!C:C,'Raw Annual DMR Data'!X1362, 'Raw Period DMR Data'!M:M, "&gt;0")&gt;0,_xlfn.MAXIFS('Raw Period DMR Data'!M:M,'Raw Period DMR Data'!$A:$A,'Raw Annual DMR Data'!B1362,'Raw Period DMR Data'!C:C,'Raw Annual DMR Data'!X1362), "N/A - Period DMR Data Not Available")</f>
        <v>22.233453359999999</v>
      </c>
      <c r="V1362" s="28" cm="1">
        <f t="array" ref="V1362">IFERROR(INDEX('Raw Period DMR Data'!N:N,MATCH(1,(B1362='Raw Period DMR Data'!$A:$A)*(U1362='Raw Period DMR Data'!M:M)*(X1362='Raw Period DMR Data'!C:C),0),1), "N/A")</f>
        <v>31</v>
      </c>
      <c r="W1362" s="28">
        <v>23.312507655000005</v>
      </c>
      <c r="X1362" s="28" t="s">
        <v>957</v>
      </c>
      <c r="Y1362" s="28" t="s">
        <v>958</v>
      </c>
      <c r="Z1362" s="61">
        <v>6040006000172</v>
      </c>
      <c r="AA1362" s="28"/>
    </row>
    <row r="1363" spans="1:29" x14ac:dyDescent="0.25">
      <c r="A1363" s="61">
        <v>110027373072</v>
      </c>
      <c r="B1363" s="28">
        <v>2018</v>
      </c>
      <c r="C1363" s="68">
        <f t="shared" si="21"/>
        <v>43101</v>
      </c>
      <c r="D1363" s="28" t="s">
        <v>202</v>
      </c>
      <c r="E1363" s="28" t="s">
        <v>667</v>
      </c>
      <c r="F1363" s="28" t="s">
        <v>323</v>
      </c>
      <c r="G1363" s="28" t="s">
        <v>324</v>
      </c>
      <c r="H1363" s="28">
        <v>42029</v>
      </c>
      <c r="I1363" s="28">
        <v>37.051110999999999</v>
      </c>
      <c r="J1363" s="28">
        <v>-88.334166999999994</v>
      </c>
      <c r="K1363" s="28" t="s">
        <v>668</v>
      </c>
      <c r="L1363" s="61">
        <v>110027373072</v>
      </c>
      <c r="M1363" s="28" t="s">
        <v>251</v>
      </c>
      <c r="N1363" s="28">
        <v>2812</v>
      </c>
      <c r="O1363" s="28" t="str">
        <f>IFERROR(VLOOKUP(N1363, 'SIC &amp; NAICS Codes'!A:B, 2, FALSE), "")</f>
        <v>Alkalies and Chlorine</v>
      </c>
      <c r="S1363" s="28">
        <v>1190.0702053274999</v>
      </c>
      <c r="T1363" s="315">
        <f>_xlfn.MAXIFS('Raw Period DMR Data'!$O:$O,'Raw Period DMR Data'!$A:$A,'Raw Annual DMR Data'!B1363,'Raw Period DMR Data'!$C:$C,X1363)/S1363</f>
        <v>0</v>
      </c>
      <c r="U1363" s="28" t="str">
        <f>+IF(COUNTIFS('Raw Period DMR Data'!$A:$A,B1363, 'Raw Period DMR Data'!C:C,'Raw Annual DMR Data'!X1363, 'Raw Period DMR Data'!M:M, "&gt;0")&gt;0,_xlfn.MAXIFS('Raw Period DMR Data'!M:M,'Raw Period DMR Data'!$A:$A,'Raw Annual DMR Data'!B1363,'Raw Period DMR Data'!C:C,'Raw Annual DMR Data'!X1363), "N/A - Period DMR Data Not Available")</f>
        <v>N/A - Period DMR Data Not Available</v>
      </c>
      <c r="V1363" s="28" t="str" cm="1">
        <f t="array" ref="V1363">IFERROR(INDEX('Raw Period DMR Data'!N:N,MATCH(1,(B1363='Raw Period DMR Data'!$A:$A)*(U1363='Raw Period DMR Data'!M:M)*(X1363='Raw Period DMR Data'!C:C),0),1), "N/A")</f>
        <v>N/A</v>
      </c>
      <c r="W1363" s="28" t="s">
        <v>1463</v>
      </c>
      <c r="X1363" s="28" t="s">
        <v>957</v>
      </c>
      <c r="Y1363" s="28" t="s">
        <v>958</v>
      </c>
      <c r="Z1363" s="61">
        <v>6040006000172</v>
      </c>
    </row>
    <row r="1364" spans="1:29" x14ac:dyDescent="0.25">
      <c r="A1364" s="61">
        <v>110027373072</v>
      </c>
      <c r="B1364" s="28">
        <v>2018</v>
      </c>
      <c r="C1364" s="68">
        <f t="shared" si="21"/>
        <v>43101</v>
      </c>
      <c r="D1364" s="28" t="s">
        <v>202</v>
      </c>
      <c r="E1364" s="28" t="s">
        <v>667</v>
      </c>
      <c r="F1364" s="28" t="s">
        <v>323</v>
      </c>
      <c r="G1364" s="28" t="s">
        <v>324</v>
      </c>
      <c r="H1364" s="28">
        <v>42029</v>
      </c>
      <c r="I1364" s="28">
        <v>37.051110999999999</v>
      </c>
      <c r="J1364" s="28">
        <v>-88.334166999999994</v>
      </c>
      <c r="K1364" s="28" t="s">
        <v>668</v>
      </c>
      <c r="L1364" s="61">
        <v>110027373072</v>
      </c>
      <c r="M1364" s="28" t="s">
        <v>251</v>
      </c>
      <c r="N1364" s="28">
        <v>2812</v>
      </c>
      <c r="O1364" s="28" t="str">
        <f>IFERROR(VLOOKUP(N1364, 'SIC &amp; NAICS Codes'!A:B, 2, FALSE), "")</f>
        <v>Alkalies and Chlorine</v>
      </c>
      <c r="S1364" s="28">
        <v>30.141496598639399</v>
      </c>
      <c r="T1364" s="315">
        <f>_xlfn.MAXIFS('Raw Period DMR Data'!$O:$O,'Raw Period DMR Data'!$A:$A,'Raw Annual DMR Data'!B1364,'Raw Period DMR Data'!$C:$C,X1364)/S1364</f>
        <v>0</v>
      </c>
      <c r="U1364" s="28" t="str">
        <f>+IF(COUNTIFS('Raw Period DMR Data'!$A:$A,B1364, 'Raw Period DMR Data'!C:C,'Raw Annual DMR Data'!X1364, 'Raw Period DMR Data'!M:M, "&gt;0")&gt;0,_xlfn.MAXIFS('Raw Period DMR Data'!M:M,'Raw Period DMR Data'!$A:$A,'Raw Annual DMR Data'!B1364,'Raw Period DMR Data'!C:C,'Raw Annual DMR Data'!X1364), "N/A - Period DMR Data Not Available")</f>
        <v>N/A - Period DMR Data Not Available</v>
      </c>
      <c r="V1364" s="28" t="str" cm="1">
        <f t="array" ref="V1364">IFERROR(INDEX('Raw Period DMR Data'!N:N,MATCH(1,(B1364='Raw Period DMR Data'!$A:$A)*(U1364='Raw Period DMR Data'!M:M)*(X1364='Raw Period DMR Data'!C:C),0),1), "N/A")</f>
        <v>N/A</v>
      </c>
      <c r="W1364" s="28" t="s">
        <v>1463</v>
      </c>
      <c r="X1364" s="28" t="s">
        <v>957</v>
      </c>
      <c r="Y1364" s="28" t="s">
        <v>958</v>
      </c>
      <c r="Z1364" s="61">
        <v>6040006000172</v>
      </c>
    </row>
    <row r="1365" spans="1:29" x14ac:dyDescent="0.25">
      <c r="A1365" s="61">
        <v>110027373072</v>
      </c>
      <c r="B1365" s="28">
        <v>2018</v>
      </c>
      <c r="C1365" s="68">
        <f t="shared" si="21"/>
        <v>43101</v>
      </c>
      <c r="D1365" s="28" t="s">
        <v>202</v>
      </c>
      <c r="E1365" s="28" t="s">
        <v>667</v>
      </c>
      <c r="F1365" s="28" t="s">
        <v>323</v>
      </c>
      <c r="G1365" s="28" t="s">
        <v>324</v>
      </c>
      <c r="H1365" s="28">
        <v>42029</v>
      </c>
      <c r="I1365" s="28">
        <v>37.051110999999999</v>
      </c>
      <c r="J1365" s="28">
        <v>-88.334166999999994</v>
      </c>
      <c r="K1365" s="28" t="s">
        <v>668</v>
      </c>
      <c r="L1365" s="61">
        <v>110027373072</v>
      </c>
      <c r="M1365" s="28" t="s">
        <v>251</v>
      </c>
      <c r="N1365" s="28">
        <v>2812</v>
      </c>
      <c r="O1365" s="28" t="str">
        <f>IFERROR(VLOOKUP(N1365, 'SIC &amp; NAICS Codes'!A:B, 2, FALSE), "")</f>
        <v>Alkalies and Chlorine</v>
      </c>
      <c r="S1365" s="28">
        <v>22.117460317460299</v>
      </c>
      <c r="T1365" s="315">
        <f>_xlfn.MAXIFS('Raw Period DMR Data'!$O:$O,'Raw Period DMR Data'!$A:$A,'Raw Annual DMR Data'!B1365,'Raw Period DMR Data'!$C:$C,X1365)/S1365</f>
        <v>0</v>
      </c>
      <c r="U1365" s="28" t="str">
        <f>+IF(COUNTIFS('Raw Period DMR Data'!$A:$A,B1365, 'Raw Period DMR Data'!C:C,'Raw Annual DMR Data'!X1365, 'Raw Period DMR Data'!M:M, "&gt;0")&gt;0,_xlfn.MAXIFS('Raw Period DMR Data'!M:M,'Raw Period DMR Data'!$A:$A,'Raw Annual DMR Data'!B1365,'Raw Period DMR Data'!C:C,'Raw Annual DMR Data'!X1365), "N/A - Period DMR Data Not Available")</f>
        <v>N/A - Period DMR Data Not Available</v>
      </c>
      <c r="V1365" s="28" t="str" cm="1">
        <f t="array" ref="V1365">IFERROR(INDEX('Raw Period DMR Data'!N:N,MATCH(1,(B1365='Raw Period DMR Data'!$A:$A)*(U1365='Raw Period DMR Data'!M:M)*(X1365='Raw Period DMR Data'!C:C),0),1), "N/A")</f>
        <v>N/A</v>
      </c>
      <c r="W1365" s="28" t="s">
        <v>1463</v>
      </c>
      <c r="X1365" s="28" t="s">
        <v>957</v>
      </c>
      <c r="Y1365" s="28" t="s">
        <v>958</v>
      </c>
      <c r="Z1365" s="61">
        <v>6040006000172</v>
      </c>
    </row>
    <row r="1366" spans="1:29" x14ac:dyDescent="0.25">
      <c r="A1366" s="61">
        <v>110027373072</v>
      </c>
      <c r="B1366" s="28">
        <v>2019</v>
      </c>
      <c r="C1366" s="68">
        <f t="shared" si="21"/>
        <v>43466</v>
      </c>
      <c r="D1366" s="28" t="s">
        <v>202</v>
      </c>
      <c r="E1366" s="28" t="s">
        <v>667</v>
      </c>
      <c r="F1366" s="28" t="s">
        <v>323</v>
      </c>
      <c r="G1366" s="28" t="s">
        <v>324</v>
      </c>
      <c r="H1366" s="28">
        <v>42029</v>
      </c>
      <c r="I1366" s="28">
        <v>37.051110999999999</v>
      </c>
      <c r="J1366" s="28">
        <v>-88.334166999999994</v>
      </c>
      <c r="K1366" s="28" t="s">
        <v>668</v>
      </c>
      <c r="L1366" s="61">
        <v>110027373072</v>
      </c>
      <c r="M1366" s="28" t="s">
        <v>251</v>
      </c>
      <c r="N1366" s="28">
        <v>2812</v>
      </c>
      <c r="O1366" s="28" t="str">
        <f>IFERROR(VLOOKUP(N1366, 'SIC &amp; NAICS Codes'!A:B, 2, FALSE), "")</f>
        <v>Alkalies and Chlorine</v>
      </c>
      <c r="S1366" s="28">
        <v>209.206474574</v>
      </c>
      <c r="T1366" s="315">
        <f>_xlfn.MAXIFS('Raw Period DMR Data'!$O:$O,'Raw Period DMR Data'!$A:$A,'Raw Annual DMR Data'!B1366,'Raw Period DMR Data'!$C:$C,X1366)/S1366</f>
        <v>0.4705299341355843</v>
      </c>
      <c r="U1366" s="28">
        <f>+IF(COUNTIFS('Raw Period DMR Data'!$A:$A,B1366, 'Raw Period DMR Data'!C:C,'Raw Annual DMR Data'!X1366, 'Raw Period DMR Data'!M:M, "&gt;0")&gt;0,_xlfn.MAXIFS('Raw Period DMR Data'!M:M,'Raw Period DMR Data'!$A:$A,'Raw Annual DMR Data'!B1366,'Raw Period DMR Data'!C:C,'Raw Annual DMR Data'!X1366), "N/A - Period DMR Data Not Available")</f>
        <v>3.2363112600000004</v>
      </c>
      <c r="V1366" s="28" cm="1">
        <f t="array" ref="V1366">IFERROR(INDEX('Raw Period DMR Data'!N:N,MATCH(1,(B1366='Raw Period DMR Data'!$A:$A)*(U1366='Raw Period DMR Data'!M:M)*(X1366='Raw Period DMR Data'!C:C),0),1), "N/A")</f>
        <v>31</v>
      </c>
      <c r="W1366" s="28">
        <v>3.4606709200000001</v>
      </c>
      <c r="X1366" s="28" t="s">
        <v>957</v>
      </c>
      <c r="Y1366" s="28" t="s">
        <v>958</v>
      </c>
      <c r="Z1366" s="61">
        <v>6040006000172</v>
      </c>
    </row>
    <row r="1367" spans="1:29" x14ac:dyDescent="0.25">
      <c r="A1367" s="61">
        <v>110027373072</v>
      </c>
      <c r="B1367" s="28">
        <v>2019</v>
      </c>
      <c r="C1367" s="68">
        <f t="shared" si="21"/>
        <v>43466</v>
      </c>
      <c r="D1367" s="28" t="s">
        <v>202</v>
      </c>
      <c r="E1367" s="28" t="s">
        <v>667</v>
      </c>
      <c r="F1367" s="28" t="s">
        <v>323</v>
      </c>
      <c r="G1367" s="28" t="s">
        <v>324</v>
      </c>
      <c r="H1367" s="28">
        <v>42029</v>
      </c>
      <c r="I1367" s="28">
        <v>37.051110999999999</v>
      </c>
      <c r="J1367" s="28">
        <v>-88.334166999999994</v>
      </c>
      <c r="K1367" s="28" t="s">
        <v>668</v>
      </c>
      <c r="L1367" s="61">
        <v>110027373072</v>
      </c>
      <c r="M1367" s="28" t="s">
        <v>251</v>
      </c>
      <c r="N1367" s="28">
        <v>2812</v>
      </c>
      <c r="O1367" s="28" t="str">
        <f>IFERROR(VLOOKUP(N1367, 'SIC &amp; NAICS Codes'!A:B, 2, FALSE), "")</f>
        <v>Alkalies and Chlorine</v>
      </c>
      <c r="S1367" s="28">
        <v>13.5881179138321</v>
      </c>
      <c r="T1367" s="315">
        <f>_xlfn.MAXIFS('Raw Period DMR Data'!$O:$O,'Raw Period DMR Data'!$A:$A,'Raw Annual DMR Data'!B1367,'Raw Period DMR Data'!$C:$C,X1367)/S1367</f>
        <v>7.2444108394023132</v>
      </c>
      <c r="U1367" s="28">
        <f>+IF(COUNTIFS('Raw Period DMR Data'!$A:$A,B1367, 'Raw Period DMR Data'!C:C,'Raw Annual DMR Data'!X1367, 'Raw Period DMR Data'!M:M, "&gt;0")&gt;0,_xlfn.MAXIFS('Raw Period DMR Data'!M:M,'Raw Period DMR Data'!$A:$A,'Raw Annual DMR Data'!B1367,'Raw Period DMR Data'!C:C,'Raw Annual DMR Data'!X1367), "N/A - Period DMR Data Not Available")</f>
        <v>3.2363112600000004</v>
      </c>
      <c r="V1367" s="28" cm="1">
        <f t="array" ref="V1367">IFERROR(INDEX('Raw Period DMR Data'!N:N,MATCH(1,(B1367='Raw Period DMR Data'!$A:$A)*(U1367='Raw Period DMR Data'!M:M)*(X1367='Raw Period DMR Data'!C:C),0),1), "N/A")</f>
        <v>31</v>
      </c>
      <c r="W1367" s="28">
        <v>3.4606709200000001</v>
      </c>
      <c r="X1367" s="28" t="s">
        <v>957</v>
      </c>
      <c r="Y1367" s="28" t="s">
        <v>958</v>
      </c>
      <c r="Z1367" s="61">
        <v>6040006000172</v>
      </c>
    </row>
    <row r="1368" spans="1:29" x14ac:dyDescent="0.25">
      <c r="A1368" s="61">
        <v>110027373072</v>
      </c>
      <c r="B1368" s="28">
        <v>2019</v>
      </c>
      <c r="C1368" s="68">
        <f t="shared" si="21"/>
        <v>43466</v>
      </c>
      <c r="D1368" s="28" t="s">
        <v>202</v>
      </c>
      <c r="E1368" s="28" t="s">
        <v>667</v>
      </c>
      <c r="F1368" s="28" t="s">
        <v>323</v>
      </c>
      <c r="G1368" s="28" t="s">
        <v>324</v>
      </c>
      <c r="H1368" s="28">
        <v>42029</v>
      </c>
      <c r="I1368" s="28">
        <v>37.051110999999999</v>
      </c>
      <c r="J1368" s="28">
        <v>-88.334166999999994</v>
      </c>
      <c r="K1368" s="28" t="s">
        <v>668</v>
      </c>
      <c r="L1368" s="61">
        <v>110027373072</v>
      </c>
      <c r="M1368" s="28" t="s">
        <v>251</v>
      </c>
      <c r="N1368" s="28">
        <v>2812</v>
      </c>
      <c r="O1368" s="28" t="str">
        <f>IFERROR(VLOOKUP(N1368, 'SIC &amp; NAICS Codes'!A:B, 2, FALSE), "")</f>
        <v>Alkalies and Chlorine</v>
      </c>
      <c r="S1368" s="28">
        <v>1.53741496598639</v>
      </c>
      <c r="T1368" s="315">
        <f>_xlfn.MAXIFS('Raw Period DMR Data'!$O:$O,'Raw Period DMR Data'!$A:$A,'Raw Annual DMR Data'!B1368,'Raw Period DMR Data'!$C:$C,X1368)/S1368</f>
        <v>64.028197253098313</v>
      </c>
      <c r="U1368" s="28">
        <f>+IF(COUNTIFS('Raw Period DMR Data'!$A:$A,B1368, 'Raw Period DMR Data'!C:C,'Raw Annual DMR Data'!X1368, 'Raw Period DMR Data'!M:M, "&gt;0")&gt;0,_xlfn.MAXIFS('Raw Period DMR Data'!M:M,'Raw Period DMR Data'!$A:$A,'Raw Annual DMR Data'!B1368,'Raw Period DMR Data'!C:C,'Raw Annual DMR Data'!X1368), "N/A - Period DMR Data Not Available")</f>
        <v>3.2363112600000004</v>
      </c>
      <c r="V1368" s="28" cm="1">
        <f t="array" ref="V1368">IFERROR(INDEX('Raw Period DMR Data'!N:N,MATCH(1,(B1368='Raw Period DMR Data'!$A:$A)*(U1368='Raw Period DMR Data'!M:M)*(X1368='Raw Period DMR Data'!C:C),0),1), "N/A")</f>
        <v>31</v>
      </c>
      <c r="W1368" s="28">
        <v>3.4606709200000001</v>
      </c>
      <c r="X1368" s="28" t="s">
        <v>957</v>
      </c>
      <c r="Y1368" s="28" t="s">
        <v>958</v>
      </c>
      <c r="Z1368" s="61">
        <v>6040006000172</v>
      </c>
    </row>
    <row r="1369" spans="1:29" x14ac:dyDescent="0.25">
      <c r="A1369" s="61">
        <v>110027373072</v>
      </c>
      <c r="B1369" s="28">
        <v>2020</v>
      </c>
      <c r="C1369" s="68">
        <f t="shared" si="21"/>
        <v>43831</v>
      </c>
      <c r="D1369" s="28" t="s">
        <v>202</v>
      </c>
      <c r="E1369" s="28" t="s">
        <v>667</v>
      </c>
      <c r="F1369" s="28" t="s">
        <v>323</v>
      </c>
      <c r="G1369" s="28" t="s">
        <v>324</v>
      </c>
      <c r="H1369" s="28">
        <v>42029</v>
      </c>
      <c r="I1369" s="28">
        <v>37.051110999999999</v>
      </c>
      <c r="J1369" s="28">
        <v>-88.334166999999994</v>
      </c>
      <c r="K1369" s="28" t="s">
        <v>668</v>
      </c>
      <c r="L1369" s="61">
        <v>110027373072</v>
      </c>
      <c r="M1369" s="28" t="s">
        <v>251</v>
      </c>
      <c r="N1369" s="28">
        <v>2812</v>
      </c>
      <c r="O1369" s="28" t="str">
        <f>IFERROR(VLOOKUP(N1369, 'SIC &amp; NAICS Codes'!A:B, 2, FALSE), "")</f>
        <v>Alkalies and Chlorine</v>
      </c>
      <c r="S1369" s="28">
        <v>461.84945441719998</v>
      </c>
      <c r="T1369" s="315">
        <f>_xlfn.MAXIFS('Raw Period DMR Data'!$O:$O,'Raw Period DMR Data'!$A:$A,'Raw Annual DMR Data'!B1369,'Raw Period DMR Data'!$C:$C,X1369)/S1369</f>
        <v>0.94150686977713272</v>
      </c>
      <c r="U1369" s="28">
        <f>+IF(COUNTIFS('Raw Period DMR Data'!$A:$A,B1369, 'Raw Period DMR Data'!C:C,'Raw Annual DMR Data'!X1369, 'Raw Period DMR Data'!M:M, "&gt;0")&gt;0,_xlfn.MAXIFS('Raw Period DMR Data'!M:M,'Raw Period DMR Data'!$A:$A,'Raw Annual DMR Data'!B1369,'Raw Period DMR Data'!C:C,'Raw Annual DMR Data'!X1369), "N/A - Period DMR Data Not Available")</f>
        <v>14.295910935</v>
      </c>
      <c r="V1369" s="28" cm="1">
        <f t="array" ref="V1369">IFERROR(INDEX('Raw Period DMR Data'!N:N,MATCH(1,(B1369='Raw Period DMR Data'!$A:$A)*(U1369='Raw Period DMR Data'!M:M)*(X1369='Raw Period DMR Data'!C:C),0),1), "N/A")</f>
        <v>30</v>
      </c>
      <c r="W1369" s="28">
        <v>35.59504840000001</v>
      </c>
      <c r="X1369" s="28" t="s">
        <v>957</v>
      </c>
      <c r="Y1369" s="28" t="s">
        <v>958</v>
      </c>
      <c r="Z1369" s="61">
        <v>6040006000172</v>
      </c>
    </row>
    <row r="1370" spans="1:29" x14ac:dyDescent="0.25">
      <c r="A1370" s="61">
        <v>110027373072</v>
      </c>
      <c r="B1370" s="28">
        <v>2020</v>
      </c>
      <c r="C1370" s="68">
        <f t="shared" si="21"/>
        <v>43831</v>
      </c>
      <c r="D1370" s="28" t="s">
        <v>202</v>
      </c>
      <c r="E1370" s="28" t="s">
        <v>667</v>
      </c>
      <c r="F1370" s="28" t="s">
        <v>323</v>
      </c>
      <c r="G1370" s="28" t="s">
        <v>324</v>
      </c>
      <c r="H1370" s="28">
        <v>42029</v>
      </c>
      <c r="I1370" s="28">
        <v>37.051110999999999</v>
      </c>
      <c r="J1370" s="28">
        <v>-88.334166999999994</v>
      </c>
      <c r="K1370" s="28" t="s">
        <v>668</v>
      </c>
      <c r="L1370" s="61">
        <v>110027373072</v>
      </c>
      <c r="M1370" s="28" t="s">
        <v>251</v>
      </c>
      <c r="N1370" s="28">
        <v>2812</v>
      </c>
      <c r="O1370" s="28" t="str">
        <f>IFERROR(VLOOKUP(N1370, 'SIC &amp; NAICS Codes'!A:B, 2, FALSE), "")</f>
        <v>Alkalies and Chlorine</v>
      </c>
      <c r="S1370" s="28">
        <v>16.735736961451199</v>
      </c>
      <c r="T1370" s="315">
        <f>_xlfn.MAXIFS('Raw Period DMR Data'!$O:$O,'Raw Period DMR Data'!$A:$A,'Raw Annual DMR Data'!B1370,'Raw Period DMR Data'!$C:$C,X1370)/S1370</f>
        <v>25.982389370614779</v>
      </c>
      <c r="U1370" s="28">
        <f>+IF(COUNTIFS('Raw Period DMR Data'!$A:$A,B1370, 'Raw Period DMR Data'!C:C,'Raw Annual DMR Data'!X1370, 'Raw Period DMR Data'!M:M, "&gt;0")&gt;0,_xlfn.MAXIFS('Raw Period DMR Data'!M:M,'Raw Period DMR Data'!$A:$A,'Raw Annual DMR Data'!B1370,'Raw Period DMR Data'!C:C,'Raw Annual DMR Data'!X1370), "N/A - Period DMR Data Not Available")</f>
        <v>14.295910935</v>
      </c>
      <c r="V1370" s="28" cm="1">
        <f t="array" ref="V1370">IFERROR(INDEX('Raw Period DMR Data'!N:N,MATCH(1,(B1370='Raw Period DMR Data'!$A:$A)*(U1370='Raw Period DMR Data'!M:M)*(X1370='Raw Period DMR Data'!C:C),0),1), "N/A")</f>
        <v>30</v>
      </c>
      <c r="W1370" s="28">
        <v>35.59504840000001</v>
      </c>
      <c r="X1370" s="28" t="s">
        <v>957</v>
      </c>
      <c r="Y1370" s="28" t="s">
        <v>958</v>
      </c>
      <c r="Z1370" s="61">
        <v>6040006000172</v>
      </c>
    </row>
    <row r="1371" spans="1:29" x14ac:dyDescent="0.25">
      <c r="A1371" s="61">
        <v>110027373072</v>
      </c>
      <c r="B1371" s="28">
        <v>2020</v>
      </c>
      <c r="C1371" s="68">
        <f t="shared" si="21"/>
        <v>43831</v>
      </c>
      <c r="D1371" s="28" t="s">
        <v>202</v>
      </c>
      <c r="E1371" s="28" t="s">
        <v>667</v>
      </c>
      <c r="F1371" s="28" t="s">
        <v>323</v>
      </c>
      <c r="G1371" s="28" t="s">
        <v>324</v>
      </c>
      <c r="H1371" s="28">
        <v>42029</v>
      </c>
      <c r="I1371" s="28">
        <v>37.051110999999999</v>
      </c>
      <c r="J1371" s="28">
        <v>-88.334166999999994</v>
      </c>
      <c r="K1371" s="28" t="s">
        <v>668</v>
      </c>
      <c r="L1371" s="61">
        <v>110027373072</v>
      </c>
      <c r="M1371" s="28" t="s">
        <v>251</v>
      </c>
      <c r="N1371" s="28">
        <v>2812</v>
      </c>
      <c r="O1371" s="28" t="str">
        <f>IFERROR(VLOOKUP(N1371, 'SIC &amp; NAICS Codes'!A:B, 2, FALSE), "")</f>
        <v>Alkalies and Chlorine</v>
      </c>
      <c r="S1371" s="28">
        <v>8.1386394557823092</v>
      </c>
      <c r="T1371" s="315">
        <f>_xlfn.MAXIFS('Raw Period DMR Data'!$O:$O,'Raw Period DMR Data'!$A:$A,'Raw Annual DMR Data'!B1371,'Raw Period DMR Data'!$C:$C,X1371)/S1371</f>
        <v>53.428393836475337</v>
      </c>
      <c r="U1371" s="28">
        <f>+IF(COUNTIFS('Raw Period DMR Data'!$A:$A,B1371, 'Raw Period DMR Data'!C:C,'Raw Annual DMR Data'!X1371, 'Raw Period DMR Data'!M:M, "&gt;0")&gt;0,_xlfn.MAXIFS('Raw Period DMR Data'!M:M,'Raw Period DMR Data'!$A:$A,'Raw Annual DMR Data'!B1371,'Raw Period DMR Data'!C:C,'Raw Annual DMR Data'!X1371), "N/A - Period DMR Data Not Available")</f>
        <v>14.295910935</v>
      </c>
      <c r="V1371" s="28" cm="1">
        <f t="array" ref="V1371">IFERROR(INDEX('Raw Period DMR Data'!N:N,MATCH(1,(B1371='Raw Period DMR Data'!$A:$A)*(U1371='Raw Period DMR Data'!M:M)*(X1371='Raw Period DMR Data'!C:C),0),1), "N/A")</f>
        <v>30</v>
      </c>
      <c r="W1371" s="28">
        <v>35.59504840000001</v>
      </c>
      <c r="X1371" s="28" t="s">
        <v>957</v>
      </c>
      <c r="Y1371" s="28" t="s">
        <v>958</v>
      </c>
      <c r="Z1371" s="61">
        <v>6040006000172</v>
      </c>
    </row>
    <row r="1372" spans="1:29" x14ac:dyDescent="0.25">
      <c r="A1372" s="61">
        <v>110043316612</v>
      </c>
      <c r="B1372" s="28">
        <v>2016</v>
      </c>
      <c r="C1372" s="68">
        <f t="shared" si="21"/>
        <v>42370</v>
      </c>
      <c r="D1372" s="28" t="s">
        <v>1431</v>
      </c>
      <c r="E1372" s="28" t="s">
        <v>2369</v>
      </c>
      <c r="F1372" s="28" t="s">
        <v>1314</v>
      </c>
      <c r="G1372" s="28" t="s">
        <v>374</v>
      </c>
      <c r="H1372" s="28">
        <v>86004</v>
      </c>
      <c r="I1372" s="28">
        <v>35.225619999999999</v>
      </c>
      <c r="J1372" s="28">
        <v>-111.5582</v>
      </c>
      <c r="L1372" s="61">
        <v>110043316612</v>
      </c>
      <c r="M1372" s="28" t="s">
        <v>263</v>
      </c>
      <c r="N1372" s="28">
        <v>4952</v>
      </c>
      <c r="O1372" s="28" t="str">
        <f>IFERROR(VLOOKUP(N1372, 'SIC &amp; NAICS Codes'!A:B, 2, FALSE), "")</f>
        <v>Sewerage Systems</v>
      </c>
      <c r="S1372" s="28">
        <v>0.73524760499999997</v>
      </c>
      <c r="T1372" s="315">
        <f>_xlfn.MAXIFS('Raw Period DMR Data'!$O:$O,'Raw Period DMR Data'!$A:$A,'Raw Annual DMR Data'!B1372,'Raw Period DMR Data'!$C:$C,X1372)/S1372</f>
        <v>0</v>
      </c>
      <c r="U1372" s="28" t="str">
        <f>+IF(COUNTIFS('Raw Period DMR Data'!$A:$A,B1372, 'Raw Period DMR Data'!C:C,'Raw Annual DMR Data'!X1372, 'Raw Period DMR Data'!M:M, "&gt;0")&gt;0,_xlfn.MAXIFS('Raw Period DMR Data'!M:M,'Raw Period DMR Data'!$A:$A,'Raw Annual DMR Data'!B1372,'Raw Period DMR Data'!C:C,'Raw Annual DMR Data'!X1372), "N/A - Period DMR Data Not Available")</f>
        <v>N/A - Period DMR Data Not Available</v>
      </c>
      <c r="V1372" s="28" t="str" cm="1">
        <f t="array" ref="V1372">IFERROR(INDEX('Raw Period DMR Data'!N:N,MATCH(1,(B1372='Raw Period DMR Data'!$A:$A)*(U1372='Raw Period DMR Data'!M:M)*(X1372='Raw Period DMR Data'!C:C),0),1), "N/A")</f>
        <v>N/A</v>
      </c>
      <c r="W1372" s="28" t="s">
        <v>1463</v>
      </c>
      <c r="X1372" s="28" t="s">
        <v>2370</v>
      </c>
      <c r="Z1372" s="28">
        <v>15050301001323</v>
      </c>
      <c r="AA1372" s="28"/>
      <c r="AB1372" s="28" t="s">
        <v>1465</v>
      </c>
      <c r="AC1372" s="28" t="s">
        <v>263</v>
      </c>
    </row>
    <row r="1373" spans="1:29" x14ac:dyDescent="0.25">
      <c r="A1373" s="61">
        <v>110043316612</v>
      </c>
      <c r="B1373" s="28">
        <v>2017</v>
      </c>
      <c r="C1373" s="68">
        <f t="shared" si="21"/>
        <v>42736</v>
      </c>
      <c r="D1373" s="28" t="s">
        <v>1431</v>
      </c>
      <c r="E1373" s="28" t="s">
        <v>2369</v>
      </c>
      <c r="F1373" s="28" t="s">
        <v>1314</v>
      </c>
      <c r="G1373" s="28" t="s">
        <v>374</v>
      </c>
      <c r="H1373" s="28">
        <v>86004</v>
      </c>
      <c r="I1373" s="28">
        <v>35.225619999999999</v>
      </c>
      <c r="J1373" s="28">
        <v>-111.5582</v>
      </c>
      <c r="L1373" s="61">
        <v>110043316612</v>
      </c>
      <c r="M1373" s="28" t="s">
        <v>263</v>
      </c>
      <c r="N1373" s="28">
        <v>4952</v>
      </c>
      <c r="O1373" s="28" t="str">
        <f>IFERROR(VLOOKUP(N1373, 'SIC &amp; NAICS Codes'!A:B, 2, FALSE), "")</f>
        <v>Sewerage Systems</v>
      </c>
      <c r="S1373" s="28">
        <v>0.55931039625000001</v>
      </c>
      <c r="T1373" s="315">
        <f>_xlfn.MAXIFS('Raw Period DMR Data'!$O:$O,'Raw Period DMR Data'!$A:$A,'Raw Annual DMR Data'!B1373,'Raw Period DMR Data'!$C:$C,X1373)/S1373</f>
        <v>0</v>
      </c>
      <c r="U1373" s="28" t="str">
        <f>+IF(COUNTIFS('Raw Period DMR Data'!$A:$A,B1373, 'Raw Period DMR Data'!C:C,'Raw Annual DMR Data'!X1373, 'Raw Period DMR Data'!M:M, "&gt;0")&gt;0,_xlfn.MAXIFS('Raw Period DMR Data'!M:M,'Raw Period DMR Data'!$A:$A,'Raw Annual DMR Data'!B1373,'Raw Period DMR Data'!C:C,'Raw Annual DMR Data'!X1373), "N/A - Period DMR Data Not Available")</f>
        <v>N/A - Period DMR Data Not Available</v>
      </c>
      <c r="V1373" s="28" t="str" cm="1">
        <f t="array" ref="V1373">IFERROR(INDEX('Raw Period DMR Data'!N:N,MATCH(1,(B1373='Raw Period DMR Data'!$A:$A)*(U1373='Raw Period DMR Data'!M:M)*(X1373='Raw Period DMR Data'!C:C),0),1), "N/A")</f>
        <v>N/A</v>
      </c>
      <c r="W1373" s="28" t="s">
        <v>1463</v>
      </c>
      <c r="X1373" s="28" t="s">
        <v>2370</v>
      </c>
      <c r="Z1373" s="28">
        <v>15050301001323</v>
      </c>
      <c r="AA1373" s="28"/>
      <c r="AB1373" s="28" t="s">
        <v>1465</v>
      </c>
      <c r="AC1373" s="28" t="s">
        <v>263</v>
      </c>
    </row>
    <row r="1374" spans="1:29" x14ac:dyDescent="0.25">
      <c r="A1374" s="61">
        <v>110043316612</v>
      </c>
      <c r="B1374" s="28">
        <v>2018</v>
      </c>
      <c r="C1374" s="68">
        <f t="shared" si="21"/>
        <v>43101</v>
      </c>
      <c r="D1374" s="28" t="s">
        <v>1431</v>
      </c>
      <c r="E1374" s="28" t="s">
        <v>2369</v>
      </c>
      <c r="F1374" s="28" t="s">
        <v>1314</v>
      </c>
      <c r="G1374" s="28" t="s">
        <v>374</v>
      </c>
      <c r="H1374" s="28">
        <v>86004</v>
      </c>
      <c r="I1374" s="28">
        <v>35.225619999999999</v>
      </c>
      <c r="J1374" s="28">
        <v>-111.5582</v>
      </c>
      <c r="L1374" s="61">
        <v>110043316612</v>
      </c>
      <c r="M1374" s="28" t="s">
        <v>263</v>
      </c>
      <c r="N1374" s="28">
        <v>4952</v>
      </c>
      <c r="O1374" s="28" t="str">
        <f>IFERROR(VLOOKUP(N1374, 'SIC &amp; NAICS Codes'!A:B, 2, FALSE), "")</f>
        <v>Sewerage Systems</v>
      </c>
      <c r="S1374" s="28">
        <v>0.63474166124999998</v>
      </c>
      <c r="T1374" s="315">
        <f>_xlfn.MAXIFS('Raw Period DMR Data'!$O:$O,'Raw Period DMR Data'!$A:$A,'Raw Annual DMR Data'!B1374,'Raw Period DMR Data'!$C:$C,X1374)/S1374</f>
        <v>0</v>
      </c>
      <c r="U1374" s="28" t="str">
        <f>+IF(COUNTIFS('Raw Period DMR Data'!$A:$A,B1374, 'Raw Period DMR Data'!C:C,'Raw Annual DMR Data'!X1374, 'Raw Period DMR Data'!M:M, "&gt;0")&gt;0,_xlfn.MAXIFS('Raw Period DMR Data'!M:M,'Raw Period DMR Data'!$A:$A,'Raw Annual DMR Data'!B1374,'Raw Period DMR Data'!C:C,'Raw Annual DMR Data'!X1374), "N/A - Period DMR Data Not Available")</f>
        <v>N/A - Period DMR Data Not Available</v>
      </c>
      <c r="V1374" s="28" t="str" cm="1">
        <f t="array" ref="V1374">IFERROR(INDEX('Raw Period DMR Data'!N:N,MATCH(1,(B1374='Raw Period DMR Data'!$A:$A)*(U1374='Raw Period DMR Data'!M:M)*(X1374='Raw Period DMR Data'!C:C),0),1), "N/A")</f>
        <v>N/A</v>
      </c>
      <c r="W1374" s="28" t="s">
        <v>1463</v>
      </c>
      <c r="X1374" s="28" t="s">
        <v>2370</v>
      </c>
      <c r="Z1374" s="28">
        <v>15050301001323</v>
      </c>
      <c r="AA1374" s="28"/>
      <c r="AB1374" s="28" t="s">
        <v>1465</v>
      </c>
      <c r="AC1374" s="28" t="s">
        <v>263</v>
      </c>
    </row>
    <row r="1375" spans="1:29" x14ac:dyDescent="0.25">
      <c r="A1375" s="61">
        <v>110006751737</v>
      </c>
      <c r="B1375" s="28">
        <v>2018</v>
      </c>
      <c r="C1375" s="68">
        <f t="shared" si="21"/>
        <v>43101</v>
      </c>
      <c r="D1375" s="28" t="s">
        <v>1432</v>
      </c>
      <c r="E1375" s="28" t="s">
        <v>2371</v>
      </c>
      <c r="F1375" s="28" t="s">
        <v>1433</v>
      </c>
      <c r="G1375" s="28" t="s">
        <v>324</v>
      </c>
      <c r="H1375" s="28">
        <v>40769</v>
      </c>
      <c r="I1375" s="28">
        <v>36.747222000000001</v>
      </c>
      <c r="J1375" s="28">
        <v>-84.171943999999996</v>
      </c>
      <c r="L1375" s="61">
        <v>110006751737</v>
      </c>
      <c r="M1375" s="28" t="s">
        <v>263</v>
      </c>
      <c r="N1375" s="28">
        <v>4952</v>
      </c>
      <c r="O1375" s="28" t="str">
        <f>IFERROR(VLOOKUP(N1375, 'SIC &amp; NAICS Codes'!A:B, 2, FALSE), "")</f>
        <v>Sewerage Systems</v>
      </c>
      <c r="S1375" s="28">
        <v>6.1823243750000003</v>
      </c>
      <c r="T1375" s="315">
        <f>_xlfn.MAXIFS('Raw Period DMR Data'!$O:$O,'Raw Period DMR Data'!$A:$A,'Raw Annual DMR Data'!B1375,'Raw Period DMR Data'!$C:$C,X1375)/S1375</f>
        <v>0</v>
      </c>
      <c r="U1375" s="28" t="str">
        <f>+IF(COUNTIFS('Raw Period DMR Data'!$A:$A,B1375, 'Raw Period DMR Data'!C:C,'Raw Annual DMR Data'!X1375, 'Raw Period DMR Data'!M:M, "&gt;0")&gt;0,_xlfn.MAXIFS('Raw Period DMR Data'!M:M,'Raw Period DMR Data'!$A:$A,'Raw Annual DMR Data'!B1375,'Raw Period DMR Data'!C:C,'Raw Annual DMR Data'!X1375), "N/A - Period DMR Data Not Available")</f>
        <v>N/A - Period DMR Data Not Available</v>
      </c>
      <c r="V1375" s="28" t="str" cm="1">
        <f t="array" ref="V1375">IFERROR(INDEX('Raw Period DMR Data'!N:N,MATCH(1,(B1375='Raw Period DMR Data'!$A:$A)*(U1375='Raw Period DMR Data'!M:M)*(X1375='Raw Period DMR Data'!C:C),0),1), "N/A")</f>
        <v>N/A</v>
      </c>
      <c r="W1375" s="28" t="s">
        <v>1463</v>
      </c>
      <c r="X1375" s="28" t="s">
        <v>2372</v>
      </c>
      <c r="Y1375" s="28" t="s">
        <v>785</v>
      </c>
      <c r="Z1375" s="302" t="s">
        <v>2373</v>
      </c>
      <c r="AA1375" s="28"/>
      <c r="AB1375" s="28" t="s">
        <v>1465</v>
      </c>
      <c r="AC1375" s="28" t="s">
        <v>263</v>
      </c>
    </row>
    <row r="1376" spans="1:29" x14ac:dyDescent="0.25">
      <c r="A1376" s="61">
        <v>110006751737</v>
      </c>
      <c r="B1376" s="28">
        <v>2019</v>
      </c>
      <c r="C1376" s="68">
        <f t="shared" si="21"/>
        <v>43466</v>
      </c>
      <c r="D1376" s="28" t="s">
        <v>1432</v>
      </c>
      <c r="E1376" s="28" t="s">
        <v>2371</v>
      </c>
      <c r="F1376" s="28" t="s">
        <v>1433</v>
      </c>
      <c r="G1376" s="28" t="s">
        <v>324</v>
      </c>
      <c r="H1376" s="28">
        <v>40769</v>
      </c>
      <c r="I1376" s="28">
        <v>36.747222000000001</v>
      </c>
      <c r="J1376" s="28">
        <v>-84.171943999999996</v>
      </c>
      <c r="L1376" s="61">
        <v>110006751737</v>
      </c>
      <c r="M1376" s="28" t="s">
        <v>263</v>
      </c>
      <c r="N1376" s="28">
        <v>4952</v>
      </c>
      <c r="O1376" s="28" t="str">
        <f>IFERROR(VLOOKUP(N1376, 'SIC &amp; NAICS Codes'!A:B, 2, FALSE), "")</f>
        <v>Sewerage Systems</v>
      </c>
      <c r="S1376" s="28">
        <v>5.1530882499999997</v>
      </c>
      <c r="T1376" s="315">
        <f>_xlfn.MAXIFS('Raw Period DMR Data'!$O:$O,'Raw Period DMR Data'!$A:$A,'Raw Annual DMR Data'!B1376,'Raw Period DMR Data'!$C:$C,X1376)/S1376</f>
        <v>0</v>
      </c>
      <c r="U1376" s="28" t="str">
        <f>+IF(COUNTIFS('Raw Period DMR Data'!$A:$A,B1376, 'Raw Period DMR Data'!C:C,'Raw Annual DMR Data'!X1376, 'Raw Period DMR Data'!M:M, "&gt;0")&gt;0,_xlfn.MAXIFS('Raw Period DMR Data'!M:M,'Raw Period DMR Data'!$A:$A,'Raw Annual DMR Data'!B1376,'Raw Period DMR Data'!C:C,'Raw Annual DMR Data'!X1376), "N/A - Period DMR Data Not Available")</f>
        <v>N/A - Period DMR Data Not Available</v>
      </c>
      <c r="V1376" s="28" t="str" cm="1">
        <f t="array" ref="V1376">IFERROR(INDEX('Raw Period DMR Data'!N:N,MATCH(1,(B1376='Raw Period DMR Data'!$A:$A)*(U1376='Raw Period DMR Data'!M:M)*(X1376='Raw Period DMR Data'!C:C),0),1), "N/A")</f>
        <v>N/A</v>
      </c>
      <c r="W1376" s="28" t="s">
        <v>1463</v>
      </c>
      <c r="X1376" s="28" t="s">
        <v>2372</v>
      </c>
      <c r="Y1376" s="28" t="s">
        <v>785</v>
      </c>
      <c r="Z1376" s="28">
        <v>5130101000083</v>
      </c>
      <c r="AA1376" s="28"/>
      <c r="AB1376" s="28" t="s">
        <v>1465</v>
      </c>
      <c r="AC1376" s="28" t="s">
        <v>263</v>
      </c>
    </row>
    <row r="1377" spans="1:29" x14ac:dyDescent="0.25">
      <c r="A1377" s="61">
        <v>110006751737</v>
      </c>
      <c r="B1377" s="28">
        <v>2020</v>
      </c>
      <c r="C1377" s="68">
        <f t="shared" si="21"/>
        <v>43831</v>
      </c>
      <c r="D1377" s="28" t="s">
        <v>1432</v>
      </c>
      <c r="E1377" s="28" t="s">
        <v>2371</v>
      </c>
      <c r="F1377" s="28" t="s">
        <v>1433</v>
      </c>
      <c r="G1377" s="28" t="s">
        <v>324</v>
      </c>
      <c r="H1377" s="28">
        <v>40769</v>
      </c>
      <c r="I1377" s="28">
        <v>36.747222000000001</v>
      </c>
      <c r="J1377" s="28">
        <v>-84.171943999999996</v>
      </c>
      <c r="L1377" s="61">
        <v>110006751737</v>
      </c>
      <c r="M1377" s="28" t="s">
        <v>263</v>
      </c>
      <c r="N1377" s="28">
        <v>4952</v>
      </c>
      <c r="O1377" s="28" t="str">
        <f>IFERROR(VLOOKUP(N1377, 'SIC &amp; NAICS Codes'!A:B, 2, FALSE), "")</f>
        <v>Sewerage Systems</v>
      </c>
      <c r="S1377" s="28">
        <v>5.4673851874999997</v>
      </c>
      <c r="T1377" s="315">
        <f>_xlfn.MAXIFS('Raw Period DMR Data'!$O:$O,'Raw Period DMR Data'!$A:$A,'Raw Annual DMR Data'!B1377,'Raw Period DMR Data'!$C:$C,X1377)/S1377</f>
        <v>0</v>
      </c>
      <c r="U1377" s="28" t="str">
        <f>+IF(COUNTIFS('Raw Period DMR Data'!$A:$A,B1377, 'Raw Period DMR Data'!C:C,'Raw Annual DMR Data'!X1377, 'Raw Period DMR Data'!M:M, "&gt;0")&gt;0,_xlfn.MAXIFS('Raw Period DMR Data'!M:M,'Raw Period DMR Data'!$A:$A,'Raw Annual DMR Data'!B1377,'Raw Period DMR Data'!C:C,'Raw Annual DMR Data'!X1377), "N/A - Period DMR Data Not Available")</f>
        <v>N/A - Period DMR Data Not Available</v>
      </c>
      <c r="V1377" s="28" t="str" cm="1">
        <f t="array" ref="V1377">IFERROR(INDEX('Raw Period DMR Data'!N:N,MATCH(1,(B1377='Raw Period DMR Data'!$A:$A)*(U1377='Raw Period DMR Data'!M:M)*(X1377='Raw Period DMR Data'!C:C),0),1), "N/A")</f>
        <v>N/A</v>
      </c>
      <c r="W1377" s="28" t="s">
        <v>1463</v>
      </c>
      <c r="X1377" s="28" t="s">
        <v>2372</v>
      </c>
      <c r="Y1377" s="28" t="s">
        <v>785</v>
      </c>
      <c r="Z1377" s="28">
        <v>5130101000083</v>
      </c>
      <c r="AA1377" s="28"/>
      <c r="AB1377" s="28" t="s">
        <v>1465</v>
      </c>
      <c r="AC1377" s="28" t="s">
        <v>263</v>
      </c>
    </row>
    <row r="1378" spans="1:29" x14ac:dyDescent="0.25">
      <c r="A1378" s="61">
        <v>110045091379</v>
      </c>
      <c r="B1378" s="28">
        <v>2020</v>
      </c>
      <c r="C1378" s="68">
        <f t="shared" si="21"/>
        <v>43831</v>
      </c>
      <c r="D1378" s="28" t="s">
        <v>1434</v>
      </c>
      <c r="E1378" s="28" t="s">
        <v>2374</v>
      </c>
      <c r="F1378" s="28" t="s">
        <v>1435</v>
      </c>
      <c r="G1378" s="28" t="s">
        <v>324</v>
      </c>
      <c r="H1378" s="28">
        <v>41097</v>
      </c>
      <c r="I1378" s="28">
        <v>38.631208000000001</v>
      </c>
      <c r="J1378" s="28">
        <v>-84.618809999999996</v>
      </c>
      <c r="L1378" s="61">
        <v>110045091379</v>
      </c>
      <c r="M1378" s="28" t="s">
        <v>263</v>
      </c>
      <c r="N1378" s="28">
        <v>4952</v>
      </c>
      <c r="O1378" s="28" t="str">
        <f>IFERROR(VLOOKUP(N1378, 'SIC &amp; NAICS Codes'!A:B, 2, FALSE), "")</f>
        <v>Sewerage Systems</v>
      </c>
      <c r="S1378" s="28">
        <v>2.0722874999999998</v>
      </c>
      <c r="T1378" s="315">
        <f>_xlfn.MAXIFS('Raw Period DMR Data'!$O:$O,'Raw Period DMR Data'!$A:$A,'Raw Annual DMR Data'!B1378,'Raw Period DMR Data'!$C:$C,X1378)/S1378</f>
        <v>0</v>
      </c>
      <c r="U1378" s="28" t="str">
        <f>+IF(COUNTIFS('Raw Period DMR Data'!$A:$A,B1378, 'Raw Period DMR Data'!C:C,'Raw Annual DMR Data'!X1378, 'Raw Period DMR Data'!M:M, "&gt;0")&gt;0,_xlfn.MAXIFS('Raw Period DMR Data'!M:M,'Raw Period DMR Data'!$A:$A,'Raw Annual DMR Data'!B1378,'Raw Period DMR Data'!C:C,'Raw Annual DMR Data'!X1378), "N/A - Period DMR Data Not Available")</f>
        <v>N/A - Period DMR Data Not Available</v>
      </c>
      <c r="V1378" s="28" t="str" cm="1">
        <f t="array" ref="V1378">IFERROR(INDEX('Raw Period DMR Data'!N:N,MATCH(1,(B1378='Raw Period DMR Data'!$A:$A)*(U1378='Raw Period DMR Data'!M:M)*(X1378='Raw Period DMR Data'!C:C),0),1), "N/A")</f>
        <v>N/A</v>
      </c>
      <c r="W1378" s="28" t="s">
        <v>1463</v>
      </c>
      <c r="X1378" s="28" t="s">
        <v>2375</v>
      </c>
      <c r="Y1378" s="28" t="s">
        <v>2376</v>
      </c>
      <c r="Z1378" s="28">
        <v>5100205000416</v>
      </c>
      <c r="AA1378" s="28"/>
      <c r="AB1378" s="28" t="s">
        <v>1465</v>
      </c>
      <c r="AC1378" s="28" t="s">
        <v>263</v>
      </c>
    </row>
    <row r="1379" spans="1:29" x14ac:dyDescent="0.25">
      <c r="A1379" s="61">
        <v>110064596361</v>
      </c>
      <c r="B1379" s="28">
        <v>2018</v>
      </c>
      <c r="C1379" s="68">
        <f t="shared" si="21"/>
        <v>43101</v>
      </c>
      <c r="D1379" s="28" t="s">
        <v>1436</v>
      </c>
      <c r="E1379" s="28" t="s">
        <v>2377</v>
      </c>
      <c r="F1379" s="28" t="s">
        <v>1437</v>
      </c>
      <c r="G1379" s="28" t="s">
        <v>324</v>
      </c>
      <c r="H1379" s="28">
        <v>40392</v>
      </c>
      <c r="I1379" s="28">
        <v>37.915556000000002</v>
      </c>
      <c r="J1379" s="28">
        <v>-84.268332999999998</v>
      </c>
      <c r="L1379" s="61">
        <v>110064596361</v>
      </c>
      <c r="M1379" s="28" t="s">
        <v>263</v>
      </c>
      <c r="N1379" s="28">
        <v>4952</v>
      </c>
      <c r="O1379" s="28" t="str">
        <f>IFERROR(VLOOKUP(N1379, 'SIC &amp; NAICS Codes'!A:B, 2, FALSE), "")</f>
        <v>Sewerage Systems</v>
      </c>
      <c r="S1379" s="28">
        <v>4.4726871875000001</v>
      </c>
      <c r="T1379" s="315">
        <f>_xlfn.MAXIFS('Raw Period DMR Data'!$O:$O,'Raw Period DMR Data'!$A:$A,'Raw Annual DMR Data'!B1379,'Raw Period DMR Data'!$C:$C,X1379)/S1379</f>
        <v>0</v>
      </c>
      <c r="U1379" s="28" t="str">
        <f>+IF(COUNTIFS('Raw Period DMR Data'!$A:$A,B1379, 'Raw Period DMR Data'!C:C,'Raw Annual DMR Data'!X1379, 'Raw Period DMR Data'!M:M, "&gt;0")&gt;0,_xlfn.MAXIFS('Raw Period DMR Data'!M:M,'Raw Period DMR Data'!$A:$A,'Raw Annual DMR Data'!B1379,'Raw Period DMR Data'!C:C,'Raw Annual DMR Data'!X1379), "N/A - Period DMR Data Not Available")</f>
        <v>N/A - Period DMR Data Not Available</v>
      </c>
      <c r="V1379" s="28" t="str" cm="1">
        <f t="array" ref="V1379">IFERROR(INDEX('Raw Period DMR Data'!N:N,MATCH(1,(B1379='Raw Period DMR Data'!$A:$A)*(U1379='Raw Period DMR Data'!M:M)*(X1379='Raw Period DMR Data'!C:C),0),1), "N/A")</f>
        <v>N/A</v>
      </c>
      <c r="W1379" s="28" t="s">
        <v>1463</v>
      </c>
      <c r="X1379" s="28" t="s">
        <v>2378</v>
      </c>
      <c r="Y1379" s="28" t="s">
        <v>1592</v>
      </c>
      <c r="Z1379" s="302" t="s">
        <v>2379</v>
      </c>
      <c r="AA1379" s="28"/>
      <c r="AB1379" s="28" t="s">
        <v>1465</v>
      </c>
      <c r="AC1379" s="28" t="s">
        <v>263</v>
      </c>
    </row>
    <row r="1380" spans="1:29" x14ac:dyDescent="0.25">
      <c r="A1380" s="61">
        <v>110064596361</v>
      </c>
      <c r="B1380" s="28">
        <v>2019</v>
      </c>
      <c r="C1380" s="68">
        <f t="shared" si="21"/>
        <v>43466</v>
      </c>
      <c r="D1380" s="28" t="s">
        <v>1436</v>
      </c>
      <c r="E1380" s="28" t="s">
        <v>2377</v>
      </c>
      <c r="F1380" s="28" t="s">
        <v>1437</v>
      </c>
      <c r="G1380" s="28" t="s">
        <v>324</v>
      </c>
      <c r="H1380" s="28">
        <v>40392</v>
      </c>
      <c r="I1380" s="28">
        <v>37.915556000000002</v>
      </c>
      <c r="J1380" s="28">
        <v>-84.268332999999998</v>
      </c>
      <c r="L1380" s="61">
        <v>110064596361</v>
      </c>
      <c r="M1380" s="28" t="s">
        <v>263</v>
      </c>
      <c r="N1380" s="28">
        <v>4952</v>
      </c>
      <c r="O1380" s="28" t="str">
        <f>IFERROR(VLOOKUP(N1380, 'SIC &amp; NAICS Codes'!A:B, 2, FALSE), "")</f>
        <v>Sewerage Systems</v>
      </c>
      <c r="S1380" s="28">
        <v>6.9836088749999998</v>
      </c>
      <c r="T1380" s="315">
        <f>_xlfn.MAXIFS('Raw Period DMR Data'!$O:$O,'Raw Period DMR Data'!$A:$A,'Raw Annual DMR Data'!B1380,'Raw Period DMR Data'!$C:$C,X1380)/S1380</f>
        <v>0</v>
      </c>
      <c r="U1380" s="28" t="str">
        <f>+IF(COUNTIFS('Raw Period DMR Data'!$A:$A,B1380, 'Raw Period DMR Data'!C:C,'Raw Annual DMR Data'!X1380, 'Raw Period DMR Data'!M:M, "&gt;0")&gt;0,_xlfn.MAXIFS('Raw Period DMR Data'!M:M,'Raw Period DMR Data'!$A:$A,'Raw Annual DMR Data'!B1380,'Raw Period DMR Data'!C:C,'Raw Annual DMR Data'!X1380), "N/A - Period DMR Data Not Available")</f>
        <v>N/A - Period DMR Data Not Available</v>
      </c>
      <c r="V1380" s="28" t="str" cm="1">
        <f t="array" ref="V1380">IFERROR(INDEX('Raw Period DMR Data'!N:N,MATCH(1,(B1380='Raw Period DMR Data'!$A:$A)*(U1380='Raw Period DMR Data'!M:M)*(X1380='Raw Period DMR Data'!C:C),0),1), "N/A")</f>
        <v>N/A</v>
      </c>
      <c r="W1380" s="28" t="s">
        <v>1463</v>
      </c>
      <c r="X1380" s="28" t="s">
        <v>2378</v>
      </c>
      <c r="Y1380" s="28" t="s">
        <v>1592</v>
      </c>
      <c r="Z1380" s="28">
        <v>5100205000175</v>
      </c>
      <c r="AA1380" s="28"/>
      <c r="AB1380" s="28" t="s">
        <v>1465</v>
      </c>
      <c r="AC1380" s="28" t="s">
        <v>263</v>
      </c>
    </row>
    <row r="1381" spans="1:29" x14ac:dyDescent="0.25">
      <c r="A1381" s="61">
        <v>110064596361</v>
      </c>
      <c r="B1381" s="28">
        <v>2020</v>
      </c>
      <c r="C1381" s="68">
        <f t="shared" si="21"/>
        <v>43831</v>
      </c>
      <c r="D1381" s="28" t="s">
        <v>1436</v>
      </c>
      <c r="E1381" s="28" t="s">
        <v>2377</v>
      </c>
      <c r="F1381" s="28" t="s">
        <v>1437</v>
      </c>
      <c r="G1381" s="28" t="s">
        <v>324</v>
      </c>
      <c r="H1381" s="28">
        <v>40392</v>
      </c>
      <c r="I1381" s="28">
        <v>37.915556000000002</v>
      </c>
      <c r="J1381" s="28">
        <v>-84.268332999999998</v>
      </c>
      <c r="L1381" s="61">
        <v>110064596361</v>
      </c>
      <c r="M1381" s="28" t="s">
        <v>263</v>
      </c>
      <c r="N1381" s="28">
        <v>4952</v>
      </c>
      <c r="O1381" s="28" t="str">
        <f>IFERROR(VLOOKUP(N1381, 'SIC &amp; NAICS Codes'!A:B, 2, FALSE), "")</f>
        <v>Sewerage Systems</v>
      </c>
      <c r="S1381" s="28">
        <v>4.6971850000000002</v>
      </c>
      <c r="T1381" s="315">
        <f>_xlfn.MAXIFS('Raw Period DMR Data'!$O:$O,'Raw Period DMR Data'!$A:$A,'Raw Annual DMR Data'!B1381,'Raw Period DMR Data'!$C:$C,X1381)/S1381</f>
        <v>0</v>
      </c>
      <c r="U1381" s="28" t="str">
        <f>+IF(COUNTIFS('Raw Period DMR Data'!$A:$A,B1381, 'Raw Period DMR Data'!C:C,'Raw Annual DMR Data'!X1381, 'Raw Period DMR Data'!M:M, "&gt;0")&gt;0,_xlfn.MAXIFS('Raw Period DMR Data'!M:M,'Raw Period DMR Data'!$A:$A,'Raw Annual DMR Data'!B1381,'Raw Period DMR Data'!C:C,'Raw Annual DMR Data'!X1381), "N/A - Period DMR Data Not Available")</f>
        <v>N/A - Period DMR Data Not Available</v>
      </c>
      <c r="V1381" s="28" t="str" cm="1">
        <f t="array" ref="V1381">IFERROR(INDEX('Raw Period DMR Data'!N:N,MATCH(1,(B1381='Raw Period DMR Data'!$A:$A)*(U1381='Raw Period DMR Data'!M:M)*(X1381='Raw Period DMR Data'!C:C),0),1), "N/A")</f>
        <v>N/A</v>
      </c>
      <c r="W1381" s="28" t="s">
        <v>1463</v>
      </c>
      <c r="X1381" s="28" t="s">
        <v>2378</v>
      </c>
      <c r="Y1381" s="28" t="s">
        <v>1592</v>
      </c>
      <c r="Z1381" s="28">
        <v>5100205000175</v>
      </c>
      <c r="AA1381" s="28"/>
      <c r="AB1381" s="28" t="s">
        <v>1465</v>
      </c>
      <c r="AC1381" s="28" t="s">
        <v>263</v>
      </c>
    </row>
    <row r="1382" spans="1:29" x14ac:dyDescent="0.25">
      <c r="A1382" s="61">
        <v>110024409433</v>
      </c>
      <c r="B1382" s="28">
        <v>2015</v>
      </c>
      <c r="C1382" s="68">
        <f t="shared" si="21"/>
        <v>42005</v>
      </c>
      <c r="D1382" s="28" t="s">
        <v>1438</v>
      </c>
      <c r="E1382" s="28" t="s">
        <v>2380</v>
      </c>
      <c r="F1382" s="28" t="s">
        <v>1439</v>
      </c>
      <c r="G1382" s="28" t="s">
        <v>374</v>
      </c>
      <c r="H1382" s="28">
        <v>86504</v>
      </c>
      <c r="I1382" s="28">
        <v>35.639485000000001</v>
      </c>
      <c r="J1382" s="28">
        <v>-109.080939</v>
      </c>
      <c r="L1382" s="61">
        <v>110024409433</v>
      </c>
      <c r="M1382" s="28" t="s">
        <v>263</v>
      </c>
      <c r="N1382" s="28">
        <v>4952</v>
      </c>
      <c r="O1382" s="28" t="str">
        <f>IFERROR(VLOOKUP(N1382, 'SIC &amp; NAICS Codes'!A:B, 2, FALSE), "")</f>
        <v>Sewerage Systems</v>
      </c>
      <c r="S1382" s="28">
        <v>1.114304</v>
      </c>
      <c r="T1382" s="315">
        <f>_xlfn.MAXIFS('Raw Period DMR Data'!$O:$O,'Raw Period DMR Data'!$A:$A,'Raw Annual DMR Data'!B1382,'Raw Period DMR Data'!$C:$C,X1382)/S1382</f>
        <v>0</v>
      </c>
      <c r="U1382" s="28" t="str">
        <f>+IF(COUNTIFS('Raw Period DMR Data'!$A:$A,B1382, 'Raw Period DMR Data'!C:C,'Raw Annual DMR Data'!X1382, 'Raw Period DMR Data'!M:M, "&gt;0")&gt;0,_xlfn.MAXIFS('Raw Period DMR Data'!M:M,'Raw Period DMR Data'!$A:$A,'Raw Annual DMR Data'!B1382,'Raw Period DMR Data'!C:C,'Raw Annual DMR Data'!X1382), "N/A - Period DMR Data Not Available")</f>
        <v>N/A - Period DMR Data Not Available</v>
      </c>
      <c r="V1382" s="28" t="str" cm="1">
        <f t="array" ref="V1382">IFERROR(INDEX('Raw Period DMR Data'!N:N,MATCH(1,(B1382='Raw Period DMR Data'!$A:$A)*(U1382='Raw Period DMR Data'!M:M)*(X1382='Raw Period DMR Data'!C:C),0),1), "N/A")</f>
        <v>N/A</v>
      </c>
      <c r="W1382" s="28" t="s">
        <v>1463</v>
      </c>
      <c r="X1382" s="28" t="s">
        <v>2381</v>
      </c>
      <c r="Y1382" s="28" t="s">
        <v>2037</v>
      </c>
      <c r="Z1382" s="28">
        <v>14080204013964</v>
      </c>
      <c r="AA1382" s="28"/>
      <c r="AB1382" s="28" t="s">
        <v>1465</v>
      </c>
      <c r="AC1382" s="28" t="s">
        <v>263</v>
      </c>
    </row>
    <row r="1383" spans="1:29" x14ac:dyDescent="0.25">
      <c r="A1383" s="61">
        <v>110024409433</v>
      </c>
      <c r="B1383" s="28">
        <v>2020</v>
      </c>
      <c r="C1383" s="68">
        <f t="shared" si="21"/>
        <v>43831</v>
      </c>
      <c r="D1383" s="28" t="s">
        <v>1438</v>
      </c>
      <c r="E1383" s="28" t="s">
        <v>2380</v>
      </c>
      <c r="F1383" s="28" t="s">
        <v>1439</v>
      </c>
      <c r="G1383" s="28" t="s">
        <v>374</v>
      </c>
      <c r="H1383" s="28">
        <v>86504</v>
      </c>
      <c r="I1383" s="28">
        <v>35.639485000000001</v>
      </c>
      <c r="J1383" s="28">
        <v>-109.080939</v>
      </c>
      <c r="L1383" s="61">
        <v>110024409433</v>
      </c>
      <c r="M1383" s="28" t="s">
        <v>263</v>
      </c>
      <c r="N1383" s="28">
        <v>4952</v>
      </c>
      <c r="O1383" s="28" t="str">
        <f>IFERROR(VLOOKUP(N1383, 'SIC &amp; NAICS Codes'!A:B, 2, FALSE), "")</f>
        <v>Sewerage Systems</v>
      </c>
      <c r="S1383" s="28">
        <v>0.899316</v>
      </c>
      <c r="T1383" s="315">
        <f>_xlfn.MAXIFS('Raw Period DMR Data'!$O:$O,'Raw Period DMR Data'!$A:$A,'Raw Annual DMR Data'!B1383,'Raw Period DMR Data'!$C:$C,X1383)/S1383</f>
        <v>0</v>
      </c>
      <c r="U1383" s="28" t="str">
        <f>+IF(COUNTIFS('Raw Period DMR Data'!$A:$A,B1383, 'Raw Period DMR Data'!C:C,'Raw Annual DMR Data'!X1383, 'Raw Period DMR Data'!M:M, "&gt;0")&gt;0,_xlfn.MAXIFS('Raw Period DMR Data'!M:M,'Raw Period DMR Data'!$A:$A,'Raw Annual DMR Data'!B1383,'Raw Period DMR Data'!C:C,'Raw Annual DMR Data'!X1383), "N/A - Period DMR Data Not Available")</f>
        <v>N/A - Period DMR Data Not Available</v>
      </c>
      <c r="V1383" s="28" t="str" cm="1">
        <f t="array" ref="V1383">IFERROR(INDEX('Raw Period DMR Data'!N:N,MATCH(1,(B1383='Raw Period DMR Data'!$A:$A)*(U1383='Raw Period DMR Data'!M:M)*(X1383='Raw Period DMR Data'!C:C),0),1), "N/A")</f>
        <v>N/A</v>
      </c>
      <c r="W1383" s="28" t="s">
        <v>1463</v>
      </c>
      <c r="X1383" s="28" t="s">
        <v>2381</v>
      </c>
      <c r="Y1383" s="28" t="s">
        <v>2037</v>
      </c>
      <c r="Z1383" s="28">
        <v>14080204013964</v>
      </c>
      <c r="AA1383" s="28"/>
      <c r="AB1383" s="28" t="s">
        <v>1465</v>
      </c>
      <c r="AC1383" s="28" t="s">
        <v>263</v>
      </c>
    </row>
    <row r="1384" spans="1:29" x14ac:dyDescent="0.25">
      <c r="A1384" s="61">
        <v>110039782349</v>
      </c>
      <c r="B1384" s="28">
        <v>2018</v>
      </c>
      <c r="C1384" s="68">
        <f t="shared" si="21"/>
        <v>43101</v>
      </c>
      <c r="D1384" s="28" t="s">
        <v>1440</v>
      </c>
      <c r="E1384" s="28" t="s">
        <v>2382</v>
      </c>
      <c r="F1384" s="28" t="s">
        <v>1441</v>
      </c>
      <c r="G1384" s="28" t="s">
        <v>366</v>
      </c>
      <c r="H1384" s="28">
        <v>95776</v>
      </c>
      <c r="I1384" s="28">
        <v>38.662149999999997</v>
      </c>
      <c r="J1384" s="28">
        <v>-121.71407000000001</v>
      </c>
      <c r="L1384" s="61">
        <v>110039782349</v>
      </c>
      <c r="M1384" s="28" t="s">
        <v>263</v>
      </c>
      <c r="N1384" s="28">
        <v>4952</v>
      </c>
      <c r="O1384" s="28" t="str">
        <f>IFERROR(VLOOKUP(N1384, 'SIC &amp; NAICS Codes'!A:B, 2, FALSE), "")</f>
        <v>Sewerage Systems</v>
      </c>
      <c r="S1384" s="28">
        <v>8.4731009999999995E-2</v>
      </c>
      <c r="T1384" s="315">
        <f>_xlfn.MAXIFS('Raw Period DMR Data'!$O:$O,'Raw Period DMR Data'!$A:$A,'Raw Annual DMR Data'!B1384,'Raw Period DMR Data'!$C:$C,X1384)/S1384</f>
        <v>0</v>
      </c>
      <c r="U1384" s="28" t="str">
        <f>+IF(COUNTIFS('Raw Period DMR Data'!$A:$A,B1384, 'Raw Period DMR Data'!C:C,'Raw Annual DMR Data'!X1384, 'Raw Period DMR Data'!M:M, "&gt;0")&gt;0,_xlfn.MAXIFS('Raw Period DMR Data'!M:M,'Raw Period DMR Data'!$A:$A,'Raw Annual DMR Data'!B1384,'Raw Period DMR Data'!C:C,'Raw Annual DMR Data'!X1384), "N/A - Period DMR Data Not Available")</f>
        <v>N/A - Period DMR Data Not Available</v>
      </c>
      <c r="V1384" s="28" t="str" cm="1">
        <f t="array" ref="V1384">IFERROR(INDEX('Raw Period DMR Data'!N:N,MATCH(1,(B1384='Raw Period DMR Data'!$A:$A)*(U1384='Raw Period DMR Data'!M:M)*(X1384='Raw Period DMR Data'!C:C),0),1), "N/A")</f>
        <v>N/A</v>
      </c>
      <c r="W1384" s="28" t="s">
        <v>1463</v>
      </c>
      <c r="X1384" s="28" t="s">
        <v>2383</v>
      </c>
      <c r="Y1384" s="28" t="s">
        <v>2384</v>
      </c>
      <c r="Z1384" s="28">
        <v>18020163012338</v>
      </c>
      <c r="AA1384" s="28"/>
      <c r="AB1384" s="28" t="s">
        <v>1465</v>
      </c>
      <c r="AC1384" s="28" t="s">
        <v>263</v>
      </c>
    </row>
    <row r="1385" spans="1:29" x14ac:dyDescent="0.25">
      <c r="A1385" s="61">
        <v>110040330718</v>
      </c>
      <c r="B1385" s="28">
        <v>2016</v>
      </c>
      <c r="C1385" s="68">
        <f t="shared" si="21"/>
        <v>42370</v>
      </c>
      <c r="D1385" s="28" t="s">
        <v>203</v>
      </c>
      <c r="E1385" s="28" t="s">
        <v>669</v>
      </c>
      <c r="F1385" s="28" t="s">
        <v>348</v>
      </c>
      <c r="G1385" s="28" t="s">
        <v>349</v>
      </c>
      <c r="H1385" s="28">
        <v>63461</v>
      </c>
      <c r="I1385" s="28">
        <v>39.828163000000004</v>
      </c>
      <c r="J1385" s="28">
        <v>-91.436942000000002</v>
      </c>
      <c r="L1385" s="61">
        <v>110040330718</v>
      </c>
      <c r="M1385" s="28" t="s">
        <v>265</v>
      </c>
      <c r="N1385" s="28">
        <v>9512</v>
      </c>
      <c r="O1385" s="28" t="str">
        <f>IFERROR(VLOOKUP(N1385, 'SIC &amp; NAICS Codes'!A:B, 2, FALSE), "")</f>
        <v>Land, Mineral, Wildlife, and Forest Conservation</v>
      </c>
      <c r="S1385" s="28">
        <v>3.6469231999999997E-2</v>
      </c>
      <c r="T1385" s="315">
        <f>_xlfn.MAXIFS('Raw Period DMR Data'!$O:$O,'Raw Period DMR Data'!$A:$A,'Raw Annual DMR Data'!B1385,'Raw Period DMR Data'!$C:$C,X1385)/S1385</f>
        <v>0</v>
      </c>
      <c r="U1385" s="28" t="str">
        <f>+IF(COUNTIFS('Raw Period DMR Data'!$A:$A,B1385, 'Raw Period DMR Data'!C:C,'Raw Annual DMR Data'!X1385, 'Raw Period DMR Data'!M:M, "&gt;0")&gt;0,_xlfn.MAXIFS('Raw Period DMR Data'!M:M,'Raw Period DMR Data'!$A:$A,'Raw Annual DMR Data'!B1385,'Raw Period DMR Data'!C:C,'Raw Annual DMR Data'!X1385), "N/A - Period DMR Data Not Available")</f>
        <v>N/A - Period DMR Data Not Available</v>
      </c>
      <c r="V1385" s="28" t="str" cm="1">
        <f t="array" ref="V1385">IFERROR(INDEX('Raw Period DMR Data'!N:N,MATCH(1,(B1385='Raw Period DMR Data'!$A:$A)*(U1385='Raw Period DMR Data'!M:M)*(X1385='Raw Period DMR Data'!C:C),0),1), "N/A")</f>
        <v>N/A</v>
      </c>
      <c r="W1385" s="28" t="s">
        <v>1463</v>
      </c>
      <c r="X1385" s="28" t="s">
        <v>959</v>
      </c>
      <c r="Y1385" s="28" t="s">
        <v>960</v>
      </c>
      <c r="Z1385" s="61">
        <v>7110004001360</v>
      </c>
      <c r="AA1385" s="28"/>
    </row>
    <row r="1386" spans="1:29" x14ac:dyDescent="0.25">
      <c r="A1386" s="61">
        <v>110040330718</v>
      </c>
      <c r="B1386" s="28">
        <v>2017</v>
      </c>
      <c r="C1386" s="68">
        <f t="shared" si="21"/>
        <v>42736</v>
      </c>
      <c r="D1386" s="28" t="s">
        <v>203</v>
      </c>
      <c r="E1386" s="28" t="s">
        <v>669</v>
      </c>
      <c r="F1386" s="28" t="s">
        <v>348</v>
      </c>
      <c r="G1386" s="28" t="s">
        <v>349</v>
      </c>
      <c r="H1386" s="28">
        <v>63461</v>
      </c>
      <c r="I1386" s="28">
        <v>39.828163000000004</v>
      </c>
      <c r="J1386" s="28">
        <v>-91.436942000000002</v>
      </c>
      <c r="L1386" s="61">
        <v>110040330718</v>
      </c>
      <c r="M1386" s="28" t="s">
        <v>265</v>
      </c>
      <c r="N1386" s="28">
        <v>9512</v>
      </c>
      <c r="O1386" s="28" t="str">
        <f>IFERROR(VLOOKUP(N1386, 'SIC &amp; NAICS Codes'!A:B, 2, FALSE), "")</f>
        <v>Land, Mineral, Wildlife, and Forest Conservation</v>
      </c>
      <c r="S1386" s="28">
        <v>0.12288305300000001</v>
      </c>
      <c r="T1386" s="315">
        <f>_xlfn.MAXIFS('Raw Period DMR Data'!$O:$O,'Raw Period DMR Data'!$A:$A,'Raw Annual DMR Data'!B1386,'Raw Period DMR Data'!$C:$C,X1386)/S1386</f>
        <v>0</v>
      </c>
      <c r="U1386" s="28" t="str">
        <f>+IF(COUNTIFS('Raw Period DMR Data'!$A:$A,B1386, 'Raw Period DMR Data'!C:C,'Raw Annual DMR Data'!X1386, 'Raw Period DMR Data'!M:M, "&gt;0")&gt;0,_xlfn.MAXIFS('Raw Period DMR Data'!M:M,'Raw Period DMR Data'!$A:$A,'Raw Annual DMR Data'!B1386,'Raw Period DMR Data'!C:C,'Raw Annual DMR Data'!X1386), "N/A - Period DMR Data Not Available")</f>
        <v>N/A - Period DMR Data Not Available</v>
      </c>
      <c r="V1386" s="28" t="str" cm="1">
        <f t="array" ref="V1386">IFERROR(INDEX('Raw Period DMR Data'!N:N,MATCH(1,(B1386='Raw Period DMR Data'!$A:$A)*(U1386='Raw Period DMR Data'!M:M)*(X1386='Raw Period DMR Data'!C:C),0),1), "N/A")</f>
        <v>N/A</v>
      </c>
      <c r="W1386" s="28" t="s">
        <v>1463</v>
      </c>
      <c r="X1386" s="28" t="s">
        <v>959</v>
      </c>
      <c r="Y1386" s="28" t="s">
        <v>960</v>
      </c>
      <c r="Z1386" s="61">
        <v>7110004001360</v>
      </c>
      <c r="AA1386" s="28"/>
    </row>
    <row r="1387" spans="1:29" x14ac:dyDescent="0.25">
      <c r="A1387" s="61">
        <v>110040330718</v>
      </c>
      <c r="B1387" s="28">
        <v>2018</v>
      </c>
      <c r="C1387" s="68">
        <f t="shared" si="21"/>
        <v>43101</v>
      </c>
      <c r="D1387" s="28" t="s">
        <v>203</v>
      </c>
      <c r="E1387" s="28" t="s">
        <v>669</v>
      </c>
      <c r="F1387" s="28" t="s">
        <v>348</v>
      </c>
      <c r="G1387" s="28" t="s">
        <v>349</v>
      </c>
      <c r="H1387" s="28">
        <v>63461</v>
      </c>
      <c r="I1387" s="28">
        <v>39.828163000000004</v>
      </c>
      <c r="J1387" s="28">
        <v>-91.436942000000002</v>
      </c>
      <c r="L1387" s="61">
        <v>110040330718</v>
      </c>
      <c r="M1387" s="28" t="s">
        <v>265</v>
      </c>
      <c r="N1387" s="28">
        <v>9512</v>
      </c>
      <c r="O1387" s="28" t="str">
        <f>IFERROR(VLOOKUP(N1387, 'SIC &amp; NAICS Codes'!A:B, 2, FALSE), "")</f>
        <v>Land, Mineral, Wildlife, and Forest Conservation</v>
      </c>
      <c r="S1387" s="28">
        <v>0.66495900435999999</v>
      </c>
      <c r="T1387" s="315">
        <f>_xlfn.MAXIFS('Raw Period DMR Data'!$O:$O,'Raw Period DMR Data'!$A:$A,'Raw Annual DMR Data'!B1387,'Raw Period DMR Data'!$C:$C,X1387)/S1387</f>
        <v>0</v>
      </c>
      <c r="U1387" s="28" t="str">
        <f>+IF(COUNTIFS('Raw Period DMR Data'!$A:$A,B1387, 'Raw Period DMR Data'!C:C,'Raw Annual DMR Data'!X1387, 'Raw Period DMR Data'!M:M, "&gt;0")&gt;0,_xlfn.MAXIFS('Raw Period DMR Data'!M:M,'Raw Period DMR Data'!$A:$A,'Raw Annual DMR Data'!B1387,'Raw Period DMR Data'!C:C,'Raw Annual DMR Data'!X1387), "N/A - Period DMR Data Not Available")</f>
        <v>N/A - Period DMR Data Not Available</v>
      </c>
      <c r="V1387" s="28" t="str" cm="1">
        <f t="array" ref="V1387">IFERROR(INDEX('Raw Period DMR Data'!N:N,MATCH(1,(B1387='Raw Period DMR Data'!$A:$A)*(U1387='Raw Period DMR Data'!M:M)*(X1387='Raw Period DMR Data'!C:C),0),1), "N/A")</f>
        <v>N/A</v>
      </c>
      <c r="W1387" s="28" t="s">
        <v>1463</v>
      </c>
      <c r="X1387" s="28" t="s">
        <v>959</v>
      </c>
      <c r="Y1387" s="28" t="s">
        <v>960</v>
      </c>
      <c r="Z1387" s="61">
        <v>7110004001360</v>
      </c>
      <c r="AA1387" s="60" t="s">
        <v>1694</v>
      </c>
    </row>
    <row r="1388" spans="1:29" x14ac:dyDescent="0.25">
      <c r="A1388" s="61">
        <v>110040330718</v>
      </c>
      <c r="B1388" s="28">
        <v>2019</v>
      </c>
      <c r="C1388" s="68">
        <f t="shared" si="21"/>
        <v>43466</v>
      </c>
      <c r="D1388" s="28" t="s">
        <v>203</v>
      </c>
      <c r="E1388" s="28" t="s">
        <v>669</v>
      </c>
      <c r="F1388" s="28" t="s">
        <v>348</v>
      </c>
      <c r="G1388" s="28" t="s">
        <v>349</v>
      </c>
      <c r="H1388" s="28">
        <v>63461</v>
      </c>
      <c r="I1388" s="28">
        <v>39.828163000000004</v>
      </c>
      <c r="J1388" s="28">
        <v>-91.436942000000002</v>
      </c>
      <c r="L1388" s="61">
        <v>110040330718</v>
      </c>
      <c r="M1388" s="28" t="s">
        <v>265</v>
      </c>
      <c r="N1388" s="28">
        <v>9512</v>
      </c>
      <c r="O1388" s="28" t="str">
        <f>IFERROR(VLOOKUP(N1388, 'SIC &amp; NAICS Codes'!A:B, 2, FALSE), "")</f>
        <v>Land, Mineral, Wildlife, and Forest Conservation</v>
      </c>
      <c r="S1388" s="28">
        <v>0.71324161500000005</v>
      </c>
      <c r="T1388" s="315">
        <f>_xlfn.MAXIFS('Raw Period DMR Data'!$O:$O,'Raw Period DMR Data'!$A:$A,'Raw Annual DMR Data'!B1388,'Raw Period DMR Data'!$C:$C,X1388)/S1388</f>
        <v>0</v>
      </c>
      <c r="U1388" s="28" t="str">
        <f>+IF(COUNTIFS('Raw Period DMR Data'!$A:$A,B1388, 'Raw Period DMR Data'!C:C,'Raw Annual DMR Data'!X1388, 'Raw Period DMR Data'!M:M, "&gt;0")&gt;0,_xlfn.MAXIFS('Raw Period DMR Data'!M:M,'Raw Period DMR Data'!$A:$A,'Raw Annual DMR Data'!B1388,'Raw Period DMR Data'!C:C,'Raw Annual DMR Data'!X1388), "N/A - Period DMR Data Not Available")</f>
        <v>N/A - Period DMR Data Not Available</v>
      </c>
      <c r="V1388" s="28" t="str" cm="1">
        <f t="array" ref="V1388">IFERROR(INDEX('Raw Period DMR Data'!N:N,MATCH(1,(B1388='Raw Period DMR Data'!$A:$A)*(U1388='Raw Period DMR Data'!M:M)*(X1388='Raw Period DMR Data'!C:C),0),1), "N/A")</f>
        <v>N/A</v>
      </c>
      <c r="W1388" s="28" t="s">
        <v>1463</v>
      </c>
      <c r="X1388" s="28" t="s">
        <v>959</v>
      </c>
      <c r="Y1388" s="28" t="s">
        <v>960</v>
      </c>
      <c r="Z1388" s="61">
        <v>7110004001360</v>
      </c>
    </row>
    <row r="1389" spans="1:29" x14ac:dyDescent="0.25">
      <c r="A1389" s="61">
        <v>110040330718</v>
      </c>
      <c r="B1389" s="28">
        <v>2020</v>
      </c>
      <c r="C1389" s="68">
        <f t="shared" si="21"/>
        <v>43831</v>
      </c>
      <c r="D1389" s="28" t="s">
        <v>203</v>
      </c>
      <c r="E1389" s="28" t="s">
        <v>669</v>
      </c>
      <c r="F1389" s="28" t="s">
        <v>348</v>
      </c>
      <c r="G1389" s="28" t="s">
        <v>349</v>
      </c>
      <c r="H1389" s="28">
        <v>63461</v>
      </c>
      <c r="I1389" s="28">
        <v>39.828163000000004</v>
      </c>
      <c r="J1389" s="28">
        <v>-91.436942000000002</v>
      </c>
      <c r="L1389" s="61">
        <v>110040330718</v>
      </c>
      <c r="M1389" s="28" t="s">
        <v>265</v>
      </c>
      <c r="N1389" s="28">
        <v>9512</v>
      </c>
      <c r="O1389" s="28" t="str">
        <f>IFERROR(VLOOKUP(N1389, 'SIC &amp; NAICS Codes'!A:B, 2, FALSE), "")</f>
        <v>Land, Mineral, Wildlife, and Forest Conservation</v>
      </c>
      <c r="S1389" s="28">
        <v>0.73822110100000005</v>
      </c>
      <c r="T1389" s="315">
        <f>_xlfn.MAXIFS('Raw Period DMR Data'!$O:$O,'Raw Period DMR Data'!$A:$A,'Raw Annual DMR Data'!B1389,'Raw Period DMR Data'!$C:$C,X1389)/S1389</f>
        <v>0</v>
      </c>
      <c r="U1389" s="28" t="str">
        <f>+IF(COUNTIFS('Raw Period DMR Data'!$A:$A,B1389, 'Raw Period DMR Data'!C:C,'Raw Annual DMR Data'!X1389, 'Raw Period DMR Data'!M:M, "&gt;0")&gt;0,_xlfn.MAXIFS('Raw Period DMR Data'!M:M,'Raw Period DMR Data'!$A:$A,'Raw Annual DMR Data'!B1389,'Raw Period DMR Data'!C:C,'Raw Annual DMR Data'!X1389), "N/A - Period DMR Data Not Available")</f>
        <v>N/A - Period DMR Data Not Available</v>
      </c>
      <c r="V1389" s="28" t="str" cm="1">
        <f t="array" ref="V1389">IFERROR(INDEX('Raw Period DMR Data'!N:N,MATCH(1,(B1389='Raw Period DMR Data'!$A:$A)*(U1389='Raw Period DMR Data'!M:M)*(X1389='Raw Period DMR Data'!C:C),0),1), "N/A")</f>
        <v>N/A</v>
      </c>
      <c r="W1389" s="28" t="s">
        <v>1463</v>
      </c>
      <c r="X1389" s="28" t="s">
        <v>959</v>
      </c>
      <c r="Y1389" s="28" t="s">
        <v>960</v>
      </c>
      <c r="Z1389" s="61">
        <v>7110004001360</v>
      </c>
    </row>
    <row r="1390" spans="1:29" x14ac:dyDescent="0.25">
      <c r="A1390" s="61">
        <v>110040330718</v>
      </c>
      <c r="B1390" s="28">
        <v>2015</v>
      </c>
      <c r="C1390" s="68">
        <f t="shared" si="21"/>
        <v>42005</v>
      </c>
      <c r="D1390" s="28" t="s">
        <v>203</v>
      </c>
      <c r="E1390" s="28" t="s">
        <v>669</v>
      </c>
      <c r="F1390" s="28" t="s">
        <v>348</v>
      </c>
      <c r="G1390" s="28" t="s">
        <v>349</v>
      </c>
      <c r="H1390" s="28">
        <v>63461</v>
      </c>
      <c r="I1390" s="28">
        <v>39.828163000000004</v>
      </c>
      <c r="J1390" s="28">
        <v>-91.436942000000002</v>
      </c>
      <c r="L1390" s="61">
        <v>110040330718</v>
      </c>
      <c r="M1390" s="28" t="s">
        <v>265</v>
      </c>
      <c r="N1390" s="28">
        <v>9512</v>
      </c>
      <c r="O1390" s="28" t="str">
        <f>IFERROR(VLOOKUP(N1390, 'SIC &amp; NAICS Codes'!A:B, 2, FALSE), "")</f>
        <v>Land, Mineral, Wildlife, and Forest Conservation</v>
      </c>
      <c r="S1390" s="28">
        <v>6.2304884999999997E-2</v>
      </c>
      <c r="T1390" s="315">
        <f>_xlfn.MAXIFS('Raw Period DMR Data'!$O:$O,'Raw Period DMR Data'!$A:$A,'Raw Annual DMR Data'!B1390,'Raw Period DMR Data'!$C:$C,X1390)/S1390</f>
        <v>0</v>
      </c>
      <c r="U1390" s="28" t="str">
        <f>+IF(COUNTIFS('Raw Period DMR Data'!$A:$A,B1390, 'Raw Period DMR Data'!C:C,'Raw Annual DMR Data'!X1390, 'Raw Period DMR Data'!M:M, "&gt;0")&gt;0,_xlfn.MAXIFS('Raw Period DMR Data'!M:M,'Raw Period DMR Data'!$A:$A,'Raw Annual DMR Data'!B1390,'Raw Period DMR Data'!C:C,'Raw Annual DMR Data'!X1390), "N/A - Period DMR Data Not Available")</f>
        <v>N/A - Period DMR Data Not Available</v>
      </c>
      <c r="V1390" s="28" t="str" cm="1">
        <f t="array" ref="V1390">IFERROR(INDEX('Raw Period DMR Data'!N:N,MATCH(1,(B1390='Raw Period DMR Data'!$A:$A)*(U1390='Raw Period DMR Data'!M:M)*(X1390='Raw Period DMR Data'!C:C),0),1), "N/A")</f>
        <v>N/A</v>
      </c>
      <c r="W1390" s="28" t="s">
        <v>1463</v>
      </c>
      <c r="X1390" s="28" t="s">
        <v>959</v>
      </c>
      <c r="Y1390" s="28" t="s">
        <v>960</v>
      </c>
      <c r="Z1390" s="28">
        <v>7110004001360</v>
      </c>
      <c r="AA1390" s="28"/>
      <c r="AB1390" s="28" t="s">
        <v>1465</v>
      </c>
      <c r="AC1390" s="28" t="s">
        <v>1466</v>
      </c>
    </row>
    <row r="1391" spans="1:29" x14ac:dyDescent="0.25">
      <c r="A1391" s="61">
        <v>110040330718</v>
      </c>
      <c r="B1391" s="28">
        <v>2016</v>
      </c>
      <c r="C1391" s="68">
        <f t="shared" si="21"/>
        <v>42370</v>
      </c>
      <c r="D1391" s="28" t="s">
        <v>203</v>
      </c>
      <c r="E1391" s="28" t="s">
        <v>669</v>
      </c>
      <c r="F1391" s="28" t="s">
        <v>348</v>
      </c>
      <c r="G1391" s="28" t="s">
        <v>349</v>
      </c>
      <c r="H1391" s="28">
        <v>63461</v>
      </c>
      <c r="I1391" s="28">
        <v>39.828163000000004</v>
      </c>
      <c r="J1391" s="28">
        <v>-91.436942000000002</v>
      </c>
      <c r="L1391" s="61">
        <v>110040330718</v>
      </c>
      <c r="M1391" s="28" t="s">
        <v>265</v>
      </c>
      <c r="N1391" s="28">
        <v>9512</v>
      </c>
      <c r="O1391" s="28" t="str">
        <f>IFERROR(VLOOKUP(N1391, 'SIC &amp; NAICS Codes'!A:B, 2, FALSE), "")</f>
        <v>Land, Mineral, Wildlife, and Forest Conservation</v>
      </c>
      <c r="S1391" s="28">
        <v>5.6983932000000001E-2</v>
      </c>
      <c r="T1391" s="315">
        <f>_xlfn.MAXIFS('Raw Period DMR Data'!$O:$O,'Raw Period DMR Data'!$A:$A,'Raw Annual DMR Data'!B1391,'Raw Period DMR Data'!$C:$C,X1391)/S1391</f>
        <v>0</v>
      </c>
      <c r="U1391" s="28" t="str">
        <f>+IF(COUNTIFS('Raw Period DMR Data'!$A:$A,B1391, 'Raw Period DMR Data'!C:C,'Raw Annual DMR Data'!X1391, 'Raw Period DMR Data'!M:M, "&gt;0")&gt;0,_xlfn.MAXIFS('Raw Period DMR Data'!M:M,'Raw Period DMR Data'!$A:$A,'Raw Annual DMR Data'!B1391,'Raw Period DMR Data'!C:C,'Raw Annual DMR Data'!X1391), "N/A - Period DMR Data Not Available")</f>
        <v>N/A - Period DMR Data Not Available</v>
      </c>
      <c r="V1391" s="28" t="str" cm="1">
        <f t="array" ref="V1391">IFERROR(INDEX('Raw Period DMR Data'!N:N,MATCH(1,(B1391='Raw Period DMR Data'!$A:$A)*(U1391='Raw Period DMR Data'!M:M)*(X1391='Raw Period DMR Data'!C:C),0),1), "N/A")</f>
        <v>N/A</v>
      </c>
      <c r="W1391" s="28" t="s">
        <v>1463</v>
      </c>
      <c r="X1391" s="28" t="s">
        <v>959</v>
      </c>
      <c r="Y1391" s="28" t="s">
        <v>960</v>
      </c>
      <c r="Z1391" s="28">
        <v>7110004001360</v>
      </c>
      <c r="AA1391" s="28"/>
      <c r="AB1391" s="28" t="s">
        <v>1465</v>
      </c>
      <c r="AC1391" s="28" t="s">
        <v>1466</v>
      </c>
    </row>
    <row r="1392" spans="1:29" x14ac:dyDescent="0.25">
      <c r="A1392" s="61">
        <v>110040330718</v>
      </c>
      <c r="B1392" s="28">
        <v>2017</v>
      </c>
      <c r="C1392" s="68">
        <f t="shared" si="21"/>
        <v>42736</v>
      </c>
      <c r="D1392" s="28" t="s">
        <v>203</v>
      </c>
      <c r="E1392" s="28" t="s">
        <v>669</v>
      </c>
      <c r="F1392" s="28" t="s">
        <v>348</v>
      </c>
      <c r="G1392" s="28" t="s">
        <v>349</v>
      </c>
      <c r="H1392" s="28">
        <v>63461</v>
      </c>
      <c r="I1392" s="28">
        <v>39.828163000000004</v>
      </c>
      <c r="J1392" s="28">
        <v>-91.436942000000002</v>
      </c>
      <c r="L1392" s="61">
        <v>110040330718</v>
      </c>
      <c r="M1392" s="28" t="s">
        <v>265</v>
      </c>
      <c r="N1392" s="28">
        <v>9512</v>
      </c>
      <c r="O1392" s="28" t="str">
        <f>IFERROR(VLOOKUP(N1392, 'SIC &amp; NAICS Codes'!A:B, 2, FALSE), "")</f>
        <v>Land, Mineral, Wildlife, and Forest Conservation</v>
      </c>
      <c r="S1392" s="28">
        <v>0.12979067799999999</v>
      </c>
      <c r="T1392" s="315">
        <f>_xlfn.MAXIFS('Raw Period DMR Data'!$O:$O,'Raw Period DMR Data'!$A:$A,'Raw Annual DMR Data'!B1392,'Raw Period DMR Data'!$C:$C,X1392)/S1392</f>
        <v>0</v>
      </c>
      <c r="U1392" s="28" t="str">
        <f>+IF(COUNTIFS('Raw Period DMR Data'!$A:$A,B1392, 'Raw Period DMR Data'!C:C,'Raw Annual DMR Data'!X1392, 'Raw Period DMR Data'!M:M, "&gt;0")&gt;0,_xlfn.MAXIFS('Raw Period DMR Data'!M:M,'Raw Period DMR Data'!$A:$A,'Raw Annual DMR Data'!B1392,'Raw Period DMR Data'!C:C,'Raw Annual DMR Data'!X1392), "N/A - Period DMR Data Not Available")</f>
        <v>N/A - Period DMR Data Not Available</v>
      </c>
      <c r="V1392" s="28" t="str" cm="1">
        <f t="array" ref="V1392">IFERROR(INDEX('Raw Period DMR Data'!N:N,MATCH(1,(B1392='Raw Period DMR Data'!$A:$A)*(U1392='Raw Period DMR Data'!M:M)*(X1392='Raw Period DMR Data'!C:C),0),1), "N/A")</f>
        <v>N/A</v>
      </c>
      <c r="W1392" s="28" t="s">
        <v>1463</v>
      </c>
      <c r="X1392" s="28" t="s">
        <v>959</v>
      </c>
      <c r="Y1392" s="28" t="s">
        <v>960</v>
      </c>
      <c r="Z1392" s="28">
        <v>7110004001360</v>
      </c>
      <c r="AA1392" s="28"/>
      <c r="AB1392" s="28" t="s">
        <v>1465</v>
      </c>
      <c r="AC1392" s="28" t="s">
        <v>1466</v>
      </c>
    </row>
    <row r="1393" spans="1:29" x14ac:dyDescent="0.25">
      <c r="A1393" s="61">
        <v>110040330718</v>
      </c>
      <c r="B1393" s="28">
        <v>2018</v>
      </c>
      <c r="C1393" s="68">
        <f t="shared" si="21"/>
        <v>43101</v>
      </c>
      <c r="D1393" s="28" t="s">
        <v>203</v>
      </c>
      <c r="E1393" s="28" t="s">
        <v>669</v>
      </c>
      <c r="F1393" s="28" t="s">
        <v>348</v>
      </c>
      <c r="G1393" s="28" t="s">
        <v>349</v>
      </c>
      <c r="H1393" s="28">
        <v>63461</v>
      </c>
      <c r="I1393" s="28">
        <v>39.828163000000004</v>
      </c>
      <c r="J1393" s="28">
        <v>-91.436942000000002</v>
      </c>
      <c r="L1393" s="61">
        <v>110040330718</v>
      </c>
      <c r="M1393" s="28" t="s">
        <v>265</v>
      </c>
      <c r="N1393" s="28">
        <v>9512</v>
      </c>
      <c r="O1393" s="28" t="str">
        <f>IFERROR(VLOOKUP(N1393, 'SIC &amp; NAICS Codes'!A:B, 2, FALSE), "")</f>
        <v>Land, Mineral, Wildlife, and Forest Conservation</v>
      </c>
      <c r="S1393" s="28">
        <v>0.66900895435999996</v>
      </c>
      <c r="T1393" s="315">
        <f>_xlfn.MAXIFS('Raw Period DMR Data'!$O:$O,'Raw Period DMR Data'!$A:$A,'Raw Annual DMR Data'!B1393,'Raw Period DMR Data'!$C:$C,X1393)/S1393</f>
        <v>0</v>
      </c>
      <c r="U1393" s="28" t="str">
        <f>+IF(COUNTIFS('Raw Period DMR Data'!$A:$A,B1393, 'Raw Period DMR Data'!C:C,'Raw Annual DMR Data'!X1393, 'Raw Period DMR Data'!M:M, "&gt;0")&gt;0,_xlfn.MAXIFS('Raw Period DMR Data'!M:M,'Raw Period DMR Data'!$A:$A,'Raw Annual DMR Data'!B1393,'Raw Period DMR Data'!C:C,'Raw Annual DMR Data'!X1393), "N/A - Period DMR Data Not Available")</f>
        <v>N/A - Period DMR Data Not Available</v>
      </c>
      <c r="V1393" s="28" t="str" cm="1">
        <f t="array" ref="V1393">IFERROR(INDEX('Raw Period DMR Data'!N:N,MATCH(1,(B1393='Raw Period DMR Data'!$A:$A)*(U1393='Raw Period DMR Data'!M:M)*(X1393='Raw Period DMR Data'!C:C),0),1), "N/A")</f>
        <v>N/A</v>
      </c>
      <c r="W1393" s="28" t="s">
        <v>1463</v>
      </c>
      <c r="X1393" s="28" t="s">
        <v>959</v>
      </c>
      <c r="Y1393" s="28" t="s">
        <v>960</v>
      </c>
      <c r="Z1393" s="302" t="s">
        <v>2385</v>
      </c>
      <c r="AA1393" s="28"/>
      <c r="AB1393" s="28" t="s">
        <v>1465</v>
      </c>
      <c r="AC1393" s="28" t="s">
        <v>1466</v>
      </c>
    </row>
    <row r="1394" spans="1:29" x14ac:dyDescent="0.25">
      <c r="A1394" s="61">
        <v>110040330718</v>
      </c>
      <c r="B1394" s="28">
        <v>2019</v>
      </c>
      <c r="C1394" s="68">
        <f t="shared" si="21"/>
        <v>43466</v>
      </c>
      <c r="D1394" s="28" t="s">
        <v>203</v>
      </c>
      <c r="E1394" s="28" t="s">
        <v>669</v>
      </c>
      <c r="F1394" s="28" t="s">
        <v>348</v>
      </c>
      <c r="G1394" s="28" t="s">
        <v>349</v>
      </c>
      <c r="H1394" s="28">
        <v>63461</v>
      </c>
      <c r="I1394" s="28">
        <v>39.828163000000004</v>
      </c>
      <c r="J1394" s="28">
        <v>-91.436942000000002</v>
      </c>
      <c r="L1394" s="61">
        <v>110040330718</v>
      </c>
      <c r="M1394" s="28" t="s">
        <v>265</v>
      </c>
      <c r="N1394" s="28">
        <v>9512</v>
      </c>
      <c r="O1394" s="28" t="str">
        <f>IFERROR(VLOOKUP(N1394, 'SIC &amp; NAICS Codes'!A:B, 2, FALSE), "")</f>
        <v>Land, Mineral, Wildlife, and Forest Conservation</v>
      </c>
      <c r="S1394" s="28">
        <v>0.72204173999999999</v>
      </c>
      <c r="T1394" s="315">
        <f>_xlfn.MAXIFS('Raw Period DMR Data'!$O:$O,'Raw Period DMR Data'!$A:$A,'Raw Annual DMR Data'!B1394,'Raw Period DMR Data'!$C:$C,X1394)/S1394</f>
        <v>0</v>
      </c>
      <c r="U1394" s="28" t="str">
        <f>+IF(COUNTIFS('Raw Period DMR Data'!$A:$A,B1394, 'Raw Period DMR Data'!C:C,'Raw Annual DMR Data'!X1394, 'Raw Period DMR Data'!M:M, "&gt;0")&gt;0,_xlfn.MAXIFS('Raw Period DMR Data'!M:M,'Raw Period DMR Data'!$A:$A,'Raw Annual DMR Data'!B1394,'Raw Period DMR Data'!C:C,'Raw Annual DMR Data'!X1394), "N/A - Period DMR Data Not Available")</f>
        <v>N/A - Period DMR Data Not Available</v>
      </c>
      <c r="V1394" s="28" t="str" cm="1">
        <f t="array" ref="V1394">IFERROR(INDEX('Raw Period DMR Data'!N:N,MATCH(1,(B1394='Raw Period DMR Data'!$A:$A)*(U1394='Raw Period DMR Data'!M:M)*(X1394='Raw Period DMR Data'!C:C),0),1), "N/A")</f>
        <v>N/A</v>
      </c>
      <c r="W1394" s="28" t="s">
        <v>1463</v>
      </c>
      <c r="X1394" s="28" t="s">
        <v>959</v>
      </c>
      <c r="Y1394" s="28" t="s">
        <v>960</v>
      </c>
      <c r="Z1394" s="28">
        <v>7110004001360</v>
      </c>
      <c r="AA1394" s="28"/>
      <c r="AB1394" s="28" t="s">
        <v>1465</v>
      </c>
      <c r="AC1394" s="28" t="s">
        <v>1466</v>
      </c>
    </row>
    <row r="1395" spans="1:29" x14ac:dyDescent="0.25">
      <c r="A1395" s="61">
        <v>110000327799</v>
      </c>
      <c r="B1395" s="28">
        <v>2015</v>
      </c>
      <c r="C1395" s="68">
        <f t="shared" si="21"/>
        <v>42005</v>
      </c>
      <c r="D1395" s="28" t="s">
        <v>1442</v>
      </c>
      <c r="E1395" s="28" t="s">
        <v>2386</v>
      </c>
      <c r="F1395" s="28" t="s">
        <v>1443</v>
      </c>
      <c r="G1395" s="28" t="s">
        <v>450</v>
      </c>
      <c r="H1395" s="28">
        <v>14580</v>
      </c>
      <c r="I1395" s="28">
        <v>43.227834000000001</v>
      </c>
      <c r="J1395" s="28">
        <v>-77.411534000000003</v>
      </c>
      <c r="K1395" s="28" t="s">
        <v>740</v>
      </c>
      <c r="L1395" s="61">
        <v>110000327799</v>
      </c>
      <c r="M1395" s="28" t="s">
        <v>265</v>
      </c>
      <c r="N1395" s="28">
        <v>9511</v>
      </c>
      <c r="O1395" s="28" t="str">
        <f>IFERROR(VLOOKUP(N1395, 'SIC &amp; NAICS Codes'!A:B, 2, FALSE), "")</f>
        <v>Air and Water Resource and Solid Waste Management</v>
      </c>
      <c r="S1395" s="28">
        <v>2.68709285467E-2</v>
      </c>
      <c r="T1395" s="315">
        <f>_xlfn.MAXIFS('Raw Period DMR Data'!$O:$O,'Raw Period DMR Data'!$A:$A,'Raw Annual DMR Data'!B1395,'Raw Period DMR Data'!$C:$C,X1395)/S1395</f>
        <v>0</v>
      </c>
      <c r="U1395" s="28" t="str">
        <f>+IF(COUNTIFS('Raw Period DMR Data'!$A:$A,B1395, 'Raw Period DMR Data'!C:C,'Raw Annual DMR Data'!X1395, 'Raw Period DMR Data'!M:M, "&gt;0")&gt;0,_xlfn.MAXIFS('Raw Period DMR Data'!M:M,'Raw Period DMR Data'!$A:$A,'Raw Annual DMR Data'!B1395,'Raw Period DMR Data'!C:C,'Raw Annual DMR Data'!X1395), "N/A - Period DMR Data Not Available")</f>
        <v>N/A - Period DMR Data Not Available</v>
      </c>
      <c r="V1395" s="28" t="str" cm="1">
        <f t="array" ref="V1395">IFERROR(INDEX('Raw Period DMR Data'!N:N,MATCH(1,(B1395='Raw Period DMR Data'!$A:$A)*(U1395='Raw Period DMR Data'!M:M)*(X1395='Raw Period DMR Data'!C:C),0),1), "N/A")</f>
        <v>N/A</v>
      </c>
      <c r="W1395" s="28" t="s">
        <v>1463</v>
      </c>
      <c r="X1395" s="28" t="s">
        <v>2387</v>
      </c>
      <c r="Y1395" s="28" t="s">
        <v>2388</v>
      </c>
      <c r="Z1395" s="28">
        <v>4140101000567</v>
      </c>
      <c r="AA1395" s="28"/>
      <c r="AB1395" s="28" t="s">
        <v>1465</v>
      </c>
      <c r="AC1395" s="28" t="s">
        <v>1466</v>
      </c>
    </row>
    <row r="1396" spans="1:29" x14ac:dyDescent="0.25">
      <c r="A1396" s="61">
        <v>110000327799</v>
      </c>
      <c r="B1396" s="28">
        <v>2015</v>
      </c>
      <c r="C1396" s="68">
        <f t="shared" si="21"/>
        <v>42005</v>
      </c>
      <c r="D1396" s="28" t="s">
        <v>1442</v>
      </c>
      <c r="E1396" s="28" t="s">
        <v>2386</v>
      </c>
      <c r="F1396" s="28" t="s">
        <v>1443</v>
      </c>
      <c r="G1396" s="28" t="s">
        <v>450</v>
      </c>
      <c r="H1396" s="28">
        <v>14580</v>
      </c>
      <c r="I1396" s="28">
        <v>43.227834000000001</v>
      </c>
      <c r="J1396" s="28">
        <v>-77.411534000000003</v>
      </c>
      <c r="K1396" s="28" t="s">
        <v>740</v>
      </c>
      <c r="L1396" s="61">
        <v>110000327799</v>
      </c>
      <c r="M1396" s="28" t="s">
        <v>265</v>
      </c>
      <c r="N1396" s="28">
        <v>9511</v>
      </c>
      <c r="O1396" s="28" t="str">
        <f>IFERROR(VLOOKUP(N1396, 'SIC &amp; NAICS Codes'!A:B, 2, FALSE), "")</f>
        <v>Air and Water Resource and Solid Waste Management</v>
      </c>
      <c r="S1396" s="28">
        <v>3.0467491867500002E-2</v>
      </c>
      <c r="T1396" s="315">
        <f>_xlfn.MAXIFS('Raw Period DMR Data'!$O:$O,'Raw Period DMR Data'!$A:$A,'Raw Annual DMR Data'!B1396,'Raw Period DMR Data'!$C:$C,X1396)/S1396</f>
        <v>0</v>
      </c>
      <c r="U1396" s="28" t="str">
        <f>+IF(COUNTIFS('Raw Period DMR Data'!$A:$A,B1396, 'Raw Period DMR Data'!C:C,'Raw Annual DMR Data'!X1396, 'Raw Period DMR Data'!M:M, "&gt;0")&gt;0,_xlfn.MAXIFS('Raw Period DMR Data'!M:M,'Raw Period DMR Data'!$A:$A,'Raw Annual DMR Data'!B1396,'Raw Period DMR Data'!C:C,'Raw Annual DMR Data'!X1396), "N/A - Period DMR Data Not Available")</f>
        <v>N/A - Period DMR Data Not Available</v>
      </c>
      <c r="V1396" s="28" t="str" cm="1">
        <f t="array" ref="V1396">IFERROR(INDEX('Raw Period DMR Data'!N:N,MATCH(1,(B1396='Raw Period DMR Data'!$A:$A)*(U1396='Raw Period DMR Data'!M:M)*(X1396='Raw Period DMR Data'!C:C),0),1), "N/A")</f>
        <v>N/A</v>
      </c>
      <c r="W1396" s="28" t="s">
        <v>1463</v>
      </c>
      <c r="X1396" s="28" t="s">
        <v>2387</v>
      </c>
      <c r="Y1396" s="28" t="s">
        <v>2388</v>
      </c>
      <c r="Z1396" s="28">
        <v>4140101000567</v>
      </c>
      <c r="AA1396" s="28"/>
      <c r="AB1396" s="28" t="s">
        <v>1465</v>
      </c>
      <c r="AC1396" s="28" t="s">
        <v>1466</v>
      </c>
    </row>
    <row r="1397" spans="1:29" x14ac:dyDescent="0.25">
      <c r="A1397" s="61">
        <v>110000327799</v>
      </c>
      <c r="B1397" s="28">
        <v>2015</v>
      </c>
      <c r="C1397" s="68">
        <f t="shared" si="21"/>
        <v>42005</v>
      </c>
      <c r="D1397" s="28" t="s">
        <v>1442</v>
      </c>
      <c r="E1397" s="28" t="s">
        <v>2386</v>
      </c>
      <c r="F1397" s="28" t="s">
        <v>1443</v>
      </c>
      <c r="G1397" s="28" t="s">
        <v>450</v>
      </c>
      <c r="H1397" s="28">
        <v>14580</v>
      </c>
      <c r="I1397" s="28">
        <v>43.227834000000001</v>
      </c>
      <c r="J1397" s="28">
        <v>-77.411534000000003</v>
      </c>
      <c r="K1397" s="28" t="s">
        <v>740</v>
      </c>
      <c r="L1397" s="61">
        <v>110000327799</v>
      </c>
      <c r="M1397" s="28" t="s">
        <v>265</v>
      </c>
      <c r="N1397" s="28">
        <v>9511</v>
      </c>
      <c r="O1397" s="28" t="str">
        <f>IFERROR(VLOOKUP(N1397, 'SIC &amp; NAICS Codes'!A:B, 2, FALSE), "")</f>
        <v>Air and Water Resource and Solid Waste Management</v>
      </c>
      <c r="S1397" s="28">
        <v>1.8177116560462499E-2</v>
      </c>
      <c r="T1397" s="315">
        <f>_xlfn.MAXIFS('Raw Period DMR Data'!$O:$O,'Raw Period DMR Data'!$A:$A,'Raw Annual DMR Data'!B1397,'Raw Period DMR Data'!$C:$C,X1397)/S1397</f>
        <v>0</v>
      </c>
      <c r="U1397" s="28" t="str">
        <f>+IF(COUNTIFS('Raw Period DMR Data'!$A:$A,B1397, 'Raw Period DMR Data'!C:C,'Raw Annual DMR Data'!X1397, 'Raw Period DMR Data'!M:M, "&gt;0")&gt;0,_xlfn.MAXIFS('Raw Period DMR Data'!M:M,'Raw Period DMR Data'!$A:$A,'Raw Annual DMR Data'!B1397,'Raw Period DMR Data'!C:C,'Raw Annual DMR Data'!X1397), "N/A - Period DMR Data Not Available")</f>
        <v>N/A - Period DMR Data Not Available</v>
      </c>
      <c r="V1397" s="28" t="str" cm="1">
        <f t="array" ref="V1397">IFERROR(INDEX('Raw Period DMR Data'!N:N,MATCH(1,(B1397='Raw Period DMR Data'!$A:$A)*(U1397='Raw Period DMR Data'!M:M)*(X1397='Raw Period DMR Data'!C:C),0),1), "N/A")</f>
        <v>N/A</v>
      </c>
      <c r="W1397" s="28" t="s">
        <v>1463</v>
      </c>
      <c r="X1397" s="28" t="s">
        <v>2387</v>
      </c>
      <c r="Y1397" s="28" t="s">
        <v>2388</v>
      </c>
      <c r="Z1397" s="28">
        <v>4140101000567</v>
      </c>
      <c r="AA1397" s="28"/>
      <c r="AB1397" s="28" t="s">
        <v>1465</v>
      </c>
      <c r="AC1397" s="28" t="s">
        <v>1466</v>
      </c>
    </row>
    <row r="1398" spans="1:29" x14ac:dyDescent="0.25">
      <c r="A1398" s="61">
        <v>110000327799</v>
      </c>
      <c r="B1398" s="28">
        <v>2016</v>
      </c>
      <c r="C1398" s="68">
        <f t="shared" si="21"/>
        <v>42370</v>
      </c>
      <c r="D1398" s="28" t="s">
        <v>1442</v>
      </c>
      <c r="E1398" s="28" t="s">
        <v>2386</v>
      </c>
      <c r="F1398" s="28" t="s">
        <v>1443</v>
      </c>
      <c r="G1398" s="28" t="s">
        <v>450</v>
      </c>
      <c r="H1398" s="28">
        <v>14580</v>
      </c>
      <c r="I1398" s="28">
        <v>43.227834000000001</v>
      </c>
      <c r="J1398" s="28">
        <v>-77.411534000000003</v>
      </c>
      <c r="K1398" s="28" t="s">
        <v>740</v>
      </c>
      <c r="L1398" s="61">
        <v>110000327799</v>
      </c>
      <c r="M1398" s="28" t="s">
        <v>265</v>
      </c>
      <c r="N1398" s="28">
        <v>9511</v>
      </c>
      <c r="O1398" s="28" t="str">
        <f>IFERROR(VLOOKUP(N1398, 'SIC &amp; NAICS Codes'!A:B, 2, FALSE), "")</f>
        <v>Air and Water Resource and Solid Waste Management</v>
      </c>
      <c r="S1398" s="28">
        <v>3.6247374603499999E-2</v>
      </c>
      <c r="T1398" s="315">
        <f>_xlfn.MAXIFS('Raw Period DMR Data'!$O:$O,'Raw Period DMR Data'!$A:$A,'Raw Annual DMR Data'!B1398,'Raw Period DMR Data'!$C:$C,X1398)/S1398</f>
        <v>0</v>
      </c>
      <c r="U1398" s="28" t="str">
        <f>+IF(COUNTIFS('Raw Period DMR Data'!$A:$A,B1398, 'Raw Period DMR Data'!C:C,'Raw Annual DMR Data'!X1398, 'Raw Period DMR Data'!M:M, "&gt;0")&gt;0,_xlfn.MAXIFS('Raw Period DMR Data'!M:M,'Raw Period DMR Data'!$A:$A,'Raw Annual DMR Data'!B1398,'Raw Period DMR Data'!C:C,'Raw Annual DMR Data'!X1398), "N/A - Period DMR Data Not Available")</f>
        <v>N/A - Period DMR Data Not Available</v>
      </c>
      <c r="V1398" s="28" t="str" cm="1">
        <f t="array" ref="V1398">IFERROR(INDEX('Raw Period DMR Data'!N:N,MATCH(1,(B1398='Raw Period DMR Data'!$A:$A)*(U1398='Raw Period DMR Data'!M:M)*(X1398='Raw Period DMR Data'!C:C),0),1), "N/A")</f>
        <v>N/A</v>
      </c>
      <c r="W1398" s="28" t="s">
        <v>1463</v>
      </c>
      <c r="X1398" s="28" t="s">
        <v>2387</v>
      </c>
      <c r="Y1398" s="28" t="s">
        <v>2388</v>
      </c>
      <c r="Z1398" s="28">
        <v>4140101000567</v>
      </c>
      <c r="AA1398" s="28"/>
      <c r="AB1398" s="28" t="s">
        <v>1465</v>
      </c>
      <c r="AC1398" s="28" t="s">
        <v>1466</v>
      </c>
    </row>
    <row r="1399" spans="1:29" x14ac:dyDescent="0.25">
      <c r="A1399" s="61">
        <v>110000327799</v>
      </c>
      <c r="B1399" s="28">
        <v>2016</v>
      </c>
      <c r="C1399" s="68">
        <f t="shared" si="21"/>
        <v>42370</v>
      </c>
      <c r="D1399" s="28" t="s">
        <v>1442</v>
      </c>
      <c r="E1399" s="28" t="s">
        <v>2386</v>
      </c>
      <c r="F1399" s="28" t="s">
        <v>1443</v>
      </c>
      <c r="G1399" s="28" t="s">
        <v>450</v>
      </c>
      <c r="H1399" s="28">
        <v>14580</v>
      </c>
      <c r="I1399" s="28">
        <v>43.227834000000001</v>
      </c>
      <c r="J1399" s="28">
        <v>-77.411534000000003</v>
      </c>
      <c r="K1399" s="28" t="s">
        <v>740</v>
      </c>
      <c r="L1399" s="61">
        <v>110000327799</v>
      </c>
      <c r="M1399" s="28" t="s">
        <v>265</v>
      </c>
      <c r="N1399" s="28">
        <v>9511</v>
      </c>
      <c r="O1399" s="28" t="str">
        <f>IFERROR(VLOOKUP(N1399, 'SIC &amp; NAICS Codes'!A:B, 2, FALSE), "")</f>
        <v>Air and Water Resource and Solid Waste Management</v>
      </c>
      <c r="S1399" s="28">
        <v>6.4916270050000002E-2</v>
      </c>
      <c r="T1399" s="315">
        <f>_xlfn.MAXIFS('Raw Period DMR Data'!$O:$O,'Raw Period DMR Data'!$A:$A,'Raw Annual DMR Data'!B1399,'Raw Period DMR Data'!$C:$C,X1399)/S1399</f>
        <v>0</v>
      </c>
      <c r="U1399" s="28" t="str">
        <f>+IF(COUNTIFS('Raw Period DMR Data'!$A:$A,B1399, 'Raw Period DMR Data'!C:C,'Raw Annual DMR Data'!X1399, 'Raw Period DMR Data'!M:M, "&gt;0")&gt;0,_xlfn.MAXIFS('Raw Period DMR Data'!M:M,'Raw Period DMR Data'!$A:$A,'Raw Annual DMR Data'!B1399,'Raw Period DMR Data'!C:C,'Raw Annual DMR Data'!X1399), "N/A - Period DMR Data Not Available")</f>
        <v>N/A - Period DMR Data Not Available</v>
      </c>
      <c r="V1399" s="28" t="str" cm="1">
        <f t="array" ref="V1399">IFERROR(INDEX('Raw Period DMR Data'!N:N,MATCH(1,(B1399='Raw Period DMR Data'!$A:$A)*(U1399='Raw Period DMR Data'!M:M)*(X1399='Raw Period DMR Data'!C:C),0),1), "N/A")</f>
        <v>N/A</v>
      </c>
      <c r="W1399" s="28" t="s">
        <v>1463</v>
      </c>
      <c r="X1399" s="28" t="s">
        <v>2387</v>
      </c>
      <c r="Y1399" s="28" t="s">
        <v>2388</v>
      </c>
      <c r="Z1399" s="28">
        <v>4140101000567</v>
      </c>
      <c r="AA1399" s="28"/>
      <c r="AB1399" s="28" t="s">
        <v>1465</v>
      </c>
      <c r="AC1399" s="28" t="s">
        <v>1466</v>
      </c>
    </row>
    <row r="1400" spans="1:29" x14ac:dyDescent="0.25">
      <c r="A1400" s="61">
        <v>110000327799</v>
      </c>
      <c r="B1400" s="28">
        <v>2016</v>
      </c>
      <c r="C1400" s="68">
        <f t="shared" si="21"/>
        <v>42370</v>
      </c>
      <c r="D1400" s="28" t="s">
        <v>1442</v>
      </c>
      <c r="E1400" s="28" t="s">
        <v>2386</v>
      </c>
      <c r="F1400" s="28" t="s">
        <v>1443</v>
      </c>
      <c r="G1400" s="28" t="s">
        <v>450</v>
      </c>
      <c r="H1400" s="28">
        <v>14580</v>
      </c>
      <c r="I1400" s="28">
        <v>43.227834000000001</v>
      </c>
      <c r="J1400" s="28">
        <v>-77.411534000000003</v>
      </c>
      <c r="K1400" s="28" t="s">
        <v>740</v>
      </c>
      <c r="L1400" s="61">
        <v>110000327799</v>
      </c>
      <c r="M1400" s="28" t="s">
        <v>265</v>
      </c>
      <c r="N1400" s="28">
        <v>9511</v>
      </c>
      <c r="O1400" s="28" t="str">
        <f>IFERROR(VLOOKUP(N1400, 'SIC &amp; NAICS Codes'!A:B, 2, FALSE), "")</f>
        <v>Air and Water Resource and Solid Waste Management</v>
      </c>
      <c r="S1400" s="28">
        <v>1.92049291375E-2</v>
      </c>
      <c r="T1400" s="315">
        <f>_xlfn.MAXIFS('Raw Period DMR Data'!$O:$O,'Raw Period DMR Data'!$A:$A,'Raw Annual DMR Data'!B1400,'Raw Period DMR Data'!$C:$C,X1400)/S1400</f>
        <v>0</v>
      </c>
      <c r="U1400" s="28" t="str">
        <f>+IF(COUNTIFS('Raw Period DMR Data'!$A:$A,B1400, 'Raw Period DMR Data'!C:C,'Raw Annual DMR Data'!X1400, 'Raw Period DMR Data'!M:M, "&gt;0")&gt;0,_xlfn.MAXIFS('Raw Period DMR Data'!M:M,'Raw Period DMR Data'!$A:$A,'Raw Annual DMR Data'!B1400,'Raw Period DMR Data'!C:C,'Raw Annual DMR Data'!X1400), "N/A - Period DMR Data Not Available")</f>
        <v>N/A - Period DMR Data Not Available</v>
      </c>
      <c r="V1400" s="28" t="str" cm="1">
        <f t="array" ref="V1400">IFERROR(INDEX('Raw Period DMR Data'!N:N,MATCH(1,(B1400='Raw Period DMR Data'!$A:$A)*(U1400='Raw Period DMR Data'!M:M)*(X1400='Raw Period DMR Data'!C:C),0),1), "N/A")</f>
        <v>N/A</v>
      </c>
      <c r="W1400" s="28" t="s">
        <v>1463</v>
      </c>
      <c r="X1400" s="28" t="s">
        <v>2387</v>
      </c>
      <c r="Y1400" s="28" t="s">
        <v>2388</v>
      </c>
      <c r="Z1400" s="28">
        <v>4140101000567</v>
      </c>
      <c r="AA1400" s="28"/>
      <c r="AB1400" s="28" t="s">
        <v>1465</v>
      </c>
      <c r="AC1400" s="28" t="s">
        <v>1466</v>
      </c>
    </row>
    <row r="1401" spans="1:29" x14ac:dyDescent="0.25">
      <c r="A1401" s="61">
        <v>110000327799</v>
      </c>
      <c r="B1401" s="28">
        <v>2017</v>
      </c>
      <c r="C1401" s="68">
        <f t="shared" si="21"/>
        <v>42736</v>
      </c>
      <c r="D1401" s="28" t="s">
        <v>1442</v>
      </c>
      <c r="E1401" s="28" t="s">
        <v>2386</v>
      </c>
      <c r="F1401" s="28" t="s">
        <v>1443</v>
      </c>
      <c r="G1401" s="28" t="s">
        <v>450</v>
      </c>
      <c r="H1401" s="28">
        <v>14580</v>
      </c>
      <c r="I1401" s="28">
        <v>43.227834000000001</v>
      </c>
      <c r="J1401" s="28">
        <v>-77.411534000000003</v>
      </c>
      <c r="K1401" s="28" t="s">
        <v>740</v>
      </c>
      <c r="L1401" s="61">
        <v>110000327799</v>
      </c>
      <c r="M1401" s="28" t="s">
        <v>265</v>
      </c>
      <c r="N1401" s="28">
        <v>9511</v>
      </c>
      <c r="O1401" s="28" t="str">
        <f>IFERROR(VLOOKUP(N1401, 'SIC &amp; NAICS Codes'!A:B, 2, FALSE), "")</f>
        <v>Air and Water Resource and Solid Waste Management</v>
      </c>
      <c r="S1401" s="28">
        <v>0.10075249864999999</v>
      </c>
      <c r="T1401" s="315">
        <f>_xlfn.MAXIFS('Raw Period DMR Data'!$O:$O,'Raw Period DMR Data'!$A:$A,'Raw Annual DMR Data'!B1401,'Raw Period DMR Data'!$C:$C,X1401)/S1401</f>
        <v>0</v>
      </c>
      <c r="U1401" s="28" t="str">
        <f>+IF(COUNTIFS('Raw Period DMR Data'!$A:$A,B1401, 'Raw Period DMR Data'!C:C,'Raw Annual DMR Data'!X1401, 'Raw Period DMR Data'!M:M, "&gt;0")&gt;0,_xlfn.MAXIFS('Raw Period DMR Data'!M:M,'Raw Period DMR Data'!$A:$A,'Raw Annual DMR Data'!B1401,'Raw Period DMR Data'!C:C,'Raw Annual DMR Data'!X1401), "N/A - Period DMR Data Not Available")</f>
        <v>N/A - Period DMR Data Not Available</v>
      </c>
      <c r="V1401" s="28" t="str" cm="1">
        <f t="array" ref="V1401">IFERROR(INDEX('Raw Period DMR Data'!N:N,MATCH(1,(B1401='Raw Period DMR Data'!$A:$A)*(U1401='Raw Period DMR Data'!M:M)*(X1401='Raw Period DMR Data'!C:C),0),1), "N/A")</f>
        <v>N/A</v>
      </c>
      <c r="W1401" s="28" t="s">
        <v>1463</v>
      </c>
      <c r="X1401" s="28" t="s">
        <v>2387</v>
      </c>
      <c r="Y1401" s="28" t="s">
        <v>2388</v>
      </c>
      <c r="Z1401" s="28">
        <v>4140101000567</v>
      </c>
      <c r="AA1401" s="28"/>
      <c r="AB1401" s="28" t="s">
        <v>1465</v>
      </c>
      <c r="AC1401" s="28" t="s">
        <v>1466</v>
      </c>
    </row>
    <row r="1402" spans="1:29" x14ac:dyDescent="0.25">
      <c r="A1402" s="61">
        <v>110000327799</v>
      </c>
      <c r="B1402" s="28">
        <v>2017</v>
      </c>
      <c r="C1402" s="68">
        <f t="shared" si="21"/>
        <v>42736</v>
      </c>
      <c r="D1402" s="28" t="s">
        <v>1442</v>
      </c>
      <c r="E1402" s="28" t="s">
        <v>2386</v>
      </c>
      <c r="F1402" s="28" t="s">
        <v>1443</v>
      </c>
      <c r="G1402" s="28" t="s">
        <v>450</v>
      </c>
      <c r="H1402" s="28">
        <v>14580</v>
      </c>
      <c r="I1402" s="28">
        <v>43.227834000000001</v>
      </c>
      <c r="J1402" s="28">
        <v>-77.411534000000003</v>
      </c>
      <c r="K1402" s="28" t="s">
        <v>740</v>
      </c>
      <c r="L1402" s="61">
        <v>110000327799</v>
      </c>
      <c r="M1402" s="28" t="s">
        <v>265</v>
      </c>
      <c r="N1402" s="28">
        <v>9511</v>
      </c>
      <c r="O1402" s="28" t="str">
        <f>IFERROR(VLOOKUP(N1402, 'SIC &amp; NAICS Codes'!A:B, 2, FALSE), "")</f>
        <v>Air and Water Resource and Solid Waste Management</v>
      </c>
      <c r="S1402" s="28">
        <v>6.0530377889775E-2</v>
      </c>
      <c r="T1402" s="315">
        <f>_xlfn.MAXIFS('Raw Period DMR Data'!$O:$O,'Raw Period DMR Data'!$A:$A,'Raw Annual DMR Data'!B1402,'Raw Period DMR Data'!$C:$C,X1402)/S1402</f>
        <v>0</v>
      </c>
      <c r="U1402" s="28" t="str">
        <f>+IF(COUNTIFS('Raw Period DMR Data'!$A:$A,B1402, 'Raw Period DMR Data'!C:C,'Raw Annual DMR Data'!X1402, 'Raw Period DMR Data'!M:M, "&gt;0")&gt;0,_xlfn.MAXIFS('Raw Period DMR Data'!M:M,'Raw Period DMR Data'!$A:$A,'Raw Annual DMR Data'!B1402,'Raw Period DMR Data'!C:C,'Raw Annual DMR Data'!X1402), "N/A - Period DMR Data Not Available")</f>
        <v>N/A - Period DMR Data Not Available</v>
      </c>
      <c r="V1402" s="28" t="str" cm="1">
        <f t="array" ref="V1402">IFERROR(INDEX('Raw Period DMR Data'!N:N,MATCH(1,(B1402='Raw Period DMR Data'!$A:$A)*(U1402='Raw Period DMR Data'!M:M)*(X1402='Raw Period DMR Data'!C:C),0),1), "N/A")</f>
        <v>N/A</v>
      </c>
      <c r="W1402" s="28" t="s">
        <v>1463</v>
      </c>
      <c r="X1402" s="28" t="s">
        <v>2387</v>
      </c>
      <c r="Y1402" s="28" t="s">
        <v>2388</v>
      </c>
      <c r="Z1402" s="28">
        <v>4140101000567</v>
      </c>
      <c r="AA1402" s="28"/>
      <c r="AB1402" s="28" t="s">
        <v>1465</v>
      </c>
      <c r="AC1402" s="28" t="s">
        <v>1466</v>
      </c>
    </row>
    <row r="1403" spans="1:29" x14ac:dyDescent="0.25">
      <c r="A1403" s="61">
        <v>110000327799</v>
      </c>
      <c r="B1403" s="28">
        <v>2017</v>
      </c>
      <c r="C1403" s="68">
        <f t="shared" si="21"/>
        <v>42736</v>
      </c>
      <c r="D1403" s="28" t="s">
        <v>1442</v>
      </c>
      <c r="E1403" s="28" t="s">
        <v>2386</v>
      </c>
      <c r="F1403" s="28" t="s">
        <v>1443</v>
      </c>
      <c r="G1403" s="28" t="s">
        <v>450</v>
      </c>
      <c r="H1403" s="28">
        <v>14580</v>
      </c>
      <c r="I1403" s="28">
        <v>43.227834000000001</v>
      </c>
      <c r="J1403" s="28">
        <v>-77.411534000000003</v>
      </c>
      <c r="K1403" s="28" t="s">
        <v>740</v>
      </c>
      <c r="L1403" s="61">
        <v>110000327799</v>
      </c>
      <c r="M1403" s="28" t="s">
        <v>265</v>
      </c>
      <c r="N1403" s="28">
        <v>9511</v>
      </c>
      <c r="O1403" s="28" t="str">
        <f>IFERROR(VLOOKUP(N1403, 'SIC &amp; NAICS Codes'!A:B, 2, FALSE), "")</f>
        <v>Air and Water Resource and Solid Waste Management</v>
      </c>
      <c r="S1403" s="28">
        <v>3.4848702039500003E-2</v>
      </c>
      <c r="T1403" s="315">
        <f>_xlfn.MAXIFS('Raw Period DMR Data'!$O:$O,'Raw Period DMR Data'!$A:$A,'Raw Annual DMR Data'!B1403,'Raw Period DMR Data'!$C:$C,X1403)/S1403</f>
        <v>0</v>
      </c>
      <c r="U1403" s="28" t="str">
        <f>+IF(COUNTIFS('Raw Period DMR Data'!$A:$A,B1403, 'Raw Period DMR Data'!C:C,'Raw Annual DMR Data'!X1403, 'Raw Period DMR Data'!M:M, "&gt;0")&gt;0,_xlfn.MAXIFS('Raw Period DMR Data'!M:M,'Raw Period DMR Data'!$A:$A,'Raw Annual DMR Data'!B1403,'Raw Period DMR Data'!C:C,'Raw Annual DMR Data'!X1403), "N/A - Period DMR Data Not Available")</f>
        <v>N/A - Period DMR Data Not Available</v>
      </c>
      <c r="V1403" s="28" t="str" cm="1">
        <f t="array" ref="V1403">IFERROR(INDEX('Raw Period DMR Data'!N:N,MATCH(1,(B1403='Raw Period DMR Data'!$A:$A)*(U1403='Raw Period DMR Data'!M:M)*(X1403='Raw Period DMR Data'!C:C),0),1), "N/A")</f>
        <v>N/A</v>
      </c>
      <c r="W1403" s="28" t="s">
        <v>1463</v>
      </c>
      <c r="X1403" s="28" t="s">
        <v>2387</v>
      </c>
      <c r="Y1403" s="28" t="s">
        <v>2388</v>
      </c>
      <c r="Z1403" s="28">
        <v>4140101000567</v>
      </c>
      <c r="AA1403" s="28"/>
      <c r="AB1403" s="28" t="s">
        <v>1465</v>
      </c>
      <c r="AC1403" s="28" t="s">
        <v>1466</v>
      </c>
    </row>
    <row r="1404" spans="1:29" x14ac:dyDescent="0.25">
      <c r="A1404" s="61">
        <v>110000327799</v>
      </c>
      <c r="B1404" s="28">
        <v>2018</v>
      </c>
      <c r="C1404" s="68">
        <f t="shared" si="21"/>
        <v>43101</v>
      </c>
      <c r="D1404" s="28" t="s">
        <v>1442</v>
      </c>
      <c r="E1404" s="28" t="s">
        <v>2386</v>
      </c>
      <c r="F1404" s="28" t="s">
        <v>1443</v>
      </c>
      <c r="G1404" s="28" t="s">
        <v>450</v>
      </c>
      <c r="H1404" s="28">
        <v>14580</v>
      </c>
      <c r="I1404" s="28">
        <v>43.227834000000001</v>
      </c>
      <c r="J1404" s="28">
        <v>-77.411534000000003</v>
      </c>
      <c r="K1404" s="28" t="s">
        <v>740</v>
      </c>
      <c r="L1404" s="61">
        <v>110000327799</v>
      </c>
      <c r="M1404" s="28" t="s">
        <v>265</v>
      </c>
      <c r="N1404" s="28">
        <v>9511</v>
      </c>
      <c r="O1404" s="28" t="str">
        <f>IFERROR(VLOOKUP(N1404, 'SIC &amp; NAICS Codes'!A:B, 2, FALSE), "")</f>
        <v>Air and Water Resource and Solid Waste Management</v>
      </c>
      <c r="S1404" s="28">
        <v>3.814436702E-2</v>
      </c>
      <c r="T1404" s="315">
        <f>_xlfn.MAXIFS('Raw Period DMR Data'!$O:$O,'Raw Period DMR Data'!$A:$A,'Raw Annual DMR Data'!B1404,'Raw Period DMR Data'!$C:$C,X1404)/S1404</f>
        <v>0</v>
      </c>
      <c r="U1404" s="28" t="str">
        <f>+IF(COUNTIFS('Raw Period DMR Data'!$A:$A,B1404, 'Raw Period DMR Data'!C:C,'Raw Annual DMR Data'!X1404, 'Raw Period DMR Data'!M:M, "&gt;0")&gt;0,_xlfn.MAXIFS('Raw Period DMR Data'!M:M,'Raw Period DMR Data'!$A:$A,'Raw Annual DMR Data'!B1404,'Raw Period DMR Data'!C:C,'Raw Annual DMR Data'!X1404), "N/A - Period DMR Data Not Available")</f>
        <v>N/A - Period DMR Data Not Available</v>
      </c>
      <c r="V1404" s="28" t="str" cm="1">
        <f t="array" ref="V1404">IFERROR(INDEX('Raw Period DMR Data'!N:N,MATCH(1,(B1404='Raw Period DMR Data'!$A:$A)*(U1404='Raw Period DMR Data'!M:M)*(X1404='Raw Period DMR Data'!C:C),0),1), "N/A")</f>
        <v>N/A</v>
      </c>
      <c r="W1404" s="28" t="s">
        <v>1463</v>
      </c>
      <c r="X1404" s="28" t="s">
        <v>2387</v>
      </c>
      <c r="Y1404" s="28" t="s">
        <v>2388</v>
      </c>
      <c r="Z1404" s="302" t="s">
        <v>2389</v>
      </c>
      <c r="AA1404" s="28"/>
      <c r="AB1404" s="28" t="s">
        <v>1465</v>
      </c>
      <c r="AC1404" s="28" t="s">
        <v>1466</v>
      </c>
    </row>
    <row r="1405" spans="1:29" x14ac:dyDescent="0.25">
      <c r="A1405" s="61">
        <v>110000327799</v>
      </c>
      <c r="B1405" s="28">
        <v>2018</v>
      </c>
      <c r="C1405" s="68">
        <f t="shared" si="21"/>
        <v>43101</v>
      </c>
      <c r="D1405" s="28" t="s">
        <v>1442</v>
      </c>
      <c r="E1405" s="28" t="s">
        <v>2386</v>
      </c>
      <c r="F1405" s="28" t="s">
        <v>1443</v>
      </c>
      <c r="G1405" s="28" t="s">
        <v>450</v>
      </c>
      <c r="H1405" s="28">
        <v>14580</v>
      </c>
      <c r="I1405" s="28">
        <v>43.227834000000001</v>
      </c>
      <c r="J1405" s="28">
        <v>-77.411534000000003</v>
      </c>
      <c r="K1405" s="28" t="s">
        <v>740</v>
      </c>
      <c r="L1405" s="61">
        <v>110000327799</v>
      </c>
      <c r="M1405" s="28" t="s">
        <v>265</v>
      </c>
      <c r="N1405" s="28">
        <v>9511</v>
      </c>
      <c r="O1405" s="28" t="str">
        <f>IFERROR(VLOOKUP(N1405, 'SIC &amp; NAICS Codes'!A:B, 2, FALSE), "")</f>
        <v>Air and Water Resource and Solid Waste Management</v>
      </c>
      <c r="S1405" s="28">
        <v>0.10050661748</v>
      </c>
      <c r="T1405" s="315">
        <f>_xlfn.MAXIFS('Raw Period DMR Data'!$O:$O,'Raw Period DMR Data'!$A:$A,'Raw Annual DMR Data'!B1405,'Raw Period DMR Data'!$C:$C,X1405)/S1405</f>
        <v>0</v>
      </c>
      <c r="U1405" s="28" t="str">
        <f>+IF(COUNTIFS('Raw Period DMR Data'!$A:$A,B1405, 'Raw Period DMR Data'!C:C,'Raw Annual DMR Data'!X1405, 'Raw Period DMR Data'!M:M, "&gt;0")&gt;0,_xlfn.MAXIFS('Raw Period DMR Data'!M:M,'Raw Period DMR Data'!$A:$A,'Raw Annual DMR Data'!B1405,'Raw Period DMR Data'!C:C,'Raw Annual DMR Data'!X1405), "N/A - Period DMR Data Not Available")</f>
        <v>N/A - Period DMR Data Not Available</v>
      </c>
      <c r="V1405" s="28" t="str" cm="1">
        <f t="array" ref="V1405">IFERROR(INDEX('Raw Period DMR Data'!N:N,MATCH(1,(B1405='Raw Period DMR Data'!$A:$A)*(U1405='Raw Period DMR Data'!M:M)*(X1405='Raw Period DMR Data'!C:C),0),1), "N/A")</f>
        <v>N/A</v>
      </c>
      <c r="W1405" s="28" t="s">
        <v>1463</v>
      </c>
      <c r="X1405" s="28" t="s">
        <v>2387</v>
      </c>
      <c r="Y1405" s="28" t="s">
        <v>2388</v>
      </c>
      <c r="Z1405" s="302" t="s">
        <v>2389</v>
      </c>
      <c r="AA1405" s="28"/>
      <c r="AB1405" s="28" t="s">
        <v>1465</v>
      </c>
      <c r="AC1405" s="28" t="s">
        <v>1466</v>
      </c>
    </row>
    <row r="1406" spans="1:29" x14ac:dyDescent="0.25">
      <c r="A1406" s="61">
        <v>110000327799</v>
      </c>
      <c r="B1406" s="28">
        <v>2018</v>
      </c>
      <c r="C1406" s="68">
        <f t="shared" si="21"/>
        <v>43101</v>
      </c>
      <c r="D1406" s="28" t="s">
        <v>1442</v>
      </c>
      <c r="E1406" s="28" t="s">
        <v>2386</v>
      </c>
      <c r="F1406" s="28" t="s">
        <v>1443</v>
      </c>
      <c r="G1406" s="28" t="s">
        <v>450</v>
      </c>
      <c r="H1406" s="28">
        <v>14580</v>
      </c>
      <c r="I1406" s="28">
        <v>43.227834000000001</v>
      </c>
      <c r="J1406" s="28">
        <v>-77.411534000000003</v>
      </c>
      <c r="K1406" s="28" t="s">
        <v>740</v>
      </c>
      <c r="L1406" s="61">
        <v>110000327799</v>
      </c>
      <c r="M1406" s="28" t="s">
        <v>265</v>
      </c>
      <c r="N1406" s="28">
        <v>9511</v>
      </c>
      <c r="O1406" s="28" t="str">
        <f>IFERROR(VLOOKUP(N1406, 'SIC &amp; NAICS Codes'!A:B, 2, FALSE), "")</f>
        <v>Air and Water Resource and Solid Waste Management</v>
      </c>
      <c r="S1406" s="28">
        <v>6.4942272999999995E-2</v>
      </c>
      <c r="T1406" s="315">
        <f>_xlfn.MAXIFS('Raw Period DMR Data'!$O:$O,'Raw Period DMR Data'!$A:$A,'Raw Annual DMR Data'!B1406,'Raw Period DMR Data'!$C:$C,X1406)/S1406</f>
        <v>0</v>
      </c>
      <c r="U1406" s="28" t="str">
        <f>+IF(COUNTIFS('Raw Period DMR Data'!$A:$A,B1406, 'Raw Period DMR Data'!C:C,'Raw Annual DMR Data'!X1406, 'Raw Period DMR Data'!M:M, "&gt;0")&gt;0,_xlfn.MAXIFS('Raw Period DMR Data'!M:M,'Raw Period DMR Data'!$A:$A,'Raw Annual DMR Data'!B1406,'Raw Period DMR Data'!C:C,'Raw Annual DMR Data'!X1406), "N/A - Period DMR Data Not Available")</f>
        <v>N/A - Period DMR Data Not Available</v>
      </c>
      <c r="V1406" s="28" t="str" cm="1">
        <f t="array" ref="V1406">IFERROR(INDEX('Raw Period DMR Data'!N:N,MATCH(1,(B1406='Raw Period DMR Data'!$A:$A)*(U1406='Raw Period DMR Data'!M:M)*(X1406='Raw Period DMR Data'!C:C),0),1), "N/A")</f>
        <v>N/A</v>
      </c>
      <c r="W1406" s="28" t="s">
        <v>1463</v>
      </c>
      <c r="X1406" s="28" t="s">
        <v>2387</v>
      </c>
      <c r="Y1406" s="28" t="s">
        <v>2388</v>
      </c>
      <c r="Z1406" s="302" t="s">
        <v>2389</v>
      </c>
      <c r="AA1406" s="28"/>
      <c r="AB1406" s="28" t="s">
        <v>1465</v>
      </c>
      <c r="AC1406" s="28" t="s">
        <v>1466</v>
      </c>
    </row>
    <row r="1407" spans="1:29" x14ac:dyDescent="0.25">
      <c r="A1407" s="61">
        <v>110000327799</v>
      </c>
      <c r="B1407" s="28">
        <v>2019</v>
      </c>
      <c r="C1407" s="68">
        <f t="shared" si="21"/>
        <v>43466</v>
      </c>
      <c r="D1407" s="28" t="s">
        <v>1442</v>
      </c>
      <c r="E1407" s="28" t="s">
        <v>2386</v>
      </c>
      <c r="F1407" s="28" t="s">
        <v>1443</v>
      </c>
      <c r="G1407" s="28" t="s">
        <v>450</v>
      </c>
      <c r="H1407" s="28">
        <v>14580</v>
      </c>
      <c r="I1407" s="28">
        <v>43.227834000000001</v>
      </c>
      <c r="J1407" s="28">
        <v>-77.411534000000003</v>
      </c>
      <c r="K1407" s="28" t="s">
        <v>740</v>
      </c>
      <c r="L1407" s="61">
        <v>110000327799</v>
      </c>
      <c r="M1407" s="28" t="s">
        <v>265</v>
      </c>
      <c r="N1407" s="28">
        <v>9511</v>
      </c>
      <c r="O1407" s="28" t="str">
        <f>IFERROR(VLOOKUP(N1407, 'SIC &amp; NAICS Codes'!A:B, 2, FALSE), "")</f>
        <v>Air and Water Resource and Solid Waste Management</v>
      </c>
      <c r="S1407" s="28">
        <v>6.7627579100000001E-2</v>
      </c>
      <c r="T1407" s="315">
        <f>_xlfn.MAXIFS('Raw Period DMR Data'!$O:$O,'Raw Period DMR Data'!$A:$A,'Raw Annual DMR Data'!B1407,'Raw Period DMR Data'!$C:$C,X1407)/S1407</f>
        <v>0</v>
      </c>
      <c r="U1407" s="28" t="str">
        <f>+IF(COUNTIFS('Raw Period DMR Data'!$A:$A,B1407, 'Raw Period DMR Data'!C:C,'Raw Annual DMR Data'!X1407, 'Raw Period DMR Data'!M:M, "&gt;0")&gt;0,_xlfn.MAXIFS('Raw Period DMR Data'!M:M,'Raw Period DMR Data'!$A:$A,'Raw Annual DMR Data'!B1407,'Raw Period DMR Data'!C:C,'Raw Annual DMR Data'!X1407), "N/A - Period DMR Data Not Available")</f>
        <v>N/A - Period DMR Data Not Available</v>
      </c>
      <c r="V1407" s="28" t="str" cm="1">
        <f t="array" ref="V1407">IFERROR(INDEX('Raw Period DMR Data'!N:N,MATCH(1,(B1407='Raw Period DMR Data'!$A:$A)*(U1407='Raw Period DMR Data'!M:M)*(X1407='Raw Period DMR Data'!C:C),0),1), "N/A")</f>
        <v>N/A</v>
      </c>
      <c r="W1407" s="28" t="s">
        <v>1463</v>
      </c>
      <c r="X1407" s="28" t="s">
        <v>2387</v>
      </c>
      <c r="Y1407" s="28" t="s">
        <v>2388</v>
      </c>
      <c r="Z1407" s="28">
        <v>4140101000567</v>
      </c>
      <c r="AA1407" s="28"/>
      <c r="AB1407" s="28" t="s">
        <v>1465</v>
      </c>
      <c r="AC1407" s="28" t="s">
        <v>1466</v>
      </c>
    </row>
    <row r="1408" spans="1:29" x14ac:dyDescent="0.25">
      <c r="A1408" s="61">
        <v>110000327799</v>
      </c>
      <c r="B1408" s="28">
        <v>2019</v>
      </c>
      <c r="C1408" s="68">
        <f t="shared" si="21"/>
        <v>43466</v>
      </c>
      <c r="D1408" s="28" t="s">
        <v>1442</v>
      </c>
      <c r="E1408" s="28" t="s">
        <v>2386</v>
      </c>
      <c r="F1408" s="28" t="s">
        <v>1443</v>
      </c>
      <c r="G1408" s="28" t="s">
        <v>450</v>
      </c>
      <c r="H1408" s="28">
        <v>14580</v>
      </c>
      <c r="I1408" s="28">
        <v>43.227834000000001</v>
      </c>
      <c r="J1408" s="28">
        <v>-77.411534000000003</v>
      </c>
      <c r="K1408" s="28" t="s">
        <v>740</v>
      </c>
      <c r="L1408" s="61">
        <v>110000327799</v>
      </c>
      <c r="M1408" s="28" t="s">
        <v>265</v>
      </c>
      <c r="N1408" s="28">
        <v>9511</v>
      </c>
      <c r="O1408" s="28" t="str">
        <f>IFERROR(VLOOKUP(N1408, 'SIC &amp; NAICS Codes'!A:B, 2, FALSE), "")</f>
        <v>Air and Water Resource and Solid Waste Management</v>
      </c>
      <c r="S1408" s="28">
        <v>0.21448535199999999</v>
      </c>
      <c r="T1408" s="315">
        <f>_xlfn.MAXIFS('Raw Period DMR Data'!$O:$O,'Raw Period DMR Data'!$A:$A,'Raw Annual DMR Data'!B1408,'Raw Period DMR Data'!$C:$C,X1408)/S1408</f>
        <v>0</v>
      </c>
      <c r="U1408" s="28" t="str">
        <f>+IF(COUNTIFS('Raw Period DMR Data'!$A:$A,B1408, 'Raw Period DMR Data'!C:C,'Raw Annual DMR Data'!X1408, 'Raw Period DMR Data'!M:M, "&gt;0")&gt;0,_xlfn.MAXIFS('Raw Period DMR Data'!M:M,'Raw Period DMR Data'!$A:$A,'Raw Annual DMR Data'!B1408,'Raw Period DMR Data'!C:C,'Raw Annual DMR Data'!X1408), "N/A - Period DMR Data Not Available")</f>
        <v>N/A - Period DMR Data Not Available</v>
      </c>
      <c r="V1408" s="28" t="str" cm="1">
        <f t="array" ref="V1408">IFERROR(INDEX('Raw Period DMR Data'!N:N,MATCH(1,(B1408='Raw Period DMR Data'!$A:$A)*(U1408='Raw Period DMR Data'!M:M)*(X1408='Raw Period DMR Data'!C:C),0),1), "N/A")</f>
        <v>N/A</v>
      </c>
      <c r="W1408" s="28" t="s">
        <v>1463</v>
      </c>
      <c r="X1408" s="28" t="s">
        <v>2387</v>
      </c>
      <c r="Y1408" s="28" t="s">
        <v>2388</v>
      </c>
      <c r="Z1408" s="28">
        <v>4140101000567</v>
      </c>
      <c r="AA1408" s="28"/>
      <c r="AB1408" s="28" t="s">
        <v>1465</v>
      </c>
      <c r="AC1408" s="28" t="s">
        <v>1466</v>
      </c>
    </row>
    <row r="1409" spans="1:29" x14ac:dyDescent="0.25">
      <c r="A1409" s="61">
        <v>110000327799</v>
      </c>
      <c r="B1409" s="28">
        <v>2019</v>
      </c>
      <c r="C1409" s="68">
        <f t="shared" si="21"/>
        <v>43466</v>
      </c>
      <c r="D1409" s="28" t="s">
        <v>1442</v>
      </c>
      <c r="E1409" s="28" t="s">
        <v>2386</v>
      </c>
      <c r="F1409" s="28" t="s">
        <v>1443</v>
      </c>
      <c r="G1409" s="28" t="s">
        <v>450</v>
      </c>
      <c r="H1409" s="28">
        <v>14580</v>
      </c>
      <c r="I1409" s="28">
        <v>43.227834000000001</v>
      </c>
      <c r="J1409" s="28">
        <v>-77.411534000000003</v>
      </c>
      <c r="K1409" s="28" t="s">
        <v>740</v>
      </c>
      <c r="L1409" s="61">
        <v>110000327799</v>
      </c>
      <c r="M1409" s="28" t="s">
        <v>265</v>
      </c>
      <c r="N1409" s="28">
        <v>9511</v>
      </c>
      <c r="O1409" s="28" t="str">
        <f>IFERROR(VLOOKUP(N1409, 'SIC &amp; NAICS Codes'!A:B, 2, FALSE), "")</f>
        <v>Air and Water Resource and Solid Waste Management</v>
      </c>
      <c r="S1409" s="28">
        <v>0.12497444718</v>
      </c>
      <c r="T1409" s="315">
        <f>_xlfn.MAXIFS('Raw Period DMR Data'!$O:$O,'Raw Period DMR Data'!$A:$A,'Raw Annual DMR Data'!B1409,'Raw Period DMR Data'!$C:$C,X1409)/S1409</f>
        <v>0</v>
      </c>
      <c r="U1409" s="28" t="str">
        <f>+IF(COUNTIFS('Raw Period DMR Data'!$A:$A,B1409, 'Raw Period DMR Data'!C:C,'Raw Annual DMR Data'!X1409, 'Raw Period DMR Data'!M:M, "&gt;0")&gt;0,_xlfn.MAXIFS('Raw Period DMR Data'!M:M,'Raw Period DMR Data'!$A:$A,'Raw Annual DMR Data'!B1409,'Raw Period DMR Data'!C:C,'Raw Annual DMR Data'!X1409), "N/A - Period DMR Data Not Available")</f>
        <v>N/A - Period DMR Data Not Available</v>
      </c>
      <c r="V1409" s="28" t="str" cm="1">
        <f t="array" ref="V1409">IFERROR(INDEX('Raw Period DMR Data'!N:N,MATCH(1,(B1409='Raw Period DMR Data'!$A:$A)*(U1409='Raw Period DMR Data'!M:M)*(X1409='Raw Period DMR Data'!C:C),0),1), "N/A")</f>
        <v>N/A</v>
      </c>
      <c r="W1409" s="28" t="s">
        <v>1463</v>
      </c>
      <c r="X1409" s="28" t="s">
        <v>2387</v>
      </c>
      <c r="Y1409" s="28" t="s">
        <v>2388</v>
      </c>
      <c r="Z1409" s="28">
        <v>4140101000567</v>
      </c>
      <c r="AA1409" s="28"/>
      <c r="AB1409" s="28" t="s">
        <v>1465</v>
      </c>
      <c r="AC1409" s="28" t="s">
        <v>1466</v>
      </c>
    </row>
    <row r="1410" spans="1:29" x14ac:dyDescent="0.25">
      <c r="A1410" s="61">
        <v>110000327799</v>
      </c>
      <c r="B1410" s="28">
        <v>2020</v>
      </c>
      <c r="C1410" s="68">
        <f t="shared" si="21"/>
        <v>43831</v>
      </c>
      <c r="D1410" s="28" t="s">
        <v>1442</v>
      </c>
      <c r="E1410" s="28" t="s">
        <v>2386</v>
      </c>
      <c r="F1410" s="28" t="s">
        <v>1443</v>
      </c>
      <c r="G1410" s="28" t="s">
        <v>450</v>
      </c>
      <c r="H1410" s="28">
        <v>14580</v>
      </c>
      <c r="I1410" s="28">
        <v>43.227834000000001</v>
      </c>
      <c r="J1410" s="28">
        <v>-77.411534000000003</v>
      </c>
      <c r="K1410" s="28" t="s">
        <v>740</v>
      </c>
      <c r="L1410" s="61">
        <v>110000327799</v>
      </c>
      <c r="M1410" s="28" t="s">
        <v>265</v>
      </c>
      <c r="N1410" s="28">
        <v>9511</v>
      </c>
      <c r="O1410" s="28" t="str">
        <f>IFERROR(VLOOKUP(N1410, 'SIC &amp; NAICS Codes'!A:B, 2, FALSE), "")</f>
        <v>Air and Water Resource and Solid Waste Management</v>
      </c>
      <c r="S1410" s="28">
        <v>0.21598643833699999</v>
      </c>
      <c r="T1410" s="315">
        <f>_xlfn.MAXIFS('Raw Period DMR Data'!$O:$O,'Raw Period DMR Data'!$A:$A,'Raw Annual DMR Data'!B1410,'Raw Period DMR Data'!$C:$C,X1410)/S1410</f>
        <v>0</v>
      </c>
      <c r="U1410" s="28" t="str">
        <f>+IF(COUNTIFS('Raw Period DMR Data'!$A:$A,B1410, 'Raw Period DMR Data'!C:C,'Raw Annual DMR Data'!X1410, 'Raw Period DMR Data'!M:M, "&gt;0")&gt;0,_xlfn.MAXIFS('Raw Period DMR Data'!M:M,'Raw Period DMR Data'!$A:$A,'Raw Annual DMR Data'!B1410,'Raw Period DMR Data'!C:C,'Raw Annual DMR Data'!X1410), "N/A - Period DMR Data Not Available")</f>
        <v>N/A - Period DMR Data Not Available</v>
      </c>
      <c r="V1410" s="28" t="str" cm="1">
        <f t="array" ref="V1410">IFERROR(INDEX('Raw Period DMR Data'!N:N,MATCH(1,(B1410='Raw Period DMR Data'!$A:$A)*(U1410='Raw Period DMR Data'!M:M)*(X1410='Raw Period DMR Data'!C:C),0),1), "N/A")</f>
        <v>N/A</v>
      </c>
      <c r="W1410" s="28" t="s">
        <v>1463</v>
      </c>
      <c r="X1410" s="28" t="s">
        <v>2387</v>
      </c>
      <c r="Y1410" s="28" t="s">
        <v>2388</v>
      </c>
      <c r="Z1410" s="28">
        <v>4140101000567</v>
      </c>
      <c r="AA1410" s="28"/>
      <c r="AB1410" s="28" t="s">
        <v>1465</v>
      </c>
      <c r="AC1410" s="28" t="s">
        <v>1466</v>
      </c>
    </row>
    <row r="1411" spans="1:29" x14ac:dyDescent="0.25">
      <c r="A1411" s="61">
        <v>110000327799</v>
      </c>
      <c r="B1411" s="28">
        <v>2020</v>
      </c>
      <c r="C1411" s="68">
        <f t="shared" ref="C1411:C1414" si="22">DATE(B1411, 1, 1)</f>
        <v>43831</v>
      </c>
      <c r="D1411" s="28" t="s">
        <v>1442</v>
      </c>
      <c r="E1411" s="28" t="s">
        <v>2386</v>
      </c>
      <c r="F1411" s="28" t="s">
        <v>1443</v>
      </c>
      <c r="G1411" s="28" t="s">
        <v>450</v>
      </c>
      <c r="H1411" s="28">
        <v>14580</v>
      </c>
      <c r="I1411" s="28">
        <v>43.227834000000001</v>
      </c>
      <c r="J1411" s="28">
        <v>-77.411534000000003</v>
      </c>
      <c r="K1411" s="28" t="s">
        <v>740</v>
      </c>
      <c r="L1411" s="61">
        <v>110000327799</v>
      </c>
      <c r="M1411" s="28" t="s">
        <v>265</v>
      </c>
      <c r="N1411" s="28">
        <v>9511</v>
      </c>
      <c r="O1411" s="28" t="str">
        <f>IFERROR(VLOOKUP(N1411, 'SIC &amp; NAICS Codes'!A:B, 2, FALSE), "")</f>
        <v>Air and Water Resource and Solid Waste Management</v>
      </c>
      <c r="S1411" s="28">
        <v>6.0500317363000003E-2</v>
      </c>
      <c r="T1411" s="315">
        <f>_xlfn.MAXIFS('Raw Period DMR Data'!$O:$O,'Raw Period DMR Data'!$A:$A,'Raw Annual DMR Data'!B1411,'Raw Period DMR Data'!$C:$C,X1411)/S1411</f>
        <v>0</v>
      </c>
      <c r="U1411" s="28" t="str">
        <f>+IF(COUNTIFS('Raw Period DMR Data'!$A:$A,B1411, 'Raw Period DMR Data'!C:C,'Raw Annual DMR Data'!X1411, 'Raw Period DMR Data'!M:M, "&gt;0")&gt;0,_xlfn.MAXIFS('Raw Period DMR Data'!M:M,'Raw Period DMR Data'!$A:$A,'Raw Annual DMR Data'!B1411,'Raw Period DMR Data'!C:C,'Raw Annual DMR Data'!X1411), "N/A - Period DMR Data Not Available")</f>
        <v>N/A - Period DMR Data Not Available</v>
      </c>
      <c r="V1411" s="28" t="str" cm="1">
        <f t="array" ref="V1411">IFERROR(INDEX('Raw Period DMR Data'!N:N,MATCH(1,(B1411='Raw Period DMR Data'!$A:$A)*(U1411='Raw Period DMR Data'!M:M)*(X1411='Raw Period DMR Data'!C:C),0),1), "N/A")</f>
        <v>N/A</v>
      </c>
      <c r="W1411" s="28" t="s">
        <v>1463</v>
      </c>
      <c r="X1411" s="28" t="s">
        <v>2387</v>
      </c>
      <c r="Y1411" s="28" t="s">
        <v>2388</v>
      </c>
      <c r="Z1411" s="28">
        <v>4140101000567</v>
      </c>
      <c r="AA1411" s="28"/>
      <c r="AB1411" s="28" t="s">
        <v>1465</v>
      </c>
      <c r="AC1411" s="28" t="s">
        <v>1466</v>
      </c>
    </row>
    <row r="1412" spans="1:29" x14ac:dyDescent="0.25">
      <c r="A1412" s="61">
        <v>110000327799</v>
      </c>
      <c r="B1412" s="28">
        <v>2020</v>
      </c>
      <c r="C1412" s="68">
        <f t="shared" si="22"/>
        <v>43831</v>
      </c>
      <c r="D1412" s="28" t="s">
        <v>1442</v>
      </c>
      <c r="E1412" s="28" t="s">
        <v>2386</v>
      </c>
      <c r="F1412" s="28" t="s">
        <v>1443</v>
      </c>
      <c r="G1412" s="28" t="s">
        <v>450</v>
      </c>
      <c r="H1412" s="28">
        <v>14580</v>
      </c>
      <c r="I1412" s="28">
        <v>43.227834000000001</v>
      </c>
      <c r="J1412" s="28">
        <v>-77.411534000000003</v>
      </c>
      <c r="K1412" s="28" t="s">
        <v>740</v>
      </c>
      <c r="L1412" s="61">
        <v>110000327799</v>
      </c>
      <c r="M1412" s="28" t="s">
        <v>265</v>
      </c>
      <c r="N1412" s="28">
        <v>9511</v>
      </c>
      <c r="O1412" s="28" t="str">
        <f>IFERROR(VLOOKUP(N1412, 'SIC &amp; NAICS Codes'!A:B, 2, FALSE), "")</f>
        <v>Air and Water Resource and Solid Waste Management</v>
      </c>
      <c r="S1412" s="28">
        <v>8.7600778074999996E-2</v>
      </c>
      <c r="T1412" s="315">
        <f>_xlfn.MAXIFS('Raw Period DMR Data'!$O:$O,'Raw Period DMR Data'!$A:$A,'Raw Annual DMR Data'!B1412,'Raw Period DMR Data'!$C:$C,X1412)/S1412</f>
        <v>0</v>
      </c>
      <c r="U1412" s="28" t="str">
        <f>+IF(COUNTIFS('Raw Period DMR Data'!$A:$A,B1412, 'Raw Period DMR Data'!C:C,'Raw Annual DMR Data'!X1412, 'Raw Period DMR Data'!M:M, "&gt;0")&gt;0,_xlfn.MAXIFS('Raw Period DMR Data'!M:M,'Raw Period DMR Data'!$A:$A,'Raw Annual DMR Data'!B1412,'Raw Period DMR Data'!C:C,'Raw Annual DMR Data'!X1412), "N/A - Period DMR Data Not Available")</f>
        <v>N/A - Period DMR Data Not Available</v>
      </c>
      <c r="V1412" s="28" t="str" cm="1">
        <f t="array" ref="V1412">IFERROR(INDEX('Raw Period DMR Data'!N:N,MATCH(1,(B1412='Raw Period DMR Data'!$A:$A)*(U1412='Raw Period DMR Data'!M:M)*(X1412='Raw Period DMR Data'!C:C),0),1), "N/A")</f>
        <v>N/A</v>
      </c>
      <c r="W1412" s="28" t="s">
        <v>1463</v>
      </c>
      <c r="X1412" s="28" t="s">
        <v>2387</v>
      </c>
      <c r="Y1412" s="28" t="s">
        <v>2388</v>
      </c>
      <c r="Z1412" s="28">
        <v>4140101000567</v>
      </c>
      <c r="AA1412" s="28"/>
      <c r="AB1412" s="28" t="s">
        <v>1465</v>
      </c>
      <c r="AC1412" s="28" t="s">
        <v>1466</v>
      </c>
    </row>
    <row r="1413" spans="1:29" x14ac:dyDescent="0.25">
      <c r="A1413" s="61">
        <v>110000524987</v>
      </c>
      <c r="B1413" s="28">
        <v>2017</v>
      </c>
      <c r="C1413" s="68">
        <f t="shared" si="22"/>
        <v>42736</v>
      </c>
      <c r="D1413" s="28" t="s">
        <v>1444</v>
      </c>
      <c r="E1413" s="28" t="s">
        <v>2390</v>
      </c>
      <c r="F1413" s="28" t="s">
        <v>1445</v>
      </c>
      <c r="G1413" s="28" t="s">
        <v>366</v>
      </c>
      <c r="H1413" s="28">
        <v>95991</v>
      </c>
      <c r="I1413" s="28">
        <v>39.107500000000002</v>
      </c>
      <c r="J1413" s="28">
        <v>-121.612278</v>
      </c>
      <c r="L1413" s="61">
        <v>110000524987</v>
      </c>
      <c r="M1413" s="28" t="s">
        <v>263</v>
      </c>
      <c r="N1413" s="28">
        <v>4952</v>
      </c>
      <c r="O1413" s="28" t="str">
        <f>IFERROR(VLOOKUP(N1413, 'SIC &amp; NAICS Codes'!A:B, 2, FALSE), "")</f>
        <v>Sewerage Systems</v>
      </c>
      <c r="S1413" s="28">
        <v>0.86468688360000001</v>
      </c>
      <c r="T1413" s="315">
        <f>_xlfn.MAXIFS('Raw Period DMR Data'!$O:$O,'Raw Period DMR Data'!$A:$A,'Raw Annual DMR Data'!B1413,'Raw Period DMR Data'!$C:$C,X1413)/S1413</f>
        <v>0</v>
      </c>
      <c r="U1413" s="28" t="str">
        <f>+IF(COUNTIFS('Raw Period DMR Data'!$A:$A,B1413, 'Raw Period DMR Data'!C:C,'Raw Annual DMR Data'!X1413, 'Raw Period DMR Data'!M:M, "&gt;0")&gt;0,_xlfn.MAXIFS('Raw Period DMR Data'!M:M,'Raw Period DMR Data'!$A:$A,'Raw Annual DMR Data'!B1413,'Raw Period DMR Data'!C:C,'Raw Annual DMR Data'!X1413), "N/A - Period DMR Data Not Available")</f>
        <v>N/A - Period DMR Data Not Available</v>
      </c>
      <c r="V1413" s="28" t="str" cm="1">
        <f t="array" ref="V1413">IFERROR(INDEX('Raw Period DMR Data'!N:N,MATCH(1,(B1413='Raw Period DMR Data'!$A:$A)*(U1413='Raw Period DMR Data'!M:M)*(X1413='Raw Period DMR Data'!C:C),0),1), "N/A")</f>
        <v>N/A</v>
      </c>
      <c r="W1413" s="28" t="s">
        <v>1463</v>
      </c>
      <c r="X1413" s="28" t="s">
        <v>2391</v>
      </c>
      <c r="Y1413" s="28" t="s">
        <v>2392</v>
      </c>
      <c r="Z1413" s="28">
        <v>18020159005373</v>
      </c>
      <c r="AA1413" s="28"/>
      <c r="AB1413" s="28" t="s">
        <v>1465</v>
      </c>
      <c r="AC1413" s="28" t="s">
        <v>263</v>
      </c>
    </row>
    <row r="1414" spans="1:29" x14ac:dyDescent="0.25">
      <c r="A1414" s="61">
        <v>110070159157</v>
      </c>
      <c r="B1414" s="28">
        <v>2018</v>
      </c>
      <c r="C1414" s="68">
        <f t="shared" si="22"/>
        <v>43101</v>
      </c>
      <c r="D1414" s="28" t="s">
        <v>1446</v>
      </c>
      <c r="E1414" s="28" t="s">
        <v>2393</v>
      </c>
      <c r="F1414" s="28" t="s">
        <v>1228</v>
      </c>
      <c r="G1414" s="28" t="s">
        <v>1128</v>
      </c>
      <c r="H1414" s="28">
        <v>80248</v>
      </c>
      <c r="I1414" s="28">
        <v>39.753309999999999</v>
      </c>
      <c r="J1414" s="28">
        <v>-104.99733999999999</v>
      </c>
      <c r="L1414" s="61">
        <v>110070159157</v>
      </c>
      <c r="M1414" s="28" t="s">
        <v>265</v>
      </c>
      <c r="N1414" s="28">
        <v>7011</v>
      </c>
      <c r="O1414" s="28" t="str">
        <f>IFERROR(VLOOKUP(N1414, 'SIC &amp; NAICS Codes'!A:B, 2, FALSE), "")</f>
        <v>Hotels and Motels (hotels, except casino hotels, and motels)</v>
      </c>
      <c r="S1414" s="28">
        <v>5.4844650000000002E-4</v>
      </c>
      <c r="T1414" s="315">
        <f>_xlfn.MAXIFS('Raw Period DMR Data'!$O:$O,'Raw Period DMR Data'!$A:$A,'Raw Annual DMR Data'!B1414,'Raw Period DMR Data'!$C:$C,X1414)/S1414</f>
        <v>0</v>
      </c>
      <c r="U1414" s="28" t="str">
        <f>+IF(COUNTIFS('Raw Period DMR Data'!$A:$A,B1414, 'Raw Period DMR Data'!C:C,'Raw Annual DMR Data'!X1414, 'Raw Period DMR Data'!M:M, "&gt;0")&gt;0,_xlfn.MAXIFS('Raw Period DMR Data'!M:M,'Raw Period DMR Data'!$A:$A,'Raw Annual DMR Data'!B1414,'Raw Period DMR Data'!C:C,'Raw Annual DMR Data'!X1414), "N/A - Period DMR Data Not Available")</f>
        <v>N/A - Period DMR Data Not Available</v>
      </c>
      <c r="V1414" s="28" t="str" cm="1">
        <f t="array" ref="V1414">IFERROR(INDEX('Raw Period DMR Data'!N:N,MATCH(1,(B1414='Raw Period DMR Data'!$A:$A)*(U1414='Raw Period DMR Data'!M:M)*(X1414='Raw Period DMR Data'!C:C),0),1), "N/A")</f>
        <v>N/A</v>
      </c>
      <c r="W1414" s="28" t="s">
        <v>1463</v>
      </c>
      <c r="X1414" s="28" t="s">
        <v>2394</v>
      </c>
      <c r="Y1414" s="28" t="s">
        <v>1965</v>
      </c>
      <c r="Z1414" s="28">
        <v>10190003001175</v>
      </c>
      <c r="AA1414" s="28"/>
      <c r="AB1414" s="28" t="s">
        <v>1465</v>
      </c>
      <c r="AC1414" s="28" t="s">
        <v>1466</v>
      </c>
    </row>
    <row r="1415" spans="1:29" x14ac:dyDescent="0.25">
      <c r="A1415" s="61">
        <v>110056126972</v>
      </c>
      <c r="B1415" s="28">
        <v>2021</v>
      </c>
      <c r="C1415" s="68">
        <f t="shared" ref="C1415:C1478" si="23">DATE(B1415, 1, 1)</f>
        <v>44197</v>
      </c>
      <c r="D1415" s="28" t="s">
        <v>6874</v>
      </c>
      <c r="E1415" s="28" t="s">
        <v>7044</v>
      </c>
      <c r="F1415" s="28" t="s">
        <v>1228</v>
      </c>
      <c r="G1415" s="28" t="s">
        <v>1128</v>
      </c>
      <c r="H1415" s="28">
        <v>80206</v>
      </c>
      <c r="I1415" s="28">
        <v>39.718069999999997</v>
      </c>
      <c r="J1415" s="28">
        <v>-104.95112</v>
      </c>
      <c r="L1415" s="61">
        <v>110056126972</v>
      </c>
      <c r="M1415" s="28" t="s">
        <v>265</v>
      </c>
      <c r="N1415" s="28">
        <v>1611</v>
      </c>
      <c r="O1415" s="28" t="str">
        <f>IFERROR(VLOOKUP(N1415, 'SIC &amp; NAICS Codes'!A:B, 2, FALSE), "")</f>
        <v>Highway and Street Construction, Except Elevated Highways</v>
      </c>
      <c r="S1415" s="28">
        <v>5.9382964545500003E-2</v>
      </c>
      <c r="T1415" s="315">
        <f>_xlfn.MAXIFS('Raw Period DMR Data'!$O:$O,'Raw Period DMR Data'!$A:$A,'Raw Annual DMR Data_2021-2024'!#REF!,'Raw Period DMR Data'!$C:$C,X1415)/S1415</f>
        <v>0</v>
      </c>
      <c r="U1415" s="28" t="str">
        <f>+IF(COUNTIFS('Raw Period DMR Data'!$A:$A,B1415,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15" s="28" t="str" cm="1">
        <f t="array" ref="V1415">IFERROR(INDEX('Raw Period DMR Data'!N:N,MATCH(1,(B1415='Raw Period DMR Data'!$A:$A)*(U1415='Raw Period DMR Data'!M:M)*(X1415='Raw Period DMR Data'!C:C),0),1), "N/A")</f>
        <v>N/A</v>
      </c>
      <c r="W1415" s="28" t="s">
        <v>1463</v>
      </c>
      <c r="X1415" s="28" t="s">
        <v>7202</v>
      </c>
      <c r="Y1415" s="28" t="s">
        <v>7298</v>
      </c>
      <c r="Z1415" s="61"/>
      <c r="AA1415" s="28"/>
      <c r="AB1415" s="28" t="s">
        <v>7355</v>
      </c>
      <c r="AC1415" s="28" t="s">
        <v>1466</v>
      </c>
    </row>
    <row r="1416" spans="1:29" x14ac:dyDescent="0.25">
      <c r="A1416" s="61">
        <v>110059790588</v>
      </c>
      <c r="B1416" s="28">
        <v>2021</v>
      </c>
      <c r="C1416" s="68">
        <f t="shared" si="23"/>
        <v>44197</v>
      </c>
      <c r="D1416" s="28" t="s">
        <v>6863</v>
      </c>
      <c r="E1416" s="28" t="s">
        <v>7027</v>
      </c>
      <c r="F1416" s="28" t="s">
        <v>1228</v>
      </c>
      <c r="G1416" s="28" t="s">
        <v>1128</v>
      </c>
      <c r="H1416" s="28">
        <v>80202</v>
      </c>
      <c r="I1416" s="28">
        <v>39.747204000000004</v>
      </c>
      <c r="J1416" s="28">
        <v>-104.997249</v>
      </c>
      <c r="L1416" s="61">
        <v>110059790588</v>
      </c>
      <c r="M1416" s="28" t="s">
        <v>265</v>
      </c>
      <c r="N1416" s="28">
        <v>1799</v>
      </c>
      <c r="O1416" s="28" t="str">
        <f>IFERROR(VLOOKUP(N1416, 'SIC &amp; NAICS Codes'!A:B, 2, FALSE), "")</f>
        <v>Special Trade Contractors, NEC (indoor swimming pool construction contractors)</v>
      </c>
      <c r="S1416" s="28">
        <v>1.82113554545454E-3</v>
      </c>
      <c r="T1416" s="315">
        <f>_xlfn.MAXIFS('Raw Period DMR Data'!$O:$O,'Raw Period DMR Data'!$A:$A,'Raw Annual DMR Data_2021-2024'!#REF!,'Raw Period DMR Data'!$C:$C,X1416)/S1416</f>
        <v>0</v>
      </c>
      <c r="U1416" s="28" t="str">
        <f>+IF(COUNTIFS('Raw Period DMR Data'!$A:$A,B1416,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16" s="28" t="str" cm="1">
        <f t="array" ref="V1416">IFERROR(INDEX('Raw Period DMR Data'!N:N,MATCH(1,(B1416='Raw Period DMR Data'!$A:$A)*(U1416='Raw Period DMR Data'!M:M)*(X1416='Raw Period DMR Data'!C:C),0),1), "N/A")</f>
        <v>N/A</v>
      </c>
      <c r="W1416" s="28" t="s">
        <v>1463</v>
      </c>
      <c r="X1416" s="28" t="s">
        <v>7193</v>
      </c>
      <c r="Y1416" s="28" t="s">
        <v>7298</v>
      </c>
      <c r="Z1416" s="61"/>
      <c r="AA1416" s="28"/>
      <c r="AB1416" s="28" t="s">
        <v>7355</v>
      </c>
      <c r="AC1416" s="28" t="s">
        <v>1466</v>
      </c>
    </row>
    <row r="1417" spans="1:29" x14ac:dyDescent="0.25">
      <c r="A1417" s="61">
        <v>110059790588</v>
      </c>
      <c r="B1417" s="28">
        <v>2022</v>
      </c>
      <c r="C1417" s="68">
        <f t="shared" si="23"/>
        <v>44562</v>
      </c>
      <c r="D1417" s="28" t="s">
        <v>6863</v>
      </c>
      <c r="E1417" s="28" t="s">
        <v>7027</v>
      </c>
      <c r="F1417" s="28" t="s">
        <v>1228</v>
      </c>
      <c r="G1417" s="28" t="s">
        <v>1128</v>
      </c>
      <c r="H1417" s="28">
        <v>80202</v>
      </c>
      <c r="I1417" s="28">
        <v>39.747204000000004</v>
      </c>
      <c r="J1417" s="28">
        <v>-104.997249</v>
      </c>
      <c r="L1417" s="61">
        <v>110059790588</v>
      </c>
      <c r="M1417" s="28" t="s">
        <v>265</v>
      </c>
      <c r="N1417" s="28">
        <v>1799</v>
      </c>
      <c r="O1417" s="28" t="str">
        <f>IFERROR(VLOOKUP(N1417, 'SIC &amp; NAICS Codes'!A:B, 2, FALSE), "")</f>
        <v>Special Trade Contractors, NEC (indoor swimming pool construction contractors)</v>
      </c>
      <c r="S1417" s="28">
        <v>1.17335E-4</v>
      </c>
      <c r="T1417" s="315">
        <f>_xlfn.MAXIFS('Raw Period DMR Data'!$O:$O,'Raw Period DMR Data'!$A:$A,'Raw Annual DMR Data_2021-2024'!#REF!,'Raw Period DMR Data'!$C:$C,X1417)/S1417</f>
        <v>0</v>
      </c>
      <c r="U1417" s="28" t="str">
        <f>+IF(COUNTIFS('Raw Period DMR Data'!$A:$A,B1417,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17" s="28" t="str" cm="1">
        <f t="array" ref="V1417">IFERROR(INDEX('Raw Period DMR Data'!N:N,MATCH(1,(B1417='Raw Period DMR Data'!$A:$A)*(U1417='Raw Period DMR Data'!M:M)*(X1417='Raw Period DMR Data'!C:C),0),1), "N/A")</f>
        <v>N/A</v>
      </c>
      <c r="W1417" s="28" t="s">
        <v>1463</v>
      </c>
      <c r="X1417" s="28" t="s">
        <v>7193</v>
      </c>
      <c r="Y1417" s="28" t="s">
        <v>7298</v>
      </c>
      <c r="Z1417" s="61"/>
      <c r="AB1417" s="28" t="s">
        <v>7355</v>
      </c>
      <c r="AC1417" s="28" t="s">
        <v>1466</v>
      </c>
    </row>
    <row r="1418" spans="1:29" x14ac:dyDescent="0.25">
      <c r="A1418" s="61">
        <v>110071181280</v>
      </c>
      <c r="B1418" s="28">
        <v>2022</v>
      </c>
      <c r="C1418" s="68">
        <f t="shared" si="23"/>
        <v>44562</v>
      </c>
      <c r="D1418" s="28" t="s">
        <v>6840</v>
      </c>
      <c r="E1418" s="28" t="s">
        <v>6996</v>
      </c>
      <c r="F1418" s="28" t="s">
        <v>968</v>
      </c>
      <c r="G1418" s="28" t="s">
        <v>294</v>
      </c>
      <c r="H1418" s="28">
        <v>223141396</v>
      </c>
      <c r="I1418" s="28">
        <v>38.818069999999999</v>
      </c>
      <c r="J1418" s="28">
        <v>-77.049329999999998</v>
      </c>
      <c r="L1418" s="61">
        <v>110071181280</v>
      </c>
      <c r="M1418" s="28" t="s">
        <v>265</v>
      </c>
      <c r="N1418" s="28">
        <v>1794</v>
      </c>
      <c r="O1418" s="28" t="str">
        <f>IFERROR(VLOOKUP(N1418, 'SIC &amp; NAICS Codes'!A:B, 2, FALSE), "")</f>
        <v>Excavation Work</v>
      </c>
      <c r="S1418" s="28">
        <v>1.2488039750000001E-2</v>
      </c>
      <c r="T1418" s="315">
        <f>_xlfn.MAXIFS('Raw Period DMR Data'!$O:$O,'Raw Period DMR Data'!$A:$A,'Raw Annual DMR Data_2021-2024'!#REF!,'Raw Period DMR Data'!$C:$C,X1418)/S1418</f>
        <v>0</v>
      </c>
      <c r="U1418" s="28" t="str">
        <f>+IF(COUNTIFS('Raw Period DMR Data'!$A:$A,B1418,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18" s="28" t="str" cm="1">
        <f t="array" ref="V1418">IFERROR(INDEX('Raw Period DMR Data'!N:N,MATCH(1,(B1418='Raw Period DMR Data'!$A:$A)*(U1418='Raw Period DMR Data'!M:M)*(X1418='Raw Period DMR Data'!C:C),0),1), "N/A")</f>
        <v>N/A</v>
      </c>
      <c r="W1418" s="28" t="s">
        <v>1463</v>
      </c>
      <c r="X1418" s="28" t="s">
        <v>7176</v>
      </c>
      <c r="Y1418" s="28" t="s">
        <v>1788</v>
      </c>
      <c r="Z1418" s="61"/>
      <c r="AB1418" s="28" t="s">
        <v>7355</v>
      </c>
      <c r="AC1418" s="28" t="s">
        <v>1466</v>
      </c>
    </row>
    <row r="1419" spans="1:29" x14ac:dyDescent="0.25">
      <c r="A1419" s="61">
        <v>110070884188</v>
      </c>
      <c r="B1419" s="28">
        <v>2021</v>
      </c>
      <c r="C1419" s="68">
        <f t="shared" si="23"/>
        <v>44197</v>
      </c>
      <c r="D1419" s="28" t="s">
        <v>6780</v>
      </c>
      <c r="E1419" s="28" t="s">
        <v>6924</v>
      </c>
      <c r="F1419" s="28" t="s">
        <v>293</v>
      </c>
      <c r="G1419" s="28" t="s">
        <v>294</v>
      </c>
      <c r="H1419" s="28">
        <v>22202</v>
      </c>
      <c r="I1419" s="28">
        <v>38.8568</v>
      </c>
      <c r="J1419" s="28">
        <v>-77.049700000000001</v>
      </c>
      <c r="L1419" s="61">
        <v>110070884188</v>
      </c>
      <c r="M1419" s="28" t="s">
        <v>265</v>
      </c>
      <c r="N1419" s="28">
        <v>1794</v>
      </c>
      <c r="O1419" s="28" t="str">
        <f>IFERROR(VLOOKUP(N1419, 'SIC &amp; NAICS Codes'!A:B, 2, FALSE), "")</f>
        <v>Excavation Work</v>
      </c>
      <c r="S1419" s="28">
        <v>1.7495784E-2</v>
      </c>
      <c r="T1419" s="315">
        <f>_xlfn.MAXIFS('Raw Period DMR Data'!$O:$O,'Raw Period DMR Data'!$A:$A,'Raw Annual DMR Data_2021-2024'!#REF!,'Raw Period DMR Data'!$C:$C,X1419)/S1419</f>
        <v>0</v>
      </c>
      <c r="U1419" s="28" t="str">
        <f>+IF(COUNTIFS('Raw Period DMR Data'!$A:$A,B1419,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19" s="28" t="str" cm="1">
        <f t="array" ref="V1419">IFERROR(INDEX('Raw Period DMR Data'!N:N,MATCH(1,(B1419='Raw Period DMR Data'!$A:$A)*(U1419='Raw Period DMR Data'!M:M)*(X1419='Raw Period DMR Data'!C:C),0),1), "N/A")</f>
        <v>N/A</v>
      </c>
      <c r="W1419" s="28" t="s">
        <v>1463</v>
      </c>
      <c r="X1419" s="28" t="s">
        <v>7141</v>
      </c>
      <c r="Y1419" s="28" t="s">
        <v>762</v>
      </c>
      <c r="Z1419" s="61"/>
      <c r="AA1419" s="28"/>
      <c r="AB1419" s="28" t="s">
        <v>7355</v>
      </c>
      <c r="AC1419" s="28" t="s">
        <v>1466</v>
      </c>
    </row>
    <row r="1420" spans="1:29" x14ac:dyDescent="0.25">
      <c r="A1420" s="61">
        <v>110070884188</v>
      </c>
      <c r="B1420" s="28">
        <v>2022</v>
      </c>
      <c r="C1420" s="68">
        <f t="shared" si="23"/>
        <v>44562</v>
      </c>
      <c r="D1420" s="28" t="s">
        <v>6780</v>
      </c>
      <c r="E1420" s="28" t="s">
        <v>6924</v>
      </c>
      <c r="F1420" s="28" t="s">
        <v>293</v>
      </c>
      <c r="G1420" s="28" t="s">
        <v>294</v>
      </c>
      <c r="H1420" s="28">
        <v>22202</v>
      </c>
      <c r="I1420" s="28">
        <v>38.8568</v>
      </c>
      <c r="J1420" s="28">
        <v>-77.049700000000001</v>
      </c>
      <c r="L1420" s="61">
        <v>110070884188</v>
      </c>
      <c r="M1420" s="28" t="s">
        <v>265</v>
      </c>
      <c r="N1420" s="28">
        <v>1794</v>
      </c>
      <c r="O1420" s="28" t="str">
        <f>IFERROR(VLOOKUP(N1420, 'SIC &amp; NAICS Codes'!A:B, 2, FALSE), "")</f>
        <v>Excavation Work</v>
      </c>
      <c r="S1420" s="28">
        <v>1.4470812E-2</v>
      </c>
      <c r="T1420" s="315">
        <f>_xlfn.MAXIFS('Raw Period DMR Data'!$O:$O,'Raw Period DMR Data'!$A:$A,'Raw Annual DMR Data_2021-2024'!#REF!,'Raw Period DMR Data'!$C:$C,X1420)/S1420</f>
        <v>0</v>
      </c>
      <c r="U1420" s="28" t="str">
        <f>+IF(COUNTIFS('Raw Period DMR Data'!$A:$A,B1420,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20" s="28" t="str" cm="1">
        <f t="array" ref="V1420">IFERROR(INDEX('Raw Period DMR Data'!N:N,MATCH(1,(B1420='Raw Period DMR Data'!$A:$A)*(U1420='Raw Period DMR Data'!M:M)*(X1420='Raw Period DMR Data'!C:C),0),1), "N/A")</f>
        <v>N/A</v>
      </c>
      <c r="W1420" s="28" t="s">
        <v>1463</v>
      </c>
      <c r="X1420" s="28" t="s">
        <v>7141</v>
      </c>
      <c r="Y1420" s="28" t="s">
        <v>762</v>
      </c>
      <c r="Z1420" s="61"/>
      <c r="AB1420" s="28" t="s">
        <v>7355</v>
      </c>
      <c r="AC1420" s="28" t="s">
        <v>1466</v>
      </c>
    </row>
    <row r="1421" spans="1:29" x14ac:dyDescent="0.25">
      <c r="A1421" s="61">
        <v>110071507783</v>
      </c>
      <c r="B1421" s="28">
        <v>2024</v>
      </c>
      <c r="C1421" s="68">
        <f t="shared" si="23"/>
        <v>45292</v>
      </c>
      <c r="D1421" s="28" t="s">
        <v>6900</v>
      </c>
      <c r="E1421" s="28" t="s">
        <v>7092</v>
      </c>
      <c r="F1421" s="28" t="s">
        <v>293</v>
      </c>
      <c r="G1421" s="28" t="s">
        <v>294</v>
      </c>
      <c r="H1421" s="28">
        <v>22209</v>
      </c>
      <c r="I1421" s="28">
        <v>38.898200000000003</v>
      </c>
      <c r="J1421" s="28">
        <v>-77.070899999999995</v>
      </c>
      <c r="L1421" s="61">
        <v>110071507783</v>
      </c>
      <c r="M1421" s="28" t="s">
        <v>265</v>
      </c>
      <c r="N1421" s="28">
        <v>1794</v>
      </c>
      <c r="O1421" s="28" t="str">
        <f>IFERROR(VLOOKUP(N1421, 'SIC &amp; NAICS Codes'!A:B, 2, FALSE), "")</f>
        <v>Excavation Work</v>
      </c>
      <c r="S1421" s="28">
        <v>2.0002967999999999E-2</v>
      </c>
      <c r="T1421" s="315">
        <f>_xlfn.MAXIFS('Raw Period DMR Data'!$O:$O,'Raw Period DMR Data'!$A:$A,'Raw Annual DMR Data_2021-2024'!#REF!,'Raw Period DMR Data'!$C:$C,X1421)/S1421</f>
        <v>0</v>
      </c>
      <c r="U1421" s="28" t="str">
        <f>+IF(COUNTIFS('Raw Period DMR Data'!$A:$A,B1421,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21" s="28" t="str" cm="1">
        <f t="array" ref="V1421">IFERROR(INDEX('Raw Period DMR Data'!N:N,MATCH(1,(B1421='Raw Period DMR Data'!$A:$A)*(U1421='Raw Period DMR Data'!M:M)*(X1421='Raw Period DMR Data'!C:C),0),1), "N/A")</f>
        <v>N/A</v>
      </c>
      <c r="W1421" s="28" t="s">
        <v>1463</v>
      </c>
      <c r="X1421" s="28" t="s">
        <v>7229</v>
      </c>
      <c r="Y1421" s="28" t="s">
        <v>762</v>
      </c>
      <c r="Z1421" s="61"/>
      <c r="AB1421" s="28" t="s">
        <v>7355</v>
      </c>
      <c r="AC1421" s="28" t="s">
        <v>1466</v>
      </c>
    </row>
    <row r="1422" spans="1:29" x14ac:dyDescent="0.25">
      <c r="A1422" s="61">
        <v>110071347994</v>
      </c>
      <c r="B1422" s="28">
        <v>2023</v>
      </c>
      <c r="C1422" s="68">
        <f t="shared" si="23"/>
        <v>44927</v>
      </c>
      <c r="D1422" s="28" t="s">
        <v>6782</v>
      </c>
      <c r="E1422" s="28" t="s">
        <v>6928</v>
      </c>
      <c r="F1422" s="28" t="s">
        <v>293</v>
      </c>
      <c r="G1422" s="28" t="s">
        <v>294</v>
      </c>
      <c r="H1422" s="28">
        <v>22201</v>
      </c>
      <c r="I1422" s="28">
        <v>38.85615</v>
      </c>
      <c r="J1422" s="28">
        <v>-77.051146000000003</v>
      </c>
      <c r="L1422" s="61">
        <v>110071347994</v>
      </c>
      <c r="M1422" s="28" t="s">
        <v>265</v>
      </c>
      <c r="N1422" s="28">
        <v>1794</v>
      </c>
      <c r="O1422" s="28" t="str">
        <f>IFERROR(VLOOKUP(N1422, 'SIC &amp; NAICS Codes'!A:B, 2, FALSE), "")</f>
        <v>Excavation Work</v>
      </c>
      <c r="S1422" s="28">
        <v>9.3678750000000005E-5</v>
      </c>
      <c r="T1422" s="315">
        <f>_xlfn.MAXIFS('Raw Period DMR Data'!$O:$O,'Raw Period DMR Data'!$A:$A,'Raw Annual DMR Data_2021-2024'!#REF!,'Raw Period DMR Data'!$C:$C,X1422)/S1422</f>
        <v>0</v>
      </c>
      <c r="U1422" s="28" t="str">
        <f>+IF(COUNTIFS('Raw Period DMR Data'!$A:$A,B1422,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22" s="28" t="str" cm="1">
        <f t="array" ref="V1422">IFERROR(INDEX('Raw Period DMR Data'!N:N,MATCH(1,(B1422='Raw Period DMR Data'!$A:$A)*(U1422='Raw Period DMR Data'!M:M)*(X1422='Raw Period DMR Data'!C:C),0),1), "N/A")</f>
        <v>N/A</v>
      </c>
      <c r="W1422" s="28" t="s">
        <v>1463</v>
      </c>
      <c r="X1422" s="28" t="s">
        <v>7143</v>
      </c>
      <c r="Y1422" s="28" t="s">
        <v>762</v>
      </c>
      <c r="Z1422" s="61"/>
      <c r="AB1422" s="28" t="s">
        <v>7355</v>
      </c>
      <c r="AC1422" s="28" t="s">
        <v>1466</v>
      </c>
    </row>
    <row r="1423" spans="1:29" x14ac:dyDescent="0.25">
      <c r="A1423" s="61">
        <v>110071503191</v>
      </c>
      <c r="B1423" s="28">
        <v>2024</v>
      </c>
      <c r="C1423" s="68">
        <f t="shared" si="23"/>
        <v>45292</v>
      </c>
      <c r="D1423" s="28" t="s">
        <v>6892</v>
      </c>
      <c r="E1423" s="28" t="s">
        <v>7074</v>
      </c>
      <c r="F1423" s="28" t="s">
        <v>968</v>
      </c>
      <c r="G1423" s="28" t="s">
        <v>294</v>
      </c>
      <c r="H1423" s="28">
        <v>22305</v>
      </c>
      <c r="I1423" s="28">
        <v>38.838200000000001</v>
      </c>
      <c r="J1423" s="28">
        <v>-77.060599999999994</v>
      </c>
      <c r="L1423" s="61">
        <v>110071503191</v>
      </c>
      <c r="M1423" s="28" t="s">
        <v>265</v>
      </c>
      <c r="N1423" s="28">
        <v>1794</v>
      </c>
      <c r="O1423" s="28" t="str">
        <f>IFERROR(VLOOKUP(N1423, 'SIC &amp; NAICS Codes'!A:B, 2, FALSE), "")</f>
        <v>Excavation Work</v>
      </c>
      <c r="S1423" s="28">
        <v>4.0172084063249999E-2</v>
      </c>
      <c r="T1423" s="315">
        <f>_xlfn.MAXIFS('Raw Period DMR Data'!$O:$O,'Raw Period DMR Data'!$A:$A,'Raw Annual DMR Data_2021-2024'!#REF!,'Raw Period DMR Data'!$C:$C,X1423)/S1423</f>
        <v>0</v>
      </c>
      <c r="U1423" s="28" t="str">
        <f>+IF(COUNTIFS('Raw Period DMR Data'!$A:$A,B1423,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23" s="28" t="str" cm="1">
        <f t="array" ref="V1423">IFERROR(INDEX('Raw Period DMR Data'!N:N,MATCH(1,(B1423='Raw Period DMR Data'!$A:$A)*(U1423='Raw Period DMR Data'!M:M)*(X1423='Raw Period DMR Data'!C:C),0),1), "N/A")</f>
        <v>N/A</v>
      </c>
      <c r="W1423" s="28" t="s">
        <v>1463</v>
      </c>
      <c r="X1423" s="28" t="s">
        <v>7219</v>
      </c>
      <c r="Y1423" s="28" t="s">
        <v>1475</v>
      </c>
      <c r="Z1423" s="61"/>
      <c r="AB1423" s="28" t="s">
        <v>7355</v>
      </c>
      <c r="AC1423" s="28" t="s">
        <v>1466</v>
      </c>
    </row>
    <row r="1424" spans="1:29" x14ac:dyDescent="0.25">
      <c r="A1424" s="61">
        <v>110006368206</v>
      </c>
      <c r="B1424" s="28">
        <v>2022</v>
      </c>
      <c r="C1424" s="68">
        <f t="shared" si="23"/>
        <v>44562</v>
      </c>
      <c r="D1424" s="28" t="s">
        <v>965</v>
      </c>
      <c r="E1424" s="28" t="s">
        <v>1469</v>
      </c>
      <c r="F1424" s="28" t="s">
        <v>966</v>
      </c>
      <c r="G1424" s="28" t="s">
        <v>491</v>
      </c>
      <c r="H1424" s="28">
        <v>19112</v>
      </c>
      <c r="I1424" s="28">
        <v>39.891680000000001</v>
      </c>
      <c r="J1424" s="28">
        <v>-75.169055</v>
      </c>
      <c r="L1424" s="61">
        <v>110006368206</v>
      </c>
      <c r="M1424" s="28" t="s">
        <v>265</v>
      </c>
      <c r="N1424" s="28">
        <v>3731</v>
      </c>
      <c r="O1424" s="28" t="str">
        <f>IFERROR(VLOOKUP(N1424, 'SIC &amp; NAICS Codes'!A:B, 2, FALSE), "")</f>
        <v>Ship Building and Repairing (except repairs in floating drydocks)</v>
      </c>
      <c r="S1424" s="28">
        <v>10.5959264256</v>
      </c>
      <c r="T1424" s="315">
        <f>_xlfn.MAXIFS('Raw Period DMR Data'!$O:$O,'Raw Period DMR Data'!$A:$A,'Raw Annual DMR Data_2021-2024'!B2360,'Raw Period DMR Data'!$C:$C,X1424)/S1424</f>
        <v>0</v>
      </c>
      <c r="U1424" s="28" t="str">
        <f>+IF(COUNTIFS('Raw Period DMR Data'!$A:$A,B1424, 'Raw Period DMR Data'!C:C,'Raw Annual DMR Data_2021-2024'!X2360, 'Raw Period DMR Data'!M:M, "&gt;0")&gt;0,_xlfn.MAXIFS('Raw Period DMR Data'!M:M,'Raw Period DMR Data'!$A:$A,'Raw Annual DMR Data_2021-2024'!B2360,'Raw Period DMR Data'!C:C,'Raw Annual DMR Data_2021-2024'!X2360), "N/A - Period DMR Data Not Available")</f>
        <v>N/A - Period DMR Data Not Available</v>
      </c>
      <c r="V1424" s="28" t="str" cm="1">
        <f t="array" ref="V1424">IFERROR(INDEX('Raw Period DMR Data'!N:N,MATCH(1,(B1424='Raw Period DMR Data'!$A:$A)*(U1424='Raw Period DMR Data'!M:M)*(X1424='Raw Period DMR Data'!C:C),0),1), "N/A")</f>
        <v>N/A</v>
      </c>
      <c r="W1424" s="28" t="s">
        <v>1463</v>
      </c>
      <c r="X1424" s="28" t="s">
        <v>1470</v>
      </c>
      <c r="Y1424" s="28" t="s">
        <v>1471</v>
      </c>
      <c r="Z1424" s="61">
        <v>2040203000001</v>
      </c>
      <c r="AB1424" s="28" t="s">
        <v>7355</v>
      </c>
      <c r="AC1424" s="28" t="s">
        <v>1466</v>
      </c>
    </row>
    <row r="1425" spans="1:29" x14ac:dyDescent="0.25">
      <c r="A1425" s="61">
        <v>110006368206</v>
      </c>
      <c r="B1425" s="28">
        <v>2024</v>
      </c>
      <c r="C1425" s="68">
        <f t="shared" si="23"/>
        <v>45292</v>
      </c>
      <c r="D1425" s="28" t="s">
        <v>965</v>
      </c>
      <c r="E1425" s="28" t="s">
        <v>1469</v>
      </c>
      <c r="F1425" s="28" t="s">
        <v>966</v>
      </c>
      <c r="G1425" s="28" t="s">
        <v>491</v>
      </c>
      <c r="H1425" s="28">
        <v>19112</v>
      </c>
      <c r="I1425" s="28">
        <v>39.891680000000001</v>
      </c>
      <c r="J1425" s="28">
        <v>-75.169055</v>
      </c>
      <c r="L1425" s="61">
        <v>110006368206</v>
      </c>
      <c r="M1425" s="28" t="s">
        <v>265</v>
      </c>
      <c r="N1425" s="28">
        <v>3731</v>
      </c>
      <c r="O1425" s="28" t="str">
        <f>IFERROR(VLOOKUP(N1425, 'SIC &amp; NAICS Codes'!A:B, 2, FALSE), "")</f>
        <v>Ship Building and Repairing (except repairs in floating drydocks)</v>
      </c>
      <c r="S1425" s="28">
        <v>0.3882720197376</v>
      </c>
      <c r="T1425" s="315">
        <f>_xlfn.MAXIFS('Raw Period DMR Data'!$O:$O,'Raw Period DMR Data'!$A:$A,'Raw Annual DMR Data_2021-2024'!#REF!,'Raw Period DMR Data'!$C:$C,X1425)/S1425</f>
        <v>0</v>
      </c>
      <c r="U1425" s="28" t="str">
        <f>+IF(COUNTIFS('Raw Period DMR Data'!$A:$A,B1425,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25" s="28" t="str" cm="1">
        <f t="array" ref="V1425">IFERROR(INDEX('Raw Period DMR Data'!N:N,MATCH(1,(B1425='Raw Period DMR Data'!$A:$A)*(U1425='Raw Period DMR Data'!M:M)*(X1425='Raw Period DMR Data'!C:C),0),1), "N/A")</f>
        <v>N/A</v>
      </c>
      <c r="W1425" s="28" t="s">
        <v>1463</v>
      </c>
      <c r="X1425" s="28" t="s">
        <v>1470</v>
      </c>
      <c r="Y1425" s="28" t="s">
        <v>1471</v>
      </c>
      <c r="Z1425" s="61">
        <v>2040203000001</v>
      </c>
      <c r="AB1425" s="28" t="s">
        <v>7355</v>
      </c>
      <c r="AC1425" s="28" t="s">
        <v>1466</v>
      </c>
    </row>
    <row r="1426" spans="1:29" x14ac:dyDescent="0.25">
      <c r="A1426" s="61">
        <v>110006368206</v>
      </c>
      <c r="B1426" s="28">
        <v>2021</v>
      </c>
      <c r="C1426" s="68">
        <f t="shared" si="23"/>
        <v>44197</v>
      </c>
      <c r="D1426" s="28" t="s">
        <v>965</v>
      </c>
      <c r="E1426" s="28" t="s">
        <v>1469</v>
      </c>
      <c r="F1426" s="28" t="s">
        <v>966</v>
      </c>
      <c r="G1426" s="28" t="s">
        <v>491</v>
      </c>
      <c r="H1426" s="28">
        <v>19112</v>
      </c>
      <c r="I1426" s="28">
        <v>39.891680000000001</v>
      </c>
      <c r="J1426" s="28">
        <v>-75.169055</v>
      </c>
      <c r="L1426" s="61">
        <v>110006368206</v>
      </c>
      <c r="M1426" s="28" t="s">
        <v>265</v>
      </c>
      <c r="N1426" s="28">
        <v>3731</v>
      </c>
      <c r="O1426" s="28" t="str">
        <f>IFERROR(VLOOKUP(N1426, 'SIC &amp; NAICS Codes'!A:B, 2, FALSE), "")</f>
        <v>Ship Building and Repairing (except repairs in floating drydocks)</v>
      </c>
      <c r="S1426" s="28">
        <v>0.2926050292224</v>
      </c>
      <c r="T1426" s="315">
        <f>_xlfn.MAXIFS('Raw Period DMR Data'!$O:$O,'Raw Period DMR Data'!$A:$A,'Raw Annual DMR Data_2021-2024'!#REF!,'Raw Period DMR Data'!$C:$C,X1426)/S1426</f>
        <v>0</v>
      </c>
      <c r="U1426" s="28" t="str">
        <f>+IF(COUNTIFS('Raw Period DMR Data'!$A:$A,B1426,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26" s="28" t="str" cm="1">
        <f t="array" ref="V1426">IFERROR(INDEX('Raw Period DMR Data'!N:N,MATCH(1,(B1426='Raw Period DMR Data'!$A:$A)*(U1426='Raw Period DMR Data'!M:M)*(X1426='Raw Period DMR Data'!C:C),0),1), "N/A")</f>
        <v>N/A</v>
      </c>
      <c r="W1426" s="28" t="s">
        <v>1463</v>
      </c>
      <c r="X1426" s="28" t="s">
        <v>1470</v>
      </c>
      <c r="Y1426" s="28" t="s">
        <v>1471</v>
      </c>
      <c r="Z1426" s="61">
        <v>2040203000001</v>
      </c>
      <c r="AA1426" s="28"/>
      <c r="AB1426" s="28" t="s">
        <v>7355</v>
      </c>
      <c r="AC1426" s="28" t="s">
        <v>1466</v>
      </c>
    </row>
    <row r="1427" spans="1:29" x14ac:dyDescent="0.25">
      <c r="A1427" s="61">
        <v>110006368206</v>
      </c>
      <c r="B1427" s="28">
        <v>2023</v>
      </c>
      <c r="C1427" s="68">
        <f t="shared" si="23"/>
        <v>44927</v>
      </c>
      <c r="D1427" s="28" t="s">
        <v>965</v>
      </c>
      <c r="E1427" s="28" t="s">
        <v>1469</v>
      </c>
      <c r="F1427" s="28" t="s">
        <v>966</v>
      </c>
      <c r="G1427" s="28" t="s">
        <v>491</v>
      </c>
      <c r="H1427" s="28">
        <v>19112</v>
      </c>
      <c r="I1427" s="28">
        <v>39.891680000000001</v>
      </c>
      <c r="J1427" s="28">
        <v>-75.169055</v>
      </c>
      <c r="L1427" s="61">
        <v>110006368206</v>
      </c>
      <c r="M1427" s="28" t="s">
        <v>265</v>
      </c>
      <c r="N1427" s="28">
        <v>3731</v>
      </c>
      <c r="O1427" s="28" t="str">
        <f>IFERROR(VLOOKUP(N1427, 'SIC &amp; NAICS Codes'!A:B, 2, FALSE), "")</f>
        <v>Ship Building and Repairing (except repairs in floating drydocks)</v>
      </c>
      <c r="S1427" s="28">
        <v>0.100176607872</v>
      </c>
      <c r="T1427" s="315">
        <f>_xlfn.MAXIFS('Raw Period DMR Data'!$O:$O,'Raw Period DMR Data'!$A:$A,'Raw Annual DMR Data_2021-2024'!#REF!,'Raw Period DMR Data'!$C:$C,X1427)/S1427</f>
        <v>0</v>
      </c>
      <c r="U1427" s="28" t="str">
        <f>+IF(COUNTIFS('Raw Period DMR Data'!$A:$A,B1427,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27" s="28" t="str" cm="1">
        <f t="array" ref="V1427">IFERROR(INDEX('Raw Period DMR Data'!N:N,MATCH(1,(B1427='Raw Period DMR Data'!$A:$A)*(U1427='Raw Period DMR Data'!M:M)*(X1427='Raw Period DMR Data'!C:C),0),1), "N/A")</f>
        <v>N/A</v>
      </c>
      <c r="W1427" s="28" t="s">
        <v>1463</v>
      </c>
      <c r="X1427" s="28" t="s">
        <v>1470</v>
      </c>
      <c r="Y1427" s="28" t="s">
        <v>1471</v>
      </c>
      <c r="Z1427" s="61" t="s">
        <v>1472</v>
      </c>
      <c r="AB1427" s="28" t="s">
        <v>7355</v>
      </c>
      <c r="AC1427" s="28" t="s">
        <v>1466</v>
      </c>
    </row>
    <row r="1428" spans="1:29" x14ac:dyDescent="0.25">
      <c r="A1428" s="61">
        <v>110070884760</v>
      </c>
      <c r="B1428" s="28">
        <v>2022</v>
      </c>
      <c r="C1428" s="68">
        <f t="shared" si="23"/>
        <v>44562</v>
      </c>
      <c r="D1428" s="28" t="s">
        <v>6784</v>
      </c>
      <c r="E1428" s="28" t="s">
        <v>6931</v>
      </c>
      <c r="F1428" s="28" t="s">
        <v>1403</v>
      </c>
      <c r="G1428" s="28" t="s">
        <v>294</v>
      </c>
      <c r="H1428" s="28">
        <v>23454</v>
      </c>
      <c r="I1428" s="28">
        <v>36.847490000000001</v>
      </c>
      <c r="J1428" s="28">
        <v>-76.026436000000004</v>
      </c>
      <c r="L1428" s="61">
        <v>110070884760</v>
      </c>
      <c r="M1428" s="28" t="s">
        <v>265</v>
      </c>
      <c r="N1428" s="28">
        <v>1799</v>
      </c>
      <c r="O1428" s="28" t="str">
        <f>IFERROR(VLOOKUP(N1428, 'SIC &amp; NAICS Codes'!A:B, 2, FALSE), "")</f>
        <v>Special Trade Contractors, NEC (indoor swimming pool construction contractors)</v>
      </c>
      <c r="S1428" s="28">
        <v>4.2405722345454496E-3</v>
      </c>
      <c r="T1428" s="315">
        <f>_xlfn.MAXIFS('Raw Period DMR Data'!$O:$O,'Raw Period DMR Data'!$A:$A,'Raw Annual DMR Data_2021-2024'!#REF!,'Raw Period DMR Data'!$C:$C,X1428)/S1428</f>
        <v>0</v>
      </c>
      <c r="U1428" s="28" t="str">
        <f>+IF(COUNTIFS('Raw Period DMR Data'!$A:$A,B1428,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28" s="28" t="str" cm="1">
        <f t="array" ref="V1428">IFERROR(INDEX('Raw Period DMR Data'!N:N,MATCH(1,(B1428='Raw Period DMR Data'!$A:$A)*(U1428='Raw Period DMR Data'!M:M)*(X1428='Raw Period DMR Data'!C:C),0),1), "N/A")</f>
        <v>N/A</v>
      </c>
      <c r="W1428" s="28" t="s">
        <v>1463</v>
      </c>
      <c r="X1428" s="28" t="s">
        <v>7144</v>
      </c>
      <c r="Y1428" s="28" t="s">
        <v>2335</v>
      </c>
      <c r="Z1428" s="61"/>
      <c r="AB1428" s="28" t="s">
        <v>7355</v>
      </c>
      <c r="AC1428" s="28" t="s">
        <v>1466</v>
      </c>
    </row>
    <row r="1429" spans="1:29" x14ac:dyDescent="0.25">
      <c r="A1429" s="61">
        <v>110070884760</v>
      </c>
      <c r="B1429" s="28">
        <v>2022</v>
      </c>
      <c r="C1429" s="68">
        <f t="shared" si="23"/>
        <v>44562</v>
      </c>
      <c r="D1429" s="28" t="s">
        <v>6784</v>
      </c>
      <c r="E1429" s="28" t="s">
        <v>6931</v>
      </c>
      <c r="F1429" s="28" t="s">
        <v>1403</v>
      </c>
      <c r="G1429" s="28" t="s">
        <v>294</v>
      </c>
      <c r="H1429" s="28">
        <v>23454</v>
      </c>
      <c r="I1429" s="28">
        <v>36.847490000000001</v>
      </c>
      <c r="J1429" s="28">
        <v>-76.026436000000004</v>
      </c>
      <c r="L1429" s="61">
        <v>110070884760</v>
      </c>
      <c r="M1429" s="28" t="s">
        <v>265</v>
      </c>
      <c r="N1429" s="28">
        <v>1799</v>
      </c>
      <c r="O1429" s="28" t="str">
        <f>IFERROR(VLOOKUP(N1429, 'SIC &amp; NAICS Codes'!A:B, 2, FALSE), "")</f>
        <v>Special Trade Contractors, NEC (indoor swimming pool construction contractors)</v>
      </c>
      <c r="S1429" s="28">
        <v>4.2405722345454496E-3</v>
      </c>
      <c r="T1429" s="315">
        <f>_xlfn.MAXIFS('Raw Period DMR Data'!$O:$O,'Raw Period DMR Data'!$A:$A,'Raw Annual DMR Data_2021-2024'!#REF!,'Raw Period DMR Data'!$C:$C,X1429)/S1429</f>
        <v>0</v>
      </c>
      <c r="U1429" s="28" t="str">
        <f>+IF(COUNTIFS('Raw Period DMR Data'!$A:$A,B1429,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29" s="28" t="str" cm="1">
        <f t="array" ref="V1429">IFERROR(INDEX('Raw Period DMR Data'!N:N,MATCH(1,(B1429='Raw Period DMR Data'!$A:$A)*(U1429='Raw Period DMR Data'!M:M)*(X1429='Raw Period DMR Data'!C:C),0),1), "N/A")</f>
        <v>N/A</v>
      </c>
      <c r="W1429" s="28" t="s">
        <v>1463</v>
      </c>
      <c r="X1429" s="28" t="s">
        <v>7144</v>
      </c>
      <c r="Y1429" s="28" t="s">
        <v>2335</v>
      </c>
      <c r="Z1429" s="61"/>
      <c r="AB1429" s="28" t="s">
        <v>7355</v>
      </c>
      <c r="AC1429" s="28" t="s">
        <v>1466</v>
      </c>
    </row>
    <row r="1430" spans="1:29" x14ac:dyDescent="0.25">
      <c r="A1430" s="61">
        <v>110070948151</v>
      </c>
      <c r="B1430" s="28">
        <v>2023</v>
      </c>
      <c r="C1430" s="68">
        <f t="shared" si="23"/>
        <v>44927</v>
      </c>
      <c r="D1430" s="28" t="s">
        <v>6862</v>
      </c>
      <c r="E1430" s="28" t="s">
        <v>7026</v>
      </c>
      <c r="F1430" s="28" t="s">
        <v>657</v>
      </c>
      <c r="G1430" s="28" t="s">
        <v>418</v>
      </c>
      <c r="H1430" s="28">
        <v>89118</v>
      </c>
      <c r="I1430" s="28">
        <v>36.090899999999998</v>
      </c>
      <c r="J1430" s="28">
        <v>-115.1833</v>
      </c>
      <c r="L1430" s="61">
        <v>110070948151</v>
      </c>
      <c r="M1430" s="28" t="s">
        <v>265</v>
      </c>
      <c r="N1430" s="28">
        <v>7941</v>
      </c>
      <c r="O1430" s="28" t="str">
        <f>IFERROR(VLOOKUP(N1430, 'SIC &amp; NAICS Codes'!A:B, 2, FALSE), "")</f>
        <v>Professional Sports Clubs and Promoters (professional sports clubs)</v>
      </c>
      <c r="S1430" s="28">
        <v>6.2714327375000004E-2</v>
      </c>
      <c r="T1430" s="315">
        <f>_xlfn.MAXIFS('Raw Period DMR Data'!$O:$O,'Raw Period DMR Data'!$A:$A,'Raw Annual DMR Data_2021-2024'!#REF!,'Raw Period DMR Data'!$C:$C,X1430)/S1430</f>
        <v>0</v>
      </c>
      <c r="U1430" s="28" t="str">
        <f>+IF(COUNTIFS('Raw Period DMR Data'!$A:$A,B1430,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30" s="28" t="str" cm="1">
        <f t="array" ref="V1430">IFERROR(INDEX('Raw Period DMR Data'!N:N,MATCH(1,(B1430='Raw Period DMR Data'!$A:$A)*(U1430='Raw Period DMR Data'!M:M)*(X1430='Raw Period DMR Data'!C:C),0),1), "N/A")</f>
        <v>N/A</v>
      </c>
      <c r="W1430" s="28" t="s">
        <v>1463</v>
      </c>
      <c r="X1430" s="28" t="s">
        <v>7192</v>
      </c>
      <c r="Y1430" s="28" t="s">
        <v>7297</v>
      </c>
      <c r="Z1430" s="61"/>
      <c r="AB1430" s="28" t="s">
        <v>7355</v>
      </c>
      <c r="AC1430" s="28" t="s">
        <v>1466</v>
      </c>
    </row>
    <row r="1431" spans="1:29" x14ac:dyDescent="0.25">
      <c r="A1431" s="61">
        <v>110070948151</v>
      </c>
      <c r="B1431" s="28">
        <v>2021</v>
      </c>
      <c r="C1431" s="68">
        <f t="shared" si="23"/>
        <v>44197</v>
      </c>
      <c r="D1431" s="28" t="s">
        <v>6862</v>
      </c>
      <c r="E1431" s="28" t="s">
        <v>7026</v>
      </c>
      <c r="F1431" s="28" t="s">
        <v>657</v>
      </c>
      <c r="G1431" s="28" t="s">
        <v>418</v>
      </c>
      <c r="H1431" s="28">
        <v>89118</v>
      </c>
      <c r="I1431" s="28">
        <v>36.090899999999998</v>
      </c>
      <c r="J1431" s="28">
        <v>-115.1833</v>
      </c>
      <c r="L1431" s="61">
        <v>110070948151</v>
      </c>
      <c r="M1431" s="28" t="s">
        <v>265</v>
      </c>
      <c r="N1431" s="28">
        <v>7941</v>
      </c>
      <c r="O1431" s="28" t="str">
        <f>IFERROR(VLOOKUP(N1431, 'SIC &amp; NAICS Codes'!A:B, 2, FALSE), "")</f>
        <v>Professional Sports Clubs and Promoters (professional sports clubs)</v>
      </c>
      <c r="S1431" s="28">
        <v>4.0706634125000002E-2</v>
      </c>
      <c r="T1431" s="315">
        <f>_xlfn.MAXIFS('Raw Period DMR Data'!$O:$O,'Raw Period DMR Data'!$A:$A,'Raw Annual DMR Data_2021-2024'!#REF!,'Raw Period DMR Data'!$C:$C,X1431)/S1431</f>
        <v>0</v>
      </c>
      <c r="U1431" s="28" t="str">
        <f>+IF(COUNTIFS('Raw Period DMR Data'!$A:$A,B1431,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31" s="28" t="str" cm="1">
        <f t="array" ref="V1431">IFERROR(INDEX('Raw Period DMR Data'!N:N,MATCH(1,(B1431='Raw Period DMR Data'!$A:$A)*(U1431='Raw Period DMR Data'!M:M)*(X1431='Raw Period DMR Data'!C:C),0),1), "N/A")</f>
        <v>N/A</v>
      </c>
      <c r="W1431" s="28" t="s">
        <v>1463</v>
      </c>
      <c r="X1431" s="28" t="s">
        <v>7192</v>
      </c>
      <c r="Y1431" s="28" t="s">
        <v>7297</v>
      </c>
      <c r="Z1431" s="61"/>
      <c r="AA1431" s="28"/>
      <c r="AB1431" s="28" t="s">
        <v>7355</v>
      </c>
      <c r="AC1431" s="28" t="s">
        <v>1466</v>
      </c>
    </row>
    <row r="1432" spans="1:29" x14ac:dyDescent="0.25">
      <c r="A1432" s="61">
        <v>110070948151</v>
      </c>
      <c r="B1432" s="28">
        <v>2024</v>
      </c>
      <c r="C1432" s="68">
        <f t="shared" si="23"/>
        <v>45292</v>
      </c>
      <c r="D1432" s="28" t="s">
        <v>6862</v>
      </c>
      <c r="E1432" s="28" t="s">
        <v>7026</v>
      </c>
      <c r="F1432" s="28" t="s">
        <v>657</v>
      </c>
      <c r="G1432" s="28" t="s">
        <v>418</v>
      </c>
      <c r="H1432" s="28">
        <v>89118</v>
      </c>
      <c r="I1432" s="28">
        <v>36.090899999999998</v>
      </c>
      <c r="J1432" s="28">
        <v>-115.1833</v>
      </c>
      <c r="L1432" s="61">
        <v>110070948151</v>
      </c>
      <c r="M1432" s="28" t="s">
        <v>265</v>
      </c>
      <c r="N1432" s="28">
        <v>7941</v>
      </c>
      <c r="O1432" s="28" t="str">
        <f>IFERROR(VLOOKUP(N1432, 'SIC &amp; NAICS Codes'!A:B, 2, FALSE), "")</f>
        <v>Professional Sports Clubs and Promoters (professional sports clubs)</v>
      </c>
      <c r="S1432" s="28">
        <v>4.02956304375E-2</v>
      </c>
      <c r="T1432" s="315">
        <f>_xlfn.MAXIFS('Raw Period DMR Data'!$O:$O,'Raw Period DMR Data'!$A:$A,'Raw Annual DMR Data_2021-2024'!#REF!,'Raw Period DMR Data'!$C:$C,X1432)/S1432</f>
        <v>0</v>
      </c>
      <c r="U1432" s="28" t="str">
        <f>+IF(COUNTIFS('Raw Period DMR Data'!$A:$A,B1432,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32" s="28" t="str" cm="1">
        <f t="array" ref="V1432">IFERROR(INDEX('Raw Period DMR Data'!N:N,MATCH(1,(B1432='Raw Period DMR Data'!$A:$A)*(U1432='Raw Period DMR Data'!M:M)*(X1432='Raw Period DMR Data'!C:C),0),1), "N/A")</f>
        <v>N/A</v>
      </c>
      <c r="W1432" s="28" t="s">
        <v>1463</v>
      </c>
      <c r="X1432" s="28" t="s">
        <v>7192</v>
      </c>
      <c r="Y1432" s="28" t="s">
        <v>7297</v>
      </c>
      <c r="Z1432" s="61"/>
      <c r="AB1432" s="28" t="s">
        <v>7355</v>
      </c>
      <c r="AC1432" s="28" t="s">
        <v>1466</v>
      </c>
    </row>
    <row r="1433" spans="1:29" x14ac:dyDescent="0.25">
      <c r="A1433" s="61">
        <v>110070948151</v>
      </c>
      <c r="B1433" s="28">
        <v>2022</v>
      </c>
      <c r="C1433" s="68">
        <f t="shared" si="23"/>
        <v>44562</v>
      </c>
      <c r="D1433" s="28" t="s">
        <v>6862</v>
      </c>
      <c r="E1433" s="28" t="s">
        <v>7026</v>
      </c>
      <c r="F1433" s="28" t="s">
        <v>657</v>
      </c>
      <c r="G1433" s="28" t="s">
        <v>418</v>
      </c>
      <c r="H1433" s="28">
        <v>89118</v>
      </c>
      <c r="I1433" s="28">
        <v>36.090899999999998</v>
      </c>
      <c r="J1433" s="28">
        <v>-115.1833</v>
      </c>
      <c r="L1433" s="61">
        <v>110070948151</v>
      </c>
      <c r="M1433" s="28" t="s">
        <v>265</v>
      </c>
      <c r="N1433" s="28">
        <v>7941</v>
      </c>
      <c r="O1433" s="28" t="str">
        <f>IFERROR(VLOOKUP(N1433, 'SIC &amp; NAICS Codes'!A:B, 2, FALSE), "")</f>
        <v>Professional Sports Clubs and Promoters (professional sports clubs)</v>
      </c>
      <c r="S1433" s="28">
        <v>4.0109124562500001E-2</v>
      </c>
      <c r="T1433" s="315">
        <f>_xlfn.MAXIFS('Raw Period DMR Data'!$O:$O,'Raw Period DMR Data'!$A:$A,'Raw Annual DMR Data_2021-2024'!#REF!,'Raw Period DMR Data'!$C:$C,X1433)/S1433</f>
        <v>0</v>
      </c>
      <c r="U1433" s="28" t="str">
        <f>+IF(COUNTIFS('Raw Period DMR Data'!$A:$A,B1433,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33" s="28" t="str" cm="1">
        <f t="array" ref="V1433">IFERROR(INDEX('Raw Period DMR Data'!N:N,MATCH(1,(B1433='Raw Period DMR Data'!$A:$A)*(U1433='Raw Period DMR Data'!M:M)*(X1433='Raw Period DMR Data'!C:C),0),1), "N/A")</f>
        <v>N/A</v>
      </c>
      <c r="W1433" s="28" t="s">
        <v>1463</v>
      </c>
      <c r="X1433" s="28" t="s">
        <v>7192</v>
      </c>
      <c r="Y1433" s="28" t="s">
        <v>7297</v>
      </c>
      <c r="Z1433" s="61"/>
      <c r="AB1433" s="28" t="s">
        <v>7355</v>
      </c>
      <c r="AC1433" s="28" t="s">
        <v>1466</v>
      </c>
    </row>
    <row r="1434" spans="1:29" x14ac:dyDescent="0.25">
      <c r="A1434" s="61">
        <v>110006777247</v>
      </c>
      <c r="B1434" s="28">
        <v>2022</v>
      </c>
      <c r="C1434" s="68">
        <f t="shared" si="23"/>
        <v>44562</v>
      </c>
      <c r="D1434" s="28" t="s">
        <v>6839</v>
      </c>
      <c r="E1434" s="28" t="s">
        <v>6993</v>
      </c>
      <c r="F1434" s="28" t="s">
        <v>6994</v>
      </c>
      <c r="G1434" s="28" t="s">
        <v>1171</v>
      </c>
      <c r="H1434" s="28">
        <v>96752</v>
      </c>
      <c r="I1434" s="28">
        <v>21.994944</v>
      </c>
      <c r="J1434" s="28">
        <v>-159.75363899999999</v>
      </c>
      <c r="L1434" s="61">
        <v>110006777247</v>
      </c>
      <c r="M1434" s="28" t="s">
        <v>265</v>
      </c>
      <c r="N1434" s="28">
        <v>913</v>
      </c>
      <c r="O1434" s="28" t="str">
        <f>IFERROR(VLOOKUP(N1434, 'SIC &amp; NAICS Codes'!A:B, 2, FALSE), "")</f>
        <v>Shellfish</v>
      </c>
      <c r="S1434" s="28">
        <v>2.866664375</v>
      </c>
      <c r="T1434" s="315">
        <f>_xlfn.MAXIFS('Raw Period DMR Data'!$O:$O,'Raw Period DMR Data'!$A:$A,'Raw Annual DMR Data_2021-2024'!#REF!,'Raw Period DMR Data'!$C:$C,X1434)/S1434</f>
        <v>0</v>
      </c>
      <c r="U1434" s="28" t="str">
        <f>+IF(COUNTIFS('Raw Period DMR Data'!$A:$A,B1434,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34" s="28" t="str" cm="1">
        <f t="array" ref="V1434">IFERROR(INDEX('Raw Period DMR Data'!N:N,MATCH(1,(B1434='Raw Period DMR Data'!$A:$A)*(U1434='Raw Period DMR Data'!M:M)*(X1434='Raw Period DMR Data'!C:C),0),1), "N/A")</f>
        <v>N/A</v>
      </c>
      <c r="W1434" s="28" t="s">
        <v>1463</v>
      </c>
      <c r="X1434" s="28" t="s">
        <v>7175</v>
      </c>
      <c r="Y1434" s="28" t="s">
        <v>926</v>
      </c>
      <c r="Z1434" s="61">
        <v>20070000000003</v>
      </c>
      <c r="AB1434" s="28" t="s">
        <v>7355</v>
      </c>
      <c r="AC1434" s="28" t="s">
        <v>1466</v>
      </c>
    </row>
    <row r="1435" spans="1:29" x14ac:dyDescent="0.25">
      <c r="A1435" s="61">
        <v>110006777247</v>
      </c>
      <c r="B1435" s="28">
        <v>2023</v>
      </c>
      <c r="C1435" s="68">
        <f t="shared" si="23"/>
        <v>44927</v>
      </c>
      <c r="D1435" s="28" t="s">
        <v>6839</v>
      </c>
      <c r="E1435" s="28" t="s">
        <v>6993</v>
      </c>
      <c r="F1435" s="28" t="s">
        <v>6994</v>
      </c>
      <c r="G1435" s="28" t="s">
        <v>1171</v>
      </c>
      <c r="H1435" s="28">
        <v>96752</v>
      </c>
      <c r="I1435" s="28">
        <v>21.994944</v>
      </c>
      <c r="J1435" s="28">
        <v>-159.75363899999999</v>
      </c>
      <c r="L1435" s="61">
        <v>110006777247</v>
      </c>
      <c r="M1435" s="28" t="s">
        <v>265</v>
      </c>
      <c r="N1435" s="28">
        <v>913</v>
      </c>
      <c r="O1435" s="28" t="str">
        <f>IFERROR(VLOOKUP(N1435, 'SIC &amp; NAICS Codes'!A:B, 2, FALSE), "")</f>
        <v>Shellfish</v>
      </c>
      <c r="S1435" s="28">
        <v>1.073444925</v>
      </c>
      <c r="T1435" s="315">
        <f>_xlfn.MAXIFS('Raw Period DMR Data'!$O:$O,'Raw Period DMR Data'!$A:$A,'Raw Annual DMR Data_2021-2024'!#REF!,'Raw Period DMR Data'!$C:$C,X1435)/S1435</f>
        <v>0</v>
      </c>
      <c r="U1435" s="28" t="str">
        <f>+IF(COUNTIFS('Raw Period DMR Data'!$A:$A,B1435,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35" s="28" t="str" cm="1">
        <f t="array" ref="V1435">IFERROR(INDEX('Raw Period DMR Data'!N:N,MATCH(1,(B1435='Raw Period DMR Data'!$A:$A)*(U1435='Raw Period DMR Data'!M:M)*(X1435='Raw Period DMR Data'!C:C),0),1), "N/A")</f>
        <v>N/A</v>
      </c>
      <c r="W1435" s="28" t="s">
        <v>1463</v>
      </c>
      <c r="X1435" s="28" t="s">
        <v>7175</v>
      </c>
      <c r="Y1435" s="28" t="s">
        <v>926</v>
      </c>
      <c r="Z1435" s="61">
        <v>20070000000003</v>
      </c>
      <c r="AB1435" s="28" t="s">
        <v>7355</v>
      </c>
      <c r="AC1435" s="28" t="s">
        <v>1466</v>
      </c>
    </row>
    <row r="1436" spans="1:29" x14ac:dyDescent="0.25">
      <c r="A1436" s="61">
        <v>110006777247</v>
      </c>
      <c r="B1436" s="28">
        <v>2024</v>
      </c>
      <c r="C1436" s="68">
        <f t="shared" si="23"/>
        <v>45292</v>
      </c>
      <c r="D1436" s="28" t="s">
        <v>6839</v>
      </c>
      <c r="E1436" s="28" t="s">
        <v>6993</v>
      </c>
      <c r="F1436" s="28" t="s">
        <v>6994</v>
      </c>
      <c r="G1436" s="28" t="s">
        <v>1171</v>
      </c>
      <c r="H1436" s="28">
        <v>96752</v>
      </c>
      <c r="I1436" s="28">
        <v>21.994944</v>
      </c>
      <c r="J1436" s="28">
        <v>-159.75363899999999</v>
      </c>
      <c r="L1436" s="61">
        <v>110006777247</v>
      </c>
      <c r="M1436" s="28" t="s">
        <v>265</v>
      </c>
      <c r="N1436" s="28">
        <v>913</v>
      </c>
      <c r="O1436" s="28" t="str">
        <f>IFERROR(VLOOKUP(N1436, 'SIC &amp; NAICS Codes'!A:B, 2, FALSE), "")</f>
        <v>Shellfish</v>
      </c>
      <c r="S1436" s="28">
        <v>0.75431265000000003</v>
      </c>
      <c r="T1436" s="315">
        <f>_xlfn.MAXIFS('Raw Period DMR Data'!$O:$O,'Raw Period DMR Data'!$A:$A,'Raw Annual DMR Data_2021-2024'!#REF!,'Raw Period DMR Data'!$C:$C,X1436)/S1436</f>
        <v>0</v>
      </c>
      <c r="U1436" s="28" t="str">
        <f>+IF(COUNTIFS('Raw Period DMR Data'!$A:$A,B1436,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36" s="28" t="str" cm="1">
        <f t="array" ref="V1436">IFERROR(INDEX('Raw Period DMR Data'!N:N,MATCH(1,(B1436='Raw Period DMR Data'!$A:$A)*(U1436='Raw Period DMR Data'!M:M)*(X1436='Raw Period DMR Data'!C:C),0),1), "N/A")</f>
        <v>N/A</v>
      </c>
      <c r="W1436" s="28" t="s">
        <v>1463</v>
      </c>
      <c r="X1436" s="28" t="s">
        <v>7175</v>
      </c>
      <c r="Y1436" s="28" t="s">
        <v>926</v>
      </c>
      <c r="Z1436" s="61">
        <v>20070000000003</v>
      </c>
      <c r="AB1436" s="28" t="s">
        <v>7355</v>
      </c>
      <c r="AC1436" s="28" t="s">
        <v>1466</v>
      </c>
    </row>
    <row r="1437" spans="1:29" x14ac:dyDescent="0.25">
      <c r="A1437" s="61">
        <v>110006777247</v>
      </c>
      <c r="B1437" s="28">
        <v>2021</v>
      </c>
      <c r="C1437" s="68">
        <f t="shared" si="23"/>
        <v>44197</v>
      </c>
      <c r="D1437" s="28" t="s">
        <v>6839</v>
      </c>
      <c r="E1437" s="28" t="s">
        <v>6993</v>
      </c>
      <c r="F1437" s="28" t="s">
        <v>6994</v>
      </c>
      <c r="G1437" s="28" t="s">
        <v>1171</v>
      </c>
      <c r="H1437" s="28">
        <v>96752</v>
      </c>
      <c r="I1437" s="28">
        <v>21.994944</v>
      </c>
      <c r="J1437" s="28">
        <v>-159.75363899999999</v>
      </c>
      <c r="L1437" s="61">
        <v>110006777247</v>
      </c>
      <c r="M1437" s="28" t="s">
        <v>265</v>
      </c>
      <c r="N1437" s="28">
        <v>913</v>
      </c>
      <c r="O1437" s="28" t="str">
        <f>IFERROR(VLOOKUP(N1437, 'SIC &amp; NAICS Codes'!A:B, 2, FALSE), "")</f>
        <v>Shellfish</v>
      </c>
      <c r="S1437" s="28">
        <v>0.52221645000000005</v>
      </c>
      <c r="T1437" s="315">
        <f>_xlfn.MAXIFS('Raw Period DMR Data'!$O:$O,'Raw Period DMR Data'!$A:$A,'Raw Annual DMR Data_2021-2024'!#REF!,'Raw Period DMR Data'!$C:$C,X1437)/S1437</f>
        <v>0</v>
      </c>
      <c r="U1437" s="28" t="str">
        <f>+IF(COUNTIFS('Raw Period DMR Data'!$A:$A,B1437,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37" s="28" t="str" cm="1">
        <f t="array" ref="V1437">IFERROR(INDEX('Raw Period DMR Data'!N:N,MATCH(1,(B1437='Raw Period DMR Data'!$A:$A)*(U1437='Raw Period DMR Data'!M:M)*(X1437='Raw Period DMR Data'!C:C),0),1), "N/A")</f>
        <v>N/A</v>
      </c>
      <c r="W1437" s="28" t="s">
        <v>1463</v>
      </c>
      <c r="X1437" s="28" t="s">
        <v>7175</v>
      </c>
      <c r="Y1437" s="28" t="s">
        <v>926</v>
      </c>
      <c r="Z1437" s="61">
        <v>20070000000003</v>
      </c>
      <c r="AA1437" s="28"/>
      <c r="AB1437" s="28" t="s">
        <v>7355</v>
      </c>
      <c r="AC1437" s="28" t="s">
        <v>1466</v>
      </c>
    </row>
    <row r="1438" spans="1:29" x14ac:dyDescent="0.25">
      <c r="A1438" s="61">
        <v>110071427202</v>
      </c>
      <c r="B1438" s="28">
        <v>2023</v>
      </c>
      <c r="C1438" s="68">
        <f t="shared" si="23"/>
        <v>44927</v>
      </c>
      <c r="D1438" s="28" t="s">
        <v>6906</v>
      </c>
      <c r="E1438" s="28" t="s">
        <v>7107</v>
      </c>
      <c r="F1438" s="28" t="s">
        <v>1125</v>
      </c>
      <c r="G1438" s="28" t="s">
        <v>294</v>
      </c>
      <c r="H1438" s="28">
        <v>22041</v>
      </c>
      <c r="I1438" s="28">
        <v>38.848126999999998</v>
      </c>
      <c r="J1438" s="28">
        <v>-77.132767999999999</v>
      </c>
      <c r="L1438" s="61">
        <v>110071427202</v>
      </c>
      <c r="M1438" s="28" t="s">
        <v>265</v>
      </c>
      <c r="N1438" s="28">
        <v>1794</v>
      </c>
      <c r="O1438" s="28" t="str">
        <f>IFERROR(VLOOKUP(N1438, 'SIC &amp; NAICS Codes'!A:B, 2, FALSE), "")</f>
        <v>Excavation Work</v>
      </c>
      <c r="S1438" s="28">
        <v>1.0137744E-3</v>
      </c>
      <c r="T1438" s="315">
        <f>_xlfn.MAXIFS('Raw Period DMR Data'!$O:$O,'Raw Period DMR Data'!$A:$A,'Raw Annual DMR Data_2021-2024'!#REF!,'Raw Period DMR Data'!$C:$C,X1438)/S1438</f>
        <v>0</v>
      </c>
      <c r="U1438" s="28" t="str">
        <f>+IF(COUNTIFS('Raw Period DMR Data'!$A:$A,B1438,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38" s="28" t="str" cm="1">
        <f t="array" ref="V1438">IFERROR(INDEX('Raw Period DMR Data'!N:N,MATCH(1,(B1438='Raw Period DMR Data'!$A:$A)*(U1438='Raw Period DMR Data'!M:M)*(X1438='Raw Period DMR Data'!C:C),0),1), "N/A")</f>
        <v>N/A</v>
      </c>
      <c r="W1438" s="28" t="s">
        <v>1463</v>
      </c>
      <c r="X1438" s="28" t="s">
        <v>7236</v>
      </c>
      <c r="Y1438" s="28" t="s">
        <v>1788</v>
      </c>
      <c r="Z1438" s="61"/>
      <c r="AB1438" s="28" t="s">
        <v>7355</v>
      </c>
      <c r="AC1438" s="28" t="s">
        <v>1466</v>
      </c>
    </row>
    <row r="1439" spans="1:29" x14ac:dyDescent="0.25">
      <c r="A1439" s="61">
        <v>110071298200</v>
      </c>
      <c r="B1439" s="28">
        <v>2022</v>
      </c>
      <c r="C1439" s="68">
        <f t="shared" si="23"/>
        <v>44562</v>
      </c>
      <c r="D1439" s="28" t="s">
        <v>6888</v>
      </c>
      <c r="E1439" s="28" t="s">
        <v>7067</v>
      </c>
      <c r="F1439" s="28" t="s">
        <v>1255</v>
      </c>
      <c r="G1439" s="28" t="s">
        <v>366</v>
      </c>
      <c r="H1439" s="28">
        <v>93041</v>
      </c>
      <c r="I1439" s="28">
        <v>34.144888999999999</v>
      </c>
      <c r="J1439" s="28">
        <v>-119.2105</v>
      </c>
      <c r="L1439" s="61">
        <v>110071298200</v>
      </c>
      <c r="M1439" s="28" t="s">
        <v>265</v>
      </c>
      <c r="N1439" s="28">
        <v>273</v>
      </c>
      <c r="O1439" s="28" t="str">
        <f>IFERROR(VLOOKUP(N1439, 'SIC &amp; NAICS Codes'!A:B, 2, FALSE), "")</f>
        <v>Animal Aquaculture (finfish farms)</v>
      </c>
      <c r="S1439" s="28">
        <v>1.3131809582499999E-3</v>
      </c>
      <c r="T1439" s="315">
        <f>_xlfn.MAXIFS('Raw Period DMR Data'!$O:$O,'Raw Period DMR Data'!$A:$A,'Raw Annual DMR Data_2021-2024'!#REF!,'Raw Period DMR Data'!$C:$C,X1439)/S1439</f>
        <v>0</v>
      </c>
      <c r="U1439" s="28" t="str">
        <f>+IF(COUNTIFS('Raw Period DMR Data'!$A:$A,B1439,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39" s="28" t="str" cm="1">
        <f t="array" ref="V1439">IFERROR(INDEX('Raw Period DMR Data'!N:N,MATCH(1,(B1439='Raw Period DMR Data'!$A:$A)*(U1439='Raw Period DMR Data'!M:M)*(X1439='Raw Period DMR Data'!C:C),0),1), "N/A")</f>
        <v>N/A</v>
      </c>
      <c r="W1439" s="28" t="s">
        <v>1463</v>
      </c>
      <c r="X1439" s="28" t="s">
        <v>7214</v>
      </c>
      <c r="Y1439" s="28" t="s">
        <v>2045</v>
      </c>
      <c r="Z1439" s="61"/>
      <c r="AC1439" s="28" t="s">
        <v>1466</v>
      </c>
    </row>
    <row r="1440" spans="1:29" x14ac:dyDescent="0.25">
      <c r="A1440" s="61">
        <v>110071426286</v>
      </c>
      <c r="B1440" s="28">
        <v>2023</v>
      </c>
      <c r="C1440" s="68">
        <f t="shared" si="23"/>
        <v>44927</v>
      </c>
      <c r="D1440" s="28" t="s">
        <v>6891</v>
      </c>
      <c r="E1440" s="28" t="s">
        <v>7073</v>
      </c>
      <c r="F1440" s="28" t="s">
        <v>1403</v>
      </c>
      <c r="G1440" s="28" t="s">
        <v>294</v>
      </c>
      <c r="H1440" s="28">
        <v>23451</v>
      </c>
      <c r="I1440" s="28">
        <v>36.847284999999999</v>
      </c>
      <c r="J1440" s="28">
        <v>-75.980485000000002</v>
      </c>
      <c r="L1440" s="61">
        <v>110071426286</v>
      </c>
      <c r="M1440" s="28" t="s">
        <v>265</v>
      </c>
      <c r="N1440" s="28">
        <v>1799</v>
      </c>
      <c r="O1440" s="28" t="str">
        <f>IFERROR(VLOOKUP(N1440, 'SIC &amp; NAICS Codes'!A:B, 2, FALSE), "")</f>
        <v>Special Trade Contractors, NEC (indoor swimming pool construction contractors)</v>
      </c>
      <c r="S1440" s="28">
        <v>0.384737374188654</v>
      </c>
      <c r="T1440" s="315">
        <f>_xlfn.MAXIFS('Raw Period DMR Data'!$O:$O,'Raw Period DMR Data'!$A:$A,'Raw Annual DMR Data_2021-2024'!#REF!,'Raw Period DMR Data'!$C:$C,X1440)/S1440</f>
        <v>0</v>
      </c>
      <c r="U1440" s="28" t="str">
        <f>+IF(COUNTIFS('Raw Period DMR Data'!$A:$A,B1440,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40" s="28" t="str" cm="1">
        <f t="array" ref="V1440">IFERROR(INDEX('Raw Period DMR Data'!N:N,MATCH(1,(B1440='Raw Period DMR Data'!$A:$A)*(U1440='Raw Period DMR Data'!M:M)*(X1440='Raw Period DMR Data'!C:C),0),1), "N/A")</f>
        <v>N/A</v>
      </c>
      <c r="W1440" s="28" t="s">
        <v>1463</v>
      </c>
      <c r="X1440" s="28" t="s">
        <v>7218</v>
      </c>
      <c r="Y1440" s="28" t="s">
        <v>7313</v>
      </c>
      <c r="Z1440" s="61"/>
      <c r="AA1440" s="60" t="s">
        <v>7355</v>
      </c>
      <c r="AB1440" s="28" t="s">
        <v>7355</v>
      </c>
      <c r="AC1440" s="28" t="s">
        <v>1466</v>
      </c>
    </row>
    <row r="1441" spans="1:29" x14ac:dyDescent="0.25">
      <c r="A1441" s="61">
        <v>110071426286</v>
      </c>
      <c r="B1441" s="28">
        <v>2024</v>
      </c>
      <c r="C1441" s="68">
        <f t="shared" si="23"/>
        <v>45292</v>
      </c>
      <c r="D1441" s="28" t="s">
        <v>6891</v>
      </c>
      <c r="E1441" s="28" t="s">
        <v>7073</v>
      </c>
      <c r="F1441" s="28" t="s">
        <v>1403</v>
      </c>
      <c r="G1441" s="28" t="s">
        <v>294</v>
      </c>
      <c r="H1441" s="28">
        <v>23451</v>
      </c>
      <c r="I1441" s="28">
        <v>36.847284999999999</v>
      </c>
      <c r="J1441" s="28">
        <v>-75.980485000000002</v>
      </c>
      <c r="L1441" s="61">
        <v>110071426286</v>
      </c>
      <c r="M1441" s="28" t="s">
        <v>265</v>
      </c>
      <c r="N1441" s="28">
        <v>1799</v>
      </c>
      <c r="O1441" s="28" t="str">
        <f>IFERROR(VLOOKUP(N1441, 'SIC &amp; NAICS Codes'!A:B, 2, FALSE), "")</f>
        <v>Special Trade Contractors, NEC (indoor swimming pool construction contractors)</v>
      </c>
      <c r="S1441" s="28">
        <v>1.3800412800000001E-7</v>
      </c>
      <c r="T1441" s="315">
        <f>_xlfn.MAXIFS('Raw Period DMR Data'!$O:$O,'Raw Period DMR Data'!$A:$A,'Raw Annual DMR Data_2021-2024'!#REF!,'Raw Period DMR Data'!$C:$C,X1441)/S1441</f>
        <v>0</v>
      </c>
      <c r="U1441" s="28" t="str">
        <f>+IF(COUNTIFS('Raw Period DMR Data'!$A:$A,B1441,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41" s="28" t="str" cm="1">
        <f t="array" ref="V1441">IFERROR(INDEX('Raw Period DMR Data'!N:N,MATCH(1,(B1441='Raw Period DMR Data'!$A:$A)*(U1441='Raw Period DMR Data'!M:M)*(X1441='Raw Period DMR Data'!C:C),0),1), "N/A")</f>
        <v>N/A</v>
      </c>
      <c r="W1441" s="28" t="s">
        <v>1463</v>
      </c>
      <c r="X1441" s="28" t="s">
        <v>7218</v>
      </c>
      <c r="Y1441" s="28" t="s">
        <v>7313</v>
      </c>
      <c r="Z1441" s="61"/>
      <c r="AB1441" s="28" t="s">
        <v>7355</v>
      </c>
      <c r="AC1441" s="28" t="s">
        <v>1466</v>
      </c>
    </row>
    <row r="1442" spans="1:29" x14ac:dyDescent="0.25">
      <c r="A1442" s="61">
        <v>110056125376</v>
      </c>
      <c r="B1442" s="28">
        <v>2023</v>
      </c>
      <c r="C1442" s="68">
        <f t="shared" si="23"/>
        <v>44927</v>
      </c>
      <c r="D1442" s="28" t="s">
        <v>6825</v>
      </c>
      <c r="E1442" s="28" t="s">
        <v>6980</v>
      </c>
      <c r="F1442" s="28" t="s">
        <v>1228</v>
      </c>
      <c r="G1442" s="28" t="s">
        <v>1128</v>
      </c>
      <c r="H1442" s="28">
        <v>80202</v>
      </c>
      <c r="I1442" s="28">
        <v>39.754530000000003</v>
      </c>
      <c r="J1442" s="28">
        <v>-105.00681</v>
      </c>
      <c r="L1442" s="61">
        <v>110056125376</v>
      </c>
      <c r="M1442" s="28" t="s">
        <v>265</v>
      </c>
      <c r="N1442" s="28">
        <v>1799</v>
      </c>
      <c r="O1442" s="28" t="str">
        <f>IFERROR(VLOOKUP(N1442, 'SIC &amp; NAICS Codes'!A:B, 2, FALSE), "")</f>
        <v>Special Trade Contractors, NEC (indoor swimming pool construction contractors)</v>
      </c>
      <c r="S1442" s="28">
        <v>6.5169751499999998E-3</v>
      </c>
      <c r="T1442" s="315">
        <f>_xlfn.MAXIFS('Raw Period DMR Data'!$O:$O,'Raw Period DMR Data'!$A:$A,'Raw Annual DMR Data_2021-2024'!#REF!,'Raw Period DMR Data'!$C:$C,X1442)/S1442</f>
        <v>0</v>
      </c>
      <c r="U1442" s="28" t="str">
        <f>+IF(COUNTIFS('Raw Period DMR Data'!$A:$A,B1442,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42" s="28" t="str" cm="1">
        <f t="array" ref="V1442">IFERROR(INDEX('Raw Period DMR Data'!N:N,MATCH(1,(B1442='Raw Period DMR Data'!$A:$A)*(U1442='Raw Period DMR Data'!M:M)*(X1442='Raw Period DMR Data'!C:C),0),1), "N/A")</f>
        <v>N/A</v>
      </c>
      <c r="W1442" s="28" t="s">
        <v>1463</v>
      </c>
      <c r="X1442" s="28" t="s">
        <v>7166</v>
      </c>
      <c r="Y1442" s="28" t="s">
        <v>1965</v>
      </c>
      <c r="Z1442" s="61">
        <v>10190003001175</v>
      </c>
      <c r="AB1442" s="28" t="s">
        <v>7355</v>
      </c>
      <c r="AC1442" s="28" t="s">
        <v>1466</v>
      </c>
    </row>
    <row r="1443" spans="1:29" x14ac:dyDescent="0.25">
      <c r="A1443" s="61">
        <v>110000846602</v>
      </c>
      <c r="B1443" s="28">
        <v>2022</v>
      </c>
      <c r="C1443" s="68">
        <f t="shared" si="23"/>
        <v>44562</v>
      </c>
      <c r="D1443" s="28" t="s">
        <v>103</v>
      </c>
      <c r="E1443" s="28" t="s">
        <v>313</v>
      </c>
      <c r="F1443" s="28" t="s">
        <v>314</v>
      </c>
      <c r="G1443" s="28" t="s">
        <v>303</v>
      </c>
      <c r="H1443" s="28" t="s">
        <v>315</v>
      </c>
      <c r="I1443" s="28">
        <v>30.27083</v>
      </c>
      <c r="J1443" s="28">
        <v>-92.037279999999996</v>
      </c>
      <c r="K1443" s="28" t="s">
        <v>7123</v>
      </c>
      <c r="L1443" s="61">
        <v>110000846602</v>
      </c>
      <c r="M1443" s="28" t="s">
        <v>253</v>
      </c>
      <c r="N1443" s="28">
        <v>2821</v>
      </c>
      <c r="O1443" s="28" t="str">
        <f>IFERROR(VLOOKUP(N1443, 'SIC &amp; NAICS Codes'!A:B, 2, FALSE), "")</f>
        <v>Plastics Materials, Synthetic and Resins, and Nonvulcanizable Elastomers</v>
      </c>
      <c r="S1443" s="28">
        <v>1.2698088325000001E-2</v>
      </c>
      <c r="T1443" s="315">
        <f>_xlfn.MAXIFS('Raw Period DMR Data'!$O:$O,'Raw Period DMR Data'!$A:$A,'Raw Annual DMR Data_2021-2024'!#REF!,'Raw Period DMR Data'!$C:$C,X1443)/S1443</f>
        <v>0</v>
      </c>
      <c r="U1443" s="28" t="str">
        <f>+IF(COUNTIFS('Raw Period DMR Data'!$A:$A,B1443,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43" s="28" t="str" cm="1">
        <f t="array" ref="V1443">IFERROR(INDEX('Raw Period DMR Data'!N:N,MATCH(1,(B1443='Raw Period DMR Data'!$A:$A)*(U1443='Raw Period DMR Data'!M:M)*(X1443='Raw Period DMR Data'!C:C),0),1), "N/A")</f>
        <v>N/A</v>
      </c>
      <c r="W1443" s="28" t="s">
        <v>1463</v>
      </c>
      <c r="X1443" s="28" t="s">
        <v>772</v>
      </c>
      <c r="Y1443" s="28" t="s">
        <v>773</v>
      </c>
      <c r="Z1443" s="61">
        <v>8080103002791</v>
      </c>
      <c r="AB1443" s="28" t="s">
        <v>7355</v>
      </c>
      <c r="AC1443" s="28" t="s">
        <v>1466</v>
      </c>
    </row>
    <row r="1444" spans="1:29" x14ac:dyDescent="0.25">
      <c r="A1444" s="61">
        <v>110000846602</v>
      </c>
      <c r="B1444" s="28">
        <v>2024</v>
      </c>
      <c r="C1444" s="68">
        <f t="shared" si="23"/>
        <v>45292</v>
      </c>
      <c r="D1444" s="28" t="s">
        <v>103</v>
      </c>
      <c r="E1444" s="28" t="s">
        <v>313</v>
      </c>
      <c r="F1444" s="28" t="s">
        <v>314</v>
      </c>
      <c r="G1444" s="28" t="s">
        <v>303</v>
      </c>
      <c r="H1444" s="28" t="s">
        <v>315</v>
      </c>
      <c r="I1444" s="28">
        <v>30.27083</v>
      </c>
      <c r="J1444" s="28">
        <v>-92.037279999999996</v>
      </c>
      <c r="K1444" s="28" t="s">
        <v>7123</v>
      </c>
      <c r="L1444" s="61">
        <v>110000846602</v>
      </c>
      <c r="M1444" s="28" t="s">
        <v>253</v>
      </c>
      <c r="N1444" s="28">
        <v>2821</v>
      </c>
      <c r="O1444" s="28" t="str">
        <f>IFERROR(VLOOKUP(N1444, 'SIC &amp; NAICS Codes'!A:B, 2, FALSE), "")</f>
        <v>Plastics Materials, Synthetic and Resins, and Nonvulcanizable Elastomers</v>
      </c>
      <c r="S1444" s="28">
        <v>8.2445134949999995E-3</v>
      </c>
      <c r="T1444" s="315">
        <f>_xlfn.MAXIFS('Raw Period DMR Data'!$O:$O,'Raw Period DMR Data'!$A:$A,'Raw Annual DMR Data_2021-2024'!#REF!,'Raw Period DMR Data'!$C:$C,X1444)/S1444</f>
        <v>0</v>
      </c>
      <c r="U1444" s="28" t="str">
        <f>+IF(COUNTIFS('Raw Period DMR Data'!$A:$A,B1444,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44" s="28" t="str" cm="1">
        <f t="array" ref="V1444">IFERROR(INDEX('Raw Period DMR Data'!N:N,MATCH(1,(B1444='Raw Period DMR Data'!$A:$A)*(U1444='Raw Period DMR Data'!M:M)*(X1444='Raw Period DMR Data'!C:C),0),1), "N/A")</f>
        <v>N/A</v>
      </c>
      <c r="W1444" s="28" t="s">
        <v>1463</v>
      </c>
      <c r="X1444" s="28" t="s">
        <v>772</v>
      </c>
      <c r="Y1444" s="28" t="s">
        <v>773</v>
      </c>
      <c r="Z1444" s="61">
        <v>8080103002791</v>
      </c>
      <c r="AB1444" s="28" t="s">
        <v>7355</v>
      </c>
      <c r="AC1444" s="28" t="s">
        <v>1466</v>
      </c>
    </row>
    <row r="1445" spans="1:29" x14ac:dyDescent="0.25">
      <c r="A1445" s="61">
        <v>110000846602</v>
      </c>
      <c r="B1445" s="28">
        <v>2021</v>
      </c>
      <c r="C1445" s="68">
        <f t="shared" si="23"/>
        <v>44197</v>
      </c>
      <c r="D1445" s="28" t="s">
        <v>103</v>
      </c>
      <c r="E1445" s="28" t="s">
        <v>313</v>
      </c>
      <c r="F1445" s="28" t="s">
        <v>314</v>
      </c>
      <c r="G1445" s="28" t="s">
        <v>303</v>
      </c>
      <c r="H1445" s="28" t="s">
        <v>315</v>
      </c>
      <c r="I1445" s="28">
        <v>30.27083</v>
      </c>
      <c r="J1445" s="28">
        <v>-92.037279999999996</v>
      </c>
      <c r="K1445" s="28" t="s">
        <v>7123</v>
      </c>
      <c r="L1445" s="61">
        <v>110000846602</v>
      </c>
      <c r="M1445" s="28" t="s">
        <v>253</v>
      </c>
      <c r="N1445" s="28">
        <v>2821</v>
      </c>
      <c r="O1445" s="28" t="str">
        <f>IFERROR(VLOOKUP(N1445, 'SIC &amp; NAICS Codes'!A:B, 2, FALSE), "")</f>
        <v>Plastics Materials, Synthetic and Resins, and Nonvulcanizable Elastomers</v>
      </c>
      <c r="S1445" s="28">
        <v>7.8836156375000008E-3</v>
      </c>
      <c r="T1445" s="315">
        <f>_xlfn.MAXIFS('Raw Period DMR Data'!$O:$O,'Raw Period DMR Data'!$A:$A,'Raw Annual DMR Data_2021-2024'!#REF!,'Raw Period DMR Data'!$C:$C,X1445)/S1445</f>
        <v>0</v>
      </c>
      <c r="U1445" s="28" t="str">
        <f>+IF(COUNTIFS('Raw Period DMR Data'!$A:$A,B1445,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45" s="28" t="str" cm="1">
        <f t="array" ref="V1445">IFERROR(INDEX('Raw Period DMR Data'!N:N,MATCH(1,(B1445='Raw Period DMR Data'!$A:$A)*(U1445='Raw Period DMR Data'!M:M)*(X1445='Raw Period DMR Data'!C:C),0),1), "N/A")</f>
        <v>N/A</v>
      </c>
      <c r="W1445" s="28" t="s">
        <v>1463</v>
      </c>
      <c r="X1445" s="28" t="s">
        <v>772</v>
      </c>
      <c r="Y1445" s="28" t="s">
        <v>773</v>
      </c>
      <c r="Z1445" s="61">
        <v>8080103002791</v>
      </c>
      <c r="AB1445" s="28" t="s">
        <v>7355</v>
      </c>
      <c r="AC1445" s="28" t="s">
        <v>1466</v>
      </c>
    </row>
    <row r="1446" spans="1:29" x14ac:dyDescent="0.25">
      <c r="A1446" s="61">
        <v>110000846602</v>
      </c>
      <c r="B1446" s="28">
        <v>2023</v>
      </c>
      <c r="C1446" s="68">
        <f t="shared" si="23"/>
        <v>44927</v>
      </c>
      <c r="D1446" s="28" t="s">
        <v>103</v>
      </c>
      <c r="E1446" s="28" t="s">
        <v>313</v>
      </c>
      <c r="F1446" s="28" t="s">
        <v>314</v>
      </c>
      <c r="G1446" s="28" t="s">
        <v>303</v>
      </c>
      <c r="H1446" s="28" t="s">
        <v>315</v>
      </c>
      <c r="I1446" s="28">
        <v>30.27083</v>
      </c>
      <c r="J1446" s="28">
        <v>-92.037279999999996</v>
      </c>
      <c r="K1446" s="28" t="s">
        <v>7123</v>
      </c>
      <c r="L1446" s="61">
        <v>110000846602</v>
      </c>
      <c r="M1446" s="28" t="s">
        <v>253</v>
      </c>
      <c r="N1446" s="28">
        <v>2821</v>
      </c>
      <c r="O1446" s="28" t="str">
        <f>IFERROR(VLOOKUP(N1446, 'SIC &amp; NAICS Codes'!A:B, 2, FALSE), "")</f>
        <v>Plastics Materials, Synthetic and Resins, and Nonvulcanizable Elastomers</v>
      </c>
      <c r="S1446" s="28">
        <v>4.6861555099999997E-3</v>
      </c>
      <c r="T1446" s="315">
        <f>_xlfn.MAXIFS('Raw Period DMR Data'!$O:$O,'Raw Period DMR Data'!$A:$A,'Raw Annual DMR Data_2021-2024'!#REF!,'Raw Period DMR Data'!$C:$C,X1446)/S1446</f>
        <v>0</v>
      </c>
      <c r="U1446" s="28" t="str">
        <f>+IF(COUNTIFS('Raw Period DMR Data'!$A:$A,B1446,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46" s="28" t="str" cm="1">
        <f t="array" ref="V1446">IFERROR(INDEX('Raw Period DMR Data'!N:N,MATCH(1,(B1446='Raw Period DMR Data'!$A:$A)*(U1446='Raw Period DMR Data'!M:M)*(X1446='Raw Period DMR Data'!C:C),0),1), "N/A")</f>
        <v>N/A</v>
      </c>
      <c r="W1446" s="28" t="s">
        <v>1463</v>
      </c>
      <c r="X1446" s="28" t="s">
        <v>772</v>
      </c>
      <c r="Y1446" s="28" t="s">
        <v>773</v>
      </c>
      <c r="Z1446" s="61" t="s">
        <v>1476</v>
      </c>
      <c r="AB1446" s="28" t="s">
        <v>7355</v>
      </c>
      <c r="AC1446" s="28" t="s">
        <v>1466</v>
      </c>
    </row>
    <row r="1447" spans="1:29" x14ac:dyDescent="0.25">
      <c r="A1447" s="61">
        <v>110056125376</v>
      </c>
      <c r="B1447" s="28">
        <v>2024</v>
      </c>
      <c r="C1447" s="68">
        <f t="shared" si="23"/>
        <v>45292</v>
      </c>
      <c r="D1447" s="28" t="s">
        <v>6825</v>
      </c>
      <c r="E1447" s="28" t="s">
        <v>6980</v>
      </c>
      <c r="F1447" s="28" t="s">
        <v>1228</v>
      </c>
      <c r="G1447" s="28" t="s">
        <v>1128</v>
      </c>
      <c r="H1447" s="28">
        <v>80202</v>
      </c>
      <c r="I1447" s="28">
        <v>39.754530000000003</v>
      </c>
      <c r="J1447" s="28">
        <v>-105.00681</v>
      </c>
      <c r="L1447" s="61">
        <v>110056125376</v>
      </c>
      <c r="M1447" s="28" t="s">
        <v>265</v>
      </c>
      <c r="N1447" s="28">
        <v>1799</v>
      </c>
      <c r="O1447" s="28" t="str">
        <f>IFERROR(VLOOKUP(N1447, 'SIC &amp; NAICS Codes'!A:B, 2, FALSE), "")</f>
        <v>Special Trade Contractors, NEC (indoor swimming pool construction contractors)</v>
      </c>
      <c r="S1447" s="28">
        <v>4.4120609500000003E-3</v>
      </c>
      <c r="T1447" s="315">
        <f>_xlfn.MAXIFS('Raw Period DMR Data'!$O:$O,'Raw Period DMR Data'!$A:$A,'Raw Annual DMR Data_2021-2024'!#REF!,'Raw Period DMR Data'!$C:$C,X1447)/S1447</f>
        <v>0</v>
      </c>
      <c r="U1447" s="28" t="str">
        <f>+IF(COUNTIFS('Raw Period DMR Data'!$A:$A,B1447,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47" s="28" t="str" cm="1">
        <f t="array" ref="V1447">IFERROR(INDEX('Raw Period DMR Data'!N:N,MATCH(1,(B1447='Raw Period DMR Data'!$A:$A)*(U1447='Raw Period DMR Data'!M:M)*(X1447='Raw Period DMR Data'!C:C),0),1), "N/A")</f>
        <v>N/A</v>
      </c>
      <c r="W1447" s="28" t="s">
        <v>1463</v>
      </c>
      <c r="X1447" s="28" t="s">
        <v>7166</v>
      </c>
      <c r="Y1447" s="28" t="s">
        <v>1965</v>
      </c>
      <c r="Z1447" s="61">
        <v>10190003001175</v>
      </c>
      <c r="AB1447" s="28" t="s">
        <v>7355</v>
      </c>
      <c r="AC1447" s="28" t="s">
        <v>1466</v>
      </c>
    </row>
    <row r="1448" spans="1:29" x14ac:dyDescent="0.25">
      <c r="A1448" s="61">
        <v>110000380061</v>
      </c>
      <c r="B1448" s="28">
        <v>2022</v>
      </c>
      <c r="C1448" s="68">
        <f t="shared" si="23"/>
        <v>44562</v>
      </c>
      <c r="D1448" s="28" t="s">
        <v>6806</v>
      </c>
      <c r="E1448" s="28" t="s">
        <v>322</v>
      </c>
      <c r="F1448" s="28" t="s">
        <v>323</v>
      </c>
      <c r="G1448" s="28" t="s">
        <v>324</v>
      </c>
      <c r="H1448" s="28">
        <v>420290187</v>
      </c>
      <c r="I1448" s="28">
        <v>37.056699000000002</v>
      </c>
      <c r="J1448" s="28">
        <v>-88.365727000000007</v>
      </c>
      <c r="K1448" s="28" t="s">
        <v>325</v>
      </c>
      <c r="L1448" s="61">
        <v>110000380061</v>
      </c>
      <c r="M1448" s="28" t="s">
        <v>253</v>
      </c>
      <c r="N1448" s="28">
        <v>2819</v>
      </c>
      <c r="O1448" s="28" t="str">
        <f>IFERROR(VLOOKUP(N1448, 'SIC &amp; NAICS Codes'!A:B, 2, FALSE), "")</f>
        <v>Industrial Inorganic Chemicals, NEC (recovering sulfur from natural gas)</v>
      </c>
      <c r="S1448" s="28">
        <v>56.127111999999997</v>
      </c>
      <c r="T1448" s="315">
        <f>_xlfn.MAXIFS('Raw Period DMR Data'!$O:$O,'Raw Period DMR Data'!$A:$A,'Raw Annual DMR Data_2021-2024'!B2296,'Raw Period DMR Data'!$C:$C,X1448)/S1448</f>
        <v>0</v>
      </c>
      <c r="U1448" s="28" t="str">
        <f>+IF(COUNTIFS('Raw Period DMR Data'!$A:$A,B1448, 'Raw Period DMR Data'!C:C,'Raw Annual DMR Data_2021-2024'!X2296, 'Raw Period DMR Data'!M:M, "&gt;0")&gt;0,_xlfn.MAXIFS('Raw Period DMR Data'!M:M,'Raw Period DMR Data'!$A:$A,'Raw Annual DMR Data_2021-2024'!B2296,'Raw Period DMR Data'!C:C,'Raw Annual DMR Data_2021-2024'!X2296), "N/A - Period DMR Data Not Available")</f>
        <v>N/A - Period DMR Data Not Available</v>
      </c>
      <c r="V1448" s="28" t="str" cm="1">
        <f t="array" ref="V1448">IFERROR(INDEX('Raw Period DMR Data'!N:N,MATCH(1,(B1448='Raw Period DMR Data'!$A:$A)*(U1448='Raw Period DMR Data'!M:M)*(X1448='Raw Period DMR Data'!C:C),0),1), "N/A")</f>
        <v>N/A</v>
      </c>
      <c r="W1448" s="28" t="s">
        <v>1463</v>
      </c>
      <c r="X1448" s="28" t="s">
        <v>776</v>
      </c>
      <c r="Y1448" s="28" t="s">
        <v>777</v>
      </c>
      <c r="Z1448" s="61">
        <v>6040006000329</v>
      </c>
      <c r="AC1448" s="28" t="s">
        <v>1466</v>
      </c>
    </row>
    <row r="1449" spans="1:29" x14ac:dyDescent="0.25">
      <c r="A1449" s="61">
        <v>110000380061</v>
      </c>
      <c r="B1449" s="28">
        <v>2021</v>
      </c>
      <c r="C1449" s="68">
        <f t="shared" si="23"/>
        <v>44197</v>
      </c>
      <c r="D1449" s="28" t="s">
        <v>6806</v>
      </c>
      <c r="E1449" s="28" t="s">
        <v>322</v>
      </c>
      <c r="F1449" s="28" t="s">
        <v>323</v>
      </c>
      <c r="G1449" s="28" t="s">
        <v>324</v>
      </c>
      <c r="H1449" s="28">
        <v>420290187</v>
      </c>
      <c r="I1449" s="28">
        <v>37.056699000000002</v>
      </c>
      <c r="J1449" s="28">
        <v>-88.365727000000007</v>
      </c>
      <c r="K1449" s="28" t="s">
        <v>325</v>
      </c>
      <c r="L1449" s="61">
        <v>110000380061</v>
      </c>
      <c r="M1449" s="28" t="s">
        <v>253</v>
      </c>
      <c r="N1449" s="28">
        <v>2819</v>
      </c>
      <c r="O1449" s="28" t="str">
        <f>IFERROR(VLOOKUP(N1449, 'SIC &amp; NAICS Codes'!A:B, 2, FALSE), "")</f>
        <v>Industrial Inorganic Chemicals, NEC (recovering sulfur from natural gas)</v>
      </c>
      <c r="S1449" s="28">
        <v>8.478904</v>
      </c>
      <c r="T1449" s="315">
        <f>_xlfn.MAXIFS('Raw Period DMR Data'!$O:$O,'Raw Period DMR Data'!$A:$A,'Raw Annual DMR Data_2021-2024'!B2369,'Raw Period DMR Data'!$C:$C,X1449)/S1449</f>
        <v>0</v>
      </c>
      <c r="U1449" s="28" t="str">
        <f>+IF(COUNTIFS('Raw Period DMR Data'!$A:$A,B1449, 'Raw Period DMR Data'!C:C,'Raw Annual DMR Data_2021-2024'!X2369, 'Raw Period DMR Data'!M:M, "&gt;0")&gt;0,_xlfn.MAXIFS('Raw Period DMR Data'!M:M,'Raw Period DMR Data'!$A:$A,'Raw Annual DMR Data_2021-2024'!B2369,'Raw Period DMR Data'!C:C,'Raw Annual DMR Data_2021-2024'!X2369), "N/A - Period DMR Data Not Available")</f>
        <v>N/A - Period DMR Data Not Available</v>
      </c>
      <c r="V1449" s="28" t="str" cm="1">
        <f t="array" ref="V1449">IFERROR(INDEX('Raw Period DMR Data'!N:N,MATCH(1,(B1449='Raw Period DMR Data'!$A:$A)*(U1449='Raw Period DMR Data'!M:M)*(X1449='Raw Period DMR Data'!C:C),0),1), "N/A")</f>
        <v>N/A</v>
      </c>
      <c r="W1449" s="28" t="s">
        <v>1463</v>
      </c>
      <c r="X1449" s="28" t="s">
        <v>776</v>
      </c>
      <c r="Y1449" s="28" t="s">
        <v>777</v>
      </c>
      <c r="Z1449" s="61">
        <v>6040006000329</v>
      </c>
      <c r="AA1449" s="28"/>
      <c r="AC1449" s="28" t="s">
        <v>1466</v>
      </c>
    </row>
    <row r="1450" spans="1:29" x14ac:dyDescent="0.25">
      <c r="A1450" s="61">
        <v>110000380061</v>
      </c>
      <c r="B1450" s="28">
        <v>2023</v>
      </c>
      <c r="C1450" s="68">
        <f t="shared" si="23"/>
        <v>44927</v>
      </c>
      <c r="D1450" s="28" t="s">
        <v>6806</v>
      </c>
      <c r="E1450" s="28" t="s">
        <v>322</v>
      </c>
      <c r="F1450" s="28" t="s">
        <v>323</v>
      </c>
      <c r="G1450" s="28" t="s">
        <v>324</v>
      </c>
      <c r="H1450" s="28">
        <v>420290187</v>
      </c>
      <c r="I1450" s="28">
        <v>37.056699000000002</v>
      </c>
      <c r="J1450" s="28">
        <v>-88.365727000000007</v>
      </c>
      <c r="K1450" s="28" t="s">
        <v>325</v>
      </c>
      <c r="L1450" s="61">
        <v>110000380061</v>
      </c>
      <c r="M1450" s="28" t="s">
        <v>253</v>
      </c>
      <c r="N1450" s="28">
        <v>2819</v>
      </c>
      <c r="O1450" s="28" t="str">
        <f>IFERROR(VLOOKUP(N1450, 'SIC &amp; NAICS Codes'!A:B, 2, FALSE), "")</f>
        <v>Industrial Inorganic Chemicals, NEC (recovering sulfur from natural gas)</v>
      </c>
      <c r="S1450" s="28">
        <v>2.4225439999999998</v>
      </c>
      <c r="T1450" s="315">
        <f>_xlfn.MAXIFS('Raw Period DMR Data'!$O:$O,'Raw Period DMR Data'!$A:$A,'Raw Annual DMR Data_2021-2024'!#REF!,'Raw Period DMR Data'!$C:$C,X1450)/S1450</f>
        <v>0</v>
      </c>
      <c r="U1450" s="28" t="str">
        <f>+IF(COUNTIFS('Raw Period DMR Data'!$A:$A,B1450,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50" s="28" t="str" cm="1">
        <f t="array" ref="V1450">IFERROR(INDEX('Raw Period DMR Data'!N:N,MATCH(1,(B1450='Raw Period DMR Data'!$A:$A)*(U1450='Raw Period DMR Data'!M:M)*(X1450='Raw Period DMR Data'!C:C),0),1), "N/A")</f>
        <v>N/A</v>
      </c>
      <c r="W1450" s="28" t="s">
        <v>1463</v>
      </c>
      <c r="X1450" s="28" t="s">
        <v>776</v>
      </c>
      <c r="Y1450" s="28" t="s">
        <v>777</v>
      </c>
      <c r="Z1450" s="61" t="s">
        <v>1492</v>
      </c>
      <c r="AC1450" s="28" t="s">
        <v>1466</v>
      </c>
    </row>
    <row r="1451" spans="1:29" x14ac:dyDescent="0.25">
      <c r="A1451" s="61">
        <v>110017413217</v>
      </c>
      <c r="B1451" s="28">
        <v>2022</v>
      </c>
      <c r="C1451" s="68">
        <f t="shared" si="23"/>
        <v>44562</v>
      </c>
      <c r="D1451" s="28" t="s">
        <v>6865</v>
      </c>
      <c r="E1451" s="28" t="s">
        <v>1493</v>
      </c>
      <c r="F1451" s="28" t="s">
        <v>7030</v>
      </c>
      <c r="G1451" s="28" t="s">
        <v>979</v>
      </c>
      <c r="H1451" s="28" t="s">
        <v>7031</v>
      </c>
      <c r="I1451" s="28">
        <v>35.377800000000001</v>
      </c>
      <c r="J1451" s="28">
        <v>-86.045599999999993</v>
      </c>
      <c r="K1451" s="28" t="s">
        <v>700</v>
      </c>
      <c r="L1451" s="61">
        <v>110017413217</v>
      </c>
      <c r="M1451" s="28" t="s">
        <v>6750</v>
      </c>
      <c r="N1451" s="28">
        <v>9711</v>
      </c>
      <c r="O1451" s="28" t="str">
        <f>IFERROR(VLOOKUP(N1451, 'SIC &amp; NAICS Codes'!A:B, 2, FALSE), "")</f>
        <v>National Security</v>
      </c>
      <c r="S1451" s="28">
        <v>12.1396127105</v>
      </c>
      <c r="T1451" s="315">
        <f>_xlfn.MAXIFS('Raw Period DMR Data'!$O:$O,'Raw Period DMR Data'!$A:$A,'Raw Annual DMR Data_2021-2024'!B2351,'Raw Period DMR Data'!$C:$C,X1451)/S1451</f>
        <v>0</v>
      </c>
      <c r="U1451" s="28" t="str">
        <f>+IF(COUNTIFS('Raw Period DMR Data'!$A:$A,B1451, 'Raw Period DMR Data'!C:C,'Raw Annual DMR Data_2021-2024'!X2351, 'Raw Period DMR Data'!M:M, "&gt;0")&gt;0,_xlfn.MAXIFS('Raw Period DMR Data'!M:M,'Raw Period DMR Data'!$A:$A,'Raw Annual DMR Data_2021-2024'!B2351,'Raw Period DMR Data'!C:C,'Raw Annual DMR Data_2021-2024'!X2351), "N/A - Period DMR Data Not Available")</f>
        <v>N/A - Period DMR Data Not Available</v>
      </c>
      <c r="V1451" s="28" t="str" cm="1">
        <f t="array" ref="V1451">IFERROR(INDEX('Raw Period DMR Data'!N:N,MATCH(1,(B1451='Raw Period DMR Data'!$A:$A)*(U1451='Raw Period DMR Data'!M:M)*(X1451='Raw Period DMR Data'!C:C),0),1), "N/A")</f>
        <v>N/A</v>
      </c>
      <c r="W1451" s="28" t="s">
        <v>1463</v>
      </c>
      <c r="X1451" s="28" t="s">
        <v>1494</v>
      </c>
      <c r="Y1451" s="28" t="s">
        <v>1495</v>
      </c>
      <c r="Z1451" s="61">
        <v>6030003000915</v>
      </c>
      <c r="AB1451" s="28" t="s">
        <v>7355</v>
      </c>
      <c r="AC1451" s="28" t="s">
        <v>7356</v>
      </c>
    </row>
    <row r="1452" spans="1:29" x14ac:dyDescent="0.25">
      <c r="A1452" s="61">
        <v>110017413217</v>
      </c>
      <c r="B1452" s="28">
        <v>2021</v>
      </c>
      <c r="C1452" s="68">
        <f t="shared" si="23"/>
        <v>44197</v>
      </c>
      <c r="D1452" s="28" t="s">
        <v>6865</v>
      </c>
      <c r="E1452" s="28" t="s">
        <v>1493</v>
      </c>
      <c r="F1452" s="28" t="s">
        <v>7030</v>
      </c>
      <c r="G1452" s="28" t="s">
        <v>979</v>
      </c>
      <c r="H1452" s="28" t="s">
        <v>7031</v>
      </c>
      <c r="I1452" s="28">
        <v>35.377800000000001</v>
      </c>
      <c r="J1452" s="28">
        <v>-86.045599999999993</v>
      </c>
      <c r="K1452" s="28" t="s">
        <v>700</v>
      </c>
      <c r="L1452" s="61">
        <v>110017413217</v>
      </c>
      <c r="M1452" s="28" t="s">
        <v>6750</v>
      </c>
      <c r="N1452" s="28">
        <v>9711</v>
      </c>
      <c r="O1452" s="28" t="str">
        <f>IFERROR(VLOOKUP(N1452, 'SIC &amp; NAICS Codes'!A:B, 2, FALSE), "")</f>
        <v>National Security</v>
      </c>
      <c r="S1452" s="28">
        <v>11.139133123000001</v>
      </c>
      <c r="T1452" s="315">
        <f>_xlfn.MAXIFS('Raw Period DMR Data'!$O:$O,'Raw Period DMR Data'!$A:$A,'Raw Annual DMR Data_2021-2024'!B2357,'Raw Period DMR Data'!$C:$C,X1452)/S1452</f>
        <v>0</v>
      </c>
      <c r="U1452" s="28" t="str">
        <f>+IF(COUNTIFS('Raw Period DMR Data'!$A:$A,B1452, 'Raw Period DMR Data'!C:C,'Raw Annual DMR Data_2021-2024'!X2357, 'Raw Period DMR Data'!M:M, "&gt;0")&gt;0,_xlfn.MAXIFS('Raw Period DMR Data'!M:M,'Raw Period DMR Data'!$A:$A,'Raw Annual DMR Data_2021-2024'!B2357,'Raw Period DMR Data'!C:C,'Raw Annual DMR Data_2021-2024'!X2357), "N/A - Period DMR Data Not Available")</f>
        <v>N/A - Period DMR Data Not Available</v>
      </c>
      <c r="V1452" s="28" t="str" cm="1">
        <f t="array" ref="V1452">IFERROR(INDEX('Raw Period DMR Data'!N:N,MATCH(1,(B1452='Raw Period DMR Data'!$A:$A)*(U1452='Raw Period DMR Data'!M:M)*(X1452='Raw Period DMR Data'!C:C),0),1), "N/A")</f>
        <v>N/A</v>
      </c>
      <c r="W1452" s="28" t="s">
        <v>1463</v>
      </c>
      <c r="X1452" s="28" t="s">
        <v>1494</v>
      </c>
      <c r="Y1452" s="28" t="s">
        <v>1495</v>
      </c>
      <c r="Z1452" s="61">
        <v>6030003000915</v>
      </c>
      <c r="AB1452" s="28" t="s">
        <v>7355</v>
      </c>
      <c r="AC1452" s="28" t="s">
        <v>7356</v>
      </c>
    </row>
    <row r="1453" spans="1:29" x14ac:dyDescent="0.25">
      <c r="A1453" s="61">
        <v>110017413217</v>
      </c>
      <c r="B1453" s="28">
        <v>2023</v>
      </c>
      <c r="C1453" s="68">
        <f t="shared" si="23"/>
        <v>44927</v>
      </c>
      <c r="D1453" s="28" t="s">
        <v>6865</v>
      </c>
      <c r="E1453" s="28" t="s">
        <v>1493</v>
      </c>
      <c r="F1453" s="28" t="s">
        <v>7030</v>
      </c>
      <c r="G1453" s="28" t="s">
        <v>979</v>
      </c>
      <c r="H1453" s="28" t="s">
        <v>7031</v>
      </c>
      <c r="I1453" s="28">
        <v>35.377800000000001</v>
      </c>
      <c r="J1453" s="28">
        <v>-86.045599999999993</v>
      </c>
      <c r="K1453" s="28" t="s">
        <v>700</v>
      </c>
      <c r="L1453" s="61">
        <v>110017413217</v>
      </c>
      <c r="M1453" s="28" t="s">
        <v>6750</v>
      </c>
      <c r="N1453" s="28">
        <v>9711</v>
      </c>
      <c r="O1453" s="28" t="str">
        <f>IFERROR(VLOOKUP(N1453, 'SIC &amp; NAICS Codes'!A:B, 2, FALSE), "")</f>
        <v>National Security</v>
      </c>
      <c r="S1453" s="28">
        <v>2.0197176350000001</v>
      </c>
      <c r="T1453" s="315">
        <f>_xlfn.MAXIFS('Raw Period DMR Data'!$O:$O,'Raw Period DMR Data'!$A:$A,'Raw Annual DMR Data_2021-2024'!#REF!,'Raw Period DMR Data'!$C:$C,X1453)/S1453</f>
        <v>0</v>
      </c>
      <c r="U1453" s="28" t="str">
        <f>+IF(COUNTIFS('Raw Period DMR Data'!$A:$A,B1453,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53" s="28" t="str" cm="1">
        <f t="array" ref="V1453">IFERROR(INDEX('Raw Period DMR Data'!N:N,MATCH(1,(B1453='Raw Period DMR Data'!$A:$A)*(U1453='Raw Period DMR Data'!M:M)*(X1453='Raw Period DMR Data'!C:C),0),1), "N/A")</f>
        <v>N/A</v>
      </c>
      <c r="W1453" s="28" t="s">
        <v>1463</v>
      </c>
      <c r="X1453" s="28" t="s">
        <v>1494</v>
      </c>
      <c r="Y1453" s="28" t="s">
        <v>1495</v>
      </c>
      <c r="Z1453" s="61" t="s">
        <v>7346</v>
      </c>
      <c r="AB1453" s="28" t="s">
        <v>7355</v>
      </c>
      <c r="AC1453" s="28" t="s">
        <v>7356</v>
      </c>
    </row>
    <row r="1454" spans="1:29" x14ac:dyDescent="0.25">
      <c r="A1454" s="61">
        <v>110070381611</v>
      </c>
      <c r="B1454" s="28">
        <v>2024</v>
      </c>
      <c r="C1454" s="68">
        <f t="shared" si="23"/>
        <v>45292</v>
      </c>
      <c r="D1454" s="28" t="s">
        <v>106</v>
      </c>
      <c r="E1454" s="28" t="s">
        <v>326</v>
      </c>
      <c r="F1454" s="28" t="s">
        <v>327</v>
      </c>
      <c r="G1454" s="28" t="s">
        <v>328</v>
      </c>
      <c r="H1454" s="28">
        <v>30340</v>
      </c>
      <c r="I1454" s="28">
        <v>33.904722</v>
      </c>
      <c r="J1454" s="28">
        <v>-84.238889</v>
      </c>
      <c r="L1454" s="61">
        <v>110070381611</v>
      </c>
      <c r="M1454" s="28" t="s">
        <v>252</v>
      </c>
      <c r="O1454" s="28" t="str">
        <f>IFERROR(VLOOKUP(N1454, 'SIC &amp; NAICS Codes'!A:B, 2, FALSE), "")</f>
        <v/>
      </c>
      <c r="S1454" s="28">
        <v>0.20919997800000001</v>
      </c>
      <c r="T1454" s="315">
        <f>_xlfn.MAXIFS('Raw Period DMR Data'!$O:$O,'Raw Period DMR Data'!$A:$A,'Raw Annual DMR Data_2021-2024'!#REF!,'Raw Period DMR Data'!$C:$C,X1454)/S1454</f>
        <v>0</v>
      </c>
      <c r="U1454" s="28" t="str">
        <f>+IF(COUNTIFS('Raw Period DMR Data'!$A:$A,B1454,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54" s="28" t="str" cm="1">
        <f t="array" ref="V1454">IFERROR(INDEX('Raw Period DMR Data'!N:N,MATCH(1,(B1454='Raw Period DMR Data'!$A:$A)*(U1454='Raw Period DMR Data'!M:M)*(X1454='Raw Period DMR Data'!C:C),0),1), "N/A")</f>
        <v>N/A</v>
      </c>
      <c r="W1454" s="28" t="s">
        <v>1463</v>
      </c>
      <c r="X1454" s="28" t="s">
        <v>778</v>
      </c>
      <c r="Y1454" s="28" t="s">
        <v>779</v>
      </c>
      <c r="Z1454" s="61"/>
      <c r="AC1454" s="28" t="s">
        <v>1466</v>
      </c>
    </row>
    <row r="1455" spans="1:29" x14ac:dyDescent="0.25">
      <c r="A1455" s="61">
        <v>110070381611</v>
      </c>
      <c r="B1455" s="28">
        <v>2023</v>
      </c>
      <c r="C1455" s="68">
        <f t="shared" si="23"/>
        <v>44927</v>
      </c>
      <c r="D1455" s="28" t="s">
        <v>106</v>
      </c>
      <c r="E1455" s="28" t="s">
        <v>326</v>
      </c>
      <c r="F1455" s="28" t="s">
        <v>327</v>
      </c>
      <c r="G1455" s="28" t="s">
        <v>328</v>
      </c>
      <c r="H1455" s="28">
        <v>30340</v>
      </c>
      <c r="I1455" s="28">
        <v>33.904722</v>
      </c>
      <c r="J1455" s="28">
        <v>-84.238889</v>
      </c>
      <c r="L1455" s="61">
        <v>110070381611</v>
      </c>
      <c r="M1455" s="28" t="s">
        <v>252</v>
      </c>
      <c r="O1455" s="28" t="str">
        <f>IFERROR(VLOOKUP(N1455, 'SIC &amp; NAICS Codes'!A:B, 2, FALSE), "")</f>
        <v/>
      </c>
      <c r="S1455" s="28">
        <v>0.122735381225</v>
      </c>
      <c r="T1455" s="315">
        <f>_xlfn.MAXIFS('Raw Period DMR Data'!$O:$O,'Raw Period DMR Data'!$A:$A,'Raw Annual DMR Data_2021-2024'!#REF!,'Raw Period DMR Data'!$C:$C,X1455)/S1455</f>
        <v>0</v>
      </c>
      <c r="U1455" s="28" t="str">
        <f>+IF(COUNTIFS('Raw Period DMR Data'!$A:$A,B1455,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55" s="28" t="str" cm="1">
        <f t="array" ref="V1455">IFERROR(INDEX('Raw Period DMR Data'!N:N,MATCH(1,(B1455='Raw Period DMR Data'!$A:$A)*(U1455='Raw Period DMR Data'!M:M)*(X1455='Raw Period DMR Data'!C:C),0),1), "N/A")</f>
        <v>N/A</v>
      </c>
      <c r="W1455" s="28" t="s">
        <v>1463</v>
      </c>
      <c r="X1455" s="28" t="s">
        <v>778</v>
      </c>
      <c r="Y1455" s="28" t="s">
        <v>779</v>
      </c>
      <c r="Z1455" s="61"/>
      <c r="AB1455" s="28" t="s">
        <v>7355</v>
      </c>
      <c r="AC1455" s="28" t="s">
        <v>1466</v>
      </c>
    </row>
    <row r="1456" spans="1:29" x14ac:dyDescent="0.25">
      <c r="A1456" s="61">
        <v>110070381611</v>
      </c>
      <c r="B1456" s="28">
        <v>2021</v>
      </c>
      <c r="C1456" s="68">
        <f t="shared" si="23"/>
        <v>44197</v>
      </c>
      <c r="D1456" s="28" t="s">
        <v>106</v>
      </c>
      <c r="E1456" s="28" t="s">
        <v>326</v>
      </c>
      <c r="F1456" s="28" t="s">
        <v>327</v>
      </c>
      <c r="G1456" s="28" t="s">
        <v>328</v>
      </c>
      <c r="H1456" s="28">
        <v>30340</v>
      </c>
      <c r="I1456" s="28">
        <v>33.904722</v>
      </c>
      <c r="J1456" s="28">
        <v>-84.238889</v>
      </c>
      <c r="L1456" s="61">
        <v>110070381611</v>
      </c>
      <c r="M1456" s="28" t="s">
        <v>252</v>
      </c>
      <c r="O1456" s="28" t="str">
        <f>IFERROR(VLOOKUP(N1456, 'SIC &amp; NAICS Codes'!A:B, 2, FALSE), "")</f>
        <v/>
      </c>
      <c r="S1456" s="28">
        <v>0.1078712074225</v>
      </c>
      <c r="T1456" s="315">
        <f>_xlfn.MAXIFS('Raw Period DMR Data'!$O:$O,'Raw Period DMR Data'!$A:$A,'Raw Annual DMR Data_2021-2024'!#REF!,'Raw Period DMR Data'!$C:$C,X1456)/S1456</f>
        <v>0</v>
      </c>
      <c r="U1456" s="28" t="str">
        <f>+IF(COUNTIFS('Raw Period DMR Data'!$A:$A,B1456,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56" s="28" t="str" cm="1">
        <f t="array" ref="V1456">IFERROR(INDEX('Raw Period DMR Data'!N:N,MATCH(1,(B1456='Raw Period DMR Data'!$A:$A)*(U1456='Raw Period DMR Data'!M:M)*(X1456='Raw Period DMR Data'!C:C),0),1), "N/A")</f>
        <v>N/A</v>
      </c>
      <c r="W1456" s="28" t="s">
        <v>1463</v>
      </c>
      <c r="X1456" s="28" t="s">
        <v>778</v>
      </c>
      <c r="Y1456" s="28" t="s">
        <v>779</v>
      </c>
      <c r="Z1456" s="61"/>
      <c r="AA1456" s="28"/>
      <c r="AB1456" s="28" t="s">
        <v>7355</v>
      </c>
      <c r="AC1456" s="28" t="s">
        <v>1466</v>
      </c>
    </row>
    <row r="1457" spans="1:29" x14ac:dyDescent="0.25">
      <c r="A1457" s="61">
        <v>110070381611</v>
      </c>
      <c r="B1457" s="28">
        <v>2022</v>
      </c>
      <c r="C1457" s="68">
        <f t="shared" si="23"/>
        <v>44562</v>
      </c>
      <c r="D1457" s="28" t="s">
        <v>106</v>
      </c>
      <c r="E1457" s="28" t="s">
        <v>326</v>
      </c>
      <c r="F1457" s="28" t="s">
        <v>327</v>
      </c>
      <c r="G1457" s="28" t="s">
        <v>328</v>
      </c>
      <c r="H1457" s="28">
        <v>30340</v>
      </c>
      <c r="I1457" s="28">
        <v>33.904722</v>
      </c>
      <c r="J1457" s="28">
        <v>-84.238889</v>
      </c>
      <c r="L1457" s="61">
        <v>110070381611</v>
      </c>
      <c r="M1457" s="28" t="s">
        <v>252</v>
      </c>
      <c r="O1457" s="28" t="str">
        <f>IFERROR(VLOOKUP(N1457, 'SIC &amp; NAICS Codes'!A:B, 2, FALSE), "")</f>
        <v/>
      </c>
      <c r="S1457" s="28">
        <v>4.0612709349999998E-2</v>
      </c>
      <c r="T1457" s="315">
        <f>_xlfn.MAXIFS('Raw Period DMR Data'!$O:$O,'Raw Period DMR Data'!$A:$A,'Raw Annual DMR Data_2021-2024'!#REF!,'Raw Period DMR Data'!$C:$C,X1457)/S1457</f>
        <v>0</v>
      </c>
      <c r="U1457" s="28" t="str">
        <f>+IF(COUNTIFS('Raw Period DMR Data'!$A:$A,B1457,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57" s="28" t="str" cm="1">
        <f t="array" ref="V1457">IFERROR(INDEX('Raw Period DMR Data'!N:N,MATCH(1,(B1457='Raw Period DMR Data'!$A:$A)*(U1457='Raw Period DMR Data'!M:M)*(X1457='Raw Period DMR Data'!C:C),0),1), "N/A")</f>
        <v>N/A</v>
      </c>
      <c r="W1457" s="28" t="s">
        <v>1463</v>
      </c>
      <c r="X1457" s="28" t="s">
        <v>778</v>
      </c>
      <c r="Y1457" s="28" t="s">
        <v>779</v>
      </c>
      <c r="Z1457" s="61"/>
      <c r="AB1457" s="28" t="s">
        <v>7355</v>
      </c>
      <c r="AC1457" s="28" t="s">
        <v>1466</v>
      </c>
    </row>
    <row r="1458" spans="1:29" x14ac:dyDescent="0.25">
      <c r="A1458" s="61">
        <v>110056125376</v>
      </c>
      <c r="B1458" s="28">
        <v>2022</v>
      </c>
      <c r="C1458" s="68">
        <f t="shared" si="23"/>
        <v>44562</v>
      </c>
      <c r="D1458" s="28" t="s">
        <v>6825</v>
      </c>
      <c r="E1458" s="28" t="s">
        <v>6980</v>
      </c>
      <c r="F1458" s="28" t="s">
        <v>1228</v>
      </c>
      <c r="G1458" s="28" t="s">
        <v>1128</v>
      </c>
      <c r="H1458" s="28">
        <v>80202</v>
      </c>
      <c r="I1458" s="28">
        <v>39.754530000000003</v>
      </c>
      <c r="J1458" s="28">
        <v>-105.00681</v>
      </c>
      <c r="L1458" s="61">
        <v>110056125376</v>
      </c>
      <c r="M1458" s="28" t="s">
        <v>265</v>
      </c>
      <c r="N1458" s="28">
        <v>1799</v>
      </c>
      <c r="O1458" s="28" t="str">
        <f>IFERROR(VLOOKUP(N1458, 'SIC &amp; NAICS Codes'!A:B, 2, FALSE), "")</f>
        <v>Special Trade Contractors, NEC (indoor swimming pool construction contractors)</v>
      </c>
      <c r="S1458" s="28">
        <v>4.1150330749999998E-3</v>
      </c>
      <c r="T1458" s="315">
        <f>_xlfn.MAXIFS('Raw Period DMR Data'!$O:$O,'Raw Period DMR Data'!$A:$A,'Raw Annual DMR Data_2021-2024'!#REF!,'Raw Period DMR Data'!$C:$C,X1458)/S1458</f>
        <v>0</v>
      </c>
      <c r="U1458" s="28" t="str">
        <f>+IF(COUNTIFS('Raw Period DMR Data'!$A:$A,B1458,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58" s="28" t="str" cm="1">
        <f t="array" ref="V1458">IFERROR(INDEX('Raw Period DMR Data'!N:N,MATCH(1,(B1458='Raw Period DMR Data'!$A:$A)*(U1458='Raw Period DMR Data'!M:M)*(X1458='Raw Period DMR Data'!C:C),0),1), "N/A")</f>
        <v>N/A</v>
      </c>
      <c r="W1458" s="28" t="s">
        <v>1463</v>
      </c>
      <c r="X1458" s="28" t="s">
        <v>7166</v>
      </c>
      <c r="Y1458" s="28" t="s">
        <v>1965</v>
      </c>
      <c r="Z1458" s="61">
        <v>10190003001175</v>
      </c>
      <c r="AB1458" s="28" t="s">
        <v>7355</v>
      </c>
      <c r="AC1458" s="28" t="s">
        <v>1466</v>
      </c>
    </row>
    <row r="1459" spans="1:29" x14ac:dyDescent="0.25">
      <c r="A1459" s="61">
        <v>110056125376</v>
      </c>
      <c r="B1459" s="28">
        <v>2021</v>
      </c>
      <c r="C1459" s="68">
        <f t="shared" si="23"/>
        <v>44197</v>
      </c>
      <c r="D1459" s="28" t="s">
        <v>6825</v>
      </c>
      <c r="E1459" s="28" t="s">
        <v>6980</v>
      </c>
      <c r="F1459" s="28" t="s">
        <v>1228</v>
      </c>
      <c r="G1459" s="28" t="s">
        <v>1128</v>
      </c>
      <c r="H1459" s="28">
        <v>80202</v>
      </c>
      <c r="I1459" s="28">
        <v>39.754530000000003</v>
      </c>
      <c r="J1459" s="28">
        <v>-105.00681</v>
      </c>
      <c r="L1459" s="61">
        <v>110056125376</v>
      </c>
      <c r="M1459" s="28" t="s">
        <v>265</v>
      </c>
      <c r="N1459" s="28">
        <v>1799</v>
      </c>
      <c r="O1459" s="28" t="str">
        <f>IFERROR(VLOOKUP(N1459, 'SIC &amp; NAICS Codes'!A:B, 2, FALSE), "")</f>
        <v>Special Trade Contractors, NEC (indoor swimming pool construction contractors)</v>
      </c>
      <c r="S1459" s="28">
        <v>1.0063558000000001E-3</v>
      </c>
      <c r="T1459" s="315">
        <f>_xlfn.MAXIFS('Raw Period DMR Data'!$O:$O,'Raw Period DMR Data'!$A:$A,'Raw Annual DMR Data_2021-2024'!#REF!,'Raw Period DMR Data'!$C:$C,X1459)/S1459</f>
        <v>0</v>
      </c>
      <c r="U1459" s="28" t="str">
        <f>+IF(COUNTIFS('Raw Period DMR Data'!$A:$A,B1459,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59" s="28" t="str" cm="1">
        <f t="array" ref="V1459">IFERROR(INDEX('Raw Period DMR Data'!N:N,MATCH(1,(B1459='Raw Period DMR Data'!$A:$A)*(U1459='Raw Period DMR Data'!M:M)*(X1459='Raw Period DMR Data'!C:C),0),1), "N/A")</f>
        <v>N/A</v>
      </c>
      <c r="W1459" s="28" t="s">
        <v>1463</v>
      </c>
      <c r="X1459" s="28" t="s">
        <v>7166</v>
      </c>
      <c r="Y1459" s="28" t="s">
        <v>1965</v>
      </c>
      <c r="Z1459" s="61">
        <v>10190003001175</v>
      </c>
      <c r="AA1459" s="28"/>
      <c r="AB1459" s="28" t="s">
        <v>7355</v>
      </c>
      <c r="AC1459" s="28" t="s">
        <v>1466</v>
      </c>
    </row>
    <row r="1460" spans="1:29" x14ac:dyDescent="0.25">
      <c r="A1460" s="61">
        <v>110071446922</v>
      </c>
      <c r="B1460" s="28">
        <v>2023</v>
      </c>
      <c r="C1460" s="68">
        <f t="shared" si="23"/>
        <v>44927</v>
      </c>
      <c r="D1460" s="28" t="s">
        <v>6898</v>
      </c>
      <c r="E1460" s="28" t="s">
        <v>7090</v>
      </c>
      <c r="F1460" s="28" t="s">
        <v>7071</v>
      </c>
      <c r="G1460" s="28" t="s">
        <v>294</v>
      </c>
      <c r="H1460" s="28">
        <v>23510</v>
      </c>
      <c r="I1460" s="28">
        <v>36.860309999999998</v>
      </c>
      <c r="J1460" s="28">
        <v>-76.286709000000002</v>
      </c>
      <c r="L1460" s="61">
        <v>110071446922</v>
      </c>
      <c r="M1460" s="28" t="s">
        <v>265</v>
      </c>
      <c r="N1460" s="28">
        <v>1799</v>
      </c>
      <c r="O1460" s="28" t="str">
        <f>IFERROR(VLOOKUP(N1460, 'SIC &amp; NAICS Codes'!A:B, 2, FALSE), "")</f>
        <v>Special Trade Contractors, NEC (indoor swimming pool construction contractors)</v>
      </c>
      <c r="S1460" s="28">
        <v>6.4182244999999999E-3</v>
      </c>
      <c r="T1460" s="315">
        <f>_xlfn.MAXIFS('Raw Period DMR Data'!$O:$O,'Raw Period DMR Data'!$A:$A,'Raw Annual DMR Data_2021-2024'!#REF!,'Raw Period DMR Data'!$C:$C,X1460)/S1460</f>
        <v>0</v>
      </c>
      <c r="U1460" s="28" t="str">
        <f>+IF(COUNTIFS('Raw Period DMR Data'!$A:$A,B1460,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60" s="28" t="str" cm="1">
        <f t="array" ref="V1460">IFERROR(INDEX('Raw Period DMR Data'!N:N,MATCH(1,(B1460='Raw Period DMR Data'!$A:$A)*(U1460='Raw Period DMR Data'!M:M)*(X1460='Raw Period DMR Data'!C:C),0),1), "N/A")</f>
        <v>N/A</v>
      </c>
      <c r="W1460" s="28" t="s">
        <v>1463</v>
      </c>
      <c r="X1460" s="28" t="s">
        <v>7227</v>
      </c>
      <c r="Y1460" s="28" t="s">
        <v>7318</v>
      </c>
      <c r="Z1460" s="61"/>
      <c r="AB1460" s="28" t="s">
        <v>7355</v>
      </c>
      <c r="AC1460" s="28" t="s">
        <v>1466</v>
      </c>
    </row>
    <row r="1461" spans="1:29" x14ac:dyDescent="0.25">
      <c r="A1461" s="61">
        <v>110071076435</v>
      </c>
      <c r="B1461" s="28">
        <v>2022</v>
      </c>
      <c r="C1461" s="68">
        <f t="shared" si="23"/>
        <v>44562</v>
      </c>
      <c r="D1461" s="28" t="s">
        <v>6824</v>
      </c>
      <c r="E1461" s="28" t="s">
        <v>6979</v>
      </c>
      <c r="F1461" s="28" t="s">
        <v>1403</v>
      </c>
      <c r="G1461" s="28" t="s">
        <v>294</v>
      </c>
      <c r="H1461" s="28">
        <v>23451</v>
      </c>
      <c r="I1461" s="28">
        <v>36.840694999999997</v>
      </c>
      <c r="J1461" s="28">
        <v>-75.984082999999998</v>
      </c>
      <c r="L1461" s="61">
        <v>110071076435</v>
      </c>
      <c r="M1461" s="28" t="s">
        <v>265</v>
      </c>
      <c r="N1461" s="28">
        <v>1799</v>
      </c>
      <c r="O1461" s="28" t="str">
        <f>IFERROR(VLOOKUP(N1461, 'SIC &amp; NAICS Codes'!A:B, 2, FALSE), "")</f>
        <v>Special Trade Contractors, NEC (indoor swimming pool construction contractors)</v>
      </c>
      <c r="S1461" s="28">
        <v>2.3338215375E-4</v>
      </c>
      <c r="T1461" s="315">
        <f>_xlfn.MAXIFS('Raw Period DMR Data'!$O:$O,'Raw Period DMR Data'!$A:$A,'Raw Annual DMR Data_2021-2024'!#REF!,'Raw Period DMR Data'!$C:$C,X1461)/S1461</f>
        <v>0</v>
      </c>
      <c r="U1461" s="28" t="str">
        <f>+IF(COUNTIFS('Raw Period DMR Data'!$A:$A,B1461,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61" s="28" t="str" cm="1">
        <f t="array" ref="V1461">IFERROR(INDEX('Raw Period DMR Data'!N:N,MATCH(1,(B1461='Raw Period DMR Data'!$A:$A)*(U1461='Raw Period DMR Data'!M:M)*(X1461='Raw Period DMR Data'!C:C),0),1), "N/A")</f>
        <v>N/A</v>
      </c>
      <c r="W1461" s="28" t="s">
        <v>1463</v>
      </c>
      <c r="X1461" s="28" t="s">
        <v>7165</v>
      </c>
      <c r="Y1461" s="28" t="s">
        <v>7279</v>
      </c>
      <c r="Z1461" s="61"/>
      <c r="AB1461" s="28" t="s">
        <v>7355</v>
      </c>
      <c r="AC1461" s="28" t="s">
        <v>1466</v>
      </c>
    </row>
    <row r="1462" spans="1:29" x14ac:dyDescent="0.25">
      <c r="A1462" s="61">
        <v>110000760310</v>
      </c>
      <c r="B1462" s="28">
        <v>2023</v>
      </c>
      <c r="C1462" s="68">
        <f t="shared" si="23"/>
        <v>44927</v>
      </c>
      <c r="D1462" s="28" t="s">
        <v>108</v>
      </c>
      <c r="E1462" s="28" t="s">
        <v>336</v>
      </c>
      <c r="F1462" s="28" t="s">
        <v>337</v>
      </c>
      <c r="G1462" s="28" t="s">
        <v>338</v>
      </c>
      <c r="H1462" s="28" t="s">
        <v>339</v>
      </c>
      <c r="I1462" s="28">
        <v>39.852224</v>
      </c>
      <c r="J1462" s="28">
        <v>-75.234432999999996</v>
      </c>
      <c r="L1462" s="61">
        <v>110000760310</v>
      </c>
      <c r="M1462" s="28" t="s">
        <v>264</v>
      </c>
      <c r="N1462" s="28">
        <v>5171</v>
      </c>
      <c r="O1462" s="28" t="str">
        <f>IFERROR(VLOOKUP(N1462, 'SIC &amp; NAICS Codes'!A:B, 2, FALSE), "")</f>
        <v>Petroleum Bulk Stations and Terminals (except petroleum sold via retail method)</v>
      </c>
      <c r="S1462" s="28">
        <v>6.5915775000000001E-3</v>
      </c>
      <c r="T1462" s="315">
        <f>_xlfn.MAXIFS('Raw Period DMR Data'!$O:$O,'Raw Period DMR Data'!$A:$A,'Raw Annual DMR Data_2021-2024'!#REF!,'Raw Period DMR Data'!$C:$C,X1462)/S1462</f>
        <v>0</v>
      </c>
      <c r="U1462" s="28" t="str">
        <f>+IF(COUNTIFS('Raw Period DMR Data'!$A:$A,B1462,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62" s="28" t="str" cm="1">
        <f t="array" ref="V1462">IFERROR(INDEX('Raw Period DMR Data'!N:N,MATCH(1,(B1462='Raw Period DMR Data'!$A:$A)*(U1462='Raw Period DMR Data'!M:M)*(X1462='Raw Period DMR Data'!C:C),0),1), "N/A")</f>
        <v>N/A</v>
      </c>
      <c r="W1462" s="28" t="s">
        <v>1463</v>
      </c>
      <c r="X1462" s="28" t="s">
        <v>782</v>
      </c>
      <c r="Y1462" s="28" t="s">
        <v>783</v>
      </c>
      <c r="Z1462" s="61" t="s">
        <v>1504</v>
      </c>
      <c r="AB1462" s="28" t="s">
        <v>7355</v>
      </c>
      <c r="AC1462" s="28" t="s">
        <v>1466</v>
      </c>
    </row>
    <row r="1463" spans="1:29" x14ac:dyDescent="0.25">
      <c r="A1463" s="61">
        <v>110070828339</v>
      </c>
      <c r="B1463" s="28">
        <v>2021</v>
      </c>
      <c r="C1463" s="68">
        <f t="shared" si="23"/>
        <v>44197</v>
      </c>
      <c r="D1463" s="28" t="s">
        <v>984</v>
      </c>
      <c r="E1463" s="28" t="s">
        <v>6995</v>
      </c>
      <c r="F1463" s="28" t="s">
        <v>985</v>
      </c>
      <c r="G1463" s="28" t="s">
        <v>979</v>
      </c>
      <c r="H1463" s="28">
        <v>37660</v>
      </c>
      <c r="I1463" s="28">
        <v>36.550454999999999</v>
      </c>
      <c r="J1463" s="28">
        <v>-82.634793999999999</v>
      </c>
      <c r="L1463" s="61">
        <v>110070828339</v>
      </c>
      <c r="M1463" s="28" t="s">
        <v>265</v>
      </c>
      <c r="N1463" s="28">
        <v>2892</v>
      </c>
      <c r="O1463" s="28" t="str">
        <f>IFERROR(VLOOKUP(N1463, 'SIC &amp; NAICS Codes'!A:B, 2, FALSE), "")</f>
        <v>Explosives</v>
      </c>
      <c r="S1463" s="28">
        <v>0.24856500000000001</v>
      </c>
      <c r="T1463" s="315">
        <f>_xlfn.MAXIFS('Raw Period DMR Data'!$O:$O,'Raw Period DMR Data'!$A:$A,'Raw Annual DMR Data_2021-2024'!#REF!,'Raw Period DMR Data'!$C:$C,X1463)/S1463</f>
        <v>0</v>
      </c>
      <c r="U1463" s="28" t="str">
        <f>+IF(COUNTIFS('Raw Period DMR Data'!$A:$A,B1463,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63" s="28" t="str" cm="1">
        <f t="array" ref="V1463">IFERROR(INDEX('Raw Period DMR Data'!N:N,MATCH(1,(B1463='Raw Period DMR Data'!$A:$A)*(U1463='Raw Period DMR Data'!M:M)*(X1463='Raw Period DMR Data'!C:C),0),1), "N/A")</f>
        <v>N/A</v>
      </c>
      <c r="W1463" s="28" t="s">
        <v>1463</v>
      </c>
      <c r="X1463" s="28" t="s">
        <v>1506</v>
      </c>
      <c r="Y1463" s="28" t="s">
        <v>1507</v>
      </c>
      <c r="Z1463" s="61">
        <v>6010104000630</v>
      </c>
      <c r="AA1463" s="28"/>
      <c r="AB1463" s="28" t="s">
        <v>7355</v>
      </c>
      <c r="AC1463" s="28" t="s">
        <v>7356</v>
      </c>
    </row>
    <row r="1464" spans="1:29" x14ac:dyDescent="0.25">
      <c r="A1464" s="61">
        <v>110000378467</v>
      </c>
      <c r="B1464" s="28">
        <v>2023</v>
      </c>
      <c r="C1464" s="68">
        <f t="shared" si="23"/>
        <v>44927</v>
      </c>
      <c r="D1464" s="28" t="s">
        <v>986</v>
      </c>
      <c r="E1464" s="28" t="s">
        <v>1508</v>
      </c>
      <c r="F1464" s="28" t="s">
        <v>987</v>
      </c>
      <c r="G1464" s="28" t="s">
        <v>324</v>
      </c>
      <c r="H1464" s="28">
        <v>402162137</v>
      </c>
      <c r="I1464" s="28">
        <v>38.195278000000002</v>
      </c>
      <c r="J1464" s="28">
        <v>-85.872221999999994</v>
      </c>
      <c r="K1464" s="28" t="s">
        <v>701</v>
      </c>
      <c r="L1464" s="61">
        <v>110000378467</v>
      </c>
      <c r="M1464" s="28" t="s">
        <v>265</v>
      </c>
      <c r="N1464" s="28">
        <v>2869</v>
      </c>
      <c r="O1464" s="28" t="str">
        <f>IFERROR(VLOOKUP(N1464, 'SIC &amp; NAICS Codes'!A:B, 2, FALSE), "")</f>
        <v>Industrial Organic Chemicals, NEC (aliphatics)</v>
      </c>
      <c r="S1464" s="28">
        <v>0.91140500000000002</v>
      </c>
      <c r="T1464" s="315">
        <f>_xlfn.MAXIFS('Raw Period DMR Data'!$O:$O,'Raw Period DMR Data'!$A:$A,'Raw Annual DMR Data_2021-2024'!#REF!,'Raw Period DMR Data'!$C:$C,X1464)/S1464</f>
        <v>0</v>
      </c>
      <c r="U1464" s="28" t="str">
        <f>+IF(COUNTIFS('Raw Period DMR Data'!$A:$A,B1464,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64" s="28" t="str" cm="1">
        <f t="array" ref="V1464">IFERROR(INDEX('Raw Period DMR Data'!N:N,MATCH(1,(B1464='Raw Period DMR Data'!$A:$A)*(U1464='Raw Period DMR Data'!M:M)*(X1464='Raw Period DMR Data'!C:C),0),1), "N/A")</f>
        <v>N/A</v>
      </c>
      <c r="W1464" s="28" t="s">
        <v>1463</v>
      </c>
      <c r="X1464" s="28" t="s">
        <v>1509</v>
      </c>
      <c r="Y1464" s="28" t="s">
        <v>830</v>
      </c>
      <c r="Z1464" s="61" t="s">
        <v>1510</v>
      </c>
      <c r="AB1464" s="28" t="s">
        <v>7355</v>
      </c>
      <c r="AC1464" s="28" t="s">
        <v>1466</v>
      </c>
    </row>
    <row r="1465" spans="1:29" x14ac:dyDescent="0.25">
      <c r="A1465" s="61">
        <v>110000378467</v>
      </c>
      <c r="B1465" s="28">
        <v>2021</v>
      </c>
      <c r="C1465" s="68">
        <f t="shared" si="23"/>
        <v>44197</v>
      </c>
      <c r="D1465" s="28" t="s">
        <v>986</v>
      </c>
      <c r="E1465" s="28" t="s">
        <v>1508</v>
      </c>
      <c r="F1465" s="28" t="s">
        <v>987</v>
      </c>
      <c r="G1465" s="28" t="s">
        <v>324</v>
      </c>
      <c r="H1465" s="28">
        <v>402162137</v>
      </c>
      <c r="I1465" s="28">
        <v>38.195278000000002</v>
      </c>
      <c r="J1465" s="28">
        <v>-85.872221999999994</v>
      </c>
      <c r="K1465" s="28" t="s">
        <v>701</v>
      </c>
      <c r="L1465" s="61">
        <v>110000378467</v>
      </c>
      <c r="M1465" s="28" t="s">
        <v>265</v>
      </c>
      <c r="N1465" s="28">
        <v>2869</v>
      </c>
      <c r="O1465" s="28" t="str">
        <f>IFERROR(VLOOKUP(N1465, 'SIC &amp; NAICS Codes'!A:B, 2, FALSE), "")</f>
        <v>Industrial Organic Chemicals, NEC (aliphatics)</v>
      </c>
      <c r="S1465" s="28">
        <v>0.24856500000000001</v>
      </c>
      <c r="T1465" s="315">
        <f>_xlfn.MAXIFS('Raw Period DMR Data'!$O:$O,'Raw Period DMR Data'!$A:$A,'Raw Annual DMR Data_2021-2024'!#REF!,'Raw Period DMR Data'!$C:$C,X1465)/S1465</f>
        <v>0</v>
      </c>
      <c r="U1465" s="28" t="str">
        <f>+IF(COUNTIFS('Raw Period DMR Data'!$A:$A,B1465,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65" s="28" t="str" cm="1">
        <f t="array" ref="V1465">IFERROR(INDEX('Raw Period DMR Data'!N:N,MATCH(1,(B1465='Raw Period DMR Data'!$A:$A)*(U1465='Raw Period DMR Data'!M:M)*(X1465='Raw Period DMR Data'!C:C),0),1), "N/A")</f>
        <v>N/A</v>
      </c>
      <c r="W1465" s="28" t="s">
        <v>1463</v>
      </c>
      <c r="X1465" s="28" t="s">
        <v>1509</v>
      </c>
      <c r="Y1465" s="28" t="s">
        <v>830</v>
      </c>
      <c r="Z1465" s="61">
        <v>5140101000007</v>
      </c>
      <c r="AA1465" s="28"/>
      <c r="AB1465" s="28" t="s">
        <v>7355</v>
      </c>
      <c r="AC1465" s="28" t="s">
        <v>1466</v>
      </c>
    </row>
    <row r="1466" spans="1:29" x14ac:dyDescent="0.25">
      <c r="A1466" s="61">
        <v>110000378467</v>
      </c>
      <c r="B1466" s="28">
        <v>2022</v>
      </c>
      <c r="C1466" s="68">
        <f t="shared" si="23"/>
        <v>44562</v>
      </c>
      <c r="D1466" s="28" t="s">
        <v>986</v>
      </c>
      <c r="E1466" s="28" t="s">
        <v>1508</v>
      </c>
      <c r="F1466" s="28" t="s">
        <v>987</v>
      </c>
      <c r="G1466" s="28" t="s">
        <v>324</v>
      </c>
      <c r="H1466" s="28">
        <v>402162137</v>
      </c>
      <c r="I1466" s="28">
        <v>38.195278000000002</v>
      </c>
      <c r="J1466" s="28">
        <v>-85.872221999999994</v>
      </c>
      <c r="K1466" s="28" t="s">
        <v>701</v>
      </c>
      <c r="L1466" s="61">
        <v>110000378467</v>
      </c>
      <c r="M1466" s="28" t="s">
        <v>265</v>
      </c>
      <c r="N1466" s="28">
        <v>2869</v>
      </c>
      <c r="O1466" s="28" t="str">
        <f>IFERROR(VLOOKUP(N1466, 'SIC &amp; NAICS Codes'!A:B, 2, FALSE), "")</f>
        <v>Industrial Organic Chemicals, NEC (aliphatics)</v>
      </c>
      <c r="S1466" s="28">
        <v>0.16571</v>
      </c>
      <c r="T1466" s="315">
        <f>_xlfn.MAXIFS('Raw Period DMR Data'!$O:$O,'Raw Period DMR Data'!$A:$A,'Raw Annual DMR Data_2021-2024'!#REF!,'Raw Period DMR Data'!$C:$C,X1466)/S1466</f>
        <v>0</v>
      </c>
      <c r="U1466" s="28" t="str">
        <f>+IF(COUNTIFS('Raw Period DMR Data'!$A:$A,B1466,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66" s="28" t="str" cm="1">
        <f t="array" ref="V1466">IFERROR(INDEX('Raw Period DMR Data'!N:N,MATCH(1,(B1466='Raw Period DMR Data'!$A:$A)*(U1466='Raw Period DMR Data'!M:M)*(X1466='Raw Period DMR Data'!C:C),0),1), "N/A")</f>
        <v>N/A</v>
      </c>
      <c r="W1466" s="28" t="s">
        <v>1463</v>
      </c>
      <c r="X1466" s="28" t="s">
        <v>1509</v>
      </c>
      <c r="Y1466" s="28" t="s">
        <v>830</v>
      </c>
      <c r="Z1466" s="61">
        <v>5140101000007</v>
      </c>
      <c r="AB1466" s="28" t="s">
        <v>7355</v>
      </c>
      <c r="AC1466" s="28" t="s">
        <v>1466</v>
      </c>
    </row>
    <row r="1467" spans="1:29" x14ac:dyDescent="0.25">
      <c r="A1467" s="61">
        <v>110000378467</v>
      </c>
      <c r="B1467" s="28">
        <v>2024</v>
      </c>
      <c r="C1467" s="68">
        <f t="shared" si="23"/>
        <v>45292</v>
      </c>
      <c r="D1467" s="28" t="s">
        <v>986</v>
      </c>
      <c r="E1467" s="28" t="s">
        <v>1508</v>
      </c>
      <c r="F1467" s="28" t="s">
        <v>987</v>
      </c>
      <c r="G1467" s="28" t="s">
        <v>324</v>
      </c>
      <c r="H1467" s="28">
        <v>402162137</v>
      </c>
      <c r="I1467" s="28">
        <v>38.195278000000002</v>
      </c>
      <c r="J1467" s="28">
        <v>-85.872221999999994</v>
      </c>
      <c r="K1467" s="28" t="s">
        <v>701</v>
      </c>
      <c r="L1467" s="61">
        <v>110000378467</v>
      </c>
      <c r="M1467" s="28" t="s">
        <v>265</v>
      </c>
      <c r="N1467" s="28">
        <v>2869</v>
      </c>
      <c r="O1467" s="28" t="str">
        <f>IFERROR(VLOOKUP(N1467, 'SIC &amp; NAICS Codes'!A:B, 2, FALSE), "")</f>
        <v>Industrial Organic Chemicals, NEC (aliphatics)</v>
      </c>
      <c r="S1467" s="28">
        <v>0.16571</v>
      </c>
      <c r="T1467" s="315">
        <f>_xlfn.MAXIFS('Raw Period DMR Data'!$O:$O,'Raw Period DMR Data'!$A:$A,'Raw Annual DMR Data_2021-2024'!#REF!,'Raw Period DMR Data'!$C:$C,X1467)/S1467</f>
        <v>0</v>
      </c>
      <c r="U1467" s="28" t="str">
        <f>+IF(COUNTIFS('Raw Period DMR Data'!$A:$A,B1467,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67" s="28" t="str" cm="1">
        <f t="array" ref="V1467">IFERROR(INDEX('Raw Period DMR Data'!N:N,MATCH(1,(B1467='Raw Period DMR Data'!$A:$A)*(U1467='Raw Period DMR Data'!M:M)*(X1467='Raw Period DMR Data'!C:C),0),1), "N/A")</f>
        <v>N/A</v>
      </c>
      <c r="W1467" s="28" t="s">
        <v>1463</v>
      </c>
      <c r="X1467" s="28" t="s">
        <v>1509</v>
      </c>
      <c r="Y1467" s="28" t="s">
        <v>830</v>
      </c>
      <c r="Z1467" s="61">
        <v>5140101000007</v>
      </c>
      <c r="AB1467" s="28" t="s">
        <v>7355</v>
      </c>
      <c r="AC1467" s="28" t="s">
        <v>1466</v>
      </c>
    </row>
    <row r="1468" spans="1:29" x14ac:dyDescent="0.25">
      <c r="A1468" s="61">
        <v>110071076435</v>
      </c>
      <c r="B1468" s="28">
        <v>2023</v>
      </c>
      <c r="C1468" s="68">
        <f t="shared" si="23"/>
        <v>44927</v>
      </c>
      <c r="D1468" s="28" t="s">
        <v>6824</v>
      </c>
      <c r="E1468" s="28" t="s">
        <v>6979</v>
      </c>
      <c r="F1468" s="28" t="s">
        <v>1403</v>
      </c>
      <c r="G1468" s="28" t="s">
        <v>294</v>
      </c>
      <c r="H1468" s="28">
        <v>23451</v>
      </c>
      <c r="I1468" s="28">
        <v>36.840694999999997</v>
      </c>
      <c r="J1468" s="28">
        <v>-75.984082999999998</v>
      </c>
      <c r="L1468" s="61">
        <v>110071076435</v>
      </c>
      <c r="M1468" s="28" t="s">
        <v>265</v>
      </c>
      <c r="N1468" s="28">
        <v>1799</v>
      </c>
      <c r="O1468" s="28" t="str">
        <f>IFERROR(VLOOKUP(N1468, 'SIC &amp; NAICS Codes'!A:B, 2, FALSE), "")</f>
        <v>Special Trade Contractors, NEC (indoor swimming pool construction contractors)</v>
      </c>
      <c r="S1468" s="28">
        <v>1.9201305000000001E-6</v>
      </c>
      <c r="T1468" s="315">
        <f>_xlfn.MAXIFS('Raw Period DMR Data'!$O:$O,'Raw Period DMR Data'!$A:$A,'Raw Annual DMR Data_2021-2024'!#REF!,'Raw Period DMR Data'!$C:$C,X1468)/S1468</f>
        <v>0</v>
      </c>
      <c r="U1468" s="28" t="str">
        <f>+IF(COUNTIFS('Raw Period DMR Data'!$A:$A,B1468,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68" s="28" t="str" cm="1">
        <f t="array" ref="V1468">IFERROR(INDEX('Raw Period DMR Data'!N:N,MATCH(1,(B1468='Raw Period DMR Data'!$A:$A)*(U1468='Raw Period DMR Data'!M:M)*(X1468='Raw Period DMR Data'!C:C),0),1), "N/A")</f>
        <v>N/A</v>
      </c>
      <c r="W1468" s="28" t="s">
        <v>1463</v>
      </c>
      <c r="X1468" s="28" t="s">
        <v>7165</v>
      </c>
      <c r="Y1468" s="28" t="s">
        <v>7279</v>
      </c>
      <c r="Z1468" s="61"/>
      <c r="AB1468" s="28" t="s">
        <v>7355</v>
      </c>
      <c r="AC1468" s="28" t="s">
        <v>1466</v>
      </c>
    </row>
    <row r="1469" spans="1:29" x14ac:dyDescent="0.25">
      <c r="A1469" s="61">
        <v>110054272210</v>
      </c>
      <c r="B1469" s="28">
        <v>2022</v>
      </c>
      <c r="C1469" s="68">
        <f t="shared" si="23"/>
        <v>44562</v>
      </c>
      <c r="D1469" s="28" t="s">
        <v>6835</v>
      </c>
      <c r="E1469" s="28" t="s">
        <v>6990</v>
      </c>
      <c r="F1469" s="28" t="s">
        <v>1072</v>
      </c>
      <c r="G1469" s="28" t="s">
        <v>366</v>
      </c>
      <c r="H1469" s="28">
        <v>96021</v>
      </c>
      <c r="I1469" s="28">
        <v>39.915689999999998</v>
      </c>
      <c r="J1469" s="28">
        <v>-122.10365</v>
      </c>
      <c r="L1469" s="61">
        <v>110054272210</v>
      </c>
      <c r="M1469" s="28" t="s">
        <v>6751</v>
      </c>
      <c r="N1469" s="28">
        <v>2033</v>
      </c>
      <c r="O1469" s="28" t="str">
        <f>IFERROR(VLOOKUP(N1469, 'SIC &amp; NAICS Codes'!A:B, 2, FALSE), "")</f>
        <v>Canned Fruits, Vegetables, Preserves, Jams, and Jellies</v>
      </c>
      <c r="S1469" s="28">
        <v>1.7565841826666599</v>
      </c>
      <c r="T1469" s="315">
        <f>_xlfn.MAXIFS('Raw Period DMR Data'!$O:$O,'Raw Period DMR Data'!$A:$A,'Raw Annual DMR Data_2021-2024'!#REF!,'Raw Period DMR Data'!$C:$C,X1469)/S1469</f>
        <v>0</v>
      </c>
      <c r="U1469" s="28" t="str">
        <f>+IF(COUNTIFS('Raw Period DMR Data'!$A:$A,B1469,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69" s="28" t="str" cm="1">
        <f t="array" ref="V1469">IFERROR(INDEX('Raw Period DMR Data'!N:N,MATCH(1,(B1469='Raw Period DMR Data'!$A:$A)*(U1469='Raw Period DMR Data'!M:M)*(X1469='Raw Period DMR Data'!C:C),0),1), "N/A")</f>
        <v>N/A</v>
      </c>
      <c r="W1469" s="28" t="s">
        <v>1463</v>
      </c>
      <c r="X1469" s="28" t="s">
        <v>7173</v>
      </c>
      <c r="Y1469" s="28" t="s">
        <v>818</v>
      </c>
      <c r="Z1469" s="61">
        <v>18020157005902</v>
      </c>
      <c r="AB1469" s="28" t="s">
        <v>7355</v>
      </c>
      <c r="AC1469" s="28" t="s">
        <v>1466</v>
      </c>
    </row>
    <row r="1470" spans="1:29" x14ac:dyDescent="0.25">
      <c r="A1470" s="61">
        <v>110054272210</v>
      </c>
      <c r="B1470" s="28">
        <v>2023</v>
      </c>
      <c r="C1470" s="68">
        <f t="shared" si="23"/>
        <v>44927</v>
      </c>
      <c r="D1470" s="28" t="s">
        <v>6835</v>
      </c>
      <c r="E1470" s="28" t="s">
        <v>6990</v>
      </c>
      <c r="F1470" s="28" t="s">
        <v>1072</v>
      </c>
      <c r="G1470" s="28" t="s">
        <v>366</v>
      </c>
      <c r="H1470" s="28">
        <v>96021</v>
      </c>
      <c r="I1470" s="28">
        <v>39.915689999999998</v>
      </c>
      <c r="J1470" s="28">
        <v>-122.10365</v>
      </c>
      <c r="L1470" s="61">
        <v>110054272210</v>
      </c>
      <c r="M1470" s="28" t="s">
        <v>6751</v>
      </c>
      <c r="N1470" s="28">
        <v>2033</v>
      </c>
      <c r="O1470" s="28" t="str">
        <f>IFERROR(VLOOKUP(N1470, 'SIC &amp; NAICS Codes'!A:B, 2, FALSE), "")</f>
        <v>Canned Fruits, Vegetables, Preserves, Jams, and Jellies</v>
      </c>
      <c r="S1470" s="28">
        <v>0.16759979999999999</v>
      </c>
      <c r="T1470" s="315">
        <f>_xlfn.MAXIFS('Raw Period DMR Data'!$O:$O,'Raw Period DMR Data'!$A:$A,'Raw Annual DMR Data_2021-2024'!#REF!,'Raw Period DMR Data'!$C:$C,X1470)/S1470</f>
        <v>0</v>
      </c>
      <c r="U1470" s="28" t="str">
        <f>+IF(COUNTIFS('Raw Period DMR Data'!$A:$A,B1470,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70" s="28" t="str" cm="1">
        <f t="array" ref="V1470">IFERROR(INDEX('Raw Period DMR Data'!N:N,MATCH(1,(B1470='Raw Period DMR Data'!$A:$A)*(U1470='Raw Period DMR Data'!M:M)*(X1470='Raw Period DMR Data'!C:C),0),1), "N/A")</f>
        <v>N/A</v>
      </c>
      <c r="W1470" s="28" t="s">
        <v>1463</v>
      </c>
      <c r="X1470" s="28" t="s">
        <v>7173</v>
      </c>
      <c r="Y1470" s="28" t="s">
        <v>818</v>
      </c>
      <c r="Z1470" s="61">
        <v>18020157005902</v>
      </c>
      <c r="AB1470" s="28" t="s">
        <v>7355</v>
      </c>
      <c r="AC1470" s="28" t="s">
        <v>1466</v>
      </c>
    </row>
    <row r="1471" spans="1:29" x14ac:dyDescent="0.25">
      <c r="A1471" s="61">
        <v>110000915984</v>
      </c>
      <c r="B1471" s="28">
        <v>2022</v>
      </c>
      <c r="C1471" s="68">
        <f t="shared" si="23"/>
        <v>44562</v>
      </c>
      <c r="D1471" s="28" t="s">
        <v>6802</v>
      </c>
      <c r="E1471" s="28" t="s">
        <v>6955</v>
      </c>
      <c r="F1471" s="28" t="s">
        <v>6956</v>
      </c>
      <c r="G1471" s="28" t="s">
        <v>541</v>
      </c>
      <c r="H1471" s="28">
        <v>29702</v>
      </c>
      <c r="I1471" s="28">
        <v>35.118552999999999</v>
      </c>
      <c r="J1471" s="28">
        <v>-81.559533000000002</v>
      </c>
      <c r="L1471" s="61">
        <v>110000915984</v>
      </c>
      <c r="M1471" s="28" t="s">
        <v>265</v>
      </c>
      <c r="N1471" s="28">
        <v>2261</v>
      </c>
      <c r="O1471" s="28" t="str">
        <f>IFERROR(VLOOKUP(N1471, 'SIC &amp; NAICS Codes'!A:B, 2, FALSE), "")</f>
        <v>Finishers of Broadwoven Fabrics of Cotton</v>
      </c>
      <c r="S1471" s="28">
        <v>4.8967305000000003</v>
      </c>
      <c r="T1471" s="315">
        <f>_xlfn.MAXIFS('Raw Period DMR Data'!$O:$O,'Raw Period DMR Data'!$A:$A,'Raw Annual DMR Data_2021-2024'!B2396,'Raw Period DMR Data'!$C:$C,X1471)/S1471</f>
        <v>0</v>
      </c>
      <c r="U1471" s="28" t="str">
        <f>+IF(COUNTIFS('Raw Period DMR Data'!$A:$A,B1471, 'Raw Period DMR Data'!C:C,'Raw Annual DMR Data_2021-2024'!X2396, 'Raw Period DMR Data'!M:M, "&gt;0")&gt;0,_xlfn.MAXIFS('Raw Period DMR Data'!M:M,'Raw Period DMR Data'!$A:$A,'Raw Annual DMR Data_2021-2024'!B2396,'Raw Period DMR Data'!C:C,'Raw Annual DMR Data_2021-2024'!X2396), "N/A - Period DMR Data Not Available")</f>
        <v>N/A - Period DMR Data Not Available</v>
      </c>
      <c r="V1471" s="28" t="str" cm="1">
        <f t="array" ref="V1471">IFERROR(INDEX('Raw Period DMR Data'!N:N,MATCH(1,(B1471='Raw Period DMR Data'!$A:$A)*(U1471='Raw Period DMR Data'!M:M)*(X1471='Raw Period DMR Data'!C:C),0),1), "N/A")</f>
        <v>N/A</v>
      </c>
      <c r="W1471" s="28" t="s">
        <v>1463</v>
      </c>
      <c r="X1471" s="28" t="s">
        <v>7155</v>
      </c>
      <c r="Y1471" s="28" t="s">
        <v>7267</v>
      </c>
      <c r="Z1471" s="61">
        <v>3050105000056</v>
      </c>
      <c r="AB1471" s="28" t="s">
        <v>7355</v>
      </c>
      <c r="AC1471" s="28" t="s">
        <v>1466</v>
      </c>
    </row>
    <row r="1472" spans="1:29" x14ac:dyDescent="0.25">
      <c r="A1472" s="61">
        <v>110000322311</v>
      </c>
      <c r="B1472" s="28">
        <v>2024</v>
      </c>
      <c r="C1472" s="68">
        <f t="shared" si="23"/>
        <v>45292</v>
      </c>
      <c r="D1472" s="28" t="s">
        <v>6427</v>
      </c>
      <c r="E1472" s="28" t="s">
        <v>7079</v>
      </c>
      <c r="F1472" s="28" t="s">
        <v>7080</v>
      </c>
      <c r="G1472" s="28" t="s">
        <v>338</v>
      </c>
      <c r="H1472" s="28">
        <v>8865</v>
      </c>
      <c r="I1472" s="28">
        <v>40.703099000000002</v>
      </c>
      <c r="J1472" s="28">
        <v>-75.197676000000001</v>
      </c>
      <c r="K1472" s="28" t="s">
        <v>7134</v>
      </c>
      <c r="L1472" s="61">
        <v>110000322311</v>
      </c>
      <c r="M1472" s="28" t="s">
        <v>265</v>
      </c>
      <c r="N1472" s="28">
        <v>2819</v>
      </c>
      <c r="O1472" s="28" t="str">
        <f>IFERROR(VLOOKUP(N1472, 'SIC &amp; NAICS Codes'!A:B, 2, FALSE), "")</f>
        <v>Industrial Inorganic Chemicals, NEC (recovering sulfur from natural gas)</v>
      </c>
      <c r="S1472" s="28">
        <v>0.18096000000000001</v>
      </c>
      <c r="T1472" s="315">
        <f>_xlfn.MAXIFS('Raw Period DMR Data'!$O:$O,'Raw Period DMR Data'!$A:$A,'Raw Annual DMR Data_2021-2024'!#REF!,'Raw Period DMR Data'!$C:$C,X1472)/S1472</f>
        <v>0</v>
      </c>
      <c r="U1472" s="28" t="str">
        <f>+IF(COUNTIFS('Raw Period DMR Data'!$A:$A,B1472,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72" s="28" t="str" cm="1">
        <f t="array" ref="V1472">IFERROR(INDEX('Raw Period DMR Data'!N:N,MATCH(1,(B1472='Raw Period DMR Data'!$A:$A)*(U1472='Raw Period DMR Data'!M:M)*(X1472='Raw Period DMR Data'!C:C),0),1), "N/A")</f>
        <v>N/A</v>
      </c>
      <c r="W1472" s="28" t="s">
        <v>1463</v>
      </c>
      <c r="X1472" s="28" t="s">
        <v>7223</v>
      </c>
      <c r="Y1472" s="28" t="s">
        <v>783</v>
      </c>
      <c r="Z1472" s="61">
        <v>2040105000093</v>
      </c>
      <c r="AB1472" s="28" t="s">
        <v>7355</v>
      </c>
      <c r="AC1472" s="28" t="s">
        <v>1466</v>
      </c>
    </row>
    <row r="1473" spans="1:29" x14ac:dyDescent="0.25">
      <c r="A1473" s="61">
        <v>110000322311</v>
      </c>
      <c r="B1473" s="28">
        <v>2023</v>
      </c>
      <c r="C1473" s="68">
        <f t="shared" si="23"/>
        <v>44927</v>
      </c>
      <c r="D1473" s="28" t="s">
        <v>6427</v>
      </c>
      <c r="E1473" s="28" t="s">
        <v>7079</v>
      </c>
      <c r="F1473" s="28" t="s">
        <v>7080</v>
      </c>
      <c r="G1473" s="28" t="s">
        <v>338</v>
      </c>
      <c r="H1473" s="28" t="s">
        <v>7081</v>
      </c>
      <c r="I1473" s="28">
        <v>40.703099000000002</v>
      </c>
      <c r="J1473" s="28">
        <v>-75.197676000000001</v>
      </c>
      <c r="K1473" s="28" t="s">
        <v>7134</v>
      </c>
      <c r="L1473" s="61">
        <v>110000322311</v>
      </c>
      <c r="M1473" s="28" t="s">
        <v>265</v>
      </c>
      <c r="N1473" s="28">
        <v>2819</v>
      </c>
      <c r="O1473" s="28" t="str">
        <f>IFERROR(VLOOKUP(N1473, 'SIC &amp; NAICS Codes'!A:B, 2, FALSE), "")</f>
        <v>Industrial Inorganic Chemicals, NEC (recovering sulfur from natural gas)</v>
      </c>
      <c r="S1473" s="28">
        <v>0.15440000000000001</v>
      </c>
      <c r="T1473" s="315">
        <f>_xlfn.MAXIFS('Raw Period DMR Data'!$O:$O,'Raw Period DMR Data'!$A:$A,'Raw Annual DMR Data_2021-2024'!#REF!,'Raw Period DMR Data'!$C:$C,X1473)/S1473</f>
        <v>0</v>
      </c>
      <c r="U1473" s="28" t="str">
        <f>+IF(COUNTIFS('Raw Period DMR Data'!$A:$A,B1473,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73" s="28" t="str" cm="1">
        <f t="array" ref="V1473">IFERROR(INDEX('Raw Period DMR Data'!N:N,MATCH(1,(B1473='Raw Period DMR Data'!$A:$A)*(U1473='Raw Period DMR Data'!M:M)*(X1473='Raw Period DMR Data'!C:C),0),1), "N/A")</f>
        <v>N/A</v>
      </c>
      <c r="W1473" s="28" t="s">
        <v>1463</v>
      </c>
      <c r="X1473" s="28" t="s">
        <v>7223</v>
      </c>
      <c r="Y1473" s="28" t="s">
        <v>783</v>
      </c>
      <c r="Z1473" s="61" t="s">
        <v>7329</v>
      </c>
      <c r="AB1473" s="28" t="s">
        <v>7355</v>
      </c>
      <c r="AC1473" s="28" t="s">
        <v>1466</v>
      </c>
    </row>
    <row r="1474" spans="1:29" x14ac:dyDescent="0.25">
      <c r="A1474" s="61">
        <v>110000494019</v>
      </c>
      <c r="B1474" s="28">
        <v>2024</v>
      </c>
      <c r="C1474" s="68">
        <f t="shared" si="23"/>
        <v>45292</v>
      </c>
      <c r="D1474" s="28" t="s">
        <v>205</v>
      </c>
      <c r="E1474" s="28" t="s">
        <v>7046</v>
      </c>
      <c r="F1474" s="28" t="s">
        <v>7047</v>
      </c>
      <c r="G1474" s="28" t="s">
        <v>427</v>
      </c>
      <c r="H1474" s="28">
        <v>48192</v>
      </c>
      <c r="I1474" s="28">
        <v>42.219194999999999</v>
      </c>
      <c r="J1474" s="28">
        <v>-83.146739999999994</v>
      </c>
      <c r="K1474" s="28" t="s">
        <v>7131</v>
      </c>
      <c r="L1474" s="61">
        <v>110000494019</v>
      </c>
      <c r="M1474" s="28" t="s">
        <v>253</v>
      </c>
      <c r="N1474" s="28">
        <v>2821</v>
      </c>
      <c r="O1474" s="28" t="str">
        <f>IFERROR(VLOOKUP(N1474, 'SIC &amp; NAICS Codes'!A:B, 2, FALSE), "")</f>
        <v>Plastics Materials, Synthetic and Resins, and Nonvulcanizable Elastomers</v>
      </c>
      <c r="S1474" s="28">
        <v>1.2017460000000001E-2</v>
      </c>
      <c r="T1474" s="315">
        <f>_xlfn.MAXIFS('Raw Period DMR Data'!$O:$O,'Raw Period DMR Data'!$A:$A,'Raw Annual DMR Data_2021-2024'!#REF!,'Raw Period DMR Data'!$C:$C,X1474)/S1474</f>
        <v>0</v>
      </c>
      <c r="U1474" s="28" t="str">
        <f>+IF(COUNTIFS('Raw Period DMR Data'!$A:$A,B1474,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74" s="28" t="str" cm="1">
        <f t="array" ref="V1474">IFERROR(INDEX('Raw Period DMR Data'!N:N,MATCH(1,(B1474='Raw Period DMR Data'!$A:$A)*(U1474='Raw Period DMR Data'!M:M)*(X1474='Raw Period DMR Data'!C:C),0),1), "N/A")</f>
        <v>N/A</v>
      </c>
      <c r="W1474" s="28" t="s">
        <v>1463</v>
      </c>
      <c r="X1474" s="28" t="s">
        <v>7203</v>
      </c>
      <c r="Y1474" s="28" t="s">
        <v>7304</v>
      </c>
      <c r="Z1474" s="61">
        <v>4090004000006</v>
      </c>
      <c r="AB1474" s="28" t="s">
        <v>7355</v>
      </c>
      <c r="AC1474" s="28" t="s">
        <v>1466</v>
      </c>
    </row>
    <row r="1475" spans="1:29" x14ac:dyDescent="0.25">
      <c r="A1475" s="61">
        <v>110000452082</v>
      </c>
      <c r="B1475" s="28">
        <v>2021</v>
      </c>
      <c r="C1475" s="68">
        <f t="shared" si="23"/>
        <v>44197</v>
      </c>
      <c r="D1475" s="28" t="s">
        <v>991</v>
      </c>
      <c r="E1475" s="28" t="s">
        <v>1517</v>
      </c>
      <c r="F1475" s="28" t="s">
        <v>992</v>
      </c>
      <c r="G1475" s="28" t="s">
        <v>299</v>
      </c>
      <c r="H1475" s="28">
        <v>723016413</v>
      </c>
      <c r="I1475" s="28">
        <v>35.136057000000001</v>
      </c>
      <c r="J1475" s="28">
        <v>-90.096892999999994</v>
      </c>
      <c r="K1475" s="28" t="s">
        <v>704</v>
      </c>
      <c r="L1475" s="61">
        <v>110000452082</v>
      </c>
      <c r="M1475" s="28" t="s">
        <v>254</v>
      </c>
      <c r="N1475" s="28">
        <v>2869</v>
      </c>
      <c r="O1475" s="28" t="str">
        <f>IFERROR(VLOOKUP(N1475, 'SIC &amp; NAICS Codes'!A:B, 2, FALSE), "")</f>
        <v>Industrial Organic Chemicals, NEC (aliphatics)</v>
      </c>
      <c r="S1475" s="28">
        <v>5.9301479999999997E-2</v>
      </c>
      <c r="T1475" s="315">
        <f>_xlfn.MAXIFS('Raw Period DMR Data'!$O:$O,'Raw Period DMR Data'!$A:$A,'Raw Annual DMR Data_2021-2024'!#REF!,'Raw Period DMR Data'!$C:$C,X1475)/S1475</f>
        <v>0</v>
      </c>
      <c r="U1475" s="28" t="str">
        <f>+IF(COUNTIFS('Raw Period DMR Data'!$A:$A,B1475,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75" s="28" t="str" cm="1">
        <f t="array" ref="V1475">IFERROR(INDEX('Raw Period DMR Data'!N:N,MATCH(1,(B1475='Raw Period DMR Data'!$A:$A)*(U1475='Raw Period DMR Data'!M:M)*(X1475='Raw Period DMR Data'!C:C),0),1), "N/A")</f>
        <v>N/A</v>
      </c>
      <c r="W1475" s="28" t="s">
        <v>1463</v>
      </c>
      <c r="X1475" s="28" t="s">
        <v>1518</v>
      </c>
      <c r="Y1475" s="28" t="s">
        <v>1519</v>
      </c>
      <c r="Z1475" s="61">
        <v>8010100000818</v>
      </c>
      <c r="AA1475" s="28"/>
      <c r="AB1475" s="28" t="s">
        <v>7355</v>
      </c>
      <c r="AC1475" s="28" t="s">
        <v>1466</v>
      </c>
    </row>
    <row r="1476" spans="1:29" x14ac:dyDescent="0.25">
      <c r="A1476" s="61">
        <v>110000452082</v>
      </c>
      <c r="B1476" s="28">
        <v>2022</v>
      </c>
      <c r="C1476" s="68">
        <f t="shared" si="23"/>
        <v>44562</v>
      </c>
      <c r="D1476" s="28" t="s">
        <v>991</v>
      </c>
      <c r="E1476" s="28" t="s">
        <v>1517</v>
      </c>
      <c r="F1476" s="28" t="s">
        <v>992</v>
      </c>
      <c r="G1476" s="28" t="s">
        <v>299</v>
      </c>
      <c r="H1476" s="28">
        <v>723016413</v>
      </c>
      <c r="I1476" s="28">
        <v>35.136057000000001</v>
      </c>
      <c r="J1476" s="28">
        <v>-90.096892999999994</v>
      </c>
      <c r="K1476" s="28" t="s">
        <v>704</v>
      </c>
      <c r="L1476" s="61">
        <v>110000452082</v>
      </c>
      <c r="M1476" s="28" t="s">
        <v>254</v>
      </c>
      <c r="N1476" s="28">
        <v>2869</v>
      </c>
      <c r="O1476" s="28" t="str">
        <f>IFERROR(VLOOKUP(N1476, 'SIC &amp; NAICS Codes'!A:B, 2, FALSE), "")</f>
        <v>Industrial Organic Chemicals, NEC (aliphatics)</v>
      </c>
      <c r="S1476" s="28">
        <v>1.2053700000000001E-2</v>
      </c>
      <c r="T1476" s="315">
        <f>_xlfn.MAXIFS('Raw Period DMR Data'!$O:$O,'Raw Period DMR Data'!$A:$A,'Raw Annual DMR Data_2021-2024'!#REF!,'Raw Period DMR Data'!$C:$C,X1476)/S1476</f>
        <v>0</v>
      </c>
      <c r="U1476" s="28" t="str">
        <f>+IF(COUNTIFS('Raw Period DMR Data'!$A:$A,B1476,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76" s="28" t="str" cm="1">
        <f t="array" ref="V1476">IFERROR(INDEX('Raw Period DMR Data'!N:N,MATCH(1,(B1476='Raw Period DMR Data'!$A:$A)*(U1476='Raw Period DMR Data'!M:M)*(X1476='Raw Period DMR Data'!C:C),0),1), "N/A")</f>
        <v>N/A</v>
      </c>
      <c r="W1476" s="28" t="s">
        <v>1463</v>
      </c>
      <c r="X1476" s="28" t="s">
        <v>1518</v>
      </c>
      <c r="Y1476" s="28" t="s">
        <v>1519</v>
      </c>
      <c r="Z1476" s="61">
        <v>8010100000818</v>
      </c>
      <c r="AB1476" s="28" t="s">
        <v>7355</v>
      </c>
      <c r="AC1476" s="28" t="s">
        <v>1466</v>
      </c>
    </row>
    <row r="1477" spans="1:29" x14ac:dyDescent="0.25">
      <c r="A1477" s="61">
        <v>110000443226</v>
      </c>
      <c r="B1477" s="28">
        <v>2023</v>
      </c>
      <c r="C1477" s="68">
        <f t="shared" si="23"/>
        <v>44927</v>
      </c>
      <c r="D1477" s="28" t="s">
        <v>6827</v>
      </c>
      <c r="E1477" s="28" t="s">
        <v>351</v>
      </c>
      <c r="F1477" s="28" t="s">
        <v>352</v>
      </c>
      <c r="G1477" s="28" t="s">
        <v>349</v>
      </c>
      <c r="H1477" s="28">
        <v>641200013</v>
      </c>
      <c r="I1477" s="28">
        <v>38.969749999999998</v>
      </c>
      <c r="J1477" s="28">
        <v>-94.465860000000006</v>
      </c>
      <c r="K1477" s="28" t="s">
        <v>353</v>
      </c>
      <c r="L1477" s="61">
        <v>110000443226</v>
      </c>
      <c r="M1477" s="28" t="s">
        <v>254</v>
      </c>
      <c r="N1477" s="28">
        <v>2879</v>
      </c>
      <c r="O1477" s="28" t="str">
        <f>IFERROR(VLOOKUP(N1477, 'SIC &amp; NAICS Codes'!A:B, 2, FALSE), "")</f>
        <v>Pesticides and Agricultural Chemicals, NEC</v>
      </c>
      <c r="S1477" s="28">
        <v>19.885200000000001</v>
      </c>
      <c r="T1477" s="315">
        <f>_xlfn.MAXIFS('Raw Period DMR Data'!$O:$O,'Raw Period DMR Data'!$A:$A,'Raw Annual DMR Data_2021-2024'!B2324,'Raw Period DMR Data'!$C:$C,X1477)/S1477</f>
        <v>0</v>
      </c>
      <c r="U1477" s="28" t="str">
        <f>+IF(COUNTIFS('Raw Period DMR Data'!$A:$A,B1477, 'Raw Period DMR Data'!C:C,'Raw Annual DMR Data_2021-2024'!X2324, 'Raw Period DMR Data'!M:M, "&gt;0")&gt;0,_xlfn.MAXIFS('Raw Period DMR Data'!M:M,'Raw Period DMR Data'!$A:$A,'Raw Annual DMR Data_2021-2024'!B2324,'Raw Period DMR Data'!C:C,'Raw Annual DMR Data_2021-2024'!X2324), "N/A - Period DMR Data Not Available")</f>
        <v>N/A - Period DMR Data Not Available</v>
      </c>
      <c r="V1477" s="28" t="str" cm="1">
        <f t="array" ref="V1477">IFERROR(INDEX('Raw Period DMR Data'!N:N,MATCH(1,(B1477='Raw Period DMR Data'!$A:$A)*(U1477='Raw Period DMR Data'!M:M)*(X1477='Raw Period DMR Data'!C:C),0),1), "N/A")</f>
        <v>N/A</v>
      </c>
      <c r="W1477" s="28" t="s">
        <v>1463</v>
      </c>
      <c r="X1477" s="28" t="s">
        <v>786</v>
      </c>
      <c r="Y1477" s="28" t="s">
        <v>787</v>
      </c>
      <c r="Z1477" s="61">
        <v>10300101003208</v>
      </c>
      <c r="AC1477" s="28" t="s">
        <v>1466</v>
      </c>
    </row>
    <row r="1478" spans="1:29" x14ac:dyDescent="0.25">
      <c r="A1478" s="61">
        <v>110000443226</v>
      </c>
      <c r="B1478" s="28">
        <v>2021</v>
      </c>
      <c r="C1478" s="68">
        <f t="shared" si="23"/>
        <v>44197</v>
      </c>
      <c r="D1478" s="28" t="s">
        <v>6827</v>
      </c>
      <c r="E1478" s="28" t="s">
        <v>351</v>
      </c>
      <c r="F1478" s="28" t="s">
        <v>352</v>
      </c>
      <c r="G1478" s="28" t="s">
        <v>349</v>
      </c>
      <c r="H1478" s="28">
        <v>641200013</v>
      </c>
      <c r="I1478" s="28">
        <v>38.969749999999998</v>
      </c>
      <c r="J1478" s="28">
        <v>-94.465860000000006</v>
      </c>
      <c r="K1478" s="28" t="s">
        <v>353</v>
      </c>
      <c r="L1478" s="61">
        <v>110000443226</v>
      </c>
      <c r="M1478" s="28" t="s">
        <v>254</v>
      </c>
      <c r="N1478" s="28">
        <v>2879</v>
      </c>
      <c r="O1478" s="28" t="str">
        <f>IFERROR(VLOOKUP(N1478, 'SIC &amp; NAICS Codes'!A:B, 2, FALSE), "")</f>
        <v>Pesticides and Agricultural Chemicals, NEC</v>
      </c>
      <c r="S1478" s="28">
        <v>9.9426000000000005</v>
      </c>
      <c r="T1478" s="315">
        <f>_xlfn.MAXIFS('Raw Period DMR Data'!$O:$O,'Raw Period DMR Data'!$A:$A,'Raw Annual DMR Data_2021-2024'!B2362,'Raw Period DMR Data'!$C:$C,X1478)/S1478</f>
        <v>0</v>
      </c>
      <c r="U1478" s="28" t="str">
        <f>+IF(COUNTIFS('Raw Period DMR Data'!$A:$A,B1478, 'Raw Period DMR Data'!C:C,'Raw Annual DMR Data_2021-2024'!X2362, 'Raw Period DMR Data'!M:M, "&gt;0")&gt;0,_xlfn.MAXIFS('Raw Period DMR Data'!M:M,'Raw Period DMR Data'!$A:$A,'Raw Annual DMR Data_2021-2024'!B2362,'Raw Period DMR Data'!C:C,'Raw Annual DMR Data_2021-2024'!X2362), "N/A - Period DMR Data Not Available")</f>
        <v>N/A - Period DMR Data Not Available</v>
      </c>
      <c r="V1478" s="28" t="str" cm="1">
        <f t="array" ref="V1478">IFERROR(INDEX('Raw Period DMR Data'!N:N,MATCH(1,(B1478='Raw Period DMR Data'!$A:$A)*(U1478='Raw Period DMR Data'!M:M)*(X1478='Raw Period DMR Data'!C:C),0),1), "N/A")</f>
        <v>N/A</v>
      </c>
      <c r="W1478" s="28" t="s">
        <v>1463</v>
      </c>
      <c r="X1478" s="28" t="s">
        <v>786</v>
      </c>
      <c r="Y1478" s="28" t="s">
        <v>787</v>
      </c>
      <c r="Z1478" s="61">
        <v>10300101003208</v>
      </c>
      <c r="AA1478" s="28"/>
      <c r="AC1478" s="28" t="s">
        <v>1466</v>
      </c>
    </row>
    <row r="1479" spans="1:29" x14ac:dyDescent="0.25">
      <c r="A1479" s="61">
        <v>110000443226</v>
      </c>
      <c r="B1479" s="28">
        <v>2024</v>
      </c>
      <c r="C1479" s="68">
        <f t="shared" ref="C1479:C1542" si="24">DATE(B1479, 1, 1)</f>
        <v>45292</v>
      </c>
      <c r="D1479" s="28" t="s">
        <v>6827</v>
      </c>
      <c r="E1479" s="28" t="s">
        <v>351</v>
      </c>
      <c r="F1479" s="28" t="s">
        <v>352</v>
      </c>
      <c r="G1479" s="28" t="s">
        <v>349</v>
      </c>
      <c r="H1479" s="28">
        <v>641200013</v>
      </c>
      <c r="I1479" s="28">
        <v>38.969749999999998</v>
      </c>
      <c r="J1479" s="28">
        <v>-94.465860000000006</v>
      </c>
      <c r="K1479" s="28" t="s">
        <v>353</v>
      </c>
      <c r="L1479" s="61">
        <v>110000443226</v>
      </c>
      <c r="M1479" s="28" t="s">
        <v>254</v>
      </c>
      <c r="N1479" s="28">
        <v>2879</v>
      </c>
      <c r="O1479" s="28" t="str">
        <f>IFERROR(VLOOKUP(N1479, 'SIC &amp; NAICS Codes'!A:B, 2, FALSE), "")</f>
        <v>Pesticides and Agricultural Chemicals, NEC</v>
      </c>
      <c r="S1479" s="28">
        <v>8.2855000000000008</v>
      </c>
      <c r="T1479" s="315">
        <f>_xlfn.MAXIFS('Raw Period DMR Data'!$O:$O,'Raw Period DMR Data'!$A:$A,'Raw Annual DMR Data_2021-2024'!B2372,'Raw Period DMR Data'!$C:$C,X1479)/S1479</f>
        <v>0</v>
      </c>
      <c r="U1479" s="28" t="str">
        <f>+IF(COUNTIFS('Raw Period DMR Data'!$A:$A,B1479, 'Raw Period DMR Data'!C:C,'Raw Annual DMR Data_2021-2024'!X2372, 'Raw Period DMR Data'!M:M, "&gt;0")&gt;0,_xlfn.MAXIFS('Raw Period DMR Data'!M:M,'Raw Period DMR Data'!$A:$A,'Raw Annual DMR Data_2021-2024'!B2372,'Raw Period DMR Data'!C:C,'Raw Annual DMR Data_2021-2024'!X2372), "N/A - Period DMR Data Not Available")</f>
        <v>N/A - Period DMR Data Not Available</v>
      </c>
      <c r="V1479" s="28" t="str" cm="1">
        <f t="array" ref="V1479">IFERROR(INDEX('Raw Period DMR Data'!N:N,MATCH(1,(B1479='Raw Period DMR Data'!$A:$A)*(U1479='Raw Period DMR Data'!M:M)*(X1479='Raw Period DMR Data'!C:C),0),1), "N/A")</f>
        <v>N/A</v>
      </c>
      <c r="W1479" s="28" t="s">
        <v>1463</v>
      </c>
      <c r="X1479" s="28" t="s">
        <v>786</v>
      </c>
      <c r="Y1479" s="28" t="s">
        <v>787</v>
      </c>
      <c r="Z1479" s="61">
        <v>10300101003208</v>
      </c>
      <c r="AC1479" s="28" t="s">
        <v>1466</v>
      </c>
    </row>
    <row r="1480" spans="1:29" x14ac:dyDescent="0.25">
      <c r="A1480" s="61">
        <v>110000443226</v>
      </c>
      <c r="B1480" s="28">
        <v>2022</v>
      </c>
      <c r="C1480" s="68">
        <f t="shared" si="24"/>
        <v>44562</v>
      </c>
      <c r="D1480" s="28" t="s">
        <v>6827</v>
      </c>
      <c r="E1480" s="28" t="s">
        <v>351</v>
      </c>
      <c r="F1480" s="28" t="s">
        <v>352</v>
      </c>
      <c r="G1480" s="28" t="s">
        <v>349</v>
      </c>
      <c r="H1480" s="28">
        <v>641200013</v>
      </c>
      <c r="I1480" s="28">
        <v>38.969749999999998</v>
      </c>
      <c r="J1480" s="28">
        <v>-94.465860000000006</v>
      </c>
      <c r="K1480" s="28" t="s">
        <v>353</v>
      </c>
      <c r="L1480" s="61">
        <v>110000443226</v>
      </c>
      <c r="M1480" s="28" t="s">
        <v>254</v>
      </c>
      <c r="N1480" s="28">
        <v>2879</v>
      </c>
      <c r="O1480" s="28" t="str">
        <f>IFERROR(VLOOKUP(N1480, 'SIC &amp; NAICS Codes'!A:B, 2, FALSE), "")</f>
        <v>Pesticides and Agricultural Chemicals, NEC</v>
      </c>
      <c r="S1480" s="28">
        <v>1.6571</v>
      </c>
      <c r="T1480" s="315">
        <f>_xlfn.MAXIFS('Raw Period DMR Data'!$O:$O,'Raw Period DMR Data'!$A:$A,'Raw Annual DMR Data_2021-2024'!#REF!,'Raw Period DMR Data'!$C:$C,X1480)/S1480</f>
        <v>0</v>
      </c>
      <c r="U1480" s="28" t="str">
        <f>+IF(COUNTIFS('Raw Period DMR Data'!$A:$A,B1480,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80" s="28" t="str" cm="1">
        <f t="array" ref="V1480">IFERROR(INDEX('Raw Period DMR Data'!N:N,MATCH(1,(B1480='Raw Period DMR Data'!$A:$A)*(U1480='Raw Period DMR Data'!M:M)*(X1480='Raw Period DMR Data'!C:C),0),1), "N/A")</f>
        <v>N/A</v>
      </c>
      <c r="W1480" s="28" t="s">
        <v>1463</v>
      </c>
      <c r="X1480" s="28" t="s">
        <v>786</v>
      </c>
      <c r="Y1480" s="28" t="s">
        <v>787</v>
      </c>
      <c r="Z1480" s="61">
        <v>10300101003208</v>
      </c>
      <c r="AC1480" s="28" t="s">
        <v>1466</v>
      </c>
    </row>
    <row r="1481" spans="1:29" x14ac:dyDescent="0.25">
      <c r="A1481" s="61">
        <v>110000501519</v>
      </c>
      <c r="B1481" s="28">
        <v>2023</v>
      </c>
      <c r="C1481" s="68">
        <f t="shared" si="24"/>
        <v>44927</v>
      </c>
      <c r="D1481" s="28" t="s">
        <v>6769</v>
      </c>
      <c r="E1481" s="28" t="s">
        <v>614</v>
      </c>
      <c r="F1481" s="28" t="s">
        <v>615</v>
      </c>
      <c r="G1481" s="28" t="s">
        <v>362</v>
      </c>
      <c r="H1481" s="28">
        <v>77520</v>
      </c>
      <c r="I1481" s="28">
        <v>29.771018000000002</v>
      </c>
      <c r="J1481" s="28">
        <v>-95.018456</v>
      </c>
      <c r="K1481" s="28" t="s">
        <v>616</v>
      </c>
      <c r="L1481" s="61">
        <v>110000501519</v>
      </c>
      <c r="M1481" s="28" t="s">
        <v>251</v>
      </c>
      <c r="N1481" s="28">
        <v>2869</v>
      </c>
      <c r="O1481" s="28" t="str">
        <f>IFERROR(VLOOKUP(N1481, 'SIC &amp; NAICS Codes'!A:B, 2, FALSE), "")</f>
        <v>Industrial Organic Chemicals, NEC (aliphatics)</v>
      </c>
      <c r="S1481" s="28">
        <v>3.8544547499999998E-3</v>
      </c>
      <c r="T1481" s="315">
        <f>_xlfn.MAXIFS('Raw Period DMR Data'!$O:$O,'Raw Period DMR Data'!$A:$A,'Raw Annual DMR Data_2021-2024'!#REF!,'Raw Period DMR Data'!$C:$C,X1481)/S1481</f>
        <v>0</v>
      </c>
      <c r="U1481" s="28" t="str">
        <f>+IF(COUNTIFS('Raw Period DMR Data'!$A:$A,B1481,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81" s="28" t="str" cm="1">
        <f t="array" ref="V1481">IFERROR(INDEX('Raw Period DMR Data'!N:N,MATCH(1,(B1481='Raw Period DMR Data'!$A:$A)*(U1481='Raw Period DMR Data'!M:M)*(X1481='Raw Period DMR Data'!C:C),0),1), "N/A")</f>
        <v>N/A</v>
      </c>
      <c r="W1481" s="28" t="s">
        <v>1463</v>
      </c>
      <c r="X1481" s="28" t="s">
        <v>929</v>
      </c>
      <c r="Y1481" s="28" t="s">
        <v>7246</v>
      </c>
      <c r="Z1481" s="61">
        <v>12040104015035</v>
      </c>
      <c r="AC1481" s="28" t="s">
        <v>1466</v>
      </c>
    </row>
    <row r="1482" spans="1:29" x14ac:dyDescent="0.25">
      <c r="A1482" s="61">
        <v>110000501519</v>
      </c>
      <c r="B1482" s="28">
        <v>2022</v>
      </c>
      <c r="C1482" s="68">
        <f t="shared" si="24"/>
        <v>44562</v>
      </c>
      <c r="D1482" s="28" t="s">
        <v>6769</v>
      </c>
      <c r="E1482" s="28" t="s">
        <v>614</v>
      </c>
      <c r="F1482" s="28" t="s">
        <v>615</v>
      </c>
      <c r="G1482" s="28" t="s">
        <v>362</v>
      </c>
      <c r="H1482" s="28">
        <v>77520</v>
      </c>
      <c r="I1482" s="28">
        <v>29.771018000000002</v>
      </c>
      <c r="J1482" s="28">
        <v>-95.018456</v>
      </c>
      <c r="K1482" s="28" t="s">
        <v>616</v>
      </c>
      <c r="L1482" s="61">
        <v>110000501519</v>
      </c>
      <c r="M1482" s="28" t="s">
        <v>251</v>
      </c>
      <c r="N1482" s="28">
        <v>2869</v>
      </c>
      <c r="O1482" s="28" t="str">
        <f>IFERROR(VLOOKUP(N1482, 'SIC &amp; NAICS Codes'!A:B, 2, FALSE), "")</f>
        <v>Industrial Organic Chemicals, NEC (aliphatics)</v>
      </c>
      <c r="S1482" s="28">
        <v>6.5207980000000002E-4</v>
      </c>
      <c r="T1482" s="315">
        <f>_xlfn.MAXIFS('Raw Period DMR Data'!$O:$O,'Raw Period DMR Data'!$A:$A,'Raw Annual DMR Data_2021-2024'!#REF!,'Raw Period DMR Data'!$C:$C,X1482)/S1482</f>
        <v>0</v>
      </c>
      <c r="U1482" s="28" t="str">
        <f>+IF(COUNTIFS('Raw Period DMR Data'!$A:$A,B1482,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82" s="28" t="str" cm="1">
        <f t="array" ref="V1482">IFERROR(INDEX('Raw Period DMR Data'!N:N,MATCH(1,(B1482='Raw Period DMR Data'!$A:$A)*(U1482='Raw Period DMR Data'!M:M)*(X1482='Raw Period DMR Data'!C:C),0),1), "N/A")</f>
        <v>N/A</v>
      </c>
      <c r="W1482" s="28" t="s">
        <v>1463</v>
      </c>
      <c r="X1482" s="28" t="s">
        <v>929</v>
      </c>
      <c r="Y1482" s="28" t="s">
        <v>7246</v>
      </c>
      <c r="Z1482" s="61">
        <v>12040104015035</v>
      </c>
      <c r="AB1482" s="28" t="s">
        <v>7355</v>
      </c>
      <c r="AC1482" s="28" t="s">
        <v>1466</v>
      </c>
    </row>
    <row r="1483" spans="1:29" x14ac:dyDescent="0.25">
      <c r="A1483" s="61">
        <v>110000501519</v>
      </c>
      <c r="B1483" s="28">
        <v>2021</v>
      </c>
      <c r="C1483" s="68">
        <f t="shared" si="24"/>
        <v>44197</v>
      </c>
      <c r="D1483" s="28" t="s">
        <v>6769</v>
      </c>
      <c r="E1483" s="28" t="s">
        <v>614</v>
      </c>
      <c r="F1483" s="28" t="s">
        <v>615</v>
      </c>
      <c r="G1483" s="28" t="s">
        <v>362</v>
      </c>
      <c r="H1483" s="28">
        <v>77520</v>
      </c>
      <c r="I1483" s="28">
        <v>29.771018000000002</v>
      </c>
      <c r="J1483" s="28">
        <v>-95.018456</v>
      </c>
      <c r="K1483" s="28" t="s">
        <v>616</v>
      </c>
      <c r="L1483" s="61">
        <v>110000501519</v>
      </c>
      <c r="M1483" s="28" t="s">
        <v>251</v>
      </c>
      <c r="N1483" s="28">
        <v>2869</v>
      </c>
      <c r="O1483" s="28" t="str">
        <f>IFERROR(VLOOKUP(N1483, 'SIC &amp; NAICS Codes'!A:B, 2, FALSE), "")</f>
        <v>Industrial Organic Chemicals, NEC (aliphatics)</v>
      </c>
      <c r="S1483" s="28">
        <v>8.5101939999999995E-5</v>
      </c>
      <c r="T1483" s="315">
        <f>_xlfn.MAXIFS('Raw Period DMR Data'!$O:$O,'Raw Period DMR Data'!$A:$A,'Raw Annual DMR Data_2021-2024'!#REF!,'Raw Period DMR Data'!$C:$C,X1483)/S1483</f>
        <v>0</v>
      </c>
      <c r="U1483" s="28" t="str">
        <f>+IF(COUNTIFS('Raw Period DMR Data'!$A:$A,B1483,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83" s="28" t="str" cm="1">
        <f t="array" ref="V1483">IFERROR(INDEX('Raw Period DMR Data'!N:N,MATCH(1,(B1483='Raw Period DMR Data'!$A:$A)*(U1483='Raw Period DMR Data'!M:M)*(X1483='Raw Period DMR Data'!C:C),0),1), "N/A")</f>
        <v>N/A</v>
      </c>
      <c r="W1483" s="28" t="s">
        <v>1463</v>
      </c>
      <c r="X1483" s="28" t="s">
        <v>929</v>
      </c>
      <c r="Y1483" s="28" t="s">
        <v>7246</v>
      </c>
      <c r="Z1483" s="61">
        <v>12040104015035</v>
      </c>
      <c r="AA1483" s="28"/>
      <c r="AC1483" s="28" t="s">
        <v>1466</v>
      </c>
    </row>
    <row r="1484" spans="1:29" x14ac:dyDescent="0.25">
      <c r="A1484" s="61">
        <v>110055992993</v>
      </c>
      <c r="B1484" s="28">
        <v>2023</v>
      </c>
      <c r="C1484" s="68">
        <f t="shared" si="24"/>
        <v>44927</v>
      </c>
      <c r="D1484" s="28" t="s">
        <v>996</v>
      </c>
      <c r="E1484" s="28" t="s">
        <v>1527</v>
      </c>
      <c r="F1484" s="28" t="s">
        <v>388</v>
      </c>
      <c r="G1484" s="28" t="s">
        <v>366</v>
      </c>
      <c r="H1484" s="28">
        <v>92223</v>
      </c>
      <c r="I1484" s="28">
        <v>33.926245999999999</v>
      </c>
      <c r="J1484" s="28">
        <v>-116.992552</v>
      </c>
      <c r="L1484" s="61">
        <v>110055992993</v>
      </c>
      <c r="M1484" s="28" t="s">
        <v>263</v>
      </c>
      <c r="N1484" s="28">
        <v>4952</v>
      </c>
      <c r="O1484" s="28" t="str">
        <f>IFERROR(VLOOKUP(N1484, 'SIC &amp; NAICS Codes'!A:B, 2, FALSE), "")</f>
        <v>Sewerage Systems</v>
      </c>
      <c r="S1484" s="28">
        <v>1.178440825</v>
      </c>
      <c r="T1484" s="315">
        <f>_xlfn.MAXIFS('Raw Period DMR Data'!$O:$O,'Raw Period DMR Data'!$A:$A,'Raw Annual DMR Data_2021-2024'!#REF!,'Raw Period DMR Data'!$C:$C,X1484)/S1484</f>
        <v>0</v>
      </c>
      <c r="U1484" s="28" t="str">
        <f>+IF(COUNTIFS('Raw Period DMR Data'!$A:$A,B1484,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84" s="28" t="str" cm="1">
        <f t="array" ref="V1484">IFERROR(INDEX('Raw Period DMR Data'!N:N,MATCH(1,(B1484='Raw Period DMR Data'!$A:$A)*(U1484='Raw Period DMR Data'!M:M)*(X1484='Raw Period DMR Data'!C:C),0),1), "N/A")</f>
        <v>N/A</v>
      </c>
      <c r="W1484" s="28" t="s">
        <v>1463</v>
      </c>
      <c r="X1484" s="28" t="s">
        <v>1528</v>
      </c>
      <c r="Y1484" s="28" t="s">
        <v>1529</v>
      </c>
      <c r="Z1484" s="61">
        <v>18070203002360</v>
      </c>
      <c r="AB1484" s="28" t="s">
        <v>7355</v>
      </c>
      <c r="AC1484" s="28" t="s">
        <v>263</v>
      </c>
    </row>
    <row r="1485" spans="1:29" x14ac:dyDescent="0.25">
      <c r="A1485" s="61">
        <v>110055992993</v>
      </c>
      <c r="B1485" s="28">
        <v>2021</v>
      </c>
      <c r="C1485" s="68">
        <f t="shared" si="24"/>
        <v>44197</v>
      </c>
      <c r="D1485" s="28" t="s">
        <v>996</v>
      </c>
      <c r="E1485" s="28" t="s">
        <v>1527</v>
      </c>
      <c r="F1485" s="28" t="s">
        <v>388</v>
      </c>
      <c r="G1485" s="28" t="s">
        <v>366</v>
      </c>
      <c r="H1485" s="28">
        <v>92223</v>
      </c>
      <c r="I1485" s="28">
        <v>33.926245999999999</v>
      </c>
      <c r="J1485" s="28">
        <v>-116.992552</v>
      </c>
      <c r="L1485" s="61">
        <v>110055992993</v>
      </c>
      <c r="M1485" s="28" t="s">
        <v>263</v>
      </c>
      <c r="N1485" s="28">
        <v>4952</v>
      </c>
      <c r="O1485" s="28" t="str">
        <f>IFERROR(VLOOKUP(N1485, 'SIC &amp; NAICS Codes'!A:B, 2, FALSE), "")</f>
        <v>Sewerage Systems</v>
      </c>
      <c r="S1485" s="28">
        <v>0.165872799125</v>
      </c>
      <c r="T1485" s="315">
        <f>_xlfn.MAXIFS('Raw Period DMR Data'!$O:$O,'Raw Period DMR Data'!$A:$A,'Raw Annual DMR Data_2021-2024'!#REF!,'Raw Period DMR Data'!$C:$C,X1485)/S1485</f>
        <v>0</v>
      </c>
      <c r="U1485" s="28" t="str">
        <f>+IF(COUNTIFS('Raw Period DMR Data'!$A:$A,B1485,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85" s="28" t="str" cm="1">
        <f t="array" ref="V1485">IFERROR(INDEX('Raw Period DMR Data'!N:N,MATCH(1,(B1485='Raw Period DMR Data'!$A:$A)*(U1485='Raw Period DMR Data'!M:M)*(X1485='Raw Period DMR Data'!C:C),0),1), "N/A")</f>
        <v>N/A</v>
      </c>
      <c r="W1485" s="28" t="s">
        <v>1463</v>
      </c>
      <c r="X1485" s="28" t="s">
        <v>1528</v>
      </c>
      <c r="Y1485" s="28" t="s">
        <v>1529</v>
      </c>
      <c r="Z1485" s="61">
        <v>18070203002360</v>
      </c>
      <c r="AA1485" s="28"/>
      <c r="AB1485" s="28" t="s">
        <v>7355</v>
      </c>
      <c r="AC1485" s="28" t="s">
        <v>263</v>
      </c>
    </row>
    <row r="1486" spans="1:29" x14ac:dyDescent="0.25">
      <c r="A1486" s="61">
        <v>110055992993</v>
      </c>
      <c r="B1486" s="28">
        <v>2024</v>
      </c>
      <c r="C1486" s="68">
        <f t="shared" si="24"/>
        <v>45292</v>
      </c>
      <c r="D1486" s="28" t="s">
        <v>996</v>
      </c>
      <c r="E1486" s="28" t="s">
        <v>1527</v>
      </c>
      <c r="F1486" s="28" t="s">
        <v>388</v>
      </c>
      <c r="G1486" s="28" t="s">
        <v>366</v>
      </c>
      <c r="H1486" s="28">
        <v>92223</v>
      </c>
      <c r="I1486" s="28">
        <v>33.926245999999999</v>
      </c>
      <c r="J1486" s="28">
        <v>-116.992552</v>
      </c>
      <c r="L1486" s="61">
        <v>110055992993</v>
      </c>
      <c r="M1486" s="28" t="s">
        <v>263</v>
      </c>
      <c r="N1486" s="28">
        <v>4952</v>
      </c>
      <c r="O1486" s="28" t="str">
        <f>IFERROR(VLOOKUP(N1486, 'SIC &amp; NAICS Codes'!A:B, 2, FALSE), "")</f>
        <v>Sewerage Systems</v>
      </c>
      <c r="S1486" s="28">
        <v>0.14895602550000001</v>
      </c>
      <c r="T1486" s="315">
        <f>_xlfn.MAXIFS('Raw Period DMR Data'!$O:$O,'Raw Period DMR Data'!$A:$A,'Raw Annual DMR Data_2021-2024'!#REF!,'Raw Period DMR Data'!$C:$C,X1486)/S1486</f>
        <v>0</v>
      </c>
      <c r="U1486" s="28" t="str">
        <f>+IF(COUNTIFS('Raw Period DMR Data'!$A:$A,B1486,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86" s="28" t="str" cm="1">
        <f t="array" ref="V1486">IFERROR(INDEX('Raw Period DMR Data'!N:N,MATCH(1,(B1486='Raw Period DMR Data'!$A:$A)*(U1486='Raw Period DMR Data'!M:M)*(X1486='Raw Period DMR Data'!C:C),0),1), "N/A")</f>
        <v>N/A</v>
      </c>
      <c r="W1486" s="28" t="s">
        <v>1463</v>
      </c>
      <c r="X1486" s="28" t="s">
        <v>1528</v>
      </c>
      <c r="Y1486" s="28" t="s">
        <v>1529</v>
      </c>
      <c r="Z1486" s="61">
        <v>18070203002360</v>
      </c>
      <c r="AB1486" s="28" t="s">
        <v>7355</v>
      </c>
      <c r="AC1486" s="28" t="s">
        <v>263</v>
      </c>
    </row>
    <row r="1487" spans="1:29" x14ac:dyDescent="0.25">
      <c r="A1487" s="61">
        <v>110004087880</v>
      </c>
      <c r="B1487" s="28">
        <v>2024</v>
      </c>
      <c r="C1487" s="68">
        <f t="shared" si="24"/>
        <v>45292</v>
      </c>
      <c r="D1487" s="28" t="s">
        <v>997</v>
      </c>
      <c r="E1487" s="28" t="s">
        <v>7088</v>
      </c>
      <c r="F1487" s="28" t="s">
        <v>998</v>
      </c>
      <c r="G1487" s="28" t="s">
        <v>999</v>
      </c>
      <c r="H1487" s="28" t="s">
        <v>1531</v>
      </c>
      <c r="I1487" s="28">
        <v>43.270670000000003</v>
      </c>
      <c r="J1487" s="28">
        <v>-71.590410000000006</v>
      </c>
      <c r="L1487" s="61">
        <v>110004087880</v>
      </c>
      <c r="M1487" s="28" t="s">
        <v>265</v>
      </c>
      <c r="N1487" s="28">
        <v>4959</v>
      </c>
      <c r="O1487" s="28" t="str">
        <f>IFERROR(VLOOKUP(N1487, 'SIC &amp; NAICS Codes'!A:B, 2, FALSE), "")</f>
        <v>Sanitary Services, NEC (vacuuming of runways)</v>
      </c>
      <c r="S1487" s="28">
        <v>3.4048213525000003E-2</v>
      </c>
      <c r="T1487" s="315">
        <f>_xlfn.MAXIFS('Raw Period DMR Data'!$O:$O,'Raw Period DMR Data'!$A:$A,'Raw Annual DMR Data_2021-2024'!#REF!,'Raw Period DMR Data'!$C:$C,X1487)/S1487</f>
        <v>0</v>
      </c>
      <c r="U1487" s="28" t="str">
        <f>+IF(COUNTIFS('Raw Period DMR Data'!$A:$A,B1487,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87" s="28" t="str" cm="1">
        <f t="array" ref="V1487">IFERROR(INDEX('Raw Period DMR Data'!N:N,MATCH(1,(B1487='Raw Period DMR Data'!$A:$A)*(U1487='Raw Period DMR Data'!M:M)*(X1487='Raw Period DMR Data'!C:C),0),1), "N/A")</f>
        <v>N/A</v>
      </c>
      <c r="W1487" s="28" t="s">
        <v>1463</v>
      </c>
      <c r="X1487" s="28" t="s">
        <v>7226</v>
      </c>
      <c r="Y1487" s="28" t="s">
        <v>7317</v>
      </c>
      <c r="Z1487" s="61"/>
      <c r="AB1487" s="28" t="s">
        <v>7355</v>
      </c>
      <c r="AC1487" s="28" t="s">
        <v>1466</v>
      </c>
    </row>
    <row r="1488" spans="1:29" x14ac:dyDescent="0.25">
      <c r="A1488" s="61">
        <v>110004087880</v>
      </c>
      <c r="B1488" s="28">
        <v>2023</v>
      </c>
      <c r="C1488" s="68">
        <f t="shared" si="24"/>
        <v>44927</v>
      </c>
      <c r="D1488" s="28" t="s">
        <v>997</v>
      </c>
      <c r="E1488" s="28" t="s">
        <v>1530</v>
      </c>
      <c r="F1488" s="28" t="s">
        <v>998</v>
      </c>
      <c r="G1488" s="28" t="s">
        <v>999</v>
      </c>
      <c r="H1488" s="28" t="s">
        <v>1531</v>
      </c>
      <c r="I1488" s="28">
        <v>43.270670000000003</v>
      </c>
      <c r="J1488" s="28">
        <v>-71.590410000000006</v>
      </c>
      <c r="L1488" s="61">
        <v>110004087880</v>
      </c>
      <c r="M1488" s="28" t="s">
        <v>265</v>
      </c>
      <c r="O1488" s="28" t="str">
        <f>IFERROR(VLOOKUP(N1488, 'SIC &amp; NAICS Codes'!A:B, 2, FALSE), "")</f>
        <v/>
      </c>
      <c r="S1488" s="28">
        <v>1.111193487E-2</v>
      </c>
      <c r="T1488" s="315">
        <f>_xlfn.MAXIFS('Raw Period DMR Data'!$O:$O,'Raw Period DMR Data'!$A:$A,'Raw Annual DMR Data_2021-2024'!#REF!,'Raw Period DMR Data'!$C:$C,X1488)/S1488</f>
        <v>0</v>
      </c>
      <c r="U1488" s="28" t="str">
        <f>+IF(COUNTIFS('Raw Period DMR Data'!$A:$A,B1488,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88" s="28" t="str" cm="1">
        <f t="array" ref="V1488">IFERROR(INDEX('Raw Period DMR Data'!N:N,MATCH(1,(B1488='Raw Period DMR Data'!$A:$A)*(U1488='Raw Period DMR Data'!M:M)*(X1488='Raw Period DMR Data'!C:C),0),1), "N/A")</f>
        <v>N/A</v>
      </c>
      <c r="W1488" s="28" t="s">
        <v>1463</v>
      </c>
      <c r="X1488" s="28" t="s">
        <v>1532</v>
      </c>
      <c r="Y1488" s="28" t="s">
        <v>1533</v>
      </c>
      <c r="Z1488" s="61" t="s">
        <v>7347</v>
      </c>
      <c r="AB1488" s="28" t="s">
        <v>7355</v>
      </c>
      <c r="AC1488" s="28" t="s">
        <v>1466</v>
      </c>
    </row>
    <row r="1489" spans="1:29" x14ac:dyDescent="0.25">
      <c r="A1489" s="61">
        <v>110004087880</v>
      </c>
      <c r="B1489" s="28">
        <v>2023</v>
      </c>
      <c r="C1489" s="68">
        <f t="shared" si="24"/>
        <v>44927</v>
      </c>
      <c r="D1489" s="28" t="s">
        <v>997</v>
      </c>
      <c r="E1489" s="28" t="s">
        <v>7088</v>
      </c>
      <c r="F1489" s="28" t="s">
        <v>998</v>
      </c>
      <c r="G1489" s="28" t="s">
        <v>999</v>
      </c>
      <c r="H1489" s="28" t="s">
        <v>1531</v>
      </c>
      <c r="I1489" s="28">
        <v>43.270670000000003</v>
      </c>
      <c r="J1489" s="28">
        <v>-71.590410000000006</v>
      </c>
      <c r="L1489" s="61">
        <v>110004087880</v>
      </c>
      <c r="M1489" s="28" t="s">
        <v>265</v>
      </c>
      <c r="N1489" s="28">
        <v>4959</v>
      </c>
      <c r="O1489" s="28" t="str">
        <f>IFERROR(VLOOKUP(N1489, 'SIC &amp; NAICS Codes'!A:B, 2, FALSE), "")</f>
        <v>Sanitary Services, NEC (vacuuming of runways)</v>
      </c>
      <c r="S1489" s="28">
        <v>1.0869177082E-2</v>
      </c>
      <c r="T1489" s="315">
        <f>_xlfn.MAXIFS('Raw Period DMR Data'!$O:$O,'Raw Period DMR Data'!$A:$A,'Raw Annual DMR Data_2021-2024'!#REF!,'Raw Period DMR Data'!$C:$C,X1489)/S1489</f>
        <v>0</v>
      </c>
      <c r="U1489" s="28" t="str">
        <f>+IF(COUNTIFS('Raw Period DMR Data'!$A:$A,B1489,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89" s="28" t="str" cm="1">
        <f t="array" ref="V1489">IFERROR(INDEX('Raw Period DMR Data'!N:N,MATCH(1,(B1489='Raw Period DMR Data'!$A:$A)*(U1489='Raw Period DMR Data'!M:M)*(X1489='Raw Period DMR Data'!C:C),0),1), "N/A")</f>
        <v>N/A</v>
      </c>
      <c r="W1489" s="28" t="s">
        <v>1463</v>
      </c>
      <c r="X1489" s="28" t="s">
        <v>7226</v>
      </c>
      <c r="Y1489" s="28" t="s">
        <v>7317</v>
      </c>
      <c r="Z1489" s="61"/>
      <c r="AB1489" s="28" t="s">
        <v>7355</v>
      </c>
      <c r="AC1489" s="28" t="s">
        <v>1466</v>
      </c>
    </row>
    <row r="1490" spans="1:29" x14ac:dyDescent="0.25">
      <c r="A1490" s="61">
        <v>110004087880</v>
      </c>
      <c r="B1490" s="28">
        <v>2022</v>
      </c>
      <c r="C1490" s="68">
        <f t="shared" si="24"/>
        <v>44562</v>
      </c>
      <c r="D1490" s="28" t="s">
        <v>997</v>
      </c>
      <c r="E1490" s="28" t="s">
        <v>1530</v>
      </c>
      <c r="F1490" s="28" t="s">
        <v>998</v>
      </c>
      <c r="G1490" s="28" t="s">
        <v>999</v>
      </c>
      <c r="H1490" s="28" t="s">
        <v>1531</v>
      </c>
      <c r="I1490" s="28">
        <v>43.270670000000003</v>
      </c>
      <c r="J1490" s="28">
        <v>-71.590410000000006</v>
      </c>
      <c r="L1490" s="61">
        <v>110004087880</v>
      </c>
      <c r="M1490" s="28" t="s">
        <v>265</v>
      </c>
      <c r="O1490" s="28" t="str">
        <f>IFERROR(VLOOKUP(N1490, 'SIC &amp; NAICS Codes'!A:B, 2, FALSE), "")</f>
        <v/>
      </c>
      <c r="S1490" s="28">
        <v>6.6573229499999999E-3</v>
      </c>
      <c r="T1490" s="315">
        <f>_xlfn.MAXIFS('Raw Period DMR Data'!$O:$O,'Raw Period DMR Data'!$A:$A,'Raw Annual DMR Data_2021-2024'!#REF!,'Raw Period DMR Data'!$C:$C,X1490)/S1490</f>
        <v>0</v>
      </c>
      <c r="U1490" s="28" t="str">
        <f>+IF(COUNTIFS('Raw Period DMR Data'!$A:$A,B1490,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90" s="28" t="str" cm="1">
        <f t="array" ref="V1490">IFERROR(INDEX('Raw Period DMR Data'!N:N,MATCH(1,(B1490='Raw Period DMR Data'!$A:$A)*(U1490='Raw Period DMR Data'!M:M)*(X1490='Raw Period DMR Data'!C:C),0),1), "N/A")</f>
        <v>N/A</v>
      </c>
      <c r="W1490" s="28" t="s">
        <v>1463</v>
      </c>
      <c r="X1490" s="28" t="s">
        <v>1532</v>
      </c>
      <c r="Y1490" s="28" t="s">
        <v>1533</v>
      </c>
      <c r="Z1490" s="61">
        <v>1070006001950</v>
      </c>
      <c r="AB1490" s="28" t="s">
        <v>7355</v>
      </c>
      <c r="AC1490" s="28" t="s">
        <v>1466</v>
      </c>
    </row>
    <row r="1491" spans="1:29" x14ac:dyDescent="0.25">
      <c r="A1491" s="61">
        <v>110004087880</v>
      </c>
      <c r="B1491" s="28">
        <v>2021</v>
      </c>
      <c r="C1491" s="68">
        <f t="shared" si="24"/>
        <v>44197</v>
      </c>
      <c r="D1491" s="28" t="s">
        <v>997</v>
      </c>
      <c r="E1491" s="28" t="s">
        <v>1530</v>
      </c>
      <c r="F1491" s="28" t="s">
        <v>998</v>
      </c>
      <c r="G1491" s="28" t="s">
        <v>999</v>
      </c>
      <c r="H1491" s="28" t="s">
        <v>1531</v>
      </c>
      <c r="I1491" s="28">
        <v>43.270670000000003</v>
      </c>
      <c r="J1491" s="28">
        <v>-71.590410000000006</v>
      </c>
      <c r="L1491" s="61">
        <v>110004087880</v>
      </c>
      <c r="M1491" s="28" t="s">
        <v>265</v>
      </c>
      <c r="O1491" s="28" t="str">
        <f>IFERROR(VLOOKUP(N1491, 'SIC &amp; NAICS Codes'!A:B, 2, FALSE), "")</f>
        <v/>
      </c>
      <c r="S1491" s="28">
        <v>6.2031138659999997E-3</v>
      </c>
      <c r="T1491" s="315">
        <f>_xlfn.MAXIFS('Raw Period DMR Data'!$O:$O,'Raw Period DMR Data'!$A:$A,'Raw Annual DMR Data_2021-2024'!#REF!,'Raw Period DMR Data'!$C:$C,X1491)/S1491</f>
        <v>0</v>
      </c>
      <c r="U1491" s="28" t="str">
        <f>+IF(COUNTIFS('Raw Period DMR Data'!$A:$A,B1491,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91" s="28" t="str" cm="1">
        <f t="array" ref="V1491">IFERROR(INDEX('Raw Period DMR Data'!N:N,MATCH(1,(B1491='Raw Period DMR Data'!$A:$A)*(U1491='Raw Period DMR Data'!M:M)*(X1491='Raw Period DMR Data'!C:C),0),1), "N/A")</f>
        <v>N/A</v>
      </c>
      <c r="W1491" s="28" t="s">
        <v>1463</v>
      </c>
      <c r="X1491" s="28" t="s">
        <v>1532</v>
      </c>
      <c r="Y1491" s="28" t="s">
        <v>1533</v>
      </c>
      <c r="Z1491" s="61">
        <v>1070006001950</v>
      </c>
      <c r="AB1491" s="28" t="s">
        <v>7355</v>
      </c>
      <c r="AC1491" s="28" t="s">
        <v>1466</v>
      </c>
    </row>
    <row r="1492" spans="1:29" x14ac:dyDescent="0.25">
      <c r="A1492" s="61">
        <v>110071367964</v>
      </c>
      <c r="B1492" s="28">
        <v>2024</v>
      </c>
      <c r="C1492" s="68">
        <f t="shared" si="24"/>
        <v>45292</v>
      </c>
      <c r="D1492" s="28" t="s">
        <v>122</v>
      </c>
      <c r="E1492" s="28" t="s">
        <v>391</v>
      </c>
      <c r="F1492" s="28" t="s">
        <v>392</v>
      </c>
      <c r="G1492" s="28" t="s">
        <v>311</v>
      </c>
      <c r="H1492" s="28">
        <v>26181</v>
      </c>
      <c r="I1492" s="28">
        <v>39.271943999999998</v>
      </c>
      <c r="J1492" s="28">
        <v>-81.661666999999994</v>
      </c>
      <c r="K1492" s="28" t="s">
        <v>7136</v>
      </c>
      <c r="L1492" s="61">
        <v>110071367964</v>
      </c>
      <c r="M1492" s="28" t="s">
        <v>253</v>
      </c>
      <c r="N1492" s="28">
        <v>2821</v>
      </c>
      <c r="O1492" s="28" t="str">
        <f>IFERROR(VLOOKUP(N1492, 'SIC &amp; NAICS Codes'!A:B, 2, FALSE), "")</f>
        <v>Plastics Materials, Synthetic and Resins, and Nonvulcanizable Elastomers</v>
      </c>
      <c r="S1492" s="28">
        <v>3.5071500000000001E-3</v>
      </c>
      <c r="T1492" s="315">
        <f>_xlfn.MAXIFS('Raw Period DMR Data'!$O:$O,'Raw Period DMR Data'!$A:$A,'Raw Annual DMR Data_2021-2024'!#REF!,'Raw Period DMR Data'!$C:$C,X1492)/S1492</f>
        <v>0</v>
      </c>
      <c r="U1492" s="28" t="str">
        <f>+IF(COUNTIFS('Raw Period DMR Data'!$A:$A,B1492,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92" s="28" t="str" cm="1">
        <f t="array" ref="V1492">IFERROR(INDEX('Raw Period DMR Data'!N:N,MATCH(1,(B1492='Raw Period DMR Data'!$A:$A)*(U1492='Raw Period DMR Data'!M:M)*(X1492='Raw Period DMR Data'!C:C),0),1), "N/A")</f>
        <v>N/A</v>
      </c>
      <c r="W1492" s="28" t="s">
        <v>1463</v>
      </c>
      <c r="X1492" s="28" t="s">
        <v>7242</v>
      </c>
      <c r="Y1492" s="28" t="s">
        <v>830</v>
      </c>
      <c r="Z1492" s="61"/>
      <c r="AC1492" s="28" t="s">
        <v>1466</v>
      </c>
    </row>
    <row r="1493" spans="1:29" x14ac:dyDescent="0.25">
      <c r="A1493" s="61">
        <v>110000339027</v>
      </c>
      <c r="B1493" s="28">
        <v>2024</v>
      </c>
      <c r="C1493" s="68">
        <f t="shared" si="24"/>
        <v>45292</v>
      </c>
      <c r="D1493" s="28" t="s">
        <v>6841</v>
      </c>
      <c r="E1493" s="28" t="s">
        <v>1913</v>
      </c>
      <c r="F1493" s="28" t="s">
        <v>1187</v>
      </c>
      <c r="G1493" s="28" t="s">
        <v>478</v>
      </c>
      <c r="H1493" s="28" t="s">
        <v>6997</v>
      </c>
      <c r="I1493" s="28">
        <v>38.631867</v>
      </c>
      <c r="J1493" s="28">
        <v>-75.628372999999996</v>
      </c>
      <c r="L1493" s="61">
        <v>110000339027</v>
      </c>
      <c r="M1493" s="28" t="s">
        <v>253</v>
      </c>
      <c r="N1493" s="28">
        <v>2821</v>
      </c>
      <c r="O1493" s="28" t="str">
        <f>IFERROR(VLOOKUP(N1493, 'SIC &amp; NAICS Codes'!A:B, 2, FALSE), "")</f>
        <v>Plastics Materials, Synthetic and Resins, and Nonvulcanizable Elastomers</v>
      </c>
      <c r="S1493" s="28">
        <v>7.0370000000000003E-4</v>
      </c>
      <c r="T1493" s="315">
        <f>_xlfn.MAXIFS('Raw Period DMR Data'!$O:$O,'Raw Period DMR Data'!$A:$A,'Raw Annual DMR Data_2021-2024'!#REF!,'Raw Period DMR Data'!$C:$C,X1493)/S1493</f>
        <v>0</v>
      </c>
      <c r="U1493" s="28" t="str">
        <f>+IF(COUNTIFS('Raw Period DMR Data'!$A:$A,B1493,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93" s="28" t="str" cm="1">
        <f t="array" ref="V1493">IFERROR(INDEX('Raw Period DMR Data'!N:N,MATCH(1,(B1493='Raw Period DMR Data'!$A:$A)*(U1493='Raw Period DMR Data'!M:M)*(X1493='Raw Period DMR Data'!C:C),0),1), "N/A")</f>
        <v>N/A</v>
      </c>
      <c r="W1493" s="28" t="s">
        <v>1463</v>
      </c>
      <c r="X1493" s="28" t="s">
        <v>1914</v>
      </c>
      <c r="Y1493" s="28" t="s">
        <v>1915</v>
      </c>
      <c r="Z1493" s="61">
        <v>2080109011489</v>
      </c>
      <c r="AC1493" s="28" t="s">
        <v>1466</v>
      </c>
    </row>
    <row r="1494" spans="1:29" x14ac:dyDescent="0.25">
      <c r="A1494" s="61">
        <v>110001855635</v>
      </c>
      <c r="B1494" s="28">
        <v>2021</v>
      </c>
      <c r="C1494" s="68">
        <f t="shared" si="24"/>
        <v>44197</v>
      </c>
      <c r="D1494" s="28" t="s">
        <v>1000</v>
      </c>
      <c r="E1494" s="28" t="s">
        <v>1534</v>
      </c>
      <c r="F1494" s="28" t="s">
        <v>1001</v>
      </c>
      <c r="G1494" s="28" t="s">
        <v>324</v>
      </c>
      <c r="H1494" s="28">
        <v>42025</v>
      </c>
      <c r="I1494" s="28">
        <v>36.866140000000001</v>
      </c>
      <c r="J1494" s="28">
        <v>-88.342470000000006</v>
      </c>
      <c r="L1494" s="61">
        <v>110001855635</v>
      </c>
      <c r="M1494" s="28" t="s">
        <v>263</v>
      </c>
      <c r="N1494" s="28">
        <v>4952</v>
      </c>
      <c r="O1494" s="28" t="str">
        <f>IFERROR(VLOOKUP(N1494, 'SIC &amp; NAICS Codes'!A:B, 2, FALSE), "")</f>
        <v>Sewerage Systems</v>
      </c>
      <c r="S1494" s="28">
        <v>4.0568481624999997</v>
      </c>
      <c r="T1494" s="315">
        <f>_xlfn.MAXIFS('Raw Period DMR Data'!$O:$O,'Raw Period DMR Data'!$A:$A,'Raw Annual DMR Data_2021-2024'!B2407,'Raw Period DMR Data'!$C:$C,X1494)/S1494</f>
        <v>0</v>
      </c>
      <c r="U1494" s="28" t="str">
        <f>+IF(COUNTIFS('Raw Period DMR Data'!$A:$A,B1494, 'Raw Period DMR Data'!C:C,'Raw Annual DMR Data_2021-2024'!X2407, 'Raw Period DMR Data'!M:M, "&gt;0")&gt;0,_xlfn.MAXIFS('Raw Period DMR Data'!M:M,'Raw Period DMR Data'!$A:$A,'Raw Annual DMR Data_2021-2024'!B2407,'Raw Period DMR Data'!C:C,'Raw Annual DMR Data_2021-2024'!X2407), "N/A - Period DMR Data Not Available")</f>
        <v>N/A - Period DMR Data Not Available</v>
      </c>
      <c r="V1494" s="28" t="str" cm="1">
        <f t="array" ref="V1494">IFERROR(INDEX('Raw Period DMR Data'!N:N,MATCH(1,(B1494='Raw Period DMR Data'!$A:$A)*(U1494='Raw Period DMR Data'!M:M)*(X1494='Raw Period DMR Data'!C:C),0),1), "N/A")</f>
        <v>N/A</v>
      </c>
      <c r="W1494" s="28" t="s">
        <v>1463</v>
      </c>
      <c r="X1494" s="28" t="s">
        <v>1535</v>
      </c>
      <c r="Y1494" s="28" t="s">
        <v>1536</v>
      </c>
      <c r="Z1494" s="61">
        <v>6040006000045</v>
      </c>
      <c r="AA1494" s="28"/>
      <c r="AB1494" s="28" t="s">
        <v>7355</v>
      </c>
      <c r="AC1494" s="28" t="s">
        <v>263</v>
      </c>
    </row>
    <row r="1495" spans="1:29" x14ac:dyDescent="0.25">
      <c r="A1495" s="61">
        <v>110001855635</v>
      </c>
      <c r="B1495" s="28">
        <v>2022</v>
      </c>
      <c r="C1495" s="68">
        <f t="shared" si="24"/>
        <v>44562</v>
      </c>
      <c r="D1495" s="28" t="s">
        <v>1000</v>
      </c>
      <c r="E1495" s="28" t="s">
        <v>1534</v>
      </c>
      <c r="F1495" s="28" t="s">
        <v>1001</v>
      </c>
      <c r="G1495" s="28" t="s">
        <v>324</v>
      </c>
      <c r="H1495" s="28">
        <v>42025</v>
      </c>
      <c r="I1495" s="28">
        <v>36.866140000000001</v>
      </c>
      <c r="J1495" s="28">
        <v>-88.342470000000006</v>
      </c>
      <c r="L1495" s="61">
        <v>110001855635</v>
      </c>
      <c r="M1495" s="28" t="s">
        <v>263</v>
      </c>
      <c r="N1495" s="28">
        <v>4952</v>
      </c>
      <c r="O1495" s="28" t="str">
        <f>IFERROR(VLOOKUP(N1495, 'SIC &amp; NAICS Codes'!A:B, 2, FALSE), "")</f>
        <v>Sewerage Systems</v>
      </c>
      <c r="S1495" s="28">
        <v>3.4641739375</v>
      </c>
      <c r="T1495" s="315">
        <f>_xlfn.MAXIFS('Raw Period DMR Data'!$O:$O,'Raw Period DMR Data'!$A:$A,'Raw Annual DMR Data_2021-2024'!#REF!,'Raw Period DMR Data'!$C:$C,X1495)/S1495</f>
        <v>0</v>
      </c>
      <c r="U1495" s="28" t="str">
        <f>+IF(COUNTIFS('Raw Period DMR Data'!$A:$A,B1495,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95" s="28" t="str" cm="1">
        <f t="array" ref="V1495">IFERROR(INDEX('Raw Period DMR Data'!N:N,MATCH(1,(B1495='Raw Period DMR Data'!$A:$A)*(U1495='Raw Period DMR Data'!M:M)*(X1495='Raw Period DMR Data'!C:C),0),1), "N/A")</f>
        <v>N/A</v>
      </c>
      <c r="W1495" s="28" t="s">
        <v>1463</v>
      </c>
      <c r="X1495" s="28" t="s">
        <v>1535</v>
      </c>
      <c r="Y1495" s="28" t="s">
        <v>1536</v>
      </c>
      <c r="Z1495" s="61">
        <v>6040006000045</v>
      </c>
      <c r="AB1495" s="28" t="s">
        <v>7355</v>
      </c>
      <c r="AC1495" s="28" t="s">
        <v>263</v>
      </c>
    </row>
    <row r="1496" spans="1:29" x14ac:dyDescent="0.25">
      <c r="A1496" s="61">
        <v>110000597355</v>
      </c>
      <c r="B1496" s="28">
        <v>2021</v>
      </c>
      <c r="C1496" s="68">
        <f t="shared" si="24"/>
        <v>44197</v>
      </c>
      <c r="D1496" s="28" t="s">
        <v>1002</v>
      </c>
      <c r="E1496" s="28" t="s">
        <v>1537</v>
      </c>
      <c r="F1496" s="28" t="s">
        <v>1003</v>
      </c>
      <c r="G1496" s="28" t="s">
        <v>303</v>
      </c>
      <c r="H1496" s="28">
        <v>70726</v>
      </c>
      <c r="I1496" s="28">
        <v>30.486767</v>
      </c>
      <c r="J1496" s="28">
        <v>-90.925479999999993</v>
      </c>
      <c r="K1496" s="28" t="s">
        <v>706</v>
      </c>
      <c r="L1496" s="61">
        <v>110000597355</v>
      </c>
      <c r="M1496" s="28" t="s">
        <v>265</v>
      </c>
      <c r="N1496" s="28">
        <v>2899</v>
      </c>
      <c r="O1496" s="28" t="str">
        <f>IFERROR(VLOOKUP(N1496, 'SIC &amp; NAICS Codes'!A:B, 2, FALSE), "")</f>
        <v>Chemicals and Chemical Preparations, NEC (table salt)</v>
      </c>
      <c r="S1496" s="28">
        <v>1.6570999999999999E-2</v>
      </c>
      <c r="T1496" s="315">
        <f>_xlfn.MAXIFS('Raw Period DMR Data'!$O:$O,'Raw Period DMR Data'!$A:$A,'Raw Annual DMR Data_2021-2024'!#REF!,'Raw Period DMR Data'!$C:$C,X1496)/S1496</f>
        <v>0</v>
      </c>
      <c r="U1496" s="28" t="str">
        <f>+IF(COUNTIFS('Raw Period DMR Data'!$A:$A,B1496,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96" s="28" t="str" cm="1">
        <f t="array" ref="V1496">IFERROR(INDEX('Raw Period DMR Data'!N:N,MATCH(1,(B1496='Raw Period DMR Data'!$A:$A)*(U1496='Raw Period DMR Data'!M:M)*(X1496='Raw Period DMR Data'!C:C),0),1), "N/A")</f>
        <v>N/A</v>
      </c>
      <c r="W1496" s="28" t="s">
        <v>1463</v>
      </c>
      <c r="X1496" s="28" t="s">
        <v>1538</v>
      </c>
      <c r="Y1496" s="28" t="s">
        <v>1539</v>
      </c>
      <c r="Z1496" s="61">
        <v>8070202000867</v>
      </c>
      <c r="AA1496" s="28"/>
      <c r="AB1496" s="28" t="s">
        <v>7355</v>
      </c>
      <c r="AC1496" s="28" t="s">
        <v>1466</v>
      </c>
    </row>
    <row r="1497" spans="1:29" x14ac:dyDescent="0.25">
      <c r="A1497" s="61">
        <v>110000597355</v>
      </c>
      <c r="B1497" s="28">
        <v>2022</v>
      </c>
      <c r="C1497" s="68">
        <f t="shared" si="24"/>
        <v>44562</v>
      </c>
      <c r="D1497" s="28" t="s">
        <v>1002</v>
      </c>
      <c r="E1497" s="28" t="s">
        <v>1537</v>
      </c>
      <c r="F1497" s="28" t="s">
        <v>1003</v>
      </c>
      <c r="G1497" s="28" t="s">
        <v>303</v>
      </c>
      <c r="H1497" s="28">
        <v>70726</v>
      </c>
      <c r="I1497" s="28">
        <v>30.486767</v>
      </c>
      <c r="J1497" s="28">
        <v>-90.925479999999993</v>
      </c>
      <c r="K1497" s="28" t="s">
        <v>706</v>
      </c>
      <c r="L1497" s="61">
        <v>110000597355</v>
      </c>
      <c r="M1497" s="28" t="s">
        <v>265</v>
      </c>
      <c r="N1497" s="28">
        <v>2899</v>
      </c>
      <c r="O1497" s="28" t="str">
        <f>IFERROR(VLOOKUP(N1497, 'SIC &amp; NAICS Codes'!A:B, 2, FALSE), "")</f>
        <v>Chemicals and Chemical Preparations, NEC (table salt)</v>
      </c>
      <c r="S1497" s="28">
        <v>1.6571000000000001E-4</v>
      </c>
      <c r="T1497" s="315">
        <f>_xlfn.MAXIFS('Raw Period DMR Data'!$O:$O,'Raw Period DMR Data'!$A:$A,'Raw Annual DMR Data_2021-2024'!#REF!,'Raw Period DMR Data'!$C:$C,X1497)/S1497</f>
        <v>0</v>
      </c>
      <c r="U1497" s="28" t="str">
        <f>+IF(COUNTIFS('Raw Period DMR Data'!$A:$A,B1497,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97" s="28" t="str" cm="1">
        <f t="array" ref="V1497">IFERROR(INDEX('Raw Period DMR Data'!N:N,MATCH(1,(B1497='Raw Period DMR Data'!$A:$A)*(U1497='Raw Period DMR Data'!M:M)*(X1497='Raw Period DMR Data'!C:C),0),1), "N/A")</f>
        <v>N/A</v>
      </c>
      <c r="W1497" s="28" t="s">
        <v>1463</v>
      </c>
      <c r="X1497" s="28" t="s">
        <v>1538</v>
      </c>
      <c r="Y1497" s="28" t="s">
        <v>1539</v>
      </c>
      <c r="Z1497" s="61">
        <v>8070202000867</v>
      </c>
      <c r="AB1497" s="28" t="s">
        <v>7355</v>
      </c>
      <c r="AC1497" s="28" t="s">
        <v>1466</v>
      </c>
    </row>
    <row r="1498" spans="1:29" x14ac:dyDescent="0.25">
      <c r="A1498" s="61">
        <v>110040000398</v>
      </c>
      <c r="B1498" s="28">
        <v>2021</v>
      </c>
      <c r="C1498" s="68">
        <f t="shared" si="24"/>
        <v>44197</v>
      </c>
      <c r="D1498" s="28" t="s">
        <v>1004</v>
      </c>
      <c r="E1498" s="28" t="s">
        <v>1540</v>
      </c>
      <c r="F1498" s="28" t="s">
        <v>608</v>
      </c>
      <c r="G1498" s="28" t="s">
        <v>324</v>
      </c>
      <c r="H1498" s="28">
        <v>40403</v>
      </c>
      <c r="I1498" s="28">
        <v>37.608496000000002</v>
      </c>
      <c r="J1498" s="28">
        <v>-84.287074000000004</v>
      </c>
      <c r="L1498" s="61">
        <v>110040000398</v>
      </c>
      <c r="M1498" s="28" t="s">
        <v>263</v>
      </c>
      <c r="N1498" s="28">
        <v>4952</v>
      </c>
      <c r="O1498" s="28" t="str">
        <f>IFERROR(VLOOKUP(N1498, 'SIC &amp; NAICS Codes'!A:B, 2, FALSE), "")</f>
        <v>Sewerage Systems</v>
      </c>
      <c r="S1498" s="28">
        <v>2.7554516124999999</v>
      </c>
      <c r="T1498" s="315">
        <f>_xlfn.MAXIFS('Raw Period DMR Data'!$O:$O,'Raw Period DMR Data'!$A:$A,'Raw Annual DMR Data_2021-2024'!#REF!,'Raw Period DMR Data'!$C:$C,X1498)/S1498</f>
        <v>0</v>
      </c>
      <c r="U1498" s="28" t="str">
        <f>+IF(COUNTIFS('Raw Period DMR Data'!$A:$A,B1498,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98" s="28" t="str" cm="1">
        <f t="array" ref="V1498">IFERROR(INDEX('Raw Period DMR Data'!N:N,MATCH(1,(B1498='Raw Period DMR Data'!$A:$A)*(U1498='Raw Period DMR Data'!M:M)*(X1498='Raw Period DMR Data'!C:C),0),1), "N/A")</f>
        <v>N/A</v>
      </c>
      <c r="W1498" s="28" t="s">
        <v>1463</v>
      </c>
      <c r="X1498" s="28" t="s">
        <v>1541</v>
      </c>
      <c r="Y1498" s="28" t="s">
        <v>1542</v>
      </c>
      <c r="Z1498" s="61">
        <v>5100205000154</v>
      </c>
      <c r="AA1498" s="28"/>
      <c r="AB1498" s="28" t="s">
        <v>7355</v>
      </c>
      <c r="AC1498" s="28" t="s">
        <v>263</v>
      </c>
    </row>
    <row r="1499" spans="1:29" x14ac:dyDescent="0.25">
      <c r="A1499" s="61">
        <v>110029593731</v>
      </c>
      <c r="B1499" s="28">
        <v>2023</v>
      </c>
      <c r="C1499" s="68">
        <f t="shared" si="24"/>
        <v>44927</v>
      </c>
      <c r="D1499" s="28" t="s">
        <v>111</v>
      </c>
      <c r="E1499" s="28" t="s">
        <v>355</v>
      </c>
      <c r="F1499" s="28" t="s">
        <v>356</v>
      </c>
      <c r="G1499" s="28" t="s">
        <v>338</v>
      </c>
      <c r="H1499" s="28" t="s">
        <v>1543</v>
      </c>
      <c r="I1499" s="28">
        <v>40.067799999999998</v>
      </c>
      <c r="J1499" s="28">
        <v>-74.923670000000001</v>
      </c>
      <c r="L1499" s="61">
        <v>110029593731</v>
      </c>
      <c r="M1499" s="28" t="s">
        <v>263</v>
      </c>
      <c r="N1499" s="28">
        <v>4952</v>
      </c>
      <c r="O1499" s="28" t="str">
        <f>IFERROR(VLOOKUP(N1499, 'SIC &amp; NAICS Codes'!A:B, 2, FALSE), "")</f>
        <v>Sewerage Systems</v>
      </c>
      <c r="S1499" s="28">
        <v>0.350956555</v>
      </c>
      <c r="T1499" s="315">
        <f>_xlfn.MAXIFS('Raw Period DMR Data'!$O:$O,'Raw Period DMR Data'!$A:$A,'Raw Annual DMR Data_2021-2024'!#REF!,'Raw Period DMR Data'!$C:$C,X1499)/S1499</f>
        <v>0</v>
      </c>
      <c r="U1499" s="28" t="str">
        <f>+IF(COUNTIFS('Raw Period DMR Data'!$A:$A,B1499,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99" s="28" t="str" cm="1">
        <f t="array" ref="V1499">IFERROR(INDEX('Raw Period DMR Data'!N:N,MATCH(1,(B1499='Raw Period DMR Data'!$A:$A)*(U1499='Raw Period DMR Data'!M:M)*(X1499='Raw Period DMR Data'!C:C),0),1), "N/A")</f>
        <v>N/A</v>
      </c>
      <c r="W1499" s="28" t="s">
        <v>1463</v>
      </c>
      <c r="X1499" s="28" t="s">
        <v>788</v>
      </c>
      <c r="Y1499" s="28" t="s">
        <v>789</v>
      </c>
      <c r="Z1499" s="61">
        <v>2040202001996</v>
      </c>
      <c r="AC1499" s="28" t="s">
        <v>263</v>
      </c>
    </row>
    <row r="1500" spans="1:29" x14ac:dyDescent="0.25">
      <c r="A1500" s="61">
        <v>110029593731</v>
      </c>
      <c r="B1500" s="28">
        <v>2022</v>
      </c>
      <c r="C1500" s="68">
        <f t="shared" si="24"/>
        <v>44562</v>
      </c>
      <c r="D1500" s="28" t="s">
        <v>111</v>
      </c>
      <c r="E1500" s="28" t="s">
        <v>355</v>
      </c>
      <c r="F1500" s="28" t="s">
        <v>356</v>
      </c>
      <c r="G1500" s="28" t="s">
        <v>338</v>
      </c>
      <c r="H1500" s="28">
        <v>8010</v>
      </c>
      <c r="I1500" s="28">
        <v>40.067799999999998</v>
      </c>
      <c r="J1500" s="28">
        <v>-74.923670000000001</v>
      </c>
      <c r="L1500" s="61">
        <v>110029593731</v>
      </c>
      <c r="M1500" s="28" t="s">
        <v>263</v>
      </c>
      <c r="N1500" s="28">
        <v>4952</v>
      </c>
      <c r="O1500" s="28" t="str">
        <f>IFERROR(VLOOKUP(N1500, 'SIC &amp; NAICS Codes'!A:B, 2, FALSE), "")</f>
        <v>Sewerage Systems</v>
      </c>
      <c r="S1500" s="28">
        <v>0.31054978750000001</v>
      </c>
      <c r="T1500" s="315">
        <f>_xlfn.MAXIFS('Raw Period DMR Data'!$O:$O,'Raw Period DMR Data'!$A:$A,'Raw Annual DMR Data_2021-2024'!#REF!,'Raw Period DMR Data'!$C:$C,X1500)/S1500</f>
        <v>0</v>
      </c>
      <c r="U1500" s="28" t="str">
        <f>+IF(COUNTIFS('Raw Period DMR Data'!$A:$A,B1500,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00" s="28" t="str" cm="1">
        <f t="array" ref="V1500">IFERROR(INDEX('Raw Period DMR Data'!N:N,MATCH(1,(B1500='Raw Period DMR Data'!$A:$A)*(U1500='Raw Period DMR Data'!M:M)*(X1500='Raw Period DMR Data'!C:C),0),1), "N/A")</f>
        <v>N/A</v>
      </c>
      <c r="W1500" s="28" t="s">
        <v>1463</v>
      </c>
      <c r="X1500" s="28" t="s">
        <v>788</v>
      </c>
      <c r="Y1500" s="28" t="s">
        <v>789</v>
      </c>
      <c r="Z1500" s="61">
        <v>2040202001996</v>
      </c>
      <c r="AC1500" s="28" t="s">
        <v>263</v>
      </c>
    </row>
    <row r="1501" spans="1:29" x14ac:dyDescent="0.25">
      <c r="A1501" s="61">
        <v>110029593731</v>
      </c>
      <c r="B1501" s="28">
        <v>2021</v>
      </c>
      <c r="C1501" s="68">
        <f t="shared" si="24"/>
        <v>44197</v>
      </c>
      <c r="D1501" s="28" t="s">
        <v>111</v>
      </c>
      <c r="E1501" s="28" t="s">
        <v>355</v>
      </c>
      <c r="F1501" s="28" t="s">
        <v>356</v>
      </c>
      <c r="G1501" s="28" t="s">
        <v>338</v>
      </c>
      <c r="H1501" s="28">
        <v>8010</v>
      </c>
      <c r="I1501" s="28">
        <v>40.067799999999998</v>
      </c>
      <c r="J1501" s="28">
        <v>-74.923670000000001</v>
      </c>
      <c r="L1501" s="61">
        <v>110029593731</v>
      </c>
      <c r="M1501" s="28" t="s">
        <v>263</v>
      </c>
      <c r="N1501" s="28">
        <v>4952</v>
      </c>
      <c r="O1501" s="28" t="str">
        <f>IFERROR(VLOOKUP(N1501, 'SIC &amp; NAICS Codes'!A:B, 2, FALSE), "")</f>
        <v>Sewerage Systems</v>
      </c>
      <c r="S1501" s="28">
        <v>0.26678761750000002</v>
      </c>
      <c r="T1501" s="315">
        <f>_xlfn.MAXIFS('Raw Period DMR Data'!$O:$O,'Raw Period DMR Data'!$A:$A,'Raw Annual DMR Data_2021-2024'!#REF!,'Raw Period DMR Data'!$C:$C,X1501)/S1501</f>
        <v>0</v>
      </c>
      <c r="U1501" s="28" t="str">
        <f>+IF(COUNTIFS('Raw Period DMR Data'!$A:$A,B1501,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01" s="28" t="str" cm="1">
        <f t="array" ref="V1501">IFERROR(INDEX('Raw Period DMR Data'!N:N,MATCH(1,(B1501='Raw Period DMR Data'!$A:$A)*(U1501='Raw Period DMR Data'!M:M)*(X1501='Raw Period DMR Data'!C:C),0),1), "N/A")</f>
        <v>N/A</v>
      </c>
      <c r="W1501" s="28" t="s">
        <v>1463</v>
      </c>
      <c r="X1501" s="28" t="s">
        <v>788</v>
      </c>
      <c r="Y1501" s="28" t="s">
        <v>789</v>
      </c>
      <c r="Z1501" s="61">
        <v>2040202001996</v>
      </c>
      <c r="AA1501" s="28"/>
      <c r="AC1501" s="28" t="s">
        <v>263</v>
      </c>
    </row>
    <row r="1502" spans="1:29" x14ac:dyDescent="0.25">
      <c r="A1502" s="61">
        <v>110064611969</v>
      </c>
      <c r="B1502" s="28">
        <v>2024</v>
      </c>
      <c r="C1502" s="68">
        <f t="shared" si="24"/>
        <v>45292</v>
      </c>
      <c r="D1502" s="28" t="s">
        <v>1005</v>
      </c>
      <c r="E1502" s="28" t="s">
        <v>1545</v>
      </c>
      <c r="F1502" s="28" t="s">
        <v>446</v>
      </c>
      <c r="G1502" s="28" t="s">
        <v>303</v>
      </c>
      <c r="H1502" s="28">
        <v>70669</v>
      </c>
      <c r="I1502" s="28">
        <v>30.23771</v>
      </c>
      <c r="J1502" s="28">
        <v>-93.258650000000003</v>
      </c>
      <c r="L1502" s="61">
        <v>110064611969</v>
      </c>
      <c r="M1502" s="28" t="s">
        <v>265</v>
      </c>
      <c r="N1502" s="28">
        <v>2819</v>
      </c>
      <c r="O1502" s="28" t="str">
        <f>IFERROR(VLOOKUP(N1502, 'SIC &amp; NAICS Codes'!A:B, 2, FALSE), "")</f>
        <v>Industrial Inorganic Chemicals, NEC (recovering sulfur from natural gas)</v>
      </c>
      <c r="S1502" s="28">
        <v>10.411128</v>
      </c>
      <c r="T1502" s="315">
        <f>_xlfn.MAXIFS('Raw Period DMR Data'!$O:$O,'Raw Period DMR Data'!$A:$A,'Raw Annual DMR Data_2021-2024'!B2361,'Raw Period DMR Data'!$C:$C,X1502)/S1502</f>
        <v>0</v>
      </c>
      <c r="U1502" s="28" t="str">
        <f>+IF(COUNTIFS('Raw Period DMR Data'!$A:$A,B1502, 'Raw Period DMR Data'!C:C,'Raw Annual DMR Data_2021-2024'!X2361, 'Raw Period DMR Data'!M:M, "&gt;0")&gt;0,_xlfn.MAXIFS('Raw Period DMR Data'!M:M,'Raw Period DMR Data'!$A:$A,'Raw Annual DMR Data_2021-2024'!B2361,'Raw Period DMR Data'!C:C,'Raw Annual DMR Data_2021-2024'!X2361), "N/A - Period DMR Data Not Available")</f>
        <v>N/A - Period DMR Data Not Available</v>
      </c>
      <c r="V1502" s="28" t="str" cm="1">
        <f t="array" ref="V1502">IFERROR(INDEX('Raw Period DMR Data'!N:N,MATCH(1,(B1502='Raw Period DMR Data'!$A:$A)*(U1502='Raw Period DMR Data'!M:M)*(X1502='Raw Period DMR Data'!C:C),0),1), "N/A")</f>
        <v>N/A</v>
      </c>
      <c r="W1502" s="28" t="s">
        <v>1463</v>
      </c>
      <c r="X1502" s="28" t="s">
        <v>1546</v>
      </c>
      <c r="Z1502" s="61">
        <v>8080206001241</v>
      </c>
      <c r="AC1502" s="28" t="s">
        <v>1466</v>
      </c>
    </row>
    <row r="1503" spans="1:29" x14ac:dyDescent="0.25">
      <c r="A1503" s="61">
        <v>110064611969</v>
      </c>
      <c r="B1503" s="28">
        <v>2023</v>
      </c>
      <c r="C1503" s="68">
        <f t="shared" si="24"/>
        <v>44927</v>
      </c>
      <c r="D1503" s="28" t="s">
        <v>1005</v>
      </c>
      <c r="E1503" s="28" t="s">
        <v>1545</v>
      </c>
      <c r="F1503" s="28" t="s">
        <v>446</v>
      </c>
      <c r="G1503" s="28" t="s">
        <v>303</v>
      </c>
      <c r="H1503" s="28">
        <v>70669</v>
      </c>
      <c r="I1503" s="28">
        <v>30.23771</v>
      </c>
      <c r="J1503" s="28">
        <v>-93.258650000000003</v>
      </c>
      <c r="L1503" s="61">
        <v>110064611969</v>
      </c>
      <c r="M1503" s="28" t="s">
        <v>265</v>
      </c>
      <c r="N1503" s="28">
        <v>2819</v>
      </c>
      <c r="O1503" s="28" t="str">
        <f>IFERROR(VLOOKUP(N1503, 'SIC &amp; NAICS Codes'!A:B, 2, FALSE), "")</f>
        <v>Industrial Inorganic Chemicals, NEC (recovering sulfur from natural gas)</v>
      </c>
      <c r="S1503" s="28">
        <v>5.10975</v>
      </c>
      <c r="T1503" s="315">
        <f>_xlfn.MAXIFS('Raw Period DMR Data'!$O:$O,'Raw Period DMR Data'!$A:$A,'Raw Annual DMR Data_2021-2024'!B2392,'Raw Period DMR Data'!$C:$C,X1503)/S1503</f>
        <v>0</v>
      </c>
      <c r="U1503" s="28" t="str">
        <f>+IF(COUNTIFS('Raw Period DMR Data'!$A:$A,B1503, 'Raw Period DMR Data'!C:C,'Raw Annual DMR Data_2021-2024'!X2392, 'Raw Period DMR Data'!M:M, "&gt;0")&gt;0,_xlfn.MAXIFS('Raw Period DMR Data'!M:M,'Raw Period DMR Data'!$A:$A,'Raw Annual DMR Data_2021-2024'!B2392,'Raw Period DMR Data'!C:C,'Raw Annual DMR Data_2021-2024'!X2392), "N/A - Period DMR Data Not Available")</f>
        <v>N/A - Period DMR Data Not Available</v>
      </c>
      <c r="V1503" s="28" t="str" cm="1">
        <f t="array" ref="V1503">IFERROR(INDEX('Raw Period DMR Data'!N:N,MATCH(1,(B1503='Raw Period DMR Data'!$A:$A)*(U1503='Raw Period DMR Data'!M:M)*(X1503='Raw Period DMR Data'!C:C),0),1), "N/A")</f>
        <v>N/A</v>
      </c>
      <c r="W1503" s="28" t="s">
        <v>1463</v>
      </c>
      <c r="X1503" s="28" t="s">
        <v>1546</v>
      </c>
      <c r="Z1503" s="61" t="s">
        <v>7332</v>
      </c>
      <c r="AB1503" s="28" t="s">
        <v>7355</v>
      </c>
      <c r="AC1503" s="28" t="s">
        <v>1466</v>
      </c>
    </row>
    <row r="1504" spans="1:29" x14ac:dyDescent="0.25">
      <c r="A1504" s="61">
        <v>110064611969</v>
      </c>
      <c r="B1504" s="28">
        <v>2021</v>
      </c>
      <c r="C1504" s="68">
        <f t="shared" si="24"/>
        <v>44197</v>
      </c>
      <c r="D1504" s="28" t="s">
        <v>1005</v>
      </c>
      <c r="E1504" s="28" t="s">
        <v>1545</v>
      </c>
      <c r="F1504" s="28" t="s">
        <v>446</v>
      </c>
      <c r="G1504" s="28" t="s">
        <v>303</v>
      </c>
      <c r="H1504" s="28">
        <v>70669</v>
      </c>
      <c r="I1504" s="28">
        <v>30.23771</v>
      </c>
      <c r="J1504" s="28">
        <v>-93.258650000000003</v>
      </c>
      <c r="L1504" s="61">
        <v>110064611969</v>
      </c>
      <c r="M1504" s="28" t="s">
        <v>265</v>
      </c>
      <c r="N1504" s="28">
        <v>2819</v>
      </c>
      <c r="O1504" s="28" t="str">
        <f>IFERROR(VLOOKUP(N1504, 'SIC &amp; NAICS Codes'!A:B, 2, FALSE), "")</f>
        <v>Industrial Inorganic Chemicals, NEC (recovering sulfur from natural gas)</v>
      </c>
      <c r="S1504" s="112">
        <v>3.7104355</v>
      </c>
      <c r="T1504" s="315">
        <f>_xlfn.MAXIFS('Raw Period DMR Data'!$O:$O,'Raw Period DMR Data'!$A:$A,'Raw Annual DMR Data_2021-2024'!B2415,'Raw Period DMR Data'!$C:$C,X1504)/S1504</f>
        <v>0</v>
      </c>
      <c r="U1504" s="28" t="str">
        <f>+IF(COUNTIFS('Raw Period DMR Data'!$A:$A,B1504, 'Raw Period DMR Data'!C:C,'Raw Annual DMR Data_2021-2024'!X2415, 'Raw Period DMR Data'!M:M, "&gt;0")&gt;0,_xlfn.MAXIFS('Raw Period DMR Data'!M:M,'Raw Period DMR Data'!$A:$A,'Raw Annual DMR Data_2021-2024'!B2415,'Raw Period DMR Data'!C:C,'Raw Annual DMR Data_2021-2024'!X2415), "N/A - Period DMR Data Not Available")</f>
        <v>N/A - Period DMR Data Not Available</v>
      </c>
      <c r="V1504" s="28" t="str" cm="1">
        <f t="array" ref="V1504">IFERROR(INDEX('Raw Period DMR Data'!N:N,MATCH(1,(B1504='Raw Period DMR Data'!$A:$A)*(U1504='Raw Period DMR Data'!M:M)*(X1504='Raw Period DMR Data'!C:C),0),1), "N/A")</f>
        <v>N/A</v>
      </c>
      <c r="W1504" s="28" t="s">
        <v>1463</v>
      </c>
      <c r="X1504" s="28" t="s">
        <v>1546</v>
      </c>
      <c r="Z1504" s="61">
        <v>8080206001241</v>
      </c>
      <c r="AA1504" s="28"/>
      <c r="AB1504" s="28" t="s">
        <v>7355</v>
      </c>
      <c r="AC1504" s="28" t="s">
        <v>1466</v>
      </c>
    </row>
    <row r="1505" spans="1:29" x14ac:dyDescent="0.25">
      <c r="A1505" s="61">
        <v>110000487633</v>
      </c>
      <c r="B1505" s="28">
        <v>2021</v>
      </c>
      <c r="C1505" s="68">
        <f t="shared" si="24"/>
        <v>44197</v>
      </c>
      <c r="D1505" s="28" t="s">
        <v>6793</v>
      </c>
      <c r="E1505" s="28" t="s">
        <v>1547</v>
      </c>
      <c r="F1505" s="28" t="s">
        <v>1007</v>
      </c>
      <c r="G1505" s="28" t="s">
        <v>1008</v>
      </c>
      <c r="H1505" s="28" t="s">
        <v>6943</v>
      </c>
      <c r="I1505" s="28">
        <v>45.543847</v>
      </c>
      <c r="J1505" s="28">
        <v>-122.46656299999999</v>
      </c>
      <c r="K1505" s="28" t="s">
        <v>707</v>
      </c>
      <c r="L1505" s="61">
        <v>110000487633</v>
      </c>
      <c r="M1505" s="28" t="s">
        <v>265</v>
      </c>
      <c r="N1505" s="28">
        <v>3728</v>
      </c>
      <c r="O1505" s="28" t="str">
        <f>IFERROR(VLOOKUP(N1505, 'SIC &amp; NAICS Codes'!A:B, 2, FALSE), "")</f>
        <v>Aircraft Parts and Auxiliary Equipment, NEC (fluid power aircraft subassemblies)</v>
      </c>
      <c r="S1505" s="28">
        <v>3.1332987E-2</v>
      </c>
      <c r="T1505" s="315">
        <f>_xlfn.MAXIFS('Raw Period DMR Data'!$O:$O,'Raw Period DMR Data'!$A:$A,'Raw Annual DMR Data_2021-2024'!#REF!,'Raw Period DMR Data'!$C:$C,X1505)/S1505</f>
        <v>0</v>
      </c>
      <c r="U1505" s="28" t="str">
        <f>+IF(COUNTIFS('Raw Period DMR Data'!$A:$A,B1505,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05" s="28" t="str" cm="1">
        <f t="array" ref="V1505">IFERROR(INDEX('Raw Period DMR Data'!N:N,MATCH(1,(B1505='Raw Period DMR Data'!$A:$A)*(U1505='Raw Period DMR Data'!M:M)*(X1505='Raw Period DMR Data'!C:C),0),1), "N/A")</f>
        <v>N/A</v>
      </c>
      <c r="W1505" s="28" t="s">
        <v>1463</v>
      </c>
      <c r="X1505" s="28" t="s">
        <v>1548</v>
      </c>
      <c r="Y1505" s="28" t="s">
        <v>1549</v>
      </c>
      <c r="Z1505" s="61">
        <v>17090012000380</v>
      </c>
      <c r="AA1505" s="28"/>
      <c r="AB1505" s="28" t="s">
        <v>7355</v>
      </c>
      <c r="AC1505" s="28" t="s">
        <v>1466</v>
      </c>
    </row>
    <row r="1506" spans="1:29" x14ac:dyDescent="0.25">
      <c r="A1506" s="61">
        <v>110000487633</v>
      </c>
      <c r="B1506" s="28">
        <v>2024</v>
      </c>
      <c r="C1506" s="68">
        <f t="shared" si="24"/>
        <v>45292</v>
      </c>
      <c r="D1506" s="28" t="s">
        <v>6793</v>
      </c>
      <c r="E1506" s="28" t="s">
        <v>1547</v>
      </c>
      <c r="F1506" s="28" t="s">
        <v>1007</v>
      </c>
      <c r="G1506" s="28" t="s">
        <v>1008</v>
      </c>
      <c r="H1506" s="28" t="s">
        <v>6943</v>
      </c>
      <c r="I1506" s="28">
        <v>45.543847</v>
      </c>
      <c r="J1506" s="28">
        <v>-122.46656299999999</v>
      </c>
      <c r="K1506" s="28" t="s">
        <v>707</v>
      </c>
      <c r="L1506" s="61">
        <v>110000487633</v>
      </c>
      <c r="M1506" s="28" t="s">
        <v>265</v>
      </c>
      <c r="N1506" s="28">
        <v>3728</v>
      </c>
      <c r="O1506" s="28" t="str">
        <f>IFERROR(VLOOKUP(N1506, 'SIC &amp; NAICS Codes'!A:B, 2, FALSE), "")</f>
        <v>Aircraft Parts and Auxiliary Equipment, NEC (fluid power aircraft subassemblies)</v>
      </c>
      <c r="S1506" s="28">
        <v>2.6856846E-2</v>
      </c>
      <c r="T1506" s="315">
        <f>_xlfn.MAXIFS('Raw Period DMR Data'!$O:$O,'Raw Period DMR Data'!$A:$A,'Raw Annual DMR Data_2021-2024'!#REF!,'Raw Period DMR Data'!$C:$C,X1506)/S1506</f>
        <v>0</v>
      </c>
      <c r="U1506" s="28" t="str">
        <f>+IF(COUNTIFS('Raw Period DMR Data'!$A:$A,B1506,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06" s="28" t="str" cm="1">
        <f t="array" ref="V1506">IFERROR(INDEX('Raw Period DMR Data'!N:N,MATCH(1,(B1506='Raw Period DMR Data'!$A:$A)*(U1506='Raw Period DMR Data'!M:M)*(X1506='Raw Period DMR Data'!C:C),0),1), "N/A")</f>
        <v>N/A</v>
      </c>
      <c r="W1506" s="28" t="s">
        <v>1463</v>
      </c>
      <c r="X1506" s="28" t="s">
        <v>1548</v>
      </c>
      <c r="Y1506" s="28" t="s">
        <v>1549</v>
      </c>
      <c r="Z1506" s="61">
        <v>17090012000380</v>
      </c>
      <c r="AB1506" s="28" t="s">
        <v>7355</v>
      </c>
      <c r="AC1506" s="28" t="s">
        <v>1466</v>
      </c>
    </row>
    <row r="1507" spans="1:29" x14ac:dyDescent="0.25">
      <c r="A1507" s="61">
        <v>110000487633</v>
      </c>
      <c r="B1507" s="28">
        <v>2022</v>
      </c>
      <c r="C1507" s="68">
        <f t="shared" si="24"/>
        <v>44562</v>
      </c>
      <c r="D1507" s="28" t="s">
        <v>6793</v>
      </c>
      <c r="E1507" s="28" t="s">
        <v>1547</v>
      </c>
      <c r="F1507" s="28" t="s">
        <v>1007</v>
      </c>
      <c r="G1507" s="28" t="s">
        <v>1008</v>
      </c>
      <c r="H1507" s="28" t="s">
        <v>6943</v>
      </c>
      <c r="I1507" s="28">
        <v>45.543847</v>
      </c>
      <c r="J1507" s="28">
        <v>-122.46656299999999</v>
      </c>
      <c r="K1507" s="28" t="s">
        <v>707</v>
      </c>
      <c r="L1507" s="61">
        <v>110000487633</v>
      </c>
      <c r="M1507" s="28" t="s">
        <v>265</v>
      </c>
      <c r="N1507" s="28">
        <v>3728</v>
      </c>
      <c r="O1507" s="28" t="str">
        <f>IFERROR(VLOOKUP(N1507, 'SIC &amp; NAICS Codes'!A:B, 2, FALSE), "")</f>
        <v>Aircraft Parts and Auxiliary Equipment, NEC (fluid power aircraft subassemblies)</v>
      </c>
      <c r="S1507" s="28">
        <v>1.23342552E-2</v>
      </c>
      <c r="T1507" s="315">
        <f>_xlfn.MAXIFS('Raw Period DMR Data'!$O:$O,'Raw Period DMR Data'!$A:$A,'Raw Annual DMR Data_2021-2024'!#REF!,'Raw Period DMR Data'!$C:$C,X1507)/S1507</f>
        <v>0</v>
      </c>
      <c r="U1507" s="28" t="str">
        <f>+IF(COUNTIFS('Raw Period DMR Data'!$A:$A,B1507,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07" s="28" t="str" cm="1">
        <f t="array" ref="V1507">IFERROR(INDEX('Raw Period DMR Data'!N:N,MATCH(1,(B1507='Raw Period DMR Data'!$A:$A)*(U1507='Raw Period DMR Data'!M:M)*(X1507='Raw Period DMR Data'!C:C),0),1), "N/A")</f>
        <v>N/A</v>
      </c>
      <c r="W1507" s="28" t="s">
        <v>1463</v>
      </c>
      <c r="X1507" s="28" t="s">
        <v>1548</v>
      </c>
      <c r="Y1507" s="28" t="s">
        <v>1549</v>
      </c>
      <c r="Z1507" s="61">
        <v>17090012000380</v>
      </c>
      <c r="AB1507" s="28" t="s">
        <v>7355</v>
      </c>
      <c r="AC1507" s="28" t="s">
        <v>1466</v>
      </c>
    </row>
    <row r="1508" spans="1:29" x14ac:dyDescent="0.25">
      <c r="A1508" s="61">
        <v>110000487633</v>
      </c>
      <c r="B1508" s="28">
        <v>2023</v>
      </c>
      <c r="C1508" s="68">
        <f t="shared" si="24"/>
        <v>44927</v>
      </c>
      <c r="D1508" s="28" t="s">
        <v>6793</v>
      </c>
      <c r="E1508" s="28" t="s">
        <v>1547</v>
      </c>
      <c r="F1508" s="28" t="s">
        <v>1007</v>
      </c>
      <c r="G1508" s="28" t="s">
        <v>1008</v>
      </c>
      <c r="H1508" s="28" t="s">
        <v>6943</v>
      </c>
      <c r="I1508" s="28">
        <v>45.543847</v>
      </c>
      <c r="J1508" s="28">
        <v>-122.46656299999999</v>
      </c>
      <c r="K1508" s="28" t="s">
        <v>707</v>
      </c>
      <c r="L1508" s="61">
        <v>110000487633</v>
      </c>
      <c r="M1508" s="28" t="s">
        <v>265</v>
      </c>
      <c r="N1508" s="28">
        <v>3728</v>
      </c>
      <c r="O1508" s="28" t="str">
        <f>IFERROR(VLOOKUP(N1508, 'SIC &amp; NAICS Codes'!A:B, 2, FALSE), "")</f>
        <v>Aircraft Parts and Auxiliary Equipment, NEC (fluid power aircraft subassemblies)</v>
      </c>
      <c r="S1508" s="28">
        <v>1.23342552E-2</v>
      </c>
      <c r="T1508" s="315">
        <f>_xlfn.MAXIFS('Raw Period DMR Data'!$O:$O,'Raw Period DMR Data'!$A:$A,'Raw Annual DMR Data_2021-2024'!#REF!,'Raw Period DMR Data'!$C:$C,X1508)/S1508</f>
        <v>0</v>
      </c>
      <c r="U1508" s="28" t="str">
        <f>+IF(COUNTIFS('Raw Period DMR Data'!$A:$A,B1508,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08" s="28" t="str" cm="1">
        <f t="array" ref="V1508">IFERROR(INDEX('Raw Period DMR Data'!N:N,MATCH(1,(B1508='Raw Period DMR Data'!$A:$A)*(U1508='Raw Period DMR Data'!M:M)*(X1508='Raw Period DMR Data'!C:C),0),1), "N/A")</f>
        <v>N/A</v>
      </c>
      <c r="W1508" s="28" t="s">
        <v>1463</v>
      </c>
      <c r="X1508" s="28" t="s">
        <v>1548</v>
      </c>
      <c r="Y1508" s="28" t="s">
        <v>1549</v>
      </c>
      <c r="Z1508" s="61">
        <v>17090012000380</v>
      </c>
      <c r="AB1508" s="28" t="s">
        <v>7355</v>
      </c>
      <c r="AC1508" s="28" t="s">
        <v>1466</v>
      </c>
    </row>
    <row r="1509" spans="1:29" x14ac:dyDescent="0.25">
      <c r="A1509" s="61">
        <v>110042072351</v>
      </c>
      <c r="B1509" s="28">
        <v>2024</v>
      </c>
      <c r="C1509" s="68">
        <f t="shared" si="24"/>
        <v>45292</v>
      </c>
      <c r="D1509" s="28" t="s">
        <v>112</v>
      </c>
      <c r="E1509" s="28" t="s">
        <v>357</v>
      </c>
      <c r="F1509" s="28" t="s">
        <v>358</v>
      </c>
      <c r="G1509" s="28" t="s">
        <v>275</v>
      </c>
      <c r="H1509" s="28">
        <v>83706</v>
      </c>
      <c r="I1509" s="28">
        <v>43.603453999999999</v>
      </c>
      <c r="J1509" s="28">
        <v>-116.202736</v>
      </c>
      <c r="L1509" s="61">
        <v>110042072351</v>
      </c>
      <c r="M1509" s="28" t="s">
        <v>264</v>
      </c>
      <c r="N1509" s="28">
        <v>7216</v>
      </c>
      <c r="O1509" s="28" t="str">
        <f>IFERROR(VLOOKUP(N1509, 'SIC &amp; NAICS Codes'!A:B, 2, FALSE), "")</f>
        <v>Drycleaning Plants, Except Rug Cleaning</v>
      </c>
      <c r="S1509" s="28">
        <v>4.34907855E-4</v>
      </c>
      <c r="T1509" s="315">
        <f>_xlfn.MAXIFS('Raw Period DMR Data'!$O:$O,'Raw Period DMR Data'!$A:$A,'Raw Annual DMR Data_2021-2024'!#REF!,'Raw Period DMR Data'!$C:$C,X1509)/S1509</f>
        <v>0</v>
      </c>
      <c r="U1509" s="28" t="str">
        <f>+IF(COUNTIFS('Raw Period DMR Data'!$A:$A,B1509,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09" s="28" t="str" cm="1">
        <f t="array" ref="V1509">IFERROR(INDEX('Raw Period DMR Data'!N:N,MATCH(1,(B1509='Raw Period DMR Data'!$A:$A)*(U1509='Raw Period DMR Data'!M:M)*(X1509='Raw Period DMR Data'!C:C),0),1), "N/A")</f>
        <v>N/A</v>
      </c>
      <c r="W1509" s="28" t="s">
        <v>1463</v>
      </c>
      <c r="X1509" s="28" t="s">
        <v>790</v>
      </c>
      <c r="Y1509" s="28" t="s">
        <v>791</v>
      </c>
      <c r="Z1509" s="61">
        <v>17050114000332</v>
      </c>
      <c r="AB1509" s="28" t="s">
        <v>7355</v>
      </c>
      <c r="AC1509" s="28" t="s">
        <v>1466</v>
      </c>
    </row>
    <row r="1510" spans="1:29" x14ac:dyDescent="0.25">
      <c r="A1510" s="61">
        <v>110042072351</v>
      </c>
      <c r="B1510" s="28">
        <v>2024</v>
      </c>
      <c r="C1510" s="68">
        <f t="shared" si="24"/>
        <v>45292</v>
      </c>
      <c r="D1510" s="28" t="s">
        <v>112</v>
      </c>
      <c r="E1510" s="28" t="s">
        <v>357</v>
      </c>
      <c r="F1510" s="28" t="s">
        <v>358</v>
      </c>
      <c r="G1510" s="28" t="s">
        <v>275</v>
      </c>
      <c r="H1510" s="28">
        <v>83706</v>
      </c>
      <c r="I1510" s="28">
        <v>43.603453999999999</v>
      </c>
      <c r="J1510" s="28">
        <v>-116.202736</v>
      </c>
      <c r="L1510" s="61">
        <v>110042072351</v>
      </c>
      <c r="M1510" s="28" t="s">
        <v>264</v>
      </c>
      <c r="N1510" s="28">
        <v>7216</v>
      </c>
      <c r="O1510" s="28" t="str">
        <f>IFERROR(VLOOKUP(N1510, 'SIC &amp; NAICS Codes'!A:B, 2, FALSE), "")</f>
        <v>Drycleaning Plants, Except Rug Cleaning</v>
      </c>
      <c r="S1510" s="28">
        <v>4.0676335199999998E-4</v>
      </c>
      <c r="T1510" s="315">
        <f>_xlfn.MAXIFS('Raw Period DMR Data'!$O:$O,'Raw Period DMR Data'!$A:$A,'Raw Annual DMR Data_2021-2024'!#REF!,'Raw Period DMR Data'!$C:$C,X1510)/S1510</f>
        <v>0</v>
      </c>
      <c r="U1510" s="28" t="str">
        <f>+IF(COUNTIFS('Raw Period DMR Data'!$A:$A,B1510,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10" s="28" t="str" cm="1">
        <f t="array" ref="V1510">IFERROR(INDEX('Raw Period DMR Data'!N:N,MATCH(1,(B1510='Raw Period DMR Data'!$A:$A)*(U1510='Raw Period DMR Data'!M:M)*(X1510='Raw Period DMR Data'!C:C),0),1), "N/A")</f>
        <v>N/A</v>
      </c>
      <c r="W1510" s="28" t="s">
        <v>1463</v>
      </c>
      <c r="X1510" s="28" t="s">
        <v>790</v>
      </c>
      <c r="Y1510" s="28" t="s">
        <v>791</v>
      </c>
      <c r="Z1510" s="61">
        <v>17050114000332</v>
      </c>
      <c r="AB1510" s="28" t="s">
        <v>7355</v>
      </c>
      <c r="AC1510" s="28" t="s">
        <v>1466</v>
      </c>
    </row>
    <row r="1511" spans="1:29" x14ac:dyDescent="0.25">
      <c r="A1511" s="61">
        <v>110071253595</v>
      </c>
      <c r="B1511" s="28">
        <v>2023</v>
      </c>
      <c r="C1511" s="68">
        <f t="shared" si="24"/>
        <v>44927</v>
      </c>
      <c r="D1511" s="28" t="s">
        <v>6897</v>
      </c>
      <c r="E1511" s="28" t="s">
        <v>7084</v>
      </c>
      <c r="F1511" s="28" t="s">
        <v>1125</v>
      </c>
      <c r="G1511" s="28" t="s">
        <v>294</v>
      </c>
      <c r="H1511" s="28">
        <v>22046</v>
      </c>
      <c r="I1511" s="28">
        <v>38.881900000000002</v>
      </c>
      <c r="J1511" s="28">
        <v>-77.169899999999998</v>
      </c>
      <c r="L1511" s="61">
        <v>110071253595</v>
      </c>
      <c r="M1511" s="28" t="s">
        <v>265</v>
      </c>
      <c r="N1511" s="28">
        <v>1794</v>
      </c>
      <c r="O1511" s="28" t="str">
        <f>IFERROR(VLOOKUP(N1511, 'SIC &amp; NAICS Codes'!A:B, 2, FALSE), "")</f>
        <v>Excavation Work</v>
      </c>
      <c r="S1511" s="28">
        <v>6.9492600000000001E-4</v>
      </c>
      <c r="T1511" s="315">
        <f>_xlfn.MAXIFS('Raw Period DMR Data'!$O:$O,'Raw Period DMR Data'!$A:$A,'Raw Annual DMR Data_2021-2024'!#REF!,'Raw Period DMR Data'!$C:$C,X1511)/S1511</f>
        <v>0</v>
      </c>
      <c r="U1511" s="28" t="str">
        <f>+IF(COUNTIFS('Raw Period DMR Data'!$A:$A,B1511,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11" s="28" t="str" cm="1">
        <f t="array" ref="V1511">IFERROR(INDEX('Raw Period DMR Data'!N:N,MATCH(1,(B1511='Raw Period DMR Data'!$A:$A)*(U1511='Raw Period DMR Data'!M:M)*(X1511='Raw Period DMR Data'!C:C),0),1), "N/A")</f>
        <v>N/A</v>
      </c>
      <c r="W1511" s="28" t="s">
        <v>1463</v>
      </c>
      <c r="X1511" s="28" t="s">
        <v>7225</v>
      </c>
      <c r="Y1511" s="28" t="s">
        <v>1788</v>
      </c>
      <c r="Z1511" s="61"/>
      <c r="AB1511" s="28" t="s">
        <v>7355</v>
      </c>
      <c r="AC1511" s="28" t="s">
        <v>1466</v>
      </c>
    </row>
    <row r="1512" spans="1:29" x14ac:dyDescent="0.25">
      <c r="A1512" s="61">
        <v>110071253595</v>
      </c>
      <c r="B1512" s="28">
        <v>2024</v>
      </c>
      <c r="C1512" s="68">
        <f t="shared" si="24"/>
        <v>45292</v>
      </c>
      <c r="D1512" s="28" t="s">
        <v>6897</v>
      </c>
      <c r="E1512" s="28" t="s">
        <v>7084</v>
      </c>
      <c r="F1512" s="28" t="s">
        <v>1125</v>
      </c>
      <c r="G1512" s="28" t="s">
        <v>294</v>
      </c>
      <c r="H1512" s="28">
        <v>22046</v>
      </c>
      <c r="I1512" s="28">
        <v>38.881900000000002</v>
      </c>
      <c r="J1512" s="28">
        <v>-77.169899999999998</v>
      </c>
      <c r="L1512" s="61">
        <v>110071253595</v>
      </c>
      <c r="M1512" s="28" t="s">
        <v>265</v>
      </c>
      <c r="N1512" s="28">
        <v>1794</v>
      </c>
      <c r="O1512" s="28" t="str">
        <f>IFERROR(VLOOKUP(N1512, 'SIC &amp; NAICS Codes'!A:B, 2, FALSE), "")</f>
        <v>Excavation Work</v>
      </c>
      <c r="S1512" s="28">
        <v>6.8508499999999999E-4</v>
      </c>
      <c r="T1512" s="315">
        <f>_xlfn.MAXIFS('Raw Period DMR Data'!$O:$O,'Raw Period DMR Data'!$A:$A,'Raw Annual DMR Data_2021-2024'!#REF!,'Raw Period DMR Data'!$C:$C,X1512)/S1512</f>
        <v>0</v>
      </c>
      <c r="U1512" s="28" t="str">
        <f>+IF(COUNTIFS('Raw Period DMR Data'!$A:$A,B1512,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12" s="28" t="str" cm="1">
        <f t="array" ref="V1512">IFERROR(INDEX('Raw Period DMR Data'!N:N,MATCH(1,(B1512='Raw Period DMR Data'!$A:$A)*(U1512='Raw Period DMR Data'!M:M)*(X1512='Raw Period DMR Data'!C:C),0),1), "N/A")</f>
        <v>N/A</v>
      </c>
      <c r="W1512" s="28" t="s">
        <v>1463</v>
      </c>
      <c r="X1512" s="28" t="s">
        <v>7225</v>
      </c>
      <c r="Y1512" s="28" t="s">
        <v>1788</v>
      </c>
      <c r="Z1512" s="61"/>
      <c r="AB1512" s="28" t="s">
        <v>7355</v>
      </c>
      <c r="AC1512" s="28" t="s">
        <v>1466</v>
      </c>
    </row>
    <row r="1513" spans="1:29" x14ac:dyDescent="0.25">
      <c r="A1513" s="61">
        <v>110000614746</v>
      </c>
      <c r="B1513" s="28">
        <v>2024</v>
      </c>
      <c r="C1513" s="68">
        <f t="shared" si="24"/>
        <v>45292</v>
      </c>
      <c r="D1513" s="28" t="s">
        <v>1013</v>
      </c>
      <c r="E1513" s="28" t="s">
        <v>1557</v>
      </c>
      <c r="F1513" s="28" t="s">
        <v>1014</v>
      </c>
      <c r="G1513" s="28" t="s">
        <v>349</v>
      </c>
      <c r="H1513" s="28">
        <v>64068</v>
      </c>
      <c r="I1513" s="28">
        <v>39.248446999999999</v>
      </c>
      <c r="J1513" s="28">
        <v>-94.293233000000001</v>
      </c>
      <c r="L1513" s="61">
        <v>110000614746</v>
      </c>
      <c r="M1513" s="28" t="s">
        <v>6750</v>
      </c>
      <c r="N1513" s="28">
        <v>4953</v>
      </c>
      <c r="O1513" s="28" t="str">
        <f>IFERROR(VLOOKUP(N1513, 'SIC &amp; NAICS Codes'!A:B, 2, FALSE), "")</f>
        <v>Refuse Systems (hazardous waste treatment and disposal)</v>
      </c>
      <c r="S1513" s="28">
        <v>1.342494621255E-2</v>
      </c>
      <c r="T1513" s="315">
        <f>_xlfn.MAXIFS('Raw Period DMR Data'!$O:$O,'Raw Period DMR Data'!$A:$A,'Raw Annual DMR Data_2021-2024'!#REF!,'Raw Period DMR Data'!$C:$C,X1513)/S1513</f>
        <v>0</v>
      </c>
      <c r="U1513" s="28" t="str">
        <f>+IF(COUNTIFS('Raw Period DMR Data'!$A:$A,B1513,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13" s="28" t="str" cm="1">
        <f t="array" ref="V1513">IFERROR(INDEX('Raw Period DMR Data'!N:N,MATCH(1,(B1513='Raw Period DMR Data'!$A:$A)*(U1513='Raw Period DMR Data'!M:M)*(X1513='Raw Period DMR Data'!C:C),0),1), "N/A")</f>
        <v>N/A</v>
      </c>
      <c r="W1513" s="28" t="s">
        <v>1463</v>
      </c>
      <c r="X1513" s="28" t="s">
        <v>1558</v>
      </c>
      <c r="Y1513" s="28" t="s">
        <v>1559</v>
      </c>
      <c r="Z1513" s="61">
        <v>10300101002099</v>
      </c>
      <c r="AB1513" s="28" t="s">
        <v>7355</v>
      </c>
      <c r="AC1513" s="28" t="s">
        <v>1466</v>
      </c>
    </row>
    <row r="1514" spans="1:29" x14ac:dyDescent="0.25">
      <c r="A1514" s="61">
        <v>110000614746</v>
      </c>
      <c r="B1514" s="28">
        <v>2022</v>
      </c>
      <c r="C1514" s="68">
        <f t="shared" si="24"/>
        <v>44562</v>
      </c>
      <c r="D1514" s="28" t="s">
        <v>1013</v>
      </c>
      <c r="E1514" s="28" t="s">
        <v>1557</v>
      </c>
      <c r="F1514" s="28" t="s">
        <v>1014</v>
      </c>
      <c r="G1514" s="28" t="s">
        <v>349</v>
      </c>
      <c r="H1514" s="28">
        <v>64068</v>
      </c>
      <c r="I1514" s="28">
        <v>39.248446999999999</v>
      </c>
      <c r="J1514" s="28">
        <v>-94.293233000000001</v>
      </c>
      <c r="L1514" s="61">
        <v>110000614746</v>
      </c>
      <c r="M1514" s="28" t="s">
        <v>6750</v>
      </c>
      <c r="N1514" s="28">
        <v>4953</v>
      </c>
      <c r="O1514" s="28" t="str">
        <f>IFERROR(VLOOKUP(N1514, 'SIC &amp; NAICS Codes'!A:B, 2, FALSE), "")</f>
        <v>Refuse Systems (hazardous waste treatment and disposal)</v>
      </c>
      <c r="S1514" s="28">
        <v>1.18266166775E-2</v>
      </c>
      <c r="T1514" s="315">
        <f>_xlfn.MAXIFS('Raw Period DMR Data'!$O:$O,'Raw Period DMR Data'!$A:$A,'Raw Annual DMR Data_2021-2024'!#REF!,'Raw Period DMR Data'!$C:$C,X1514)/S1514</f>
        <v>0</v>
      </c>
      <c r="U1514" s="28" t="str">
        <f>+IF(COUNTIFS('Raw Period DMR Data'!$A:$A,B1514,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14" s="28" t="str" cm="1">
        <f t="array" ref="V1514">IFERROR(INDEX('Raw Period DMR Data'!N:N,MATCH(1,(B1514='Raw Period DMR Data'!$A:$A)*(U1514='Raw Period DMR Data'!M:M)*(X1514='Raw Period DMR Data'!C:C),0),1), "N/A")</f>
        <v>N/A</v>
      </c>
      <c r="W1514" s="28" t="s">
        <v>1463</v>
      </c>
      <c r="X1514" s="28" t="s">
        <v>1558</v>
      </c>
      <c r="Y1514" s="28" t="s">
        <v>1559</v>
      </c>
      <c r="Z1514" s="61">
        <v>10300101002099</v>
      </c>
      <c r="AB1514" s="28" t="s">
        <v>7355</v>
      </c>
      <c r="AC1514" s="28" t="s">
        <v>1466</v>
      </c>
    </row>
    <row r="1515" spans="1:29" x14ac:dyDescent="0.25">
      <c r="A1515" s="61">
        <v>110000614746</v>
      </c>
      <c r="B1515" s="28">
        <v>2021</v>
      </c>
      <c r="C1515" s="68">
        <f t="shared" si="24"/>
        <v>44197</v>
      </c>
      <c r="D1515" s="28" t="s">
        <v>1013</v>
      </c>
      <c r="E1515" s="28" t="s">
        <v>1557</v>
      </c>
      <c r="F1515" s="28" t="s">
        <v>1014</v>
      </c>
      <c r="G1515" s="28" t="s">
        <v>349</v>
      </c>
      <c r="H1515" s="28">
        <v>64068</v>
      </c>
      <c r="I1515" s="28">
        <v>39.248446999999999</v>
      </c>
      <c r="J1515" s="28">
        <v>-94.293233000000001</v>
      </c>
      <c r="L1515" s="61">
        <v>110000614746</v>
      </c>
      <c r="M1515" s="28" t="s">
        <v>6750</v>
      </c>
      <c r="N1515" s="28">
        <v>4953</v>
      </c>
      <c r="O1515" s="28" t="str">
        <f>IFERROR(VLOOKUP(N1515, 'SIC &amp; NAICS Codes'!A:B, 2, FALSE), "")</f>
        <v>Refuse Systems (hazardous waste treatment and disposal)</v>
      </c>
      <c r="S1515" s="28">
        <v>9.6289690123249998E-3</v>
      </c>
      <c r="T1515" s="315">
        <f>_xlfn.MAXIFS('Raw Period DMR Data'!$O:$O,'Raw Period DMR Data'!$A:$A,'Raw Annual DMR Data_2021-2024'!#REF!,'Raw Period DMR Data'!$C:$C,X1515)/S1515</f>
        <v>0</v>
      </c>
      <c r="U1515" s="28" t="str">
        <f>+IF(COUNTIFS('Raw Period DMR Data'!$A:$A,B1515,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15" s="28" t="str" cm="1">
        <f t="array" ref="V1515">IFERROR(INDEX('Raw Period DMR Data'!N:N,MATCH(1,(B1515='Raw Period DMR Data'!$A:$A)*(U1515='Raw Period DMR Data'!M:M)*(X1515='Raw Period DMR Data'!C:C),0),1), "N/A")</f>
        <v>N/A</v>
      </c>
      <c r="W1515" s="28" t="s">
        <v>1463</v>
      </c>
      <c r="X1515" s="28" t="s">
        <v>1558</v>
      </c>
      <c r="Y1515" s="28" t="s">
        <v>1559</v>
      </c>
      <c r="Z1515" s="61">
        <v>10300101002099</v>
      </c>
      <c r="AB1515" s="28" t="s">
        <v>7355</v>
      </c>
      <c r="AC1515" s="28" t="s">
        <v>1466</v>
      </c>
    </row>
    <row r="1516" spans="1:29" x14ac:dyDescent="0.25">
      <c r="A1516" s="61">
        <v>110017980443</v>
      </c>
      <c r="B1516" s="28">
        <v>2023</v>
      </c>
      <c r="C1516" s="68">
        <f t="shared" si="24"/>
        <v>44927</v>
      </c>
      <c r="D1516" s="28" t="s">
        <v>6791</v>
      </c>
      <c r="E1516" s="28" t="s">
        <v>367</v>
      </c>
      <c r="F1516" s="28" t="s">
        <v>368</v>
      </c>
      <c r="G1516" s="28" t="s">
        <v>349</v>
      </c>
      <c r="H1516" s="28">
        <v>63630</v>
      </c>
      <c r="I1516" s="28">
        <v>37.984251999999998</v>
      </c>
      <c r="J1516" s="28">
        <v>-90.686081000000001</v>
      </c>
      <c r="K1516" s="28" t="s">
        <v>369</v>
      </c>
      <c r="L1516" s="61">
        <v>110017980443</v>
      </c>
      <c r="M1516" s="28" t="s">
        <v>251</v>
      </c>
      <c r="N1516" s="28">
        <v>2899</v>
      </c>
      <c r="O1516" s="28" t="str">
        <f>IFERROR(VLOOKUP(N1516, 'SIC &amp; NAICS Codes'!A:B, 2, FALSE), "")</f>
        <v>Chemicals and Chemical Preparations, NEC (table salt)</v>
      </c>
      <c r="S1516" s="28">
        <v>1.62889674892466</v>
      </c>
      <c r="T1516" s="315">
        <f>_xlfn.MAXIFS('Raw Period DMR Data'!$O:$O,'Raw Period DMR Data'!$A:$A,'Raw Annual DMR Data_2021-2024'!#REF!,'Raw Period DMR Data'!$C:$C,X1516)/S1516</f>
        <v>0</v>
      </c>
      <c r="U1516" s="28" t="str">
        <f>+IF(COUNTIFS('Raw Period DMR Data'!$A:$A,B1516,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16" s="28" t="str" cm="1">
        <f t="array" ref="V1516">IFERROR(INDEX('Raw Period DMR Data'!N:N,MATCH(1,(B1516='Raw Period DMR Data'!$A:$A)*(U1516='Raw Period DMR Data'!M:M)*(X1516='Raw Period DMR Data'!C:C),0),1), "N/A")</f>
        <v>N/A</v>
      </c>
      <c r="W1516" s="28" t="s">
        <v>1463</v>
      </c>
      <c r="X1516" s="28" t="s">
        <v>796</v>
      </c>
      <c r="Y1516" s="28" t="s">
        <v>1564</v>
      </c>
      <c r="Z1516" s="61" t="s">
        <v>1565</v>
      </c>
      <c r="AC1516" s="28" t="s">
        <v>1466</v>
      </c>
    </row>
    <row r="1517" spans="1:29" x14ac:dyDescent="0.25">
      <c r="A1517" s="61">
        <v>110017980443</v>
      </c>
      <c r="B1517" s="28">
        <v>2021</v>
      </c>
      <c r="C1517" s="68">
        <f t="shared" si="24"/>
        <v>44197</v>
      </c>
      <c r="D1517" s="28" t="s">
        <v>6791</v>
      </c>
      <c r="E1517" s="28" t="s">
        <v>367</v>
      </c>
      <c r="F1517" s="28" t="s">
        <v>368</v>
      </c>
      <c r="G1517" s="28" t="s">
        <v>349</v>
      </c>
      <c r="H1517" s="28">
        <v>63630</v>
      </c>
      <c r="I1517" s="28">
        <v>37.984251999999998</v>
      </c>
      <c r="J1517" s="28">
        <v>-90.686081000000001</v>
      </c>
      <c r="K1517" s="28" t="s">
        <v>369</v>
      </c>
      <c r="L1517" s="61">
        <v>110017980443</v>
      </c>
      <c r="M1517" s="28" t="s">
        <v>251</v>
      </c>
      <c r="N1517" s="28">
        <v>2899</v>
      </c>
      <c r="O1517" s="28" t="str">
        <f>IFERROR(VLOOKUP(N1517, 'SIC &amp; NAICS Codes'!A:B, 2, FALSE), "")</f>
        <v>Chemicals and Chemical Preparations, NEC (table salt)</v>
      </c>
      <c r="S1517" s="28">
        <v>3.10034066867E-2</v>
      </c>
      <c r="T1517" s="315">
        <f>_xlfn.MAXIFS('Raw Period DMR Data'!$O:$O,'Raw Period DMR Data'!$A:$A,'Raw Annual DMR Data_2021-2024'!#REF!,'Raw Period DMR Data'!$C:$C,X1517)/S1517</f>
        <v>0</v>
      </c>
      <c r="U1517" s="28" t="str">
        <f>+IF(COUNTIFS('Raw Period DMR Data'!$A:$A,B1517,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17" s="28" t="str" cm="1">
        <f t="array" ref="V1517">IFERROR(INDEX('Raw Period DMR Data'!N:N,MATCH(1,(B1517='Raw Period DMR Data'!$A:$A)*(U1517='Raw Period DMR Data'!M:M)*(X1517='Raw Period DMR Data'!C:C),0),1), "N/A")</f>
        <v>N/A</v>
      </c>
      <c r="W1517" s="28" t="s">
        <v>1463</v>
      </c>
      <c r="X1517" s="28" t="s">
        <v>796</v>
      </c>
      <c r="Y1517" s="28" t="s">
        <v>1564</v>
      </c>
      <c r="Z1517" s="61">
        <v>7140104001615</v>
      </c>
      <c r="AA1517" s="28"/>
      <c r="AB1517" s="28" t="s">
        <v>7355</v>
      </c>
      <c r="AC1517" s="28" t="s">
        <v>1466</v>
      </c>
    </row>
    <row r="1518" spans="1:29" x14ac:dyDescent="0.25">
      <c r="A1518" s="61">
        <v>110017980443</v>
      </c>
      <c r="B1518" s="28">
        <v>2022</v>
      </c>
      <c r="C1518" s="68">
        <f t="shared" si="24"/>
        <v>44562</v>
      </c>
      <c r="D1518" s="28" t="s">
        <v>6791</v>
      </c>
      <c r="E1518" s="28" t="s">
        <v>367</v>
      </c>
      <c r="F1518" s="28" t="s">
        <v>368</v>
      </c>
      <c r="G1518" s="28" t="s">
        <v>349</v>
      </c>
      <c r="H1518" s="28">
        <v>63630</v>
      </c>
      <c r="I1518" s="28">
        <v>37.984251999999998</v>
      </c>
      <c r="J1518" s="28">
        <v>-90.686081000000001</v>
      </c>
      <c r="K1518" s="28" t="s">
        <v>369</v>
      </c>
      <c r="L1518" s="61">
        <v>110017980443</v>
      </c>
      <c r="M1518" s="28" t="s">
        <v>251</v>
      </c>
      <c r="N1518" s="28">
        <v>2899</v>
      </c>
      <c r="O1518" s="28" t="str">
        <f>IFERROR(VLOOKUP(N1518, 'SIC &amp; NAICS Codes'!A:B, 2, FALSE), "")</f>
        <v>Chemicals and Chemical Preparations, NEC (table salt)</v>
      </c>
      <c r="S1518" s="28">
        <v>1.6556337991700001E-2</v>
      </c>
      <c r="T1518" s="315">
        <f>_xlfn.MAXIFS('Raw Period DMR Data'!$O:$O,'Raw Period DMR Data'!$A:$A,'Raw Annual DMR Data_2021-2024'!#REF!,'Raw Period DMR Data'!$C:$C,X1518)/S1518</f>
        <v>0</v>
      </c>
      <c r="U1518" s="28" t="str">
        <f>+IF(COUNTIFS('Raw Period DMR Data'!$A:$A,B1518,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18" s="28" t="str" cm="1">
        <f t="array" ref="V1518">IFERROR(INDEX('Raw Period DMR Data'!N:N,MATCH(1,(B1518='Raw Period DMR Data'!$A:$A)*(U1518='Raw Period DMR Data'!M:M)*(X1518='Raw Period DMR Data'!C:C),0),1), "N/A")</f>
        <v>N/A</v>
      </c>
      <c r="W1518" s="28" t="s">
        <v>1463</v>
      </c>
      <c r="X1518" s="28" t="s">
        <v>796</v>
      </c>
      <c r="Y1518" s="28" t="s">
        <v>1564</v>
      </c>
      <c r="Z1518" s="61">
        <v>7140104001615</v>
      </c>
      <c r="AB1518" s="28" t="s">
        <v>7355</v>
      </c>
      <c r="AC1518" s="28" t="s">
        <v>1466</v>
      </c>
    </row>
    <row r="1519" spans="1:29" x14ac:dyDescent="0.25">
      <c r="A1519" s="61">
        <v>110017980443</v>
      </c>
      <c r="B1519" s="28">
        <v>2021</v>
      </c>
      <c r="C1519" s="68">
        <f t="shared" si="24"/>
        <v>44197</v>
      </c>
      <c r="D1519" s="28" t="s">
        <v>6791</v>
      </c>
      <c r="E1519" s="28" t="s">
        <v>367</v>
      </c>
      <c r="F1519" s="28" t="s">
        <v>368</v>
      </c>
      <c r="G1519" s="28" t="s">
        <v>349</v>
      </c>
      <c r="H1519" s="28">
        <v>63630</v>
      </c>
      <c r="I1519" s="28">
        <v>37.984251999999998</v>
      </c>
      <c r="J1519" s="28">
        <v>-90.686081000000001</v>
      </c>
      <c r="K1519" s="28" t="s">
        <v>369</v>
      </c>
      <c r="L1519" s="61">
        <v>110017980443</v>
      </c>
      <c r="M1519" s="28" t="s">
        <v>251</v>
      </c>
      <c r="N1519" s="28">
        <v>2899</v>
      </c>
      <c r="O1519" s="28" t="str">
        <f>IFERROR(VLOOKUP(N1519, 'SIC &amp; NAICS Codes'!A:B, 2, FALSE), "")</f>
        <v>Chemicals and Chemical Preparations, NEC (table salt)</v>
      </c>
      <c r="S1519" s="28">
        <v>1.0866138048725001E-2</v>
      </c>
      <c r="T1519" s="315">
        <f>_xlfn.MAXIFS('Raw Period DMR Data'!$O:$O,'Raw Period DMR Data'!$A:$A,'Raw Annual DMR Data_2021-2024'!#REF!,'Raw Period DMR Data'!$C:$C,X1519)/S1519</f>
        <v>0</v>
      </c>
      <c r="U1519" s="28" t="str">
        <f>+IF(COUNTIFS('Raw Period DMR Data'!$A:$A,B1519,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19" s="28" t="str" cm="1">
        <f t="array" ref="V1519">IFERROR(INDEX('Raw Period DMR Data'!N:N,MATCH(1,(B1519='Raw Period DMR Data'!$A:$A)*(U1519='Raw Period DMR Data'!M:M)*(X1519='Raw Period DMR Data'!C:C),0),1), "N/A")</f>
        <v>N/A</v>
      </c>
      <c r="W1519" s="28" t="s">
        <v>1463</v>
      </c>
      <c r="X1519" s="28" t="s">
        <v>796</v>
      </c>
      <c r="Y1519" s="28" t="s">
        <v>1564</v>
      </c>
      <c r="Z1519" s="61">
        <v>7140104001615</v>
      </c>
      <c r="AA1519" s="28"/>
      <c r="AB1519" s="28" t="s">
        <v>7355</v>
      </c>
      <c r="AC1519" s="28" t="s">
        <v>1466</v>
      </c>
    </row>
    <row r="1520" spans="1:29" x14ac:dyDescent="0.25">
      <c r="A1520" s="61">
        <v>110017980443</v>
      </c>
      <c r="B1520" s="28">
        <v>2024</v>
      </c>
      <c r="C1520" s="68">
        <f t="shared" si="24"/>
        <v>45292</v>
      </c>
      <c r="D1520" s="28" t="s">
        <v>6791</v>
      </c>
      <c r="E1520" s="28" t="s">
        <v>367</v>
      </c>
      <c r="F1520" s="28" t="s">
        <v>368</v>
      </c>
      <c r="G1520" s="28" t="s">
        <v>349</v>
      </c>
      <c r="H1520" s="28">
        <v>63630</v>
      </c>
      <c r="I1520" s="28">
        <v>37.984251999999998</v>
      </c>
      <c r="J1520" s="28">
        <v>-90.686081000000001</v>
      </c>
      <c r="K1520" s="28" t="s">
        <v>369</v>
      </c>
      <c r="L1520" s="61">
        <v>110017980443</v>
      </c>
      <c r="M1520" s="28" t="s">
        <v>251</v>
      </c>
      <c r="N1520" s="28">
        <v>2899</v>
      </c>
      <c r="O1520" s="28" t="str">
        <f>IFERROR(VLOOKUP(N1520, 'SIC &amp; NAICS Codes'!A:B, 2, FALSE), "")</f>
        <v>Chemicals and Chemical Preparations, NEC (table salt)</v>
      </c>
      <c r="S1520" s="28">
        <v>9.0135990000000006E-3</v>
      </c>
      <c r="T1520" s="315">
        <f>_xlfn.MAXIFS('Raw Period DMR Data'!$O:$O,'Raw Period DMR Data'!$A:$A,'Raw Annual DMR Data_2021-2024'!#REF!,'Raw Period DMR Data'!$C:$C,X1520)/S1520</f>
        <v>0</v>
      </c>
      <c r="U1520" s="28" t="str">
        <f>+IF(COUNTIFS('Raw Period DMR Data'!$A:$A,B1520,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20" s="28" t="str" cm="1">
        <f t="array" ref="V1520">IFERROR(INDEX('Raw Period DMR Data'!N:N,MATCH(1,(B1520='Raw Period DMR Data'!$A:$A)*(U1520='Raw Period DMR Data'!M:M)*(X1520='Raw Period DMR Data'!C:C),0),1), "N/A")</f>
        <v>N/A</v>
      </c>
      <c r="W1520" s="28" t="s">
        <v>1463</v>
      </c>
      <c r="X1520" s="28" t="s">
        <v>796</v>
      </c>
      <c r="Y1520" s="28" t="s">
        <v>1564</v>
      </c>
      <c r="Z1520" s="61">
        <v>7140104001615</v>
      </c>
      <c r="AB1520" s="28" t="s">
        <v>7355</v>
      </c>
      <c r="AC1520" s="28" t="s">
        <v>1466</v>
      </c>
    </row>
    <row r="1521" spans="1:29" x14ac:dyDescent="0.25">
      <c r="A1521" s="61">
        <v>110017980443</v>
      </c>
      <c r="B1521" s="28">
        <v>2022</v>
      </c>
      <c r="C1521" s="68">
        <f t="shared" si="24"/>
        <v>44562</v>
      </c>
      <c r="D1521" s="28" t="s">
        <v>6791</v>
      </c>
      <c r="E1521" s="28" t="s">
        <v>367</v>
      </c>
      <c r="F1521" s="28" t="s">
        <v>368</v>
      </c>
      <c r="G1521" s="28" t="s">
        <v>349</v>
      </c>
      <c r="H1521" s="28">
        <v>63630</v>
      </c>
      <c r="I1521" s="28">
        <v>37.984251999999998</v>
      </c>
      <c r="J1521" s="28">
        <v>-90.686081000000001</v>
      </c>
      <c r="K1521" s="28" t="s">
        <v>369</v>
      </c>
      <c r="L1521" s="61">
        <v>110017980443</v>
      </c>
      <c r="M1521" s="28" t="s">
        <v>251</v>
      </c>
      <c r="N1521" s="28">
        <v>2899</v>
      </c>
      <c r="O1521" s="28" t="str">
        <f>IFERROR(VLOOKUP(N1521, 'SIC &amp; NAICS Codes'!A:B, 2, FALSE), "")</f>
        <v>Chemicals and Chemical Preparations, NEC (table salt)</v>
      </c>
      <c r="S1521" s="28">
        <v>1.7254023938E-3</v>
      </c>
      <c r="T1521" s="315">
        <f>_xlfn.MAXIFS('Raw Period DMR Data'!$O:$O,'Raw Period DMR Data'!$A:$A,'Raw Annual DMR Data_2021-2024'!#REF!,'Raw Period DMR Data'!$C:$C,X1521)/S1521</f>
        <v>0</v>
      </c>
      <c r="U1521" s="28" t="str">
        <f>+IF(COUNTIFS('Raw Period DMR Data'!$A:$A,B1521,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21" s="28" t="str" cm="1">
        <f t="array" ref="V1521">IFERROR(INDEX('Raw Period DMR Data'!N:N,MATCH(1,(B1521='Raw Period DMR Data'!$A:$A)*(U1521='Raw Period DMR Data'!M:M)*(X1521='Raw Period DMR Data'!C:C),0),1), "N/A")</f>
        <v>N/A</v>
      </c>
      <c r="W1521" s="28" t="s">
        <v>1463</v>
      </c>
      <c r="X1521" s="28" t="s">
        <v>796</v>
      </c>
      <c r="Y1521" s="28" t="s">
        <v>1564</v>
      </c>
      <c r="Z1521" s="61">
        <v>7140104001615</v>
      </c>
      <c r="AB1521" s="28" t="s">
        <v>7355</v>
      </c>
      <c r="AC1521" s="28" t="s">
        <v>1466</v>
      </c>
    </row>
    <row r="1522" spans="1:29" x14ac:dyDescent="0.25">
      <c r="A1522" s="61">
        <v>110002014677</v>
      </c>
      <c r="B1522" s="28">
        <v>2021</v>
      </c>
      <c r="C1522" s="68">
        <f t="shared" si="24"/>
        <v>44197</v>
      </c>
      <c r="D1522" s="28" t="s">
        <v>1017</v>
      </c>
      <c r="E1522" s="28" t="s">
        <v>1566</v>
      </c>
      <c r="F1522" s="28" t="s">
        <v>1018</v>
      </c>
      <c r="G1522" s="28" t="s">
        <v>308</v>
      </c>
      <c r="H1522" s="28">
        <v>2135</v>
      </c>
      <c r="I1522" s="28">
        <v>42.356434999999998</v>
      </c>
      <c r="J1522" s="28">
        <v>-71.145904000000002</v>
      </c>
      <c r="L1522" s="61">
        <v>110002014677</v>
      </c>
      <c r="M1522" s="28" t="s">
        <v>265</v>
      </c>
      <c r="O1522" s="28" t="str">
        <f>IFERROR(VLOOKUP(N1522, 'SIC &amp; NAICS Codes'!A:B, 2, FALSE), "")</f>
        <v/>
      </c>
      <c r="S1522" s="28">
        <v>8.2161714149999992E-3</v>
      </c>
      <c r="T1522" s="315">
        <f>_xlfn.MAXIFS('Raw Period DMR Data'!$O:$O,'Raw Period DMR Data'!$A:$A,'Raw Annual DMR Data_2021-2024'!#REF!,'Raw Period DMR Data'!$C:$C,X1522)/S1522</f>
        <v>0</v>
      </c>
      <c r="U1522" s="28" t="str">
        <f>+IF(COUNTIFS('Raw Period DMR Data'!$A:$A,B1522,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22" s="28" t="str" cm="1">
        <f t="array" ref="V1522">IFERROR(INDEX('Raw Period DMR Data'!N:N,MATCH(1,(B1522='Raw Period DMR Data'!$A:$A)*(U1522='Raw Period DMR Data'!M:M)*(X1522='Raw Period DMR Data'!C:C),0),1), "N/A")</f>
        <v>N/A</v>
      </c>
      <c r="W1522" s="28" t="s">
        <v>1463</v>
      </c>
      <c r="X1522" s="28" t="s">
        <v>1567</v>
      </c>
      <c r="Y1522" s="28" t="s">
        <v>1568</v>
      </c>
      <c r="Z1522" s="61">
        <v>1090001000111</v>
      </c>
      <c r="AA1522" s="28"/>
      <c r="AB1522" s="28" t="s">
        <v>7355</v>
      </c>
      <c r="AC1522" s="28" t="s">
        <v>1466</v>
      </c>
    </row>
    <row r="1523" spans="1:29" x14ac:dyDescent="0.25">
      <c r="A1523" s="61">
        <v>110002014677</v>
      </c>
      <c r="B1523" s="28">
        <v>2022</v>
      </c>
      <c r="C1523" s="68">
        <f t="shared" si="24"/>
        <v>44562</v>
      </c>
      <c r="D1523" s="28" t="s">
        <v>1017</v>
      </c>
      <c r="E1523" s="28" t="s">
        <v>1566</v>
      </c>
      <c r="F1523" s="28" t="s">
        <v>1018</v>
      </c>
      <c r="G1523" s="28" t="s">
        <v>308</v>
      </c>
      <c r="H1523" s="28">
        <v>2135</v>
      </c>
      <c r="I1523" s="28">
        <v>42.356434999999998</v>
      </c>
      <c r="J1523" s="28">
        <v>-71.145904000000002</v>
      </c>
      <c r="L1523" s="61">
        <v>110002014677</v>
      </c>
      <c r="M1523" s="28" t="s">
        <v>265</v>
      </c>
      <c r="O1523" s="28" t="str">
        <f>IFERROR(VLOOKUP(N1523, 'SIC &amp; NAICS Codes'!A:B, 2, FALSE), "")</f>
        <v/>
      </c>
      <c r="S1523" s="28">
        <v>7.0220682600000001E-3</v>
      </c>
      <c r="T1523" s="315">
        <f>_xlfn.MAXIFS('Raw Period DMR Data'!$O:$O,'Raw Period DMR Data'!$A:$A,'Raw Annual DMR Data_2021-2024'!#REF!,'Raw Period DMR Data'!$C:$C,X1523)/S1523</f>
        <v>0</v>
      </c>
      <c r="U1523" s="28" t="str">
        <f>+IF(COUNTIFS('Raw Period DMR Data'!$A:$A,B1523,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23" s="28" t="str" cm="1">
        <f t="array" ref="V1523">IFERROR(INDEX('Raw Period DMR Data'!N:N,MATCH(1,(B1523='Raw Period DMR Data'!$A:$A)*(U1523='Raw Period DMR Data'!M:M)*(X1523='Raw Period DMR Data'!C:C),0),1), "N/A")</f>
        <v>N/A</v>
      </c>
      <c r="W1523" s="28" t="s">
        <v>1463</v>
      </c>
      <c r="X1523" s="28" t="s">
        <v>1567</v>
      </c>
      <c r="Y1523" s="28" t="s">
        <v>1568</v>
      </c>
      <c r="Z1523" s="61">
        <v>1090001000111</v>
      </c>
      <c r="AB1523" s="28" t="s">
        <v>7355</v>
      </c>
      <c r="AC1523" s="28" t="s">
        <v>1466</v>
      </c>
    </row>
    <row r="1524" spans="1:29" x14ac:dyDescent="0.25">
      <c r="A1524" s="61">
        <v>110059344473</v>
      </c>
      <c r="B1524" s="28">
        <v>2024</v>
      </c>
      <c r="C1524" s="68">
        <f t="shared" si="24"/>
        <v>45292</v>
      </c>
      <c r="D1524" s="28" t="s">
        <v>6820</v>
      </c>
      <c r="E1524" s="28" t="s">
        <v>2070</v>
      </c>
      <c r="F1524" s="28" t="s">
        <v>1267</v>
      </c>
      <c r="G1524" s="28" t="s">
        <v>491</v>
      </c>
      <c r="H1524" s="28" t="s">
        <v>6976</v>
      </c>
      <c r="I1524" s="28">
        <v>40.655278000000003</v>
      </c>
      <c r="J1524" s="28">
        <v>-80.356388999999993</v>
      </c>
      <c r="K1524" s="28" t="s">
        <v>728</v>
      </c>
      <c r="L1524" s="61">
        <v>110059344473</v>
      </c>
      <c r="M1524" s="28" t="s">
        <v>265</v>
      </c>
      <c r="N1524" s="28">
        <v>2821</v>
      </c>
      <c r="O1524" s="28" t="str">
        <f>IFERROR(VLOOKUP(N1524, 'SIC &amp; NAICS Codes'!A:B, 2, FALSE), "")</f>
        <v>Plastics Materials, Synthetic and Resins, and Nonvulcanizable Elastomers</v>
      </c>
      <c r="S1524" s="28">
        <v>0.66283999999999998</v>
      </c>
      <c r="T1524" s="315">
        <f>_xlfn.MAXIFS('Raw Period DMR Data'!$O:$O,'Raw Period DMR Data'!$A:$A,'Raw Annual DMR Data_2021-2024'!#REF!,'Raw Period DMR Data'!$C:$C,X1524)/S1524</f>
        <v>0</v>
      </c>
      <c r="U1524" s="28" t="str">
        <f>+IF(COUNTIFS('Raw Period DMR Data'!$A:$A,B1524,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24" s="28" t="str" cm="1">
        <f t="array" ref="V1524">IFERROR(INDEX('Raw Period DMR Data'!N:N,MATCH(1,(B1524='Raw Period DMR Data'!$A:$A)*(U1524='Raw Period DMR Data'!M:M)*(X1524='Raw Period DMR Data'!C:C),0),1), "N/A")</f>
        <v>N/A</v>
      </c>
      <c r="W1524" s="28" t="s">
        <v>1463</v>
      </c>
      <c r="X1524" s="28" t="s">
        <v>2071</v>
      </c>
      <c r="Y1524" s="28" t="s">
        <v>2072</v>
      </c>
      <c r="Z1524" s="61">
        <v>5030101000019</v>
      </c>
      <c r="AB1524" s="28" t="s">
        <v>7355</v>
      </c>
      <c r="AC1524" s="28" t="s">
        <v>1466</v>
      </c>
    </row>
    <row r="1525" spans="1:29" x14ac:dyDescent="0.25">
      <c r="A1525" s="61">
        <v>110059344473</v>
      </c>
      <c r="B1525" s="28">
        <v>2022</v>
      </c>
      <c r="C1525" s="68">
        <f t="shared" si="24"/>
        <v>44562</v>
      </c>
      <c r="D1525" s="28" t="s">
        <v>6820</v>
      </c>
      <c r="E1525" s="28" t="s">
        <v>2070</v>
      </c>
      <c r="F1525" s="28" t="s">
        <v>1267</v>
      </c>
      <c r="G1525" s="28" t="s">
        <v>491</v>
      </c>
      <c r="H1525" s="28" t="s">
        <v>6976</v>
      </c>
      <c r="I1525" s="28">
        <v>40.655278000000003</v>
      </c>
      <c r="J1525" s="28">
        <v>-80.356388999999993</v>
      </c>
      <c r="K1525" s="28" t="s">
        <v>728</v>
      </c>
      <c r="L1525" s="61">
        <v>110059344473</v>
      </c>
      <c r="M1525" s="28" t="s">
        <v>265</v>
      </c>
      <c r="N1525" s="28">
        <v>2821</v>
      </c>
      <c r="O1525" s="28" t="str">
        <f>IFERROR(VLOOKUP(N1525, 'SIC &amp; NAICS Codes'!A:B, 2, FALSE), "")</f>
        <v>Plastics Materials, Synthetic and Resins, and Nonvulcanizable Elastomers</v>
      </c>
      <c r="S1525" s="28">
        <v>0.57998499999999997</v>
      </c>
      <c r="T1525" s="315">
        <f>_xlfn.MAXIFS('Raw Period DMR Data'!$O:$O,'Raw Period DMR Data'!$A:$A,'Raw Annual DMR Data_2021-2024'!#REF!,'Raw Period DMR Data'!$C:$C,X1525)/S1525</f>
        <v>0</v>
      </c>
      <c r="U1525" s="28" t="str">
        <f>+IF(COUNTIFS('Raw Period DMR Data'!$A:$A,B1525,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25" s="28" t="str" cm="1">
        <f t="array" ref="V1525">IFERROR(INDEX('Raw Period DMR Data'!N:N,MATCH(1,(B1525='Raw Period DMR Data'!$A:$A)*(U1525='Raw Period DMR Data'!M:M)*(X1525='Raw Period DMR Data'!C:C),0),1), "N/A")</f>
        <v>N/A</v>
      </c>
      <c r="W1525" s="28" t="s">
        <v>1463</v>
      </c>
      <c r="X1525" s="28" t="s">
        <v>2071</v>
      </c>
      <c r="Y1525" s="28" t="s">
        <v>2072</v>
      </c>
      <c r="Z1525" s="61">
        <v>5030101000019</v>
      </c>
      <c r="AB1525" s="28" t="s">
        <v>7355</v>
      </c>
      <c r="AC1525" s="28" t="s">
        <v>1466</v>
      </c>
    </row>
    <row r="1526" spans="1:29" x14ac:dyDescent="0.25">
      <c r="A1526" s="61">
        <v>110059344473</v>
      </c>
      <c r="B1526" s="28">
        <v>2021</v>
      </c>
      <c r="C1526" s="68">
        <f t="shared" si="24"/>
        <v>44197</v>
      </c>
      <c r="D1526" s="28" t="s">
        <v>6820</v>
      </c>
      <c r="E1526" s="28" t="s">
        <v>2070</v>
      </c>
      <c r="F1526" s="28" t="s">
        <v>1267</v>
      </c>
      <c r="G1526" s="28" t="s">
        <v>491</v>
      </c>
      <c r="H1526" s="28" t="s">
        <v>6976</v>
      </c>
      <c r="I1526" s="28">
        <v>40.655278000000003</v>
      </c>
      <c r="J1526" s="28">
        <v>-80.356388999999993</v>
      </c>
      <c r="K1526" s="28" t="s">
        <v>728</v>
      </c>
      <c r="L1526" s="61">
        <v>110059344473</v>
      </c>
      <c r="M1526" s="28" t="s">
        <v>265</v>
      </c>
      <c r="N1526" s="28">
        <v>2821</v>
      </c>
      <c r="O1526" s="28" t="str">
        <f>IFERROR(VLOOKUP(N1526, 'SIC &amp; NAICS Codes'!A:B, 2, FALSE), "")</f>
        <v>Plastics Materials, Synthetic and Resins, and Nonvulcanizable Elastomers</v>
      </c>
      <c r="S1526" s="28">
        <v>0.49713000000000002</v>
      </c>
      <c r="T1526" s="315">
        <f>_xlfn.MAXIFS('Raw Period DMR Data'!$O:$O,'Raw Period DMR Data'!$A:$A,'Raw Annual DMR Data_2021-2024'!#REF!,'Raw Period DMR Data'!$C:$C,X1526)/S1526</f>
        <v>0</v>
      </c>
      <c r="U1526" s="28" t="str">
        <f>+IF(COUNTIFS('Raw Period DMR Data'!$A:$A,B1526,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26" s="28" t="str" cm="1">
        <f t="array" ref="V1526">IFERROR(INDEX('Raw Period DMR Data'!N:N,MATCH(1,(B1526='Raw Period DMR Data'!$A:$A)*(U1526='Raw Period DMR Data'!M:M)*(X1526='Raw Period DMR Data'!C:C),0),1), "N/A")</f>
        <v>N/A</v>
      </c>
      <c r="W1526" s="28" t="s">
        <v>1463</v>
      </c>
      <c r="X1526" s="28" t="s">
        <v>2071</v>
      </c>
      <c r="Y1526" s="28" t="s">
        <v>2072</v>
      </c>
      <c r="Z1526" s="61">
        <v>5030101000019</v>
      </c>
      <c r="AA1526" s="28"/>
      <c r="AB1526" s="28" t="s">
        <v>7355</v>
      </c>
      <c r="AC1526" s="28" t="s">
        <v>1466</v>
      </c>
    </row>
    <row r="1527" spans="1:29" x14ac:dyDescent="0.25">
      <c r="A1527" s="61">
        <v>110059344473</v>
      </c>
      <c r="B1527" s="28">
        <v>2023</v>
      </c>
      <c r="C1527" s="68">
        <f t="shared" si="24"/>
        <v>44927</v>
      </c>
      <c r="D1527" s="28" t="s">
        <v>6820</v>
      </c>
      <c r="E1527" s="28" t="s">
        <v>2070</v>
      </c>
      <c r="F1527" s="28" t="s">
        <v>1267</v>
      </c>
      <c r="G1527" s="28" t="s">
        <v>491</v>
      </c>
      <c r="H1527" s="28" t="s">
        <v>6976</v>
      </c>
      <c r="I1527" s="28">
        <v>40.655278000000003</v>
      </c>
      <c r="J1527" s="28">
        <v>-80.356388999999993</v>
      </c>
      <c r="K1527" s="28" t="s">
        <v>728</v>
      </c>
      <c r="L1527" s="61">
        <v>110059344473</v>
      </c>
      <c r="M1527" s="28" t="s">
        <v>265</v>
      </c>
      <c r="N1527" s="28">
        <v>2821</v>
      </c>
      <c r="O1527" s="28" t="str">
        <f>IFERROR(VLOOKUP(N1527, 'SIC &amp; NAICS Codes'!A:B, 2, FALSE), "")</f>
        <v>Plastics Materials, Synthetic and Resins, and Nonvulcanizable Elastomers</v>
      </c>
      <c r="S1527" s="28">
        <v>0.49713000000000002</v>
      </c>
      <c r="T1527" s="315">
        <f>_xlfn.MAXIFS('Raw Period DMR Data'!$O:$O,'Raw Period DMR Data'!$A:$A,'Raw Annual DMR Data_2021-2024'!#REF!,'Raw Period DMR Data'!$C:$C,X1527)/S1527</f>
        <v>0</v>
      </c>
      <c r="U1527" s="28" t="str">
        <f>+IF(COUNTIFS('Raw Period DMR Data'!$A:$A,B1527,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27" s="28" t="str" cm="1">
        <f t="array" ref="V1527">IFERROR(INDEX('Raw Period DMR Data'!N:N,MATCH(1,(B1527='Raw Period DMR Data'!$A:$A)*(U1527='Raw Period DMR Data'!M:M)*(X1527='Raw Period DMR Data'!C:C),0),1), "N/A")</f>
        <v>N/A</v>
      </c>
      <c r="W1527" s="28" t="s">
        <v>1463</v>
      </c>
      <c r="X1527" s="28" t="s">
        <v>2071</v>
      </c>
      <c r="Y1527" s="28" t="s">
        <v>2072</v>
      </c>
      <c r="Z1527" s="61" t="s">
        <v>2073</v>
      </c>
      <c r="AB1527" s="28" t="s">
        <v>7355</v>
      </c>
      <c r="AC1527" s="28" t="s">
        <v>1466</v>
      </c>
    </row>
    <row r="1528" spans="1:29" x14ac:dyDescent="0.25">
      <c r="A1528" s="61">
        <v>110000339027</v>
      </c>
      <c r="B1528" s="28">
        <v>2021</v>
      </c>
      <c r="C1528" s="68">
        <f t="shared" si="24"/>
        <v>44197</v>
      </c>
      <c r="D1528" s="28" t="s">
        <v>6841</v>
      </c>
      <c r="E1528" s="28" t="s">
        <v>1913</v>
      </c>
      <c r="F1528" s="28" t="s">
        <v>1187</v>
      </c>
      <c r="G1528" s="28" t="s">
        <v>478</v>
      </c>
      <c r="H1528" s="28" t="s">
        <v>6997</v>
      </c>
      <c r="I1528" s="28">
        <v>38.631867</v>
      </c>
      <c r="J1528" s="28">
        <v>-75.628372999999996</v>
      </c>
      <c r="L1528" s="61">
        <v>110000339027</v>
      </c>
      <c r="M1528" s="28" t="s">
        <v>253</v>
      </c>
      <c r="N1528" s="28">
        <v>2821</v>
      </c>
      <c r="O1528" s="28" t="str">
        <f>IFERROR(VLOOKUP(N1528, 'SIC &amp; NAICS Codes'!A:B, 2, FALSE), "")</f>
        <v>Plastics Materials, Synthetic and Resins, and Nonvulcanizable Elastomers</v>
      </c>
      <c r="S1528" s="28">
        <v>3.5185000000000001E-4</v>
      </c>
      <c r="T1528" s="315">
        <f>_xlfn.MAXIFS('Raw Period DMR Data'!$O:$O,'Raw Period DMR Data'!$A:$A,'Raw Annual DMR Data_2021-2024'!#REF!,'Raw Period DMR Data'!$C:$C,X1528)/S1528</f>
        <v>0</v>
      </c>
      <c r="U1528" s="28" t="str">
        <f>+IF(COUNTIFS('Raw Period DMR Data'!$A:$A,B1528,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28" s="28" t="str" cm="1">
        <f t="array" ref="V1528">IFERROR(INDEX('Raw Period DMR Data'!N:N,MATCH(1,(B1528='Raw Period DMR Data'!$A:$A)*(U1528='Raw Period DMR Data'!M:M)*(X1528='Raw Period DMR Data'!C:C),0),1), "N/A")</f>
        <v>N/A</v>
      </c>
      <c r="W1528" s="28" t="s">
        <v>1463</v>
      </c>
      <c r="X1528" s="28" t="s">
        <v>1914</v>
      </c>
      <c r="Y1528" s="28" t="s">
        <v>1915</v>
      </c>
      <c r="Z1528" s="61">
        <v>2080109011489</v>
      </c>
      <c r="AA1528" s="28"/>
      <c r="AB1528" s="28" t="s">
        <v>7355</v>
      </c>
      <c r="AC1528" s="28" t="s">
        <v>1466</v>
      </c>
    </row>
    <row r="1529" spans="1:29" x14ac:dyDescent="0.25">
      <c r="A1529" s="61">
        <v>110015972562</v>
      </c>
      <c r="B1529" s="28">
        <v>2022</v>
      </c>
      <c r="C1529" s="68">
        <f t="shared" si="24"/>
        <v>44562</v>
      </c>
      <c r="D1529" s="28" t="s">
        <v>1021</v>
      </c>
      <c r="E1529" s="28" t="s">
        <v>1571</v>
      </c>
      <c r="F1529" s="28" t="s">
        <v>657</v>
      </c>
      <c r="G1529" s="28" t="s">
        <v>418</v>
      </c>
      <c r="H1529" s="28">
        <v>89109</v>
      </c>
      <c r="I1529" s="28">
        <v>36.119087999999998</v>
      </c>
      <c r="J1529" s="28">
        <v>-115.179282</v>
      </c>
      <c r="L1529" s="61">
        <v>110015972562</v>
      </c>
      <c r="M1529" s="28" t="s">
        <v>264</v>
      </c>
      <c r="N1529" s="28">
        <v>7011</v>
      </c>
      <c r="O1529" s="28" t="str">
        <f>IFERROR(VLOOKUP(N1529, 'SIC &amp; NAICS Codes'!A:B, 2, FALSE), "")</f>
        <v>Hotels and Motels (hotels, except casino hotels, and motels)</v>
      </c>
      <c r="S1529" s="28">
        <v>0.2241765700875</v>
      </c>
      <c r="T1529" s="315">
        <f>_xlfn.MAXIFS('Raw Period DMR Data'!$O:$O,'Raw Period DMR Data'!$A:$A,'Raw Annual DMR Data_2021-2024'!#REF!,'Raw Period DMR Data'!$C:$C,X1529)/S1529</f>
        <v>0</v>
      </c>
      <c r="U1529" s="28" t="str">
        <f>+IF(COUNTIFS('Raw Period DMR Data'!$A:$A,B1529,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29" s="28" t="str" cm="1">
        <f t="array" ref="V1529">IFERROR(INDEX('Raw Period DMR Data'!N:N,MATCH(1,(B1529='Raw Period DMR Data'!$A:$A)*(U1529='Raw Period DMR Data'!M:M)*(X1529='Raw Period DMR Data'!C:C),0),1), "N/A")</f>
        <v>N/A</v>
      </c>
      <c r="W1529" s="28" t="s">
        <v>1463</v>
      </c>
      <c r="X1529" s="28" t="s">
        <v>1572</v>
      </c>
      <c r="Y1529" s="28" t="s">
        <v>1573</v>
      </c>
      <c r="Z1529" s="61">
        <v>15010015000432</v>
      </c>
      <c r="AB1529" s="28" t="s">
        <v>7355</v>
      </c>
      <c r="AC1529" s="28" t="s">
        <v>1466</v>
      </c>
    </row>
    <row r="1530" spans="1:29" x14ac:dyDescent="0.25">
      <c r="A1530" s="61">
        <v>110015972562</v>
      </c>
      <c r="B1530" s="28">
        <v>2021</v>
      </c>
      <c r="C1530" s="68">
        <f t="shared" si="24"/>
        <v>44197</v>
      </c>
      <c r="D1530" s="28" t="s">
        <v>1021</v>
      </c>
      <c r="E1530" s="28" t="s">
        <v>1571</v>
      </c>
      <c r="F1530" s="28" t="s">
        <v>657</v>
      </c>
      <c r="G1530" s="28" t="s">
        <v>418</v>
      </c>
      <c r="H1530" s="28">
        <v>89109</v>
      </c>
      <c r="I1530" s="28">
        <v>36.119087999999998</v>
      </c>
      <c r="J1530" s="28">
        <v>-115.179282</v>
      </c>
      <c r="L1530" s="61">
        <v>110015972562</v>
      </c>
      <c r="M1530" s="28" t="s">
        <v>264</v>
      </c>
      <c r="N1530" s="28">
        <v>7011</v>
      </c>
      <c r="O1530" s="28" t="str">
        <f>IFERROR(VLOOKUP(N1530, 'SIC &amp; NAICS Codes'!A:B, 2, FALSE), "")</f>
        <v>Hotels and Motels (hotels, except casino hotels, and motels)</v>
      </c>
      <c r="S1530" s="28">
        <v>0.16047586224999999</v>
      </c>
      <c r="T1530" s="315">
        <f>_xlfn.MAXIFS('Raw Period DMR Data'!$O:$O,'Raw Period DMR Data'!$A:$A,'Raw Annual DMR Data_2021-2024'!#REF!,'Raw Period DMR Data'!$C:$C,X1530)/S1530</f>
        <v>0</v>
      </c>
      <c r="U1530" s="28" t="str">
        <f>+IF(COUNTIFS('Raw Period DMR Data'!$A:$A,B1530,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30" s="28" t="str" cm="1">
        <f t="array" ref="V1530">IFERROR(INDEX('Raw Period DMR Data'!N:N,MATCH(1,(B1530='Raw Period DMR Data'!$A:$A)*(U1530='Raw Period DMR Data'!M:M)*(X1530='Raw Period DMR Data'!C:C),0),1), "N/A")</f>
        <v>N/A</v>
      </c>
      <c r="W1530" s="28" t="s">
        <v>1463</v>
      </c>
      <c r="X1530" s="28" t="s">
        <v>1572</v>
      </c>
      <c r="Y1530" s="28" t="s">
        <v>1573</v>
      </c>
      <c r="Z1530" s="61">
        <v>15010015000432</v>
      </c>
      <c r="AA1530" s="28"/>
      <c r="AB1530" s="28" t="s">
        <v>7355</v>
      </c>
      <c r="AC1530" s="28" t="s">
        <v>1466</v>
      </c>
    </row>
    <row r="1531" spans="1:29" x14ac:dyDescent="0.25">
      <c r="A1531" s="61">
        <v>110015972562</v>
      </c>
      <c r="B1531" s="28">
        <v>2023</v>
      </c>
      <c r="C1531" s="68">
        <f t="shared" si="24"/>
        <v>44927</v>
      </c>
      <c r="D1531" s="28" t="s">
        <v>1021</v>
      </c>
      <c r="E1531" s="28" t="s">
        <v>1571</v>
      </c>
      <c r="F1531" s="28" t="s">
        <v>657</v>
      </c>
      <c r="G1531" s="28" t="s">
        <v>418</v>
      </c>
      <c r="H1531" s="28">
        <v>89109</v>
      </c>
      <c r="I1531" s="28">
        <v>36.119087999999998</v>
      </c>
      <c r="J1531" s="28">
        <v>-115.179282</v>
      </c>
      <c r="L1531" s="61">
        <v>110015972562</v>
      </c>
      <c r="M1531" s="28" t="s">
        <v>264</v>
      </c>
      <c r="N1531" s="28">
        <v>7011</v>
      </c>
      <c r="O1531" s="28" t="str">
        <f>IFERROR(VLOOKUP(N1531, 'SIC &amp; NAICS Codes'!A:B, 2, FALSE), "")</f>
        <v>Hotels and Motels (hotels, except casino hotels, and motels)</v>
      </c>
      <c r="S1531" s="28">
        <v>0.1119060893375</v>
      </c>
      <c r="T1531" s="315">
        <f>_xlfn.MAXIFS('Raw Period DMR Data'!$O:$O,'Raw Period DMR Data'!$A:$A,'Raw Annual DMR Data_2021-2024'!#REF!,'Raw Period DMR Data'!$C:$C,X1531)/S1531</f>
        <v>0</v>
      </c>
      <c r="U1531" s="28" t="str">
        <f>+IF(COUNTIFS('Raw Period DMR Data'!$A:$A,B1531,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31" s="28" t="str" cm="1">
        <f t="array" ref="V1531">IFERROR(INDEX('Raw Period DMR Data'!N:N,MATCH(1,(B1531='Raw Period DMR Data'!$A:$A)*(U1531='Raw Period DMR Data'!M:M)*(X1531='Raw Period DMR Data'!C:C),0),1), "N/A")</f>
        <v>N/A</v>
      </c>
      <c r="W1531" s="28" t="s">
        <v>1463</v>
      </c>
      <c r="X1531" s="28" t="s">
        <v>1572</v>
      </c>
      <c r="Y1531" s="28" t="s">
        <v>1573</v>
      </c>
      <c r="Z1531" s="61">
        <v>15010015000432</v>
      </c>
      <c r="AB1531" s="28" t="s">
        <v>7355</v>
      </c>
      <c r="AC1531" s="28" t="s">
        <v>1466</v>
      </c>
    </row>
    <row r="1532" spans="1:29" x14ac:dyDescent="0.25">
      <c r="A1532" s="61">
        <v>110015972562</v>
      </c>
      <c r="B1532" s="28">
        <v>2023</v>
      </c>
      <c r="C1532" s="68">
        <f t="shared" si="24"/>
        <v>44927</v>
      </c>
      <c r="D1532" s="28" t="s">
        <v>1021</v>
      </c>
      <c r="E1532" s="28" t="s">
        <v>1571</v>
      </c>
      <c r="F1532" s="28" t="s">
        <v>657</v>
      </c>
      <c r="G1532" s="28" t="s">
        <v>418</v>
      </c>
      <c r="H1532" s="28">
        <v>89109</v>
      </c>
      <c r="I1532" s="28">
        <v>36.119087999999998</v>
      </c>
      <c r="J1532" s="28">
        <v>-115.179282</v>
      </c>
      <c r="L1532" s="61">
        <v>110015972562</v>
      </c>
      <c r="M1532" s="28" t="s">
        <v>264</v>
      </c>
      <c r="N1532" s="28">
        <v>7011</v>
      </c>
      <c r="O1532" s="28" t="str">
        <f>IFERROR(VLOOKUP(N1532, 'SIC &amp; NAICS Codes'!A:B, 2, FALSE), "")</f>
        <v>Hotels and Motels (hotels, except casino hotels, and motels)</v>
      </c>
      <c r="S1532" s="28">
        <v>5.3379590050000002E-2</v>
      </c>
      <c r="T1532" s="315">
        <f>_xlfn.MAXIFS('Raw Period DMR Data'!$O:$O,'Raw Period DMR Data'!$A:$A,'Raw Annual DMR Data_2021-2024'!#REF!,'Raw Period DMR Data'!$C:$C,X1532)/S1532</f>
        <v>0</v>
      </c>
      <c r="U1532" s="28" t="str">
        <f>+IF(COUNTIFS('Raw Period DMR Data'!$A:$A,B1532,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32" s="28" t="str" cm="1">
        <f t="array" ref="V1532">IFERROR(INDEX('Raw Period DMR Data'!N:N,MATCH(1,(B1532='Raw Period DMR Data'!$A:$A)*(U1532='Raw Period DMR Data'!M:M)*(X1532='Raw Period DMR Data'!C:C),0),1), "N/A")</f>
        <v>N/A</v>
      </c>
      <c r="W1532" s="28" t="s">
        <v>1463</v>
      </c>
      <c r="X1532" s="28" t="s">
        <v>1572</v>
      </c>
      <c r="Y1532" s="28" t="s">
        <v>1573</v>
      </c>
      <c r="Z1532" s="61">
        <v>15010015000432</v>
      </c>
      <c r="AB1532" s="28" t="s">
        <v>7355</v>
      </c>
      <c r="AC1532" s="28" t="s">
        <v>1466</v>
      </c>
    </row>
    <row r="1533" spans="1:29" x14ac:dyDescent="0.25">
      <c r="A1533" s="61">
        <v>110015972562</v>
      </c>
      <c r="B1533" s="28">
        <v>2024</v>
      </c>
      <c r="C1533" s="68">
        <f t="shared" si="24"/>
        <v>45292</v>
      </c>
      <c r="D1533" s="28" t="s">
        <v>1021</v>
      </c>
      <c r="E1533" s="28" t="s">
        <v>1571</v>
      </c>
      <c r="F1533" s="28" t="s">
        <v>657</v>
      </c>
      <c r="G1533" s="28" t="s">
        <v>418</v>
      </c>
      <c r="H1533" s="28">
        <v>89109</v>
      </c>
      <c r="I1533" s="28">
        <v>36.119087999999998</v>
      </c>
      <c r="J1533" s="28">
        <v>-115.179282</v>
      </c>
      <c r="L1533" s="61">
        <v>110015972562</v>
      </c>
      <c r="M1533" s="28" t="s">
        <v>264</v>
      </c>
      <c r="N1533" s="28">
        <v>7011</v>
      </c>
      <c r="O1533" s="28" t="str">
        <f>IFERROR(VLOOKUP(N1533, 'SIC &amp; NAICS Codes'!A:B, 2, FALSE), "")</f>
        <v>Hotels and Motels (hotels, except casino hotels, and motels)</v>
      </c>
      <c r="S1533" s="28">
        <v>4.2851215125000001E-2</v>
      </c>
      <c r="T1533" s="315">
        <f>_xlfn.MAXIFS('Raw Period DMR Data'!$O:$O,'Raw Period DMR Data'!$A:$A,'Raw Annual DMR Data_2021-2024'!#REF!,'Raw Period DMR Data'!$C:$C,X1533)/S1533</f>
        <v>0</v>
      </c>
      <c r="U1533" s="28" t="str">
        <f>+IF(COUNTIFS('Raw Period DMR Data'!$A:$A,B1533,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33" s="28" t="str" cm="1">
        <f t="array" ref="V1533">IFERROR(INDEX('Raw Period DMR Data'!N:N,MATCH(1,(B1533='Raw Period DMR Data'!$A:$A)*(U1533='Raw Period DMR Data'!M:M)*(X1533='Raw Period DMR Data'!C:C),0),1), "N/A")</f>
        <v>N/A</v>
      </c>
      <c r="W1533" s="28" t="s">
        <v>1463</v>
      </c>
      <c r="X1533" s="28" t="s">
        <v>1572</v>
      </c>
      <c r="Y1533" s="28" t="s">
        <v>1573</v>
      </c>
      <c r="Z1533" s="61">
        <v>15010015000432</v>
      </c>
      <c r="AB1533" s="28" t="s">
        <v>7355</v>
      </c>
      <c r="AC1533" s="28" t="s">
        <v>1466</v>
      </c>
    </row>
    <row r="1534" spans="1:29" x14ac:dyDescent="0.25">
      <c r="A1534" s="61">
        <v>110015972562</v>
      </c>
      <c r="B1534" s="28">
        <v>2021</v>
      </c>
      <c r="C1534" s="68">
        <f t="shared" si="24"/>
        <v>44197</v>
      </c>
      <c r="D1534" s="28" t="s">
        <v>1021</v>
      </c>
      <c r="E1534" s="28" t="s">
        <v>1571</v>
      </c>
      <c r="F1534" s="28" t="s">
        <v>657</v>
      </c>
      <c r="G1534" s="28" t="s">
        <v>418</v>
      </c>
      <c r="H1534" s="28">
        <v>89109</v>
      </c>
      <c r="I1534" s="28">
        <v>36.119087999999998</v>
      </c>
      <c r="J1534" s="28">
        <v>-115.179282</v>
      </c>
      <c r="L1534" s="61">
        <v>110015972562</v>
      </c>
      <c r="M1534" s="28" t="s">
        <v>264</v>
      </c>
      <c r="N1534" s="28">
        <v>7011</v>
      </c>
      <c r="O1534" s="28" t="str">
        <f>IFERROR(VLOOKUP(N1534, 'SIC &amp; NAICS Codes'!A:B, 2, FALSE), "")</f>
        <v>Hotels and Motels (hotels, except casino hotels, and motels)</v>
      </c>
      <c r="S1534" s="28">
        <v>4.0748288049999998E-2</v>
      </c>
      <c r="T1534" s="315">
        <f>_xlfn.MAXIFS('Raw Period DMR Data'!$O:$O,'Raw Period DMR Data'!$A:$A,'Raw Annual DMR Data_2021-2024'!#REF!,'Raw Period DMR Data'!$C:$C,X1534)/S1534</f>
        <v>0</v>
      </c>
      <c r="U1534" s="28" t="str">
        <f>+IF(COUNTIFS('Raw Period DMR Data'!$A:$A,B1534,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34" s="28" t="str" cm="1">
        <f t="array" ref="V1534">IFERROR(INDEX('Raw Period DMR Data'!N:N,MATCH(1,(B1534='Raw Period DMR Data'!$A:$A)*(U1534='Raw Period DMR Data'!M:M)*(X1534='Raw Period DMR Data'!C:C),0),1), "N/A")</f>
        <v>N/A</v>
      </c>
      <c r="W1534" s="28" t="s">
        <v>1463</v>
      </c>
      <c r="X1534" s="28" t="s">
        <v>1572</v>
      </c>
      <c r="Y1534" s="28" t="s">
        <v>1573</v>
      </c>
      <c r="Z1534" s="61">
        <v>15010015000432</v>
      </c>
      <c r="AA1534" s="28"/>
      <c r="AB1534" s="28" t="s">
        <v>7355</v>
      </c>
      <c r="AC1534" s="28" t="s">
        <v>1466</v>
      </c>
    </row>
    <row r="1535" spans="1:29" x14ac:dyDescent="0.25">
      <c r="A1535" s="61">
        <v>110015972562</v>
      </c>
      <c r="B1535" s="28">
        <v>2022</v>
      </c>
      <c r="C1535" s="68">
        <f t="shared" si="24"/>
        <v>44562</v>
      </c>
      <c r="D1535" s="28" t="s">
        <v>1021</v>
      </c>
      <c r="E1535" s="28" t="s">
        <v>1571</v>
      </c>
      <c r="F1535" s="28" t="s">
        <v>657</v>
      </c>
      <c r="G1535" s="28" t="s">
        <v>418</v>
      </c>
      <c r="H1535" s="28">
        <v>89109</v>
      </c>
      <c r="I1535" s="28">
        <v>36.119087999999998</v>
      </c>
      <c r="J1535" s="28">
        <v>-115.179282</v>
      </c>
      <c r="L1535" s="61">
        <v>110015972562</v>
      </c>
      <c r="M1535" s="28" t="s">
        <v>264</v>
      </c>
      <c r="N1535" s="28">
        <v>7011</v>
      </c>
      <c r="O1535" s="28" t="str">
        <f>IFERROR(VLOOKUP(N1535, 'SIC &amp; NAICS Codes'!A:B, 2, FALSE), "")</f>
        <v>Hotels and Motels (hotels, except casino hotels, and motels)</v>
      </c>
      <c r="S1535" s="28">
        <v>4.0211281712499998E-2</v>
      </c>
      <c r="T1535" s="315">
        <f>_xlfn.MAXIFS('Raw Period DMR Data'!$O:$O,'Raw Period DMR Data'!$A:$A,'Raw Annual DMR Data_2021-2024'!#REF!,'Raw Period DMR Data'!$C:$C,X1535)/S1535</f>
        <v>0</v>
      </c>
      <c r="U1535" s="28" t="str">
        <f>+IF(COUNTIFS('Raw Period DMR Data'!$A:$A,B1535,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35" s="28" t="str" cm="1">
        <f t="array" ref="V1535">IFERROR(INDEX('Raw Period DMR Data'!N:N,MATCH(1,(B1535='Raw Period DMR Data'!$A:$A)*(U1535='Raw Period DMR Data'!M:M)*(X1535='Raw Period DMR Data'!C:C),0),1), "N/A")</f>
        <v>N/A</v>
      </c>
      <c r="W1535" s="28" t="s">
        <v>1463</v>
      </c>
      <c r="X1535" s="28" t="s">
        <v>1572</v>
      </c>
      <c r="Y1535" s="28" t="s">
        <v>1573</v>
      </c>
      <c r="Z1535" s="61">
        <v>15010015000432</v>
      </c>
      <c r="AB1535" s="28" t="s">
        <v>7355</v>
      </c>
      <c r="AC1535" s="28" t="s">
        <v>1466</v>
      </c>
    </row>
    <row r="1536" spans="1:29" x14ac:dyDescent="0.25">
      <c r="A1536" s="61">
        <v>110015972562</v>
      </c>
      <c r="B1536" s="28">
        <v>2024</v>
      </c>
      <c r="C1536" s="68">
        <f t="shared" si="24"/>
        <v>45292</v>
      </c>
      <c r="D1536" s="28" t="s">
        <v>1021</v>
      </c>
      <c r="E1536" s="28" t="s">
        <v>1571</v>
      </c>
      <c r="F1536" s="28" t="s">
        <v>657</v>
      </c>
      <c r="G1536" s="28" t="s">
        <v>418</v>
      </c>
      <c r="H1536" s="28">
        <v>89109</v>
      </c>
      <c r="I1536" s="28">
        <v>36.119087999999998</v>
      </c>
      <c r="J1536" s="28">
        <v>-115.179282</v>
      </c>
      <c r="L1536" s="61">
        <v>110015972562</v>
      </c>
      <c r="M1536" s="28" t="s">
        <v>264</v>
      </c>
      <c r="N1536" s="28">
        <v>7011</v>
      </c>
      <c r="O1536" s="28" t="str">
        <f>IFERROR(VLOOKUP(N1536, 'SIC &amp; NAICS Codes'!A:B, 2, FALSE), "")</f>
        <v>Hotels and Motels (hotels, except casino hotels, and motels)</v>
      </c>
      <c r="S1536" s="28">
        <v>1.4963902875000001E-2</v>
      </c>
      <c r="T1536" s="315">
        <f>_xlfn.MAXIFS('Raw Period DMR Data'!$O:$O,'Raw Period DMR Data'!$A:$A,'Raw Annual DMR Data_2021-2024'!#REF!,'Raw Period DMR Data'!$C:$C,X1536)/S1536</f>
        <v>0</v>
      </c>
      <c r="U1536" s="28" t="str">
        <f>+IF(COUNTIFS('Raw Period DMR Data'!$A:$A,B1536,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36" s="28" t="str" cm="1">
        <f t="array" ref="V1536">IFERROR(INDEX('Raw Period DMR Data'!N:N,MATCH(1,(B1536='Raw Period DMR Data'!$A:$A)*(U1536='Raw Period DMR Data'!M:M)*(X1536='Raw Period DMR Data'!C:C),0),1), "N/A")</f>
        <v>N/A</v>
      </c>
      <c r="W1536" s="28" t="s">
        <v>1463</v>
      </c>
      <c r="X1536" s="28" t="s">
        <v>1572</v>
      </c>
      <c r="Y1536" s="28" t="s">
        <v>1573</v>
      </c>
      <c r="Z1536" s="61">
        <v>15010015000432</v>
      </c>
      <c r="AB1536" s="28" t="s">
        <v>7355</v>
      </c>
      <c r="AC1536" s="28" t="s">
        <v>1466</v>
      </c>
    </row>
    <row r="1537" spans="1:29" x14ac:dyDescent="0.25">
      <c r="A1537" s="61">
        <v>110000730825</v>
      </c>
      <c r="B1537" s="28">
        <v>2024</v>
      </c>
      <c r="C1537" s="68">
        <f t="shared" si="24"/>
        <v>45292</v>
      </c>
      <c r="D1537" s="28" t="s">
        <v>1022</v>
      </c>
      <c r="E1537" s="28" t="s">
        <v>1574</v>
      </c>
      <c r="F1537" s="28" t="s">
        <v>1023</v>
      </c>
      <c r="G1537" s="28" t="s">
        <v>366</v>
      </c>
      <c r="H1537" s="28">
        <v>92231</v>
      </c>
      <c r="I1537" s="28">
        <v>32.664450000000002</v>
      </c>
      <c r="J1537" s="28">
        <v>-115.55970499999999</v>
      </c>
      <c r="L1537" s="61">
        <v>110000730825</v>
      </c>
      <c r="M1537" s="28" t="s">
        <v>263</v>
      </c>
      <c r="N1537" s="28">
        <v>4952</v>
      </c>
      <c r="O1537" s="28" t="str">
        <f>IFERROR(VLOOKUP(N1537, 'SIC &amp; NAICS Codes'!A:B, 2, FALSE), "")</f>
        <v>Sewerage Systems</v>
      </c>
      <c r="S1537" s="28">
        <v>0.173471186625</v>
      </c>
      <c r="T1537" s="315">
        <f>_xlfn.MAXIFS('Raw Period DMR Data'!$O:$O,'Raw Period DMR Data'!$A:$A,'Raw Annual DMR Data_2021-2024'!#REF!,'Raw Period DMR Data'!$C:$C,X1537)/S1537</f>
        <v>0</v>
      </c>
      <c r="U1537" s="28" t="str">
        <f>+IF(COUNTIFS('Raw Period DMR Data'!$A:$A,B1537,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37" s="28" t="str" cm="1">
        <f t="array" ref="V1537">IFERROR(INDEX('Raw Period DMR Data'!N:N,MATCH(1,(B1537='Raw Period DMR Data'!$A:$A)*(U1537='Raw Period DMR Data'!M:M)*(X1537='Raw Period DMR Data'!C:C),0),1), "N/A")</f>
        <v>N/A</v>
      </c>
      <c r="W1537" s="28" t="s">
        <v>1463</v>
      </c>
      <c r="X1537" s="28" t="s">
        <v>1575</v>
      </c>
      <c r="Y1537" s="28" t="s">
        <v>795</v>
      </c>
      <c r="Z1537" s="61">
        <v>18100204012549</v>
      </c>
      <c r="AB1537" s="28" t="s">
        <v>7355</v>
      </c>
      <c r="AC1537" s="28" t="s">
        <v>263</v>
      </c>
    </row>
    <row r="1538" spans="1:29" x14ac:dyDescent="0.25">
      <c r="A1538" s="61">
        <v>110000730825</v>
      </c>
      <c r="B1538" s="28">
        <v>2023</v>
      </c>
      <c r="C1538" s="68">
        <f t="shared" si="24"/>
        <v>44927</v>
      </c>
      <c r="D1538" s="28" t="s">
        <v>1022</v>
      </c>
      <c r="E1538" s="28" t="s">
        <v>1574</v>
      </c>
      <c r="F1538" s="28" t="s">
        <v>1023</v>
      </c>
      <c r="G1538" s="28" t="s">
        <v>366</v>
      </c>
      <c r="H1538" s="28">
        <v>92231</v>
      </c>
      <c r="I1538" s="28">
        <v>32.664450000000002</v>
      </c>
      <c r="J1538" s="28">
        <v>-115.55970499999999</v>
      </c>
      <c r="L1538" s="61">
        <v>110000730825</v>
      </c>
      <c r="M1538" s="28" t="s">
        <v>263</v>
      </c>
      <c r="N1538" s="28">
        <v>4952</v>
      </c>
      <c r="O1538" s="28" t="str">
        <f>IFERROR(VLOOKUP(N1538, 'SIC &amp; NAICS Codes'!A:B, 2, FALSE), "")</f>
        <v>Sewerage Systems</v>
      </c>
      <c r="S1538" s="28">
        <v>0.16944404125000001</v>
      </c>
      <c r="T1538" s="315">
        <f>_xlfn.MAXIFS('Raw Period DMR Data'!$O:$O,'Raw Period DMR Data'!$A:$A,'Raw Annual DMR Data_2021-2024'!#REF!,'Raw Period DMR Data'!$C:$C,X1538)/S1538</f>
        <v>0</v>
      </c>
      <c r="U1538" s="28" t="str">
        <f>+IF(COUNTIFS('Raw Period DMR Data'!$A:$A,B1538,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38" s="28" t="str" cm="1">
        <f t="array" ref="V1538">IFERROR(INDEX('Raw Period DMR Data'!N:N,MATCH(1,(B1538='Raw Period DMR Data'!$A:$A)*(U1538='Raw Period DMR Data'!M:M)*(X1538='Raw Period DMR Data'!C:C),0),1), "N/A")</f>
        <v>N/A</v>
      </c>
      <c r="W1538" s="28" t="s">
        <v>1463</v>
      </c>
      <c r="X1538" s="28" t="s">
        <v>1575</v>
      </c>
      <c r="Y1538" s="28" t="s">
        <v>795</v>
      </c>
      <c r="Z1538" s="61">
        <v>18100204012549</v>
      </c>
      <c r="AB1538" s="28" t="s">
        <v>7355</v>
      </c>
      <c r="AC1538" s="28" t="s">
        <v>263</v>
      </c>
    </row>
    <row r="1539" spans="1:29" x14ac:dyDescent="0.25">
      <c r="A1539" s="61">
        <v>110000730825</v>
      </c>
      <c r="B1539" s="28">
        <v>2021</v>
      </c>
      <c r="C1539" s="68">
        <f t="shared" si="24"/>
        <v>44197</v>
      </c>
      <c r="D1539" s="28" t="s">
        <v>1022</v>
      </c>
      <c r="E1539" s="28" t="s">
        <v>1574</v>
      </c>
      <c r="F1539" s="28" t="s">
        <v>1023</v>
      </c>
      <c r="G1539" s="28" t="s">
        <v>366</v>
      </c>
      <c r="H1539" s="28">
        <v>92231</v>
      </c>
      <c r="I1539" s="28">
        <v>32.664450000000002</v>
      </c>
      <c r="J1539" s="28">
        <v>-115.55970499999999</v>
      </c>
      <c r="L1539" s="61">
        <v>110000730825</v>
      </c>
      <c r="M1539" s="28" t="s">
        <v>263</v>
      </c>
      <c r="N1539" s="28">
        <v>4952</v>
      </c>
      <c r="O1539" s="28" t="str">
        <f>IFERROR(VLOOKUP(N1539, 'SIC &amp; NAICS Codes'!A:B, 2, FALSE), "")</f>
        <v>Sewerage Systems</v>
      </c>
      <c r="S1539" s="28">
        <v>0.142801331625</v>
      </c>
      <c r="T1539" s="315">
        <f>_xlfn.MAXIFS('Raw Period DMR Data'!$O:$O,'Raw Period DMR Data'!$A:$A,'Raw Annual DMR Data_2021-2024'!#REF!,'Raw Period DMR Data'!$C:$C,X1539)/S1539</f>
        <v>0</v>
      </c>
      <c r="U1539" s="28" t="str">
        <f>+IF(COUNTIFS('Raw Period DMR Data'!$A:$A,B1539,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39" s="28" t="str" cm="1">
        <f t="array" ref="V1539">IFERROR(INDEX('Raw Period DMR Data'!N:N,MATCH(1,(B1539='Raw Period DMR Data'!$A:$A)*(U1539='Raw Period DMR Data'!M:M)*(X1539='Raw Period DMR Data'!C:C),0),1), "N/A")</f>
        <v>N/A</v>
      </c>
      <c r="W1539" s="28" t="s">
        <v>1463</v>
      </c>
      <c r="X1539" s="28" t="s">
        <v>1575</v>
      </c>
      <c r="Y1539" s="28" t="s">
        <v>795</v>
      </c>
      <c r="Z1539" s="61">
        <v>18100204012549</v>
      </c>
      <c r="AA1539" s="28"/>
      <c r="AB1539" s="28" t="s">
        <v>7355</v>
      </c>
      <c r="AC1539" s="28" t="s">
        <v>263</v>
      </c>
    </row>
    <row r="1540" spans="1:29" x14ac:dyDescent="0.25">
      <c r="A1540" s="61">
        <v>110000730825</v>
      </c>
      <c r="B1540" s="28">
        <v>2022</v>
      </c>
      <c r="C1540" s="68">
        <f t="shared" si="24"/>
        <v>44562</v>
      </c>
      <c r="D1540" s="28" t="s">
        <v>1022</v>
      </c>
      <c r="E1540" s="28" t="s">
        <v>1574</v>
      </c>
      <c r="F1540" s="28" t="s">
        <v>1023</v>
      </c>
      <c r="G1540" s="28" t="s">
        <v>366</v>
      </c>
      <c r="H1540" s="28">
        <v>92231</v>
      </c>
      <c r="I1540" s="28">
        <v>32.664450000000002</v>
      </c>
      <c r="J1540" s="28">
        <v>-115.55970499999999</v>
      </c>
      <c r="L1540" s="61">
        <v>110000730825</v>
      </c>
      <c r="M1540" s="28" t="s">
        <v>263</v>
      </c>
      <c r="N1540" s="28">
        <v>4952</v>
      </c>
      <c r="O1540" s="28" t="str">
        <f>IFERROR(VLOOKUP(N1540, 'SIC &amp; NAICS Codes'!A:B, 2, FALSE), "")</f>
        <v>Sewerage Systems</v>
      </c>
      <c r="S1540" s="28">
        <v>0.13739266124999999</v>
      </c>
      <c r="T1540" s="315">
        <f>_xlfn.MAXIFS('Raw Period DMR Data'!$O:$O,'Raw Period DMR Data'!$A:$A,'Raw Annual DMR Data_2021-2024'!#REF!,'Raw Period DMR Data'!$C:$C,X1540)/S1540</f>
        <v>0</v>
      </c>
      <c r="U1540" s="28" t="str">
        <f>+IF(COUNTIFS('Raw Period DMR Data'!$A:$A,B1540,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40" s="28" t="str" cm="1">
        <f t="array" ref="V1540">IFERROR(INDEX('Raw Period DMR Data'!N:N,MATCH(1,(B1540='Raw Period DMR Data'!$A:$A)*(U1540='Raw Period DMR Data'!M:M)*(X1540='Raw Period DMR Data'!C:C),0),1), "N/A")</f>
        <v>N/A</v>
      </c>
      <c r="W1540" s="28" t="s">
        <v>1463</v>
      </c>
      <c r="X1540" s="28" t="s">
        <v>1575</v>
      </c>
      <c r="Y1540" s="28" t="s">
        <v>795</v>
      </c>
      <c r="Z1540" s="61">
        <v>18100204012549</v>
      </c>
      <c r="AB1540" s="28" t="s">
        <v>7355</v>
      </c>
      <c r="AC1540" s="28" t="s">
        <v>263</v>
      </c>
    </row>
    <row r="1541" spans="1:29" x14ac:dyDescent="0.25">
      <c r="A1541" s="61">
        <v>110002043217</v>
      </c>
      <c r="B1541" s="28">
        <v>2021</v>
      </c>
      <c r="C1541" s="68">
        <f t="shared" si="24"/>
        <v>44197</v>
      </c>
      <c r="D1541" s="28" t="s">
        <v>1024</v>
      </c>
      <c r="E1541" s="28" t="s">
        <v>1576</v>
      </c>
      <c r="F1541" s="28" t="s">
        <v>1025</v>
      </c>
      <c r="G1541" s="28" t="s">
        <v>366</v>
      </c>
      <c r="H1541" s="28">
        <v>92233</v>
      </c>
      <c r="I1541" s="28">
        <v>33.147531999999998</v>
      </c>
      <c r="J1541" s="28">
        <v>-115.54533000000001</v>
      </c>
      <c r="L1541" s="61">
        <v>110002043217</v>
      </c>
      <c r="M1541" s="28" t="s">
        <v>263</v>
      </c>
      <c r="N1541" s="28">
        <v>4952</v>
      </c>
      <c r="O1541" s="28" t="str">
        <f>IFERROR(VLOOKUP(N1541, 'SIC &amp; NAICS Codes'!A:B, 2, FALSE), "")</f>
        <v>Sewerage Systems</v>
      </c>
      <c r="S1541" s="28">
        <v>3.8959005000000001E-3</v>
      </c>
      <c r="T1541" s="315">
        <f>_xlfn.MAXIFS('Raw Period DMR Data'!$O:$O,'Raw Period DMR Data'!$A:$A,'Raw Annual DMR Data_2021-2024'!#REF!,'Raw Period DMR Data'!$C:$C,X1541)/S1541</f>
        <v>0</v>
      </c>
      <c r="U1541" s="28" t="str">
        <f>+IF(COUNTIFS('Raw Period DMR Data'!$A:$A,B1541,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41" s="28" t="str" cm="1">
        <f t="array" ref="V1541">IFERROR(INDEX('Raw Period DMR Data'!N:N,MATCH(1,(B1541='Raw Period DMR Data'!$A:$A)*(U1541='Raw Period DMR Data'!M:M)*(X1541='Raw Period DMR Data'!C:C),0),1), "N/A")</f>
        <v>N/A</v>
      </c>
      <c r="W1541" s="28" t="s">
        <v>1463</v>
      </c>
      <c r="X1541" s="28" t="s">
        <v>1577</v>
      </c>
      <c r="Y1541" s="28" t="s">
        <v>1578</v>
      </c>
      <c r="Z1541" s="61">
        <v>18100204011103</v>
      </c>
      <c r="AA1541" s="28"/>
      <c r="AB1541" s="28" t="s">
        <v>7355</v>
      </c>
      <c r="AC1541" s="28" t="s">
        <v>263</v>
      </c>
    </row>
    <row r="1542" spans="1:29" x14ac:dyDescent="0.25">
      <c r="A1542" s="61">
        <v>110002043217</v>
      </c>
      <c r="B1542" s="28">
        <v>2023</v>
      </c>
      <c r="C1542" s="68">
        <f t="shared" si="24"/>
        <v>44927</v>
      </c>
      <c r="D1542" s="28" t="s">
        <v>1024</v>
      </c>
      <c r="E1542" s="28" t="s">
        <v>1576</v>
      </c>
      <c r="F1542" s="28" t="s">
        <v>1025</v>
      </c>
      <c r="G1542" s="28" t="s">
        <v>366</v>
      </c>
      <c r="H1542" s="28">
        <v>92233</v>
      </c>
      <c r="I1542" s="28">
        <v>33.147531999999998</v>
      </c>
      <c r="J1542" s="28">
        <v>-115.54533000000001</v>
      </c>
      <c r="L1542" s="61">
        <v>110002043217</v>
      </c>
      <c r="M1542" s="28" t="s">
        <v>263</v>
      </c>
      <c r="N1542" s="28">
        <v>4952</v>
      </c>
      <c r="O1542" s="28" t="str">
        <f>IFERROR(VLOOKUP(N1542, 'SIC &amp; NAICS Codes'!A:B, 2, FALSE), "")</f>
        <v>Sewerage Systems</v>
      </c>
      <c r="S1542" s="28">
        <v>3.813009E-3</v>
      </c>
      <c r="T1542" s="315">
        <f>_xlfn.MAXIFS('Raw Period DMR Data'!$O:$O,'Raw Period DMR Data'!$A:$A,'Raw Annual DMR Data_2021-2024'!#REF!,'Raw Period DMR Data'!$C:$C,X1542)/S1542</f>
        <v>0</v>
      </c>
      <c r="U1542" s="28" t="str">
        <f>+IF(COUNTIFS('Raw Period DMR Data'!$A:$A,B1542,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42" s="28" t="str" cm="1">
        <f t="array" ref="V1542">IFERROR(INDEX('Raw Period DMR Data'!N:N,MATCH(1,(B1542='Raw Period DMR Data'!$A:$A)*(U1542='Raw Period DMR Data'!M:M)*(X1542='Raw Period DMR Data'!C:C),0),1), "N/A")</f>
        <v>N/A</v>
      </c>
      <c r="W1542" s="28" t="s">
        <v>1463</v>
      </c>
      <c r="X1542" s="28" t="s">
        <v>1577</v>
      </c>
      <c r="Y1542" s="28" t="s">
        <v>1578</v>
      </c>
      <c r="Z1542" s="61">
        <v>18100204011103</v>
      </c>
      <c r="AB1542" s="28" t="s">
        <v>7355</v>
      </c>
      <c r="AC1542" s="28" t="s">
        <v>263</v>
      </c>
    </row>
    <row r="1543" spans="1:29" x14ac:dyDescent="0.25">
      <c r="A1543" s="61">
        <v>110002043217</v>
      </c>
      <c r="B1543" s="28">
        <v>2022</v>
      </c>
      <c r="C1543" s="68">
        <f t="shared" ref="C1543:C1606" si="25">DATE(B1543, 1, 1)</f>
        <v>44562</v>
      </c>
      <c r="D1543" s="28" t="s">
        <v>1024</v>
      </c>
      <c r="E1543" s="28" t="s">
        <v>1576</v>
      </c>
      <c r="F1543" s="28" t="s">
        <v>1025</v>
      </c>
      <c r="G1543" s="28" t="s">
        <v>366</v>
      </c>
      <c r="H1543" s="28">
        <v>92233</v>
      </c>
      <c r="I1543" s="28">
        <v>33.147531999999998</v>
      </c>
      <c r="J1543" s="28">
        <v>-115.54533000000001</v>
      </c>
      <c r="L1543" s="61">
        <v>110002043217</v>
      </c>
      <c r="M1543" s="28" t="s">
        <v>263</v>
      </c>
      <c r="N1543" s="28">
        <v>4952</v>
      </c>
      <c r="O1543" s="28" t="str">
        <f>IFERROR(VLOOKUP(N1543, 'SIC &amp; NAICS Codes'!A:B, 2, FALSE), "")</f>
        <v>Sewerage Systems</v>
      </c>
      <c r="S1543" s="28">
        <v>3.757748E-3</v>
      </c>
      <c r="T1543" s="315">
        <f>_xlfn.MAXIFS('Raw Period DMR Data'!$O:$O,'Raw Period DMR Data'!$A:$A,'Raw Annual DMR Data_2021-2024'!#REF!,'Raw Period DMR Data'!$C:$C,X1543)/S1543</f>
        <v>0</v>
      </c>
      <c r="U1543" s="28" t="str">
        <f>+IF(COUNTIFS('Raw Period DMR Data'!$A:$A,B1543,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43" s="28" t="str" cm="1">
        <f t="array" ref="V1543">IFERROR(INDEX('Raw Period DMR Data'!N:N,MATCH(1,(B1543='Raw Period DMR Data'!$A:$A)*(U1543='Raw Period DMR Data'!M:M)*(X1543='Raw Period DMR Data'!C:C),0),1), "N/A")</f>
        <v>N/A</v>
      </c>
      <c r="W1543" s="28" t="s">
        <v>1463</v>
      </c>
      <c r="X1543" s="28" t="s">
        <v>1577</v>
      </c>
      <c r="Y1543" s="28" t="s">
        <v>1578</v>
      </c>
      <c r="Z1543" s="61">
        <v>18100204011103</v>
      </c>
      <c r="AB1543" s="28" t="s">
        <v>7355</v>
      </c>
      <c r="AC1543" s="28" t="s">
        <v>263</v>
      </c>
    </row>
    <row r="1544" spans="1:29" x14ac:dyDescent="0.25">
      <c r="A1544" s="61">
        <v>110002043217</v>
      </c>
      <c r="B1544" s="28">
        <v>2024</v>
      </c>
      <c r="C1544" s="68">
        <f t="shared" si="25"/>
        <v>45292</v>
      </c>
      <c r="D1544" s="28" t="s">
        <v>1024</v>
      </c>
      <c r="E1544" s="28" t="s">
        <v>1576</v>
      </c>
      <c r="F1544" s="28" t="s">
        <v>1025</v>
      </c>
      <c r="G1544" s="28" t="s">
        <v>366</v>
      </c>
      <c r="H1544" s="28">
        <v>92233</v>
      </c>
      <c r="I1544" s="28">
        <v>33.147531999999998</v>
      </c>
      <c r="J1544" s="28">
        <v>-115.54533000000001</v>
      </c>
      <c r="L1544" s="61">
        <v>110002043217</v>
      </c>
      <c r="M1544" s="28" t="s">
        <v>263</v>
      </c>
      <c r="N1544" s="28">
        <v>4952</v>
      </c>
      <c r="O1544" s="28" t="str">
        <f>IFERROR(VLOOKUP(N1544, 'SIC &amp; NAICS Codes'!A:B, 2, FALSE), "")</f>
        <v>Sewerage Systems</v>
      </c>
      <c r="S1544" s="28">
        <v>3.598872625E-3</v>
      </c>
      <c r="T1544" s="315">
        <f>_xlfn.MAXIFS('Raw Period DMR Data'!$O:$O,'Raw Period DMR Data'!$A:$A,'Raw Annual DMR Data_2021-2024'!#REF!,'Raw Period DMR Data'!$C:$C,X1544)/S1544</f>
        <v>0</v>
      </c>
      <c r="U1544" s="28" t="str">
        <f>+IF(COUNTIFS('Raw Period DMR Data'!$A:$A,B1544,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44" s="28" t="str" cm="1">
        <f t="array" ref="V1544">IFERROR(INDEX('Raw Period DMR Data'!N:N,MATCH(1,(B1544='Raw Period DMR Data'!$A:$A)*(U1544='Raw Period DMR Data'!M:M)*(X1544='Raw Period DMR Data'!C:C),0),1), "N/A")</f>
        <v>N/A</v>
      </c>
      <c r="W1544" s="28" t="s">
        <v>1463</v>
      </c>
      <c r="X1544" s="28" t="s">
        <v>1577</v>
      </c>
      <c r="Y1544" s="28" t="s">
        <v>1578</v>
      </c>
      <c r="Z1544" s="61">
        <v>18100204011103</v>
      </c>
      <c r="AB1544" s="28" t="s">
        <v>7355</v>
      </c>
      <c r="AC1544" s="28" t="s">
        <v>263</v>
      </c>
    </row>
    <row r="1545" spans="1:29" x14ac:dyDescent="0.25">
      <c r="A1545" s="61">
        <v>110054612558</v>
      </c>
      <c r="B1545" s="28">
        <v>2024</v>
      </c>
      <c r="C1545" s="68">
        <f t="shared" si="25"/>
        <v>45292</v>
      </c>
      <c r="D1545" s="28" t="s">
        <v>1026</v>
      </c>
      <c r="E1545" s="28" t="s">
        <v>1579</v>
      </c>
      <c r="F1545" s="28" t="s">
        <v>1027</v>
      </c>
      <c r="G1545" s="28" t="s">
        <v>349</v>
      </c>
      <c r="H1545" s="28">
        <v>63353</v>
      </c>
      <c r="I1545" s="28">
        <v>39.423425000000002</v>
      </c>
      <c r="J1545" s="28">
        <v>-91.025666000000001</v>
      </c>
      <c r="L1545" s="61">
        <v>110054612558</v>
      </c>
      <c r="M1545" s="28" t="s">
        <v>265</v>
      </c>
      <c r="N1545" s="28">
        <v>2869</v>
      </c>
      <c r="O1545" s="28" t="str">
        <f>IFERROR(VLOOKUP(N1545, 'SIC &amp; NAICS Codes'!A:B, 2, FALSE), "")</f>
        <v>Industrial Organic Chemicals, NEC (aliphatics)</v>
      </c>
      <c r="S1545" s="28">
        <v>5.3022659999999999E-2</v>
      </c>
      <c r="T1545" s="315">
        <f>_xlfn.MAXIFS('Raw Period DMR Data'!$O:$O,'Raw Period DMR Data'!$A:$A,'Raw Annual DMR Data_2021-2024'!#REF!,'Raw Period DMR Data'!$C:$C,X1545)/S1545</f>
        <v>0</v>
      </c>
      <c r="U1545" s="28" t="str">
        <f>+IF(COUNTIFS('Raw Period DMR Data'!$A:$A,B1545,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45" s="28" t="str" cm="1">
        <f t="array" ref="V1545">IFERROR(INDEX('Raw Period DMR Data'!N:N,MATCH(1,(B1545='Raw Period DMR Data'!$A:$A)*(U1545='Raw Period DMR Data'!M:M)*(X1545='Raw Period DMR Data'!C:C),0),1), "N/A")</f>
        <v>N/A</v>
      </c>
      <c r="W1545" s="28" t="s">
        <v>1463</v>
      </c>
      <c r="X1545" s="28" t="s">
        <v>1580</v>
      </c>
      <c r="Y1545" s="28" t="s">
        <v>1581</v>
      </c>
      <c r="Z1545" s="61">
        <v>7110004000345</v>
      </c>
      <c r="AB1545" s="28" t="s">
        <v>7355</v>
      </c>
      <c r="AC1545" s="28" t="s">
        <v>1466</v>
      </c>
    </row>
    <row r="1546" spans="1:29" x14ac:dyDescent="0.25">
      <c r="A1546" s="61">
        <v>110054612558</v>
      </c>
      <c r="B1546" s="28">
        <v>2023</v>
      </c>
      <c r="C1546" s="68">
        <f t="shared" si="25"/>
        <v>44927</v>
      </c>
      <c r="D1546" s="28" t="s">
        <v>1026</v>
      </c>
      <c r="E1546" s="28" t="s">
        <v>1579</v>
      </c>
      <c r="F1546" s="28" t="s">
        <v>1027</v>
      </c>
      <c r="G1546" s="28" t="s">
        <v>349</v>
      </c>
      <c r="H1546" s="28">
        <v>63353</v>
      </c>
      <c r="I1546" s="28">
        <v>39.423425000000002</v>
      </c>
      <c r="J1546" s="28">
        <v>-91.025666000000001</v>
      </c>
      <c r="L1546" s="61">
        <v>110054612558</v>
      </c>
      <c r="M1546" s="28" t="s">
        <v>265</v>
      </c>
      <c r="N1546" s="28">
        <v>2869</v>
      </c>
      <c r="O1546" s="28" t="str">
        <f>IFERROR(VLOOKUP(N1546, 'SIC &amp; NAICS Codes'!A:B, 2, FALSE), "")</f>
        <v>Industrial Organic Chemicals, NEC (aliphatics)</v>
      </c>
      <c r="S1546" s="28">
        <v>4.7579200000000002E-2</v>
      </c>
      <c r="T1546" s="315">
        <f>_xlfn.MAXIFS('Raw Period DMR Data'!$O:$O,'Raw Period DMR Data'!$A:$A,'Raw Annual DMR Data_2021-2024'!#REF!,'Raw Period DMR Data'!$C:$C,X1546)/S1546</f>
        <v>0</v>
      </c>
      <c r="U1546" s="28" t="str">
        <f>+IF(COUNTIFS('Raw Period DMR Data'!$A:$A,B1546,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46" s="28" t="str" cm="1">
        <f t="array" ref="V1546">IFERROR(INDEX('Raw Period DMR Data'!N:N,MATCH(1,(B1546='Raw Period DMR Data'!$A:$A)*(U1546='Raw Period DMR Data'!M:M)*(X1546='Raw Period DMR Data'!C:C),0),1), "N/A")</f>
        <v>N/A</v>
      </c>
      <c r="W1546" s="28" t="s">
        <v>1463</v>
      </c>
      <c r="X1546" s="28" t="s">
        <v>1580</v>
      </c>
      <c r="Y1546" s="28" t="s">
        <v>1581</v>
      </c>
      <c r="Z1546" s="61" t="s">
        <v>1582</v>
      </c>
      <c r="AB1546" s="28" t="s">
        <v>7355</v>
      </c>
      <c r="AC1546" s="28" t="s">
        <v>1466</v>
      </c>
    </row>
    <row r="1547" spans="1:29" x14ac:dyDescent="0.25">
      <c r="A1547" s="61">
        <v>110054612558</v>
      </c>
      <c r="B1547" s="28">
        <v>2022</v>
      </c>
      <c r="C1547" s="68">
        <f t="shared" si="25"/>
        <v>44562</v>
      </c>
      <c r="D1547" s="28" t="s">
        <v>1026</v>
      </c>
      <c r="E1547" s="28" t="s">
        <v>1579</v>
      </c>
      <c r="F1547" s="28" t="s">
        <v>1027</v>
      </c>
      <c r="G1547" s="28" t="s">
        <v>349</v>
      </c>
      <c r="H1547" s="28">
        <v>63353</v>
      </c>
      <c r="I1547" s="28">
        <v>39.423425000000002</v>
      </c>
      <c r="J1547" s="28">
        <v>-91.025666000000001</v>
      </c>
      <c r="L1547" s="61">
        <v>110054612558</v>
      </c>
      <c r="M1547" s="28" t="s">
        <v>265</v>
      </c>
      <c r="N1547" s="28">
        <v>2869</v>
      </c>
      <c r="O1547" s="28" t="str">
        <f>IFERROR(VLOOKUP(N1547, 'SIC &amp; NAICS Codes'!A:B, 2, FALSE), "")</f>
        <v>Industrial Organic Chemicals, NEC (aliphatics)</v>
      </c>
      <c r="S1547" s="28">
        <v>2.7714430000000002E-2</v>
      </c>
      <c r="T1547" s="315">
        <f>_xlfn.MAXIFS('Raw Period DMR Data'!$O:$O,'Raw Period DMR Data'!$A:$A,'Raw Annual DMR Data_2021-2024'!#REF!,'Raw Period DMR Data'!$C:$C,X1547)/S1547</f>
        <v>0</v>
      </c>
      <c r="U1547" s="28" t="str">
        <f>+IF(COUNTIFS('Raw Period DMR Data'!$A:$A,B1547,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47" s="28" t="str" cm="1">
        <f t="array" ref="V1547">IFERROR(INDEX('Raw Period DMR Data'!N:N,MATCH(1,(B1547='Raw Period DMR Data'!$A:$A)*(U1547='Raw Period DMR Data'!M:M)*(X1547='Raw Period DMR Data'!C:C),0),1), "N/A")</f>
        <v>N/A</v>
      </c>
      <c r="W1547" s="28" t="s">
        <v>1463</v>
      </c>
      <c r="X1547" s="28" t="s">
        <v>1580</v>
      </c>
      <c r="Y1547" s="28" t="s">
        <v>1581</v>
      </c>
      <c r="Z1547" s="61">
        <v>7110004000345</v>
      </c>
      <c r="AB1547" s="28" t="s">
        <v>7355</v>
      </c>
      <c r="AC1547" s="28" t="s">
        <v>1466</v>
      </c>
    </row>
    <row r="1548" spans="1:29" x14ac:dyDescent="0.25">
      <c r="A1548" s="61">
        <v>110054612558</v>
      </c>
      <c r="B1548" s="28">
        <v>2021</v>
      </c>
      <c r="C1548" s="68">
        <f t="shared" si="25"/>
        <v>44197</v>
      </c>
      <c r="D1548" s="28" t="s">
        <v>1026</v>
      </c>
      <c r="E1548" s="28" t="s">
        <v>1579</v>
      </c>
      <c r="F1548" s="28" t="s">
        <v>1027</v>
      </c>
      <c r="G1548" s="28" t="s">
        <v>349</v>
      </c>
      <c r="H1548" s="28">
        <v>63353</v>
      </c>
      <c r="I1548" s="28">
        <v>39.423425000000002</v>
      </c>
      <c r="J1548" s="28">
        <v>-91.025666000000001</v>
      </c>
      <c r="L1548" s="61">
        <v>110054612558</v>
      </c>
      <c r="M1548" s="28" t="s">
        <v>265</v>
      </c>
      <c r="N1548" s="28">
        <v>2869</v>
      </c>
      <c r="O1548" s="28" t="str">
        <f>IFERROR(VLOOKUP(N1548, 'SIC &amp; NAICS Codes'!A:B, 2, FALSE), "")</f>
        <v>Industrial Organic Chemicals, NEC (aliphatics)</v>
      </c>
      <c r="S1548" s="28">
        <v>2.3775979999999999E-2</v>
      </c>
      <c r="T1548" s="315">
        <f>_xlfn.MAXIFS('Raw Period DMR Data'!$O:$O,'Raw Period DMR Data'!$A:$A,'Raw Annual DMR Data_2021-2024'!#REF!,'Raw Period DMR Data'!$C:$C,X1548)/S1548</f>
        <v>0</v>
      </c>
      <c r="U1548" s="28" t="str">
        <f>+IF(COUNTIFS('Raw Period DMR Data'!$A:$A,B1548,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48" s="28" t="str" cm="1">
        <f t="array" ref="V1548">IFERROR(INDEX('Raw Period DMR Data'!N:N,MATCH(1,(B1548='Raw Period DMR Data'!$A:$A)*(U1548='Raw Period DMR Data'!M:M)*(X1548='Raw Period DMR Data'!C:C),0),1), "N/A")</f>
        <v>N/A</v>
      </c>
      <c r="W1548" s="28" t="s">
        <v>1463</v>
      </c>
      <c r="X1548" s="28" t="s">
        <v>1580</v>
      </c>
      <c r="Y1548" s="28" t="s">
        <v>1581</v>
      </c>
      <c r="Z1548" s="61">
        <v>7110004000345</v>
      </c>
      <c r="AA1548" s="28"/>
      <c r="AB1548" s="28" t="s">
        <v>7355</v>
      </c>
      <c r="AC1548" s="28" t="s">
        <v>1466</v>
      </c>
    </row>
    <row r="1549" spans="1:29" x14ac:dyDescent="0.25">
      <c r="A1549" s="61">
        <v>110001545070</v>
      </c>
      <c r="B1549" s="28">
        <v>2021</v>
      </c>
      <c r="C1549" s="68">
        <f t="shared" si="25"/>
        <v>44197</v>
      </c>
      <c r="D1549" s="28" t="s">
        <v>117</v>
      </c>
      <c r="E1549" s="28" t="s">
        <v>375</v>
      </c>
      <c r="F1549" s="28" t="s">
        <v>376</v>
      </c>
      <c r="G1549" s="28" t="s">
        <v>338</v>
      </c>
      <c r="H1549" s="28">
        <v>7305</v>
      </c>
      <c r="I1549" s="28">
        <v>40.724868000000001</v>
      </c>
      <c r="J1549" s="28">
        <v>-74.045564999999996</v>
      </c>
      <c r="L1549" s="61">
        <v>110001545070</v>
      </c>
      <c r="M1549" s="28" t="s">
        <v>259</v>
      </c>
      <c r="N1549" s="28">
        <v>7216</v>
      </c>
      <c r="O1549" s="28" t="str">
        <f>IFERROR(VLOOKUP(N1549, 'SIC &amp; NAICS Codes'!A:B, 2, FALSE), "")</f>
        <v>Drycleaning Plants, Except Rug Cleaning</v>
      </c>
      <c r="S1549" s="28">
        <v>2.1315859595E-5</v>
      </c>
      <c r="T1549" s="315">
        <f>_xlfn.MAXIFS('Raw Period DMR Data'!$O:$O,'Raw Period DMR Data'!$A:$A,'Raw Annual DMR Data_2021-2024'!#REF!,'Raw Period DMR Data'!$C:$C,X1549)/S1549</f>
        <v>0</v>
      </c>
      <c r="U1549" s="28" t="str">
        <f>+IF(COUNTIFS('Raw Period DMR Data'!$A:$A,B1549,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49" s="28" t="str" cm="1">
        <f t="array" ref="V1549">IFERROR(INDEX('Raw Period DMR Data'!N:N,MATCH(1,(B1549='Raw Period DMR Data'!$A:$A)*(U1549='Raw Period DMR Data'!M:M)*(X1549='Raw Period DMR Data'!C:C),0),1), "N/A")</f>
        <v>N/A</v>
      </c>
      <c r="W1549" s="28" t="s">
        <v>1463</v>
      </c>
      <c r="X1549" s="28" t="s">
        <v>802</v>
      </c>
      <c r="Y1549" s="28" t="s">
        <v>803</v>
      </c>
      <c r="Z1549" s="61"/>
      <c r="AC1549" s="28" t="s">
        <v>1466</v>
      </c>
    </row>
    <row r="1550" spans="1:29" x14ac:dyDescent="0.25">
      <c r="A1550" s="61">
        <v>110015632216</v>
      </c>
      <c r="B1550" s="28">
        <v>2024</v>
      </c>
      <c r="C1550" s="68">
        <f t="shared" si="25"/>
        <v>45292</v>
      </c>
      <c r="D1550" s="28" t="s">
        <v>1032</v>
      </c>
      <c r="E1550" s="28" t="s">
        <v>1590</v>
      </c>
      <c r="F1550" s="28" t="s">
        <v>1033</v>
      </c>
      <c r="G1550" s="28" t="s">
        <v>324</v>
      </c>
      <c r="H1550" s="28">
        <v>41008</v>
      </c>
      <c r="I1550" s="28">
        <v>38.627777999999999</v>
      </c>
      <c r="J1550" s="28">
        <v>-85.115832999999995</v>
      </c>
      <c r="L1550" s="61">
        <v>110015632216</v>
      </c>
      <c r="M1550" s="28" t="s">
        <v>263</v>
      </c>
      <c r="N1550" s="28">
        <v>4952</v>
      </c>
      <c r="O1550" s="28" t="str">
        <f>IFERROR(VLOOKUP(N1550, 'SIC &amp; NAICS Codes'!A:B, 2, FALSE), "")</f>
        <v>Sewerage Systems</v>
      </c>
      <c r="S1550" s="28">
        <v>5.3188712499999999</v>
      </c>
      <c r="T1550" s="315">
        <f>_xlfn.MAXIFS('Raw Period DMR Data'!$O:$O,'Raw Period DMR Data'!$A:$A,'Raw Annual DMR Data_2021-2024'!B2390,'Raw Period DMR Data'!$C:$C,X1550)/S1550</f>
        <v>0</v>
      </c>
      <c r="U1550" s="28" t="str">
        <f>+IF(COUNTIFS('Raw Period DMR Data'!$A:$A,B1550, 'Raw Period DMR Data'!C:C,'Raw Annual DMR Data_2021-2024'!X2390, 'Raw Period DMR Data'!M:M, "&gt;0")&gt;0,_xlfn.MAXIFS('Raw Period DMR Data'!M:M,'Raw Period DMR Data'!$A:$A,'Raw Annual DMR Data_2021-2024'!B2390,'Raw Period DMR Data'!C:C,'Raw Annual DMR Data_2021-2024'!X2390), "N/A - Period DMR Data Not Available")</f>
        <v>N/A - Period DMR Data Not Available</v>
      </c>
      <c r="V1550" s="28" t="str" cm="1">
        <f t="array" ref="V1550">IFERROR(INDEX('Raw Period DMR Data'!N:N,MATCH(1,(B1550='Raw Period DMR Data'!$A:$A)*(U1550='Raw Period DMR Data'!M:M)*(X1550='Raw Period DMR Data'!C:C),0),1), "N/A")</f>
        <v>N/A</v>
      </c>
      <c r="W1550" s="28" t="s">
        <v>1463</v>
      </c>
      <c r="X1550" s="28" t="s">
        <v>1591</v>
      </c>
      <c r="Y1550" s="28" t="s">
        <v>1592</v>
      </c>
      <c r="Z1550" s="61">
        <v>5100205000002</v>
      </c>
      <c r="AB1550" s="28" t="s">
        <v>7355</v>
      </c>
      <c r="AC1550" s="28" t="s">
        <v>263</v>
      </c>
    </row>
    <row r="1551" spans="1:29" x14ac:dyDescent="0.25">
      <c r="A1551" s="61">
        <v>110015632216</v>
      </c>
      <c r="B1551" s="28">
        <v>2023</v>
      </c>
      <c r="C1551" s="68">
        <f t="shared" si="25"/>
        <v>44927</v>
      </c>
      <c r="D1551" s="28" t="s">
        <v>1032</v>
      </c>
      <c r="E1551" s="28" t="s">
        <v>1590</v>
      </c>
      <c r="F1551" s="28" t="s">
        <v>1033</v>
      </c>
      <c r="G1551" s="28" t="s">
        <v>324</v>
      </c>
      <c r="H1551" s="28">
        <v>41008</v>
      </c>
      <c r="I1551" s="28">
        <v>38.627777999999999</v>
      </c>
      <c r="J1551" s="28">
        <v>-85.115832999999995</v>
      </c>
      <c r="L1551" s="61">
        <v>110015632216</v>
      </c>
      <c r="M1551" s="28" t="s">
        <v>263</v>
      </c>
      <c r="N1551" s="28">
        <v>4952</v>
      </c>
      <c r="O1551" s="28" t="str">
        <f>IFERROR(VLOOKUP(N1551, 'SIC &amp; NAICS Codes'!A:B, 2, FALSE), "")</f>
        <v>Sewerage Systems</v>
      </c>
      <c r="S1551" s="28">
        <v>2.7043351874999999</v>
      </c>
      <c r="T1551" s="315">
        <f>_xlfn.MAXIFS('Raw Period DMR Data'!$O:$O,'Raw Period DMR Data'!$A:$A,'Raw Annual DMR Data_2021-2024'!#REF!,'Raw Period DMR Data'!$C:$C,X1551)/S1551</f>
        <v>0</v>
      </c>
      <c r="U1551" s="28" t="str">
        <f>+IF(COUNTIFS('Raw Period DMR Data'!$A:$A,B1551,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51" s="28" t="str" cm="1">
        <f t="array" ref="V1551">IFERROR(INDEX('Raw Period DMR Data'!N:N,MATCH(1,(B1551='Raw Period DMR Data'!$A:$A)*(U1551='Raw Period DMR Data'!M:M)*(X1551='Raw Period DMR Data'!C:C),0),1), "N/A")</f>
        <v>N/A</v>
      </c>
      <c r="W1551" s="28" t="s">
        <v>1463</v>
      </c>
      <c r="X1551" s="28" t="s">
        <v>1591</v>
      </c>
      <c r="Y1551" s="28" t="s">
        <v>1592</v>
      </c>
      <c r="Z1551" s="61" t="s">
        <v>1593</v>
      </c>
      <c r="AB1551" s="28" t="s">
        <v>7355</v>
      </c>
      <c r="AC1551" s="28" t="s">
        <v>263</v>
      </c>
    </row>
    <row r="1552" spans="1:29" x14ac:dyDescent="0.25">
      <c r="A1552" s="61">
        <v>110006656083</v>
      </c>
      <c r="B1552" s="28">
        <v>2024</v>
      </c>
      <c r="C1552" s="68">
        <f t="shared" si="25"/>
        <v>45292</v>
      </c>
      <c r="D1552" s="28" t="s">
        <v>6884</v>
      </c>
      <c r="E1552" s="28" t="s">
        <v>7058</v>
      </c>
      <c r="F1552" s="28" t="s">
        <v>7059</v>
      </c>
      <c r="G1552" s="28" t="s">
        <v>324</v>
      </c>
      <c r="H1552" s="28">
        <v>42749</v>
      </c>
      <c r="I1552" s="28">
        <v>37.17</v>
      </c>
      <c r="J1552" s="28">
        <v>-85.916111000000001</v>
      </c>
      <c r="L1552" s="61">
        <v>110006656083</v>
      </c>
      <c r="M1552" s="28" t="s">
        <v>263</v>
      </c>
      <c r="N1552" s="28">
        <v>4952</v>
      </c>
      <c r="O1552" s="28" t="str">
        <f>IFERROR(VLOOKUP(N1552, 'SIC &amp; NAICS Codes'!A:B, 2, FALSE), "")</f>
        <v>Sewerage Systems</v>
      </c>
      <c r="S1552" s="28">
        <v>0.50287510000000002</v>
      </c>
      <c r="T1552" s="315">
        <f>_xlfn.MAXIFS('Raw Period DMR Data'!$O:$O,'Raw Period DMR Data'!$A:$A,'Raw Annual DMR Data_2021-2024'!#REF!,'Raw Period DMR Data'!$C:$C,X1552)/S1552</f>
        <v>0</v>
      </c>
      <c r="U1552" s="28" t="str">
        <f>+IF(COUNTIFS('Raw Period DMR Data'!$A:$A,B1552,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52" s="28" t="str" cm="1">
        <f t="array" ref="V1552">IFERROR(INDEX('Raw Period DMR Data'!N:N,MATCH(1,(B1552='Raw Period DMR Data'!$A:$A)*(U1552='Raw Period DMR Data'!M:M)*(X1552='Raw Period DMR Data'!C:C),0),1), "N/A")</f>
        <v>N/A</v>
      </c>
      <c r="W1552" s="28" t="s">
        <v>1463</v>
      </c>
      <c r="X1552" s="28" t="s">
        <v>7210</v>
      </c>
      <c r="Y1552" s="28" t="s">
        <v>7308</v>
      </c>
      <c r="Z1552" s="61">
        <v>5110002018560</v>
      </c>
      <c r="AB1552" s="28" t="s">
        <v>7355</v>
      </c>
      <c r="AC1552" s="28" t="s">
        <v>263</v>
      </c>
    </row>
    <row r="1553" spans="1:29" x14ac:dyDescent="0.25">
      <c r="A1553" s="61">
        <v>110070838708</v>
      </c>
      <c r="B1553" s="28">
        <v>2022</v>
      </c>
      <c r="C1553" s="68">
        <f t="shared" si="25"/>
        <v>44562</v>
      </c>
      <c r="D1553" s="28" t="s">
        <v>6859</v>
      </c>
      <c r="E1553" s="28" t="s">
        <v>7020</v>
      </c>
      <c r="F1553" s="28" t="s">
        <v>6939</v>
      </c>
      <c r="G1553" s="28" t="s">
        <v>366</v>
      </c>
      <c r="H1553" s="28">
        <v>93443</v>
      </c>
      <c r="I1553" s="28">
        <v>35.378917000000001</v>
      </c>
      <c r="J1553" s="28">
        <v>-120.886111</v>
      </c>
      <c r="L1553" s="61">
        <v>110070838708</v>
      </c>
      <c r="M1553" s="28" t="s">
        <v>263</v>
      </c>
      <c r="N1553" s="28">
        <v>4952</v>
      </c>
      <c r="O1553" s="28" t="str">
        <f>IFERROR(VLOOKUP(N1553, 'SIC &amp; NAICS Codes'!A:B, 2, FALSE), "")</f>
        <v>Sewerage Systems</v>
      </c>
      <c r="S1553" s="28">
        <v>4.1102302884999997E-2</v>
      </c>
      <c r="T1553" s="315">
        <f>_xlfn.MAXIFS('Raw Period DMR Data'!$O:$O,'Raw Period DMR Data'!$A:$A,'Raw Annual DMR Data_2021-2024'!#REF!,'Raw Period DMR Data'!$C:$C,X1553)/S1553</f>
        <v>0</v>
      </c>
      <c r="U1553" s="28" t="str">
        <f>+IF(COUNTIFS('Raw Period DMR Data'!$A:$A,B1553,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53" s="28" t="str" cm="1">
        <f t="array" ref="V1553">IFERROR(INDEX('Raw Period DMR Data'!N:N,MATCH(1,(B1553='Raw Period DMR Data'!$A:$A)*(U1553='Raw Period DMR Data'!M:M)*(X1553='Raw Period DMR Data'!C:C),0),1), "N/A")</f>
        <v>N/A</v>
      </c>
      <c r="W1553" s="28" t="s">
        <v>1463</v>
      </c>
      <c r="X1553" s="28" t="s">
        <v>7189</v>
      </c>
      <c r="Y1553" s="28" t="s">
        <v>926</v>
      </c>
      <c r="Z1553" s="61"/>
      <c r="AB1553" s="28" t="s">
        <v>7355</v>
      </c>
      <c r="AC1553" s="28" t="s">
        <v>263</v>
      </c>
    </row>
    <row r="1554" spans="1:29" x14ac:dyDescent="0.25">
      <c r="A1554" s="61">
        <v>110070838708</v>
      </c>
      <c r="B1554" s="28">
        <v>2021</v>
      </c>
      <c r="C1554" s="68">
        <f t="shared" si="25"/>
        <v>44197</v>
      </c>
      <c r="D1554" s="28" t="s">
        <v>6859</v>
      </c>
      <c r="E1554" s="28" t="s">
        <v>7020</v>
      </c>
      <c r="F1554" s="28" t="s">
        <v>6939</v>
      </c>
      <c r="G1554" s="28" t="s">
        <v>366</v>
      </c>
      <c r="H1554" s="28">
        <v>93443</v>
      </c>
      <c r="I1554" s="28">
        <v>35.378917000000001</v>
      </c>
      <c r="J1554" s="28">
        <v>-120.886111</v>
      </c>
      <c r="L1554" s="61">
        <v>110070838708</v>
      </c>
      <c r="M1554" s="28" t="s">
        <v>263</v>
      </c>
      <c r="N1554" s="28">
        <v>4952</v>
      </c>
      <c r="O1554" s="28" t="str">
        <f>IFERROR(VLOOKUP(N1554, 'SIC &amp; NAICS Codes'!A:B, 2, FALSE), "")</f>
        <v>Sewerage Systems</v>
      </c>
      <c r="S1554" s="28">
        <v>4.0449256017499997E-2</v>
      </c>
      <c r="T1554" s="315">
        <f>_xlfn.MAXIFS('Raw Period DMR Data'!$O:$O,'Raw Period DMR Data'!$A:$A,'Raw Annual DMR Data_2021-2024'!#REF!,'Raw Period DMR Data'!$C:$C,X1554)/S1554</f>
        <v>0</v>
      </c>
      <c r="U1554" s="28" t="str">
        <f>+IF(COUNTIFS('Raw Period DMR Data'!$A:$A,B1554,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54" s="28" t="str" cm="1">
        <f t="array" ref="V1554">IFERROR(INDEX('Raw Period DMR Data'!N:N,MATCH(1,(B1554='Raw Period DMR Data'!$A:$A)*(U1554='Raw Period DMR Data'!M:M)*(X1554='Raw Period DMR Data'!C:C),0),1), "N/A")</f>
        <v>N/A</v>
      </c>
      <c r="W1554" s="28" t="s">
        <v>1463</v>
      </c>
      <c r="X1554" s="28" t="s">
        <v>7189</v>
      </c>
      <c r="Y1554" s="28" t="s">
        <v>926</v>
      </c>
      <c r="Z1554" s="61"/>
      <c r="AA1554" s="28"/>
      <c r="AB1554" s="28" t="s">
        <v>7355</v>
      </c>
      <c r="AC1554" s="28" t="s">
        <v>263</v>
      </c>
    </row>
    <row r="1555" spans="1:29" x14ac:dyDescent="0.25">
      <c r="A1555" s="61">
        <v>110070838708</v>
      </c>
      <c r="B1555" s="28">
        <v>2023</v>
      </c>
      <c r="C1555" s="68">
        <f t="shared" si="25"/>
        <v>44927</v>
      </c>
      <c r="D1555" s="28" t="s">
        <v>6859</v>
      </c>
      <c r="E1555" s="28" t="s">
        <v>7020</v>
      </c>
      <c r="F1555" s="28" t="s">
        <v>6939</v>
      </c>
      <c r="G1555" s="28" t="s">
        <v>366</v>
      </c>
      <c r="H1555" s="28">
        <v>93443</v>
      </c>
      <c r="I1555" s="28">
        <v>35.378917000000001</v>
      </c>
      <c r="J1555" s="28">
        <v>-120.886111</v>
      </c>
      <c r="L1555" s="61">
        <v>110070838708</v>
      </c>
      <c r="M1555" s="28" t="s">
        <v>263</v>
      </c>
      <c r="N1555" s="28">
        <v>4952</v>
      </c>
      <c r="O1555" s="28" t="str">
        <f>IFERROR(VLOOKUP(N1555, 'SIC &amp; NAICS Codes'!A:B, 2, FALSE), "")</f>
        <v>Sewerage Systems</v>
      </c>
      <c r="S1555" s="28">
        <v>3.3518835854999998E-2</v>
      </c>
      <c r="T1555" s="315">
        <f>_xlfn.MAXIFS('Raw Period DMR Data'!$O:$O,'Raw Period DMR Data'!$A:$A,'Raw Annual DMR Data_2021-2024'!#REF!,'Raw Period DMR Data'!$C:$C,X1555)/S1555</f>
        <v>0</v>
      </c>
      <c r="U1555" s="28" t="str">
        <f>+IF(COUNTIFS('Raw Period DMR Data'!$A:$A,B1555,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55" s="28" t="str" cm="1">
        <f t="array" ref="V1555">IFERROR(INDEX('Raw Period DMR Data'!N:N,MATCH(1,(B1555='Raw Period DMR Data'!$A:$A)*(U1555='Raw Period DMR Data'!M:M)*(X1555='Raw Period DMR Data'!C:C),0),1), "N/A")</f>
        <v>N/A</v>
      </c>
      <c r="W1555" s="28" t="s">
        <v>1463</v>
      </c>
      <c r="X1555" s="28" t="s">
        <v>7189</v>
      </c>
      <c r="Y1555" s="28" t="s">
        <v>926</v>
      </c>
      <c r="Z1555" s="61"/>
      <c r="AB1555" s="28" t="s">
        <v>7355</v>
      </c>
      <c r="AC1555" s="28" t="s">
        <v>263</v>
      </c>
    </row>
    <row r="1556" spans="1:29" x14ac:dyDescent="0.25">
      <c r="A1556" s="61">
        <v>110070838708</v>
      </c>
      <c r="B1556" s="28">
        <v>2024</v>
      </c>
      <c r="C1556" s="68">
        <f t="shared" si="25"/>
        <v>45292</v>
      </c>
      <c r="D1556" s="28" t="s">
        <v>6859</v>
      </c>
      <c r="E1556" s="28" t="s">
        <v>7020</v>
      </c>
      <c r="F1556" s="28" t="s">
        <v>6939</v>
      </c>
      <c r="G1556" s="28" t="s">
        <v>366</v>
      </c>
      <c r="H1556" s="28">
        <v>93443</v>
      </c>
      <c r="I1556" s="28">
        <v>35.378917000000001</v>
      </c>
      <c r="J1556" s="28">
        <v>-120.886111</v>
      </c>
      <c r="L1556" s="61">
        <v>110070838708</v>
      </c>
      <c r="M1556" s="28" t="s">
        <v>263</v>
      </c>
      <c r="N1556" s="28">
        <v>4952</v>
      </c>
      <c r="O1556" s="28" t="str">
        <f>IFERROR(VLOOKUP(N1556, 'SIC &amp; NAICS Codes'!A:B, 2, FALSE), "")</f>
        <v>Sewerage Systems</v>
      </c>
      <c r="S1556" s="28">
        <v>2.7116572700000001E-2</v>
      </c>
      <c r="T1556" s="315">
        <f>_xlfn.MAXIFS('Raw Period DMR Data'!$O:$O,'Raw Period DMR Data'!$A:$A,'Raw Annual DMR Data_2021-2024'!#REF!,'Raw Period DMR Data'!$C:$C,X1556)/S1556</f>
        <v>0</v>
      </c>
      <c r="U1556" s="28" t="str">
        <f>+IF(COUNTIFS('Raw Period DMR Data'!$A:$A,B1556,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56" s="28" t="str" cm="1">
        <f t="array" ref="V1556">IFERROR(INDEX('Raw Period DMR Data'!N:N,MATCH(1,(B1556='Raw Period DMR Data'!$A:$A)*(U1556='Raw Period DMR Data'!M:M)*(X1556='Raw Period DMR Data'!C:C),0),1), "N/A")</f>
        <v>N/A</v>
      </c>
      <c r="W1556" s="28" t="s">
        <v>1463</v>
      </c>
      <c r="X1556" s="28" t="s">
        <v>7189</v>
      </c>
      <c r="Y1556" s="28" t="s">
        <v>926</v>
      </c>
      <c r="Z1556" s="61"/>
      <c r="AB1556" s="28" t="s">
        <v>7355</v>
      </c>
      <c r="AC1556" s="28" t="s">
        <v>263</v>
      </c>
    </row>
    <row r="1557" spans="1:29" x14ac:dyDescent="0.25">
      <c r="A1557" s="61">
        <v>110000613685</v>
      </c>
      <c r="B1557" s="28">
        <v>2022</v>
      </c>
      <c r="C1557" s="68">
        <f t="shared" si="25"/>
        <v>44562</v>
      </c>
      <c r="D1557" s="28" t="s">
        <v>1036</v>
      </c>
      <c r="E1557" s="28" t="s">
        <v>1597</v>
      </c>
      <c r="F1557" s="28" t="s">
        <v>446</v>
      </c>
      <c r="G1557" s="28" t="s">
        <v>303</v>
      </c>
      <c r="H1557" s="28">
        <v>70669</v>
      </c>
      <c r="I1557" s="28">
        <v>30.318283999999998</v>
      </c>
      <c r="J1557" s="28">
        <v>-93.303511999999998</v>
      </c>
      <c r="L1557" s="61">
        <v>110000613685</v>
      </c>
      <c r="M1557" s="28" t="s">
        <v>6750</v>
      </c>
      <c r="N1557" s="28">
        <v>4953</v>
      </c>
      <c r="O1557" s="28" t="str">
        <f>IFERROR(VLOOKUP(N1557, 'SIC &amp; NAICS Codes'!A:B, 2, FALSE), "")</f>
        <v>Refuse Systems (hazardous waste treatment and disposal)</v>
      </c>
      <c r="S1557" s="28">
        <v>0.47317231250000003</v>
      </c>
      <c r="T1557" s="315">
        <f>_xlfn.MAXIFS('Raw Period DMR Data'!$O:$O,'Raw Period DMR Data'!$A:$A,'Raw Annual DMR Data_2021-2024'!#REF!,'Raw Period DMR Data'!$C:$C,X1557)/S1557</f>
        <v>0</v>
      </c>
      <c r="U1557" s="28" t="str">
        <f>+IF(COUNTIFS('Raw Period DMR Data'!$A:$A,B1557,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57" s="28" t="str" cm="1">
        <f t="array" ref="V1557">IFERROR(INDEX('Raw Period DMR Data'!N:N,MATCH(1,(B1557='Raw Period DMR Data'!$A:$A)*(U1557='Raw Period DMR Data'!M:M)*(X1557='Raw Period DMR Data'!C:C),0),1), "N/A")</f>
        <v>N/A</v>
      </c>
      <c r="W1557" s="28" t="s">
        <v>1463</v>
      </c>
      <c r="X1557" s="28" t="s">
        <v>1598</v>
      </c>
      <c r="Y1557" s="28">
        <v>317</v>
      </c>
      <c r="Z1557" s="61">
        <v>8080205000075</v>
      </c>
      <c r="AB1557" s="28" t="s">
        <v>7355</v>
      </c>
      <c r="AC1557" s="28" t="s">
        <v>1466</v>
      </c>
    </row>
    <row r="1558" spans="1:29" x14ac:dyDescent="0.25">
      <c r="A1558" s="61">
        <v>110000613685</v>
      </c>
      <c r="B1558" s="28">
        <v>2022</v>
      </c>
      <c r="C1558" s="68">
        <f t="shared" si="25"/>
        <v>44562</v>
      </c>
      <c r="D1558" s="28" t="s">
        <v>1036</v>
      </c>
      <c r="E1558" s="28" t="s">
        <v>1597</v>
      </c>
      <c r="F1558" s="28" t="s">
        <v>446</v>
      </c>
      <c r="G1558" s="28" t="s">
        <v>303</v>
      </c>
      <c r="H1558" s="28">
        <v>70669</v>
      </c>
      <c r="I1558" s="28">
        <v>30.318283999999998</v>
      </c>
      <c r="J1558" s="28">
        <v>-93.303511999999998</v>
      </c>
      <c r="L1558" s="61">
        <v>110000613685</v>
      </c>
      <c r="M1558" s="28" t="s">
        <v>6750</v>
      </c>
      <c r="N1558" s="28">
        <v>4953</v>
      </c>
      <c r="O1558" s="28" t="str">
        <f>IFERROR(VLOOKUP(N1558, 'SIC &amp; NAICS Codes'!A:B, 2, FALSE), "")</f>
        <v>Refuse Systems (hazardous waste treatment and disposal)</v>
      </c>
      <c r="S1558" s="28">
        <v>0.34883506250000001</v>
      </c>
      <c r="T1558" s="315">
        <f>_xlfn.MAXIFS('Raw Period DMR Data'!$O:$O,'Raw Period DMR Data'!$A:$A,'Raw Annual DMR Data_2021-2024'!#REF!,'Raw Period DMR Data'!$C:$C,X1558)/S1558</f>
        <v>0</v>
      </c>
      <c r="U1558" s="28" t="str">
        <f>+IF(COUNTIFS('Raw Period DMR Data'!$A:$A,B1558,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58" s="28" t="str" cm="1">
        <f t="array" ref="V1558">IFERROR(INDEX('Raw Period DMR Data'!N:N,MATCH(1,(B1558='Raw Period DMR Data'!$A:$A)*(U1558='Raw Period DMR Data'!M:M)*(X1558='Raw Period DMR Data'!C:C),0),1), "N/A")</f>
        <v>N/A</v>
      </c>
      <c r="W1558" s="28" t="s">
        <v>1463</v>
      </c>
      <c r="X1558" s="28" t="s">
        <v>1598</v>
      </c>
      <c r="Y1558" s="28">
        <v>317</v>
      </c>
      <c r="Z1558" s="61">
        <v>8080205000075</v>
      </c>
      <c r="AB1558" s="28" t="s">
        <v>7355</v>
      </c>
      <c r="AC1558" s="28" t="s">
        <v>1466</v>
      </c>
    </row>
    <row r="1559" spans="1:29" x14ac:dyDescent="0.25">
      <c r="A1559" s="61">
        <v>110000613685</v>
      </c>
      <c r="B1559" s="28">
        <v>2021</v>
      </c>
      <c r="C1559" s="68">
        <f t="shared" si="25"/>
        <v>44197</v>
      </c>
      <c r="D1559" s="28" t="s">
        <v>1036</v>
      </c>
      <c r="E1559" s="28" t="s">
        <v>1597</v>
      </c>
      <c r="F1559" s="28" t="s">
        <v>446</v>
      </c>
      <c r="G1559" s="28" t="s">
        <v>303</v>
      </c>
      <c r="H1559" s="28">
        <v>70669</v>
      </c>
      <c r="I1559" s="28">
        <v>30.318283999999998</v>
      </c>
      <c r="J1559" s="28">
        <v>-93.303511999999998</v>
      </c>
      <c r="L1559" s="61">
        <v>110000613685</v>
      </c>
      <c r="M1559" s="28" t="s">
        <v>6750</v>
      </c>
      <c r="N1559" s="28">
        <v>4953</v>
      </c>
      <c r="O1559" s="28" t="str">
        <f>IFERROR(VLOOKUP(N1559, 'SIC &amp; NAICS Codes'!A:B, 2, FALSE), "")</f>
        <v>Refuse Systems (hazardous waste treatment and disposal)</v>
      </c>
      <c r="S1559" s="28">
        <v>0.30393550000000003</v>
      </c>
      <c r="T1559" s="315">
        <f>_xlfn.MAXIFS('Raw Period DMR Data'!$O:$O,'Raw Period DMR Data'!$A:$A,'Raw Annual DMR Data_2021-2024'!#REF!,'Raw Period DMR Data'!$C:$C,X1559)/S1559</f>
        <v>0</v>
      </c>
      <c r="U1559" s="28" t="str">
        <f>+IF(COUNTIFS('Raw Period DMR Data'!$A:$A,B1559,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59" s="28" t="str" cm="1">
        <f t="array" ref="V1559">IFERROR(INDEX('Raw Period DMR Data'!N:N,MATCH(1,(B1559='Raw Period DMR Data'!$A:$A)*(U1559='Raw Period DMR Data'!M:M)*(X1559='Raw Period DMR Data'!C:C),0),1), "N/A")</f>
        <v>N/A</v>
      </c>
      <c r="W1559" s="28" t="s">
        <v>1463</v>
      </c>
      <c r="X1559" s="28" t="s">
        <v>1598</v>
      </c>
      <c r="Y1559" s="28">
        <v>317</v>
      </c>
      <c r="Z1559" s="61">
        <v>8080205000075</v>
      </c>
      <c r="AA1559" s="28"/>
      <c r="AB1559" s="28" t="s">
        <v>7355</v>
      </c>
      <c r="AC1559" s="28" t="s">
        <v>1466</v>
      </c>
    </row>
    <row r="1560" spans="1:29" x14ac:dyDescent="0.25">
      <c r="A1560" s="61">
        <v>110000613685</v>
      </c>
      <c r="B1560" s="28">
        <v>2021</v>
      </c>
      <c r="C1560" s="68">
        <f t="shared" si="25"/>
        <v>44197</v>
      </c>
      <c r="D1560" s="28" t="s">
        <v>1036</v>
      </c>
      <c r="E1560" s="28" t="s">
        <v>1597</v>
      </c>
      <c r="F1560" s="28" t="s">
        <v>446</v>
      </c>
      <c r="G1560" s="28" t="s">
        <v>303</v>
      </c>
      <c r="H1560" s="28">
        <v>70669</v>
      </c>
      <c r="I1560" s="28">
        <v>30.318283999999998</v>
      </c>
      <c r="J1560" s="28">
        <v>-93.303511999999998</v>
      </c>
      <c r="L1560" s="61">
        <v>110000613685</v>
      </c>
      <c r="M1560" s="28" t="s">
        <v>6750</v>
      </c>
      <c r="N1560" s="28">
        <v>4953</v>
      </c>
      <c r="O1560" s="28" t="str">
        <f>IFERROR(VLOOKUP(N1560, 'SIC &amp; NAICS Codes'!A:B, 2, FALSE), "")</f>
        <v>Refuse Systems (hazardous waste treatment and disposal)</v>
      </c>
      <c r="S1560" s="28">
        <v>0.2244978125</v>
      </c>
      <c r="T1560" s="315">
        <f>_xlfn.MAXIFS('Raw Period DMR Data'!$O:$O,'Raw Period DMR Data'!$A:$A,'Raw Annual DMR Data_2021-2024'!#REF!,'Raw Period DMR Data'!$C:$C,X1560)/S1560</f>
        <v>0</v>
      </c>
      <c r="U1560" s="28" t="str">
        <f>+IF(COUNTIFS('Raw Period DMR Data'!$A:$A,B1560,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60" s="28" t="str" cm="1">
        <f t="array" ref="V1560">IFERROR(INDEX('Raw Period DMR Data'!N:N,MATCH(1,(B1560='Raw Period DMR Data'!$A:$A)*(U1560='Raw Period DMR Data'!M:M)*(X1560='Raw Period DMR Data'!C:C),0),1), "N/A")</f>
        <v>N/A</v>
      </c>
      <c r="W1560" s="28" t="s">
        <v>1463</v>
      </c>
      <c r="X1560" s="28" t="s">
        <v>1598</v>
      </c>
      <c r="Y1560" s="28">
        <v>317</v>
      </c>
      <c r="Z1560" s="61">
        <v>8080205000075</v>
      </c>
      <c r="AA1560" s="28"/>
      <c r="AB1560" s="28" t="s">
        <v>7355</v>
      </c>
      <c r="AC1560" s="28" t="s">
        <v>1466</v>
      </c>
    </row>
    <row r="1561" spans="1:29" x14ac:dyDescent="0.25">
      <c r="A1561" s="61">
        <v>110000613685</v>
      </c>
      <c r="B1561" s="28">
        <v>2022</v>
      </c>
      <c r="C1561" s="68">
        <f t="shared" si="25"/>
        <v>44562</v>
      </c>
      <c r="D1561" s="28" t="s">
        <v>1036</v>
      </c>
      <c r="E1561" s="28" t="s">
        <v>1597</v>
      </c>
      <c r="F1561" s="28" t="s">
        <v>446</v>
      </c>
      <c r="G1561" s="28" t="s">
        <v>303</v>
      </c>
      <c r="H1561" s="28">
        <v>70669</v>
      </c>
      <c r="I1561" s="28">
        <v>30.318283999999998</v>
      </c>
      <c r="J1561" s="28">
        <v>-93.303511999999998</v>
      </c>
      <c r="L1561" s="61">
        <v>110000613685</v>
      </c>
      <c r="M1561" s="28" t="s">
        <v>6750</v>
      </c>
      <c r="N1561" s="28">
        <v>4953</v>
      </c>
      <c r="O1561" s="28" t="str">
        <f>IFERROR(VLOOKUP(N1561, 'SIC &amp; NAICS Codes'!A:B, 2, FALSE), "")</f>
        <v>Refuse Systems (hazardous waste treatment and disposal)</v>
      </c>
      <c r="S1561" s="28">
        <v>0.1208834375</v>
      </c>
      <c r="T1561" s="315">
        <f>_xlfn.MAXIFS('Raw Period DMR Data'!$O:$O,'Raw Period DMR Data'!$A:$A,'Raw Annual DMR Data_2021-2024'!#REF!,'Raw Period DMR Data'!$C:$C,X1561)/S1561</f>
        <v>0</v>
      </c>
      <c r="U1561" s="28" t="str">
        <f>+IF(COUNTIFS('Raw Period DMR Data'!$A:$A,B1561,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61" s="28" t="str" cm="1">
        <f t="array" ref="V1561">IFERROR(INDEX('Raw Period DMR Data'!N:N,MATCH(1,(B1561='Raw Period DMR Data'!$A:$A)*(U1561='Raw Period DMR Data'!M:M)*(X1561='Raw Period DMR Data'!C:C),0),1), "N/A")</f>
        <v>N/A</v>
      </c>
      <c r="W1561" s="28" t="s">
        <v>1463</v>
      </c>
      <c r="X1561" s="28" t="s">
        <v>1598</v>
      </c>
      <c r="Y1561" s="28">
        <v>317</v>
      </c>
      <c r="Z1561" s="61">
        <v>8080205000075</v>
      </c>
      <c r="AB1561" s="28" t="s">
        <v>7355</v>
      </c>
      <c r="AC1561" s="28" t="s">
        <v>1466</v>
      </c>
    </row>
    <row r="1562" spans="1:29" x14ac:dyDescent="0.25">
      <c r="A1562" s="61">
        <v>110000613685</v>
      </c>
      <c r="B1562" s="28">
        <v>2021</v>
      </c>
      <c r="C1562" s="68">
        <f t="shared" si="25"/>
        <v>44197</v>
      </c>
      <c r="D1562" s="28" t="s">
        <v>1036</v>
      </c>
      <c r="E1562" s="28" t="s">
        <v>1597</v>
      </c>
      <c r="F1562" s="28" t="s">
        <v>446</v>
      </c>
      <c r="G1562" s="28" t="s">
        <v>303</v>
      </c>
      <c r="H1562" s="28">
        <v>70669</v>
      </c>
      <c r="I1562" s="28">
        <v>30.318283999999998</v>
      </c>
      <c r="J1562" s="28">
        <v>-93.303511999999998</v>
      </c>
      <c r="L1562" s="61">
        <v>110000613685</v>
      </c>
      <c r="M1562" s="28" t="s">
        <v>6750</v>
      </c>
      <c r="N1562" s="28">
        <v>4953</v>
      </c>
      <c r="O1562" s="28" t="str">
        <f>IFERROR(VLOOKUP(N1562, 'SIC &amp; NAICS Codes'!A:B, 2, FALSE), "")</f>
        <v>Refuse Systems (hazardous waste treatment and disposal)</v>
      </c>
      <c r="S1562" s="28">
        <v>7.9437687500000007E-2</v>
      </c>
      <c r="T1562" s="315">
        <f>_xlfn.MAXIFS('Raw Period DMR Data'!$O:$O,'Raw Period DMR Data'!$A:$A,'Raw Annual DMR Data_2021-2024'!#REF!,'Raw Period DMR Data'!$C:$C,X1562)/S1562</f>
        <v>0</v>
      </c>
      <c r="U1562" s="28" t="str">
        <f>+IF(COUNTIFS('Raw Period DMR Data'!$A:$A,B1562,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62" s="28" t="str" cm="1">
        <f t="array" ref="V1562">IFERROR(INDEX('Raw Period DMR Data'!N:N,MATCH(1,(B1562='Raw Period DMR Data'!$A:$A)*(U1562='Raw Period DMR Data'!M:M)*(X1562='Raw Period DMR Data'!C:C),0),1), "N/A")</f>
        <v>N/A</v>
      </c>
      <c r="W1562" s="28" t="s">
        <v>1463</v>
      </c>
      <c r="X1562" s="28" t="s">
        <v>1598</v>
      </c>
      <c r="Y1562" s="28">
        <v>317</v>
      </c>
      <c r="Z1562" s="61">
        <v>8080205000075</v>
      </c>
      <c r="AA1562" s="28"/>
      <c r="AB1562" s="28" t="s">
        <v>7355</v>
      </c>
      <c r="AC1562" s="28" t="s">
        <v>1466</v>
      </c>
    </row>
    <row r="1563" spans="1:29" x14ac:dyDescent="0.25">
      <c r="A1563" s="61">
        <v>110043485421</v>
      </c>
      <c r="B1563" s="28">
        <v>2024</v>
      </c>
      <c r="C1563" s="68">
        <f t="shared" si="25"/>
        <v>45292</v>
      </c>
      <c r="D1563" s="28" t="s">
        <v>1037</v>
      </c>
      <c r="E1563" s="28" t="s">
        <v>1601</v>
      </c>
      <c r="F1563" s="28" t="s">
        <v>987</v>
      </c>
      <c r="G1563" s="28" t="s">
        <v>324</v>
      </c>
      <c r="H1563" s="28">
        <v>40291</v>
      </c>
      <c r="I1563" s="28">
        <v>38.122354000000001</v>
      </c>
      <c r="J1563" s="28">
        <v>-85.587648000000002</v>
      </c>
      <c r="L1563" s="61">
        <v>110043485421</v>
      </c>
      <c r="M1563" s="28" t="s">
        <v>263</v>
      </c>
      <c r="N1563" s="28">
        <v>4952</v>
      </c>
      <c r="O1563" s="28" t="str">
        <f>IFERROR(VLOOKUP(N1563, 'SIC &amp; NAICS Codes'!A:B, 2, FALSE), "")</f>
        <v>Sewerage Systems</v>
      </c>
      <c r="S1563" s="28">
        <v>23.8831134375</v>
      </c>
      <c r="T1563" s="315">
        <f>_xlfn.MAXIFS('Raw Period DMR Data'!$O:$O,'Raw Period DMR Data'!$A:$A,'Raw Annual DMR Data_2021-2024'!B2316,'Raw Period DMR Data'!$C:$C,X1563)/S1563</f>
        <v>0</v>
      </c>
      <c r="U1563" s="28" t="str">
        <f>+IF(COUNTIFS('Raw Period DMR Data'!$A:$A,B1563, 'Raw Period DMR Data'!C:C,'Raw Annual DMR Data_2021-2024'!X2316, 'Raw Period DMR Data'!M:M, "&gt;0")&gt;0,_xlfn.MAXIFS('Raw Period DMR Data'!M:M,'Raw Period DMR Data'!$A:$A,'Raw Annual DMR Data_2021-2024'!B2316,'Raw Period DMR Data'!C:C,'Raw Annual DMR Data_2021-2024'!X2316), "N/A - Period DMR Data Not Available")</f>
        <v>N/A - Period DMR Data Not Available</v>
      </c>
      <c r="V1563" s="28" t="str" cm="1">
        <f t="array" ref="V1563">IFERROR(INDEX('Raw Period DMR Data'!N:N,MATCH(1,(B1563='Raw Period DMR Data'!$A:$A)*(U1563='Raw Period DMR Data'!M:M)*(X1563='Raw Period DMR Data'!C:C),0),1), "N/A")</f>
        <v>N/A</v>
      </c>
      <c r="W1563" s="28" t="s">
        <v>1463</v>
      </c>
      <c r="X1563" s="28" t="s">
        <v>1602</v>
      </c>
      <c r="Y1563" s="28" t="s">
        <v>1603</v>
      </c>
      <c r="Z1563" s="61">
        <v>5140102000566</v>
      </c>
      <c r="AB1563" s="28" t="s">
        <v>7355</v>
      </c>
      <c r="AC1563" s="28" t="s">
        <v>263</v>
      </c>
    </row>
    <row r="1564" spans="1:29" x14ac:dyDescent="0.25">
      <c r="A1564" s="61">
        <v>110043485421</v>
      </c>
      <c r="B1564" s="28">
        <v>2021</v>
      </c>
      <c r="C1564" s="68">
        <f t="shared" si="25"/>
        <v>44197</v>
      </c>
      <c r="D1564" s="28" t="s">
        <v>1037</v>
      </c>
      <c r="E1564" s="28" t="s">
        <v>1601</v>
      </c>
      <c r="F1564" s="28" t="s">
        <v>987</v>
      </c>
      <c r="G1564" s="28" t="s">
        <v>324</v>
      </c>
      <c r="H1564" s="28">
        <v>40291</v>
      </c>
      <c r="I1564" s="28">
        <v>38.122354000000001</v>
      </c>
      <c r="J1564" s="28">
        <v>-85.587648000000002</v>
      </c>
      <c r="L1564" s="61">
        <v>110043485421</v>
      </c>
      <c r="M1564" s="28" t="s">
        <v>263</v>
      </c>
      <c r="N1564" s="28">
        <v>4952</v>
      </c>
      <c r="O1564" s="28" t="str">
        <f>IFERROR(VLOOKUP(N1564, 'SIC &amp; NAICS Codes'!A:B, 2, FALSE), "")</f>
        <v>Sewerage Systems</v>
      </c>
      <c r="S1564" s="28">
        <v>21.130424874999999</v>
      </c>
      <c r="T1564" s="315">
        <f>_xlfn.MAXIFS('Raw Period DMR Data'!$O:$O,'Raw Period DMR Data'!$A:$A,'Raw Annual DMR Data_2021-2024'!B2319,'Raw Period DMR Data'!$C:$C,X1564)/S1564</f>
        <v>0</v>
      </c>
      <c r="U1564" s="28" t="str">
        <f>+IF(COUNTIFS('Raw Period DMR Data'!$A:$A,B1564, 'Raw Period DMR Data'!C:C,'Raw Annual DMR Data_2021-2024'!X2319, 'Raw Period DMR Data'!M:M, "&gt;0")&gt;0,_xlfn.MAXIFS('Raw Period DMR Data'!M:M,'Raw Period DMR Data'!$A:$A,'Raw Annual DMR Data_2021-2024'!B2319,'Raw Period DMR Data'!C:C,'Raw Annual DMR Data_2021-2024'!X2319), "N/A - Period DMR Data Not Available")</f>
        <v>N/A - Period DMR Data Not Available</v>
      </c>
      <c r="V1564" s="28" t="str" cm="1">
        <f t="array" ref="V1564">IFERROR(INDEX('Raw Period DMR Data'!N:N,MATCH(1,(B1564='Raw Period DMR Data'!$A:$A)*(U1564='Raw Period DMR Data'!M:M)*(X1564='Raw Period DMR Data'!C:C),0),1), "N/A")</f>
        <v>N/A</v>
      </c>
      <c r="W1564" s="28" t="s">
        <v>1463</v>
      </c>
      <c r="X1564" s="28" t="s">
        <v>1602</v>
      </c>
      <c r="Y1564" s="28" t="s">
        <v>1603</v>
      </c>
      <c r="Z1564" s="61">
        <v>5140102000566</v>
      </c>
      <c r="AA1564" s="28"/>
      <c r="AB1564" s="28" t="s">
        <v>7355</v>
      </c>
      <c r="AC1564" s="28" t="s">
        <v>263</v>
      </c>
    </row>
    <row r="1565" spans="1:29" x14ac:dyDescent="0.25">
      <c r="A1565" s="61">
        <v>110043485421</v>
      </c>
      <c r="B1565" s="28">
        <v>2022</v>
      </c>
      <c r="C1565" s="68">
        <f t="shared" si="25"/>
        <v>44562</v>
      </c>
      <c r="D1565" s="28" t="s">
        <v>1037</v>
      </c>
      <c r="E1565" s="28" t="s">
        <v>1601</v>
      </c>
      <c r="F1565" s="28" t="s">
        <v>987</v>
      </c>
      <c r="G1565" s="28" t="s">
        <v>324</v>
      </c>
      <c r="H1565" s="28">
        <v>40291</v>
      </c>
      <c r="I1565" s="28">
        <v>38.122354000000001</v>
      </c>
      <c r="J1565" s="28">
        <v>-85.587648000000002</v>
      </c>
      <c r="L1565" s="61">
        <v>110043485421</v>
      </c>
      <c r="M1565" s="28" t="s">
        <v>263</v>
      </c>
      <c r="N1565" s="28">
        <v>4952</v>
      </c>
      <c r="O1565" s="28" t="str">
        <f>IFERROR(VLOOKUP(N1565, 'SIC &amp; NAICS Codes'!A:B, 2, FALSE), "")</f>
        <v>Sewerage Systems</v>
      </c>
      <c r="S1565" s="28">
        <v>20.066650625000001</v>
      </c>
      <c r="T1565" s="315">
        <f>_xlfn.MAXIFS('Raw Period DMR Data'!$O:$O,'Raw Period DMR Data'!$A:$A,'Raw Annual DMR Data_2021-2024'!B2322,'Raw Period DMR Data'!$C:$C,X1565)/S1565</f>
        <v>0</v>
      </c>
      <c r="U1565" s="28" t="str">
        <f>+IF(COUNTIFS('Raw Period DMR Data'!$A:$A,B1565, 'Raw Period DMR Data'!C:C,'Raw Annual DMR Data_2021-2024'!X2322, 'Raw Period DMR Data'!M:M, "&gt;0")&gt;0,_xlfn.MAXIFS('Raw Period DMR Data'!M:M,'Raw Period DMR Data'!$A:$A,'Raw Annual DMR Data_2021-2024'!B2322,'Raw Period DMR Data'!C:C,'Raw Annual DMR Data_2021-2024'!X2322), "N/A - Period DMR Data Not Available")</f>
        <v>N/A - Period DMR Data Not Available</v>
      </c>
      <c r="V1565" s="28" t="str" cm="1">
        <f t="array" ref="V1565">IFERROR(INDEX('Raw Period DMR Data'!N:N,MATCH(1,(B1565='Raw Period DMR Data'!$A:$A)*(U1565='Raw Period DMR Data'!M:M)*(X1565='Raw Period DMR Data'!C:C),0),1), "N/A")</f>
        <v>N/A</v>
      </c>
      <c r="W1565" s="28" t="s">
        <v>1463</v>
      </c>
      <c r="X1565" s="28" t="s">
        <v>1602</v>
      </c>
      <c r="Y1565" s="28" t="s">
        <v>1603</v>
      </c>
      <c r="Z1565" s="61">
        <v>5140102000566</v>
      </c>
      <c r="AB1565" s="28" t="s">
        <v>7355</v>
      </c>
      <c r="AC1565" s="28" t="s">
        <v>263</v>
      </c>
    </row>
    <row r="1566" spans="1:29" x14ac:dyDescent="0.25">
      <c r="A1566" s="61">
        <v>110043485421</v>
      </c>
      <c r="B1566" s="28">
        <v>2023</v>
      </c>
      <c r="C1566" s="68">
        <f t="shared" si="25"/>
        <v>44927</v>
      </c>
      <c r="D1566" s="28" t="s">
        <v>1037</v>
      </c>
      <c r="E1566" s="28" t="s">
        <v>1601</v>
      </c>
      <c r="F1566" s="28" t="s">
        <v>987</v>
      </c>
      <c r="G1566" s="28" t="s">
        <v>324</v>
      </c>
      <c r="H1566" s="28">
        <v>40291</v>
      </c>
      <c r="I1566" s="28">
        <v>38.122354000000001</v>
      </c>
      <c r="J1566" s="28">
        <v>-85.587648000000002</v>
      </c>
      <c r="L1566" s="61">
        <v>110043485421</v>
      </c>
      <c r="M1566" s="28" t="s">
        <v>263</v>
      </c>
      <c r="N1566" s="28">
        <v>4952</v>
      </c>
      <c r="O1566" s="28" t="str">
        <f>IFERROR(VLOOKUP(N1566, 'SIC &amp; NAICS Codes'!A:B, 2, FALSE), "")</f>
        <v>Sewerage Systems</v>
      </c>
      <c r="S1566" s="28">
        <v>16.3192640625</v>
      </c>
      <c r="T1566" s="315">
        <f>_xlfn.MAXIFS('Raw Period DMR Data'!$O:$O,'Raw Period DMR Data'!$A:$A,'Raw Annual DMR Data_2021-2024'!B2328,'Raw Period DMR Data'!$C:$C,X1566)/S1566</f>
        <v>0</v>
      </c>
      <c r="U1566" s="28" t="str">
        <f>+IF(COUNTIFS('Raw Period DMR Data'!$A:$A,B1566, 'Raw Period DMR Data'!C:C,'Raw Annual DMR Data_2021-2024'!X2328, 'Raw Period DMR Data'!M:M, "&gt;0")&gt;0,_xlfn.MAXIFS('Raw Period DMR Data'!M:M,'Raw Period DMR Data'!$A:$A,'Raw Annual DMR Data_2021-2024'!B2328,'Raw Period DMR Data'!C:C,'Raw Annual DMR Data_2021-2024'!X2328), "N/A - Period DMR Data Not Available")</f>
        <v>N/A - Period DMR Data Not Available</v>
      </c>
      <c r="V1566" s="28" t="str" cm="1">
        <f t="array" ref="V1566">IFERROR(INDEX('Raw Period DMR Data'!N:N,MATCH(1,(B1566='Raw Period DMR Data'!$A:$A)*(U1566='Raw Period DMR Data'!M:M)*(X1566='Raw Period DMR Data'!C:C),0),1), "N/A")</f>
        <v>N/A</v>
      </c>
      <c r="W1566" s="28" t="s">
        <v>1463</v>
      </c>
      <c r="X1566" s="28" t="s">
        <v>1602</v>
      </c>
      <c r="Y1566" s="28" t="s">
        <v>1603</v>
      </c>
      <c r="Z1566" s="61">
        <v>5140102000566</v>
      </c>
      <c r="AB1566" s="28" t="s">
        <v>7355</v>
      </c>
      <c r="AC1566" s="28" t="s">
        <v>263</v>
      </c>
    </row>
    <row r="1567" spans="1:29" x14ac:dyDescent="0.25">
      <c r="A1567" s="61">
        <v>110064265496</v>
      </c>
      <c r="B1567" s="28">
        <v>2021</v>
      </c>
      <c r="C1567" s="68">
        <f t="shared" si="25"/>
        <v>44197</v>
      </c>
      <c r="D1567" s="28" t="s">
        <v>1038</v>
      </c>
      <c r="E1567" s="28" t="s">
        <v>1605</v>
      </c>
      <c r="F1567" s="28" t="s">
        <v>1039</v>
      </c>
      <c r="G1567" s="28" t="s">
        <v>324</v>
      </c>
      <c r="H1567" s="28">
        <v>42330</v>
      </c>
      <c r="I1567" s="28">
        <v>37.326943999999997</v>
      </c>
      <c r="J1567" s="28">
        <v>-87.123889000000005</v>
      </c>
      <c r="L1567" s="61">
        <v>110064265496</v>
      </c>
      <c r="M1567" s="28" t="s">
        <v>263</v>
      </c>
      <c r="N1567" s="28">
        <v>4952</v>
      </c>
      <c r="O1567" s="28" t="str">
        <f>IFERROR(VLOOKUP(N1567, 'SIC &amp; NAICS Codes'!A:B, 2, FALSE), "")</f>
        <v>Sewerage Systems</v>
      </c>
      <c r="S1567" s="28">
        <v>2.2311628749999999</v>
      </c>
      <c r="T1567" s="315">
        <f>_xlfn.MAXIFS('Raw Period DMR Data'!$O:$O,'Raw Period DMR Data'!$A:$A,'Raw Annual DMR Data_2021-2024'!#REF!,'Raw Period DMR Data'!$C:$C,X1567)/S1567</f>
        <v>0</v>
      </c>
      <c r="U1567" s="28" t="str">
        <f>+IF(COUNTIFS('Raw Period DMR Data'!$A:$A,B1567,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67" s="28" t="str" cm="1">
        <f t="array" ref="V1567">IFERROR(INDEX('Raw Period DMR Data'!N:N,MATCH(1,(B1567='Raw Period DMR Data'!$A:$A)*(U1567='Raw Period DMR Data'!M:M)*(X1567='Raw Period DMR Data'!C:C),0),1), "N/A")</f>
        <v>N/A</v>
      </c>
      <c r="W1567" s="28" t="s">
        <v>1463</v>
      </c>
      <c r="X1567" s="28" t="s">
        <v>1606</v>
      </c>
      <c r="Y1567" s="28" t="s">
        <v>1607</v>
      </c>
      <c r="Z1567" s="61">
        <v>5110003001454</v>
      </c>
      <c r="AA1567" s="28"/>
      <c r="AB1567" s="28" t="s">
        <v>7355</v>
      </c>
      <c r="AC1567" s="28" t="s">
        <v>263</v>
      </c>
    </row>
    <row r="1568" spans="1:29" x14ac:dyDescent="0.25">
      <c r="A1568" s="61">
        <v>110064265496</v>
      </c>
      <c r="B1568" s="28">
        <v>2023</v>
      </c>
      <c r="C1568" s="68">
        <f t="shared" si="25"/>
        <v>44927</v>
      </c>
      <c r="D1568" s="28" t="s">
        <v>1038</v>
      </c>
      <c r="E1568" s="28" t="s">
        <v>1605</v>
      </c>
      <c r="F1568" s="28" t="s">
        <v>1039</v>
      </c>
      <c r="G1568" s="28" t="s">
        <v>324</v>
      </c>
      <c r="H1568" s="28">
        <v>42330</v>
      </c>
      <c r="I1568" s="28">
        <v>37.326943999999997</v>
      </c>
      <c r="J1568" s="28">
        <v>-87.123889000000005</v>
      </c>
      <c r="L1568" s="61">
        <v>110064265496</v>
      </c>
      <c r="M1568" s="28" t="s">
        <v>263</v>
      </c>
      <c r="N1568" s="28">
        <v>4952</v>
      </c>
      <c r="O1568" s="28" t="str">
        <f>IFERROR(VLOOKUP(N1568, 'SIC &amp; NAICS Codes'!A:B, 2, FALSE), "")</f>
        <v>Sewerage Systems</v>
      </c>
      <c r="S1568" s="28">
        <v>5.9681879999999999E-4</v>
      </c>
      <c r="T1568" s="315">
        <f>_xlfn.MAXIFS('Raw Period DMR Data'!$O:$O,'Raw Period DMR Data'!$A:$A,'Raw Annual DMR Data_2021-2024'!#REF!,'Raw Period DMR Data'!$C:$C,X1568)/S1568</f>
        <v>0</v>
      </c>
      <c r="U1568" s="28" t="str">
        <f>+IF(COUNTIFS('Raw Period DMR Data'!$A:$A,B1568,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68" s="28" t="str" cm="1">
        <f t="array" ref="V1568">IFERROR(INDEX('Raw Period DMR Data'!N:N,MATCH(1,(B1568='Raw Period DMR Data'!$A:$A)*(U1568='Raw Period DMR Data'!M:M)*(X1568='Raw Period DMR Data'!C:C),0),1), "N/A")</f>
        <v>N/A</v>
      </c>
      <c r="W1568" s="28" t="s">
        <v>1463</v>
      </c>
      <c r="X1568" s="28" t="s">
        <v>1606</v>
      </c>
      <c r="Y1568" s="28" t="s">
        <v>1607</v>
      </c>
      <c r="Z1568" s="61" t="s">
        <v>7340</v>
      </c>
      <c r="AC1568" s="28" t="s">
        <v>263</v>
      </c>
    </row>
    <row r="1569" spans="1:29" x14ac:dyDescent="0.25">
      <c r="A1569" s="61">
        <v>110000339027</v>
      </c>
      <c r="B1569" s="28">
        <v>2023</v>
      </c>
      <c r="C1569" s="68">
        <f t="shared" si="25"/>
        <v>44927</v>
      </c>
      <c r="D1569" s="28" t="s">
        <v>6841</v>
      </c>
      <c r="E1569" s="28" t="s">
        <v>1913</v>
      </c>
      <c r="F1569" s="28" t="s">
        <v>1187</v>
      </c>
      <c r="G1569" s="28" t="s">
        <v>478</v>
      </c>
      <c r="H1569" s="28" t="s">
        <v>6997</v>
      </c>
      <c r="I1569" s="28">
        <v>38.631867</v>
      </c>
      <c r="J1569" s="28">
        <v>-75.628372999999996</v>
      </c>
      <c r="L1569" s="61">
        <v>110000339027</v>
      </c>
      <c r="M1569" s="28" t="s">
        <v>253</v>
      </c>
      <c r="N1569" s="28">
        <v>2821</v>
      </c>
      <c r="O1569" s="28" t="str">
        <f>IFERROR(VLOOKUP(N1569, 'SIC &amp; NAICS Codes'!A:B, 2, FALSE), "")</f>
        <v>Plastics Materials, Synthetic and Resins, and Nonvulcanizable Elastomers</v>
      </c>
      <c r="S1569" s="28">
        <v>5.6295999999999998E-5</v>
      </c>
      <c r="T1569" s="315">
        <f>_xlfn.MAXIFS('Raw Period DMR Data'!$O:$O,'Raw Period DMR Data'!$A:$A,'Raw Annual DMR Data_2021-2024'!#REF!,'Raw Period DMR Data'!$C:$C,X1569)/S1569</f>
        <v>0</v>
      </c>
      <c r="U1569" s="28" t="str">
        <f>+IF(COUNTIFS('Raw Period DMR Data'!$A:$A,B1569,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69" s="28" t="str" cm="1">
        <f t="array" ref="V1569">IFERROR(INDEX('Raw Period DMR Data'!N:N,MATCH(1,(B1569='Raw Period DMR Data'!$A:$A)*(U1569='Raw Period DMR Data'!M:M)*(X1569='Raw Period DMR Data'!C:C),0),1), "N/A")</f>
        <v>N/A</v>
      </c>
      <c r="W1569" s="28" t="s">
        <v>1463</v>
      </c>
      <c r="X1569" s="28" t="s">
        <v>1914</v>
      </c>
      <c r="Y1569" s="28" t="s">
        <v>1915</v>
      </c>
      <c r="Z1569" s="61" t="s">
        <v>1916</v>
      </c>
      <c r="AB1569" s="28" t="s">
        <v>7355</v>
      </c>
      <c r="AC1569" s="28" t="s">
        <v>1466</v>
      </c>
    </row>
    <row r="1570" spans="1:29" x14ac:dyDescent="0.25">
      <c r="A1570" s="61">
        <v>110009721836</v>
      </c>
      <c r="B1570" s="28">
        <v>2024</v>
      </c>
      <c r="C1570" s="68">
        <f t="shared" si="25"/>
        <v>45292</v>
      </c>
      <c r="D1570" s="28" t="s">
        <v>119</v>
      </c>
      <c r="E1570" s="28" t="s">
        <v>380</v>
      </c>
      <c r="F1570" s="28" t="s">
        <v>381</v>
      </c>
      <c r="G1570" s="28" t="s">
        <v>338</v>
      </c>
      <c r="H1570" s="28">
        <v>8014</v>
      </c>
      <c r="I1570" s="28">
        <v>39.799250000000001</v>
      </c>
      <c r="J1570" s="28">
        <v>-75.33296</v>
      </c>
      <c r="L1570" s="61">
        <v>110009721836</v>
      </c>
      <c r="M1570" s="28" t="s">
        <v>252</v>
      </c>
      <c r="N1570" s="28">
        <v>4213</v>
      </c>
      <c r="O1570" s="28" t="str">
        <f>IFERROR(VLOOKUP(N1570, 'SIC &amp; NAICS Codes'!A:B, 2, FALSE), "")</f>
        <v>Trucking, Except Local (general freight, truckload)</v>
      </c>
      <c r="S1570" s="28">
        <v>8.0669435583700003E-2</v>
      </c>
      <c r="T1570" s="315">
        <f>_xlfn.MAXIFS('Raw Period DMR Data'!$O:$O,'Raw Period DMR Data'!$A:$A,'Raw Annual DMR Data_2021-2024'!#REF!,'Raw Period DMR Data'!$C:$C,X1570)/S1570</f>
        <v>0</v>
      </c>
      <c r="U1570" s="28" t="str">
        <f>+IF(COUNTIFS('Raw Period DMR Data'!$A:$A,B1570,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70" s="28" t="str" cm="1">
        <f t="array" ref="V1570">IFERROR(INDEX('Raw Period DMR Data'!N:N,MATCH(1,(B1570='Raw Period DMR Data'!$A:$A)*(U1570='Raw Period DMR Data'!M:M)*(X1570='Raw Period DMR Data'!C:C),0),1), "N/A")</f>
        <v>N/A</v>
      </c>
      <c r="W1570" s="28" t="s">
        <v>1463</v>
      </c>
      <c r="X1570" s="28" t="s">
        <v>806</v>
      </c>
      <c r="Y1570" s="28" t="s">
        <v>807</v>
      </c>
      <c r="Z1570" s="61">
        <v>2040202002003</v>
      </c>
      <c r="AB1570" s="28" t="s">
        <v>7355</v>
      </c>
      <c r="AC1570" s="28" t="s">
        <v>1466</v>
      </c>
    </row>
    <row r="1571" spans="1:29" x14ac:dyDescent="0.25">
      <c r="A1571" s="61">
        <v>110009721836</v>
      </c>
      <c r="B1571" s="28">
        <v>2021</v>
      </c>
      <c r="C1571" s="68">
        <f t="shared" si="25"/>
        <v>44197</v>
      </c>
      <c r="D1571" s="28" t="s">
        <v>119</v>
      </c>
      <c r="E1571" s="28" t="s">
        <v>380</v>
      </c>
      <c r="F1571" s="28" t="s">
        <v>381</v>
      </c>
      <c r="G1571" s="28" t="s">
        <v>338</v>
      </c>
      <c r="H1571" s="28">
        <v>8014</v>
      </c>
      <c r="I1571" s="28">
        <v>39.799250000000001</v>
      </c>
      <c r="J1571" s="28">
        <v>-75.33296</v>
      </c>
      <c r="L1571" s="61">
        <v>110009721836</v>
      </c>
      <c r="M1571" s="28" t="s">
        <v>252</v>
      </c>
      <c r="N1571" s="28">
        <v>4213</v>
      </c>
      <c r="O1571" s="28" t="str">
        <f>IFERROR(VLOOKUP(N1571, 'SIC &amp; NAICS Codes'!A:B, 2, FALSE), "")</f>
        <v>Trucking, Except Local (general freight, truckload)</v>
      </c>
      <c r="S1571" s="28">
        <v>2.3603406403800001E-2</v>
      </c>
      <c r="T1571" s="315">
        <f>_xlfn.MAXIFS('Raw Period DMR Data'!$O:$O,'Raw Period DMR Data'!$A:$A,'Raw Annual DMR Data_2021-2024'!#REF!,'Raw Period DMR Data'!$C:$C,X1571)/S1571</f>
        <v>0</v>
      </c>
      <c r="U1571" s="28" t="str">
        <f>+IF(COUNTIFS('Raw Period DMR Data'!$A:$A,B1571,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71" s="28" t="str" cm="1">
        <f t="array" ref="V1571">IFERROR(INDEX('Raw Period DMR Data'!N:N,MATCH(1,(B1571='Raw Period DMR Data'!$A:$A)*(U1571='Raw Period DMR Data'!M:M)*(X1571='Raw Period DMR Data'!C:C),0),1), "N/A")</f>
        <v>N/A</v>
      </c>
      <c r="W1571" s="28" t="s">
        <v>1463</v>
      </c>
      <c r="X1571" s="28" t="s">
        <v>806</v>
      </c>
      <c r="Y1571" s="28" t="s">
        <v>807</v>
      </c>
      <c r="Z1571" s="61">
        <v>2040202002003</v>
      </c>
      <c r="AA1571" s="28"/>
      <c r="AB1571" s="28" t="s">
        <v>7355</v>
      </c>
      <c r="AC1571" s="28" t="s">
        <v>1466</v>
      </c>
    </row>
    <row r="1572" spans="1:29" x14ac:dyDescent="0.25">
      <c r="A1572" s="61">
        <v>110009721836</v>
      </c>
      <c r="B1572" s="28">
        <v>2022</v>
      </c>
      <c r="C1572" s="68">
        <f t="shared" si="25"/>
        <v>44562</v>
      </c>
      <c r="D1572" s="28" t="s">
        <v>119</v>
      </c>
      <c r="E1572" s="28" t="s">
        <v>380</v>
      </c>
      <c r="F1572" s="28" t="s">
        <v>381</v>
      </c>
      <c r="G1572" s="28" t="s">
        <v>338</v>
      </c>
      <c r="H1572" s="28">
        <v>8014</v>
      </c>
      <c r="I1572" s="28">
        <v>39.799250000000001</v>
      </c>
      <c r="J1572" s="28">
        <v>-75.33296</v>
      </c>
      <c r="L1572" s="61">
        <v>110009721836</v>
      </c>
      <c r="M1572" s="28" t="s">
        <v>252</v>
      </c>
      <c r="N1572" s="28">
        <v>4213</v>
      </c>
      <c r="O1572" s="28" t="str">
        <f>IFERROR(VLOOKUP(N1572, 'SIC &amp; NAICS Codes'!A:B, 2, FALSE), "")</f>
        <v>Trucking, Except Local (general freight, truckload)</v>
      </c>
      <c r="S1572" s="28">
        <v>2.26541785929E-2</v>
      </c>
      <c r="T1572" s="315">
        <f>_xlfn.MAXIFS('Raw Period DMR Data'!$O:$O,'Raw Period DMR Data'!$A:$A,'Raw Annual DMR Data_2021-2024'!#REF!,'Raw Period DMR Data'!$C:$C,X1572)/S1572</f>
        <v>0</v>
      </c>
      <c r="U1572" s="28" t="str">
        <f>+IF(COUNTIFS('Raw Period DMR Data'!$A:$A,B1572,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72" s="28" t="str" cm="1">
        <f t="array" ref="V1572">IFERROR(INDEX('Raw Period DMR Data'!N:N,MATCH(1,(B1572='Raw Period DMR Data'!$A:$A)*(U1572='Raw Period DMR Data'!M:M)*(X1572='Raw Period DMR Data'!C:C),0),1), "N/A")</f>
        <v>N/A</v>
      </c>
      <c r="W1572" s="28" t="s">
        <v>1463</v>
      </c>
      <c r="X1572" s="28" t="s">
        <v>806</v>
      </c>
      <c r="Y1572" s="28" t="s">
        <v>807</v>
      </c>
      <c r="Z1572" s="61">
        <v>2040202002003</v>
      </c>
      <c r="AB1572" s="28" t="s">
        <v>7355</v>
      </c>
      <c r="AC1572" s="28" t="s">
        <v>1466</v>
      </c>
    </row>
    <row r="1573" spans="1:29" x14ac:dyDescent="0.25">
      <c r="A1573" s="61">
        <v>110009721836</v>
      </c>
      <c r="B1573" s="28">
        <v>2023</v>
      </c>
      <c r="C1573" s="68">
        <f t="shared" si="25"/>
        <v>44927</v>
      </c>
      <c r="D1573" s="28" t="s">
        <v>119</v>
      </c>
      <c r="E1573" s="28" t="s">
        <v>380</v>
      </c>
      <c r="F1573" s="28" t="s">
        <v>381</v>
      </c>
      <c r="G1573" s="28" t="s">
        <v>338</v>
      </c>
      <c r="H1573" s="28" t="s">
        <v>1608</v>
      </c>
      <c r="I1573" s="28">
        <v>39.799250000000001</v>
      </c>
      <c r="J1573" s="28">
        <v>-75.33296</v>
      </c>
      <c r="L1573" s="61">
        <v>110009721836</v>
      </c>
      <c r="M1573" s="28" t="s">
        <v>252</v>
      </c>
      <c r="N1573" s="28">
        <v>4213</v>
      </c>
      <c r="O1573" s="28" t="str">
        <f>IFERROR(VLOOKUP(N1573, 'SIC &amp; NAICS Codes'!A:B, 2, FALSE), "")</f>
        <v>Trucking, Except Local (general freight, truckload)</v>
      </c>
      <c r="S1573" s="28">
        <v>1.7277402823199998E-2</v>
      </c>
      <c r="T1573" s="315">
        <f>_xlfn.MAXIFS('Raw Period DMR Data'!$O:$O,'Raw Period DMR Data'!$A:$A,'Raw Annual DMR Data_2021-2024'!#REF!,'Raw Period DMR Data'!$C:$C,X1573)/S1573</f>
        <v>0</v>
      </c>
      <c r="U1573" s="28" t="str">
        <f>+IF(COUNTIFS('Raw Period DMR Data'!$A:$A,B1573,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73" s="28" t="str" cm="1">
        <f t="array" ref="V1573">IFERROR(INDEX('Raw Period DMR Data'!N:N,MATCH(1,(B1573='Raw Period DMR Data'!$A:$A)*(U1573='Raw Period DMR Data'!M:M)*(X1573='Raw Period DMR Data'!C:C),0),1), "N/A")</f>
        <v>N/A</v>
      </c>
      <c r="W1573" s="28" t="s">
        <v>1463</v>
      </c>
      <c r="X1573" s="28" t="s">
        <v>806</v>
      </c>
      <c r="Y1573" s="28" t="s">
        <v>807</v>
      </c>
      <c r="Z1573" s="61" t="s">
        <v>1609</v>
      </c>
      <c r="AB1573" s="28" t="s">
        <v>7355</v>
      </c>
      <c r="AC1573" s="28" t="s">
        <v>1466</v>
      </c>
    </row>
    <row r="1574" spans="1:29" x14ac:dyDescent="0.25">
      <c r="A1574" s="61">
        <v>110000339027</v>
      </c>
      <c r="B1574" s="28">
        <v>2022</v>
      </c>
      <c r="C1574" s="68">
        <f t="shared" si="25"/>
        <v>44562</v>
      </c>
      <c r="D1574" s="28" t="s">
        <v>6841</v>
      </c>
      <c r="E1574" s="28" t="s">
        <v>1913</v>
      </c>
      <c r="F1574" s="28" t="s">
        <v>1187</v>
      </c>
      <c r="G1574" s="28" t="s">
        <v>478</v>
      </c>
      <c r="H1574" s="28" t="s">
        <v>6997</v>
      </c>
      <c r="I1574" s="28">
        <v>38.631867</v>
      </c>
      <c r="J1574" s="28">
        <v>-75.628372999999996</v>
      </c>
      <c r="L1574" s="61">
        <v>110000339027</v>
      </c>
      <c r="M1574" s="28" t="s">
        <v>253</v>
      </c>
      <c r="N1574" s="28">
        <v>2821</v>
      </c>
      <c r="O1574" s="28" t="str">
        <f>IFERROR(VLOOKUP(N1574, 'SIC &amp; NAICS Codes'!A:B, 2, FALSE), "")</f>
        <v>Plastics Materials, Synthetic and Resins, and Nonvulcanizable Elastomers</v>
      </c>
      <c r="S1574" s="28">
        <v>1.4073999999999999E-5</v>
      </c>
      <c r="T1574" s="315">
        <f>_xlfn.MAXIFS('Raw Period DMR Data'!$O:$O,'Raw Period DMR Data'!$A:$A,'Raw Annual DMR Data_2021-2024'!#REF!,'Raw Period DMR Data'!$C:$C,X1574)/S1574</f>
        <v>0</v>
      </c>
      <c r="U1574" s="28" t="str">
        <f>+IF(COUNTIFS('Raw Period DMR Data'!$A:$A,B1574,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74" s="28" t="str" cm="1">
        <f t="array" ref="V1574">IFERROR(INDEX('Raw Period DMR Data'!N:N,MATCH(1,(B1574='Raw Period DMR Data'!$A:$A)*(U1574='Raw Period DMR Data'!M:M)*(X1574='Raw Period DMR Data'!C:C),0),1), "N/A")</f>
        <v>N/A</v>
      </c>
      <c r="W1574" s="28" t="s">
        <v>1463</v>
      </c>
      <c r="X1574" s="28" t="s">
        <v>1914</v>
      </c>
      <c r="Y1574" s="28" t="s">
        <v>1915</v>
      </c>
      <c r="Z1574" s="61">
        <v>2080109011489</v>
      </c>
      <c r="AB1574" s="28" t="s">
        <v>7355</v>
      </c>
      <c r="AC1574" s="28" t="s">
        <v>1466</v>
      </c>
    </row>
    <row r="1575" spans="1:29" x14ac:dyDescent="0.25">
      <c r="A1575" s="61">
        <v>110007970142</v>
      </c>
      <c r="B1575" s="28">
        <v>2022</v>
      </c>
      <c r="C1575" s="68">
        <f t="shared" si="25"/>
        <v>44562</v>
      </c>
      <c r="D1575" s="28" t="s">
        <v>123</v>
      </c>
      <c r="E1575" s="28" t="s">
        <v>394</v>
      </c>
      <c r="F1575" s="28" t="s">
        <v>6944</v>
      </c>
      <c r="G1575" s="28" t="s">
        <v>338</v>
      </c>
      <c r="H1575" s="28">
        <v>8069</v>
      </c>
      <c r="I1575" s="28">
        <v>39.698279999999997</v>
      </c>
      <c r="J1575" s="28">
        <v>-75.503974999999997</v>
      </c>
      <c r="K1575" s="28" t="s">
        <v>396</v>
      </c>
      <c r="L1575" s="61">
        <v>110007970142</v>
      </c>
      <c r="M1575" s="28" t="s">
        <v>251</v>
      </c>
      <c r="N1575" s="28">
        <v>2869</v>
      </c>
      <c r="O1575" s="28" t="str">
        <f>IFERROR(VLOOKUP(N1575, 'SIC &amp; NAICS Codes'!A:B, 2, FALSE), "")</f>
        <v>Industrial Organic Chemicals, NEC (aliphatics)</v>
      </c>
      <c r="S1575" s="28">
        <v>11.24</v>
      </c>
      <c r="T1575" s="315">
        <f>_xlfn.MAXIFS('Raw Period DMR Data'!$O:$O,'Raw Period DMR Data'!$A:$A,'Raw Annual DMR Data_2021-2024'!B2356,'Raw Period DMR Data'!$C:$C,X1575)/S1575</f>
        <v>0</v>
      </c>
      <c r="U1575" s="28" t="str">
        <f>+IF(COUNTIFS('Raw Period DMR Data'!$A:$A,B1575, 'Raw Period DMR Data'!C:C,'Raw Annual DMR Data_2021-2024'!X2356, 'Raw Period DMR Data'!M:M, "&gt;0")&gt;0,_xlfn.MAXIFS('Raw Period DMR Data'!M:M,'Raw Period DMR Data'!$A:$A,'Raw Annual DMR Data_2021-2024'!B2356,'Raw Period DMR Data'!C:C,'Raw Annual DMR Data_2021-2024'!X2356), "N/A - Period DMR Data Not Available")</f>
        <v>N/A - Period DMR Data Not Available</v>
      </c>
      <c r="V1575" s="28" t="str" cm="1">
        <f t="array" ref="V1575">IFERROR(INDEX('Raw Period DMR Data'!N:N,MATCH(1,(B1575='Raw Period DMR Data'!$A:$A)*(U1575='Raw Period DMR Data'!M:M)*(X1575='Raw Period DMR Data'!C:C),0),1), "N/A")</f>
        <v>N/A</v>
      </c>
      <c r="W1575" s="28" t="s">
        <v>1463</v>
      </c>
      <c r="X1575" s="28" t="s">
        <v>814</v>
      </c>
      <c r="Y1575" s="28" t="s">
        <v>783</v>
      </c>
      <c r="Z1575" s="61">
        <v>2040206002333</v>
      </c>
      <c r="AC1575" s="28" t="s">
        <v>1466</v>
      </c>
    </row>
    <row r="1576" spans="1:29" x14ac:dyDescent="0.25">
      <c r="A1576" s="61">
        <v>110007970142</v>
      </c>
      <c r="B1576" s="28">
        <v>2021</v>
      </c>
      <c r="C1576" s="68">
        <f t="shared" si="25"/>
        <v>44197</v>
      </c>
      <c r="D1576" s="28" t="s">
        <v>123</v>
      </c>
      <c r="E1576" s="28" t="s">
        <v>394</v>
      </c>
      <c r="F1576" s="28" t="s">
        <v>6944</v>
      </c>
      <c r="G1576" s="28" t="s">
        <v>338</v>
      </c>
      <c r="H1576" s="28">
        <v>8069</v>
      </c>
      <c r="I1576" s="28">
        <v>39.698279999999997</v>
      </c>
      <c r="J1576" s="28">
        <v>-75.503974999999997</v>
      </c>
      <c r="K1576" s="28" t="s">
        <v>396</v>
      </c>
      <c r="L1576" s="61">
        <v>110007970142</v>
      </c>
      <c r="M1576" s="28" t="s">
        <v>251</v>
      </c>
      <c r="N1576" s="28">
        <v>2869</v>
      </c>
      <c r="O1576" s="28" t="str">
        <f>IFERROR(VLOOKUP(N1576, 'SIC &amp; NAICS Codes'!A:B, 2, FALSE), "")</f>
        <v>Industrial Organic Chemicals, NEC (aliphatics)</v>
      </c>
      <c r="S1576" s="28">
        <v>9.7825000000000006</v>
      </c>
      <c r="T1576" s="315">
        <f>_xlfn.MAXIFS('Raw Period DMR Data'!$O:$O,'Raw Period DMR Data'!$A:$A,'Raw Annual DMR Data_2021-2024'!B2363,'Raw Period DMR Data'!$C:$C,X1576)/S1576</f>
        <v>0</v>
      </c>
      <c r="U1576" s="28" t="str">
        <f>+IF(COUNTIFS('Raw Period DMR Data'!$A:$A,B1576, 'Raw Period DMR Data'!C:C,'Raw Annual DMR Data_2021-2024'!X2363, 'Raw Period DMR Data'!M:M, "&gt;0")&gt;0,_xlfn.MAXIFS('Raw Period DMR Data'!M:M,'Raw Period DMR Data'!$A:$A,'Raw Annual DMR Data_2021-2024'!B2363,'Raw Period DMR Data'!C:C,'Raw Annual DMR Data_2021-2024'!X2363), "N/A - Period DMR Data Not Available")</f>
        <v>N/A - Period DMR Data Not Available</v>
      </c>
      <c r="V1576" s="28" t="str" cm="1">
        <f t="array" ref="V1576">IFERROR(INDEX('Raw Period DMR Data'!N:N,MATCH(1,(B1576='Raw Period DMR Data'!$A:$A)*(U1576='Raw Period DMR Data'!M:M)*(X1576='Raw Period DMR Data'!C:C),0),1), "N/A")</f>
        <v>N/A</v>
      </c>
      <c r="W1576" s="28" t="s">
        <v>1463</v>
      </c>
      <c r="X1576" s="28" t="s">
        <v>814</v>
      </c>
      <c r="Y1576" s="28" t="s">
        <v>783</v>
      </c>
      <c r="Z1576" s="61">
        <v>2040206002333</v>
      </c>
      <c r="AA1576" s="28"/>
      <c r="AB1576" s="28" t="s">
        <v>7355</v>
      </c>
      <c r="AC1576" s="28" t="s">
        <v>1466</v>
      </c>
    </row>
    <row r="1577" spans="1:29" x14ac:dyDescent="0.25">
      <c r="A1577" s="61">
        <v>110007970142</v>
      </c>
      <c r="B1577" s="28">
        <v>2024</v>
      </c>
      <c r="C1577" s="68">
        <f t="shared" si="25"/>
        <v>45292</v>
      </c>
      <c r="D1577" s="28" t="s">
        <v>123</v>
      </c>
      <c r="E1577" s="28" t="s">
        <v>394</v>
      </c>
      <c r="F1577" s="28" t="s">
        <v>6944</v>
      </c>
      <c r="G1577" s="28" t="s">
        <v>338</v>
      </c>
      <c r="H1577" s="28">
        <v>8069</v>
      </c>
      <c r="I1577" s="28">
        <v>39.698279999999997</v>
      </c>
      <c r="J1577" s="28">
        <v>-75.503974999999997</v>
      </c>
      <c r="K1577" s="28" t="s">
        <v>396</v>
      </c>
      <c r="L1577" s="61">
        <v>110007970142</v>
      </c>
      <c r="M1577" s="28" t="s">
        <v>251</v>
      </c>
      <c r="N1577" s="28">
        <v>2869</v>
      </c>
      <c r="O1577" s="28" t="str">
        <f>IFERROR(VLOOKUP(N1577, 'SIC &amp; NAICS Codes'!A:B, 2, FALSE), "")</f>
        <v>Industrial Organic Chemicals, NEC (aliphatics)</v>
      </c>
      <c r="S1577" s="28">
        <v>9.5350000000000001</v>
      </c>
      <c r="T1577" s="315">
        <f>_xlfn.MAXIFS('Raw Period DMR Data'!$O:$O,'Raw Period DMR Data'!$A:$A,'Raw Annual DMR Data_2021-2024'!B2365,'Raw Period DMR Data'!$C:$C,X1577)/S1577</f>
        <v>0</v>
      </c>
      <c r="U1577" s="28" t="str">
        <f>+IF(COUNTIFS('Raw Period DMR Data'!$A:$A,B1577, 'Raw Period DMR Data'!C:C,'Raw Annual DMR Data_2021-2024'!X2365, 'Raw Period DMR Data'!M:M, "&gt;0")&gt;0,_xlfn.MAXIFS('Raw Period DMR Data'!M:M,'Raw Period DMR Data'!$A:$A,'Raw Annual DMR Data_2021-2024'!B2365,'Raw Period DMR Data'!C:C,'Raw Annual DMR Data_2021-2024'!X2365), "N/A - Period DMR Data Not Available")</f>
        <v>N/A - Period DMR Data Not Available</v>
      </c>
      <c r="V1577" s="28" t="str" cm="1">
        <f t="array" ref="V1577">IFERROR(INDEX('Raw Period DMR Data'!N:N,MATCH(1,(B1577='Raw Period DMR Data'!$A:$A)*(U1577='Raw Period DMR Data'!M:M)*(X1577='Raw Period DMR Data'!C:C),0),1), "N/A")</f>
        <v>N/A</v>
      </c>
      <c r="W1577" s="28" t="s">
        <v>1463</v>
      </c>
      <c r="X1577" s="28" t="s">
        <v>814</v>
      </c>
      <c r="Y1577" s="28" t="s">
        <v>783</v>
      </c>
      <c r="Z1577" s="61">
        <v>2040206002333</v>
      </c>
      <c r="AC1577" s="28" t="s">
        <v>1466</v>
      </c>
    </row>
    <row r="1578" spans="1:29" x14ac:dyDescent="0.25">
      <c r="A1578" s="61">
        <v>110007970142</v>
      </c>
      <c r="B1578" s="28">
        <v>2023</v>
      </c>
      <c r="C1578" s="68">
        <f t="shared" si="25"/>
        <v>44927</v>
      </c>
      <c r="D1578" s="28" t="s">
        <v>123</v>
      </c>
      <c r="E1578" s="28" t="s">
        <v>394</v>
      </c>
      <c r="F1578" s="28" t="s">
        <v>6944</v>
      </c>
      <c r="G1578" s="28" t="s">
        <v>338</v>
      </c>
      <c r="H1578" s="28" t="s">
        <v>7087</v>
      </c>
      <c r="I1578" s="28">
        <v>39.698279999999997</v>
      </c>
      <c r="J1578" s="28">
        <v>-75.503974999999997</v>
      </c>
      <c r="K1578" s="28" t="s">
        <v>396</v>
      </c>
      <c r="L1578" s="61">
        <v>110007970142</v>
      </c>
      <c r="M1578" s="28" t="s">
        <v>251</v>
      </c>
      <c r="N1578" s="28">
        <v>2869</v>
      </c>
      <c r="O1578" s="28" t="str">
        <f>IFERROR(VLOOKUP(N1578, 'SIC &amp; NAICS Codes'!A:B, 2, FALSE), "")</f>
        <v>Industrial Organic Chemicals, NEC (aliphatics)</v>
      </c>
      <c r="S1578" s="28">
        <v>8.5820000000000007</v>
      </c>
      <c r="T1578" s="315">
        <f>_xlfn.MAXIFS('Raw Period DMR Data'!$O:$O,'Raw Period DMR Data'!$A:$A,'Raw Annual DMR Data_2021-2024'!B2368,'Raw Period DMR Data'!$C:$C,X1578)/S1578</f>
        <v>0</v>
      </c>
      <c r="U1578" s="28" t="str">
        <f>+IF(COUNTIFS('Raw Period DMR Data'!$A:$A,B1578, 'Raw Period DMR Data'!C:C,'Raw Annual DMR Data_2021-2024'!X2368, 'Raw Period DMR Data'!M:M, "&gt;0")&gt;0,_xlfn.MAXIFS('Raw Period DMR Data'!M:M,'Raw Period DMR Data'!$A:$A,'Raw Annual DMR Data_2021-2024'!B2368,'Raw Period DMR Data'!C:C,'Raw Annual DMR Data_2021-2024'!X2368), "N/A - Period DMR Data Not Available")</f>
        <v>N/A - Period DMR Data Not Available</v>
      </c>
      <c r="V1578" s="28" t="str" cm="1">
        <f t="array" ref="V1578">IFERROR(INDEX('Raw Period DMR Data'!N:N,MATCH(1,(B1578='Raw Period DMR Data'!$A:$A)*(U1578='Raw Period DMR Data'!M:M)*(X1578='Raw Period DMR Data'!C:C),0),1), "N/A")</f>
        <v>N/A</v>
      </c>
      <c r="W1578" s="28" t="s">
        <v>1463</v>
      </c>
      <c r="X1578" s="28" t="s">
        <v>814</v>
      </c>
      <c r="Y1578" s="28" t="s">
        <v>783</v>
      </c>
      <c r="Z1578" s="61">
        <v>2040206002333</v>
      </c>
      <c r="AB1578" s="28" t="s">
        <v>7355</v>
      </c>
      <c r="AC1578" s="28" t="s">
        <v>1466</v>
      </c>
    </row>
    <row r="1579" spans="1:29" x14ac:dyDescent="0.25">
      <c r="A1579" s="61">
        <v>110000408265</v>
      </c>
      <c r="B1579" s="28">
        <v>2021</v>
      </c>
      <c r="C1579" s="68">
        <f t="shared" si="25"/>
        <v>44197</v>
      </c>
      <c r="D1579" s="28" t="s">
        <v>1044</v>
      </c>
      <c r="E1579" s="28" t="s">
        <v>1617</v>
      </c>
      <c r="F1579" s="28" t="s">
        <v>1045</v>
      </c>
      <c r="G1579" s="28" t="s">
        <v>427</v>
      </c>
      <c r="H1579" s="28">
        <v>48843</v>
      </c>
      <c r="I1579" s="28">
        <v>42.592550000000003</v>
      </c>
      <c r="J1579" s="28">
        <v>-83.889930000000007</v>
      </c>
      <c r="L1579" s="61">
        <v>110000408265</v>
      </c>
      <c r="M1579" s="28" t="s">
        <v>265</v>
      </c>
      <c r="N1579" s="28">
        <v>2899</v>
      </c>
      <c r="O1579" s="28" t="str">
        <f>IFERROR(VLOOKUP(N1579, 'SIC &amp; NAICS Codes'!A:B, 2, FALSE), "")</f>
        <v>Chemicals and Chemical Preparations, NEC (table salt)</v>
      </c>
      <c r="S1579" s="28">
        <v>9.8451635000000003E-3</v>
      </c>
      <c r="T1579" s="315">
        <f>_xlfn.MAXIFS('Raw Period DMR Data'!$O:$O,'Raw Period DMR Data'!$A:$A,'Raw Annual DMR Data_2021-2024'!#REF!,'Raw Period DMR Data'!$C:$C,X1579)/S1579</f>
        <v>0</v>
      </c>
      <c r="U1579" s="28" t="str">
        <f>+IF(COUNTIFS('Raw Period DMR Data'!$A:$A,B1579,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79" s="28" t="str" cm="1">
        <f t="array" ref="V1579">IFERROR(INDEX('Raw Period DMR Data'!N:N,MATCH(1,(B1579='Raw Period DMR Data'!$A:$A)*(U1579='Raw Period DMR Data'!M:M)*(X1579='Raw Period DMR Data'!C:C),0),1), "N/A")</f>
        <v>N/A</v>
      </c>
      <c r="W1579" s="28" t="s">
        <v>1463</v>
      </c>
      <c r="X1579" s="28" t="s">
        <v>1619</v>
      </c>
      <c r="Y1579" s="28" t="s">
        <v>1620</v>
      </c>
      <c r="Z1579" s="61">
        <v>4080203000602</v>
      </c>
      <c r="AA1579" s="28"/>
      <c r="AB1579" s="28" t="s">
        <v>7355</v>
      </c>
      <c r="AC1579" s="28" t="s">
        <v>1466</v>
      </c>
    </row>
    <row r="1580" spans="1:29" x14ac:dyDescent="0.25">
      <c r="A1580" s="61">
        <v>110000408265</v>
      </c>
      <c r="B1580" s="28">
        <v>2022</v>
      </c>
      <c r="C1580" s="68">
        <f t="shared" si="25"/>
        <v>44562</v>
      </c>
      <c r="D1580" s="28" t="s">
        <v>1044</v>
      </c>
      <c r="E1580" s="28" t="s">
        <v>1617</v>
      </c>
      <c r="F1580" s="28" t="s">
        <v>1045</v>
      </c>
      <c r="G1580" s="28" t="s">
        <v>427</v>
      </c>
      <c r="H1580" s="28">
        <v>48843</v>
      </c>
      <c r="I1580" s="28">
        <v>42.592550000000003</v>
      </c>
      <c r="J1580" s="28">
        <v>-83.889930000000007</v>
      </c>
      <c r="L1580" s="61">
        <v>110000408265</v>
      </c>
      <c r="M1580" s="28" t="s">
        <v>265</v>
      </c>
      <c r="N1580" s="28">
        <v>2899</v>
      </c>
      <c r="O1580" s="28" t="str">
        <f>IFERROR(VLOOKUP(N1580, 'SIC &amp; NAICS Codes'!A:B, 2, FALSE), "")</f>
        <v>Chemicals and Chemical Preparations, NEC (table salt)</v>
      </c>
      <c r="S1580" s="28">
        <v>3.2728894999999999E-3</v>
      </c>
      <c r="T1580" s="315">
        <f>_xlfn.MAXIFS('Raw Period DMR Data'!$O:$O,'Raw Period DMR Data'!$A:$A,'Raw Annual DMR Data_2021-2024'!#REF!,'Raw Period DMR Data'!$C:$C,X1580)/S1580</f>
        <v>0</v>
      </c>
      <c r="U1580" s="28" t="str">
        <f>+IF(COUNTIFS('Raw Period DMR Data'!$A:$A,B1580,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80" s="28" t="str" cm="1">
        <f t="array" ref="V1580">IFERROR(INDEX('Raw Period DMR Data'!N:N,MATCH(1,(B1580='Raw Period DMR Data'!$A:$A)*(U1580='Raw Period DMR Data'!M:M)*(X1580='Raw Period DMR Data'!C:C),0),1), "N/A")</f>
        <v>N/A</v>
      </c>
      <c r="W1580" s="28" t="s">
        <v>1463</v>
      </c>
      <c r="X1580" s="28" t="s">
        <v>1619</v>
      </c>
      <c r="Y1580" s="28" t="s">
        <v>1620</v>
      </c>
      <c r="Z1580" s="61">
        <v>4080203000602</v>
      </c>
      <c r="AB1580" s="28" t="s">
        <v>7355</v>
      </c>
      <c r="AC1580" s="28" t="s">
        <v>1466</v>
      </c>
    </row>
    <row r="1581" spans="1:29" x14ac:dyDescent="0.25">
      <c r="A1581" s="61">
        <v>110000408265</v>
      </c>
      <c r="B1581" s="28">
        <v>2023</v>
      </c>
      <c r="C1581" s="68">
        <f t="shared" si="25"/>
        <v>44927</v>
      </c>
      <c r="D1581" s="28" t="s">
        <v>1044</v>
      </c>
      <c r="E1581" s="28" t="s">
        <v>1617</v>
      </c>
      <c r="F1581" s="28" t="s">
        <v>1045</v>
      </c>
      <c r="G1581" s="28" t="s">
        <v>427</v>
      </c>
      <c r="H1581" s="28">
        <v>48843</v>
      </c>
      <c r="I1581" s="28">
        <v>42.592550000000003</v>
      </c>
      <c r="J1581" s="28">
        <v>-83.889930000000007</v>
      </c>
      <c r="L1581" s="61">
        <v>110000408265</v>
      </c>
      <c r="M1581" s="28" t="s">
        <v>265</v>
      </c>
      <c r="N1581" s="28">
        <v>2899</v>
      </c>
      <c r="O1581" s="28" t="str">
        <f>IFERROR(VLOOKUP(N1581, 'SIC &amp; NAICS Codes'!A:B, 2, FALSE), "")</f>
        <v>Chemicals and Chemical Preparations, NEC (table salt)</v>
      </c>
      <c r="S1581" s="28">
        <v>4.8466924999999999E-4</v>
      </c>
      <c r="T1581" s="315">
        <f>_xlfn.MAXIFS('Raw Period DMR Data'!$O:$O,'Raw Period DMR Data'!$A:$A,'Raw Annual DMR Data_2021-2024'!#REF!,'Raw Period DMR Data'!$C:$C,X1581)/S1581</f>
        <v>0</v>
      </c>
      <c r="U1581" s="28" t="str">
        <f>+IF(COUNTIFS('Raw Period DMR Data'!$A:$A,B1581,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81" s="28" t="str" cm="1">
        <f t="array" ref="V1581">IFERROR(INDEX('Raw Period DMR Data'!N:N,MATCH(1,(B1581='Raw Period DMR Data'!$A:$A)*(U1581='Raw Period DMR Data'!M:M)*(X1581='Raw Period DMR Data'!C:C),0),1), "N/A")</f>
        <v>N/A</v>
      </c>
      <c r="W1581" s="28" t="s">
        <v>1463</v>
      </c>
      <c r="X1581" s="28" t="s">
        <v>1619</v>
      </c>
      <c r="Y1581" s="28" t="s">
        <v>1620</v>
      </c>
      <c r="Z1581" s="61" t="s">
        <v>1621</v>
      </c>
      <c r="AB1581" s="28" t="s">
        <v>7355</v>
      </c>
      <c r="AC1581" s="28" t="s">
        <v>1466</v>
      </c>
    </row>
    <row r="1582" spans="1:29" x14ac:dyDescent="0.25">
      <c r="A1582" s="61">
        <v>110000408265</v>
      </c>
      <c r="B1582" s="28">
        <v>2024</v>
      </c>
      <c r="C1582" s="68">
        <f t="shared" si="25"/>
        <v>45292</v>
      </c>
      <c r="D1582" s="28" t="s">
        <v>1044</v>
      </c>
      <c r="E1582" s="28" t="s">
        <v>1617</v>
      </c>
      <c r="F1582" s="28" t="s">
        <v>1045</v>
      </c>
      <c r="G1582" s="28" t="s">
        <v>427</v>
      </c>
      <c r="H1582" s="28">
        <v>48843</v>
      </c>
      <c r="I1582" s="28">
        <v>42.592550000000003</v>
      </c>
      <c r="J1582" s="28">
        <v>-83.889930000000007</v>
      </c>
      <c r="L1582" s="61">
        <v>110000408265</v>
      </c>
      <c r="M1582" s="28" t="s">
        <v>265</v>
      </c>
      <c r="N1582" s="28">
        <v>2899</v>
      </c>
      <c r="O1582" s="28" t="str">
        <f>IFERROR(VLOOKUP(N1582, 'SIC &amp; NAICS Codes'!A:B, 2, FALSE), "")</f>
        <v>Chemicals and Chemical Preparations, NEC (table salt)</v>
      </c>
      <c r="S1582" s="28">
        <v>4.3130075000000001E-4</v>
      </c>
      <c r="T1582" s="315">
        <f>_xlfn.MAXIFS('Raw Period DMR Data'!$O:$O,'Raw Period DMR Data'!$A:$A,'Raw Annual DMR Data_2021-2024'!#REF!,'Raw Period DMR Data'!$C:$C,X1582)/S1582</f>
        <v>0</v>
      </c>
      <c r="U1582" s="28" t="str">
        <f>+IF(COUNTIFS('Raw Period DMR Data'!$A:$A,B1582,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82" s="28" t="str" cm="1">
        <f t="array" ref="V1582">IFERROR(INDEX('Raw Period DMR Data'!N:N,MATCH(1,(B1582='Raw Period DMR Data'!$A:$A)*(U1582='Raw Period DMR Data'!M:M)*(X1582='Raw Period DMR Data'!C:C),0),1), "N/A")</f>
        <v>N/A</v>
      </c>
      <c r="W1582" s="28" t="s">
        <v>1463</v>
      </c>
      <c r="X1582" s="28" t="s">
        <v>1619</v>
      </c>
      <c r="Y1582" s="28" t="s">
        <v>1620</v>
      </c>
      <c r="Z1582" s="61">
        <v>4080203000602</v>
      </c>
      <c r="AB1582" s="28" t="s">
        <v>7355</v>
      </c>
      <c r="AC1582" s="28" t="s">
        <v>1466</v>
      </c>
    </row>
    <row r="1583" spans="1:29" x14ac:dyDescent="0.25">
      <c r="A1583" s="61">
        <v>110030437524</v>
      </c>
      <c r="B1583" s="28">
        <v>2024</v>
      </c>
      <c r="C1583" s="68">
        <f t="shared" si="25"/>
        <v>45292</v>
      </c>
      <c r="D1583" s="28" t="s">
        <v>6823</v>
      </c>
      <c r="E1583" s="28" t="s">
        <v>6977</v>
      </c>
      <c r="F1583" s="28" t="s">
        <v>6978</v>
      </c>
      <c r="G1583" s="28" t="s">
        <v>366</v>
      </c>
      <c r="H1583" s="28">
        <v>95222</v>
      </c>
      <c r="I1583" s="28">
        <v>38.060360000000003</v>
      </c>
      <c r="J1583" s="28">
        <v>-120.53995999999999</v>
      </c>
      <c r="L1583" s="61">
        <v>110030437524</v>
      </c>
      <c r="M1583" s="28" t="s">
        <v>263</v>
      </c>
      <c r="N1583" s="28">
        <v>4952</v>
      </c>
      <c r="O1583" s="28" t="str">
        <f>IFERROR(VLOOKUP(N1583, 'SIC &amp; NAICS Codes'!A:B, 2, FALSE), "")</f>
        <v>Sewerage Systems</v>
      </c>
      <c r="S1583" s="28">
        <v>5.2331410000000002E-2</v>
      </c>
      <c r="T1583" s="315">
        <f>_xlfn.MAXIFS('Raw Period DMR Data'!$O:$O,'Raw Period DMR Data'!$A:$A,'Raw Annual DMR Data_2021-2024'!#REF!,'Raw Period DMR Data'!$C:$C,X1583)/S1583</f>
        <v>0</v>
      </c>
      <c r="U1583" s="28" t="str">
        <f>+IF(COUNTIFS('Raw Period DMR Data'!$A:$A,B1583,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83" s="28" t="str" cm="1">
        <f t="array" ref="V1583">IFERROR(INDEX('Raw Period DMR Data'!N:N,MATCH(1,(B1583='Raw Period DMR Data'!$A:$A)*(U1583='Raw Period DMR Data'!M:M)*(X1583='Raw Period DMR Data'!C:C),0),1), "N/A")</f>
        <v>N/A</v>
      </c>
      <c r="W1583" s="28" t="s">
        <v>1463</v>
      </c>
      <c r="X1583" s="28" t="s">
        <v>7164</v>
      </c>
      <c r="Y1583" s="28" t="s">
        <v>7278</v>
      </c>
      <c r="Z1583" s="61">
        <v>18040010000629</v>
      </c>
      <c r="AB1583" s="28" t="s">
        <v>7355</v>
      </c>
      <c r="AC1583" s="28" t="s">
        <v>263</v>
      </c>
    </row>
    <row r="1584" spans="1:29" x14ac:dyDescent="0.25">
      <c r="A1584" s="61">
        <v>110030437524</v>
      </c>
      <c r="B1584" s="28">
        <v>2021</v>
      </c>
      <c r="C1584" s="68">
        <f t="shared" si="25"/>
        <v>44197</v>
      </c>
      <c r="D1584" s="28" t="s">
        <v>6823</v>
      </c>
      <c r="E1584" s="28" t="s">
        <v>6977</v>
      </c>
      <c r="F1584" s="28" t="s">
        <v>6978</v>
      </c>
      <c r="G1584" s="28" t="s">
        <v>366</v>
      </c>
      <c r="H1584" s="28">
        <v>95222</v>
      </c>
      <c r="I1584" s="28">
        <v>38.060360000000003</v>
      </c>
      <c r="J1584" s="28">
        <v>-120.53995999999999</v>
      </c>
      <c r="L1584" s="61">
        <v>110030437524</v>
      </c>
      <c r="M1584" s="28" t="s">
        <v>263</v>
      </c>
      <c r="N1584" s="28">
        <v>4952</v>
      </c>
      <c r="O1584" s="28" t="str">
        <f>IFERROR(VLOOKUP(N1584, 'SIC &amp; NAICS Codes'!A:B, 2, FALSE), "")</f>
        <v>Sewerage Systems</v>
      </c>
      <c r="S1584" s="28">
        <v>3.3018447499999999E-2</v>
      </c>
      <c r="T1584" s="315">
        <f>_xlfn.MAXIFS('Raw Period DMR Data'!$O:$O,'Raw Period DMR Data'!$A:$A,'Raw Annual DMR Data_2021-2024'!#REF!,'Raw Period DMR Data'!$C:$C,X1584)/S1584</f>
        <v>0</v>
      </c>
      <c r="U1584" s="28" t="str">
        <f>+IF(COUNTIFS('Raw Period DMR Data'!$A:$A,B1584,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84" s="28" t="str" cm="1">
        <f t="array" ref="V1584">IFERROR(INDEX('Raw Period DMR Data'!N:N,MATCH(1,(B1584='Raw Period DMR Data'!$A:$A)*(U1584='Raw Period DMR Data'!M:M)*(X1584='Raw Period DMR Data'!C:C),0),1), "N/A")</f>
        <v>N/A</v>
      </c>
      <c r="W1584" s="28" t="s">
        <v>1463</v>
      </c>
      <c r="X1584" s="28" t="s">
        <v>7164</v>
      </c>
      <c r="Y1584" s="28" t="s">
        <v>7278</v>
      </c>
      <c r="Z1584" s="61">
        <v>18040010000629</v>
      </c>
      <c r="AA1584" s="28"/>
      <c r="AB1584" s="28" t="s">
        <v>7355</v>
      </c>
      <c r="AC1584" s="28" t="s">
        <v>263</v>
      </c>
    </row>
    <row r="1585" spans="1:29" x14ac:dyDescent="0.25">
      <c r="A1585" s="61">
        <v>110000730745</v>
      </c>
      <c r="B1585" s="28">
        <v>2021</v>
      </c>
      <c r="C1585" s="68">
        <f t="shared" si="25"/>
        <v>44197</v>
      </c>
      <c r="D1585" s="28" t="s">
        <v>125</v>
      </c>
      <c r="E1585" s="28" t="s">
        <v>403</v>
      </c>
      <c r="F1585" s="28" t="s">
        <v>404</v>
      </c>
      <c r="G1585" s="28" t="s">
        <v>366</v>
      </c>
      <c r="H1585" s="28" t="s">
        <v>405</v>
      </c>
      <c r="I1585" s="28">
        <v>40.162660000000002</v>
      </c>
      <c r="J1585" s="28">
        <v>-122.22068</v>
      </c>
      <c r="L1585" s="61">
        <v>110000730745</v>
      </c>
      <c r="M1585" s="28" t="s">
        <v>263</v>
      </c>
      <c r="N1585" s="28">
        <v>4952</v>
      </c>
      <c r="O1585" s="28" t="str">
        <f>IFERROR(VLOOKUP(N1585, 'SIC &amp; NAICS Codes'!A:B, 2, FALSE), "")</f>
        <v>Sewerage Systems</v>
      </c>
      <c r="S1585" s="28">
        <v>7.5336640000000002E-4</v>
      </c>
      <c r="T1585" s="315">
        <f>_xlfn.MAXIFS('Raw Period DMR Data'!$O:$O,'Raw Period DMR Data'!$A:$A,'Raw Annual DMR Data_2021-2024'!#REF!,'Raw Period DMR Data'!$C:$C,X1585)/S1585</f>
        <v>0</v>
      </c>
      <c r="U1585" s="28" t="str">
        <f>+IF(COUNTIFS('Raw Period DMR Data'!$A:$A,B1585,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85" s="28" t="str" cm="1">
        <f t="array" ref="V1585">IFERROR(INDEX('Raw Period DMR Data'!N:N,MATCH(1,(B1585='Raw Period DMR Data'!$A:$A)*(U1585='Raw Period DMR Data'!M:M)*(X1585='Raw Period DMR Data'!C:C),0),1), "N/A")</f>
        <v>N/A</v>
      </c>
      <c r="W1585" s="28" t="s">
        <v>1463</v>
      </c>
      <c r="X1585" s="28" t="s">
        <v>817</v>
      </c>
      <c r="Y1585" s="28" t="s">
        <v>818</v>
      </c>
      <c r="Z1585" s="61">
        <v>18020155005966</v>
      </c>
      <c r="AA1585" s="28"/>
      <c r="AB1585" s="28" t="s">
        <v>7355</v>
      </c>
      <c r="AC1585" s="28" t="s">
        <v>263</v>
      </c>
    </row>
    <row r="1586" spans="1:29" x14ac:dyDescent="0.25">
      <c r="A1586" s="61">
        <v>110027363252</v>
      </c>
      <c r="B1586" s="28">
        <v>2023</v>
      </c>
      <c r="C1586" s="68">
        <f t="shared" si="25"/>
        <v>44927</v>
      </c>
      <c r="D1586" s="28" t="s">
        <v>1061</v>
      </c>
      <c r="E1586" s="28" t="s">
        <v>1643</v>
      </c>
      <c r="F1586" s="28" t="s">
        <v>1062</v>
      </c>
      <c r="G1586" s="28" t="s">
        <v>366</v>
      </c>
      <c r="H1586" s="28">
        <v>92008</v>
      </c>
      <c r="I1586" s="28">
        <v>33.139895000000003</v>
      </c>
      <c r="J1586" s="28">
        <v>-117.339645</v>
      </c>
      <c r="L1586" s="61">
        <v>110027363252</v>
      </c>
      <c r="M1586" s="28" t="s">
        <v>263</v>
      </c>
      <c r="N1586" s="28">
        <v>4941</v>
      </c>
      <c r="O1586" s="28" t="str">
        <f>IFERROR(VLOOKUP(N1586, 'SIC &amp; NAICS Codes'!A:B, 2, FALSE), "")</f>
        <v>Water Supply</v>
      </c>
      <c r="S1586" s="28">
        <v>0.67094918491935396</v>
      </c>
      <c r="T1586" s="315">
        <f>_xlfn.MAXIFS('Raw Period DMR Data'!$O:$O,'Raw Period DMR Data'!$A:$A,'Raw Annual DMR Data_2021-2024'!#REF!,'Raw Period DMR Data'!$C:$C,X1586)/S1586</f>
        <v>0</v>
      </c>
      <c r="U1586" s="28" t="str">
        <f>+IF(COUNTIFS('Raw Period DMR Data'!$A:$A,B1586,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86" s="28" t="str" cm="1">
        <f t="array" ref="V1586">IFERROR(INDEX('Raw Period DMR Data'!N:N,MATCH(1,(B1586='Raw Period DMR Data'!$A:$A)*(U1586='Raw Period DMR Data'!M:M)*(X1586='Raw Period DMR Data'!C:C),0),1), "N/A")</f>
        <v>N/A</v>
      </c>
      <c r="W1586" s="28" t="s">
        <v>1463</v>
      </c>
      <c r="X1586" s="28" t="s">
        <v>1644</v>
      </c>
      <c r="Y1586" s="28" t="s">
        <v>926</v>
      </c>
      <c r="Z1586" s="61">
        <v>18070303000019</v>
      </c>
      <c r="AB1586" s="28" t="s">
        <v>7355</v>
      </c>
      <c r="AC1586" s="28" t="s">
        <v>1466</v>
      </c>
    </row>
    <row r="1587" spans="1:29" x14ac:dyDescent="0.25">
      <c r="A1587" s="61">
        <v>110027363252</v>
      </c>
      <c r="B1587" s="28">
        <v>2022</v>
      </c>
      <c r="C1587" s="68">
        <f t="shared" si="25"/>
        <v>44562</v>
      </c>
      <c r="D1587" s="28" t="s">
        <v>1061</v>
      </c>
      <c r="E1587" s="28" t="s">
        <v>1643</v>
      </c>
      <c r="F1587" s="28" t="s">
        <v>1062</v>
      </c>
      <c r="G1587" s="28" t="s">
        <v>366</v>
      </c>
      <c r="H1587" s="28">
        <v>92008</v>
      </c>
      <c r="I1587" s="28">
        <v>33.139895000000003</v>
      </c>
      <c r="J1587" s="28">
        <v>-117.339645</v>
      </c>
      <c r="L1587" s="61">
        <v>110027363252</v>
      </c>
      <c r="M1587" s="28" t="s">
        <v>263</v>
      </c>
      <c r="N1587" s="28">
        <v>4941</v>
      </c>
      <c r="O1587" s="28" t="str">
        <f>IFERROR(VLOOKUP(N1587, 'SIC &amp; NAICS Codes'!A:B, 2, FALSE), "")</f>
        <v>Water Supply</v>
      </c>
      <c r="S1587" s="28">
        <v>0.48009019851290302</v>
      </c>
      <c r="T1587" s="315">
        <f>_xlfn.MAXIFS('Raw Period DMR Data'!$O:$O,'Raw Period DMR Data'!$A:$A,'Raw Annual DMR Data_2021-2024'!#REF!,'Raw Period DMR Data'!$C:$C,X1587)/S1587</f>
        <v>0</v>
      </c>
      <c r="U1587" s="28" t="str">
        <f>+IF(COUNTIFS('Raw Period DMR Data'!$A:$A,B1587,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87" s="28" t="str" cm="1">
        <f t="array" ref="V1587">IFERROR(INDEX('Raw Period DMR Data'!N:N,MATCH(1,(B1587='Raw Period DMR Data'!$A:$A)*(U1587='Raw Period DMR Data'!M:M)*(X1587='Raw Period DMR Data'!C:C),0),1), "N/A")</f>
        <v>N/A</v>
      </c>
      <c r="W1587" s="28" t="s">
        <v>1463</v>
      </c>
      <c r="X1587" s="28" t="s">
        <v>1644</v>
      </c>
      <c r="Y1587" s="28" t="s">
        <v>926</v>
      </c>
      <c r="Z1587" s="61">
        <v>18070303000019</v>
      </c>
      <c r="AB1587" s="28" t="s">
        <v>7355</v>
      </c>
      <c r="AC1587" s="28" t="s">
        <v>1466</v>
      </c>
    </row>
    <row r="1588" spans="1:29" x14ac:dyDescent="0.25">
      <c r="A1588" s="61">
        <v>110027363252</v>
      </c>
      <c r="B1588" s="28">
        <v>2024</v>
      </c>
      <c r="C1588" s="68">
        <f t="shared" si="25"/>
        <v>45292</v>
      </c>
      <c r="D1588" s="28" t="s">
        <v>1061</v>
      </c>
      <c r="E1588" s="28" t="s">
        <v>1643</v>
      </c>
      <c r="F1588" s="28" t="s">
        <v>1062</v>
      </c>
      <c r="G1588" s="28" t="s">
        <v>366</v>
      </c>
      <c r="H1588" s="28">
        <v>92008</v>
      </c>
      <c r="I1588" s="28">
        <v>33.139895000000003</v>
      </c>
      <c r="J1588" s="28">
        <v>-117.339645</v>
      </c>
      <c r="L1588" s="61">
        <v>110027363252</v>
      </c>
      <c r="M1588" s="28" t="s">
        <v>263</v>
      </c>
      <c r="N1588" s="28">
        <v>4941</v>
      </c>
      <c r="O1588" s="28" t="str">
        <f>IFERROR(VLOOKUP(N1588, 'SIC &amp; NAICS Codes'!A:B, 2, FALSE), "")</f>
        <v>Water Supply</v>
      </c>
      <c r="S1588" s="28">
        <v>0.27324589421881701</v>
      </c>
      <c r="T1588" s="315">
        <f>_xlfn.MAXIFS('Raw Period DMR Data'!$O:$O,'Raw Period DMR Data'!$A:$A,'Raw Annual DMR Data_2021-2024'!#REF!,'Raw Period DMR Data'!$C:$C,X1588)/S1588</f>
        <v>0</v>
      </c>
      <c r="U1588" s="28" t="str">
        <f>+IF(COUNTIFS('Raw Period DMR Data'!$A:$A,B1588,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88" s="28" t="str" cm="1">
        <f t="array" ref="V1588">IFERROR(INDEX('Raw Period DMR Data'!N:N,MATCH(1,(B1588='Raw Period DMR Data'!$A:$A)*(U1588='Raw Period DMR Data'!M:M)*(X1588='Raw Period DMR Data'!C:C),0),1), "N/A")</f>
        <v>N/A</v>
      </c>
      <c r="W1588" s="28" t="s">
        <v>1463</v>
      </c>
      <c r="X1588" s="28" t="s">
        <v>1644</v>
      </c>
      <c r="Y1588" s="28" t="s">
        <v>926</v>
      </c>
      <c r="Z1588" s="61">
        <v>18070303000019</v>
      </c>
      <c r="AB1588" s="28" t="s">
        <v>7355</v>
      </c>
      <c r="AC1588" s="28" t="s">
        <v>1466</v>
      </c>
    </row>
    <row r="1589" spans="1:29" x14ac:dyDescent="0.25">
      <c r="A1589" s="61">
        <v>110027363252</v>
      </c>
      <c r="B1589" s="28">
        <v>2021</v>
      </c>
      <c r="C1589" s="68">
        <f t="shared" si="25"/>
        <v>44197</v>
      </c>
      <c r="D1589" s="28" t="s">
        <v>1061</v>
      </c>
      <c r="E1589" s="28" t="s">
        <v>1643</v>
      </c>
      <c r="F1589" s="28" t="s">
        <v>1062</v>
      </c>
      <c r="G1589" s="28" t="s">
        <v>366</v>
      </c>
      <c r="H1589" s="28">
        <v>92008</v>
      </c>
      <c r="I1589" s="28">
        <v>33.139895000000003</v>
      </c>
      <c r="J1589" s="28">
        <v>-117.339645</v>
      </c>
      <c r="L1589" s="61">
        <v>110027363252</v>
      </c>
      <c r="M1589" s="28" t="s">
        <v>263</v>
      </c>
      <c r="N1589" s="28">
        <v>4941</v>
      </c>
      <c r="O1589" s="28" t="str">
        <f>IFERROR(VLOOKUP(N1589, 'SIC &amp; NAICS Codes'!A:B, 2, FALSE), "")</f>
        <v>Water Supply</v>
      </c>
      <c r="S1589" s="28">
        <v>0.221482860982258</v>
      </c>
      <c r="T1589" s="315">
        <f>_xlfn.MAXIFS('Raw Period DMR Data'!$O:$O,'Raw Period DMR Data'!$A:$A,'Raw Annual DMR Data_2021-2024'!#REF!,'Raw Period DMR Data'!$C:$C,X1589)/S1589</f>
        <v>0</v>
      </c>
      <c r="U1589" s="28" t="str">
        <f>+IF(COUNTIFS('Raw Period DMR Data'!$A:$A,B1589,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89" s="28" t="str" cm="1">
        <f t="array" ref="V1589">IFERROR(INDEX('Raw Period DMR Data'!N:N,MATCH(1,(B1589='Raw Period DMR Data'!$A:$A)*(U1589='Raw Period DMR Data'!M:M)*(X1589='Raw Period DMR Data'!C:C),0),1), "N/A")</f>
        <v>N/A</v>
      </c>
      <c r="W1589" s="28" t="s">
        <v>1463</v>
      </c>
      <c r="X1589" s="28" t="s">
        <v>1644</v>
      </c>
      <c r="Y1589" s="28" t="s">
        <v>926</v>
      </c>
      <c r="Z1589" s="61">
        <v>18070303000019</v>
      </c>
      <c r="AA1589" s="28"/>
      <c r="AB1589" s="28" t="s">
        <v>7355</v>
      </c>
      <c r="AC1589" s="28" t="s">
        <v>1466</v>
      </c>
    </row>
    <row r="1590" spans="1:29" x14ac:dyDescent="0.25">
      <c r="A1590" s="61">
        <v>110070670433</v>
      </c>
      <c r="B1590" s="28">
        <v>2022</v>
      </c>
      <c r="C1590" s="68">
        <f t="shared" si="25"/>
        <v>44562</v>
      </c>
      <c r="D1590" s="28" t="s">
        <v>1063</v>
      </c>
      <c r="E1590" s="28" t="s">
        <v>1645</v>
      </c>
      <c r="F1590" s="28" t="s">
        <v>1064</v>
      </c>
      <c r="G1590" s="28" t="s">
        <v>308</v>
      </c>
      <c r="H1590" s="28">
        <v>1760</v>
      </c>
      <c r="I1590" s="28">
        <v>42.303330000000003</v>
      </c>
      <c r="J1590" s="28">
        <v>-71.360830000000007</v>
      </c>
      <c r="L1590" s="61">
        <v>110070670433</v>
      </c>
      <c r="M1590" s="28" t="s">
        <v>265</v>
      </c>
      <c r="O1590" s="28" t="str">
        <f>IFERROR(VLOOKUP(N1590, 'SIC &amp; NAICS Codes'!A:B, 2, FALSE), "")</f>
        <v/>
      </c>
      <c r="S1590" s="28">
        <v>1.4713286670000001E-2</v>
      </c>
      <c r="T1590" s="315">
        <f>_xlfn.MAXIFS('Raw Period DMR Data'!$O:$O,'Raw Period DMR Data'!$A:$A,'Raw Annual DMR Data_2021-2024'!#REF!,'Raw Period DMR Data'!$C:$C,X1590)/S1590</f>
        <v>0</v>
      </c>
      <c r="U1590" s="28" t="str">
        <f>+IF(COUNTIFS('Raw Period DMR Data'!$A:$A,B1590,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90" s="28" t="str" cm="1">
        <f t="array" ref="V1590">IFERROR(INDEX('Raw Period DMR Data'!N:N,MATCH(1,(B1590='Raw Period DMR Data'!$A:$A)*(U1590='Raw Period DMR Data'!M:M)*(X1590='Raw Period DMR Data'!C:C),0),1), "N/A")</f>
        <v>N/A</v>
      </c>
      <c r="W1590" s="28" t="s">
        <v>1463</v>
      </c>
      <c r="X1590" s="28" t="s">
        <v>1646</v>
      </c>
      <c r="Y1590" s="28" t="s">
        <v>1647</v>
      </c>
      <c r="Z1590" s="61"/>
      <c r="AB1590" s="28" t="s">
        <v>7355</v>
      </c>
      <c r="AC1590" s="28" t="s">
        <v>1466</v>
      </c>
    </row>
    <row r="1591" spans="1:29" x14ac:dyDescent="0.25">
      <c r="A1591" s="61">
        <v>110070670433</v>
      </c>
      <c r="B1591" s="28">
        <v>2021</v>
      </c>
      <c r="C1591" s="68">
        <f t="shared" si="25"/>
        <v>44197</v>
      </c>
      <c r="D1591" s="28" t="s">
        <v>1063</v>
      </c>
      <c r="E1591" s="28" t="s">
        <v>1645</v>
      </c>
      <c r="F1591" s="28" t="s">
        <v>1064</v>
      </c>
      <c r="G1591" s="28" t="s">
        <v>308</v>
      </c>
      <c r="H1591" s="28">
        <v>1760</v>
      </c>
      <c r="I1591" s="28">
        <v>42.303330000000003</v>
      </c>
      <c r="J1591" s="28">
        <v>-71.360830000000007</v>
      </c>
      <c r="L1591" s="61">
        <v>110070670433</v>
      </c>
      <c r="M1591" s="28" t="s">
        <v>265</v>
      </c>
      <c r="O1591" s="28" t="str">
        <f>IFERROR(VLOOKUP(N1591, 'SIC &amp; NAICS Codes'!A:B, 2, FALSE), "")</f>
        <v/>
      </c>
      <c r="S1591" s="28">
        <v>1.42146375225E-2</v>
      </c>
      <c r="T1591" s="315">
        <f>_xlfn.MAXIFS('Raw Period DMR Data'!$O:$O,'Raw Period DMR Data'!$A:$A,'Raw Annual DMR Data_2021-2024'!#REF!,'Raw Period DMR Data'!$C:$C,X1591)/S1591</f>
        <v>0</v>
      </c>
      <c r="U1591" s="28" t="str">
        <f>+IF(COUNTIFS('Raw Period DMR Data'!$A:$A,B1591,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91" s="28" t="str" cm="1">
        <f t="array" ref="V1591">IFERROR(INDEX('Raw Period DMR Data'!N:N,MATCH(1,(B1591='Raw Period DMR Data'!$A:$A)*(U1591='Raw Period DMR Data'!M:M)*(X1591='Raw Period DMR Data'!C:C),0),1), "N/A")</f>
        <v>N/A</v>
      </c>
      <c r="W1591" s="28" t="s">
        <v>1463</v>
      </c>
      <c r="X1591" s="28" t="s">
        <v>1646</v>
      </c>
      <c r="Y1591" s="28" t="s">
        <v>1647</v>
      </c>
      <c r="Z1591" s="61"/>
      <c r="AA1591" s="28"/>
      <c r="AB1591" s="28" t="s">
        <v>7355</v>
      </c>
      <c r="AC1591" s="28" t="s">
        <v>1466</v>
      </c>
    </row>
    <row r="1592" spans="1:29" x14ac:dyDescent="0.25">
      <c r="A1592" s="61">
        <v>110000450039</v>
      </c>
      <c r="B1592" s="28">
        <v>2024</v>
      </c>
      <c r="C1592" s="68">
        <f t="shared" si="25"/>
        <v>45292</v>
      </c>
      <c r="D1592" s="28" t="s">
        <v>127</v>
      </c>
      <c r="E1592" s="28" t="s">
        <v>408</v>
      </c>
      <c r="F1592" s="28" t="s">
        <v>302</v>
      </c>
      <c r="G1592" s="28" t="s">
        <v>303</v>
      </c>
      <c r="H1592" s="28">
        <v>70807</v>
      </c>
      <c r="I1592" s="28">
        <v>30.567550000000001</v>
      </c>
      <c r="J1592" s="28">
        <v>-91.206370000000007</v>
      </c>
      <c r="K1592" s="28" t="s">
        <v>409</v>
      </c>
      <c r="L1592" s="61">
        <v>110000450039</v>
      </c>
      <c r="M1592" s="28" t="s">
        <v>6751</v>
      </c>
      <c r="N1592" s="28">
        <v>4953</v>
      </c>
      <c r="O1592" s="28" t="str">
        <f>IFERROR(VLOOKUP(N1592, 'SIC &amp; NAICS Codes'!A:B, 2, FALSE), "")</f>
        <v>Refuse Systems (hazardous waste treatment and disposal)</v>
      </c>
      <c r="S1592" s="28">
        <v>0.65951066666666602</v>
      </c>
      <c r="T1592" s="315">
        <f>_xlfn.MAXIFS('Raw Period DMR Data'!$O:$O,'Raw Period DMR Data'!$A:$A,'Raw Annual DMR Data_2021-2024'!#REF!,'Raw Period DMR Data'!$C:$C,X1592)/S1592</f>
        <v>0</v>
      </c>
      <c r="U1592" s="28" t="str">
        <f>+IF(COUNTIFS('Raw Period DMR Data'!$A:$A,B1592,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92" s="28" t="str" cm="1">
        <f t="array" ref="V1592">IFERROR(INDEX('Raw Period DMR Data'!N:N,MATCH(1,(B1592='Raw Period DMR Data'!$A:$A)*(U1592='Raw Period DMR Data'!M:M)*(X1592='Raw Period DMR Data'!C:C),0),1), "N/A")</f>
        <v>N/A</v>
      </c>
      <c r="W1592" s="28" t="s">
        <v>1463</v>
      </c>
      <c r="X1592" s="28" t="s">
        <v>820</v>
      </c>
      <c r="Y1592" s="28" t="s">
        <v>816</v>
      </c>
      <c r="Z1592" s="61">
        <v>8070201000273</v>
      </c>
      <c r="AB1592" s="28" t="s">
        <v>7355</v>
      </c>
      <c r="AC1592" s="28" t="s">
        <v>1466</v>
      </c>
    </row>
    <row r="1593" spans="1:29" x14ac:dyDescent="0.25">
      <c r="A1593" s="61">
        <v>110000521221</v>
      </c>
      <c r="B1593" s="28">
        <v>2023</v>
      </c>
      <c r="C1593" s="68">
        <f t="shared" si="25"/>
        <v>44927</v>
      </c>
      <c r="D1593" s="28" t="s">
        <v>128</v>
      </c>
      <c r="E1593" s="28" t="s">
        <v>411</v>
      </c>
      <c r="F1593" s="28" t="s">
        <v>412</v>
      </c>
      <c r="G1593" s="28" t="s">
        <v>299</v>
      </c>
      <c r="H1593" s="28">
        <v>71730</v>
      </c>
      <c r="I1593" s="28">
        <v>33.2044</v>
      </c>
      <c r="J1593" s="28">
        <v>-92.630799999999994</v>
      </c>
      <c r="K1593" s="28" t="s">
        <v>413</v>
      </c>
      <c r="L1593" s="61">
        <v>110000521221</v>
      </c>
      <c r="M1593" s="28" t="s">
        <v>6752</v>
      </c>
      <c r="N1593" s="28">
        <v>4953</v>
      </c>
      <c r="O1593" s="28" t="str">
        <f>IFERROR(VLOOKUP(N1593, 'SIC &amp; NAICS Codes'!A:B, 2, FALSE), "")</f>
        <v>Refuse Systems (hazardous waste treatment and disposal)</v>
      </c>
      <c r="S1593" s="28">
        <v>6.0458200154000002E-3</v>
      </c>
      <c r="T1593" s="315">
        <f>_xlfn.MAXIFS('Raw Period DMR Data'!$O:$O,'Raw Period DMR Data'!$A:$A,'Raw Annual DMR Data_2021-2024'!#REF!,'Raw Period DMR Data'!$C:$C,X1593)/S1593</f>
        <v>0</v>
      </c>
      <c r="U1593" s="28" t="str">
        <f>+IF(COUNTIFS('Raw Period DMR Data'!$A:$A,B1593,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93" s="28" t="str" cm="1">
        <f t="array" ref="V1593">IFERROR(INDEX('Raw Period DMR Data'!N:N,MATCH(1,(B1593='Raw Period DMR Data'!$A:$A)*(U1593='Raw Period DMR Data'!M:M)*(X1593='Raw Period DMR Data'!C:C),0),1), "N/A")</f>
        <v>N/A</v>
      </c>
      <c r="W1593" s="28" t="s">
        <v>1463</v>
      </c>
      <c r="X1593" s="28" t="s">
        <v>821</v>
      </c>
      <c r="Y1593" s="28" t="s">
        <v>7253</v>
      </c>
      <c r="Z1593" s="61" t="s">
        <v>7331</v>
      </c>
      <c r="AC1593" s="28" t="s">
        <v>1466</v>
      </c>
    </row>
    <row r="1594" spans="1:29" x14ac:dyDescent="0.25">
      <c r="A1594" s="61">
        <v>110000521221</v>
      </c>
      <c r="B1594" s="28">
        <v>2024</v>
      </c>
      <c r="C1594" s="68">
        <f t="shared" si="25"/>
        <v>45292</v>
      </c>
      <c r="D1594" s="28" t="s">
        <v>128</v>
      </c>
      <c r="E1594" s="28" t="s">
        <v>411</v>
      </c>
      <c r="F1594" s="28" t="s">
        <v>412</v>
      </c>
      <c r="G1594" s="28" t="s">
        <v>299</v>
      </c>
      <c r="H1594" s="28">
        <v>71730</v>
      </c>
      <c r="I1594" s="28">
        <v>33.2044</v>
      </c>
      <c r="J1594" s="28">
        <v>-92.630799999999994</v>
      </c>
      <c r="K1594" s="28" t="s">
        <v>413</v>
      </c>
      <c r="L1594" s="61">
        <v>110000521221</v>
      </c>
      <c r="M1594" s="28" t="s">
        <v>6752</v>
      </c>
      <c r="N1594" s="28">
        <v>4953</v>
      </c>
      <c r="O1594" s="28" t="str">
        <f>IFERROR(VLOOKUP(N1594, 'SIC &amp; NAICS Codes'!A:B, 2, FALSE), "")</f>
        <v>Refuse Systems (hazardous waste treatment and disposal)</v>
      </c>
      <c r="S1594" s="28">
        <v>5.8320188399999997E-3</v>
      </c>
      <c r="T1594" s="315">
        <f>_xlfn.MAXIFS('Raw Period DMR Data'!$O:$O,'Raw Period DMR Data'!$A:$A,'Raw Annual DMR Data_2021-2024'!#REF!,'Raw Period DMR Data'!$C:$C,X1594)/S1594</f>
        <v>0</v>
      </c>
      <c r="U1594" s="28" t="str">
        <f>+IF(COUNTIFS('Raw Period DMR Data'!$A:$A,B1594,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94" s="28" t="str" cm="1">
        <f t="array" ref="V1594">IFERROR(INDEX('Raw Period DMR Data'!N:N,MATCH(1,(B1594='Raw Period DMR Data'!$A:$A)*(U1594='Raw Period DMR Data'!M:M)*(X1594='Raw Period DMR Data'!C:C),0),1), "N/A")</f>
        <v>N/A</v>
      </c>
      <c r="W1594" s="28" t="s">
        <v>1463</v>
      </c>
      <c r="X1594" s="28" t="s">
        <v>821</v>
      </c>
      <c r="Y1594" s="28" t="s">
        <v>7253</v>
      </c>
      <c r="Z1594" s="61">
        <v>8040202000533</v>
      </c>
      <c r="AC1594" s="28" t="s">
        <v>1466</v>
      </c>
    </row>
    <row r="1595" spans="1:29" x14ac:dyDescent="0.25">
      <c r="A1595" s="61">
        <v>110000521221</v>
      </c>
      <c r="B1595" s="28">
        <v>2024</v>
      </c>
      <c r="C1595" s="68">
        <f t="shared" si="25"/>
        <v>45292</v>
      </c>
      <c r="D1595" s="28" t="s">
        <v>128</v>
      </c>
      <c r="E1595" s="28" t="s">
        <v>411</v>
      </c>
      <c r="F1595" s="28" t="s">
        <v>412</v>
      </c>
      <c r="G1595" s="28" t="s">
        <v>299</v>
      </c>
      <c r="H1595" s="28">
        <v>71730</v>
      </c>
      <c r="I1595" s="28">
        <v>33.2044</v>
      </c>
      <c r="J1595" s="28">
        <v>-92.630799999999994</v>
      </c>
      <c r="K1595" s="28" t="s">
        <v>413</v>
      </c>
      <c r="L1595" s="61">
        <v>110000521221</v>
      </c>
      <c r="M1595" s="28" t="s">
        <v>6752</v>
      </c>
      <c r="N1595" s="28">
        <v>4953</v>
      </c>
      <c r="O1595" s="28" t="str">
        <f>IFERROR(VLOOKUP(N1595, 'SIC &amp; NAICS Codes'!A:B, 2, FALSE), "")</f>
        <v>Refuse Systems (hazardous waste treatment and disposal)</v>
      </c>
      <c r="S1595" s="28">
        <v>3.54774812533333E-3</v>
      </c>
      <c r="T1595" s="315">
        <f>_xlfn.MAXIFS('Raw Period DMR Data'!$O:$O,'Raw Period DMR Data'!$A:$A,'Raw Annual DMR Data_2021-2024'!#REF!,'Raw Period DMR Data'!$C:$C,X1595)/S1595</f>
        <v>0</v>
      </c>
      <c r="U1595" s="28" t="str">
        <f>+IF(COUNTIFS('Raw Period DMR Data'!$A:$A,B1595,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95" s="28" t="str" cm="1">
        <f t="array" ref="V1595">IFERROR(INDEX('Raw Period DMR Data'!N:N,MATCH(1,(B1595='Raw Period DMR Data'!$A:$A)*(U1595='Raw Period DMR Data'!M:M)*(X1595='Raw Period DMR Data'!C:C),0),1), "N/A")</f>
        <v>N/A</v>
      </c>
      <c r="W1595" s="28" t="s">
        <v>1463</v>
      </c>
      <c r="X1595" s="28" t="s">
        <v>821</v>
      </c>
      <c r="Y1595" s="28" t="s">
        <v>7253</v>
      </c>
      <c r="Z1595" s="61">
        <v>8040202000533</v>
      </c>
      <c r="AC1595" s="28" t="s">
        <v>1466</v>
      </c>
    </row>
    <row r="1596" spans="1:29" x14ac:dyDescent="0.25">
      <c r="A1596" s="61">
        <v>110000521221</v>
      </c>
      <c r="B1596" s="28">
        <v>2021</v>
      </c>
      <c r="C1596" s="68">
        <f t="shared" si="25"/>
        <v>44197</v>
      </c>
      <c r="D1596" s="28" t="s">
        <v>128</v>
      </c>
      <c r="E1596" s="28" t="s">
        <v>411</v>
      </c>
      <c r="F1596" s="28" t="s">
        <v>412</v>
      </c>
      <c r="G1596" s="28" t="s">
        <v>299</v>
      </c>
      <c r="H1596" s="28">
        <v>71730</v>
      </c>
      <c r="I1596" s="28">
        <v>33.2044</v>
      </c>
      <c r="J1596" s="28">
        <v>-92.630799999999994</v>
      </c>
      <c r="K1596" s="28" t="s">
        <v>413</v>
      </c>
      <c r="L1596" s="61">
        <v>110000521221</v>
      </c>
      <c r="M1596" s="28" t="s">
        <v>6752</v>
      </c>
      <c r="N1596" s="28">
        <v>4953</v>
      </c>
      <c r="O1596" s="28" t="str">
        <f>IFERROR(VLOOKUP(N1596, 'SIC &amp; NAICS Codes'!A:B, 2, FALSE), "")</f>
        <v>Refuse Systems (hazardous waste treatment and disposal)</v>
      </c>
      <c r="S1596" s="28">
        <v>8.0938440000000004E-4</v>
      </c>
      <c r="T1596" s="315">
        <f>_xlfn.MAXIFS('Raw Period DMR Data'!$O:$O,'Raw Period DMR Data'!$A:$A,'Raw Annual DMR Data_2021-2024'!#REF!,'Raw Period DMR Data'!$C:$C,X1596)/S1596</f>
        <v>0</v>
      </c>
      <c r="U1596" s="28" t="str">
        <f>+IF(COUNTIFS('Raw Period DMR Data'!$A:$A,B1596,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96" s="28" t="str" cm="1">
        <f t="array" ref="V1596">IFERROR(INDEX('Raw Period DMR Data'!N:N,MATCH(1,(B1596='Raw Period DMR Data'!$A:$A)*(U1596='Raw Period DMR Data'!M:M)*(X1596='Raw Period DMR Data'!C:C),0),1), "N/A")</f>
        <v>N/A</v>
      </c>
      <c r="W1596" s="28" t="s">
        <v>1463</v>
      </c>
      <c r="X1596" s="28" t="s">
        <v>821</v>
      </c>
      <c r="Y1596" s="28" t="s">
        <v>7253</v>
      </c>
      <c r="Z1596" s="61">
        <v>8040202000533</v>
      </c>
      <c r="AA1596" s="28"/>
      <c r="AC1596" s="28" t="s">
        <v>1466</v>
      </c>
    </row>
    <row r="1597" spans="1:29" x14ac:dyDescent="0.25">
      <c r="A1597" s="61">
        <v>110000854246</v>
      </c>
      <c r="B1597" s="28">
        <v>2021</v>
      </c>
      <c r="C1597" s="68">
        <f t="shared" si="25"/>
        <v>44197</v>
      </c>
      <c r="D1597" s="28" t="s">
        <v>6829</v>
      </c>
      <c r="E1597" s="28" t="s">
        <v>6983</v>
      </c>
      <c r="F1597" s="28" t="s">
        <v>1066</v>
      </c>
      <c r="G1597" s="28" t="s">
        <v>541</v>
      </c>
      <c r="H1597" s="28">
        <v>29210</v>
      </c>
      <c r="I1597" s="28">
        <v>34.047217000000003</v>
      </c>
      <c r="J1597" s="28">
        <v>-81.151325999999997</v>
      </c>
      <c r="K1597" s="28" t="s">
        <v>7126</v>
      </c>
      <c r="L1597" s="61">
        <v>110000854246</v>
      </c>
      <c r="M1597" s="28" t="s">
        <v>265</v>
      </c>
      <c r="N1597" s="28">
        <v>2824</v>
      </c>
      <c r="O1597" s="28" t="str">
        <f>IFERROR(VLOOKUP(N1597, 'SIC &amp; NAICS Codes'!A:B, 2, FALSE), "")</f>
        <v>Manmade Organic Fibers, Except Cellulosic</v>
      </c>
      <c r="S1597" s="28">
        <v>0.33141999999999999</v>
      </c>
      <c r="T1597" s="315">
        <f>_xlfn.MAXIFS('Raw Period DMR Data'!$O:$O,'Raw Period DMR Data'!$A:$A,'Raw Annual DMR Data_2021-2024'!#REF!,'Raw Period DMR Data'!$C:$C,X1597)/S1597</f>
        <v>0</v>
      </c>
      <c r="U1597" s="28" t="str">
        <f>+IF(COUNTIFS('Raw Period DMR Data'!$A:$A,B1597,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97" s="28" t="str" cm="1">
        <f t="array" ref="V1597">IFERROR(INDEX('Raw Period DMR Data'!N:N,MATCH(1,(B1597='Raw Period DMR Data'!$A:$A)*(U1597='Raw Period DMR Data'!M:M)*(X1597='Raw Period DMR Data'!C:C),0),1), "N/A")</f>
        <v>N/A</v>
      </c>
      <c r="W1597" s="28" t="s">
        <v>1463</v>
      </c>
      <c r="X1597" s="28" t="s">
        <v>7168</v>
      </c>
      <c r="Y1597" s="28" t="s">
        <v>7281</v>
      </c>
      <c r="Z1597" s="61">
        <v>3050109000636</v>
      </c>
      <c r="AA1597" s="28"/>
      <c r="AC1597" s="28" t="s">
        <v>1466</v>
      </c>
    </row>
    <row r="1598" spans="1:29" x14ac:dyDescent="0.25">
      <c r="A1598" s="61">
        <v>110009696356</v>
      </c>
      <c r="B1598" s="28">
        <v>2022</v>
      </c>
      <c r="C1598" s="68">
        <f t="shared" si="25"/>
        <v>44562</v>
      </c>
      <c r="D1598" s="28" t="s">
        <v>1065</v>
      </c>
      <c r="E1598" s="28" t="s">
        <v>1648</v>
      </c>
      <c r="F1598" s="28" t="s">
        <v>1066</v>
      </c>
      <c r="G1598" s="28" t="s">
        <v>324</v>
      </c>
      <c r="H1598" s="28">
        <v>42728</v>
      </c>
      <c r="I1598" s="28">
        <v>37.108094000000001</v>
      </c>
      <c r="J1598" s="28">
        <v>-85.303033999999997</v>
      </c>
      <c r="L1598" s="61">
        <v>110009696356</v>
      </c>
      <c r="M1598" s="28" t="s">
        <v>263</v>
      </c>
      <c r="N1598" s="28">
        <v>4952</v>
      </c>
      <c r="O1598" s="28" t="str">
        <f>IFERROR(VLOOKUP(N1598, 'SIC &amp; NAICS Codes'!A:B, 2, FALSE), "")</f>
        <v>Sewerage Systems</v>
      </c>
      <c r="S1598" s="28">
        <v>2.4763835625000001</v>
      </c>
      <c r="T1598" s="315">
        <f>_xlfn.MAXIFS('Raw Period DMR Data'!$O:$O,'Raw Period DMR Data'!$A:$A,'Raw Annual DMR Data_2021-2024'!#REF!,'Raw Period DMR Data'!$C:$C,X1598)/S1598</f>
        <v>0</v>
      </c>
      <c r="U1598" s="28" t="str">
        <f>+IF(COUNTIFS('Raw Period DMR Data'!$A:$A,B1598,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98" s="28" t="str" cm="1">
        <f t="array" ref="V1598">IFERROR(INDEX('Raw Period DMR Data'!N:N,MATCH(1,(B1598='Raw Period DMR Data'!$A:$A)*(U1598='Raw Period DMR Data'!M:M)*(X1598='Raw Period DMR Data'!C:C),0),1), "N/A")</f>
        <v>N/A</v>
      </c>
      <c r="W1598" s="28" t="s">
        <v>1463</v>
      </c>
      <c r="X1598" s="28" t="s">
        <v>1649</v>
      </c>
      <c r="Y1598" s="28" t="s">
        <v>1650</v>
      </c>
      <c r="Z1598" s="61">
        <v>5110001000213</v>
      </c>
      <c r="AB1598" s="28" t="s">
        <v>7355</v>
      </c>
      <c r="AC1598" s="28" t="s">
        <v>263</v>
      </c>
    </row>
    <row r="1599" spans="1:29" x14ac:dyDescent="0.25">
      <c r="A1599" s="61">
        <v>110009696356</v>
      </c>
      <c r="B1599" s="28">
        <v>2023</v>
      </c>
      <c r="C1599" s="68">
        <f t="shared" si="25"/>
        <v>44927</v>
      </c>
      <c r="D1599" s="28" t="s">
        <v>1065</v>
      </c>
      <c r="E1599" s="28" t="s">
        <v>1648</v>
      </c>
      <c r="F1599" s="28" t="s">
        <v>1066</v>
      </c>
      <c r="G1599" s="28" t="s">
        <v>324</v>
      </c>
      <c r="H1599" s="28">
        <v>42728</v>
      </c>
      <c r="I1599" s="28">
        <v>37.108094000000001</v>
      </c>
      <c r="J1599" s="28">
        <v>-85.303033999999997</v>
      </c>
      <c r="L1599" s="61">
        <v>110009696356</v>
      </c>
      <c r="M1599" s="28" t="s">
        <v>263</v>
      </c>
      <c r="N1599" s="28">
        <v>4952</v>
      </c>
      <c r="O1599" s="28" t="str">
        <f>IFERROR(VLOOKUP(N1599, 'SIC &amp; NAICS Codes'!A:B, 2, FALSE), "")</f>
        <v>Sewerage Systems</v>
      </c>
      <c r="S1599" s="28">
        <v>1.90477759375</v>
      </c>
      <c r="T1599" s="315">
        <f>_xlfn.MAXIFS('Raw Period DMR Data'!$O:$O,'Raw Period DMR Data'!$A:$A,'Raw Annual DMR Data_2021-2024'!#REF!,'Raw Period DMR Data'!$C:$C,X1599)/S1599</f>
        <v>0</v>
      </c>
      <c r="U1599" s="28" t="str">
        <f>+IF(COUNTIFS('Raw Period DMR Data'!$A:$A,B1599,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99" s="28" t="str" cm="1">
        <f t="array" ref="V1599">IFERROR(INDEX('Raw Period DMR Data'!N:N,MATCH(1,(B1599='Raw Period DMR Data'!$A:$A)*(U1599='Raw Period DMR Data'!M:M)*(X1599='Raw Period DMR Data'!C:C),0),1), "N/A")</f>
        <v>N/A</v>
      </c>
      <c r="W1599" s="28" t="s">
        <v>1463</v>
      </c>
      <c r="X1599" s="28" t="s">
        <v>1649</v>
      </c>
      <c r="Y1599" s="28" t="s">
        <v>1650</v>
      </c>
      <c r="Z1599" s="61" t="s">
        <v>1651</v>
      </c>
      <c r="AB1599" s="28" t="s">
        <v>7355</v>
      </c>
      <c r="AC1599" s="28" t="s">
        <v>263</v>
      </c>
    </row>
    <row r="1600" spans="1:29" x14ac:dyDescent="0.25">
      <c r="A1600" s="61">
        <v>110000854246</v>
      </c>
      <c r="B1600" s="28">
        <v>2022</v>
      </c>
      <c r="C1600" s="68">
        <f t="shared" si="25"/>
        <v>44562</v>
      </c>
      <c r="D1600" s="28" t="s">
        <v>6829</v>
      </c>
      <c r="E1600" s="28" t="s">
        <v>6983</v>
      </c>
      <c r="F1600" s="28" t="s">
        <v>1066</v>
      </c>
      <c r="G1600" s="28" t="s">
        <v>541</v>
      </c>
      <c r="H1600" s="28">
        <v>29210</v>
      </c>
      <c r="I1600" s="28">
        <v>34.047217000000003</v>
      </c>
      <c r="J1600" s="28">
        <v>-81.151325999999997</v>
      </c>
      <c r="K1600" s="28" t="s">
        <v>7126</v>
      </c>
      <c r="L1600" s="61">
        <v>110000854246</v>
      </c>
      <c r="M1600" s="28" t="s">
        <v>265</v>
      </c>
      <c r="N1600" s="28">
        <v>2824</v>
      </c>
      <c r="O1600" s="28" t="str">
        <f>IFERROR(VLOOKUP(N1600, 'SIC &amp; NAICS Codes'!A:B, 2, FALSE), "")</f>
        <v>Manmade Organic Fibers, Except Cellulosic</v>
      </c>
      <c r="S1600" s="28">
        <v>0.33141999999999999</v>
      </c>
      <c r="T1600" s="315">
        <f>_xlfn.MAXIFS('Raw Period DMR Data'!$O:$O,'Raw Period DMR Data'!$A:$A,'Raw Annual DMR Data_2021-2024'!#REF!,'Raw Period DMR Data'!$C:$C,X1600)/S1600</f>
        <v>0</v>
      </c>
      <c r="U1600" s="28" t="str">
        <f>+IF(COUNTIFS('Raw Period DMR Data'!$A:$A,B1600,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00" s="28" t="str" cm="1">
        <f t="array" ref="V1600">IFERROR(INDEX('Raw Period DMR Data'!N:N,MATCH(1,(B1600='Raw Period DMR Data'!$A:$A)*(U1600='Raw Period DMR Data'!M:M)*(X1600='Raw Period DMR Data'!C:C),0),1), "N/A")</f>
        <v>N/A</v>
      </c>
      <c r="W1600" s="28" t="s">
        <v>1463</v>
      </c>
      <c r="X1600" s="28" t="s">
        <v>7168</v>
      </c>
      <c r="Y1600" s="28" t="s">
        <v>7281</v>
      </c>
      <c r="Z1600" s="61">
        <v>3050109000636</v>
      </c>
      <c r="AC1600" s="28" t="s">
        <v>1466</v>
      </c>
    </row>
    <row r="1601" spans="1:29" x14ac:dyDescent="0.25">
      <c r="A1601" s="61">
        <v>110000854246</v>
      </c>
      <c r="B1601" s="28">
        <v>2023</v>
      </c>
      <c r="C1601" s="68">
        <f t="shared" si="25"/>
        <v>44927</v>
      </c>
      <c r="D1601" s="28" t="s">
        <v>6829</v>
      </c>
      <c r="E1601" s="28" t="s">
        <v>6983</v>
      </c>
      <c r="F1601" s="28" t="s">
        <v>1066</v>
      </c>
      <c r="G1601" s="28" t="s">
        <v>541</v>
      </c>
      <c r="H1601" s="28">
        <v>29210</v>
      </c>
      <c r="I1601" s="28">
        <v>34.047217000000003</v>
      </c>
      <c r="J1601" s="28">
        <v>-81.151325999999997</v>
      </c>
      <c r="K1601" s="28" t="s">
        <v>7126</v>
      </c>
      <c r="L1601" s="61">
        <v>110000854246</v>
      </c>
      <c r="M1601" s="28" t="s">
        <v>265</v>
      </c>
      <c r="N1601" s="28">
        <v>2824</v>
      </c>
      <c r="O1601" s="28" t="str">
        <f>IFERROR(VLOOKUP(N1601, 'SIC &amp; NAICS Codes'!A:B, 2, FALSE), "")</f>
        <v>Manmade Organic Fibers, Except Cellulosic</v>
      </c>
      <c r="S1601" s="28">
        <v>0.33141999999999999</v>
      </c>
      <c r="T1601" s="315">
        <f>_xlfn.MAXIFS('Raw Period DMR Data'!$O:$O,'Raw Period DMR Data'!$A:$A,'Raw Annual DMR Data_2021-2024'!#REF!,'Raw Period DMR Data'!$C:$C,X1601)/S1601</f>
        <v>0</v>
      </c>
      <c r="U1601" s="28" t="str">
        <f>+IF(COUNTIFS('Raw Period DMR Data'!$A:$A,B1601,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01" s="28" t="str" cm="1">
        <f t="array" ref="V1601">IFERROR(INDEX('Raw Period DMR Data'!N:N,MATCH(1,(B1601='Raw Period DMR Data'!$A:$A)*(U1601='Raw Period DMR Data'!M:M)*(X1601='Raw Period DMR Data'!C:C),0),1), "N/A")</f>
        <v>N/A</v>
      </c>
      <c r="W1601" s="28" t="s">
        <v>1463</v>
      </c>
      <c r="X1601" s="28" t="s">
        <v>7168</v>
      </c>
      <c r="Y1601" s="28" t="s">
        <v>7281</v>
      </c>
      <c r="Z1601" s="61">
        <v>3050109000636</v>
      </c>
      <c r="AC1601" s="28" t="s">
        <v>1466</v>
      </c>
    </row>
    <row r="1602" spans="1:29" x14ac:dyDescent="0.25">
      <c r="A1602" s="61">
        <v>110000854246</v>
      </c>
      <c r="B1602" s="28">
        <v>2024</v>
      </c>
      <c r="C1602" s="68">
        <f t="shared" si="25"/>
        <v>45292</v>
      </c>
      <c r="D1602" s="28" t="s">
        <v>6829</v>
      </c>
      <c r="E1602" s="28" t="s">
        <v>6983</v>
      </c>
      <c r="F1602" s="28" t="s">
        <v>1066</v>
      </c>
      <c r="G1602" s="28" t="s">
        <v>541</v>
      </c>
      <c r="H1602" s="28">
        <v>29210</v>
      </c>
      <c r="I1602" s="28">
        <v>34.047217000000003</v>
      </c>
      <c r="J1602" s="28">
        <v>-81.151325999999997</v>
      </c>
      <c r="K1602" s="28" t="s">
        <v>7126</v>
      </c>
      <c r="L1602" s="61">
        <v>110000854246</v>
      </c>
      <c r="M1602" s="28" t="s">
        <v>265</v>
      </c>
      <c r="N1602" s="28">
        <v>2824</v>
      </c>
      <c r="O1602" s="28" t="str">
        <f>IFERROR(VLOOKUP(N1602, 'SIC &amp; NAICS Codes'!A:B, 2, FALSE), "")</f>
        <v>Manmade Organic Fibers, Except Cellulosic</v>
      </c>
      <c r="S1602" s="28">
        <v>0.16571</v>
      </c>
      <c r="T1602" s="315">
        <f>_xlfn.MAXIFS('Raw Period DMR Data'!$O:$O,'Raw Period DMR Data'!$A:$A,'Raw Annual DMR Data_2021-2024'!#REF!,'Raw Period DMR Data'!$C:$C,X1602)/S1602</f>
        <v>0</v>
      </c>
      <c r="U1602" s="28" t="str">
        <f>+IF(COUNTIFS('Raw Period DMR Data'!$A:$A,B1602,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02" s="28" t="str" cm="1">
        <f t="array" ref="V1602">IFERROR(INDEX('Raw Period DMR Data'!N:N,MATCH(1,(B1602='Raw Period DMR Data'!$A:$A)*(U1602='Raw Period DMR Data'!M:M)*(X1602='Raw Period DMR Data'!C:C),0),1), "N/A")</f>
        <v>N/A</v>
      </c>
      <c r="W1602" s="28" t="s">
        <v>1463</v>
      </c>
      <c r="X1602" s="28" t="s">
        <v>7168</v>
      </c>
      <c r="Y1602" s="28" t="s">
        <v>7281</v>
      </c>
      <c r="Z1602" s="61">
        <v>3050109000636</v>
      </c>
      <c r="AC1602" s="28" t="s">
        <v>1466</v>
      </c>
    </row>
    <row r="1603" spans="1:29" x14ac:dyDescent="0.25">
      <c r="A1603" s="61">
        <v>110070676994</v>
      </c>
      <c r="B1603" s="28">
        <v>2024</v>
      </c>
      <c r="C1603" s="68">
        <f t="shared" si="25"/>
        <v>45292</v>
      </c>
      <c r="D1603" s="28" t="s">
        <v>6777</v>
      </c>
      <c r="E1603" s="28" t="s">
        <v>6920</v>
      </c>
      <c r="F1603" s="28" t="s">
        <v>6921</v>
      </c>
      <c r="G1603" s="28" t="s">
        <v>311</v>
      </c>
      <c r="H1603" s="28">
        <v>25064</v>
      </c>
      <c r="I1603" s="28">
        <v>38.382550000000002</v>
      </c>
      <c r="J1603" s="28">
        <v>-81.782629</v>
      </c>
      <c r="K1603" s="28" t="s">
        <v>7118</v>
      </c>
      <c r="L1603" s="61">
        <v>110070676994</v>
      </c>
      <c r="M1603" s="28" t="s">
        <v>265</v>
      </c>
      <c r="N1603" s="28">
        <v>2869</v>
      </c>
      <c r="O1603" s="28" t="str">
        <f>IFERROR(VLOOKUP(N1603, 'SIC &amp; NAICS Codes'!A:B, 2, FALSE), "")</f>
        <v>Industrial Organic Chemicals, NEC (aliphatics)</v>
      </c>
      <c r="S1603" s="28">
        <v>0.69957272727272701</v>
      </c>
      <c r="T1603" s="315">
        <f>_xlfn.MAXIFS('Raw Period DMR Data'!$O:$O,'Raw Period DMR Data'!$A:$A,'Raw Annual DMR Data_2021-2024'!#REF!,'Raw Period DMR Data'!$C:$C,X1603)/S1603</f>
        <v>0</v>
      </c>
      <c r="U1603" s="28" t="str">
        <f>+IF(COUNTIFS('Raw Period DMR Data'!$A:$A,B1603,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03" s="28" t="str" cm="1">
        <f t="array" ref="V1603">IFERROR(INDEX('Raw Period DMR Data'!N:N,MATCH(1,(B1603='Raw Period DMR Data'!$A:$A)*(U1603='Raw Period DMR Data'!M:M)*(X1603='Raw Period DMR Data'!C:C),0),1), "N/A")</f>
        <v>N/A</v>
      </c>
      <c r="W1603" s="28" t="s">
        <v>1463</v>
      </c>
      <c r="X1603" s="28" t="s">
        <v>770</v>
      </c>
      <c r="Y1603" s="28" t="s">
        <v>771</v>
      </c>
      <c r="Z1603" s="61">
        <v>5050008000998</v>
      </c>
      <c r="AC1603" s="28" t="s">
        <v>1466</v>
      </c>
    </row>
    <row r="1604" spans="1:29" x14ac:dyDescent="0.25">
      <c r="A1604" s="61">
        <v>110000595981</v>
      </c>
      <c r="B1604" s="28">
        <v>2021</v>
      </c>
      <c r="C1604" s="68">
        <f t="shared" si="25"/>
        <v>44197</v>
      </c>
      <c r="D1604" s="28" t="s">
        <v>6844</v>
      </c>
      <c r="E1604" s="28" t="s">
        <v>1652</v>
      </c>
      <c r="F1604" s="28" t="s">
        <v>1068</v>
      </c>
      <c r="G1604" s="28" t="s">
        <v>349</v>
      </c>
      <c r="H1604" s="28">
        <v>63401</v>
      </c>
      <c r="I1604" s="28">
        <v>39.683477000000003</v>
      </c>
      <c r="J1604" s="28">
        <v>-91.334682999999998</v>
      </c>
      <c r="K1604" s="28" t="s">
        <v>709</v>
      </c>
      <c r="L1604" s="61">
        <v>110000595981</v>
      </c>
      <c r="M1604" s="28" t="s">
        <v>265</v>
      </c>
      <c r="N1604" s="28">
        <v>3241</v>
      </c>
      <c r="O1604" s="28" t="str">
        <f>IFERROR(VLOOKUP(N1604, 'SIC &amp; NAICS Codes'!A:B, 2, FALSE), "")</f>
        <v>Cement, Hydraulic</v>
      </c>
      <c r="S1604" s="28">
        <v>0.92907556250000001</v>
      </c>
      <c r="T1604" s="315">
        <f>_xlfn.MAXIFS('Raw Period DMR Data'!$O:$O,'Raw Period DMR Data'!$A:$A,'Raw Annual DMR Data_2021-2024'!#REF!,'Raw Period DMR Data'!$C:$C,X1604)/S1604</f>
        <v>0</v>
      </c>
      <c r="U1604" s="28" t="str">
        <f>+IF(COUNTIFS('Raw Period DMR Data'!$A:$A,B1604,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04" s="28" t="str" cm="1">
        <f t="array" ref="V1604">IFERROR(INDEX('Raw Period DMR Data'!N:N,MATCH(1,(B1604='Raw Period DMR Data'!$A:$A)*(U1604='Raw Period DMR Data'!M:M)*(X1604='Raw Period DMR Data'!C:C),0),1), "N/A")</f>
        <v>N/A</v>
      </c>
      <c r="W1604" s="28" t="s">
        <v>1463</v>
      </c>
      <c r="X1604" s="28" t="s">
        <v>1653</v>
      </c>
      <c r="Y1604" s="28" t="s">
        <v>1654</v>
      </c>
      <c r="Z1604" s="61">
        <v>7110004001311</v>
      </c>
      <c r="AB1604" s="28" t="s">
        <v>7355</v>
      </c>
      <c r="AC1604" s="28" t="s">
        <v>1466</v>
      </c>
    </row>
    <row r="1605" spans="1:29" x14ac:dyDescent="0.25">
      <c r="A1605" s="61">
        <v>110000595981</v>
      </c>
      <c r="B1605" s="28">
        <v>2022</v>
      </c>
      <c r="C1605" s="68">
        <f t="shared" si="25"/>
        <v>44562</v>
      </c>
      <c r="D1605" s="28" t="s">
        <v>6844</v>
      </c>
      <c r="E1605" s="28" t="s">
        <v>1652</v>
      </c>
      <c r="F1605" s="28" t="s">
        <v>1068</v>
      </c>
      <c r="G1605" s="28" t="s">
        <v>349</v>
      </c>
      <c r="H1605" s="28">
        <v>63401</v>
      </c>
      <c r="I1605" s="28">
        <v>39.683477000000003</v>
      </c>
      <c r="J1605" s="28">
        <v>-91.334682999999998</v>
      </c>
      <c r="K1605" s="28" t="s">
        <v>709</v>
      </c>
      <c r="L1605" s="61">
        <v>110000595981</v>
      </c>
      <c r="M1605" s="28" t="s">
        <v>265</v>
      </c>
      <c r="N1605" s="28">
        <v>3241</v>
      </c>
      <c r="O1605" s="28" t="str">
        <f>IFERROR(VLOOKUP(N1605, 'SIC &amp; NAICS Codes'!A:B, 2, FALSE), "")</f>
        <v>Cement, Hydraulic</v>
      </c>
      <c r="S1605" s="28">
        <v>0.55261000000000005</v>
      </c>
      <c r="T1605" s="315">
        <f>_xlfn.MAXIFS('Raw Period DMR Data'!$O:$O,'Raw Period DMR Data'!$A:$A,'Raw Annual DMR Data_2021-2024'!#REF!,'Raw Period DMR Data'!$C:$C,X1605)/S1605</f>
        <v>0</v>
      </c>
      <c r="U1605" s="28" t="str">
        <f>+IF(COUNTIFS('Raw Period DMR Data'!$A:$A,B1605,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05" s="28" t="str" cm="1">
        <f t="array" ref="V1605">IFERROR(INDEX('Raw Period DMR Data'!N:N,MATCH(1,(B1605='Raw Period DMR Data'!$A:$A)*(U1605='Raw Period DMR Data'!M:M)*(X1605='Raw Period DMR Data'!C:C),0),1), "N/A")</f>
        <v>N/A</v>
      </c>
      <c r="W1605" s="28" t="s">
        <v>1463</v>
      </c>
      <c r="X1605" s="28" t="s">
        <v>1653</v>
      </c>
      <c r="Y1605" s="28" t="s">
        <v>1654</v>
      </c>
      <c r="Z1605" s="61">
        <v>7110004001311</v>
      </c>
      <c r="AB1605" s="28" t="s">
        <v>7355</v>
      </c>
      <c r="AC1605" s="28" t="s">
        <v>1466</v>
      </c>
    </row>
    <row r="1606" spans="1:29" x14ac:dyDescent="0.25">
      <c r="A1606" s="61">
        <v>110000595981</v>
      </c>
      <c r="B1606" s="28">
        <v>2023</v>
      </c>
      <c r="C1606" s="68">
        <f t="shared" si="25"/>
        <v>44927</v>
      </c>
      <c r="D1606" s="28" t="s">
        <v>6844</v>
      </c>
      <c r="E1606" s="28" t="s">
        <v>1652</v>
      </c>
      <c r="F1606" s="28" t="s">
        <v>1068</v>
      </c>
      <c r="G1606" s="28" t="s">
        <v>349</v>
      </c>
      <c r="H1606" s="28">
        <v>63401</v>
      </c>
      <c r="I1606" s="28">
        <v>39.683477000000003</v>
      </c>
      <c r="J1606" s="28">
        <v>-91.334682999999998</v>
      </c>
      <c r="K1606" s="28" t="s">
        <v>709</v>
      </c>
      <c r="L1606" s="61">
        <v>110000595981</v>
      </c>
      <c r="M1606" s="28" t="s">
        <v>265</v>
      </c>
      <c r="N1606" s="28">
        <v>3241</v>
      </c>
      <c r="O1606" s="28" t="str">
        <f>IFERROR(VLOOKUP(N1606, 'SIC &amp; NAICS Codes'!A:B, 2, FALSE), "")</f>
        <v>Cement, Hydraulic</v>
      </c>
      <c r="S1606" s="28">
        <v>0.110522</v>
      </c>
      <c r="T1606" s="315">
        <f>_xlfn.MAXIFS('Raw Period DMR Data'!$O:$O,'Raw Period DMR Data'!$A:$A,'Raw Annual DMR Data_2021-2024'!#REF!,'Raw Period DMR Data'!$C:$C,X1606)/S1606</f>
        <v>0</v>
      </c>
      <c r="U1606" s="28" t="str">
        <f>+IF(COUNTIFS('Raw Period DMR Data'!$A:$A,B1606,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06" s="28" t="str" cm="1">
        <f t="array" ref="V1606">IFERROR(INDEX('Raw Period DMR Data'!N:N,MATCH(1,(B1606='Raw Period DMR Data'!$A:$A)*(U1606='Raw Period DMR Data'!M:M)*(X1606='Raw Period DMR Data'!C:C),0),1), "N/A")</f>
        <v>N/A</v>
      </c>
      <c r="W1606" s="28" t="s">
        <v>1463</v>
      </c>
      <c r="X1606" s="28" t="s">
        <v>1653</v>
      </c>
      <c r="Y1606" s="28" t="s">
        <v>1654</v>
      </c>
      <c r="Z1606" s="61" t="s">
        <v>1655</v>
      </c>
      <c r="AB1606" s="28" t="s">
        <v>7355</v>
      </c>
      <c r="AC1606" s="28" t="s">
        <v>1466</v>
      </c>
    </row>
    <row r="1607" spans="1:29" x14ac:dyDescent="0.25">
      <c r="A1607" s="61">
        <v>110000595981</v>
      </c>
      <c r="B1607" s="28">
        <v>2024</v>
      </c>
      <c r="C1607" s="68">
        <f t="shared" ref="C1607:C1670" si="26">DATE(B1607, 1, 1)</f>
        <v>45292</v>
      </c>
      <c r="D1607" s="28" t="s">
        <v>6844</v>
      </c>
      <c r="E1607" s="28" t="s">
        <v>1652</v>
      </c>
      <c r="F1607" s="28" t="s">
        <v>1068</v>
      </c>
      <c r="G1607" s="28" t="s">
        <v>349</v>
      </c>
      <c r="H1607" s="28">
        <v>63401</v>
      </c>
      <c r="I1607" s="28">
        <v>39.683477000000003</v>
      </c>
      <c r="J1607" s="28">
        <v>-91.334682999999998</v>
      </c>
      <c r="K1607" s="28" t="s">
        <v>709</v>
      </c>
      <c r="L1607" s="61">
        <v>110000595981</v>
      </c>
      <c r="M1607" s="28" t="s">
        <v>265</v>
      </c>
      <c r="N1607" s="28">
        <v>3241</v>
      </c>
      <c r="O1607" s="28" t="str">
        <f>IFERROR(VLOOKUP(N1607, 'SIC &amp; NAICS Codes'!A:B, 2, FALSE), "")</f>
        <v>Cement, Hydraulic</v>
      </c>
      <c r="S1607" s="28">
        <v>1.31244875E-2</v>
      </c>
      <c r="T1607" s="315">
        <f>_xlfn.MAXIFS('Raw Period DMR Data'!$O:$O,'Raw Period DMR Data'!$A:$A,'Raw Annual DMR Data_2021-2024'!#REF!,'Raw Period DMR Data'!$C:$C,X1607)/S1607</f>
        <v>0</v>
      </c>
      <c r="U1607" s="28" t="str">
        <f>+IF(COUNTIFS('Raw Period DMR Data'!$A:$A,B1607,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07" s="28" t="str" cm="1">
        <f t="array" ref="V1607">IFERROR(INDEX('Raw Period DMR Data'!N:N,MATCH(1,(B1607='Raw Period DMR Data'!$A:$A)*(U1607='Raw Period DMR Data'!M:M)*(X1607='Raw Period DMR Data'!C:C),0),1), "N/A")</f>
        <v>N/A</v>
      </c>
      <c r="W1607" s="28" t="s">
        <v>1463</v>
      </c>
      <c r="X1607" s="28" t="s">
        <v>1653</v>
      </c>
      <c r="Y1607" s="28" t="s">
        <v>1654</v>
      </c>
      <c r="Z1607" s="61">
        <v>7110004001311</v>
      </c>
      <c r="AB1607" s="28" t="s">
        <v>7355</v>
      </c>
      <c r="AC1607" s="28" t="s">
        <v>1466</v>
      </c>
    </row>
    <row r="1608" spans="1:29" x14ac:dyDescent="0.25">
      <c r="A1608" s="61">
        <v>110000616049</v>
      </c>
      <c r="B1608" s="28">
        <v>2023</v>
      </c>
      <c r="C1608" s="68">
        <f t="shared" si="26"/>
        <v>44927</v>
      </c>
      <c r="D1608" s="28" t="s">
        <v>1069</v>
      </c>
      <c r="E1608" s="28" t="s">
        <v>1656</v>
      </c>
      <c r="F1608" s="28" t="s">
        <v>1070</v>
      </c>
      <c r="G1608" s="28" t="s">
        <v>338</v>
      </c>
      <c r="H1608" s="28" t="s">
        <v>1659</v>
      </c>
      <c r="I1608" s="28">
        <v>40.798532000000002</v>
      </c>
      <c r="J1608" s="28">
        <v>-74.701402000000002</v>
      </c>
      <c r="L1608" s="61">
        <v>110000616049</v>
      </c>
      <c r="M1608" s="28" t="s">
        <v>265</v>
      </c>
      <c r="N1608" s="28">
        <v>1799</v>
      </c>
      <c r="O1608" s="28" t="str">
        <f>IFERROR(VLOOKUP(N1608, 'SIC &amp; NAICS Codes'!A:B, 2, FALSE), "")</f>
        <v>Special Trade Contractors, NEC (indoor swimming pool construction contractors)</v>
      </c>
      <c r="S1608" s="28">
        <v>8.5101410099999997E-3</v>
      </c>
      <c r="T1608" s="315">
        <f>_xlfn.MAXIFS('Raw Period DMR Data'!$O:$O,'Raw Period DMR Data'!$A:$A,'Raw Annual DMR Data_2021-2024'!#REF!,'Raw Period DMR Data'!$C:$C,X1608)/S1608</f>
        <v>0</v>
      </c>
      <c r="U1608" s="28" t="str">
        <f>+IF(COUNTIFS('Raw Period DMR Data'!$A:$A,B1608,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08" s="28" t="str" cm="1">
        <f t="array" ref="V1608">IFERROR(INDEX('Raw Period DMR Data'!N:N,MATCH(1,(B1608='Raw Period DMR Data'!$A:$A)*(U1608='Raw Period DMR Data'!M:M)*(X1608='Raw Period DMR Data'!C:C),0),1), "N/A")</f>
        <v>N/A</v>
      </c>
      <c r="W1608" s="28" t="s">
        <v>1463</v>
      </c>
      <c r="X1608" s="28" t="s">
        <v>1657</v>
      </c>
      <c r="Y1608" s="28" t="s">
        <v>1658</v>
      </c>
      <c r="Z1608" s="61" t="s">
        <v>1660</v>
      </c>
      <c r="AB1608" s="28" t="s">
        <v>7355</v>
      </c>
      <c r="AC1608" s="28" t="s">
        <v>1466</v>
      </c>
    </row>
    <row r="1609" spans="1:29" x14ac:dyDescent="0.25">
      <c r="A1609" s="61">
        <v>110000616049</v>
      </c>
      <c r="B1609" s="28">
        <v>2024</v>
      </c>
      <c r="C1609" s="68">
        <f t="shared" si="26"/>
        <v>45292</v>
      </c>
      <c r="D1609" s="28" t="s">
        <v>1069</v>
      </c>
      <c r="E1609" s="28" t="s">
        <v>1656</v>
      </c>
      <c r="F1609" s="28" t="s">
        <v>1070</v>
      </c>
      <c r="G1609" s="28" t="s">
        <v>338</v>
      </c>
      <c r="H1609" s="28">
        <v>79302221</v>
      </c>
      <c r="I1609" s="28">
        <v>40.798532000000002</v>
      </c>
      <c r="J1609" s="28">
        <v>-74.701402000000002</v>
      </c>
      <c r="L1609" s="61">
        <v>110000616049</v>
      </c>
      <c r="M1609" s="28" t="s">
        <v>265</v>
      </c>
      <c r="N1609" s="28">
        <v>1799</v>
      </c>
      <c r="O1609" s="28" t="str">
        <f>IFERROR(VLOOKUP(N1609, 'SIC &amp; NAICS Codes'!A:B, 2, FALSE), "")</f>
        <v>Special Trade Contractors, NEC (indoor swimming pool construction contractors)</v>
      </c>
      <c r="S1609" s="28">
        <v>8.4444863999999994E-3</v>
      </c>
      <c r="T1609" s="315">
        <f>_xlfn.MAXIFS('Raw Period DMR Data'!$O:$O,'Raw Period DMR Data'!$A:$A,'Raw Annual DMR Data_2021-2024'!#REF!,'Raw Period DMR Data'!$C:$C,X1609)/S1609</f>
        <v>0</v>
      </c>
      <c r="U1609" s="28" t="str">
        <f>+IF(COUNTIFS('Raw Period DMR Data'!$A:$A,B1609,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09" s="28" t="str" cm="1">
        <f t="array" ref="V1609">IFERROR(INDEX('Raw Period DMR Data'!N:N,MATCH(1,(B1609='Raw Period DMR Data'!$A:$A)*(U1609='Raw Period DMR Data'!M:M)*(X1609='Raw Period DMR Data'!C:C),0),1), "N/A")</f>
        <v>N/A</v>
      </c>
      <c r="W1609" s="28" t="s">
        <v>1463</v>
      </c>
      <c r="X1609" s="28" t="s">
        <v>1657</v>
      </c>
      <c r="Y1609" s="28" t="s">
        <v>1658</v>
      </c>
      <c r="Z1609" s="61">
        <v>2030105000068</v>
      </c>
      <c r="AB1609" s="28" t="s">
        <v>7355</v>
      </c>
      <c r="AC1609" s="28" t="s">
        <v>1466</v>
      </c>
    </row>
    <row r="1610" spans="1:29" x14ac:dyDescent="0.25">
      <c r="A1610" s="61">
        <v>110000616049</v>
      </c>
      <c r="B1610" s="28">
        <v>2021</v>
      </c>
      <c r="C1610" s="68">
        <f t="shared" si="26"/>
        <v>44197</v>
      </c>
      <c r="D1610" s="28" t="s">
        <v>1069</v>
      </c>
      <c r="E1610" s="28" t="s">
        <v>1656</v>
      </c>
      <c r="F1610" s="28" t="s">
        <v>1070</v>
      </c>
      <c r="G1610" s="28" t="s">
        <v>338</v>
      </c>
      <c r="H1610" s="28">
        <v>79302221</v>
      </c>
      <c r="I1610" s="28">
        <v>40.798532000000002</v>
      </c>
      <c r="J1610" s="28">
        <v>-74.701402000000002</v>
      </c>
      <c r="L1610" s="61">
        <v>110000616049</v>
      </c>
      <c r="M1610" s="28" t="s">
        <v>265</v>
      </c>
      <c r="N1610" s="28">
        <v>1799</v>
      </c>
      <c r="O1610" s="28" t="str">
        <f>IFERROR(VLOOKUP(N1610, 'SIC &amp; NAICS Codes'!A:B, 2, FALSE), "")</f>
        <v>Special Trade Contractors, NEC (indoor swimming pool construction contractors)</v>
      </c>
      <c r="S1610" s="28">
        <v>5.5333861250000003E-3</v>
      </c>
      <c r="T1610" s="315">
        <f>_xlfn.MAXIFS('Raw Period DMR Data'!$O:$O,'Raw Period DMR Data'!$A:$A,'Raw Annual DMR Data_2021-2024'!#REF!,'Raw Period DMR Data'!$C:$C,X1610)/S1610</f>
        <v>0</v>
      </c>
      <c r="U1610" s="28" t="str">
        <f>+IF(COUNTIFS('Raw Period DMR Data'!$A:$A,B1610,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10" s="28" t="str" cm="1">
        <f t="array" ref="V1610">IFERROR(INDEX('Raw Period DMR Data'!N:N,MATCH(1,(B1610='Raw Period DMR Data'!$A:$A)*(U1610='Raw Period DMR Data'!M:M)*(X1610='Raw Period DMR Data'!C:C),0),1), "N/A")</f>
        <v>N/A</v>
      </c>
      <c r="W1610" s="28" t="s">
        <v>1463</v>
      </c>
      <c r="X1610" s="28" t="s">
        <v>1657</v>
      </c>
      <c r="Y1610" s="28" t="s">
        <v>1658</v>
      </c>
      <c r="Z1610" s="61">
        <v>2030105000068</v>
      </c>
      <c r="AA1610" s="28"/>
      <c r="AB1610" s="28" t="s">
        <v>7355</v>
      </c>
      <c r="AC1610" s="28" t="s">
        <v>1466</v>
      </c>
    </row>
    <row r="1611" spans="1:29" x14ac:dyDescent="0.25">
      <c r="A1611" s="61">
        <v>110000616049</v>
      </c>
      <c r="B1611" s="28">
        <v>2022</v>
      </c>
      <c r="C1611" s="68">
        <f t="shared" si="26"/>
        <v>44562</v>
      </c>
      <c r="D1611" s="28" t="s">
        <v>1069</v>
      </c>
      <c r="E1611" s="28" t="s">
        <v>1656</v>
      </c>
      <c r="F1611" s="28" t="s">
        <v>1070</v>
      </c>
      <c r="G1611" s="28" t="s">
        <v>338</v>
      </c>
      <c r="H1611" s="28">
        <v>79302221</v>
      </c>
      <c r="I1611" s="28">
        <v>40.798532000000002</v>
      </c>
      <c r="J1611" s="28">
        <v>-74.701402000000002</v>
      </c>
      <c r="L1611" s="61">
        <v>110000616049</v>
      </c>
      <c r="M1611" s="28" t="s">
        <v>265</v>
      </c>
      <c r="N1611" s="28">
        <v>1799</v>
      </c>
      <c r="O1611" s="28" t="str">
        <f>IFERROR(VLOOKUP(N1611, 'SIC &amp; NAICS Codes'!A:B, 2, FALSE), "")</f>
        <v>Special Trade Contractors, NEC (indoor swimming pool construction contractors)</v>
      </c>
      <c r="S1611" s="28">
        <v>2.9383428125E-3</v>
      </c>
      <c r="T1611" s="315">
        <f>_xlfn.MAXIFS('Raw Period DMR Data'!$O:$O,'Raw Period DMR Data'!$A:$A,'Raw Annual DMR Data_2021-2024'!#REF!,'Raw Period DMR Data'!$C:$C,X1611)/S1611</f>
        <v>0</v>
      </c>
      <c r="U1611" s="28" t="str">
        <f>+IF(COUNTIFS('Raw Period DMR Data'!$A:$A,B1611,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11" s="28" t="str" cm="1">
        <f t="array" ref="V1611">IFERROR(INDEX('Raw Period DMR Data'!N:N,MATCH(1,(B1611='Raw Period DMR Data'!$A:$A)*(U1611='Raw Period DMR Data'!M:M)*(X1611='Raw Period DMR Data'!C:C),0),1), "N/A")</f>
        <v>N/A</v>
      </c>
      <c r="W1611" s="28" t="s">
        <v>1463</v>
      </c>
      <c r="X1611" s="28" t="s">
        <v>1657</v>
      </c>
      <c r="Y1611" s="28" t="s">
        <v>1658</v>
      </c>
      <c r="Z1611" s="61">
        <v>2030105000068</v>
      </c>
      <c r="AB1611" s="28" t="s">
        <v>7355</v>
      </c>
      <c r="AC1611" s="28" t="s">
        <v>1466</v>
      </c>
    </row>
    <row r="1612" spans="1:29" x14ac:dyDescent="0.25">
      <c r="A1612" s="61">
        <v>110027858432</v>
      </c>
      <c r="B1612" s="28">
        <v>2021</v>
      </c>
      <c r="C1612" s="68">
        <f t="shared" si="26"/>
        <v>44197</v>
      </c>
      <c r="D1612" s="28" t="s">
        <v>6869</v>
      </c>
      <c r="E1612" s="28" t="s">
        <v>7037</v>
      </c>
      <c r="F1612" s="28" t="s">
        <v>7038</v>
      </c>
      <c r="G1612" s="28" t="s">
        <v>366</v>
      </c>
      <c r="H1612" s="28">
        <v>95228</v>
      </c>
      <c r="I1612" s="28">
        <v>37.908380000000001</v>
      </c>
      <c r="J1612" s="28">
        <v>-120.61605</v>
      </c>
      <c r="L1612" s="61">
        <v>110027858432</v>
      </c>
      <c r="M1612" s="28" t="s">
        <v>263</v>
      </c>
      <c r="N1612" s="28">
        <v>4952</v>
      </c>
      <c r="O1612" s="28" t="str">
        <f>IFERROR(VLOOKUP(N1612, 'SIC &amp; NAICS Codes'!A:B, 2, FALSE), "")</f>
        <v>Sewerage Systems</v>
      </c>
      <c r="S1612" s="28">
        <v>0.16820066875</v>
      </c>
      <c r="T1612" s="315">
        <f>_xlfn.MAXIFS('Raw Period DMR Data'!$O:$O,'Raw Period DMR Data'!$A:$A,'Raw Annual DMR Data_2021-2024'!#REF!,'Raw Period DMR Data'!$C:$C,X1612)/S1612</f>
        <v>0</v>
      </c>
      <c r="U1612" s="28" t="str">
        <f>+IF(COUNTIFS('Raw Period DMR Data'!$A:$A,B1612,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12" s="28" t="str" cm="1">
        <f t="array" ref="V1612">IFERROR(INDEX('Raw Period DMR Data'!N:N,MATCH(1,(B1612='Raw Period DMR Data'!$A:$A)*(U1612='Raw Period DMR Data'!M:M)*(X1612='Raw Period DMR Data'!C:C),0),1), "N/A")</f>
        <v>N/A</v>
      </c>
      <c r="W1612" s="28" t="s">
        <v>1463</v>
      </c>
      <c r="X1612" s="28" t="s">
        <v>7198</v>
      </c>
      <c r="Y1612" s="28" t="s">
        <v>7301</v>
      </c>
      <c r="Z1612" s="61">
        <v>18040051003613</v>
      </c>
      <c r="AA1612" s="28"/>
      <c r="AB1612" s="28" t="s">
        <v>7355</v>
      </c>
      <c r="AC1612" s="28" t="s">
        <v>263</v>
      </c>
    </row>
    <row r="1613" spans="1:29" x14ac:dyDescent="0.25">
      <c r="A1613" s="61">
        <v>110000730451</v>
      </c>
      <c r="B1613" s="28">
        <v>2023</v>
      </c>
      <c r="C1613" s="68">
        <f t="shared" si="26"/>
        <v>44927</v>
      </c>
      <c r="D1613" s="28" t="s">
        <v>1071</v>
      </c>
      <c r="E1613" s="28" t="s">
        <v>1661</v>
      </c>
      <c r="F1613" s="28" t="s">
        <v>1072</v>
      </c>
      <c r="G1613" s="28" t="s">
        <v>366</v>
      </c>
      <c r="H1613" s="28">
        <v>96021</v>
      </c>
      <c r="I1613" s="28">
        <v>39.913755999999999</v>
      </c>
      <c r="J1613" s="28">
        <v>-122.09274000000001</v>
      </c>
      <c r="L1613" s="61">
        <v>110000730451</v>
      </c>
      <c r="M1613" s="28" t="s">
        <v>263</v>
      </c>
      <c r="N1613" s="28">
        <v>4952</v>
      </c>
      <c r="O1613" s="28" t="str">
        <f>IFERROR(VLOOKUP(N1613, 'SIC &amp; NAICS Codes'!A:B, 2, FALSE), "")</f>
        <v>Sewerage Systems</v>
      </c>
      <c r="S1613" s="28">
        <v>1.9907141893333299E-2</v>
      </c>
      <c r="T1613" s="315">
        <f>_xlfn.MAXIFS('Raw Period DMR Data'!$O:$O,'Raw Period DMR Data'!$A:$A,'Raw Annual DMR Data_2021-2024'!#REF!,'Raw Period DMR Data'!$C:$C,X1613)/S1613</f>
        <v>0</v>
      </c>
      <c r="U1613" s="28" t="str">
        <f>+IF(COUNTIFS('Raw Period DMR Data'!$A:$A,B1613,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13" s="28" t="str" cm="1">
        <f t="array" ref="V1613">IFERROR(INDEX('Raw Period DMR Data'!N:N,MATCH(1,(B1613='Raw Period DMR Data'!$A:$A)*(U1613='Raw Period DMR Data'!M:M)*(X1613='Raw Period DMR Data'!C:C),0),1), "N/A")</f>
        <v>N/A</v>
      </c>
      <c r="W1613" s="28" t="s">
        <v>1463</v>
      </c>
      <c r="X1613" s="28" t="s">
        <v>1662</v>
      </c>
      <c r="Y1613" s="28" t="s">
        <v>818</v>
      </c>
      <c r="Z1613" s="61">
        <v>18020157005020</v>
      </c>
      <c r="AB1613" s="28" t="s">
        <v>7355</v>
      </c>
      <c r="AC1613" s="28" t="s">
        <v>263</v>
      </c>
    </row>
    <row r="1614" spans="1:29" x14ac:dyDescent="0.25">
      <c r="A1614" s="61">
        <v>110055415732</v>
      </c>
      <c r="B1614" s="28">
        <v>2021</v>
      </c>
      <c r="C1614" s="68">
        <f t="shared" si="26"/>
        <v>44197</v>
      </c>
      <c r="D1614" s="28" t="s">
        <v>6831</v>
      </c>
      <c r="E1614" s="28" t="s">
        <v>6984</v>
      </c>
      <c r="F1614" s="28" t="s">
        <v>968</v>
      </c>
      <c r="G1614" s="28" t="s">
        <v>294</v>
      </c>
      <c r="H1614" s="28">
        <v>22306</v>
      </c>
      <c r="I1614" s="28">
        <v>38.741570000000003</v>
      </c>
      <c r="J1614" s="28">
        <v>-77.086209999999994</v>
      </c>
      <c r="L1614" s="61">
        <v>110055415732</v>
      </c>
      <c r="M1614" s="28" t="s">
        <v>265</v>
      </c>
      <c r="N1614" s="28">
        <v>1794</v>
      </c>
      <c r="O1614" s="28" t="str">
        <f>IFERROR(VLOOKUP(N1614, 'SIC &amp; NAICS Codes'!A:B, 2, FALSE), "")</f>
        <v>Excavation Work</v>
      </c>
      <c r="S1614" s="28">
        <v>9.3201840000000005E-3</v>
      </c>
      <c r="T1614" s="315">
        <f>_xlfn.MAXIFS('Raw Period DMR Data'!$O:$O,'Raw Period DMR Data'!$A:$A,'Raw Annual DMR Data_2021-2024'!#REF!,'Raw Period DMR Data'!$C:$C,X1614)/S1614</f>
        <v>0</v>
      </c>
      <c r="U1614" s="28" t="str">
        <f>+IF(COUNTIFS('Raw Period DMR Data'!$A:$A,B1614,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14" s="28" t="str" cm="1">
        <f t="array" ref="V1614">IFERROR(INDEX('Raw Period DMR Data'!N:N,MATCH(1,(B1614='Raw Period DMR Data'!$A:$A)*(U1614='Raw Period DMR Data'!M:M)*(X1614='Raw Period DMR Data'!C:C),0),1), "N/A")</f>
        <v>N/A</v>
      </c>
      <c r="W1614" s="28" t="s">
        <v>1463</v>
      </c>
      <c r="X1614" s="28" t="s">
        <v>7169</v>
      </c>
      <c r="Y1614" s="28" t="s">
        <v>7283</v>
      </c>
      <c r="Z1614" s="61"/>
      <c r="AA1614" s="28"/>
      <c r="AB1614" s="28" t="s">
        <v>7355</v>
      </c>
      <c r="AC1614" s="28" t="s">
        <v>1466</v>
      </c>
    </row>
    <row r="1615" spans="1:29" x14ac:dyDescent="0.25">
      <c r="A1615" s="61">
        <v>110070676994</v>
      </c>
      <c r="B1615" s="28">
        <v>2023</v>
      </c>
      <c r="C1615" s="68">
        <f t="shared" si="26"/>
        <v>44927</v>
      </c>
      <c r="D1615" s="28" t="s">
        <v>6777</v>
      </c>
      <c r="E1615" s="28" t="s">
        <v>6920</v>
      </c>
      <c r="F1615" s="28" t="s">
        <v>6921</v>
      </c>
      <c r="G1615" s="28" t="s">
        <v>311</v>
      </c>
      <c r="H1615" s="28">
        <v>25064</v>
      </c>
      <c r="I1615" s="28">
        <v>38.382550000000002</v>
      </c>
      <c r="J1615" s="28">
        <v>-81.782629</v>
      </c>
      <c r="K1615" s="28" t="s">
        <v>7118</v>
      </c>
      <c r="L1615" s="61">
        <v>110070676994</v>
      </c>
      <c r="M1615" s="28" t="s">
        <v>265</v>
      </c>
      <c r="N1615" s="28">
        <v>2869</v>
      </c>
      <c r="O1615" s="28" t="str">
        <f>IFERROR(VLOOKUP(N1615, 'SIC &amp; NAICS Codes'!A:B, 2, FALSE), "")</f>
        <v>Industrial Organic Chemicals, NEC (aliphatics)</v>
      </c>
      <c r="S1615" s="28">
        <v>0.64263700000000001</v>
      </c>
      <c r="T1615" s="315">
        <f>_xlfn.MAXIFS('Raw Period DMR Data'!$O:$O,'Raw Period DMR Data'!$A:$A,'Raw Annual DMR Data_2021-2024'!#REF!,'Raw Period DMR Data'!$C:$C,X1615)/S1615</f>
        <v>0</v>
      </c>
      <c r="U1615" s="28" t="str">
        <f>+IF(COUNTIFS('Raw Period DMR Data'!$A:$A,B1615,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15" s="28" t="str" cm="1">
        <f t="array" ref="V1615">IFERROR(INDEX('Raw Period DMR Data'!N:N,MATCH(1,(B1615='Raw Period DMR Data'!$A:$A)*(U1615='Raw Period DMR Data'!M:M)*(X1615='Raw Period DMR Data'!C:C),0),1), "N/A")</f>
        <v>N/A</v>
      </c>
      <c r="W1615" s="28" t="s">
        <v>1463</v>
      </c>
      <c r="X1615" s="28" t="s">
        <v>770</v>
      </c>
      <c r="Y1615" s="28" t="s">
        <v>771</v>
      </c>
      <c r="Z1615" s="61" t="s">
        <v>7349</v>
      </c>
      <c r="AC1615" s="28" t="s">
        <v>1466</v>
      </c>
    </row>
    <row r="1616" spans="1:29" x14ac:dyDescent="0.25">
      <c r="A1616" s="61">
        <v>110070676994</v>
      </c>
      <c r="B1616" s="28">
        <v>2022</v>
      </c>
      <c r="C1616" s="68">
        <f t="shared" si="26"/>
        <v>44562</v>
      </c>
      <c r="D1616" s="28" t="s">
        <v>6777</v>
      </c>
      <c r="E1616" s="28" t="s">
        <v>6920</v>
      </c>
      <c r="F1616" s="28" t="s">
        <v>6921</v>
      </c>
      <c r="G1616" s="28" t="s">
        <v>311</v>
      </c>
      <c r="H1616" s="28">
        <v>25064</v>
      </c>
      <c r="I1616" s="28">
        <v>38.382550000000002</v>
      </c>
      <c r="J1616" s="28">
        <v>-81.782629</v>
      </c>
      <c r="K1616" s="28" t="s">
        <v>7118</v>
      </c>
      <c r="L1616" s="61">
        <v>110070676994</v>
      </c>
      <c r="M1616" s="28" t="s">
        <v>265</v>
      </c>
      <c r="N1616" s="28">
        <v>2869</v>
      </c>
      <c r="O1616" s="28" t="str">
        <f>IFERROR(VLOOKUP(N1616, 'SIC &amp; NAICS Codes'!A:B, 2, FALSE), "")</f>
        <v>Industrial Organic Chemicals, NEC (aliphatics)</v>
      </c>
      <c r="S1616" s="28">
        <v>0.558647</v>
      </c>
      <c r="T1616" s="315">
        <f>_xlfn.MAXIFS('Raw Period DMR Data'!$O:$O,'Raw Period DMR Data'!$A:$A,'Raw Annual DMR Data_2021-2024'!#REF!,'Raw Period DMR Data'!$C:$C,X1616)/S1616</f>
        <v>0</v>
      </c>
      <c r="U1616" s="28" t="str">
        <f>+IF(COUNTIFS('Raw Period DMR Data'!$A:$A,B1616,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16" s="28" t="str" cm="1">
        <f t="array" ref="V1616">IFERROR(INDEX('Raw Period DMR Data'!N:N,MATCH(1,(B1616='Raw Period DMR Data'!$A:$A)*(U1616='Raw Period DMR Data'!M:M)*(X1616='Raw Period DMR Data'!C:C),0),1), "N/A")</f>
        <v>N/A</v>
      </c>
      <c r="W1616" s="28" t="s">
        <v>1463</v>
      </c>
      <c r="X1616" s="28" t="s">
        <v>770</v>
      </c>
      <c r="Y1616" s="28" t="s">
        <v>771</v>
      </c>
      <c r="Z1616" s="61">
        <v>5050008000998</v>
      </c>
      <c r="AC1616" s="28" t="s">
        <v>1466</v>
      </c>
    </row>
    <row r="1617" spans="1:29" x14ac:dyDescent="0.25">
      <c r="A1617" s="61">
        <v>110070676994</v>
      </c>
      <c r="B1617" s="28">
        <v>2021</v>
      </c>
      <c r="C1617" s="68">
        <f t="shared" si="26"/>
        <v>44197</v>
      </c>
      <c r="D1617" s="28" t="s">
        <v>6777</v>
      </c>
      <c r="E1617" s="28" t="s">
        <v>6920</v>
      </c>
      <c r="F1617" s="28" t="s">
        <v>6921</v>
      </c>
      <c r="G1617" s="28" t="s">
        <v>311</v>
      </c>
      <c r="H1617" s="28">
        <v>25064</v>
      </c>
      <c r="I1617" s="28">
        <v>38.382550000000002</v>
      </c>
      <c r="J1617" s="28">
        <v>-81.782629</v>
      </c>
      <c r="K1617" s="28" t="s">
        <v>7118</v>
      </c>
      <c r="L1617" s="61">
        <v>110070676994</v>
      </c>
      <c r="M1617" s="28" t="s">
        <v>265</v>
      </c>
      <c r="N1617" s="28">
        <v>2869</v>
      </c>
      <c r="O1617" s="28" t="str">
        <f>IFERROR(VLOOKUP(N1617, 'SIC &amp; NAICS Codes'!A:B, 2, FALSE), "")</f>
        <v>Industrial Organic Chemicals, NEC (aliphatics)</v>
      </c>
      <c r="S1617" s="28">
        <v>0.41472900000000001</v>
      </c>
      <c r="T1617" s="315">
        <f>_xlfn.MAXIFS('Raw Period DMR Data'!$O:$O,'Raw Period DMR Data'!$A:$A,'Raw Annual DMR Data_2021-2024'!#REF!,'Raw Period DMR Data'!$C:$C,X1617)/S1617</f>
        <v>0</v>
      </c>
      <c r="U1617" s="28" t="str">
        <f>+IF(COUNTIFS('Raw Period DMR Data'!$A:$A,B1617,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17" s="28" t="str" cm="1">
        <f t="array" ref="V1617">IFERROR(INDEX('Raw Period DMR Data'!N:N,MATCH(1,(B1617='Raw Period DMR Data'!$A:$A)*(U1617='Raw Period DMR Data'!M:M)*(X1617='Raw Period DMR Data'!C:C),0),1), "N/A")</f>
        <v>N/A</v>
      </c>
      <c r="W1617" s="28" t="s">
        <v>1463</v>
      </c>
      <c r="X1617" s="28" t="s">
        <v>770</v>
      </c>
      <c r="Y1617" s="28" t="s">
        <v>771</v>
      </c>
      <c r="Z1617" s="61">
        <v>5050008000998</v>
      </c>
      <c r="AC1617" s="28" t="s">
        <v>1466</v>
      </c>
    </row>
    <row r="1618" spans="1:29" x14ac:dyDescent="0.25">
      <c r="A1618" s="61">
        <v>110045447469</v>
      </c>
      <c r="B1618" s="28">
        <v>2024</v>
      </c>
      <c r="C1618" s="68">
        <f t="shared" si="26"/>
        <v>45292</v>
      </c>
      <c r="D1618" s="28" t="s">
        <v>6768</v>
      </c>
      <c r="E1618" s="28" t="s">
        <v>6913</v>
      </c>
      <c r="F1618" s="28" t="s">
        <v>6914</v>
      </c>
      <c r="G1618" s="28" t="s">
        <v>6915</v>
      </c>
      <c r="H1618" s="28">
        <v>35601</v>
      </c>
      <c r="I1618" s="28">
        <v>34.63147</v>
      </c>
      <c r="J1618" s="28">
        <v>-87.038430000000005</v>
      </c>
      <c r="K1618" s="28" t="s">
        <v>7117</v>
      </c>
      <c r="L1618" s="61">
        <v>110045447469</v>
      </c>
      <c r="M1618" s="28" t="s">
        <v>265</v>
      </c>
      <c r="N1618" s="28">
        <v>2869</v>
      </c>
      <c r="O1618" s="28" t="str">
        <f>IFERROR(VLOOKUP(N1618, 'SIC &amp; NAICS Codes'!A:B, 2, FALSE), "")</f>
        <v>Industrial Organic Chemicals, NEC (aliphatics)</v>
      </c>
      <c r="S1618" s="28">
        <v>1.6571</v>
      </c>
      <c r="T1618" s="315">
        <f>_xlfn.MAXIFS('Raw Period DMR Data'!$O:$O,'Raw Period DMR Data'!$A:$A,'Raw Annual DMR Data_2021-2024'!#REF!,'Raw Period DMR Data'!$C:$C,X1618)/S1618</f>
        <v>0</v>
      </c>
      <c r="U1618" s="28" t="str">
        <f>+IF(COUNTIFS('Raw Period DMR Data'!$A:$A,B1618,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18" s="28" t="str" cm="1">
        <f t="array" ref="V1618">IFERROR(INDEX('Raw Period DMR Data'!N:N,MATCH(1,(B1618='Raw Period DMR Data'!$A:$A)*(U1618='Raw Period DMR Data'!M:M)*(X1618='Raw Period DMR Data'!C:C),0),1), "N/A")</f>
        <v>N/A</v>
      </c>
      <c r="W1618" s="28" t="s">
        <v>1463</v>
      </c>
      <c r="X1618" s="28" t="s">
        <v>7137</v>
      </c>
      <c r="Y1618" s="28" t="s">
        <v>7245</v>
      </c>
      <c r="Z1618" s="61">
        <v>6030002018565</v>
      </c>
      <c r="AC1618" s="28" t="s">
        <v>1466</v>
      </c>
    </row>
    <row r="1619" spans="1:29" x14ac:dyDescent="0.25">
      <c r="A1619" s="61">
        <v>110020737540</v>
      </c>
      <c r="B1619" s="28">
        <v>2023</v>
      </c>
      <c r="C1619" s="68">
        <f t="shared" si="26"/>
        <v>44927</v>
      </c>
      <c r="D1619" s="28" t="s">
        <v>6860</v>
      </c>
      <c r="E1619" s="28" t="s">
        <v>7021</v>
      </c>
      <c r="F1619" s="28" t="s">
        <v>7022</v>
      </c>
      <c r="G1619" s="28" t="s">
        <v>324</v>
      </c>
      <c r="H1619" s="28">
        <v>41031</v>
      </c>
      <c r="I1619" s="28">
        <v>38.394444</v>
      </c>
      <c r="J1619" s="28">
        <v>-84.284999999999997</v>
      </c>
      <c r="L1619" s="61">
        <v>110020737540</v>
      </c>
      <c r="M1619" s="28" t="s">
        <v>263</v>
      </c>
      <c r="N1619" s="28">
        <v>4952</v>
      </c>
      <c r="O1619" s="28" t="str">
        <f>IFERROR(VLOOKUP(N1619, 'SIC &amp; NAICS Codes'!A:B, 2, FALSE), "")</f>
        <v>Sewerage Systems</v>
      </c>
      <c r="S1619" s="28">
        <v>2.9322868125000001</v>
      </c>
      <c r="T1619" s="315">
        <f>_xlfn.MAXIFS('Raw Period DMR Data'!$O:$O,'Raw Period DMR Data'!$A:$A,'Raw Annual DMR Data_2021-2024'!#REF!,'Raw Period DMR Data'!$C:$C,X1619)/S1619</f>
        <v>0</v>
      </c>
      <c r="U1619" s="28" t="str">
        <f>+IF(COUNTIFS('Raw Period DMR Data'!$A:$A,B1619,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19" s="28" t="str" cm="1">
        <f t="array" ref="V1619">IFERROR(INDEX('Raw Period DMR Data'!N:N,MATCH(1,(B1619='Raw Period DMR Data'!$A:$A)*(U1619='Raw Period DMR Data'!M:M)*(X1619='Raw Period DMR Data'!C:C),0),1), "N/A")</f>
        <v>N/A</v>
      </c>
      <c r="W1619" s="28" t="s">
        <v>1463</v>
      </c>
      <c r="X1619" s="28" t="s">
        <v>7190</v>
      </c>
      <c r="Y1619" s="28" t="s">
        <v>7295</v>
      </c>
      <c r="Z1619" s="61" t="s">
        <v>7337</v>
      </c>
      <c r="AB1619" s="28" t="s">
        <v>7355</v>
      </c>
      <c r="AC1619" s="28" t="s">
        <v>263</v>
      </c>
    </row>
    <row r="1620" spans="1:29" x14ac:dyDescent="0.25">
      <c r="A1620" s="61">
        <v>110020737540</v>
      </c>
      <c r="B1620" s="28">
        <v>2021</v>
      </c>
      <c r="C1620" s="68">
        <f t="shared" si="26"/>
        <v>44197</v>
      </c>
      <c r="D1620" s="28" t="s">
        <v>6860</v>
      </c>
      <c r="E1620" s="28" t="s">
        <v>7021</v>
      </c>
      <c r="F1620" s="28" t="s">
        <v>7022</v>
      </c>
      <c r="G1620" s="28" t="s">
        <v>324</v>
      </c>
      <c r="H1620" s="28">
        <v>41031</v>
      </c>
      <c r="I1620" s="28">
        <v>38.394444</v>
      </c>
      <c r="J1620" s="28">
        <v>-84.284999999999997</v>
      </c>
      <c r="L1620" s="61">
        <v>110020737540</v>
      </c>
      <c r="M1620" s="28" t="s">
        <v>263</v>
      </c>
      <c r="N1620" s="28">
        <v>4952</v>
      </c>
      <c r="O1620" s="28" t="str">
        <f>IFERROR(VLOOKUP(N1620, 'SIC &amp; NAICS Codes'!A:B, 2, FALSE), "")</f>
        <v>Sewerage Systems</v>
      </c>
      <c r="S1620" s="28">
        <v>2.9222707562500001</v>
      </c>
      <c r="T1620" s="315">
        <f>_xlfn.MAXIFS('Raw Period DMR Data'!$O:$O,'Raw Period DMR Data'!$A:$A,'Raw Annual DMR Data_2021-2024'!#REF!,'Raw Period DMR Data'!$C:$C,X1620)/S1620</f>
        <v>0</v>
      </c>
      <c r="U1620" s="28" t="str">
        <f>+IF(COUNTIFS('Raw Period DMR Data'!$A:$A,B1620,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20" s="28" t="str" cm="1">
        <f t="array" ref="V1620">IFERROR(INDEX('Raw Period DMR Data'!N:N,MATCH(1,(B1620='Raw Period DMR Data'!$A:$A)*(U1620='Raw Period DMR Data'!M:M)*(X1620='Raw Period DMR Data'!C:C),0),1), "N/A")</f>
        <v>N/A</v>
      </c>
      <c r="W1620" s="28" t="s">
        <v>1463</v>
      </c>
      <c r="X1620" s="28" t="s">
        <v>7190</v>
      </c>
      <c r="Y1620" s="28" t="s">
        <v>7295</v>
      </c>
      <c r="Z1620" s="61">
        <v>5100102000325</v>
      </c>
      <c r="AB1620" s="28" t="s">
        <v>7355</v>
      </c>
      <c r="AC1620" s="28" t="s">
        <v>263</v>
      </c>
    </row>
    <row r="1621" spans="1:29" x14ac:dyDescent="0.25">
      <c r="A1621" s="61">
        <v>110020737540</v>
      </c>
      <c r="B1621" s="28">
        <v>2022</v>
      </c>
      <c r="C1621" s="68">
        <f t="shared" si="26"/>
        <v>44562</v>
      </c>
      <c r="D1621" s="28" t="s">
        <v>6860</v>
      </c>
      <c r="E1621" s="28" t="s">
        <v>7021</v>
      </c>
      <c r="F1621" s="28" t="s">
        <v>7022</v>
      </c>
      <c r="G1621" s="28" t="s">
        <v>324</v>
      </c>
      <c r="H1621" s="28">
        <v>41031</v>
      </c>
      <c r="I1621" s="28">
        <v>38.394444</v>
      </c>
      <c r="J1621" s="28">
        <v>-84.284999999999997</v>
      </c>
      <c r="L1621" s="61">
        <v>110020737540</v>
      </c>
      <c r="M1621" s="28" t="s">
        <v>263</v>
      </c>
      <c r="N1621" s="28">
        <v>4952</v>
      </c>
      <c r="O1621" s="28" t="str">
        <f>IFERROR(VLOOKUP(N1621, 'SIC &amp; NAICS Codes'!A:B, 2, FALSE), "")</f>
        <v>Sewerage Systems</v>
      </c>
      <c r="S1621" s="28">
        <v>2.7457809375000002</v>
      </c>
      <c r="T1621" s="315">
        <f>_xlfn.MAXIFS('Raw Period DMR Data'!$O:$O,'Raw Period DMR Data'!$A:$A,'Raw Annual DMR Data_2021-2024'!#REF!,'Raw Period DMR Data'!$C:$C,X1621)/S1621</f>
        <v>0</v>
      </c>
      <c r="U1621" s="28" t="str">
        <f>+IF(COUNTIFS('Raw Period DMR Data'!$A:$A,B1621,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21" s="28" t="str" cm="1">
        <f t="array" ref="V1621">IFERROR(INDEX('Raw Period DMR Data'!N:N,MATCH(1,(B1621='Raw Period DMR Data'!$A:$A)*(U1621='Raw Period DMR Data'!M:M)*(X1621='Raw Period DMR Data'!C:C),0),1), "N/A")</f>
        <v>N/A</v>
      </c>
      <c r="W1621" s="28" t="s">
        <v>1463</v>
      </c>
      <c r="X1621" s="28" t="s">
        <v>7190</v>
      </c>
      <c r="Y1621" s="28" t="s">
        <v>7295</v>
      </c>
      <c r="Z1621" s="61">
        <v>5100102000325</v>
      </c>
      <c r="AB1621" s="28" t="s">
        <v>7355</v>
      </c>
      <c r="AC1621" s="28" t="s">
        <v>263</v>
      </c>
    </row>
    <row r="1622" spans="1:29" x14ac:dyDescent="0.25">
      <c r="A1622" s="61">
        <v>110020737540</v>
      </c>
      <c r="B1622" s="28">
        <v>2024</v>
      </c>
      <c r="C1622" s="68">
        <f t="shared" si="26"/>
        <v>45292</v>
      </c>
      <c r="D1622" s="28" t="s">
        <v>6860</v>
      </c>
      <c r="E1622" s="28" t="s">
        <v>7021</v>
      </c>
      <c r="F1622" s="28" t="s">
        <v>7022</v>
      </c>
      <c r="G1622" s="28" t="s">
        <v>324</v>
      </c>
      <c r="H1622" s="28">
        <v>41031</v>
      </c>
      <c r="I1622" s="28">
        <v>38.394444</v>
      </c>
      <c r="J1622" s="28">
        <v>-84.284999999999997</v>
      </c>
      <c r="L1622" s="61">
        <v>110020737540</v>
      </c>
      <c r="M1622" s="28" t="s">
        <v>263</v>
      </c>
      <c r="N1622" s="28">
        <v>4952</v>
      </c>
      <c r="O1622" s="28" t="str">
        <f>IFERROR(VLOOKUP(N1622, 'SIC &amp; NAICS Codes'!A:B, 2, FALSE), "")</f>
        <v>Sewerage Systems</v>
      </c>
      <c r="S1622" s="28">
        <v>3.2465837499999999E-4</v>
      </c>
      <c r="T1622" s="315">
        <f>_xlfn.MAXIFS('Raw Period DMR Data'!$O:$O,'Raw Period DMR Data'!$A:$A,'Raw Annual DMR Data_2021-2024'!#REF!,'Raw Period DMR Data'!$C:$C,X1622)/S1622</f>
        <v>0</v>
      </c>
      <c r="U1622" s="28" t="str">
        <f>+IF(COUNTIFS('Raw Period DMR Data'!$A:$A,B1622,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22" s="28" t="str" cm="1">
        <f t="array" ref="V1622">IFERROR(INDEX('Raw Period DMR Data'!N:N,MATCH(1,(B1622='Raw Period DMR Data'!$A:$A)*(U1622='Raw Period DMR Data'!M:M)*(X1622='Raw Period DMR Data'!C:C),0),1), "N/A")</f>
        <v>N/A</v>
      </c>
      <c r="W1622" s="28" t="s">
        <v>1463</v>
      </c>
      <c r="X1622" s="28" t="s">
        <v>7190</v>
      </c>
      <c r="Y1622" s="28" t="s">
        <v>7295</v>
      </c>
      <c r="Z1622" s="61">
        <v>5100102000325</v>
      </c>
      <c r="AB1622" s="28" t="s">
        <v>7355</v>
      </c>
      <c r="AC1622" s="28" t="s">
        <v>263</v>
      </c>
    </row>
    <row r="1623" spans="1:29" x14ac:dyDescent="0.25">
      <c r="A1623" s="61">
        <v>110000461107</v>
      </c>
      <c r="B1623" s="28">
        <v>2023</v>
      </c>
      <c r="C1623" s="68">
        <f t="shared" si="26"/>
        <v>44927</v>
      </c>
      <c r="D1623" s="28" t="s">
        <v>6849</v>
      </c>
      <c r="E1623" s="28" t="s">
        <v>7004</v>
      </c>
      <c r="F1623" s="28" t="s">
        <v>520</v>
      </c>
      <c r="G1623" s="28" t="s">
        <v>362</v>
      </c>
      <c r="H1623" s="28" t="s">
        <v>7005</v>
      </c>
      <c r="I1623" s="28">
        <v>29.706247999999999</v>
      </c>
      <c r="J1623" s="28">
        <v>-95.251079000000004</v>
      </c>
      <c r="K1623" s="28" t="s">
        <v>7129</v>
      </c>
      <c r="L1623" s="61">
        <v>110000461107</v>
      </c>
      <c r="M1623" s="28" t="s">
        <v>265</v>
      </c>
      <c r="N1623" s="28">
        <v>2869</v>
      </c>
      <c r="O1623" s="28" t="str">
        <f>IFERROR(VLOOKUP(N1623, 'SIC &amp; NAICS Codes'!A:B, 2, FALSE), "")</f>
        <v>Industrial Organic Chemicals, NEC (aliphatics)</v>
      </c>
      <c r="S1623" s="28">
        <v>3.3141999999999998E-2</v>
      </c>
      <c r="T1623" s="315">
        <f>_xlfn.MAXIFS('Raw Period DMR Data'!$O:$O,'Raw Period DMR Data'!$A:$A,'Raw Annual DMR Data_2021-2024'!#REF!,'Raw Period DMR Data'!$C:$C,X1623)/S1623</f>
        <v>0</v>
      </c>
      <c r="U1623" s="28" t="str">
        <f>+IF(COUNTIFS('Raw Period DMR Data'!$A:$A,B1623,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23" s="28" t="str" cm="1">
        <f t="array" ref="V1623">IFERROR(INDEX('Raw Period DMR Data'!N:N,MATCH(1,(B1623='Raw Period DMR Data'!$A:$A)*(U1623='Raw Period DMR Data'!M:M)*(X1623='Raw Period DMR Data'!C:C),0),1), "N/A")</f>
        <v>N/A</v>
      </c>
      <c r="W1623" s="28" t="s">
        <v>1463</v>
      </c>
      <c r="X1623" s="28" t="s">
        <v>7181</v>
      </c>
      <c r="Y1623" s="28" t="s">
        <v>7248</v>
      </c>
      <c r="Z1623" s="61">
        <v>12040104000665</v>
      </c>
      <c r="AB1623" s="28" t="s">
        <v>7355</v>
      </c>
      <c r="AC1623" s="28" t="s">
        <v>1466</v>
      </c>
    </row>
    <row r="1624" spans="1:29" x14ac:dyDescent="0.25">
      <c r="A1624" s="61">
        <v>110071710882</v>
      </c>
      <c r="B1624" s="28">
        <v>2023</v>
      </c>
      <c r="C1624" s="68">
        <f t="shared" si="26"/>
        <v>44927</v>
      </c>
      <c r="D1624" s="28" t="s">
        <v>6783</v>
      </c>
      <c r="E1624" s="28" t="s">
        <v>6929</v>
      </c>
      <c r="F1624" s="28" t="s">
        <v>6930</v>
      </c>
      <c r="G1624" s="28" t="s">
        <v>362</v>
      </c>
      <c r="H1624" s="28">
        <v>77627</v>
      </c>
      <c r="I1624" s="28">
        <v>30.014958</v>
      </c>
      <c r="J1624" s="28">
        <v>-94.029087000000004</v>
      </c>
      <c r="L1624" s="61">
        <v>110071710882</v>
      </c>
      <c r="M1624" s="28" t="s">
        <v>265</v>
      </c>
      <c r="N1624" s="28">
        <v>2869</v>
      </c>
      <c r="O1624" s="28" t="str">
        <f>IFERROR(VLOOKUP(N1624, 'SIC &amp; NAICS Codes'!A:B, 2, FALSE), "")</f>
        <v>Industrial Organic Chemicals, NEC (aliphatics)</v>
      </c>
      <c r="S1624" s="28">
        <v>13.205952</v>
      </c>
      <c r="T1624" s="315">
        <f>_xlfn.MAXIFS('Raw Period DMR Data'!$O:$O,'Raw Period DMR Data'!$A:$A,'Raw Annual DMR Data_2021-2024'!B2344,'Raw Period DMR Data'!$C:$C,X1624)/S1624</f>
        <v>0</v>
      </c>
      <c r="U1624" s="28" t="str">
        <f>+IF(COUNTIFS('Raw Period DMR Data'!$A:$A,B1624, 'Raw Period DMR Data'!C:C,'Raw Annual DMR Data_2021-2024'!X2344, 'Raw Period DMR Data'!M:M, "&gt;0")&gt;0,_xlfn.MAXIFS('Raw Period DMR Data'!M:M,'Raw Period DMR Data'!$A:$A,'Raw Annual DMR Data_2021-2024'!B2344,'Raw Period DMR Data'!C:C,'Raw Annual DMR Data_2021-2024'!X2344), "N/A - Period DMR Data Not Available")</f>
        <v>N/A - Period DMR Data Not Available</v>
      </c>
      <c r="V1624" s="28" t="str" cm="1">
        <f t="array" ref="V1624">IFERROR(INDEX('Raw Period DMR Data'!N:N,MATCH(1,(B1624='Raw Period DMR Data'!$A:$A)*(U1624='Raw Period DMR Data'!M:M)*(X1624='Raw Period DMR Data'!C:C),0),1), "N/A")</f>
        <v>N/A</v>
      </c>
      <c r="W1624" s="28" t="s">
        <v>1463</v>
      </c>
      <c r="X1624" s="28" t="s">
        <v>810</v>
      </c>
      <c r="Y1624" s="28" t="s">
        <v>7255</v>
      </c>
      <c r="Z1624" s="61">
        <v>12040201000733</v>
      </c>
      <c r="AC1624" s="28" t="s">
        <v>1466</v>
      </c>
    </row>
    <row r="1625" spans="1:29" x14ac:dyDescent="0.25">
      <c r="A1625" s="61">
        <v>110056961480</v>
      </c>
      <c r="B1625" s="28">
        <v>2022</v>
      </c>
      <c r="C1625" s="68">
        <f t="shared" si="26"/>
        <v>44562</v>
      </c>
      <c r="D1625" s="28" t="s">
        <v>6812</v>
      </c>
      <c r="E1625" s="28" t="s">
        <v>6965</v>
      </c>
      <c r="F1625" s="28" t="s">
        <v>6966</v>
      </c>
      <c r="G1625" s="28" t="s">
        <v>362</v>
      </c>
      <c r="H1625" s="28">
        <v>77580</v>
      </c>
      <c r="I1625" s="28">
        <v>29.857654</v>
      </c>
      <c r="J1625" s="28">
        <v>-94.910674</v>
      </c>
      <c r="K1625" s="28" t="s">
        <v>7124</v>
      </c>
      <c r="L1625" s="61">
        <v>110056961480</v>
      </c>
      <c r="M1625" s="28" t="s">
        <v>265</v>
      </c>
      <c r="N1625" s="28">
        <v>2869</v>
      </c>
      <c r="O1625" s="28" t="str">
        <f>IFERROR(VLOOKUP(N1625, 'SIC &amp; NAICS Codes'!A:B, 2, FALSE), "")</f>
        <v>Industrial Organic Chemicals, NEC (aliphatics)</v>
      </c>
      <c r="S1625" s="28">
        <v>0.16571</v>
      </c>
      <c r="T1625" s="315">
        <f>_xlfn.MAXIFS('Raw Period DMR Data'!$O:$O,'Raw Period DMR Data'!$A:$A,'Raw Annual DMR Data_2021-2024'!#REF!,'Raw Period DMR Data'!$C:$C,X1625)/S1625</f>
        <v>0</v>
      </c>
      <c r="U1625" s="28" t="str">
        <f>+IF(COUNTIFS('Raw Period DMR Data'!$A:$A,B1625,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25" s="28" t="str" cm="1">
        <f t="array" ref="V1625">IFERROR(INDEX('Raw Period DMR Data'!N:N,MATCH(1,(B1625='Raw Period DMR Data'!$A:$A)*(U1625='Raw Period DMR Data'!M:M)*(X1625='Raw Period DMR Data'!C:C),0),1), "N/A")</f>
        <v>N/A</v>
      </c>
      <c r="W1625" s="28" t="s">
        <v>1463</v>
      </c>
      <c r="X1625" s="28" t="s">
        <v>7159</v>
      </c>
      <c r="Y1625" s="28" t="s">
        <v>7271</v>
      </c>
      <c r="Z1625" s="61">
        <v>12040203000178</v>
      </c>
      <c r="AC1625" s="28" t="s">
        <v>1466</v>
      </c>
    </row>
    <row r="1626" spans="1:29" x14ac:dyDescent="0.25">
      <c r="A1626" s="61">
        <v>110000732351</v>
      </c>
      <c r="B1626" s="28">
        <v>2021</v>
      </c>
      <c r="C1626" s="68">
        <f t="shared" si="26"/>
        <v>44197</v>
      </c>
      <c r="D1626" s="28" t="s">
        <v>6786</v>
      </c>
      <c r="E1626" s="28" t="s">
        <v>6936</v>
      </c>
      <c r="F1626" s="28" t="s">
        <v>6937</v>
      </c>
      <c r="G1626" s="28" t="s">
        <v>324</v>
      </c>
      <c r="H1626" s="28">
        <v>40422</v>
      </c>
      <c r="I1626" s="28">
        <v>37.621431000000001</v>
      </c>
      <c r="J1626" s="28">
        <v>-84.733756</v>
      </c>
      <c r="L1626" s="61">
        <v>110000732351</v>
      </c>
      <c r="M1626" s="28" t="s">
        <v>263</v>
      </c>
      <c r="N1626" s="28">
        <v>4952</v>
      </c>
      <c r="O1626" s="28" t="str">
        <f>IFERROR(VLOOKUP(N1626, 'SIC &amp; NAICS Codes'!A:B, 2, FALSE), "")</f>
        <v>Sewerage Systems</v>
      </c>
      <c r="S1626" s="28">
        <v>25.316445625</v>
      </c>
      <c r="T1626" s="315">
        <f>_xlfn.MAXIFS('Raw Period DMR Data'!$O:$O,'Raw Period DMR Data'!$A:$A,'Raw Annual DMR Data_2021-2024'!B2314,'Raw Period DMR Data'!$C:$C,X1626)/S1626</f>
        <v>0</v>
      </c>
      <c r="U1626" s="28" t="str">
        <f>+IF(COUNTIFS('Raw Period DMR Data'!$A:$A,B1626, 'Raw Period DMR Data'!C:C,'Raw Annual DMR Data_2021-2024'!X2314, 'Raw Period DMR Data'!M:M, "&gt;0")&gt;0,_xlfn.MAXIFS('Raw Period DMR Data'!M:M,'Raw Period DMR Data'!$A:$A,'Raw Annual DMR Data_2021-2024'!B2314,'Raw Period DMR Data'!C:C,'Raw Annual DMR Data_2021-2024'!X2314), "N/A - Period DMR Data Not Available")</f>
        <v>N/A - Period DMR Data Not Available</v>
      </c>
      <c r="V1626" s="28" t="str" cm="1">
        <f t="array" ref="V1626">IFERROR(INDEX('Raw Period DMR Data'!N:N,MATCH(1,(B1626='Raw Period DMR Data'!$A:$A)*(U1626='Raw Period DMR Data'!M:M)*(X1626='Raw Period DMR Data'!C:C),0),1), "N/A")</f>
        <v>N/A</v>
      </c>
      <c r="W1626" s="28" t="s">
        <v>1463</v>
      </c>
      <c r="X1626" s="28" t="s">
        <v>7146</v>
      </c>
      <c r="Y1626" s="28" t="s">
        <v>7258</v>
      </c>
      <c r="Z1626" s="61">
        <v>5100205001070</v>
      </c>
      <c r="AA1626" s="28"/>
      <c r="AB1626" s="28" t="s">
        <v>7355</v>
      </c>
      <c r="AC1626" s="28" t="s">
        <v>263</v>
      </c>
    </row>
    <row r="1627" spans="1:29" x14ac:dyDescent="0.25">
      <c r="A1627" s="61">
        <v>110000732351</v>
      </c>
      <c r="B1627" s="28">
        <v>2022</v>
      </c>
      <c r="C1627" s="68">
        <f t="shared" si="26"/>
        <v>44562</v>
      </c>
      <c r="D1627" s="28" t="s">
        <v>6786</v>
      </c>
      <c r="E1627" s="28" t="s">
        <v>6936</v>
      </c>
      <c r="F1627" s="28" t="s">
        <v>6937</v>
      </c>
      <c r="G1627" s="28" t="s">
        <v>324</v>
      </c>
      <c r="H1627" s="28">
        <v>40422</v>
      </c>
      <c r="I1627" s="28">
        <v>37.621431000000001</v>
      </c>
      <c r="J1627" s="28">
        <v>-84.733756</v>
      </c>
      <c r="L1627" s="61">
        <v>110000732351</v>
      </c>
      <c r="M1627" s="28" t="s">
        <v>263</v>
      </c>
      <c r="N1627" s="28">
        <v>4952</v>
      </c>
      <c r="O1627" s="28" t="str">
        <f>IFERROR(VLOOKUP(N1627, 'SIC &amp; NAICS Codes'!A:B, 2, FALSE), "")</f>
        <v>Sewerage Systems</v>
      </c>
      <c r="S1627" s="28">
        <v>20.412031875</v>
      </c>
      <c r="T1627" s="315">
        <f>_xlfn.MAXIFS('Raw Period DMR Data'!$O:$O,'Raw Period DMR Data'!$A:$A,'Raw Annual DMR Data_2021-2024'!B2321,'Raw Period DMR Data'!$C:$C,X1627)/S1627</f>
        <v>0</v>
      </c>
      <c r="U1627" s="28" t="str">
        <f>+IF(COUNTIFS('Raw Period DMR Data'!$A:$A,B1627, 'Raw Period DMR Data'!C:C,'Raw Annual DMR Data_2021-2024'!X2321, 'Raw Period DMR Data'!M:M, "&gt;0")&gt;0,_xlfn.MAXIFS('Raw Period DMR Data'!M:M,'Raw Period DMR Data'!$A:$A,'Raw Annual DMR Data_2021-2024'!B2321,'Raw Period DMR Data'!C:C,'Raw Annual DMR Data_2021-2024'!X2321), "N/A - Period DMR Data Not Available")</f>
        <v>N/A - Period DMR Data Not Available</v>
      </c>
      <c r="V1627" s="28" t="str" cm="1">
        <f t="array" ref="V1627">IFERROR(INDEX('Raw Period DMR Data'!N:N,MATCH(1,(B1627='Raw Period DMR Data'!$A:$A)*(U1627='Raw Period DMR Data'!M:M)*(X1627='Raw Period DMR Data'!C:C),0),1), "N/A")</f>
        <v>N/A</v>
      </c>
      <c r="W1627" s="28" t="s">
        <v>1463</v>
      </c>
      <c r="X1627" s="28" t="s">
        <v>7146</v>
      </c>
      <c r="Y1627" s="28" t="s">
        <v>7258</v>
      </c>
      <c r="Z1627" s="61">
        <v>5100205001070</v>
      </c>
      <c r="AB1627" s="28" t="s">
        <v>7355</v>
      </c>
      <c r="AC1627" s="28" t="s">
        <v>263</v>
      </c>
    </row>
    <row r="1628" spans="1:29" x14ac:dyDescent="0.25">
      <c r="A1628" s="61">
        <v>110000732351</v>
      </c>
      <c r="B1628" s="28">
        <v>2023</v>
      </c>
      <c r="C1628" s="68">
        <f t="shared" si="26"/>
        <v>44927</v>
      </c>
      <c r="D1628" s="28" t="s">
        <v>6786</v>
      </c>
      <c r="E1628" s="28" t="s">
        <v>6936</v>
      </c>
      <c r="F1628" s="28" t="s">
        <v>6937</v>
      </c>
      <c r="G1628" s="28" t="s">
        <v>324</v>
      </c>
      <c r="H1628" s="28">
        <v>40422</v>
      </c>
      <c r="I1628" s="28">
        <v>37.621431000000001</v>
      </c>
      <c r="J1628" s="28">
        <v>-84.733756</v>
      </c>
      <c r="L1628" s="61">
        <v>110000732351</v>
      </c>
      <c r="M1628" s="28" t="s">
        <v>263</v>
      </c>
      <c r="N1628" s="28">
        <v>4952</v>
      </c>
      <c r="O1628" s="28" t="str">
        <f>IFERROR(VLOOKUP(N1628, 'SIC &amp; NAICS Codes'!A:B, 2, FALSE), "")</f>
        <v>Sewerage Systems</v>
      </c>
      <c r="S1628" s="28">
        <v>15.404003749999999</v>
      </c>
      <c r="T1628" s="315">
        <f>_xlfn.MAXIFS('Raw Period DMR Data'!$O:$O,'Raw Period DMR Data'!$A:$A,'Raw Annual DMR Data_2021-2024'!B2332,'Raw Period DMR Data'!$C:$C,X1628)/S1628</f>
        <v>0</v>
      </c>
      <c r="U1628" s="28" t="str">
        <f>+IF(COUNTIFS('Raw Period DMR Data'!$A:$A,B1628, 'Raw Period DMR Data'!C:C,'Raw Annual DMR Data_2021-2024'!X2332, 'Raw Period DMR Data'!M:M, "&gt;0")&gt;0,_xlfn.MAXIFS('Raw Period DMR Data'!M:M,'Raw Period DMR Data'!$A:$A,'Raw Annual DMR Data_2021-2024'!B2332,'Raw Period DMR Data'!C:C,'Raw Annual DMR Data_2021-2024'!X2332), "N/A - Period DMR Data Not Available")</f>
        <v>N/A - Period DMR Data Not Available</v>
      </c>
      <c r="V1628" s="28" t="str" cm="1">
        <f t="array" ref="V1628">IFERROR(INDEX('Raw Period DMR Data'!N:N,MATCH(1,(B1628='Raw Period DMR Data'!$A:$A)*(U1628='Raw Period DMR Data'!M:M)*(X1628='Raw Period DMR Data'!C:C),0),1), "N/A")</f>
        <v>N/A</v>
      </c>
      <c r="W1628" s="28" t="s">
        <v>1463</v>
      </c>
      <c r="X1628" s="28" t="s">
        <v>7146</v>
      </c>
      <c r="Y1628" s="28" t="s">
        <v>7258</v>
      </c>
      <c r="Z1628" s="61">
        <v>5100205001070</v>
      </c>
      <c r="AB1628" s="28" t="s">
        <v>7355</v>
      </c>
      <c r="AC1628" s="28" t="s">
        <v>263</v>
      </c>
    </row>
    <row r="1629" spans="1:29" x14ac:dyDescent="0.25">
      <c r="A1629" s="61">
        <v>110070725501</v>
      </c>
      <c r="B1629" s="28">
        <v>2022</v>
      </c>
      <c r="C1629" s="68">
        <f t="shared" si="26"/>
        <v>44562</v>
      </c>
      <c r="D1629" s="28" t="s">
        <v>6774</v>
      </c>
      <c r="E1629" s="28" t="s">
        <v>581</v>
      </c>
      <c r="F1629" s="28" t="s">
        <v>2421</v>
      </c>
      <c r="G1629" s="28" t="s">
        <v>362</v>
      </c>
      <c r="H1629" s="28">
        <v>78359</v>
      </c>
      <c r="I1629" s="28">
        <v>27.883610999999998</v>
      </c>
      <c r="J1629" s="28">
        <v>-97.241382999999999</v>
      </c>
      <c r="K1629" s="28" t="s">
        <v>583</v>
      </c>
      <c r="L1629" s="61">
        <v>110070725501</v>
      </c>
      <c r="M1629" s="28" t="s">
        <v>265</v>
      </c>
      <c r="N1629" s="28">
        <v>2869</v>
      </c>
      <c r="O1629" s="28" t="str">
        <f>IFERROR(VLOOKUP(N1629, 'SIC &amp; NAICS Codes'!A:B, 2, FALSE), "")</f>
        <v>Industrial Organic Chemicals, NEC (aliphatics)</v>
      </c>
      <c r="S1629" s="28">
        <v>1255.2192</v>
      </c>
      <c r="T1629" s="315">
        <f>_xlfn.MAXIFS('Raw Period DMR Data'!$O:$O,'Raw Period DMR Data'!$A:$A,'Raw Annual DMR Data_2021-2024'!B2262,'Raw Period DMR Data'!$C:$C,X1629)/S1629</f>
        <v>0</v>
      </c>
      <c r="U1629" s="28" t="str">
        <f>+IF(COUNTIFS('Raw Period DMR Data'!$A:$A,B1629, 'Raw Period DMR Data'!C:C,'Raw Annual DMR Data_2021-2024'!X2262, 'Raw Period DMR Data'!M:M, "&gt;0")&gt;0,_xlfn.MAXIFS('Raw Period DMR Data'!M:M,'Raw Period DMR Data'!$A:$A,'Raw Annual DMR Data_2021-2024'!B2262,'Raw Period DMR Data'!C:C,'Raw Annual DMR Data_2021-2024'!X2262), "N/A - Period DMR Data Not Available")</f>
        <v>N/A - Period DMR Data Not Available</v>
      </c>
      <c r="V1629" s="28" t="str" cm="1">
        <f t="array" ref="V1629">IFERROR(INDEX('Raw Period DMR Data'!N:N,MATCH(1,(B1629='Raw Period DMR Data'!$A:$A)*(U1629='Raw Period DMR Data'!M:M)*(X1629='Raw Period DMR Data'!C:C),0),1), "N/A")</f>
        <v>N/A</v>
      </c>
      <c r="W1629" s="28" t="s">
        <v>1463</v>
      </c>
      <c r="X1629" s="28" t="s">
        <v>910</v>
      </c>
      <c r="Y1629" s="28" t="s">
        <v>911</v>
      </c>
      <c r="Z1629" s="61">
        <v>12110201000002</v>
      </c>
      <c r="AC1629" s="28" t="s">
        <v>1466</v>
      </c>
    </row>
    <row r="1630" spans="1:29" x14ac:dyDescent="0.25">
      <c r="A1630" s="61">
        <v>110000329038</v>
      </c>
      <c r="B1630" s="28">
        <v>2024</v>
      </c>
      <c r="C1630" s="68">
        <f t="shared" si="26"/>
        <v>45292</v>
      </c>
      <c r="D1630" s="28" t="s">
        <v>6846</v>
      </c>
      <c r="E1630" s="28" t="s">
        <v>7000</v>
      </c>
      <c r="F1630" s="28" t="s">
        <v>1267</v>
      </c>
      <c r="G1630" s="28" t="s">
        <v>491</v>
      </c>
      <c r="H1630" s="28" t="s">
        <v>7001</v>
      </c>
      <c r="I1630" s="28">
        <v>40.670580000000001</v>
      </c>
      <c r="J1630" s="28">
        <v>-80.336500000000001</v>
      </c>
      <c r="K1630" s="28" t="s">
        <v>7128</v>
      </c>
      <c r="L1630" s="61">
        <v>110000329038</v>
      </c>
      <c r="M1630" s="28" t="s">
        <v>265</v>
      </c>
      <c r="N1630" s="28">
        <v>2869</v>
      </c>
      <c r="O1630" s="28" t="str">
        <f>IFERROR(VLOOKUP(N1630, 'SIC &amp; NAICS Codes'!A:B, 2, FALSE), "")</f>
        <v>Industrial Organic Chemicals, NEC (aliphatics)</v>
      </c>
      <c r="S1630" s="28">
        <v>4.7669999999999997E-2</v>
      </c>
      <c r="T1630" s="315">
        <f>_xlfn.MAXIFS('Raw Period DMR Data'!$O:$O,'Raw Period DMR Data'!$A:$A,'Raw Annual DMR Data_2021-2024'!#REF!,'Raw Period DMR Data'!$C:$C,X1630)/S1630</f>
        <v>0</v>
      </c>
      <c r="U1630" s="28" t="str">
        <f>+IF(COUNTIFS('Raw Period DMR Data'!$A:$A,B1630,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30" s="28" t="str" cm="1">
        <f t="array" ref="V1630">IFERROR(INDEX('Raw Period DMR Data'!N:N,MATCH(1,(B1630='Raw Period DMR Data'!$A:$A)*(U1630='Raw Period DMR Data'!M:M)*(X1630='Raw Period DMR Data'!C:C),0),1), "N/A")</f>
        <v>N/A</v>
      </c>
      <c r="W1630" s="28" t="s">
        <v>1463</v>
      </c>
      <c r="X1630" s="28" t="s">
        <v>7179</v>
      </c>
      <c r="Y1630" s="28" t="s">
        <v>7289</v>
      </c>
      <c r="Z1630" s="61">
        <v>5030101001548</v>
      </c>
      <c r="AB1630" s="28" t="s">
        <v>7355</v>
      </c>
      <c r="AC1630" s="28" t="s">
        <v>1466</v>
      </c>
    </row>
    <row r="1631" spans="1:29" x14ac:dyDescent="0.25">
      <c r="A1631" s="61">
        <v>110000611703</v>
      </c>
      <c r="B1631" s="28">
        <v>2021</v>
      </c>
      <c r="C1631" s="68">
        <f t="shared" si="26"/>
        <v>44197</v>
      </c>
      <c r="D1631" s="28" t="s">
        <v>208</v>
      </c>
      <c r="E1631" s="28" t="s">
        <v>647</v>
      </c>
      <c r="F1631" s="28" t="s">
        <v>648</v>
      </c>
      <c r="G1631" s="28" t="s">
        <v>328</v>
      </c>
      <c r="H1631" s="28">
        <v>30721</v>
      </c>
      <c r="I1631" s="28">
        <v>34.632592000000002</v>
      </c>
      <c r="J1631" s="28">
        <v>-84.927667999999997</v>
      </c>
      <c r="K1631" s="28" t="s">
        <v>649</v>
      </c>
      <c r="L1631" s="61">
        <v>110000611703</v>
      </c>
      <c r="M1631" s="28" t="s">
        <v>253</v>
      </c>
      <c r="N1631" s="28">
        <v>2821</v>
      </c>
      <c r="O1631" s="28" t="str">
        <f>IFERROR(VLOOKUP(N1631, 'SIC &amp; NAICS Codes'!A:B, 2, FALSE), "")</f>
        <v>Plastics Materials, Synthetic and Resins, and Nonvulcanizable Elastomers</v>
      </c>
      <c r="S1631" s="28">
        <v>7.0369999999999999E-3</v>
      </c>
      <c r="T1631" s="315">
        <f>_xlfn.MAXIFS('Raw Period DMR Data'!$O:$O,'Raw Period DMR Data'!$A:$A,'Raw Annual DMR Data_2021-2024'!#REF!,'Raw Period DMR Data'!$C:$C,X1631)/S1631</f>
        <v>0</v>
      </c>
      <c r="U1631" s="28" t="str">
        <f>+IF(COUNTIFS('Raw Period DMR Data'!$A:$A,B1631,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31" s="28" t="str" cm="1">
        <f t="array" ref="V1631">IFERROR(INDEX('Raw Period DMR Data'!N:N,MATCH(1,(B1631='Raw Period DMR Data'!$A:$A)*(U1631='Raw Period DMR Data'!M:M)*(X1631='Raw Period DMR Data'!C:C),0),1), "N/A")</f>
        <v>N/A</v>
      </c>
      <c r="W1631" s="28" t="s">
        <v>1463</v>
      </c>
      <c r="X1631" s="28" t="s">
        <v>945</v>
      </c>
      <c r="Y1631" s="28" t="s">
        <v>946</v>
      </c>
      <c r="Z1631" s="61">
        <v>3150101000005</v>
      </c>
      <c r="AA1631" s="28"/>
      <c r="AB1631" s="28" t="s">
        <v>7355</v>
      </c>
      <c r="AC1631" s="28" t="s">
        <v>1466</v>
      </c>
    </row>
    <row r="1632" spans="1:29" x14ac:dyDescent="0.25">
      <c r="A1632" s="61">
        <v>110070619860</v>
      </c>
      <c r="B1632" s="28">
        <v>2021</v>
      </c>
      <c r="C1632" s="68">
        <f t="shared" si="26"/>
        <v>44197</v>
      </c>
      <c r="D1632" s="28" t="s">
        <v>1077</v>
      </c>
      <c r="E1632" s="28" t="s">
        <v>1670</v>
      </c>
      <c r="F1632" s="28" t="s">
        <v>1078</v>
      </c>
      <c r="G1632" s="28" t="s">
        <v>366</v>
      </c>
      <c r="H1632" s="28">
        <v>95682</v>
      </c>
      <c r="I1632" s="28">
        <v>38.627777999999999</v>
      </c>
      <c r="J1632" s="28">
        <v>-120.984167</v>
      </c>
      <c r="L1632" s="61">
        <v>110070619860</v>
      </c>
      <c r="M1632" s="28" t="s">
        <v>263</v>
      </c>
      <c r="N1632" s="28">
        <v>4952</v>
      </c>
      <c r="O1632" s="28" t="str">
        <f>IFERROR(VLOOKUP(N1632, 'SIC &amp; NAICS Codes'!A:B, 2, FALSE), "")</f>
        <v>Sewerage Systems</v>
      </c>
      <c r="S1632" s="28">
        <v>6.9649298999999998E-2</v>
      </c>
      <c r="T1632" s="315">
        <f>_xlfn.MAXIFS('Raw Period DMR Data'!$O:$O,'Raw Period DMR Data'!$A:$A,'Raw Annual DMR Data_2021-2024'!#REF!,'Raw Period DMR Data'!$C:$C,X1632)/S1632</f>
        <v>0</v>
      </c>
      <c r="U1632" s="28" t="str">
        <f>+IF(COUNTIFS('Raw Period DMR Data'!$A:$A,B1632,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32" s="28" t="str" cm="1">
        <f t="array" ref="V1632">IFERROR(INDEX('Raw Period DMR Data'!N:N,MATCH(1,(B1632='Raw Period DMR Data'!$A:$A)*(U1632='Raw Period DMR Data'!M:M)*(X1632='Raw Period DMR Data'!C:C),0),1), "N/A")</f>
        <v>N/A</v>
      </c>
      <c r="W1632" s="28" t="s">
        <v>1463</v>
      </c>
      <c r="X1632" s="28" t="s">
        <v>1671</v>
      </c>
      <c r="Y1632" s="28" t="s">
        <v>1672</v>
      </c>
      <c r="Z1632" s="61"/>
      <c r="AA1632" s="28"/>
      <c r="AB1632" s="28" t="s">
        <v>7355</v>
      </c>
      <c r="AC1632" s="28" t="s">
        <v>263</v>
      </c>
    </row>
    <row r="1633" spans="1:29" x14ac:dyDescent="0.25">
      <c r="A1633" s="61">
        <v>110000781609</v>
      </c>
      <c r="B1633" s="28">
        <v>2021</v>
      </c>
      <c r="C1633" s="68">
        <f t="shared" si="26"/>
        <v>44197</v>
      </c>
      <c r="D1633" s="28" t="s">
        <v>133</v>
      </c>
      <c r="E1633" s="28" t="s">
        <v>429</v>
      </c>
      <c r="F1633" s="28" t="s">
        <v>430</v>
      </c>
      <c r="G1633" s="28" t="s">
        <v>366</v>
      </c>
      <c r="H1633" s="28" t="s">
        <v>431</v>
      </c>
      <c r="I1633" s="28">
        <v>33.892391000000003</v>
      </c>
      <c r="J1633" s="28">
        <v>-118.072909</v>
      </c>
      <c r="L1633" s="61">
        <v>110000781609</v>
      </c>
      <c r="M1633" s="28" t="s">
        <v>252</v>
      </c>
      <c r="N1633" s="28">
        <v>4613</v>
      </c>
      <c r="O1633" s="28" t="str">
        <f>IFERROR(VLOOKUP(N1633, 'SIC &amp; NAICS Codes'!A:B, 2, FALSE), "")</f>
        <v>Refined Petroleum Pipelines</v>
      </c>
      <c r="S1633" s="28">
        <v>1.8773807999999999E-4</v>
      </c>
      <c r="T1633" s="315">
        <f>_xlfn.MAXIFS('Raw Period DMR Data'!$O:$O,'Raw Period DMR Data'!$A:$A,'Raw Annual DMR Data_2021-2024'!#REF!,'Raw Period DMR Data'!$C:$C,X1633)/S1633</f>
        <v>0</v>
      </c>
      <c r="U1633" s="28" t="str">
        <f>+IF(COUNTIFS('Raw Period DMR Data'!$A:$A,B1633,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33" s="28" t="str" cm="1">
        <f t="array" ref="V1633">IFERROR(INDEX('Raw Period DMR Data'!N:N,MATCH(1,(B1633='Raw Period DMR Data'!$A:$A)*(U1633='Raw Period DMR Data'!M:M)*(X1633='Raw Period DMR Data'!C:C),0),1), "N/A")</f>
        <v>N/A</v>
      </c>
      <c r="W1633" s="28" t="s">
        <v>1463</v>
      </c>
      <c r="X1633" s="28" t="s">
        <v>831</v>
      </c>
      <c r="Y1633" s="28" t="s">
        <v>832</v>
      </c>
      <c r="Z1633" s="61">
        <v>18070106000652</v>
      </c>
      <c r="AA1633" s="28"/>
      <c r="AC1633" s="28" t="s">
        <v>1466</v>
      </c>
    </row>
    <row r="1634" spans="1:29" x14ac:dyDescent="0.25">
      <c r="A1634" s="61">
        <v>110000582003</v>
      </c>
      <c r="B1634" s="28">
        <v>2021</v>
      </c>
      <c r="C1634" s="68">
        <f t="shared" si="26"/>
        <v>44197</v>
      </c>
      <c r="D1634" s="28" t="s">
        <v>1079</v>
      </c>
      <c r="E1634" s="28" t="s">
        <v>1673</v>
      </c>
      <c r="F1634" s="28" t="s">
        <v>381</v>
      </c>
      <c r="G1634" s="28" t="s">
        <v>338</v>
      </c>
      <c r="H1634" s="28">
        <v>80140309</v>
      </c>
      <c r="I1634" s="28">
        <v>39.80142</v>
      </c>
      <c r="J1634" s="28">
        <v>-75.354990000000001</v>
      </c>
      <c r="K1634" s="28" t="s">
        <v>710</v>
      </c>
      <c r="L1634" s="61">
        <v>110000582003</v>
      </c>
      <c r="M1634" s="28" t="s">
        <v>265</v>
      </c>
      <c r="N1634" s="28">
        <v>2869</v>
      </c>
      <c r="O1634" s="28" t="str">
        <f>IFERROR(VLOOKUP(N1634, 'SIC &amp; NAICS Codes'!A:B, 2, FALSE), "")</f>
        <v>Industrial Organic Chemicals, NEC (aliphatics)</v>
      </c>
      <c r="S1634" s="28">
        <v>1.0485</v>
      </c>
      <c r="T1634" s="315">
        <f>_xlfn.MAXIFS('Raw Period DMR Data'!$O:$O,'Raw Period DMR Data'!$A:$A,'Raw Annual DMR Data_2021-2024'!#REF!,'Raw Period DMR Data'!$C:$C,X1634)/S1634</f>
        <v>0</v>
      </c>
      <c r="U1634" s="28" t="str">
        <f>+IF(COUNTIFS('Raw Period DMR Data'!$A:$A,B1634,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34" s="28" t="str" cm="1">
        <f t="array" ref="V1634">IFERROR(INDEX('Raw Period DMR Data'!N:N,MATCH(1,(B1634='Raw Period DMR Data'!$A:$A)*(U1634='Raw Period DMR Data'!M:M)*(X1634='Raw Period DMR Data'!C:C),0),1), "N/A")</f>
        <v>N/A</v>
      </c>
      <c r="W1634" s="28" t="s">
        <v>1463</v>
      </c>
      <c r="X1634" s="28" t="s">
        <v>1674</v>
      </c>
      <c r="Y1634" s="28" t="s">
        <v>1675</v>
      </c>
      <c r="Z1634" s="61">
        <v>2040202001854</v>
      </c>
      <c r="AA1634" s="28"/>
      <c r="AB1634" s="28" t="s">
        <v>7355</v>
      </c>
      <c r="AC1634" s="28" t="s">
        <v>1466</v>
      </c>
    </row>
    <row r="1635" spans="1:29" x14ac:dyDescent="0.25">
      <c r="A1635" s="61">
        <v>110000582003</v>
      </c>
      <c r="B1635" s="28">
        <v>2022</v>
      </c>
      <c r="C1635" s="68">
        <f t="shared" si="26"/>
        <v>44562</v>
      </c>
      <c r="D1635" s="28" t="s">
        <v>1079</v>
      </c>
      <c r="E1635" s="28" t="s">
        <v>1673</v>
      </c>
      <c r="F1635" s="28" t="s">
        <v>381</v>
      </c>
      <c r="G1635" s="28" t="s">
        <v>338</v>
      </c>
      <c r="H1635" s="28">
        <v>80140309</v>
      </c>
      <c r="I1635" s="28">
        <v>39.80142</v>
      </c>
      <c r="J1635" s="28">
        <v>-75.354990000000001</v>
      </c>
      <c r="K1635" s="28" t="s">
        <v>710</v>
      </c>
      <c r="L1635" s="61">
        <v>110000582003</v>
      </c>
      <c r="M1635" s="28" t="s">
        <v>265</v>
      </c>
      <c r="N1635" s="28">
        <v>2869</v>
      </c>
      <c r="O1635" s="28" t="str">
        <f>IFERROR(VLOOKUP(N1635, 'SIC &amp; NAICS Codes'!A:B, 2, FALSE), "")</f>
        <v>Industrial Organic Chemicals, NEC (aliphatics)</v>
      </c>
      <c r="S1635" s="28">
        <v>0.91649999999999998</v>
      </c>
      <c r="T1635" s="315">
        <f>_xlfn.MAXIFS('Raw Period DMR Data'!$O:$O,'Raw Period DMR Data'!$A:$A,'Raw Annual DMR Data_2021-2024'!#REF!,'Raw Period DMR Data'!$C:$C,X1635)/S1635</f>
        <v>0</v>
      </c>
      <c r="U1635" s="28" t="str">
        <f>+IF(COUNTIFS('Raw Period DMR Data'!$A:$A,B1635,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35" s="28" t="str" cm="1">
        <f t="array" ref="V1635">IFERROR(INDEX('Raw Period DMR Data'!N:N,MATCH(1,(B1635='Raw Period DMR Data'!$A:$A)*(U1635='Raw Period DMR Data'!M:M)*(X1635='Raw Period DMR Data'!C:C),0),1), "N/A")</f>
        <v>N/A</v>
      </c>
      <c r="W1635" s="28" t="s">
        <v>1463</v>
      </c>
      <c r="X1635" s="28" t="s">
        <v>1674</v>
      </c>
      <c r="Y1635" s="28" t="s">
        <v>1675</v>
      </c>
      <c r="Z1635" s="61">
        <v>2040202001854</v>
      </c>
      <c r="AB1635" s="28" t="s">
        <v>7355</v>
      </c>
      <c r="AC1635" s="28" t="s">
        <v>1466</v>
      </c>
    </row>
    <row r="1636" spans="1:29" x14ac:dyDescent="0.25">
      <c r="A1636" s="61">
        <v>110000582003</v>
      </c>
      <c r="B1636" s="28">
        <v>2024</v>
      </c>
      <c r="C1636" s="68">
        <f t="shared" si="26"/>
        <v>45292</v>
      </c>
      <c r="D1636" s="28" t="s">
        <v>1079</v>
      </c>
      <c r="E1636" s="28" t="s">
        <v>1673</v>
      </c>
      <c r="F1636" s="28" t="s">
        <v>381</v>
      </c>
      <c r="G1636" s="28" t="s">
        <v>338</v>
      </c>
      <c r="H1636" s="28">
        <v>80140309</v>
      </c>
      <c r="I1636" s="28">
        <v>39.80142</v>
      </c>
      <c r="J1636" s="28">
        <v>-75.354990000000001</v>
      </c>
      <c r="K1636" s="28" t="s">
        <v>710</v>
      </c>
      <c r="L1636" s="61">
        <v>110000582003</v>
      </c>
      <c r="M1636" s="28" t="s">
        <v>265</v>
      </c>
      <c r="N1636" s="28">
        <v>2869</v>
      </c>
      <c r="O1636" s="28" t="str">
        <f>IFERROR(VLOOKUP(N1636, 'SIC &amp; NAICS Codes'!A:B, 2, FALSE), "")</f>
        <v>Industrial Organic Chemicals, NEC (aliphatics)</v>
      </c>
      <c r="S1636" s="28">
        <v>0.28360000000000002</v>
      </c>
      <c r="T1636" s="315">
        <f>_xlfn.MAXIFS('Raw Period DMR Data'!$O:$O,'Raw Period DMR Data'!$A:$A,'Raw Annual DMR Data_2021-2024'!#REF!,'Raw Period DMR Data'!$C:$C,X1636)/S1636</f>
        <v>0</v>
      </c>
      <c r="U1636" s="28" t="str">
        <f>+IF(COUNTIFS('Raw Period DMR Data'!$A:$A,B1636,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36" s="28" t="str" cm="1">
        <f t="array" ref="V1636">IFERROR(INDEX('Raw Period DMR Data'!N:N,MATCH(1,(B1636='Raw Period DMR Data'!$A:$A)*(U1636='Raw Period DMR Data'!M:M)*(X1636='Raw Period DMR Data'!C:C),0),1), "N/A")</f>
        <v>N/A</v>
      </c>
      <c r="W1636" s="28" t="s">
        <v>1463</v>
      </c>
      <c r="X1636" s="28" t="s">
        <v>1674</v>
      </c>
      <c r="Y1636" s="28" t="s">
        <v>1675</v>
      </c>
      <c r="Z1636" s="61">
        <v>2040202001854</v>
      </c>
      <c r="AB1636" s="28" t="s">
        <v>7355</v>
      </c>
      <c r="AC1636" s="28" t="s">
        <v>1466</v>
      </c>
    </row>
    <row r="1637" spans="1:29" x14ac:dyDescent="0.25">
      <c r="A1637" s="61">
        <v>110000582003</v>
      </c>
      <c r="B1637" s="28">
        <v>2023</v>
      </c>
      <c r="C1637" s="68">
        <f t="shared" si="26"/>
        <v>44927</v>
      </c>
      <c r="D1637" s="28" t="s">
        <v>1079</v>
      </c>
      <c r="E1637" s="28" t="s">
        <v>1673</v>
      </c>
      <c r="F1637" s="28" t="s">
        <v>381</v>
      </c>
      <c r="G1637" s="28" t="s">
        <v>338</v>
      </c>
      <c r="H1637" s="28" t="s">
        <v>7086</v>
      </c>
      <c r="I1637" s="28">
        <v>39.80142</v>
      </c>
      <c r="J1637" s="28">
        <v>-75.354990000000001</v>
      </c>
      <c r="K1637" s="28" t="s">
        <v>710</v>
      </c>
      <c r="L1637" s="61">
        <v>110000582003</v>
      </c>
      <c r="M1637" s="28" t="s">
        <v>265</v>
      </c>
      <c r="N1637" s="28">
        <v>2869</v>
      </c>
      <c r="O1637" s="28" t="str">
        <f>IFERROR(VLOOKUP(N1637, 'SIC &amp; NAICS Codes'!A:B, 2, FALSE), "")</f>
        <v>Industrial Organic Chemicals, NEC (aliphatics)</v>
      </c>
      <c r="S1637" s="28">
        <v>0.19845499999999999</v>
      </c>
      <c r="T1637" s="315">
        <f>_xlfn.MAXIFS('Raw Period DMR Data'!$O:$O,'Raw Period DMR Data'!$A:$A,'Raw Annual DMR Data_2021-2024'!#REF!,'Raw Period DMR Data'!$C:$C,X1637)/S1637</f>
        <v>0</v>
      </c>
      <c r="U1637" s="28" t="str">
        <f>+IF(COUNTIFS('Raw Period DMR Data'!$A:$A,B1637,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37" s="28" t="str" cm="1">
        <f t="array" ref="V1637">IFERROR(INDEX('Raw Period DMR Data'!N:N,MATCH(1,(B1637='Raw Period DMR Data'!$A:$A)*(U1637='Raw Period DMR Data'!M:M)*(X1637='Raw Period DMR Data'!C:C),0),1), "N/A")</f>
        <v>N/A</v>
      </c>
      <c r="W1637" s="28" t="s">
        <v>1463</v>
      </c>
      <c r="X1637" s="28" t="s">
        <v>1674</v>
      </c>
      <c r="Y1637" s="28" t="s">
        <v>1675</v>
      </c>
      <c r="Z1637" s="61" t="s">
        <v>1676</v>
      </c>
      <c r="AB1637" s="28" t="s">
        <v>7355</v>
      </c>
      <c r="AC1637" s="28" t="s">
        <v>1466</v>
      </c>
    </row>
    <row r="1638" spans="1:29" x14ac:dyDescent="0.25">
      <c r="A1638" s="61">
        <v>110006620095</v>
      </c>
      <c r="B1638" s="28">
        <v>2022</v>
      </c>
      <c r="C1638" s="68">
        <f t="shared" si="26"/>
        <v>44562</v>
      </c>
      <c r="D1638" s="28" t="s">
        <v>1080</v>
      </c>
      <c r="E1638" s="28" t="s">
        <v>1677</v>
      </c>
      <c r="F1638" s="28" t="s">
        <v>1081</v>
      </c>
      <c r="G1638" s="28" t="s">
        <v>338</v>
      </c>
      <c r="H1638" s="28">
        <v>8075</v>
      </c>
      <c r="I1638" s="28">
        <v>40.038871999999998</v>
      </c>
      <c r="J1638" s="28">
        <v>-74.975640999999996</v>
      </c>
      <c r="L1638" s="61">
        <v>110006620095</v>
      </c>
      <c r="M1638" s="28" t="s">
        <v>263</v>
      </c>
      <c r="N1638" s="28">
        <v>4952</v>
      </c>
      <c r="O1638" s="28" t="str">
        <f>IFERROR(VLOOKUP(N1638, 'SIC &amp; NAICS Codes'!A:B, 2, FALSE), "")</f>
        <v>Sewerage Systems</v>
      </c>
      <c r="S1638" s="28">
        <v>0.17970990749999999</v>
      </c>
      <c r="T1638" s="315">
        <f>_xlfn.MAXIFS('Raw Period DMR Data'!$O:$O,'Raw Period DMR Data'!$A:$A,'Raw Annual DMR Data_2021-2024'!#REF!,'Raw Period DMR Data'!$C:$C,X1638)/S1638</f>
        <v>0</v>
      </c>
      <c r="U1638" s="28" t="str">
        <f>+IF(COUNTIFS('Raw Period DMR Data'!$A:$A,B1638,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38" s="28" t="str" cm="1">
        <f t="array" ref="V1638">IFERROR(INDEX('Raw Period DMR Data'!N:N,MATCH(1,(B1638='Raw Period DMR Data'!$A:$A)*(U1638='Raw Period DMR Data'!M:M)*(X1638='Raw Period DMR Data'!C:C),0),1), "N/A")</f>
        <v>N/A</v>
      </c>
      <c r="W1638" s="28" t="s">
        <v>1463</v>
      </c>
      <c r="X1638" s="28" t="s">
        <v>1679</v>
      </c>
      <c r="Y1638" s="28" t="s">
        <v>1680</v>
      </c>
      <c r="Z1638" s="61">
        <v>2040202001995</v>
      </c>
      <c r="AB1638" s="28" t="s">
        <v>7355</v>
      </c>
      <c r="AC1638" s="28" t="s">
        <v>263</v>
      </c>
    </row>
    <row r="1639" spans="1:29" x14ac:dyDescent="0.25">
      <c r="A1639" s="61">
        <v>110006620095</v>
      </c>
      <c r="B1639" s="28">
        <v>2023</v>
      </c>
      <c r="C1639" s="68">
        <f t="shared" si="26"/>
        <v>44927</v>
      </c>
      <c r="D1639" s="28" t="s">
        <v>1080</v>
      </c>
      <c r="E1639" s="28" t="s">
        <v>1677</v>
      </c>
      <c r="F1639" s="28" t="s">
        <v>1081</v>
      </c>
      <c r="G1639" s="28" t="s">
        <v>338</v>
      </c>
      <c r="H1639" s="28" t="s">
        <v>1678</v>
      </c>
      <c r="I1639" s="28">
        <v>40.038871999999998</v>
      </c>
      <c r="J1639" s="28">
        <v>-74.975640999999996</v>
      </c>
      <c r="L1639" s="61">
        <v>110006620095</v>
      </c>
      <c r="M1639" s="28" t="s">
        <v>263</v>
      </c>
      <c r="N1639" s="28">
        <v>4952</v>
      </c>
      <c r="O1639" s="28" t="str">
        <f>IFERROR(VLOOKUP(N1639, 'SIC &amp; NAICS Codes'!A:B, 2, FALSE), "")</f>
        <v>Sewerage Systems</v>
      </c>
      <c r="S1639" s="28">
        <v>0.14531372000000001</v>
      </c>
      <c r="T1639" s="315">
        <f>_xlfn.MAXIFS('Raw Period DMR Data'!$O:$O,'Raw Period DMR Data'!$A:$A,'Raw Annual DMR Data_2021-2024'!#REF!,'Raw Period DMR Data'!$C:$C,X1639)/S1639</f>
        <v>0</v>
      </c>
      <c r="U1639" s="28" t="str">
        <f>+IF(COUNTIFS('Raw Period DMR Data'!$A:$A,B1639,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39" s="28" t="str" cm="1">
        <f t="array" ref="V1639">IFERROR(INDEX('Raw Period DMR Data'!N:N,MATCH(1,(B1639='Raw Period DMR Data'!$A:$A)*(U1639='Raw Period DMR Data'!M:M)*(X1639='Raw Period DMR Data'!C:C),0),1), "N/A")</f>
        <v>N/A</v>
      </c>
      <c r="W1639" s="28" t="s">
        <v>1463</v>
      </c>
      <c r="X1639" s="28" t="s">
        <v>1679</v>
      </c>
      <c r="Y1639" s="28" t="s">
        <v>1680</v>
      </c>
      <c r="Z1639" s="61" t="s">
        <v>1681</v>
      </c>
      <c r="AB1639" s="28" t="s">
        <v>7355</v>
      </c>
      <c r="AC1639" s="28" t="s">
        <v>263</v>
      </c>
    </row>
    <row r="1640" spans="1:29" x14ac:dyDescent="0.25">
      <c r="A1640" s="61">
        <v>110006620095</v>
      </c>
      <c r="B1640" s="28">
        <v>2021</v>
      </c>
      <c r="C1640" s="68">
        <f t="shared" si="26"/>
        <v>44197</v>
      </c>
      <c r="D1640" s="28" t="s">
        <v>1080</v>
      </c>
      <c r="E1640" s="28" t="s">
        <v>1677</v>
      </c>
      <c r="F1640" s="28" t="s">
        <v>1081</v>
      </c>
      <c r="G1640" s="28" t="s">
        <v>338</v>
      </c>
      <c r="H1640" s="28">
        <v>8075</v>
      </c>
      <c r="I1640" s="28">
        <v>40.038871999999998</v>
      </c>
      <c r="J1640" s="28">
        <v>-74.975640999999996</v>
      </c>
      <c r="L1640" s="61">
        <v>110006620095</v>
      </c>
      <c r="M1640" s="28" t="s">
        <v>263</v>
      </c>
      <c r="N1640" s="28">
        <v>4952</v>
      </c>
      <c r="O1640" s="28" t="str">
        <f>IFERROR(VLOOKUP(N1640, 'SIC &amp; NAICS Codes'!A:B, 2, FALSE), "")</f>
        <v>Sewerage Systems</v>
      </c>
      <c r="S1640" s="28">
        <v>0.14292538499999999</v>
      </c>
      <c r="T1640" s="315">
        <f>_xlfn.MAXIFS('Raw Period DMR Data'!$O:$O,'Raw Period DMR Data'!$A:$A,'Raw Annual DMR Data_2021-2024'!#REF!,'Raw Period DMR Data'!$C:$C,X1640)/S1640</f>
        <v>0</v>
      </c>
      <c r="U1640" s="28" t="str">
        <f>+IF(COUNTIFS('Raw Period DMR Data'!$A:$A,B1640,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40" s="28" t="str" cm="1">
        <f t="array" ref="V1640">IFERROR(INDEX('Raw Period DMR Data'!N:N,MATCH(1,(B1640='Raw Period DMR Data'!$A:$A)*(U1640='Raw Period DMR Data'!M:M)*(X1640='Raw Period DMR Data'!C:C),0),1), "N/A")</f>
        <v>N/A</v>
      </c>
      <c r="W1640" s="28" t="s">
        <v>1463</v>
      </c>
      <c r="X1640" s="28" t="s">
        <v>1679</v>
      </c>
      <c r="Y1640" s="28" t="s">
        <v>1680</v>
      </c>
      <c r="Z1640" s="61">
        <v>2040202001995</v>
      </c>
      <c r="AA1640" s="28"/>
      <c r="AB1640" s="28" t="s">
        <v>7355</v>
      </c>
      <c r="AC1640" s="28" t="s">
        <v>263</v>
      </c>
    </row>
    <row r="1641" spans="1:29" x14ac:dyDescent="0.25">
      <c r="A1641" s="61">
        <v>110070117180</v>
      </c>
      <c r="B1641" s="28">
        <v>2021</v>
      </c>
      <c r="C1641" s="68">
        <f t="shared" si="26"/>
        <v>44197</v>
      </c>
      <c r="D1641" s="28" t="s">
        <v>1682</v>
      </c>
      <c r="E1641" s="28" t="s">
        <v>501</v>
      </c>
      <c r="F1641" s="28" t="s">
        <v>502</v>
      </c>
      <c r="G1641" s="28" t="s">
        <v>303</v>
      </c>
      <c r="H1641" s="28">
        <v>70058</v>
      </c>
      <c r="I1641" s="28">
        <v>29.910609999999998</v>
      </c>
      <c r="J1641" s="28">
        <v>-90.085269999999994</v>
      </c>
      <c r="L1641" s="61">
        <v>110070117180</v>
      </c>
      <c r="M1641" s="28" t="s">
        <v>252</v>
      </c>
      <c r="N1641" s="28">
        <v>4226</v>
      </c>
      <c r="O1641" s="28" t="str">
        <f>IFERROR(VLOOKUP(N1641, 'SIC &amp; NAICS Codes'!A:B, 2, FALSE), "")</f>
        <v>Special Warehousing and Storage, NEC (warehousing in foreign trade zones)</v>
      </c>
      <c r="S1641" s="28">
        <v>3.82301378727272E-2</v>
      </c>
      <c r="T1641" s="315">
        <f>_xlfn.MAXIFS('Raw Period DMR Data'!$O:$O,'Raw Period DMR Data'!$A:$A,'Raw Annual DMR Data_2021-2024'!#REF!,'Raw Period DMR Data'!$C:$C,X1641)/S1641</f>
        <v>0</v>
      </c>
      <c r="U1641" s="28" t="str">
        <f>+IF(COUNTIFS('Raw Period DMR Data'!$A:$A,B1641,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41" s="28" t="str" cm="1">
        <f t="array" ref="V1641">IFERROR(INDEX('Raw Period DMR Data'!N:N,MATCH(1,(B1641='Raw Period DMR Data'!$A:$A)*(U1641='Raw Period DMR Data'!M:M)*(X1641='Raw Period DMR Data'!C:C),0),1), "N/A")</f>
        <v>N/A</v>
      </c>
      <c r="W1641" s="28" t="s">
        <v>1463</v>
      </c>
      <c r="X1641" s="28" t="s">
        <v>873</v>
      </c>
      <c r="Z1641" s="61">
        <v>8090100000658</v>
      </c>
      <c r="AA1641" s="28"/>
      <c r="AB1641" s="28" t="s">
        <v>7355</v>
      </c>
      <c r="AC1641" s="28" t="s">
        <v>1466</v>
      </c>
    </row>
    <row r="1642" spans="1:29" x14ac:dyDescent="0.25">
      <c r="A1642" s="61">
        <v>110070117180</v>
      </c>
      <c r="B1642" s="28">
        <v>2024</v>
      </c>
      <c r="C1642" s="68">
        <f t="shared" si="26"/>
        <v>45292</v>
      </c>
      <c r="D1642" s="28" t="s">
        <v>1682</v>
      </c>
      <c r="E1642" s="28" t="s">
        <v>501</v>
      </c>
      <c r="F1642" s="28" t="s">
        <v>502</v>
      </c>
      <c r="G1642" s="28" t="s">
        <v>303</v>
      </c>
      <c r="H1642" s="28">
        <v>70058</v>
      </c>
      <c r="I1642" s="28">
        <v>29.910609999999998</v>
      </c>
      <c r="J1642" s="28">
        <v>-90.085269999999994</v>
      </c>
      <c r="L1642" s="61">
        <v>110070117180</v>
      </c>
      <c r="M1642" s="28" t="s">
        <v>252</v>
      </c>
      <c r="N1642" s="28">
        <v>4226</v>
      </c>
      <c r="O1642" s="28" t="str">
        <f>IFERROR(VLOOKUP(N1642, 'SIC &amp; NAICS Codes'!A:B, 2, FALSE), "")</f>
        <v>Special Warehousing and Storage, NEC (warehousing in foreign trade zones)</v>
      </c>
      <c r="S1642" s="28">
        <v>3.7731340250000002E-2</v>
      </c>
      <c r="T1642" s="315">
        <f>_xlfn.MAXIFS('Raw Period DMR Data'!$O:$O,'Raw Period DMR Data'!$A:$A,'Raw Annual DMR Data_2021-2024'!#REF!,'Raw Period DMR Data'!$C:$C,X1642)/S1642</f>
        <v>0</v>
      </c>
      <c r="U1642" s="28" t="str">
        <f>+IF(COUNTIFS('Raw Period DMR Data'!$A:$A,B1642,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42" s="28" t="str" cm="1">
        <f t="array" ref="V1642">IFERROR(INDEX('Raw Period DMR Data'!N:N,MATCH(1,(B1642='Raw Period DMR Data'!$A:$A)*(U1642='Raw Period DMR Data'!M:M)*(X1642='Raw Period DMR Data'!C:C),0),1), "N/A")</f>
        <v>N/A</v>
      </c>
      <c r="W1642" s="28" t="s">
        <v>1463</v>
      </c>
      <c r="X1642" s="28" t="s">
        <v>873</v>
      </c>
      <c r="Z1642" s="61">
        <v>8090100000658</v>
      </c>
      <c r="AB1642" s="28" t="s">
        <v>7355</v>
      </c>
      <c r="AC1642" s="28" t="s">
        <v>1466</v>
      </c>
    </row>
    <row r="1643" spans="1:29" x14ac:dyDescent="0.25">
      <c r="A1643" s="61">
        <v>110070117180</v>
      </c>
      <c r="B1643" s="28">
        <v>2024</v>
      </c>
      <c r="C1643" s="68">
        <f t="shared" si="26"/>
        <v>45292</v>
      </c>
      <c r="D1643" s="28" t="s">
        <v>1682</v>
      </c>
      <c r="E1643" s="28" t="s">
        <v>501</v>
      </c>
      <c r="F1643" s="28" t="s">
        <v>502</v>
      </c>
      <c r="G1643" s="28" t="s">
        <v>303</v>
      </c>
      <c r="H1643" s="28">
        <v>70058</v>
      </c>
      <c r="I1643" s="28">
        <v>29.910609999999998</v>
      </c>
      <c r="J1643" s="28">
        <v>-90.085269999999994</v>
      </c>
      <c r="L1643" s="61">
        <v>110070117180</v>
      </c>
      <c r="M1643" s="28" t="s">
        <v>252</v>
      </c>
      <c r="N1643" s="28">
        <v>4226</v>
      </c>
      <c r="O1643" s="28" t="str">
        <f>IFERROR(VLOOKUP(N1643, 'SIC &amp; NAICS Codes'!A:B, 2, FALSE), "")</f>
        <v>Special Warehousing and Storage, NEC (warehousing in foreign trade zones)</v>
      </c>
      <c r="S1643" s="28">
        <v>3.5842398150000003E-2</v>
      </c>
      <c r="T1643" s="315">
        <f>_xlfn.MAXIFS('Raw Period DMR Data'!$O:$O,'Raw Period DMR Data'!$A:$A,'Raw Annual DMR Data_2021-2024'!#REF!,'Raw Period DMR Data'!$C:$C,X1643)/S1643</f>
        <v>0</v>
      </c>
      <c r="U1643" s="28" t="str">
        <f>+IF(COUNTIFS('Raw Period DMR Data'!$A:$A,B1643,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43" s="28" t="str" cm="1">
        <f t="array" ref="V1643">IFERROR(INDEX('Raw Period DMR Data'!N:N,MATCH(1,(B1643='Raw Period DMR Data'!$A:$A)*(U1643='Raw Period DMR Data'!M:M)*(X1643='Raw Period DMR Data'!C:C),0),1), "N/A")</f>
        <v>N/A</v>
      </c>
      <c r="W1643" s="28" t="s">
        <v>1463</v>
      </c>
      <c r="X1643" s="28" t="s">
        <v>873</v>
      </c>
      <c r="Z1643" s="61">
        <v>8090100000658</v>
      </c>
      <c r="AB1643" s="28" t="s">
        <v>7355</v>
      </c>
      <c r="AC1643" s="28" t="s">
        <v>1466</v>
      </c>
    </row>
    <row r="1644" spans="1:29" x14ac:dyDescent="0.25">
      <c r="A1644" s="61">
        <v>110070117180</v>
      </c>
      <c r="B1644" s="28">
        <v>2023</v>
      </c>
      <c r="C1644" s="68">
        <f t="shared" si="26"/>
        <v>44927</v>
      </c>
      <c r="D1644" s="28" t="s">
        <v>1682</v>
      </c>
      <c r="E1644" s="28" t="s">
        <v>501</v>
      </c>
      <c r="F1644" s="28" t="s">
        <v>502</v>
      </c>
      <c r="G1644" s="28" t="s">
        <v>303</v>
      </c>
      <c r="H1644" s="28">
        <v>70058</v>
      </c>
      <c r="I1644" s="28">
        <v>29.910609999999998</v>
      </c>
      <c r="J1644" s="28">
        <v>-90.085269999999994</v>
      </c>
      <c r="L1644" s="61">
        <v>110070117180</v>
      </c>
      <c r="M1644" s="28" t="s">
        <v>252</v>
      </c>
      <c r="N1644" s="28">
        <v>4226</v>
      </c>
      <c r="O1644" s="28" t="str">
        <f>IFERROR(VLOOKUP(N1644, 'SIC &amp; NAICS Codes'!A:B, 2, FALSE), "")</f>
        <v>Special Warehousing and Storage, NEC (warehousing in foreign trade zones)</v>
      </c>
      <c r="S1644" s="28">
        <v>2.8249865288000001E-2</v>
      </c>
      <c r="T1644" s="315">
        <f>_xlfn.MAXIFS('Raw Period DMR Data'!$O:$O,'Raw Period DMR Data'!$A:$A,'Raw Annual DMR Data_2021-2024'!#REF!,'Raw Period DMR Data'!$C:$C,X1644)/S1644</f>
        <v>0</v>
      </c>
      <c r="U1644" s="28" t="str">
        <f>+IF(COUNTIFS('Raw Period DMR Data'!$A:$A,B1644,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44" s="28" t="str" cm="1">
        <f t="array" ref="V1644">IFERROR(INDEX('Raw Period DMR Data'!N:N,MATCH(1,(B1644='Raw Period DMR Data'!$A:$A)*(U1644='Raw Period DMR Data'!M:M)*(X1644='Raw Period DMR Data'!C:C),0),1), "N/A")</f>
        <v>N/A</v>
      </c>
      <c r="W1644" s="28" t="s">
        <v>1463</v>
      </c>
      <c r="X1644" s="28" t="s">
        <v>873</v>
      </c>
      <c r="Z1644" s="61" t="s">
        <v>1683</v>
      </c>
      <c r="AB1644" s="28" t="s">
        <v>7355</v>
      </c>
      <c r="AC1644" s="28" t="s">
        <v>1466</v>
      </c>
    </row>
    <row r="1645" spans="1:29" x14ac:dyDescent="0.25">
      <c r="A1645" s="61">
        <v>110070117180</v>
      </c>
      <c r="B1645" s="28">
        <v>2022</v>
      </c>
      <c r="C1645" s="68">
        <f t="shared" si="26"/>
        <v>44562</v>
      </c>
      <c r="D1645" s="28" t="s">
        <v>1682</v>
      </c>
      <c r="E1645" s="28" t="s">
        <v>501</v>
      </c>
      <c r="F1645" s="28" t="s">
        <v>502</v>
      </c>
      <c r="G1645" s="28" t="s">
        <v>303</v>
      </c>
      <c r="H1645" s="28">
        <v>70058</v>
      </c>
      <c r="I1645" s="28">
        <v>29.910609999999998</v>
      </c>
      <c r="J1645" s="28">
        <v>-90.085269999999994</v>
      </c>
      <c r="L1645" s="61">
        <v>110070117180</v>
      </c>
      <c r="M1645" s="28" t="s">
        <v>252</v>
      </c>
      <c r="N1645" s="28">
        <v>4226</v>
      </c>
      <c r="O1645" s="28" t="str">
        <f>IFERROR(VLOOKUP(N1645, 'SIC &amp; NAICS Codes'!A:B, 2, FALSE), "")</f>
        <v>Special Warehousing and Storage, NEC (warehousing in foreign trade zones)</v>
      </c>
      <c r="S1645" s="28">
        <v>2.5099527274999998E-2</v>
      </c>
      <c r="T1645" s="315">
        <f>_xlfn.MAXIFS('Raw Period DMR Data'!$O:$O,'Raw Period DMR Data'!$A:$A,'Raw Annual DMR Data_2021-2024'!#REF!,'Raw Period DMR Data'!$C:$C,X1645)/S1645</f>
        <v>0</v>
      </c>
      <c r="U1645" s="28" t="str">
        <f>+IF(COUNTIFS('Raw Period DMR Data'!$A:$A,B1645,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45" s="28" t="str" cm="1">
        <f t="array" ref="V1645">IFERROR(INDEX('Raw Period DMR Data'!N:N,MATCH(1,(B1645='Raw Period DMR Data'!$A:$A)*(U1645='Raw Period DMR Data'!M:M)*(X1645='Raw Period DMR Data'!C:C),0),1), "N/A")</f>
        <v>N/A</v>
      </c>
      <c r="W1645" s="28" t="s">
        <v>1463</v>
      </c>
      <c r="X1645" s="28" t="s">
        <v>873</v>
      </c>
      <c r="Z1645" s="61">
        <v>8090100000658</v>
      </c>
      <c r="AB1645" s="28" t="s">
        <v>7355</v>
      </c>
      <c r="AC1645" s="28" t="s">
        <v>1466</v>
      </c>
    </row>
    <row r="1646" spans="1:29" x14ac:dyDescent="0.25">
      <c r="A1646" s="61">
        <v>110070117180</v>
      </c>
      <c r="B1646" s="28">
        <v>2021</v>
      </c>
      <c r="C1646" s="68">
        <f t="shared" si="26"/>
        <v>44197</v>
      </c>
      <c r="D1646" s="28" t="s">
        <v>1682</v>
      </c>
      <c r="E1646" s="28" t="s">
        <v>501</v>
      </c>
      <c r="F1646" s="28" t="s">
        <v>502</v>
      </c>
      <c r="G1646" s="28" t="s">
        <v>303</v>
      </c>
      <c r="H1646" s="28">
        <v>70058</v>
      </c>
      <c r="I1646" s="28">
        <v>29.910609999999998</v>
      </c>
      <c r="J1646" s="28">
        <v>-90.085269999999994</v>
      </c>
      <c r="L1646" s="61">
        <v>110070117180</v>
      </c>
      <c r="M1646" s="28" t="s">
        <v>252</v>
      </c>
      <c r="N1646" s="28">
        <v>4226</v>
      </c>
      <c r="O1646" s="28" t="str">
        <f>IFERROR(VLOOKUP(N1646, 'SIC &amp; NAICS Codes'!A:B, 2, FALSE), "")</f>
        <v>Special Warehousing and Storage, NEC (warehousing in foreign trade zones)</v>
      </c>
      <c r="S1646" s="28">
        <v>2.11633044818181E-2</v>
      </c>
      <c r="T1646" s="315">
        <f>_xlfn.MAXIFS('Raw Period DMR Data'!$O:$O,'Raw Period DMR Data'!$A:$A,'Raw Annual DMR Data_2021-2024'!#REF!,'Raw Period DMR Data'!$C:$C,X1646)/S1646</f>
        <v>0</v>
      </c>
      <c r="U1646" s="28" t="str">
        <f>+IF(COUNTIFS('Raw Period DMR Data'!$A:$A,B1646,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46" s="28" t="str" cm="1">
        <f t="array" ref="V1646">IFERROR(INDEX('Raw Period DMR Data'!N:N,MATCH(1,(B1646='Raw Period DMR Data'!$A:$A)*(U1646='Raw Period DMR Data'!M:M)*(X1646='Raw Period DMR Data'!C:C),0),1), "N/A")</f>
        <v>N/A</v>
      </c>
      <c r="W1646" s="28" t="s">
        <v>1463</v>
      </c>
      <c r="X1646" s="28" t="s">
        <v>873</v>
      </c>
      <c r="Z1646" s="61">
        <v>8090100000658</v>
      </c>
      <c r="AA1646" s="28"/>
      <c r="AB1646" s="28" t="s">
        <v>7355</v>
      </c>
      <c r="AC1646" s="28" t="s">
        <v>1466</v>
      </c>
    </row>
    <row r="1647" spans="1:29" x14ac:dyDescent="0.25">
      <c r="A1647" s="61">
        <v>110070117180</v>
      </c>
      <c r="B1647" s="28">
        <v>2023</v>
      </c>
      <c r="C1647" s="68">
        <f t="shared" si="26"/>
        <v>44927</v>
      </c>
      <c r="D1647" s="28" t="s">
        <v>1682</v>
      </c>
      <c r="E1647" s="28" t="s">
        <v>501</v>
      </c>
      <c r="F1647" s="28" t="s">
        <v>502</v>
      </c>
      <c r="G1647" s="28" t="s">
        <v>303</v>
      </c>
      <c r="H1647" s="28">
        <v>70058</v>
      </c>
      <c r="I1647" s="28">
        <v>29.910609999999998</v>
      </c>
      <c r="J1647" s="28">
        <v>-90.085269999999994</v>
      </c>
      <c r="L1647" s="61">
        <v>110070117180</v>
      </c>
      <c r="M1647" s="28" t="s">
        <v>252</v>
      </c>
      <c r="N1647" s="28">
        <v>4226</v>
      </c>
      <c r="O1647" s="28" t="str">
        <f>IFERROR(VLOOKUP(N1647, 'SIC &amp; NAICS Codes'!A:B, 2, FALSE), "")</f>
        <v>Special Warehousing and Storage, NEC (warehousing in foreign trade zones)</v>
      </c>
      <c r="S1647" s="28">
        <v>1.6994290424999999E-2</v>
      </c>
      <c r="T1647" s="315">
        <f>_xlfn.MAXIFS('Raw Period DMR Data'!$O:$O,'Raw Period DMR Data'!$A:$A,'Raw Annual DMR Data_2021-2024'!#REF!,'Raw Period DMR Data'!$C:$C,X1647)/S1647</f>
        <v>0</v>
      </c>
      <c r="U1647" s="28" t="str">
        <f>+IF(COUNTIFS('Raw Period DMR Data'!$A:$A,B1647,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47" s="28" t="str" cm="1">
        <f t="array" ref="V1647">IFERROR(INDEX('Raw Period DMR Data'!N:N,MATCH(1,(B1647='Raw Period DMR Data'!$A:$A)*(U1647='Raw Period DMR Data'!M:M)*(X1647='Raw Period DMR Data'!C:C),0),1), "N/A")</f>
        <v>N/A</v>
      </c>
      <c r="W1647" s="28" t="s">
        <v>1463</v>
      </c>
      <c r="X1647" s="28" t="s">
        <v>873</v>
      </c>
      <c r="Z1647" s="61" t="s">
        <v>1683</v>
      </c>
      <c r="AB1647" s="28" t="s">
        <v>7355</v>
      </c>
      <c r="AC1647" s="28" t="s">
        <v>1466</v>
      </c>
    </row>
    <row r="1648" spans="1:29" x14ac:dyDescent="0.25">
      <c r="A1648" s="61">
        <v>110070117180</v>
      </c>
      <c r="B1648" s="28">
        <v>2022</v>
      </c>
      <c r="C1648" s="68">
        <f t="shared" si="26"/>
        <v>44562</v>
      </c>
      <c r="D1648" s="28" t="s">
        <v>1682</v>
      </c>
      <c r="E1648" s="28" t="s">
        <v>501</v>
      </c>
      <c r="F1648" s="28" t="s">
        <v>502</v>
      </c>
      <c r="G1648" s="28" t="s">
        <v>303</v>
      </c>
      <c r="H1648" s="28">
        <v>70058</v>
      </c>
      <c r="I1648" s="28">
        <v>29.910609999999998</v>
      </c>
      <c r="J1648" s="28">
        <v>-90.085269999999994</v>
      </c>
      <c r="L1648" s="61">
        <v>110070117180</v>
      </c>
      <c r="M1648" s="28" t="s">
        <v>252</v>
      </c>
      <c r="N1648" s="28">
        <v>4226</v>
      </c>
      <c r="O1648" s="28" t="str">
        <f>IFERROR(VLOOKUP(N1648, 'SIC &amp; NAICS Codes'!A:B, 2, FALSE), "")</f>
        <v>Special Warehousing and Storage, NEC (warehousing in foreign trade zones)</v>
      </c>
      <c r="S1648" s="28">
        <v>1.5953595591E-2</v>
      </c>
      <c r="T1648" s="315">
        <f>_xlfn.MAXIFS('Raw Period DMR Data'!$O:$O,'Raw Period DMR Data'!$A:$A,'Raw Annual DMR Data_2021-2024'!#REF!,'Raw Period DMR Data'!$C:$C,X1648)/S1648</f>
        <v>0</v>
      </c>
      <c r="U1648" s="28" t="str">
        <f>+IF(COUNTIFS('Raw Period DMR Data'!$A:$A,B1648,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48" s="28" t="str" cm="1">
        <f t="array" ref="V1648">IFERROR(INDEX('Raw Period DMR Data'!N:N,MATCH(1,(B1648='Raw Period DMR Data'!$A:$A)*(U1648='Raw Period DMR Data'!M:M)*(X1648='Raw Period DMR Data'!C:C),0),1), "N/A")</f>
        <v>N/A</v>
      </c>
      <c r="W1648" s="28" t="s">
        <v>1463</v>
      </c>
      <c r="X1648" s="28" t="s">
        <v>873</v>
      </c>
      <c r="Z1648" s="61">
        <v>8090100000658</v>
      </c>
      <c r="AB1648" s="28" t="s">
        <v>7355</v>
      </c>
      <c r="AC1648" s="28" t="s">
        <v>1466</v>
      </c>
    </row>
    <row r="1649" spans="1:29" x14ac:dyDescent="0.25">
      <c r="A1649" s="61">
        <v>110000732379</v>
      </c>
      <c r="B1649" s="28">
        <v>2024</v>
      </c>
      <c r="C1649" s="68">
        <f t="shared" si="26"/>
        <v>45292</v>
      </c>
      <c r="D1649" s="28" t="s">
        <v>1082</v>
      </c>
      <c r="E1649" s="28" t="s">
        <v>1684</v>
      </c>
      <c r="F1649" s="28" t="s">
        <v>987</v>
      </c>
      <c r="G1649" s="28" t="s">
        <v>324</v>
      </c>
      <c r="H1649" s="28">
        <v>40272</v>
      </c>
      <c r="I1649" s="28">
        <v>38.08614</v>
      </c>
      <c r="J1649" s="28">
        <v>-85.898780000000002</v>
      </c>
      <c r="L1649" s="61">
        <v>110000732379</v>
      </c>
      <c r="M1649" s="28" t="s">
        <v>263</v>
      </c>
      <c r="N1649" s="28">
        <v>4952</v>
      </c>
      <c r="O1649" s="28" t="str">
        <f>IFERROR(VLOOKUP(N1649, 'SIC &amp; NAICS Codes'!A:B, 2, FALSE), "")</f>
        <v>Sewerage Systems</v>
      </c>
      <c r="S1649" s="28">
        <v>201.08441756249999</v>
      </c>
      <c r="T1649" s="315">
        <f>_xlfn.MAXIFS('Raw Period DMR Data'!$O:$O,'Raw Period DMR Data'!$A:$A,'Raw Annual DMR Data_2021-2024'!B2280,'Raw Period DMR Data'!$C:$C,X1649)/S1649</f>
        <v>0</v>
      </c>
      <c r="U1649" s="28" t="str">
        <f>+IF(COUNTIFS('Raw Period DMR Data'!$A:$A,B1649, 'Raw Period DMR Data'!C:C,'Raw Annual DMR Data_2021-2024'!X2280, 'Raw Period DMR Data'!M:M, "&gt;0")&gt;0,_xlfn.MAXIFS('Raw Period DMR Data'!M:M,'Raw Period DMR Data'!$A:$A,'Raw Annual DMR Data_2021-2024'!B2280,'Raw Period DMR Data'!C:C,'Raw Annual DMR Data_2021-2024'!X2280), "N/A - Period DMR Data Not Available")</f>
        <v>N/A - Period DMR Data Not Available</v>
      </c>
      <c r="V1649" s="28" t="str" cm="1">
        <f t="array" ref="V1649">IFERROR(INDEX('Raw Period DMR Data'!N:N,MATCH(1,(B1649='Raw Period DMR Data'!$A:$A)*(U1649='Raw Period DMR Data'!M:M)*(X1649='Raw Period DMR Data'!C:C),0),1), "N/A")</f>
        <v>N/A</v>
      </c>
      <c r="W1649" s="28" t="s">
        <v>1463</v>
      </c>
      <c r="X1649" s="28" t="s">
        <v>1685</v>
      </c>
      <c r="Y1649" s="28" t="s">
        <v>830</v>
      </c>
      <c r="Z1649" s="61">
        <v>5140101000005</v>
      </c>
      <c r="AB1649" s="28" t="s">
        <v>7355</v>
      </c>
      <c r="AC1649" s="28" t="s">
        <v>263</v>
      </c>
    </row>
    <row r="1650" spans="1:29" x14ac:dyDescent="0.25">
      <c r="A1650" s="61">
        <v>110000732379</v>
      </c>
      <c r="B1650" s="28">
        <v>2021</v>
      </c>
      <c r="C1650" s="68">
        <f t="shared" si="26"/>
        <v>44197</v>
      </c>
      <c r="D1650" s="28" t="s">
        <v>1082</v>
      </c>
      <c r="E1650" s="28" t="s">
        <v>1684</v>
      </c>
      <c r="F1650" s="28" t="s">
        <v>987</v>
      </c>
      <c r="G1650" s="28" t="s">
        <v>324</v>
      </c>
      <c r="H1650" s="28">
        <v>40272</v>
      </c>
      <c r="I1650" s="28">
        <v>38.08614</v>
      </c>
      <c r="J1650" s="28">
        <v>-85.898780000000002</v>
      </c>
      <c r="L1650" s="61">
        <v>110000732379</v>
      </c>
      <c r="M1650" s="28" t="s">
        <v>263</v>
      </c>
      <c r="N1650" s="28">
        <v>4952</v>
      </c>
      <c r="O1650" s="28" t="str">
        <f>IFERROR(VLOOKUP(N1650, 'SIC &amp; NAICS Codes'!A:B, 2, FALSE), "")</f>
        <v>Sewerage Systems</v>
      </c>
      <c r="S1650" s="28">
        <v>123.61194937499999</v>
      </c>
      <c r="T1650" s="315">
        <f>_xlfn.MAXIFS('Raw Period DMR Data'!$O:$O,'Raw Period DMR Data'!$A:$A,'Raw Annual DMR Data_2021-2024'!B2285,'Raw Period DMR Data'!$C:$C,X1650)/S1650</f>
        <v>0</v>
      </c>
      <c r="U1650" s="28" t="str">
        <f>+IF(COUNTIFS('Raw Period DMR Data'!$A:$A,B1650, 'Raw Period DMR Data'!C:C,'Raw Annual DMR Data_2021-2024'!X2285, 'Raw Period DMR Data'!M:M, "&gt;0")&gt;0,_xlfn.MAXIFS('Raw Period DMR Data'!M:M,'Raw Period DMR Data'!$A:$A,'Raw Annual DMR Data_2021-2024'!B2285,'Raw Period DMR Data'!C:C,'Raw Annual DMR Data_2021-2024'!X2285), "N/A - Period DMR Data Not Available")</f>
        <v>N/A - Period DMR Data Not Available</v>
      </c>
      <c r="V1650" s="28" t="str" cm="1">
        <f t="array" ref="V1650">IFERROR(INDEX('Raw Period DMR Data'!N:N,MATCH(1,(B1650='Raw Period DMR Data'!$A:$A)*(U1650='Raw Period DMR Data'!M:M)*(X1650='Raw Period DMR Data'!C:C),0),1), "N/A")</f>
        <v>N/A</v>
      </c>
      <c r="W1650" s="28" t="s">
        <v>1463</v>
      </c>
      <c r="X1650" s="28" t="s">
        <v>1685</v>
      </c>
      <c r="Y1650" s="28" t="s">
        <v>830</v>
      </c>
      <c r="Z1650" s="61">
        <v>5140101000005</v>
      </c>
      <c r="AA1650" s="28"/>
      <c r="AB1650" s="28" t="s">
        <v>7355</v>
      </c>
      <c r="AC1650" s="28" t="s">
        <v>263</v>
      </c>
    </row>
    <row r="1651" spans="1:29" x14ac:dyDescent="0.25">
      <c r="A1651" s="61">
        <v>110000732379</v>
      </c>
      <c r="B1651" s="28">
        <v>2022</v>
      </c>
      <c r="C1651" s="68">
        <f t="shared" si="26"/>
        <v>44562</v>
      </c>
      <c r="D1651" s="28" t="s">
        <v>1082</v>
      </c>
      <c r="E1651" s="28" t="s">
        <v>1684</v>
      </c>
      <c r="F1651" s="28" t="s">
        <v>987</v>
      </c>
      <c r="G1651" s="28" t="s">
        <v>324</v>
      </c>
      <c r="H1651" s="28">
        <v>40272</v>
      </c>
      <c r="I1651" s="28">
        <v>38.08614</v>
      </c>
      <c r="J1651" s="28">
        <v>-85.898780000000002</v>
      </c>
      <c r="L1651" s="61">
        <v>110000732379</v>
      </c>
      <c r="M1651" s="28" t="s">
        <v>263</v>
      </c>
      <c r="N1651" s="28">
        <v>4952</v>
      </c>
      <c r="O1651" s="28" t="str">
        <f>IFERROR(VLOOKUP(N1651, 'SIC &amp; NAICS Codes'!A:B, 2, FALSE), "")</f>
        <v>Sewerage Systems</v>
      </c>
      <c r="S1651" s="28">
        <v>107.309954375</v>
      </c>
      <c r="T1651" s="315">
        <f>_xlfn.MAXIFS('Raw Period DMR Data'!$O:$O,'Raw Period DMR Data'!$A:$A,'Raw Annual DMR Data_2021-2024'!B2287,'Raw Period DMR Data'!$C:$C,X1651)/S1651</f>
        <v>0</v>
      </c>
      <c r="U1651" s="28" t="str">
        <f>+IF(COUNTIFS('Raw Period DMR Data'!$A:$A,B1651, 'Raw Period DMR Data'!C:C,'Raw Annual DMR Data_2021-2024'!X2287, 'Raw Period DMR Data'!M:M, "&gt;0")&gt;0,_xlfn.MAXIFS('Raw Period DMR Data'!M:M,'Raw Period DMR Data'!$A:$A,'Raw Annual DMR Data_2021-2024'!B2287,'Raw Period DMR Data'!C:C,'Raw Annual DMR Data_2021-2024'!X2287), "N/A - Period DMR Data Not Available")</f>
        <v>N/A - Period DMR Data Not Available</v>
      </c>
      <c r="V1651" s="28" t="str" cm="1">
        <f t="array" ref="V1651">IFERROR(INDEX('Raw Period DMR Data'!N:N,MATCH(1,(B1651='Raw Period DMR Data'!$A:$A)*(U1651='Raw Period DMR Data'!M:M)*(X1651='Raw Period DMR Data'!C:C),0),1), "N/A")</f>
        <v>N/A</v>
      </c>
      <c r="W1651" s="28" t="s">
        <v>1463</v>
      </c>
      <c r="X1651" s="28" t="s">
        <v>1685</v>
      </c>
      <c r="Y1651" s="28" t="s">
        <v>830</v>
      </c>
      <c r="Z1651" s="61">
        <v>5140101000005</v>
      </c>
      <c r="AB1651" s="28" t="s">
        <v>7355</v>
      </c>
      <c r="AC1651" s="28" t="s">
        <v>263</v>
      </c>
    </row>
    <row r="1652" spans="1:29" x14ac:dyDescent="0.25">
      <c r="A1652" s="61">
        <v>110000732379</v>
      </c>
      <c r="B1652" s="28">
        <v>2023</v>
      </c>
      <c r="C1652" s="68">
        <f t="shared" si="26"/>
        <v>44927</v>
      </c>
      <c r="D1652" s="28" t="s">
        <v>1082</v>
      </c>
      <c r="E1652" s="28" t="s">
        <v>1684</v>
      </c>
      <c r="F1652" s="28" t="s">
        <v>987</v>
      </c>
      <c r="G1652" s="28" t="s">
        <v>324</v>
      </c>
      <c r="H1652" s="28">
        <v>40272</v>
      </c>
      <c r="I1652" s="28">
        <v>38.08614</v>
      </c>
      <c r="J1652" s="28">
        <v>-85.898780000000002</v>
      </c>
      <c r="L1652" s="61">
        <v>110000732379</v>
      </c>
      <c r="M1652" s="28" t="s">
        <v>263</v>
      </c>
      <c r="N1652" s="28">
        <v>4952</v>
      </c>
      <c r="O1652" s="28" t="str">
        <f>IFERROR(VLOOKUP(N1652, 'SIC &amp; NAICS Codes'!A:B, 2, FALSE), "")</f>
        <v>Sewerage Systems</v>
      </c>
      <c r="S1652" s="28">
        <v>87.896074312500005</v>
      </c>
      <c r="T1652" s="315">
        <f>_xlfn.MAXIFS('Raw Period DMR Data'!$O:$O,'Raw Period DMR Data'!$A:$A,'Raw Annual DMR Data_2021-2024'!B2289,'Raw Period DMR Data'!$C:$C,X1652)/S1652</f>
        <v>0</v>
      </c>
      <c r="U1652" s="28" t="str">
        <f>+IF(COUNTIFS('Raw Period DMR Data'!$A:$A,B1652, 'Raw Period DMR Data'!C:C,'Raw Annual DMR Data_2021-2024'!X2289, 'Raw Period DMR Data'!M:M, "&gt;0")&gt;0,_xlfn.MAXIFS('Raw Period DMR Data'!M:M,'Raw Period DMR Data'!$A:$A,'Raw Annual DMR Data_2021-2024'!B2289,'Raw Period DMR Data'!C:C,'Raw Annual DMR Data_2021-2024'!X2289), "N/A - Period DMR Data Not Available")</f>
        <v>N/A - Period DMR Data Not Available</v>
      </c>
      <c r="V1652" s="28" t="str" cm="1">
        <f t="array" ref="V1652">IFERROR(INDEX('Raw Period DMR Data'!N:N,MATCH(1,(B1652='Raw Period DMR Data'!$A:$A)*(U1652='Raw Period DMR Data'!M:M)*(X1652='Raw Period DMR Data'!C:C),0),1), "N/A")</f>
        <v>N/A</v>
      </c>
      <c r="W1652" s="28" t="s">
        <v>1463</v>
      </c>
      <c r="X1652" s="28" t="s">
        <v>1685</v>
      </c>
      <c r="Y1652" s="28" t="s">
        <v>830</v>
      </c>
      <c r="Z1652" s="61">
        <v>5140101000005</v>
      </c>
      <c r="AB1652" s="28" t="s">
        <v>7355</v>
      </c>
      <c r="AC1652" s="28" t="s">
        <v>263</v>
      </c>
    </row>
    <row r="1653" spans="1:29" x14ac:dyDescent="0.25">
      <c r="A1653" s="61">
        <v>110070048003</v>
      </c>
      <c r="B1653" s="28">
        <v>2021</v>
      </c>
      <c r="C1653" s="68">
        <f t="shared" si="26"/>
        <v>44197</v>
      </c>
      <c r="D1653" s="28" t="s">
        <v>134</v>
      </c>
      <c r="E1653" s="28" t="s">
        <v>433</v>
      </c>
      <c r="F1653" s="28" t="s">
        <v>434</v>
      </c>
      <c r="G1653" s="28" t="s">
        <v>435</v>
      </c>
      <c r="H1653" s="28">
        <v>28203</v>
      </c>
      <c r="I1653" s="28">
        <v>35.215859999999999</v>
      </c>
      <c r="J1653" s="28">
        <v>-80.856890000000007</v>
      </c>
      <c r="L1653" s="61">
        <v>110070048003</v>
      </c>
      <c r="M1653" s="28" t="s">
        <v>264</v>
      </c>
      <c r="N1653" s="28">
        <v>4959</v>
      </c>
      <c r="O1653" s="28" t="str">
        <f>IFERROR(VLOOKUP(N1653, 'SIC &amp; NAICS Codes'!A:B, 2, FALSE), "")</f>
        <v>Sanitary Services, NEC (vacuuming of runways)</v>
      </c>
      <c r="S1653" s="28">
        <v>5.0678591340000002E-2</v>
      </c>
      <c r="T1653" s="315">
        <f>_xlfn.MAXIFS('Raw Period DMR Data'!$O:$O,'Raw Period DMR Data'!$A:$A,'Raw Annual DMR Data_2021-2024'!#REF!,'Raw Period DMR Data'!$C:$C,X1653)/S1653</f>
        <v>0</v>
      </c>
      <c r="U1653" s="28" t="str">
        <f>+IF(COUNTIFS('Raw Period DMR Data'!$A:$A,B1653,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53" s="28" t="str" cm="1">
        <f t="array" ref="V1653">IFERROR(INDEX('Raw Period DMR Data'!N:N,MATCH(1,(B1653='Raw Period DMR Data'!$A:$A)*(U1653='Raw Period DMR Data'!M:M)*(X1653='Raw Period DMR Data'!C:C),0),1), "N/A")</f>
        <v>N/A</v>
      </c>
      <c r="W1653" s="28" t="s">
        <v>1463</v>
      </c>
      <c r="X1653" s="28" t="s">
        <v>833</v>
      </c>
      <c r="Y1653" s="28" t="s">
        <v>834</v>
      </c>
      <c r="Z1653" s="61">
        <v>3050103000259</v>
      </c>
      <c r="AA1653" s="28"/>
      <c r="AC1653" s="28" t="s">
        <v>1466</v>
      </c>
    </row>
    <row r="1654" spans="1:29" x14ac:dyDescent="0.25">
      <c r="A1654" s="61">
        <v>110001103911</v>
      </c>
      <c r="B1654" s="28">
        <v>2021</v>
      </c>
      <c r="C1654" s="68">
        <f t="shared" si="26"/>
        <v>44197</v>
      </c>
      <c r="D1654" s="28" t="s">
        <v>6876</v>
      </c>
      <c r="E1654" s="28" t="s">
        <v>7048</v>
      </c>
      <c r="F1654" s="28" t="s">
        <v>7049</v>
      </c>
      <c r="G1654" s="28" t="s">
        <v>366</v>
      </c>
      <c r="H1654" s="28">
        <v>94514</v>
      </c>
      <c r="I1654" s="28">
        <v>37.894722000000002</v>
      </c>
      <c r="J1654" s="28">
        <v>-121.587222</v>
      </c>
      <c r="L1654" s="61">
        <v>110001103911</v>
      </c>
      <c r="M1654" s="28" t="s">
        <v>263</v>
      </c>
      <c r="N1654" s="28">
        <v>4952</v>
      </c>
      <c r="O1654" s="28" t="str">
        <f>IFERROR(VLOOKUP(N1654, 'SIC &amp; NAICS Codes'!A:B, 2, FALSE), "")</f>
        <v>Sewerage Systems</v>
      </c>
      <c r="S1654" s="28">
        <v>6.8223262399999998E-2</v>
      </c>
      <c r="T1654" s="315">
        <f>_xlfn.MAXIFS('Raw Period DMR Data'!$O:$O,'Raw Period DMR Data'!$A:$A,'Raw Annual DMR Data_2021-2024'!#REF!,'Raw Period DMR Data'!$C:$C,X1654)/S1654</f>
        <v>0</v>
      </c>
      <c r="U1654" s="28" t="str">
        <f>+IF(COUNTIFS('Raw Period DMR Data'!$A:$A,B1654,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54" s="28" t="str" cm="1">
        <f t="array" ref="V1654">IFERROR(INDEX('Raw Period DMR Data'!N:N,MATCH(1,(B1654='Raw Period DMR Data'!$A:$A)*(U1654='Raw Period DMR Data'!M:M)*(X1654='Raw Period DMR Data'!C:C),0),1), "N/A")</f>
        <v>N/A</v>
      </c>
      <c r="W1654" s="28" t="s">
        <v>1463</v>
      </c>
      <c r="X1654" s="28" t="s">
        <v>7204</v>
      </c>
      <c r="Y1654" s="28" t="s">
        <v>2032</v>
      </c>
      <c r="Z1654" s="61">
        <v>18040003005705</v>
      </c>
      <c r="AA1654" s="28"/>
      <c r="AB1654" s="28" t="s">
        <v>7355</v>
      </c>
      <c r="AC1654" s="28" t="s">
        <v>263</v>
      </c>
    </row>
    <row r="1655" spans="1:29" x14ac:dyDescent="0.25">
      <c r="A1655" s="61">
        <v>110000584305</v>
      </c>
      <c r="B1655" s="28">
        <v>2022</v>
      </c>
      <c r="C1655" s="68">
        <f t="shared" si="26"/>
        <v>44562</v>
      </c>
      <c r="D1655" s="28" t="s">
        <v>1083</v>
      </c>
      <c r="E1655" s="28" t="s">
        <v>6935</v>
      </c>
      <c r="F1655" s="28" t="s">
        <v>1084</v>
      </c>
      <c r="G1655" s="28" t="s">
        <v>491</v>
      </c>
      <c r="H1655" s="28">
        <v>17961</v>
      </c>
      <c r="I1655" s="28">
        <v>40.627648000000001</v>
      </c>
      <c r="J1655" s="28">
        <v>-76.064880000000002</v>
      </c>
      <c r="L1655" s="61">
        <v>110000584305</v>
      </c>
      <c r="M1655" s="28" t="s">
        <v>265</v>
      </c>
      <c r="N1655" s="28">
        <v>3951</v>
      </c>
      <c r="O1655" s="28" t="str">
        <f>IFERROR(VLOOKUP(N1655, 'SIC &amp; NAICS Codes'!A:B, 2, FALSE), "")</f>
        <v xml:space="preserve">Pens, Mechanical Pencils, and Parts </v>
      </c>
      <c r="S1655" s="28">
        <v>7.8678199999999993E-3</v>
      </c>
      <c r="T1655" s="315">
        <f>_xlfn.MAXIFS('Raw Period DMR Data'!$O:$O,'Raw Period DMR Data'!$A:$A,'Raw Annual DMR Data_2021-2024'!#REF!,'Raw Period DMR Data'!$C:$C,X1655)/S1655</f>
        <v>0</v>
      </c>
      <c r="U1655" s="28" t="str">
        <f>+IF(COUNTIFS('Raw Period DMR Data'!$A:$A,B1655,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55" s="28" t="str" cm="1">
        <f t="array" ref="V1655">IFERROR(INDEX('Raw Period DMR Data'!N:N,MATCH(1,(B1655='Raw Period DMR Data'!$A:$A)*(U1655='Raw Period DMR Data'!M:M)*(X1655='Raw Period DMR Data'!C:C),0),1), "N/A")</f>
        <v>N/A</v>
      </c>
      <c r="W1655" s="28" t="s">
        <v>1463</v>
      </c>
      <c r="X1655" s="28" t="s">
        <v>1687</v>
      </c>
      <c r="Y1655" s="28" t="s">
        <v>1688</v>
      </c>
      <c r="Z1655" s="61">
        <v>2040203000412</v>
      </c>
      <c r="AB1655" s="28" t="s">
        <v>7355</v>
      </c>
      <c r="AC1655" s="28" t="s">
        <v>1466</v>
      </c>
    </row>
    <row r="1656" spans="1:29" x14ac:dyDescent="0.25">
      <c r="A1656" s="61">
        <v>110000584305</v>
      </c>
      <c r="B1656" s="28">
        <v>2023</v>
      </c>
      <c r="C1656" s="68">
        <f t="shared" si="26"/>
        <v>44927</v>
      </c>
      <c r="D1656" s="28" t="s">
        <v>1083</v>
      </c>
      <c r="E1656" s="28" t="s">
        <v>6935</v>
      </c>
      <c r="F1656" s="28" t="s">
        <v>1084</v>
      </c>
      <c r="G1656" s="28" t="s">
        <v>491</v>
      </c>
      <c r="H1656" s="28">
        <v>17961</v>
      </c>
      <c r="I1656" s="28">
        <v>40.627648000000001</v>
      </c>
      <c r="J1656" s="28">
        <v>-76.064880000000002</v>
      </c>
      <c r="L1656" s="61">
        <v>110000584305</v>
      </c>
      <c r="M1656" s="28" t="s">
        <v>265</v>
      </c>
      <c r="N1656" s="28">
        <v>3951</v>
      </c>
      <c r="O1656" s="28" t="str">
        <f>IFERROR(VLOOKUP(N1656, 'SIC &amp; NAICS Codes'!A:B, 2, FALSE), "")</f>
        <v xml:space="preserve">Pens, Mechanical Pencils, and Parts </v>
      </c>
      <c r="S1656" s="28">
        <v>7.4524099999999996E-3</v>
      </c>
      <c r="T1656" s="315">
        <f>_xlfn.MAXIFS('Raw Period DMR Data'!$O:$O,'Raw Period DMR Data'!$A:$A,'Raw Annual DMR Data_2021-2024'!#REF!,'Raw Period DMR Data'!$C:$C,X1656)/S1656</f>
        <v>0</v>
      </c>
      <c r="U1656" s="28" t="str">
        <f>+IF(COUNTIFS('Raw Period DMR Data'!$A:$A,B1656,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56" s="28" t="str" cm="1">
        <f t="array" ref="V1656">IFERROR(INDEX('Raw Period DMR Data'!N:N,MATCH(1,(B1656='Raw Period DMR Data'!$A:$A)*(U1656='Raw Period DMR Data'!M:M)*(X1656='Raw Period DMR Data'!C:C),0),1), "N/A")</f>
        <v>N/A</v>
      </c>
      <c r="W1656" s="28" t="s">
        <v>1463</v>
      </c>
      <c r="X1656" s="28" t="s">
        <v>1687</v>
      </c>
      <c r="Y1656" s="28" t="s">
        <v>1688</v>
      </c>
      <c r="Z1656" s="61" t="s">
        <v>1689</v>
      </c>
      <c r="AB1656" s="28" t="s">
        <v>7355</v>
      </c>
      <c r="AC1656" s="28" t="s">
        <v>1466</v>
      </c>
    </row>
    <row r="1657" spans="1:29" x14ac:dyDescent="0.25">
      <c r="A1657" s="61">
        <v>110000584305</v>
      </c>
      <c r="B1657" s="28">
        <v>2024</v>
      </c>
      <c r="C1657" s="68">
        <f t="shared" si="26"/>
        <v>45292</v>
      </c>
      <c r="D1657" s="28" t="s">
        <v>1083</v>
      </c>
      <c r="E1657" s="28" t="s">
        <v>6935</v>
      </c>
      <c r="F1657" s="28" t="s">
        <v>1084</v>
      </c>
      <c r="G1657" s="28" t="s">
        <v>491</v>
      </c>
      <c r="H1657" s="28">
        <v>17961</v>
      </c>
      <c r="I1657" s="28">
        <v>40.627648000000001</v>
      </c>
      <c r="J1657" s="28">
        <v>-76.064880000000002</v>
      </c>
      <c r="L1657" s="61">
        <v>110000584305</v>
      </c>
      <c r="M1657" s="28" t="s">
        <v>265</v>
      </c>
      <c r="N1657" s="28">
        <v>3951</v>
      </c>
      <c r="O1657" s="28" t="str">
        <f>IFERROR(VLOOKUP(N1657, 'SIC &amp; NAICS Codes'!A:B, 2, FALSE), "")</f>
        <v xml:space="preserve">Pens, Mechanical Pencils, and Parts </v>
      </c>
      <c r="S1657" s="28">
        <v>6.41729E-3</v>
      </c>
      <c r="T1657" s="315">
        <f>_xlfn.MAXIFS('Raw Period DMR Data'!$O:$O,'Raw Period DMR Data'!$A:$A,'Raw Annual DMR Data_2021-2024'!#REF!,'Raw Period DMR Data'!$C:$C,X1657)/S1657</f>
        <v>0</v>
      </c>
      <c r="U1657" s="28" t="str">
        <f>+IF(COUNTIFS('Raw Period DMR Data'!$A:$A,B1657,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57" s="28" t="str" cm="1">
        <f t="array" ref="V1657">IFERROR(INDEX('Raw Period DMR Data'!N:N,MATCH(1,(B1657='Raw Period DMR Data'!$A:$A)*(U1657='Raw Period DMR Data'!M:M)*(X1657='Raw Period DMR Data'!C:C),0),1), "N/A")</f>
        <v>N/A</v>
      </c>
      <c r="W1657" s="28" t="s">
        <v>1463</v>
      </c>
      <c r="X1657" s="28" t="s">
        <v>1687</v>
      </c>
      <c r="Y1657" s="28" t="s">
        <v>1688</v>
      </c>
      <c r="Z1657" s="61">
        <v>2040203000412</v>
      </c>
      <c r="AB1657" s="28" t="s">
        <v>7355</v>
      </c>
      <c r="AC1657" s="28" t="s">
        <v>1466</v>
      </c>
    </row>
    <row r="1658" spans="1:29" x14ac:dyDescent="0.25">
      <c r="A1658" s="61">
        <v>110000584305</v>
      </c>
      <c r="B1658" s="28">
        <v>2021</v>
      </c>
      <c r="C1658" s="68">
        <f t="shared" si="26"/>
        <v>44197</v>
      </c>
      <c r="D1658" s="28" t="s">
        <v>1083</v>
      </c>
      <c r="E1658" s="28" t="s">
        <v>6935</v>
      </c>
      <c r="F1658" s="28" t="s">
        <v>1084</v>
      </c>
      <c r="G1658" s="28" t="s">
        <v>491</v>
      </c>
      <c r="H1658" s="28">
        <v>17961</v>
      </c>
      <c r="I1658" s="28">
        <v>40.627648000000001</v>
      </c>
      <c r="J1658" s="28">
        <v>-76.064880000000002</v>
      </c>
      <c r="L1658" s="61">
        <v>110000584305</v>
      </c>
      <c r="M1658" s="28" t="s">
        <v>265</v>
      </c>
      <c r="N1658" s="28">
        <v>3951</v>
      </c>
      <c r="O1658" s="28" t="str">
        <f>IFERROR(VLOOKUP(N1658, 'SIC &amp; NAICS Codes'!A:B, 2, FALSE), "")</f>
        <v xml:space="preserve">Pens, Mechanical Pencils, and Parts </v>
      </c>
      <c r="S1658" s="28">
        <v>5.8089300000000003E-3</v>
      </c>
      <c r="T1658" s="315">
        <f>_xlfn.MAXIFS('Raw Period DMR Data'!$O:$O,'Raw Period DMR Data'!$A:$A,'Raw Annual DMR Data_2021-2024'!#REF!,'Raw Period DMR Data'!$C:$C,X1658)/S1658</f>
        <v>0</v>
      </c>
      <c r="U1658" s="28" t="str">
        <f>+IF(COUNTIFS('Raw Period DMR Data'!$A:$A,B1658,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58" s="28" t="str" cm="1">
        <f t="array" ref="V1658">IFERROR(INDEX('Raw Period DMR Data'!N:N,MATCH(1,(B1658='Raw Period DMR Data'!$A:$A)*(U1658='Raw Period DMR Data'!M:M)*(X1658='Raw Period DMR Data'!C:C),0),1), "N/A")</f>
        <v>N/A</v>
      </c>
      <c r="W1658" s="28" t="s">
        <v>1463</v>
      </c>
      <c r="X1658" s="28" t="s">
        <v>1687</v>
      </c>
      <c r="Y1658" s="28" t="s">
        <v>1688</v>
      </c>
      <c r="Z1658" s="61">
        <v>2040203000412</v>
      </c>
      <c r="AA1658" s="28"/>
      <c r="AB1658" s="28" t="s">
        <v>7355</v>
      </c>
      <c r="AC1658" s="28" t="s">
        <v>1466</v>
      </c>
    </row>
    <row r="1659" spans="1:29" x14ac:dyDescent="0.25">
      <c r="A1659" s="61">
        <v>110071725441</v>
      </c>
      <c r="B1659" s="28">
        <v>2024</v>
      </c>
      <c r="C1659" s="68">
        <f t="shared" si="26"/>
        <v>45292</v>
      </c>
      <c r="D1659" s="28" t="s">
        <v>6899</v>
      </c>
      <c r="E1659" s="28" t="s">
        <v>7091</v>
      </c>
      <c r="F1659" s="28" t="s">
        <v>1388</v>
      </c>
      <c r="G1659" s="28" t="s">
        <v>294</v>
      </c>
      <c r="H1659" s="28">
        <v>221822205</v>
      </c>
      <c r="I1659" s="28">
        <v>38.926856000000001</v>
      </c>
      <c r="J1659" s="28">
        <v>-77.245693000000003</v>
      </c>
      <c r="L1659" s="61">
        <v>110071725441</v>
      </c>
      <c r="M1659" s="28" t="s">
        <v>265</v>
      </c>
      <c r="N1659" s="28">
        <v>1794</v>
      </c>
      <c r="O1659" s="28" t="str">
        <f>IFERROR(VLOOKUP(N1659, 'SIC &amp; NAICS Codes'!A:B, 2, FALSE), "")</f>
        <v>Excavation Work</v>
      </c>
      <c r="S1659" s="28">
        <v>5.4235822151999999E-2</v>
      </c>
      <c r="T1659" s="315">
        <f>_xlfn.MAXIFS('Raw Period DMR Data'!$O:$O,'Raw Period DMR Data'!$A:$A,'Raw Annual DMR Data_2021-2024'!#REF!,'Raw Period DMR Data'!$C:$C,X1659)/S1659</f>
        <v>0</v>
      </c>
      <c r="U1659" s="28" t="str">
        <f>+IF(COUNTIFS('Raw Period DMR Data'!$A:$A,B1659,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59" s="28" t="str" cm="1">
        <f t="array" ref="V1659">IFERROR(INDEX('Raw Period DMR Data'!N:N,MATCH(1,(B1659='Raw Period DMR Data'!$A:$A)*(U1659='Raw Period DMR Data'!M:M)*(X1659='Raw Period DMR Data'!C:C),0),1), "N/A")</f>
        <v>N/A</v>
      </c>
      <c r="W1659" s="28" t="s">
        <v>1463</v>
      </c>
      <c r="X1659" s="28" t="s">
        <v>7228</v>
      </c>
      <c r="Y1659" s="28" t="s">
        <v>2293</v>
      </c>
      <c r="Z1659" s="61"/>
      <c r="AB1659" s="28" t="s">
        <v>7355</v>
      </c>
      <c r="AC1659" s="28" t="s">
        <v>1466</v>
      </c>
    </row>
    <row r="1660" spans="1:29" x14ac:dyDescent="0.25">
      <c r="A1660" s="61">
        <v>110027360629</v>
      </c>
      <c r="B1660" s="28">
        <v>2022</v>
      </c>
      <c r="C1660" s="68">
        <f t="shared" si="26"/>
        <v>44562</v>
      </c>
      <c r="D1660" s="28" t="s">
        <v>135</v>
      </c>
      <c r="E1660" s="28" t="s">
        <v>439</v>
      </c>
      <c r="F1660" s="28" t="s">
        <v>426</v>
      </c>
      <c r="G1660" s="28" t="s">
        <v>427</v>
      </c>
      <c r="H1660" s="28">
        <v>48640</v>
      </c>
      <c r="I1660" s="28">
        <v>43.590555999999999</v>
      </c>
      <c r="J1660" s="28">
        <v>-84.206943999999993</v>
      </c>
      <c r="L1660" s="61">
        <v>110027360629</v>
      </c>
      <c r="M1660" s="28" t="s">
        <v>251</v>
      </c>
      <c r="N1660" s="28">
        <v>2819</v>
      </c>
      <c r="O1660" s="28" t="str">
        <f>IFERROR(VLOOKUP(N1660, 'SIC &amp; NAICS Codes'!A:B, 2, FALSE), "")</f>
        <v>Industrial Inorganic Chemicals, NEC (recovering sulfur from natural gas)</v>
      </c>
      <c r="S1660" s="28">
        <v>62.107199999999999</v>
      </c>
      <c r="T1660" s="315">
        <f>_xlfn.MAXIFS('Raw Period DMR Data'!$O:$O,'Raw Period DMR Data'!$A:$A,'Raw Annual DMR Data_2021-2024'!B2295,'Raw Period DMR Data'!$C:$C,X1660)/S1660</f>
        <v>0</v>
      </c>
      <c r="U1660" s="28" t="str">
        <f>+IF(COUNTIFS('Raw Period DMR Data'!$A:$A,B1660, 'Raw Period DMR Data'!C:C,'Raw Annual DMR Data_2021-2024'!X2295, 'Raw Period DMR Data'!M:M, "&gt;0")&gt;0,_xlfn.MAXIFS('Raw Period DMR Data'!M:M,'Raw Period DMR Data'!$A:$A,'Raw Annual DMR Data_2021-2024'!B2295,'Raw Period DMR Data'!C:C,'Raw Annual DMR Data_2021-2024'!X2295), "N/A - Period DMR Data Not Available")</f>
        <v>N/A - Period DMR Data Not Available</v>
      </c>
      <c r="V1660" s="28" t="str" cm="1">
        <f t="array" ref="V1660">IFERROR(INDEX('Raw Period DMR Data'!N:N,MATCH(1,(B1660='Raw Period DMR Data'!$A:$A)*(U1660='Raw Period DMR Data'!M:M)*(X1660='Raw Period DMR Data'!C:C),0),1), "N/A")</f>
        <v>N/A</v>
      </c>
      <c r="W1660" s="28" t="s">
        <v>1463</v>
      </c>
      <c r="X1660" s="28" t="s">
        <v>835</v>
      </c>
      <c r="Y1660" s="28" t="s">
        <v>836</v>
      </c>
      <c r="Z1660" s="61">
        <v>4080201000005</v>
      </c>
      <c r="AC1660" s="28" t="s">
        <v>1466</v>
      </c>
    </row>
    <row r="1661" spans="1:29" x14ac:dyDescent="0.25">
      <c r="A1661" s="61">
        <v>110027360629</v>
      </c>
      <c r="B1661" s="28">
        <v>2021</v>
      </c>
      <c r="C1661" s="68">
        <f t="shared" si="26"/>
        <v>44197</v>
      </c>
      <c r="D1661" s="28" t="s">
        <v>135</v>
      </c>
      <c r="E1661" s="28" t="s">
        <v>439</v>
      </c>
      <c r="F1661" s="28" t="s">
        <v>426</v>
      </c>
      <c r="G1661" s="28" t="s">
        <v>427</v>
      </c>
      <c r="H1661" s="28">
        <v>48640</v>
      </c>
      <c r="I1661" s="28">
        <v>43.590555999999999</v>
      </c>
      <c r="J1661" s="28">
        <v>-84.206943999999993</v>
      </c>
      <c r="L1661" s="61">
        <v>110027360629</v>
      </c>
      <c r="M1661" s="28" t="s">
        <v>251</v>
      </c>
      <c r="N1661" s="28">
        <v>2819</v>
      </c>
      <c r="O1661" s="28" t="str">
        <f>IFERROR(VLOOKUP(N1661, 'SIC &amp; NAICS Codes'!A:B, 2, FALSE), "")</f>
        <v>Industrial Inorganic Chemicals, NEC (recovering sulfur from natural gas)</v>
      </c>
      <c r="S1661" s="28">
        <v>43.148159999999997</v>
      </c>
      <c r="T1661" s="315">
        <f>_xlfn.MAXIFS('Raw Period DMR Data'!$O:$O,'Raw Period DMR Data'!$A:$A,'Raw Annual DMR Data_2021-2024'!B2302,'Raw Period DMR Data'!$C:$C,X1661)/S1661</f>
        <v>0</v>
      </c>
      <c r="U1661" s="28" t="str">
        <f>+IF(COUNTIFS('Raw Period DMR Data'!$A:$A,B1661, 'Raw Period DMR Data'!C:C,'Raw Annual DMR Data_2021-2024'!X2302, 'Raw Period DMR Data'!M:M, "&gt;0")&gt;0,_xlfn.MAXIFS('Raw Period DMR Data'!M:M,'Raw Period DMR Data'!$A:$A,'Raw Annual DMR Data_2021-2024'!B2302,'Raw Period DMR Data'!C:C,'Raw Annual DMR Data_2021-2024'!X2302), "N/A - Period DMR Data Not Available")</f>
        <v>N/A - Period DMR Data Not Available</v>
      </c>
      <c r="V1661" s="28" t="str" cm="1">
        <f t="array" ref="V1661">IFERROR(INDEX('Raw Period DMR Data'!N:N,MATCH(1,(B1661='Raw Period DMR Data'!$A:$A)*(U1661='Raw Period DMR Data'!M:M)*(X1661='Raw Period DMR Data'!C:C),0),1), "N/A")</f>
        <v>N/A</v>
      </c>
      <c r="W1661" s="28" t="s">
        <v>1463</v>
      </c>
      <c r="X1661" s="28" t="s">
        <v>835</v>
      </c>
      <c r="Y1661" s="28" t="s">
        <v>836</v>
      </c>
      <c r="Z1661" s="61">
        <v>4080201000005</v>
      </c>
      <c r="AA1661" s="28"/>
      <c r="AC1661" s="28" t="s">
        <v>1466</v>
      </c>
    </row>
    <row r="1662" spans="1:29" x14ac:dyDescent="0.25">
      <c r="A1662" s="61">
        <v>110039639736</v>
      </c>
      <c r="B1662" s="28">
        <v>2021</v>
      </c>
      <c r="C1662" s="68">
        <f t="shared" si="26"/>
        <v>44197</v>
      </c>
      <c r="D1662" s="28" t="s">
        <v>6788</v>
      </c>
      <c r="E1662" s="28" t="s">
        <v>2058</v>
      </c>
      <c r="F1662" s="28" t="s">
        <v>1263</v>
      </c>
      <c r="G1662" s="28" t="s">
        <v>324</v>
      </c>
      <c r="H1662" s="28">
        <v>41018</v>
      </c>
      <c r="I1662" s="28">
        <v>39.058610999999999</v>
      </c>
      <c r="J1662" s="28">
        <v>-84.618055999999996</v>
      </c>
      <c r="L1662" s="61">
        <v>110039639736</v>
      </c>
      <c r="M1662" s="28" t="s">
        <v>263</v>
      </c>
      <c r="N1662" s="28">
        <v>4952</v>
      </c>
      <c r="O1662" s="28" t="str">
        <f>IFERROR(VLOOKUP(N1662, 'SIC &amp; NAICS Codes'!A:B, 2, FALSE), "")</f>
        <v>Sewerage Systems</v>
      </c>
      <c r="S1662" s="28">
        <v>22.366889749999999</v>
      </c>
      <c r="T1662" s="315">
        <f>_xlfn.MAXIFS('Raw Period DMR Data'!$O:$O,'Raw Period DMR Data'!$A:$A,'Raw Annual DMR Data_2021-2024'!B2318,'Raw Period DMR Data'!$C:$C,X1662)/S1662</f>
        <v>0</v>
      </c>
      <c r="U1662" s="28" t="str">
        <f>+IF(COUNTIFS('Raw Period DMR Data'!$A:$A,B1662, 'Raw Period DMR Data'!C:C,'Raw Annual DMR Data_2021-2024'!X2318, 'Raw Period DMR Data'!M:M, "&gt;0")&gt;0,_xlfn.MAXIFS('Raw Period DMR Data'!M:M,'Raw Period DMR Data'!$A:$A,'Raw Annual DMR Data_2021-2024'!B2318,'Raw Period DMR Data'!C:C,'Raw Annual DMR Data_2021-2024'!X2318), "N/A - Period DMR Data Not Available")</f>
        <v>N/A - Period DMR Data Not Available</v>
      </c>
      <c r="V1662" s="28" t="str" cm="1">
        <f t="array" ref="V1662">IFERROR(INDEX('Raw Period DMR Data'!N:N,MATCH(1,(B1662='Raw Period DMR Data'!$A:$A)*(U1662='Raw Period DMR Data'!M:M)*(X1662='Raw Period DMR Data'!C:C),0),1), "N/A")</f>
        <v>N/A</v>
      </c>
      <c r="W1662" s="28" t="s">
        <v>1463</v>
      </c>
      <c r="X1662" s="28" t="s">
        <v>2059</v>
      </c>
      <c r="Y1662" s="28" t="s">
        <v>2060</v>
      </c>
      <c r="Z1662" s="61">
        <v>5100101002662</v>
      </c>
      <c r="AB1662" s="28" t="s">
        <v>7355</v>
      </c>
      <c r="AC1662" s="28" t="s">
        <v>263</v>
      </c>
    </row>
    <row r="1663" spans="1:29" x14ac:dyDescent="0.25">
      <c r="A1663" s="61">
        <v>110040963286</v>
      </c>
      <c r="B1663" s="28">
        <v>2024</v>
      </c>
      <c r="C1663" s="68">
        <f t="shared" si="26"/>
        <v>45292</v>
      </c>
      <c r="D1663" s="28" t="s">
        <v>136</v>
      </c>
      <c r="E1663" s="28" t="s">
        <v>440</v>
      </c>
      <c r="F1663" s="28" t="s">
        <v>441</v>
      </c>
      <c r="G1663" s="28" t="s">
        <v>338</v>
      </c>
      <c r="H1663" s="28" t="s">
        <v>442</v>
      </c>
      <c r="I1663" s="28">
        <v>40.843611000000003</v>
      </c>
      <c r="J1663" s="28">
        <v>-75.066389000000001</v>
      </c>
      <c r="K1663" s="28" t="s">
        <v>443</v>
      </c>
      <c r="L1663" s="61">
        <v>110040963286</v>
      </c>
      <c r="M1663" s="28" t="s">
        <v>254</v>
      </c>
      <c r="N1663" s="28">
        <v>2833</v>
      </c>
      <c r="O1663" s="28" t="str">
        <f>IFERROR(VLOOKUP(N1663, 'SIC &amp; NAICS Codes'!A:B, 2, FALSE), "")</f>
        <v>Medicinal Chemicals and Botanical Products</v>
      </c>
      <c r="S1663" s="28">
        <v>0.24269230750000001</v>
      </c>
      <c r="T1663" s="315">
        <f>_xlfn.MAXIFS('Raw Period DMR Data'!$O:$O,'Raw Period DMR Data'!$A:$A,'Raw Annual DMR Data_2021-2024'!#REF!,'Raw Period DMR Data'!$C:$C,X1663)/S1663</f>
        <v>0</v>
      </c>
      <c r="U1663" s="28" t="str">
        <f>+IF(COUNTIFS('Raw Period DMR Data'!$A:$A,B1663,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63" s="28" t="str" cm="1">
        <f t="array" ref="V1663">IFERROR(INDEX('Raw Period DMR Data'!N:N,MATCH(1,(B1663='Raw Period DMR Data'!$A:$A)*(U1663='Raw Period DMR Data'!M:M)*(X1663='Raw Period DMR Data'!C:C),0),1), "N/A")</f>
        <v>N/A</v>
      </c>
      <c r="W1663" s="28" t="s">
        <v>1463</v>
      </c>
      <c r="X1663" s="28" t="s">
        <v>837</v>
      </c>
      <c r="Y1663" s="28" t="s">
        <v>838</v>
      </c>
      <c r="Z1663" s="61">
        <v>2040105000142</v>
      </c>
      <c r="AB1663" s="28" t="s">
        <v>7355</v>
      </c>
      <c r="AC1663" s="28" t="s">
        <v>1466</v>
      </c>
    </row>
    <row r="1664" spans="1:29" x14ac:dyDescent="0.25">
      <c r="A1664" s="61">
        <v>110040963286</v>
      </c>
      <c r="B1664" s="28">
        <v>2021</v>
      </c>
      <c r="C1664" s="68">
        <f t="shared" si="26"/>
        <v>44197</v>
      </c>
      <c r="D1664" s="28" t="s">
        <v>136</v>
      </c>
      <c r="E1664" s="28" t="s">
        <v>440</v>
      </c>
      <c r="F1664" s="28" t="s">
        <v>441</v>
      </c>
      <c r="G1664" s="28" t="s">
        <v>338</v>
      </c>
      <c r="H1664" s="28" t="s">
        <v>442</v>
      </c>
      <c r="I1664" s="28">
        <v>40.843611000000003</v>
      </c>
      <c r="J1664" s="28">
        <v>-75.066389000000001</v>
      </c>
      <c r="K1664" s="28" t="s">
        <v>443</v>
      </c>
      <c r="L1664" s="61">
        <v>110040963286</v>
      </c>
      <c r="M1664" s="28" t="s">
        <v>254</v>
      </c>
      <c r="N1664" s="28">
        <v>2833</v>
      </c>
      <c r="O1664" s="28" t="str">
        <f>IFERROR(VLOOKUP(N1664, 'SIC &amp; NAICS Codes'!A:B, 2, FALSE), "")</f>
        <v>Medicinal Chemicals and Botanical Products</v>
      </c>
      <c r="S1664" s="28">
        <v>0.101939039375</v>
      </c>
      <c r="T1664" s="315">
        <f>_xlfn.MAXIFS('Raw Period DMR Data'!$O:$O,'Raw Period DMR Data'!$A:$A,'Raw Annual DMR Data_2021-2024'!#REF!,'Raw Period DMR Data'!$C:$C,X1664)/S1664</f>
        <v>0</v>
      </c>
      <c r="U1664" s="28" t="str">
        <f>+IF(COUNTIFS('Raw Period DMR Data'!$A:$A,B1664,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64" s="28" t="str" cm="1">
        <f t="array" ref="V1664">IFERROR(INDEX('Raw Period DMR Data'!N:N,MATCH(1,(B1664='Raw Period DMR Data'!$A:$A)*(U1664='Raw Period DMR Data'!M:M)*(X1664='Raw Period DMR Data'!C:C),0),1), "N/A")</f>
        <v>N/A</v>
      </c>
      <c r="W1664" s="28" t="s">
        <v>1463</v>
      </c>
      <c r="X1664" s="28" t="s">
        <v>837</v>
      </c>
      <c r="Y1664" s="28" t="s">
        <v>838</v>
      </c>
      <c r="Z1664" s="61">
        <v>2040105000142</v>
      </c>
      <c r="AB1664" s="28" t="s">
        <v>7355</v>
      </c>
      <c r="AC1664" s="28" t="s">
        <v>1466</v>
      </c>
    </row>
    <row r="1665" spans="1:29" x14ac:dyDescent="0.25">
      <c r="A1665" s="61">
        <v>110040963286</v>
      </c>
      <c r="B1665" s="28">
        <v>2022</v>
      </c>
      <c r="C1665" s="68">
        <f t="shared" si="26"/>
        <v>44562</v>
      </c>
      <c r="D1665" s="28" t="s">
        <v>136</v>
      </c>
      <c r="E1665" s="28" t="s">
        <v>440</v>
      </c>
      <c r="F1665" s="28" t="s">
        <v>441</v>
      </c>
      <c r="G1665" s="28" t="s">
        <v>338</v>
      </c>
      <c r="H1665" s="28" t="s">
        <v>442</v>
      </c>
      <c r="I1665" s="28">
        <v>40.843611000000003</v>
      </c>
      <c r="J1665" s="28">
        <v>-75.066389000000001</v>
      </c>
      <c r="K1665" s="28" t="s">
        <v>443</v>
      </c>
      <c r="L1665" s="61">
        <v>110040963286</v>
      </c>
      <c r="M1665" s="28" t="s">
        <v>254</v>
      </c>
      <c r="N1665" s="28">
        <v>2833</v>
      </c>
      <c r="O1665" s="28" t="str">
        <f>IFERROR(VLOOKUP(N1665, 'SIC &amp; NAICS Codes'!A:B, 2, FALSE), "")</f>
        <v>Medicinal Chemicals and Botanical Products</v>
      </c>
      <c r="S1665" s="28">
        <v>9.1739032124999995E-2</v>
      </c>
      <c r="T1665" s="315">
        <f>_xlfn.MAXIFS('Raw Period DMR Data'!$O:$O,'Raw Period DMR Data'!$A:$A,'Raw Annual DMR Data_2021-2024'!#REF!,'Raw Period DMR Data'!$C:$C,X1665)/S1665</f>
        <v>0</v>
      </c>
      <c r="U1665" s="28" t="str">
        <f>+IF(COUNTIFS('Raw Period DMR Data'!$A:$A,B1665,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65" s="28" t="str" cm="1">
        <f t="array" ref="V1665">IFERROR(INDEX('Raw Period DMR Data'!N:N,MATCH(1,(B1665='Raw Period DMR Data'!$A:$A)*(U1665='Raw Period DMR Data'!M:M)*(X1665='Raw Period DMR Data'!C:C),0),1), "N/A")</f>
        <v>N/A</v>
      </c>
      <c r="W1665" s="28" t="s">
        <v>1463</v>
      </c>
      <c r="X1665" s="28" t="s">
        <v>837</v>
      </c>
      <c r="Y1665" s="28" t="s">
        <v>838</v>
      </c>
      <c r="Z1665" s="61">
        <v>2040105000142</v>
      </c>
      <c r="AB1665" s="28" t="s">
        <v>7355</v>
      </c>
      <c r="AC1665" s="28" t="s">
        <v>1466</v>
      </c>
    </row>
    <row r="1666" spans="1:29" x14ac:dyDescent="0.25">
      <c r="A1666" s="61">
        <v>110040963286</v>
      </c>
      <c r="B1666" s="28">
        <v>2023</v>
      </c>
      <c r="C1666" s="68">
        <f t="shared" si="26"/>
        <v>44927</v>
      </c>
      <c r="D1666" s="28" t="s">
        <v>136</v>
      </c>
      <c r="E1666" s="28" t="s">
        <v>440</v>
      </c>
      <c r="F1666" s="28" t="s">
        <v>441</v>
      </c>
      <c r="G1666" s="28" t="s">
        <v>338</v>
      </c>
      <c r="H1666" s="28" t="s">
        <v>442</v>
      </c>
      <c r="I1666" s="28">
        <v>40.843611000000003</v>
      </c>
      <c r="J1666" s="28">
        <v>-75.066389000000001</v>
      </c>
      <c r="K1666" s="28" t="s">
        <v>443</v>
      </c>
      <c r="L1666" s="61">
        <v>110040963286</v>
      </c>
      <c r="M1666" s="28" t="s">
        <v>254</v>
      </c>
      <c r="N1666" s="28">
        <v>2833</v>
      </c>
      <c r="O1666" s="28" t="str">
        <f>IFERROR(VLOOKUP(N1666, 'SIC &amp; NAICS Codes'!A:B, 2, FALSE), "")</f>
        <v>Medicinal Chemicals and Botanical Products</v>
      </c>
      <c r="S1666" s="28">
        <v>5.0457386477499998E-2</v>
      </c>
      <c r="T1666" s="315">
        <f>_xlfn.MAXIFS('Raw Period DMR Data'!$O:$O,'Raw Period DMR Data'!$A:$A,'Raw Annual DMR Data_2021-2024'!#REF!,'Raw Period DMR Data'!$C:$C,X1666)/S1666</f>
        <v>0</v>
      </c>
      <c r="U1666" s="28" t="str">
        <f>+IF(COUNTIFS('Raw Period DMR Data'!$A:$A,B1666,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66" s="28" t="str" cm="1">
        <f t="array" ref="V1666">IFERROR(INDEX('Raw Period DMR Data'!N:N,MATCH(1,(B1666='Raw Period DMR Data'!$A:$A)*(U1666='Raw Period DMR Data'!M:M)*(X1666='Raw Period DMR Data'!C:C),0),1), "N/A")</f>
        <v>N/A</v>
      </c>
      <c r="W1666" s="28" t="s">
        <v>1463</v>
      </c>
      <c r="X1666" s="28" t="s">
        <v>837</v>
      </c>
      <c r="Y1666" s="28" t="s">
        <v>838</v>
      </c>
      <c r="Z1666" s="61" t="s">
        <v>1693</v>
      </c>
      <c r="AB1666" s="28" t="s">
        <v>7355</v>
      </c>
      <c r="AC1666" s="28" t="s">
        <v>1466</v>
      </c>
    </row>
    <row r="1667" spans="1:29" x14ac:dyDescent="0.25">
      <c r="A1667" s="61">
        <v>110000574423</v>
      </c>
      <c r="B1667" s="28">
        <v>2023</v>
      </c>
      <c r="C1667" s="68">
        <f t="shared" si="26"/>
        <v>44927</v>
      </c>
      <c r="D1667" s="28" t="s">
        <v>1088</v>
      </c>
      <c r="E1667" s="28" t="s">
        <v>1699</v>
      </c>
      <c r="F1667" s="28" t="s">
        <v>985</v>
      </c>
      <c r="G1667" s="28" t="s">
        <v>979</v>
      </c>
      <c r="H1667" s="28">
        <v>37660</v>
      </c>
      <c r="I1667" s="28">
        <v>36.527054999999997</v>
      </c>
      <c r="J1667" s="28">
        <v>-82.538579999999996</v>
      </c>
      <c r="K1667" s="28" t="s">
        <v>711</v>
      </c>
      <c r="L1667" s="61">
        <v>110000574423</v>
      </c>
      <c r="M1667" s="28" t="s">
        <v>265</v>
      </c>
      <c r="N1667" s="28">
        <v>2869</v>
      </c>
      <c r="O1667" s="28" t="str">
        <f>IFERROR(VLOOKUP(N1667, 'SIC &amp; NAICS Codes'!A:B, 2, FALSE), "")</f>
        <v>Industrial Organic Chemicals, NEC (aliphatics)</v>
      </c>
      <c r="S1667" s="28">
        <v>8.2772144999999995</v>
      </c>
      <c r="T1667" s="315">
        <f>_xlfn.MAXIFS('Raw Period DMR Data'!$O:$O,'Raw Period DMR Data'!$A:$A,'Raw Annual DMR Data_2021-2024'!B2373,'Raw Period DMR Data'!$C:$C,X1667)/S1667</f>
        <v>0</v>
      </c>
      <c r="U1667" s="28" t="str">
        <f>+IF(COUNTIFS('Raw Period DMR Data'!$A:$A,B1667, 'Raw Period DMR Data'!C:C,'Raw Annual DMR Data_2021-2024'!X2373, 'Raw Period DMR Data'!M:M, "&gt;0")&gt;0,_xlfn.MAXIFS('Raw Period DMR Data'!M:M,'Raw Period DMR Data'!$A:$A,'Raw Annual DMR Data_2021-2024'!B2373,'Raw Period DMR Data'!C:C,'Raw Annual DMR Data_2021-2024'!X2373), "N/A - Period DMR Data Not Available")</f>
        <v>N/A - Period DMR Data Not Available</v>
      </c>
      <c r="V1667" s="28" t="str" cm="1">
        <f t="array" ref="V1667">IFERROR(INDEX('Raw Period DMR Data'!N:N,MATCH(1,(B1667='Raw Period DMR Data'!$A:$A)*(U1667='Raw Period DMR Data'!M:M)*(X1667='Raw Period DMR Data'!C:C),0),1), "N/A")</f>
        <v>N/A</v>
      </c>
      <c r="W1667" s="28" t="s">
        <v>1463</v>
      </c>
      <c r="X1667" s="28" t="s">
        <v>1700</v>
      </c>
      <c r="Y1667" s="28" t="s">
        <v>1701</v>
      </c>
      <c r="Z1667" s="61">
        <v>6010102001273</v>
      </c>
      <c r="AB1667" s="28" t="s">
        <v>7355</v>
      </c>
      <c r="AC1667" s="28" t="s">
        <v>1466</v>
      </c>
    </row>
    <row r="1668" spans="1:29" x14ac:dyDescent="0.25">
      <c r="A1668" s="61">
        <v>110000574423</v>
      </c>
      <c r="B1668" s="28">
        <v>2024</v>
      </c>
      <c r="C1668" s="68">
        <f t="shared" si="26"/>
        <v>45292</v>
      </c>
      <c r="D1668" s="28" t="s">
        <v>1088</v>
      </c>
      <c r="E1668" s="28" t="s">
        <v>1699</v>
      </c>
      <c r="F1668" s="28" t="s">
        <v>985</v>
      </c>
      <c r="G1668" s="28" t="s">
        <v>979</v>
      </c>
      <c r="H1668" s="28">
        <v>37660</v>
      </c>
      <c r="I1668" s="28">
        <v>36.527054999999997</v>
      </c>
      <c r="J1668" s="28">
        <v>-82.538579999999996</v>
      </c>
      <c r="K1668" s="28" t="s">
        <v>711</v>
      </c>
      <c r="L1668" s="61">
        <v>110000574423</v>
      </c>
      <c r="M1668" s="28" t="s">
        <v>265</v>
      </c>
      <c r="N1668" s="28">
        <v>2869</v>
      </c>
      <c r="O1668" s="28" t="str">
        <f>IFERROR(VLOOKUP(N1668, 'SIC &amp; NAICS Codes'!A:B, 2, FALSE), "")</f>
        <v>Industrial Organic Chemicals, NEC (aliphatics)</v>
      </c>
      <c r="S1668" s="28">
        <v>8.2192159999999994</v>
      </c>
      <c r="T1668" s="315">
        <f>_xlfn.MAXIFS('Raw Period DMR Data'!$O:$O,'Raw Period DMR Data'!$A:$A,'Raw Annual DMR Data_2021-2024'!B2374,'Raw Period DMR Data'!$C:$C,X1668)/S1668</f>
        <v>0</v>
      </c>
      <c r="U1668" s="28" t="str">
        <f>+IF(COUNTIFS('Raw Period DMR Data'!$A:$A,B1668, 'Raw Period DMR Data'!C:C,'Raw Annual DMR Data_2021-2024'!X2374, 'Raw Period DMR Data'!M:M, "&gt;0")&gt;0,_xlfn.MAXIFS('Raw Period DMR Data'!M:M,'Raw Period DMR Data'!$A:$A,'Raw Annual DMR Data_2021-2024'!B2374,'Raw Period DMR Data'!C:C,'Raw Annual DMR Data_2021-2024'!X2374), "N/A - Period DMR Data Not Available")</f>
        <v>N/A - Period DMR Data Not Available</v>
      </c>
      <c r="V1668" s="28" t="str" cm="1">
        <f t="array" ref="V1668">IFERROR(INDEX('Raw Period DMR Data'!N:N,MATCH(1,(B1668='Raw Period DMR Data'!$A:$A)*(U1668='Raw Period DMR Data'!M:M)*(X1668='Raw Period DMR Data'!C:C),0),1), "N/A")</f>
        <v>N/A</v>
      </c>
      <c r="W1668" s="28" t="s">
        <v>1463</v>
      </c>
      <c r="X1668" s="28" t="s">
        <v>1700</v>
      </c>
      <c r="Y1668" s="28" t="s">
        <v>1701</v>
      </c>
      <c r="Z1668" s="61">
        <v>6010102001273</v>
      </c>
      <c r="AB1668" s="28" t="s">
        <v>7355</v>
      </c>
      <c r="AC1668" s="28" t="s">
        <v>1466</v>
      </c>
    </row>
    <row r="1669" spans="1:29" x14ac:dyDescent="0.25">
      <c r="A1669" s="61">
        <v>110000574423</v>
      </c>
      <c r="B1669" s="28">
        <v>2024</v>
      </c>
      <c r="C1669" s="68">
        <f t="shared" si="26"/>
        <v>45292</v>
      </c>
      <c r="D1669" s="28" t="s">
        <v>1088</v>
      </c>
      <c r="E1669" s="28" t="s">
        <v>1699</v>
      </c>
      <c r="F1669" s="28" t="s">
        <v>985</v>
      </c>
      <c r="G1669" s="28" t="s">
        <v>979</v>
      </c>
      <c r="H1669" s="28">
        <v>37660</v>
      </c>
      <c r="I1669" s="28">
        <v>36.527054999999997</v>
      </c>
      <c r="J1669" s="28">
        <v>-82.538579999999996</v>
      </c>
      <c r="K1669" s="28" t="s">
        <v>711</v>
      </c>
      <c r="L1669" s="61">
        <v>110000574423</v>
      </c>
      <c r="M1669" s="28" t="s">
        <v>265</v>
      </c>
      <c r="N1669" s="28">
        <v>2869</v>
      </c>
      <c r="O1669" s="28" t="str">
        <f>IFERROR(VLOOKUP(N1669, 'SIC &amp; NAICS Codes'!A:B, 2, FALSE), "")</f>
        <v>Industrial Organic Chemicals, NEC (aliphatics)</v>
      </c>
      <c r="S1669" s="28">
        <v>0.36555151499999999</v>
      </c>
      <c r="T1669" s="315">
        <f>_xlfn.MAXIFS('Raw Period DMR Data'!$O:$O,'Raw Period DMR Data'!$A:$A,'Raw Annual DMR Data_2021-2024'!#REF!,'Raw Period DMR Data'!$C:$C,X1669)/S1669</f>
        <v>0</v>
      </c>
      <c r="U1669" s="28" t="str">
        <f>+IF(COUNTIFS('Raw Period DMR Data'!$A:$A,B1669,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69" s="28" t="str" cm="1">
        <f t="array" ref="V1669">IFERROR(INDEX('Raw Period DMR Data'!N:N,MATCH(1,(B1669='Raw Period DMR Data'!$A:$A)*(U1669='Raw Period DMR Data'!M:M)*(X1669='Raw Period DMR Data'!C:C),0),1), "N/A")</f>
        <v>N/A</v>
      </c>
      <c r="W1669" s="28" t="s">
        <v>1463</v>
      </c>
      <c r="X1669" s="28" t="s">
        <v>1700</v>
      </c>
      <c r="Y1669" s="28" t="s">
        <v>1701</v>
      </c>
      <c r="Z1669" s="61">
        <v>6010102001273</v>
      </c>
      <c r="AB1669" s="28" t="s">
        <v>7355</v>
      </c>
      <c r="AC1669" s="28" t="s">
        <v>1466</v>
      </c>
    </row>
    <row r="1670" spans="1:29" x14ac:dyDescent="0.25">
      <c r="A1670" s="61">
        <v>110000574423</v>
      </c>
      <c r="B1670" s="28">
        <v>2023</v>
      </c>
      <c r="C1670" s="68">
        <f t="shared" si="26"/>
        <v>44927</v>
      </c>
      <c r="D1670" s="28" t="s">
        <v>1088</v>
      </c>
      <c r="E1670" s="28" t="s">
        <v>1699</v>
      </c>
      <c r="F1670" s="28" t="s">
        <v>985</v>
      </c>
      <c r="G1670" s="28" t="s">
        <v>979</v>
      </c>
      <c r="H1670" s="28">
        <v>37660</v>
      </c>
      <c r="I1670" s="28">
        <v>36.527054999999997</v>
      </c>
      <c r="J1670" s="28">
        <v>-82.538579999999996</v>
      </c>
      <c r="K1670" s="28" t="s">
        <v>711</v>
      </c>
      <c r="L1670" s="61">
        <v>110000574423</v>
      </c>
      <c r="M1670" s="28" t="s">
        <v>265</v>
      </c>
      <c r="N1670" s="28">
        <v>2869</v>
      </c>
      <c r="O1670" s="28" t="str">
        <f>IFERROR(VLOOKUP(N1670, 'SIC &amp; NAICS Codes'!A:B, 2, FALSE), "")</f>
        <v>Industrial Organic Chemicals, NEC (aliphatics)</v>
      </c>
      <c r="S1670" s="28">
        <v>0.20598537750000001</v>
      </c>
      <c r="T1670" s="315">
        <f>_xlfn.MAXIFS('Raw Period DMR Data'!$O:$O,'Raw Period DMR Data'!$A:$A,'Raw Annual DMR Data_2021-2024'!#REF!,'Raw Period DMR Data'!$C:$C,X1670)/S1670</f>
        <v>0</v>
      </c>
      <c r="U1670" s="28" t="str">
        <f>+IF(COUNTIFS('Raw Period DMR Data'!$A:$A,B1670,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70" s="28" t="str" cm="1">
        <f t="array" ref="V1670">IFERROR(INDEX('Raw Period DMR Data'!N:N,MATCH(1,(B1670='Raw Period DMR Data'!$A:$A)*(U1670='Raw Period DMR Data'!M:M)*(X1670='Raw Period DMR Data'!C:C),0),1), "N/A")</f>
        <v>N/A</v>
      </c>
      <c r="W1670" s="28" t="s">
        <v>1463</v>
      </c>
      <c r="X1670" s="28" t="s">
        <v>1700</v>
      </c>
      <c r="Y1670" s="28" t="s">
        <v>1701</v>
      </c>
      <c r="Z1670" s="61" t="s">
        <v>1702</v>
      </c>
      <c r="AB1670" s="28" t="s">
        <v>7355</v>
      </c>
      <c r="AC1670" s="28" t="s">
        <v>1466</v>
      </c>
    </row>
    <row r="1671" spans="1:29" x14ac:dyDescent="0.25">
      <c r="A1671" s="61">
        <v>110000460901</v>
      </c>
      <c r="B1671" s="28">
        <v>2021</v>
      </c>
      <c r="C1671" s="68">
        <f t="shared" ref="C1671:C1734" si="27">DATE(B1671, 1, 1)</f>
        <v>44197</v>
      </c>
      <c r="D1671" s="28" t="s">
        <v>6817</v>
      </c>
      <c r="E1671" s="28" t="s">
        <v>519</v>
      </c>
      <c r="F1671" s="28" t="s">
        <v>520</v>
      </c>
      <c r="G1671" s="28" t="s">
        <v>362</v>
      </c>
      <c r="H1671" s="28">
        <v>77012</v>
      </c>
      <c r="I1671" s="28">
        <v>29.718139000000001</v>
      </c>
      <c r="J1671" s="28">
        <v>-95.268749999999997</v>
      </c>
      <c r="K1671" s="28" t="s">
        <v>521</v>
      </c>
      <c r="L1671" s="61">
        <v>110000460901</v>
      </c>
      <c r="M1671" s="28" t="s">
        <v>254</v>
      </c>
      <c r="N1671" s="28">
        <v>2819</v>
      </c>
      <c r="O1671" s="28" t="str">
        <f>IFERROR(VLOOKUP(N1671, 'SIC &amp; NAICS Codes'!A:B, 2, FALSE), "")</f>
        <v>Industrial Inorganic Chemicals, NEC (recovering sulfur from natural gas)</v>
      </c>
      <c r="S1671" s="28">
        <v>14.064920000000001</v>
      </c>
      <c r="T1671" s="315">
        <f>_xlfn.MAXIFS('Raw Period DMR Data'!$O:$O,'Raw Period DMR Data'!$A:$A,'Raw Annual DMR Data_2021-2024'!B2338,'Raw Period DMR Data'!$C:$C,X1671)/S1671</f>
        <v>0</v>
      </c>
      <c r="U1671" s="28" t="str">
        <f>+IF(COUNTIFS('Raw Period DMR Data'!$A:$A,B1671, 'Raw Period DMR Data'!C:C,'Raw Annual DMR Data_2021-2024'!X2338, 'Raw Period DMR Data'!M:M, "&gt;0")&gt;0,_xlfn.MAXIFS('Raw Period DMR Data'!M:M,'Raw Period DMR Data'!$A:$A,'Raw Annual DMR Data_2021-2024'!B2338,'Raw Period DMR Data'!C:C,'Raw Annual DMR Data_2021-2024'!X2338), "N/A - Period DMR Data Not Available")</f>
        <v>N/A - Period DMR Data Not Available</v>
      </c>
      <c r="V1671" s="28" t="str" cm="1">
        <f t="array" ref="V1671">IFERROR(INDEX('Raw Period DMR Data'!N:N,MATCH(1,(B1671='Raw Period DMR Data'!$A:$A)*(U1671='Raw Period DMR Data'!M:M)*(X1671='Raw Period DMR Data'!C:C),0),1), "N/A")</f>
        <v>N/A</v>
      </c>
      <c r="W1671" s="28" t="s">
        <v>1463</v>
      </c>
      <c r="X1671" s="28" t="s">
        <v>881</v>
      </c>
      <c r="Y1671" s="28" t="s">
        <v>7248</v>
      </c>
      <c r="Z1671" s="61">
        <v>12040104000084</v>
      </c>
      <c r="AC1671" s="28" t="s">
        <v>1466</v>
      </c>
    </row>
    <row r="1672" spans="1:29" x14ac:dyDescent="0.25">
      <c r="A1672" s="61">
        <v>110000460901</v>
      </c>
      <c r="B1672" s="28">
        <v>2024</v>
      </c>
      <c r="C1672" s="68">
        <f t="shared" si="27"/>
        <v>45292</v>
      </c>
      <c r="D1672" s="28" t="s">
        <v>6817</v>
      </c>
      <c r="E1672" s="28" t="s">
        <v>519</v>
      </c>
      <c r="F1672" s="28" t="s">
        <v>520</v>
      </c>
      <c r="G1672" s="28" t="s">
        <v>362</v>
      </c>
      <c r="H1672" s="28">
        <v>77012</v>
      </c>
      <c r="I1672" s="28">
        <v>29.718139000000001</v>
      </c>
      <c r="J1672" s="28">
        <v>-95.268749999999997</v>
      </c>
      <c r="K1672" s="28" t="s">
        <v>521</v>
      </c>
      <c r="L1672" s="61">
        <v>110000460901</v>
      </c>
      <c r="M1672" s="28" t="s">
        <v>254</v>
      </c>
      <c r="N1672" s="28">
        <v>2819</v>
      </c>
      <c r="O1672" s="28" t="str">
        <f>IFERROR(VLOOKUP(N1672, 'SIC &amp; NAICS Codes'!A:B, 2, FALSE), "")</f>
        <v>Industrial Inorganic Chemicals, NEC (recovering sulfur from natural gas)</v>
      </c>
      <c r="S1672" s="28">
        <v>13.243180000000001</v>
      </c>
      <c r="T1672" s="315">
        <f>_xlfn.MAXIFS('Raw Period DMR Data'!$O:$O,'Raw Period DMR Data'!$A:$A,'Raw Annual DMR Data_2021-2024'!B2342,'Raw Period DMR Data'!$C:$C,X1672)/S1672</f>
        <v>0</v>
      </c>
      <c r="U1672" s="28" t="str">
        <f>+IF(COUNTIFS('Raw Period DMR Data'!$A:$A,B1672, 'Raw Period DMR Data'!C:C,'Raw Annual DMR Data_2021-2024'!X2342, 'Raw Period DMR Data'!M:M, "&gt;0")&gt;0,_xlfn.MAXIFS('Raw Period DMR Data'!M:M,'Raw Period DMR Data'!$A:$A,'Raw Annual DMR Data_2021-2024'!B2342,'Raw Period DMR Data'!C:C,'Raw Annual DMR Data_2021-2024'!X2342), "N/A - Period DMR Data Not Available")</f>
        <v>N/A - Period DMR Data Not Available</v>
      </c>
      <c r="V1672" s="28" t="str" cm="1">
        <f t="array" ref="V1672">IFERROR(INDEX('Raw Period DMR Data'!N:N,MATCH(1,(B1672='Raw Period DMR Data'!$A:$A)*(U1672='Raw Period DMR Data'!M:M)*(X1672='Raw Period DMR Data'!C:C),0),1), "N/A")</f>
        <v>N/A</v>
      </c>
      <c r="W1672" s="28" t="s">
        <v>1463</v>
      </c>
      <c r="X1672" s="28" t="s">
        <v>881</v>
      </c>
      <c r="Y1672" s="28" t="s">
        <v>7248</v>
      </c>
      <c r="Z1672" s="61">
        <v>12040104000084</v>
      </c>
      <c r="AC1672" s="28" t="s">
        <v>1466</v>
      </c>
    </row>
    <row r="1673" spans="1:29" x14ac:dyDescent="0.25">
      <c r="A1673" s="61">
        <v>110000460901</v>
      </c>
      <c r="B1673" s="28">
        <v>2024</v>
      </c>
      <c r="C1673" s="68">
        <f t="shared" si="27"/>
        <v>45292</v>
      </c>
      <c r="D1673" s="28" t="s">
        <v>6817</v>
      </c>
      <c r="E1673" s="28" t="s">
        <v>519</v>
      </c>
      <c r="F1673" s="28" t="s">
        <v>520</v>
      </c>
      <c r="G1673" s="28" t="s">
        <v>362</v>
      </c>
      <c r="H1673" s="28">
        <v>77012</v>
      </c>
      <c r="I1673" s="28">
        <v>29.718139000000001</v>
      </c>
      <c r="J1673" s="28">
        <v>-95.268749999999997</v>
      </c>
      <c r="K1673" s="28" t="s">
        <v>521</v>
      </c>
      <c r="L1673" s="61">
        <v>110000460901</v>
      </c>
      <c r="M1673" s="28" t="s">
        <v>254</v>
      </c>
      <c r="N1673" s="28">
        <v>2819</v>
      </c>
      <c r="O1673" s="28" t="str">
        <f>IFERROR(VLOOKUP(N1673, 'SIC &amp; NAICS Codes'!A:B, 2, FALSE), "")</f>
        <v>Industrial Inorganic Chemicals, NEC (recovering sulfur from natural gas)</v>
      </c>
      <c r="S1673" s="28">
        <v>13.243180000000001</v>
      </c>
      <c r="T1673" s="315">
        <f>_xlfn.MAXIFS('Raw Period DMR Data'!$O:$O,'Raw Period DMR Data'!$A:$A,'Raw Annual DMR Data_2021-2024'!B2343,'Raw Period DMR Data'!$C:$C,X1673)/S1673</f>
        <v>0</v>
      </c>
      <c r="U1673" s="28" t="str">
        <f>+IF(COUNTIFS('Raw Period DMR Data'!$A:$A,B1673, 'Raw Period DMR Data'!C:C,'Raw Annual DMR Data_2021-2024'!X2343, 'Raw Period DMR Data'!M:M, "&gt;0")&gt;0,_xlfn.MAXIFS('Raw Period DMR Data'!M:M,'Raw Period DMR Data'!$A:$A,'Raw Annual DMR Data_2021-2024'!B2343,'Raw Period DMR Data'!C:C,'Raw Annual DMR Data_2021-2024'!X2343), "N/A - Period DMR Data Not Available")</f>
        <v>N/A - Period DMR Data Not Available</v>
      </c>
      <c r="V1673" s="28" t="str" cm="1">
        <f t="array" ref="V1673">IFERROR(INDEX('Raw Period DMR Data'!N:N,MATCH(1,(B1673='Raw Period DMR Data'!$A:$A)*(U1673='Raw Period DMR Data'!M:M)*(X1673='Raw Period DMR Data'!C:C),0),1), "N/A")</f>
        <v>N/A</v>
      </c>
      <c r="W1673" s="28" t="s">
        <v>1463</v>
      </c>
      <c r="X1673" s="28" t="s">
        <v>881</v>
      </c>
      <c r="Y1673" s="28" t="s">
        <v>7248</v>
      </c>
      <c r="Z1673" s="61">
        <v>12040104000084</v>
      </c>
      <c r="AC1673" s="28" t="s">
        <v>1466</v>
      </c>
    </row>
    <row r="1674" spans="1:29" x14ac:dyDescent="0.25">
      <c r="A1674" s="61">
        <v>110000460901</v>
      </c>
      <c r="B1674" s="28">
        <v>2022</v>
      </c>
      <c r="C1674" s="68">
        <f t="shared" si="27"/>
        <v>44562</v>
      </c>
      <c r="D1674" s="28" t="s">
        <v>6817</v>
      </c>
      <c r="E1674" s="28" t="s">
        <v>519</v>
      </c>
      <c r="F1674" s="28" t="s">
        <v>520</v>
      </c>
      <c r="G1674" s="28" t="s">
        <v>362</v>
      </c>
      <c r="H1674" s="28">
        <v>77012</v>
      </c>
      <c r="I1674" s="28">
        <v>29.718139000000001</v>
      </c>
      <c r="J1674" s="28">
        <v>-95.268749999999997</v>
      </c>
      <c r="K1674" s="28" t="s">
        <v>521</v>
      </c>
      <c r="L1674" s="61">
        <v>110000460901</v>
      </c>
      <c r="M1674" s="28" t="s">
        <v>254</v>
      </c>
      <c r="N1674" s="28">
        <v>2819</v>
      </c>
      <c r="O1674" s="28" t="str">
        <f>IFERROR(VLOOKUP(N1674, 'SIC &amp; NAICS Codes'!A:B, 2, FALSE), "")</f>
        <v>Industrial Inorganic Chemicals, NEC (recovering sulfur from natural gas)</v>
      </c>
      <c r="S1674" s="28">
        <v>12.43506</v>
      </c>
      <c r="T1674" s="315">
        <f>_xlfn.MAXIFS('Raw Period DMR Data'!$O:$O,'Raw Period DMR Data'!$A:$A,'Raw Annual DMR Data_2021-2024'!B2348,'Raw Period DMR Data'!$C:$C,X1674)/S1674</f>
        <v>0</v>
      </c>
      <c r="U1674" s="28" t="str">
        <f>+IF(COUNTIFS('Raw Period DMR Data'!$A:$A,B1674, 'Raw Period DMR Data'!C:C,'Raw Annual DMR Data_2021-2024'!X2348, 'Raw Period DMR Data'!M:M, "&gt;0")&gt;0,_xlfn.MAXIFS('Raw Period DMR Data'!M:M,'Raw Period DMR Data'!$A:$A,'Raw Annual DMR Data_2021-2024'!B2348,'Raw Period DMR Data'!C:C,'Raw Annual DMR Data_2021-2024'!X2348), "N/A - Period DMR Data Not Available")</f>
        <v>N/A - Period DMR Data Not Available</v>
      </c>
      <c r="V1674" s="28" t="str" cm="1">
        <f t="array" ref="V1674">IFERROR(INDEX('Raw Period DMR Data'!N:N,MATCH(1,(B1674='Raw Period DMR Data'!$A:$A)*(U1674='Raw Period DMR Data'!M:M)*(X1674='Raw Period DMR Data'!C:C),0),1), "N/A")</f>
        <v>N/A</v>
      </c>
      <c r="W1674" s="28" t="s">
        <v>1463</v>
      </c>
      <c r="X1674" s="28" t="s">
        <v>881</v>
      </c>
      <c r="Y1674" s="28" t="s">
        <v>7248</v>
      </c>
      <c r="Z1674" s="61">
        <v>12040104000084</v>
      </c>
      <c r="AC1674" s="28" t="s">
        <v>1466</v>
      </c>
    </row>
    <row r="1675" spans="1:29" x14ac:dyDescent="0.25">
      <c r="A1675" s="61">
        <v>110000460901</v>
      </c>
      <c r="B1675" s="28">
        <v>2023</v>
      </c>
      <c r="C1675" s="68">
        <f t="shared" si="27"/>
        <v>44927</v>
      </c>
      <c r="D1675" s="28" t="s">
        <v>6817</v>
      </c>
      <c r="E1675" s="28" t="s">
        <v>519</v>
      </c>
      <c r="F1675" s="28" t="s">
        <v>520</v>
      </c>
      <c r="G1675" s="28" t="s">
        <v>362</v>
      </c>
      <c r="H1675" s="28">
        <v>77012</v>
      </c>
      <c r="I1675" s="28">
        <v>29.718139000000001</v>
      </c>
      <c r="J1675" s="28">
        <v>-95.268749999999997</v>
      </c>
      <c r="K1675" s="28" t="s">
        <v>521</v>
      </c>
      <c r="L1675" s="61">
        <v>110000460901</v>
      </c>
      <c r="M1675" s="28" t="s">
        <v>254</v>
      </c>
      <c r="N1675" s="28">
        <v>2819</v>
      </c>
      <c r="O1675" s="28" t="str">
        <f>IFERROR(VLOOKUP(N1675, 'SIC &amp; NAICS Codes'!A:B, 2, FALSE), "")</f>
        <v>Industrial Inorganic Chemicals, NEC (recovering sulfur from natural gas)</v>
      </c>
      <c r="S1675" s="28">
        <v>12.42144</v>
      </c>
      <c r="T1675" s="315">
        <f>_xlfn.MAXIFS('Raw Period DMR Data'!$O:$O,'Raw Period DMR Data'!$A:$A,'Raw Annual DMR Data_2021-2024'!B2349,'Raw Period DMR Data'!$C:$C,X1675)/S1675</f>
        <v>0</v>
      </c>
      <c r="U1675" s="28" t="str">
        <f>+IF(COUNTIFS('Raw Period DMR Data'!$A:$A,B1675, 'Raw Period DMR Data'!C:C,'Raw Annual DMR Data_2021-2024'!X2349, 'Raw Period DMR Data'!M:M, "&gt;0")&gt;0,_xlfn.MAXIFS('Raw Period DMR Data'!M:M,'Raw Period DMR Data'!$A:$A,'Raw Annual DMR Data_2021-2024'!B2349,'Raw Period DMR Data'!C:C,'Raw Annual DMR Data_2021-2024'!X2349), "N/A - Period DMR Data Not Available")</f>
        <v>N/A - Period DMR Data Not Available</v>
      </c>
      <c r="V1675" s="28" t="str" cm="1">
        <f t="array" ref="V1675">IFERROR(INDEX('Raw Period DMR Data'!N:N,MATCH(1,(B1675='Raw Period DMR Data'!$A:$A)*(U1675='Raw Period DMR Data'!M:M)*(X1675='Raw Period DMR Data'!C:C),0),1), "N/A")</f>
        <v>N/A</v>
      </c>
      <c r="W1675" s="28" t="s">
        <v>1463</v>
      </c>
      <c r="X1675" s="28" t="s">
        <v>881</v>
      </c>
      <c r="Y1675" s="28" t="s">
        <v>7248</v>
      </c>
      <c r="Z1675" s="61">
        <v>12040104000084</v>
      </c>
      <c r="AC1675" s="28" t="s">
        <v>1466</v>
      </c>
    </row>
    <row r="1676" spans="1:29" x14ac:dyDescent="0.25">
      <c r="A1676" s="61">
        <v>110000460901</v>
      </c>
      <c r="B1676" s="28">
        <v>2023</v>
      </c>
      <c r="C1676" s="68">
        <f t="shared" si="27"/>
        <v>44927</v>
      </c>
      <c r="D1676" s="28" t="s">
        <v>6817</v>
      </c>
      <c r="E1676" s="28" t="s">
        <v>519</v>
      </c>
      <c r="F1676" s="28" t="s">
        <v>520</v>
      </c>
      <c r="G1676" s="28" t="s">
        <v>362</v>
      </c>
      <c r="H1676" s="28">
        <v>77012</v>
      </c>
      <c r="I1676" s="28">
        <v>29.718139000000001</v>
      </c>
      <c r="J1676" s="28">
        <v>-95.268749999999997</v>
      </c>
      <c r="K1676" s="28" t="s">
        <v>521</v>
      </c>
      <c r="L1676" s="61">
        <v>110000460901</v>
      </c>
      <c r="M1676" s="28" t="s">
        <v>254</v>
      </c>
      <c r="N1676" s="28">
        <v>2819</v>
      </c>
      <c r="O1676" s="28" t="str">
        <f>IFERROR(VLOOKUP(N1676, 'SIC &amp; NAICS Codes'!A:B, 2, FALSE), "")</f>
        <v>Industrial Inorganic Chemicals, NEC (recovering sulfur from natural gas)</v>
      </c>
      <c r="S1676" s="28">
        <v>12.42144</v>
      </c>
      <c r="T1676" s="315">
        <f>_xlfn.MAXIFS('Raw Period DMR Data'!$O:$O,'Raw Period DMR Data'!$A:$A,'Raw Annual DMR Data_2021-2024'!B2350,'Raw Period DMR Data'!$C:$C,X1676)/S1676</f>
        <v>0</v>
      </c>
      <c r="U1676" s="28" t="str">
        <f>+IF(COUNTIFS('Raw Period DMR Data'!$A:$A,B1676, 'Raw Period DMR Data'!C:C,'Raw Annual DMR Data_2021-2024'!X2350, 'Raw Period DMR Data'!M:M, "&gt;0")&gt;0,_xlfn.MAXIFS('Raw Period DMR Data'!M:M,'Raw Period DMR Data'!$A:$A,'Raw Annual DMR Data_2021-2024'!B2350,'Raw Period DMR Data'!C:C,'Raw Annual DMR Data_2021-2024'!X2350), "N/A - Period DMR Data Not Available")</f>
        <v>N/A - Period DMR Data Not Available</v>
      </c>
      <c r="V1676" s="28" t="str" cm="1">
        <f t="array" ref="V1676">IFERROR(INDEX('Raw Period DMR Data'!N:N,MATCH(1,(B1676='Raw Period DMR Data'!$A:$A)*(U1676='Raw Period DMR Data'!M:M)*(X1676='Raw Period DMR Data'!C:C),0),1), "N/A")</f>
        <v>N/A</v>
      </c>
      <c r="W1676" s="28" t="s">
        <v>1463</v>
      </c>
      <c r="X1676" s="28" t="s">
        <v>881</v>
      </c>
      <c r="Y1676" s="28" t="s">
        <v>7248</v>
      </c>
      <c r="Z1676" s="61">
        <v>12040104000084</v>
      </c>
      <c r="AC1676" s="28" t="s">
        <v>1466</v>
      </c>
    </row>
    <row r="1677" spans="1:29" x14ac:dyDescent="0.25">
      <c r="A1677" s="61">
        <v>110000460901</v>
      </c>
      <c r="B1677" s="28">
        <v>2022</v>
      </c>
      <c r="C1677" s="68">
        <f t="shared" si="27"/>
        <v>44562</v>
      </c>
      <c r="D1677" s="28" t="s">
        <v>6817</v>
      </c>
      <c r="E1677" s="28" t="s">
        <v>519</v>
      </c>
      <c r="F1677" s="28" t="s">
        <v>520</v>
      </c>
      <c r="G1677" s="28" t="s">
        <v>362</v>
      </c>
      <c r="H1677" s="28">
        <v>77012</v>
      </c>
      <c r="I1677" s="28">
        <v>29.718139000000001</v>
      </c>
      <c r="J1677" s="28">
        <v>-95.268749999999997</v>
      </c>
      <c r="K1677" s="28" t="s">
        <v>521</v>
      </c>
      <c r="L1677" s="61">
        <v>110000460901</v>
      </c>
      <c r="M1677" s="28" t="s">
        <v>254</v>
      </c>
      <c r="N1677" s="28">
        <v>2819</v>
      </c>
      <c r="O1677" s="28" t="str">
        <f>IFERROR(VLOOKUP(N1677, 'SIC &amp; NAICS Codes'!A:B, 2, FALSE), "")</f>
        <v>Industrial Inorganic Chemicals, NEC (recovering sulfur from natural gas)</v>
      </c>
      <c r="S1677" s="28">
        <v>11.50436</v>
      </c>
      <c r="T1677" s="315">
        <f>_xlfn.MAXIFS('Raw Period DMR Data'!$O:$O,'Raw Period DMR Data'!$A:$A,'Raw Annual DMR Data_2021-2024'!B2354,'Raw Period DMR Data'!$C:$C,X1677)/S1677</f>
        <v>0</v>
      </c>
      <c r="U1677" s="28" t="str">
        <f>+IF(COUNTIFS('Raw Period DMR Data'!$A:$A,B1677, 'Raw Period DMR Data'!C:C,'Raw Annual DMR Data_2021-2024'!X2354, 'Raw Period DMR Data'!M:M, "&gt;0")&gt;0,_xlfn.MAXIFS('Raw Period DMR Data'!M:M,'Raw Period DMR Data'!$A:$A,'Raw Annual DMR Data_2021-2024'!B2354,'Raw Period DMR Data'!C:C,'Raw Annual DMR Data_2021-2024'!X2354), "N/A - Period DMR Data Not Available")</f>
        <v>N/A - Period DMR Data Not Available</v>
      </c>
      <c r="V1677" s="28" t="str" cm="1">
        <f t="array" ref="V1677">IFERROR(INDEX('Raw Period DMR Data'!N:N,MATCH(1,(B1677='Raw Period DMR Data'!$A:$A)*(U1677='Raw Period DMR Data'!M:M)*(X1677='Raw Period DMR Data'!C:C),0),1), "N/A")</f>
        <v>N/A</v>
      </c>
      <c r="W1677" s="28" t="s">
        <v>1463</v>
      </c>
      <c r="X1677" s="28" t="s">
        <v>881</v>
      </c>
      <c r="Y1677" s="28" t="s">
        <v>7248</v>
      </c>
      <c r="Z1677" s="61">
        <v>12040104000084</v>
      </c>
      <c r="AC1677" s="28" t="s">
        <v>1466</v>
      </c>
    </row>
    <row r="1678" spans="1:29" x14ac:dyDescent="0.25">
      <c r="A1678" s="61">
        <v>110000460901</v>
      </c>
      <c r="B1678" s="28">
        <v>2022</v>
      </c>
      <c r="C1678" s="68">
        <f t="shared" si="27"/>
        <v>44562</v>
      </c>
      <c r="D1678" s="28" t="s">
        <v>6817</v>
      </c>
      <c r="E1678" s="28" t="s">
        <v>519</v>
      </c>
      <c r="F1678" s="28" t="s">
        <v>520</v>
      </c>
      <c r="G1678" s="28" t="s">
        <v>362</v>
      </c>
      <c r="H1678" s="28">
        <v>77012</v>
      </c>
      <c r="I1678" s="28">
        <v>29.718139000000001</v>
      </c>
      <c r="J1678" s="28">
        <v>-95.268749999999997</v>
      </c>
      <c r="K1678" s="28" t="s">
        <v>521</v>
      </c>
      <c r="L1678" s="61">
        <v>110000460901</v>
      </c>
      <c r="M1678" s="28" t="s">
        <v>254</v>
      </c>
      <c r="N1678" s="28">
        <v>2819</v>
      </c>
      <c r="O1678" s="28" t="str">
        <f>IFERROR(VLOOKUP(N1678, 'SIC &amp; NAICS Codes'!A:B, 2, FALSE), "")</f>
        <v>Industrial Inorganic Chemicals, NEC (recovering sulfur from natural gas)</v>
      </c>
      <c r="S1678" s="28">
        <v>11.50436</v>
      </c>
      <c r="T1678" s="315">
        <f>_xlfn.MAXIFS('Raw Period DMR Data'!$O:$O,'Raw Period DMR Data'!$A:$A,'Raw Annual DMR Data_2021-2024'!B2355,'Raw Period DMR Data'!$C:$C,X1678)/S1678</f>
        <v>0</v>
      </c>
      <c r="U1678" s="28" t="str">
        <f>+IF(COUNTIFS('Raw Period DMR Data'!$A:$A,B1678, 'Raw Period DMR Data'!C:C,'Raw Annual DMR Data_2021-2024'!X2355, 'Raw Period DMR Data'!M:M, "&gt;0")&gt;0,_xlfn.MAXIFS('Raw Period DMR Data'!M:M,'Raw Period DMR Data'!$A:$A,'Raw Annual DMR Data_2021-2024'!B2355,'Raw Period DMR Data'!C:C,'Raw Annual DMR Data_2021-2024'!X2355), "N/A - Period DMR Data Not Available")</f>
        <v>N/A - Period DMR Data Not Available</v>
      </c>
      <c r="V1678" s="28" t="str" cm="1">
        <f t="array" ref="V1678">IFERROR(INDEX('Raw Period DMR Data'!N:N,MATCH(1,(B1678='Raw Period DMR Data'!$A:$A)*(U1678='Raw Period DMR Data'!M:M)*(X1678='Raw Period DMR Data'!C:C),0),1), "N/A")</f>
        <v>N/A</v>
      </c>
      <c r="W1678" s="28" t="s">
        <v>1463</v>
      </c>
      <c r="X1678" s="28" t="s">
        <v>881</v>
      </c>
      <c r="Y1678" s="28" t="s">
        <v>7248</v>
      </c>
      <c r="Z1678" s="61">
        <v>12040104000084</v>
      </c>
      <c r="AC1678" s="28" t="s">
        <v>1466</v>
      </c>
    </row>
    <row r="1679" spans="1:29" x14ac:dyDescent="0.25">
      <c r="A1679" s="61">
        <v>110009938719</v>
      </c>
      <c r="B1679" s="28">
        <v>2024</v>
      </c>
      <c r="C1679" s="68">
        <f t="shared" si="27"/>
        <v>45292</v>
      </c>
      <c r="D1679" s="28" t="s">
        <v>1089</v>
      </c>
      <c r="E1679" s="28" t="s">
        <v>1703</v>
      </c>
      <c r="F1679" s="28" t="s">
        <v>1090</v>
      </c>
      <c r="G1679" s="28" t="s">
        <v>324</v>
      </c>
      <c r="H1679" s="28">
        <v>42038</v>
      </c>
      <c r="I1679" s="28">
        <v>37.075277999999997</v>
      </c>
      <c r="J1679" s="28">
        <v>-88.09</v>
      </c>
      <c r="L1679" s="61">
        <v>110009938719</v>
      </c>
      <c r="M1679" s="28" t="s">
        <v>263</v>
      </c>
      <c r="N1679" s="28">
        <v>4952</v>
      </c>
      <c r="O1679" s="28" t="str">
        <f>IFERROR(VLOOKUP(N1679, 'SIC &amp; NAICS Codes'!A:B, 2, FALSE), "")</f>
        <v>Sewerage Systems</v>
      </c>
      <c r="S1679" s="28">
        <v>0.39649767499999999</v>
      </c>
      <c r="T1679" s="315">
        <f>_xlfn.MAXIFS('Raw Period DMR Data'!$O:$O,'Raw Period DMR Data'!$A:$A,'Raw Annual DMR Data_2021-2024'!#REF!,'Raw Period DMR Data'!$C:$C,X1679)/S1679</f>
        <v>0</v>
      </c>
      <c r="U1679" s="28" t="str">
        <f>+IF(COUNTIFS('Raw Period DMR Data'!$A:$A,B1679,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79" s="28" t="str" cm="1">
        <f t="array" ref="V1679">IFERROR(INDEX('Raw Period DMR Data'!N:N,MATCH(1,(B1679='Raw Period DMR Data'!$A:$A)*(U1679='Raw Period DMR Data'!M:M)*(X1679='Raw Period DMR Data'!C:C),0),1), "N/A")</f>
        <v>N/A</v>
      </c>
      <c r="W1679" s="28" t="s">
        <v>1463</v>
      </c>
      <c r="X1679" s="28" t="s">
        <v>1704</v>
      </c>
      <c r="Y1679" s="28" t="s">
        <v>1705</v>
      </c>
      <c r="Z1679" s="61">
        <v>5130205000794</v>
      </c>
      <c r="AB1679" s="28" t="s">
        <v>7355</v>
      </c>
      <c r="AC1679" s="28" t="s">
        <v>263</v>
      </c>
    </row>
    <row r="1680" spans="1:29" x14ac:dyDescent="0.25">
      <c r="A1680" s="61">
        <v>110002672484</v>
      </c>
      <c r="B1680" s="28">
        <v>2021</v>
      </c>
      <c r="C1680" s="68">
        <f t="shared" si="27"/>
        <v>44197</v>
      </c>
      <c r="D1680" s="28" t="s">
        <v>140</v>
      </c>
      <c r="E1680" s="28" t="s">
        <v>456</v>
      </c>
      <c r="F1680" s="28" t="s">
        <v>457</v>
      </c>
      <c r="G1680" s="28" t="s">
        <v>366</v>
      </c>
      <c r="H1680" s="28">
        <v>92243</v>
      </c>
      <c r="I1680" s="28">
        <v>32.803809999999999</v>
      </c>
      <c r="J1680" s="28">
        <v>-115.53973999999999</v>
      </c>
      <c r="L1680" s="61">
        <v>110002672484</v>
      </c>
      <c r="M1680" s="28" t="s">
        <v>265</v>
      </c>
      <c r="N1680" s="28">
        <v>921</v>
      </c>
      <c r="O1680" s="28" t="str">
        <f>IFERROR(VLOOKUP(N1680, 'SIC &amp; NAICS Codes'!A:B, 2, FALSE), "")</f>
        <v>Fish Hatcheries and Preserves (finfish hatcheries)</v>
      </c>
      <c r="S1680" s="28">
        <v>5.3188712499999999E-2</v>
      </c>
      <c r="T1680" s="315">
        <f>_xlfn.MAXIFS('Raw Period DMR Data'!$O:$O,'Raw Period DMR Data'!$A:$A,'Raw Annual DMR Data_2021-2024'!#REF!,'Raw Period DMR Data'!$C:$C,X1680)/S1680</f>
        <v>0</v>
      </c>
      <c r="U1680" s="28" t="str">
        <f>+IF(COUNTIFS('Raw Period DMR Data'!$A:$A,B1680,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80" s="28" t="str" cm="1">
        <f t="array" ref="V1680">IFERROR(INDEX('Raw Period DMR Data'!N:N,MATCH(1,(B1680='Raw Period DMR Data'!$A:$A)*(U1680='Raw Period DMR Data'!M:M)*(X1680='Raw Period DMR Data'!C:C),0),1), "N/A")</f>
        <v>N/A</v>
      </c>
      <c r="W1680" s="28" t="s">
        <v>1463</v>
      </c>
      <c r="X1680" s="28" t="s">
        <v>845</v>
      </c>
      <c r="Y1680" s="28" t="s">
        <v>846</v>
      </c>
      <c r="Z1680" s="61">
        <v>18100204011431</v>
      </c>
      <c r="AC1680" s="28" t="s">
        <v>1466</v>
      </c>
    </row>
    <row r="1681" spans="1:29" x14ac:dyDescent="0.25">
      <c r="A1681" s="61">
        <v>110002672484</v>
      </c>
      <c r="B1681" s="28">
        <v>2022</v>
      </c>
      <c r="C1681" s="68">
        <f t="shared" si="27"/>
        <v>44562</v>
      </c>
      <c r="D1681" s="28" t="s">
        <v>140</v>
      </c>
      <c r="E1681" s="28" t="s">
        <v>456</v>
      </c>
      <c r="F1681" s="28" t="s">
        <v>457</v>
      </c>
      <c r="G1681" s="28" t="s">
        <v>366</v>
      </c>
      <c r="H1681" s="28">
        <v>92243</v>
      </c>
      <c r="I1681" s="28">
        <v>32.803809999999999</v>
      </c>
      <c r="J1681" s="28">
        <v>-115.53973999999999</v>
      </c>
      <c r="L1681" s="61">
        <v>110002672484</v>
      </c>
      <c r="M1681" s="28" t="s">
        <v>265</v>
      </c>
      <c r="N1681" s="28">
        <v>921</v>
      </c>
      <c r="O1681" s="28" t="str">
        <f>IFERROR(VLOOKUP(N1681, 'SIC &amp; NAICS Codes'!A:B, 2, FALSE), "")</f>
        <v>Fish Hatcheries and Preserves (finfish hatcheries)</v>
      </c>
      <c r="S1681" s="28">
        <v>3.0393549999999998E-2</v>
      </c>
      <c r="T1681" s="315">
        <f>_xlfn.MAXIFS('Raw Period DMR Data'!$O:$O,'Raw Period DMR Data'!$A:$A,'Raw Annual DMR Data_2021-2024'!#REF!,'Raw Period DMR Data'!$C:$C,X1681)/S1681</f>
        <v>0</v>
      </c>
      <c r="U1681" s="28" t="str">
        <f>+IF(COUNTIFS('Raw Period DMR Data'!$A:$A,B1681,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81" s="28" t="str" cm="1">
        <f t="array" ref="V1681">IFERROR(INDEX('Raw Period DMR Data'!N:N,MATCH(1,(B1681='Raw Period DMR Data'!$A:$A)*(U1681='Raw Period DMR Data'!M:M)*(X1681='Raw Period DMR Data'!C:C),0),1), "N/A")</f>
        <v>N/A</v>
      </c>
      <c r="W1681" s="28" t="s">
        <v>1463</v>
      </c>
      <c r="X1681" s="28" t="s">
        <v>845</v>
      </c>
      <c r="Y1681" s="28" t="s">
        <v>846</v>
      </c>
      <c r="Z1681" s="61">
        <v>18100204011431</v>
      </c>
      <c r="AC1681" s="28" t="s">
        <v>1466</v>
      </c>
    </row>
    <row r="1682" spans="1:29" x14ac:dyDescent="0.25">
      <c r="A1682" s="61">
        <v>110002672484</v>
      </c>
      <c r="B1682" s="28">
        <v>2021</v>
      </c>
      <c r="C1682" s="68">
        <f t="shared" si="27"/>
        <v>44197</v>
      </c>
      <c r="D1682" s="28" t="s">
        <v>140</v>
      </c>
      <c r="E1682" s="28" t="s">
        <v>456</v>
      </c>
      <c r="F1682" s="28" t="s">
        <v>457</v>
      </c>
      <c r="G1682" s="28" t="s">
        <v>366</v>
      </c>
      <c r="H1682" s="28">
        <v>92243</v>
      </c>
      <c r="I1682" s="28">
        <v>32.803809999999999</v>
      </c>
      <c r="J1682" s="28">
        <v>-115.53973999999999</v>
      </c>
      <c r="L1682" s="61">
        <v>110002672484</v>
      </c>
      <c r="M1682" s="28" t="s">
        <v>265</v>
      </c>
      <c r="N1682" s="28">
        <v>921</v>
      </c>
      <c r="O1682" s="28" t="str">
        <f>IFERROR(VLOOKUP(N1682, 'SIC &amp; NAICS Codes'!A:B, 2, FALSE), "")</f>
        <v>Fish Hatcheries and Preserves (finfish hatcheries)</v>
      </c>
      <c r="S1682" s="28">
        <v>2.0032112500000001E-2</v>
      </c>
      <c r="T1682" s="315">
        <f>_xlfn.MAXIFS('Raw Period DMR Data'!$O:$O,'Raw Period DMR Data'!$A:$A,'Raw Annual DMR Data_2021-2024'!#REF!,'Raw Period DMR Data'!$C:$C,X1682)/S1682</f>
        <v>0</v>
      </c>
      <c r="U1682" s="28" t="str">
        <f>+IF(COUNTIFS('Raw Period DMR Data'!$A:$A,B1682,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82" s="28" t="str" cm="1">
        <f t="array" ref="V1682">IFERROR(INDEX('Raw Period DMR Data'!N:N,MATCH(1,(B1682='Raw Period DMR Data'!$A:$A)*(U1682='Raw Period DMR Data'!M:M)*(X1682='Raw Period DMR Data'!C:C),0),1), "N/A")</f>
        <v>N/A</v>
      </c>
      <c r="W1682" s="28" t="s">
        <v>1463</v>
      </c>
      <c r="X1682" s="28" t="s">
        <v>845</v>
      </c>
      <c r="Y1682" s="28" t="s">
        <v>846</v>
      </c>
      <c r="Z1682" s="61">
        <v>18100204011431</v>
      </c>
      <c r="AA1682" s="28"/>
      <c r="AC1682" s="28" t="s">
        <v>1466</v>
      </c>
    </row>
    <row r="1683" spans="1:29" x14ac:dyDescent="0.25">
      <c r="A1683" s="61">
        <v>110002672484</v>
      </c>
      <c r="B1683" s="28">
        <v>2022</v>
      </c>
      <c r="C1683" s="68">
        <f t="shared" si="27"/>
        <v>44562</v>
      </c>
      <c r="D1683" s="28" t="s">
        <v>140</v>
      </c>
      <c r="E1683" s="28" t="s">
        <v>456</v>
      </c>
      <c r="F1683" s="28" t="s">
        <v>457</v>
      </c>
      <c r="G1683" s="28" t="s">
        <v>366</v>
      </c>
      <c r="H1683" s="28">
        <v>92243</v>
      </c>
      <c r="I1683" s="28">
        <v>32.803809999999999</v>
      </c>
      <c r="J1683" s="28">
        <v>-115.53973999999999</v>
      </c>
      <c r="L1683" s="61">
        <v>110002672484</v>
      </c>
      <c r="M1683" s="28" t="s">
        <v>265</v>
      </c>
      <c r="N1683" s="28">
        <v>921</v>
      </c>
      <c r="O1683" s="28" t="str">
        <f>IFERROR(VLOOKUP(N1683, 'SIC &amp; NAICS Codes'!A:B, 2, FALSE), "")</f>
        <v>Fish Hatcheries and Preserves (finfish hatcheries)</v>
      </c>
      <c r="S1683" s="28">
        <v>1.0361437500000001E-2</v>
      </c>
      <c r="T1683" s="315">
        <f>_xlfn.MAXIFS('Raw Period DMR Data'!$O:$O,'Raw Period DMR Data'!$A:$A,'Raw Annual DMR Data_2021-2024'!#REF!,'Raw Period DMR Data'!$C:$C,X1683)/S1683</f>
        <v>0</v>
      </c>
      <c r="U1683" s="28" t="str">
        <f>+IF(COUNTIFS('Raw Period DMR Data'!$A:$A,B1683,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83" s="28" t="str" cm="1">
        <f t="array" ref="V1683">IFERROR(INDEX('Raw Period DMR Data'!N:N,MATCH(1,(B1683='Raw Period DMR Data'!$A:$A)*(U1683='Raw Period DMR Data'!M:M)*(X1683='Raw Period DMR Data'!C:C),0),1), "N/A")</f>
        <v>N/A</v>
      </c>
      <c r="W1683" s="28" t="s">
        <v>1463</v>
      </c>
      <c r="X1683" s="28" t="s">
        <v>845</v>
      </c>
      <c r="Y1683" s="28" t="s">
        <v>846</v>
      </c>
      <c r="Z1683" s="61">
        <v>18100204011431</v>
      </c>
      <c r="AC1683" s="28" t="s">
        <v>1466</v>
      </c>
    </row>
    <row r="1684" spans="1:29" x14ac:dyDescent="0.25">
      <c r="A1684" s="61">
        <v>110000737365</v>
      </c>
      <c r="B1684" s="28">
        <v>2023</v>
      </c>
      <c r="C1684" s="68">
        <f t="shared" si="27"/>
        <v>44927</v>
      </c>
      <c r="D1684" s="28" t="s">
        <v>1095</v>
      </c>
      <c r="E1684" s="28" t="s">
        <v>1714</v>
      </c>
      <c r="F1684" s="28" t="s">
        <v>1096</v>
      </c>
      <c r="G1684" s="28" t="s">
        <v>450</v>
      </c>
      <c r="H1684" s="28">
        <v>14132</v>
      </c>
      <c r="I1684" s="28">
        <v>43.129750000000001</v>
      </c>
      <c r="J1684" s="28">
        <v>-78.939679999999996</v>
      </c>
      <c r="L1684" s="61">
        <v>110000737365</v>
      </c>
      <c r="M1684" s="28" t="s">
        <v>265</v>
      </c>
      <c r="N1684" s="28">
        <v>9511</v>
      </c>
      <c r="O1684" s="28" t="str">
        <f>IFERROR(VLOOKUP(N1684, 'SIC &amp; NAICS Codes'!A:B, 2, FALSE), "")</f>
        <v>Air and Water Resource and Solid Waste Management</v>
      </c>
      <c r="S1684" s="28">
        <v>9.8490473263500005E-3</v>
      </c>
      <c r="T1684" s="315">
        <f>_xlfn.MAXIFS('Raw Period DMR Data'!$O:$O,'Raw Period DMR Data'!$A:$A,'Raw Annual DMR Data_2021-2024'!#REF!,'Raw Period DMR Data'!$C:$C,X1684)/S1684</f>
        <v>0</v>
      </c>
      <c r="U1684" s="28" t="str">
        <f>+IF(COUNTIFS('Raw Period DMR Data'!$A:$A,B1684,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84" s="28" t="str" cm="1">
        <f t="array" ref="V1684">IFERROR(INDEX('Raw Period DMR Data'!N:N,MATCH(1,(B1684='Raw Period DMR Data'!$A:$A)*(U1684='Raw Period DMR Data'!M:M)*(X1684='Raw Period DMR Data'!C:C),0),1), "N/A")</f>
        <v>N/A</v>
      </c>
      <c r="W1684" s="28" t="s">
        <v>1463</v>
      </c>
      <c r="X1684" s="28" t="s">
        <v>1715</v>
      </c>
      <c r="Y1684" s="28" t="s">
        <v>1716</v>
      </c>
      <c r="Z1684" s="61" t="s">
        <v>1717</v>
      </c>
      <c r="AB1684" s="28" t="s">
        <v>7355</v>
      </c>
      <c r="AC1684" s="28" t="s">
        <v>1466</v>
      </c>
    </row>
    <row r="1685" spans="1:29" x14ac:dyDescent="0.25">
      <c r="A1685" s="61">
        <v>110000737365</v>
      </c>
      <c r="B1685" s="28">
        <v>2024</v>
      </c>
      <c r="C1685" s="68">
        <f t="shared" si="27"/>
        <v>45292</v>
      </c>
      <c r="D1685" s="28" t="s">
        <v>1095</v>
      </c>
      <c r="E1685" s="28" t="s">
        <v>1714</v>
      </c>
      <c r="F1685" s="28" t="s">
        <v>1096</v>
      </c>
      <c r="G1685" s="28" t="s">
        <v>450</v>
      </c>
      <c r="H1685" s="28">
        <v>14132</v>
      </c>
      <c r="I1685" s="28">
        <v>43.129750000000001</v>
      </c>
      <c r="J1685" s="28">
        <v>-78.939679999999996</v>
      </c>
      <c r="L1685" s="61">
        <v>110000737365</v>
      </c>
      <c r="M1685" s="28" t="s">
        <v>265</v>
      </c>
      <c r="N1685" s="28">
        <v>9511</v>
      </c>
      <c r="O1685" s="28" t="str">
        <f>IFERROR(VLOOKUP(N1685, 'SIC &amp; NAICS Codes'!A:B, 2, FALSE), "")</f>
        <v>Air and Water Resource and Solid Waste Management</v>
      </c>
      <c r="S1685" s="28">
        <v>9.8124919856000005E-3</v>
      </c>
      <c r="T1685" s="315">
        <f>_xlfn.MAXIFS('Raw Period DMR Data'!$O:$O,'Raw Period DMR Data'!$A:$A,'Raw Annual DMR Data_2021-2024'!#REF!,'Raw Period DMR Data'!$C:$C,X1685)/S1685</f>
        <v>0</v>
      </c>
      <c r="U1685" s="28" t="str">
        <f>+IF(COUNTIFS('Raw Period DMR Data'!$A:$A,B1685,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85" s="28" t="str" cm="1">
        <f t="array" ref="V1685">IFERROR(INDEX('Raw Period DMR Data'!N:N,MATCH(1,(B1685='Raw Period DMR Data'!$A:$A)*(U1685='Raw Period DMR Data'!M:M)*(X1685='Raw Period DMR Data'!C:C),0),1), "N/A")</f>
        <v>N/A</v>
      </c>
      <c r="W1685" s="28" t="s">
        <v>1463</v>
      </c>
      <c r="X1685" s="28" t="s">
        <v>1715</v>
      </c>
      <c r="Y1685" s="28" t="s">
        <v>1716</v>
      </c>
      <c r="Z1685" s="61">
        <v>4120104000390</v>
      </c>
      <c r="AB1685" s="28" t="s">
        <v>7355</v>
      </c>
      <c r="AC1685" s="28" t="s">
        <v>1466</v>
      </c>
    </row>
    <row r="1686" spans="1:29" x14ac:dyDescent="0.25">
      <c r="A1686" s="61">
        <v>110000737365</v>
      </c>
      <c r="B1686" s="28">
        <v>2022</v>
      </c>
      <c r="C1686" s="68">
        <f t="shared" si="27"/>
        <v>44562</v>
      </c>
      <c r="D1686" s="28" t="s">
        <v>1095</v>
      </c>
      <c r="E1686" s="28" t="s">
        <v>1714</v>
      </c>
      <c r="F1686" s="28" t="s">
        <v>1096</v>
      </c>
      <c r="G1686" s="28" t="s">
        <v>450</v>
      </c>
      <c r="H1686" s="28">
        <v>14132</v>
      </c>
      <c r="I1686" s="28">
        <v>43.129750000000001</v>
      </c>
      <c r="J1686" s="28">
        <v>-78.939679999999996</v>
      </c>
      <c r="L1686" s="61">
        <v>110000737365</v>
      </c>
      <c r="M1686" s="28" t="s">
        <v>265</v>
      </c>
      <c r="N1686" s="28">
        <v>9511</v>
      </c>
      <c r="O1686" s="28" t="str">
        <f>IFERROR(VLOOKUP(N1686, 'SIC &amp; NAICS Codes'!A:B, 2, FALSE), "")</f>
        <v>Air and Water Resource and Solid Waste Management</v>
      </c>
      <c r="S1686" s="28">
        <v>9.1172737835999995E-3</v>
      </c>
      <c r="T1686" s="315">
        <f>_xlfn.MAXIFS('Raw Period DMR Data'!$O:$O,'Raw Period DMR Data'!$A:$A,'Raw Annual DMR Data_2021-2024'!#REF!,'Raw Period DMR Data'!$C:$C,X1686)/S1686</f>
        <v>0</v>
      </c>
      <c r="U1686" s="28" t="str">
        <f>+IF(COUNTIFS('Raw Period DMR Data'!$A:$A,B1686,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86" s="28" t="str" cm="1">
        <f t="array" ref="V1686">IFERROR(INDEX('Raw Period DMR Data'!N:N,MATCH(1,(B1686='Raw Period DMR Data'!$A:$A)*(U1686='Raw Period DMR Data'!M:M)*(X1686='Raw Period DMR Data'!C:C),0),1), "N/A")</f>
        <v>N/A</v>
      </c>
      <c r="W1686" s="28" t="s">
        <v>1463</v>
      </c>
      <c r="X1686" s="28" t="s">
        <v>1715</v>
      </c>
      <c r="Y1686" s="28" t="s">
        <v>1716</v>
      </c>
      <c r="Z1686" s="61">
        <v>4120104000390</v>
      </c>
      <c r="AB1686" s="28" t="s">
        <v>7355</v>
      </c>
      <c r="AC1686" s="28" t="s">
        <v>1466</v>
      </c>
    </row>
    <row r="1687" spans="1:29" x14ac:dyDescent="0.25">
      <c r="A1687" s="61">
        <v>110000737365</v>
      </c>
      <c r="B1687" s="28">
        <v>2021</v>
      </c>
      <c r="C1687" s="68">
        <f t="shared" si="27"/>
        <v>44197</v>
      </c>
      <c r="D1687" s="28" t="s">
        <v>1095</v>
      </c>
      <c r="E1687" s="28" t="s">
        <v>1714</v>
      </c>
      <c r="F1687" s="28" t="s">
        <v>1096</v>
      </c>
      <c r="G1687" s="28" t="s">
        <v>450</v>
      </c>
      <c r="H1687" s="28">
        <v>14132</v>
      </c>
      <c r="I1687" s="28">
        <v>43.129750000000001</v>
      </c>
      <c r="J1687" s="28">
        <v>-78.939679999999996</v>
      </c>
      <c r="L1687" s="61">
        <v>110000737365</v>
      </c>
      <c r="M1687" s="28" t="s">
        <v>265</v>
      </c>
      <c r="N1687" s="28">
        <v>9511</v>
      </c>
      <c r="O1687" s="28" t="str">
        <f>IFERROR(VLOOKUP(N1687, 'SIC &amp; NAICS Codes'!A:B, 2, FALSE), "")</f>
        <v>Air and Water Resource and Solid Waste Management</v>
      </c>
      <c r="S1687" s="28">
        <v>7.2571606470749998E-3</v>
      </c>
      <c r="T1687" s="315">
        <f>_xlfn.MAXIFS('Raw Period DMR Data'!$O:$O,'Raw Period DMR Data'!$A:$A,'Raw Annual DMR Data_2021-2024'!#REF!,'Raw Period DMR Data'!$C:$C,X1687)/S1687</f>
        <v>0</v>
      </c>
      <c r="U1687" s="28" t="str">
        <f>+IF(COUNTIFS('Raw Period DMR Data'!$A:$A,B1687,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87" s="28" t="str" cm="1">
        <f t="array" ref="V1687">IFERROR(INDEX('Raw Period DMR Data'!N:N,MATCH(1,(B1687='Raw Period DMR Data'!$A:$A)*(U1687='Raw Period DMR Data'!M:M)*(X1687='Raw Period DMR Data'!C:C),0),1), "N/A")</f>
        <v>N/A</v>
      </c>
      <c r="W1687" s="28" t="s">
        <v>1463</v>
      </c>
      <c r="X1687" s="28" t="s">
        <v>1715</v>
      </c>
      <c r="Y1687" s="28" t="s">
        <v>1716</v>
      </c>
      <c r="Z1687" s="61">
        <v>4120104000390</v>
      </c>
      <c r="AA1687" s="28"/>
      <c r="AB1687" s="28" t="s">
        <v>7355</v>
      </c>
      <c r="AC1687" s="28" t="s">
        <v>1466</v>
      </c>
    </row>
    <row r="1688" spans="1:29" x14ac:dyDescent="0.25">
      <c r="A1688" s="61">
        <v>110043808467</v>
      </c>
      <c r="B1688" s="28">
        <v>2022</v>
      </c>
      <c r="C1688" s="68">
        <f t="shared" si="27"/>
        <v>44562</v>
      </c>
      <c r="D1688" s="28" t="s">
        <v>6843</v>
      </c>
      <c r="E1688" s="28" t="s">
        <v>650</v>
      </c>
      <c r="F1688" s="28" t="s">
        <v>651</v>
      </c>
      <c r="G1688" s="28" t="s">
        <v>418</v>
      </c>
      <c r="H1688" s="28">
        <v>89015</v>
      </c>
      <c r="I1688" s="28">
        <v>36.035440000000001</v>
      </c>
      <c r="J1688" s="28">
        <v>-114.99994</v>
      </c>
      <c r="K1688" s="28" t="s">
        <v>652</v>
      </c>
      <c r="L1688" s="61">
        <v>110043808467</v>
      </c>
      <c r="M1688" s="28" t="s">
        <v>264</v>
      </c>
      <c r="N1688" s="28">
        <v>1799</v>
      </c>
      <c r="O1688" s="28" t="str">
        <f>IFERROR(VLOOKUP(N1688, 'SIC &amp; NAICS Codes'!A:B, 2, FALSE), "")</f>
        <v>Special Trade Contractors, NEC (indoor swimming pool construction contractors)</v>
      </c>
      <c r="S1688" s="28">
        <v>1.71427589425</v>
      </c>
      <c r="T1688" s="315">
        <f>_xlfn.MAXIFS('Raw Period DMR Data'!$O:$O,'Raw Period DMR Data'!$A:$A,'Raw Annual DMR Data_2021-2024'!#REF!,'Raw Period DMR Data'!$C:$C,X1688)/S1688</f>
        <v>0</v>
      </c>
      <c r="U1688" s="28" t="str">
        <f>+IF(COUNTIFS('Raw Period DMR Data'!$A:$A,B1688,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88" s="28" t="str" cm="1">
        <f t="array" ref="V1688">IFERROR(INDEX('Raw Period DMR Data'!N:N,MATCH(1,(B1688='Raw Period DMR Data'!$A:$A)*(U1688='Raw Period DMR Data'!M:M)*(X1688='Raw Period DMR Data'!C:C),0),1), "N/A")</f>
        <v>N/A</v>
      </c>
      <c r="W1688" s="28" t="s">
        <v>1463</v>
      </c>
      <c r="X1688" s="28" t="s">
        <v>947</v>
      </c>
      <c r="Y1688" s="28" t="s">
        <v>948</v>
      </c>
      <c r="Z1688" s="61">
        <v>15010015000957</v>
      </c>
      <c r="AB1688" s="28" t="s">
        <v>7355</v>
      </c>
      <c r="AC1688" s="28" t="s">
        <v>1466</v>
      </c>
    </row>
    <row r="1689" spans="1:29" x14ac:dyDescent="0.25">
      <c r="A1689" s="61">
        <v>110043808467</v>
      </c>
      <c r="B1689" s="28">
        <v>2021</v>
      </c>
      <c r="C1689" s="68">
        <f t="shared" si="27"/>
        <v>44197</v>
      </c>
      <c r="D1689" s="28" t="s">
        <v>6843</v>
      </c>
      <c r="E1689" s="28" t="s">
        <v>650</v>
      </c>
      <c r="F1689" s="28" t="s">
        <v>651</v>
      </c>
      <c r="G1689" s="28" t="s">
        <v>418</v>
      </c>
      <c r="H1689" s="28">
        <v>89015</v>
      </c>
      <c r="I1689" s="28">
        <v>36.035440000000001</v>
      </c>
      <c r="J1689" s="28">
        <v>-114.99994</v>
      </c>
      <c r="K1689" s="28" t="s">
        <v>652</v>
      </c>
      <c r="L1689" s="61">
        <v>110043808467</v>
      </c>
      <c r="M1689" s="28" t="s">
        <v>264</v>
      </c>
      <c r="N1689" s="28">
        <v>1799</v>
      </c>
      <c r="O1689" s="28" t="str">
        <f>IFERROR(VLOOKUP(N1689, 'SIC &amp; NAICS Codes'!A:B, 2, FALSE), "")</f>
        <v>Special Trade Contractors, NEC (indoor swimming pool construction contractors)</v>
      </c>
      <c r="S1689" s="28">
        <v>0.63700111699999995</v>
      </c>
      <c r="T1689" s="315">
        <f>_xlfn.MAXIFS('Raw Period DMR Data'!$O:$O,'Raw Period DMR Data'!$A:$A,'Raw Annual DMR Data_2021-2024'!#REF!,'Raw Period DMR Data'!$C:$C,X1689)/S1689</f>
        <v>0</v>
      </c>
      <c r="U1689" s="28" t="str">
        <f>+IF(COUNTIFS('Raw Period DMR Data'!$A:$A,B1689,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89" s="28" t="str" cm="1">
        <f t="array" ref="V1689">IFERROR(INDEX('Raw Period DMR Data'!N:N,MATCH(1,(B1689='Raw Period DMR Data'!$A:$A)*(U1689='Raw Period DMR Data'!M:M)*(X1689='Raw Period DMR Data'!C:C),0),1), "N/A")</f>
        <v>N/A</v>
      </c>
      <c r="W1689" s="28" t="s">
        <v>1463</v>
      </c>
      <c r="X1689" s="28" t="s">
        <v>947</v>
      </c>
      <c r="Y1689" s="28" t="s">
        <v>948</v>
      </c>
      <c r="Z1689" s="61">
        <v>15010015000957</v>
      </c>
      <c r="AA1689" s="28"/>
      <c r="AB1689" s="28" t="s">
        <v>7355</v>
      </c>
      <c r="AC1689" s="28" t="s">
        <v>1466</v>
      </c>
    </row>
    <row r="1690" spans="1:29" x14ac:dyDescent="0.25">
      <c r="A1690" s="61">
        <v>110043808467</v>
      </c>
      <c r="B1690" s="28">
        <v>2023</v>
      </c>
      <c r="C1690" s="68">
        <f t="shared" si="27"/>
        <v>44927</v>
      </c>
      <c r="D1690" s="28" t="s">
        <v>6843</v>
      </c>
      <c r="E1690" s="28" t="s">
        <v>650</v>
      </c>
      <c r="F1690" s="28" t="s">
        <v>651</v>
      </c>
      <c r="G1690" s="28" t="s">
        <v>418</v>
      </c>
      <c r="H1690" s="28">
        <v>89015</v>
      </c>
      <c r="I1690" s="28">
        <v>36.035440000000001</v>
      </c>
      <c r="J1690" s="28">
        <v>-114.99994</v>
      </c>
      <c r="K1690" s="28" t="s">
        <v>652</v>
      </c>
      <c r="L1690" s="61">
        <v>110043808467</v>
      </c>
      <c r="M1690" s="28" t="s">
        <v>264</v>
      </c>
      <c r="N1690" s="28">
        <v>1799</v>
      </c>
      <c r="O1690" s="28" t="str">
        <f>IFERROR(VLOOKUP(N1690, 'SIC &amp; NAICS Codes'!A:B, 2, FALSE), "")</f>
        <v>Special Trade Contractors, NEC (indoor swimming pool construction contractors)</v>
      </c>
      <c r="S1690" s="28">
        <v>0.60328944674999996</v>
      </c>
      <c r="T1690" s="315">
        <f>_xlfn.MAXIFS('Raw Period DMR Data'!$O:$O,'Raw Period DMR Data'!$A:$A,'Raw Annual DMR Data_2021-2024'!#REF!,'Raw Period DMR Data'!$C:$C,X1690)/S1690</f>
        <v>0</v>
      </c>
      <c r="U1690" s="28" t="str">
        <f>+IF(COUNTIFS('Raw Period DMR Data'!$A:$A,B1690,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90" s="28" t="str" cm="1">
        <f t="array" ref="V1690">IFERROR(INDEX('Raw Period DMR Data'!N:N,MATCH(1,(B1690='Raw Period DMR Data'!$A:$A)*(U1690='Raw Period DMR Data'!M:M)*(X1690='Raw Period DMR Data'!C:C),0),1), "N/A")</f>
        <v>N/A</v>
      </c>
      <c r="W1690" s="28" t="s">
        <v>1463</v>
      </c>
      <c r="X1690" s="28" t="s">
        <v>947</v>
      </c>
      <c r="Y1690" s="28" t="s">
        <v>948</v>
      </c>
      <c r="Z1690" s="61">
        <v>15010015000957</v>
      </c>
      <c r="AB1690" s="28" t="s">
        <v>7355</v>
      </c>
      <c r="AC1690" s="28" t="s">
        <v>1466</v>
      </c>
    </row>
    <row r="1691" spans="1:29" x14ac:dyDescent="0.25">
      <c r="A1691" s="61">
        <v>110043808467</v>
      </c>
      <c r="B1691" s="28">
        <v>2024</v>
      </c>
      <c r="C1691" s="68">
        <f t="shared" si="27"/>
        <v>45292</v>
      </c>
      <c r="D1691" s="28" t="s">
        <v>6843</v>
      </c>
      <c r="E1691" s="28" t="s">
        <v>650</v>
      </c>
      <c r="F1691" s="28" t="s">
        <v>651</v>
      </c>
      <c r="G1691" s="28" t="s">
        <v>418</v>
      </c>
      <c r="H1691" s="28">
        <v>89015</v>
      </c>
      <c r="I1691" s="28">
        <v>36.035440000000001</v>
      </c>
      <c r="J1691" s="28">
        <v>-114.99994</v>
      </c>
      <c r="K1691" s="28" t="s">
        <v>652</v>
      </c>
      <c r="L1691" s="61">
        <v>110043808467</v>
      </c>
      <c r="M1691" s="28" t="s">
        <v>264</v>
      </c>
      <c r="N1691" s="28">
        <v>1799</v>
      </c>
      <c r="O1691" s="28" t="str">
        <f>IFERROR(VLOOKUP(N1691, 'SIC &amp; NAICS Codes'!A:B, 2, FALSE), "")</f>
        <v>Special Trade Contractors, NEC (indoor swimming pool construction contractors)</v>
      </c>
      <c r="S1691" s="28">
        <v>0.59118293499999996</v>
      </c>
      <c r="T1691" s="315">
        <f>_xlfn.MAXIFS('Raw Period DMR Data'!$O:$O,'Raw Period DMR Data'!$A:$A,'Raw Annual DMR Data_2021-2024'!#REF!,'Raw Period DMR Data'!$C:$C,X1691)/S1691</f>
        <v>0</v>
      </c>
      <c r="U1691" s="28" t="str">
        <f>+IF(COUNTIFS('Raw Period DMR Data'!$A:$A,B1691,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91" s="28" t="str" cm="1">
        <f t="array" ref="V1691">IFERROR(INDEX('Raw Period DMR Data'!N:N,MATCH(1,(B1691='Raw Period DMR Data'!$A:$A)*(U1691='Raw Period DMR Data'!M:M)*(X1691='Raw Period DMR Data'!C:C),0),1), "N/A")</f>
        <v>N/A</v>
      </c>
      <c r="W1691" s="28" t="s">
        <v>1463</v>
      </c>
      <c r="X1691" s="28" t="s">
        <v>947</v>
      </c>
      <c r="Y1691" s="28" t="s">
        <v>948</v>
      </c>
      <c r="Z1691" s="61">
        <v>15010015000957</v>
      </c>
      <c r="AB1691" s="28" t="s">
        <v>7355</v>
      </c>
      <c r="AC1691" s="28" t="s">
        <v>1466</v>
      </c>
    </row>
    <row r="1692" spans="1:29" x14ac:dyDescent="0.25">
      <c r="A1692" s="61">
        <v>110000379787</v>
      </c>
      <c r="B1692" s="28">
        <v>2024</v>
      </c>
      <c r="C1692" s="68">
        <f t="shared" si="27"/>
        <v>45292</v>
      </c>
      <c r="D1692" s="28" t="s">
        <v>1097</v>
      </c>
      <c r="E1692" s="28" t="s">
        <v>1718</v>
      </c>
      <c r="F1692" s="28" t="s">
        <v>1098</v>
      </c>
      <c r="G1692" s="28" t="s">
        <v>324</v>
      </c>
      <c r="H1692" s="28" t="s">
        <v>1719</v>
      </c>
      <c r="I1692" s="28">
        <v>38.642556999999996</v>
      </c>
      <c r="J1692" s="28">
        <v>-83.737931000000003</v>
      </c>
      <c r="L1692" s="61">
        <v>110000379787</v>
      </c>
      <c r="M1692" s="28" t="s">
        <v>265</v>
      </c>
      <c r="N1692" s="28">
        <v>3566</v>
      </c>
      <c r="O1692" s="28" t="str">
        <f>IFERROR(VLOOKUP(N1692, 'SIC &amp; NAICS Codes'!A:B, 2, FALSE), "")</f>
        <v>Speed Changers, Industrial High-Speed Drives, and Gears</v>
      </c>
      <c r="S1692" s="28">
        <v>2.9511455749999999E-2</v>
      </c>
      <c r="T1692" s="315">
        <f>_xlfn.MAXIFS('Raw Period DMR Data'!$O:$O,'Raw Period DMR Data'!$A:$A,'Raw Annual DMR Data_2021-2024'!#REF!,'Raw Period DMR Data'!$C:$C,X1692)/S1692</f>
        <v>0</v>
      </c>
      <c r="U1692" s="28" t="str">
        <f>+IF(COUNTIFS('Raw Period DMR Data'!$A:$A,B1692,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92" s="28" t="str" cm="1">
        <f t="array" ref="V1692">IFERROR(INDEX('Raw Period DMR Data'!N:N,MATCH(1,(B1692='Raw Period DMR Data'!$A:$A)*(U1692='Raw Period DMR Data'!M:M)*(X1692='Raw Period DMR Data'!C:C),0),1), "N/A")</f>
        <v>N/A</v>
      </c>
      <c r="W1692" s="28" t="s">
        <v>1463</v>
      </c>
      <c r="X1692" s="28" t="s">
        <v>1720</v>
      </c>
      <c r="Y1692" s="28" t="s">
        <v>1721</v>
      </c>
      <c r="Z1692" s="61">
        <v>5090201002312</v>
      </c>
      <c r="AA1692" s="60" t="s">
        <v>7355</v>
      </c>
      <c r="AB1692" s="28" t="s">
        <v>7355</v>
      </c>
      <c r="AC1692" s="28" t="s">
        <v>1466</v>
      </c>
    </row>
    <row r="1693" spans="1:29" x14ac:dyDescent="0.25">
      <c r="A1693" s="61">
        <v>110000379787</v>
      </c>
      <c r="B1693" s="28">
        <v>2021</v>
      </c>
      <c r="C1693" s="68">
        <f t="shared" si="27"/>
        <v>44197</v>
      </c>
      <c r="D1693" s="28" t="s">
        <v>1097</v>
      </c>
      <c r="E1693" s="28" t="s">
        <v>1718</v>
      </c>
      <c r="F1693" s="28" t="s">
        <v>1098</v>
      </c>
      <c r="G1693" s="28" t="s">
        <v>324</v>
      </c>
      <c r="H1693" s="28" t="s">
        <v>1719</v>
      </c>
      <c r="I1693" s="28">
        <v>38.642556999999996</v>
      </c>
      <c r="J1693" s="28">
        <v>-83.737931000000003</v>
      </c>
      <c r="L1693" s="61">
        <v>110000379787</v>
      </c>
      <c r="M1693" s="28" t="s">
        <v>265</v>
      </c>
      <c r="N1693" s="28">
        <v>3566</v>
      </c>
      <c r="O1693" s="28" t="str">
        <f>IFERROR(VLOOKUP(N1693, 'SIC &amp; NAICS Codes'!A:B, 2, FALSE), "")</f>
        <v>Speed Changers, Industrial High-Speed Drives, and Gears</v>
      </c>
      <c r="S1693" s="28">
        <v>2.30790375E-2</v>
      </c>
      <c r="T1693" s="315">
        <f>_xlfn.MAXIFS('Raw Period DMR Data'!$O:$O,'Raw Period DMR Data'!$A:$A,'Raw Annual DMR Data_2021-2024'!#REF!,'Raw Period DMR Data'!$C:$C,X1693)/S1693</f>
        <v>0</v>
      </c>
      <c r="U1693" s="28" t="str">
        <f>+IF(COUNTIFS('Raw Period DMR Data'!$A:$A,B1693,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93" s="28" t="str" cm="1">
        <f t="array" ref="V1693">IFERROR(INDEX('Raw Period DMR Data'!N:N,MATCH(1,(B1693='Raw Period DMR Data'!$A:$A)*(U1693='Raw Period DMR Data'!M:M)*(X1693='Raw Period DMR Data'!C:C),0),1), "N/A")</f>
        <v>N/A</v>
      </c>
      <c r="W1693" s="28" t="s">
        <v>1463</v>
      </c>
      <c r="X1693" s="28" t="s">
        <v>1720</v>
      </c>
      <c r="Y1693" s="28" t="s">
        <v>1721</v>
      </c>
      <c r="Z1693" s="61">
        <v>5090201002312</v>
      </c>
      <c r="AA1693" s="28"/>
      <c r="AB1693" s="28" t="s">
        <v>7355</v>
      </c>
      <c r="AC1693" s="28" t="s">
        <v>1466</v>
      </c>
    </row>
    <row r="1694" spans="1:29" x14ac:dyDescent="0.25">
      <c r="A1694" s="61">
        <v>110064268260</v>
      </c>
      <c r="B1694" s="28">
        <v>2021</v>
      </c>
      <c r="C1694" s="68">
        <f t="shared" si="27"/>
        <v>44197</v>
      </c>
      <c r="D1694" s="28" t="s">
        <v>6867</v>
      </c>
      <c r="E1694" s="28" t="s">
        <v>7034</v>
      </c>
      <c r="F1694" s="28" t="s">
        <v>7035</v>
      </c>
      <c r="G1694" s="28" t="s">
        <v>324</v>
      </c>
      <c r="H1694" s="28">
        <v>40019</v>
      </c>
      <c r="I1694" s="28">
        <v>38.369734999999999</v>
      </c>
      <c r="J1694" s="28">
        <v>-85.180234999999996</v>
      </c>
      <c r="L1694" s="61">
        <v>110064268260</v>
      </c>
      <c r="M1694" s="28" t="s">
        <v>263</v>
      </c>
      <c r="N1694" s="28">
        <v>4952</v>
      </c>
      <c r="O1694" s="28" t="str">
        <f>IFERROR(VLOOKUP(N1694, 'SIC &amp; NAICS Codes'!A:B, 2, FALSE), "")</f>
        <v>Sewerage Systems</v>
      </c>
      <c r="S1694" s="28">
        <v>2.3520463125000002</v>
      </c>
      <c r="T1694" s="315">
        <f>_xlfn.MAXIFS('Raw Period DMR Data'!$O:$O,'Raw Period DMR Data'!$A:$A,'Raw Annual DMR Data_2021-2024'!#REF!,'Raw Period DMR Data'!$C:$C,X1694)/S1694</f>
        <v>0</v>
      </c>
      <c r="U1694" s="28" t="str">
        <f>+IF(COUNTIFS('Raw Period DMR Data'!$A:$A,B1694,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94" s="28" t="str" cm="1">
        <f t="array" ref="V1694">IFERROR(INDEX('Raw Period DMR Data'!N:N,MATCH(1,(B1694='Raw Period DMR Data'!$A:$A)*(U1694='Raw Period DMR Data'!M:M)*(X1694='Raw Period DMR Data'!C:C),0),1), "N/A")</f>
        <v>N/A</v>
      </c>
      <c r="W1694" s="28" t="s">
        <v>1463</v>
      </c>
      <c r="X1694" s="28" t="s">
        <v>7196</v>
      </c>
      <c r="Y1694" s="28" t="s">
        <v>1592</v>
      </c>
      <c r="Z1694" s="61">
        <v>5100205000020</v>
      </c>
      <c r="AA1694" s="28"/>
      <c r="AB1694" s="28" t="s">
        <v>7355</v>
      </c>
      <c r="AC1694" s="28" t="s">
        <v>263</v>
      </c>
    </row>
    <row r="1695" spans="1:29" x14ac:dyDescent="0.25">
      <c r="A1695" s="61">
        <v>110064268260</v>
      </c>
      <c r="B1695" s="28">
        <v>2022</v>
      </c>
      <c r="C1695" s="68">
        <f t="shared" si="27"/>
        <v>44562</v>
      </c>
      <c r="D1695" s="28" t="s">
        <v>6867</v>
      </c>
      <c r="E1695" s="28" t="s">
        <v>7034</v>
      </c>
      <c r="F1695" s="28" t="s">
        <v>7035</v>
      </c>
      <c r="G1695" s="28" t="s">
        <v>324</v>
      </c>
      <c r="H1695" s="28">
        <v>40019</v>
      </c>
      <c r="I1695" s="28">
        <v>38.369734999999999</v>
      </c>
      <c r="J1695" s="28">
        <v>-85.180234999999996</v>
      </c>
      <c r="L1695" s="61">
        <v>110064268260</v>
      </c>
      <c r="M1695" s="28" t="s">
        <v>263</v>
      </c>
      <c r="N1695" s="28">
        <v>4952</v>
      </c>
      <c r="O1695" s="28" t="str">
        <f>IFERROR(VLOOKUP(N1695, 'SIC &amp; NAICS Codes'!A:B, 2, FALSE), "")</f>
        <v>Sewerage Systems</v>
      </c>
      <c r="S1695" s="28">
        <v>1.3746173749999999</v>
      </c>
      <c r="T1695" s="315">
        <f>_xlfn.MAXIFS('Raw Period DMR Data'!$O:$O,'Raw Period DMR Data'!$A:$A,'Raw Annual DMR Data_2021-2024'!#REF!,'Raw Period DMR Data'!$C:$C,X1695)/S1695</f>
        <v>0</v>
      </c>
      <c r="U1695" s="28" t="str">
        <f>+IF(COUNTIFS('Raw Period DMR Data'!$A:$A,B1695,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95" s="28" t="str" cm="1">
        <f t="array" ref="V1695">IFERROR(INDEX('Raw Period DMR Data'!N:N,MATCH(1,(B1695='Raw Period DMR Data'!$A:$A)*(U1695='Raw Period DMR Data'!M:M)*(X1695='Raw Period DMR Data'!C:C),0),1), "N/A")</f>
        <v>N/A</v>
      </c>
      <c r="W1695" s="28" t="s">
        <v>1463</v>
      </c>
      <c r="X1695" s="28" t="s">
        <v>7196</v>
      </c>
      <c r="Y1695" s="28" t="s">
        <v>1592</v>
      </c>
      <c r="Z1695" s="61">
        <v>5100205000020</v>
      </c>
      <c r="AB1695" s="28" t="s">
        <v>7355</v>
      </c>
      <c r="AC1695" s="28" t="s">
        <v>263</v>
      </c>
    </row>
    <row r="1696" spans="1:29" x14ac:dyDescent="0.25">
      <c r="A1696" s="61">
        <v>110064268260</v>
      </c>
      <c r="B1696" s="28">
        <v>2023</v>
      </c>
      <c r="C1696" s="68">
        <f t="shared" si="27"/>
        <v>44927</v>
      </c>
      <c r="D1696" s="28" t="s">
        <v>6867</v>
      </c>
      <c r="E1696" s="28" t="s">
        <v>7034</v>
      </c>
      <c r="F1696" s="28" t="s">
        <v>7035</v>
      </c>
      <c r="G1696" s="28" t="s">
        <v>324</v>
      </c>
      <c r="H1696" s="28">
        <v>40019</v>
      </c>
      <c r="I1696" s="28">
        <v>38.369734999999999</v>
      </c>
      <c r="J1696" s="28">
        <v>-85.180234999999996</v>
      </c>
      <c r="L1696" s="61">
        <v>110064268260</v>
      </c>
      <c r="M1696" s="28" t="s">
        <v>263</v>
      </c>
      <c r="N1696" s="28">
        <v>4952</v>
      </c>
      <c r="O1696" s="28" t="str">
        <f>IFERROR(VLOOKUP(N1696, 'SIC &amp; NAICS Codes'!A:B, 2, FALSE), "")</f>
        <v>Sewerage Systems</v>
      </c>
      <c r="S1696" s="28">
        <v>0.79783068749999997</v>
      </c>
      <c r="T1696" s="315">
        <f>_xlfn.MAXIFS('Raw Period DMR Data'!$O:$O,'Raw Period DMR Data'!$A:$A,'Raw Annual DMR Data_2021-2024'!#REF!,'Raw Period DMR Data'!$C:$C,X1696)/S1696</f>
        <v>0</v>
      </c>
      <c r="U1696" s="28" t="str">
        <f>+IF(COUNTIFS('Raw Period DMR Data'!$A:$A,B1696,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96" s="28" t="str" cm="1">
        <f t="array" ref="V1696">IFERROR(INDEX('Raw Period DMR Data'!N:N,MATCH(1,(B1696='Raw Period DMR Data'!$A:$A)*(U1696='Raw Period DMR Data'!M:M)*(X1696='Raw Period DMR Data'!C:C),0),1), "N/A")</f>
        <v>N/A</v>
      </c>
      <c r="W1696" s="28" t="s">
        <v>1463</v>
      </c>
      <c r="X1696" s="28" t="s">
        <v>7196</v>
      </c>
      <c r="Y1696" s="28" t="s">
        <v>1592</v>
      </c>
      <c r="Z1696" s="61" t="s">
        <v>7354</v>
      </c>
      <c r="AB1696" s="28" t="s">
        <v>7355</v>
      </c>
      <c r="AC1696" s="28" t="s">
        <v>263</v>
      </c>
    </row>
    <row r="1697" spans="1:29" x14ac:dyDescent="0.25">
      <c r="A1697" s="61">
        <v>110010134185</v>
      </c>
      <c r="B1697" s="28">
        <v>2024</v>
      </c>
      <c r="C1697" s="68">
        <f t="shared" si="27"/>
        <v>45292</v>
      </c>
      <c r="D1697" s="28" t="s">
        <v>1099</v>
      </c>
      <c r="E1697" s="28" t="s">
        <v>1723</v>
      </c>
      <c r="F1697" s="28" t="s">
        <v>1100</v>
      </c>
      <c r="G1697" s="28" t="s">
        <v>1101</v>
      </c>
      <c r="H1697" s="28">
        <v>0</v>
      </c>
      <c r="I1697" s="28">
        <v>37.041677</v>
      </c>
      <c r="J1697" s="28">
        <v>-109.500685</v>
      </c>
      <c r="L1697" s="61">
        <v>110010134185</v>
      </c>
      <c r="M1697" s="28" t="s">
        <v>265</v>
      </c>
      <c r="N1697" s="28">
        <v>1311</v>
      </c>
      <c r="O1697" s="28" t="str">
        <f>IFERROR(VLOOKUP(N1697, 'SIC &amp; NAICS Codes'!A:B, 2, FALSE), "")</f>
        <v>Crude Petroleum and Natural Gas</v>
      </c>
      <c r="S1697" s="28">
        <v>1.7221750000000001E-3</v>
      </c>
      <c r="T1697" s="315">
        <f>_xlfn.MAXIFS('Raw Period DMR Data'!$O:$O,'Raw Period DMR Data'!$A:$A,'Raw Annual DMR Data_2021-2024'!#REF!,'Raw Period DMR Data'!$C:$C,X1697)/S1697</f>
        <v>0</v>
      </c>
      <c r="U1697" s="28" t="str">
        <f>+IF(COUNTIFS('Raw Period DMR Data'!$A:$A,B1697,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97" s="28" t="str" cm="1">
        <f t="array" ref="V1697">IFERROR(INDEX('Raw Period DMR Data'!N:N,MATCH(1,(B1697='Raw Period DMR Data'!$A:$A)*(U1697='Raw Period DMR Data'!M:M)*(X1697='Raw Period DMR Data'!C:C),0),1), "N/A")</f>
        <v>N/A</v>
      </c>
      <c r="W1697" s="28" t="s">
        <v>1463</v>
      </c>
      <c r="X1697" s="28" t="s">
        <v>1724</v>
      </c>
      <c r="Y1697" s="28" t="s">
        <v>1725</v>
      </c>
      <c r="Z1697" s="61">
        <v>14080201000184</v>
      </c>
      <c r="AB1697" s="28" t="s">
        <v>7355</v>
      </c>
      <c r="AC1697" s="28" t="s">
        <v>1466</v>
      </c>
    </row>
    <row r="1698" spans="1:29" x14ac:dyDescent="0.25">
      <c r="A1698" s="61">
        <v>110010134185</v>
      </c>
      <c r="B1698" s="28">
        <v>2023</v>
      </c>
      <c r="C1698" s="68">
        <f t="shared" si="27"/>
        <v>44927</v>
      </c>
      <c r="D1698" s="28" t="s">
        <v>1099</v>
      </c>
      <c r="E1698" s="28" t="s">
        <v>1723</v>
      </c>
      <c r="F1698" s="28" t="s">
        <v>1100</v>
      </c>
      <c r="G1698" s="28" t="s">
        <v>1101</v>
      </c>
      <c r="H1698" s="28" t="s">
        <v>7085</v>
      </c>
      <c r="I1698" s="28">
        <v>37.041677</v>
      </c>
      <c r="J1698" s="28">
        <v>-109.500685</v>
      </c>
      <c r="L1698" s="61">
        <v>110010134185</v>
      </c>
      <c r="M1698" s="28" t="s">
        <v>265</v>
      </c>
      <c r="N1698" s="28">
        <v>1311</v>
      </c>
      <c r="O1698" s="28" t="str">
        <f>IFERROR(VLOOKUP(N1698, 'SIC &amp; NAICS Codes'!A:B, 2, FALSE), "")</f>
        <v>Crude Petroleum and Natural Gas</v>
      </c>
      <c r="S1698" s="28">
        <v>1.124145E-3</v>
      </c>
      <c r="T1698" s="315">
        <f>_xlfn.MAXIFS('Raw Period DMR Data'!$O:$O,'Raw Period DMR Data'!$A:$A,'Raw Annual DMR Data_2021-2024'!#REF!,'Raw Period DMR Data'!$C:$C,X1698)/S1698</f>
        <v>0</v>
      </c>
      <c r="U1698" s="28" t="str">
        <f>+IF(COUNTIFS('Raw Period DMR Data'!$A:$A,B1698,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98" s="28" t="str" cm="1">
        <f t="array" ref="V1698">IFERROR(INDEX('Raw Period DMR Data'!N:N,MATCH(1,(B1698='Raw Period DMR Data'!$A:$A)*(U1698='Raw Period DMR Data'!M:M)*(X1698='Raw Period DMR Data'!C:C),0),1), "N/A")</f>
        <v>N/A</v>
      </c>
      <c r="W1698" s="28" t="s">
        <v>1463</v>
      </c>
      <c r="X1698" s="28" t="s">
        <v>1724</v>
      </c>
      <c r="Y1698" s="28" t="s">
        <v>1725</v>
      </c>
      <c r="Z1698" s="61">
        <v>14080201000184</v>
      </c>
      <c r="AB1698" s="28" t="s">
        <v>7355</v>
      </c>
      <c r="AC1698" s="28" t="s">
        <v>1466</v>
      </c>
    </row>
    <row r="1699" spans="1:29" x14ac:dyDescent="0.25">
      <c r="A1699" s="61">
        <v>110000597266</v>
      </c>
      <c r="B1699" s="28">
        <v>2021</v>
      </c>
      <c r="C1699" s="68">
        <f t="shared" si="27"/>
        <v>44197</v>
      </c>
      <c r="D1699" s="28" t="s">
        <v>1104</v>
      </c>
      <c r="E1699" s="28" t="s">
        <v>1731</v>
      </c>
      <c r="F1699" s="28" t="s">
        <v>446</v>
      </c>
      <c r="G1699" s="28" t="s">
        <v>303</v>
      </c>
      <c r="H1699" s="28">
        <v>70669</v>
      </c>
      <c r="I1699" s="28">
        <v>30.189167000000001</v>
      </c>
      <c r="J1699" s="28">
        <v>-93.316389000000001</v>
      </c>
      <c r="K1699" s="28" t="s">
        <v>713</v>
      </c>
      <c r="L1699" s="61">
        <v>110000597266</v>
      </c>
      <c r="M1699" s="28" t="s">
        <v>265</v>
      </c>
      <c r="N1699" s="28">
        <v>2821</v>
      </c>
      <c r="O1699" s="28" t="str">
        <f>IFERROR(VLOOKUP(N1699, 'SIC &amp; NAICS Codes'!A:B, 2, FALSE), "")</f>
        <v>Plastics Materials, Synthetic and Resins, and Nonvulcanizable Elastomers</v>
      </c>
      <c r="S1699" s="28">
        <v>0.82855000000000001</v>
      </c>
      <c r="T1699" s="315">
        <f>_xlfn.MAXIFS('Raw Period DMR Data'!$O:$O,'Raw Period DMR Data'!$A:$A,'Raw Annual DMR Data_2021-2024'!#REF!,'Raw Period DMR Data'!$C:$C,X1699)/S1699</f>
        <v>0</v>
      </c>
      <c r="U1699" s="28" t="str">
        <f>+IF(COUNTIFS('Raw Period DMR Data'!$A:$A,B1699,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99" s="28" t="str" cm="1">
        <f t="array" ref="V1699">IFERROR(INDEX('Raw Period DMR Data'!N:N,MATCH(1,(B1699='Raw Period DMR Data'!$A:$A)*(U1699='Raw Period DMR Data'!M:M)*(X1699='Raw Period DMR Data'!C:C),0),1), "N/A")</f>
        <v>N/A</v>
      </c>
      <c r="W1699" s="28" t="s">
        <v>1463</v>
      </c>
      <c r="X1699" s="28" t="s">
        <v>1732</v>
      </c>
      <c r="Y1699" s="28">
        <v>315</v>
      </c>
      <c r="Z1699" s="61">
        <v>8080206000583</v>
      </c>
      <c r="AA1699" s="28"/>
      <c r="AC1699" s="28" t="s">
        <v>1466</v>
      </c>
    </row>
    <row r="1700" spans="1:29" x14ac:dyDescent="0.25">
      <c r="A1700" s="61">
        <v>110000746211</v>
      </c>
      <c r="B1700" s="28">
        <v>2021</v>
      </c>
      <c r="C1700" s="68">
        <f t="shared" si="27"/>
        <v>44197</v>
      </c>
      <c r="D1700" s="28" t="s">
        <v>1105</v>
      </c>
      <c r="E1700" s="28" t="s">
        <v>7006</v>
      </c>
      <c r="F1700" s="28" t="s">
        <v>1106</v>
      </c>
      <c r="G1700" s="28" t="s">
        <v>345</v>
      </c>
      <c r="H1700" s="28">
        <v>61953</v>
      </c>
      <c r="I1700" s="28">
        <v>39.795811999999998</v>
      </c>
      <c r="J1700" s="28">
        <v>-88.347945999999993</v>
      </c>
      <c r="K1700" s="28" t="s">
        <v>714</v>
      </c>
      <c r="L1700" s="61">
        <v>110000746211</v>
      </c>
      <c r="M1700" s="28" t="s">
        <v>253</v>
      </c>
      <c r="N1700" s="28">
        <v>2869</v>
      </c>
      <c r="O1700" s="28" t="str">
        <f>IFERROR(VLOOKUP(N1700, 'SIC &amp; NAICS Codes'!A:B, 2, FALSE), "")</f>
        <v>Industrial Organic Chemicals, NEC (aliphatics)</v>
      </c>
      <c r="S1700" s="28">
        <v>5.1074999999999999</v>
      </c>
      <c r="T1700" s="315">
        <f>_xlfn.MAXIFS('Raw Period DMR Data'!$O:$O,'Raw Period DMR Data'!$A:$A,'Raw Annual DMR Data_2021-2024'!B2393,'Raw Period DMR Data'!$C:$C,X1700)/S1700</f>
        <v>0</v>
      </c>
      <c r="U1700" s="28" t="str">
        <f>+IF(COUNTIFS('Raw Period DMR Data'!$A:$A,B1700, 'Raw Period DMR Data'!C:C,'Raw Annual DMR Data_2021-2024'!X2393, 'Raw Period DMR Data'!M:M, "&gt;0")&gt;0,_xlfn.MAXIFS('Raw Period DMR Data'!M:M,'Raw Period DMR Data'!$A:$A,'Raw Annual DMR Data_2021-2024'!B2393,'Raw Period DMR Data'!C:C,'Raw Annual DMR Data_2021-2024'!X2393), "N/A - Period DMR Data Not Available")</f>
        <v>N/A - Period DMR Data Not Available</v>
      </c>
      <c r="V1700" s="28" t="str" cm="1">
        <f t="array" ref="V1700">IFERROR(INDEX('Raw Period DMR Data'!N:N,MATCH(1,(B1700='Raw Period DMR Data'!$A:$A)*(U1700='Raw Period DMR Data'!M:M)*(X1700='Raw Period DMR Data'!C:C),0),1), "N/A")</f>
        <v>N/A</v>
      </c>
      <c r="W1700" s="28" t="s">
        <v>1463</v>
      </c>
      <c r="X1700" s="28" t="s">
        <v>1736</v>
      </c>
      <c r="Y1700" s="28" t="s">
        <v>7291</v>
      </c>
      <c r="Z1700" s="61">
        <v>7140201000696</v>
      </c>
      <c r="AA1700" s="28"/>
      <c r="AB1700" s="28" t="s">
        <v>7355</v>
      </c>
      <c r="AC1700" s="28" t="s">
        <v>1466</v>
      </c>
    </row>
    <row r="1701" spans="1:29" x14ac:dyDescent="0.25">
      <c r="A1701" s="61">
        <v>110000746211</v>
      </c>
      <c r="B1701" s="28">
        <v>2022</v>
      </c>
      <c r="C1701" s="68">
        <f t="shared" si="27"/>
        <v>44562</v>
      </c>
      <c r="D1701" s="28" t="s">
        <v>1105</v>
      </c>
      <c r="E1701" s="28" t="s">
        <v>7006</v>
      </c>
      <c r="F1701" s="28" t="s">
        <v>1106</v>
      </c>
      <c r="G1701" s="28" t="s">
        <v>345</v>
      </c>
      <c r="H1701" s="28">
        <v>61953</v>
      </c>
      <c r="I1701" s="28">
        <v>39.795811999999998</v>
      </c>
      <c r="J1701" s="28">
        <v>-88.347945999999993</v>
      </c>
      <c r="K1701" s="28" t="s">
        <v>714</v>
      </c>
      <c r="L1701" s="61">
        <v>110000746211</v>
      </c>
      <c r="M1701" s="28" t="s">
        <v>253</v>
      </c>
      <c r="N1701" s="28">
        <v>2869</v>
      </c>
      <c r="O1701" s="28" t="str">
        <f>IFERROR(VLOOKUP(N1701, 'SIC &amp; NAICS Codes'!A:B, 2, FALSE), "")</f>
        <v>Industrial Organic Chemicals, NEC (aliphatics)</v>
      </c>
      <c r="S1701" s="28">
        <v>4.9631280000000002</v>
      </c>
      <c r="T1701" s="315">
        <f>_xlfn.MAXIFS('Raw Period DMR Data'!$O:$O,'Raw Period DMR Data'!$A:$A,'Raw Annual DMR Data_2021-2024'!B2395,'Raw Period DMR Data'!$C:$C,X1701)/S1701</f>
        <v>0</v>
      </c>
      <c r="U1701" s="28" t="str">
        <f>+IF(COUNTIFS('Raw Period DMR Data'!$A:$A,B1701, 'Raw Period DMR Data'!C:C,'Raw Annual DMR Data_2021-2024'!X2395, 'Raw Period DMR Data'!M:M, "&gt;0")&gt;0,_xlfn.MAXIFS('Raw Period DMR Data'!M:M,'Raw Period DMR Data'!$A:$A,'Raw Annual DMR Data_2021-2024'!B2395,'Raw Period DMR Data'!C:C,'Raw Annual DMR Data_2021-2024'!X2395), "N/A - Period DMR Data Not Available")</f>
        <v>N/A - Period DMR Data Not Available</v>
      </c>
      <c r="V1701" s="28" t="str" cm="1">
        <f t="array" ref="V1701">IFERROR(INDEX('Raw Period DMR Data'!N:N,MATCH(1,(B1701='Raw Period DMR Data'!$A:$A)*(U1701='Raw Period DMR Data'!M:M)*(X1701='Raw Period DMR Data'!C:C),0),1), "N/A")</f>
        <v>N/A</v>
      </c>
      <c r="W1701" s="28" t="s">
        <v>1463</v>
      </c>
      <c r="X1701" s="28" t="s">
        <v>1736</v>
      </c>
      <c r="Y1701" s="28" t="s">
        <v>7291</v>
      </c>
      <c r="Z1701" s="61">
        <v>7140201000696</v>
      </c>
      <c r="AB1701" s="28" t="s">
        <v>7355</v>
      </c>
      <c r="AC1701" s="28" t="s">
        <v>1466</v>
      </c>
    </row>
    <row r="1702" spans="1:29" x14ac:dyDescent="0.25">
      <c r="A1702" s="61">
        <v>110000746211</v>
      </c>
      <c r="B1702" s="28">
        <v>2024</v>
      </c>
      <c r="C1702" s="68">
        <f t="shared" si="27"/>
        <v>45292</v>
      </c>
      <c r="D1702" s="28" t="s">
        <v>1105</v>
      </c>
      <c r="E1702" s="28" t="s">
        <v>7006</v>
      </c>
      <c r="F1702" s="28" t="s">
        <v>1106</v>
      </c>
      <c r="G1702" s="28" t="s">
        <v>345</v>
      </c>
      <c r="H1702" s="28">
        <v>61953</v>
      </c>
      <c r="I1702" s="28">
        <v>39.795811999999998</v>
      </c>
      <c r="J1702" s="28">
        <v>-88.347945999999993</v>
      </c>
      <c r="K1702" s="28" t="s">
        <v>714</v>
      </c>
      <c r="L1702" s="61">
        <v>110000746211</v>
      </c>
      <c r="M1702" s="28" t="s">
        <v>253</v>
      </c>
      <c r="N1702" s="28">
        <v>2869</v>
      </c>
      <c r="O1702" s="28" t="str">
        <f>IFERROR(VLOOKUP(N1702, 'SIC &amp; NAICS Codes'!A:B, 2, FALSE), "")</f>
        <v>Industrial Organic Chemicals, NEC (aliphatics)</v>
      </c>
      <c r="S1702" s="28">
        <v>2.8710960000000001</v>
      </c>
      <c r="T1702" s="315">
        <f>_xlfn.MAXIFS('Raw Period DMR Data'!$O:$O,'Raw Period DMR Data'!$A:$A,'Raw Annual DMR Data_2021-2024'!#REF!,'Raw Period DMR Data'!$C:$C,X1702)/S1702</f>
        <v>0</v>
      </c>
      <c r="U1702" s="28" t="str">
        <f>+IF(COUNTIFS('Raw Period DMR Data'!$A:$A,B1702,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02" s="28" t="str" cm="1">
        <f t="array" ref="V1702">IFERROR(INDEX('Raw Period DMR Data'!N:N,MATCH(1,(B1702='Raw Period DMR Data'!$A:$A)*(U1702='Raw Period DMR Data'!M:M)*(X1702='Raw Period DMR Data'!C:C),0),1), "N/A")</f>
        <v>N/A</v>
      </c>
      <c r="W1702" s="28" t="s">
        <v>1463</v>
      </c>
      <c r="X1702" s="28" t="s">
        <v>1736</v>
      </c>
      <c r="Y1702" s="28" t="s">
        <v>7291</v>
      </c>
      <c r="Z1702" s="61">
        <v>7140201000696</v>
      </c>
      <c r="AB1702" s="28" t="s">
        <v>7355</v>
      </c>
      <c r="AC1702" s="28" t="s">
        <v>1466</v>
      </c>
    </row>
    <row r="1703" spans="1:29" x14ac:dyDescent="0.25">
      <c r="A1703" s="61">
        <v>110000433013</v>
      </c>
      <c r="B1703" s="28">
        <v>2024</v>
      </c>
      <c r="C1703" s="68">
        <f t="shared" si="27"/>
        <v>45292</v>
      </c>
      <c r="D1703" s="28" t="s">
        <v>6847</v>
      </c>
      <c r="E1703" s="28" t="s">
        <v>1726</v>
      </c>
      <c r="F1703" s="28" t="s">
        <v>1103</v>
      </c>
      <c r="G1703" s="28" t="s">
        <v>345</v>
      </c>
      <c r="H1703" s="28">
        <v>60450</v>
      </c>
      <c r="I1703" s="28">
        <v>41.412897000000001</v>
      </c>
      <c r="J1703" s="28">
        <v>-88.329773000000003</v>
      </c>
      <c r="K1703" s="28" t="s">
        <v>712</v>
      </c>
      <c r="L1703" s="61">
        <v>110000433013</v>
      </c>
      <c r="M1703" s="28" t="s">
        <v>265</v>
      </c>
      <c r="N1703" s="28">
        <v>2821</v>
      </c>
      <c r="O1703" s="28" t="str">
        <f>IFERROR(VLOOKUP(N1703, 'SIC &amp; NAICS Codes'!A:B, 2, FALSE), "")</f>
        <v>Plastics Materials, Synthetic and Resins, and Nonvulcanizable Elastomers</v>
      </c>
      <c r="S1703" s="28">
        <v>2.9010600000000002</v>
      </c>
      <c r="T1703" s="315">
        <f>_xlfn.MAXIFS('Raw Period DMR Data'!$O:$O,'Raw Period DMR Data'!$A:$A,'Raw Annual DMR Data_2021-2024'!#REF!,'Raw Period DMR Data'!$C:$C,X1703)/S1703</f>
        <v>0</v>
      </c>
      <c r="U1703" s="28" t="str">
        <f>+IF(COUNTIFS('Raw Period DMR Data'!$A:$A,B1703,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03" s="28" t="str" cm="1">
        <f t="array" ref="V1703">IFERROR(INDEX('Raw Period DMR Data'!N:N,MATCH(1,(B1703='Raw Period DMR Data'!$A:$A)*(U1703='Raw Period DMR Data'!M:M)*(X1703='Raw Period DMR Data'!C:C),0),1), "N/A")</f>
        <v>N/A</v>
      </c>
      <c r="W1703" s="28" t="s">
        <v>1463</v>
      </c>
      <c r="X1703" s="28" t="s">
        <v>1728</v>
      </c>
      <c r="Y1703" s="28" t="s">
        <v>1729</v>
      </c>
      <c r="Z1703" s="61">
        <v>7120005000248</v>
      </c>
      <c r="AB1703" s="28" t="s">
        <v>7355</v>
      </c>
      <c r="AC1703" s="28" t="s">
        <v>1466</v>
      </c>
    </row>
    <row r="1704" spans="1:29" x14ac:dyDescent="0.25">
      <c r="A1704" s="61">
        <v>110000433013</v>
      </c>
      <c r="B1704" s="28">
        <v>2023</v>
      </c>
      <c r="C1704" s="68">
        <f t="shared" si="27"/>
        <v>44927</v>
      </c>
      <c r="D1704" s="28" t="s">
        <v>6847</v>
      </c>
      <c r="E1704" s="28" t="s">
        <v>1726</v>
      </c>
      <c r="F1704" s="28" t="s">
        <v>1103</v>
      </c>
      <c r="G1704" s="28" t="s">
        <v>345</v>
      </c>
      <c r="H1704" s="28">
        <v>60450</v>
      </c>
      <c r="I1704" s="28">
        <v>41.412897000000001</v>
      </c>
      <c r="J1704" s="28">
        <v>-88.329773000000003</v>
      </c>
      <c r="K1704" s="28" t="s">
        <v>712</v>
      </c>
      <c r="L1704" s="61">
        <v>110000433013</v>
      </c>
      <c r="M1704" s="28" t="s">
        <v>265</v>
      </c>
      <c r="N1704" s="28">
        <v>2821</v>
      </c>
      <c r="O1704" s="28" t="str">
        <f>IFERROR(VLOOKUP(N1704, 'SIC &amp; NAICS Codes'!A:B, 2, FALSE), "")</f>
        <v>Plastics Materials, Synthetic and Resins, and Nonvulcanizable Elastomers</v>
      </c>
      <c r="S1704" s="28">
        <v>1.67526</v>
      </c>
      <c r="T1704" s="315">
        <f>_xlfn.MAXIFS('Raw Period DMR Data'!$O:$O,'Raw Period DMR Data'!$A:$A,'Raw Annual DMR Data_2021-2024'!#REF!,'Raw Period DMR Data'!$C:$C,X1704)/S1704</f>
        <v>0</v>
      </c>
      <c r="U1704" s="28" t="str">
        <f>+IF(COUNTIFS('Raw Period DMR Data'!$A:$A,B1704,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04" s="28" t="str" cm="1">
        <f t="array" ref="V1704">IFERROR(INDEX('Raw Period DMR Data'!N:N,MATCH(1,(B1704='Raw Period DMR Data'!$A:$A)*(U1704='Raw Period DMR Data'!M:M)*(X1704='Raw Period DMR Data'!C:C),0),1), "N/A")</f>
        <v>N/A</v>
      </c>
      <c r="W1704" s="28" t="s">
        <v>1463</v>
      </c>
      <c r="X1704" s="28" t="s">
        <v>1728</v>
      </c>
      <c r="Y1704" s="28" t="s">
        <v>1729</v>
      </c>
      <c r="Z1704" s="61" t="s">
        <v>1730</v>
      </c>
      <c r="AB1704" s="28" t="s">
        <v>7355</v>
      </c>
      <c r="AC1704" s="28" t="s">
        <v>1466</v>
      </c>
    </row>
    <row r="1705" spans="1:29" x14ac:dyDescent="0.25">
      <c r="A1705" s="61">
        <v>110000433013</v>
      </c>
      <c r="B1705" s="28">
        <v>2024</v>
      </c>
      <c r="C1705" s="68">
        <f t="shared" si="27"/>
        <v>45292</v>
      </c>
      <c r="D1705" s="28" t="s">
        <v>6847</v>
      </c>
      <c r="E1705" s="28" t="s">
        <v>1726</v>
      </c>
      <c r="F1705" s="28" t="s">
        <v>1103</v>
      </c>
      <c r="G1705" s="28" t="s">
        <v>345</v>
      </c>
      <c r="H1705" s="28">
        <v>60450</v>
      </c>
      <c r="I1705" s="28">
        <v>41.412897000000001</v>
      </c>
      <c r="J1705" s="28">
        <v>-88.329773000000003</v>
      </c>
      <c r="K1705" s="28" t="s">
        <v>712</v>
      </c>
      <c r="L1705" s="61">
        <v>110000433013</v>
      </c>
      <c r="M1705" s="28" t="s">
        <v>265</v>
      </c>
      <c r="N1705" s="28">
        <v>2821</v>
      </c>
      <c r="O1705" s="28" t="str">
        <f>IFERROR(VLOOKUP(N1705, 'SIC &amp; NAICS Codes'!A:B, 2, FALSE), "")</f>
        <v>Plastics Materials, Synthetic and Resins, and Nonvulcanizable Elastomers</v>
      </c>
      <c r="S1705" s="28">
        <v>1.64802</v>
      </c>
      <c r="T1705" s="315">
        <f>_xlfn.MAXIFS('Raw Period DMR Data'!$O:$O,'Raw Period DMR Data'!$A:$A,'Raw Annual DMR Data_2021-2024'!#REF!,'Raw Period DMR Data'!$C:$C,X1705)/S1705</f>
        <v>0</v>
      </c>
      <c r="U1705" s="28" t="str">
        <f>+IF(COUNTIFS('Raw Period DMR Data'!$A:$A,B1705,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05" s="28" t="str" cm="1">
        <f t="array" ref="V1705">IFERROR(INDEX('Raw Period DMR Data'!N:N,MATCH(1,(B1705='Raw Period DMR Data'!$A:$A)*(U1705='Raw Period DMR Data'!M:M)*(X1705='Raw Period DMR Data'!C:C),0),1), "N/A")</f>
        <v>N/A</v>
      </c>
      <c r="W1705" s="28" t="s">
        <v>1463</v>
      </c>
      <c r="X1705" s="28" t="s">
        <v>1728</v>
      </c>
      <c r="Y1705" s="28" t="s">
        <v>1729</v>
      </c>
      <c r="Z1705" s="61">
        <v>7120005000248</v>
      </c>
      <c r="AB1705" s="28" t="s">
        <v>7355</v>
      </c>
      <c r="AC1705" s="28" t="s">
        <v>1466</v>
      </c>
    </row>
    <row r="1706" spans="1:29" x14ac:dyDescent="0.25">
      <c r="A1706" s="61">
        <v>110000433013</v>
      </c>
      <c r="B1706" s="28">
        <v>2023</v>
      </c>
      <c r="C1706" s="68">
        <f t="shared" si="27"/>
        <v>44927</v>
      </c>
      <c r="D1706" s="28" t="s">
        <v>6847</v>
      </c>
      <c r="E1706" s="28" t="s">
        <v>1726</v>
      </c>
      <c r="F1706" s="28" t="s">
        <v>1103</v>
      </c>
      <c r="G1706" s="28" t="s">
        <v>345</v>
      </c>
      <c r="H1706" s="28">
        <v>60450</v>
      </c>
      <c r="I1706" s="28">
        <v>41.412897000000001</v>
      </c>
      <c r="J1706" s="28">
        <v>-88.329773000000003</v>
      </c>
      <c r="K1706" s="28" t="s">
        <v>712</v>
      </c>
      <c r="L1706" s="61">
        <v>110000433013</v>
      </c>
      <c r="M1706" s="28" t="s">
        <v>265</v>
      </c>
      <c r="N1706" s="28">
        <v>2821</v>
      </c>
      <c r="O1706" s="28" t="str">
        <f>IFERROR(VLOOKUP(N1706, 'SIC &amp; NAICS Codes'!A:B, 2, FALSE), "")</f>
        <v>Plastics Materials, Synthetic and Resins, and Nonvulcanizable Elastomers</v>
      </c>
      <c r="S1706" s="28">
        <v>1.2530399999999999</v>
      </c>
      <c r="T1706" s="315">
        <f>_xlfn.MAXIFS('Raw Period DMR Data'!$O:$O,'Raw Period DMR Data'!$A:$A,'Raw Annual DMR Data_2021-2024'!#REF!,'Raw Period DMR Data'!$C:$C,X1706)/S1706</f>
        <v>0</v>
      </c>
      <c r="U1706" s="28" t="str">
        <f>+IF(COUNTIFS('Raw Period DMR Data'!$A:$A,B1706,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06" s="28" t="str" cm="1">
        <f t="array" ref="V1706">IFERROR(INDEX('Raw Period DMR Data'!N:N,MATCH(1,(B1706='Raw Period DMR Data'!$A:$A)*(U1706='Raw Period DMR Data'!M:M)*(X1706='Raw Period DMR Data'!C:C),0),1), "N/A")</f>
        <v>N/A</v>
      </c>
      <c r="W1706" s="28" t="s">
        <v>1463</v>
      </c>
      <c r="X1706" s="28" t="s">
        <v>1728</v>
      </c>
      <c r="Y1706" s="28" t="s">
        <v>1729</v>
      </c>
      <c r="Z1706" s="61" t="s">
        <v>1730</v>
      </c>
      <c r="AB1706" s="28" t="s">
        <v>7355</v>
      </c>
      <c r="AC1706" s="28" t="s">
        <v>1466</v>
      </c>
    </row>
    <row r="1707" spans="1:29" x14ac:dyDescent="0.25">
      <c r="A1707" s="61">
        <v>110000433013</v>
      </c>
      <c r="B1707" s="28">
        <v>2021</v>
      </c>
      <c r="C1707" s="68">
        <f t="shared" si="27"/>
        <v>44197</v>
      </c>
      <c r="D1707" s="28" t="s">
        <v>6847</v>
      </c>
      <c r="E1707" s="28" t="s">
        <v>1726</v>
      </c>
      <c r="F1707" s="28" t="s">
        <v>1103</v>
      </c>
      <c r="G1707" s="28" t="s">
        <v>345</v>
      </c>
      <c r="H1707" s="28">
        <v>60450</v>
      </c>
      <c r="I1707" s="28">
        <v>41.412897000000001</v>
      </c>
      <c r="J1707" s="28">
        <v>-88.329773000000003</v>
      </c>
      <c r="K1707" s="28" t="s">
        <v>712</v>
      </c>
      <c r="L1707" s="61">
        <v>110000433013</v>
      </c>
      <c r="M1707" s="28" t="s">
        <v>265</v>
      </c>
      <c r="N1707" s="28">
        <v>2821</v>
      </c>
      <c r="O1707" s="28" t="str">
        <f>IFERROR(VLOOKUP(N1707, 'SIC &amp; NAICS Codes'!A:B, 2, FALSE), "")</f>
        <v>Plastics Materials, Synthetic and Resins, and Nonvulcanizable Elastomers</v>
      </c>
      <c r="S1707" s="28">
        <v>0.83082</v>
      </c>
      <c r="T1707" s="315">
        <f>_xlfn.MAXIFS('Raw Period DMR Data'!$O:$O,'Raw Period DMR Data'!$A:$A,'Raw Annual DMR Data_2021-2024'!#REF!,'Raw Period DMR Data'!$C:$C,X1707)/S1707</f>
        <v>0</v>
      </c>
      <c r="U1707" s="28" t="str">
        <f>+IF(COUNTIFS('Raw Period DMR Data'!$A:$A,B1707,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07" s="28" t="str" cm="1">
        <f t="array" ref="V1707">IFERROR(INDEX('Raw Period DMR Data'!N:N,MATCH(1,(B1707='Raw Period DMR Data'!$A:$A)*(U1707='Raw Period DMR Data'!M:M)*(X1707='Raw Period DMR Data'!C:C),0),1), "N/A")</f>
        <v>N/A</v>
      </c>
      <c r="W1707" s="28" t="s">
        <v>1463</v>
      </c>
      <c r="X1707" s="28" t="s">
        <v>1728</v>
      </c>
      <c r="Y1707" s="28" t="s">
        <v>1729</v>
      </c>
      <c r="Z1707" s="61">
        <v>7120005000248</v>
      </c>
      <c r="AA1707" s="28"/>
      <c r="AB1707" s="28" t="s">
        <v>7355</v>
      </c>
      <c r="AC1707" s="28" t="s">
        <v>1466</v>
      </c>
    </row>
    <row r="1708" spans="1:29" x14ac:dyDescent="0.25">
      <c r="A1708" s="61">
        <v>110000433013</v>
      </c>
      <c r="B1708" s="28">
        <v>2021</v>
      </c>
      <c r="C1708" s="68">
        <f t="shared" si="27"/>
        <v>44197</v>
      </c>
      <c r="D1708" s="28" t="s">
        <v>6847</v>
      </c>
      <c r="E1708" s="28" t="s">
        <v>1726</v>
      </c>
      <c r="F1708" s="28" t="s">
        <v>1103</v>
      </c>
      <c r="G1708" s="28" t="s">
        <v>345</v>
      </c>
      <c r="H1708" s="28">
        <v>60450</v>
      </c>
      <c r="I1708" s="28">
        <v>41.412897000000001</v>
      </c>
      <c r="J1708" s="28">
        <v>-88.329773000000003</v>
      </c>
      <c r="K1708" s="28" t="s">
        <v>712</v>
      </c>
      <c r="L1708" s="61">
        <v>110000433013</v>
      </c>
      <c r="M1708" s="28" t="s">
        <v>265</v>
      </c>
      <c r="N1708" s="28">
        <v>2821</v>
      </c>
      <c r="O1708" s="28" t="str">
        <f>IFERROR(VLOOKUP(N1708, 'SIC &amp; NAICS Codes'!A:B, 2, FALSE), "")</f>
        <v>Plastics Materials, Synthetic and Resins, and Nonvulcanizable Elastomers</v>
      </c>
      <c r="S1708" s="28">
        <v>0.83082</v>
      </c>
      <c r="T1708" s="315">
        <f>_xlfn.MAXIFS('Raw Period DMR Data'!$O:$O,'Raw Period DMR Data'!$A:$A,'Raw Annual DMR Data_2021-2024'!#REF!,'Raw Period DMR Data'!$C:$C,X1708)/S1708</f>
        <v>0</v>
      </c>
      <c r="U1708" s="28" t="str">
        <f>+IF(COUNTIFS('Raw Period DMR Data'!$A:$A,B1708,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08" s="28" t="str" cm="1">
        <f t="array" ref="V1708">IFERROR(INDEX('Raw Period DMR Data'!N:N,MATCH(1,(B1708='Raw Period DMR Data'!$A:$A)*(U1708='Raw Period DMR Data'!M:M)*(X1708='Raw Period DMR Data'!C:C),0),1), "N/A")</f>
        <v>N/A</v>
      </c>
      <c r="W1708" s="28" t="s">
        <v>1463</v>
      </c>
      <c r="X1708" s="28" t="s">
        <v>1728</v>
      </c>
      <c r="Y1708" s="28" t="s">
        <v>1729</v>
      </c>
      <c r="Z1708" s="61">
        <v>7120005000248</v>
      </c>
      <c r="AA1708" s="28"/>
      <c r="AB1708" s="28" t="s">
        <v>7355</v>
      </c>
      <c r="AC1708" s="28" t="s">
        <v>1466</v>
      </c>
    </row>
    <row r="1709" spans="1:29" x14ac:dyDescent="0.25">
      <c r="A1709" s="61">
        <v>110000433013</v>
      </c>
      <c r="B1709" s="28">
        <v>2022</v>
      </c>
      <c r="C1709" s="68">
        <f t="shared" si="27"/>
        <v>44562</v>
      </c>
      <c r="D1709" s="28" t="s">
        <v>6847</v>
      </c>
      <c r="E1709" s="28" t="s">
        <v>1726</v>
      </c>
      <c r="F1709" s="28" t="s">
        <v>1103</v>
      </c>
      <c r="G1709" s="28" t="s">
        <v>345</v>
      </c>
      <c r="H1709" s="28">
        <v>60450</v>
      </c>
      <c r="I1709" s="28">
        <v>41.412897000000001</v>
      </c>
      <c r="J1709" s="28">
        <v>-88.329773000000003</v>
      </c>
      <c r="K1709" s="28" t="s">
        <v>712</v>
      </c>
      <c r="L1709" s="61">
        <v>110000433013</v>
      </c>
      <c r="M1709" s="28" t="s">
        <v>265</v>
      </c>
      <c r="N1709" s="28">
        <v>2821</v>
      </c>
      <c r="O1709" s="28" t="str">
        <f>IFERROR(VLOOKUP(N1709, 'SIC &amp; NAICS Codes'!A:B, 2, FALSE), "")</f>
        <v>Plastics Materials, Synthetic and Resins, and Nonvulcanizable Elastomers</v>
      </c>
      <c r="S1709" s="28">
        <v>0.83082</v>
      </c>
      <c r="T1709" s="315">
        <f>_xlfn.MAXIFS('Raw Period DMR Data'!$O:$O,'Raw Period DMR Data'!$A:$A,'Raw Annual DMR Data_2021-2024'!#REF!,'Raw Period DMR Data'!$C:$C,X1709)/S1709</f>
        <v>0</v>
      </c>
      <c r="U1709" s="28" t="str">
        <f>+IF(COUNTIFS('Raw Period DMR Data'!$A:$A,B1709,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09" s="28" t="str" cm="1">
        <f t="array" ref="V1709">IFERROR(INDEX('Raw Period DMR Data'!N:N,MATCH(1,(B1709='Raw Period DMR Data'!$A:$A)*(U1709='Raw Period DMR Data'!M:M)*(X1709='Raw Period DMR Data'!C:C),0),1), "N/A")</f>
        <v>N/A</v>
      </c>
      <c r="W1709" s="28" t="s">
        <v>1463</v>
      </c>
      <c r="X1709" s="28" t="s">
        <v>1728</v>
      </c>
      <c r="Y1709" s="28" t="s">
        <v>1729</v>
      </c>
      <c r="Z1709" s="61">
        <v>7120005000248</v>
      </c>
      <c r="AB1709" s="28" t="s">
        <v>7355</v>
      </c>
      <c r="AC1709" s="28" t="s">
        <v>1466</v>
      </c>
    </row>
    <row r="1710" spans="1:29" x14ac:dyDescent="0.25">
      <c r="A1710" s="61">
        <v>110000433013</v>
      </c>
      <c r="B1710" s="28">
        <v>2022</v>
      </c>
      <c r="C1710" s="68">
        <f t="shared" si="27"/>
        <v>44562</v>
      </c>
      <c r="D1710" s="28" t="s">
        <v>6847</v>
      </c>
      <c r="E1710" s="28" t="s">
        <v>1726</v>
      </c>
      <c r="F1710" s="28" t="s">
        <v>1103</v>
      </c>
      <c r="G1710" s="28" t="s">
        <v>345</v>
      </c>
      <c r="H1710" s="28">
        <v>60450</v>
      </c>
      <c r="I1710" s="28">
        <v>41.412897000000001</v>
      </c>
      <c r="J1710" s="28">
        <v>-88.329773000000003</v>
      </c>
      <c r="K1710" s="28" t="s">
        <v>712</v>
      </c>
      <c r="L1710" s="61">
        <v>110000433013</v>
      </c>
      <c r="M1710" s="28" t="s">
        <v>265</v>
      </c>
      <c r="N1710" s="28">
        <v>2821</v>
      </c>
      <c r="O1710" s="28" t="str">
        <f>IFERROR(VLOOKUP(N1710, 'SIC &amp; NAICS Codes'!A:B, 2, FALSE), "")</f>
        <v>Plastics Materials, Synthetic and Resins, and Nonvulcanizable Elastomers</v>
      </c>
      <c r="S1710" s="28">
        <v>0.83082</v>
      </c>
      <c r="T1710" s="315">
        <f>_xlfn.MAXIFS('Raw Period DMR Data'!$O:$O,'Raw Period DMR Data'!$A:$A,'Raw Annual DMR Data_2021-2024'!#REF!,'Raw Period DMR Data'!$C:$C,X1710)/S1710</f>
        <v>0</v>
      </c>
      <c r="U1710" s="28" t="str">
        <f>+IF(COUNTIFS('Raw Period DMR Data'!$A:$A,B1710,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10" s="28" t="str" cm="1">
        <f t="array" ref="V1710">IFERROR(INDEX('Raw Period DMR Data'!N:N,MATCH(1,(B1710='Raw Period DMR Data'!$A:$A)*(U1710='Raw Period DMR Data'!M:M)*(X1710='Raw Period DMR Data'!C:C),0),1), "N/A")</f>
        <v>N/A</v>
      </c>
      <c r="W1710" s="28" t="s">
        <v>1463</v>
      </c>
      <c r="X1710" s="28" t="s">
        <v>1728</v>
      </c>
      <c r="Y1710" s="28" t="s">
        <v>1729</v>
      </c>
      <c r="Z1710" s="61">
        <v>7120005000248</v>
      </c>
      <c r="AB1710" s="28" t="s">
        <v>7355</v>
      </c>
      <c r="AC1710" s="28" t="s">
        <v>1466</v>
      </c>
    </row>
    <row r="1711" spans="1:29" x14ac:dyDescent="0.25">
      <c r="A1711" s="61">
        <v>110001143584</v>
      </c>
      <c r="B1711" s="28">
        <v>2022</v>
      </c>
      <c r="C1711" s="68">
        <f t="shared" si="27"/>
        <v>44562</v>
      </c>
      <c r="D1711" s="28" t="s">
        <v>144</v>
      </c>
      <c r="E1711" s="28" t="s">
        <v>467</v>
      </c>
      <c r="F1711" s="28" t="s">
        <v>302</v>
      </c>
      <c r="G1711" s="28" t="s">
        <v>303</v>
      </c>
      <c r="H1711" s="28">
        <v>70805</v>
      </c>
      <c r="I1711" s="28">
        <v>30.483523000000002</v>
      </c>
      <c r="J1711" s="28">
        <v>-91.183440000000004</v>
      </c>
      <c r="L1711" s="61">
        <v>110001143584</v>
      </c>
      <c r="M1711" s="28" t="s">
        <v>254</v>
      </c>
      <c r="N1711" s="28">
        <v>2869</v>
      </c>
      <c r="O1711" s="28" t="str">
        <f>IFERROR(VLOOKUP(N1711, 'SIC &amp; NAICS Codes'!A:B, 2, FALSE), "")</f>
        <v>Industrial Organic Chemicals, NEC (aliphatics)</v>
      </c>
      <c r="S1711" s="28">
        <v>7.8759831849999999</v>
      </c>
      <c r="T1711" s="315">
        <f>_xlfn.MAXIFS('Raw Period DMR Data'!$O:$O,'Raw Period DMR Data'!$A:$A,'Raw Annual DMR Data_2021-2024'!B2377,'Raw Period DMR Data'!$C:$C,X1711)/S1711</f>
        <v>0</v>
      </c>
      <c r="U1711" s="28" t="str">
        <f>+IF(COUNTIFS('Raw Period DMR Data'!$A:$A,B1711, 'Raw Period DMR Data'!C:C,'Raw Annual DMR Data_2021-2024'!X2377, 'Raw Period DMR Data'!M:M, "&gt;0")&gt;0,_xlfn.MAXIFS('Raw Period DMR Data'!M:M,'Raw Period DMR Data'!$A:$A,'Raw Annual DMR Data_2021-2024'!B2377,'Raw Period DMR Data'!C:C,'Raw Annual DMR Data_2021-2024'!X2377), "N/A - Period DMR Data Not Available")</f>
        <v>N/A - Period DMR Data Not Available</v>
      </c>
      <c r="V1711" s="28" t="str" cm="1">
        <f t="array" ref="V1711">IFERROR(INDEX('Raw Period DMR Data'!N:N,MATCH(1,(B1711='Raw Period DMR Data'!$A:$A)*(U1711='Raw Period DMR Data'!M:M)*(X1711='Raw Period DMR Data'!C:C),0),1), "N/A")</f>
        <v>N/A</v>
      </c>
      <c r="W1711" s="28" t="s">
        <v>1463</v>
      </c>
      <c r="X1711" s="28" t="s">
        <v>852</v>
      </c>
      <c r="Y1711" s="28">
        <v>701</v>
      </c>
      <c r="Z1711" s="61">
        <v>8070201006480</v>
      </c>
      <c r="AB1711" s="28" t="s">
        <v>7355</v>
      </c>
      <c r="AC1711" s="28" t="s">
        <v>1466</v>
      </c>
    </row>
    <row r="1712" spans="1:29" x14ac:dyDescent="0.25">
      <c r="A1712" s="61">
        <v>110001143584</v>
      </c>
      <c r="B1712" s="28">
        <v>2021</v>
      </c>
      <c r="C1712" s="68">
        <f t="shared" si="27"/>
        <v>44197</v>
      </c>
      <c r="D1712" s="28" t="s">
        <v>144</v>
      </c>
      <c r="E1712" s="28" t="s">
        <v>467</v>
      </c>
      <c r="F1712" s="28" t="s">
        <v>302</v>
      </c>
      <c r="G1712" s="28" t="s">
        <v>303</v>
      </c>
      <c r="H1712" s="28">
        <v>70805</v>
      </c>
      <c r="I1712" s="28">
        <v>30.483523000000002</v>
      </c>
      <c r="J1712" s="28">
        <v>-91.183440000000004</v>
      </c>
      <c r="L1712" s="61">
        <v>110001143584</v>
      </c>
      <c r="M1712" s="28" t="s">
        <v>254</v>
      </c>
      <c r="N1712" s="28">
        <v>2869</v>
      </c>
      <c r="O1712" s="28" t="str">
        <f>IFERROR(VLOOKUP(N1712, 'SIC &amp; NAICS Codes'!A:B, 2, FALSE), "")</f>
        <v>Industrial Organic Chemicals, NEC (aliphatics)</v>
      </c>
      <c r="S1712" s="28">
        <v>3.2217617199999999</v>
      </c>
      <c r="T1712" s="315">
        <f>_xlfn.MAXIFS('Raw Period DMR Data'!$O:$O,'Raw Period DMR Data'!$A:$A,'Raw Annual DMR Data_2021-2024'!#REF!,'Raw Period DMR Data'!$C:$C,X1712)/S1712</f>
        <v>0</v>
      </c>
      <c r="U1712" s="28" t="str">
        <f>+IF(COUNTIFS('Raw Period DMR Data'!$A:$A,B1712,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12" s="28" t="str" cm="1">
        <f t="array" ref="V1712">IFERROR(INDEX('Raw Period DMR Data'!N:N,MATCH(1,(B1712='Raw Period DMR Data'!$A:$A)*(U1712='Raw Period DMR Data'!M:M)*(X1712='Raw Period DMR Data'!C:C),0),1), "N/A")</f>
        <v>N/A</v>
      </c>
      <c r="W1712" s="28" t="s">
        <v>1463</v>
      </c>
      <c r="X1712" s="28" t="s">
        <v>852</v>
      </c>
      <c r="Y1712" s="28">
        <v>701</v>
      </c>
      <c r="Z1712" s="61">
        <v>8070201006480</v>
      </c>
      <c r="AA1712" s="28"/>
      <c r="AB1712" s="28" t="s">
        <v>7355</v>
      </c>
      <c r="AC1712" s="28" t="s">
        <v>1466</v>
      </c>
    </row>
    <row r="1713" spans="1:29" x14ac:dyDescent="0.25">
      <c r="A1713" s="61">
        <v>110001143584</v>
      </c>
      <c r="B1713" s="28">
        <v>2023</v>
      </c>
      <c r="C1713" s="68">
        <f t="shared" si="27"/>
        <v>44927</v>
      </c>
      <c r="D1713" s="28" t="s">
        <v>144</v>
      </c>
      <c r="E1713" s="28" t="s">
        <v>467</v>
      </c>
      <c r="F1713" s="28" t="s">
        <v>302</v>
      </c>
      <c r="G1713" s="28" t="s">
        <v>303</v>
      </c>
      <c r="H1713" s="28">
        <v>70805</v>
      </c>
      <c r="I1713" s="28">
        <v>30.483523000000002</v>
      </c>
      <c r="J1713" s="28">
        <v>-91.183440000000004</v>
      </c>
      <c r="L1713" s="61">
        <v>110001143584</v>
      </c>
      <c r="M1713" s="28" t="s">
        <v>254</v>
      </c>
      <c r="N1713" s="28">
        <v>2869</v>
      </c>
      <c r="O1713" s="28" t="str">
        <f>IFERROR(VLOOKUP(N1713, 'SIC &amp; NAICS Codes'!A:B, 2, FALSE), "")</f>
        <v>Industrial Organic Chemicals, NEC (aliphatics)</v>
      </c>
      <c r="S1713" s="28">
        <v>1.3619161791900001</v>
      </c>
      <c r="T1713" s="315">
        <f>_xlfn.MAXIFS('Raw Period DMR Data'!$O:$O,'Raw Period DMR Data'!$A:$A,'Raw Annual DMR Data_2021-2024'!#REF!,'Raw Period DMR Data'!$C:$C,X1713)/S1713</f>
        <v>0</v>
      </c>
      <c r="U1713" s="28" t="str">
        <f>+IF(COUNTIFS('Raw Period DMR Data'!$A:$A,B1713,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13" s="28" t="str" cm="1">
        <f t="array" ref="V1713">IFERROR(INDEX('Raw Period DMR Data'!N:N,MATCH(1,(B1713='Raw Period DMR Data'!$A:$A)*(U1713='Raw Period DMR Data'!M:M)*(X1713='Raw Period DMR Data'!C:C),0),1), "N/A")</f>
        <v>N/A</v>
      </c>
      <c r="W1713" s="28" t="s">
        <v>1463</v>
      </c>
      <c r="X1713" s="28" t="s">
        <v>852</v>
      </c>
      <c r="Y1713" s="28" t="s">
        <v>1739</v>
      </c>
      <c r="Z1713" s="61" t="s">
        <v>1740</v>
      </c>
      <c r="AB1713" s="28" t="s">
        <v>7355</v>
      </c>
      <c r="AC1713" s="28" t="s">
        <v>1466</v>
      </c>
    </row>
    <row r="1714" spans="1:29" x14ac:dyDescent="0.25">
      <c r="A1714" s="61">
        <v>110001143584</v>
      </c>
      <c r="B1714" s="28">
        <v>2024</v>
      </c>
      <c r="C1714" s="68">
        <f t="shared" si="27"/>
        <v>45292</v>
      </c>
      <c r="D1714" s="28" t="s">
        <v>144</v>
      </c>
      <c r="E1714" s="28" t="s">
        <v>467</v>
      </c>
      <c r="F1714" s="28" t="s">
        <v>302</v>
      </c>
      <c r="G1714" s="28" t="s">
        <v>303</v>
      </c>
      <c r="H1714" s="28">
        <v>70805</v>
      </c>
      <c r="I1714" s="28">
        <v>30.483523000000002</v>
      </c>
      <c r="J1714" s="28">
        <v>-91.183440000000004</v>
      </c>
      <c r="L1714" s="61">
        <v>110001143584</v>
      </c>
      <c r="M1714" s="28" t="s">
        <v>254</v>
      </c>
      <c r="N1714" s="28">
        <v>2869</v>
      </c>
      <c r="O1714" s="28" t="str">
        <f>IFERROR(VLOOKUP(N1714, 'SIC &amp; NAICS Codes'!A:B, 2, FALSE), "")</f>
        <v>Industrial Organic Chemicals, NEC (aliphatics)</v>
      </c>
      <c r="S1714" s="28">
        <v>0.76223468111649995</v>
      </c>
      <c r="T1714" s="315">
        <f>_xlfn.MAXIFS('Raw Period DMR Data'!$O:$O,'Raw Period DMR Data'!$A:$A,'Raw Annual DMR Data_2021-2024'!#REF!,'Raw Period DMR Data'!$C:$C,X1714)/S1714</f>
        <v>0</v>
      </c>
      <c r="U1714" s="28" t="str">
        <f>+IF(COUNTIFS('Raw Period DMR Data'!$A:$A,B1714,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14" s="28" t="str" cm="1">
        <f t="array" ref="V1714">IFERROR(INDEX('Raw Period DMR Data'!N:N,MATCH(1,(B1714='Raw Period DMR Data'!$A:$A)*(U1714='Raw Period DMR Data'!M:M)*(X1714='Raw Period DMR Data'!C:C),0),1), "N/A")</f>
        <v>N/A</v>
      </c>
      <c r="W1714" s="28" t="s">
        <v>1463</v>
      </c>
      <c r="X1714" s="28" t="s">
        <v>852</v>
      </c>
      <c r="Y1714" s="28">
        <v>701</v>
      </c>
      <c r="Z1714" s="61">
        <v>8070201006480</v>
      </c>
      <c r="AB1714" s="28" t="s">
        <v>7355</v>
      </c>
      <c r="AC1714" s="28" t="s">
        <v>1466</v>
      </c>
    </row>
    <row r="1715" spans="1:29" x14ac:dyDescent="0.25">
      <c r="A1715" s="61">
        <v>110001143584</v>
      </c>
      <c r="B1715" s="28">
        <v>2024</v>
      </c>
      <c r="C1715" s="68">
        <f t="shared" si="27"/>
        <v>45292</v>
      </c>
      <c r="D1715" s="28" t="s">
        <v>144</v>
      </c>
      <c r="E1715" s="28" t="s">
        <v>467</v>
      </c>
      <c r="F1715" s="28" t="s">
        <v>302</v>
      </c>
      <c r="G1715" s="28" t="s">
        <v>303</v>
      </c>
      <c r="H1715" s="28">
        <v>70805</v>
      </c>
      <c r="I1715" s="28">
        <v>30.483523000000002</v>
      </c>
      <c r="J1715" s="28">
        <v>-91.183440000000004</v>
      </c>
      <c r="L1715" s="61">
        <v>110001143584</v>
      </c>
      <c r="M1715" s="28" t="s">
        <v>254</v>
      </c>
      <c r="N1715" s="28">
        <v>2869</v>
      </c>
      <c r="O1715" s="28" t="str">
        <f>IFERROR(VLOOKUP(N1715, 'SIC &amp; NAICS Codes'!A:B, 2, FALSE), "")</f>
        <v>Industrial Organic Chemicals, NEC (aliphatics)</v>
      </c>
      <c r="S1715" s="28">
        <v>7.0504103400000004E-3</v>
      </c>
      <c r="T1715" s="315">
        <f>_xlfn.MAXIFS('Raw Period DMR Data'!$O:$O,'Raw Period DMR Data'!$A:$A,'Raw Annual DMR Data_2021-2024'!#REF!,'Raw Period DMR Data'!$C:$C,X1715)/S1715</f>
        <v>0</v>
      </c>
      <c r="U1715" s="28" t="str">
        <f>+IF(COUNTIFS('Raw Period DMR Data'!$A:$A,B1715,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15" s="28" t="str" cm="1">
        <f t="array" ref="V1715">IFERROR(INDEX('Raw Period DMR Data'!N:N,MATCH(1,(B1715='Raw Period DMR Data'!$A:$A)*(U1715='Raw Period DMR Data'!M:M)*(X1715='Raw Period DMR Data'!C:C),0),1), "N/A")</f>
        <v>N/A</v>
      </c>
      <c r="W1715" s="28" t="s">
        <v>1463</v>
      </c>
      <c r="X1715" s="28" t="s">
        <v>852</v>
      </c>
      <c r="Y1715" s="28">
        <v>701</v>
      </c>
      <c r="Z1715" s="61">
        <v>8070201006480</v>
      </c>
      <c r="AB1715" s="28" t="s">
        <v>7355</v>
      </c>
      <c r="AC1715" s="28" t="s">
        <v>1466</v>
      </c>
    </row>
    <row r="1716" spans="1:29" x14ac:dyDescent="0.25">
      <c r="A1716" s="61">
        <v>110001143584</v>
      </c>
      <c r="B1716" s="28">
        <v>2023</v>
      </c>
      <c r="C1716" s="68">
        <f t="shared" si="27"/>
        <v>44927</v>
      </c>
      <c r="D1716" s="28" t="s">
        <v>144</v>
      </c>
      <c r="E1716" s="28" t="s">
        <v>467</v>
      </c>
      <c r="F1716" s="28" t="s">
        <v>302</v>
      </c>
      <c r="G1716" s="28" t="s">
        <v>303</v>
      </c>
      <c r="H1716" s="28">
        <v>70805</v>
      </c>
      <c r="I1716" s="28">
        <v>30.483523000000002</v>
      </c>
      <c r="J1716" s="28">
        <v>-91.183440000000004</v>
      </c>
      <c r="L1716" s="61">
        <v>110001143584</v>
      </c>
      <c r="M1716" s="28" t="s">
        <v>254</v>
      </c>
      <c r="N1716" s="28">
        <v>2869</v>
      </c>
      <c r="O1716" s="28" t="str">
        <f>IFERROR(VLOOKUP(N1716, 'SIC &amp; NAICS Codes'!A:B, 2, FALSE), "")</f>
        <v>Industrial Organic Chemicals, NEC (aliphatics)</v>
      </c>
      <c r="S1716" s="28">
        <v>4.04370475E-3</v>
      </c>
      <c r="T1716" s="315">
        <f>_xlfn.MAXIFS('Raw Period DMR Data'!$O:$O,'Raw Period DMR Data'!$A:$A,'Raw Annual DMR Data_2021-2024'!#REF!,'Raw Period DMR Data'!$C:$C,X1716)/S1716</f>
        <v>0</v>
      </c>
      <c r="U1716" s="28" t="str">
        <f>+IF(COUNTIFS('Raw Period DMR Data'!$A:$A,B1716,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16" s="28" t="str" cm="1">
        <f t="array" ref="V1716">IFERROR(INDEX('Raw Period DMR Data'!N:N,MATCH(1,(B1716='Raw Period DMR Data'!$A:$A)*(U1716='Raw Period DMR Data'!M:M)*(X1716='Raw Period DMR Data'!C:C),0),1), "N/A")</f>
        <v>N/A</v>
      </c>
      <c r="W1716" s="28" t="s">
        <v>1463</v>
      </c>
      <c r="X1716" s="28" t="s">
        <v>852</v>
      </c>
      <c r="Y1716" s="28" t="s">
        <v>1739</v>
      </c>
      <c r="Z1716" s="61" t="s">
        <v>1740</v>
      </c>
      <c r="AB1716" s="28" t="s">
        <v>7355</v>
      </c>
      <c r="AC1716" s="28" t="s">
        <v>1466</v>
      </c>
    </row>
    <row r="1717" spans="1:29" x14ac:dyDescent="0.25">
      <c r="A1717" s="61">
        <v>110070212717</v>
      </c>
      <c r="B1717" s="28">
        <v>2023</v>
      </c>
      <c r="C1717" s="68">
        <f t="shared" si="27"/>
        <v>44927</v>
      </c>
      <c r="D1717" s="28" t="s">
        <v>1107</v>
      </c>
      <c r="E1717" s="28" t="s">
        <v>1741</v>
      </c>
      <c r="F1717" s="28" t="s">
        <v>1108</v>
      </c>
      <c r="G1717" s="28" t="s">
        <v>338</v>
      </c>
      <c r="H1717" s="28" t="s">
        <v>1744</v>
      </c>
      <c r="I1717" s="28">
        <v>40.665252000000002</v>
      </c>
      <c r="J1717" s="28">
        <v>-74.200059999999993</v>
      </c>
      <c r="L1717" s="61">
        <v>110070212717</v>
      </c>
      <c r="M1717" s="28" t="s">
        <v>265</v>
      </c>
      <c r="N1717" s="28">
        <v>2851</v>
      </c>
      <c r="O1717" s="28" t="str">
        <f>IFERROR(VLOOKUP(N1717, 'SIC &amp; NAICS Codes'!A:B, 2, FALSE), "")</f>
        <v>Paints, Varnishes, Lacquers, Enamels and Allied Products</v>
      </c>
      <c r="S1717" s="28">
        <v>1.7257783200000001E-3</v>
      </c>
      <c r="T1717" s="315">
        <f>_xlfn.MAXIFS('Raw Period DMR Data'!$O:$O,'Raw Period DMR Data'!$A:$A,'Raw Annual DMR Data_2021-2024'!#REF!,'Raw Period DMR Data'!$C:$C,X1717)/S1717</f>
        <v>0</v>
      </c>
      <c r="U1717" s="28" t="str">
        <f>+IF(COUNTIFS('Raw Period DMR Data'!$A:$A,B1717,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17" s="28" t="str" cm="1">
        <f t="array" ref="V1717">IFERROR(INDEX('Raw Period DMR Data'!N:N,MATCH(1,(B1717='Raw Period DMR Data'!$A:$A)*(U1717='Raw Period DMR Data'!M:M)*(X1717='Raw Period DMR Data'!C:C),0),1), "N/A")</f>
        <v>N/A</v>
      </c>
      <c r="W1717" s="28" t="s">
        <v>1463</v>
      </c>
      <c r="X1717" s="28" t="s">
        <v>1742</v>
      </c>
      <c r="Y1717" s="28" t="s">
        <v>1743</v>
      </c>
      <c r="Z1717" s="61" t="s">
        <v>1745</v>
      </c>
      <c r="AB1717" s="28" t="s">
        <v>7355</v>
      </c>
      <c r="AC1717" s="28" t="s">
        <v>1466</v>
      </c>
    </row>
    <row r="1718" spans="1:29" x14ac:dyDescent="0.25">
      <c r="A1718" s="61">
        <v>110070212717</v>
      </c>
      <c r="B1718" s="28">
        <v>2022</v>
      </c>
      <c r="C1718" s="68">
        <f t="shared" si="27"/>
        <v>44562</v>
      </c>
      <c r="D1718" s="28" t="s">
        <v>1107</v>
      </c>
      <c r="E1718" s="28" t="s">
        <v>1741</v>
      </c>
      <c r="F1718" s="28" t="s">
        <v>1108</v>
      </c>
      <c r="G1718" s="28" t="s">
        <v>338</v>
      </c>
      <c r="H1718" s="28">
        <v>8872</v>
      </c>
      <c r="I1718" s="28">
        <v>40.665252000000002</v>
      </c>
      <c r="J1718" s="28">
        <v>-74.200059999999993</v>
      </c>
      <c r="L1718" s="61">
        <v>110070212717</v>
      </c>
      <c r="M1718" s="28" t="s">
        <v>265</v>
      </c>
      <c r="N1718" s="28">
        <v>2851</v>
      </c>
      <c r="O1718" s="28" t="str">
        <f>IFERROR(VLOOKUP(N1718, 'SIC &amp; NAICS Codes'!A:B, 2, FALSE), "")</f>
        <v>Paints, Varnishes, Lacquers, Enamels and Allied Products</v>
      </c>
      <c r="S1718" s="28">
        <v>6.009066E-4</v>
      </c>
      <c r="T1718" s="315">
        <f>_xlfn.MAXIFS('Raw Period DMR Data'!$O:$O,'Raw Period DMR Data'!$A:$A,'Raw Annual DMR Data_2021-2024'!#REF!,'Raw Period DMR Data'!$C:$C,X1718)/S1718</f>
        <v>0</v>
      </c>
      <c r="U1718" s="28" t="str">
        <f>+IF(COUNTIFS('Raw Period DMR Data'!$A:$A,B1718,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18" s="28" t="str" cm="1">
        <f t="array" ref="V1718">IFERROR(INDEX('Raw Period DMR Data'!N:N,MATCH(1,(B1718='Raw Period DMR Data'!$A:$A)*(U1718='Raw Period DMR Data'!M:M)*(X1718='Raw Period DMR Data'!C:C),0),1), "N/A")</f>
        <v>N/A</v>
      </c>
      <c r="W1718" s="28" t="s">
        <v>1463</v>
      </c>
      <c r="X1718" s="28" t="s">
        <v>1742</v>
      </c>
      <c r="Y1718" s="28" t="s">
        <v>1743</v>
      </c>
      <c r="Z1718" s="61">
        <v>2030104000356</v>
      </c>
      <c r="AB1718" s="28" t="s">
        <v>7355</v>
      </c>
      <c r="AC1718" s="28" t="s">
        <v>1466</v>
      </c>
    </row>
    <row r="1719" spans="1:29" x14ac:dyDescent="0.25">
      <c r="A1719" s="61">
        <v>110070212717</v>
      </c>
      <c r="B1719" s="28">
        <v>2021</v>
      </c>
      <c r="C1719" s="68">
        <f t="shared" si="27"/>
        <v>44197</v>
      </c>
      <c r="D1719" s="28" t="s">
        <v>1107</v>
      </c>
      <c r="E1719" s="28" t="s">
        <v>1741</v>
      </c>
      <c r="F1719" s="28" t="s">
        <v>1108</v>
      </c>
      <c r="G1719" s="28" t="s">
        <v>338</v>
      </c>
      <c r="H1719" s="28">
        <v>8872</v>
      </c>
      <c r="I1719" s="28">
        <v>40.665252000000002</v>
      </c>
      <c r="J1719" s="28">
        <v>-74.200059999999993</v>
      </c>
      <c r="L1719" s="61">
        <v>110070212717</v>
      </c>
      <c r="M1719" s="28" t="s">
        <v>265</v>
      </c>
      <c r="N1719" s="28">
        <v>2851</v>
      </c>
      <c r="O1719" s="28" t="str">
        <f>IFERROR(VLOOKUP(N1719, 'SIC &amp; NAICS Codes'!A:B, 2, FALSE), "")</f>
        <v>Paints, Varnishes, Lacquers, Enamels and Allied Products</v>
      </c>
      <c r="S1719" s="28">
        <v>3.11024805E-4</v>
      </c>
      <c r="T1719" s="315">
        <f>_xlfn.MAXIFS('Raw Period DMR Data'!$O:$O,'Raw Period DMR Data'!$A:$A,'Raw Annual DMR Data_2021-2024'!#REF!,'Raw Period DMR Data'!$C:$C,X1719)/S1719</f>
        <v>0</v>
      </c>
      <c r="U1719" s="28" t="str">
        <f>+IF(COUNTIFS('Raw Period DMR Data'!$A:$A,B1719,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19" s="28" t="str" cm="1">
        <f t="array" ref="V1719">IFERROR(INDEX('Raw Period DMR Data'!N:N,MATCH(1,(B1719='Raw Period DMR Data'!$A:$A)*(U1719='Raw Period DMR Data'!M:M)*(X1719='Raw Period DMR Data'!C:C),0),1), "N/A")</f>
        <v>N/A</v>
      </c>
      <c r="W1719" s="28" t="s">
        <v>1463</v>
      </c>
      <c r="X1719" s="28" t="s">
        <v>1742</v>
      </c>
      <c r="Y1719" s="28" t="s">
        <v>1743</v>
      </c>
      <c r="Z1719" s="61">
        <v>2030104000356</v>
      </c>
      <c r="AA1719" s="28"/>
      <c r="AB1719" s="28" t="s">
        <v>7355</v>
      </c>
      <c r="AC1719" s="28" t="s">
        <v>1466</v>
      </c>
    </row>
    <row r="1720" spans="1:29" x14ac:dyDescent="0.25">
      <c r="A1720" s="61">
        <v>110000404296</v>
      </c>
      <c r="B1720" s="28">
        <v>2021</v>
      </c>
      <c r="C1720" s="68">
        <f t="shared" si="27"/>
        <v>44197</v>
      </c>
      <c r="D1720" s="28" t="s">
        <v>145</v>
      </c>
      <c r="E1720" s="28" t="s">
        <v>468</v>
      </c>
      <c r="F1720" s="28" t="s">
        <v>314</v>
      </c>
      <c r="G1720" s="28" t="s">
        <v>469</v>
      </c>
      <c r="H1720" s="28">
        <v>479099201</v>
      </c>
      <c r="I1720" s="28">
        <v>40.390543999999998</v>
      </c>
      <c r="J1720" s="28">
        <v>-86.936173999999994</v>
      </c>
      <c r="K1720" s="28" t="s">
        <v>470</v>
      </c>
      <c r="L1720" s="61">
        <v>110000404296</v>
      </c>
      <c r="M1720" s="28" t="s">
        <v>254</v>
      </c>
      <c r="N1720" s="28">
        <v>2833</v>
      </c>
      <c r="O1720" s="28" t="str">
        <f>IFERROR(VLOOKUP(N1720, 'SIC &amp; NAICS Codes'!A:B, 2, FALSE), "")</f>
        <v>Medicinal Chemicals and Botanical Products</v>
      </c>
      <c r="S1720" s="28">
        <v>0.42922068000000002</v>
      </c>
      <c r="T1720" s="315">
        <f>_xlfn.MAXIFS('Raw Period DMR Data'!$O:$O,'Raw Period DMR Data'!$A:$A,'Raw Annual DMR Data_2021-2024'!#REF!,'Raw Period DMR Data'!$C:$C,X1720)/S1720</f>
        <v>0</v>
      </c>
      <c r="U1720" s="28" t="str">
        <f>+IF(COUNTIFS('Raw Period DMR Data'!$A:$A,B1720,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20" s="28" t="str" cm="1">
        <f t="array" ref="V1720">IFERROR(INDEX('Raw Period DMR Data'!N:N,MATCH(1,(B1720='Raw Period DMR Data'!$A:$A)*(U1720='Raw Period DMR Data'!M:M)*(X1720='Raw Period DMR Data'!C:C),0),1), "N/A")</f>
        <v>N/A</v>
      </c>
      <c r="W1720" s="28" t="s">
        <v>1463</v>
      </c>
      <c r="X1720" s="28" t="s">
        <v>853</v>
      </c>
      <c r="Y1720" s="28" t="s">
        <v>854</v>
      </c>
      <c r="Z1720" s="61">
        <v>5120108000208</v>
      </c>
      <c r="AA1720" s="28"/>
      <c r="AB1720" s="28" t="s">
        <v>7355</v>
      </c>
      <c r="AC1720" s="28" t="s">
        <v>1466</v>
      </c>
    </row>
    <row r="1721" spans="1:29" x14ac:dyDescent="0.25">
      <c r="A1721" s="61">
        <v>110000404296</v>
      </c>
      <c r="B1721" s="28">
        <v>2023</v>
      </c>
      <c r="C1721" s="68">
        <f t="shared" si="27"/>
        <v>44927</v>
      </c>
      <c r="D1721" s="28" t="s">
        <v>145</v>
      </c>
      <c r="E1721" s="28" t="s">
        <v>468</v>
      </c>
      <c r="F1721" s="28" t="s">
        <v>314</v>
      </c>
      <c r="G1721" s="28" t="s">
        <v>469</v>
      </c>
      <c r="H1721" s="28">
        <v>479099201</v>
      </c>
      <c r="I1721" s="28">
        <v>40.390543999999998</v>
      </c>
      <c r="J1721" s="28">
        <v>-86.936173999999994</v>
      </c>
      <c r="K1721" s="28" t="s">
        <v>470</v>
      </c>
      <c r="L1721" s="61">
        <v>110000404296</v>
      </c>
      <c r="M1721" s="28" t="s">
        <v>254</v>
      </c>
      <c r="N1721" s="28">
        <v>2833</v>
      </c>
      <c r="O1721" s="28" t="str">
        <f>IFERROR(VLOOKUP(N1721, 'SIC &amp; NAICS Codes'!A:B, 2, FALSE), "")</f>
        <v>Medicinal Chemicals and Botanical Products</v>
      </c>
      <c r="S1721" s="28">
        <v>0.20727370000000001</v>
      </c>
      <c r="T1721" s="315">
        <f>_xlfn.MAXIFS('Raw Period DMR Data'!$O:$O,'Raw Period DMR Data'!$A:$A,'Raw Annual DMR Data_2021-2024'!#REF!,'Raw Period DMR Data'!$C:$C,X1721)/S1721</f>
        <v>0</v>
      </c>
      <c r="U1721" s="28" t="str">
        <f>+IF(COUNTIFS('Raw Period DMR Data'!$A:$A,B1721,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21" s="28" t="str" cm="1">
        <f t="array" ref="V1721">IFERROR(INDEX('Raw Period DMR Data'!N:N,MATCH(1,(B1721='Raw Period DMR Data'!$A:$A)*(U1721='Raw Period DMR Data'!M:M)*(X1721='Raw Period DMR Data'!C:C),0),1), "N/A")</f>
        <v>N/A</v>
      </c>
      <c r="W1721" s="28" t="s">
        <v>1463</v>
      </c>
      <c r="X1721" s="28" t="s">
        <v>853</v>
      </c>
      <c r="Y1721" s="28" t="s">
        <v>854</v>
      </c>
      <c r="Z1721" s="61" t="s">
        <v>1746</v>
      </c>
      <c r="AB1721" s="28" t="s">
        <v>7355</v>
      </c>
      <c r="AC1721" s="28" t="s">
        <v>1466</v>
      </c>
    </row>
    <row r="1722" spans="1:29" x14ac:dyDescent="0.25">
      <c r="A1722" s="61">
        <v>110000404296</v>
      </c>
      <c r="B1722" s="28">
        <v>2024</v>
      </c>
      <c r="C1722" s="68">
        <f t="shared" si="27"/>
        <v>45292</v>
      </c>
      <c r="D1722" s="28" t="s">
        <v>145</v>
      </c>
      <c r="E1722" s="28" t="s">
        <v>468</v>
      </c>
      <c r="F1722" s="28" t="s">
        <v>314</v>
      </c>
      <c r="G1722" s="28" t="s">
        <v>469</v>
      </c>
      <c r="H1722" s="28">
        <v>479099201</v>
      </c>
      <c r="I1722" s="28">
        <v>40.390543999999998</v>
      </c>
      <c r="J1722" s="28">
        <v>-86.936173999999994</v>
      </c>
      <c r="K1722" s="28" t="s">
        <v>470</v>
      </c>
      <c r="L1722" s="61">
        <v>110000404296</v>
      </c>
      <c r="M1722" s="28" t="s">
        <v>254</v>
      </c>
      <c r="N1722" s="28">
        <v>2833</v>
      </c>
      <c r="O1722" s="28" t="str">
        <f>IFERROR(VLOOKUP(N1722, 'SIC &amp; NAICS Codes'!A:B, 2, FALSE), "")</f>
        <v>Medicinal Chemicals and Botanical Products</v>
      </c>
      <c r="S1722" s="28">
        <v>0.19222359999999999</v>
      </c>
      <c r="T1722" s="315">
        <f>_xlfn.MAXIFS('Raw Period DMR Data'!$O:$O,'Raw Period DMR Data'!$A:$A,'Raw Annual DMR Data_2021-2024'!#REF!,'Raw Period DMR Data'!$C:$C,X1722)/S1722</f>
        <v>0</v>
      </c>
      <c r="U1722" s="28" t="str">
        <f>+IF(COUNTIFS('Raw Period DMR Data'!$A:$A,B1722,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22" s="28" t="str" cm="1">
        <f t="array" ref="V1722">IFERROR(INDEX('Raw Period DMR Data'!N:N,MATCH(1,(B1722='Raw Period DMR Data'!$A:$A)*(U1722='Raw Period DMR Data'!M:M)*(X1722='Raw Period DMR Data'!C:C),0),1), "N/A")</f>
        <v>N/A</v>
      </c>
      <c r="W1722" s="28" t="s">
        <v>1463</v>
      </c>
      <c r="X1722" s="28" t="s">
        <v>853</v>
      </c>
      <c r="Y1722" s="28" t="s">
        <v>854</v>
      </c>
      <c r="Z1722" s="61">
        <v>5120108000208</v>
      </c>
      <c r="AB1722" s="28" t="s">
        <v>7355</v>
      </c>
      <c r="AC1722" s="28" t="s">
        <v>1466</v>
      </c>
    </row>
    <row r="1723" spans="1:29" x14ac:dyDescent="0.25">
      <c r="A1723" s="61">
        <v>110000404296</v>
      </c>
      <c r="B1723" s="28">
        <v>2022</v>
      </c>
      <c r="C1723" s="68">
        <f t="shared" si="27"/>
        <v>44562</v>
      </c>
      <c r="D1723" s="28" t="s">
        <v>145</v>
      </c>
      <c r="E1723" s="28" t="s">
        <v>468</v>
      </c>
      <c r="F1723" s="28" t="s">
        <v>314</v>
      </c>
      <c r="G1723" s="28" t="s">
        <v>469</v>
      </c>
      <c r="H1723" s="28">
        <v>479099201</v>
      </c>
      <c r="I1723" s="28">
        <v>40.390543999999998</v>
      </c>
      <c r="J1723" s="28">
        <v>-86.936173999999994</v>
      </c>
      <c r="K1723" s="28" t="s">
        <v>470</v>
      </c>
      <c r="L1723" s="61">
        <v>110000404296</v>
      </c>
      <c r="M1723" s="28" t="s">
        <v>254</v>
      </c>
      <c r="N1723" s="28">
        <v>2833</v>
      </c>
      <c r="O1723" s="28" t="str">
        <f>IFERROR(VLOOKUP(N1723, 'SIC &amp; NAICS Codes'!A:B, 2, FALSE), "")</f>
        <v>Medicinal Chemicals and Botanical Products</v>
      </c>
      <c r="S1723" s="28">
        <v>0.18007909999999999</v>
      </c>
      <c r="T1723" s="315">
        <f>_xlfn.MAXIFS('Raw Period DMR Data'!$O:$O,'Raw Period DMR Data'!$A:$A,'Raw Annual DMR Data_2021-2024'!#REF!,'Raw Period DMR Data'!$C:$C,X1723)/S1723</f>
        <v>0</v>
      </c>
      <c r="U1723" s="28" t="str">
        <f>+IF(COUNTIFS('Raw Period DMR Data'!$A:$A,B1723,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23" s="28" t="str" cm="1">
        <f t="array" ref="V1723">IFERROR(INDEX('Raw Period DMR Data'!N:N,MATCH(1,(B1723='Raw Period DMR Data'!$A:$A)*(U1723='Raw Period DMR Data'!M:M)*(X1723='Raw Period DMR Data'!C:C),0),1), "N/A")</f>
        <v>N/A</v>
      </c>
      <c r="W1723" s="28" t="s">
        <v>1463</v>
      </c>
      <c r="X1723" s="28" t="s">
        <v>853</v>
      </c>
      <c r="Y1723" s="28" t="s">
        <v>854</v>
      </c>
      <c r="Z1723" s="61">
        <v>5120108000208</v>
      </c>
      <c r="AB1723" s="28" t="s">
        <v>7355</v>
      </c>
      <c r="AC1723" s="28" t="s">
        <v>1466</v>
      </c>
    </row>
    <row r="1724" spans="1:29" x14ac:dyDescent="0.25">
      <c r="A1724" s="61">
        <v>110037107154</v>
      </c>
      <c r="B1724" s="28">
        <v>2023</v>
      </c>
      <c r="C1724" s="68">
        <f t="shared" si="27"/>
        <v>44927</v>
      </c>
      <c r="D1724" s="28" t="s">
        <v>6808</v>
      </c>
      <c r="E1724" s="28" t="s">
        <v>6962</v>
      </c>
      <c r="F1724" s="28" t="s">
        <v>472</v>
      </c>
      <c r="G1724" s="28" t="s">
        <v>450</v>
      </c>
      <c r="H1724" s="28">
        <v>11222</v>
      </c>
      <c r="I1724" s="28">
        <v>40.73095</v>
      </c>
      <c r="J1724" s="28">
        <v>-73.942520000000002</v>
      </c>
      <c r="L1724" s="61">
        <v>110037107154</v>
      </c>
      <c r="M1724" s="28" t="s">
        <v>264</v>
      </c>
      <c r="N1724" s="28">
        <v>4959</v>
      </c>
      <c r="O1724" s="28" t="str">
        <f>IFERROR(VLOOKUP(N1724, 'SIC &amp; NAICS Codes'!A:B, 2, FALSE), "")</f>
        <v>Sanitary Services, NEC (vacuuming of runways)</v>
      </c>
      <c r="S1724" s="28">
        <v>0.78810844187499995</v>
      </c>
      <c r="T1724" s="315">
        <f>_xlfn.MAXIFS('Raw Period DMR Data'!$O:$O,'Raw Period DMR Data'!$A:$A,'Raw Annual DMR Data_2021-2024'!#REF!,'Raw Period DMR Data'!$C:$C,X1724)/S1724</f>
        <v>0</v>
      </c>
      <c r="U1724" s="28" t="str">
        <f>+IF(COUNTIFS('Raw Period DMR Data'!$A:$A,B1724,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24" s="28" t="str" cm="1">
        <f t="array" ref="V1724">IFERROR(INDEX('Raw Period DMR Data'!N:N,MATCH(1,(B1724='Raw Period DMR Data'!$A:$A)*(U1724='Raw Period DMR Data'!M:M)*(X1724='Raw Period DMR Data'!C:C),0),1), "N/A")</f>
        <v>N/A</v>
      </c>
      <c r="W1724" s="28" t="s">
        <v>1463</v>
      </c>
      <c r="X1724" s="28" t="s">
        <v>855</v>
      </c>
      <c r="Y1724" s="28" t="s">
        <v>856</v>
      </c>
      <c r="Z1724" s="61" t="s">
        <v>1747</v>
      </c>
      <c r="AC1724" s="28" t="s">
        <v>1466</v>
      </c>
    </row>
    <row r="1725" spans="1:29" x14ac:dyDescent="0.25">
      <c r="A1725" s="61">
        <v>110037107154</v>
      </c>
      <c r="B1725" s="28">
        <v>2022</v>
      </c>
      <c r="C1725" s="68">
        <f t="shared" si="27"/>
        <v>44562</v>
      </c>
      <c r="D1725" s="28" t="s">
        <v>6808</v>
      </c>
      <c r="E1725" s="28" t="s">
        <v>6962</v>
      </c>
      <c r="F1725" s="28" t="s">
        <v>472</v>
      </c>
      <c r="G1725" s="28" t="s">
        <v>450</v>
      </c>
      <c r="H1725" s="28">
        <v>11222</v>
      </c>
      <c r="I1725" s="28">
        <v>40.73095</v>
      </c>
      <c r="J1725" s="28">
        <v>-73.942520000000002</v>
      </c>
      <c r="L1725" s="61">
        <v>110037107154</v>
      </c>
      <c r="M1725" s="28" t="s">
        <v>264</v>
      </c>
      <c r="N1725" s="28">
        <v>4959</v>
      </c>
      <c r="O1725" s="28" t="str">
        <f>IFERROR(VLOOKUP(N1725, 'SIC &amp; NAICS Codes'!A:B, 2, FALSE), "")</f>
        <v>Sanitary Services, NEC (vacuuming of runways)</v>
      </c>
      <c r="S1725" s="28">
        <v>0.74906399050000005</v>
      </c>
      <c r="T1725" s="315">
        <f>_xlfn.MAXIFS('Raw Period DMR Data'!$O:$O,'Raw Period DMR Data'!$A:$A,'Raw Annual DMR Data_2021-2024'!#REF!,'Raw Period DMR Data'!$C:$C,X1725)/S1725</f>
        <v>0</v>
      </c>
      <c r="U1725" s="28" t="str">
        <f>+IF(COUNTIFS('Raw Period DMR Data'!$A:$A,B1725,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25" s="28" t="str" cm="1">
        <f t="array" ref="V1725">IFERROR(INDEX('Raw Period DMR Data'!N:N,MATCH(1,(B1725='Raw Period DMR Data'!$A:$A)*(U1725='Raw Period DMR Data'!M:M)*(X1725='Raw Period DMR Data'!C:C),0),1), "N/A")</f>
        <v>N/A</v>
      </c>
      <c r="W1725" s="28" t="s">
        <v>1463</v>
      </c>
      <c r="X1725" s="28" t="s">
        <v>855</v>
      </c>
      <c r="Y1725" s="28" t="s">
        <v>856</v>
      </c>
      <c r="Z1725" s="61">
        <v>2030101001969</v>
      </c>
      <c r="AC1725" s="28" t="s">
        <v>1466</v>
      </c>
    </row>
    <row r="1726" spans="1:29" x14ac:dyDescent="0.25">
      <c r="A1726" s="61">
        <v>110037107154</v>
      </c>
      <c r="B1726" s="28">
        <v>2021</v>
      </c>
      <c r="C1726" s="68">
        <f t="shared" si="27"/>
        <v>44197</v>
      </c>
      <c r="D1726" s="28" t="s">
        <v>6808</v>
      </c>
      <c r="E1726" s="28" t="s">
        <v>6962</v>
      </c>
      <c r="F1726" s="28" t="s">
        <v>472</v>
      </c>
      <c r="G1726" s="28" t="s">
        <v>450</v>
      </c>
      <c r="H1726" s="28">
        <v>11222</v>
      </c>
      <c r="I1726" s="28">
        <v>40.73095</v>
      </c>
      <c r="J1726" s="28">
        <v>-73.942520000000002</v>
      </c>
      <c r="L1726" s="61">
        <v>110037107154</v>
      </c>
      <c r="M1726" s="28" t="s">
        <v>264</v>
      </c>
      <c r="N1726" s="28">
        <v>4959</v>
      </c>
      <c r="O1726" s="28" t="str">
        <f>IFERROR(VLOOKUP(N1726, 'SIC &amp; NAICS Codes'!A:B, 2, FALSE), "")</f>
        <v>Sanitary Services, NEC (vacuuming of runways)</v>
      </c>
      <c r="S1726" s="28">
        <v>0.68824888149999996</v>
      </c>
      <c r="T1726" s="315">
        <f>_xlfn.MAXIFS('Raw Period DMR Data'!$O:$O,'Raw Period DMR Data'!$A:$A,'Raw Annual DMR Data_2021-2024'!#REF!,'Raw Period DMR Data'!$C:$C,X1726)/S1726</f>
        <v>0</v>
      </c>
      <c r="U1726" s="28" t="str">
        <f>+IF(COUNTIFS('Raw Period DMR Data'!$A:$A,B1726,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26" s="28" t="str" cm="1">
        <f t="array" ref="V1726">IFERROR(INDEX('Raw Period DMR Data'!N:N,MATCH(1,(B1726='Raw Period DMR Data'!$A:$A)*(U1726='Raw Period DMR Data'!M:M)*(X1726='Raw Period DMR Data'!C:C),0),1), "N/A")</f>
        <v>N/A</v>
      </c>
      <c r="W1726" s="28" t="s">
        <v>1463</v>
      </c>
      <c r="X1726" s="28" t="s">
        <v>855</v>
      </c>
      <c r="Y1726" s="28" t="s">
        <v>856</v>
      </c>
      <c r="Z1726" s="61">
        <v>2030101001969</v>
      </c>
      <c r="AA1726" s="28"/>
      <c r="AB1726" s="28" t="s">
        <v>7355</v>
      </c>
      <c r="AC1726" s="28" t="s">
        <v>1466</v>
      </c>
    </row>
    <row r="1727" spans="1:29" x14ac:dyDescent="0.25">
      <c r="A1727" s="61">
        <v>110037107154</v>
      </c>
      <c r="B1727" s="28">
        <v>2024</v>
      </c>
      <c r="C1727" s="68">
        <f t="shared" si="27"/>
        <v>45292</v>
      </c>
      <c r="D1727" s="28" t="s">
        <v>6808</v>
      </c>
      <c r="E1727" s="28" t="s">
        <v>6962</v>
      </c>
      <c r="F1727" s="28" t="s">
        <v>472</v>
      </c>
      <c r="G1727" s="28" t="s">
        <v>450</v>
      </c>
      <c r="H1727" s="28">
        <v>11222</v>
      </c>
      <c r="I1727" s="28">
        <v>40.73095</v>
      </c>
      <c r="J1727" s="28">
        <v>-73.942520000000002</v>
      </c>
      <c r="L1727" s="61">
        <v>110037107154</v>
      </c>
      <c r="M1727" s="28" t="s">
        <v>264</v>
      </c>
      <c r="N1727" s="28">
        <v>4959</v>
      </c>
      <c r="O1727" s="28" t="str">
        <f>IFERROR(VLOOKUP(N1727, 'SIC &amp; NAICS Codes'!A:B, 2, FALSE), "")</f>
        <v>Sanitary Services, NEC (vacuuming of runways)</v>
      </c>
      <c r="S1727" s="28">
        <v>0.50178255974999997</v>
      </c>
      <c r="T1727" s="315">
        <f>_xlfn.MAXIFS('Raw Period DMR Data'!$O:$O,'Raw Period DMR Data'!$A:$A,'Raw Annual DMR Data_2021-2024'!#REF!,'Raw Period DMR Data'!$C:$C,X1727)/S1727</f>
        <v>0</v>
      </c>
      <c r="U1727" s="28" t="str">
        <f>+IF(COUNTIFS('Raw Period DMR Data'!$A:$A,B1727,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27" s="28" t="str" cm="1">
        <f t="array" ref="V1727">IFERROR(INDEX('Raw Period DMR Data'!N:N,MATCH(1,(B1727='Raw Period DMR Data'!$A:$A)*(U1727='Raw Period DMR Data'!M:M)*(X1727='Raw Period DMR Data'!C:C),0),1), "N/A")</f>
        <v>N/A</v>
      </c>
      <c r="W1727" s="28" t="s">
        <v>1463</v>
      </c>
      <c r="X1727" s="28" t="s">
        <v>855</v>
      </c>
      <c r="Y1727" s="28" t="s">
        <v>856</v>
      </c>
      <c r="Z1727" s="61">
        <v>2030101001969</v>
      </c>
      <c r="AC1727" s="28" t="s">
        <v>1466</v>
      </c>
    </row>
    <row r="1728" spans="1:29" x14ac:dyDescent="0.25">
      <c r="A1728" s="61">
        <v>110000734616</v>
      </c>
      <c r="B1728" s="28">
        <v>2021</v>
      </c>
      <c r="C1728" s="68">
        <f t="shared" si="27"/>
        <v>44197</v>
      </c>
      <c r="D1728" s="28" t="s">
        <v>6845</v>
      </c>
      <c r="E1728" s="28" t="s">
        <v>6999</v>
      </c>
      <c r="F1728" s="28" t="s">
        <v>6927</v>
      </c>
      <c r="G1728" s="28" t="s">
        <v>418</v>
      </c>
      <c r="H1728" s="28">
        <v>89406</v>
      </c>
      <c r="I1728" s="28">
        <v>39.463894000000003</v>
      </c>
      <c r="J1728" s="28">
        <v>-118.75532800000001</v>
      </c>
      <c r="L1728" s="61">
        <v>110000734616</v>
      </c>
      <c r="M1728" s="28" t="s">
        <v>263</v>
      </c>
      <c r="N1728" s="28">
        <v>4952</v>
      </c>
      <c r="O1728" s="28" t="str">
        <f>IFERROR(VLOOKUP(N1728, 'SIC &amp; NAICS Codes'!A:B, 2, FALSE), "")</f>
        <v>Sewerage Systems</v>
      </c>
      <c r="S1728" s="28">
        <v>3.5919650000000001</v>
      </c>
      <c r="T1728" s="315">
        <f>_xlfn.MAXIFS('Raw Period DMR Data'!$O:$O,'Raw Period DMR Data'!$A:$A,'Raw Annual DMR Data_2021-2024'!B2418,'Raw Period DMR Data'!$C:$C,X1728)/S1728</f>
        <v>0</v>
      </c>
      <c r="U1728" s="28" t="str">
        <f>+IF(COUNTIFS('Raw Period DMR Data'!$A:$A,B1728, 'Raw Period DMR Data'!C:C,'Raw Annual DMR Data_2021-2024'!X2418, 'Raw Period DMR Data'!M:M, "&gt;0")&gt;0,_xlfn.MAXIFS('Raw Period DMR Data'!M:M,'Raw Period DMR Data'!$A:$A,'Raw Annual DMR Data_2021-2024'!B2418,'Raw Period DMR Data'!C:C,'Raw Annual DMR Data_2021-2024'!X2418), "N/A - Period DMR Data Not Available")</f>
        <v>N/A - Period DMR Data Not Available</v>
      </c>
      <c r="V1728" s="28" t="str" cm="1">
        <f t="array" ref="V1728">IFERROR(INDEX('Raw Period DMR Data'!N:N,MATCH(1,(B1728='Raw Period DMR Data'!$A:$A)*(U1728='Raw Period DMR Data'!M:M)*(X1728='Raw Period DMR Data'!C:C),0),1), "N/A")</f>
        <v>N/A</v>
      </c>
      <c r="W1728" s="28" t="s">
        <v>1463</v>
      </c>
      <c r="X1728" s="28" t="s">
        <v>7178</v>
      </c>
      <c r="Y1728" s="28" t="s">
        <v>7288</v>
      </c>
      <c r="Z1728" s="61">
        <v>16050203000527</v>
      </c>
      <c r="AA1728" s="28"/>
      <c r="AB1728" s="28" t="s">
        <v>7355</v>
      </c>
      <c r="AC1728" s="28" t="s">
        <v>263</v>
      </c>
    </row>
    <row r="1729" spans="1:29" x14ac:dyDescent="0.25">
      <c r="A1729" s="61">
        <v>110023140420</v>
      </c>
      <c r="B1729" s="28">
        <v>2023</v>
      </c>
      <c r="C1729" s="68">
        <f t="shared" si="27"/>
        <v>44927</v>
      </c>
      <c r="D1729" s="28" t="s">
        <v>6775</v>
      </c>
      <c r="E1729" s="28" t="s">
        <v>6918</v>
      </c>
      <c r="F1729" s="28" t="s">
        <v>6919</v>
      </c>
      <c r="G1729" s="28" t="s">
        <v>324</v>
      </c>
      <c r="H1729" s="28">
        <v>41040</v>
      </c>
      <c r="I1729" s="28">
        <v>38.691943999999999</v>
      </c>
      <c r="J1729" s="28">
        <v>-84.325000000000003</v>
      </c>
      <c r="L1729" s="61">
        <v>110023140420</v>
      </c>
      <c r="M1729" s="28" t="s">
        <v>263</v>
      </c>
      <c r="N1729" s="28">
        <v>4952</v>
      </c>
      <c r="O1729" s="28" t="str">
        <f>IFERROR(VLOOKUP(N1729, 'SIC &amp; NAICS Codes'!A:B, 2, FALSE), "")</f>
        <v>Sewerage Systems</v>
      </c>
      <c r="S1729" s="28">
        <v>1.4194029616874999</v>
      </c>
      <c r="T1729" s="315">
        <f>_xlfn.MAXIFS('Raw Period DMR Data'!$O:$O,'Raw Period DMR Data'!$A:$A,'Raw Annual DMR Data_2021-2024'!#REF!,'Raw Period DMR Data'!$C:$C,X1729)/S1729</f>
        <v>0</v>
      </c>
      <c r="U1729" s="28" t="str">
        <f>+IF(COUNTIFS('Raw Period DMR Data'!$A:$A,B1729,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29" s="28" t="str" cm="1">
        <f t="array" ref="V1729">IFERROR(INDEX('Raw Period DMR Data'!N:N,MATCH(1,(B1729='Raw Period DMR Data'!$A:$A)*(U1729='Raw Period DMR Data'!M:M)*(X1729='Raw Period DMR Data'!C:C),0),1), "N/A")</f>
        <v>N/A</v>
      </c>
      <c r="W1729" s="28" t="s">
        <v>1463</v>
      </c>
      <c r="X1729" s="28" t="s">
        <v>7139</v>
      </c>
      <c r="Y1729" s="28" t="s">
        <v>2018</v>
      </c>
      <c r="Z1729" s="61" t="s">
        <v>7352</v>
      </c>
      <c r="AB1729" s="28" t="s">
        <v>7355</v>
      </c>
      <c r="AC1729" s="28" t="s">
        <v>263</v>
      </c>
    </row>
    <row r="1730" spans="1:29" x14ac:dyDescent="0.25">
      <c r="A1730" s="61">
        <v>110071065066</v>
      </c>
      <c r="B1730" s="28">
        <v>2021</v>
      </c>
      <c r="C1730" s="68">
        <f t="shared" si="27"/>
        <v>44197</v>
      </c>
      <c r="D1730" s="28" t="s">
        <v>6838</v>
      </c>
      <c r="E1730" s="28" t="s">
        <v>6992</v>
      </c>
      <c r="F1730" s="28" t="s">
        <v>293</v>
      </c>
      <c r="G1730" s="28" t="s">
        <v>294</v>
      </c>
      <c r="H1730" s="28">
        <v>22204</v>
      </c>
      <c r="I1730" s="28">
        <v>38.862986999999997</v>
      </c>
      <c r="J1730" s="28">
        <v>-77.085927999999996</v>
      </c>
      <c r="L1730" s="61">
        <v>110071065066</v>
      </c>
      <c r="M1730" s="28" t="s">
        <v>265</v>
      </c>
      <c r="N1730" s="28">
        <v>5999</v>
      </c>
      <c r="O1730" s="28" t="str">
        <f>IFERROR(VLOOKUP(N1730, 'SIC &amp; NAICS Codes'!A:B, 2, FALSE), "")</f>
        <v>Miscellaneous Retail Stores, NEC (manufacture of orthopedic devices to prescription in a retail environment)</v>
      </c>
      <c r="S1730" s="28">
        <v>4.8750800000000001E-5</v>
      </c>
      <c r="T1730" s="315">
        <f>_xlfn.MAXIFS('Raw Period DMR Data'!$O:$O,'Raw Period DMR Data'!$A:$A,'Raw Annual DMR Data_2021-2024'!#REF!,'Raw Period DMR Data'!$C:$C,X1730)/S1730</f>
        <v>0</v>
      </c>
      <c r="U1730" s="28" t="str">
        <f>+IF(COUNTIFS('Raw Period DMR Data'!$A:$A,B1730,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30" s="28" t="str" cm="1">
        <f t="array" ref="V1730">IFERROR(INDEX('Raw Period DMR Data'!N:N,MATCH(1,(B1730='Raw Period DMR Data'!$A:$A)*(U1730='Raw Period DMR Data'!M:M)*(X1730='Raw Period DMR Data'!C:C),0),1), "N/A")</f>
        <v>N/A</v>
      </c>
      <c r="W1730" s="28" t="s">
        <v>1463</v>
      </c>
      <c r="X1730" s="28" t="s">
        <v>7174</v>
      </c>
      <c r="Y1730" s="28" t="s">
        <v>1475</v>
      </c>
      <c r="Z1730" s="61"/>
      <c r="AA1730" s="28"/>
      <c r="AB1730" s="28" t="s">
        <v>7355</v>
      </c>
      <c r="AC1730" s="28" t="s">
        <v>1466</v>
      </c>
    </row>
    <row r="1731" spans="1:29" x14ac:dyDescent="0.25">
      <c r="A1731" s="61">
        <v>110071065066</v>
      </c>
      <c r="B1731" s="28">
        <v>2022</v>
      </c>
      <c r="C1731" s="68">
        <f t="shared" si="27"/>
        <v>44562</v>
      </c>
      <c r="D1731" s="28" t="s">
        <v>6838</v>
      </c>
      <c r="E1731" s="28" t="s">
        <v>6992</v>
      </c>
      <c r="F1731" s="28" t="s">
        <v>293</v>
      </c>
      <c r="G1731" s="28" t="s">
        <v>294</v>
      </c>
      <c r="H1731" s="28">
        <v>22204</v>
      </c>
      <c r="I1731" s="28">
        <v>38.862986999999997</v>
      </c>
      <c r="J1731" s="28">
        <v>-77.085927999999996</v>
      </c>
      <c r="L1731" s="61">
        <v>110071065066</v>
      </c>
      <c r="M1731" s="28" t="s">
        <v>265</v>
      </c>
      <c r="N1731" s="28">
        <v>5999</v>
      </c>
      <c r="O1731" s="28" t="str">
        <f>IFERROR(VLOOKUP(N1731, 'SIC &amp; NAICS Codes'!A:B, 2, FALSE), "")</f>
        <v>Miscellaneous Retail Stores, NEC (manufacture of orthopedic devices to prescription in a retail environment)</v>
      </c>
      <c r="S1731" s="28">
        <v>4.0272399999999997E-5</v>
      </c>
      <c r="T1731" s="315">
        <f>_xlfn.MAXIFS('Raw Period DMR Data'!$O:$O,'Raw Period DMR Data'!$A:$A,'Raw Annual DMR Data_2021-2024'!#REF!,'Raw Period DMR Data'!$C:$C,X1731)/S1731</f>
        <v>0</v>
      </c>
      <c r="U1731" s="28" t="str">
        <f>+IF(COUNTIFS('Raw Period DMR Data'!$A:$A,B1731,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31" s="28" t="str" cm="1">
        <f t="array" ref="V1731">IFERROR(INDEX('Raw Period DMR Data'!N:N,MATCH(1,(B1731='Raw Period DMR Data'!$A:$A)*(U1731='Raw Period DMR Data'!M:M)*(X1731='Raw Period DMR Data'!C:C),0),1), "N/A")</f>
        <v>N/A</v>
      </c>
      <c r="W1731" s="28" t="s">
        <v>1463</v>
      </c>
      <c r="X1731" s="28" t="s">
        <v>7174</v>
      </c>
      <c r="Y1731" s="28" t="s">
        <v>1475</v>
      </c>
      <c r="Z1731" s="61"/>
      <c r="AB1731" s="28" t="s">
        <v>7355</v>
      </c>
      <c r="AC1731" s="28" t="s">
        <v>1466</v>
      </c>
    </row>
    <row r="1732" spans="1:29" x14ac:dyDescent="0.25">
      <c r="A1732" s="61">
        <v>110000321651</v>
      </c>
      <c r="B1732" s="28">
        <v>2022</v>
      </c>
      <c r="C1732" s="68">
        <f t="shared" si="27"/>
        <v>44562</v>
      </c>
      <c r="D1732" s="28" t="s">
        <v>1109</v>
      </c>
      <c r="E1732" s="28" t="s">
        <v>1748</v>
      </c>
      <c r="F1732" s="28" t="s">
        <v>1110</v>
      </c>
      <c r="G1732" s="28" t="s">
        <v>338</v>
      </c>
      <c r="H1732" s="28">
        <v>8536</v>
      </c>
      <c r="I1732" s="28">
        <v>40.331944</v>
      </c>
      <c r="J1732" s="28">
        <v>-74.619721999999996</v>
      </c>
      <c r="K1732" s="28" t="s">
        <v>7127</v>
      </c>
      <c r="L1732" s="61">
        <v>110000321651</v>
      </c>
      <c r="M1732" s="28" t="s">
        <v>265</v>
      </c>
      <c r="N1732" s="28">
        <v>2869</v>
      </c>
      <c r="O1732" s="28" t="str">
        <f>IFERROR(VLOOKUP(N1732, 'SIC &amp; NAICS Codes'!A:B, 2, FALSE), "")</f>
        <v>Industrial Organic Chemicals, NEC (aliphatics)</v>
      </c>
      <c r="S1732" s="28">
        <v>3.0695E-2</v>
      </c>
      <c r="T1732" s="315">
        <f>_xlfn.MAXIFS('Raw Period DMR Data'!$O:$O,'Raw Period DMR Data'!$A:$A,'Raw Annual DMR Data_2021-2024'!#REF!,'Raw Period DMR Data'!$C:$C,X1732)/S1732</f>
        <v>0</v>
      </c>
      <c r="U1732" s="28" t="str">
        <f>+IF(COUNTIFS('Raw Period DMR Data'!$A:$A,B1732,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32" s="28" t="str" cm="1">
        <f t="array" ref="V1732">IFERROR(INDEX('Raw Period DMR Data'!N:N,MATCH(1,(B1732='Raw Period DMR Data'!$A:$A)*(U1732='Raw Period DMR Data'!M:M)*(X1732='Raw Period DMR Data'!C:C),0),1), "N/A")</f>
        <v>N/A</v>
      </c>
      <c r="W1732" s="28" t="s">
        <v>1463</v>
      </c>
      <c r="X1732" s="28" t="s">
        <v>1749</v>
      </c>
      <c r="Y1732" s="28" t="s">
        <v>1750</v>
      </c>
      <c r="Z1732" s="61">
        <v>2060002000003</v>
      </c>
      <c r="AB1732" s="28" t="s">
        <v>7355</v>
      </c>
      <c r="AC1732" s="28" t="s">
        <v>1466</v>
      </c>
    </row>
    <row r="1733" spans="1:29" x14ac:dyDescent="0.25">
      <c r="A1733" s="61">
        <v>110000321651</v>
      </c>
      <c r="B1733" s="28">
        <v>2021</v>
      </c>
      <c r="C1733" s="68">
        <f t="shared" si="27"/>
        <v>44197</v>
      </c>
      <c r="D1733" s="28" t="s">
        <v>1109</v>
      </c>
      <c r="E1733" s="28" t="s">
        <v>1748</v>
      </c>
      <c r="F1733" s="28" t="s">
        <v>1110</v>
      </c>
      <c r="G1733" s="28" t="s">
        <v>338</v>
      </c>
      <c r="H1733" s="28">
        <v>8536</v>
      </c>
      <c r="I1733" s="28">
        <v>40.331944</v>
      </c>
      <c r="J1733" s="28">
        <v>-74.619721999999996</v>
      </c>
      <c r="K1733" s="28" t="s">
        <v>7127</v>
      </c>
      <c r="L1733" s="61">
        <v>110000321651</v>
      </c>
      <c r="M1733" s="28" t="s">
        <v>265</v>
      </c>
      <c r="N1733" s="28">
        <v>2869</v>
      </c>
      <c r="O1733" s="28" t="str">
        <f>IFERROR(VLOOKUP(N1733, 'SIC &amp; NAICS Codes'!A:B, 2, FALSE), "")</f>
        <v>Industrial Organic Chemicals, NEC (aliphatics)</v>
      </c>
      <c r="S1733" s="28">
        <v>2.2196E-2</v>
      </c>
      <c r="T1733" s="315">
        <f>_xlfn.MAXIFS('Raw Period DMR Data'!$O:$O,'Raw Period DMR Data'!$A:$A,'Raw Annual DMR Data_2021-2024'!#REF!,'Raw Period DMR Data'!$C:$C,X1733)/S1733</f>
        <v>0</v>
      </c>
      <c r="U1733" s="28" t="str">
        <f>+IF(COUNTIFS('Raw Period DMR Data'!$A:$A,B1733,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33" s="28" t="str" cm="1">
        <f t="array" ref="V1733">IFERROR(INDEX('Raw Period DMR Data'!N:N,MATCH(1,(B1733='Raw Period DMR Data'!$A:$A)*(U1733='Raw Period DMR Data'!M:M)*(X1733='Raw Period DMR Data'!C:C),0),1), "N/A")</f>
        <v>N/A</v>
      </c>
      <c r="W1733" s="28" t="s">
        <v>1463</v>
      </c>
      <c r="X1733" s="28" t="s">
        <v>1749</v>
      </c>
      <c r="Y1733" s="28" t="s">
        <v>1750</v>
      </c>
      <c r="Z1733" s="61">
        <v>2060002000003</v>
      </c>
      <c r="AA1733" s="28"/>
      <c r="AB1733" s="28" t="s">
        <v>7355</v>
      </c>
      <c r="AC1733" s="28" t="s">
        <v>1466</v>
      </c>
    </row>
    <row r="1734" spans="1:29" x14ac:dyDescent="0.25">
      <c r="A1734" s="61">
        <v>110000321651</v>
      </c>
      <c r="B1734" s="28">
        <v>2024</v>
      </c>
      <c r="C1734" s="68">
        <f t="shared" si="27"/>
        <v>45292</v>
      </c>
      <c r="D1734" s="28" t="s">
        <v>1109</v>
      </c>
      <c r="E1734" s="28" t="s">
        <v>1748</v>
      </c>
      <c r="F1734" s="28" t="s">
        <v>1110</v>
      </c>
      <c r="G1734" s="28" t="s">
        <v>338</v>
      </c>
      <c r="H1734" s="28">
        <v>8536</v>
      </c>
      <c r="I1734" s="28">
        <v>40.331944</v>
      </c>
      <c r="J1734" s="28">
        <v>-74.619721999999996</v>
      </c>
      <c r="K1734" s="28" t="s">
        <v>7127</v>
      </c>
      <c r="L1734" s="61">
        <v>110000321651</v>
      </c>
      <c r="M1734" s="28" t="s">
        <v>265</v>
      </c>
      <c r="N1734" s="28">
        <v>2869</v>
      </c>
      <c r="O1734" s="28" t="str">
        <f>IFERROR(VLOOKUP(N1734, 'SIC &amp; NAICS Codes'!A:B, 2, FALSE), "")</f>
        <v>Industrial Organic Chemicals, NEC (aliphatics)</v>
      </c>
      <c r="S1734" s="28">
        <v>1.0120000000000001E-2</v>
      </c>
      <c r="T1734" s="315">
        <f>_xlfn.MAXIFS('Raw Period DMR Data'!$O:$O,'Raw Period DMR Data'!$A:$A,'Raw Annual DMR Data_2021-2024'!#REF!,'Raw Period DMR Data'!$C:$C,X1734)/S1734</f>
        <v>0</v>
      </c>
      <c r="U1734" s="28" t="str">
        <f>+IF(COUNTIFS('Raw Period DMR Data'!$A:$A,B1734,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34" s="28" t="str" cm="1">
        <f t="array" ref="V1734">IFERROR(INDEX('Raw Period DMR Data'!N:N,MATCH(1,(B1734='Raw Period DMR Data'!$A:$A)*(U1734='Raw Period DMR Data'!M:M)*(X1734='Raw Period DMR Data'!C:C),0),1), "N/A")</f>
        <v>N/A</v>
      </c>
      <c r="W1734" s="28" t="s">
        <v>1463</v>
      </c>
      <c r="X1734" s="28" t="s">
        <v>1749</v>
      </c>
      <c r="Y1734" s="28" t="s">
        <v>1750</v>
      </c>
      <c r="Z1734" s="61">
        <v>2060002000003</v>
      </c>
      <c r="AB1734" s="28" t="s">
        <v>7355</v>
      </c>
      <c r="AC1734" s="28" t="s">
        <v>1466</v>
      </c>
    </row>
    <row r="1735" spans="1:29" x14ac:dyDescent="0.25">
      <c r="A1735" s="61">
        <v>110000321651</v>
      </c>
      <c r="B1735" s="28">
        <v>2023</v>
      </c>
      <c r="C1735" s="68">
        <f t="shared" ref="C1735:C1798" si="28">DATE(B1735, 1, 1)</f>
        <v>44927</v>
      </c>
      <c r="D1735" s="28" t="s">
        <v>1109</v>
      </c>
      <c r="E1735" s="28" t="s">
        <v>1748</v>
      </c>
      <c r="F1735" s="28" t="s">
        <v>1110</v>
      </c>
      <c r="G1735" s="28" t="s">
        <v>338</v>
      </c>
      <c r="H1735" s="28" t="s">
        <v>1751</v>
      </c>
      <c r="I1735" s="28">
        <v>40.331944</v>
      </c>
      <c r="J1735" s="28">
        <v>-74.619721999999996</v>
      </c>
      <c r="K1735" s="28" t="s">
        <v>7127</v>
      </c>
      <c r="L1735" s="61">
        <v>110000321651</v>
      </c>
      <c r="M1735" s="28" t="s">
        <v>265</v>
      </c>
      <c r="N1735" s="28">
        <v>2869</v>
      </c>
      <c r="O1735" s="28" t="str">
        <f>IFERROR(VLOOKUP(N1735, 'SIC &amp; NAICS Codes'!A:B, 2, FALSE), "")</f>
        <v>Industrial Organic Chemicals, NEC (aliphatics)</v>
      </c>
      <c r="S1735" s="28">
        <v>3.0999999999999999E-3</v>
      </c>
      <c r="T1735" s="315">
        <f>_xlfn.MAXIFS('Raw Period DMR Data'!$O:$O,'Raw Period DMR Data'!$A:$A,'Raw Annual DMR Data_2021-2024'!#REF!,'Raw Period DMR Data'!$C:$C,X1735)/S1735</f>
        <v>0</v>
      </c>
      <c r="U1735" s="28" t="str">
        <f>+IF(COUNTIFS('Raw Period DMR Data'!$A:$A,B1735,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35" s="28" t="str" cm="1">
        <f t="array" ref="V1735">IFERROR(INDEX('Raw Period DMR Data'!N:N,MATCH(1,(B1735='Raw Period DMR Data'!$A:$A)*(U1735='Raw Period DMR Data'!M:M)*(X1735='Raw Period DMR Data'!C:C),0),1), "N/A")</f>
        <v>N/A</v>
      </c>
      <c r="W1735" s="28" t="s">
        <v>1463</v>
      </c>
      <c r="X1735" s="28" t="s">
        <v>1749</v>
      </c>
      <c r="Y1735" s="28" t="s">
        <v>1750</v>
      </c>
      <c r="Z1735" s="61" t="s">
        <v>1752</v>
      </c>
      <c r="AB1735" s="28" t="s">
        <v>7355</v>
      </c>
      <c r="AC1735" s="28" t="s">
        <v>1466</v>
      </c>
    </row>
    <row r="1736" spans="1:29" x14ac:dyDescent="0.25">
      <c r="A1736" s="61">
        <v>110000319904</v>
      </c>
      <c r="B1736" s="28">
        <v>2024</v>
      </c>
      <c r="C1736" s="68">
        <f t="shared" si="28"/>
        <v>45292</v>
      </c>
      <c r="D1736" s="28" t="s">
        <v>6870</v>
      </c>
      <c r="E1736" s="28" t="s">
        <v>1753</v>
      </c>
      <c r="F1736" s="28" t="s">
        <v>1112</v>
      </c>
      <c r="G1736" s="28" t="s">
        <v>338</v>
      </c>
      <c r="H1736" s="28">
        <v>7410</v>
      </c>
      <c r="I1736" s="28">
        <v>40.9375</v>
      </c>
      <c r="J1736" s="28">
        <v>-74.131929999999997</v>
      </c>
      <c r="K1736" s="28" t="s">
        <v>715</v>
      </c>
      <c r="L1736" s="61">
        <v>110000319904</v>
      </c>
      <c r="M1736" s="28" t="s">
        <v>265</v>
      </c>
      <c r="N1736" s="28">
        <v>2899</v>
      </c>
      <c r="O1736" s="28" t="str">
        <f>IFERROR(VLOOKUP(N1736, 'SIC &amp; NAICS Codes'!A:B, 2, FALSE), "")</f>
        <v>Chemicals and Chemical Preparations, NEC (table salt)</v>
      </c>
      <c r="S1736" s="28">
        <v>5.8179348550000003E-2</v>
      </c>
      <c r="T1736" s="315">
        <f>_xlfn.MAXIFS('Raw Period DMR Data'!$O:$O,'Raw Period DMR Data'!$A:$A,'Raw Annual DMR Data_2021-2024'!#REF!,'Raw Period DMR Data'!$C:$C,X1736)/S1736</f>
        <v>0</v>
      </c>
      <c r="U1736" s="28" t="str">
        <f>+IF(COUNTIFS('Raw Period DMR Data'!$A:$A,B1736,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36" s="28" t="str" cm="1">
        <f t="array" ref="V1736">IFERROR(INDEX('Raw Period DMR Data'!N:N,MATCH(1,(B1736='Raw Period DMR Data'!$A:$A)*(U1736='Raw Period DMR Data'!M:M)*(X1736='Raw Period DMR Data'!C:C),0),1), "N/A")</f>
        <v>N/A</v>
      </c>
      <c r="W1736" s="28" t="s">
        <v>1463</v>
      </c>
      <c r="X1736" s="28" t="s">
        <v>1754</v>
      </c>
      <c r="Y1736" s="28" t="s">
        <v>1755</v>
      </c>
      <c r="Z1736" s="61">
        <v>2030103000370</v>
      </c>
      <c r="AB1736" s="28" t="s">
        <v>7355</v>
      </c>
      <c r="AC1736" s="28" t="s">
        <v>1466</v>
      </c>
    </row>
    <row r="1737" spans="1:29" x14ac:dyDescent="0.25">
      <c r="A1737" s="61">
        <v>110000319904</v>
      </c>
      <c r="B1737" s="28">
        <v>2023</v>
      </c>
      <c r="C1737" s="68">
        <f t="shared" si="28"/>
        <v>44927</v>
      </c>
      <c r="D1737" s="28" t="s">
        <v>6870</v>
      </c>
      <c r="E1737" s="28" t="s">
        <v>1753</v>
      </c>
      <c r="F1737" s="28" t="s">
        <v>1112</v>
      </c>
      <c r="G1737" s="28" t="s">
        <v>338</v>
      </c>
      <c r="H1737" s="28" t="s">
        <v>1756</v>
      </c>
      <c r="I1737" s="28">
        <v>40.9375</v>
      </c>
      <c r="J1737" s="28">
        <v>-74.131929999999997</v>
      </c>
      <c r="K1737" s="28" t="s">
        <v>715</v>
      </c>
      <c r="L1737" s="61">
        <v>110000319904</v>
      </c>
      <c r="M1737" s="28" t="s">
        <v>265</v>
      </c>
      <c r="N1737" s="28">
        <v>2899</v>
      </c>
      <c r="O1737" s="28" t="str">
        <f>IFERROR(VLOOKUP(N1737, 'SIC &amp; NAICS Codes'!A:B, 2, FALSE), "")</f>
        <v>Chemicals and Chemical Preparations, NEC (table salt)</v>
      </c>
      <c r="S1737" s="28">
        <v>4.7001367322500001E-2</v>
      </c>
      <c r="T1737" s="315">
        <f>_xlfn.MAXIFS('Raw Period DMR Data'!$O:$O,'Raw Period DMR Data'!$A:$A,'Raw Annual DMR Data_2021-2024'!#REF!,'Raw Period DMR Data'!$C:$C,X1737)/S1737</f>
        <v>0</v>
      </c>
      <c r="U1737" s="28" t="str">
        <f>+IF(COUNTIFS('Raw Period DMR Data'!$A:$A,B1737,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37" s="28" t="str" cm="1">
        <f t="array" ref="V1737">IFERROR(INDEX('Raw Period DMR Data'!N:N,MATCH(1,(B1737='Raw Period DMR Data'!$A:$A)*(U1737='Raw Period DMR Data'!M:M)*(X1737='Raw Period DMR Data'!C:C),0),1), "N/A")</f>
        <v>N/A</v>
      </c>
      <c r="W1737" s="28" t="s">
        <v>1463</v>
      </c>
      <c r="X1737" s="28" t="s">
        <v>1754</v>
      </c>
      <c r="Y1737" s="28" t="s">
        <v>1755</v>
      </c>
      <c r="Z1737" s="61" t="s">
        <v>1757</v>
      </c>
      <c r="AB1737" s="28" t="s">
        <v>7355</v>
      </c>
      <c r="AC1737" s="28" t="s">
        <v>1466</v>
      </c>
    </row>
    <row r="1738" spans="1:29" x14ac:dyDescent="0.25">
      <c r="A1738" s="61">
        <v>110000319904</v>
      </c>
      <c r="B1738" s="28">
        <v>2022</v>
      </c>
      <c r="C1738" s="68">
        <f t="shared" si="28"/>
        <v>44562</v>
      </c>
      <c r="D1738" s="28" t="s">
        <v>6870</v>
      </c>
      <c r="E1738" s="28" t="s">
        <v>1753</v>
      </c>
      <c r="F1738" s="28" t="s">
        <v>1112</v>
      </c>
      <c r="G1738" s="28" t="s">
        <v>338</v>
      </c>
      <c r="H1738" s="28">
        <v>7410</v>
      </c>
      <c r="I1738" s="28">
        <v>40.9375</v>
      </c>
      <c r="J1738" s="28">
        <v>-74.131929999999997</v>
      </c>
      <c r="K1738" s="28" t="s">
        <v>715</v>
      </c>
      <c r="L1738" s="61">
        <v>110000319904</v>
      </c>
      <c r="M1738" s="28" t="s">
        <v>265</v>
      </c>
      <c r="N1738" s="28">
        <v>2899</v>
      </c>
      <c r="O1738" s="28" t="str">
        <f>IFERROR(VLOOKUP(N1738, 'SIC &amp; NAICS Codes'!A:B, 2, FALSE), "")</f>
        <v>Chemicals and Chemical Preparations, NEC (table salt)</v>
      </c>
      <c r="S1738" s="28">
        <v>3.2271704849999999E-2</v>
      </c>
      <c r="T1738" s="315">
        <f>_xlfn.MAXIFS('Raw Period DMR Data'!$O:$O,'Raw Period DMR Data'!$A:$A,'Raw Annual DMR Data_2021-2024'!#REF!,'Raw Period DMR Data'!$C:$C,X1738)/S1738</f>
        <v>0</v>
      </c>
      <c r="U1738" s="28" t="str">
        <f>+IF(COUNTIFS('Raw Period DMR Data'!$A:$A,B1738,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38" s="28" t="str" cm="1">
        <f t="array" ref="V1738">IFERROR(INDEX('Raw Period DMR Data'!N:N,MATCH(1,(B1738='Raw Period DMR Data'!$A:$A)*(U1738='Raw Period DMR Data'!M:M)*(X1738='Raw Period DMR Data'!C:C),0),1), "N/A")</f>
        <v>N/A</v>
      </c>
      <c r="W1738" s="28" t="s">
        <v>1463</v>
      </c>
      <c r="X1738" s="28" t="s">
        <v>1754</v>
      </c>
      <c r="Y1738" s="28" t="s">
        <v>1755</v>
      </c>
      <c r="Z1738" s="61">
        <v>2030103000370</v>
      </c>
      <c r="AB1738" s="28" t="s">
        <v>7355</v>
      </c>
      <c r="AC1738" s="28" t="s">
        <v>1466</v>
      </c>
    </row>
    <row r="1739" spans="1:29" x14ac:dyDescent="0.25">
      <c r="A1739" s="61">
        <v>110000319904</v>
      </c>
      <c r="B1739" s="28">
        <v>2021</v>
      </c>
      <c r="C1739" s="68">
        <f t="shared" si="28"/>
        <v>44197</v>
      </c>
      <c r="D1739" s="28" t="s">
        <v>6870</v>
      </c>
      <c r="E1739" s="28" t="s">
        <v>1753</v>
      </c>
      <c r="F1739" s="28" t="s">
        <v>1112</v>
      </c>
      <c r="G1739" s="28" t="s">
        <v>338</v>
      </c>
      <c r="H1739" s="28">
        <v>7410</v>
      </c>
      <c r="I1739" s="28">
        <v>40.9375</v>
      </c>
      <c r="J1739" s="28">
        <v>-74.131929999999997</v>
      </c>
      <c r="K1739" s="28" t="s">
        <v>715</v>
      </c>
      <c r="L1739" s="61">
        <v>110000319904</v>
      </c>
      <c r="M1739" s="28" t="s">
        <v>265</v>
      </c>
      <c r="N1739" s="28">
        <v>2899</v>
      </c>
      <c r="O1739" s="28" t="str">
        <f>IFERROR(VLOOKUP(N1739, 'SIC &amp; NAICS Codes'!A:B, 2, FALSE), "")</f>
        <v>Chemicals and Chemical Preparations, NEC (table salt)</v>
      </c>
      <c r="S1739" s="28">
        <v>2.51245272E-2</v>
      </c>
      <c r="T1739" s="315">
        <f>_xlfn.MAXIFS('Raw Period DMR Data'!$O:$O,'Raw Period DMR Data'!$A:$A,'Raw Annual DMR Data_2021-2024'!#REF!,'Raw Period DMR Data'!$C:$C,X1739)/S1739</f>
        <v>0</v>
      </c>
      <c r="U1739" s="28" t="str">
        <f>+IF(COUNTIFS('Raw Period DMR Data'!$A:$A,B1739,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39" s="28" t="str" cm="1">
        <f t="array" ref="V1739">IFERROR(INDEX('Raw Period DMR Data'!N:N,MATCH(1,(B1739='Raw Period DMR Data'!$A:$A)*(U1739='Raw Period DMR Data'!M:M)*(X1739='Raw Period DMR Data'!C:C),0),1), "N/A")</f>
        <v>N/A</v>
      </c>
      <c r="W1739" s="28" t="s">
        <v>1463</v>
      </c>
      <c r="X1739" s="28" t="s">
        <v>1754</v>
      </c>
      <c r="Y1739" s="28" t="s">
        <v>1755</v>
      </c>
      <c r="Z1739" s="61">
        <v>2030103000370</v>
      </c>
      <c r="AA1739" s="28"/>
      <c r="AB1739" s="28" t="s">
        <v>7355</v>
      </c>
      <c r="AC1739" s="28" t="s">
        <v>1466</v>
      </c>
    </row>
    <row r="1740" spans="1:29" x14ac:dyDescent="0.25">
      <c r="A1740" s="61">
        <v>110003251427</v>
      </c>
      <c r="B1740" s="28">
        <v>2021</v>
      </c>
      <c r="C1740" s="68">
        <f t="shared" si="28"/>
        <v>44197</v>
      </c>
      <c r="D1740" s="28" t="s">
        <v>1113</v>
      </c>
      <c r="E1740" s="28" t="s">
        <v>1758</v>
      </c>
      <c r="F1740" s="28" t="s">
        <v>1114</v>
      </c>
      <c r="G1740" s="28" t="s">
        <v>324</v>
      </c>
      <c r="H1740" s="28">
        <v>41041</v>
      </c>
      <c r="I1740" s="28">
        <v>38.421495999999998</v>
      </c>
      <c r="J1740" s="28">
        <v>-83.734424000000004</v>
      </c>
      <c r="L1740" s="61">
        <v>110003251427</v>
      </c>
      <c r="M1740" s="28" t="s">
        <v>263</v>
      </c>
      <c r="N1740" s="28">
        <v>4952</v>
      </c>
      <c r="O1740" s="28" t="str">
        <f>IFERROR(VLOOKUP(N1740, 'SIC &amp; NAICS Codes'!A:B, 2, FALSE), "")</f>
        <v>Sewerage Systems</v>
      </c>
      <c r="S1740" s="28">
        <v>0.29150177500000002</v>
      </c>
      <c r="T1740" s="315">
        <f>_xlfn.MAXIFS('Raw Period DMR Data'!$O:$O,'Raw Period DMR Data'!$A:$A,'Raw Annual DMR Data_2021-2024'!#REF!,'Raw Period DMR Data'!$C:$C,X1740)/S1740</f>
        <v>0</v>
      </c>
      <c r="U1740" s="28" t="str">
        <f>+IF(COUNTIFS('Raw Period DMR Data'!$A:$A,B1740,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40" s="28" t="str" cm="1">
        <f t="array" ref="V1740">IFERROR(INDEX('Raw Period DMR Data'!N:N,MATCH(1,(B1740='Raw Period DMR Data'!$A:$A)*(U1740='Raw Period DMR Data'!M:M)*(X1740='Raw Period DMR Data'!C:C),0),1), "N/A")</f>
        <v>N/A</v>
      </c>
      <c r="W1740" s="28" t="s">
        <v>1463</v>
      </c>
      <c r="X1740" s="28" t="s">
        <v>1759</v>
      </c>
      <c r="Y1740" s="28" t="s">
        <v>1760</v>
      </c>
      <c r="Z1740" s="61">
        <v>5100101000962</v>
      </c>
      <c r="AA1740" s="28"/>
      <c r="AB1740" s="28" t="s">
        <v>7355</v>
      </c>
      <c r="AC1740" s="28" t="s">
        <v>263</v>
      </c>
    </row>
    <row r="1741" spans="1:29" x14ac:dyDescent="0.25">
      <c r="A1741" s="61">
        <v>110043486457</v>
      </c>
      <c r="B1741" s="28">
        <v>2024</v>
      </c>
      <c r="C1741" s="68">
        <f t="shared" si="28"/>
        <v>45292</v>
      </c>
      <c r="D1741" s="28" t="s">
        <v>1115</v>
      </c>
      <c r="E1741" s="28" t="s">
        <v>1762</v>
      </c>
      <c r="F1741" s="28" t="s">
        <v>987</v>
      </c>
      <c r="G1741" s="28" t="s">
        <v>324</v>
      </c>
      <c r="H1741" s="28">
        <v>40245</v>
      </c>
      <c r="I1741" s="28">
        <v>38.236699999999999</v>
      </c>
      <c r="J1741" s="28">
        <v>-85.466710000000006</v>
      </c>
      <c r="L1741" s="61">
        <v>110043486457</v>
      </c>
      <c r="M1741" s="28" t="s">
        <v>263</v>
      </c>
      <c r="N1741" s="28">
        <v>4952</v>
      </c>
      <c r="O1741" s="28" t="str">
        <f>IFERROR(VLOOKUP(N1741, 'SIC &amp; NAICS Codes'!A:B, 2, FALSE), "")</f>
        <v>Sewerage Systems</v>
      </c>
      <c r="S1741" s="28">
        <v>16.080950999999999</v>
      </c>
      <c r="T1741" s="315">
        <f>_xlfn.MAXIFS('Raw Period DMR Data'!$O:$O,'Raw Period DMR Data'!$A:$A,'Raw Annual DMR Data_2021-2024'!B2329,'Raw Period DMR Data'!$C:$C,X1741)/S1741</f>
        <v>0</v>
      </c>
      <c r="U1741" s="28" t="str">
        <f>+IF(COUNTIFS('Raw Period DMR Data'!$A:$A,B1741, 'Raw Period DMR Data'!C:C,'Raw Annual DMR Data_2021-2024'!X2329, 'Raw Period DMR Data'!M:M, "&gt;0")&gt;0,_xlfn.MAXIFS('Raw Period DMR Data'!M:M,'Raw Period DMR Data'!$A:$A,'Raw Annual DMR Data_2021-2024'!B2329,'Raw Period DMR Data'!C:C,'Raw Annual DMR Data_2021-2024'!X2329), "N/A - Period DMR Data Not Available")</f>
        <v>N/A - Period DMR Data Not Available</v>
      </c>
      <c r="V1741" s="28" t="str" cm="1">
        <f t="array" ref="V1741">IFERROR(INDEX('Raw Period DMR Data'!N:N,MATCH(1,(B1741='Raw Period DMR Data'!$A:$A)*(U1741='Raw Period DMR Data'!M:M)*(X1741='Raw Period DMR Data'!C:C),0),1), "N/A")</f>
        <v>N/A</v>
      </c>
      <c r="W1741" s="28" t="s">
        <v>1463</v>
      </c>
      <c r="X1741" s="28" t="s">
        <v>1763</v>
      </c>
      <c r="Y1741" s="28" t="s">
        <v>1764</v>
      </c>
      <c r="Z1741" s="61">
        <v>5140102000235</v>
      </c>
      <c r="AB1741" s="28" t="s">
        <v>7355</v>
      </c>
      <c r="AC1741" s="28" t="s">
        <v>263</v>
      </c>
    </row>
    <row r="1742" spans="1:29" x14ac:dyDescent="0.25">
      <c r="A1742" s="61">
        <v>110043486457</v>
      </c>
      <c r="B1742" s="28">
        <v>2022</v>
      </c>
      <c r="C1742" s="68">
        <f t="shared" si="28"/>
        <v>44562</v>
      </c>
      <c r="D1742" s="28" t="s">
        <v>1115</v>
      </c>
      <c r="E1742" s="28" t="s">
        <v>1762</v>
      </c>
      <c r="F1742" s="28" t="s">
        <v>987</v>
      </c>
      <c r="G1742" s="28" t="s">
        <v>324</v>
      </c>
      <c r="H1742" s="28">
        <v>40245</v>
      </c>
      <c r="I1742" s="28">
        <v>38.236699999999999</v>
      </c>
      <c r="J1742" s="28">
        <v>-85.466710000000006</v>
      </c>
      <c r="L1742" s="61">
        <v>110043486457</v>
      </c>
      <c r="M1742" s="28" t="s">
        <v>263</v>
      </c>
      <c r="N1742" s="28">
        <v>4952</v>
      </c>
      <c r="O1742" s="28" t="str">
        <f>IFERROR(VLOOKUP(N1742, 'SIC &amp; NAICS Codes'!A:B, 2, FALSE), "")</f>
        <v>Sewerage Systems</v>
      </c>
      <c r="S1742" s="28">
        <v>14.457659124999999</v>
      </c>
      <c r="T1742" s="315">
        <f>_xlfn.MAXIFS('Raw Period DMR Data'!$O:$O,'Raw Period DMR Data'!$A:$A,'Raw Annual DMR Data_2021-2024'!B2335,'Raw Period DMR Data'!$C:$C,X1742)/S1742</f>
        <v>0</v>
      </c>
      <c r="U1742" s="28" t="str">
        <f>+IF(COUNTIFS('Raw Period DMR Data'!$A:$A,B1742, 'Raw Period DMR Data'!C:C,'Raw Annual DMR Data_2021-2024'!X2335, 'Raw Period DMR Data'!M:M, "&gt;0")&gt;0,_xlfn.MAXIFS('Raw Period DMR Data'!M:M,'Raw Period DMR Data'!$A:$A,'Raw Annual DMR Data_2021-2024'!B2335,'Raw Period DMR Data'!C:C,'Raw Annual DMR Data_2021-2024'!X2335), "N/A - Period DMR Data Not Available")</f>
        <v>N/A - Period DMR Data Not Available</v>
      </c>
      <c r="V1742" s="28" t="str" cm="1">
        <f t="array" ref="V1742">IFERROR(INDEX('Raw Period DMR Data'!N:N,MATCH(1,(B1742='Raw Period DMR Data'!$A:$A)*(U1742='Raw Period DMR Data'!M:M)*(X1742='Raw Period DMR Data'!C:C),0),1), "N/A")</f>
        <v>N/A</v>
      </c>
      <c r="W1742" s="28" t="s">
        <v>1463</v>
      </c>
      <c r="X1742" s="28" t="s">
        <v>1763</v>
      </c>
      <c r="Y1742" s="28" t="s">
        <v>1764</v>
      </c>
      <c r="Z1742" s="61">
        <v>5140102000235</v>
      </c>
      <c r="AB1742" s="28" t="s">
        <v>7355</v>
      </c>
      <c r="AC1742" s="28" t="s">
        <v>263</v>
      </c>
    </row>
    <row r="1743" spans="1:29" x14ac:dyDescent="0.25">
      <c r="A1743" s="61">
        <v>110043486457</v>
      </c>
      <c r="B1743" s="28">
        <v>2021</v>
      </c>
      <c r="C1743" s="68">
        <f t="shared" si="28"/>
        <v>44197</v>
      </c>
      <c r="D1743" s="28" t="s">
        <v>1115</v>
      </c>
      <c r="E1743" s="28" t="s">
        <v>1762</v>
      </c>
      <c r="F1743" s="28" t="s">
        <v>987</v>
      </c>
      <c r="G1743" s="28" t="s">
        <v>324</v>
      </c>
      <c r="H1743" s="28">
        <v>40245</v>
      </c>
      <c r="I1743" s="28">
        <v>38.236699999999999</v>
      </c>
      <c r="J1743" s="28">
        <v>-85.466710000000006</v>
      </c>
      <c r="L1743" s="61">
        <v>110043486457</v>
      </c>
      <c r="M1743" s="28" t="s">
        <v>263</v>
      </c>
      <c r="N1743" s="28">
        <v>4952</v>
      </c>
      <c r="O1743" s="28" t="str">
        <f>IFERROR(VLOOKUP(N1743, 'SIC &amp; NAICS Codes'!A:B, 2, FALSE), "")</f>
        <v>Sewerage Systems</v>
      </c>
      <c r="S1743" s="28">
        <v>12.817098187499999</v>
      </c>
      <c r="T1743" s="315">
        <f>_xlfn.MAXIFS('Raw Period DMR Data'!$O:$O,'Raw Period DMR Data'!$A:$A,'Raw Annual DMR Data_2021-2024'!B2345,'Raw Period DMR Data'!$C:$C,X1743)/S1743</f>
        <v>0</v>
      </c>
      <c r="U1743" s="28" t="str">
        <f>+IF(COUNTIFS('Raw Period DMR Data'!$A:$A,B1743, 'Raw Period DMR Data'!C:C,'Raw Annual DMR Data_2021-2024'!X2345, 'Raw Period DMR Data'!M:M, "&gt;0")&gt;0,_xlfn.MAXIFS('Raw Period DMR Data'!M:M,'Raw Period DMR Data'!$A:$A,'Raw Annual DMR Data_2021-2024'!B2345,'Raw Period DMR Data'!C:C,'Raw Annual DMR Data_2021-2024'!X2345), "N/A - Period DMR Data Not Available")</f>
        <v>N/A - Period DMR Data Not Available</v>
      </c>
      <c r="V1743" s="28" t="str" cm="1">
        <f t="array" ref="V1743">IFERROR(INDEX('Raw Period DMR Data'!N:N,MATCH(1,(B1743='Raw Period DMR Data'!$A:$A)*(U1743='Raw Period DMR Data'!M:M)*(X1743='Raw Period DMR Data'!C:C),0),1), "N/A")</f>
        <v>N/A</v>
      </c>
      <c r="W1743" s="28" t="s">
        <v>1463</v>
      </c>
      <c r="X1743" s="28" t="s">
        <v>1763</v>
      </c>
      <c r="Y1743" s="28" t="s">
        <v>1764</v>
      </c>
      <c r="Z1743" s="61">
        <v>5140102000235</v>
      </c>
      <c r="AB1743" s="28" t="s">
        <v>7355</v>
      </c>
      <c r="AC1743" s="28" t="s">
        <v>263</v>
      </c>
    </row>
    <row r="1744" spans="1:29" x14ac:dyDescent="0.25">
      <c r="A1744" s="61">
        <v>110043486457</v>
      </c>
      <c r="B1744" s="28">
        <v>2023</v>
      </c>
      <c r="C1744" s="68">
        <f t="shared" si="28"/>
        <v>44927</v>
      </c>
      <c r="D1744" s="28" t="s">
        <v>1115</v>
      </c>
      <c r="E1744" s="28" t="s">
        <v>1762</v>
      </c>
      <c r="F1744" s="28" t="s">
        <v>987</v>
      </c>
      <c r="G1744" s="28" t="s">
        <v>324</v>
      </c>
      <c r="H1744" s="28">
        <v>40245</v>
      </c>
      <c r="I1744" s="28">
        <v>38.236699999999999</v>
      </c>
      <c r="J1744" s="28">
        <v>-85.466710000000006</v>
      </c>
      <c r="L1744" s="61">
        <v>110043486457</v>
      </c>
      <c r="M1744" s="28" t="s">
        <v>263</v>
      </c>
      <c r="N1744" s="28">
        <v>4952</v>
      </c>
      <c r="O1744" s="28" t="str">
        <f>IFERROR(VLOOKUP(N1744, 'SIC &amp; NAICS Codes'!A:B, 2, FALSE), "")</f>
        <v>Sewerage Systems</v>
      </c>
      <c r="S1744" s="28">
        <v>11.722239625</v>
      </c>
      <c r="T1744" s="315">
        <f>_xlfn.MAXIFS('Raw Period DMR Data'!$O:$O,'Raw Period DMR Data'!$A:$A,'Raw Annual DMR Data_2021-2024'!B2352,'Raw Period DMR Data'!$C:$C,X1744)/S1744</f>
        <v>0</v>
      </c>
      <c r="U1744" s="28" t="str">
        <f>+IF(COUNTIFS('Raw Period DMR Data'!$A:$A,B1744, 'Raw Period DMR Data'!C:C,'Raw Annual DMR Data_2021-2024'!X2352, 'Raw Period DMR Data'!M:M, "&gt;0")&gt;0,_xlfn.MAXIFS('Raw Period DMR Data'!M:M,'Raw Period DMR Data'!$A:$A,'Raw Annual DMR Data_2021-2024'!B2352,'Raw Period DMR Data'!C:C,'Raw Annual DMR Data_2021-2024'!X2352), "N/A - Period DMR Data Not Available")</f>
        <v>N/A - Period DMR Data Not Available</v>
      </c>
      <c r="V1744" s="28" t="str" cm="1">
        <f t="array" ref="V1744">IFERROR(INDEX('Raw Period DMR Data'!N:N,MATCH(1,(B1744='Raw Period DMR Data'!$A:$A)*(U1744='Raw Period DMR Data'!M:M)*(X1744='Raw Period DMR Data'!C:C),0),1), "N/A")</f>
        <v>N/A</v>
      </c>
      <c r="W1744" s="28" t="s">
        <v>1463</v>
      </c>
      <c r="X1744" s="28" t="s">
        <v>1763</v>
      </c>
      <c r="Y1744" s="28" t="s">
        <v>1764</v>
      </c>
      <c r="Z1744" s="61">
        <v>5140102000235</v>
      </c>
      <c r="AB1744" s="28" t="s">
        <v>7355</v>
      </c>
      <c r="AC1744" s="28" t="s">
        <v>263</v>
      </c>
    </row>
    <row r="1745" spans="1:29" x14ac:dyDescent="0.25">
      <c r="A1745" s="61">
        <v>110001847761</v>
      </c>
      <c r="B1745" s="28">
        <v>2021</v>
      </c>
      <c r="C1745" s="68">
        <f t="shared" si="28"/>
        <v>44197</v>
      </c>
      <c r="D1745" s="28" t="s">
        <v>1118</v>
      </c>
      <c r="E1745" s="28" t="s">
        <v>1769</v>
      </c>
      <c r="F1745" s="28" t="s">
        <v>1119</v>
      </c>
      <c r="G1745" s="28" t="s">
        <v>427</v>
      </c>
      <c r="H1745" s="28">
        <v>49128</v>
      </c>
      <c r="I1745" s="28">
        <v>41.775967999999999</v>
      </c>
      <c r="J1745" s="28">
        <v>-86.654864000000003</v>
      </c>
      <c r="L1745" s="61">
        <v>110001847761</v>
      </c>
      <c r="M1745" s="28" t="s">
        <v>6750</v>
      </c>
      <c r="N1745" s="28">
        <v>4953</v>
      </c>
      <c r="O1745" s="28" t="str">
        <f>IFERROR(VLOOKUP(N1745, 'SIC &amp; NAICS Codes'!A:B, 2, FALSE), "")</f>
        <v>Refuse Systems (hazardous waste treatment and disposal)</v>
      </c>
      <c r="S1745" s="28">
        <v>1.7316375E-3</v>
      </c>
      <c r="T1745" s="315">
        <f>_xlfn.MAXIFS('Raw Period DMR Data'!$O:$O,'Raw Period DMR Data'!$A:$A,'Raw Annual DMR Data_2021-2024'!#REF!,'Raw Period DMR Data'!$C:$C,X1745)/S1745</f>
        <v>0</v>
      </c>
      <c r="U1745" s="28" t="str">
        <f>+IF(COUNTIFS('Raw Period DMR Data'!$A:$A,B1745,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45" s="28" t="str" cm="1">
        <f t="array" ref="V1745">IFERROR(INDEX('Raw Period DMR Data'!N:N,MATCH(1,(B1745='Raw Period DMR Data'!$A:$A)*(U1745='Raw Period DMR Data'!M:M)*(X1745='Raw Period DMR Data'!C:C),0),1), "N/A")</f>
        <v>N/A</v>
      </c>
      <c r="W1745" s="28" t="s">
        <v>1463</v>
      </c>
      <c r="X1745" s="28" t="s">
        <v>1770</v>
      </c>
      <c r="Y1745" s="28" t="s">
        <v>1771</v>
      </c>
      <c r="Z1745" s="61">
        <v>4040001000153</v>
      </c>
      <c r="AA1745" s="28"/>
      <c r="AB1745" s="28" t="s">
        <v>7355</v>
      </c>
      <c r="AC1745" s="28" t="s">
        <v>1466</v>
      </c>
    </row>
    <row r="1746" spans="1:29" x14ac:dyDescent="0.25">
      <c r="A1746" s="61">
        <v>110000329038</v>
      </c>
      <c r="B1746" s="28">
        <v>2023</v>
      </c>
      <c r="C1746" s="68">
        <f t="shared" si="28"/>
        <v>44927</v>
      </c>
      <c r="D1746" s="28" t="s">
        <v>6846</v>
      </c>
      <c r="E1746" s="28" t="s">
        <v>7000</v>
      </c>
      <c r="F1746" s="28" t="s">
        <v>1267</v>
      </c>
      <c r="G1746" s="28" t="s">
        <v>491</v>
      </c>
      <c r="H1746" s="28" t="s">
        <v>7001</v>
      </c>
      <c r="I1746" s="28">
        <v>40.670580000000001</v>
      </c>
      <c r="J1746" s="28">
        <v>-80.336500000000001</v>
      </c>
      <c r="K1746" s="28" t="s">
        <v>7128</v>
      </c>
      <c r="L1746" s="61">
        <v>110000329038</v>
      </c>
      <c r="M1746" s="28" t="s">
        <v>265</v>
      </c>
      <c r="N1746" s="28">
        <v>2869</v>
      </c>
      <c r="O1746" s="28" t="str">
        <f>IFERROR(VLOOKUP(N1746, 'SIC &amp; NAICS Codes'!A:B, 2, FALSE), "")</f>
        <v>Industrial Organic Chemicals, NEC (aliphatics)</v>
      </c>
      <c r="S1746" s="28">
        <v>2.8147999999999999E-2</v>
      </c>
      <c r="T1746" s="315">
        <f>_xlfn.MAXIFS('Raw Period DMR Data'!$O:$O,'Raw Period DMR Data'!$A:$A,'Raw Annual DMR Data_2021-2024'!#REF!,'Raw Period DMR Data'!$C:$C,X1746)/S1746</f>
        <v>0</v>
      </c>
      <c r="U1746" s="28" t="str">
        <f>+IF(COUNTIFS('Raw Period DMR Data'!$A:$A,B1746,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46" s="28" t="str" cm="1">
        <f t="array" ref="V1746">IFERROR(INDEX('Raw Period DMR Data'!N:N,MATCH(1,(B1746='Raw Period DMR Data'!$A:$A)*(U1746='Raw Period DMR Data'!M:M)*(X1746='Raw Period DMR Data'!C:C),0),1), "N/A")</f>
        <v>N/A</v>
      </c>
      <c r="W1746" s="28" t="s">
        <v>1463</v>
      </c>
      <c r="X1746" s="28" t="s">
        <v>7179</v>
      </c>
      <c r="Y1746" s="28" t="s">
        <v>7289</v>
      </c>
      <c r="Z1746" s="61" t="s">
        <v>7344</v>
      </c>
      <c r="AB1746" s="28" t="s">
        <v>7355</v>
      </c>
      <c r="AC1746" s="28" t="s">
        <v>1466</v>
      </c>
    </row>
    <row r="1747" spans="1:29" x14ac:dyDescent="0.25">
      <c r="A1747" s="61">
        <v>110070215141</v>
      </c>
      <c r="B1747" s="28">
        <v>2022</v>
      </c>
      <c r="C1747" s="68">
        <f t="shared" si="28"/>
        <v>44562</v>
      </c>
      <c r="D1747" s="28" t="s">
        <v>1120</v>
      </c>
      <c r="E1747" s="28" t="s">
        <v>1773</v>
      </c>
      <c r="F1747" s="28" t="s">
        <v>1121</v>
      </c>
      <c r="G1747" s="28" t="s">
        <v>338</v>
      </c>
      <c r="H1747" s="28">
        <v>8832</v>
      </c>
      <c r="I1747" s="28">
        <v>40.515906999999999</v>
      </c>
      <c r="J1747" s="28">
        <v>-74.325175999999999</v>
      </c>
      <c r="L1747" s="61">
        <v>110070215141</v>
      </c>
      <c r="M1747" s="28" t="s">
        <v>265</v>
      </c>
      <c r="O1747" s="28" t="str">
        <f>IFERROR(VLOOKUP(N1747, 'SIC &amp; NAICS Codes'!A:B, 2, FALSE), "")</f>
        <v/>
      </c>
      <c r="S1747" s="28">
        <v>4.7403292990300001E-2</v>
      </c>
      <c r="T1747" s="315">
        <f>_xlfn.MAXIFS('Raw Period DMR Data'!$O:$O,'Raw Period DMR Data'!$A:$A,'Raw Annual DMR Data_2021-2024'!#REF!,'Raw Period DMR Data'!$C:$C,X1747)/S1747</f>
        <v>0</v>
      </c>
      <c r="U1747" s="28" t="str">
        <f>+IF(COUNTIFS('Raw Period DMR Data'!$A:$A,B1747,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47" s="28" t="str" cm="1">
        <f t="array" ref="V1747">IFERROR(INDEX('Raw Period DMR Data'!N:N,MATCH(1,(B1747='Raw Period DMR Data'!$A:$A)*(U1747='Raw Period DMR Data'!M:M)*(X1747='Raw Period DMR Data'!C:C),0),1), "N/A")</f>
        <v>N/A</v>
      </c>
      <c r="W1747" s="28" t="s">
        <v>1463</v>
      </c>
      <c r="X1747" s="28" t="s">
        <v>1774</v>
      </c>
      <c r="Y1747" s="28" t="s">
        <v>1775</v>
      </c>
      <c r="Z1747" s="61">
        <v>2030105000996</v>
      </c>
      <c r="AB1747" s="28" t="s">
        <v>7355</v>
      </c>
      <c r="AC1747" s="28" t="s">
        <v>1466</v>
      </c>
    </row>
    <row r="1748" spans="1:29" x14ac:dyDescent="0.25">
      <c r="A1748" s="61">
        <v>110070215141</v>
      </c>
      <c r="B1748" s="28">
        <v>2021</v>
      </c>
      <c r="C1748" s="68">
        <f t="shared" si="28"/>
        <v>44197</v>
      </c>
      <c r="D1748" s="28" t="s">
        <v>1120</v>
      </c>
      <c r="E1748" s="28" t="s">
        <v>1773</v>
      </c>
      <c r="F1748" s="28" t="s">
        <v>1121</v>
      </c>
      <c r="G1748" s="28" t="s">
        <v>338</v>
      </c>
      <c r="H1748" s="28">
        <v>8832</v>
      </c>
      <c r="I1748" s="28">
        <v>40.515906999999999</v>
      </c>
      <c r="J1748" s="28">
        <v>-74.325175999999999</v>
      </c>
      <c r="L1748" s="61">
        <v>110070215141</v>
      </c>
      <c r="M1748" s="28" t="s">
        <v>265</v>
      </c>
      <c r="O1748" s="28" t="str">
        <f>IFERROR(VLOOKUP(N1748, 'SIC &amp; NAICS Codes'!A:B, 2, FALSE), "")</f>
        <v/>
      </c>
      <c r="S1748" s="28">
        <v>4.6089969602500003E-2</v>
      </c>
      <c r="T1748" s="315">
        <f>_xlfn.MAXIFS('Raw Period DMR Data'!$O:$O,'Raw Period DMR Data'!$A:$A,'Raw Annual DMR Data_2021-2024'!#REF!,'Raw Period DMR Data'!$C:$C,X1748)/S1748</f>
        <v>0</v>
      </c>
      <c r="U1748" s="28" t="str">
        <f>+IF(COUNTIFS('Raw Period DMR Data'!$A:$A,B1748,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48" s="28" t="str" cm="1">
        <f t="array" ref="V1748">IFERROR(INDEX('Raw Period DMR Data'!N:N,MATCH(1,(B1748='Raw Period DMR Data'!$A:$A)*(U1748='Raw Period DMR Data'!M:M)*(X1748='Raw Period DMR Data'!C:C),0),1), "N/A")</f>
        <v>N/A</v>
      </c>
      <c r="W1748" s="28" t="s">
        <v>1463</v>
      </c>
      <c r="X1748" s="28" t="s">
        <v>1774</v>
      </c>
      <c r="Y1748" s="28" t="s">
        <v>1775</v>
      </c>
      <c r="Z1748" s="61">
        <v>2030105000996</v>
      </c>
      <c r="AA1748" s="28"/>
      <c r="AB1748" s="28" t="s">
        <v>7355</v>
      </c>
      <c r="AC1748" s="28" t="s">
        <v>1466</v>
      </c>
    </row>
    <row r="1749" spans="1:29" x14ac:dyDescent="0.25">
      <c r="A1749" s="61">
        <v>110070215141</v>
      </c>
      <c r="B1749" s="28">
        <v>2023</v>
      </c>
      <c r="C1749" s="68">
        <f t="shared" si="28"/>
        <v>44927</v>
      </c>
      <c r="D1749" s="28" t="s">
        <v>1120</v>
      </c>
      <c r="E1749" s="28" t="s">
        <v>1773</v>
      </c>
      <c r="F1749" s="28" t="s">
        <v>1121</v>
      </c>
      <c r="G1749" s="28" t="s">
        <v>338</v>
      </c>
      <c r="H1749" s="28" t="s">
        <v>1776</v>
      </c>
      <c r="I1749" s="28">
        <v>40.515906999999999</v>
      </c>
      <c r="J1749" s="28">
        <v>-74.325175999999999</v>
      </c>
      <c r="L1749" s="61">
        <v>110070215141</v>
      </c>
      <c r="M1749" s="28" t="s">
        <v>265</v>
      </c>
      <c r="O1749" s="28" t="str">
        <f>IFERROR(VLOOKUP(N1749, 'SIC &amp; NAICS Codes'!A:B, 2, FALSE), "")</f>
        <v/>
      </c>
      <c r="S1749" s="28">
        <v>4.2232315770499997E-2</v>
      </c>
      <c r="T1749" s="315">
        <f>_xlfn.MAXIFS('Raw Period DMR Data'!$O:$O,'Raw Period DMR Data'!$A:$A,'Raw Annual DMR Data_2021-2024'!#REF!,'Raw Period DMR Data'!$C:$C,X1749)/S1749</f>
        <v>0</v>
      </c>
      <c r="U1749" s="28" t="str">
        <f>+IF(COUNTIFS('Raw Period DMR Data'!$A:$A,B1749,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49" s="28" t="str" cm="1">
        <f t="array" ref="V1749">IFERROR(INDEX('Raw Period DMR Data'!N:N,MATCH(1,(B1749='Raw Period DMR Data'!$A:$A)*(U1749='Raw Period DMR Data'!M:M)*(X1749='Raw Period DMR Data'!C:C),0),1), "N/A")</f>
        <v>N/A</v>
      </c>
      <c r="W1749" s="28" t="s">
        <v>1463</v>
      </c>
      <c r="X1749" s="28" t="s">
        <v>1774</v>
      </c>
      <c r="Y1749" s="28" t="s">
        <v>1775</v>
      </c>
      <c r="Z1749" s="61" t="s">
        <v>1777</v>
      </c>
      <c r="AB1749" s="28" t="s">
        <v>7355</v>
      </c>
      <c r="AC1749" s="28" t="s">
        <v>1466</v>
      </c>
    </row>
    <row r="1750" spans="1:29" x14ac:dyDescent="0.25">
      <c r="A1750" s="61">
        <v>110070215141</v>
      </c>
      <c r="B1750" s="28">
        <v>2024</v>
      </c>
      <c r="C1750" s="68">
        <f t="shared" si="28"/>
        <v>45292</v>
      </c>
      <c r="D1750" s="28" t="s">
        <v>1120</v>
      </c>
      <c r="E1750" s="28" t="s">
        <v>1773</v>
      </c>
      <c r="F1750" s="28" t="s">
        <v>1121</v>
      </c>
      <c r="G1750" s="28" t="s">
        <v>338</v>
      </c>
      <c r="H1750" s="28">
        <v>8832</v>
      </c>
      <c r="I1750" s="28">
        <v>40.515906999999999</v>
      </c>
      <c r="J1750" s="28">
        <v>-74.325175999999999</v>
      </c>
      <c r="L1750" s="61">
        <v>110070215141</v>
      </c>
      <c r="M1750" s="28" t="s">
        <v>265</v>
      </c>
      <c r="O1750" s="28" t="str">
        <f>IFERROR(VLOOKUP(N1750, 'SIC &amp; NAICS Codes'!A:B, 2, FALSE), "")</f>
        <v/>
      </c>
      <c r="S1750" s="28">
        <v>3.1218603315900002E-2</v>
      </c>
      <c r="T1750" s="315">
        <f>_xlfn.MAXIFS('Raw Period DMR Data'!$O:$O,'Raw Period DMR Data'!$A:$A,'Raw Annual DMR Data_2021-2024'!#REF!,'Raw Period DMR Data'!$C:$C,X1750)/S1750</f>
        <v>0</v>
      </c>
      <c r="U1750" s="28" t="str">
        <f>+IF(COUNTIFS('Raw Period DMR Data'!$A:$A,B1750,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50" s="28" t="str" cm="1">
        <f t="array" ref="V1750">IFERROR(INDEX('Raw Period DMR Data'!N:N,MATCH(1,(B1750='Raw Period DMR Data'!$A:$A)*(U1750='Raw Period DMR Data'!M:M)*(X1750='Raw Period DMR Data'!C:C),0),1), "N/A")</f>
        <v>N/A</v>
      </c>
      <c r="W1750" s="28" t="s">
        <v>1463</v>
      </c>
      <c r="X1750" s="28" t="s">
        <v>1774</v>
      </c>
      <c r="Y1750" s="28" t="s">
        <v>1775</v>
      </c>
      <c r="Z1750" s="61">
        <v>2030105000996</v>
      </c>
      <c r="AB1750" s="28" t="s">
        <v>7355</v>
      </c>
      <c r="AC1750" s="28" t="s">
        <v>1466</v>
      </c>
    </row>
    <row r="1751" spans="1:29" x14ac:dyDescent="0.25">
      <c r="A1751" s="61">
        <v>110070215141</v>
      </c>
      <c r="B1751" s="28">
        <v>2022</v>
      </c>
      <c r="C1751" s="68">
        <f t="shared" si="28"/>
        <v>44562</v>
      </c>
      <c r="D1751" s="28" t="s">
        <v>1120</v>
      </c>
      <c r="E1751" s="28" t="s">
        <v>1773</v>
      </c>
      <c r="F1751" s="28" t="s">
        <v>1121</v>
      </c>
      <c r="G1751" s="28" t="s">
        <v>338</v>
      </c>
      <c r="H1751" s="28">
        <v>8832</v>
      </c>
      <c r="I1751" s="28">
        <v>40.515906999999999</v>
      </c>
      <c r="J1751" s="28">
        <v>-74.325175999999999</v>
      </c>
      <c r="L1751" s="61">
        <v>110070215141</v>
      </c>
      <c r="M1751" s="28" t="s">
        <v>265</v>
      </c>
      <c r="O1751" s="28" t="str">
        <f>IFERROR(VLOOKUP(N1751, 'SIC &amp; NAICS Codes'!A:B, 2, FALSE), "")</f>
        <v/>
      </c>
      <c r="S1751" s="28">
        <v>6.1235296990000002E-3</v>
      </c>
      <c r="T1751" s="315">
        <f>_xlfn.MAXIFS('Raw Period DMR Data'!$O:$O,'Raw Period DMR Data'!$A:$A,'Raw Annual DMR Data_2021-2024'!#REF!,'Raw Period DMR Data'!$C:$C,X1751)/S1751</f>
        <v>0</v>
      </c>
      <c r="U1751" s="28" t="str">
        <f>+IF(COUNTIFS('Raw Period DMR Data'!$A:$A,B1751,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51" s="28" t="str" cm="1">
        <f t="array" ref="V1751">IFERROR(INDEX('Raw Period DMR Data'!N:N,MATCH(1,(B1751='Raw Period DMR Data'!$A:$A)*(U1751='Raw Period DMR Data'!M:M)*(X1751='Raw Period DMR Data'!C:C),0),1), "N/A")</f>
        <v>N/A</v>
      </c>
      <c r="W1751" s="28" t="s">
        <v>1463</v>
      </c>
      <c r="X1751" s="28" t="s">
        <v>1774</v>
      </c>
      <c r="Y1751" s="28" t="s">
        <v>1775</v>
      </c>
      <c r="Z1751" s="61">
        <v>2030105000996</v>
      </c>
      <c r="AB1751" s="28" t="s">
        <v>7355</v>
      </c>
      <c r="AC1751" s="28" t="s">
        <v>1466</v>
      </c>
    </row>
    <row r="1752" spans="1:29" x14ac:dyDescent="0.25">
      <c r="A1752" s="61">
        <v>110070215141</v>
      </c>
      <c r="B1752" s="28">
        <v>2023</v>
      </c>
      <c r="C1752" s="68">
        <f t="shared" si="28"/>
        <v>44927</v>
      </c>
      <c r="D1752" s="28" t="s">
        <v>1120</v>
      </c>
      <c r="E1752" s="28" t="s">
        <v>1773</v>
      </c>
      <c r="F1752" s="28" t="s">
        <v>1121</v>
      </c>
      <c r="G1752" s="28" t="s">
        <v>338</v>
      </c>
      <c r="H1752" s="28" t="s">
        <v>1776</v>
      </c>
      <c r="I1752" s="28">
        <v>40.515906999999999</v>
      </c>
      <c r="J1752" s="28">
        <v>-74.325175999999999</v>
      </c>
      <c r="L1752" s="61">
        <v>110070215141</v>
      </c>
      <c r="M1752" s="28" t="s">
        <v>265</v>
      </c>
      <c r="O1752" s="28" t="str">
        <f>IFERROR(VLOOKUP(N1752, 'SIC &amp; NAICS Codes'!A:B, 2, FALSE), "")</f>
        <v/>
      </c>
      <c r="S1752" s="28">
        <v>3.3244760219999997E-4</v>
      </c>
      <c r="T1752" s="315">
        <f>_xlfn.MAXIFS('Raw Period DMR Data'!$O:$O,'Raw Period DMR Data'!$A:$A,'Raw Annual DMR Data_2021-2024'!#REF!,'Raw Period DMR Data'!$C:$C,X1752)/S1752</f>
        <v>0</v>
      </c>
      <c r="U1752" s="28" t="str">
        <f>+IF(COUNTIFS('Raw Period DMR Data'!$A:$A,B1752,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52" s="28" t="str" cm="1">
        <f t="array" ref="V1752">IFERROR(INDEX('Raw Period DMR Data'!N:N,MATCH(1,(B1752='Raw Period DMR Data'!$A:$A)*(U1752='Raw Period DMR Data'!M:M)*(X1752='Raw Period DMR Data'!C:C),0),1), "N/A")</f>
        <v>N/A</v>
      </c>
      <c r="W1752" s="28" t="s">
        <v>1463</v>
      </c>
      <c r="X1752" s="28" t="s">
        <v>1774</v>
      </c>
      <c r="Y1752" s="28" t="s">
        <v>1775</v>
      </c>
      <c r="Z1752" s="61" t="s">
        <v>1777</v>
      </c>
      <c r="AB1752" s="28" t="s">
        <v>7355</v>
      </c>
      <c r="AC1752" s="28" t="s">
        <v>1466</v>
      </c>
    </row>
    <row r="1753" spans="1:29" x14ac:dyDescent="0.25">
      <c r="A1753" s="61">
        <v>110070213656</v>
      </c>
      <c r="B1753" s="28">
        <v>2021</v>
      </c>
      <c r="C1753" s="68">
        <f t="shared" si="28"/>
        <v>44197</v>
      </c>
      <c r="D1753" s="28" t="s">
        <v>147</v>
      </c>
      <c r="E1753" s="28" t="s">
        <v>473</v>
      </c>
      <c r="F1753" s="28" t="s">
        <v>474</v>
      </c>
      <c r="G1753" s="28" t="s">
        <v>338</v>
      </c>
      <c r="H1753" s="28">
        <v>7470</v>
      </c>
      <c r="I1753" s="28">
        <v>40.891950000000001</v>
      </c>
      <c r="J1753" s="28">
        <v>-74.249369999999999</v>
      </c>
      <c r="L1753" s="61">
        <v>110070213656</v>
      </c>
      <c r="M1753" s="28" t="s">
        <v>265</v>
      </c>
      <c r="N1753" s="28">
        <v>9999</v>
      </c>
      <c r="O1753" s="28" t="str">
        <f>IFERROR(VLOOKUP(N1753, 'SIC &amp; NAICS Codes'!A:B, 2, FALSE), "")</f>
        <v>Nonclassifiable Establishments</v>
      </c>
      <c r="S1753" s="28">
        <v>3.1700116859999998E-4</v>
      </c>
      <c r="T1753" s="315">
        <f>_xlfn.MAXIFS('Raw Period DMR Data'!$O:$O,'Raw Period DMR Data'!$A:$A,'Raw Annual DMR Data_2021-2024'!#REF!,'Raw Period DMR Data'!$C:$C,X1753)/S1753</f>
        <v>0</v>
      </c>
      <c r="U1753" s="28" t="str">
        <f>+IF(COUNTIFS('Raw Period DMR Data'!$A:$A,B1753,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53" s="28" t="str" cm="1">
        <f t="array" ref="V1753">IFERROR(INDEX('Raw Period DMR Data'!N:N,MATCH(1,(B1753='Raw Period DMR Data'!$A:$A)*(U1753='Raw Period DMR Data'!M:M)*(X1753='Raw Period DMR Data'!C:C),0),1), "N/A")</f>
        <v>N/A</v>
      </c>
      <c r="W1753" s="28" t="s">
        <v>1463</v>
      </c>
      <c r="X1753" s="28" t="s">
        <v>857</v>
      </c>
      <c r="Y1753" s="28" t="s">
        <v>858</v>
      </c>
      <c r="Z1753" s="61">
        <v>2030103000043</v>
      </c>
      <c r="AA1753" s="28"/>
      <c r="AB1753" s="28" t="s">
        <v>7355</v>
      </c>
      <c r="AC1753" s="28" t="s">
        <v>1466</v>
      </c>
    </row>
    <row r="1754" spans="1:29" x14ac:dyDescent="0.25">
      <c r="A1754" s="61">
        <v>110070213656</v>
      </c>
      <c r="B1754" s="28">
        <v>2022</v>
      </c>
      <c r="C1754" s="68">
        <f t="shared" si="28"/>
        <v>44562</v>
      </c>
      <c r="D1754" s="28" t="s">
        <v>147</v>
      </c>
      <c r="E1754" s="28" t="s">
        <v>473</v>
      </c>
      <c r="F1754" s="28" t="s">
        <v>474</v>
      </c>
      <c r="G1754" s="28" t="s">
        <v>338</v>
      </c>
      <c r="H1754" s="28">
        <v>7470</v>
      </c>
      <c r="I1754" s="28">
        <v>40.891950000000001</v>
      </c>
      <c r="J1754" s="28">
        <v>-74.249369999999999</v>
      </c>
      <c r="L1754" s="61">
        <v>110070213656</v>
      </c>
      <c r="M1754" s="28" t="s">
        <v>265</v>
      </c>
      <c r="N1754" s="28">
        <v>9999</v>
      </c>
      <c r="O1754" s="28" t="str">
        <f>IFERROR(VLOOKUP(N1754, 'SIC &amp; NAICS Codes'!A:B, 2, FALSE), "")</f>
        <v>Nonclassifiable Establishments</v>
      </c>
      <c r="S1754" s="28">
        <v>1.67562707E-5</v>
      </c>
      <c r="T1754" s="315">
        <f>_xlfn.MAXIFS('Raw Period DMR Data'!$O:$O,'Raw Period DMR Data'!$A:$A,'Raw Annual DMR Data_2021-2024'!#REF!,'Raw Period DMR Data'!$C:$C,X1754)/S1754</f>
        <v>0</v>
      </c>
      <c r="U1754" s="28" t="str">
        <f>+IF(COUNTIFS('Raw Period DMR Data'!$A:$A,B1754,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54" s="28" t="str" cm="1">
        <f t="array" ref="V1754">IFERROR(INDEX('Raw Period DMR Data'!N:N,MATCH(1,(B1754='Raw Period DMR Data'!$A:$A)*(U1754='Raw Period DMR Data'!M:M)*(X1754='Raw Period DMR Data'!C:C),0),1), "N/A")</f>
        <v>N/A</v>
      </c>
      <c r="W1754" s="28" t="s">
        <v>1463</v>
      </c>
      <c r="X1754" s="28" t="s">
        <v>857</v>
      </c>
      <c r="Y1754" s="28" t="s">
        <v>858</v>
      </c>
      <c r="Z1754" s="61">
        <v>2030103000043</v>
      </c>
      <c r="AB1754" s="28" t="s">
        <v>7355</v>
      </c>
      <c r="AC1754" s="28" t="s">
        <v>1466</v>
      </c>
    </row>
    <row r="1755" spans="1:29" x14ac:dyDescent="0.25">
      <c r="A1755" s="61">
        <v>110018925957</v>
      </c>
      <c r="B1755" s="28">
        <v>2021</v>
      </c>
      <c r="C1755" s="68">
        <f t="shared" si="28"/>
        <v>44197</v>
      </c>
      <c r="D1755" s="28" t="s">
        <v>149</v>
      </c>
      <c r="E1755" s="28" t="s">
        <v>479</v>
      </c>
      <c r="F1755" s="28" t="s">
        <v>480</v>
      </c>
      <c r="G1755" s="28" t="s">
        <v>362</v>
      </c>
      <c r="H1755" s="28">
        <v>77978</v>
      </c>
      <c r="I1755" s="28">
        <v>28.697590000000002</v>
      </c>
      <c r="J1755" s="28">
        <v>-96.542101000000002</v>
      </c>
      <c r="K1755" s="28" t="s">
        <v>481</v>
      </c>
      <c r="L1755" s="61">
        <v>110018925957</v>
      </c>
      <c r="M1755" s="28" t="s">
        <v>251</v>
      </c>
      <c r="N1755" s="28">
        <v>2821</v>
      </c>
      <c r="O1755" s="28" t="str">
        <f>IFERROR(VLOOKUP(N1755, 'SIC &amp; NAICS Codes'!A:B, 2, FALSE), "")</f>
        <v>Plastics Materials, Synthetic and Resins, and Nonvulcanizable Elastomers</v>
      </c>
      <c r="S1755" s="28">
        <v>147.84209999999999</v>
      </c>
      <c r="T1755" s="315">
        <f>_xlfn.MAXIFS('Raw Period DMR Data'!$O:$O,'Raw Period DMR Data'!$A:$A,'Raw Annual DMR Data_2021-2024'!B2282,'Raw Period DMR Data'!$C:$C,X1755)/S1755</f>
        <v>0</v>
      </c>
      <c r="U1755" s="28" t="str">
        <f>+IF(COUNTIFS('Raw Period DMR Data'!$A:$A,B1755, 'Raw Period DMR Data'!C:C,'Raw Annual DMR Data_2021-2024'!X2282, 'Raw Period DMR Data'!M:M, "&gt;0")&gt;0,_xlfn.MAXIFS('Raw Period DMR Data'!M:M,'Raw Period DMR Data'!$A:$A,'Raw Annual DMR Data_2021-2024'!B2282,'Raw Period DMR Data'!C:C,'Raw Annual DMR Data_2021-2024'!X2282), "N/A - Period DMR Data Not Available")</f>
        <v>N/A - Period DMR Data Not Available</v>
      </c>
      <c r="V1755" s="28" t="str" cm="1">
        <f t="array" ref="V1755">IFERROR(INDEX('Raw Period DMR Data'!N:N,MATCH(1,(B1755='Raw Period DMR Data'!$A:$A)*(U1755='Raw Period DMR Data'!M:M)*(X1755='Raw Period DMR Data'!C:C),0),1), "N/A")</f>
        <v>N/A</v>
      </c>
      <c r="W1755" s="28" t="s">
        <v>1463</v>
      </c>
      <c r="X1755" s="28" t="s">
        <v>860</v>
      </c>
      <c r="Y1755" s="28" t="s">
        <v>7256</v>
      </c>
      <c r="Z1755" s="61">
        <v>12100401000758</v>
      </c>
      <c r="AA1755" s="28"/>
      <c r="AC1755" s="28" t="s">
        <v>1466</v>
      </c>
    </row>
    <row r="1756" spans="1:29" x14ac:dyDescent="0.25">
      <c r="A1756" s="61">
        <v>110018925957</v>
      </c>
      <c r="B1756" s="28">
        <v>2021</v>
      </c>
      <c r="C1756" s="68">
        <f t="shared" si="28"/>
        <v>44197</v>
      </c>
      <c r="D1756" s="28" t="s">
        <v>149</v>
      </c>
      <c r="E1756" s="28" t="s">
        <v>479</v>
      </c>
      <c r="F1756" s="28" t="s">
        <v>480</v>
      </c>
      <c r="G1756" s="28" t="s">
        <v>362</v>
      </c>
      <c r="H1756" s="28">
        <v>77978</v>
      </c>
      <c r="I1756" s="28">
        <v>28.697590000000002</v>
      </c>
      <c r="J1756" s="28">
        <v>-96.542101000000002</v>
      </c>
      <c r="K1756" s="28" t="s">
        <v>481</v>
      </c>
      <c r="L1756" s="61">
        <v>110018925957</v>
      </c>
      <c r="M1756" s="28" t="s">
        <v>251</v>
      </c>
      <c r="N1756" s="28">
        <v>2821</v>
      </c>
      <c r="O1756" s="28" t="str">
        <f>IFERROR(VLOOKUP(N1756, 'SIC &amp; NAICS Codes'!A:B, 2, FALSE), "")</f>
        <v>Plastics Materials, Synthetic and Resins, and Nonvulcanizable Elastomers</v>
      </c>
      <c r="S1756" s="28">
        <v>67.0702</v>
      </c>
      <c r="T1756" s="315">
        <f>_xlfn.MAXIFS('Raw Period DMR Data'!$O:$O,'Raw Period DMR Data'!$A:$A,'Raw Annual DMR Data_2021-2024'!B2292,'Raw Period DMR Data'!$C:$C,X1756)/S1756</f>
        <v>0</v>
      </c>
      <c r="U1756" s="28" t="str">
        <f>+IF(COUNTIFS('Raw Period DMR Data'!$A:$A,B1756, 'Raw Period DMR Data'!C:C,'Raw Annual DMR Data_2021-2024'!X2292, 'Raw Period DMR Data'!M:M, "&gt;0")&gt;0,_xlfn.MAXIFS('Raw Period DMR Data'!M:M,'Raw Period DMR Data'!$A:$A,'Raw Annual DMR Data_2021-2024'!B2292,'Raw Period DMR Data'!C:C,'Raw Annual DMR Data_2021-2024'!X2292), "N/A - Period DMR Data Not Available")</f>
        <v>N/A - Period DMR Data Not Available</v>
      </c>
      <c r="V1756" s="28" t="str" cm="1">
        <f t="array" ref="V1756">IFERROR(INDEX('Raw Period DMR Data'!N:N,MATCH(1,(B1756='Raw Period DMR Data'!$A:$A)*(U1756='Raw Period DMR Data'!M:M)*(X1756='Raw Period DMR Data'!C:C),0),1), "N/A")</f>
        <v>N/A</v>
      </c>
      <c r="W1756" s="28" t="s">
        <v>1463</v>
      </c>
      <c r="X1756" s="28" t="s">
        <v>860</v>
      </c>
      <c r="Y1756" s="28" t="s">
        <v>7256</v>
      </c>
      <c r="Z1756" s="61">
        <v>12100401000758</v>
      </c>
      <c r="AC1756" s="28" t="s">
        <v>1466</v>
      </c>
    </row>
    <row r="1757" spans="1:29" x14ac:dyDescent="0.25">
      <c r="A1757" s="61">
        <v>110018925957</v>
      </c>
      <c r="B1757" s="28">
        <v>2021</v>
      </c>
      <c r="C1757" s="68">
        <f t="shared" si="28"/>
        <v>44197</v>
      </c>
      <c r="D1757" s="28" t="s">
        <v>149</v>
      </c>
      <c r="E1757" s="28" t="s">
        <v>479</v>
      </c>
      <c r="F1757" s="28" t="s">
        <v>480</v>
      </c>
      <c r="G1757" s="28" t="s">
        <v>362</v>
      </c>
      <c r="H1757" s="28">
        <v>77978</v>
      </c>
      <c r="I1757" s="28">
        <v>28.697590000000002</v>
      </c>
      <c r="J1757" s="28">
        <v>-96.542101000000002</v>
      </c>
      <c r="K1757" s="28" t="s">
        <v>481</v>
      </c>
      <c r="L1757" s="61">
        <v>110018925957</v>
      </c>
      <c r="M1757" s="28" t="s">
        <v>251</v>
      </c>
      <c r="N1757" s="28">
        <v>2821</v>
      </c>
      <c r="O1757" s="28" t="str">
        <f>IFERROR(VLOOKUP(N1757, 'SIC &amp; NAICS Codes'!A:B, 2, FALSE), "")</f>
        <v>Plastics Materials, Synthetic and Resins, and Nonvulcanizable Elastomers</v>
      </c>
      <c r="S1757" s="28">
        <v>40.676133333333297</v>
      </c>
      <c r="T1757" s="315">
        <f>_xlfn.MAXIFS('Raw Period DMR Data'!$O:$O,'Raw Period DMR Data'!$A:$A,'Raw Annual DMR Data_2021-2024'!B2303,'Raw Period DMR Data'!$C:$C,X1757)/S1757</f>
        <v>0</v>
      </c>
      <c r="U1757" s="28" t="str">
        <f>+IF(COUNTIFS('Raw Period DMR Data'!$A:$A,B1757, 'Raw Period DMR Data'!C:C,'Raw Annual DMR Data_2021-2024'!X2303, 'Raw Period DMR Data'!M:M, "&gt;0")&gt;0,_xlfn.MAXIFS('Raw Period DMR Data'!M:M,'Raw Period DMR Data'!$A:$A,'Raw Annual DMR Data_2021-2024'!B2303,'Raw Period DMR Data'!C:C,'Raw Annual DMR Data_2021-2024'!X2303), "N/A - Period DMR Data Not Available")</f>
        <v>N/A - Period DMR Data Not Available</v>
      </c>
      <c r="V1757" s="28" t="str" cm="1">
        <f t="array" ref="V1757">IFERROR(INDEX('Raw Period DMR Data'!N:N,MATCH(1,(B1757='Raw Period DMR Data'!$A:$A)*(U1757='Raw Period DMR Data'!M:M)*(X1757='Raw Period DMR Data'!C:C),0),1), "N/A")</f>
        <v>N/A</v>
      </c>
      <c r="W1757" s="28" t="s">
        <v>1463</v>
      </c>
      <c r="X1757" s="28" t="s">
        <v>860</v>
      </c>
      <c r="Y1757" s="28" t="s">
        <v>7256</v>
      </c>
      <c r="Z1757" s="61">
        <v>12100401000758</v>
      </c>
      <c r="AA1757" s="28"/>
      <c r="AC1757" s="28" t="s">
        <v>1466</v>
      </c>
    </row>
    <row r="1758" spans="1:29" x14ac:dyDescent="0.25">
      <c r="A1758" s="61">
        <v>110018925957</v>
      </c>
      <c r="B1758" s="28">
        <v>2021</v>
      </c>
      <c r="C1758" s="68">
        <f t="shared" si="28"/>
        <v>44197</v>
      </c>
      <c r="D1758" s="28" t="s">
        <v>149</v>
      </c>
      <c r="E1758" s="28" t="s">
        <v>479</v>
      </c>
      <c r="F1758" s="28" t="s">
        <v>480</v>
      </c>
      <c r="G1758" s="28" t="s">
        <v>362</v>
      </c>
      <c r="H1758" s="28">
        <v>77978</v>
      </c>
      <c r="I1758" s="28">
        <v>28.697590000000002</v>
      </c>
      <c r="J1758" s="28">
        <v>-96.542101000000002</v>
      </c>
      <c r="K1758" s="28" t="s">
        <v>481</v>
      </c>
      <c r="L1758" s="61">
        <v>110018925957</v>
      </c>
      <c r="M1758" s="28" t="s">
        <v>251</v>
      </c>
      <c r="N1758" s="28">
        <v>2821</v>
      </c>
      <c r="O1758" s="28" t="str">
        <f>IFERROR(VLOOKUP(N1758, 'SIC &amp; NAICS Codes'!A:B, 2, FALSE), "")</f>
        <v>Plastics Materials, Synthetic and Resins, and Nonvulcanizable Elastomers</v>
      </c>
      <c r="S1758" s="28">
        <v>37.06456</v>
      </c>
      <c r="T1758" s="315">
        <f>_xlfn.MAXIFS('Raw Period DMR Data'!$O:$O,'Raw Period DMR Data'!$A:$A,'Raw Annual DMR Data_2021-2024'!B2305,'Raw Period DMR Data'!$C:$C,X1758)/S1758</f>
        <v>0</v>
      </c>
      <c r="U1758" s="28" t="str">
        <f>+IF(COUNTIFS('Raw Period DMR Data'!$A:$A,B1758, 'Raw Period DMR Data'!C:C,'Raw Annual DMR Data_2021-2024'!X2305, 'Raw Period DMR Data'!M:M, "&gt;0")&gt;0,_xlfn.MAXIFS('Raw Period DMR Data'!M:M,'Raw Period DMR Data'!$A:$A,'Raw Annual DMR Data_2021-2024'!B2305,'Raw Period DMR Data'!C:C,'Raw Annual DMR Data_2021-2024'!X2305), "N/A - Period DMR Data Not Available")</f>
        <v>N/A - Period DMR Data Not Available</v>
      </c>
      <c r="V1758" s="28" t="str" cm="1">
        <f t="array" ref="V1758">IFERROR(INDEX('Raw Period DMR Data'!N:N,MATCH(1,(B1758='Raw Period DMR Data'!$A:$A)*(U1758='Raw Period DMR Data'!M:M)*(X1758='Raw Period DMR Data'!C:C),0),1), "N/A")</f>
        <v>N/A</v>
      </c>
      <c r="W1758" s="28" t="s">
        <v>1463</v>
      </c>
      <c r="X1758" s="28" t="s">
        <v>860</v>
      </c>
      <c r="Y1758" s="28" t="s">
        <v>7256</v>
      </c>
      <c r="Z1758" s="61">
        <v>12100401000758</v>
      </c>
      <c r="AA1758" s="28"/>
      <c r="AC1758" s="28" t="s">
        <v>1466</v>
      </c>
    </row>
    <row r="1759" spans="1:29" x14ac:dyDescent="0.25">
      <c r="A1759" s="61">
        <v>110018925957</v>
      </c>
      <c r="B1759" s="28">
        <v>2021</v>
      </c>
      <c r="C1759" s="68">
        <f t="shared" si="28"/>
        <v>44197</v>
      </c>
      <c r="D1759" s="28" t="s">
        <v>149</v>
      </c>
      <c r="E1759" s="28" t="s">
        <v>479</v>
      </c>
      <c r="F1759" s="28" t="s">
        <v>480</v>
      </c>
      <c r="G1759" s="28" t="s">
        <v>362</v>
      </c>
      <c r="H1759" s="28">
        <v>77978</v>
      </c>
      <c r="I1759" s="28">
        <v>28.697590000000002</v>
      </c>
      <c r="J1759" s="28">
        <v>-96.542101000000002</v>
      </c>
      <c r="K1759" s="28" t="s">
        <v>481</v>
      </c>
      <c r="L1759" s="61">
        <v>110018925957</v>
      </c>
      <c r="M1759" s="28" t="s">
        <v>251</v>
      </c>
      <c r="N1759" s="28">
        <v>2821</v>
      </c>
      <c r="O1759" s="28" t="str">
        <f>IFERROR(VLOOKUP(N1759, 'SIC &amp; NAICS Codes'!A:B, 2, FALSE), "")</f>
        <v>Plastics Materials, Synthetic and Resins, and Nonvulcanizable Elastomers</v>
      </c>
      <c r="S1759" s="28">
        <v>26.752379999999999</v>
      </c>
      <c r="T1759" s="315">
        <f>_xlfn.MAXIFS('Raw Period DMR Data'!$O:$O,'Raw Period DMR Data'!$A:$A,'Raw Annual DMR Data_2021-2024'!B2313,'Raw Period DMR Data'!$C:$C,X1759)/S1759</f>
        <v>0</v>
      </c>
      <c r="U1759" s="28" t="str">
        <f>+IF(COUNTIFS('Raw Period DMR Data'!$A:$A,B1759, 'Raw Period DMR Data'!C:C,'Raw Annual DMR Data_2021-2024'!X2313, 'Raw Period DMR Data'!M:M, "&gt;0")&gt;0,_xlfn.MAXIFS('Raw Period DMR Data'!M:M,'Raw Period DMR Data'!$A:$A,'Raw Annual DMR Data_2021-2024'!B2313,'Raw Period DMR Data'!C:C,'Raw Annual DMR Data_2021-2024'!X2313), "N/A - Period DMR Data Not Available")</f>
        <v>N/A - Period DMR Data Not Available</v>
      </c>
      <c r="V1759" s="28" t="str" cm="1">
        <f t="array" ref="V1759">IFERROR(INDEX('Raw Period DMR Data'!N:N,MATCH(1,(B1759='Raw Period DMR Data'!$A:$A)*(U1759='Raw Period DMR Data'!M:M)*(X1759='Raw Period DMR Data'!C:C),0),1), "N/A")</f>
        <v>N/A</v>
      </c>
      <c r="W1759" s="28" t="s">
        <v>1463</v>
      </c>
      <c r="X1759" s="28" t="s">
        <v>860</v>
      </c>
      <c r="Y1759" s="28" t="s">
        <v>7256</v>
      </c>
      <c r="Z1759" s="61">
        <v>12100401000758</v>
      </c>
      <c r="AA1759" s="28"/>
      <c r="AC1759" s="28" t="s">
        <v>1466</v>
      </c>
    </row>
    <row r="1760" spans="1:29" x14ac:dyDescent="0.25">
      <c r="A1760" s="61">
        <v>110018925957</v>
      </c>
      <c r="B1760" s="28">
        <v>2022</v>
      </c>
      <c r="C1760" s="68">
        <f t="shared" si="28"/>
        <v>44562</v>
      </c>
      <c r="D1760" s="28" t="s">
        <v>149</v>
      </c>
      <c r="E1760" s="28" t="s">
        <v>479</v>
      </c>
      <c r="F1760" s="28" t="s">
        <v>480</v>
      </c>
      <c r="G1760" s="28" t="s">
        <v>362</v>
      </c>
      <c r="H1760" s="28">
        <v>77978</v>
      </c>
      <c r="I1760" s="28">
        <v>28.697590000000002</v>
      </c>
      <c r="J1760" s="28">
        <v>-96.542101000000002</v>
      </c>
      <c r="K1760" s="28" t="s">
        <v>481</v>
      </c>
      <c r="L1760" s="61">
        <v>110018925957</v>
      </c>
      <c r="M1760" s="28" t="s">
        <v>251</v>
      </c>
      <c r="N1760" s="28">
        <v>2821</v>
      </c>
      <c r="O1760" s="28" t="str">
        <f>IFERROR(VLOOKUP(N1760, 'SIC &amp; NAICS Codes'!A:B, 2, FALSE), "")</f>
        <v>Plastics Materials, Synthetic and Resins, and Nonvulcanizable Elastomers</v>
      </c>
      <c r="S1760" s="28">
        <v>15.744719999999999</v>
      </c>
      <c r="T1760" s="315">
        <f>_xlfn.MAXIFS('Raw Period DMR Data'!$O:$O,'Raw Period DMR Data'!$A:$A,'Raw Annual DMR Data_2021-2024'!B2330,'Raw Period DMR Data'!$C:$C,X1760)/S1760</f>
        <v>0</v>
      </c>
      <c r="U1760" s="28" t="str">
        <f>+IF(COUNTIFS('Raw Period DMR Data'!$A:$A,B1760, 'Raw Period DMR Data'!C:C,'Raw Annual DMR Data_2021-2024'!X2330, 'Raw Period DMR Data'!M:M, "&gt;0")&gt;0,_xlfn.MAXIFS('Raw Period DMR Data'!M:M,'Raw Period DMR Data'!$A:$A,'Raw Annual DMR Data_2021-2024'!B2330,'Raw Period DMR Data'!C:C,'Raw Annual DMR Data_2021-2024'!X2330), "N/A - Period DMR Data Not Available")</f>
        <v>N/A - Period DMR Data Not Available</v>
      </c>
      <c r="V1760" s="28" t="str" cm="1">
        <f t="array" ref="V1760">IFERROR(INDEX('Raw Period DMR Data'!N:N,MATCH(1,(B1760='Raw Period DMR Data'!$A:$A)*(U1760='Raw Period DMR Data'!M:M)*(X1760='Raw Period DMR Data'!C:C),0),1), "N/A")</f>
        <v>N/A</v>
      </c>
      <c r="W1760" s="28" t="s">
        <v>1463</v>
      </c>
      <c r="X1760" s="28" t="s">
        <v>860</v>
      </c>
      <c r="Y1760" s="28" t="s">
        <v>7256</v>
      </c>
      <c r="Z1760" s="61">
        <v>12100401000758</v>
      </c>
      <c r="AC1760" s="28" t="s">
        <v>1466</v>
      </c>
    </row>
    <row r="1761" spans="1:29" x14ac:dyDescent="0.25">
      <c r="A1761" s="61">
        <v>110018925957</v>
      </c>
      <c r="B1761" s="28">
        <v>2023</v>
      </c>
      <c r="C1761" s="68">
        <f t="shared" si="28"/>
        <v>44927</v>
      </c>
      <c r="D1761" s="28" t="s">
        <v>149</v>
      </c>
      <c r="E1761" s="28" t="s">
        <v>479</v>
      </c>
      <c r="F1761" s="28" t="s">
        <v>480</v>
      </c>
      <c r="G1761" s="28" t="s">
        <v>362</v>
      </c>
      <c r="H1761" s="28">
        <v>77978</v>
      </c>
      <c r="I1761" s="28">
        <v>28.697590000000002</v>
      </c>
      <c r="J1761" s="28">
        <v>-96.542101000000002</v>
      </c>
      <c r="K1761" s="28" t="s">
        <v>481</v>
      </c>
      <c r="L1761" s="61">
        <v>110018925957</v>
      </c>
      <c r="M1761" s="28" t="s">
        <v>251</v>
      </c>
      <c r="N1761" s="28">
        <v>2821</v>
      </c>
      <c r="O1761" s="28" t="str">
        <f>IFERROR(VLOOKUP(N1761, 'SIC &amp; NAICS Codes'!A:B, 2, FALSE), "")</f>
        <v>Plastics Materials, Synthetic and Resins, and Nonvulcanizable Elastomers</v>
      </c>
      <c r="S1761" s="28">
        <v>15.199920000000001</v>
      </c>
      <c r="T1761" s="315">
        <f>_xlfn.MAXIFS('Raw Period DMR Data'!$O:$O,'Raw Period DMR Data'!$A:$A,'Raw Annual DMR Data_2021-2024'!B2333,'Raw Period DMR Data'!$C:$C,X1761)/S1761</f>
        <v>0</v>
      </c>
      <c r="U1761" s="28" t="str">
        <f>+IF(COUNTIFS('Raw Period DMR Data'!$A:$A,B1761, 'Raw Period DMR Data'!C:C,'Raw Annual DMR Data_2021-2024'!X2333, 'Raw Period DMR Data'!M:M, "&gt;0")&gt;0,_xlfn.MAXIFS('Raw Period DMR Data'!M:M,'Raw Period DMR Data'!$A:$A,'Raw Annual DMR Data_2021-2024'!B2333,'Raw Period DMR Data'!C:C,'Raw Annual DMR Data_2021-2024'!X2333), "N/A - Period DMR Data Not Available")</f>
        <v>N/A - Period DMR Data Not Available</v>
      </c>
      <c r="V1761" s="28" t="str" cm="1">
        <f t="array" ref="V1761">IFERROR(INDEX('Raw Period DMR Data'!N:N,MATCH(1,(B1761='Raw Period DMR Data'!$A:$A)*(U1761='Raw Period DMR Data'!M:M)*(X1761='Raw Period DMR Data'!C:C),0),1), "N/A")</f>
        <v>N/A</v>
      </c>
      <c r="W1761" s="28" t="s">
        <v>1463</v>
      </c>
      <c r="X1761" s="28" t="s">
        <v>860</v>
      </c>
      <c r="Y1761" s="28" t="s">
        <v>7256</v>
      </c>
      <c r="Z1761" s="61">
        <v>12100401000758</v>
      </c>
      <c r="AC1761" s="28" t="s">
        <v>1466</v>
      </c>
    </row>
    <row r="1762" spans="1:29" x14ac:dyDescent="0.25">
      <c r="A1762" s="61">
        <v>110018925957</v>
      </c>
      <c r="B1762" s="28">
        <v>2024</v>
      </c>
      <c r="C1762" s="68">
        <f t="shared" si="28"/>
        <v>45292</v>
      </c>
      <c r="D1762" s="28" t="s">
        <v>149</v>
      </c>
      <c r="E1762" s="28" t="s">
        <v>479</v>
      </c>
      <c r="F1762" s="28" t="s">
        <v>480</v>
      </c>
      <c r="G1762" s="28" t="s">
        <v>362</v>
      </c>
      <c r="H1762" s="28">
        <v>77978</v>
      </c>
      <c r="I1762" s="28">
        <v>28.697590000000002</v>
      </c>
      <c r="J1762" s="28">
        <v>-96.542101000000002</v>
      </c>
      <c r="K1762" s="28" t="s">
        <v>481</v>
      </c>
      <c r="L1762" s="61">
        <v>110018925957</v>
      </c>
      <c r="M1762" s="28" t="s">
        <v>251</v>
      </c>
      <c r="N1762" s="28">
        <v>2821</v>
      </c>
      <c r="O1762" s="28" t="str">
        <f>IFERROR(VLOOKUP(N1762, 'SIC &amp; NAICS Codes'!A:B, 2, FALSE), "")</f>
        <v>Plastics Materials, Synthetic and Resins, and Nonvulcanizable Elastomers</v>
      </c>
      <c r="S1762" s="28">
        <v>11.02312</v>
      </c>
      <c r="T1762" s="315">
        <f>_xlfn.MAXIFS('Raw Period DMR Data'!$O:$O,'Raw Period DMR Data'!$A:$A,'Raw Annual DMR Data_2021-2024'!B2358,'Raw Period DMR Data'!$C:$C,X1762)/S1762</f>
        <v>0</v>
      </c>
      <c r="U1762" s="28" t="str">
        <f>+IF(COUNTIFS('Raw Period DMR Data'!$A:$A,B1762, 'Raw Period DMR Data'!C:C,'Raw Annual DMR Data_2021-2024'!X2358, 'Raw Period DMR Data'!M:M, "&gt;0")&gt;0,_xlfn.MAXIFS('Raw Period DMR Data'!M:M,'Raw Period DMR Data'!$A:$A,'Raw Annual DMR Data_2021-2024'!B2358,'Raw Period DMR Data'!C:C,'Raw Annual DMR Data_2021-2024'!X2358), "N/A - Period DMR Data Not Available")</f>
        <v>N/A - Period DMR Data Not Available</v>
      </c>
      <c r="V1762" s="28" t="str" cm="1">
        <f t="array" ref="V1762">IFERROR(INDEX('Raw Period DMR Data'!N:N,MATCH(1,(B1762='Raw Period DMR Data'!$A:$A)*(U1762='Raw Period DMR Data'!M:M)*(X1762='Raw Period DMR Data'!C:C),0),1), "N/A")</f>
        <v>N/A</v>
      </c>
      <c r="W1762" s="28" t="s">
        <v>1463</v>
      </c>
      <c r="X1762" s="28" t="s">
        <v>860</v>
      </c>
      <c r="Y1762" s="28" t="s">
        <v>7256</v>
      </c>
      <c r="Z1762" s="61">
        <v>12100401000758</v>
      </c>
      <c r="AC1762" s="28" t="s">
        <v>1466</v>
      </c>
    </row>
    <row r="1763" spans="1:29" x14ac:dyDescent="0.25">
      <c r="A1763" s="61">
        <v>110018925957</v>
      </c>
      <c r="B1763" s="28">
        <v>2023</v>
      </c>
      <c r="C1763" s="68">
        <f t="shared" si="28"/>
        <v>44927</v>
      </c>
      <c r="D1763" s="28" t="s">
        <v>149</v>
      </c>
      <c r="E1763" s="28" t="s">
        <v>479</v>
      </c>
      <c r="F1763" s="28" t="s">
        <v>480</v>
      </c>
      <c r="G1763" s="28" t="s">
        <v>362</v>
      </c>
      <c r="H1763" s="28">
        <v>77978</v>
      </c>
      <c r="I1763" s="28">
        <v>28.697590000000002</v>
      </c>
      <c r="J1763" s="28">
        <v>-96.542101000000002</v>
      </c>
      <c r="K1763" s="28" t="s">
        <v>481</v>
      </c>
      <c r="L1763" s="61">
        <v>110018925957</v>
      </c>
      <c r="M1763" s="28" t="s">
        <v>251</v>
      </c>
      <c r="N1763" s="28">
        <v>2821</v>
      </c>
      <c r="O1763" s="28" t="str">
        <f>IFERROR(VLOOKUP(N1763, 'SIC &amp; NAICS Codes'!A:B, 2, FALSE), "")</f>
        <v>Plastics Materials, Synthetic and Resins, and Nonvulcanizable Elastomers</v>
      </c>
      <c r="S1763" s="28">
        <v>3.5200499999999999</v>
      </c>
      <c r="T1763" s="315">
        <f>_xlfn.MAXIFS('Raw Period DMR Data'!$O:$O,'Raw Period DMR Data'!$A:$A,'Raw Annual DMR Data_2021-2024'!B2420,'Raw Period DMR Data'!$C:$C,X1763)/S1763</f>
        <v>0</v>
      </c>
      <c r="U1763" s="28" t="str">
        <f>+IF(COUNTIFS('Raw Period DMR Data'!$A:$A,B1763, 'Raw Period DMR Data'!C:C,'Raw Annual DMR Data_2021-2024'!X2420, 'Raw Period DMR Data'!M:M, "&gt;0")&gt;0,_xlfn.MAXIFS('Raw Period DMR Data'!M:M,'Raw Period DMR Data'!$A:$A,'Raw Annual DMR Data_2021-2024'!B2420,'Raw Period DMR Data'!C:C,'Raw Annual DMR Data_2021-2024'!X2420), "N/A - Period DMR Data Not Available")</f>
        <v>N/A - Period DMR Data Not Available</v>
      </c>
      <c r="V1763" s="28" t="str" cm="1">
        <f t="array" ref="V1763">IFERROR(INDEX('Raw Period DMR Data'!N:N,MATCH(1,(B1763='Raw Period DMR Data'!$A:$A)*(U1763='Raw Period DMR Data'!M:M)*(X1763='Raw Period DMR Data'!C:C),0),1), "N/A")</f>
        <v>N/A</v>
      </c>
      <c r="W1763" s="28" t="s">
        <v>1463</v>
      </c>
      <c r="X1763" s="28" t="s">
        <v>860</v>
      </c>
      <c r="Y1763" s="28" t="s">
        <v>7256</v>
      </c>
      <c r="Z1763" s="61">
        <v>12100401000758</v>
      </c>
      <c r="AC1763" s="28" t="s">
        <v>1466</v>
      </c>
    </row>
    <row r="1764" spans="1:29" x14ac:dyDescent="0.25">
      <c r="A1764" s="61">
        <v>110000597444</v>
      </c>
      <c r="B1764" s="28">
        <v>2024</v>
      </c>
      <c r="C1764" s="68">
        <f t="shared" si="28"/>
        <v>45292</v>
      </c>
      <c r="D1764" s="28" t="s">
        <v>150</v>
      </c>
      <c r="E1764" s="28" t="s">
        <v>482</v>
      </c>
      <c r="F1764" s="28" t="s">
        <v>302</v>
      </c>
      <c r="G1764" s="28" t="s">
        <v>303</v>
      </c>
      <c r="H1764" s="28">
        <v>70805</v>
      </c>
      <c r="I1764" s="28">
        <v>30.503836</v>
      </c>
      <c r="J1764" s="28">
        <v>-91.186507000000006</v>
      </c>
      <c r="K1764" s="28" t="s">
        <v>483</v>
      </c>
      <c r="L1764" s="61">
        <v>110000597444</v>
      </c>
      <c r="M1764" s="28" t="s">
        <v>251</v>
      </c>
      <c r="N1764" s="28">
        <v>2821</v>
      </c>
      <c r="O1764" s="28" t="str">
        <f>IFERROR(VLOOKUP(N1764, 'SIC &amp; NAICS Codes'!A:B, 2, FALSE), "")</f>
        <v>Plastics Materials, Synthetic and Resins, and Nonvulcanizable Elastomers</v>
      </c>
      <c r="S1764" s="28">
        <v>52.269019999999998</v>
      </c>
      <c r="T1764" s="315">
        <f>_xlfn.MAXIFS('Raw Period DMR Data'!$O:$O,'Raw Period DMR Data'!$A:$A,'Raw Annual DMR Data_2021-2024'!B2299,'Raw Period DMR Data'!$C:$C,X1764)/S1764</f>
        <v>0</v>
      </c>
      <c r="U1764" s="28" t="str">
        <f>+IF(COUNTIFS('Raw Period DMR Data'!$A:$A,B1764, 'Raw Period DMR Data'!C:C,'Raw Annual DMR Data_2021-2024'!X2299, 'Raw Period DMR Data'!M:M, "&gt;0")&gt;0,_xlfn.MAXIFS('Raw Period DMR Data'!M:M,'Raw Period DMR Data'!$A:$A,'Raw Annual DMR Data_2021-2024'!B2299,'Raw Period DMR Data'!C:C,'Raw Annual DMR Data_2021-2024'!X2299), "N/A - Period DMR Data Not Available")</f>
        <v>N/A - Period DMR Data Not Available</v>
      </c>
      <c r="V1764" s="28" t="str" cm="1">
        <f t="array" ref="V1764">IFERROR(INDEX('Raw Period DMR Data'!N:N,MATCH(1,(B1764='Raw Period DMR Data'!$A:$A)*(U1764='Raw Period DMR Data'!M:M)*(X1764='Raw Period DMR Data'!C:C),0),1), "N/A")</f>
        <v>N/A</v>
      </c>
      <c r="W1764" s="28" t="s">
        <v>1463</v>
      </c>
      <c r="X1764" s="28" t="s">
        <v>862</v>
      </c>
      <c r="Y1764" s="28" t="s">
        <v>863</v>
      </c>
      <c r="Z1764" s="61">
        <v>8070201006480</v>
      </c>
      <c r="AC1764" s="28" t="s">
        <v>1466</v>
      </c>
    </row>
    <row r="1765" spans="1:29" x14ac:dyDescent="0.25">
      <c r="A1765" s="61">
        <v>110000597444</v>
      </c>
      <c r="B1765" s="28">
        <v>2021</v>
      </c>
      <c r="C1765" s="68">
        <f t="shared" si="28"/>
        <v>44197</v>
      </c>
      <c r="D1765" s="28" t="s">
        <v>150</v>
      </c>
      <c r="E1765" s="28" t="s">
        <v>482</v>
      </c>
      <c r="F1765" s="28" t="s">
        <v>302</v>
      </c>
      <c r="G1765" s="28" t="s">
        <v>303</v>
      </c>
      <c r="H1765" s="28">
        <v>70805</v>
      </c>
      <c r="I1765" s="28">
        <v>30.503836</v>
      </c>
      <c r="J1765" s="28">
        <v>-91.186507000000006</v>
      </c>
      <c r="K1765" s="28" t="s">
        <v>483</v>
      </c>
      <c r="L1765" s="61">
        <v>110000597444</v>
      </c>
      <c r="M1765" s="28" t="s">
        <v>251</v>
      </c>
      <c r="N1765" s="28">
        <v>2821</v>
      </c>
      <c r="O1765" s="28" t="str">
        <f>IFERROR(VLOOKUP(N1765, 'SIC &amp; NAICS Codes'!A:B, 2, FALSE), "")</f>
        <v>Plastics Materials, Synthetic and Resins, and Nonvulcanizable Elastomers</v>
      </c>
      <c r="S1765" s="28">
        <v>49.576799999999999</v>
      </c>
      <c r="T1765" s="315">
        <f>_xlfn.MAXIFS('Raw Period DMR Data'!$O:$O,'Raw Period DMR Data'!$A:$A,'Raw Annual DMR Data_2021-2024'!B2300,'Raw Period DMR Data'!$C:$C,X1765)/S1765</f>
        <v>0</v>
      </c>
      <c r="U1765" s="28" t="str">
        <f>+IF(COUNTIFS('Raw Period DMR Data'!$A:$A,B1765, 'Raw Period DMR Data'!C:C,'Raw Annual DMR Data_2021-2024'!X2300, 'Raw Period DMR Data'!M:M, "&gt;0")&gt;0,_xlfn.MAXIFS('Raw Period DMR Data'!M:M,'Raw Period DMR Data'!$A:$A,'Raw Annual DMR Data_2021-2024'!B2300,'Raw Period DMR Data'!C:C,'Raw Annual DMR Data_2021-2024'!X2300), "N/A - Period DMR Data Not Available")</f>
        <v>N/A - Period DMR Data Not Available</v>
      </c>
      <c r="V1765" s="28" t="str" cm="1">
        <f t="array" ref="V1765">IFERROR(INDEX('Raw Period DMR Data'!N:N,MATCH(1,(B1765='Raw Period DMR Data'!$A:$A)*(U1765='Raw Period DMR Data'!M:M)*(X1765='Raw Period DMR Data'!C:C),0),1), "N/A")</f>
        <v>N/A</v>
      </c>
      <c r="W1765" s="28" t="s">
        <v>1463</v>
      </c>
      <c r="X1765" s="28" t="s">
        <v>862</v>
      </c>
      <c r="Y1765" s="28" t="s">
        <v>863</v>
      </c>
      <c r="Z1765" s="61">
        <v>8070201006480</v>
      </c>
      <c r="AC1765" s="28" t="s">
        <v>1466</v>
      </c>
    </row>
    <row r="1766" spans="1:29" x14ac:dyDescent="0.25">
      <c r="A1766" s="61">
        <v>110000597444</v>
      </c>
      <c r="B1766" s="28">
        <v>2023</v>
      </c>
      <c r="C1766" s="68">
        <f t="shared" si="28"/>
        <v>44927</v>
      </c>
      <c r="D1766" s="28" t="s">
        <v>150</v>
      </c>
      <c r="E1766" s="28" t="s">
        <v>482</v>
      </c>
      <c r="F1766" s="28" t="s">
        <v>302</v>
      </c>
      <c r="G1766" s="28" t="s">
        <v>303</v>
      </c>
      <c r="H1766" s="28">
        <v>70805</v>
      </c>
      <c r="I1766" s="28">
        <v>30.503836</v>
      </c>
      <c r="J1766" s="28">
        <v>-91.186507000000006</v>
      </c>
      <c r="K1766" s="28" t="s">
        <v>483</v>
      </c>
      <c r="L1766" s="61">
        <v>110000597444</v>
      </c>
      <c r="M1766" s="28" t="s">
        <v>251</v>
      </c>
      <c r="N1766" s="28">
        <v>2821</v>
      </c>
      <c r="O1766" s="28" t="str">
        <f>IFERROR(VLOOKUP(N1766, 'SIC &amp; NAICS Codes'!A:B, 2, FALSE), "")</f>
        <v>Plastics Materials, Synthetic and Resins, and Nonvulcanizable Elastomers</v>
      </c>
      <c r="S1766" s="28">
        <v>15.708399999999999</v>
      </c>
      <c r="T1766" s="315">
        <f>_xlfn.MAXIFS('Raw Period DMR Data'!$O:$O,'Raw Period DMR Data'!$A:$A,'Raw Annual DMR Data_2021-2024'!B2331,'Raw Period DMR Data'!$C:$C,X1766)/S1766</f>
        <v>0</v>
      </c>
      <c r="U1766" s="28" t="str">
        <f>+IF(COUNTIFS('Raw Period DMR Data'!$A:$A,B1766, 'Raw Period DMR Data'!C:C,'Raw Annual DMR Data_2021-2024'!X2331, 'Raw Period DMR Data'!M:M, "&gt;0")&gt;0,_xlfn.MAXIFS('Raw Period DMR Data'!M:M,'Raw Period DMR Data'!$A:$A,'Raw Annual DMR Data_2021-2024'!B2331,'Raw Period DMR Data'!C:C,'Raw Annual DMR Data_2021-2024'!X2331), "N/A - Period DMR Data Not Available")</f>
        <v>N/A - Period DMR Data Not Available</v>
      </c>
      <c r="V1766" s="28" t="str" cm="1">
        <f t="array" ref="V1766">IFERROR(INDEX('Raw Period DMR Data'!N:N,MATCH(1,(B1766='Raw Period DMR Data'!$A:$A)*(U1766='Raw Period DMR Data'!M:M)*(X1766='Raw Period DMR Data'!C:C),0),1), "N/A")</f>
        <v>N/A</v>
      </c>
      <c r="W1766" s="28" t="s">
        <v>1463</v>
      </c>
      <c r="X1766" s="28" t="s">
        <v>862</v>
      </c>
      <c r="Y1766" s="28" t="s">
        <v>863</v>
      </c>
      <c r="Z1766" s="61">
        <v>8070201006480</v>
      </c>
      <c r="AC1766" s="28" t="s">
        <v>1466</v>
      </c>
    </row>
    <row r="1767" spans="1:29" x14ac:dyDescent="0.25">
      <c r="A1767" s="61">
        <v>110000597444</v>
      </c>
      <c r="B1767" s="28">
        <v>2022</v>
      </c>
      <c r="C1767" s="68">
        <f t="shared" si="28"/>
        <v>44562</v>
      </c>
      <c r="D1767" s="28" t="s">
        <v>150</v>
      </c>
      <c r="E1767" s="28" t="s">
        <v>482</v>
      </c>
      <c r="F1767" s="28" t="s">
        <v>302</v>
      </c>
      <c r="G1767" s="28" t="s">
        <v>303</v>
      </c>
      <c r="H1767" s="28">
        <v>70805</v>
      </c>
      <c r="I1767" s="28">
        <v>30.503836</v>
      </c>
      <c r="J1767" s="28">
        <v>-91.186507000000006</v>
      </c>
      <c r="K1767" s="28" t="s">
        <v>483</v>
      </c>
      <c r="L1767" s="61">
        <v>110000597444</v>
      </c>
      <c r="M1767" s="28" t="s">
        <v>251</v>
      </c>
      <c r="N1767" s="28">
        <v>2821</v>
      </c>
      <c r="O1767" s="28" t="str">
        <f>IFERROR(VLOOKUP(N1767, 'SIC &amp; NAICS Codes'!A:B, 2, FALSE), "")</f>
        <v>Plastics Materials, Synthetic and Resins, and Nonvulcanizable Elastomers</v>
      </c>
      <c r="S1767" s="28">
        <v>13.36576</v>
      </c>
      <c r="T1767" s="315">
        <f>_xlfn.MAXIFS('Raw Period DMR Data'!$O:$O,'Raw Period DMR Data'!$A:$A,'Raw Annual DMR Data_2021-2024'!B2340,'Raw Period DMR Data'!$C:$C,X1767)/S1767</f>
        <v>0</v>
      </c>
      <c r="U1767" s="28" t="str">
        <f>+IF(COUNTIFS('Raw Period DMR Data'!$A:$A,B1767, 'Raw Period DMR Data'!C:C,'Raw Annual DMR Data_2021-2024'!X2340, 'Raw Period DMR Data'!M:M, "&gt;0")&gt;0,_xlfn.MAXIFS('Raw Period DMR Data'!M:M,'Raw Period DMR Data'!$A:$A,'Raw Annual DMR Data_2021-2024'!B2340,'Raw Period DMR Data'!C:C,'Raw Annual DMR Data_2021-2024'!X2340), "N/A - Period DMR Data Not Available")</f>
        <v>N/A - Period DMR Data Not Available</v>
      </c>
      <c r="V1767" s="28" t="str" cm="1">
        <f t="array" ref="V1767">IFERROR(INDEX('Raw Period DMR Data'!N:N,MATCH(1,(B1767='Raw Period DMR Data'!$A:$A)*(U1767='Raw Period DMR Data'!M:M)*(X1767='Raw Period DMR Data'!C:C),0),1), "N/A")</f>
        <v>N/A</v>
      </c>
      <c r="W1767" s="28" t="s">
        <v>1463</v>
      </c>
      <c r="X1767" s="28" t="s">
        <v>862</v>
      </c>
      <c r="Y1767" s="28" t="s">
        <v>863</v>
      </c>
      <c r="Z1767" s="61">
        <v>8070201006480</v>
      </c>
      <c r="AC1767" s="28" t="s">
        <v>1466</v>
      </c>
    </row>
    <row r="1768" spans="1:29" x14ac:dyDescent="0.25">
      <c r="A1768" s="61">
        <v>110071426611</v>
      </c>
      <c r="B1768" s="28">
        <v>2023</v>
      </c>
      <c r="C1768" s="68">
        <f t="shared" si="28"/>
        <v>44927</v>
      </c>
      <c r="D1768" s="28" t="s">
        <v>6902</v>
      </c>
      <c r="E1768" s="28" t="s">
        <v>7096</v>
      </c>
      <c r="F1768" s="28" t="s">
        <v>1125</v>
      </c>
      <c r="G1768" s="28" t="s">
        <v>294</v>
      </c>
      <c r="H1768" s="28">
        <v>22046</v>
      </c>
      <c r="I1768" s="28">
        <v>38.884332000000001</v>
      </c>
      <c r="J1768" s="28">
        <v>-77.174546000000007</v>
      </c>
      <c r="L1768" s="61">
        <v>110071426611</v>
      </c>
      <c r="M1768" s="28" t="s">
        <v>265</v>
      </c>
      <c r="N1768" s="28">
        <v>1794</v>
      </c>
      <c r="O1768" s="28" t="str">
        <f>IFERROR(VLOOKUP(N1768, 'SIC &amp; NAICS Codes'!A:B, 2, FALSE), "")</f>
        <v>Excavation Work</v>
      </c>
      <c r="S1768" s="28">
        <v>2.8831967142857101E-2</v>
      </c>
      <c r="T1768" s="315">
        <f>_xlfn.MAXIFS('Raw Period DMR Data'!$O:$O,'Raw Period DMR Data'!$A:$A,'Raw Annual DMR Data_2021-2024'!#REF!,'Raw Period DMR Data'!$C:$C,X1768)/S1768</f>
        <v>0</v>
      </c>
      <c r="U1768" s="28" t="str">
        <f>+IF(COUNTIFS('Raw Period DMR Data'!$A:$A,B1768,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68" s="28" t="str" cm="1">
        <f t="array" ref="V1768">IFERROR(INDEX('Raw Period DMR Data'!N:N,MATCH(1,(B1768='Raw Period DMR Data'!$A:$A)*(U1768='Raw Period DMR Data'!M:M)*(X1768='Raw Period DMR Data'!C:C),0),1), "N/A")</f>
        <v>N/A</v>
      </c>
      <c r="W1768" s="28" t="s">
        <v>1463</v>
      </c>
      <c r="X1768" s="28" t="s">
        <v>7231</v>
      </c>
      <c r="Y1768" s="28" t="s">
        <v>1788</v>
      </c>
      <c r="Z1768" s="61"/>
      <c r="AB1768" s="28" t="s">
        <v>7355</v>
      </c>
      <c r="AC1768" s="28" t="s">
        <v>1466</v>
      </c>
    </row>
    <row r="1769" spans="1:29" x14ac:dyDescent="0.25">
      <c r="A1769" s="61">
        <v>110070053140</v>
      </c>
      <c r="B1769" s="28">
        <v>2024</v>
      </c>
      <c r="C1769" s="68">
        <f t="shared" si="28"/>
        <v>45292</v>
      </c>
      <c r="D1769" s="28" t="s">
        <v>1126</v>
      </c>
      <c r="E1769" s="28" t="s">
        <v>1789</v>
      </c>
      <c r="F1769" s="28" t="s">
        <v>1127</v>
      </c>
      <c r="G1769" s="28" t="s">
        <v>1128</v>
      </c>
      <c r="H1769" s="28">
        <v>80537</v>
      </c>
      <c r="I1769" s="28">
        <v>40.393799999999999</v>
      </c>
      <c r="J1769" s="28">
        <v>-105.074</v>
      </c>
      <c r="L1769" s="61">
        <v>110070053140</v>
      </c>
      <c r="M1769" s="28" t="s">
        <v>265</v>
      </c>
      <c r="N1769" s="28">
        <v>7521</v>
      </c>
      <c r="O1769" s="28" t="str">
        <f>IFERROR(VLOOKUP(N1769, 'SIC &amp; NAICS Codes'!A:B, 2, FALSE), "")</f>
        <v>Automobile Parking</v>
      </c>
      <c r="S1769" s="28">
        <v>0.1112488203025</v>
      </c>
      <c r="T1769" s="315">
        <f>_xlfn.MAXIFS('Raw Period DMR Data'!$O:$O,'Raw Period DMR Data'!$A:$A,'Raw Annual DMR Data_2021-2024'!#REF!,'Raw Period DMR Data'!$C:$C,X1769)/S1769</f>
        <v>0</v>
      </c>
      <c r="U1769" s="28" t="str">
        <f>+IF(COUNTIFS('Raw Period DMR Data'!$A:$A,B1769,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69" s="28" t="str" cm="1">
        <f t="array" ref="V1769">IFERROR(INDEX('Raw Period DMR Data'!N:N,MATCH(1,(B1769='Raw Period DMR Data'!$A:$A)*(U1769='Raw Period DMR Data'!M:M)*(X1769='Raw Period DMR Data'!C:C),0),1), "N/A")</f>
        <v>N/A</v>
      </c>
      <c r="W1769" s="28" t="s">
        <v>1463</v>
      </c>
      <c r="X1769" s="28" t="s">
        <v>1790</v>
      </c>
      <c r="Y1769" s="28" t="s">
        <v>1791</v>
      </c>
      <c r="Z1769" s="61"/>
      <c r="AB1769" s="28" t="s">
        <v>7355</v>
      </c>
      <c r="AC1769" s="28" t="s">
        <v>1466</v>
      </c>
    </row>
    <row r="1770" spans="1:29" x14ac:dyDescent="0.25">
      <c r="A1770" s="61">
        <v>110070053140</v>
      </c>
      <c r="B1770" s="28">
        <v>2023</v>
      </c>
      <c r="C1770" s="68">
        <f t="shared" si="28"/>
        <v>44927</v>
      </c>
      <c r="D1770" s="28" t="s">
        <v>1126</v>
      </c>
      <c r="E1770" s="28" t="s">
        <v>1789</v>
      </c>
      <c r="F1770" s="28" t="s">
        <v>1127</v>
      </c>
      <c r="G1770" s="28" t="s">
        <v>1128</v>
      </c>
      <c r="H1770" s="28">
        <v>80537</v>
      </c>
      <c r="I1770" s="28">
        <v>40.393799999999999</v>
      </c>
      <c r="J1770" s="28">
        <v>-105.074</v>
      </c>
      <c r="L1770" s="61">
        <v>110070053140</v>
      </c>
      <c r="M1770" s="28" t="s">
        <v>265</v>
      </c>
      <c r="N1770" s="28">
        <v>7521</v>
      </c>
      <c r="O1770" s="28" t="str">
        <f>IFERROR(VLOOKUP(N1770, 'SIC &amp; NAICS Codes'!A:B, 2, FALSE), "")</f>
        <v>Automobile Parking</v>
      </c>
      <c r="S1770" s="28">
        <v>5.8727870750000001E-2</v>
      </c>
      <c r="T1770" s="315">
        <f>_xlfn.MAXIFS('Raw Period DMR Data'!$O:$O,'Raw Period DMR Data'!$A:$A,'Raw Annual DMR Data_2021-2024'!#REF!,'Raw Period DMR Data'!$C:$C,X1770)/S1770</f>
        <v>0</v>
      </c>
      <c r="U1770" s="28" t="str">
        <f>+IF(COUNTIFS('Raw Period DMR Data'!$A:$A,B1770,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70" s="28" t="str" cm="1">
        <f t="array" ref="V1770">IFERROR(INDEX('Raw Period DMR Data'!N:N,MATCH(1,(B1770='Raw Period DMR Data'!$A:$A)*(U1770='Raw Period DMR Data'!M:M)*(X1770='Raw Period DMR Data'!C:C),0),1), "N/A")</f>
        <v>N/A</v>
      </c>
      <c r="W1770" s="28" t="s">
        <v>1463</v>
      </c>
      <c r="X1770" s="28" t="s">
        <v>1790</v>
      </c>
      <c r="Y1770" s="28" t="s">
        <v>1791</v>
      </c>
      <c r="Z1770" s="61"/>
      <c r="AB1770" s="28" t="s">
        <v>7355</v>
      </c>
      <c r="AC1770" s="28" t="s">
        <v>1466</v>
      </c>
    </row>
    <row r="1771" spans="1:29" x14ac:dyDescent="0.25">
      <c r="A1771" s="61">
        <v>110070053140</v>
      </c>
      <c r="B1771" s="28">
        <v>2021</v>
      </c>
      <c r="C1771" s="68">
        <f t="shared" si="28"/>
        <v>44197</v>
      </c>
      <c r="D1771" s="28" t="s">
        <v>1126</v>
      </c>
      <c r="E1771" s="28" t="s">
        <v>1789</v>
      </c>
      <c r="F1771" s="28" t="s">
        <v>1127</v>
      </c>
      <c r="G1771" s="28" t="s">
        <v>1128</v>
      </c>
      <c r="H1771" s="28">
        <v>80537</v>
      </c>
      <c r="I1771" s="28">
        <v>40.393799999999999</v>
      </c>
      <c r="J1771" s="28">
        <v>-105.074</v>
      </c>
      <c r="L1771" s="61">
        <v>110070053140</v>
      </c>
      <c r="M1771" s="28" t="s">
        <v>265</v>
      </c>
      <c r="N1771" s="28">
        <v>7521</v>
      </c>
      <c r="O1771" s="28" t="str">
        <f>IFERROR(VLOOKUP(N1771, 'SIC &amp; NAICS Codes'!A:B, 2, FALSE), "")</f>
        <v>Automobile Parking</v>
      </c>
      <c r="S1771" s="28">
        <v>3.9208815000000001E-2</v>
      </c>
      <c r="T1771" s="315">
        <f>_xlfn.MAXIFS('Raw Period DMR Data'!$O:$O,'Raw Period DMR Data'!$A:$A,'Raw Annual DMR Data_2021-2024'!#REF!,'Raw Period DMR Data'!$C:$C,X1771)/S1771</f>
        <v>0</v>
      </c>
      <c r="U1771" s="28" t="str">
        <f>+IF(COUNTIFS('Raw Period DMR Data'!$A:$A,B1771,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71" s="28" t="str" cm="1">
        <f t="array" ref="V1771">IFERROR(INDEX('Raw Period DMR Data'!N:N,MATCH(1,(B1771='Raw Period DMR Data'!$A:$A)*(U1771='Raw Period DMR Data'!M:M)*(X1771='Raw Period DMR Data'!C:C),0),1), "N/A")</f>
        <v>N/A</v>
      </c>
      <c r="W1771" s="28" t="s">
        <v>1463</v>
      </c>
      <c r="X1771" s="28" t="s">
        <v>1790</v>
      </c>
      <c r="Y1771" s="28" t="s">
        <v>1791</v>
      </c>
      <c r="Z1771" s="61"/>
      <c r="AA1771" s="28"/>
      <c r="AB1771" s="28" t="s">
        <v>7355</v>
      </c>
      <c r="AC1771" s="28" t="s">
        <v>1466</v>
      </c>
    </row>
    <row r="1772" spans="1:29" x14ac:dyDescent="0.25">
      <c r="A1772" s="61">
        <v>110070053140</v>
      </c>
      <c r="B1772" s="28">
        <v>2022</v>
      </c>
      <c r="C1772" s="68">
        <f t="shared" si="28"/>
        <v>44562</v>
      </c>
      <c r="D1772" s="28" t="s">
        <v>1126</v>
      </c>
      <c r="E1772" s="28" t="s">
        <v>1789</v>
      </c>
      <c r="F1772" s="28" t="s">
        <v>1127</v>
      </c>
      <c r="G1772" s="28" t="s">
        <v>1128</v>
      </c>
      <c r="H1772" s="28">
        <v>80537</v>
      </c>
      <c r="I1772" s="28">
        <v>40.393799999999999</v>
      </c>
      <c r="J1772" s="28">
        <v>-105.074</v>
      </c>
      <c r="L1772" s="61">
        <v>110070053140</v>
      </c>
      <c r="M1772" s="28" t="s">
        <v>265</v>
      </c>
      <c r="N1772" s="28">
        <v>7521</v>
      </c>
      <c r="O1772" s="28" t="str">
        <f>IFERROR(VLOOKUP(N1772, 'SIC &amp; NAICS Codes'!A:B, 2, FALSE), "")</f>
        <v>Automobile Parking</v>
      </c>
      <c r="S1772" s="28">
        <v>1.9553310000000001E-2</v>
      </c>
      <c r="T1772" s="315">
        <f>_xlfn.MAXIFS('Raw Period DMR Data'!$O:$O,'Raw Period DMR Data'!$A:$A,'Raw Annual DMR Data_2021-2024'!#REF!,'Raw Period DMR Data'!$C:$C,X1772)/S1772</f>
        <v>0</v>
      </c>
      <c r="U1772" s="28" t="str">
        <f>+IF(COUNTIFS('Raw Period DMR Data'!$A:$A,B1772,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72" s="28" t="str" cm="1">
        <f t="array" ref="V1772">IFERROR(INDEX('Raw Period DMR Data'!N:N,MATCH(1,(B1772='Raw Period DMR Data'!$A:$A)*(U1772='Raw Period DMR Data'!M:M)*(X1772='Raw Period DMR Data'!C:C),0),1), "N/A")</f>
        <v>N/A</v>
      </c>
      <c r="W1772" s="28" t="s">
        <v>1463</v>
      </c>
      <c r="X1772" s="28" t="s">
        <v>1790</v>
      </c>
      <c r="Y1772" s="28" t="s">
        <v>1791</v>
      </c>
      <c r="Z1772" s="61"/>
      <c r="AB1772" s="28" t="s">
        <v>7355</v>
      </c>
      <c r="AC1772" s="28" t="s">
        <v>1466</v>
      </c>
    </row>
    <row r="1773" spans="1:29" x14ac:dyDescent="0.25">
      <c r="A1773" s="61">
        <v>110000732299</v>
      </c>
      <c r="B1773" s="28">
        <v>2024</v>
      </c>
      <c r="C1773" s="68">
        <f t="shared" si="28"/>
        <v>45292</v>
      </c>
      <c r="D1773" s="28" t="s">
        <v>6887</v>
      </c>
      <c r="E1773" s="28" t="s">
        <v>7065</v>
      </c>
      <c r="F1773" s="28" t="s">
        <v>7066</v>
      </c>
      <c r="G1773" s="28" t="s">
        <v>324</v>
      </c>
      <c r="H1773" s="28">
        <v>40601</v>
      </c>
      <c r="I1773" s="28">
        <v>38.194721999999999</v>
      </c>
      <c r="J1773" s="28">
        <v>-84.869444000000001</v>
      </c>
      <c r="L1773" s="61">
        <v>110000732299</v>
      </c>
      <c r="M1773" s="28" t="s">
        <v>263</v>
      </c>
      <c r="N1773" s="28">
        <v>4952</v>
      </c>
      <c r="O1773" s="28" t="str">
        <f>IFERROR(VLOOKUP(N1773, 'SIC &amp; NAICS Codes'!A:B, 2, FALSE), "")</f>
        <v>Sewerage Systems</v>
      </c>
      <c r="S1773" s="28">
        <v>21.068256250000001</v>
      </c>
      <c r="T1773" s="315">
        <f>_xlfn.MAXIFS('Raw Period DMR Data'!$O:$O,'Raw Period DMR Data'!$A:$A,'Raw Annual DMR Data_2021-2024'!B2320,'Raw Period DMR Data'!$C:$C,X1773)/S1773</f>
        <v>0</v>
      </c>
      <c r="U1773" s="28" t="str">
        <f>+IF(COUNTIFS('Raw Period DMR Data'!$A:$A,B1773, 'Raw Period DMR Data'!C:C,'Raw Annual DMR Data_2021-2024'!X2320, 'Raw Period DMR Data'!M:M, "&gt;0")&gt;0,_xlfn.MAXIFS('Raw Period DMR Data'!M:M,'Raw Period DMR Data'!$A:$A,'Raw Annual DMR Data_2021-2024'!B2320,'Raw Period DMR Data'!C:C,'Raw Annual DMR Data_2021-2024'!X2320), "N/A - Period DMR Data Not Available")</f>
        <v>N/A - Period DMR Data Not Available</v>
      </c>
      <c r="V1773" s="28" t="str" cm="1">
        <f t="array" ref="V1773">IFERROR(INDEX('Raw Period DMR Data'!N:N,MATCH(1,(B1773='Raw Period DMR Data'!$A:$A)*(U1773='Raw Period DMR Data'!M:M)*(X1773='Raw Period DMR Data'!C:C),0),1), "N/A")</f>
        <v>N/A</v>
      </c>
      <c r="W1773" s="28" t="s">
        <v>1463</v>
      </c>
      <c r="X1773" s="28" t="s">
        <v>7213</v>
      </c>
      <c r="Y1773" s="28" t="s">
        <v>7311</v>
      </c>
      <c r="Z1773" s="61">
        <v>5100205000053</v>
      </c>
      <c r="AB1773" s="28" t="s">
        <v>7355</v>
      </c>
      <c r="AC1773" s="28" t="s">
        <v>263</v>
      </c>
    </row>
    <row r="1774" spans="1:29" x14ac:dyDescent="0.25">
      <c r="A1774" s="61">
        <v>110000732299</v>
      </c>
      <c r="B1774" s="28">
        <v>2023</v>
      </c>
      <c r="C1774" s="68">
        <f t="shared" si="28"/>
        <v>44927</v>
      </c>
      <c r="D1774" s="28" t="s">
        <v>6887</v>
      </c>
      <c r="E1774" s="28" t="s">
        <v>7065</v>
      </c>
      <c r="F1774" s="28" t="s">
        <v>7066</v>
      </c>
      <c r="G1774" s="28" t="s">
        <v>324</v>
      </c>
      <c r="H1774" s="28">
        <v>40601</v>
      </c>
      <c r="I1774" s="28">
        <v>38.194721999999999</v>
      </c>
      <c r="J1774" s="28">
        <v>-84.869444000000001</v>
      </c>
      <c r="L1774" s="61">
        <v>110000732299</v>
      </c>
      <c r="M1774" s="28" t="s">
        <v>263</v>
      </c>
      <c r="N1774" s="28">
        <v>4952</v>
      </c>
      <c r="O1774" s="28" t="str">
        <f>IFERROR(VLOOKUP(N1774, 'SIC &amp; NAICS Codes'!A:B, 2, FALSE), "")</f>
        <v>Sewerage Systems</v>
      </c>
      <c r="S1774" s="28">
        <v>13.4007925</v>
      </c>
      <c r="T1774" s="315">
        <f>_xlfn.MAXIFS('Raw Period DMR Data'!$O:$O,'Raw Period DMR Data'!$A:$A,'Raw Annual DMR Data_2021-2024'!B2339,'Raw Period DMR Data'!$C:$C,X1774)/S1774</f>
        <v>0</v>
      </c>
      <c r="U1774" s="28" t="str">
        <f>+IF(COUNTIFS('Raw Period DMR Data'!$A:$A,B1774, 'Raw Period DMR Data'!C:C,'Raw Annual DMR Data_2021-2024'!X2339, 'Raw Period DMR Data'!M:M, "&gt;0")&gt;0,_xlfn.MAXIFS('Raw Period DMR Data'!M:M,'Raw Period DMR Data'!$A:$A,'Raw Annual DMR Data_2021-2024'!B2339,'Raw Period DMR Data'!C:C,'Raw Annual DMR Data_2021-2024'!X2339), "N/A - Period DMR Data Not Available")</f>
        <v>N/A - Period DMR Data Not Available</v>
      </c>
      <c r="V1774" s="28" t="str" cm="1">
        <f t="array" ref="V1774">IFERROR(INDEX('Raw Period DMR Data'!N:N,MATCH(1,(B1774='Raw Period DMR Data'!$A:$A)*(U1774='Raw Period DMR Data'!M:M)*(X1774='Raw Period DMR Data'!C:C),0),1), "N/A")</f>
        <v>N/A</v>
      </c>
      <c r="W1774" s="28" t="s">
        <v>1463</v>
      </c>
      <c r="X1774" s="28" t="s">
        <v>7213</v>
      </c>
      <c r="Y1774" s="28" t="s">
        <v>7311</v>
      </c>
      <c r="Z1774" s="61">
        <v>5100205000053</v>
      </c>
      <c r="AB1774" s="28" t="s">
        <v>7355</v>
      </c>
      <c r="AC1774" s="28" t="s">
        <v>263</v>
      </c>
    </row>
    <row r="1775" spans="1:29" x14ac:dyDescent="0.25">
      <c r="A1775" s="61">
        <v>110037256867</v>
      </c>
      <c r="B1775" s="28">
        <v>2022</v>
      </c>
      <c r="C1775" s="68">
        <f t="shared" si="28"/>
        <v>44562</v>
      </c>
      <c r="D1775" s="28" t="s">
        <v>1129</v>
      </c>
      <c r="E1775" s="28" t="s">
        <v>1792</v>
      </c>
      <c r="F1775" s="28" t="s">
        <v>1130</v>
      </c>
      <c r="G1775" s="28" t="s">
        <v>366</v>
      </c>
      <c r="H1775" s="28">
        <v>93420</v>
      </c>
      <c r="I1775" s="28">
        <v>35.178620000000002</v>
      </c>
      <c r="J1775" s="28">
        <v>-120.62067500000001</v>
      </c>
      <c r="L1775" s="61">
        <v>110037256867</v>
      </c>
      <c r="M1775" s="28" t="s">
        <v>6750</v>
      </c>
      <c r="N1775" s="28">
        <v>2911</v>
      </c>
      <c r="O1775" s="28" t="str">
        <f>IFERROR(VLOOKUP(N1775, 'SIC &amp; NAICS Codes'!A:B, 2, FALSE), "")</f>
        <v>Petroleum Refining</v>
      </c>
      <c r="S1775" s="28">
        <v>0.1623291875</v>
      </c>
      <c r="T1775" s="315">
        <f>_xlfn.MAXIFS('Raw Period DMR Data'!$O:$O,'Raw Period DMR Data'!$A:$A,'Raw Annual DMR Data_2021-2024'!#REF!,'Raw Period DMR Data'!$C:$C,X1775)/S1775</f>
        <v>0</v>
      </c>
      <c r="U1775" s="28" t="str">
        <f>+IF(COUNTIFS('Raw Period DMR Data'!$A:$A,B1775,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75" s="28" t="str" cm="1">
        <f t="array" ref="V1775">IFERROR(INDEX('Raw Period DMR Data'!N:N,MATCH(1,(B1775='Raw Period DMR Data'!$A:$A)*(U1775='Raw Period DMR Data'!M:M)*(X1775='Raw Period DMR Data'!C:C),0),1), "N/A")</f>
        <v>N/A</v>
      </c>
      <c r="W1775" s="28" t="s">
        <v>1463</v>
      </c>
      <c r="X1775" s="28" t="s">
        <v>1793</v>
      </c>
      <c r="Y1775" s="28" t="s">
        <v>1794</v>
      </c>
      <c r="Z1775" s="61">
        <v>18060006000027</v>
      </c>
      <c r="AB1775" s="28" t="s">
        <v>7355</v>
      </c>
      <c r="AC1775" s="28" t="s">
        <v>1466</v>
      </c>
    </row>
    <row r="1776" spans="1:29" x14ac:dyDescent="0.25">
      <c r="A1776" s="61">
        <v>110037256867</v>
      </c>
      <c r="B1776" s="28">
        <v>2023</v>
      </c>
      <c r="C1776" s="68">
        <f t="shared" si="28"/>
        <v>44927</v>
      </c>
      <c r="D1776" s="28" t="s">
        <v>1129</v>
      </c>
      <c r="E1776" s="28" t="s">
        <v>1792</v>
      </c>
      <c r="F1776" s="28" t="s">
        <v>1130</v>
      </c>
      <c r="G1776" s="28" t="s">
        <v>366</v>
      </c>
      <c r="H1776" s="28">
        <v>93420</v>
      </c>
      <c r="I1776" s="28">
        <v>35.178620000000002</v>
      </c>
      <c r="J1776" s="28">
        <v>-120.62067500000001</v>
      </c>
      <c r="L1776" s="61">
        <v>110037256867</v>
      </c>
      <c r="M1776" s="28" t="s">
        <v>6750</v>
      </c>
      <c r="N1776" s="28">
        <v>2911</v>
      </c>
      <c r="O1776" s="28" t="str">
        <f>IFERROR(VLOOKUP(N1776, 'SIC &amp; NAICS Codes'!A:B, 2, FALSE), "")</f>
        <v>Petroleum Refining</v>
      </c>
      <c r="S1776" s="28">
        <v>2.4425361999999999E-2</v>
      </c>
      <c r="T1776" s="315">
        <f>_xlfn.MAXIFS('Raw Period DMR Data'!$O:$O,'Raw Period DMR Data'!$A:$A,'Raw Annual DMR Data_2021-2024'!#REF!,'Raw Period DMR Data'!$C:$C,X1776)/S1776</f>
        <v>0</v>
      </c>
      <c r="U1776" s="28" t="str">
        <f>+IF(COUNTIFS('Raw Period DMR Data'!$A:$A,B1776,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76" s="28" t="str" cm="1">
        <f t="array" ref="V1776">IFERROR(INDEX('Raw Period DMR Data'!N:N,MATCH(1,(B1776='Raw Period DMR Data'!$A:$A)*(U1776='Raw Period DMR Data'!M:M)*(X1776='Raw Period DMR Data'!C:C),0),1), "N/A")</f>
        <v>N/A</v>
      </c>
      <c r="W1776" s="28" t="s">
        <v>1463</v>
      </c>
      <c r="X1776" s="28" t="s">
        <v>1793</v>
      </c>
      <c r="Y1776" s="28" t="s">
        <v>1794</v>
      </c>
      <c r="Z1776" s="61">
        <v>18060006000027</v>
      </c>
      <c r="AB1776" s="28" t="s">
        <v>7355</v>
      </c>
      <c r="AC1776" s="28" t="s">
        <v>1466</v>
      </c>
    </row>
    <row r="1777" spans="1:29" x14ac:dyDescent="0.25">
      <c r="A1777" s="61">
        <v>110037256867</v>
      </c>
      <c r="B1777" s="28">
        <v>2024</v>
      </c>
      <c r="C1777" s="68">
        <f t="shared" si="28"/>
        <v>45292</v>
      </c>
      <c r="D1777" s="28" t="s">
        <v>1129</v>
      </c>
      <c r="E1777" s="28" t="s">
        <v>1792</v>
      </c>
      <c r="F1777" s="28" t="s">
        <v>1130</v>
      </c>
      <c r="G1777" s="28" t="s">
        <v>366</v>
      </c>
      <c r="H1777" s="28">
        <v>93420</v>
      </c>
      <c r="I1777" s="28">
        <v>35.178620000000002</v>
      </c>
      <c r="J1777" s="28">
        <v>-120.62067500000001</v>
      </c>
      <c r="L1777" s="61">
        <v>110037256867</v>
      </c>
      <c r="M1777" s="28" t="s">
        <v>6750</v>
      </c>
      <c r="N1777" s="28">
        <v>2911</v>
      </c>
      <c r="O1777" s="28" t="str">
        <f>IFERROR(VLOOKUP(N1777, 'SIC &amp; NAICS Codes'!A:B, 2, FALSE), "")</f>
        <v>Petroleum Refining</v>
      </c>
      <c r="S1777" s="28">
        <v>1.4091555E-2</v>
      </c>
      <c r="T1777" s="315">
        <f>_xlfn.MAXIFS('Raw Period DMR Data'!$O:$O,'Raw Period DMR Data'!$A:$A,'Raw Annual DMR Data_2021-2024'!#REF!,'Raw Period DMR Data'!$C:$C,X1777)/S1777</f>
        <v>0</v>
      </c>
      <c r="U1777" s="28" t="str">
        <f>+IF(COUNTIFS('Raw Period DMR Data'!$A:$A,B1777,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77" s="28" t="str" cm="1">
        <f t="array" ref="V1777">IFERROR(INDEX('Raw Period DMR Data'!N:N,MATCH(1,(B1777='Raw Period DMR Data'!$A:$A)*(U1777='Raw Period DMR Data'!M:M)*(X1777='Raw Period DMR Data'!C:C),0),1), "N/A")</f>
        <v>N/A</v>
      </c>
      <c r="W1777" s="28" t="s">
        <v>1463</v>
      </c>
      <c r="X1777" s="28" t="s">
        <v>1793</v>
      </c>
      <c r="Y1777" s="28" t="s">
        <v>1794</v>
      </c>
      <c r="Z1777" s="61">
        <v>18060006000027</v>
      </c>
      <c r="AB1777" s="28" t="s">
        <v>7355</v>
      </c>
      <c r="AC1777" s="28" t="s">
        <v>1466</v>
      </c>
    </row>
    <row r="1778" spans="1:29" x14ac:dyDescent="0.25">
      <c r="A1778" s="61">
        <v>110007681758</v>
      </c>
      <c r="B1778" s="28">
        <v>2021</v>
      </c>
      <c r="C1778" s="68">
        <f t="shared" si="28"/>
        <v>44197</v>
      </c>
      <c r="D1778" s="28" t="s">
        <v>1132</v>
      </c>
      <c r="E1778" s="28" t="s">
        <v>1797</v>
      </c>
      <c r="F1778" s="28" t="s">
        <v>1133</v>
      </c>
      <c r="G1778" s="28" t="s">
        <v>999</v>
      </c>
      <c r="H1778" s="28" t="s">
        <v>1798</v>
      </c>
      <c r="I1778" s="28">
        <v>43.585476</v>
      </c>
      <c r="J1778" s="28">
        <v>-71.750524999999996</v>
      </c>
      <c r="K1778" s="28" t="s">
        <v>717</v>
      </c>
      <c r="L1778" s="61">
        <v>110007681758</v>
      </c>
      <c r="M1778" s="28" t="s">
        <v>265</v>
      </c>
      <c r="O1778" s="28" t="str">
        <f>IFERROR(VLOOKUP(N1778, 'SIC &amp; NAICS Codes'!A:B, 2, FALSE), "")</f>
        <v/>
      </c>
      <c r="S1778" s="28">
        <v>4.4581622499999998E-3</v>
      </c>
      <c r="T1778" s="315">
        <f>_xlfn.MAXIFS('Raw Period DMR Data'!$O:$O,'Raw Period DMR Data'!$A:$A,'Raw Annual DMR Data_2021-2024'!#REF!,'Raw Period DMR Data'!$C:$C,X1778)/S1778</f>
        <v>0</v>
      </c>
      <c r="U1778" s="28" t="str">
        <f>+IF(COUNTIFS('Raw Period DMR Data'!$A:$A,B1778,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78" s="28" t="str" cm="1">
        <f t="array" ref="V1778">IFERROR(INDEX('Raw Period DMR Data'!N:N,MATCH(1,(B1778='Raw Period DMR Data'!$A:$A)*(U1778='Raw Period DMR Data'!M:M)*(X1778='Raw Period DMR Data'!C:C),0),1), "N/A")</f>
        <v>N/A</v>
      </c>
      <c r="W1778" s="28" t="s">
        <v>1463</v>
      </c>
      <c r="X1778" s="28" t="s">
        <v>1799</v>
      </c>
      <c r="Z1778" s="61">
        <v>1070001000335</v>
      </c>
      <c r="AA1778" s="28"/>
      <c r="AB1778" s="28" t="s">
        <v>7355</v>
      </c>
      <c r="AC1778" s="28" t="s">
        <v>1466</v>
      </c>
    </row>
    <row r="1779" spans="1:29" x14ac:dyDescent="0.25">
      <c r="A1779" s="61">
        <v>110007681758</v>
      </c>
      <c r="B1779" s="28">
        <v>2023</v>
      </c>
      <c r="C1779" s="68">
        <f t="shared" si="28"/>
        <v>44927</v>
      </c>
      <c r="D1779" s="28" t="s">
        <v>1132</v>
      </c>
      <c r="E1779" s="28" t="s">
        <v>7098</v>
      </c>
      <c r="F1779" s="28" t="s">
        <v>1133</v>
      </c>
      <c r="G1779" s="28" t="s">
        <v>999</v>
      </c>
      <c r="H1779" s="28" t="s">
        <v>1798</v>
      </c>
      <c r="I1779" s="28">
        <v>43.585476</v>
      </c>
      <c r="J1779" s="28">
        <v>-71.750524999999996</v>
      </c>
      <c r="K1779" s="28" t="s">
        <v>717</v>
      </c>
      <c r="L1779" s="61">
        <v>110007681758</v>
      </c>
      <c r="M1779" s="28" t="s">
        <v>265</v>
      </c>
      <c r="N1779" s="28">
        <v>4959</v>
      </c>
      <c r="O1779" s="28" t="str">
        <f>IFERROR(VLOOKUP(N1779, 'SIC &amp; NAICS Codes'!A:B, 2, FALSE), "")</f>
        <v>Sanitary Services, NEC (vacuuming of runways)</v>
      </c>
      <c r="S1779" s="28">
        <v>4.3275527142857097E-3</v>
      </c>
      <c r="T1779" s="315">
        <f>_xlfn.MAXIFS('Raw Period DMR Data'!$O:$O,'Raw Period DMR Data'!$A:$A,'Raw Annual DMR Data_2021-2024'!#REF!,'Raw Period DMR Data'!$C:$C,X1779)/S1779</f>
        <v>0</v>
      </c>
      <c r="U1779" s="28" t="str">
        <f>+IF(COUNTIFS('Raw Period DMR Data'!$A:$A,B1779,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79" s="28" t="str" cm="1">
        <f t="array" ref="V1779">IFERROR(INDEX('Raw Period DMR Data'!N:N,MATCH(1,(B1779='Raw Period DMR Data'!$A:$A)*(U1779='Raw Period DMR Data'!M:M)*(X1779='Raw Period DMR Data'!C:C),0),1), "N/A")</f>
        <v>N/A</v>
      </c>
      <c r="W1779" s="28" t="s">
        <v>1463</v>
      </c>
      <c r="X1779" s="28" t="s">
        <v>7233</v>
      </c>
      <c r="Y1779" s="28" t="s">
        <v>7319</v>
      </c>
      <c r="Z1779" s="61"/>
      <c r="AB1779" s="28" t="s">
        <v>7355</v>
      </c>
      <c r="AC1779" s="28" t="s">
        <v>1466</v>
      </c>
    </row>
    <row r="1780" spans="1:29" x14ac:dyDescent="0.25">
      <c r="A1780" s="61">
        <v>110007681758</v>
      </c>
      <c r="B1780" s="28">
        <v>2024</v>
      </c>
      <c r="C1780" s="68">
        <f t="shared" si="28"/>
        <v>45292</v>
      </c>
      <c r="D1780" s="28" t="s">
        <v>1132</v>
      </c>
      <c r="E1780" s="28" t="s">
        <v>7098</v>
      </c>
      <c r="F1780" s="28" t="s">
        <v>1133</v>
      </c>
      <c r="G1780" s="28" t="s">
        <v>999</v>
      </c>
      <c r="H1780" s="28" t="s">
        <v>1798</v>
      </c>
      <c r="I1780" s="28">
        <v>43.585476</v>
      </c>
      <c r="J1780" s="28">
        <v>-71.750524999999996</v>
      </c>
      <c r="K1780" s="28" t="s">
        <v>717</v>
      </c>
      <c r="L1780" s="61">
        <v>110007681758</v>
      </c>
      <c r="M1780" s="28" t="s">
        <v>265</v>
      </c>
      <c r="N1780" s="28">
        <v>4959</v>
      </c>
      <c r="O1780" s="28" t="str">
        <f>IFERROR(VLOOKUP(N1780, 'SIC &amp; NAICS Codes'!A:B, 2, FALSE), "")</f>
        <v>Sanitary Services, NEC (vacuuming of runways)</v>
      </c>
      <c r="S1780" s="28">
        <v>4.1301920000000004E-3</v>
      </c>
      <c r="T1780" s="315">
        <f>_xlfn.MAXIFS('Raw Period DMR Data'!$O:$O,'Raw Period DMR Data'!$A:$A,'Raw Annual DMR Data_2021-2024'!#REF!,'Raw Period DMR Data'!$C:$C,X1780)/S1780</f>
        <v>0</v>
      </c>
      <c r="U1780" s="28" t="str">
        <f>+IF(COUNTIFS('Raw Period DMR Data'!$A:$A,B1780,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80" s="28" t="str" cm="1">
        <f t="array" ref="V1780">IFERROR(INDEX('Raw Period DMR Data'!N:N,MATCH(1,(B1780='Raw Period DMR Data'!$A:$A)*(U1780='Raw Period DMR Data'!M:M)*(X1780='Raw Period DMR Data'!C:C),0),1), "N/A")</f>
        <v>N/A</v>
      </c>
      <c r="W1780" s="28" t="s">
        <v>1463</v>
      </c>
      <c r="X1780" s="28" t="s">
        <v>7233</v>
      </c>
      <c r="Y1780" s="28" t="s">
        <v>7319</v>
      </c>
      <c r="Z1780" s="61"/>
      <c r="AB1780" s="28" t="s">
        <v>7355</v>
      </c>
      <c r="AC1780" s="28" t="s">
        <v>1466</v>
      </c>
    </row>
    <row r="1781" spans="1:29" x14ac:dyDescent="0.25">
      <c r="A1781" s="61">
        <v>110007681758</v>
      </c>
      <c r="B1781" s="28">
        <v>2022</v>
      </c>
      <c r="C1781" s="68">
        <f t="shared" si="28"/>
        <v>44562</v>
      </c>
      <c r="D1781" s="28" t="s">
        <v>1132</v>
      </c>
      <c r="E1781" s="28" t="s">
        <v>1797</v>
      </c>
      <c r="F1781" s="28" t="s">
        <v>1133</v>
      </c>
      <c r="G1781" s="28" t="s">
        <v>999</v>
      </c>
      <c r="H1781" s="28" t="s">
        <v>1798</v>
      </c>
      <c r="I1781" s="28">
        <v>43.585476</v>
      </c>
      <c r="J1781" s="28">
        <v>-71.750524999999996</v>
      </c>
      <c r="K1781" s="28" t="s">
        <v>717</v>
      </c>
      <c r="L1781" s="61">
        <v>110007681758</v>
      </c>
      <c r="M1781" s="28" t="s">
        <v>265</v>
      </c>
      <c r="O1781" s="28" t="str">
        <f>IFERROR(VLOOKUP(N1781, 'SIC &amp; NAICS Codes'!A:B, 2, FALSE), "")</f>
        <v/>
      </c>
      <c r="S1781" s="28">
        <v>3.3652435000000001E-3</v>
      </c>
      <c r="T1781" s="315">
        <f>_xlfn.MAXIFS('Raw Period DMR Data'!$O:$O,'Raw Period DMR Data'!$A:$A,'Raw Annual DMR Data_2021-2024'!#REF!,'Raw Period DMR Data'!$C:$C,X1781)/S1781</f>
        <v>0</v>
      </c>
      <c r="U1781" s="28" t="str">
        <f>+IF(COUNTIFS('Raw Period DMR Data'!$A:$A,B1781,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81" s="28" t="str" cm="1">
        <f t="array" ref="V1781">IFERROR(INDEX('Raw Period DMR Data'!N:N,MATCH(1,(B1781='Raw Period DMR Data'!$A:$A)*(U1781='Raw Period DMR Data'!M:M)*(X1781='Raw Period DMR Data'!C:C),0),1), "N/A")</f>
        <v>N/A</v>
      </c>
      <c r="W1781" s="28" t="s">
        <v>1463</v>
      </c>
      <c r="X1781" s="28" t="s">
        <v>1799</v>
      </c>
      <c r="Z1781" s="61">
        <v>1070001000335</v>
      </c>
      <c r="AB1781" s="28" t="s">
        <v>7355</v>
      </c>
      <c r="AC1781" s="28" t="s">
        <v>1466</v>
      </c>
    </row>
    <row r="1782" spans="1:29" x14ac:dyDescent="0.25">
      <c r="A1782" s="61">
        <v>110007681758</v>
      </c>
      <c r="B1782" s="28">
        <v>2023</v>
      </c>
      <c r="C1782" s="68">
        <f t="shared" si="28"/>
        <v>44927</v>
      </c>
      <c r="D1782" s="28" t="s">
        <v>1132</v>
      </c>
      <c r="E1782" s="28" t="s">
        <v>1797</v>
      </c>
      <c r="F1782" s="28" t="s">
        <v>1133</v>
      </c>
      <c r="G1782" s="28" t="s">
        <v>999</v>
      </c>
      <c r="H1782" s="28" t="s">
        <v>1798</v>
      </c>
      <c r="I1782" s="28">
        <v>43.585476</v>
      </c>
      <c r="J1782" s="28">
        <v>-71.750524999999996</v>
      </c>
      <c r="K1782" s="28" t="s">
        <v>717</v>
      </c>
      <c r="L1782" s="61">
        <v>110007681758</v>
      </c>
      <c r="M1782" s="28" t="s">
        <v>265</v>
      </c>
      <c r="O1782" s="28" t="str">
        <f>IFERROR(VLOOKUP(N1782, 'SIC &amp; NAICS Codes'!A:B, 2, FALSE), "")</f>
        <v/>
      </c>
      <c r="S1782" s="28">
        <v>2.8855325999999999E-3</v>
      </c>
      <c r="T1782" s="315">
        <f>_xlfn.MAXIFS('Raw Period DMR Data'!$O:$O,'Raw Period DMR Data'!$A:$A,'Raw Annual DMR Data_2021-2024'!#REF!,'Raw Period DMR Data'!$C:$C,X1782)/S1782</f>
        <v>0</v>
      </c>
      <c r="U1782" s="28" t="str">
        <f>+IF(COUNTIFS('Raw Period DMR Data'!$A:$A,B1782,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82" s="28" t="str" cm="1">
        <f t="array" ref="V1782">IFERROR(INDEX('Raw Period DMR Data'!N:N,MATCH(1,(B1782='Raw Period DMR Data'!$A:$A)*(U1782='Raw Period DMR Data'!M:M)*(X1782='Raw Period DMR Data'!C:C),0),1), "N/A")</f>
        <v>N/A</v>
      </c>
      <c r="W1782" s="28" t="s">
        <v>1463</v>
      </c>
      <c r="X1782" s="28" t="s">
        <v>1799</v>
      </c>
      <c r="Z1782" s="61" t="s">
        <v>7342</v>
      </c>
      <c r="AB1782" s="28" t="s">
        <v>7355</v>
      </c>
      <c r="AC1782" s="28" t="s">
        <v>1466</v>
      </c>
    </row>
    <row r="1783" spans="1:29" x14ac:dyDescent="0.25">
      <c r="A1783" s="61">
        <v>110017432937</v>
      </c>
      <c r="B1783" s="28">
        <v>2022</v>
      </c>
      <c r="C1783" s="68">
        <f t="shared" si="28"/>
        <v>44562</v>
      </c>
      <c r="D1783" s="28" t="s">
        <v>1134</v>
      </c>
      <c r="E1783" s="28" t="s">
        <v>1800</v>
      </c>
      <c r="F1783" s="28" t="s">
        <v>1135</v>
      </c>
      <c r="G1783" s="28" t="s">
        <v>299</v>
      </c>
      <c r="H1783" s="28">
        <v>72501</v>
      </c>
      <c r="I1783" s="28">
        <v>35.722341999999998</v>
      </c>
      <c r="J1783" s="28">
        <v>-91.524983000000006</v>
      </c>
      <c r="K1783" s="28" t="s">
        <v>718</v>
      </c>
      <c r="L1783" s="61">
        <v>110017432937</v>
      </c>
      <c r="M1783" s="28" t="s">
        <v>265</v>
      </c>
      <c r="N1783" s="28">
        <v>2865</v>
      </c>
      <c r="O1783" s="28" t="str">
        <f>IFERROR(VLOOKUP(N1783, 'SIC &amp; NAICS Codes'!A:B, 2, FALSE), "")</f>
        <v>Cyclic Organic Crudes and Intermediates, and Organic Dyes and Pigments (aromatics)</v>
      </c>
      <c r="S1783" s="28">
        <v>5.3889800000000001</v>
      </c>
      <c r="T1783" s="315">
        <f>_xlfn.MAXIFS('Raw Period DMR Data'!$O:$O,'Raw Period DMR Data'!$A:$A,'Raw Annual DMR Data_2021-2024'!B2389,'Raw Period DMR Data'!$C:$C,X1783)/S1783</f>
        <v>0</v>
      </c>
      <c r="U1783" s="28" t="str">
        <f>+IF(COUNTIFS('Raw Period DMR Data'!$A:$A,B1783, 'Raw Period DMR Data'!C:C,'Raw Annual DMR Data_2021-2024'!X2389, 'Raw Period DMR Data'!M:M, "&gt;0")&gt;0,_xlfn.MAXIFS('Raw Period DMR Data'!M:M,'Raw Period DMR Data'!$A:$A,'Raw Annual DMR Data_2021-2024'!B2389,'Raw Period DMR Data'!C:C,'Raw Annual DMR Data_2021-2024'!X2389), "N/A - Period DMR Data Not Available")</f>
        <v>N/A - Period DMR Data Not Available</v>
      </c>
      <c r="V1783" s="28" t="str" cm="1">
        <f t="array" ref="V1783">IFERROR(INDEX('Raw Period DMR Data'!N:N,MATCH(1,(B1783='Raw Period DMR Data'!$A:$A)*(U1783='Raw Period DMR Data'!M:M)*(X1783='Raw Period DMR Data'!C:C),0),1), "N/A")</f>
        <v>N/A</v>
      </c>
      <c r="W1783" s="28" t="s">
        <v>1463</v>
      </c>
      <c r="X1783" s="28" t="s">
        <v>1801</v>
      </c>
      <c r="Y1783" s="28" t="s">
        <v>1802</v>
      </c>
      <c r="Z1783" s="61">
        <v>11010004002024</v>
      </c>
      <c r="AB1783" s="28" t="s">
        <v>7355</v>
      </c>
      <c r="AC1783" s="28" t="s">
        <v>1466</v>
      </c>
    </row>
    <row r="1784" spans="1:29" x14ac:dyDescent="0.25">
      <c r="A1784" s="61">
        <v>110017432937</v>
      </c>
      <c r="B1784" s="28">
        <v>2023</v>
      </c>
      <c r="C1784" s="68">
        <f t="shared" si="28"/>
        <v>44927</v>
      </c>
      <c r="D1784" s="28" t="s">
        <v>1134</v>
      </c>
      <c r="E1784" s="28" t="s">
        <v>1800</v>
      </c>
      <c r="F1784" s="28" t="s">
        <v>1135</v>
      </c>
      <c r="G1784" s="28" t="s">
        <v>299</v>
      </c>
      <c r="H1784" s="28">
        <v>72501</v>
      </c>
      <c r="I1784" s="28">
        <v>35.722341999999998</v>
      </c>
      <c r="J1784" s="28">
        <v>-91.524983000000006</v>
      </c>
      <c r="K1784" s="28" t="s">
        <v>718</v>
      </c>
      <c r="L1784" s="61">
        <v>110017432937</v>
      </c>
      <c r="M1784" s="28" t="s">
        <v>265</v>
      </c>
      <c r="N1784" s="28">
        <v>2865</v>
      </c>
      <c r="O1784" s="28" t="str">
        <f>IFERROR(VLOOKUP(N1784, 'SIC &amp; NAICS Codes'!A:B, 2, FALSE), "")</f>
        <v>Cyclic Organic Crudes and Intermediates, and Organic Dyes and Pigments (aromatics)</v>
      </c>
      <c r="S1784" s="28">
        <v>4.5536199999999996</v>
      </c>
      <c r="T1784" s="315">
        <f>_xlfn.MAXIFS('Raw Period DMR Data'!$O:$O,'Raw Period DMR Data'!$A:$A,'Raw Annual DMR Data_2021-2024'!B2400,'Raw Period DMR Data'!$C:$C,X1784)/S1784</f>
        <v>0</v>
      </c>
      <c r="U1784" s="28" t="str">
        <f>+IF(COUNTIFS('Raw Period DMR Data'!$A:$A,B1784, 'Raw Period DMR Data'!C:C,'Raw Annual DMR Data_2021-2024'!X2400, 'Raw Period DMR Data'!M:M, "&gt;0")&gt;0,_xlfn.MAXIFS('Raw Period DMR Data'!M:M,'Raw Period DMR Data'!$A:$A,'Raw Annual DMR Data_2021-2024'!B2400,'Raw Period DMR Data'!C:C,'Raw Annual DMR Data_2021-2024'!X2400), "N/A - Period DMR Data Not Available")</f>
        <v>N/A - Period DMR Data Not Available</v>
      </c>
      <c r="V1784" s="28" t="str" cm="1">
        <f t="array" ref="V1784">IFERROR(INDEX('Raw Period DMR Data'!N:N,MATCH(1,(B1784='Raw Period DMR Data'!$A:$A)*(U1784='Raw Period DMR Data'!M:M)*(X1784='Raw Period DMR Data'!C:C),0),1), "N/A")</f>
        <v>N/A</v>
      </c>
      <c r="W1784" s="28" t="s">
        <v>1463</v>
      </c>
      <c r="X1784" s="28" t="s">
        <v>1801</v>
      </c>
      <c r="Y1784" s="28" t="s">
        <v>1802</v>
      </c>
      <c r="Z1784" s="61">
        <v>11010004002024</v>
      </c>
      <c r="AB1784" s="28" t="s">
        <v>7355</v>
      </c>
      <c r="AC1784" s="28" t="s">
        <v>1466</v>
      </c>
    </row>
    <row r="1785" spans="1:29" x14ac:dyDescent="0.25">
      <c r="A1785" s="61">
        <v>110017432937</v>
      </c>
      <c r="B1785" s="28">
        <v>2024</v>
      </c>
      <c r="C1785" s="68">
        <f t="shared" si="28"/>
        <v>45292</v>
      </c>
      <c r="D1785" s="28" t="s">
        <v>1134</v>
      </c>
      <c r="E1785" s="28" t="s">
        <v>1800</v>
      </c>
      <c r="F1785" s="28" t="s">
        <v>1135</v>
      </c>
      <c r="G1785" s="28" t="s">
        <v>299</v>
      </c>
      <c r="H1785" s="28">
        <v>72501</v>
      </c>
      <c r="I1785" s="28">
        <v>35.722341999999998</v>
      </c>
      <c r="J1785" s="28">
        <v>-91.524983000000006</v>
      </c>
      <c r="K1785" s="28" t="s">
        <v>718</v>
      </c>
      <c r="L1785" s="61">
        <v>110017432937</v>
      </c>
      <c r="M1785" s="28" t="s">
        <v>265</v>
      </c>
      <c r="N1785" s="28">
        <v>2865</v>
      </c>
      <c r="O1785" s="28" t="str">
        <f>IFERROR(VLOOKUP(N1785, 'SIC &amp; NAICS Codes'!A:B, 2, FALSE), "")</f>
        <v>Cyclic Organic Crudes and Intermediates, and Organic Dyes and Pigments (aromatics)</v>
      </c>
      <c r="S1785" s="28">
        <v>3.7250700000000001</v>
      </c>
      <c r="T1785" s="315">
        <f>_xlfn.MAXIFS('Raw Period DMR Data'!$O:$O,'Raw Period DMR Data'!$A:$A,'Raw Annual DMR Data_2021-2024'!B2414,'Raw Period DMR Data'!$C:$C,X1785)/S1785</f>
        <v>0</v>
      </c>
      <c r="U1785" s="28" t="str">
        <f>+IF(COUNTIFS('Raw Period DMR Data'!$A:$A,B1785, 'Raw Period DMR Data'!C:C,'Raw Annual DMR Data_2021-2024'!X2414, 'Raw Period DMR Data'!M:M, "&gt;0")&gt;0,_xlfn.MAXIFS('Raw Period DMR Data'!M:M,'Raw Period DMR Data'!$A:$A,'Raw Annual DMR Data_2021-2024'!B2414,'Raw Period DMR Data'!C:C,'Raw Annual DMR Data_2021-2024'!X2414), "N/A - Period DMR Data Not Available")</f>
        <v>N/A - Period DMR Data Not Available</v>
      </c>
      <c r="V1785" s="28" t="str" cm="1">
        <f t="array" ref="V1785">IFERROR(INDEX('Raw Period DMR Data'!N:N,MATCH(1,(B1785='Raw Period DMR Data'!$A:$A)*(U1785='Raw Period DMR Data'!M:M)*(X1785='Raw Period DMR Data'!C:C),0),1), "N/A")</f>
        <v>N/A</v>
      </c>
      <c r="W1785" s="28" t="s">
        <v>1463</v>
      </c>
      <c r="X1785" s="28" t="s">
        <v>1801</v>
      </c>
      <c r="Y1785" s="28" t="s">
        <v>1802</v>
      </c>
      <c r="Z1785" s="61">
        <v>11010004002024</v>
      </c>
      <c r="AB1785" s="28" t="s">
        <v>7355</v>
      </c>
      <c r="AC1785" s="28" t="s">
        <v>1466</v>
      </c>
    </row>
    <row r="1786" spans="1:29" x14ac:dyDescent="0.25">
      <c r="A1786" s="61">
        <v>110017432937</v>
      </c>
      <c r="B1786" s="28">
        <v>2021</v>
      </c>
      <c r="C1786" s="68">
        <f t="shared" si="28"/>
        <v>44197</v>
      </c>
      <c r="D1786" s="28" t="s">
        <v>1134</v>
      </c>
      <c r="E1786" s="28" t="s">
        <v>1800</v>
      </c>
      <c r="F1786" s="28" t="s">
        <v>1135</v>
      </c>
      <c r="G1786" s="28" t="s">
        <v>299</v>
      </c>
      <c r="H1786" s="28">
        <v>72501</v>
      </c>
      <c r="I1786" s="28">
        <v>35.722341999999998</v>
      </c>
      <c r="J1786" s="28">
        <v>-91.524983000000006</v>
      </c>
      <c r="K1786" s="28" t="s">
        <v>718</v>
      </c>
      <c r="L1786" s="61">
        <v>110017432937</v>
      </c>
      <c r="M1786" s="28" t="s">
        <v>265</v>
      </c>
      <c r="N1786" s="28">
        <v>2865</v>
      </c>
      <c r="O1786" s="28" t="str">
        <f>IFERROR(VLOOKUP(N1786, 'SIC &amp; NAICS Codes'!A:B, 2, FALSE), "")</f>
        <v>Cyclic Organic Crudes and Intermediates, and Organic Dyes and Pigments (aromatics)</v>
      </c>
      <c r="S1786" s="28">
        <v>3.3142</v>
      </c>
      <c r="T1786" s="315">
        <f>_xlfn.MAXIFS('Raw Period DMR Data'!$O:$O,'Raw Period DMR Data'!$A:$A,'Raw Annual DMR Data_2021-2024'!#REF!,'Raw Period DMR Data'!$C:$C,X1786)/S1786</f>
        <v>0</v>
      </c>
      <c r="U1786" s="28" t="str">
        <f>+IF(COUNTIFS('Raw Period DMR Data'!$A:$A,B1786,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86" s="28" t="str" cm="1">
        <f t="array" ref="V1786">IFERROR(INDEX('Raw Period DMR Data'!N:N,MATCH(1,(B1786='Raw Period DMR Data'!$A:$A)*(U1786='Raw Period DMR Data'!M:M)*(X1786='Raw Period DMR Data'!C:C),0),1), "N/A")</f>
        <v>N/A</v>
      </c>
      <c r="W1786" s="28" t="s">
        <v>1463</v>
      </c>
      <c r="X1786" s="28" t="s">
        <v>1801</v>
      </c>
      <c r="Y1786" s="28" t="s">
        <v>1802</v>
      </c>
      <c r="Z1786" s="61">
        <v>11010004002024</v>
      </c>
      <c r="AA1786" s="28"/>
      <c r="AB1786" s="28" t="s">
        <v>7355</v>
      </c>
      <c r="AC1786" s="28" t="s">
        <v>1466</v>
      </c>
    </row>
    <row r="1787" spans="1:29" x14ac:dyDescent="0.25">
      <c r="A1787" s="61">
        <v>110000310191</v>
      </c>
      <c r="B1787" s="28">
        <v>2023</v>
      </c>
      <c r="C1787" s="68">
        <f t="shared" si="28"/>
        <v>44927</v>
      </c>
      <c r="D1787" s="28" t="s">
        <v>151</v>
      </c>
      <c r="E1787" s="28" t="s">
        <v>485</v>
      </c>
      <c r="F1787" s="28" t="s">
        <v>486</v>
      </c>
      <c r="G1787" s="28" t="s">
        <v>308</v>
      </c>
      <c r="H1787" s="28" t="s">
        <v>1807</v>
      </c>
      <c r="I1787" s="28">
        <v>42.452603000000003</v>
      </c>
      <c r="J1787" s="28">
        <v>-70.973436000000007</v>
      </c>
      <c r="K1787" s="28" t="s">
        <v>487</v>
      </c>
      <c r="L1787" s="61">
        <v>110000310191</v>
      </c>
      <c r="M1787" s="28" t="s">
        <v>265</v>
      </c>
      <c r="N1787" s="28">
        <v>3724</v>
      </c>
      <c r="O1787" s="28" t="str">
        <f>IFERROR(VLOOKUP(N1787, 'SIC &amp; NAICS Codes'!A:B, 2, FALSE), "")</f>
        <v>Aircraft Engines and Engine Parts (except research and development not producing prototypes)</v>
      </c>
      <c r="S1787" s="28">
        <v>0.14855367999999999</v>
      </c>
      <c r="T1787" s="315">
        <f>_xlfn.MAXIFS('Raw Period DMR Data'!$O:$O,'Raw Period DMR Data'!$A:$A,'Raw Annual DMR Data_2021-2024'!#REF!,'Raw Period DMR Data'!$C:$C,X1787)/S1787</f>
        <v>0</v>
      </c>
      <c r="U1787" s="28" t="str">
        <f>+IF(COUNTIFS('Raw Period DMR Data'!$A:$A,B1787,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87" s="28" t="str" cm="1">
        <f t="array" ref="V1787">IFERROR(INDEX('Raw Period DMR Data'!N:N,MATCH(1,(B1787='Raw Period DMR Data'!$A:$A)*(U1787='Raw Period DMR Data'!M:M)*(X1787='Raw Period DMR Data'!C:C),0),1), "N/A")</f>
        <v>N/A</v>
      </c>
      <c r="W1787" s="28" t="s">
        <v>1463</v>
      </c>
      <c r="X1787" s="28" t="s">
        <v>864</v>
      </c>
      <c r="Y1787" s="28" t="s">
        <v>865</v>
      </c>
      <c r="Z1787" s="61" t="s">
        <v>1808</v>
      </c>
      <c r="AB1787" s="28" t="s">
        <v>7355</v>
      </c>
      <c r="AC1787" s="28" t="s">
        <v>1466</v>
      </c>
    </row>
    <row r="1788" spans="1:29" x14ac:dyDescent="0.25">
      <c r="A1788" s="61">
        <v>110000310191</v>
      </c>
      <c r="B1788" s="28">
        <v>2024</v>
      </c>
      <c r="C1788" s="68">
        <f t="shared" si="28"/>
        <v>45292</v>
      </c>
      <c r="D1788" s="28" t="s">
        <v>151</v>
      </c>
      <c r="E1788" s="28" t="s">
        <v>485</v>
      </c>
      <c r="F1788" s="28" t="s">
        <v>486</v>
      </c>
      <c r="G1788" s="28" t="s">
        <v>308</v>
      </c>
      <c r="H1788" s="28">
        <v>1905</v>
      </c>
      <c r="I1788" s="28">
        <v>42.452603000000003</v>
      </c>
      <c r="J1788" s="28">
        <v>-70.973436000000007</v>
      </c>
      <c r="K1788" s="28" t="s">
        <v>487</v>
      </c>
      <c r="L1788" s="61">
        <v>110000310191</v>
      </c>
      <c r="M1788" s="28" t="s">
        <v>265</v>
      </c>
      <c r="N1788" s="28">
        <v>3724</v>
      </c>
      <c r="O1788" s="28" t="str">
        <f>IFERROR(VLOOKUP(N1788, 'SIC &amp; NAICS Codes'!A:B, 2, FALSE), "")</f>
        <v>Aircraft Engines and Engine Parts (except research and development not producing prototypes)</v>
      </c>
      <c r="S1788" s="28">
        <v>0.14612692725000001</v>
      </c>
      <c r="T1788" s="315">
        <f>_xlfn.MAXIFS('Raw Period DMR Data'!$O:$O,'Raw Period DMR Data'!$A:$A,'Raw Annual DMR Data_2021-2024'!#REF!,'Raw Period DMR Data'!$C:$C,X1788)/S1788</f>
        <v>0</v>
      </c>
      <c r="U1788" s="28" t="str">
        <f>+IF(COUNTIFS('Raw Period DMR Data'!$A:$A,B1788,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88" s="28" t="str" cm="1">
        <f t="array" ref="V1788">IFERROR(INDEX('Raw Period DMR Data'!N:N,MATCH(1,(B1788='Raw Period DMR Data'!$A:$A)*(U1788='Raw Period DMR Data'!M:M)*(X1788='Raw Period DMR Data'!C:C),0),1), "N/A")</f>
        <v>N/A</v>
      </c>
      <c r="W1788" s="28" t="s">
        <v>1463</v>
      </c>
      <c r="X1788" s="28" t="s">
        <v>864</v>
      </c>
      <c r="Y1788" s="28" t="s">
        <v>865</v>
      </c>
      <c r="Z1788" s="61">
        <v>1090001001195</v>
      </c>
      <c r="AB1788" s="28" t="s">
        <v>7355</v>
      </c>
      <c r="AC1788" s="28" t="s">
        <v>1466</v>
      </c>
    </row>
    <row r="1789" spans="1:29" x14ac:dyDescent="0.25">
      <c r="A1789" s="61">
        <v>110000310191</v>
      </c>
      <c r="B1789" s="28">
        <v>2023</v>
      </c>
      <c r="C1789" s="68">
        <f t="shared" si="28"/>
        <v>44927</v>
      </c>
      <c r="D1789" s="28" t="s">
        <v>151</v>
      </c>
      <c r="E1789" s="28" t="s">
        <v>485</v>
      </c>
      <c r="F1789" s="28" t="s">
        <v>486</v>
      </c>
      <c r="G1789" s="28" t="s">
        <v>308</v>
      </c>
      <c r="H1789" s="28" t="s">
        <v>1807</v>
      </c>
      <c r="I1789" s="28">
        <v>42.452603000000003</v>
      </c>
      <c r="J1789" s="28">
        <v>-70.973436000000007</v>
      </c>
      <c r="K1789" s="28" t="s">
        <v>487</v>
      </c>
      <c r="L1789" s="61">
        <v>110000310191</v>
      </c>
      <c r="M1789" s="28" t="s">
        <v>265</v>
      </c>
      <c r="N1789" s="28">
        <v>3724</v>
      </c>
      <c r="O1789" s="28" t="str">
        <f>IFERROR(VLOOKUP(N1789, 'SIC &amp; NAICS Codes'!A:B, 2, FALSE), "")</f>
        <v>Aircraft Engines and Engine Parts (except research and development not producing prototypes)</v>
      </c>
      <c r="S1789" s="28">
        <v>0.13866782775</v>
      </c>
      <c r="T1789" s="315">
        <f>_xlfn.MAXIFS('Raw Period DMR Data'!$O:$O,'Raw Period DMR Data'!$A:$A,'Raw Annual DMR Data_2021-2024'!#REF!,'Raw Period DMR Data'!$C:$C,X1789)/S1789</f>
        <v>0</v>
      </c>
      <c r="U1789" s="28" t="str">
        <f>+IF(COUNTIFS('Raw Period DMR Data'!$A:$A,B1789,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89" s="28" t="str" cm="1">
        <f t="array" ref="V1789">IFERROR(INDEX('Raw Period DMR Data'!N:N,MATCH(1,(B1789='Raw Period DMR Data'!$A:$A)*(U1789='Raw Period DMR Data'!M:M)*(X1789='Raw Period DMR Data'!C:C),0),1), "N/A")</f>
        <v>N/A</v>
      </c>
      <c r="W1789" s="28" t="s">
        <v>1463</v>
      </c>
      <c r="X1789" s="28" t="s">
        <v>864</v>
      </c>
      <c r="Y1789" s="28" t="s">
        <v>865</v>
      </c>
      <c r="Z1789" s="61" t="s">
        <v>1808</v>
      </c>
      <c r="AB1789" s="28" t="s">
        <v>7355</v>
      </c>
      <c r="AC1789" s="28" t="s">
        <v>1466</v>
      </c>
    </row>
    <row r="1790" spans="1:29" x14ac:dyDescent="0.25">
      <c r="A1790" s="61">
        <v>110000310191</v>
      </c>
      <c r="B1790" s="28">
        <v>2024</v>
      </c>
      <c r="C1790" s="68">
        <f t="shared" si="28"/>
        <v>45292</v>
      </c>
      <c r="D1790" s="28" t="s">
        <v>151</v>
      </c>
      <c r="E1790" s="28" t="s">
        <v>485</v>
      </c>
      <c r="F1790" s="28" t="s">
        <v>486</v>
      </c>
      <c r="G1790" s="28" t="s">
        <v>308</v>
      </c>
      <c r="H1790" s="28">
        <v>1905</v>
      </c>
      <c r="I1790" s="28">
        <v>42.452603000000003</v>
      </c>
      <c r="J1790" s="28">
        <v>-70.973436000000007</v>
      </c>
      <c r="K1790" s="28" t="s">
        <v>487</v>
      </c>
      <c r="L1790" s="61">
        <v>110000310191</v>
      </c>
      <c r="M1790" s="28" t="s">
        <v>265</v>
      </c>
      <c r="N1790" s="28">
        <v>3724</v>
      </c>
      <c r="O1790" s="28" t="str">
        <f>IFERROR(VLOOKUP(N1790, 'SIC &amp; NAICS Codes'!A:B, 2, FALSE), "")</f>
        <v>Aircraft Engines and Engine Parts (except research and development not producing prototypes)</v>
      </c>
      <c r="S1790" s="28">
        <v>0.13414039999999999</v>
      </c>
      <c r="T1790" s="315">
        <f>_xlfn.MAXIFS('Raw Period DMR Data'!$O:$O,'Raw Period DMR Data'!$A:$A,'Raw Annual DMR Data_2021-2024'!#REF!,'Raw Period DMR Data'!$C:$C,X1790)/S1790</f>
        <v>0</v>
      </c>
      <c r="U1790" s="28" t="str">
        <f>+IF(COUNTIFS('Raw Period DMR Data'!$A:$A,B1790,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90" s="28" t="str" cm="1">
        <f t="array" ref="V1790">IFERROR(INDEX('Raw Period DMR Data'!N:N,MATCH(1,(B1790='Raw Period DMR Data'!$A:$A)*(U1790='Raw Period DMR Data'!M:M)*(X1790='Raw Period DMR Data'!C:C),0),1), "N/A")</f>
        <v>N/A</v>
      </c>
      <c r="W1790" s="28" t="s">
        <v>1463</v>
      </c>
      <c r="X1790" s="28" t="s">
        <v>864</v>
      </c>
      <c r="Y1790" s="28" t="s">
        <v>865</v>
      </c>
      <c r="Z1790" s="61">
        <v>1090001001195</v>
      </c>
      <c r="AB1790" s="28" t="s">
        <v>7355</v>
      </c>
      <c r="AC1790" s="28" t="s">
        <v>1466</v>
      </c>
    </row>
    <row r="1791" spans="1:29" x14ac:dyDescent="0.25">
      <c r="A1791" s="61">
        <v>110000310191</v>
      </c>
      <c r="B1791" s="28">
        <v>2022</v>
      </c>
      <c r="C1791" s="68">
        <f t="shared" si="28"/>
        <v>44562</v>
      </c>
      <c r="D1791" s="28" t="s">
        <v>151</v>
      </c>
      <c r="E1791" s="28" t="s">
        <v>485</v>
      </c>
      <c r="F1791" s="28" t="s">
        <v>486</v>
      </c>
      <c r="G1791" s="28" t="s">
        <v>308</v>
      </c>
      <c r="H1791" s="28">
        <v>1905</v>
      </c>
      <c r="I1791" s="28">
        <v>42.452603000000003</v>
      </c>
      <c r="J1791" s="28">
        <v>-70.973436000000007</v>
      </c>
      <c r="K1791" s="28" t="s">
        <v>487</v>
      </c>
      <c r="L1791" s="61">
        <v>110000310191</v>
      </c>
      <c r="M1791" s="28" t="s">
        <v>265</v>
      </c>
      <c r="N1791" s="28">
        <v>3724</v>
      </c>
      <c r="O1791" s="28" t="str">
        <f>IFERROR(VLOOKUP(N1791, 'SIC &amp; NAICS Codes'!A:B, 2, FALSE), "")</f>
        <v>Aircraft Engines and Engine Parts (except research and development not producing prototypes)</v>
      </c>
      <c r="S1791" s="28">
        <v>0.1085329825</v>
      </c>
      <c r="T1791" s="315">
        <f>_xlfn.MAXIFS('Raw Period DMR Data'!$O:$O,'Raw Period DMR Data'!$A:$A,'Raw Annual DMR Data_2021-2024'!#REF!,'Raw Period DMR Data'!$C:$C,X1791)/S1791</f>
        <v>0</v>
      </c>
      <c r="U1791" s="28" t="str">
        <f>+IF(COUNTIFS('Raw Period DMR Data'!$A:$A,B1791,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91" s="28" t="str" cm="1">
        <f t="array" ref="V1791">IFERROR(INDEX('Raw Period DMR Data'!N:N,MATCH(1,(B1791='Raw Period DMR Data'!$A:$A)*(U1791='Raw Period DMR Data'!M:M)*(X1791='Raw Period DMR Data'!C:C),0),1), "N/A")</f>
        <v>N/A</v>
      </c>
      <c r="W1791" s="28" t="s">
        <v>1463</v>
      </c>
      <c r="X1791" s="28" t="s">
        <v>864</v>
      </c>
      <c r="Y1791" s="28" t="s">
        <v>865</v>
      </c>
      <c r="Z1791" s="61">
        <v>1090001001195</v>
      </c>
      <c r="AB1791" s="28" t="s">
        <v>7355</v>
      </c>
      <c r="AC1791" s="28" t="s">
        <v>1466</v>
      </c>
    </row>
    <row r="1792" spans="1:29" x14ac:dyDescent="0.25">
      <c r="A1792" s="61">
        <v>110000310191</v>
      </c>
      <c r="B1792" s="28">
        <v>2021</v>
      </c>
      <c r="C1792" s="68">
        <f t="shared" si="28"/>
        <v>44197</v>
      </c>
      <c r="D1792" s="28" t="s">
        <v>151</v>
      </c>
      <c r="E1792" s="28" t="s">
        <v>485</v>
      </c>
      <c r="F1792" s="28" t="s">
        <v>486</v>
      </c>
      <c r="G1792" s="28" t="s">
        <v>308</v>
      </c>
      <c r="H1792" s="28">
        <v>1905</v>
      </c>
      <c r="I1792" s="28">
        <v>42.452603000000003</v>
      </c>
      <c r="J1792" s="28">
        <v>-70.973436000000007</v>
      </c>
      <c r="K1792" s="28" t="s">
        <v>487</v>
      </c>
      <c r="L1792" s="61">
        <v>110000310191</v>
      </c>
      <c r="M1792" s="28" t="s">
        <v>265</v>
      </c>
      <c r="N1792" s="28">
        <v>3724</v>
      </c>
      <c r="O1792" s="28" t="str">
        <f>IFERROR(VLOOKUP(N1792, 'SIC &amp; NAICS Codes'!A:B, 2, FALSE), "")</f>
        <v>Aircraft Engines and Engine Parts (except research and development not producing prototypes)</v>
      </c>
      <c r="S1792" s="28">
        <v>9.3510443666666596E-2</v>
      </c>
      <c r="T1792" s="315">
        <f>_xlfn.MAXIFS('Raw Period DMR Data'!$O:$O,'Raw Period DMR Data'!$A:$A,'Raw Annual DMR Data_2021-2024'!#REF!,'Raw Period DMR Data'!$C:$C,X1792)/S1792</f>
        <v>0</v>
      </c>
      <c r="U1792" s="28" t="str">
        <f>+IF(COUNTIFS('Raw Period DMR Data'!$A:$A,B1792,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92" s="28" t="str" cm="1">
        <f t="array" ref="V1792">IFERROR(INDEX('Raw Period DMR Data'!N:N,MATCH(1,(B1792='Raw Period DMR Data'!$A:$A)*(U1792='Raw Period DMR Data'!M:M)*(X1792='Raw Period DMR Data'!C:C),0),1), "N/A")</f>
        <v>N/A</v>
      </c>
      <c r="W1792" s="28" t="s">
        <v>1463</v>
      </c>
      <c r="X1792" s="28" t="s">
        <v>864</v>
      </c>
      <c r="Y1792" s="28" t="s">
        <v>865</v>
      </c>
      <c r="Z1792" s="61">
        <v>1090001001195</v>
      </c>
      <c r="AA1792" s="28"/>
      <c r="AB1792" s="28" t="s">
        <v>7355</v>
      </c>
      <c r="AC1792" s="28" t="s">
        <v>1466</v>
      </c>
    </row>
    <row r="1793" spans="1:29" x14ac:dyDescent="0.25">
      <c r="A1793" s="61">
        <v>110000310191</v>
      </c>
      <c r="B1793" s="28">
        <v>2022</v>
      </c>
      <c r="C1793" s="68">
        <f t="shared" si="28"/>
        <v>44562</v>
      </c>
      <c r="D1793" s="28" t="s">
        <v>151</v>
      </c>
      <c r="E1793" s="28" t="s">
        <v>485</v>
      </c>
      <c r="F1793" s="28" t="s">
        <v>486</v>
      </c>
      <c r="G1793" s="28" t="s">
        <v>308</v>
      </c>
      <c r="H1793" s="28">
        <v>1905</v>
      </c>
      <c r="I1793" s="28">
        <v>42.452603000000003</v>
      </c>
      <c r="J1793" s="28">
        <v>-70.973436000000007</v>
      </c>
      <c r="K1793" s="28" t="s">
        <v>487</v>
      </c>
      <c r="L1793" s="61">
        <v>110000310191</v>
      </c>
      <c r="M1793" s="28" t="s">
        <v>265</v>
      </c>
      <c r="N1793" s="28">
        <v>3724</v>
      </c>
      <c r="O1793" s="28" t="str">
        <f>IFERROR(VLOOKUP(N1793, 'SIC &amp; NAICS Codes'!A:B, 2, FALSE), "")</f>
        <v>Aircraft Engines and Engine Parts (except research and development not producing prototypes)</v>
      </c>
      <c r="S1793" s="28">
        <v>9.2156233749999997E-2</v>
      </c>
      <c r="T1793" s="315">
        <f>_xlfn.MAXIFS('Raw Period DMR Data'!$O:$O,'Raw Period DMR Data'!$A:$A,'Raw Annual DMR Data_2021-2024'!#REF!,'Raw Period DMR Data'!$C:$C,X1793)/S1793</f>
        <v>0</v>
      </c>
      <c r="U1793" s="28" t="str">
        <f>+IF(COUNTIFS('Raw Period DMR Data'!$A:$A,B1793,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93" s="28" t="str" cm="1">
        <f t="array" ref="V1793">IFERROR(INDEX('Raw Period DMR Data'!N:N,MATCH(1,(B1793='Raw Period DMR Data'!$A:$A)*(U1793='Raw Period DMR Data'!M:M)*(X1793='Raw Period DMR Data'!C:C),0),1), "N/A")</f>
        <v>N/A</v>
      </c>
      <c r="W1793" s="28" t="s">
        <v>1463</v>
      </c>
      <c r="X1793" s="28" t="s">
        <v>864</v>
      </c>
      <c r="Y1793" s="28" t="s">
        <v>865</v>
      </c>
      <c r="Z1793" s="61">
        <v>1090001001195</v>
      </c>
      <c r="AB1793" s="28" t="s">
        <v>7355</v>
      </c>
      <c r="AC1793" s="28" t="s">
        <v>1466</v>
      </c>
    </row>
    <row r="1794" spans="1:29" x14ac:dyDescent="0.25">
      <c r="A1794" s="61">
        <v>110000310191</v>
      </c>
      <c r="B1794" s="28">
        <v>2021</v>
      </c>
      <c r="C1794" s="68">
        <f t="shared" si="28"/>
        <v>44197</v>
      </c>
      <c r="D1794" s="28" t="s">
        <v>151</v>
      </c>
      <c r="E1794" s="28" t="s">
        <v>485</v>
      </c>
      <c r="F1794" s="28" t="s">
        <v>486</v>
      </c>
      <c r="G1794" s="28" t="s">
        <v>308</v>
      </c>
      <c r="H1794" s="28">
        <v>1905</v>
      </c>
      <c r="I1794" s="28">
        <v>42.452603000000003</v>
      </c>
      <c r="J1794" s="28">
        <v>-70.973436000000007</v>
      </c>
      <c r="K1794" s="28" t="s">
        <v>487</v>
      </c>
      <c r="L1794" s="61">
        <v>110000310191</v>
      </c>
      <c r="M1794" s="28" t="s">
        <v>265</v>
      </c>
      <c r="N1794" s="28">
        <v>3724</v>
      </c>
      <c r="O1794" s="28" t="str">
        <f>IFERROR(VLOOKUP(N1794, 'SIC &amp; NAICS Codes'!A:B, 2, FALSE), "")</f>
        <v>Aircraft Engines and Engine Parts (except research and development not producing prototypes)</v>
      </c>
      <c r="S1794" s="28">
        <v>2.9407557500000001E-2</v>
      </c>
      <c r="T1794" s="315">
        <f>_xlfn.MAXIFS('Raw Period DMR Data'!$O:$O,'Raw Period DMR Data'!$A:$A,'Raw Annual DMR Data_2021-2024'!#REF!,'Raw Period DMR Data'!$C:$C,X1794)/S1794</f>
        <v>0</v>
      </c>
      <c r="U1794" s="28" t="str">
        <f>+IF(COUNTIFS('Raw Period DMR Data'!$A:$A,B1794,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94" s="28" t="str" cm="1">
        <f t="array" ref="V1794">IFERROR(INDEX('Raw Period DMR Data'!N:N,MATCH(1,(B1794='Raw Period DMR Data'!$A:$A)*(U1794='Raw Period DMR Data'!M:M)*(X1794='Raw Period DMR Data'!C:C),0),1), "N/A")</f>
        <v>N/A</v>
      </c>
      <c r="W1794" s="28" t="s">
        <v>1463</v>
      </c>
      <c r="X1794" s="28" t="s">
        <v>864</v>
      </c>
      <c r="Y1794" s="28" t="s">
        <v>865</v>
      </c>
      <c r="Z1794" s="61">
        <v>1090001001195</v>
      </c>
      <c r="AA1794" s="28"/>
      <c r="AB1794" s="28" t="s">
        <v>7355</v>
      </c>
      <c r="AC1794" s="28" t="s">
        <v>1466</v>
      </c>
    </row>
    <row r="1795" spans="1:29" x14ac:dyDescent="0.25">
      <c r="A1795" s="61">
        <v>110000310191</v>
      </c>
      <c r="B1795" s="28">
        <v>2024</v>
      </c>
      <c r="C1795" s="68">
        <f t="shared" si="28"/>
        <v>45292</v>
      </c>
      <c r="D1795" s="28" t="s">
        <v>151</v>
      </c>
      <c r="E1795" s="28" t="s">
        <v>485</v>
      </c>
      <c r="F1795" s="28" t="s">
        <v>486</v>
      </c>
      <c r="G1795" s="28" t="s">
        <v>308</v>
      </c>
      <c r="H1795" s="28">
        <v>1905</v>
      </c>
      <c r="I1795" s="28">
        <v>42.452603000000003</v>
      </c>
      <c r="J1795" s="28">
        <v>-70.973436000000007</v>
      </c>
      <c r="K1795" s="28" t="s">
        <v>487</v>
      </c>
      <c r="L1795" s="61">
        <v>110000310191</v>
      </c>
      <c r="M1795" s="28" t="s">
        <v>265</v>
      </c>
      <c r="N1795" s="28">
        <v>3724</v>
      </c>
      <c r="O1795" s="28" t="str">
        <f>IFERROR(VLOOKUP(N1795, 'SIC &amp; NAICS Codes'!A:B, 2, FALSE), "")</f>
        <v>Aircraft Engines and Engine Parts (except research and development not producing prototypes)</v>
      </c>
      <c r="S1795" s="28">
        <v>6.1629262499999999E-3</v>
      </c>
      <c r="T1795" s="315">
        <f>_xlfn.MAXIFS('Raw Period DMR Data'!$O:$O,'Raw Period DMR Data'!$A:$A,'Raw Annual DMR Data_2021-2024'!#REF!,'Raw Period DMR Data'!$C:$C,X1795)/S1795</f>
        <v>0</v>
      </c>
      <c r="U1795" s="28" t="str">
        <f>+IF(COUNTIFS('Raw Period DMR Data'!$A:$A,B1795,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95" s="28" t="str" cm="1">
        <f t="array" ref="V1795">IFERROR(INDEX('Raw Period DMR Data'!N:N,MATCH(1,(B1795='Raw Period DMR Data'!$A:$A)*(U1795='Raw Period DMR Data'!M:M)*(X1795='Raw Period DMR Data'!C:C),0),1), "N/A")</f>
        <v>N/A</v>
      </c>
      <c r="W1795" s="28" t="s">
        <v>1463</v>
      </c>
      <c r="X1795" s="28" t="s">
        <v>864</v>
      </c>
      <c r="Y1795" s="28" t="s">
        <v>865</v>
      </c>
      <c r="Z1795" s="61">
        <v>1090001001195</v>
      </c>
      <c r="AB1795" s="28" t="s">
        <v>7355</v>
      </c>
      <c r="AC1795" s="28" t="s">
        <v>1466</v>
      </c>
    </row>
    <row r="1796" spans="1:29" x14ac:dyDescent="0.25">
      <c r="A1796" s="61">
        <v>110000310191</v>
      </c>
      <c r="B1796" s="28">
        <v>2023</v>
      </c>
      <c r="C1796" s="68">
        <f t="shared" si="28"/>
        <v>44927</v>
      </c>
      <c r="D1796" s="28" t="s">
        <v>151</v>
      </c>
      <c r="E1796" s="28" t="s">
        <v>485</v>
      </c>
      <c r="F1796" s="28" t="s">
        <v>486</v>
      </c>
      <c r="G1796" s="28" t="s">
        <v>308</v>
      </c>
      <c r="H1796" s="28" t="s">
        <v>1807</v>
      </c>
      <c r="I1796" s="28">
        <v>42.452603000000003</v>
      </c>
      <c r="J1796" s="28">
        <v>-70.973436000000007</v>
      </c>
      <c r="K1796" s="28" t="s">
        <v>487</v>
      </c>
      <c r="L1796" s="61">
        <v>110000310191</v>
      </c>
      <c r="M1796" s="28" t="s">
        <v>265</v>
      </c>
      <c r="N1796" s="28">
        <v>3724</v>
      </c>
      <c r="O1796" s="28" t="str">
        <f>IFERROR(VLOOKUP(N1796, 'SIC &amp; NAICS Codes'!A:B, 2, FALSE), "")</f>
        <v>Aircraft Engines and Engine Parts (except research and development not producing prototypes)</v>
      </c>
      <c r="S1796" s="28">
        <v>5.9138732499999999E-3</v>
      </c>
      <c r="T1796" s="315">
        <f>_xlfn.MAXIFS('Raw Period DMR Data'!$O:$O,'Raw Period DMR Data'!$A:$A,'Raw Annual DMR Data_2021-2024'!#REF!,'Raw Period DMR Data'!$C:$C,X1796)/S1796</f>
        <v>0</v>
      </c>
      <c r="U1796" s="28" t="str">
        <f>+IF(COUNTIFS('Raw Period DMR Data'!$A:$A,B1796,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96" s="28" t="str" cm="1">
        <f t="array" ref="V1796">IFERROR(INDEX('Raw Period DMR Data'!N:N,MATCH(1,(B1796='Raw Period DMR Data'!$A:$A)*(U1796='Raw Period DMR Data'!M:M)*(X1796='Raw Period DMR Data'!C:C),0),1), "N/A")</f>
        <v>N/A</v>
      </c>
      <c r="W1796" s="28" t="s">
        <v>1463</v>
      </c>
      <c r="X1796" s="28" t="s">
        <v>864</v>
      </c>
      <c r="Y1796" s="28" t="s">
        <v>865</v>
      </c>
      <c r="Z1796" s="61" t="s">
        <v>1808</v>
      </c>
      <c r="AB1796" s="28" t="s">
        <v>7355</v>
      </c>
      <c r="AC1796" s="28" t="s">
        <v>1466</v>
      </c>
    </row>
    <row r="1797" spans="1:29" x14ac:dyDescent="0.25">
      <c r="A1797" s="61">
        <v>110000310191</v>
      </c>
      <c r="B1797" s="28">
        <v>2021</v>
      </c>
      <c r="C1797" s="68">
        <f t="shared" si="28"/>
        <v>44197</v>
      </c>
      <c r="D1797" s="28" t="s">
        <v>151</v>
      </c>
      <c r="E1797" s="28" t="s">
        <v>485</v>
      </c>
      <c r="F1797" s="28" t="s">
        <v>486</v>
      </c>
      <c r="G1797" s="28" t="s">
        <v>308</v>
      </c>
      <c r="H1797" s="28">
        <v>1905</v>
      </c>
      <c r="I1797" s="28">
        <v>42.452603000000003</v>
      </c>
      <c r="J1797" s="28">
        <v>-70.973436000000007</v>
      </c>
      <c r="K1797" s="28" t="s">
        <v>487</v>
      </c>
      <c r="L1797" s="61">
        <v>110000310191</v>
      </c>
      <c r="M1797" s="28" t="s">
        <v>265</v>
      </c>
      <c r="N1797" s="28">
        <v>3724</v>
      </c>
      <c r="O1797" s="28" t="str">
        <f>IFERROR(VLOOKUP(N1797, 'SIC &amp; NAICS Codes'!A:B, 2, FALSE), "")</f>
        <v>Aircraft Engines and Engine Parts (except research and development not producing prototypes)</v>
      </c>
      <c r="S1797" s="28">
        <v>3.7756636666666601E-3</v>
      </c>
      <c r="T1797" s="315">
        <f>_xlfn.MAXIFS('Raw Period DMR Data'!$O:$O,'Raw Period DMR Data'!$A:$A,'Raw Annual DMR Data_2021-2024'!#REF!,'Raw Period DMR Data'!$C:$C,X1797)/S1797</f>
        <v>0</v>
      </c>
      <c r="U1797" s="28" t="str">
        <f>+IF(COUNTIFS('Raw Period DMR Data'!$A:$A,B1797,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97" s="28" t="str" cm="1">
        <f t="array" ref="V1797">IFERROR(INDEX('Raw Period DMR Data'!N:N,MATCH(1,(B1797='Raw Period DMR Data'!$A:$A)*(U1797='Raw Period DMR Data'!M:M)*(X1797='Raw Period DMR Data'!C:C),0),1), "N/A")</f>
        <v>N/A</v>
      </c>
      <c r="W1797" s="28" t="s">
        <v>1463</v>
      </c>
      <c r="X1797" s="28" t="s">
        <v>864</v>
      </c>
      <c r="Y1797" s="28" t="s">
        <v>865</v>
      </c>
      <c r="Z1797" s="61">
        <v>1090001001195</v>
      </c>
      <c r="AA1797" s="28"/>
      <c r="AB1797" s="28" t="s">
        <v>7355</v>
      </c>
      <c r="AC1797" s="28" t="s">
        <v>1466</v>
      </c>
    </row>
    <row r="1798" spans="1:29" x14ac:dyDescent="0.25">
      <c r="A1798" s="61">
        <v>110000310191</v>
      </c>
      <c r="B1798" s="28">
        <v>2022</v>
      </c>
      <c r="C1798" s="68">
        <f t="shared" si="28"/>
        <v>44562</v>
      </c>
      <c r="D1798" s="28" t="s">
        <v>151</v>
      </c>
      <c r="E1798" s="28" t="s">
        <v>485</v>
      </c>
      <c r="F1798" s="28" t="s">
        <v>486</v>
      </c>
      <c r="G1798" s="28" t="s">
        <v>308</v>
      </c>
      <c r="H1798" s="28">
        <v>1905</v>
      </c>
      <c r="I1798" s="28">
        <v>42.452603000000003</v>
      </c>
      <c r="J1798" s="28">
        <v>-70.973436000000007</v>
      </c>
      <c r="K1798" s="28" t="s">
        <v>487</v>
      </c>
      <c r="L1798" s="61">
        <v>110000310191</v>
      </c>
      <c r="M1798" s="28" t="s">
        <v>265</v>
      </c>
      <c r="N1798" s="28">
        <v>3724</v>
      </c>
      <c r="O1798" s="28" t="str">
        <f>IFERROR(VLOOKUP(N1798, 'SIC &amp; NAICS Codes'!A:B, 2, FALSE), "")</f>
        <v>Aircraft Engines and Engine Parts (except research and development not producing prototypes)</v>
      </c>
      <c r="S1798" s="28">
        <v>2.0910232499999999E-3</v>
      </c>
      <c r="T1798" s="315">
        <f>_xlfn.MAXIFS('Raw Period DMR Data'!$O:$O,'Raw Period DMR Data'!$A:$A,'Raw Annual DMR Data_2021-2024'!#REF!,'Raw Period DMR Data'!$C:$C,X1798)/S1798</f>
        <v>0</v>
      </c>
      <c r="U1798" s="28" t="str">
        <f>+IF(COUNTIFS('Raw Period DMR Data'!$A:$A,B1798,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98" s="28" t="str" cm="1">
        <f t="array" ref="V1798">IFERROR(INDEX('Raw Period DMR Data'!N:N,MATCH(1,(B1798='Raw Period DMR Data'!$A:$A)*(U1798='Raw Period DMR Data'!M:M)*(X1798='Raw Period DMR Data'!C:C),0),1), "N/A")</f>
        <v>N/A</v>
      </c>
      <c r="W1798" s="28" t="s">
        <v>1463</v>
      </c>
      <c r="X1798" s="28" t="s">
        <v>864</v>
      </c>
      <c r="Y1798" s="28" t="s">
        <v>865</v>
      </c>
      <c r="Z1798" s="61">
        <v>1090001001195</v>
      </c>
      <c r="AB1798" s="28" t="s">
        <v>7355</v>
      </c>
      <c r="AC1798" s="28" t="s">
        <v>1466</v>
      </c>
    </row>
    <row r="1799" spans="1:29" x14ac:dyDescent="0.25">
      <c r="A1799" s="61">
        <v>110017422733</v>
      </c>
      <c r="B1799" s="28">
        <v>2024</v>
      </c>
      <c r="C1799" s="68">
        <f t="shared" ref="C1799:C1862" si="29">DATE(B1799, 1, 1)</f>
        <v>45292</v>
      </c>
      <c r="D1799" s="28" t="s">
        <v>153</v>
      </c>
      <c r="E1799" s="28" t="s">
        <v>1811</v>
      </c>
      <c r="F1799" s="28" t="s">
        <v>495</v>
      </c>
      <c r="G1799" s="28" t="s">
        <v>427</v>
      </c>
      <c r="H1799" s="28">
        <v>48380</v>
      </c>
      <c r="I1799" s="28">
        <v>42.569099999999999</v>
      </c>
      <c r="J1799" s="28">
        <v>-83.674499999999995</v>
      </c>
      <c r="L1799" s="61">
        <v>110017422733</v>
      </c>
      <c r="M1799" s="28" t="s">
        <v>261</v>
      </c>
      <c r="N1799" s="28">
        <v>8734</v>
      </c>
      <c r="O1799" s="28" t="str">
        <f>IFERROR(VLOOKUP(N1799, 'SIC &amp; NAICS Codes'!A:B, 2, FALSE), "")</f>
        <v>Testing Laboratories (except veterinary testing laboratories)</v>
      </c>
      <c r="S1799" s="28">
        <v>1.1544250000000001E-2</v>
      </c>
      <c r="T1799" s="315">
        <f>_xlfn.MAXIFS('Raw Period DMR Data'!$O:$O,'Raw Period DMR Data'!$A:$A,'Raw Annual DMR Data_2021-2024'!#REF!,'Raw Period DMR Data'!$C:$C,X1799)/S1799</f>
        <v>0</v>
      </c>
      <c r="U1799" s="28" t="str">
        <f>+IF(COUNTIFS('Raw Period DMR Data'!$A:$A,B1799,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99" s="28" t="str" cm="1">
        <f t="array" ref="V1799">IFERROR(INDEX('Raw Period DMR Data'!N:N,MATCH(1,(B1799='Raw Period DMR Data'!$A:$A)*(U1799='Raw Period DMR Data'!M:M)*(X1799='Raw Period DMR Data'!C:C),0),1), "N/A")</f>
        <v>N/A</v>
      </c>
      <c r="W1799" s="28" t="s">
        <v>1463</v>
      </c>
      <c r="X1799" s="28" t="s">
        <v>868</v>
      </c>
      <c r="Y1799" s="28" t="s">
        <v>869</v>
      </c>
      <c r="Z1799" s="61">
        <v>4090005002033</v>
      </c>
      <c r="AB1799" s="28" t="s">
        <v>7355</v>
      </c>
      <c r="AC1799" s="28" t="s">
        <v>1466</v>
      </c>
    </row>
    <row r="1800" spans="1:29" x14ac:dyDescent="0.25">
      <c r="A1800" s="61">
        <v>110017422733</v>
      </c>
      <c r="B1800" s="28">
        <v>2021</v>
      </c>
      <c r="C1800" s="68">
        <f t="shared" si="29"/>
        <v>44197</v>
      </c>
      <c r="D1800" s="28" t="s">
        <v>153</v>
      </c>
      <c r="E1800" s="28" t="s">
        <v>1811</v>
      </c>
      <c r="F1800" s="28" t="s">
        <v>495</v>
      </c>
      <c r="G1800" s="28" t="s">
        <v>427</v>
      </c>
      <c r="H1800" s="28">
        <v>48380</v>
      </c>
      <c r="I1800" s="28">
        <v>42.569099999999999</v>
      </c>
      <c r="J1800" s="28">
        <v>-83.674499999999995</v>
      </c>
      <c r="L1800" s="61">
        <v>110017422733</v>
      </c>
      <c r="M1800" s="28" t="s">
        <v>261</v>
      </c>
      <c r="N1800" s="28">
        <v>8734</v>
      </c>
      <c r="O1800" s="28" t="str">
        <f>IFERROR(VLOOKUP(N1800, 'SIC &amp; NAICS Codes'!A:B, 2, FALSE), "")</f>
        <v>Testing Laboratories (except veterinary testing laboratories)</v>
      </c>
      <c r="S1800" s="28">
        <v>1.0550687499999999E-2</v>
      </c>
      <c r="T1800" s="315">
        <f>_xlfn.MAXIFS('Raw Period DMR Data'!$O:$O,'Raw Period DMR Data'!$A:$A,'Raw Annual DMR Data_2021-2024'!#REF!,'Raw Period DMR Data'!$C:$C,X1800)/S1800</f>
        <v>0</v>
      </c>
      <c r="U1800" s="28" t="str">
        <f>+IF(COUNTIFS('Raw Period DMR Data'!$A:$A,B1800,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00" s="28" t="str" cm="1">
        <f t="array" ref="V1800">IFERROR(INDEX('Raw Period DMR Data'!N:N,MATCH(1,(B1800='Raw Period DMR Data'!$A:$A)*(U1800='Raw Period DMR Data'!M:M)*(X1800='Raw Period DMR Data'!C:C),0),1), "N/A")</f>
        <v>N/A</v>
      </c>
      <c r="W1800" s="28" t="s">
        <v>1463</v>
      </c>
      <c r="X1800" s="28" t="s">
        <v>868</v>
      </c>
      <c r="Y1800" s="28" t="s">
        <v>869</v>
      </c>
      <c r="Z1800" s="61">
        <v>4090005002033</v>
      </c>
      <c r="AA1800" s="28"/>
      <c r="AB1800" s="28" t="s">
        <v>7355</v>
      </c>
      <c r="AC1800" s="28" t="s">
        <v>1466</v>
      </c>
    </row>
    <row r="1801" spans="1:29" x14ac:dyDescent="0.25">
      <c r="A1801" s="61">
        <v>110017422733</v>
      </c>
      <c r="B1801" s="28">
        <v>2023</v>
      </c>
      <c r="C1801" s="68">
        <f t="shared" si="29"/>
        <v>44927</v>
      </c>
      <c r="D1801" s="28" t="s">
        <v>153</v>
      </c>
      <c r="E1801" s="28" t="s">
        <v>1811</v>
      </c>
      <c r="F1801" s="28" t="s">
        <v>495</v>
      </c>
      <c r="G1801" s="28" t="s">
        <v>427</v>
      </c>
      <c r="H1801" s="28">
        <v>48380</v>
      </c>
      <c r="I1801" s="28">
        <v>42.569099999999999</v>
      </c>
      <c r="J1801" s="28">
        <v>-83.674499999999995</v>
      </c>
      <c r="L1801" s="61">
        <v>110017422733</v>
      </c>
      <c r="M1801" s="28" t="s">
        <v>261</v>
      </c>
      <c r="N1801" s="28">
        <v>8734</v>
      </c>
      <c r="O1801" s="28" t="str">
        <f>IFERROR(VLOOKUP(N1801, 'SIC &amp; NAICS Codes'!A:B, 2, FALSE), "")</f>
        <v>Testing Laboratories (except veterinary testing laboratories)</v>
      </c>
      <c r="S1801" s="28">
        <v>8.0961149999999992E-3</v>
      </c>
      <c r="T1801" s="315">
        <f>_xlfn.MAXIFS('Raw Period DMR Data'!$O:$O,'Raw Period DMR Data'!$A:$A,'Raw Annual DMR Data_2021-2024'!#REF!,'Raw Period DMR Data'!$C:$C,X1801)/S1801</f>
        <v>0</v>
      </c>
      <c r="U1801" s="28" t="str">
        <f>+IF(COUNTIFS('Raw Period DMR Data'!$A:$A,B1801,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01" s="28" t="str" cm="1">
        <f t="array" ref="V1801">IFERROR(INDEX('Raw Period DMR Data'!N:N,MATCH(1,(B1801='Raw Period DMR Data'!$A:$A)*(U1801='Raw Period DMR Data'!M:M)*(X1801='Raw Period DMR Data'!C:C),0),1), "N/A")</f>
        <v>N/A</v>
      </c>
      <c r="W1801" s="28" t="s">
        <v>1463</v>
      </c>
      <c r="X1801" s="28" t="s">
        <v>868</v>
      </c>
      <c r="Y1801" s="28" t="s">
        <v>869</v>
      </c>
      <c r="Z1801" s="61" t="s">
        <v>1812</v>
      </c>
      <c r="AB1801" s="28" t="s">
        <v>7355</v>
      </c>
      <c r="AC1801" s="28" t="s">
        <v>1466</v>
      </c>
    </row>
    <row r="1802" spans="1:29" x14ac:dyDescent="0.25">
      <c r="A1802" s="61">
        <v>110000732208</v>
      </c>
      <c r="B1802" s="28">
        <v>2024</v>
      </c>
      <c r="C1802" s="68">
        <f t="shared" si="29"/>
        <v>45292</v>
      </c>
      <c r="D1802" s="28" t="s">
        <v>6883</v>
      </c>
      <c r="E1802" s="28" t="s">
        <v>7057</v>
      </c>
      <c r="F1802" s="28" t="s">
        <v>6982</v>
      </c>
      <c r="G1802" s="28" t="s">
        <v>324</v>
      </c>
      <c r="H1802" s="28">
        <v>40324</v>
      </c>
      <c r="I1802" s="28">
        <v>38.217222</v>
      </c>
      <c r="J1802" s="28">
        <v>-84.564166999999998</v>
      </c>
      <c r="L1802" s="61">
        <v>110000732208</v>
      </c>
      <c r="M1802" s="28" t="s">
        <v>263</v>
      </c>
      <c r="N1802" s="28">
        <v>4952</v>
      </c>
      <c r="O1802" s="28" t="str">
        <f>IFERROR(VLOOKUP(N1802, 'SIC &amp; NAICS Codes'!A:B, 2, FALSE), "")</f>
        <v>Sewerage Systems</v>
      </c>
      <c r="S1802" s="28">
        <v>11.64521960625</v>
      </c>
      <c r="T1802" s="315">
        <f>_xlfn.MAXIFS('Raw Period DMR Data'!$O:$O,'Raw Period DMR Data'!$A:$A,'Raw Annual DMR Data_2021-2024'!B2353,'Raw Period DMR Data'!$C:$C,X1802)/S1802</f>
        <v>0</v>
      </c>
      <c r="U1802" s="28" t="str">
        <f>+IF(COUNTIFS('Raw Period DMR Data'!$A:$A,B1802, 'Raw Period DMR Data'!C:C,'Raw Annual DMR Data_2021-2024'!X2353, 'Raw Period DMR Data'!M:M, "&gt;0")&gt;0,_xlfn.MAXIFS('Raw Period DMR Data'!M:M,'Raw Period DMR Data'!$A:$A,'Raw Annual DMR Data_2021-2024'!B2353,'Raw Period DMR Data'!C:C,'Raw Annual DMR Data_2021-2024'!X2353), "N/A - Period DMR Data Not Available")</f>
        <v>N/A - Period DMR Data Not Available</v>
      </c>
      <c r="V1802" s="28" t="str" cm="1">
        <f t="array" ref="V1802">IFERROR(INDEX('Raw Period DMR Data'!N:N,MATCH(1,(B1802='Raw Period DMR Data'!$A:$A)*(U1802='Raw Period DMR Data'!M:M)*(X1802='Raw Period DMR Data'!C:C),0),1), "N/A")</f>
        <v>N/A</v>
      </c>
      <c r="W1802" s="28" t="s">
        <v>1463</v>
      </c>
      <c r="X1802" s="28" t="s">
        <v>7209</v>
      </c>
      <c r="Y1802" s="28" t="s">
        <v>7307</v>
      </c>
      <c r="Z1802" s="61">
        <v>5100205000277</v>
      </c>
      <c r="AB1802" s="28" t="s">
        <v>7355</v>
      </c>
      <c r="AC1802" s="28" t="s">
        <v>263</v>
      </c>
    </row>
    <row r="1803" spans="1:29" x14ac:dyDescent="0.25">
      <c r="A1803" s="61">
        <v>110000732208</v>
      </c>
      <c r="B1803" s="28">
        <v>2022</v>
      </c>
      <c r="C1803" s="68">
        <f t="shared" si="29"/>
        <v>44562</v>
      </c>
      <c r="D1803" s="28" t="s">
        <v>6883</v>
      </c>
      <c r="E1803" s="28" t="s">
        <v>7057</v>
      </c>
      <c r="F1803" s="28" t="s">
        <v>6982</v>
      </c>
      <c r="G1803" s="28" t="s">
        <v>324</v>
      </c>
      <c r="H1803" s="28">
        <v>40324</v>
      </c>
      <c r="I1803" s="28">
        <v>38.217222</v>
      </c>
      <c r="J1803" s="28">
        <v>-84.564166999999998</v>
      </c>
      <c r="L1803" s="61">
        <v>110000732208</v>
      </c>
      <c r="M1803" s="28" t="s">
        <v>263</v>
      </c>
      <c r="N1803" s="28">
        <v>4952</v>
      </c>
      <c r="O1803" s="28" t="str">
        <f>IFERROR(VLOOKUP(N1803, 'SIC &amp; NAICS Codes'!A:B, 2, FALSE), "")</f>
        <v>Sewerage Systems</v>
      </c>
      <c r="S1803" s="28">
        <v>8.7726837500000006</v>
      </c>
      <c r="T1803" s="315">
        <f>_xlfn.MAXIFS('Raw Period DMR Data'!$O:$O,'Raw Period DMR Data'!$A:$A,'Raw Annual DMR Data_2021-2024'!B2367,'Raw Period DMR Data'!$C:$C,X1803)/S1803</f>
        <v>0</v>
      </c>
      <c r="U1803" s="28" t="str">
        <f>+IF(COUNTIFS('Raw Period DMR Data'!$A:$A,B1803, 'Raw Period DMR Data'!C:C,'Raw Annual DMR Data_2021-2024'!X2367, 'Raw Period DMR Data'!M:M, "&gt;0")&gt;0,_xlfn.MAXIFS('Raw Period DMR Data'!M:M,'Raw Period DMR Data'!$A:$A,'Raw Annual DMR Data_2021-2024'!B2367,'Raw Period DMR Data'!C:C,'Raw Annual DMR Data_2021-2024'!X2367), "N/A - Period DMR Data Not Available")</f>
        <v>N/A - Period DMR Data Not Available</v>
      </c>
      <c r="V1803" s="28" t="str" cm="1">
        <f t="array" ref="V1803">IFERROR(INDEX('Raw Period DMR Data'!N:N,MATCH(1,(B1803='Raw Period DMR Data'!$A:$A)*(U1803='Raw Period DMR Data'!M:M)*(X1803='Raw Period DMR Data'!C:C),0),1), "N/A")</f>
        <v>N/A</v>
      </c>
      <c r="W1803" s="28" t="s">
        <v>1463</v>
      </c>
      <c r="X1803" s="28" t="s">
        <v>7209</v>
      </c>
      <c r="Y1803" s="28" t="s">
        <v>7307</v>
      </c>
      <c r="Z1803" s="61">
        <v>5100205000277</v>
      </c>
      <c r="AB1803" s="28" t="s">
        <v>7355</v>
      </c>
      <c r="AC1803" s="28" t="s">
        <v>263</v>
      </c>
    </row>
    <row r="1804" spans="1:29" x14ac:dyDescent="0.25">
      <c r="A1804" s="61">
        <v>110000732208</v>
      </c>
      <c r="B1804" s="28">
        <v>2023</v>
      </c>
      <c r="C1804" s="68">
        <f t="shared" si="29"/>
        <v>44927</v>
      </c>
      <c r="D1804" s="28" t="s">
        <v>6883</v>
      </c>
      <c r="E1804" s="28" t="s">
        <v>7057</v>
      </c>
      <c r="F1804" s="28" t="s">
        <v>6982</v>
      </c>
      <c r="G1804" s="28" t="s">
        <v>324</v>
      </c>
      <c r="H1804" s="28">
        <v>40324</v>
      </c>
      <c r="I1804" s="28">
        <v>38.217222</v>
      </c>
      <c r="J1804" s="28">
        <v>-84.564166999999998</v>
      </c>
      <c r="L1804" s="61">
        <v>110000732208</v>
      </c>
      <c r="M1804" s="28" t="s">
        <v>263</v>
      </c>
      <c r="N1804" s="28">
        <v>4952</v>
      </c>
      <c r="O1804" s="28" t="str">
        <f>IFERROR(VLOOKUP(N1804, 'SIC &amp; NAICS Codes'!A:B, 2, FALSE), "")</f>
        <v>Sewerage Systems</v>
      </c>
      <c r="S1804" s="28">
        <v>8.4618406250000007</v>
      </c>
      <c r="T1804" s="315">
        <f>_xlfn.MAXIFS('Raw Period DMR Data'!$O:$O,'Raw Period DMR Data'!$A:$A,'Raw Annual DMR Data_2021-2024'!B2370,'Raw Period DMR Data'!$C:$C,X1804)/S1804</f>
        <v>0</v>
      </c>
      <c r="U1804" s="28" t="str">
        <f>+IF(COUNTIFS('Raw Period DMR Data'!$A:$A,B1804, 'Raw Period DMR Data'!C:C,'Raw Annual DMR Data_2021-2024'!X2370, 'Raw Period DMR Data'!M:M, "&gt;0")&gt;0,_xlfn.MAXIFS('Raw Period DMR Data'!M:M,'Raw Period DMR Data'!$A:$A,'Raw Annual DMR Data_2021-2024'!B2370,'Raw Period DMR Data'!C:C,'Raw Annual DMR Data_2021-2024'!X2370), "N/A - Period DMR Data Not Available")</f>
        <v>N/A - Period DMR Data Not Available</v>
      </c>
      <c r="V1804" s="28" t="str" cm="1">
        <f t="array" ref="V1804">IFERROR(INDEX('Raw Period DMR Data'!N:N,MATCH(1,(B1804='Raw Period DMR Data'!$A:$A)*(U1804='Raw Period DMR Data'!M:M)*(X1804='Raw Period DMR Data'!C:C),0),1), "N/A")</f>
        <v>N/A</v>
      </c>
      <c r="W1804" s="28" t="s">
        <v>1463</v>
      </c>
      <c r="X1804" s="28" t="s">
        <v>7209</v>
      </c>
      <c r="Y1804" s="28" t="s">
        <v>7307</v>
      </c>
      <c r="Z1804" s="61">
        <v>5100205000277</v>
      </c>
      <c r="AB1804" s="28" t="s">
        <v>7355</v>
      </c>
      <c r="AC1804" s="28" t="s">
        <v>263</v>
      </c>
    </row>
    <row r="1805" spans="1:29" x14ac:dyDescent="0.25">
      <c r="A1805" s="61">
        <v>110000759741</v>
      </c>
      <c r="B1805" s="28">
        <v>2021</v>
      </c>
      <c r="C1805" s="68">
        <f t="shared" si="29"/>
        <v>44197</v>
      </c>
      <c r="D1805" s="28" t="s">
        <v>6828</v>
      </c>
      <c r="E1805" s="28" t="s">
        <v>6981</v>
      </c>
      <c r="F1805" s="28" t="s">
        <v>6982</v>
      </c>
      <c r="G1805" s="28" t="s">
        <v>324</v>
      </c>
      <c r="H1805" s="28">
        <v>40324</v>
      </c>
      <c r="I1805" s="28">
        <v>38.267437999999999</v>
      </c>
      <c r="J1805" s="28">
        <v>-84.527996000000002</v>
      </c>
      <c r="L1805" s="61">
        <v>110000759741</v>
      </c>
      <c r="M1805" s="28" t="s">
        <v>263</v>
      </c>
      <c r="N1805" s="28">
        <v>4952</v>
      </c>
      <c r="O1805" s="28" t="str">
        <f>IFERROR(VLOOKUP(N1805, 'SIC &amp; NAICS Codes'!A:B, 2, FALSE), "")</f>
        <v>Sewerage Systems</v>
      </c>
      <c r="S1805" s="28">
        <v>4.5728477500000002</v>
      </c>
      <c r="T1805" s="315">
        <f>_xlfn.MAXIFS('Raw Period DMR Data'!$O:$O,'Raw Period DMR Data'!$A:$A,'Raw Annual DMR Data_2021-2024'!B2399,'Raw Period DMR Data'!$C:$C,X1805)/S1805</f>
        <v>0</v>
      </c>
      <c r="U1805" s="28" t="str">
        <f>+IF(COUNTIFS('Raw Period DMR Data'!$A:$A,B1805, 'Raw Period DMR Data'!C:C,'Raw Annual DMR Data_2021-2024'!X2399, 'Raw Period DMR Data'!M:M, "&gt;0")&gt;0,_xlfn.MAXIFS('Raw Period DMR Data'!M:M,'Raw Period DMR Data'!$A:$A,'Raw Annual DMR Data_2021-2024'!B2399,'Raw Period DMR Data'!C:C,'Raw Annual DMR Data_2021-2024'!X2399), "N/A - Period DMR Data Not Available")</f>
        <v>N/A - Period DMR Data Not Available</v>
      </c>
      <c r="V1805" s="28" t="str" cm="1">
        <f t="array" ref="V1805">IFERROR(INDEX('Raw Period DMR Data'!N:N,MATCH(1,(B1805='Raw Period DMR Data'!$A:$A)*(U1805='Raw Period DMR Data'!M:M)*(X1805='Raw Period DMR Data'!C:C),0),1), "N/A")</f>
        <v>N/A</v>
      </c>
      <c r="W1805" s="28" t="s">
        <v>1463</v>
      </c>
      <c r="X1805" s="28" t="s">
        <v>7167</v>
      </c>
      <c r="Y1805" s="28" t="s">
        <v>7280</v>
      </c>
      <c r="Z1805" s="61">
        <v>5100205000511</v>
      </c>
      <c r="AA1805" s="28"/>
      <c r="AB1805" s="28" t="s">
        <v>7355</v>
      </c>
      <c r="AC1805" s="28" t="s">
        <v>263</v>
      </c>
    </row>
    <row r="1806" spans="1:29" x14ac:dyDescent="0.25">
      <c r="A1806" s="61">
        <v>110000759741</v>
      </c>
      <c r="B1806" s="28">
        <v>2024</v>
      </c>
      <c r="C1806" s="68">
        <f t="shared" si="29"/>
        <v>45292</v>
      </c>
      <c r="D1806" s="28" t="s">
        <v>6828</v>
      </c>
      <c r="E1806" s="28" t="s">
        <v>6981</v>
      </c>
      <c r="F1806" s="28" t="s">
        <v>6982</v>
      </c>
      <c r="G1806" s="28" t="s">
        <v>324</v>
      </c>
      <c r="H1806" s="28">
        <v>40324</v>
      </c>
      <c r="I1806" s="28">
        <v>38.267437999999999</v>
      </c>
      <c r="J1806" s="28">
        <v>-84.527996000000002</v>
      </c>
      <c r="L1806" s="61">
        <v>110000759741</v>
      </c>
      <c r="M1806" s="28" t="s">
        <v>263</v>
      </c>
      <c r="N1806" s="28">
        <v>4952</v>
      </c>
      <c r="O1806" s="28" t="str">
        <f>IFERROR(VLOOKUP(N1806, 'SIC &amp; NAICS Codes'!A:B, 2, FALSE), "")</f>
        <v>Sewerage Systems</v>
      </c>
      <c r="S1806" s="28">
        <v>4.5417634375000002</v>
      </c>
      <c r="T1806" s="315">
        <f>_xlfn.MAXIFS('Raw Period DMR Data'!$O:$O,'Raw Period DMR Data'!$A:$A,'Raw Annual DMR Data_2021-2024'!B2401,'Raw Period DMR Data'!$C:$C,X1806)/S1806</f>
        <v>0</v>
      </c>
      <c r="U1806" s="28" t="str">
        <f>+IF(COUNTIFS('Raw Period DMR Data'!$A:$A,B1806, 'Raw Period DMR Data'!C:C,'Raw Annual DMR Data_2021-2024'!X2401, 'Raw Period DMR Data'!M:M, "&gt;0")&gt;0,_xlfn.MAXIFS('Raw Period DMR Data'!M:M,'Raw Period DMR Data'!$A:$A,'Raw Annual DMR Data_2021-2024'!B2401,'Raw Period DMR Data'!C:C,'Raw Annual DMR Data_2021-2024'!X2401), "N/A - Period DMR Data Not Available")</f>
        <v>N/A - Period DMR Data Not Available</v>
      </c>
      <c r="V1806" s="28" t="str" cm="1">
        <f t="array" ref="V1806">IFERROR(INDEX('Raw Period DMR Data'!N:N,MATCH(1,(B1806='Raw Period DMR Data'!$A:$A)*(U1806='Raw Period DMR Data'!M:M)*(X1806='Raw Period DMR Data'!C:C),0),1), "N/A")</f>
        <v>N/A</v>
      </c>
      <c r="W1806" s="28" t="s">
        <v>1463</v>
      </c>
      <c r="X1806" s="28" t="s">
        <v>7167</v>
      </c>
      <c r="Y1806" s="28" t="s">
        <v>7280</v>
      </c>
      <c r="Z1806" s="61">
        <v>5100205000511</v>
      </c>
      <c r="AB1806" s="28" t="s">
        <v>7355</v>
      </c>
      <c r="AC1806" s="28" t="s">
        <v>263</v>
      </c>
    </row>
    <row r="1807" spans="1:29" x14ac:dyDescent="0.25">
      <c r="A1807" s="61">
        <v>110000759741</v>
      </c>
      <c r="B1807" s="28">
        <v>2023</v>
      </c>
      <c r="C1807" s="68">
        <f t="shared" si="29"/>
        <v>44927</v>
      </c>
      <c r="D1807" s="28" t="s">
        <v>6828</v>
      </c>
      <c r="E1807" s="28" t="s">
        <v>6981</v>
      </c>
      <c r="F1807" s="28" t="s">
        <v>6982</v>
      </c>
      <c r="G1807" s="28" t="s">
        <v>324</v>
      </c>
      <c r="H1807" s="28">
        <v>40324</v>
      </c>
      <c r="I1807" s="28">
        <v>38.267437999999999</v>
      </c>
      <c r="J1807" s="28">
        <v>-84.527996000000002</v>
      </c>
      <c r="L1807" s="61">
        <v>110000759741</v>
      </c>
      <c r="M1807" s="28" t="s">
        <v>263</v>
      </c>
      <c r="N1807" s="28">
        <v>4952</v>
      </c>
      <c r="O1807" s="28" t="str">
        <f>IFERROR(VLOOKUP(N1807, 'SIC &amp; NAICS Codes'!A:B, 2, FALSE), "")</f>
        <v>Sewerage Systems</v>
      </c>
      <c r="S1807" s="28">
        <v>4.0789525624999996</v>
      </c>
      <c r="T1807" s="315">
        <f>_xlfn.MAXIFS('Raw Period DMR Data'!$O:$O,'Raw Period DMR Data'!$A:$A,'Raw Annual DMR Data_2021-2024'!B2405,'Raw Period DMR Data'!$C:$C,X1807)/S1807</f>
        <v>0</v>
      </c>
      <c r="U1807" s="28" t="str">
        <f>+IF(COUNTIFS('Raw Period DMR Data'!$A:$A,B1807, 'Raw Period DMR Data'!C:C,'Raw Annual DMR Data_2021-2024'!X2405, 'Raw Period DMR Data'!M:M, "&gt;0")&gt;0,_xlfn.MAXIFS('Raw Period DMR Data'!M:M,'Raw Period DMR Data'!$A:$A,'Raw Annual DMR Data_2021-2024'!B2405,'Raw Period DMR Data'!C:C,'Raw Annual DMR Data_2021-2024'!X2405), "N/A - Period DMR Data Not Available")</f>
        <v>N/A - Period DMR Data Not Available</v>
      </c>
      <c r="V1807" s="28" t="str" cm="1">
        <f t="array" ref="V1807">IFERROR(INDEX('Raw Period DMR Data'!N:N,MATCH(1,(B1807='Raw Period DMR Data'!$A:$A)*(U1807='Raw Period DMR Data'!M:M)*(X1807='Raw Period DMR Data'!C:C),0),1), "N/A")</f>
        <v>N/A</v>
      </c>
      <c r="W1807" s="28" t="s">
        <v>1463</v>
      </c>
      <c r="X1807" s="28" t="s">
        <v>7167</v>
      </c>
      <c r="Y1807" s="28" t="s">
        <v>7280</v>
      </c>
      <c r="Z1807" s="61" t="s">
        <v>7328</v>
      </c>
      <c r="AB1807" s="28" t="s">
        <v>7355</v>
      </c>
      <c r="AC1807" s="28" t="s">
        <v>263</v>
      </c>
    </row>
    <row r="1808" spans="1:29" x14ac:dyDescent="0.25">
      <c r="A1808" s="61">
        <v>110001123276</v>
      </c>
      <c r="B1808" s="28">
        <v>2021</v>
      </c>
      <c r="C1808" s="68">
        <f t="shared" si="29"/>
        <v>44197</v>
      </c>
      <c r="D1808" s="28" t="s">
        <v>6814</v>
      </c>
      <c r="E1808" s="28" t="s">
        <v>1813</v>
      </c>
      <c r="F1808" s="28" t="s">
        <v>1139</v>
      </c>
      <c r="G1808" s="28" t="s">
        <v>324</v>
      </c>
      <c r="H1808" s="28">
        <v>42141</v>
      </c>
      <c r="I1808" s="28">
        <v>36.983809999999998</v>
      </c>
      <c r="J1808" s="28">
        <v>-85.957089999999994</v>
      </c>
      <c r="L1808" s="61">
        <v>110001123276</v>
      </c>
      <c r="M1808" s="28" t="s">
        <v>263</v>
      </c>
      <c r="N1808" s="28">
        <v>4952</v>
      </c>
      <c r="O1808" s="28" t="str">
        <f>IFERROR(VLOOKUP(N1808, 'SIC &amp; NAICS Codes'!A:B, 2, FALSE), "")</f>
        <v>Sewerage Systems</v>
      </c>
      <c r="S1808" s="28">
        <v>3.6251215999999999</v>
      </c>
      <c r="T1808" s="315">
        <f>_xlfn.MAXIFS('Raw Period DMR Data'!$O:$O,'Raw Period DMR Data'!$A:$A,'Raw Annual DMR Data_2021-2024'!B2417,'Raw Period DMR Data'!$C:$C,X1808)/S1808</f>
        <v>0</v>
      </c>
      <c r="U1808" s="28" t="str">
        <f>+IF(COUNTIFS('Raw Period DMR Data'!$A:$A,B1808, 'Raw Period DMR Data'!C:C,'Raw Annual DMR Data_2021-2024'!X2417, 'Raw Period DMR Data'!M:M, "&gt;0")&gt;0,_xlfn.MAXIFS('Raw Period DMR Data'!M:M,'Raw Period DMR Data'!$A:$A,'Raw Annual DMR Data_2021-2024'!B2417,'Raw Period DMR Data'!C:C,'Raw Annual DMR Data_2021-2024'!X2417), "N/A - Period DMR Data Not Available")</f>
        <v>N/A - Period DMR Data Not Available</v>
      </c>
      <c r="V1808" s="28" t="str" cm="1">
        <f t="array" ref="V1808">IFERROR(INDEX('Raw Period DMR Data'!N:N,MATCH(1,(B1808='Raw Period DMR Data'!$A:$A)*(U1808='Raw Period DMR Data'!M:M)*(X1808='Raw Period DMR Data'!C:C),0),1), "N/A")</f>
        <v>N/A</v>
      </c>
      <c r="W1808" s="28" t="s">
        <v>1463</v>
      </c>
      <c r="X1808" s="28" t="s">
        <v>1814</v>
      </c>
      <c r="Y1808" s="28" t="s">
        <v>1815</v>
      </c>
      <c r="Z1808" s="61">
        <v>5110002001123</v>
      </c>
      <c r="AA1808" s="28"/>
      <c r="AB1808" s="28" t="s">
        <v>7355</v>
      </c>
      <c r="AC1808" s="28" t="s">
        <v>263</v>
      </c>
    </row>
    <row r="1809" spans="1:29" x14ac:dyDescent="0.25">
      <c r="A1809" s="61">
        <v>110000329038</v>
      </c>
      <c r="B1809" s="28">
        <v>2022</v>
      </c>
      <c r="C1809" s="68">
        <f t="shared" si="29"/>
        <v>44562</v>
      </c>
      <c r="D1809" s="28" t="s">
        <v>6846</v>
      </c>
      <c r="E1809" s="28" t="s">
        <v>7000</v>
      </c>
      <c r="F1809" s="28" t="s">
        <v>1267</v>
      </c>
      <c r="G1809" s="28" t="s">
        <v>491</v>
      </c>
      <c r="H1809" s="28" t="s">
        <v>7001</v>
      </c>
      <c r="I1809" s="28">
        <v>40.670580000000001</v>
      </c>
      <c r="J1809" s="28">
        <v>-80.336500000000001</v>
      </c>
      <c r="K1809" s="28" t="s">
        <v>7128</v>
      </c>
      <c r="L1809" s="61">
        <v>110000329038</v>
      </c>
      <c r="M1809" s="28" t="s">
        <v>265</v>
      </c>
      <c r="N1809" s="28">
        <v>2869</v>
      </c>
      <c r="O1809" s="28" t="str">
        <f>IFERROR(VLOOKUP(N1809, 'SIC &amp; NAICS Codes'!A:B, 2, FALSE), "")</f>
        <v>Industrial Organic Chemicals, NEC (aliphatics)</v>
      </c>
      <c r="S1809" s="28">
        <v>3.405E-3</v>
      </c>
      <c r="T1809" s="315">
        <f>_xlfn.MAXIFS('Raw Period DMR Data'!$O:$O,'Raw Period DMR Data'!$A:$A,'Raw Annual DMR Data_2021-2024'!#REF!,'Raw Period DMR Data'!$C:$C,X1809)/S1809</f>
        <v>0</v>
      </c>
      <c r="U1809" s="28" t="str">
        <f>+IF(COUNTIFS('Raw Period DMR Data'!$A:$A,B1809,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09" s="28" t="str" cm="1">
        <f t="array" ref="V1809">IFERROR(INDEX('Raw Period DMR Data'!N:N,MATCH(1,(B1809='Raw Period DMR Data'!$A:$A)*(U1809='Raw Period DMR Data'!M:M)*(X1809='Raw Period DMR Data'!C:C),0),1), "N/A")</f>
        <v>N/A</v>
      </c>
      <c r="W1809" s="28" t="s">
        <v>1463</v>
      </c>
      <c r="X1809" s="28" t="s">
        <v>7179</v>
      </c>
      <c r="Y1809" s="28" t="s">
        <v>7289</v>
      </c>
      <c r="Z1809" s="61">
        <v>5030101001548</v>
      </c>
      <c r="AB1809" s="28" t="s">
        <v>7355</v>
      </c>
      <c r="AC1809" s="28" t="s">
        <v>1466</v>
      </c>
    </row>
    <row r="1810" spans="1:29" x14ac:dyDescent="0.25">
      <c r="A1810" s="61">
        <v>110056537804</v>
      </c>
      <c r="B1810" s="28">
        <v>2024</v>
      </c>
      <c r="C1810" s="68">
        <f t="shared" si="29"/>
        <v>45292</v>
      </c>
      <c r="D1810" s="28" t="s">
        <v>6799</v>
      </c>
      <c r="E1810" s="28" t="s">
        <v>6951</v>
      </c>
      <c r="F1810" s="28" t="s">
        <v>590</v>
      </c>
      <c r="G1810" s="28" t="s">
        <v>362</v>
      </c>
      <c r="H1810" s="28">
        <v>77536</v>
      </c>
      <c r="I1810" s="28">
        <v>29.717469999999999</v>
      </c>
      <c r="J1810" s="28">
        <v>-95.113280000000003</v>
      </c>
      <c r="K1810" s="28" t="s">
        <v>7122</v>
      </c>
      <c r="L1810" s="61">
        <v>110056537804</v>
      </c>
      <c r="M1810" s="28" t="s">
        <v>265</v>
      </c>
      <c r="N1810" s="28">
        <v>2869</v>
      </c>
      <c r="O1810" s="28" t="str">
        <f>IFERROR(VLOOKUP(N1810, 'SIC &amp; NAICS Codes'!A:B, 2, FALSE), "")</f>
        <v>Industrial Organic Chemicals, NEC (aliphatics)</v>
      </c>
      <c r="S1810" s="28">
        <v>2.4856500000000001</v>
      </c>
      <c r="T1810" s="315">
        <f>_xlfn.MAXIFS('Raw Period DMR Data'!$O:$O,'Raw Period DMR Data'!$A:$A,'Raw Annual DMR Data_2021-2024'!#REF!,'Raw Period DMR Data'!$C:$C,X1810)/S1810</f>
        <v>0</v>
      </c>
      <c r="U1810" s="28" t="str">
        <f>+IF(COUNTIFS('Raw Period DMR Data'!$A:$A,B1810,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10" s="28" t="str" cm="1">
        <f t="array" ref="V1810">IFERROR(INDEX('Raw Period DMR Data'!N:N,MATCH(1,(B1810='Raw Period DMR Data'!$A:$A)*(U1810='Raw Period DMR Data'!M:M)*(X1810='Raw Period DMR Data'!C:C),0),1), "N/A")</f>
        <v>N/A</v>
      </c>
      <c r="W1810" s="28" t="s">
        <v>1463</v>
      </c>
      <c r="X1810" s="28" t="s">
        <v>7153</v>
      </c>
      <c r="Y1810" s="28" t="s">
        <v>7265</v>
      </c>
      <c r="Z1810" s="61">
        <v>12040104000662</v>
      </c>
      <c r="AC1810" s="28" t="s">
        <v>1466</v>
      </c>
    </row>
    <row r="1811" spans="1:29" x14ac:dyDescent="0.25">
      <c r="A1811" s="61">
        <v>110064625730</v>
      </c>
      <c r="B1811" s="28">
        <v>2023</v>
      </c>
      <c r="C1811" s="68">
        <f t="shared" si="29"/>
        <v>44927</v>
      </c>
      <c r="D1811" s="28" t="s">
        <v>1816</v>
      </c>
      <c r="E1811" s="28" t="s">
        <v>497</v>
      </c>
      <c r="F1811" s="28" t="s">
        <v>498</v>
      </c>
      <c r="G1811" s="28" t="s">
        <v>338</v>
      </c>
      <c r="H1811" s="28" t="s">
        <v>1817</v>
      </c>
      <c r="I1811" s="28">
        <v>39.852891</v>
      </c>
      <c r="J1811" s="28">
        <v>-75.225210000000004</v>
      </c>
      <c r="L1811" s="61">
        <v>110064625730</v>
      </c>
      <c r="M1811" s="28" t="s">
        <v>263</v>
      </c>
      <c r="N1811" s="28">
        <v>4952</v>
      </c>
      <c r="O1811" s="28" t="str">
        <f>IFERROR(VLOOKUP(N1811, 'SIC &amp; NAICS Codes'!A:B, 2, FALSE), "")</f>
        <v>Sewerage Systems</v>
      </c>
      <c r="S1811" s="28">
        <v>17.557500000000001</v>
      </c>
      <c r="T1811" s="315">
        <f>_xlfn.MAXIFS('Raw Period DMR Data'!$O:$O,'Raw Period DMR Data'!$A:$A,'Raw Annual DMR Data_2021-2024'!B2327,'Raw Period DMR Data'!$C:$C,X1811)/S1811</f>
        <v>0</v>
      </c>
      <c r="U1811" s="28" t="str">
        <f>+IF(COUNTIFS('Raw Period DMR Data'!$A:$A,B1811, 'Raw Period DMR Data'!C:C,'Raw Annual DMR Data_2021-2024'!X2327, 'Raw Period DMR Data'!M:M, "&gt;0")&gt;0,_xlfn.MAXIFS('Raw Period DMR Data'!M:M,'Raw Period DMR Data'!$A:$A,'Raw Annual DMR Data_2021-2024'!B2327,'Raw Period DMR Data'!C:C,'Raw Annual DMR Data_2021-2024'!X2327), "N/A - Period DMR Data Not Available")</f>
        <v>N/A - Period DMR Data Not Available</v>
      </c>
      <c r="V1811" s="28" t="str" cm="1">
        <f t="array" ref="V1811">IFERROR(INDEX('Raw Period DMR Data'!N:N,MATCH(1,(B1811='Raw Period DMR Data'!$A:$A)*(U1811='Raw Period DMR Data'!M:M)*(X1811='Raw Period DMR Data'!C:C),0),1), "N/A")</f>
        <v>N/A</v>
      </c>
      <c r="W1811" s="28" t="s">
        <v>1463</v>
      </c>
      <c r="X1811" s="28" t="s">
        <v>870</v>
      </c>
      <c r="Y1811" s="28" t="s">
        <v>871</v>
      </c>
      <c r="Z1811" s="61">
        <v>2040202000030</v>
      </c>
      <c r="AC1811" s="28" t="s">
        <v>263</v>
      </c>
    </row>
    <row r="1812" spans="1:29" x14ac:dyDescent="0.25">
      <c r="A1812" s="61">
        <v>110064625730</v>
      </c>
      <c r="B1812" s="28">
        <v>2024</v>
      </c>
      <c r="C1812" s="68">
        <f t="shared" si="29"/>
        <v>45292</v>
      </c>
      <c r="D1812" s="28" t="s">
        <v>1816</v>
      </c>
      <c r="E1812" s="28" t="s">
        <v>497</v>
      </c>
      <c r="F1812" s="28" t="s">
        <v>498</v>
      </c>
      <c r="G1812" s="28" t="s">
        <v>338</v>
      </c>
      <c r="H1812" s="28">
        <v>8066</v>
      </c>
      <c r="I1812" s="28">
        <v>39.852891</v>
      </c>
      <c r="J1812" s="28">
        <v>-75.225210000000004</v>
      </c>
      <c r="L1812" s="61">
        <v>110064625730</v>
      </c>
      <c r="M1812" s="28" t="s">
        <v>263</v>
      </c>
      <c r="N1812" s="28">
        <v>4952</v>
      </c>
      <c r="O1812" s="28" t="str">
        <f>IFERROR(VLOOKUP(N1812, 'SIC &amp; NAICS Codes'!A:B, 2, FALSE), "")</f>
        <v>Sewerage Systems</v>
      </c>
      <c r="S1812" s="28">
        <v>14.4475</v>
      </c>
      <c r="T1812" s="315">
        <f>_xlfn.MAXIFS('Raw Period DMR Data'!$O:$O,'Raw Period DMR Data'!$A:$A,'Raw Annual DMR Data_2021-2024'!B2336,'Raw Period DMR Data'!$C:$C,X1812)/S1812</f>
        <v>0</v>
      </c>
      <c r="U1812" s="28" t="str">
        <f>+IF(COUNTIFS('Raw Period DMR Data'!$A:$A,B1812, 'Raw Period DMR Data'!C:C,'Raw Annual DMR Data_2021-2024'!X2336, 'Raw Period DMR Data'!M:M, "&gt;0")&gt;0,_xlfn.MAXIFS('Raw Period DMR Data'!M:M,'Raw Period DMR Data'!$A:$A,'Raw Annual DMR Data_2021-2024'!B2336,'Raw Period DMR Data'!C:C,'Raw Annual DMR Data_2021-2024'!X2336), "N/A - Period DMR Data Not Available")</f>
        <v>N/A - Period DMR Data Not Available</v>
      </c>
      <c r="V1812" s="28" t="str" cm="1">
        <f t="array" ref="V1812">IFERROR(INDEX('Raw Period DMR Data'!N:N,MATCH(1,(B1812='Raw Period DMR Data'!$A:$A)*(U1812='Raw Period DMR Data'!M:M)*(X1812='Raw Period DMR Data'!C:C),0),1), "N/A")</f>
        <v>N/A</v>
      </c>
      <c r="W1812" s="28" t="s">
        <v>1463</v>
      </c>
      <c r="X1812" s="28" t="s">
        <v>870</v>
      </c>
      <c r="Y1812" s="28" t="s">
        <v>871</v>
      </c>
      <c r="Z1812" s="61">
        <v>2040202000030</v>
      </c>
      <c r="AB1812" s="28" t="s">
        <v>7355</v>
      </c>
      <c r="AC1812" s="28" t="s">
        <v>263</v>
      </c>
    </row>
    <row r="1813" spans="1:29" x14ac:dyDescent="0.25">
      <c r="A1813" s="61">
        <v>110064625730</v>
      </c>
      <c r="B1813" s="28">
        <v>2021</v>
      </c>
      <c r="C1813" s="68">
        <f t="shared" si="29"/>
        <v>44197</v>
      </c>
      <c r="D1813" s="28" t="s">
        <v>1816</v>
      </c>
      <c r="E1813" s="28" t="s">
        <v>497</v>
      </c>
      <c r="F1813" s="28" t="s">
        <v>498</v>
      </c>
      <c r="G1813" s="28" t="s">
        <v>338</v>
      </c>
      <c r="H1813" s="28">
        <v>8066</v>
      </c>
      <c r="I1813" s="28">
        <v>39.852891</v>
      </c>
      <c r="J1813" s="28">
        <v>-75.225210000000004</v>
      </c>
      <c r="L1813" s="61">
        <v>110064625730</v>
      </c>
      <c r="M1813" s="28" t="s">
        <v>263</v>
      </c>
      <c r="N1813" s="28">
        <v>4952</v>
      </c>
      <c r="O1813" s="28" t="str">
        <f>IFERROR(VLOOKUP(N1813, 'SIC &amp; NAICS Codes'!A:B, 2, FALSE), "")</f>
        <v>Sewerage Systems</v>
      </c>
      <c r="S1813" s="28">
        <v>3.6537999999999999</v>
      </c>
      <c r="T1813" s="315">
        <f>_xlfn.MAXIFS('Raw Period DMR Data'!$O:$O,'Raw Period DMR Data'!$A:$A,'Raw Annual DMR Data_2021-2024'!B2416,'Raw Period DMR Data'!$C:$C,X1813)/S1813</f>
        <v>0</v>
      </c>
      <c r="U1813" s="28" t="str">
        <f>+IF(COUNTIFS('Raw Period DMR Data'!$A:$A,B1813, 'Raw Period DMR Data'!C:C,'Raw Annual DMR Data_2021-2024'!X2416, 'Raw Period DMR Data'!M:M, "&gt;0")&gt;0,_xlfn.MAXIFS('Raw Period DMR Data'!M:M,'Raw Period DMR Data'!$A:$A,'Raw Annual DMR Data_2021-2024'!B2416,'Raw Period DMR Data'!C:C,'Raw Annual DMR Data_2021-2024'!X2416), "N/A - Period DMR Data Not Available")</f>
        <v>N/A - Period DMR Data Not Available</v>
      </c>
      <c r="V1813" s="28" t="str" cm="1">
        <f t="array" ref="V1813">IFERROR(INDEX('Raw Period DMR Data'!N:N,MATCH(1,(B1813='Raw Period DMR Data'!$A:$A)*(U1813='Raw Period DMR Data'!M:M)*(X1813='Raw Period DMR Data'!C:C),0),1), "N/A")</f>
        <v>N/A</v>
      </c>
      <c r="W1813" s="28" t="s">
        <v>1463</v>
      </c>
      <c r="X1813" s="28" t="s">
        <v>870</v>
      </c>
      <c r="Y1813" s="28" t="s">
        <v>871</v>
      </c>
      <c r="Z1813" s="61">
        <v>2040202000030</v>
      </c>
      <c r="AB1813" s="28" t="s">
        <v>7355</v>
      </c>
      <c r="AC1813" s="28" t="s">
        <v>263</v>
      </c>
    </row>
    <row r="1814" spans="1:29" x14ac:dyDescent="0.25">
      <c r="A1814" s="61">
        <v>110064625730</v>
      </c>
      <c r="B1814" s="28">
        <v>2022</v>
      </c>
      <c r="C1814" s="68">
        <f t="shared" si="29"/>
        <v>44562</v>
      </c>
      <c r="D1814" s="28" t="s">
        <v>1816</v>
      </c>
      <c r="E1814" s="28" t="s">
        <v>497</v>
      </c>
      <c r="F1814" s="28" t="s">
        <v>498</v>
      </c>
      <c r="G1814" s="28" t="s">
        <v>338</v>
      </c>
      <c r="H1814" s="28">
        <v>8066</v>
      </c>
      <c r="I1814" s="28">
        <v>39.852891</v>
      </c>
      <c r="J1814" s="28">
        <v>-75.225210000000004</v>
      </c>
      <c r="L1814" s="61">
        <v>110064625730</v>
      </c>
      <c r="M1814" s="28" t="s">
        <v>263</v>
      </c>
      <c r="N1814" s="28">
        <v>4952</v>
      </c>
      <c r="O1814" s="28" t="str">
        <f>IFERROR(VLOOKUP(N1814, 'SIC &amp; NAICS Codes'!A:B, 2, FALSE), "")</f>
        <v>Sewerage Systems</v>
      </c>
      <c r="S1814" s="28">
        <v>2.1838500000000001</v>
      </c>
      <c r="T1814" s="315">
        <f>_xlfn.MAXIFS('Raw Period DMR Data'!$O:$O,'Raw Period DMR Data'!$A:$A,'Raw Annual DMR Data_2021-2024'!#REF!,'Raw Period DMR Data'!$C:$C,X1814)/S1814</f>
        <v>0</v>
      </c>
      <c r="U1814" s="28" t="str">
        <f>+IF(COUNTIFS('Raw Period DMR Data'!$A:$A,B1814,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14" s="28" t="str" cm="1">
        <f t="array" ref="V1814">IFERROR(INDEX('Raw Period DMR Data'!N:N,MATCH(1,(B1814='Raw Period DMR Data'!$A:$A)*(U1814='Raw Period DMR Data'!M:M)*(X1814='Raw Period DMR Data'!C:C),0),1), "N/A")</f>
        <v>N/A</v>
      </c>
      <c r="W1814" s="28" t="s">
        <v>1463</v>
      </c>
      <c r="X1814" s="28" t="s">
        <v>870</v>
      </c>
      <c r="Y1814" s="28" t="s">
        <v>871</v>
      </c>
      <c r="Z1814" s="61">
        <v>2040202000030</v>
      </c>
      <c r="AB1814" s="28" t="s">
        <v>7355</v>
      </c>
      <c r="AC1814" s="28" t="s">
        <v>263</v>
      </c>
    </row>
    <row r="1815" spans="1:29" x14ac:dyDescent="0.25">
      <c r="A1815" s="61">
        <v>110004300596</v>
      </c>
      <c r="B1815" s="28">
        <v>2023</v>
      </c>
      <c r="C1815" s="68">
        <f t="shared" si="29"/>
        <v>44927</v>
      </c>
      <c r="D1815" s="28" t="s">
        <v>6848</v>
      </c>
      <c r="E1815" s="28" t="s">
        <v>7002</v>
      </c>
      <c r="F1815" s="28" t="s">
        <v>657</v>
      </c>
      <c r="G1815" s="28" t="s">
        <v>418</v>
      </c>
      <c r="H1815" s="28" t="s">
        <v>7003</v>
      </c>
      <c r="I1815" s="28">
        <v>36.170819999999999</v>
      </c>
      <c r="J1815" s="28">
        <v>-115.14431</v>
      </c>
      <c r="L1815" s="61">
        <v>110004300596</v>
      </c>
      <c r="M1815" s="28" t="s">
        <v>265</v>
      </c>
      <c r="N1815" s="28">
        <v>7011</v>
      </c>
      <c r="O1815" s="28" t="str">
        <f>IFERROR(VLOOKUP(N1815, 'SIC &amp; NAICS Codes'!A:B, 2, FALSE), "")</f>
        <v>Hotels and Motels (hotels, except casino hotels, and motels)</v>
      </c>
      <c r="S1815" s="28">
        <v>2.2898776875000001E-3</v>
      </c>
      <c r="T1815" s="315">
        <f>_xlfn.MAXIFS('Raw Period DMR Data'!$O:$O,'Raw Period DMR Data'!$A:$A,'Raw Annual DMR Data_2021-2024'!#REF!,'Raw Period DMR Data'!$C:$C,X1815)/S1815</f>
        <v>0</v>
      </c>
      <c r="U1815" s="28" t="str">
        <f>+IF(COUNTIFS('Raw Period DMR Data'!$A:$A,B1815,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15" s="28" t="str" cm="1">
        <f t="array" ref="V1815">IFERROR(INDEX('Raw Period DMR Data'!N:N,MATCH(1,(B1815='Raw Period DMR Data'!$A:$A)*(U1815='Raw Period DMR Data'!M:M)*(X1815='Raw Period DMR Data'!C:C),0),1), "N/A")</f>
        <v>N/A</v>
      </c>
      <c r="W1815" s="28" t="s">
        <v>1463</v>
      </c>
      <c r="X1815" s="28" t="s">
        <v>7180</v>
      </c>
      <c r="Y1815" s="28" t="s">
        <v>7290</v>
      </c>
      <c r="Z1815" s="61"/>
      <c r="AB1815" s="28" t="s">
        <v>7355</v>
      </c>
      <c r="AC1815" s="28" t="s">
        <v>1466</v>
      </c>
    </row>
    <row r="1816" spans="1:29" x14ac:dyDescent="0.25">
      <c r="A1816" s="61">
        <v>110004300596</v>
      </c>
      <c r="B1816" s="28">
        <v>2024</v>
      </c>
      <c r="C1816" s="68">
        <f t="shared" si="29"/>
        <v>45292</v>
      </c>
      <c r="D1816" s="28" t="s">
        <v>6848</v>
      </c>
      <c r="E1816" s="28" t="s">
        <v>7002</v>
      </c>
      <c r="F1816" s="28" t="s">
        <v>657</v>
      </c>
      <c r="G1816" s="28" t="s">
        <v>418</v>
      </c>
      <c r="H1816" s="28" t="s">
        <v>7003</v>
      </c>
      <c r="I1816" s="28">
        <v>36.170819999999999</v>
      </c>
      <c r="J1816" s="28">
        <v>-115.14431</v>
      </c>
      <c r="L1816" s="61">
        <v>110004300596</v>
      </c>
      <c r="M1816" s="28" t="s">
        <v>265</v>
      </c>
      <c r="N1816" s="28">
        <v>7011</v>
      </c>
      <c r="O1816" s="28" t="str">
        <f>IFERROR(VLOOKUP(N1816, 'SIC &amp; NAICS Codes'!A:B, 2, FALSE), "")</f>
        <v>Hotels and Motels (hotels, except casino hotels, and motels)</v>
      </c>
      <c r="S1816" s="28">
        <v>5.5261000000000003E-6</v>
      </c>
      <c r="T1816" s="315">
        <f>_xlfn.MAXIFS('Raw Period DMR Data'!$O:$O,'Raw Period DMR Data'!$A:$A,'Raw Annual DMR Data_2021-2024'!#REF!,'Raw Period DMR Data'!$C:$C,X1816)/S1816</f>
        <v>0</v>
      </c>
      <c r="U1816" s="28" t="str">
        <f>+IF(COUNTIFS('Raw Period DMR Data'!$A:$A,B1816,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16" s="28" t="str" cm="1">
        <f t="array" ref="V1816">IFERROR(INDEX('Raw Period DMR Data'!N:N,MATCH(1,(B1816='Raw Period DMR Data'!$A:$A)*(U1816='Raw Period DMR Data'!M:M)*(X1816='Raw Period DMR Data'!C:C),0),1), "N/A")</f>
        <v>N/A</v>
      </c>
      <c r="W1816" s="28" t="s">
        <v>1463</v>
      </c>
      <c r="X1816" s="28" t="s">
        <v>7180</v>
      </c>
      <c r="Y1816" s="28" t="s">
        <v>7290</v>
      </c>
      <c r="Z1816" s="61"/>
      <c r="AB1816" s="28" t="s">
        <v>7355</v>
      </c>
      <c r="AC1816" s="28" t="s">
        <v>1466</v>
      </c>
    </row>
    <row r="1817" spans="1:29" x14ac:dyDescent="0.25">
      <c r="A1817" s="61">
        <v>110012254363</v>
      </c>
      <c r="B1817" s="28">
        <v>2024</v>
      </c>
      <c r="C1817" s="68">
        <f t="shared" si="29"/>
        <v>45292</v>
      </c>
      <c r="D1817" s="28" t="s">
        <v>6796</v>
      </c>
      <c r="E1817" s="28" t="s">
        <v>499</v>
      </c>
      <c r="F1817" s="28" t="s">
        <v>302</v>
      </c>
      <c r="G1817" s="28" t="s">
        <v>303</v>
      </c>
      <c r="H1817" s="28">
        <v>70807</v>
      </c>
      <c r="I1817" s="28">
        <v>30.563776000000001</v>
      </c>
      <c r="J1817" s="28">
        <v>-91.212565999999995</v>
      </c>
      <c r="L1817" s="61">
        <v>110012254363</v>
      </c>
      <c r="M1817" s="28" t="s">
        <v>252</v>
      </c>
      <c r="N1817" s="28">
        <v>4491</v>
      </c>
      <c r="O1817" s="28" t="str">
        <f>IFERROR(VLOOKUP(N1817, 'SIC &amp; NAICS Codes'!A:B, 2, FALSE), "")</f>
        <v>Marine Cargo Handling (dock and pier operations)</v>
      </c>
      <c r="S1817" s="28">
        <v>0.176281811047</v>
      </c>
      <c r="T1817" s="315">
        <f>_xlfn.MAXIFS('Raw Period DMR Data'!$O:$O,'Raw Period DMR Data'!$A:$A,'Raw Annual DMR Data_2021-2024'!#REF!,'Raw Period DMR Data'!$C:$C,X1817)/S1817</f>
        <v>0</v>
      </c>
      <c r="U1817" s="28" t="str">
        <f>+IF(COUNTIFS('Raw Period DMR Data'!$A:$A,B1817,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17" s="28" t="str" cm="1">
        <f t="array" ref="V1817">IFERROR(INDEX('Raw Period DMR Data'!N:N,MATCH(1,(B1817='Raw Period DMR Data'!$A:$A)*(U1817='Raw Period DMR Data'!M:M)*(X1817='Raw Period DMR Data'!C:C),0),1), "N/A")</f>
        <v>N/A</v>
      </c>
      <c r="W1817" s="28" t="s">
        <v>1463</v>
      </c>
      <c r="X1817" s="28" t="s">
        <v>872</v>
      </c>
      <c r="Y1817" s="28" t="s">
        <v>816</v>
      </c>
      <c r="Z1817" s="61">
        <v>8070201006484</v>
      </c>
      <c r="AA1817" s="60" t="s">
        <v>7355</v>
      </c>
      <c r="AB1817" s="28" t="s">
        <v>7355</v>
      </c>
      <c r="AC1817" s="28" t="s">
        <v>263</v>
      </c>
    </row>
    <row r="1818" spans="1:29" x14ac:dyDescent="0.25">
      <c r="A1818" s="61">
        <v>110012254363</v>
      </c>
      <c r="B1818" s="28">
        <v>2023</v>
      </c>
      <c r="C1818" s="68">
        <f t="shared" si="29"/>
        <v>44927</v>
      </c>
      <c r="D1818" s="28" t="s">
        <v>6796</v>
      </c>
      <c r="E1818" s="28" t="s">
        <v>499</v>
      </c>
      <c r="F1818" s="28" t="s">
        <v>302</v>
      </c>
      <c r="G1818" s="28" t="s">
        <v>303</v>
      </c>
      <c r="H1818" s="28">
        <v>70807</v>
      </c>
      <c r="I1818" s="28">
        <v>30.563776000000001</v>
      </c>
      <c r="J1818" s="28">
        <v>-91.212565999999995</v>
      </c>
      <c r="L1818" s="61">
        <v>110012254363</v>
      </c>
      <c r="M1818" s="28" t="s">
        <v>252</v>
      </c>
      <c r="N1818" s="28">
        <v>4491</v>
      </c>
      <c r="O1818" s="28" t="str">
        <f>IFERROR(VLOOKUP(N1818, 'SIC &amp; NAICS Codes'!A:B, 2, FALSE), "")</f>
        <v>Marine Cargo Handling (dock and pier operations)</v>
      </c>
      <c r="S1818" s="28">
        <v>0.14679559651575</v>
      </c>
      <c r="T1818" s="315">
        <f>_xlfn.MAXIFS('Raw Period DMR Data'!$O:$O,'Raw Period DMR Data'!$A:$A,'Raw Annual DMR Data_2021-2024'!#REF!,'Raw Period DMR Data'!$C:$C,X1818)/S1818</f>
        <v>0</v>
      </c>
      <c r="U1818" s="28" t="str">
        <f>+IF(COUNTIFS('Raw Period DMR Data'!$A:$A,B1818,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18" s="28" t="str" cm="1">
        <f t="array" ref="V1818">IFERROR(INDEX('Raw Period DMR Data'!N:N,MATCH(1,(B1818='Raw Period DMR Data'!$A:$A)*(U1818='Raw Period DMR Data'!M:M)*(X1818='Raw Period DMR Data'!C:C),0),1), "N/A")</f>
        <v>N/A</v>
      </c>
      <c r="W1818" s="28" t="s">
        <v>1463</v>
      </c>
      <c r="X1818" s="28" t="s">
        <v>872</v>
      </c>
      <c r="Y1818" s="28" t="s">
        <v>816</v>
      </c>
      <c r="Z1818" s="61" t="s">
        <v>1821</v>
      </c>
      <c r="AA1818" s="60" t="s">
        <v>7355</v>
      </c>
      <c r="AB1818" s="28" t="s">
        <v>7355</v>
      </c>
      <c r="AC1818" s="28" t="s">
        <v>263</v>
      </c>
    </row>
    <row r="1819" spans="1:29" x14ac:dyDescent="0.25">
      <c r="A1819" s="61">
        <v>110012254363</v>
      </c>
      <c r="B1819" s="28">
        <v>2021</v>
      </c>
      <c r="C1819" s="68">
        <f t="shared" si="29"/>
        <v>44197</v>
      </c>
      <c r="D1819" s="28" t="s">
        <v>6796</v>
      </c>
      <c r="E1819" s="28" t="s">
        <v>499</v>
      </c>
      <c r="F1819" s="28" t="s">
        <v>302</v>
      </c>
      <c r="G1819" s="28" t="s">
        <v>303</v>
      </c>
      <c r="H1819" s="28">
        <v>70807</v>
      </c>
      <c r="I1819" s="28">
        <v>30.563776000000001</v>
      </c>
      <c r="J1819" s="28">
        <v>-91.212565999999995</v>
      </c>
      <c r="L1819" s="61">
        <v>110012254363</v>
      </c>
      <c r="M1819" s="28" t="s">
        <v>252</v>
      </c>
      <c r="N1819" s="28">
        <v>4491</v>
      </c>
      <c r="O1819" s="28" t="str">
        <f>IFERROR(VLOOKUP(N1819, 'SIC &amp; NAICS Codes'!A:B, 2, FALSE), "")</f>
        <v>Marine Cargo Handling (dock and pier operations)</v>
      </c>
      <c r="S1819" s="28">
        <v>1.389780085E-5</v>
      </c>
      <c r="T1819" s="315">
        <f>_xlfn.MAXIFS('Raw Period DMR Data'!$O:$O,'Raw Period DMR Data'!$A:$A,'Raw Annual DMR Data_2021-2024'!#REF!,'Raw Period DMR Data'!$C:$C,X1819)/S1819</f>
        <v>0</v>
      </c>
      <c r="U1819" s="28" t="str">
        <f>+IF(COUNTIFS('Raw Period DMR Data'!$A:$A,B1819,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19" s="28" t="str" cm="1">
        <f t="array" ref="V1819">IFERROR(INDEX('Raw Period DMR Data'!N:N,MATCH(1,(B1819='Raw Period DMR Data'!$A:$A)*(U1819='Raw Period DMR Data'!M:M)*(X1819='Raw Period DMR Data'!C:C),0),1), "N/A")</f>
        <v>N/A</v>
      </c>
      <c r="W1819" s="28" t="s">
        <v>1463</v>
      </c>
      <c r="X1819" s="28" t="s">
        <v>872</v>
      </c>
      <c r="Y1819" s="28" t="s">
        <v>816</v>
      </c>
      <c r="Z1819" s="61">
        <v>8070201006484</v>
      </c>
      <c r="AA1819" s="28" t="s">
        <v>7355</v>
      </c>
      <c r="AB1819" s="28" t="s">
        <v>7355</v>
      </c>
      <c r="AC1819" s="28" t="s">
        <v>263</v>
      </c>
    </row>
    <row r="1820" spans="1:29" x14ac:dyDescent="0.25">
      <c r="A1820" s="61">
        <v>110012254363</v>
      </c>
      <c r="B1820" s="28">
        <v>2022</v>
      </c>
      <c r="C1820" s="68">
        <f t="shared" si="29"/>
        <v>44562</v>
      </c>
      <c r="D1820" s="28" t="s">
        <v>6796</v>
      </c>
      <c r="E1820" s="28" t="s">
        <v>499</v>
      </c>
      <c r="F1820" s="28" t="s">
        <v>302</v>
      </c>
      <c r="G1820" s="28" t="s">
        <v>303</v>
      </c>
      <c r="H1820" s="28">
        <v>70807</v>
      </c>
      <c r="I1820" s="28">
        <v>30.563776000000001</v>
      </c>
      <c r="J1820" s="28">
        <v>-91.212565999999995</v>
      </c>
      <c r="L1820" s="61">
        <v>110012254363</v>
      </c>
      <c r="M1820" s="28" t="s">
        <v>252</v>
      </c>
      <c r="N1820" s="28">
        <v>4491</v>
      </c>
      <c r="O1820" s="28" t="str">
        <f>IFERROR(VLOOKUP(N1820, 'SIC &amp; NAICS Codes'!A:B, 2, FALSE), "")</f>
        <v>Marine Cargo Handling (dock and pier operations)</v>
      </c>
      <c r="S1820" s="28">
        <v>7.8652299999999992E-6</v>
      </c>
      <c r="T1820" s="315">
        <f>_xlfn.MAXIFS('Raw Period DMR Data'!$O:$O,'Raw Period DMR Data'!$A:$A,'Raw Annual DMR Data_2021-2024'!#REF!,'Raw Period DMR Data'!$C:$C,X1820)/S1820</f>
        <v>0</v>
      </c>
      <c r="U1820" s="28" t="str">
        <f>+IF(COUNTIFS('Raw Period DMR Data'!$A:$A,B1820,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20" s="28" t="str" cm="1">
        <f t="array" ref="V1820">IFERROR(INDEX('Raw Period DMR Data'!N:N,MATCH(1,(B1820='Raw Period DMR Data'!$A:$A)*(U1820='Raw Period DMR Data'!M:M)*(X1820='Raw Period DMR Data'!C:C),0),1), "N/A")</f>
        <v>N/A</v>
      </c>
      <c r="W1820" s="28" t="s">
        <v>1463</v>
      </c>
      <c r="X1820" s="28" t="s">
        <v>872</v>
      </c>
      <c r="Y1820" s="28" t="s">
        <v>816</v>
      </c>
      <c r="Z1820" s="61">
        <v>8070201006484</v>
      </c>
      <c r="AB1820" s="28" t="s">
        <v>7355</v>
      </c>
      <c r="AC1820" s="28" t="s">
        <v>263</v>
      </c>
    </row>
    <row r="1821" spans="1:29" x14ac:dyDescent="0.25">
      <c r="A1821" s="61">
        <v>110000759723</v>
      </c>
      <c r="B1821" s="28">
        <v>2021</v>
      </c>
      <c r="C1821" s="68">
        <f t="shared" si="29"/>
        <v>44197</v>
      </c>
      <c r="D1821" s="28" t="s">
        <v>1144</v>
      </c>
      <c r="E1821" s="28" t="s">
        <v>1825</v>
      </c>
      <c r="F1821" s="28" t="s">
        <v>1145</v>
      </c>
      <c r="G1821" s="28" t="s">
        <v>324</v>
      </c>
      <c r="H1821" s="28">
        <v>41144</v>
      </c>
      <c r="I1821" s="28">
        <v>38.551630000000003</v>
      </c>
      <c r="J1821" s="28">
        <v>-82.778199999999998</v>
      </c>
      <c r="L1821" s="61">
        <v>110000759723</v>
      </c>
      <c r="M1821" s="28" t="s">
        <v>263</v>
      </c>
      <c r="N1821" s="28">
        <v>4952</v>
      </c>
      <c r="O1821" s="28" t="str">
        <f>IFERROR(VLOOKUP(N1821, 'SIC &amp; NAICS Codes'!A:B, 2, FALSE), "")</f>
        <v>Sewerage Systems</v>
      </c>
      <c r="S1821" s="28">
        <v>1.0050594374999999</v>
      </c>
      <c r="T1821" s="315">
        <f>_xlfn.MAXIFS('Raw Period DMR Data'!$O:$O,'Raw Period DMR Data'!$A:$A,'Raw Annual DMR Data_2021-2024'!#REF!,'Raw Period DMR Data'!$C:$C,X1821)/S1821</f>
        <v>0</v>
      </c>
      <c r="U1821" s="28" t="str">
        <f>+IF(COUNTIFS('Raw Period DMR Data'!$A:$A,B1821,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21" s="28" t="str" cm="1">
        <f t="array" ref="V1821">IFERROR(INDEX('Raw Period DMR Data'!N:N,MATCH(1,(B1821='Raw Period DMR Data'!$A:$A)*(U1821='Raw Period DMR Data'!M:M)*(X1821='Raw Period DMR Data'!C:C),0),1), "N/A")</f>
        <v>N/A</v>
      </c>
      <c r="W1821" s="28" t="s">
        <v>1463</v>
      </c>
      <c r="X1821" s="28" t="s">
        <v>1826</v>
      </c>
      <c r="Y1821" s="28" t="s">
        <v>830</v>
      </c>
      <c r="Z1821" s="61">
        <v>5090103000913</v>
      </c>
      <c r="AA1821" s="28"/>
      <c r="AB1821" s="28" t="s">
        <v>7355</v>
      </c>
      <c r="AC1821" s="28" t="s">
        <v>263</v>
      </c>
    </row>
    <row r="1822" spans="1:29" x14ac:dyDescent="0.25">
      <c r="A1822" s="61">
        <v>110056977080</v>
      </c>
      <c r="B1822" s="28">
        <v>2022</v>
      </c>
      <c r="C1822" s="68">
        <f t="shared" si="29"/>
        <v>44562</v>
      </c>
      <c r="D1822" s="28" t="s">
        <v>1150</v>
      </c>
      <c r="E1822" s="28" t="s">
        <v>1835</v>
      </c>
      <c r="F1822" s="28" t="s">
        <v>1151</v>
      </c>
      <c r="G1822" s="28" t="s">
        <v>338</v>
      </c>
      <c r="H1822" s="28">
        <v>8610</v>
      </c>
      <c r="I1822" s="28">
        <v>40.183062999999997</v>
      </c>
      <c r="J1822" s="28">
        <v>-74.710695000000001</v>
      </c>
      <c r="L1822" s="61">
        <v>110056977080</v>
      </c>
      <c r="M1822" s="28" t="s">
        <v>263</v>
      </c>
      <c r="N1822" s="28">
        <v>4952</v>
      </c>
      <c r="O1822" s="28" t="str">
        <f>IFERROR(VLOOKUP(N1822, 'SIC &amp; NAICS Codes'!A:B, 2, FALSE), "")</f>
        <v>Sewerage Systems</v>
      </c>
      <c r="S1822" s="28">
        <v>1.8486318500000001</v>
      </c>
      <c r="T1822" s="315">
        <f>_xlfn.MAXIFS('Raw Period DMR Data'!$O:$O,'Raw Period DMR Data'!$A:$A,'Raw Annual DMR Data_2021-2024'!#REF!,'Raw Period DMR Data'!$C:$C,X1822)/S1822</f>
        <v>0</v>
      </c>
      <c r="U1822" s="28" t="str">
        <f>+IF(COUNTIFS('Raw Period DMR Data'!$A:$A,B1822,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22" s="28" t="str" cm="1">
        <f t="array" ref="V1822">IFERROR(INDEX('Raw Period DMR Data'!N:N,MATCH(1,(B1822='Raw Period DMR Data'!$A:$A)*(U1822='Raw Period DMR Data'!M:M)*(X1822='Raw Period DMR Data'!C:C),0),1), "N/A")</f>
        <v>N/A</v>
      </c>
      <c r="W1822" s="28" t="s">
        <v>1463</v>
      </c>
      <c r="X1822" s="28" t="s">
        <v>1836</v>
      </c>
      <c r="Y1822" s="28" t="s">
        <v>1837</v>
      </c>
      <c r="Z1822" s="61">
        <v>2040201000021</v>
      </c>
      <c r="AB1822" s="28" t="s">
        <v>7355</v>
      </c>
      <c r="AC1822" s="28" t="s">
        <v>263</v>
      </c>
    </row>
    <row r="1823" spans="1:29" x14ac:dyDescent="0.25">
      <c r="A1823" s="61">
        <v>110056977080</v>
      </c>
      <c r="B1823" s="28">
        <v>2023</v>
      </c>
      <c r="C1823" s="68">
        <f t="shared" si="29"/>
        <v>44927</v>
      </c>
      <c r="D1823" s="28" t="s">
        <v>1150</v>
      </c>
      <c r="E1823" s="28" t="s">
        <v>1835</v>
      </c>
      <c r="F1823" s="28" t="s">
        <v>1151</v>
      </c>
      <c r="G1823" s="28" t="s">
        <v>338</v>
      </c>
      <c r="H1823" s="28" t="s">
        <v>1838</v>
      </c>
      <c r="I1823" s="28">
        <v>40.183062999999997</v>
      </c>
      <c r="J1823" s="28">
        <v>-74.710695000000001</v>
      </c>
      <c r="L1823" s="61">
        <v>110056977080</v>
      </c>
      <c r="M1823" s="28" t="s">
        <v>263</v>
      </c>
      <c r="N1823" s="28">
        <v>4952</v>
      </c>
      <c r="O1823" s="28" t="str">
        <f>IFERROR(VLOOKUP(N1823, 'SIC &amp; NAICS Codes'!A:B, 2, FALSE), "")</f>
        <v>Sewerage Systems</v>
      </c>
      <c r="S1823" s="28">
        <v>1.7689424600000001</v>
      </c>
      <c r="T1823" s="315">
        <f>_xlfn.MAXIFS('Raw Period DMR Data'!$O:$O,'Raw Period DMR Data'!$A:$A,'Raw Annual DMR Data_2021-2024'!#REF!,'Raw Period DMR Data'!$C:$C,X1823)/S1823</f>
        <v>0</v>
      </c>
      <c r="U1823" s="28" t="str">
        <f>+IF(COUNTIFS('Raw Period DMR Data'!$A:$A,B1823,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23" s="28" t="str" cm="1">
        <f t="array" ref="V1823">IFERROR(INDEX('Raw Period DMR Data'!N:N,MATCH(1,(B1823='Raw Period DMR Data'!$A:$A)*(U1823='Raw Period DMR Data'!M:M)*(X1823='Raw Period DMR Data'!C:C),0),1), "N/A")</f>
        <v>N/A</v>
      </c>
      <c r="W1823" s="28" t="s">
        <v>1463</v>
      </c>
      <c r="X1823" s="28" t="s">
        <v>1836</v>
      </c>
      <c r="Y1823" s="28" t="s">
        <v>1837</v>
      </c>
      <c r="Z1823" s="61" t="s">
        <v>1839</v>
      </c>
      <c r="AB1823" s="28" t="s">
        <v>7355</v>
      </c>
      <c r="AC1823" s="28" t="s">
        <v>263</v>
      </c>
    </row>
    <row r="1824" spans="1:29" x14ac:dyDescent="0.25">
      <c r="A1824" s="61">
        <v>110056977080</v>
      </c>
      <c r="B1824" s="28">
        <v>2021</v>
      </c>
      <c r="C1824" s="68">
        <f t="shared" si="29"/>
        <v>44197</v>
      </c>
      <c r="D1824" s="28" t="s">
        <v>1150</v>
      </c>
      <c r="E1824" s="28" t="s">
        <v>1835</v>
      </c>
      <c r="F1824" s="28" t="s">
        <v>1151</v>
      </c>
      <c r="G1824" s="28" t="s">
        <v>338</v>
      </c>
      <c r="H1824" s="28">
        <v>8610</v>
      </c>
      <c r="I1824" s="28">
        <v>40.183062999999997</v>
      </c>
      <c r="J1824" s="28">
        <v>-74.710695000000001</v>
      </c>
      <c r="L1824" s="61">
        <v>110056977080</v>
      </c>
      <c r="M1824" s="28" t="s">
        <v>263</v>
      </c>
      <c r="N1824" s="28">
        <v>4952</v>
      </c>
      <c r="O1824" s="28" t="str">
        <f>IFERROR(VLOOKUP(N1824, 'SIC &amp; NAICS Codes'!A:B, 2, FALSE), "")</f>
        <v>Sewerage Systems</v>
      </c>
      <c r="S1824" s="28">
        <v>1.2067829050000001</v>
      </c>
      <c r="T1824" s="315">
        <f>_xlfn.MAXIFS('Raw Period DMR Data'!$O:$O,'Raw Period DMR Data'!$A:$A,'Raw Annual DMR Data_2021-2024'!#REF!,'Raw Period DMR Data'!$C:$C,X1824)/S1824</f>
        <v>0</v>
      </c>
      <c r="U1824" s="28" t="str">
        <f>+IF(COUNTIFS('Raw Period DMR Data'!$A:$A,B1824,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24" s="28" t="str" cm="1">
        <f t="array" ref="V1824">IFERROR(INDEX('Raw Period DMR Data'!N:N,MATCH(1,(B1824='Raw Period DMR Data'!$A:$A)*(U1824='Raw Period DMR Data'!M:M)*(X1824='Raw Period DMR Data'!C:C),0),1), "N/A")</f>
        <v>N/A</v>
      </c>
      <c r="W1824" s="28" t="s">
        <v>1463</v>
      </c>
      <c r="X1824" s="28" t="s">
        <v>1836</v>
      </c>
      <c r="Y1824" s="28" t="s">
        <v>1837</v>
      </c>
      <c r="Z1824" s="61">
        <v>2040201000021</v>
      </c>
      <c r="AA1824" s="28"/>
      <c r="AB1824" s="28" t="s">
        <v>7355</v>
      </c>
      <c r="AC1824" s="28" t="s">
        <v>263</v>
      </c>
    </row>
    <row r="1825" spans="1:29" x14ac:dyDescent="0.25">
      <c r="A1825" s="61">
        <v>110039757992</v>
      </c>
      <c r="B1825" s="28">
        <v>2021</v>
      </c>
      <c r="C1825" s="68">
        <f t="shared" si="29"/>
        <v>44197</v>
      </c>
      <c r="D1825" s="28" t="s">
        <v>1154</v>
      </c>
      <c r="E1825" s="28" t="s">
        <v>7009</v>
      </c>
      <c r="F1825" s="28" t="s">
        <v>1155</v>
      </c>
      <c r="G1825" s="28" t="s">
        <v>366</v>
      </c>
      <c r="H1825" s="28" t="s">
        <v>1846</v>
      </c>
      <c r="I1825" s="28">
        <v>38.730832999999997</v>
      </c>
      <c r="J1825" s="28">
        <v>-120.846667</v>
      </c>
      <c r="L1825" s="61">
        <v>110039757992</v>
      </c>
      <c r="M1825" s="28" t="s">
        <v>263</v>
      </c>
      <c r="N1825" s="28">
        <v>4952</v>
      </c>
      <c r="O1825" s="28" t="str">
        <f>IFERROR(VLOOKUP(N1825, 'SIC &amp; NAICS Codes'!A:B, 2, FALSE), "")</f>
        <v>Sewerage Systems</v>
      </c>
      <c r="S1825" s="28">
        <v>6.5186783999999998E-2</v>
      </c>
      <c r="T1825" s="315">
        <f>_xlfn.MAXIFS('Raw Period DMR Data'!$O:$O,'Raw Period DMR Data'!$A:$A,'Raw Annual DMR Data_2021-2024'!#REF!,'Raw Period DMR Data'!$C:$C,X1825)/S1825</f>
        <v>0</v>
      </c>
      <c r="U1825" s="28" t="str">
        <f>+IF(COUNTIFS('Raw Period DMR Data'!$A:$A,B1825,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25" s="28" t="str" cm="1">
        <f t="array" ref="V1825">IFERROR(INDEX('Raw Period DMR Data'!N:N,MATCH(1,(B1825='Raw Period DMR Data'!$A:$A)*(U1825='Raw Period DMR Data'!M:M)*(X1825='Raw Period DMR Data'!C:C),0),1), "N/A")</f>
        <v>N/A</v>
      </c>
      <c r="W1825" s="28" t="s">
        <v>1463</v>
      </c>
      <c r="X1825" s="28" t="s">
        <v>7183</v>
      </c>
      <c r="Y1825" s="28" t="s">
        <v>1848</v>
      </c>
      <c r="Z1825" s="61"/>
      <c r="AA1825" s="28"/>
      <c r="AB1825" s="28" t="s">
        <v>7355</v>
      </c>
      <c r="AC1825" s="28" t="s">
        <v>263</v>
      </c>
    </row>
    <row r="1826" spans="1:29" x14ac:dyDescent="0.25">
      <c r="A1826" s="61">
        <v>110039757992</v>
      </c>
      <c r="B1826" s="28">
        <v>2022</v>
      </c>
      <c r="C1826" s="68">
        <f t="shared" si="29"/>
        <v>44562</v>
      </c>
      <c r="D1826" s="28" t="s">
        <v>1154</v>
      </c>
      <c r="E1826" s="28" t="s">
        <v>7009</v>
      </c>
      <c r="F1826" s="28" t="s">
        <v>1155</v>
      </c>
      <c r="G1826" s="28" t="s">
        <v>366</v>
      </c>
      <c r="H1826" s="28" t="s">
        <v>1846</v>
      </c>
      <c r="I1826" s="28">
        <v>38.730832999999997</v>
      </c>
      <c r="J1826" s="28">
        <v>-120.846667</v>
      </c>
      <c r="L1826" s="61">
        <v>110039757992</v>
      </c>
      <c r="M1826" s="28" t="s">
        <v>263</v>
      </c>
      <c r="N1826" s="28">
        <v>4952</v>
      </c>
      <c r="O1826" s="28" t="str">
        <f>IFERROR(VLOOKUP(N1826, 'SIC &amp; NAICS Codes'!A:B, 2, FALSE), "")</f>
        <v>Sewerage Systems</v>
      </c>
      <c r="S1826" s="28">
        <v>2.6440117499999999E-2</v>
      </c>
      <c r="T1826" s="315">
        <f>_xlfn.MAXIFS('Raw Period DMR Data'!$O:$O,'Raw Period DMR Data'!$A:$A,'Raw Annual DMR Data_2021-2024'!#REF!,'Raw Period DMR Data'!$C:$C,X1826)/S1826</f>
        <v>0</v>
      </c>
      <c r="U1826" s="28" t="str">
        <f>+IF(COUNTIFS('Raw Period DMR Data'!$A:$A,B1826,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26" s="28" t="str" cm="1">
        <f t="array" ref="V1826">IFERROR(INDEX('Raw Period DMR Data'!N:N,MATCH(1,(B1826='Raw Period DMR Data'!$A:$A)*(U1826='Raw Period DMR Data'!M:M)*(X1826='Raw Period DMR Data'!C:C),0),1), "N/A")</f>
        <v>N/A</v>
      </c>
      <c r="W1826" s="28" t="s">
        <v>1463</v>
      </c>
      <c r="X1826" s="28" t="s">
        <v>7183</v>
      </c>
      <c r="Y1826" s="28" t="s">
        <v>1848</v>
      </c>
      <c r="Z1826" s="61"/>
      <c r="AB1826" s="28" t="s">
        <v>7355</v>
      </c>
      <c r="AC1826" s="28" t="s">
        <v>263</v>
      </c>
    </row>
    <row r="1827" spans="1:29" x14ac:dyDescent="0.25">
      <c r="A1827" s="61">
        <v>110013786698</v>
      </c>
      <c r="B1827" s="28">
        <v>2022</v>
      </c>
      <c r="C1827" s="68">
        <f t="shared" si="29"/>
        <v>44562</v>
      </c>
      <c r="D1827" s="28" t="s">
        <v>6778</v>
      </c>
      <c r="E1827" s="28" t="s">
        <v>6922</v>
      </c>
      <c r="F1827" s="28" t="s">
        <v>6923</v>
      </c>
      <c r="G1827" s="28" t="s">
        <v>1171</v>
      </c>
      <c r="H1827" s="28">
        <v>96720</v>
      </c>
      <c r="I1827" s="28">
        <v>19.713750000000001</v>
      </c>
      <c r="J1827" s="28">
        <v>-155.01927800000001</v>
      </c>
      <c r="L1827" s="61">
        <v>110013786698</v>
      </c>
      <c r="M1827" s="28" t="s">
        <v>263</v>
      </c>
      <c r="N1827" s="28">
        <v>4952</v>
      </c>
      <c r="O1827" s="28" t="str">
        <f>IFERROR(VLOOKUP(N1827, 'SIC &amp; NAICS Codes'!A:B, 2, FALSE), "")</f>
        <v>Sewerage Systems</v>
      </c>
      <c r="S1827" s="28">
        <v>4.0064225000000002</v>
      </c>
      <c r="T1827" s="315">
        <f>_xlfn.MAXIFS('Raw Period DMR Data'!$O:$O,'Raw Period DMR Data'!$A:$A,'Raw Annual DMR Data_2021-2024'!B2410,'Raw Period DMR Data'!$C:$C,X1827)/S1827</f>
        <v>0</v>
      </c>
      <c r="U1827" s="28" t="str">
        <f>+IF(COUNTIFS('Raw Period DMR Data'!$A:$A,B1827, 'Raw Period DMR Data'!C:C,'Raw Annual DMR Data_2021-2024'!X2410, 'Raw Period DMR Data'!M:M, "&gt;0")&gt;0,_xlfn.MAXIFS('Raw Period DMR Data'!M:M,'Raw Period DMR Data'!$A:$A,'Raw Annual DMR Data_2021-2024'!B2410,'Raw Period DMR Data'!C:C,'Raw Annual DMR Data_2021-2024'!X2410), "N/A - Period DMR Data Not Available")</f>
        <v>N/A - Period DMR Data Not Available</v>
      </c>
      <c r="V1827" s="28" t="str" cm="1">
        <f t="array" ref="V1827">IFERROR(INDEX('Raw Period DMR Data'!N:N,MATCH(1,(B1827='Raw Period DMR Data'!$A:$A)*(U1827='Raw Period DMR Data'!M:M)*(X1827='Raw Period DMR Data'!C:C),0),1), "N/A")</f>
        <v>N/A</v>
      </c>
      <c r="W1827" s="28" t="s">
        <v>1463</v>
      </c>
      <c r="X1827" s="28" t="s">
        <v>7140</v>
      </c>
      <c r="Y1827" s="28" t="s">
        <v>7249</v>
      </c>
      <c r="Z1827" s="61">
        <v>20010000000216</v>
      </c>
      <c r="AC1827" s="28" t="s">
        <v>263</v>
      </c>
    </row>
    <row r="1828" spans="1:29" x14ac:dyDescent="0.25">
      <c r="A1828" s="61">
        <v>110013786698</v>
      </c>
      <c r="B1828" s="28">
        <v>2024</v>
      </c>
      <c r="C1828" s="68">
        <f t="shared" si="29"/>
        <v>45292</v>
      </c>
      <c r="D1828" s="28" t="s">
        <v>6778</v>
      </c>
      <c r="E1828" s="28" t="s">
        <v>6922</v>
      </c>
      <c r="F1828" s="28" t="s">
        <v>6923</v>
      </c>
      <c r="G1828" s="28" t="s">
        <v>1171</v>
      </c>
      <c r="H1828" s="28">
        <v>96720</v>
      </c>
      <c r="I1828" s="28">
        <v>19.713750000000001</v>
      </c>
      <c r="J1828" s="28">
        <v>-155.01927800000001</v>
      </c>
      <c r="L1828" s="61">
        <v>110013786698</v>
      </c>
      <c r="M1828" s="28" t="s">
        <v>263</v>
      </c>
      <c r="N1828" s="28">
        <v>4952</v>
      </c>
      <c r="O1828" s="28" t="str">
        <f>IFERROR(VLOOKUP(N1828, 'SIC &amp; NAICS Codes'!A:B, 2, FALSE), "")</f>
        <v>Sewerage Systems</v>
      </c>
      <c r="S1828" s="28">
        <v>2.4024719750000001</v>
      </c>
      <c r="T1828" s="315">
        <f>_xlfn.MAXIFS('Raw Period DMR Data'!$O:$O,'Raw Period DMR Data'!$A:$A,'Raw Annual DMR Data_2021-2024'!#REF!,'Raw Period DMR Data'!$C:$C,X1828)/S1828</f>
        <v>0</v>
      </c>
      <c r="U1828" s="28" t="str">
        <f>+IF(COUNTIFS('Raw Period DMR Data'!$A:$A,B1828,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28" s="28" t="str" cm="1">
        <f t="array" ref="V1828">IFERROR(INDEX('Raw Period DMR Data'!N:N,MATCH(1,(B1828='Raw Period DMR Data'!$A:$A)*(U1828='Raw Period DMR Data'!M:M)*(X1828='Raw Period DMR Data'!C:C),0),1), "N/A")</f>
        <v>N/A</v>
      </c>
      <c r="W1828" s="28" t="s">
        <v>1463</v>
      </c>
      <c r="X1828" s="28" t="s">
        <v>7140</v>
      </c>
      <c r="Y1828" s="28" t="s">
        <v>7249</v>
      </c>
      <c r="Z1828" s="61">
        <v>20010000000216</v>
      </c>
      <c r="AB1828" s="28" t="s">
        <v>7355</v>
      </c>
      <c r="AC1828" s="28" t="s">
        <v>263</v>
      </c>
    </row>
    <row r="1829" spans="1:29" x14ac:dyDescent="0.25">
      <c r="A1829" s="61">
        <v>110013786698</v>
      </c>
      <c r="B1829" s="28">
        <v>2021</v>
      </c>
      <c r="C1829" s="68">
        <f t="shared" si="29"/>
        <v>44197</v>
      </c>
      <c r="D1829" s="28" t="s">
        <v>6778</v>
      </c>
      <c r="E1829" s="28" t="s">
        <v>6922</v>
      </c>
      <c r="F1829" s="28" t="s">
        <v>6923</v>
      </c>
      <c r="G1829" s="28" t="s">
        <v>1171</v>
      </c>
      <c r="H1829" s="28">
        <v>96720</v>
      </c>
      <c r="I1829" s="28">
        <v>19.713750000000001</v>
      </c>
      <c r="J1829" s="28">
        <v>-155.01927800000001</v>
      </c>
      <c r="L1829" s="61">
        <v>110013786698</v>
      </c>
      <c r="M1829" s="28" t="s">
        <v>263</v>
      </c>
      <c r="N1829" s="28">
        <v>4952</v>
      </c>
      <c r="O1829" s="28" t="str">
        <f>IFERROR(VLOOKUP(N1829, 'SIC &amp; NAICS Codes'!A:B, 2, FALSE), "")</f>
        <v>Sewerage Systems</v>
      </c>
      <c r="S1829" s="28">
        <v>2.305765225</v>
      </c>
      <c r="T1829" s="315">
        <f>_xlfn.MAXIFS('Raw Period DMR Data'!$O:$O,'Raw Period DMR Data'!$A:$A,'Raw Annual DMR Data_2021-2024'!#REF!,'Raw Period DMR Data'!$C:$C,X1829)/S1829</f>
        <v>0</v>
      </c>
      <c r="U1829" s="28" t="str">
        <f>+IF(COUNTIFS('Raw Period DMR Data'!$A:$A,B1829,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29" s="28" t="str" cm="1">
        <f t="array" ref="V1829">IFERROR(INDEX('Raw Period DMR Data'!N:N,MATCH(1,(B1829='Raw Period DMR Data'!$A:$A)*(U1829='Raw Period DMR Data'!M:M)*(X1829='Raw Period DMR Data'!C:C),0),1), "N/A")</f>
        <v>N/A</v>
      </c>
      <c r="W1829" s="28" t="s">
        <v>1463</v>
      </c>
      <c r="X1829" s="28" t="s">
        <v>7140</v>
      </c>
      <c r="Y1829" s="28" t="s">
        <v>7249</v>
      </c>
      <c r="Z1829" s="61">
        <v>20010000000216</v>
      </c>
      <c r="AA1829" s="28"/>
      <c r="AB1829" s="28" t="s">
        <v>7355</v>
      </c>
      <c r="AC1829" s="28" t="s">
        <v>263</v>
      </c>
    </row>
    <row r="1830" spans="1:29" x14ac:dyDescent="0.25">
      <c r="A1830" s="61">
        <v>110013786698</v>
      </c>
      <c r="B1830" s="28">
        <v>2023</v>
      </c>
      <c r="C1830" s="68">
        <f t="shared" si="29"/>
        <v>44927</v>
      </c>
      <c r="D1830" s="28" t="s">
        <v>6778</v>
      </c>
      <c r="E1830" s="28" t="s">
        <v>6922</v>
      </c>
      <c r="F1830" s="28" t="s">
        <v>6923</v>
      </c>
      <c r="G1830" s="28" t="s">
        <v>1171</v>
      </c>
      <c r="H1830" s="28">
        <v>96720</v>
      </c>
      <c r="I1830" s="28">
        <v>19.713750000000001</v>
      </c>
      <c r="J1830" s="28">
        <v>-155.01927800000001</v>
      </c>
      <c r="L1830" s="61">
        <v>110013786698</v>
      </c>
      <c r="M1830" s="28" t="s">
        <v>263</v>
      </c>
      <c r="N1830" s="28">
        <v>4952</v>
      </c>
      <c r="O1830" s="28" t="str">
        <f>IFERROR(VLOOKUP(N1830, 'SIC &amp; NAICS Codes'!A:B, 2, FALSE), "")</f>
        <v>Sewerage Systems</v>
      </c>
      <c r="S1830" s="28">
        <v>2.2691548125000001</v>
      </c>
      <c r="T1830" s="315">
        <f>_xlfn.MAXIFS('Raw Period DMR Data'!$O:$O,'Raw Period DMR Data'!$A:$A,'Raw Annual DMR Data_2021-2024'!#REF!,'Raw Period DMR Data'!$C:$C,X1830)/S1830</f>
        <v>0</v>
      </c>
      <c r="U1830" s="28" t="str">
        <f>+IF(COUNTIFS('Raw Period DMR Data'!$A:$A,B1830,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30" s="28" t="str" cm="1">
        <f t="array" ref="V1830">IFERROR(INDEX('Raw Period DMR Data'!N:N,MATCH(1,(B1830='Raw Period DMR Data'!$A:$A)*(U1830='Raw Period DMR Data'!M:M)*(X1830='Raw Period DMR Data'!C:C),0),1), "N/A")</f>
        <v>N/A</v>
      </c>
      <c r="W1830" s="28" t="s">
        <v>1463</v>
      </c>
      <c r="X1830" s="28" t="s">
        <v>7140</v>
      </c>
      <c r="Y1830" s="28" t="s">
        <v>7249</v>
      </c>
      <c r="Z1830" s="61">
        <v>20010000000216</v>
      </c>
      <c r="AB1830" s="28" t="s">
        <v>7355</v>
      </c>
      <c r="AC1830" s="28" t="s">
        <v>263</v>
      </c>
    </row>
    <row r="1831" spans="1:29" x14ac:dyDescent="0.25">
      <c r="A1831" s="61">
        <v>110000433022</v>
      </c>
      <c r="B1831" s="28">
        <v>2022</v>
      </c>
      <c r="C1831" s="68">
        <f t="shared" si="29"/>
        <v>44562</v>
      </c>
      <c r="D1831" s="28" t="s">
        <v>1160</v>
      </c>
      <c r="E1831" s="28" t="s">
        <v>1856</v>
      </c>
      <c r="F1831" s="28" t="s">
        <v>1103</v>
      </c>
      <c r="G1831" s="28" t="s">
        <v>345</v>
      </c>
      <c r="H1831" s="28" t="s">
        <v>1857</v>
      </c>
      <c r="I1831" s="28">
        <v>41.304952</v>
      </c>
      <c r="J1831" s="28">
        <v>-88.561650999999998</v>
      </c>
      <c r="K1831" s="28" t="s">
        <v>720</v>
      </c>
      <c r="L1831" s="61">
        <v>110000433022</v>
      </c>
      <c r="M1831" s="28" t="s">
        <v>265</v>
      </c>
      <c r="N1831" s="28">
        <v>2821</v>
      </c>
      <c r="O1831" s="28" t="str">
        <f>IFERROR(VLOOKUP(N1831, 'SIC &amp; NAICS Codes'!A:B, 2, FALSE), "")</f>
        <v>Plastics Materials, Synthetic and Resins, and Nonvulcanizable Elastomers</v>
      </c>
      <c r="S1831" s="28">
        <v>0.17283552999999999</v>
      </c>
      <c r="T1831" s="315">
        <f>_xlfn.MAXIFS('Raw Period DMR Data'!$O:$O,'Raw Period DMR Data'!$A:$A,'Raw Annual DMR Data_2021-2024'!#REF!,'Raw Period DMR Data'!$C:$C,X1831)/S1831</f>
        <v>0</v>
      </c>
      <c r="U1831" s="28" t="str">
        <f>+IF(COUNTIFS('Raw Period DMR Data'!$A:$A,B1831,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31" s="28" t="str" cm="1">
        <f t="array" ref="V1831">IFERROR(INDEX('Raw Period DMR Data'!N:N,MATCH(1,(B1831='Raw Period DMR Data'!$A:$A)*(U1831='Raw Period DMR Data'!M:M)*(X1831='Raw Period DMR Data'!C:C),0),1), "N/A")</f>
        <v>N/A</v>
      </c>
      <c r="W1831" s="28" t="s">
        <v>1463</v>
      </c>
      <c r="X1831" s="28" t="s">
        <v>1858</v>
      </c>
      <c r="Y1831" s="28" t="s">
        <v>1859</v>
      </c>
      <c r="Z1831" s="61">
        <v>7120005000124</v>
      </c>
      <c r="AB1831" s="28" t="s">
        <v>7355</v>
      </c>
      <c r="AC1831" s="28" t="s">
        <v>1466</v>
      </c>
    </row>
    <row r="1832" spans="1:29" x14ac:dyDescent="0.25">
      <c r="A1832" s="61">
        <v>110000433022</v>
      </c>
      <c r="B1832" s="28">
        <v>2021</v>
      </c>
      <c r="C1832" s="68">
        <f t="shared" si="29"/>
        <v>44197</v>
      </c>
      <c r="D1832" s="28" t="s">
        <v>1160</v>
      </c>
      <c r="E1832" s="28" t="s">
        <v>1856</v>
      </c>
      <c r="F1832" s="28" t="s">
        <v>1103</v>
      </c>
      <c r="G1832" s="28" t="s">
        <v>345</v>
      </c>
      <c r="H1832" s="28" t="s">
        <v>1857</v>
      </c>
      <c r="I1832" s="28">
        <v>41.304952</v>
      </c>
      <c r="J1832" s="28">
        <v>-88.561650999999998</v>
      </c>
      <c r="K1832" s="28" t="s">
        <v>720</v>
      </c>
      <c r="L1832" s="61">
        <v>110000433022</v>
      </c>
      <c r="M1832" s="28" t="s">
        <v>265</v>
      </c>
      <c r="N1832" s="28">
        <v>2821</v>
      </c>
      <c r="O1832" s="28" t="str">
        <f>IFERROR(VLOOKUP(N1832, 'SIC &amp; NAICS Codes'!A:B, 2, FALSE), "")</f>
        <v>Plastics Materials, Synthetic and Resins, and Nonvulcanizable Elastomers</v>
      </c>
      <c r="S1832" s="28">
        <v>2.8120987E-2</v>
      </c>
      <c r="T1832" s="315">
        <f>_xlfn.MAXIFS('Raw Period DMR Data'!$O:$O,'Raw Period DMR Data'!$A:$A,'Raw Annual DMR Data_2021-2024'!#REF!,'Raw Period DMR Data'!$C:$C,X1832)/S1832</f>
        <v>0</v>
      </c>
      <c r="U1832" s="28" t="str">
        <f>+IF(COUNTIFS('Raw Period DMR Data'!$A:$A,B1832,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32" s="28" t="str" cm="1">
        <f t="array" ref="V1832">IFERROR(INDEX('Raw Period DMR Data'!N:N,MATCH(1,(B1832='Raw Period DMR Data'!$A:$A)*(U1832='Raw Period DMR Data'!M:M)*(X1832='Raw Period DMR Data'!C:C),0),1), "N/A")</f>
        <v>N/A</v>
      </c>
      <c r="W1832" s="28" t="s">
        <v>1463</v>
      </c>
      <c r="X1832" s="28" t="s">
        <v>1858</v>
      </c>
      <c r="Y1832" s="302" t="s">
        <v>1859</v>
      </c>
      <c r="Z1832" s="61">
        <v>7120005000124</v>
      </c>
      <c r="AA1832" s="28"/>
      <c r="AB1832" s="28" t="s">
        <v>7355</v>
      </c>
      <c r="AC1832" s="28" t="s">
        <v>1466</v>
      </c>
    </row>
    <row r="1833" spans="1:29" x14ac:dyDescent="0.25">
      <c r="A1833" s="61">
        <v>110000433022</v>
      </c>
      <c r="B1833" s="28">
        <v>2024</v>
      </c>
      <c r="C1833" s="68">
        <f t="shared" si="29"/>
        <v>45292</v>
      </c>
      <c r="D1833" s="28" t="s">
        <v>1160</v>
      </c>
      <c r="E1833" s="28" t="s">
        <v>1856</v>
      </c>
      <c r="F1833" s="28" t="s">
        <v>1103</v>
      </c>
      <c r="G1833" s="28" t="s">
        <v>345</v>
      </c>
      <c r="H1833" s="28" t="s">
        <v>1857</v>
      </c>
      <c r="I1833" s="28">
        <v>41.304952</v>
      </c>
      <c r="J1833" s="28">
        <v>-88.561650999999998</v>
      </c>
      <c r="K1833" s="28" t="s">
        <v>720</v>
      </c>
      <c r="L1833" s="61">
        <v>110000433022</v>
      </c>
      <c r="M1833" s="28" t="s">
        <v>265</v>
      </c>
      <c r="N1833" s="28">
        <v>2821</v>
      </c>
      <c r="O1833" s="28" t="str">
        <f>IFERROR(VLOOKUP(N1833, 'SIC &amp; NAICS Codes'!A:B, 2, FALSE), "")</f>
        <v>Plastics Materials, Synthetic and Resins, and Nonvulcanizable Elastomers</v>
      </c>
      <c r="S1833" s="28">
        <v>1.938807E-2</v>
      </c>
      <c r="T1833" s="315">
        <f>_xlfn.MAXIFS('Raw Period DMR Data'!$O:$O,'Raw Period DMR Data'!$A:$A,'Raw Annual DMR Data_2021-2024'!#REF!,'Raw Period DMR Data'!$C:$C,X1833)/S1833</f>
        <v>0</v>
      </c>
      <c r="U1833" s="28" t="str">
        <f>+IF(COUNTIFS('Raw Period DMR Data'!$A:$A,B1833,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33" s="28" t="str" cm="1">
        <f t="array" ref="V1833">IFERROR(INDEX('Raw Period DMR Data'!N:N,MATCH(1,(B1833='Raw Period DMR Data'!$A:$A)*(U1833='Raw Period DMR Data'!M:M)*(X1833='Raw Period DMR Data'!C:C),0),1), "N/A")</f>
        <v>N/A</v>
      </c>
      <c r="W1833" s="28" t="s">
        <v>1463</v>
      </c>
      <c r="X1833" s="28" t="s">
        <v>1858</v>
      </c>
      <c r="Y1833" s="28" t="s">
        <v>1859</v>
      </c>
      <c r="Z1833" s="61">
        <v>7120005000124</v>
      </c>
      <c r="AB1833" s="28" t="s">
        <v>7355</v>
      </c>
      <c r="AC1833" s="28" t="s">
        <v>1466</v>
      </c>
    </row>
    <row r="1834" spans="1:29" x14ac:dyDescent="0.25">
      <c r="A1834" s="61">
        <v>110000433022</v>
      </c>
      <c r="B1834" s="28">
        <v>2023</v>
      </c>
      <c r="C1834" s="68">
        <f t="shared" si="29"/>
        <v>44927</v>
      </c>
      <c r="D1834" s="28" t="s">
        <v>1160</v>
      </c>
      <c r="E1834" s="28" t="s">
        <v>1856</v>
      </c>
      <c r="F1834" s="28" t="s">
        <v>1103</v>
      </c>
      <c r="G1834" s="28" t="s">
        <v>345</v>
      </c>
      <c r="H1834" s="28" t="s">
        <v>1857</v>
      </c>
      <c r="I1834" s="28">
        <v>41.304952</v>
      </c>
      <c r="J1834" s="28">
        <v>-88.561650999999998</v>
      </c>
      <c r="K1834" s="28" t="s">
        <v>720</v>
      </c>
      <c r="L1834" s="61">
        <v>110000433022</v>
      </c>
      <c r="M1834" s="28" t="s">
        <v>265</v>
      </c>
      <c r="N1834" s="28">
        <v>2821</v>
      </c>
      <c r="O1834" s="28" t="str">
        <f>IFERROR(VLOOKUP(N1834, 'SIC &amp; NAICS Codes'!A:B, 2, FALSE), "")</f>
        <v>Plastics Materials, Synthetic and Resins, and Nonvulcanizable Elastomers</v>
      </c>
      <c r="S1834" s="28">
        <v>2.0630894999999999E-3</v>
      </c>
      <c r="T1834" s="315">
        <f>_xlfn.MAXIFS('Raw Period DMR Data'!$O:$O,'Raw Period DMR Data'!$A:$A,'Raw Annual DMR Data_2021-2024'!#REF!,'Raw Period DMR Data'!$C:$C,X1834)/S1834</f>
        <v>0</v>
      </c>
      <c r="U1834" s="28" t="str">
        <f>+IF(COUNTIFS('Raw Period DMR Data'!$A:$A,B1834,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34" s="28" t="str" cm="1">
        <f t="array" ref="V1834">IFERROR(INDEX('Raw Period DMR Data'!N:N,MATCH(1,(B1834='Raw Period DMR Data'!$A:$A)*(U1834='Raw Period DMR Data'!M:M)*(X1834='Raw Period DMR Data'!C:C),0),1), "N/A")</f>
        <v>N/A</v>
      </c>
      <c r="W1834" s="28" t="s">
        <v>1463</v>
      </c>
      <c r="X1834" s="28" t="s">
        <v>1858</v>
      </c>
      <c r="Y1834" s="28" t="s">
        <v>1859</v>
      </c>
      <c r="Z1834" s="61" t="s">
        <v>1860</v>
      </c>
      <c r="AB1834" s="28" t="s">
        <v>7355</v>
      </c>
      <c r="AC1834" s="28" t="s">
        <v>1466</v>
      </c>
    </row>
    <row r="1835" spans="1:29" x14ac:dyDescent="0.25">
      <c r="A1835" s="61">
        <v>110070210457</v>
      </c>
      <c r="B1835" s="28">
        <v>2024</v>
      </c>
      <c r="C1835" s="68">
        <f t="shared" si="29"/>
        <v>45292</v>
      </c>
      <c r="D1835" s="28" t="s">
        <v>1161</v>
      </c>
      <c r="E1835" s="28" t="s">
        <v>1861</v>
      </c>
      <c r="F1835" s="28" t="s">
        <v>1162</v>
      </c>
      <c r="G1835" s="28" t="s">
        <v>338</v>
      </c>
      <c r="H1835" s="28">
        <v>80271164</v>
      </c>
      <c r="I1835" s="28">
        <v>39.827696000000003</v>
      </c>
      <c r="J1835" s="28">
        <v>-75.277782000000002</v>
      </c>
      <c r="L1835" s="61">
        <v>110070210457</v>
      </c>
      <c r="M1835" s="28" t="s">
        <v>264</v>
      </c>
      <c r="N1835" s="28">
        <v>2869</v>
      </c>
      <c r="O1835" s="28" t="str">
        <f>IFERROR(VLOOKUP(N1835, 'SIC &amp; NAICS Codes'!A:B, 2, FALSE), "")</f>
        <v>Industrial Organic Chemicals, NEC (aliphatics)</v>
      </c>
      <c r="S1835" s="28">
        <v>7.9982576100000001E-3</v>
      </c>
      <c r="T1835" s="315">
        <f>_xlfn.MAXIFS('Raw Period DMR Data'!$O:$O,'Raw Period DMR Data'!$A:$A,'Raw Annual DMR Data_2021-2024'!#REF!,'Raw Period DMR Data'!$C:$C,X1835)/S1835</f>
        <v>0</v>
      </c>
      <c r="U1835" s="28" t="str">
        <f>+IF(COUNTIFS('Raw Period DMR Data'!$A:$A,B1835,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35" s="28" t="str" cm="1">
        <f t="array" ref="V1835">IFERROR(INDEX('Raw Period DMR Data'!N:N,MATCH(1,(B1835='Raw Period DMR Data'!$A:$A)*(U1835='Raw Period DMR Data'!M:M)*(X1835='Raw Period DMR Data'!C:C),0),1), "N/A")</f>
        <v>N/A</v>
      </c>
      <c r="W1835" s="28" t="s">
        <v>1463</v>
      </c>
      <c r="X1835" s="28" t="s">
        <v>1862</v>
      </c>
      <c r="Y1835" s="28" t="s">
        <v>783</v>
      </c>
      <c r="Z1835" s="61">
        <v>2040202001793</v>
      </c>
      <c r="AB1835" s="28" t="s">
        <v>7355</v>
      </c>
      <c r="AC1835" s="28" t="s">
        <v>1466</v>
      </c>
    </row>
    <row r="1836" spans="1:29" x14ac:dyDescent="0.25">
      <c r="A1836" s="61">
        <v>110070210457</v>
      </c>
      <c r="B1836" s="28">
        <v>2023</v>
      </c>
      <c r="C1836" s="68">
        <f t="shared" si="29"/>
        <v>44927</v>
      </c>
      <c r="D1836" s="28" t="s">
        <v>1161</v>
      </c>
      <c r="E1836" s="28" t="s">
        <v>1861</v>
      </c>
      <c r="F1836" s="28" t="s">
        <v>1162</v>
      </c>
      <c r="G1836" s="28" t="s">
        <v>338</v>
      </c>
      <c r="H1836" s="28" t="s">
        <v>1863</v>
      </c>
      <c r="I1836" s="28">
        <v>39.827696000000003</v>
      </c>
      <c r="J1836" s="28">
        <v>-75.277782000000002</v>
      </c>
      <c r="L1836" s="61">
        <v>110070210457</v>
      </c>
      <c r="M1836" s="28" t="s">
        <v>264</v>
      </c>
      <c r="N1836" s="28">
        <v>2869</v>
      </c>
      <c r="O1836" s="28" t="str">
        <f>IFERROR(VLOOKUP(N1836, 'SIC &amp; NAICS Codes'!A:B, 2, FALSE), "")</f>
        <v>Industrial Organic Chemicals, NEC (aliphatics)</v>
      </c>
      <c r="S1836" s="28">
        <v>7.9977807000000001E-3</v>
      </c>
      <c r="T1836" s="315">
        <f>_xlfn.MAXIFS('Raw Period DMR Data'!$O:$O,'Raw Period DMR Data'!$A:$A,'Raw Annual DMR Data_2021-2024'!#REF!,'Raw Period DMR Data'!$C:$C,X1836)/S1836</f>
        <v>0</v>
      </c>
      <c r="U1836" s="28" t="str">
        <f>+IF(COUNTIFS('Raw Period DMR Data'!$A:$A,B1836,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36" s="28" t="str" cm="1">
        <f t="array" ref="V1836">IFERROR(INDEX('Raw Period DMR Data'!N:N,MATCH(1,(B1836='Raw Period DMR Data'!$A:$A)*(U1836='Raw Period DMR Data'!M:M)*(X1836='Raw Period DMR Data'!C:C),0),1), "N/A")</f>
        <v>N/A</v>
      </c>
      <c r="W1836" s="28" t="s">
        <v>1463</v>
      </c>
      <c r="X1836" s="28" t="s">
        <v>1862</v>
      </c>
      <c r="Y1836" s="28" t="s">
        <v>783</v>
      </c>
      <c r="Z1836" s="61" t="s">
        <v>1864</v>
      </c>
      <c r="AB1836" s="28" t="s">
        <v>7355</v>
      </c>
      <c r="AC1836" s="28" t="s">
        <v>1466</v>
      </c>
    </row>
    <row r="1837" spans="1:29" x14ac:dyDescent="0.25">
      <c r="A1837" s="61">
        <v>110070210457</v>
      </c>
      <c r="B1837" s="28">
        <v>2021</v>
      </c>
      <c r="C1837" s="68">
        <f t="shared" si="29"/>
        <v>44197</v>
      </c>
      <c r="D1837" s="28" t="s">
        <v>1161</v>
      </c>
      <c r="E1837" s="28" t="s">
        <v>1861</v>
      </c>
      <c r="F1837" s="28" t="s">
        <v>1162</v>
      </c>
      <c r="G1837" s="28" t="s">
        <v>338</v>
      </c>
      <c r="H1837" s="28">
        <v>80271164</v>
      </c>
      <c r="I1837" s="28">
        <v>39.827696000000003</v>
      </c>
      <c r="J1837" s="28">
        <v>-75.277782000000002</v>
      </c>
      <c r="L1837" s="61">
        <v>110070210457</v>
      </c>
      <c r="M1837" s="28" t="s">
        <v>264</v>
      </c>
      <c r="N1837" s="28">
        <v>2869</v>
      </c>
      <c r="O1837" s="28" t="str">
        <f>IFERROR(VLOOKUP(N1837, 'SIC &amp; NAICS Codes'!A:B, 2, FALSE), "")</f>
        <v>Industrial Organic Chemicals, NEC (aliphatics)</v>
      </c>
      <c r="S1837" s="28">
        <v>4.1917928750000001E-3</v>
      </c>
      <c r="T1837" s="315">
        <f>_xlfn.MAXIFS('Raw Period DMR Data'!$O:$O,'Raw Period DMR Data'!$A:$A,'Raw Annual DMR Data_2021-2024'!#REF!,'Raw Period DMR Data'!$C:$C,X1837)/S1837</f>
        <v>0</v>
      </c>
      <c r="U1837" s="28" t="str">
        <f>+IF(COUNTIFS('Raw Period DMR Data'!$A:$A,B1837,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37" s="28" t="str" cm="1">
        <f t="array" ref="V1837">IFERROR(INDEX('Raw Period DMR Data'!N:N,MATCH(1,(B1837='Raw Period DMR Data'!$A:$A)*(U1837='Raw Period DMR Data'!M:M)*(X1837='Raw Period DMR Data'!C:C),0),1), "N/A")</f>
        <v>N/A</v>
      </c>
      <c r="W1837" s="28" t="s">
        <v>1463</v>
      </c>
      <c r="X1837" s="28" t="s">
        <v>1862</v>
      </c>
      <c r="Y1837" s="28" t="s">
        <v>783</v>
      </c>
      <c r="Z1837" s="61">
        <v>2040202001793</v>
      </c>
      <c r="AA1837" s="28"/>
      <c r="AB1837" s="28" t="s">
        <v>7355</v>
      </c>
      <c r="AC1837" s="28" t="s">
        <v>1466</v>
      </c>
    </row>
    <row r="1838" spans="1:29" x14ac:dyDescent="0.25">
      <c r="A1838" s="61">
        <v>110070210457</v>
      </c>
      <c r="B1838" s="28">
        <v>2022</v>
      </c>
      <c r="C1838" s="68">
        <f t="shared" si="29"/>
        <v>44562</v>
      </c>
      <c r="D1838" s="28" t="s">
        <v>1161</v>
      </c>
      <c r="E1838" s="28" t="s">
        <v>1861</v>
      </c>
      <c r="F1838" s="28" t="s">
        <v>1162</v>
      </c>
      <c r="G1838" s="28" t="s">
        <v>338</v>
      </c>
      <c r="H1838" s="28">
        <v>80271164</v>
      </c>
      <c r="I1838" s="28">
        <v>39.827696000000003</v>
      </c>
      <c r="J1838" s="28">
        <v>-75.277782000000002</v>
      </c>
      <c r="L1838" s="61">
        <v>110070210457</v>
      </c>
      <c r="M1838" s="28" t="s">
        <v>264</v>
      </c>
      <c r="N1838" s="28">
        <v>2869</v>
      </c>
      <c r="O1838" s="28" t="str">
        <f>IFERROR(VLOOKUP(N1838, 'SIC &amp; NAICS Codes'!A:B, 2, FALSE), "")</f>
        <v>Industrial Organic Chemicals, NEC (aliphatics)</v>
      </c>
      <c r="S1838" s="28">
        <v>2.431767875E-3</v>
      </c>
      <c r="T1838" s="315">
        <f>_xlfn.MAXIFS('Raw Period DMR Data'!$O:$O,'Raw Period DMR Data'!$A:$A,'Raw Annual DMR Data_2021-2024'!#REF!,'Raw Period DMR Data'!$C:$C,X1838)/S1838</f>
        <v>0</v>
      </c>
      <c r="U1838" s="28" t="str">
        <f>+IF(COUNTIFS('Raw Period DMR Data'!$A:$A,B1838,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38" s="28" t="str" cm="1">
        <f t="array" ref="V1838">IFERROR(INDEX('Raw Period DMR Data'!N:N,MATCH(1,(B1838='Raw Period DMR Data'!$A:$A)*(U1838='Raw Period DMR Data'!M:M)*(X1838='Raw Period DMR Data'!C:C),0),1), "N/A")</f>
        <v>N/A</v>
      </c>
      <c r="W1838" s="28" t="s">
        <v>1463</v>
      </c>
      <c r="X1838" s="28" t="s">
        <v>1862</v>
      </c>
      <c r="Y1838" s="28" t="s">
        <v>783</v>
      </c>
      <c r="Z1838" s="61">
        <v>2040202001793</v>
      </c>
      <c r="AB1838" s="28" t="s">
        <v>7355</v>
      </c>
      <c r="AC1838" s="28" t="s">
        <v>1466</v>
      </c>
    </row>
    <row r="1839" spans="1:29" x14ac:dyDescent="0.25">
      <c r="A1839" s="61">
        <v>110037096674</v>
      </c>
      <c r="B1839" s="28">
        <v>2021</v>
      </c>
      <c r="C1839" s="68">
        <f t="shared" si="29"/>
        <v>44197</v>
      </c>
      <c r="D1839" s="28" t="s">
        <v>157</v>
      </c>
      <c r="E1839" s="28" t="s">
        <v>504</v>
      </c>
      <c r="F1839" s="28" t="s">
        <v>505</v>
      </c>
      <c r="G1839" s="28" t="s">
        <v>506</v>
      </c>
      <c r="H1839" s="28">
        <v>20910</v>
      </c>
      <c r="I1839" s="28">
        <v>38.987340000000003</v>
      </c>
      <c r="J1839" s="28">
        <v>-77.026660000000007</v>
      </c>
      <c r="L1839" s="61">
        <v>110037096674</v>
      </c>
      <c r="M1839" s="28" t="s">
        <v>264</v>
      </c>
      <c r="N1839" s="28">
        <v>1522</v>
      </c>
      <c r="O1839" s="28" t="str">
        <f>IFERROR(VLOOKUP(N1839, 'SIC &amp; NAICS Codes'!A:B, 2, FALSE), "")</f>
        <v>General Contractors - Residential Buildings Other Than Single-Family (except remodeling contractors, hotel and motel construction contractors, and dormitory and barrack construction contractors)</v>
      </c>
      <c r="S1839" s="28">
        <v>6.9468385462500004E-2</v>
      </c>
      <c r="T1839" s="315">
        <f>_xlfn.MAXIFS('Raw Period DMR Data'!$O:$O,'Raw Period DMR Data'!$A:$A,'Raw Annual DMR Data_2021-2024'!#REF!,'Raw Period DMR Data'!$C:$C,X1839)/S1839</f>
        <v>0</v>
      </c>
      <c r="U1839" s="28" t="str">
        <f>+IF(COUNTIFS('Raw Period DMR Data'!$A:$A,B1839,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39" s="28" t="str" cm="1">
        <f t="array" ref="V1839">IFERROR(INDEX('Raw Period DMR Data'!N:N,MATCH(1,(B1839='Raw Period DMR Data'!$A:$A)*(U1839='Raw Period DMR Data'!M:M)*(X1839='Raw Period DMR Data'!C:C),0),1), "N/A")</f>
        <v>N/A</v>
      </c>
      <c r="W1839" s="28" t="s">
        <v>1463</v>
      </c>
      <c r="X1839" s="28" t="s">
        <v>874</v>
      </c>
      <c r="Y1839" s="28" t="s">
        <v>875</v>
      </c>
      <c r="Z1839" s="61">
        <v>2070010000088</v>
      </c>
      <c r="AA1839" s="28"/>
      <c r="AB1839" s="28" t="s">
        <v>7355</v>
      </c>
      <c r="AC1839" s="28" t="s">
        <v>1466</v>
      </c>
    </row>
    <row r="1840" spans="1:29" x14ac:dyDescent="0.25">
      <c r="A1840" s="61">
        <v>110037096674</v>
      </c>
      <c r="B1840" s="28">
        <v>2022</v>
      </c>
      <c r="C1840" s="68">
        <f t="shared" si="29"/>
        <v>44562</v>
      </c>
      <c r="D1840" s="28" t="s">
        <v>157</v>
      </c>
      <c r="E1840" s="28" t="s">
        <v>504</v>
      </c>
      <c r="F1840" s="28" t="s">
        <v>505</v>
      </c>
      <c r="G1840" s="28" t="s">
        <v>506</v>
      </c>
      <c r="H1840" s="28">
        <v>20910</v>
      </c>
      <c r="I1840" s="28">
        <v>38.987340000000003</v>
      </c>
      <c r="J1840" s="28">
        <v>-77.026660000000007</v>
      </c>
      <c r="L1840" s="61">
        <v>110037096674</v>
      </c>
      <c r="M1840" s="28" t="s">
        <v>264</v>
      </c>
      <c r="N1840" s="28">
        <v>1522</v>
      </c>
      <c r="O1840" s="28" t="str">
        <f>IFERROR(VLOOKUP(N1840, 'SIC &amp; NAICS Codes'!A:B, 2, FALSE), "")</f>
        <v>General Contractors - Residential Buildings Other Than Single-Family (except remodeling contractors, hotel and motel construction contractors, and dormitory and barrack construction contractors)</v>
      </c>
      <c r="S1840" s="28">
        <v>2.6892356446079999E-2</v>
      </c>
      <c r="T1840" s="315">
        <f>_xlfn.MAXIFS('Raw Period DMR Data'!$O:$O,'Raw Period DMR Data'!$A:$A,'Raw Annual DMR Data_2021-2024'!#REF!,'Raw Period DMR Data'!$C:$C,X1840)/S1840</f>
        <v>0</v>
      </c>
      <c r="U1840" s="28" t="str">
        <f>+IF(COUNTIFS('Raw Period DMR Data'!$A:$A,B1840,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40" s="28" t="str" cm="1">
        <f t="array" ref="V1840">IFERROR(INDEX('Raw Period DMR Data'!N:N,MATCH(1,(B1840='Raw Period DMR Data'!$A:$A)*(U1840='Raw Period DMR Data'!M:M)*(X1840='Raw Period DMR Data'!C:C),0),1), "N/A")</f>
        <v>N/A</v>
      </c>
      <c r="W1840" s="28" t="s">
        <v>1463</v>
      </c>
      <c r="X1840" s="28" t="s">
        <v>874</v>
      </c>
      <c r="Y1840" s="28" t="s">
        <v>875</v>
      </c>
      <c r="Z1840" s="61">
        <v>2070010000088</v>
      </c>
      <c r="AC1840" s="28" t="s">
        <v>1466</v>
      </c>
    </row>
    <row r="1841" spans="1:29" x14ac:dyDescent="0.25">
      <c r="A1841" s="61">
        <v>110000732271</v>
      </c>
      <c r="B1841" s="28">
        <v>2024</v>
      </c>
      <c r="C1841" s="68">
        <f t="shared" si="29"/>
        <v>45292</v>
      </c>
      <c r="D1841" s="28" t="s">
        <v>1163</v>
      </c>
      <c r="E1841" s="28" t="s">
        <v>1865</v>
      </c>
      <c r="F1841" s="28" t="s">
        <v>987</v>
      </c>
      <c r="G1841" s="28" t="s">
        <v>324</v>
      </c>
      <c r="H1841" s="28" t="s">
        <v>1866</v>
      </c>
      <c r="I1841" s="28">
        <v>38.322221999999996</v>
      </c>
      <c r="J1841" s="28">
        <v>-85.555000000000007</v>
      </c>
      <c r="L1841" s="61">
        <v>110000732271</v>
      </c>
      <c r="M1841" s="28" t="s">
        <v>263</v>
      </c>
      <c r="N1841" s="28">
        <v>4952</v>
      </c>
      <c r="O1841" s="28" t="str">
        <f>IFERROR(VLOOKUP(N1841, 'SIC &amp; NAICS Codes'!A:B, 2, FALSE), "")</f>
        <v>Sewerage Systems</v>
      </c>
      <c r="S1841" s="28">
        <v>19.444964375000001</v>
      </c>
      <c r="T1841" s="315">
        <f>_xlfn.MAXIFS('Raw Period DMR Data'!$O:$O,'Raw Period DMR Data'!$A:$A,'Raw Annual DMR Data_2021-2024'!B2325,'Raw Period DMR Data'!$C:$C,X1841)/S1841</f>
        <v>0</v>
      </c>
      <c r="U1841" s="28" t="str">
        <f>+IF(COUNTIFS('Raw Period DMR Data'!$A:$A,B1841, 'Raw Period DMR Data'!C:C,'Raw Annual DMR Data_2021-2024'!X2325, 'Raw Period DMR Data'!M:M, "&gt;0")&gt;0,_xlfn.MAXIFS('Raw Period DMR Data'!M:M,'Raw Period DMR Data'!$A:$A,'Raw Annual DMR Data_2021-2024'!B2325,'Raw Period DMR Data'!C:C,'Raw Annual DMR Data_2021-2024'!X2325), "N/A - Period DMR Data Not Available")</f>
        <v>N/A - Period DMR Data Not Available</v>
      </c>
      <c r="V1841" s="28" t="str" cm="1">
        <f t="array" ref="V1841">IFERROR(INDEX('Raw Period DMR Data'!N:N,MATCH(1,(B1841='Raw Period DMR Data'!$A:$A)*(U1841='Raw Period DMR Data'!M:M)*(X1841='Raw Period DMR Data'!C:C),0),1), "N/A")</f>
        <v>N/A</v>
      </c>
      <c r="W1841" s="28" t="s">
        <v>1463</v>
      </c>
      <c r="X1841" s="28" t="s">
        <v>1867</v>
      </c>
      <c r="Y1841" s="28" t="s">
        <v>1868</v>
      </c>
      <c r="Z1841" s="61">
        <v>5140101000441</v>
      </c>
      <c r="AB1841" s="28" t="s">
        <v>7355</v>
      </c>
      <c r="AC1841" s="28" t="s">
        <v>263</v>
      </c>
    </row>
    <row r="1842" spans="1:29" x14ac:dyDescent="0.25">
      <c r="A1842" s="61">
        <v>110000732271</v>
      </c>
      <c r="B1842" s="28">
        <v>2021</v>
      </c>
      <c r="C1842" s="68">
        <f t="shared" si="29"/>
        <v>44197</v>
      </c>
      <c r="D1842" s="28" t="s">
        <v>1163</v>
      </c>
      <c r="E1842" s="28" t="s">
        <v>1865</v>
      </c>
      <c r="F1842" s="28" t="s">
        <v>987</v>
      </c>
      <c r="G1842" s="28" t="s">
        <v>324</v>
      </c>
      <c r="H1842" s="28" t="s">
        <v>1866</v>
      </c>
      <c r="I1842" s="28">
        <v>38.322221999999996</v>
      </c>
      <c r="J1842" s="28">
        <v>-85.555000000000007</v>
      </c>
      <c r="L1842" s="61">
        <v>110000732271</v>
      </c>
      <c r="M1842" s="28" t="s">
        <v>263</v>
      </c>
      <c r="N1842" s="28">
        <v>4952</v>
      </c>
      <c r="O1842" s="28" t="str">
        <f>IFERROR(VLOOKUP(N1842, 'SIC &amp; NAICS Codes'!A:B, 2, FALSE), "")</f>
        <v>Sewerage Systems</v>
      </c>
      <c r="S1842" s="28">
        <v>14.702879812500001</v>
      </c>
      <c r="T1842" s="315">
        <f>_xlfn.MAXIFS('Raw Period DMR Data'!$O:$O,'Raw Period DMR Data'!$A:$A,'Raw Annual DMR Data_2021-2024'!B2334,'Raw Period DMR Data'!$C:$C,X1842)/S1842</f>
        <v>0</v>
      </c>
      <c r="U1842" s="28" t="str">
        <f>+IF(COUNTIFS('Raw Period DMR Data'!$A:$A,B1842, 'Raw Period DMR Data'!C:C,'Raw Annual DMR Data_2021-2024'!X2334, 'Raw Period DMR Data'!M:M, "&gt;0")&gt;0,_xlfn.MAXIFS('Raw Period DMR Data'!M:M,'Raw Period DMR Data'!$A:$A,'Raw Annual DMR Data_2021-2024'!B2334,'Raw Period DMR Data'!C:C,'Raw Annual DMR Data_2021-2024'!X2334), "N/A - Period DMR Data Not Available")</f>
        <v>N/A - Period DMR Data Not Available</v>
      </c>
      <c r="V1842" s="28" t="str" cm="1">
        <f t="array" ref="V1842">IFERROR(INDEX('Raw Period DMR Data'!N:N,MATCH(1,(B1842='Raw Period DMR Data'!$A:$A)*(U1842='Raw Period DMR Data'!M:M)*(X1842='Raw Period DMR Data'!C:C),0),1), "N/A")</f>
        <v>N/A</v>
      </c>
      <c r="W1842" s="28" t="s">
        <v>1463</v>
      </c>
      <c r="X1842" s="28" t="s">
        <v>1867</v>
      </c>
      <c r="Y1842" s="28" t="s">
        <v>1868</v>
      </c>
      <c r="Z1842" s="61">
        <v>5140101000441</v>
      </c>
      <c r="AA1842" s="28"/>
      <c r="AB1842" s="28" t="s">
        <v>7355</v>
      </c>
      <c r="AC1842" s="28" t="s">
        <v>263</v>
      </c>
    </row>
    <row r="1843" spans="1:29" x14ac:dyDescent="0.25">
      <c r="A1843" s="61">
        <v>110000732271</v>
      </c>
      <c r="B1843" s="28">
        <v>2022</v>
      </c>
      <c r="C1843" s="68">
        <f t="shared" si="29"/>
        <v>44562</v>
      </c>
      <c r="D1843" s="28" t="s">
        <v>1163</v>
      </c>
      <c r="E1843" s="28" t="s">
        <v>1865</v>
      </c>
      <c r="F1843" s="28" t="s">
        <v>987</v>
      </c>
      <c r="G1843" s="28" t="s">
        <v>324</v>
      </c>
      <c r="H1843" s="28" t="s">
        <v>1866</v>
      </c>
      <c r="I1843" s="28">
        <v>38.322221999999996</v>
      </c>
      <c r="J1843" s="28">
        <v>-85.555000000000007</v>
      </c>
      <c r="L1843" s="61">
        <v>110000732271</v>
      </c>
      <c r="M1843" s="28" t="s">
        <v>263</v>
      </c>
      <c r="N1843" s="28">
        <v>4952</v>
      </c>
      <c r="O1843" s="28" t="str">
        <f>IFERROR(VLOOKUP(N1843, 'SIC &amp; NAICS Codes'!A:B, 2, FALSE), "")</f>
        <v>Sewerage Systems</v>
      </c>
      <c r="S1843" s="28">
        <v>0.14243522750000001</v>
      </c>
      <c r="T1843" s="315">
        <f>_xlfn.MAXIFS('Raw Period DMR Data'!$O:$O,'Raw Period DMR Data'!$A:$A,'Raw Annual DMR Data_2021-2024'!#REF!,'Raw Period DMR Data'!$C:$C,X1843)/S1843</f>
        <v>0</v>
      </c>
      <c r="U1843" s="28" t="str">
        <f>+IF(COUNTIFS('Raw Period DMR Data'!$A:$A,B1843,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43" s="28" t="str" cm="1">
        <f t="array" ref="V1843">IFERROR(INDEX('Raw Period DMR Data'!N:N,MATCH(1,(B1843='Raw Period DMR Data'!$A:$A)*(U1843='Raw Period DMR Data'!M:M)*(X1843='Raw Period DMR Data'!C:C),0),1), "N/A")</f>
        <v>N/A</v>
      </c>
      <c r="W1843" s="28" t="s">
        <v>1463</v>
      </c>
      <c r="X1843" s="28" t="s">
        <v>1867</v>
      </c>
      <c r="Y1843" s="28" t="s">
        <v>1868</v>
      </c>
      <c r="Z1843" s="61">
        <v>5140101000441</v>
      </c>
      <c r="AB1843" s="28" t="s">
        <v>7355</v>
      </c>
      <c r="AC1843" s="28" t="s">
        <v>263</v>
      </c>
    </row>
    <row r="1844" spans="1:29" x14ac:dyDescent="0.25">
      <c r="A1844" s="61">
        <v>110070212650</v>
      </c>
      <c r="B1844" s="28">
        <v>2024</v>
      </c>
      <c r="C1844" s="68">
        <f t="shared" si="29"/>
        <v>45292</v>
      </c>
      <c r="D1844" s="28" t="s">
        <v>1167</v>
      </c>
      <c r="E1844" s="28" t="s">
        <v>1875</v>
      </c>
      <c r="F1844" s="28" t="s">
        <v>1168</v>
      </c>
      <c r="G1844" s="28" t="s">
        <v>338</v>
      </c>
      <c r="H1844" s="28">
        <v>79621057</v>
      </c>
      <c r="I1844" s="28">
        <v>40.792712999999999</v>
      </c>
      <c r="J1844" s="28">
        <v>-74.434799999999996</v>
      </c>
      <c r="L1844" s="61">
        <v>110070212650</v>
      </c>
      <c r="M1844" s="28" t="s">
        <v>254</v>
      </c>
      <c r="N1844" s="28">
        <v>8731</v>
      </c>
      <c r="O1844" s="28" t="str">
        <f>IFERROR(VLOOKUP(N1844, 'SIC &amp; NAICS Codes'!A:B, 2, FALSE), "")</f>
        <v>Commercial Physical and Biological Research</v>
      </c>
      <c r="S1844" s="28">
        <v>3.8610745257500002E-2</v>
      </c>
      <c r="T1844" s="315">
        <f>_xlfn.MAXIFS('Raw Period DMR Data'!$O:$O,'Raw Period DMR Data'!$A:$A,'Raw Annual DMR Data_2021-2024'!#REF!,'Raw Period DMR Data'!$C:$C,X1844)/S1844</f>
        <v>0</v>
      </c>
      <c r="U1844" s="28" t="str">
        <f>+IF(COUNTIFS('Raw Period DMR Data'!$A:$A,B1844,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44" s="28" t="str" cm="1">
        <f t="array" ref="V1844">IFERROR(INDEX('Raw Period DMR Data'!N:N,MATCH(1,(B1844='Raw Period DMR Data'!$A:$A)*(U1844='Raw Period DMR Data'!M:M)*(X1844='Raw Period DMR Data'!C:C),0),1), "N/A")</f>
        <v>N/A</v>
      </c>
      <c r="W1844" s="28" t="s">
        <v>1463</v>
      </c>
      <c r="X1844" s="28" t="s">
        <v>1876</v>
      </c>
      <c r="Y1844" s="28" t="s">
        <v>1877</v>
      </c>
      <c r="Z1844" s="61">
        <v>2030103000384</v>
      </c>
      <c r="AB1844" s="28" t="s">
        <v>7355</v>
      </c>
      <c r="AC1844" s="28" t="s">
        <v>1466</v>
      </c>
    </row>
    <row r="1845" spans="1:29" x14ac:dyDescent="0.25">
      <c r="A1845" s="61">
        <v>110070212650</v>
      </c>
      <c r="B1845" s="28">
        <v>2022</v>
      </c>
      <c r="C1845" s="68">
        <f t="shared" si="29"/>
        <v>44562</v>
      </c>
      <c r="D1845" s="28" t="s">
        <v>1167</v>
      </c>
      <c r="E1845" s="28" t="s">
        <v>1875</v>
      </c>
      <c r="F1845" s="28" t="s">
        <v>1168</v>
      </c>
      <c r="G1845" s="28" t="s">
        <v>338</v>
      </c>
      <c r="H1845" s="28">
        <v>79621057</v>
      </c>
      <c r="I1845" s="28">
        <v>40.792712999999999</v>
      </c>
      <c r="J1845" s="28">
        <v>-74.434799999999996</v>
      </c>
      <c r="L1845" s="61">
        <v>110070212650</v>
      </c>
      <c r="M1845" s="28" t="s">
        <v>254</v>
      </c>
      <c r="N1845" s="28">
        <v>8731</v>
      </c>
      <c r="O1845" s="28" t="str">
        <f>IFERROR(VLOOKUP(N1845, 'SIC &amp; NAICS Codes'!A:B, 2, FALSE), "")</f>
        <v>Commercial Physical and Biological Research</v>
      </c>
      <c r="S1845" s="28">
        <v>2.8983807824999999E-2</v>
      </c>
      <c r="T1845" s="315">
        <f>_xlfn.MAXIFS('Raw Period DMR Data'!$O:$O,'Raw Period DMR Data'!$A:$A,'Raw Annual DMR Data_2021-2024'!#REF!,'Raw Period DMR Data'!$C:$C,X1845)/S1845</f>
        <v>0</v>
      </c>
      <c r="U1845" s="28" t="str">
        <f>+IF(COUNTIFS('Raw Period DMR Data'!$A:$A,B1845,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45" s="28" t="str" cm="1">
        <f t="array" ref="V1845">IFERROR(INDEX('Raw Period DMR Data'!N:N,MATCH(1,(B1845='Raw Period DMR Data'!$A:$A)*(U1845='Raw Period DMR Data'!M:M)*(X1845='Raw Period DMR Data'!C:C),0),1), "N/A")</f>
        <v>N/A</v>
      </c>
      <c r="W1845" s="28" t="s">
        <v>1463</v>
      </c>
      <c r="X1845" s="28" t="s">
        <v>1876</v>
      </c>
      <c r="Y1845" s="28" t="s">
        <v>1877</v>
      </c>
      <c r="Z1845" s="61">
        <v>2030103000384</v>
      </c>
      <c r="AB1845" s="28" t="s">
        <v>7355</v>
      </c>
      <c r="AC1845" s="28" t="s">
        <v>1466</v>
      </c>
    </row>
    <row r="1846" spans="1:29" x14ac:dyDescent="0.25">
      <c r="A1846" s="61">
        <v>110070212650</v>
      </c>
      <c r="B1846" s="28">
        <v>2021</v>
      </c>
      <c r="C1846" s="68">
        <f t="shared" si="29"/>
        <v>44197</v>
      </c>
      <c r="D1846" s="28" t="s">
        <v>1167</v>
      </c>
      <c r="E1846" s="28" t="s">
        <v>1875</v>
      </c>
      <c r="F1846" s="28" t="s">
        <v>1168</v>
      </c>
      <c r="G1846" s="28" t="s">
        <v>338</v>
      </c>
      <c r="H1846" s="28">
        <v>79621057</v>
      </c>
      <c r="I1846" s="28">
        <v>40.792712999999999</v>
      </c>
      <c r="J1846" s="28">
        <v>-74.434799999999996</v>
      </c>
      <c r="L1846" s="61">
        <v>110070212650</v>
      </c>
      <c r="M1846" s="28" t="s">
        <v>254</v>
      </c>
      <c r="N1846" s="28">
        <v>8731</v>
      </c>
      <c r="O1846" s="28" t="str">
        <f>IFERROR(VLOOKUP(N1846, 'SIC &amp; NAICS Codes'!A:B, 2, FALSE), "")</f>
        <v>Commercial Physical and Biological Research</v>
      </c>
      <c r="S1846" s="28">
        <v>2.7436514964999999E-2</v>
      </c>
      <c r="T1846" s="315">
        <f>_xlfn.MAXIFS('Raw Period DMR Data'!$O:$O,'Raw Period DMR Data'!$A:$A,'Raw Annual DMR Data_2021-2024'!#REF!,'Raw Period DMR Data'!$C:$C,X1846)/S1846</f>
        <v>0</v>
      </c>
      <c r="U1846" s="28" t="str">
        <f>+IF(COUNTIFS('Raw Period DMR Data'!$A:$A,B1846,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46" s="28" t="str" cm="1">
        <f t="array" ref="V1846">IFERROR(INDEX('Raw Period DMR Data'!N:N,MATCH(1,(B1846='Raw Period DMR Data'!$A:$A)*(U1846='Raw Period DMR Data'!M:M)*(X1846='Raw Period DMR Data'!C:C),0),1), "N/A")</f>
        <v>N/A</v>
      </c>
      <c r="W1846" s="28" t="s">
        <v>1463</v>
      </c>
      <c r="X1846" s="28" t="s">
        <v>1876</v>
      </c>
      <c r="Y1846" s="28" t="s">
        <v>1877</v>
      </c>
      <c r="Z1846" s="61">
        <v>2030103000384</v>
      </c>
      <c r="AA1846" s="28"/>
      <c r="AB1846" s="28" t="s">
        <v>7355</v>
      </c>
      <c r="AC1846" s="28" t="s">
        <v>1466</v>
      </c>
    </row>
    <row r="1847" spans="1:29" x14ac:dyDescent="0.25">
      <c r="A1847" s="61">
        <v>110070212650</v>
      </c>
      <c r="B1847" s="28">
        <v>2023</v>
      </c>
      <c r="C1847" s="68">
        <f t="shared" si="29"/>
        <v>44927</v>
      </c>
      <c r="D1847" s="28" t="s">
        <v>1167</v>
      </c>
      <c r="E1847" s="28" t="s">
        <v>1875</v>
      </c>
      <c r="F1847" s="28" t="s">
        <v>1168</v>
      </c>
      <c r="G1847" s="28" t="s">
        <v>338</v>
      </c>
      <c r="H1847" s="28" t="s">
        <v>1878</v>
      </c>
      <c r="I1847" s="28">
        <v>40.792712999999999</v>
      </c>
      <c r="J1847" s="28">
        <v>-74.434799999999996</v>
      </c>
      <c r="L1847" s="61">
        <v>110070212650</v>
      </c>
      <c r="M1847" s="28" t="s">
        <v>254</v>
      </c>
      <c r="N1847" s="28">
        <v>8731</v>
      </c>
      <c r="O1847" s="28" t="str">
        <f>IFERROR(VLOOKUP(N1847, 'SIC &amp; NAICS Codes'!A:B, 2, FALSE), "")</f>
        <v>Commercial Physical and Biological Research</v>
      </c>
      <c r="S1847" s="28">
        <v>1.8109529320000001E-2</v>
      </c>
      <c r="T1847" s="315">
        <f>_xlfn.MAXIFS('Raw Period DMR Data'!$O:$O,'Raw Period DMR Data'!$A:$A,'Raw Annual DMR Data_2021-2024'!#REF!,'Raw Period DMR Data'!$C:$C,X1847)/S1847</f>
        <v>0</v>
      </c>
      <c r="U1847" s="28" t="str">
        <f>+IF(COUNTIFS('Raw Period DMR Data'!$A:$A,B1847,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47" s="28" t="str" cm="1">
        <f t="array" ref="V1847">IFERROR(INDEX('Raw Period DMR Data'!N:N,MATCH(1,(B1847='Raw Period DMR Data'!$A:$A)*(U1847='Raw Period DMR Data'!M:M)*(X1847='Raw Period DMR Data'!C:C),0),1), "N/A")</f>
        <v>N/A</v>
      </c>
      <c r="W1847" s="28" t="s">
        <v>1463</v>
      </c>
      <c r="X1847" s="28" t="s">
        <v>1876</v>
      </c>
      <c r="Y1847" s="28" t="s">
        <v>1877</v>
      </c>
      <c r="Z1847" s="61" t="s">
        <v>1879</v>
      </c>
      <c r="AB1847" s="28" t="s">
        <v>7355</v>
      </c>
      <c r="AC1847" s="28" t="s">
        <v>1466</v>
      </c>
    </row>
    <row r="1848" spans="1:29" x14ac:dyDescent="0.25">
      <c r="A1848" s="61">
        <v>110033659878</v>
      </c>
      <c r="B1848" s="28">
        <v>2021</v>
      </c>
      <c r="C1848" s="68">
        <f t="shared" si="29"/>
        <v>44197</v>
      </c>
      <c r="D1848" s="28" t="s">
        <v>160</v>
      </c>
      <c r="E1848" s="28" t="s">
        <v>515</v>
      </c>
      <c r="F1848" s="28" t="s">
        <v>516</v>
      </c>
      <c r="G1848" s="28" t="s">
        <v>303</v>
      </c>
      <c r="H1848" s="28" t="s">
        <v>517</v>
      </c>
      <c r="I1848" s="28">
        <v>30.221900000000002</v>
      </c>
      <c r="J1848" s="28">
        <v>-91.051500000000004</v>
      </c>
      <c r="K1848" s="28" t="s">
        <v>518</v>
      </c>
      <c r="L1848" s="61">
        <v>110033659878</v>
      </c>
      <c r="M1848" s="28" t="s">
        <v>251</v>
      </c>
      <c r="N1848" s="28">
        <v>2869</v>
      </c>
      <c r="O1848" s="28" t="str">
        <f>IFERROR(VLOOKUP(N1848, 'SIC &amp; NAICS Codes'!A:B, 2, FALSE), "")</f>
        <v>Industrial Organic Chemicals, NEC (aliphatics)</v>
      </c>
      <c r="S1848" s="28">
        <v>3.9770400000000001</v>
      </c>
      <c r="T1848" s="315">
        <f>_xlfn.MAXIFS('Raw Period DMR Data'!$O:$O,'Raw Period DMR Data'!$A:$A,'Raw Annual DMR Data_2021-2024'!B2411,'Raw Period DMR Data'!$C:$C,X1848)/S1848</f>
        <v>0</v>
      </c>
      <c r="U1848" s="28" t="str">
        <f>+IF(COUNTIFS('Raw Period DMR Data'!$A:$A,B1848, 'Raw Period DMR Data'!C:C,'Raw Annual DMR Data_2021-2024'!X2411, 'Raw Period DMR Data'!M:M, "&gt;0")&gt;0,_xlfn.MAXIFS('Raw Period DMR Data'!M:M,'Raw Period DMR Data'!$A:$A,'Raw Annual DMR Data_2021-2024'!B2411,'Raw Period DMR Data'!C:C,'Raw Annual DMR Data_2021-2024'!X2411), "N/A - Period DMR Data Not Available")</f>
        <v>N/A - Period DMR Data Not Available</v>
      </c>
      <c r="V1848" s="28" t="str" cm="1">
        <f t="array" ref="V1848">IFERROR(INDEX('Raw Period DMR Data'!N:N,MATCH(1,(B1848='Raw Period DMR Data'!$A:$A)*(U1848='Raw Period DMR Data'!M:M)*(X1848='Raw Period DMR Data'!C:C),0),1), "N/A")</f>
        <v>N/A</v>
      </c>
      <c r="W1848" s="28" t="s">
        <v>1463</v>
      </c>
      <c r="X1848" s="28" t="s">
        <v>879</v>
      </c>
      <c r="Y1848" s="28" t="s">
        <v>880</v>
      </c>
      <c r="Z1848" s="61">
        <v>8070202002309</v>
      </c>
      <c r="AC1848" s="28" t="s">
        <v>1466</v>
      </c>
    </row>
    <row r="1849" spans="1:29" x14ac:dyDescent="0.25">
      <c r="A1849" s="61">
        <v>110033659878</v>
      </c>
      <c r="B1849" s="28">
        <v>2023</v>
      </c>
      <c r="C1849" s="68">
        <f t="shared" si="29"/>
        <v>44927</v>
      </c>
      <c r="D1849" s="28" t="s">
        <v>160</v>
      </c>
      <c r="E1849" s="28" t="s">
        <v>515</v>
      </c>
      <c r="F1849" s="28" t="s">
        <v>516</v>
      </c>
      <c r="G1849" s="28" t="s">
        <v>303</v>
      </c>
      <c r="H1849" s="28" t="s">
        <v>517</v>
      </c>
      <c r="I1849" s="28">
        <v>30.221900000000002</v>
      </c>
      <c r="J1849" s="28">
        <v>-91.051500000000004</v>
      </c>
      <c r="K1849" s="28" t="s">
        <v>518</v>
      </c>
      <c r="L1849" s="61">
        <v>110033659878</v>
      </c>
      <c r="M1849" s="28" t="s">
        <v>251</v>
      </c>
      <c r="N1849" s="28">
        <v>2869</v>
      </c>
      <c r="O1849" s="28" t="str">
        <f>IFERROR(VLOOKUP(N1849, 'SIC &amp; NAICS Codes'!A:B, 2, FALSE), "")</f>
        <v>Industrial Organic Chemicals, NEC (aliphatics)</v>
      </c>
      <c r="S1849" s="28">
        <v>3.8113299999999999</v>
      </c>
      <c r="T1849" s="315">
        <f>_xlfn.MAXIFS('Raw Period DMR Data'!$O:$O,'Raw Period DMR Data'!$A:$A,'Raw Annual DMR Data_2021-2024'!B2413,'Raw Period DMR Data'!$C:$C,X1849)/S1849</f>
        <v>0</v>
      </c>
      <c r="U1849" s="28" t="str">
        <f>+IF(COUNTIFS('Raw Period DMR Data'!$A:$A,B1849, 'Raw Period DMR Data'!C:C,'Raw Annual DMR Data_2021-2024'!X2413, 'Raw Period DMR Data'!M:M, "&gt;0")&gt;0,_xlfn.MAXIFS('Raw Period DMR Data'!M:M,'Raw Period DMR Data'!$A:$A,'Raw Annual DMR Data_2021-2024'!B2413,'Raw Period DMR Data'!C:C,'Raw Annual DMR Data_2021-2024'!X2413), "N/A - Period DMR Data Not Available")</f>
        <v>N/A - Period DMR Data Not Available</v>
      </c>
      <c r="V1849" s="28" t="str" cm="1">
        <f t="array" ref="V1849">IFERROR(INDEX('Raw Period DMR Data'!N:N,MATCH(1,(B1849='Raw Period DMR Data'!$A:$A)*(U1849='Raw Period DMR Data'!M:M)*(X1849='Raw Period DMR Data'!C:C),0),1), "N/A")</f>
        <v>N/A</v>
      </c>
      <c r="W1849" s="28" t="s">
        <v>1463</v>
      </c>
      <c r="X1849" s="28" t="s">
        <v>879</v>
      </c>
      <c r="Y1849" s="28" t="s">
        <v>880</v>
      </c>
      <c r="Z1849" s="61" t="s">
        <v>7339</v>
      </c>
      <c r="AC1849" s="28" t="s">
        <v>1466</v>
      </c>
    </row>
    <row r="1850" spans="1:29" x14ac:dyDescent="0.25">
      <c r="A1850" s="61">
        <v>110033659878</v>
      </c>
      <c r="B1850" s="28">
        <v>2024</v>
      </c>
      <c r="C1850" s="68">
        <f t="shared" si="29"/>
        <v>45292</v>
      </c>
      <c r="D1850" s="28" t="s">
        <v>160</v>
      </c>
      <c r="E1850" s="28" t="s">
        <v>515</v>
      </c>
      <c r="F1850" s="28" t="s">
        <v>516</v>
      </c>
      <c r="G1850" s="28" t="s">
        <v>303</v>
      </c>
      <c r="H1850" s="28" t="s">
        <v>517</v>
      </c>
      <c r="I1850" s="28">
        <v>30.221900000000002</v>
      </c>
      <c r="J1850" s="28">
        <v>-91.051500000000004</v>
      </c>
      <c r="K1850" s="28" t="s">
        <v>518</v>
      </c>
      <c r="L1850" s="61">
        <v>110033659878</v>
      </c>
      <c r="M1850" s="28" t="s">
        <v>251</v>
      </c>
      <c r="N1850" s="28">
        <v>2869</v>
      </c>
      <c r="O1850" s="28" t="str">
        <f>IFERROR(VLOOKUP(N1850, 'SIC &amp; NAICS Codes'!A:B, 2, FALSE), "")</f>
        <v>Industrial Organic Chemicals, NEC (aliphatics)</v>
      </c>
      <c r="S1850" s="28">
        <v>0.82855000000000001</v>
      </c>
      <c r="T1850" s="315">
        <f>_xlfn.MAXIFS('Raw Period DMR Data'!$O:$O,'Raw Period DMR Data'!$A:$A,'Raw Annual DMR Data_2021-2024'!#REF!,'Raw Period DMR Data'!$C:$C,X1850)/S1850</f>
        <v>0</v>
      </c>
      <c r="U1850" s="28" t="str">
        <f>+IF(COUNTIFS('Raw Period DMR Data'!$A:$A,B1850,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50" s="28" t="str" cm="1">
        <f t="array" ref="V1850">IFERROR(INDEX('Raw Period DMR Data'!N:N,MATCH(1,(B1850='Raw Period DMR Data'!$A:$A)*(U1850='Raw Period DMR Data'!M:M)*(X1850='Raw Period DMR Data'!C:C),0),1), "N/A")</f>
        <v>N/A</v>
      </c>
      <c r="W1850" s="28" t="s">
        <v>1463</v>
      </c>
      <c r="X1850" s="28" t="s">
        <v>879</v>
      </c>
      <c r="Y1850" s="28" t="s">
        <v>880</v>
      </c>
      <c r="Z1850" s="61">
        <v>8070202002309</v>
      </c>
      <c r="AC1850" s="28" t="s">
        <v>1466</v>
      </c>
    </row>
    <row r="1851" spans="1:29" x14ac:dyDescent="0.25">
      <c r="A1851" s="61">
        <v>110039994897</v>
      </c>
      <c r="B1851" s="28">
        <v>2021</v>
      </c>
      <c r="C1851" s="68">
        <f t="shared" si="29"/>
        <v>44197</v>
      </c>
      <c r="D1851" s="28" t="s">
        <v>1172</v>
      </c>
      <c r="E1851" s="28" t="s">
        <v>1884</v>
      </c>
      <c r="F1851" s="28" t="s">
        <v>1173</v>
      </c>
      <c r="G1851" s="28" t="s">
        <v>324</v>
      </c>
      <c r="H1851" s="28">
        <v>42240</v>
      </c>
      <c r="I1851" s="28">
        <v>36.803610999999997</v>
      </c>
      <c r="J1851" s="28">
        <v>-87.516389000000004</v>
      </c>
      <c r="L1851" s="61">
        <v>110039994897</v>
      </c>
      <c r="M1851" s="28" t="s">
        <v>263</v>
      </c>
      <c r="N1851" s="28">
        <v>4952</v>
      </c>
      <c r="O1851" s="28" t="str">
        <f>IFERROR(VLOOKUP(N1851, 'SIC &amp; NAICS Codes'!A:B, 2, FALSE), "")</f>
        <v>Sewerage Systems</v>
      </c>
      <c r="S1851" s="28">
        <v>5.2207829749999997</v>
      </c>
      <c r="T1851" s="315">
        <f>_xlfn.MAXIFS('Raw Period DMR Data'!$O:$O,'Raw Period DMR Data'!$A:$A,'Raw Annual DMR Data_2021-2024'!B2391,'Raw Period DMR Data'!$C:$C,X1851)/S1851</f>
        <v>0</v>
      </c>
      <c r="U1851" s="28" t="str">
        <f>+IF(COUNTIFS('Raw Period DMR Data'!$A:$A,B1851, 'Raw Period DMR Data'!C:C,'Raw Annual DMR Data_2021-2024'!X2391, 'Raw Period DMR Data'!M:M, "&gt;0")&gt;0,_xlfn.MAXIFS('Raw Period DMR Data'!M:M,'Raw Period DMR Data'!$A:$A,'Raw Annual DMR Data_2021-2024'!B2391,'Raw Period DMR Data'!C:C,'Raw Annual DMR Data_2021-2024'!X2391), "N/A - Period DMR Data Not Available")</f>
        <v>N/A - Period DMR Data Not Available</v>
      </c>
      <c r="V1851" s="28" t="str" cm="1">
        <f t="array" ref="V1851">IFERROR(INDEX('Raw Period DMR Data'!N:N,MATCH(1,(B1851='Raw Period DMR Data'!$A:$A)*(U1851='Raw Period DMR Data'!M:M)*(X1851='Raw Period DMR Data'!C:C),0),1), "N/A")</f>
        <v>N/A</v>
      </c>
      <c r="W1851" s="28" t="s">
        <v>1463</v>
      </c>
      <c r="X1851" s="28" t="s">
        <v>1885</v>
      </c>
      <c r="Y1851" s="28" t="s">
        <v>1886</v>
      </c>
      <c r="Z1851" s="61">
        <v>5130205000237</v>
      </c>
      <c r="AA1851" s="28"/>
      <c r="AB1851" s="28" t="s">
        <v>7355</v>
      </c>
      <c r="AC1851" s="28" t="s">
        <v>263</v>
      </c>
    </row>
    <row r="1852" spans="1:29" x14ac:dyDescent="0.25">
      <c r="A1852" s="61">
        <v>110039994897</v>
      </c>
      <c r="B1852" s="28">
        <v>2024</v>
      </c>
      <c r="C1852" s="68">
        <f t="shared" si="29"/>
        <v>45292</v>
      </c>
      <c r="D1852" s="28" t="s">
        <v>1172</v>
      </c>
      <c r="E1852" s="28" t="s">
        <v>1884</v>
      </c>
      <c r="F1852" s="28" t="s">
        <v>1173</v>
      </c>
      <c r="G1852" s="28" t="s">
        <v>324</v>
      </c>
      <c r="H1852" s="28">
        <v>42240</v>
      </c>
      <c r="I1852" s="28">
        <v>36.803610999999997</v>
      </c>
      <c r="J1852" s="28">
        <v>-87.516389000000004</v>
      </c>
      <c r="L1852" s="61">
        <v>110039994897</v>
      </c>
      <c r="M1852" s="28" t="s">
        <v>263</v>
      </c>
      <c r="N1852" s="28">
        <v>4952</v>
      </c>
      <c r="O1852" s="28" t="str">
        <f>IFERROR(VLOOKUP(N1852, 'SIC &amp; NAICS Codes'!A:B, 2, FALSE), "")</f>
        <v>Sewerage Systems</v>
      </c>
      <c r="S1852" s="28">
        <v>4.1321412750000004</v>
      </c>
      <c r="T1852" s="315">
        <f>_xlfn.MAXIFS('Raw Period DMR Data'!$O:$O,'Raw Period DMR Data'!$A:$A,'Raw Annual DMR Data_2021-2024'!B2404,'Raw Period DMR Data'!$C:$C,X1852)/S1852</f>
        <v>0</v>
      </c>
      <c r="U1852" s="28" t="str">
        <f>+IF(COUNTIFS('Raw Period DMR Data'!$A:$A,B1852, 'Raw Period DMR Data'!C:C,'Raw Annual DMR Data_2021-2024'!X2404, 'Raw Period DMR Data'!M:M, "&gt;0")&gt;0,_xlfn.MAXIFS('Raw Period DMR Data'!M:M,'Raw Period DMR Data'!$A:$A,'Raw Annual DMR Data_2021-2024'!B2404,'Raw Period DMR Data'!C:C,'Raw Annual DMR Data_2021-2024'!X2404), "N/A - Period DMR Data Not Available")</f>
        <v>N/A - Period DMR Data Not Available</v>
      </c>
      <c r="V1852" s="28" t="str" cm="1">
        <f t="array" ref="V1852">IFERROR(INDEX('Raw Period DMR Data'!N:N,MATCH(1,(B1852='Raw Period DMR Data'!$A:$A)*(U1852='Raw Period DMR Data'!M:M)*(X1852='Raw Period DMR Data'!C:C),0),1), "N/A")</f>
        <v>N/A</v>
      </c>
      <c r="W1852" s="28" t="s">
        <v>1463</v>
      </c>
      <c r="X1852" s="28" t="s">
        <v>1885</v>
      </c>
      <c r="Y1852" s="28" t="s">
        <v>1886</v>
      </c>
      <c r="Z1852" s="61">
        <v>5130205000237</v>
      </c>
      <c r="AB1852" s="28" t="s">
        <v>7355</v>
      </c>
      <c r="AC1852" s="28" t="s">
        <v>263</v>
      </c>
    </row>
    <row r="1853" spans="1:29" x14ac:dyDescent="0.25">
      <c r="A1853" s="61">
        <v>110037274133</v>
      </c>
      <c r="B1853" s="28">
        <v>2021</v>
      </c>
      <c r="C1853" s="68">
        <f t="shared" si="29"/>
        <v>44197</v>
      </c>
      <c r="D1853" s="28" t="s">
        <v>1176</v>
      </c>
      <c r="E1853" s="28" t="s">
        <v>1891</v>
      </c>
      <c r="F1853" s="28" t="s">
        <v>657</v>
      </c>
      <c r="G1853" s="28" t="s">
        <v>418</v>
      </c>
      <c r="H1853" s="28">
        <v>89169</v>
      </c>
      <c r="I1853" s="28">
        <v>36.119079999999997</v>
      </c>
      <c r="J1853" s="28">
        <v>-115.15727</v>
      </c>
      <c r="L1853" s="61">
        <v>110037274133</v>
      </c>
      <c r="M1853" s="28" t="s">
        <v>265</v>
      </c>
      <c r="N1853" s="28">
        <v>6512</v>
      </c>
      <c r="O1853" s="28" t="str">
        <f>IFERROR(VLOOKUP(N1853, 'SIC &amp; NAICS Codes'!A:B, 2, FALSE), "")</f>
        <v>Operators of Nonresidential Buildings (except stadium and arena owners)</v>
      </c>
      <c r="S1853" s="28">
        <v>6.4102759999999995E-4</v>
      </c>
      <c r="T1853" s="315">
        <f>_xlfn.MAXIFS('Raw Period DMR Data'!$O:$O,'Raw Period DMR Data'!$A:$A,'Raw Annual DMR Data_2021-2024'!#REF!,'Raw Period DMR Data'!$C:$C,X1853)/S1853</f>
        <v>0</v>
      </c>
      <c r="U1853" s="28" t="str">
        <f>+IF(COUNTIFS('Raw Period DMR Data'!$A:$A,B1853,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53" s="28" t="str" cm="1">
        <f t="array" ref="V1853">IFERROR(INDEX('Raw Period DMR Data'!N:N,MATCH(1,(B1853='Raw Period DMR Data'!$A:$A)*(U1853='Raw Period DMR Data'!M:M)*(X1853='Raw Period DMR Data'!C:C),0),1), "N/A")</f>
        <v>N/A</v>
      </c>
      <c r="W1853" s="28" t="s">
        <v>1463</v>
      </c>
      <c r="X1853" s="28" t="s">
        <v>1892</v>
      </c>
      <c r="Y1853" s="28" t="s">
        <v>1893</v>
      </c>
      <c r="Z1853" s="61">
        <v>15010015000432</v>
      </c>
      <c r="AA1853" s="28"/>
      <c r="AB1853" s="28" t="s">
        <v>7355</v>
      </c>
      <c r="AC1853" s="28" t="s">
        <v>1466</v>
      </c>
    </row>
    <row r="1854" spans="1:29" x14ac:dyDescent="0.25">
      <c r="A1854" s="61">
        <v>110037274133</v>
      </c>
      <c r="B1854" s="28">
        <v>2024</v>
      </c>
      <c r="C1854" s="68">
        <f t="shared" si="29"/>
        <v>45292</v>
      </c>
      <c r="D1854" s="28" t="s">
        <v>1176</v>
      </c>
      <c r="E1854" s="28" t="s">
        <v>1891</v>
      </c>
      <c r="F1854" s="28" t="s">
        <v>657</v>
      </c>
      <c r="G1854" s="28" t="s">
        <v>418</v>
      </c>
      <c r="H1854" s="28">
        <v>89169</v>
      </c>
      <c r="I1854" s="28">
        <v>36.119079999999997</v>
      </c>
      <c r="J1854" s="28">
        <v>-115.15727</v>
      </c>
      <c r="L1854" s="61">
        <v>110037274133</v>
      </c>
      <c r="M1854" s="28" t="s">
        <v>265</v>
      </c>
      <c r="N1854" s="28">
        <v>6512</v>
      </c>
      <c r="O1854" s="28" t="str">
        <f>IFERROR(VLOOKUP(N1854, 'SIC &amp; NAICS Codes'!A:B, 2, FALSE), "")</f>
        <v>Operators of Nonresidential Buildings (except stadium and arena owners)</v>
      </c>
      <c r="S1854" s="28">
        <v>1.4022478749999999E-4</v>
      </c>
      <c r="T1854" s="315">
        <f>_xlfn.MAXIFS('Raw Period DMR Data'!$O:$O,'Raw Period DMR Data'!$A:$A,'Raw Annual DMR Data_2021-2024'!#REF!,'Raw Period DMR Data'!$C:$C,X1854)/S1854</f>
        <v>0</v>
      </c>
      <c r="U1854" s="28" t="str">
        <f>+IF(COUNTIFS('Raw Period DMR Data'!$A:$A,B1854,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54" s="28" t="str" cm="1">
        <f t="array" ref="V1854">IFERROR(INDEX('Raw Period DMR Data'!N:N,MATCH(1,(B1854='Raw Period DMR Data'!$A:$A)*(U1854='Raw Period DMR Data'!M:M)*(X1854='Raw Period DMR Data'!C:C),0),1), "N/A")</f>
        <v>N/A</v>
      </c>
      <c r="W1854" s="28" t="s">
        <v>1463</v>
      </c>
      <c r="X1854" s="28" t="s">
        <v>1892</v>
      </c>
      <c r="Y1854" s="28" t="s">
        <v>1893</v>
      </c>
      <c r="Z1854" s="61">
        <v>15010015000432</v>
      </c>
      <c r="AB1854" s="28" t="s">
        <v>7355</v>
      </c>
      <c r="AC1854" s="28" t="s">
        <v>1466</v>
      </c>
    </row>
    <row r="1855" spans="1:29" x14ac:dyDescent="0.25">
      <c r="A1855" s="61">
        <v>110037274133</v>
      </c>
      <c r="B1855" s="28">
        <v>2023</v>
      </c>
      <c r="C1855" s="68">
        <f t="shared" si="29"/>
        <v>44927</v>
      </c>
      <c r="D1855" s="28" t="s">
        <v>1176</v>
      </c>
      <c r="E1855" s="28" t="s">
        <v>1891</v>
      </c>
      <c r="F1855" s="28" t="s">
        <v>657</v>
      </c>
      <c r="G1855" s="28" t="s">
        <v>418</v>
      </c>
      <c r="H1855" s="28">
        <v>89169</v>
      </c>
      <c r="I1855" s="28">
        <v>36.119079999999997</v>
      </c>
      <c r="J1855" s="28">
        <v>-115.15727</v>
      </c>
      <c r="L1855" s="61">
        <v>110037274133</v>
      </c>
      <c r="M1855" s="28" t="s">
        <v>265</v>
      </c>
      <c r="N1855" s="28">
        <v>6512</v>
      </c>
      <c r="O1855" s="28" t="str">
        <f>IFERROR(VLOOKUP(N1855, 'SIC &amp; NAICS Codes'!A:B, 2, FALSE), "")</f>
        <v>Operators of Nonresidential Buildings (except stadium and arena owners)</v>
      </c>
      <c r="S1855" s="28">
        <v>2.0722875E-6</v>
      </c>
      <c r="T1855" s="315">
        <f>_xlfn.MAXIFS('Raw Period DMR Data'!$O:$O,'Raw Period DMR Data'!$A:$A,'Raw Annual DMR Data_2021-2024'!#REF!,'Raw Period DMR Data'!$C:$C,X1855)/S1855</f>
        <v>0</v>
      </c>
      <c r="U1855" s="28" t="str">
        <f>+IF(COUNTIFS('Raw Period DMR Data'!$A:$A,B1855,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55" s="28" t="str" cm="1">
        <f t="array" ref="V1855">IFERROR(INDEX('Raw Period DMR Data'!N:N,MATCH(1,(B1855='Raw Period DMR Data'!$A:$A)*(U1855='Raw Period DMR Data'!M:M)*(X1855='Raw Period DMR Data'!C:C),0),1), "N/A")</f>
        <v>N/A</v>
      </c>
      <c r="W1855" s="28" t="s">
        <v>1463</v>
      </c>
      <c r="X1855" s="28" t="s">
        <v>1892</v>
      </c>
      <c r="Y1855" s="28" t="s">
        <v>1893</v>
      </c>
      <c r="Z1855" s="61">
        <v>15010015000432</v>
      </c>
      <c r="AB1855" s="28" t="s">
        <v>7355</v>
      </c>
      <c r="AC1855" s="28" t="s">
        <v>1466</v>
      </c>
    </row>
    <row r="1856" spans="1:29" x14ac:dyDescent="0.25">
      <c r="A1856" s="61">
        <v>110037274133</v>
      </c>
      <c r="B1856" s="28">
        <v>2022</v>
      </c>
      <c r="C1856" s="68">
        <f t="shared" si="29"/>
        <v>44562</v>
      </c>
      <c r="D1856" s="28" t="s">
        <v>1176</v>
      </c>
      <c r="E1856" s="28" t="s">
        <v>1891</v>
      </c>
      <c r="F1856" s="28" t="s">
        <v>657</v>
      </c>
      <c r="G1856" s="28" t="s">
        <v>418</v>
      </c>
      <c r="H1856" s="28">
        <v>89169</v>
      </c>
      <c r="I1856" s="28">
        <v>36.119079999999997</v>
      </c>
      <c r="J1856" s="28">
        <v>-115.15727</v>
      </c>
      <c r="L1856" s="61">
        <v>110037274133</v>
      </c>
      <c r="M1856" s="28" t="s">
        <v>265</v>
      </c>
      <c r="N1856" s="28">
        <v>6512</v>
      </c>
      <c r="O1856" s="28" t="str">
        <f>IFERROR(VLOOKUP(N1856, 'SIC &amp; NAICS Codes'!A:B, 2, FALSE), "")</f>
        <v>Operators of Nonresidential Buildings (except stadium and arena owners)</v>
      </c>
      <c r="S1856" s="28">
        <v>1.3815250000000001E-6</v>
      </c>
      <c r="T1856" s="315">
        <f>_xlfn.MAXIFS('Raw Period DMR Data'!$O:$O,'Raw Period DMR Data'!$A:$A,'Raw Annual DMR Data_2021-2024'!#REF!,'Raw Period DMR Data'!$C:$C,X1856)/S1856</f>
        <v>0</v>
      </c>
      <c r="U1856" s="28" t="str">
        <f>+IF(COUNTIFS('Raw Period DMR Data'!$A:$A,B1856,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56" s="28" t="str" cm="1">
        <f t="array" ref="V1856">IFERROR(INDEX('Raw Period DMR Data'!N:N,MATCH(1,(B1856='Raw Period DMR Data'!$A:$A)*(U1856='Raw Period DMR Data'!M:M)*(X1856='Raw Period DMR Data'!C:C),0),1), "N/A")</f>
        <v>N/A</v>
      </c>
      <c r="W1856" s="28" t="s">
        <v>1463</v>
      </c>
      <c r="X1856" s="28" t="s">
        <v>1892</v>
      </c>
      <c r="Y1856" s="28" t="s">
        <v>1893</v>
      </c>
      <c r="Z1856" s="61">
        <v>15010015000432</v>
      </c>
      <c r="AB1856" s="28" t="s">
        <v>7355</v>
      </c>
      <c r="AC1856" s="28" t="s">
        <v>1466</v>
      </c>
    </row>
    <row r="1857" spans="1:29" x14ac:dyDescent="0.25">
      <c r="A1857" s="61">
        <v>110000748095</v>
      </c>
      <c r="B1857" s="28">
        <v>2021</v>
      </c>
      <c r="C1857" s="68">
        <f t="shared" si="29"/>
        <v>44197</v>
      </c>
      <c r="D1857" s="28" t="s">
        <v>162</v>
      </c>
      <c r="E1857" s="28" t="s">
        <v>525</v>
      </c>
      <c r="F1857" s="28" t="s">
        <v>526</v>
      </c>
      <c r="G1857" s="28" t="s">
        <v>362</v>
      </c>
      <c r="H1857" s="28">
        <v>77301</v>
      </c>
      <c r="I1857" s="28">
        <v>30.316129</v>
      </c>
      <c r="J1857" s="28">
        <v>-95.387682999999996</v>
      </c>
      <c r="K1857" s="28" t="s">
        <v>527</v>
      </c>
      <c r="L1857" s="61">
        <v>110000748095</v>
      </c>
      <c r="M1857" s="28" t="s">
        <v>251</v>
      </c>
      <c r="N1857" s="28">
        <v>2869</v>
      </c>
      <c r="O1857" s="28" t="str">
        <f>IFERROR(VLOOKUP(N1857, 'SIC &amp; NAICS Codes'!A:B, 2, FALSE), "")</f>
        <v>Industrial Organic Chemicals, NEC (aliphatics)</v>
      </c>
      <c r="S1857" s="28">
        <v>4.0184674999999999</v>
      </c>
      <c r="T1857" s="315">
        <f>_xlfn.MAXIFS('Raw Period DMR Data'!$O:$O,'Raw Period DMR Data'!$A:$A,'Raw Annual DMR Data_2021-2024'!B2409,'Raw Period DMR Data'!$C:$C,X1857)/S1857</f>
        <v>0</v>
      </c>
      <c r="U1857" s="28" t="str">
        <f>+IF(COUNTIFS('Raw Period DMR Data'!$A:$A,B1857, 'Raw Period DMR Data'!C:C,'Raw Annual DMR Data_2021-2024'!X2409, 'Raw Period DMR Data'!M:M, "&gt;0")&gt;0,_xlfn.MAXIFS('Raw Period DMR Data'!M:M,'Raw Period DMR Data'!$A:$A,'Raw Annual DMR Data_2021-2024'!B2409,'Raw Period DMR Data'!C:C,'Raw Annual DMR Data_2021-2024'!X2409), "N/A - Period DMR Data Not Available")</f>
        <v>N/A - Period DMR Data Not Available</v>
      </c>
      <c r="V1857" s="28" t="str" cm="1">
        <f t="array" ref="V1857">IFERROR(INDEX('Raw Period DMR Data'!N:N,MATCH(1,(B1857='Raw Period DMR Data'!$A:$A)*(U1857='Raw Period DMR Data'!M:M)*(X1857='Raw Period DMR Data'!C:C),0),1), "N/A")</f>
        <v>N/A</v>
      </c>
      <c r="W1857" s="28" t="s">
        <v>1463</v>
      </c>
      <c r="X1857" s="28" t="s">
        <v>883</v>
      </c>
      <c r="Y1857" s="28" t="s">
        <v>7282</v>
      </c>
      <c r="Z1857" s="61">
        <v>12040101000196</v>
      </c>
      <c r="AA1857" s="28"/>
      <c r="AB1857" s="28" t="s">
        <v>7355</v>
      </c>
      <c r="AC1857" s="28" t="s">
        <v>1466</v>
      </c>
    </row>
    <row r="1858" spans="1:29" x14ac:dyDescent="0.25">
      <c r="A1858" s="61">
        <v>110000748095</v>
      </c>
      <c r="B1858" s="28">
        <v>2021</v>
      </c>
      <c r="C1858" s="68">
        <f t="shared" si="29"/>
        <v>44197</v>
      </c>
      <c r="D1858" s="28" t="s">
        <v>162</v>
      </c>
      <c r="E1858" s="28" t="s">
        <v>525</v>
      </c>
      <c r="F1858" s="28" t="s">
        <v>526</v>
      </c>
      <c r="G1858" s="28" t="s">
        <v>362</v>
      </c>
      <c r="H1858" s="28">
        <v>77301</v>
      </c>
      <c r="I1858" s="28">
        <v>30.316129</v>
      </c>
      <c r="J1858" s="28">
        <v>-95.387682999999996</v>
      </c>
      <c r="K1858" s="28" t="s">
        <v>527</v>
      </c>
      <c r="L1858" s="61">
        <v>110000748095</v>
      </c>
      <c r="M1858" s="28" t="s">
        <v>251</v>
      </c>
      <c r="N1858" s="28">
        <v>2869</v>
      </c>
      <c r="O1858" s="28" t="str">
        <f>IFERROR(VLOOKUP(N1858, 'SIC &amp; NAICS Codes'!A:B, 2, FALSE), "")</f>
        <v>Industrial Organic Chemicals, NEC (aliphatics)</v>
      </c>
      <c r="S1858" s="28">
        <v>1.3836785</v>
      </c>
      <c r="T1858" s="315">
        <f>_xlfn.MAXIFS('Raw Period DMR Data'!$O:$O,'Raw Period DMR Data'!$A:$A,'Raw Annual DMR Data_2021-2024'!#REF!,'Raw Period DMR Data'!$C:$C,X1858)/S1858</f>
        <v>0</v>
      </c>
      <c r="U1858" s="28" t="str">
        <f>+IF(COUNTIFS('Raw Period DMR Data'!$A:$A,B1858,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58" s="28" t="str" cm="1">
        <f t="array" ref="V1858">IFERROR(INDEX('Raw Period DMR Data'!N:N,MATCH(1,(B1858='Raw Period DMR Data'!$A:$A)*(U1858='Raw Period DMR Data'!M:M)*(X1858='Raw Period DMR Data'!C:C),0),1), "N/A")</f>
        <v>N/A</v>
      </c>
      <c r="W1858" s="28" t="s">
        <v>1463</v>
      </c>
      <c r="X1858" s="28" t="s">
        <v>883</v>
      </c>
      <c r="Y1858" s="28" t="s">
        <v>7282</v>
      </c>
      <c r="Z1858" s="61">
        <v>12040101000196</v>
      </c>
      <c r="AA1858" s="28"/>
      <c r="AB1858" s="28" t="s">
        <v>7355</v>
      </c>
      <c r="AC1858" s="28" t="s">
        <v>1466</v>
      </c>
    </row>
    <row r="1859" spans="1:29" x14ac:dyDescent="0.25">
      <c r="A1859" s="61">
        <v>110000748095</v>
      </c>
      <c r="B1859" s="28">
        <v>2022</v>
      </c>
      <c r="C1859" s="68">
        <f t="shared" si="29"/>
        <v>44562</v>
      </c>
      <c r="D1859" s="28" t="s">
        <v>162</v>
      </c>
      <c r="E1859" s="28" t="s">
        <v>525</v>
      </c>
      <c r="F1859" s="28" t="s">
        <v>526</v>
      </c>
      <c r="G1859" s="28" t="s">
        <v>362</v>
      </c>
      <c r="H1859" s="28">
        <v>77301</v>
      </c>
      <c r="I1859" s="28">
        <v>30.316129</v>
      </c>
      <c r="J1859" s="28">
        <v>-95.387682999999996</v>
      </c>
      <c r="K1859" s="28" t="s">
        <v>527</v>
      </c>
      <c r="L1859" s="61">
        <v>110000748095</v>
      </c>
      <c r="M1859" s="28" t="s">
        <v>251</v>
      </c>
      <c r="N1859" s="28">
        <v>2869</v>
      </c>
      <c r="O1859" s="28" t="str">
        <f>IFERROR(VLOOKUP(N1859, 'SIC &amp; NAICS Codes'!A:B, 2, FALSE), "")</f>
        <v>Industrial Organic Chemicals, NEC (aliphatics)</v>
      </c>
      <c r="S1859" s="28">
        <v>0.2071375</v>
      </c>
      <c r="T1859" s="315">
        <f>_xlfn.MAXIFS('Raw Period DMR Data'!$O:$O,'Raw Period DMR Data'!$A:$A,'Raw Annual DMR Data_2021-2024'!#REF!,'Raw Period DMR Data'!$C:$C,X1859)/S1859</f>
        <v>0</v>
      </c>
      <c r="U1859" s="28" t="str">
        <f>+IF(COUNTIFS('Raw Period DMR Data'!$A:$A,B1859,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59" s="28" t="str" cm="1">
        <f t="array" ref="V1859">IFERROR(INDEX('Raw Period DMR Data'!N:N,MATCH(1,(B1859='Raw Period DMR Data'!$A:$A)*(U1859='Raw Period DMR Data'!M:M)*(X1859='Raw Period DMR Data'!C:C),0),1), "N/A")</f>
        <v>N/A</v>
      </c>
      <c r="W1859" s="28" t="s">
        <v>1463</v>
      </c>
      <c r="X1859" s="28" t="s">
        <v>883</v>
      </c>
      <c r="Y1859" s="28" t="s">
        <v>7282</v>
      </c>
      <c r="Z1859" s="61">
        <v>12040101000196</v>
      </c>
      <c r="AB1859" s="28" t="s">
        <v>7355</v>
      </c>
      <c r="AC1859" s="28" t="s">
        <v>1466</v>
      </c>
    </row>
    <row r="1860" spans="1:29" x14ac:dyDescent="0.25">
      <c r="A1860" s="61">
        <v>110000748095</v>
      </c>
      <c r="B1860" s="28">
        <v>2024</v>
      </c>
      <c r="C1860" s="68">
        <f t="shared" si="29"/>
        <v>45292</v>
      </c>
      <c r="D1860" s="28" t="s">
        <v>162</v>
      </c>
      <c r="E1860" s="28" t="s">
        <v>525</v>
      </c>
      <c r="F1860" s="28" t="s">
        <v>526</v>
      </c>
      <c r="G1860" s="28" t="s">
        <v>362</v>
      </c>
      <c r="H1860" s="28">
        <v>77301</v>
      </c>
      <c r="I1860" s="28">
        <v>30.316129</v>
      </c>
      <c r="J1860" s="28">
        <v>-95.387682999999996</v>
      </c>
      <c r="K1860" s="28" t="s">
        <v>527</v>
      </c>
      <c r="L1860" s="61">
        <v>110000748095</v>
      </c>
      <c r="M1860" s="28" t="s">
        <v>251</v>
      </c>
      <c r="N1860" s="28">
        <v>2869</v>
      </c>
      <c r="O1860" s="28" t="str">
        <f>IFERROR(VLOOKUP(N1860, 'SIC &amp; NAICS Codes'!A:B, 2, FALSE), "")</f>
        <v>Industrial Organic Chemicals, NEC (aliphatics)</v>
      </c>
      <c r="S1860" s="28">
        <v>0.126685295</v>
      </c>
      <c r="T1860" s="315">
        <f>_xlfn.MAXIFS('Raw Period DMR Data'!$O:$O,'Raw Period DMR Data'!$A:$A,'Raw Annual DMR Data_2021-2024'!#REF!,'Raw Period DMR Data'!$C:$C,X1860)/S1860</f>
        <v>0</v>
      </c>
      <c r="U1860" s="28" t="str">
        <f>+IF(COUNTIFS('Raw Period DMR Data'!$A:$A,B1860,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60" s="28" t="str" cm="1">
        <f t="array" ref="V1860">IFERROR(INDEX('Raw Period DMR Data'!N:N,MATCH(1,(B1860='Raw Period DMR Data'!$A:$A)*(U1860='Raw Period DMR Data'!M:M)*(X1860='Raw Period DMR Data'!C:C),0),1), "N/A")</f>
        <v>N/A</v>
      </c>
      <c r="W1860" s="28" t="s">
        <v>1463</v>
      </c>
      <c r="X1860" s="28" t="s">
        <v>883</v>
      </c>
      <c r="Y1860" s="28" t="s">
        <v>7282</v>
      </c>
      <c r="Z1860" s="61">
        <v>12040101000196</v>
      </c>
      <c r="AB1860" s="28" t="s">
        <v>7355</v>
      </c>
      <c r="AC1860" s="28" t="s">
        <v>1466</v>
      </c>
    </row>
    <row r="1861" spans="1:29" x14ac:dyDescent="0.25">
      <c r="A1861" s="61">
        <v>110024468128</v>
      </c>
      <c r="B1861" s="28">
        <v>2023</v>
      </c>
      <c r="C1861" s="68">
        <f t="shared" si="29"/>
        <v>44927</v>
      </c>
      <c r="D1861" s="28" t="s">
        <v>1177</v>
      </c>
      <c r="E1861" s="28" t="s">
        <v>1894</v>
      </c>
      <c r="F1861" s="28" t="s">
        <v>1178</v>
      </c>
      <c r="G1861" s="28" t="s">
        <v>308</v>
      </c>
      <c r="H1861" s="28" t="s">
        <v>7106</v>
      </c>
      <c r="I1861" s="28">
        <v>42.482259999999997</v>
      </c>
      <c r="J1861" s="28">
        <v>-71.191800000000001</v>
      </c>
      <c r="L1861" s="61">
        <v>110024468128</v>
      </c>
      <c r="M1861" s="28" t="s">
        <v>265</v>
      </c>
      <c r="O1861" s="28" t="str">
        <f>IFERROR(VLOOKUP(N1861, 'SIC &amp; NAICS Codes'!A:B, 2, FALSE), "")</f>
        <v/>
      </c>
      <c r="S1861" s="28">
        <v>3.3631958150000002E-2</v>
      </c>
      <c r="T1861" s="315">
        <f>_xlfn.MAXIFS('Raw Period DMR Data'!$O:$O,'Raw Period DMR Data'!$A:$A,'Raw Annual DMR Data_2021-2024'!#REF!,'Raw Period DMR Data'!$C:$C,X1861)/S1861</f>
        <v>0</v>
      </c>
      <c r="U1861" s="28" t="str">
        <f>+IF(COUNTIFS('Raw Period DMR Data'!$A:$A,B1861,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61" s="28" t="str" cm="1">
        <f t="array" ref="V1861">IFERROR(INDEX('Raw Period DMR Data'!N:N,MATCH(1,(B1861='Raw Period DMR Data'!$A:$A)*(U1861='Raw Period DMR Data'!M:M)*(X1861='Raw Period DMR Data'!C:C),0),1), "N/A")</f>
        <v>N/A</v>
      </c>
      <c r="W1861" s="28" t="s">
        <v>1463</v>
      </c>
      <c r="X1861" s="28" t="s">
        <v>1895</v>
      </c>
      <c r="Y1861" s="28" t="s">
        <v>1896</v>
      </c>
      <c r="Z1861" s="61" t="s">
        <v>7353</v>
      </c>
      <c r="AB1861" s="28" t="s">
        <v>7355</v>
      </c>
      <c r="AC1861" s="28" t="s">
        <v>1466</v>
      </c>
    </row>
    <row r="1862" spans="1:29" x14ac:dyDescent="0.25">
      <c r="A1862" s="61">
        <v>110024468128</v>
      </c>
      <c r="B1862" s="28">
        <v>2021</v>
      </c>
      <c r="C1862" s="68">
        <f t="shared" si="29"/>
        <v>44197</v>
      </c>
      <c r="D1862" s="28" t="s">
        <v>1177</v>
      </c>
      <c r="E1862" s="28" t="s">
        <v>1894</v>
      </c>
      <c r="F1862" s="28" t="s">
        <v>1178</v>
      </c>
      <c r="G1862" s="28" t="s">
        <v>308</v>
      </c>
      <c r="H1862" s="28">
        <v>1803</v>
      </c>
      <c r="I1862" s="28">
        <v>42.482259999999997</v>
      </c>
      <c r="J1862" s="28">
        <v>-71.191800000000001</v>
      </c>
      <c r="L1862" s="61">
        <v>110024468128</v>
      </c>
      <c r="M1862" s="28" t="s">
        <v>265</v>
      </c>
      <c r="O1862" s="28" t="str">
        <f>IFERROR(VLOOKUP(N1862, 'SIC &amp; NAICS Codes'!A:B, 2, FALSE), "")</f>
        <v/>
      </c>
      <c r="S1862" s="28">
        <v>2.9705172049999999E-2</v>
      </c>
      <c r="T1862" s="315">
        <f>_xlfn.MAXIFS('Raw Period DMR Data'!$O:$O,'Raw Period DMR Data'!$A:$A,'Raw Annual DMR Data_2021-2024'!#REF!,'Raw Period DMR Data'!$C:$C,X1862)/S1862</f>
        <v>0</v>
      </c>
      <c r="U1862" s="28" t="str">
        <f>+IF(COUNTIFS('Raw Period DMR Data'!$A:$A,B1862,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62" s="28" t="str" cm="1">
        <f t="array" ref="V1862">IFERROR(INDEX('Raw Period DMR Data'!N:N,MATCH(1,(B1862='Raw Period DMR Data'!$A:$A)*(U1862='Raw Period DMR Data'!M:M)*(X1862='Raw Period DMR Data'!C:C),0),1), "N/A")</f>
        <v>N/A</v>
      </c>
      <c r="W1862" s="28" t="s">
        <v>1463</v>
      </c>
      <c r="X1862" s="28" t="s">
        <v>1895</v>
      </c>
      <c r="Y1862" s="28" t="s">
        <v>1896</v>
      </c>
      <c r="Z1862" s="61">
        <v>1070006000619</v>
      </c>
      <c r="AA1862" s="28"/>
      <c r="AB1862" s="28" t="s">
        <v>7355</v>
      </c>
      <c r="AC1862" s="28" t="s">
        <v>1466</v>
      </c>
    </row>
    <row r="1863" spans="1:29" x14ac:dyDescent="0.25">
      <c r="A1863" s="61">
        <v>110024468128</v>
      </c>
      <c r="B1863" s="28">
        <v>2022</v>
      </c>
      <c r="C1863" s="68">
        <f t="shared" ref="C1863:C1926" si="30">DATE(B1863, 1, 1)</f>
        <v>44562</v>
      </c>
      <c r="D1863" s="28" t="s">
        <v>1177</v>
      </c>
      <c r="E1863" s="28" t="s">
        <v>1894</v>
      </c>
      <c r="F1863" s="28" t="s">
        <v>1178</v>
      </c>
      <c r="G1863" s="28" t="s">
        <v>308</v>
      </c>
      <c r="H1863" s="28">
        <v>1803</v>
      </c>
      <c r="I1863" s="28">
        <v>42.482259999999997</v>
      </c>
      <c r="J1863" s="28">
        <v>-71.191800000000001</v>
      </c>
      <c r="L1863" s="61">
        <v>110024468128</v>
      </c>
      <c r="M1863" s="28" t="s">
        <v>265</v>
      </c>
      <c r="O1863" s="28" t="str">
        <f>IFERROR(VLOOKUP(N1863, 'SIC &amp; NAICS Codes'!A:B, 2, FALSE), "")</f>
        <v/>
      </c>
      <c r="S1863" s="28">
        <v>2.9415241049999999E-2</v>
      </c>
      <c r="T1863" s="315">
        <f>_xlfn.MAXIFS('Raw Period DMR Data'!$O:$O,'Raw Period DMR Data'!$A:$A,'Raw Annual DMR Data_2021-2024'!#REF!,'Raw Period DMR Data'!$C:$C,X1863)/S1863</f>
        <v>0</v>
      </c>
      <c r="U1863" s="28" t="str">
        <f>+IF(COUNTIFS('Raw Period DMR Data'!$A:$A,B1863,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63" s="28" t="str" cm="1">
        <f t="array" ref="V1863">IFERROR(INDEX('Raw Period DMR Data'!N:N,MATCH(1,(B1863='Raw Period DMR Data'!$A:$A)*(U1863='Raw Period DMR Data'!M:M)*(X1863='Raw Period DMR Data'!C:C),0),1), "N/A")</f>
        <v>N/A</v>
      </c>
      <c r="W1863" s="28" t="s">
        <v>1463</v>
      </c>
      <c r="X1863" s="28" t="s">
        <v>1895</v>
      </c>
      <c r="Y1863" s="28" t="s">
        <v>1896</v>
      </c>
      <c r="Z1863" s="61">
        <v>1070006000619</v>
      </c>
      <c r="AB1863" s="28" t="s">
        <v>7355</v>
      </c>
      <c r="AC1863" s="28" t="s">
        <v>1466</v>
      </c>
    </row>
    <row r="1864" spans="1:29" x14ac:dyDescent="0.25">
      <c r="A1864" s="61">
        <v>110000607772</v>
      </c>
      <c r="B1864" s="28">
        <v>2022</v>
      </c>
      <c r="C1864" s="68">
        <f t="shared" si="30"/>
        <v>44562</v>
      </c>
      <c r="D1864" s="28" t="s">
        <v>6836</v>
      </c>
      <c r="E1864" s="28" t="s">
        <v>528</v>
      </c>
      <c r="F1864" s="28" t="s">
        <v>529</v>
      </c>
      <c r="G1864" s="28" t="s">
        <v>311</v>
      </c>
      <c r="H1864" s="28">
        <v>25515</v>
      </c>
      <c r="I1864" s="28">
        <v>38.772219999999997</v>
      </c>
      <c r="J1864" s="28">
        <v>-82.205560000000006</v>
      </c>
      <c r="K1864" s="28" t="s">
        <v>531</v>
      </c>
      <c r="L1864" s="61">
        <v>110000607772</v>
      </c>
      <c r="M1864" s="28" t="s">
        <v>251</v>
      </c>
      <c r="N1864" s="28">
        <v>2869</v>
      </c>
      <c r="O1864" s="28" t="str">
        <f>IFERROR(VLOOKUP(N1864, 'SIC &amp; NAICS Codes'!A:B, 2, FALSE), "")</f>
        <v>Industrial Organic Chemicals, NEC (aliphatics)</v>
      </c>
      <c r="S1864" s="28">
        <v>0.41716114285714201</v>
      </c>
      <c r="T1864" s="315">
        <f>_xlfn.MAXIFS('Raw Period DMR Data'!$O:$O,'Raw Period DMR Data'!$A:$A,'Raw Annual DMR Data_2021-2024'!#REF!,'Raw Period DMR Data'!$C:$C,X1864)/S1864</f>
        <v>0</v>
      </c>
      <c r="U1864" s="28" t="str">
        <f>+IF(COUNTIFS('Raw Period DMR Data'!$A:$A,B1864,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64" s="28" t="str" cm="1">
        <f t="array" ref="V1864">IFERROR(INDEX('Raw Period DMR Data'!N:N,MATCH(1,(B1864='Raw Period DMR Data'!$A:$A)*(U1864='Raw Period DMR Data'!M:M)*(X1864='Raw Period DMR Data'!C:C),0),1), "N/A")</f>
        <v>N/A</v>
      </c>
      <c r="W1864" s="28" t="s">
        <v>1463</v>
      </c>
      <c r="X1864" s="28" t="s">
        <v>885</v>
      </c>
      <c r="Y1864" s="28" t="s">
        <v>830</v>
      </c>
      <c r="Z1864" s="61">
        <v>5090101001861</v>
      </c>
      <c r="AC1864" s="28" t="s">
        <v>1466</v>
      </c>
    </row>
    <row r="1865" spans="1:29" x14ac:dyDescent="0.25">
      <c r="A1865" s="61">
        <v>110000607772</v>
      </c>
      <c r="B1865" s="28">
        <v>2021</v>
      </c>
      <c r="C1865" s="68">
        <f t="shared" si="30"/>
        <v>44197</v>
      </c>
      <c r="D1865" s="28" t="s">
        <v>6836</v>
      </c>
      <c r="E1865" s="28" t="s">
        <v>528</v>
      </c>
      <c r="F1865" s="28" t="s">
        <v>529</v>
      </c>
      <c r="G1865" s="28" t="s">
        <v>311</v>
      </c>
      <c r="H1865" s="28">
        <v>25515</v>
      </c>
      <c r="I1865" s="28">
        <v>38.772219999999997</v>
      </c>
      <c r="J1865" s="28">
        <v>-82.205560000000006</v>
      </c>
      <c r="K1865" s="28" t="s">
        <v>531</v>
      </c>
      <c r="L1865" s="61">
        <v>110000607772</v>
      </c>
      <c r="M1865" s="28" t="s">
        <v>251</v>
      </c>
      <c r="N1865" s="28">
        <v>2869</v>
      </c>
      <c r="O1865" s="28" t="str">
        <f>IFERROR(VLOOKUP(N1865, 'SIC &amp; NAICS Codes'!A:B, 2, FALSE), "")</f>
        <v>Industrial Organic Chemicals, NEC (aliphatics)</v>
      </c>
      <c r="S1865" s="28">
        <v>0.17068130000000001</v>
      </c>
      <c r="T1865" s="315">
        <f>_xlfn.MAXIFS('Raw Period DMR Data'!$O:$O,'Raw Period DMR Data'!$A:$A,'Raw Annual DMR Data_2021-2024'!#REF!,'Raw Period DMR Data'!$C:$C,X1865)/S1865</f>
        <v>0</v>
      </c>
      <c r="U1865" s="28" t="str">
        <f>+IF(COUNTIFS('Raw Period DMR Data'!$A:$A,B1865,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65" s="28" t="str" cm="1">
        <f t="array" ref="V1865">IFERROR(INDEX('Raw Period DMR Data'!N:N,MATCH(1,(B1865='Raw Period DMR Data'!$A:$A)*(U1865='Raw Period DMR Data'!M:M)*(X1865='Raw Period DMR Data'!C:C),0),1), "N/A")</f>
        <v>N/A</v>
      </c>
      <c r="W1865" s="28" t="s">
        <v>1463</v>
      </c>
      <c r="X1865" s="28" t="s">
        <v>885</v>
      </c>
      <c r="Y1865" s="28" t="s">
        <v>830</v>
      </c>
      <c r="Z1865" s="61">
        <v>5090101001861</v>
      </c>
      <c r="AA1865" s="28"/>
      <c r="AC1865" s="28" t="s">
        <v>1466</v>
      </c>
    </row>
    <row r="1866" spans="1:29" x14ac:dyDescent="0.25">
      <c r="A1866" s="61">
        <v>110018199377</v>
      </c>
      <c r="B1866" s="28">
        <v>2021</v>
      </c>
      <c r="C1866" s="68">
        <f t="shared" si="30"/>
        <v>44197</v>
      </c>
      <c r="D1866" s="28" t="s">
        <v>1181</v>
      </c>
      <c r="E1866" s="28" t="s">
        <v>1903</v>
      </c>
      <c r="F1866" s="28" t="s">
        <v>1182</v>
      </c>
      <c r="G1866" s="28" t="s">
        <v>345</v>
      </c>
      <c r="H1866" s="28">
        <v>60439</v>
      </c>
      <c r="I1866" s="28">
        <v>41.692782000000001</v>
      </c>
      <c r="J1866" s="28">
        <v>-87.951100999999994</v>
      </c>
      <c r="L1866" s="61">
        <v>110018199377</v>
      </c>
      <c r="M1866" s="28" t="s">
        <v>265</v>
      </c>
      <c r="N1866" s="28">
        <v>4226</v>
      </c>
      <c r="O1866" s="28" t="str">
        <f>IFERROR(VLOOKUP(N1866, 'SIC &amp; NAICS Codes'!A:B, 2, FALSE), "")</f>
        <v>Special Warehousing and Storage, NEC (warehousing in foreign trade zones)</v>
      </c>
      <c r="S1866" s="28">
        <v>427.35197305000003</v>
      </c>
      <c r="T1866" s="315">
        <f>_xlfn.MAXIFS('Raw Period DMR Data'!$O:$O,'Raw Period DMR Data'!$A:$A,'Raw Annual DMR Data_2021-2024'!B2266,'Raw Period DMR Data'!$C:$C,X1866)/S1866</f>
        <v>0</v>
      </c>
      <c r="U1866" s="28" t="str">
        <f>+IF(COUNTIFS('Raw Period DMR Data'!$A:$A,B1866, 'Raw Period DMR Data'!C:C,'Raw Annual DMR Data_2021-2024'!X2266, 'Raw Period DMR Data'!M:M, "&gt;0")&gt;0,_xlfn.MAXIFS('Raw Period DMR Data'!M:M,'Raw Period DMR Data'!$A:$A,'Raw Annual DMR Data_2021-2024'!B2266,'Raw Period DMR Data'!C:C,'Raw Annual DMR Data_2021-2024'!X2266), "N/A - Period DMR Data Not Available")</f>
        <v>N/A - Period DMR Data Not Available</v>
      </c>
      <c r="V1866" s="28" t="str" cm="1">
        <f t="array" ref="V1866">IFERROR(INDEX('Raw Period DMR Data'!N:N,MATCH(1,(B1866='Raw Period DMR Data'!$A:$A)*(U1866='Raw Period DMR Data'!M:M)*(X1866='Raw Period DMR Data'!C:C),0),1), "N/A")</f>
        <v>N/A</v>
      </c>
      <c r="W1866" s="28" t="s">
        <v>1463</v>
      </c>
      <c r="X1866" s="28" t="s">
        <v>1904</v>
      </c>
      <c r="Y1866" s="28" t="s">
        <v>1905</v>
      </c>
      <c r="Z1866" s="61">
        <v>7120004000954</v>
      </c>
      <c r="AA1866" s="28" t="s">
        <v>7355</v>
      </c>
      <c r="AB1866" s="28" t="s">
        <v>7355</v>
      </c>
      <c r="AC1866" s="28" t="s">
        <v>1466</v>
      </c>
    </row>
    <row r="1867" spans="1:29" x14ac:dyDescent="0.25">
      <c r="A1867" s="61">
        <v>110018199377</v>
      </c>
      <c r="B1867" s="28">
        <v>2024</v>
      </c>
      <c r="C1867" s="68">
        <f t="shared" si="30"/>
        <v>45292</v>
      </c>
      <c r="D1867" s="28" t="s">
        <v>1181</v>
      </c>
      <c r="E1867" s="28" t="s">
        <v>1903</v>
      </c>
      <c r="F1867" s="28" t="s">
        <v>1182</v>
      </c>
      <c r="G1867" s="28" t="s">
        <v>345</v>
      </c>
      <c r="H1867" s="28">
        <v>60439</v>
      </c>
      <c r="I1867" s="28">
        <v>41.692782000000001</v>
      </c>
      <c r="J1867" s="28">
        <v>-87.951100999999994</v>
      </c>
      <c r="L1867" s="61">
        <v>110018199377</v>
      </c>
      <c r="M1867" s="28" t="s">
        <v>265</v>
      </c>
      <c r="N1867" s="28">
        <v>4226</v>
      </c>
      <c r="O1867" s="28" t="str">
        <f>IFERROR(VLOOKUP(N1867, 'SIC &amp; NAICS Codes'!A:B, 2, FALSE), "")</f>
        <v>Special Warehousing and Storage, NEC (warehousing in foreign trade zones)</v>
      </c>
      <c r="S1867" s="28">
        <v>1.2569984999999999</v>
      </c>
      <c r="T1867" s="315">
        <f>_xlfn.MAXIFS('Raw Period DMR Data'!$O:$O,'Raw Period DMR Data'!$A:$A,'Raw Annual DMR Data_2021-2024'!#REF!,'Raw Period DMR Data'!$C:$C,X1867)/S1867</f>
        <v>0</v>
      </c>
      <c r="U1867" s="28" t="str">
        <f>+IF(COUNTIFS('Raw Period DMR Data'!$A:$A,B1867,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67" s="28" t="str" cm="1">
        <f t="array" ref="V1867">IFERROR(INDEX('Raw Period DMR Data'!N:N,MATCH(1,(B1867='Raw Period DMR Data'!$A:$A)*(U1867='Raw Period DMR Data'!M:M)*(X1867='Raw Period DMR Data'!C:C),0),1), "N/A")</f>
        <v>N/A</v>
      </c>
      <c r="W1867" s="28" t="s">
        <v>1463</v>
      </c>
      <c r="X1867" s="28" t="s">
        <v>1904</v>
      </c>
      <c r="Y1867" s="28" t="s">
        <v>1905</v>
      </c>
      <c r="Z1867" s="61">
        <v>7120004000954</v>
      </c>
      <c r="AB1867" s="28" t="s">
        <v>7355</v>
      </c>
      <c r="AC1867" s="28" t="s">
        <v>1466</v>
      </c>
    </row>
    <row r="1868" spans="1:29" x14ac:dyDescent="0.25">
      <c r="A1868" s="61">
        <v>110018199377</v>
      </c>
      <c r="B1868" s="28">
        <v>2022</v>
      </c>
      <c r="C1868" s="68">
        <f t="shared" si="30"/>
        <v>44562</v>
      </c>
      <c r="D1868" s="28" t="s">
        <v>1181</v>
      </c>
      <c r="E1868" s="28" t="s">
        <v>1903</v>
      </c>
      <c r="F1868" s="28" t="s">
        <v>1182</v>
      </c>
      <c r="G1868" s="28" t="s">
        <v>345</v>
      </c>
      <c r="H1868" s="28">
        <v>60439</v>
      </c>
      <c r="I1868" s="28">
        <v>41.692782000000001</v>
      </c>
      <c r="J1868" s="28">
        <v>-87.951100999999994</v>
      </c>
      <c r="L1868" s="61">
        <v>110018199377</v>
      </c>
      <c r="M1868" s="28" t="s">
        <v>265</v>
      </c>
      <c r="N1868" s="28">
        <v>4226</v>
      </c>
      <c r="O1868" s="28" t="str">
        <f>IFERROR(VLOOKUP(N1868, 'SIC &amp; NAICS Codes'!A:B, 2, FALSE), "")</f>
        <v>Special Warehousing and Storage, NEC (warehousing in foreign trade zones)</v>
      </c>
      <c r="S1868" s="28">
        <v>1.23372075</v>
      </c>
      <c r="T1868" s="315">
        <f>_xlfn.MAXIFS('Raw Period DMR Data'!$O:$O,'Raw Period DMR Data'!$A:$A,'Raw Annual DMR Data_2021-2024'!#REF!,'Raw Period DMR Data'!$C:$C,X1868)/S1868</f>
        <v>0</v>
      </c>
      <c r="U1868" s="28" t="str">
        <f>+IF(COUNTIFS('Raw Period DMR Data'!$A:$A,B1868,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68" s="28" t="str" cm="1">
        <f t="array" ref="V1868">IFERROR(INDEX('Raw Period DMR Data'!N:N,MATCH(1,(B1868='Raw Period DMR Data'!$A:$A)*(U1868='Raw Period DMR Data'!M:M)*(X1868='Raw Period DMR Data'!C:C),0),1), "N/A")</f>
        <v>N/A</v>
      </c>
      <c r="W1868" s="28" t="s">
        <v>1463</v>
      </c>
      <c r="X1868" s="28" t="s">
        <v>1904</v>
      </c>
      <c r="Y1868" s="28" t="s">
        <v>1905</v>
      </c>
      <c r="Z1868" s="61">
        <v>7120004000954</v>
      </c>
      <c r="AB1868" s="28" t="s">
        <v>7355</v>
      </c>
      <c r="AC1868" s="28" t="s">
        <v>1466</v>
      </c>
    </row>
    <row r="1869" spans="1:29" x14ac:dyDescent="0.25">
      <c r="A1869" s="61">
        <v>110018199377</v>
      </c>
      <c r="B1869" s="28">
        <v>2023</v>
      </c>
      <c r="C1869" s="68">
        <f t="shared" si="30"/>
        <v>44927</v>
      </c>
      <c r="D1869" s="28" t="s">
        <v>1181</v>
      </c>
      <c r="E1869" s="28" t="s">
        <v>1903</v>
      </c>
      <c r="F1869" s="28" t="s">
        <v>1182</v>
      </c>
      <c r="G1869" s="28" t="s">
        <v>345</v>
      </c>
      <c r="H1869" s="28">
        <v>60439</v>
      </c>
      <c r="I1869" s="28">
        <v>41.692782000000001</v>
      </c>
      <c r="J1869" s="28">
        <v>-87.951100999999994</v>
      </c>
      <c r="L1869" s="61">
        <v>110018199377</v>
      </c>
      <c r="M1869" s="28" t="s">
        <v>265</v>
      </c>
      <c r="N1869" s="28">
        <v>4226</v>
      </c>
      <c r="O1869" s="28" t="str">
        <f>IFERROR(VLOOKUP(N1869, 'SIC &amp; NAICS Codes'!A:B, 2, FALSE), "")</f>
        <v>Special Warehousing and Storage, NEC (warehousing in foreign trade zones)</v>
      </c>
      <c r="S1869" s="28">
        <v>0.97568783749999999</v>
      </c>
      <c r="T1869" s="315">
        <f>_xlfn.MAXIFS('Raw Period DMR Data'!$O:$O,'Raw Period DMR Data'!$A:$A,'Raw Annual DMR Data_2021-2024'!#REF!,'Raw Period DMR Data'!$C:$C,X1869)/S1869</f>
        <v>0</v>
      </c>
      <c r="U1869" s="28" t="str">
        <f>+IF(COUNTIFS('Raw Period DMR Data'!$A:$A,B1869,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69" s="28" t="str" cm="1">
        <f t="array" ref="V1869">IFERROR(INDEX('Raw Period DMR Data'!N:N,MATCH(1,(B1869='Raw Period DMR Data'!$A:$A)*(U1869='Raw Period DMR Data'!M:M)*(X1869='Raw Period DMR Data'!C:C),0),1), "N/A")</f>
        <v>N/A</v>
      </c>
      <c r="W1869" s="28" t="s">
        <v>1463</v>
      </c>
      <c r="X1869" s="28" t="s">
        <v>1904</v>
      </c>
      <c r="Y1869" s="28" t="s">
        <v>1905</v>
      </c>
      <c r="Z1869" s="61" t="s">
        <v>1906</v>
      </c>
      <c r="AB1869" s="28" t="s">
        <v>7355</v>
      </c>
      <c r="AC1869" s="28" t="s">
        <v>1466</v>
      </c>
    </row>
    <row r="1870" spans="1:29" x14ac:dyDescent="0.25">
      <c r="A1870" s="61">
        <v>110018199377</v>
      </c>
      <c r="B1870" s="28">
        <v>2024</v>
      </c>
      <c r="C1870" s="68">
        <f t="shared" si="30"/>
        <v>45292</v>
      </c>
      <c r="D1870" s="28" t="s">
        <v>1181</v>
      </c>
      <c r="E1870" s="28" t="s">
        <v>1903</v>
      </c>
      <c r="F1870" s="28" t="s">
        <v>1182</v>
      </c>
      <c r="G1870" s="28" t="s">
        <v>345</v>
      </c>
      <c r="H1870" s="28">
        <v>60439</v>
      </c>
      <c r="I1870" s="28">
        <v>41.692782000000001</v>
      </c>
      <c r="J1870" s="28">
        <v>-87.951100999999994</v>
      </c>
      <c r="L1870" s="61">
        <v>110018199377</v>
      </c>
      <c r="M1870" s="28" t="s">
        <v>265</v>
      </c>
      <c r="N1870" s="28">
        <v>4226</v>
      </c>
      <c r="O1870" s="28" t="str">
        <f>IFERROR(VLOOKUP(N1870, 'SIC &amp; NAICS Codes'!A:B, 2, FALSE), "")</f>
        <v>Special Warehousing and Storage, NEC (warehousing in foreign trade zones)</v>
      </c>
      <c r="S1870" s="28">
        <v>0.10276275</v>
      </c>
      <c r="T1870" s="315">
        <f>_xlfn.MAXIFS('Raw Period DMR Data'!$O:$O,'Raw Period DMR Data'!$A:$A,'Raw Annual DMR Data_2021-2024'!#REF!,'Raw Period DMR Data'!$C:$C,X1870)/S1870</f>
        <v>0</v>
      </c>
      <c r="U1870" s="28" t="str">
        <f>+IF(COUNTIFS('Raw Period DMR Data'!$A:$A,B1870,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70" s="28" t="str" cm="1">
        <f t="array" ref="V1870">IFERROR(INDEX('Raw Period DMR Data'!N:N,MATCH(1,(B1870='Raw Period DMR Data'!$A:$A)*(U1870='Raw Period DMR Data'!M:M)*(X1870='Raw Period DMR Data'!C:C),0),1), "N/A")</f>
        <v>N/A</v>
      </c>
      <c r="W1870" s="28" t="s">
        <v>1463</v>
      </c>
      <c r="X1870" s="28" t="s">
        <v>1904</v>
      </c>
      <c r="Y1870" s="28" t="s">
        <v>1905</v>
      </c>
      <c r="Z1870" s="61">
        <v>7120004000954</v>
      </c>
      <c r="AB1870" s="28" t="s">
        <v>7355</v>
      </c>
      <c r="AC1870" s="28" t="s">
        <v>1466</v>
      </c>
    </row>
    <row r="1871" spans="1:29" x14ac:dyDescent="0.25">
      <c r="A1871" s="61">
        <v>110018199377</v>
      </c>
      <c r="B1871" s="28">
        <v>2023</v>
      </c>
      <c r="C1871" s="68">
        <f t="shared" si="30"/>
        <v>44927</v>
      </c>
      <c r="D1871" s="28" t="s">
        <v>1181</v>
      </c>
      <c r="E1871" s="28" t="s">
        <v>1903</v>
      </c>
      <c r="F1871" s="28" t="s">
        <v>1182</v>
      </c>
      <c r="G1871" s="28" t="s">
        <v>345</v>
      </c>
      <c r="H1871" s="28">
        <v>60439</v>
      </c>
      <c r="I1871" s="28">
        <v>41.692782000000001</v>
      </c>
      <c r="J1871" s="28">
        <v>-87.951100999999994</v>
      </c>
      <c r="L1871" s="61">
        <v>110018199377</v>
      </c>
      <c r="M1871" s="28" t="s">
        <v>265</v>
      </c>
      <c r="N1871" s="28">
        <v>4226</v>
      </c>
      <c r="O1871" s="28" t="str">
        <f>IFERROR(VLOOKUP(N1871, 'SIC &amp; NAICS Codes'!A:B, 2, FALSE), "")</f>
        <v>Special Warehousing and Storage, NEC (warehousing in foreign trade zones)</v>
      </c>
      <c r="S1871" s="28">
        <v>0.10041605000000001</v>
      </c>
      <c r="T1871" s="315">
        <f>_xlfn.MAXIFS('Raw Period DMR Data'!$O:$O,'Raw Period DMR Data'!$A:$A,'Raw Annual DMR Data_2021-2024'!#REF!,'Raw Period DMR Data'!$C:$C,X1871)/S1871</f>
        <v>0</v>
      </c>
      <c r="U1871" s="28" t="str">
        <f>+IF(COUNTIFS('Raw Period DMR Data'!$A:$A,B1871,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71" s="28" t="str" cm="1">
        <f t="array" ref="V1871">IFERROR(INDEX('Raw Period DMR Data'!N:N,MATCH(1,(B1871='Raw Period DMR Data'!$A:$A)*(U1871='Raw Period DMR Data'!M:M)*(X1871='Raw Period DMR Data'!C:C),0),1), "N/A")</f>
        <v>N/A</v>
      </c>
      <c r="W1871" s="28" t="s">
        <v>1463</v>
      </c>
      <c r="X1871" s="28" t="s">
        <v>1904</v>
      </c>
      <c r="Y1871" s="28" t="s">
        <v>1905</v>
      </c>
      <c r="Z1871" s="61" t="s">
        <v>1906</v>
      </c>
      <c r="AB1871" s="28" t="s">
        <v>7355</v>
      </c>
      <c r="AC1871" s="28" t="s">
        <v>1466</v>
      </c>
    </row>
    <row r="1872" spans="1:29" x14ac:dyDescent="0.25">
      <c r="A1872" s="61">
        <v>110018199377</v>
      </c>
      <c r="B1872" s="28">
        <v>2022</v>
      </c>
      <c r="C1872" s="68">
        <f t="shared" si="30"/>
        <v>44562</v>
      </c>
      <c r="D1872" s="28" t="s">
        <v>1181</v>
      </c>
      <c r="E1872" s="28" t="s">
        <v>1903</v>
      </c>
      <c r="F1872" s="28" t="s">
        <v>1182</v>
      </c>
      <c r="G1872" s="28" t="s">
        <v>345</v>
      </c>
      <c r="H1872" s="28">
        <v>60439</v>
      </c>
      <c r="I1872" s="28">
        <v>41.692782000000001</v>
      </c>
      <c r="J1872" s="28">
        <v>-87.951100999999994</v>
      </c>
      <c r="L1872" s="61">
        <v>110018199377</v>
      </c>
      <c r="M1872" s="28" t="s">
        <v>265</v>
      </c>
      <c r="N1872" s="28">
        <v>4226</v>
      </c>
      <c r="O1872" s="28" t="str">
        <f>IFERROR(VLOOKUP(N1872, 'SIC &amp; NAICS Codes'!A:B, 2, FALSE), "")</f>
        <v>Special Warehousing and Storage, NEC (warehousing in foreign trade zones)</v>
      </c>
      <c r="S1872" s="28">
        <v>9.8362687500000004E-2</v>
      </c>
      <c r="T1872" s="315">
        <f>_xlfn.MAXIFS('Raw Period DMR Data'!$O:$O,'Raw Period DMR Data'!$A:$A,'Raw Annual DMR Data_2021-2024'!#REF!,'Raw Period DMR Data'!$C:$C,X1872)/S1872</f>
        <v>0</v>
      </c>
      <c r="U1872" s="28" t="str">
        <f>+IF(COUNTIFS('Raw Period DMR Data'!$A:$A,B1872,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72" s="28" t="str" cm="1">
        <f t="array" ref="V1872">IFERROR(INDEX('Raw Period DMR Data'!N:N,MATCH(1,(B1872='Raw Period DMR Data'!$A:$A)*(U1872='Raw Period DMR Data'!M:M)*(X1872='Raw Period DMR Data'!C:C),0),1), "N/A")</f>
        <v>N/A</v>
      </c>
      <c r="W1872" s="28" t="s">
        <v>1463</v>
      </c>
      <c r="X1872" s="28" t="s">
        <v>1904</v>
      </c>
      <c r="Y1872" s="28" t="s">
        <v>1905</v>
      </c>
      <c r="Z1872" s="61">
        <v>7120004000954</v>
      </c>
      <c r="AB1872" s="28" t="s">
        <v>7355</v>
      </c>
      <c r="AC1872" s="28" t="s">
        <v>1466</v>
      </c>
    </row>
    <row r="1873" spans="1:29" x14ac:dyDescent="0.25">
      <c r="A1873" s="61">
        <v>110018199377</v>
      </c>
      <c r="B1873" s="28">
        <v>2021</v>
      </c>
      <c r="C1873" s="68">
        <f t="shared" si="30"/>
        <v>44197</v>
      </c>
      <c r="D1873" s="28" t="s">
        <v>1181</v>
      </c>
      <c r="E1873" s="28" t="s">
        <v>1903</v>
      </c>
      <c r="F1873" s="28" t="s">
        <v>1182</v>
      </c>
      <c r="G1873" s="28" t="s">
        <v>345</v>
      </c>
      <c r="H1873" s="28">
        <v>60439</v>
      </c>
      <c r="I1873" s="28">
        <v>41.692782000000001</v>
      </c>
      <c r="J1873" s="28">
        <v>-87.951100999999994</v>
      </c>
      <c r="L1873" s="61">
        <v>110018199377</v>
      </c>
      <c r="M1873" s="28" t="s">
        <v>265</v>
      </c>
      <c r="N1873" s="28">
        <v>4226</v>
      </c>
      <c r="O1873" s="28" t="str">
        <f>IFERROR(VLOOKUP(N1873, 'SIC &amp; NAICS Codes'!A:B, 2, FALSE), "")</f>
        <v>Special Warehousing and Storage, NEC (warehousing in foreign trade zones)</v>
      </c>
      <c r="S1873" s="28">
        <v>9.6706749999999994E-2</v>
      </c>
      <c r="T1873" s="315">
        <f>_xlfn.MAXIFS('Raw Period DMR Data'!$O:$O,'Raw Period DMR Data'!$A:$A,'Raw Annual DMR Data_2021-2024'!#REF!,'Raw Period DMR Data'!$C:$C,X1873)/S1873</f>
        <v>0</v>
      </c>
      <c r="U1873" s="28" t="str">
        <f>+IF(COUNTIFS('Raw Period DMR Data'!$A:$A,B1873,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73" s="28" t="str" cm="1">
        <f t="array" ref="V1873">IFERROR(INDEX('Raw Period DMR Data'!N:N,MATCH(1,(B1873='Raw Period DMR Data'!$A:$A)*(U1873='Raw Period DMR Data'!M:M)*(X1873='Raw Period DMR Data'!C:C),0),1), "N/A")</f>
        <v>N/A</v>
      </c>
      <c r="W1873" s="28" t="s">
        <v>1463</v>
      </c>
      <c r="X1873" s="28" t="s">
        <v>1904</v>
      </c>
      <c r="Y1873" s="28" t="s">
        <v>1905</v>
      </c>
      <c r="Z1873" s="61">
        <v>7120004000954</v>
      </c>
      <c r="AB1873" s="28" t="s">
        <v>7355</v>
      </c>
      <c r="AC1873" s="28" t="s">
        <v>1466</v>
      </c>
    </row>
    <row r="1874" spans="1:29" x14ac:dyDescent="0.25">
      <c r="A1874" s="61">
        <v>110018199377</v>
      </c>
      <c r="B1874" s="28">
        <v>2023</v>
      </c>
      <c r="C1874" s="68">
        <f t="shared" si="30"/>
        <v>44927</v>
      </c>
      <c r="D1874" s="28" t="s">
        <v>1181</v>
      </c>
      <c r="E1874" s="28" t="s">
        <v>1903</v>
      </c>
      <c r="F1874" s="28" t="s">
        <v>1182</v>
      </c>
      <c r="G1874" s="28" t="s">
        <v>345</v>
      </c>
      <c r="H1874" s="28">
        <v>60439</v>
      </c>
      <c r="I1874" s="28">
        <v>41.692782000000001</v>
      </c>
      <c r="J1874" s="28">
        <v>-87.951100999999994</v>
      </c>
      <c r="L1874" s="61">
        <v>110018199377</v>
      </c>
      <c r="M1874" s="28" t="s">
        <v>265</v>
      </c>
      <c r="N1874" s="28">
        <v>4226</v>
      </c>
      <c r="O1874" s="28" t="str">
        <f>IFERROR(VLOOKUP(N1874, 'SIC &amp; NAICS Codes'!A:B, 2, FALSE), "")</f>
        <v>Special Warehousing and Storage, NEC (warehousing in foreign trade zones)</v>
      </c>
      <c r="S1874" s="28">
        <v>7.9437687500000007E-2</v>
      </c>
      <c r="T1874" s="315">
        <f>_xlfn.MAXIFS('Raw Period DMR Data'!$O:$O,'Raw Period DMR Data'!$A:$A,'Raw Annual DMR Data_2021-2024'!#REF!,'Raw Period DMR Data'!$C:$C,X1874)/S1874</f>
        <v>0</v>
      </c>
      <c r="U1874" s="28" t="str">
        <f>+IF(COUNTIFS('Raw Period DMR Data'!$A:$A,B1874,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74" s="28" t="str" cm="1">
        <f t="array" ref="V1874">IFERROR(INDEX('Raw Period DMR Data'!N:N,MATCH(1,(B1874='Raw Period DMR Data'!$A:$A)*(U1874='Raw Period DMR Data'!M:M)*(X1874='Raw Period DMR Data'!C:C),0),1), "N/A")</f>
        <v>N/A</v>
      </c>
      <c r="W1874" s="28" t="s">
        <v>1463</v>
      </c>
      <c r="X1874" s="28" t="s">
        <v>1904</v>
      </c>
      <c r="Y1874" s="28" t="s">
        <v>1905</v>
      </c>
      <c r="Z1874" s="61" t="s">
        <v>1906</v>
      </c>
      <c r="AB1874" s="28" t="s">
        <v>7355</v>
      </c>
      <c r="AC1874" s="28" t="s">
        <v>1466</v>
      </c>
    </row>
    <row r="1875" spans="1:29" x14ac:dyDescent="0.25">
      <c r="A1875" s="61">
        <v>110018199377</v>
      </c>
      <c r="B1875" s="28">
        <v>2022</v>
      </c>
      <c r="C1875" s="68">
        <f t="shared" si="30"/>
        <v>44562</v>
      </c>
      <c r="D1875" s="28" t="s">
        <v>1181</v>
      </c>
      <c r="E1875" s="28" t="s">
        <v>1903</v>
      </c>
      <c r="F1875" s="28" t="s">
        <v>1182</v>
      </c>
      <c r="G1875" s="28" t="s">
        <v>345</v>
      </c>
      <c r="H1875" s="28">
        <v>60439</v>
      </c>
      <c r="I1875" s="28">
        <v>41.692782000000001</v>
      </c>
      <c r="J1875" s="28">
        <v>-87.951100999999994</v>
      </c>
      <c r="L1875" s="61">
        <v>110018199377</v>
      </c>
      <c r="M1875" s="28" t="s">
        <v>265</v>
      </c>
      <c r="N1875" s="28">
        <v>4226</v>
      </c>
      <c r="O1875" s="28" t="str">
        <f>IFERROR(VLOOKUP(N1875, 'SIC &amp; NAICS Codes'!A:B, 2, FALSE), "")</f>
        <v>Special Warehousing and Storage, NEC (warehousing in foreign trade zones)</v>
      </c>
      <c r="S1875" s="28">
        <v>6.0484299999999998E-2</v>
      </c>
      <c r="T1875" s="315">
        <f>_xlfn.MAXIFS('Raw Period DMR Data'!$O:$O,'Raw Period DMR Data'!$A:$A,'Raw Annual DMR Data_2021-2024'!#REF!,'Raw Period DMR Data'!$C:$C,X1875)/S1875</f>
        <v>0</v>
      </c>
      <c r="U1875" s="28" t="str">
        <f>+IF(COUNTIFS('Raw Period DMR Data'!$A:$A,B1875,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75" s="28" t="str" cm="1">
        <f t="array" ref="V1875">IFERROR(INDEX('Raw Period DMR Data'!N:N,MATCH(1,(B1875='Raw Period DMR Data'!$A:$A)*(U1875='Raw Period DMR Data'!M:M)*(X1875='Raw Period DMR Data'!C:C),0),1), "N/A")</f>
        <v>N/A</v>
      </c>
      <c r="W1875" s="28" t="s">
        <v>1463</v>
      </c>
      <c r="X1875" s="28" t="s">
        <v>1904</v>
      </c>
      <c r="Y1875" s="28" t="s">
        <v>1905</v>
      </c>
      <c r="Z1875" s="61">
        <v>7120004000954</v>
      </c>
      <c r="AB1875" s="28" t="s">
        <v>7355</v>
      </c>
      <c r="AC1875" s="28" t="s">
        <v>1466</v>
      </c>
    </row>
    <row r="1876" spans="1:29" x14ac:dyDescent="0.25">
      <c r="A1876" s="61">
        <v>110018199377</v>
      </c>
      <c r="B1876" s="28">
        <v>2024</v>
      </c>
      <c r="C1876" s="68">
        <f t="shared" si="30"/>
        <v>45292</v>
      </c>
      <c r="D1876" s="28" t="s">
        <v>1181</v>
      </c>
      <c r="E1876" s="28" t="s">
        <v>1903</v>
      </c>
      <c r="F1876" s="28" t="s">
        <v>1182</v>
      </c>
      <c r="G1876" s="28" t="s">
        <v>345</v>
      </c>
      <c r="H1876" s="28">
        <v>60439</v>
      </c>
      <c r="I1876" s="28">
        <v>41.692782000000001</v>
      </c>
      <c r="J1876" s="28">
        <v>-87.951100999999994</v>
      </c>
      <c r="L1876" s="61">
        <v>110018199377</v>
      </c>
      <c r="M1876" s="28" t="s">
        <v>265</v>
      </c>
      <c r="N1876" s="28">
        <v>4226</v>
      </c>
      <c r="O1876" s="28" t="str">
        <f>IFERROR(VLOOKUP(N1876, 'SIC &amp; NAICS Codes'!A:B, 2, FALSE), "")</f>
        <v>Special Warehousing and Storage, NEC (warehousing in foreign trade zones)</v>
      </c>
      <c r="S1876" s="28">
        <v>5.9944937500000003E-2</v>
      </c>
      <c r="T1876" s="315">
        <f>_xlfn.MAXIFS('Raw Period DMR Data'!$O:$O,'Raw Period DMR Data'!$A:$A,'Raw Annual DMR Data_2021-2024'!#REF!,'Raw Period DMR Data'!$C:$C,X1876)/S1876</f>
        <v>0</v>
      </c>
      <c r="U1876" s="28" t="str">
        <f>+IF(COUNTIFS('Raw Period DMR Data'!$A:$A,B1876,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76" s="28" t="str" cm="1">
        <f t="array" ref="V1876">IFERROR(INDEX('Raw Period DMR Data'!N:N,MATCH(1,(B1876='Raw Period DMR Data'!$A:$A)*(U1876='Raw Period DMR Data'!M:M)*(X1876='Raw Period DMR Data'!C:C),0),1), "N/A")</f>
        <v>N/A</v>
      </c>
      <c r="W1876" s="28" t="s">
        <v>1463</v>
      </c>
      <c r="X1876" s="28" t="s">
        <v>1904</v>
      </c>
      <c r="Y1876" s="28" t="s">
        <v>1905</v>
      </c>
      <c r="Z1876" s="61">
        <v>7120004000954</v>
      </c>
      <c r="AB1876" s="28" t="s">
        <v>7355</v>
      </c>
      <c r="AC1876" s="28" t="s">
        <v>1466</v>
      </c>
    </row>
    <row r="1877" spans="1:29" x14ac:dyDescent="0.25">
      <c r="A1877" s="61">
        <v>110018199377</v>
      </c>
      <c r="B1877" s="28">
        <v>2021</v>
      </c>
      <c r="C1877" s="68">
        <f t="shared" si="30"/>
        <v>44197</v>
      </c>
      <c r="D1877" s="28" t="s">
        <v>1181</v>
      </c>
      <c r="E1877" s="28" t="s">
        <v>1903</v>
      </c>
      <c r="F1877" s="28" t="s">
        <v>1182</v>
      </c>
      <c r="G1877" s="28" t="s">
        <v>345</v>
      </c>
      <c r="H1877" s="28">
        <v>60439</v>
      </c>
      <c r="I1877" s="28">
        <v>41.692782000000001</v>
      </c>
      <c r="J1877" s="28">
        <v>-87.951100999999994</v>
      </c>
      <c r="L1877" s="61">
        <v>110018199377</v>
      </c>
      <c r="M1877" s="28" t="s">
        <v>265</v>
      </c>
      <c r="N1877" s="28">
        <v>4226</v>
      </c>
      <c r="O1877" s="28" t="str">
        <f>IFERROR(VLOOKUP(N1877, 'SIC &amp; NAICS Codes'!A:B, 2, FALSE), "")</f>
        <v>Special Warehousing and Storage, NEC (warehousing in foreign trade zones)</v>
      </c>
      <c r="S1877" s="28">
        <v>5.8714812499999998E-2</v>
      </c>
      <c r="T1877" s="315">
        <f>_xlfn.MAXIFS('Raw Period DMR Data'!$O:$O,'Raw Period DMR Data'!$A:$A,'Raw Annual DMR Data_2021-2024'!#REF!,'Raw Period DMR Data'!$C:$C,X1877)/S1877</f>
        <v>0</v>
      </c>
      <c r="U1877" s="28" t="str">
        <f>+IF(COUNTIFS('Raw Period DMR Data'!$A:$A,B1877,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77" s="28" t="str" cm="1">
        <f t="array" ref="V1877">IFERROR(INDEX('Raw Period DMR Data'!N:N,MATCH(1,(B1877='Raw Period DMR Data'!$A:$A)*(U1877='Raw Period DMR Data'!M:M)*(X1877='Raw Period DMR Data'!C:C),0),1), "N/A")</f>
        <v>N/A</v>
      </c>
      <c r="W1877" s="28" t="s">
        <v>1463</v>
      </c>
      <c r="X1877" s="28" t="s">
        <v>1904</v>
      </c>
      <c r="Y1877" s="28" t="s">
        <v>1905</v>
      </c>
      <c r="Z1877" s="61">
        <v>7120004000954</v>
      </c>
      <c r="AA1877" s="28"/>
      <c r="AB1877" s="28" t="s">
        <v>7355</v>
      </c>
      <c r="AC1877" s="28" t="s">
        <v>1466</v>
      </c>
    </row>
    <row r="1878" spans="1:29" x14ac:dyDescent="0.25">
      <c r="A1878" s="61">
        <v>110064624018</v>
      </c>
      <c r="B1878" s="28">
        <v>2022</v>
      </c>
      <c r="C1878" s="68">
        <f t="shared" si="30"/>
        <v>44562</v>
      </c>
      <c r="D1878" s="28" t="s">
        <v>6770</v>
      </c>
      <c r="E1878" s="28" t="s">
        <v>6916</v>
      </c>
      <c r="F1878" s="28" t="s">
        <v>1292</v>
      </c>
      <c r="G1878" s="28" t="s">
        <v>366</v>
      </c>
      <c r="H1878" s="28">
        <v>90056</v>
      </c>
      <c r="I1878" s="28">
        <v>33.990146000000003</v>
      </c>
      <c r="J1878" s="28">
        <v>-118.36358</v>
      </c>
      <c r="L1878" s="61">
        <v>110064624018</v>
      </c>
      <c r="M1878" s="28" t="s">
        <v>265</v>
      </c>
      <c r="N1878" s="28">
        <v>2911</v>
      </c>
      <c r="O1878" s="28" t="str">
        <f>IFERROR(VLOOKUP(N1878, 'SIC &amp; NAICS Codes'!A:B, 2, FALSE), "")</f>
        <v>Petroleum Refining</v>
      </c>
      <c r="S1878" s="28">
        <v>0.34745353750000002</v>
      </c>
      <c r="T1878" s="315">
        <f>_xlfn.MAXIFS('Raw Period DMR Data'!$O:$O,'Raw Period DMR Data'!$A:$A,'Raw Annual DMR Data_2021-2024'!#REF!,'Raw Period DMR Data'!$C:$C,X1878)/S1878</f>
        <v>0</v>
      </c>
      <c r="U1878" s="28" t="str">
        <f>+IF(COUNTIFS('Raw Period DMR Data'!$A:$A,B1878,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78" s="28" t="str" cm="1">
        <f t="array" ref="V1878">IFERROR(INDEX('Raw Period DMR Data'!N:N,MATCH(1,(B1878='Raw Period DMR Data'!$A:$A)*(U1878='Raw Period DMR Data'!M:M)*(X1878='Raw Period DMR Data'!C:C),0),1), "N/A")</f>
        <v>N/A</v>
      </c>
      <c r="W1878" s="28" t="s">
        <v>1463</v>
      </c>
      <c r="X1878" s="28" t="s">
        <v>7138</v>
      </c>
      <c r="Y1878" s="28" t="s">
        <v>7247</v>
      </c>
      <c r="Z1878" s="61">
        <v>18070104000042</v>
      </c>
      <c r="AB1878" s="28" t="s">
        <v>7355</v>
      </c>
      <c r="AC1878" s="28" t="s">
        <v>1466</v>
      </c>
    </row>
    <row r="1879" spans="1:29" x14ac:dyDescent="0.25">
      <c r="A1879" s="61">
        <v>110064624018</v>
      </c>
      <c r="B1879" s="28">
        <v>2022</v>
      </c>
      <c r="C1879" s="68">
        <f t="shared" si="30"/>
        <v>44562</v>
      </c>
      <c r="D1879" s="28" t="s">
        <v>6770</v>
      </c>
      <c r="E1879" s="28" t="s">
        <v>6916</v>
      </c>
      <c r="F1879" s="28" t="s">
        <v>1292</v>
      </c>
      <c r="G1879" s="28" t="s">
        <v>366</v>
      </c>
      <c r="H1879" s="28">
        <v>90056</v>
      </c>
      <c r="I1879" s="28">
        <v>33.990146000000003</v>
      </c>
      <c r="J1879" s="28">
        <v>-118.36358</v>
      </c>
      <c r="L1879" s="61">
        <v>110064624018</v>
      </c>
      <c r="M1879" s="28" t="s">
        <v>265</v>
      </c>
      <c r="N1879" s="28">
        <v>2911</v>
      </c>
      <c r="O1879" s="28" t="str">
        <f>IFERROR(VLOOKUP(N1879, 'SIC &amp; NAICS Codes'!A:B, 2, FALSE), "")</f>
        <v>Petroleum Refining</v>
      </c>
      <c r="S1879" s="28">
        <v>0.20584722499999999</v>
      </c>
      <c r="T1879" s="315">
        <f>_xlfn.MAXIFS('Raw Period DMR Data'!$O:$O,'Raw Period DMR Data'!$A:$A,'Raw Annual DMR Data_2021-2024'!#REF!,'Raw Period DMR Data'!$C:$C,X1879)/S1879</f>
        <v>0</v>
      </c>
      <c r="U1879" s="28" t="str">
        <f>+IF(COUNTIFS('Raw Period DMR Data'!$A:$A,B1879,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79" s="28" t="str" cm="1">
        <f t="array" ref="V1879">IFERROR(INDEX('Raw Period DMR Data'!N:N,MATCH(1,(B1879='Raw Period DMR Data'!$A:$A)*(U1879='Raw Period DMR Data'!M:M)*(X1879='Raw Period DMR Data'!C:C),0),1), "N/A")</f>
        <v>N/A</v>
      </c>
      <c r="W1879" s="28" t="s">
        <v>1463</v>
      </c>
      <c r="X1879" s="28" t="s">
        <v>7138</v>
      </c>
      <c r="Y1879" s="28" t="s">
        <v>7247</v>
      </c>
      <c r="Z1879" s="61">
        <v>18070104000042</v>
      </c>
      <c r="AB1879" s="28" t="s">
        <v>7355</v>
      </c>
      <c r="AC1879" s="28" t="s">
        <v>1466</v>
      </c>
    </row>
    <row r="1880" spans="1:29" x14ac:dyDescent="0.25">
      <c r="A1880" s="61">
        <v>110064624018</v>
      </c>
      <c r="B1880" s="28">
        <v>2023</v>
      </c>
      <c r="C1880" s="68">
        <f t="shared" si="30"/>
        <v>44927</v>
      </c>
      <c r="D1880" s="28" t="s">
        <v>6770</v>
      </c>
      <c r="E1880" s="28" t="s">
        <v>6916</v>
      </c>
      <c r="F1880" s="28" t="s">
        <v>1292</v>
      </c>
      <c r="G1880" s="28" t="s">
        <v>366</v>
      </c>
      <c r="H1880" s="28">
        <v>90056</v>
      </c>
      <c r="I1880" s="28">
        <v>33.990146000000003</v>
      </c>
      <c r="J1880" s="28">
        <v>-118.36358</v>
      </c>
      <c r="L1880" s="61">
        <v>110064624018</v>
      </c>
      <c r="M1880" s="28" t="s">
        <v>265</v>
      </c>
      <c r="N1880" s="28">
        <v>2911</v>
      </c>
      <c r="O1880" s="28" t="str">
        <f>IFERROR(VLOOKUP(N1880, 'SIC &amp; NAICS Codes'!A:B, 2, FALSE), "")</f>
        <v>Petroleum Refining</v>
      </c>
      <c r="S1880" s="28">
        <v>0.103856141875</v>
      </c>
      <c r="T1880" s="315">
        <f>_xlfn.MAXIFS('Raw Period DMR Data'!$O:$O,'Raw Period DMR Data'!$A:$A,'Raw Annual DMR Data_2021-2024'!#REF!,'Raw Period DMR Data'!$C:$C,X1880)/S1880</f>
        <v>0</v>
      </c>
      <c r="U1880" s="28" t="str">
        <f>+IF(COUNTIFS('Raw Period DMR Data'!$A:$A,B1880,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80" s="28" t="str" cm="1">
        <f t="array" ref="V1880">IFERROR(INDEX('Raw Period DMR Data'!N:N,MATCH(1,(B1880='Raw Period DMR Data'!$A:$A)*(U1880='Raw Period DMR Data'!M:M)*(X1880='Raw Period DMR Data'!C:C),0),1), "N/A")</f>
        <v>N/A</v>
      </c>
      <c r="W1880" s="28" t="s">
        <v>1463</v>
      </c>
      <c r="X1880" s="28" t="s">
        <v>7138</v>
      </c>
      <c r="Y1880" s="28" t="s">
        <v>7247</v>
      </c>
      <c r="Z1880" s="61">
        <v>18070104000042</v>
      </c>
      <c r="AB1880" s="28" t="s">
        <v>7355</v>
      </c>
      <c r="AC1880" s="28" t="s">
        <v>1466</v>
      </c>
    </row>
    <row r="1881" spans="1:29" x14ac:dyDescent="0.25">
      <c r="A1881" s="61">
        <v>110064624018</v>
      </c>
      <c r="B1881" s="28">
        <v>2023</v>
      </c>
      <c r="C1881" s="68">
        <f t="shared" si="30"/>
        <v>44927</v>
      </c>
      <c r="D1881" s="28" t="s">
        <v>6770</v>
      </c>
      <c r="E1881" s="28" t="s">
        <v>6916</v>
      </c>
      <c r="F1881" s="28" t="s">
        <v>1292</v>
      </c>
      <c r="G1881" s="28" t="s">
        <v>366</v>
      </c>
      <c r="H1881" s="28">
        <v>90056</v>
      </c>
      <c r="I1881" s="28">
        <v>33.990146000000003</v>
      </c>
      <c r="J1881" s="28">
        <v>-118.36358</v>
      </c>
      <c r="L1881" s="61">
        <v>110064624018</v>
      </c>
      <c r="M1881" s="28" t="s">
        <v>265</v>
      </c>
      <c r="N1881" s="28">
        <v>2911</v>
      </c>
      <c r="O1881" s="28" t="str">
        <f>IFERROR(VLOOKUP(N1881, 'SIC &amp; NAICS Codes'!A:B, 2, FALSE), "")</f>
        <v>Petroleum Refining</v>
      </c>
      <c r="S1881" s="28">
        <v>9.1180650000000002E-2</v>
      </c>
      <c r="T1881" s="315">
        <f>_xlfn.MAXIFS('Raw Period DMR Data'!$O:$O,'Raw Period DMR Data'!$A:$A,'Raw Annual DMR Data_2021-2024'!#REF!,'Raw Period DMR Data'!$C:$C,X1881)/S1881</f>
        <v>0</v>
      </c>
      <c r="U1881" s="28" t="str">
        <f>+IF(COUNTIFS('Raw Period DMR Data'!$A:$A,B1881,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81" s="28" t="str" cm="1">
        <f t="array" ref="V1881">IFERROR(INDEX('Raw Period DMR Data'!N:N,MATCH(1,(B1881='Raw Period DMR Data'!$A:$A)*(U1881='Raw Period DMR Data'!M:M)*(X1881='Raw Period DMR Data'!C:C),0),1), "N/A")</f>
        <v>N/A</v>
      </c>
      <c r="W1881" s="28" t="s">
        <v>1463</v>
      </c>
      <c r="X1881" s="28" t="s">
        <v>7138</v>
      </c>
      <c r="Y1881" s="28" t="s">
        <v>7247</v>
      </c>
      <c r="Z1881" s="61">
        <v>18070104000042</v>
      </c>
      <c r="AB1881" s="28" t="s">
        <v>7355</v>
      </c>
      <c r="AC1881" s="28" t="s">
        <v>1466</v>
      </c>
    </row>
    <row r="1882" spans="1:29" x14ac:dyDescent="0.25">
      <c r="A1882" s="61">
        <v>110064624018</v>
      </c>
      <c r="B1882" s="28">
        <v>2021</v>
      </c>
      <c r="C1882" s="68">
        <f t="shared" si="30"/>
        <v>44197</v>
      </c>
      <c r="D1882" s="28" t="s">
        <v>6770</v>
      </c>
      <c r="E1882" s="28" t="s">
        <v>6916</v>
      </c>
      <c r="F1882" s="28" t="s">
        <v>1292</v>
      </c>
      <c r="G1882" s="28" t="s">
        <v>366</v>
      </c>
      <c r="H1882" s="28">
        <v>90056</v>
      </c>
      <c r="I1882" s="28">
        <v>33.990146000000003</v>
      </c>
      <c r="J1882" s="28">
        <v>-118.36358</v>
      </c>
      <c r="L1882" s="61">
        <v>110064624018</v>
      </c>
      <c r="M1882" s="28" t="s">
        <v>265</v>
      </c>
      <c r="N1882" s="28">
        <v>2911</v>
      </c>
      <c r="O1882" s="28" t="str">
        <f>IFERROR(VLOOKUP(N1882, 'SIC &amp; NAICS Codes'!A:B, 2, FALSE), "")</f>
        <v>Petroleum Refining</v>
      </c>
      <c r="S1882" s="28">
        <v>6.8385487500000003E-3</v>
      </c>
      <c r="T1882" s="315">
        <f>_xlfn.MAXIFS('Raw Period DMR Data'!$O:$O,'Raw Period DMR Data'!$A:$A,'Raw Annual DMR Data_2021-2024'!#REF!,'Raw Period DMR Data'!$C:$C,X1882)/S1882</f>
        <v>0</v>
      </c>
      <c r="U1882" s="28" t="str">
        <f>+IF(COUNTIFS('Raw Period DMR Data'!$A:$A,B1882,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82" s="28" t="str" cm="1">
        <f t="array" ref="V1882">IFERROR(INDEX('Raw Period DMR Data'!N:N,MATCH(1,(B1882='Raw Period DMR Data'!$A:$A)*(U1882='Raw Period DMR Data'!M:M)*(X1882='Raw Period DMR Data'!C:C),0),1), "N/A")</f>
        <v>N/A</v>
      </c>
      <c r="W1882" s="28" t="s">
        <v>1463</v>
      </c>
      <c r="X1882" s="28" t="s">
        <v>7138</v>
      </c>
      <c r="Y1882" s="28" t="s">
        <v>7247</v>
      </c>
      <c r="Z1882" s="61">
        <v>18070104000042</v>
      </c>
      <c r="AA1882" s="28"/>
      <c r="AB1882" s="28" t="s">
        <v>7355</v>
      </c>
      <c r="AC1882" s="28" t="s">
        <v>1466</v>
      </c>
    </row>
    <row r="1883" spans="1:29" x14ac:dyDescent="0.25">
      <c r="A1883" s="61">
        <v>110064624018</v>
      </c>
      <c r="B1883" s="28">
        <v>2021</v>
      </c>
      <c r="C1883" s="68">
        <f t="shared" si="30"/>
        <v>44197</v>
      </c>
      <c r="D1883" s="28" t="s">
        <v>6770</v>
      </c>
      <c r="E1883" s="28" t="s">
        <v>6916</v>
      </c>
      <c r="F1883" s="28" t="s">
        <v>1292</v>
      </c>
      <c r="G1883" s="28" t="s">
        <v>366</v>
      </c>
      <c r="H1883" s="28">
        <v>90056</v>
      </c>
      <c r="I1883" s="28">
        <v>33.990146000000003</v>
      </c>
      <c r="J1883" s="28">
        <v>-118.36358</v>
      </c>
      <c r="L1883" s="61">
        <v>110064624018</v>
      </c>
      <c r="M1883" s="28" t="s">
        <v>265</v>
      </c>
      <c r="N1883" s="28">
        <v>2911</v>
      </c>
      <c r="O1883" s="28" t="str">
        <f>IFERROR(VLOOKUP(N1883, 'SIC &amp; NAICS Codes'!A:B, 2, FALSE), "")</f>
        <v>Petroleum Refining</v>
      </c>
      <c r="S1883" s="28">
        <v>6.3550150000000003E-3</v>
      </c>
      <c r="T1883" s="315">
        <f>_xlfn.MAXIFS('Raw Period DMR Data'!$O:$O,'Raw Period DMR Data'!$A:$A,'Raw Annual DMR Data_2021-2024'!#REF!,'Raw Period DMR Data'!$C:$C,X1883)/S1883</f>
        <v>0</v>
      </c>
      <c r="U1883" s="28" t="str">
        <f>+IF(COUNTIFS('Raw Period DMR Data'!$A:$A,B1883,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83" s="28" t="str" cm="1">
        <f t="array" ref="V1883">IFERROR(INDEX('Raw Period DMR Data'!N:N,MATCH(1,(B1883='Raw Period DMR Data'!$A:$A)*(U1883='Raw Period DMR Data'!M:M)*(X1883='Raw Period DMR Data'!C:C),0),1), "N/A")</f>
        <v>N/A</v>
      </c>
      <c r="W1883" s="28" t="s">
        <v>1463</v>
      </c>
      <c r="X1883" s="28" t="s">
        <v>7138</v>
      </c>
      <c r="Y1883" s="28" t="s">
        <v>7247</v>
      </c>
      <c r="Z1883" s="61">
        <v>18070104000042</v>
      </c>
      <c r="AB1883" s="28" t="s">
        <v>7355</v>
      </c>
      <c r="AC1883" s="28" t="s">
        <v>1466</v>
      </c>
    </row>
    <row r="1884" spans="1:29" x14ac:dyDescent="0.25">
      <c r="A1884" s="61">
        <v>110064624018</v>
      </c>
      <c r="B1884" s="28">
        <v>2023</v>
      </c>
      <c r="C1884" s="68">
        <f t="shared" si="30"/>
        <v>44927</v>
      </c>
      <c r="D1884" s="28" t="s">
        <v>6770</v>
      </c>
      <c r="E1884" s="28" t="s">
        <v>6916</v>
      </c>
      <c r="F1884" s="28" t="s">
        <v>1292</v>
      </c>
      <c r="G1884" s="28" t="s">
        <v>366</v>
      </c>
      <c r="H1884" s="28">
        <v>90056</v>
      </c>
      <c r="I1884" s="28">
        <v>33.990146000000003</v>
      </c>
      <c r="J1884" s="28">
        <v>-118.36358</v>
      </c>
      <c r="L1884" s="61">
        <v>110064624018</v>
      </c>
      <c r="M1884" s="28" t="s">
        <v>265</v>
      </c>
      <c r="N1884" s="28">
        <v>2911</v>
      </c>
      <c r="O1884" s="28" t="str">
        <f>IFERROR(VLOOKUP(N1884, 'SIC &amp; NAICS Codes'!A:B, 2, FALSE), "")</f>
        <v>Petroleum Refining</v>
      </c>
      <c r="S1884" s="28">
        <v>2.7630500000000002E-4</v>
      </c>
      <c r="T1884" s="315">
        <f>_xlfn.MAXIFS('Raw Period DMR Data'!$O:$O,'Raw Period DMR Data'!$A:$A,'Raw Annual DMR Data_2021-2024'!#REF!,'Raw Period DMR Data'!$C:$C,X1884)/S1884</f>
        <v>0</v>
      </c>
      <c r="U1884" s="28" t="str">
        <f>+IF(COUNTIFS('Raw Period DMR Data'!$A:$A,B1884,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84" s="28" t="str" cm="1">
        <f t="array" ref="V1884">IFERROR(INDEX('Raw Period DMR Data'!N:N,MATCH(1,(B1884='Raw Period DMR Data'!$A:$A)*(U1884='Raw Period DMR Data'!M:M)*(X1884='Raw Period DMR Data'!C:C),0),1), "N/A")</f>
        <v>N/A</v>
      </c>
      <c r="W1884" s="28" t="s">
        <v>1463</v>
      </c>
      <c r="X1884" s="28" t="s">
        <v>7138</v>
      </c>
      <c r="Y1884" s="28" t="s">
        <v>7247</v>
      </c>
      <c r="Z1884" s="61">
        <v>18070104000042</v>
      </c>
      <c r="AB1884" s="28" t="s">
        <v>7355</v>
      </c>
      <c r="AC1884" s="28" t="s">
        <v>1466</v>
      </c>
    </row>
    <row r="1885" spans="1:29" x14ac:dyDescent="0.25">
      <c r="A1885" s="61">
        <v>110003363351</v>
      </c>
      <c r="B1885" s="28">
        <v>2024</v>
      </c>
      <c r="C1885" s="68">
        <f t="shared" si="30"/>
        <v>45292</v>
      </c>
      <c r="D1885" s="28" t="s">
        <v>1184</v>
      </c>
      <c r="E1885" s="28" t="s">
        <v>1909</v>
      </c>
      <c r="F1885" s="28" t="s">
        <v>500</v>
      </c>
      <c r="G1885" s="28" t="s">
        <v>303</v>
      </c>
      <c r="H1885" s="28">
        <v>70767</v>
      </c>
      <c r="I1885" s="28">
        <v>30.44361</v>
      </c>
      <c r="J1885" s="28">
        <v>-91.220929999999996</v>
      </c>
      <c r="L1885" s="61">
        <v>110003363351</v>
      </c>
      <c r="M1885" s="28" t="s">
        <v>265</v>
      </c>
      <c r="N1885" s="28">
        <v>2834</v>
      </c>
      <c r="O1885" s="28" t="str">
        <f>IFERROR(VLOOKUP(N1885, 'SIC &amp; NAICS Codes'!A:B, 2, FALSE), "")</f>
        <v xml:space="preserve">Pharmaceutical Preparations </v>
      </c>
      <c r="S1885" s="28">
        <v>2.1858375000000001E-3</v>
      </c>
      <c r="T1885" s="315">
        <f>_xlfn.MAXIFS('Raw Period DMR Data'!$O:$O,'Raw Period DMR Data'!$A:$A,'Raw Annual DMR Data_2021-2024'!#REF!,'Raw Period DMR Data'!$C:$C,X1885)/S1885</f>
        <v>0</v>
      </c>
      <c r="U1885" s="28" t="str">
        <f>+IF(COUNTIFS('Raw Period DMR Data'!$A:$A,B1885,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85" s="28" t="str" cm="1">
        <f t="array" ref="V1885">IFERROR(INDEX('Raw Period DMR Data'!N:N,MATCH(1,(B1885='Raw Period DMR Data'!$A:$A)*(U1885='Raw Period DMR Data'!M:M)*(X1885='Raw Period DMR Data'!C:C),0),1), "N/A")</f>
        <v>N/A</v>
      </c>
      <c r="W1885" s="28" t="s">
        <v>1463</v>
      </c>
      <c r="X1885" s="28" t="s">
        <v>1910</v>
      </c>
      <c r="Z1885" s="61">
        <v>8070300000427</v>
      </c>
      <c r="AB1885" s="28" t="s">
        <v>7355</v>
      </c>
      <c r="AC1885" s="28" t="s">
        <v>1466</v>
      </c>
    </row>
    <row r="1886" spans="1:29" x14ac:dyDescent="0.25">
      <c r="A1886" s="61">
        <v>110003363351</v>
      </c>
      <c r="B1886" s="28">
        <v>2023</v>
      </c>
      <c r="C1886" s="68">
        <f t="shared" si="30"/>
        <v>44927</v>
      </c>
      <c r="D1886" s="28" t="s">
        <v>1184</v>
      </c>
      <c r="E1886" s="28" t="s">
        <v>1909</v>
      </c>
      <c r="F1886" s="28" t="s">
        <v>500</v>
      </c>
      <c r="G1886" s="28" t="s">
        <v>303</v>
      </c>
      <c r="H1886" s="28">
        <v>70767</v>
      </c>
      <c r="I1886" s="28">
        <v>30.44361</v>
      </c>
      <c r="J1886" s="28">
        <v>-91.220929999999996</v>
      </c>
      <c r="L1886" s="61">
        <v>110003363351</v>
      </c>
      <c r="M1886" s="28" t="s">
        <v>265</v>
      </c>
      <c r="N1886" s="28">
        <v>2834</v>
      </c>
      <c r="O1886" s="28" t="str">
        <f>IFERROR(VLOOKUP(N1886, 'SIC &amp; NAICS Codes'!A:B, 2, FALSE), "")</f>
        <v xml:space="preserve">Pharmaceutical Preparations </v>
      </c>
      <c r="S1886" s="28">
        <v>1.7032499999999999E-3</v>
      </c>
      <c r="T1886" s="315">
        <f>_xlfn.MAXIFS('Raw Period DMR Data'!$O:$O,'Raw Period DMR Data'!$A:$A,'Raw Annual DMR Data_2021-2024'!#REF!,'Raw Period DMR Data'!$C:$C,X1886)/S1886</f>
        <v>0</v>
      </c>
      <c r="U1886" s="28" t="str">
        <f>+IF(COUNTIFS('Raw Period DMR Data'!$A:$A,B1886,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86" s="28" t="str" cm="1">
        <f t="array" ref="V1886">IFERROR(INDEX('Raw Period DMR Data'!N:N,MATCH(1,(B1886='Raw Period DMR Data'!$A:$A)*(U1886='Raw Period DMR Data'!M:M)*(X1886='Raw Period DMR Data'!C:C),0),1), "N/A")</f>
        <v>N/A</v>
      </c>
      <c r="W1886" s="28" t="s">
        <v>1463</v>
      </c>
      <c r="X1886" s="28" t="s">
        <v>1910</v>
      </c>
      <c r="Z1886" s="61" t="s">
        <v>7325</v>
      </c>
      <c r="AB1886" s="28" t="s">
        <v>7355</v>
      </c>
      <c r="AC1886" s="28" t="s">
        <v>1466</v>
      </c>
    </row>
    <row r="1887" spans="1:29" x14ac:dyDescent="0.25">
      <c r="A1887" s="61">
        <v>110003363351</v>
      </c>
      <c r="B1887" s="28">
        <v>2022</v>
      </c>
      <c r="C1887" s="68">
        <f t="shared" si="30"/>
        <v>44562</v>
      </c>
      <c r="D1887" s="28" t="s">
        <v>1184</v>
      </c>
      <c r="E1887" s="28" t="s">
        <v>1909</v>
      </c>
      <c r="F1887" s="28" t="s">
        <v>500</v>
      </c>
      <c r="G1887" s="28" t="s">
        <v>303</v>
      </c>
      <c r="H1887" s="28">
        <v>70767</v>
      </c>
      <c r="I1887" s="28">
        <v>30.44361</v>
      </c>
      <c r="J1887" s="28">
        <v>-91.220929999999996</v>
      </c>
      <c r="L1887" s="61">
        <v>110003363351</v>
      </c>
      <c r="M1887" s="28" t="s">
        <v>265</v>
      </c>
      <c r="N1887" s="28">
        <v>2834</v>
      </c>
      <c r="O1887" s="28" t="str">
        <f>IFERROR(VLOOKUP(N1887, 'SIC &amp; NAICS Codes'!A:B, 2, FALSE), "")</f>
        <v xml:space="preserve">Pharmaceutical Preparations </v>
      </c>
      <c r="S1887" s="28">
        <v>1.381525E-3</v>
      </c>
      <c r="T1887" s="315">
        <f>_xlfn.MAXIFS('Raw Period DMR Data'!$O:$O,'Raw Period DMR Data'!$A:$A,'Raw Annual DMR Data_2021-2024'!#REF!,'Raw Period DMR Data'!$C:$C,X1887)/S1887</f>
        <v>0</v>
      </c>
      <c r="U1887" s="28" t="str">
        <f>+IF(COUNTIFS('Raw Period DMR Data'!$A:$A,B1887,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87" s="28" t="str" cm="1">
        <f t="array" ref="V1887">IFERROR(INDEX('Raw Period DMR Data'!N:N,MATCH(1,(B1887='Raw Period DMR Data'!$A:$A)*(U1887='Raw Period DMR Data'!M:M)*(X1887='Raw Period DMR Data'!C:C),0),1), "N/A")</f>
        <v>N/A</v>
      </c>
      <c r="W1887" s="28" t="s">
        <v>1463</v>
      </c>
      <c r="X1887" s="28" t="s">
        <v>1910</v>
      </c>
      <c r="Z1887" s="61">
        <v>8070300000427</v>
      </c>
      <c r="AB1887" s="28" t="s">
        <v>7355</v>
      </c>
      <c r="AC1887" s="28" t="s">
        <v>1466</v>
      </c>
    </row>
    <row r="1888" spans="1:29" x14ac:dyDescent="0.25">
      <c r="A1888" s="61">
        <v>110070598729</v>
      </c>
      <c r="B1888" s="28">
        <v>2021</v>
      </c>
      <c r="C1888" s="68">
        <f t="shared" si="30"/>
        <v>44197</v>
      </c>
      <c r="D1888" s="28" t="s">
        <v>1185</v>
      </c>
      <c r="E1888" s="28" t="s">
        <v>1911</v>
      </c>
      <c r="F1888" s="28" t="s">
        <v>968</v>
      </c>
      <c r="G1888" s="28" t="s">
        <v>294</v>
      </c>
      <c r="H1888" s="28">
        <v>22305</v>
      </c>
      <c r="I1888" s="28">
        <v>38.840600000000002</v>
      </c>
      <c r="J1888" s="28">
        <v>-77.068200000000004</v>
      </c>
      <c r="L1888" s="61">
        <v>110070598729</v>
      </c>
      <c r="M1888" s="28" t="s">
        <v>265</v>
      </c>
      <c r="N1888" s="28">
        <v>1794</v>
      </c>
      <c r="O1888" s="28" t="str">
        <f>IFERROR(VLOOKUP(N1888, 'SIC &amp; NAICS Codes'!A:B, 2, FALSE), "")</f>
        <v>Excavation Work</v>
      </c>
      <c r="S1888" s="28">
        <v>5.4868495500000003E-5</v>
      </c>
      <c r="T1888" s="315">
        <f>_xlfn.MAXIFS('Raw Period DMR Data'!$O:$O,'Raw Period DMR Data'!$A:$A,'Raw Annual DMR Data_2021-2024'!#REF!,'Raw Period DMR Data'!$C:$C,X1888)/S1888</f>
        <v>0</v>
      </c>
      <c r="U1888" s="28" t="str">
        <f>+IF(COUNTIFS('Raw Period DMR Data'!$A:$A,B1888,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88" s="28" t="str" cm="1">
        <f t="array" ref="V1888">IFERROR(INDEX('Raw Period DMR Data'!N:N,MATCH(1,(B1888='Raw Period DMR Data'!$A:$A)*(U1888='Raw Period DMR Data'!M:M)*(X1888='Raw Period DMR Data'!C:C),0),1), "N/A")</f>
        <v>N/A</v>
      </c>
      <c r="W1888" s="28" t="s">
        <v>1463</v>
      </c>
      <c r="X1888" s="28" t="s">
        <v>1912</v>
      </c>
      <c r="Y1888" s="28" t="s">
        <v>1475</v>
      </c>
      <c r="Z1888" s="61"/>
      <c r="AA1888" s="28"/>
      <c r="AB1888" s="28" t="s">
        <v>7355</v>
      </c>
      <c r="AC1888" s="28" t="s">
        <v>1466</v>
      </c>
    </row>
    <row r="1889" spans="1:29" x14ac:dyDescent="0.25">
      <c r="A1889" s="61">
        <v>110032913024</v>
      </c>
      <c r="B1889" s="28">
        <v>2024</v>
      </c>
      <c r="C1889" s="68">
        <f t="shared" si="30"/>
        <v>45292</v>
      </c>
      <c r="D1889" s="28" t="s">
        <v>6910</v>
      </c>
      <c r="E1889" s="28" t="s">
        <v>7111</v>
      </c>
      <c r="F1889" s="28" t="s">
        <v>7112</v>
      </c>
      <c r="G1889" s="28" t="s">
        <v>1128</v>
      </c>
      <c r="H1889" s="28">
        <v>80022</v>
      </c>
      <c r="I1889" s="28">
        <v>39.805556000000003</v>
      </c>
      <c r="J1889" s="28">
        <v>-104.944444</v>
      </c>
      <c r="K1889" s="28" t="s">
        <v>7135</v>
      </c>
      <c r="L1889" s="61">
        <v>110032913024</v>
      </c>
      <c r="M1889" s="28" t="s">
        <v>265</v>
      </c>
      <c r="N1889" s="28">
        <v>2911</v>
      </c>
      <c r="O1889" s="28" t="str">
        <f>IFERROR(VLOOKUP(N1889, 'SIC &amp; NAICS Codes'!A:B, 2, FALSE), "")</f>
        <v>Petroleum Refining</v>
      </c>
      <c r="S1889" s="28">
        <v>1.424768625</v>
      </c>
      <c r="T1889" s="315">
        <f>_xlfn.MAXIFS('Raw Period DMR Data'!$O:$O,'Raw Period DMR Data'!$A:$A,'Raw Annual DMR Data_2021-2024'!#REF!,'Raw Period DMR Data'!$C:$C,X1889)/S1889</f>
        <v>0</v>
      </c>
      <c r="U1889" s="28" t="str">
        <f>+IF(COUNTIFS('Raw Period DMR Data'!$A:$A,B1889,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89" s="28" t="str" cm="1">
        <f t="array" ref="V1889">IFERROR(INDEX('Raw Period DMR Data'!N:N,MATCH(1,(B1889='Raw Period DMR Data'!$A:$A)*(U1889='Raw Period DMR Data'!M:M)*(X1889='Raw Period DMR Data'!C:C),0),1), "N/A")</f>
        <v>N/A</v>
      </c>
      <c r="W1889" s="28" t="s">
        <v>1463</v>
      </c>
      <c r="X1889" s="28" t="s">
        <v>7241</v>
      </c>
      <c r="Y1889" s="28" t="s">
        <v>7321</v>
      </c>
      <c r="Z1889" s="61">
        <v>10190003001246</v>
      </c>
      <c r="AB1889" s="28" t="s">
        <v>7355</v>
      </c>
      <c r="AC1889" s="28" t="s">
        <v>1466</v>
      </c>
    </row>
    <row r="1890" spans="1:29" x14ac:dyDescent="0.25">
      <c r="A1890" s="61">
        <v>110071349304</v>
      </c>
      <c r="B1890" s="28">
        <v>2022</v>
      </c>
      <c r="C1890" s="68">
        <f t="shared" si="30"/>
        <v>44562</v>
      </c>
      <c r="D1890" s="28" t="s">
        <v>6886</v>
      </c>
      <c r="E1890" s="28" t="s">
        <v>7062</v>
      </c>
      <c r="F1890" s="28" t="s">
        <v>7063</v>
      </c>
      <c r="G1890" s="28" t="s">
        <v>366</v>
      </c>
      <c r="H1890" s="28" t="s">
        <v>7064</v>
      </c>
      <c r="I1890" s="28">
        <v>38.030833000000001</v>
      </c>
      <c r="J1890" s="28">
        <v>-122.075</v>
      </c>
      <c r="K1890" s="28" t="s">
        <v>7132</v>
      </c>
      <c r="L1890" s="61">
        <v>110071349304</v>
      </c>
      <c r="M1890" s="28" t="s">
        <v>265</v>
      </c>
      <c r="N1890" s="28">
        <v>2911</v>
      </c>
      <c r="O1890" s="28" t="str">
        <f>IFERROR(VLOOKUP(N1890, 'SIC &amp; NAICS Codes'!A:B, 2, FALSE), "")</f>
        <v>Petroleum Refining</v>
      </c>
      <c r="S1890" s="28">
        <v>1.35596868E-2</v>
      </c>
      <c r="T1890" s="315">
        <f>_xlfn.MAXIFS('Raw Period DMR Data'!$O:$O,'Raw Period DMR Data'!$A:$A,'Raw Annual DMR Data_2021-2024'!#REF!,'Raw Period DMR Data'!$C:$C,X1890)/S1890</f>
        <v>0</v>
      </c>
      <c r="U1890" s="28" t="str">
        <f>+IF(COUNTIFS('Raw Period DMR Data'!$A:$A,B1890,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90" s="28" t="str" cm="1">
        <f t="array" ref="V1890">IFERROR(INDEX('Raw Period DMR Data'!N:N,MATCH(1,(B1890='Raw Period DMR Data'!$A:$A)*(U1890='Raw Period DMR Data'!M:M)*(X1890='Raw Period DMR Data'!C:C),0),1), "N/A")</f>
        <v>N/A</v>
      </c>
      <c r="W1890" s="28" t="s">
        <v>1463</v>
      </c>
      <c r="X1890" s="28" t="s">
        <v>7212</v>
      </c>
      <c r="Y1890" s="28" t="s">
        <v>7310</v>
      </c>
      <c r="Z1890" s="61">
        <v>18050001001004</v>
      </c>
      <c r="AB1890" s="28" t="s">
        <v>7355</v>
      </c>
      <c r="AC1890" s="28" t="s">
        <v>1466</v>
      </c>
    </row>
    <row r="1891" spans="1:29" x14ac:dyDescent="0.25">
      <c r="A1891" s="61">
        <v>110071349304</v>
      </c>
      <c r="B1891" s="28">
        <v>2023</v>
      </c>
      <c r="C1891" s="68">
        <f t="shared" si="30"/>
        <v>44927</v>
      </c>
      <c r="D1891" s="28" t="s">
        <v>6886</v>
      </c>
      <c r="E1891" s="28" t="s">
        <v>7062</v>
      </c>
      <c r="F1891" s="28" t="s">
        <v>7063</v>
      </c>
      <c r="G1891" s="28" t="s">
        <v>366</v>
      </c>
      <c r="H1891" s="28" t="s">
        <v>7064</v>
      </c>
      <c r="I1891" s="28">
        <v>38.030833000000001</v>
      </c>
      <c r="J1891" s="28">
        <v>-122.075</v>
      </c>
      <c r="K1891" s="28" t="s">
        <v>7132</v>
      </c>
      <c r="L1891" s="61">
        <v>110071349304</v>
      </c>
      <c r="M1891" s="28" t="s">
        <v>265</v>
      </c>
      <c r="N1891" s="28">
        <v>2911</v>
      </c>
      <c r="O1891" s="28" t="str">
        <f>IFERROR(VLOOKUP(N1891, 'SIC &amp; NAICS Codes'!A:B, 2, FALSE), "")</f>
        <v>Petroleum Refining</v>
      </c>
      <c r="S1891" s="28">
        <v>1.1223130600000001E-2</v>
      </c>
      <c r="T1891" s="315">
        <f>_xlfn.MAXIFS('Raw Period DMR Data'!$O:$O,'Raw Period DMR Data'!$A:$A,'Raw Annual DMR Data_2021-2024'!#REF!,'Raw Period DMR Data'!$C:$C,X1891)/S1891</f>
        <v>0</v>
      </c>
      <c r="U1891" s="28" t="str">
        <f>+IF(COUNTIFS('Raw Period DMR Data'!$A:$A,B1891,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91" s="28" t="str" cm="1">
        <f t="array" ref="V1891">IFERROR(INDEX('Raw Period DMR Data'!N:N,MATCH(1,(B1891='Raw Period DMR Data'!$A:$A)*(U1891='Raw Period DMR Data'!M:M)*(X1891='Raw Period DMR Data'!C:C),0),1), "N/A")</f>
        <v>N/A</v>
      </c>
      <c r="W1891" s="28" t="s">
        <v>1463</v>
      </c>
      <c r="X1891" s="28" t="s">
        <v>7212</v>
      </c>
      <c r="Y1891" s="28" t="s">
        <v>7310</v>
      </c>
      <c r="Z1891" s="61">
        <v>18050001001004</v>
      </c>
      <c r="AB1891" s="28" t="s">
        <v>7355</v>
      </c>
      <c r="AC1891" s="28" t="s">
        <v>1466</v>
      </c>
    </row>
    <row r="1892" spans="1:29" x14ac:dyDescent="0.25">
      <c r="A1892" s="61">
        <v>110071349304</v>
      </c>
      <c r="B1892" s="28">
        <v>2024</v>
      </c>
      <c r="C1892" s="68">
        <f t="shared" si="30"/>
        <v>45292</v>
      </c>
      <c r="D1892" s="28" t="s">
        <v>6886</v>
      </c>
      <c r="E1892" s="28" t="s">
        <v>7062</v>
      </c>
      <c r="F1892" s="28" t="s">
        <v>7063</v>
      </c>
      <c r="G1892" s="28" t="s">
        <v>366</v>
      </c>
      <c r="H1892" s="28" t="s">
        <v>7064</v>
      </c>
      <c r="I1892" s="28">
        <v>38.030833000000001</v>
      </c>
      <c r="J1892" s="28">
        <v>-122.075</v>
      </c>
      <c r="K1892" s="28" t="s">
        <v>7132</v>
      </c>
      <c r="L1892" s="61">
        <v>110071349304</v>
      </c>
      <c r="M1892" s="28" t="s">
        <v>265</v>
      </c>
      <c r="N1892" s="28">
        <v>2911</v>
      </c>
      <c r="O1892" s="28" t="str">
        <f>IFERROR(VLOOKUP(N1892, 'SIC &amp; NAICS Codes'!A:B, 2, FALSE), "")</f>
        <v>Petroleum Refining</v>
      </c>
      <c r="S1892" s="28">
        <v>9.4562623200000005E-3</v>
      </c>
      <c r="T1892" s="315">
        <f>_xlfn.MAXIFS('Raw Period DMR Data'!$O:$O,'Raw Period DMR Data'!$A:$A,'Raw Annual DMR Data_2021-2024'!#REF!,'Raw Period DMR Data'!$C:$C,X1892)/S1892</f>
        <v>0</v>
      </c>
      <c r="U1892" s="28" t="str">
        <f>+IF(COUNTIFS('Raw Period DMR Data'!$A:$A,B1892,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92" s="28" t="str" cm="1">
        <f t="array" ref="V1892">IFERROR(INDEX('Raw Period DMR Data'!N:N,MATCH(1,(B1892='Raw Period DMR Data'!$A:$A)*(U1892='Raw Period DMR Data'!M:M)*(X1892='Raw Period DMR Data'!C:C),0),1), "N/A")</f>
        <v>N/A</v>
      </c>
      <c r="W1892" s="28" t="s">
        <v>1463</v>
      </c>
      <c r="X1892" s="28" t="s">
        <v>7212</v>
      </c>
      <c r="Y1892" s="28" t="s">
        <v>7310</v>
      </c>
      <c r="Z1892" s="61">
        <v>18050001001004</v>
      </c>
      <c r="AB1892" s="28" t="s">
        <v>7355</v>
      </c>
      <c r="AC1892" s="28" t="s">
        <v>1466</v>
      </c>
    </row>
    <row r="1893" spans="1:29" x14ac:dyDescent="0.25">
      <c r="A1893" s="61">
        <v>110033145353</v>
      </c>
      <c r="B1893" s="28">
        <v>2023</v>
      </c>
      <c r="C1893" s="68">
        <f t="shared" si="30"/>
        <v>44927</v>
      </c>
      <c r="D1893" s="28" t="s">
        <v>6785</v>
      </c>
      <c r="E1893" s="28" t="s">
        <v>6932</v>
      </c>
      <c r="F1893" s="28" t="s">
        <v>6933</v>
      </c>
      <c r="G1893" s="28" t="s">
        <v>366</v>
      </c>
      <c r="H1893" s="28" t="s">
        <v>6934</v>
      </c>
      <c r="I1893" s="28">
        <v>38.074433999999997</v>
      </c>
      <c r="J1893" s="28">
        <v>-122.144397</v>
      </c>
      <c r="K1893" s="28" t="s">
        <v>7119</v>
      </c>
      <c r="L1893" s="61">
        <v>110033145353</v>
      </c>
      <c r="M1893" s="28" t="s">
        <v>265</v>
      </c>
      <c r="N1893" s="28">
        <v>2911</v>
      </c>
      <c r="O1893" s="28" t="str">
        <f>IFERROR(VLOOKUP(N1893, 'SIC &amp; NAICS Codes'!A:B, 2, FALSE), "")</f>
        <v>Petroleum Refining</v>
      </c>
      <c r="S1893" s="28">
        <v>0.31445401499999998</v>
      </c>
      <c r="T1893" s="315">
        <f>_xlfn.MAXIFS('Raw Period DMR Data'!$O:$O,'Raw Period DMR Data'!$A:$A,'Raw Annual DMR Data_2021-2024'!#REF!,'Raw Period DMR Data'!$C:$C,X1893)/S1893</f>
        <v>0</v>
      </c>
      <c r="U1893" s="28" t="str">
        <f>+IF(COUNTIFS('Raw Period DMR Data'!$A:$A,B1893,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93" s="28" t="str" cm="1">
        <f t="array" ref="V1893">IFERROR(INDEX('Raw Period DMR Data'!N:N,MATCH(1,(B1893='Raw Period DMR Data'!$A:$A)*(U1893='Raw Period DMR Data'!M:M)*(X1893='Raw Period DMR Data'!C:C),0),1), "N/A")</f>
        <v>N/A</v>
      </c>
      <c r="W1893" s="28" t="s">
        <v>1463</v>
      </c>
      <c r="X1893" s="28" t="s">
        <v>7145</v>
      </c>
      <c r="Y1893" s="28" t="s">
        <v>7257</v>
      </c>
      <c r="Z1893" s="61">
        <v>18050001001874</v>
      </c>
      <c r="AC1893" s="28" t="s">
        <v>1466</v>
      </c>
    </row>
    <row r="1894" spans="1:29" x14ac:dyDescent="0.25">
      <c r="A1894" s="61">
        <v>110006749162</v>
      </c>
      <c r="B1894" s="28">
        <v>2021</v>
      </c>
      <c r="C1894" s="68">
        <f t="shared" si="30"/>
        <v>44197</v>
      </c>
      <c r="D1894" s="28" t="s">
        <v>1188</v>
      </c>
      <c r="E1894" s="28" t="s">
        <v>1917</v>
      </c>
      <c r="F1894" s="28" t="s">
        <v>1189</v>
      </c>
      <c r="G1894" s="28" t="s">
        <v>324</v>
      </c>
      <c r="H1894" s="28">
        <v>40336</v>
      </c>
      <c r="I1894" s="28">
        <v>37.700833000000003</v>
      </c>
      <c r="J1894" s="28">
        <v>-83.984443999999996</v>
      </c>
      <c r="L1894" s="61">
        <v>110006749162</v>
      </c>
      <c r="M1894" s="28" t="s">
        <v>263</v>
      </c>
      <c r="N1894" s="28">
        <v>8711</v>
      </c>
      <c r="O1894" s="28" t="str">
        <f>IFERROR(VLOOKUP(N1894, 'SIC &amp; NAICS Codes'!A:B, 2, FALSE), "")</f>
        <v>Engineering Services</v>
      </c>
      <c r="S1894" s="28">
        <v>0.58231278750000004</v>
      </c>
      <c r="T1894" s="315">
        <f>_xlfn.MAXIFS('Raw Period DMR Data'!$O:$O,'Raw Period DMR Data'!$A:$A,'Raw Annual DMR Data_2021-2024'!#REF!,'Raw Period DMR Data'!$C:$C,X1894)/S1894</f>
        <v>0</v>
      </c>
      <c r="U1894" s="28" t="str">
        <f>+IF(COUNTIFS('Raw Period DMR Data'!$A:$A,B1894,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94" s="28" t="str" cm="1">
        <f t="array" ref="V1894">IFERROR(INDEX('Raw Period DMR Data'!N:N,MATCH(1,(B1894='Raw Period DMR Data'!$A:$A)*(U1894='Raw Period DMR Data'!M:M)*(X1894='Raw Period DMR Data'!C:C),0),1), "N/A")</f>
        <v>N/A</v>
      </c>
      <c r="W1894" s="28" t="s">
        <v>1463</v>
      </c>
      <c r="X1894" s="28" t="s">
        <v>1918</v>
      </c>
      <c r="Y1894" s="28" t="s">
        <v>1592</v>
      </c>
      <c r="Z1894" s="61">
        <v>5100204000012</v>
      </c>
      <c r="AA1894" s="28"/>
      <c r="AB1894" s="28" t="s">
        <v>7355</v>
      </c>
      <c r="AC1894" s="28" t="s">
        <v>263</v>
      </c>
    </row>
    <row r="1895" spans="1:29" x14ac:dyDescent="0.25">
      <c r="A1895" s="61">
        <v>110017796330</v>
      </c>
      <c r="B1895" s="28">
        <v>2024</v>
      </c>
      <c r="C1895" s="68">
        <f t="shared" si="30"/>
        <v>45292</v>
      </c>
      <c r="D1895" s="28" t="s">
        <v>1190</v>
      </c>
      <c r="E1895" s="28" t="s">
        <v>1920</v>
      </c>
      <c r="F1895" s="28" t="s">
        <v>1191</v>
      </c>
      <c r="G1895" s="28" t="s">
        <v>491</v>
      </c>
      <c r="H1895" s="28">
        <v>17853</v>
      </c>
      <c r="I1895" s="28">
        <v>40.725278000000003</v>
      </c>
      <c r="J1895" s="28">
        <v>-77.056944000000001</v>
      </c>
      <c r="L1895" s="61">
        <v>110017796330</v>
      </c>
      <c r="M1895" s="28" t="s">
        <v>265</v>
      </c>
      <c r="N1895" s="28">
        <v>3645</v>
      </c>
      <c r="O1895" s="28" t="str">
        <f>IFERROR(VLOOKUP(N1895, 'SIC &amp; NAICS Codes'!A:B, 2, FALSE), "")</f>
        <v>Residential Electric Lighting Fixtures</v>
      </c>
      <c r="S1895" s="28">
        <v>4.7335210000000001E-3</v>
      </c>
      <c r="T1895" s="315">
        <f>_xlfn.MAXIFS('Raw Period DMR Data'!$O:$O,'Raw Period DMR Data'!$A:$A,'Raw Annual DMR Data_2021-2024'!#REF!,'Raw Period DMR Data'!$C:$C,X1895)/S1895</f>
        <v>0</v>
      </c>
      <c r="U1895" s="28" t="str">
        <f>+IF(COUNTIFS('Raw Period DMR Data'!$A:$A,B1895,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95" s="28" t="str" cm="1">
        <f t="array" ref="V1895">IFERROR(INDEX('Raw Period DMR Data'!N:N,MATCH(1,(B1895='Raw Period DMR Data'!$A:$A)*(U1895='Raw Period DMR Data'!M:M)*(X1895='Raw Period DMR Data'!C:C),0),1), "N/A")</f>
        <v>N/A</v>
      </c>
      <c r="W1895" s="28" t="s">
        <v>1463</v>
      </c>
      <c r="X1895" s="28" t="s">
        <v>1921</v>
      </c>
      <c r="Y1895" s="28" t="s">
        <v>1922</v>
      </c>
      <c r="Z1895" s="61">
        <v>2050301000478</v>
      </c>
      <c r="AB1895" s="28" t="s">
        <v>7355</v>
      </c>
      <c r="AC1895" s="28" t="s">
        <v>1466</v>
      </c>
    </row>
    <row r="1896" spans="1:29" x14ac:dyDescent="0.25">
      <c r="A1896" s="61">
        <v>110017796330</v>
      </c>
      <c r="B1896" s="28">
        <v>2023</v>
      </c>
      <c r="C1896" s="68">
        <f t="shared" si="30"/>
        <v>44927</v>
      </c>
      <c r="D1896" s="28" t="s">
        <v>1190</v>
      </c>
      <c r="E1896" s="28" t="s">
        <v>1920</v>
      </c>
      <c r="F1896" s="28" t="s">
        <v>1191</v>
      </c>
      <c r="G1896" s="28" t="s">
        <v>491</v>
      </c>
      <c r="H1896" s="28">
        <v>17853</v>
      </c>
      <c r="I1896" s="28">
        <v>40.725278000000003</v>
      </c>
      <c r="J1896" s="28">
        <v>-77.056944000000001</v>
      </c>
      <c r="L1896" s="61">
        <v>110017796330</v>
      </c>
      <c r="M1896" s="28" t="s">
        <v>265</v>
      </c>
      <c r="N1896" s="28">
        <v>3645</v>
      </c>
      <c r="O1896" s="28" t="str">
        <f>IFERROR(VLOOKUP(N1896, 'SIC &amp; NAICS Codes'!A:B, 2, FALSE), "")</f>
        <v>Residential Electric Lighting Fixtures</v>
      </c>
      <c r="S1896" s="28">
        <v>4.4248542499999996E-3</v>
      </c>
      <c r="T1896" s="315">
        <f>_xlfn.MAXIFS('Raw Period DMR Data'!$O:$O,'Raw Period DMR Data'!$A:$A,'Raw Annual DMR Data_2021-2024'!#REF!,'Raw Period DMR Data'!$C:$C,X1896)/S1896</f>
        <v>0</v>
      </c>
      <c r="U1896" s="28" t="str">
        <f>+IF(COUNTIFS('Raw Period DMR Data'!$A:$A,B1896,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96" s="28" t="str" cm="1">
        <f t="array" ref="V1896">IFERROR(INDEX('Raw Period DMR Data'!N:N,MATCH(1,(B1896='Raw Period DMR Data'!$A:$A)*(U1896='Raw Period DMR Data'!M:M)*(X1896='Raw Period DMR Data'!C:C),0),1), "N/A")</f>
        <v>N/A</v>
      </c>
      <c r="W1896" s="28" t="s">
        <v>1463</v>
      </c>
      <c r="X1896" s="28" t="s">
        <v>1921</v>
      </c>
      <c r="Y1896" s="28" t="s">
        <v>1922</v>
      </c>
      <c r="Z1896" s="61" t="s">
        <v>1923</v>
      </c>
      <c r="AB1896" s="28" t="s">
        <v>7355</v>
      </c>
      <c r="AC1896" s="28" t="s">
        <v>1466</v>
      </c>
    </row>
    <row r="1897" spans="1:29" x14ac:dyDescent="0.25">
      <c r="A1897" s="61">
        <v>110017796330</v>
      </c>
      <c r="B1897" s="28">
        <v>2021</v>
      </c>
      <c r="C1897" s="68">
        <f t="shared" si="30"/>
        <v>44197</v>
      </c>
      <c r="D1897" s="28" t="s">
        <v>1190</v>
      </c>
      <c r="E1897" s="28" t="s">
        <v>1920</v>
      </c>
      <c r="F1897" s="28" t="s">
        <v>1191</v>
      </c>
      <c r="G1897" s="28" t="s">
        <v>491</v>
      </c>
      <c r="H1897" s="28">
        <v>17853</v>
      </c>
      <c r="I1897" s="28">
        <v>40.725278000000003</v>
      </c>
      <c r="J1897" s="28">
        <v>-77.056944000000001</v>
      </c>
      <c r="L1897" s="61">
        <v>110017796330</v>
      </c>
      <c r="M1897" s="28" t="s">
        <v>265</v>
      </c>
      <c r="N1897" s="28">
        <v>3645</v>
      </c>
      <c r="O1897" s="28" t="str">
        <f>IFERROR(VLOOKUP(N1897, 'SIC &amp; NAICS Codes'!A:B, 2, FALSE), "")</f>
        <v>Residential Electric Lighting Fixtures</v>
      </c>
      <c r="S1897" s="28">
        <v>4.0575200000000002E-3</v>
      </c>
      <c r="T1897" s="315">
        <f>_xlfn.MAXIFS('Raw Period DMR Data'!$O:$O,'Raw Period DMR Data'!$A:$A,'Raw Annual DMR Data_2021-2024'!#REF!,'Raw Period DMR Data'!$C:$C,X1897)/S1897</f>
        <v>0</v>
      </c>
      <c r="U1897" s="28" t="str">
        <f>+IF(COUNTIFS('Raw Period DMR Data'!$A:$A,B1897,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97" s="28" t="str" cm="1">
        <f t="array" ref="V1897">IFERROR(INDEX('Raw Period DMR Data'!N:N,MATCH(1,(B1897='Raw Period DMR Data'!$A:$A)*(U1897='Raw Period DMR Data'!M:M)*(X1897='Raw Period DMR Data'!C:C),0),1), "N/A")</f>
        <v>N/A</v>
      </c>
      <c r="W1897" s="28" t="s">
        <v>1463</v>
      </c>
      <c r="X1897" s="28" t="s">
        <v>1921</v>
      </c>
      <c r="Y1897" s="28" t="s">
        <v>1922</v>
      </c>
      <c r="Z1897" s="61">
        <v>2050301000478</v>
      </c>
      <c r="AA1897" s="28"/>
      <c r="AB1897" s="28" t="s">
        <v>7355</v>
      </c>
      <c r="AC1897" s="28" t="s">
        <v>1466</v>
      </c>
    </row>
    <row r="1898" spans="1:29" x14ac:dyDescent="0.25">
      <c r="A1898" s="61">
        <v>110017796330</v>
      </c>
      <c r="B1898" s="28">
        <v>2022</v>
      </c>
      <c r="C1898" s="68">
        <f t="shared" si="30"/>
        <v>44562</v>
      </c>
      <c r="D1898" s="28" t="s">
        <v>1190</v>
      </c>
      <c r="E1898" s="28" t="s">
        <v>1920</v>
      </c>
      <c r="F1898" s="28" t="s">
        <v>1191</v>
      </c>
      <c r="G1898" s="28" t="s">
        <v>491</v>
      </c>
      <c r="H1898" s="28">
        <v>17853</v>
      </c>
      <c r="I1898" s="28">
        <v>40.725278000000003</v>
      </c>
      <c r="J1898" s="28">
        <v>-77.056944000000001</v>
      </c>
      <c r="L1898" s="61">
        <v>110017796330</v>
      </c>
      <c r="M1898" s="28" t="s">
        <v>265</v>
      </c>
      <c r="N1898" s="28">
        <v>3645</v>
      </c>
      <c r="O1898" s="28" t="str">
        <f>IFERROR(VLOOKUP(N1898, 'SIC &amp; NAICS Codes'!A:B, 2, FALSE), "")</f>
        <v>Residential Electric Lighting Fixtures</v>
      </c>
      <c r="S1898" s="28">
        <v>3.919746E-3</v>
      </c>
      <c r="T1898" s="315">
        <f>_xlfn.MAXIFS('Raw Period DMR Data'!$O:$O,'Raw Period DMR Data'!$A:$A,'Raw Annual DMR Data_2021-2024'!#REF!,'Raw Period DMR Data'!$C:$C,X1898)/S1898</f>
        <v>0</v>
      </c>
      <c r="U1898" s="28" t="str">
        <f>+IF(COUNTIFS('Raw Period DMR Data'!$A:$A,B1898,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98" s="28" t="str" cm="1">
        <f t="array" ref="V1898">IFERROR(INDEX('Raw Period DMR Data'!N:N,MATCH(1,(B1898='Raw Period DMR Data'!$A:$A)*(U1898='Raw Period DMR Data'!M:M)*(X1898='Raw Period DMR Data'!C:C),0),1), "N/A")</f>
        <v>N/A</v>
      </c>
      <c r="W1898" s="28" t="s">
        <v>1463</v>
      </c>
      <c r="X1898" s="28" t="s">
        <v>1921</v>
      </c>
      <c r="Y1898" s="28" t="s">
        <v>1922</v>
      </c>
      <c r="Z1898" s="61">
        <v>2050301000478</v>
      </c>
      <c r="AB1898" s="28" t="s">
        <v>7355</v>
      </c>
      <c r="AC1898" s="28" t="s">
        <v>1466</v>
      </c>
    </row>
    <row r="1899" spans="1:29" x14ac:dyDescent="0.25">
      <c r="A1899" s="61">
        <v>110000741608</v>
      </c>
      <c r="B1899" s="28">
        <v>2021</v>
      </c>
      <c r="C1899" s="68">
        <f t="shared" si="30"/>
        <v>44197</v>
      </c>
      <c r="D1899" s="28" t="s">
        <v>6795</v>
      </c>
      <c r="E1899" s="28" t="s">
        <v>1924</v>
      </c>
      <c r="F1899" s="28" t="s">
        <v>323</v>
      </c>
      <c r="G1899" s="28" t="s">
        <v>324</v>
      </c>
      <c r="H1899" s="28">
        <v>42029</v>
      </c>
      <c r="I1899" s="28">
        <v>37.047736999999998</v>
      </c>
      <c r="J1899" s="28">
        <v>-88.35866</v>
      </c>
      <c r="K1899" s="28" t="s">
        <v>721</v>
      </c>
      <c r="L1899" s="61">
        <v>110000741608</v>
      </c>
      <c r="M1899" s="28" t="s">
        <v>265</v>
      </c>
      <c r="N1899" s="28">
        <v>2869</v>
      </c>
      <c r="O1899" s="28" t="str">
        <f>IFERROR(VLOOKUP(N1899, 'SIC &amp; NAICS Codes'!A:B, 2, FALSE), "")</f>
        <v>Industrial Organic Chemicals, NEC (aliphatics)</v>
      </c>
      <c r="S1899" s="28">
        <v>4.059895</v>
      </c>
      <c r="T1899" s="315">
        <f>_xlfn.MAXIFS('Raw Period DMR Data'!$O:$O,'Raw Period DMR Data'!$A:$A,'Raw Annual DMR Data_2021-2024'!B2406,'Raw Period DMR Data'!$C:$C,X1899)/S1899</f>
        <v>0</v>
      </c>
      <c r="U1899" s="28" t="str">
        <f>+IF(COUNTIFS('Raw Period DMR Data'!$A:$A,B1899, 'Raw Period DMR Data'!C:C,'Raw Annual DMR Data_2021-2024'!X2406, 'Raw Period DMR Data'!M:M, "&gt;0")&gt;0,_xlfn.MAXIFS('Raw Period DMR Data'!M:M,'Raw Period DMR Data'!$A:$A,'Raw Annual DMR Data_2021-2024'!B2406,'Raw Period DMR Data'!C:C,'Raw Annual DMR Data_2021-2024'!X2406), "N/A - Period DMR Data Not Available")</f>
        <v>N/A - Period DMR Data Not Available</v>
      </c>
      <c r="V1899" s="28" t="str" cm="1">
        <f t="array" ref="V1899">IFERROR(INDEX('Raw Period DMR Data'!N:N,MATCH(1,(B1899='Raw Period DMR Data'!$A:$A)*(U1899='Raw Period DMR Data'!M:M)*(X1899='Raw Period DMR Data'!C:C),0),1), "N/A")</f>
        <v>N/A</v>
      </c>
      <c r="W1899" s="28" t="s">
        <v>1463</v>
      </c>
      <c r="X1899" s="28" t="s">
        <v>1925</v>
      </c>
      <c r="Y1899" s="28" t="s">
        <v>1926</v>
      </c>
      <c r="Z1899" s="61">
        <v>6040006000329</v>
      </c>
      <c r="AA1899" s="28"/>
      <c r="AB1899" s="28" t="s">
        <v>7355</v>
      </c>
      <c r="AC1899" s="28" t="s">
        <v>1466</v>
      </c>
    </row>
    <row r="1900" spans="1:29" x14ac:dyDescent="0.25">
      <c r="A1900" s="61">
        <v>110000741608</v>
      </c>
      <c r="B1900" s="28">
        <v>2022</v>
      </c>
      <c r="C1900" s="68">
        <f t="shared" si="30"/>
        <v>44562</v>
      </c>
      <c r="D1900" s="28" t="s">
        <v>6795</v>
      </c>
      <c r="E1900" s="28" t="s">
        <v>1924</v>
      </c>
      <c r="F1900" s="28" t="s">
        <v>323</v>
      </c>
      <c r="G1900" s="28" t="s">
        <v>324</v>
      </c>
      <c r="H1900" s="28">
        <v>42029</v>
      </c>
      <c r="I1900" s="28">
        <v>37.047736999999998</v>
      </c>
      <c r="J1900" s="28">
        <v>-88.35866</v>
      </c>
      <c r="K1900" s="28" t="s">
        <v>721</v>
      </c>
      <c r="L1900" s="61">
        <v>110000741608</v>
      </c>
      <c r="M1900" s="28" t="s">
        <v>265</v>
      </c>
      <c r="N1900" s="28">
        <v>2869</v>
      </c>
      <c r="O1900" s="28" t="str">
        <f>IFERROR(VLOOKUP(N1900, 'SIC &amp; NAICS Codes'!A:B, 2, FALSE), "")</f>
        <v>Industrial Organic Chemicals, NEC (aliphatics)</v>
      </c>
      <c r="S1900" s="28">
        <v>1.2428250000000001</v>
      </c>
      <c r="T1900" s="315">
        <f>_xlfn.MAXIFS('Raw Period DMR Data'!$O:$O,'Raw Period DMR Data'!$A:$A,'Raw Annual DMR Data_2021-2024'!#REF!,'Raw Period DMR Data'!$C:$C,X1900)/S1900</f>
        <v>0</v>
      </c>
      <c r="U1900" s="28" t="str">
        <f>+IF(COUNTIFS('Raw Period DMR Data'!$A:$A,B1900,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00" s="28" t="str" cm="1">
        <f t="array" ref="V1900">IFERROR(INDEX('Raw Period DMR Data'!N:N,MATCH(1,(B1900='Raw Period DMR Data'!$A:$A)*(U1900='Raw Period DMR Data'!M:M)*(X1900='Raw Period DMR Data'!C:C),0),1), "N/A")</f>
        <v>N/A</v>
      </c>
      <c r="W1900" s="28" t="s">
        <v>1463</v>
      </c>
      <c r="X1900" s="28" t="s">
        <v>1925</v>
      </c>
      <c r="Y1900" s="28" t="s">
        <v>1926</v>
      </c>
      <c r="Z1900" s="61">
        <v>6040006000329</v>
      </c>
      <c r="AB1900" s="28" t="s">
        <v>7355</v>
      </c>
      <c r="AC1900" s="28" t="s">
        <v>1466</v>
      </c>
    </row>
    <row r="1901" spans="1:29" x14ac:dyDescent="0.25">
      <c r="A1901" s="61">
        <v>110000741608</v>
      </c>
      <c r="B1901" s="28">
        <v>2024</v>
      </c>
      <c r="C1901" s="68">
        <f t="shared" si="30"/>
        <v>45292</v>
      </c>
      <c r="D1901" s="28" t="s">
        <v>6795</v>
      </c>
      <c r="E1901" s="28" t="s">
        <v>1924</v>
      </c>
      <c r="F1901" s="28" t="s">
        <v>323</v>
      </c>
      <c r="G1901" s="28" t="s">
        <v>324</v>
      </c>
      <c r="H1901" s="28">
        <v>42029</v>
      </c>
      <c r="I1901" s="28">
        <v>37.047736999999998</v>
      </c>
      <c r="J1901" s="28">
        <v>-88.35866</v>
      </c>
      <c r="K1901" s="28" t="s">
        <v>721</v>
      </c>
      <c r="L1901" s="61">
        <v>110000741608</v>
      </c>
      <c r="M1901" s="28" t="s">
        <v>265</v>
      </c>
      <c r="N1901" s="28">
        <v>2869</v>
      </c>
      <c r="O1901" s="28" t="str">
        <f>IFERROR(VLOOKUP(N1901, 'SIC &amp; NAICS Codes'!A:B, 2, FALSE), "")</f>
        <v>Industrial Organic Chemicals, NEC (aliphatics)</v>
      </c>
      <c r="S1901" s="28">
        <v>0.99426000000000003</v>
      </c>
      <c r="T1901" s="315">
        <f>_xlfn.MAXIFS('Raw Period DMR Data'!$O:$O,'Raw Period DMR Data'!$A:$A,'Raw Annual DMR Data_2021-2024'!#REF!,'Raw Period DMR Data'!$C:$C,X1901)/S1901</f>
        <v>0</v>
      </c>
      <c r="U1901" s="28" t="str">
        <f>+IF(COUNTIFS('Raw Period DMR Data'!$A:$A,B1901,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01" s="28" t="str" cm="1">
        <f t="array" ref="V1901">IFERROR(INDEX('Raw Period DMR Data'!N:N,MATCH(1,(B1901='Raw Period DMR Data'!$A:$A)*(U1901='Raw Period DMR Data'!M:M)*(X1901='Raw Period DMR Data'!C:C),0),1), "N/A")</f>
        <v>N/A</v>
      </c>
      <c r="W1901" s="28" t="s">
        <v>1463</v>
      </c>
      <c r="X1901" s="28" t="s">
        <v>1925</v>
      </c>
      <c r="Y1901" s="28" t="s">
        <v>1926</v>
      </c>
      <c r="Z1901" s="61">
        <v>6040006000329</v>
      </c>
      <c r="AB1901" s="28" t="s">
        <v>7355</v>
      </c>
      <c r="AC1901" s="28" t="s">
        <v>1466</v>
      </c>
    </row>
    <row r="1902" spans="1:29" x14ac:dyDescent="0.25">
      <c r="A1902" s="61">
        <v>110000741608</v>
      </c>
      <c r="B1902" s="28">
        <v>2023</v>
      </c>
      <c r="C1902" s="68">
        <f t="shared" si="30"/>
        <v>44927</v>
      </c>
      <c r="D1902" s="28" t="s">
        <v>6795</v>
      </c>
      <c r="E1902" s="28" t="s">
        <v>1924</v>
      </c>
      <c r="F1902" s="28" t="s">
        <v>323</v>
      </c>
      <c r="G1902" s="28" t="s">
        <v>324</v>
      </c>
      <c r="H1902" s="28">
        <v>42029</v>
      </c>
      <c r="I1902" s="28">
        <v>37.047736999999998</v>
      </c>
      <c r="J1902" s="28">
        <v>-88.35866</v>
      </c>
      <c r="K1902" s="28" t="s">
        <v>721</v>
      </c>
      <c r="L1902" s="61">
        <v>110000741608</v>
      </c>
      <c r="M1902" s="28" t="s">
        <v>265</v>
      </c>
      <c r="N1902" s="28">
        <v>2869</v>
      </c>
      <c r="O1902" s="28" t="str">
        <f>IFERROR(VLOOKUP(N1902, 'SIC &amp; NAICS Codes'!A:B, 2, FALSE), "")</f>
        <v>Industrial Organic Chemicals, NEC (aliphatics)</v>
      </c>
      <c r="S1902" s="28">
        <v>0.49713000000000002</v>
      </c>
      <c r="T1902" s="315">
        <f>_xlfn.MAXIFS('Raw Period DMR Data'!$O:$O,'Raw Period DMR Data'!$A:$A,'Raw Annual DMR Data_2021-2024'!#REF!,'Raw Period DMR Data'!$C:$C,X1902)/S1902</f>
        <v>0</v>
      </c>
      <c r="U1902" s="28" t="str">
        <f>+IF(COUNTIFS('Raw Period DMR Data'!$A:$A,B1902,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02" s="28" t="str" cm="1">
        <f t="array" ref="V1902">IFERROR(INDEX('Raw Period DMR Data'!N:N,MATCH(1,(B1902='Raw Period DMR Data'!$A:$A)*(U1902='Raw Period DMR Data'!M:M)*(X1902='Raw Period DMR Data'!C:C),0),1), "N/A")</f>
        <v>N/A</v>
      </c>
      <c r="W1902" s="28" t="s">
        <v>1463</v>
      </c>
      <c r="X1902" s="28" t="s">
        <v>1925</v>
      </c>
      <c r="Y1902" s="28" t="s">
        <v>1926</v>
      </c>
      <c r="Z1902" s="61" t="s">
        <v>1492</v>
      </c>
      <c r="AB1902" s="28" t="s">
        <v>7355</v>
      </c>
      <c r="AC1902" s="28" t="s">
        <v>1466</v>
      </c>
    </row>
    <row r="1903" spans="1:29" x14ac:dyDescent="0.25">
      <c r="A1903" s="61">
        <v>110011373637</v>
      </c>
      <c r="B1903" s="28">
        <v>2021</v>
      </c>
      <c r="C1903" s="68">
        <f t="shared" si="30"/>
        <v>44197</v>
      </c>
      <c r="D1903" s="28" t="s">
        <v>6877</v>
      </c>
      <c r="E1903" s="28" t="s">
        <v>7051</v>
      </c>
      <c r="F1903" s="28" t="s">
        <v>7052</v>
      </c>
      <c r="G1903" s="28" t="s">
        <v>366</v>
      </c>
      <c r="H1903" s="28">
        <v>95642</v>
      </c>
      <c r="I1903" s="28">
        <v>38.333300000000001</v>
      </c>
      <c r="J1903" s="28">
        <v>-120.7833</v>
      </c>
      <c r="L1903" s="61">
        <v>110011373637</v>
      </c>
      <c r="M1903" s="28" t="s">
        <v>263</v>
      </c>
      <c r="N1903" s="28">
        <v>4952</v>
      </c>
      <c r="O1903" s="28" t="str">
        <f>IFERROR(VLOOKUP(N1903, 'SIC &amp; NAICS Codes'!A:B, 2, FALSE), "")</f>
        <v>Sewerage Systems</v>
      </c>
      <c r="S1903" s="28">
        <v>9.1007751200000001E-2</v>
      </c>
      <c r="T1903" s="315">
        <f>_xlfn.MAXIFS('Raw Period DMR Data'!$O:$O,'Raw Period DMR Data'!$A:$A,'Raw Annual DMR Data_2021-2024'!#REF!,'Raw Period DMR Data'!$C:$C,X1903)/S1903</f>
        <v>0</v>
      </c>
      <c r="U1903" s="28" t="str">
        <f>+IF(COUNTIFS('Raw Period DMR Data'!$A:$A,B1903,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03" s="28" t="str" cm="1">
        <f t="array" ref="V1903">IFERROR(INDEX('Raw Period DMR Data'!N:N,MATCH(1,(B1903='Raw Period DMR Data'!$A:$A)*(U1903='Raw Period DMR Data'!M:M)*(X1903='Raw Period DMR Data'!C:C),0),1), "N/A")</f>
        <v>N/A</v>
      </c>
      <c r="W1903" s="28" t="s">
        <v>1463</v>
      </c>
      <c r="X1903" s="28" t="s">
        <v>7205</v>
      </c>
      <c r="Y1903" s="28" t="s">
        <v>7305</v>
      </c>
      <c r="Z1903" s="61">
        <v>18040012000981</v>
      </c>
      <c r="AB1903" s="28" t="s">
        <v>7355</v>
      </c>
      <c r="AC1903" s="28" t="s">
        <v>263</v>
      </c>
    </row>
    <row r="1904" spans="1:29" x14ac:dyDescent="0.25">
      <c r="A1904" s="61">
        <v>110070546877</v>
      </c>
      <c r="B1904" s="28">
        <v>2024</v>
      </c>
      <c r="C1904" s="68">
        <f t="shared" si="30"/>
        <v>45292</v>
      </c>
      <c r="D1904" s="28" t="s">
        <v>1193</v>
      </c>
      <c r="E1904" s="28" t="s">
        <v>1927</v>
      </c>
      <c r="F1904" s="28" t="s">
        <v>293</v>
      </c>
      <c r="G1904" s="28" t="s">
        <v>294</v>
      </c>
      <c r="H1904" s="28">
        <v>22203</v>
      </c>
      <c r="I1904" s="28">
        <v>38.861800000000002</v>
      </c>
      <c r="J1904" s="28">
        <v>-77.086969999999994</v>
      </c>
      <c r="L1904" s="61">
        <v>110070546877</v>
      </c>
      <c r="M1904" s="28" t="s">
        <v>265</v>
      </c>
      <c r="N1904" s="28">
        <v>1794</v>
      </c>
      <c r="O1904" s="28" t="str">
        <f>IFERROR(VLOOKUP(N1904, 'SIC &amp; NAICS Codes'!A:B, 2, FALSE), "")</f>
        <v>Excavation Work</v>
      </c>
      <c r="S1904" s="28">
        <v>9.4510465899999997E-3</v>
      </c>
      <c r="T1904" s="315">
        <f>_xlfn.MAXIFS('Raw Period DMR Data'!$O:$O,'Raw Period DMR Data'!$A:$A,'Raw Annual DMR Data_2021-2024'!#REF!,'Raw Period DMR Data'!$C:$C,X1904)/S1904</f>
        <v>0</v>
      </c>
      <c r="U1904" s="28" t="str">
        <f>+IF(COUNTIFS('Raw Period DMR Data'!$A:$A,B1904,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04" s="28" t="str" cm="1">
        <f t="array" ref="V1904">IFERROR(INDEX('Raw Period DMR Data'!N:N,MATCH(1,(B1904='Raw Period DMR Data'!$A:$A)*(U1904='Raw Period DMR Data'!M:M)*(X1904='Raw Period DMR Data'!C:C),0),1), "N/A")</f>
        <v>N/A</v>
      </c>
      <c r="W1904" s="28" t="s">
        <v>1463</v>
      </c>
      <c r="X1904" s="28" t="s">
        <v>1928</v>
      </c>
      <c r="Y1904" s="28" t="s">
        <v>1475</v>
      </c>
      <c r="Z1904" s="61"/>
      <c r="AB1904" s="28" t="s">
        <v>7355</v>
      </c>
      <c r="AC1904" s="28" t="s">
        <v>1466</v>
      </c>
    </row>
    <row r="1905" spans="1:29" x14ac:dyDescent="0.25">
      <c r="A1905" s="61">
        <v>110070546877</v>
      </c>
      <c r="B1905" s="28">
        <v>2023</v>
      </c>
      <c r="C1905" s="68">
        <f t="shared" si="30"/>
        <v>44927</v>
      </c>
      <c r="D1905" s="28" t="s">
        <v>1193</v>
      </c>
      <c r="E1905" s="28" t="s">
        <v>1927</v>
      </c>
      <c r="F1905" s="28" t="s">
        <v>293</v>
      </c>
      <c r="G1905" s="28" t="s">
        <v>294</v>
      </c>
      <c r="H1905" s="28">
        <v>22203</v>
      </c>
      <c r="I1905" s="28">
        <v>38.861800000000002</v>
      </c>
      <c r="J1905" s="28">
        <v>-77.086969999999994</v>
      </c>
      <c r="L1905" s="61">
        <v>110070546877</v>
      </c>
      <c r="M1905" s="28" t="s">
        <v>265</v>
      </c>
      <c r="N1905" s="28">
        <v>1794</v>
      </c>
      <c r="O1905" s="28" t="str">
        <f>IFERROR(VLOOKUP(N1905, 'SIC &amp; NAICS Codes'!A:B, 2, FALSE), "")</f>
        <v>Excavation Work</v>
      </c>
      <c r="S1905" s="28">
        <v>8.9960658580500001E-3</v>
      </c>
      <c r="T1905" s="315">
        <f>_xlfn.MAXIFS('Raw Period DMR Data'!$O:$O,'Raw Period DMR Data'!$A:$A,'Raw Annual DMR Data_2021-2024'!#REF!,'Raw Period DMR Data'!$C:$C,X1905)/S1905</f>
        <v>0</v>
      </c>
      <c r="U1905" s="28" t="str">
        <f>+IF(COUNTIFS('Raw Period DMR Data'!$A:$A,B1905,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05" s="28" t="str" cm="1">
        <f t="array" ref="V1905">IFERROR(INDEX('Raw Period DMR Data'!N:N,MATCH(1,(B1905='Raw Period DMR Data'!$A:$A)*(U1905='Raw Period DMR Data'!M:M)*(X1905='Raw Period DMR Data'!C:C),0),1), "N/A")</f>
        <v>N/A</v>
      </c>
      <c r="W1905" s="28" t="s">
        <v>1463</v>
      </c>
      <c r="X1905" s="28" t="s">
        <v>1928</v>
      </c>
      <c r="Y1905" s="28" t="s">
        <v>1475</v>
      </c>
      <c r="Z1905" s="61"/>
      <c r="AA1905" s="60" t="s">
        <v>7355</v>
      </c>
      <c r="AB1905" s="28" t="s">
        <v>7355</v>
      </c>
      <c r="AC1905" s="28" t="s">
        <v>1466</v>
      </c>
    </row>
    <row r="1906" spans="1:29" x14ac:dyDescent="0.25">
      <c r="A1906" s="61">
        <v>110070546877</v>
      </c>
      <c r="B1906" s="28">
        <v>2022</v>
      </c>
      <c r="C1906" s="68">
        <f t="shared" si="30"/>
        <v>44562</v>
      </c>
      <c r="D1906" s="28" t="s">
        <v>1193</v>
      </c>
      <c r="E1906" s="28" t="s">
        <v>1927</v>
      </c>
      <c r="F1906" s="28" t="s">
        <v>293</v>
      </c>
      <c r="G1906" s="28" t="s">
        <v>294</v>
      </c>
      <c r="H1906" s="28">
        <v>22203</v>
      </c>
      <c r="I1906" s="28">
        <v>38.861800000000002</v>
      </c>
      <c r="J1906" s="28">
        <v>-77.086969999999994</v>
      </c>
      <c r="L1906" s="61">
        <v>110070546877</v>
      </c>
      <c r="M1906" s="28" t="s">
        <v>265</v>
      </c>
      <c r="N1906" s="28">
        <v>1794</v>
      </c>
      <c r="O1906" s="28" t="str">
        <f>IFERROR(VLOOKUP(N1906, 'SIC &amp; NAICS Codes'!A:B, 2, FALSE), "")</f>
        <v>Excavation Work</v>
      </c>
      <c r="S1906" s="28">
        <v>2.9379204064999999E-4</v>
      </c>
      <c r="T1906" s="315">
        <f>_xlfn.MAXIFS('Raw Period DMR Data'!$O:$O,'Raw Period DMR Data'!$A:$A,'Raw Annual DMR Data_2021-2024'!#REF!,'Raw Period DMR Data'!$C:$C,X1906)/S1906</f>
        <v>0</v>
      </c>
      <c r="U1906" s="28" t="str">
        <f>+IF(COUNTIFS('Raw Period DMR Data'!$A:$A,B1906,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06" s="28" t="str" cm="1">
        <f t="array" ref="V1906">IFERROR(INDEX('Raw Period DMR Data'!N:N,MATCH(1,(B1906='Raw Period DMR Data'!$A:$A)*(U1906='Raw Period DMR Data'!M:M)*(X1906='Raw Period DMR Data'!C:C),0),1), "N/A")</f>
        <v>N/A</v>
      </c>
      <c r="W1906" s="28" t="s">
        <v>1463</v>
      </c>
      <c r="X1906" s="28" t="s">
        <v>1928</v>
      </c>
      <c r="Y1906" s="28" t="s">
        <v>1475</v>
      </c>
      <c r="Z1906" s="61"/>
      <c r="AB1906" s="28" t="s">
        <v>7355</v>
      </c>
      <c r="AC1906" s="28" t="s">
        <v>1466</v>
      </c>
    </row>
    <row r="1907" spans="1:29" x14ac:dyDescent="0.25">
      <c r="A1907" s="61">
        <v>110070546877</v>
      </c>
      <c r="B1907" s="28">
        <v>2021</v>
      </c>
      <c r="C1907" s="68">
        <f t="shared" si="30"/>
        <v>44197</v>
      </c>
      <c r="D1907" s="28" t="s">
        <v>1193</v>
      </c>
      <c r="E1907" s="28" t="s">
        <v>1927</v>
      </c>
      <c r="F1907" s="28" t="s">
        <v>293</v>
      </c>
      <c r="G1907" s="28" t="s">
        <v>294</v>
      </c>
      <c r="H1907" s="28">
        <v>22203</v>
      </c>
      <c r="I1907" s="28">
        <v>38.861800000000002</v>
      </c>
      <c r="J1907" s="28">
        <v>-77.086969999999994</v>
      </c>
      <c r="L1907" s="61">
        <v>110070546877</v>
      </c>
      <c r="M1907" s="28" t="s">
        <v>265</v>
      </c>
      <c r="N1907" s="28">
        <v>1794</v>
      </c>
      <c r="O1907" s="28" t="str">
        <f>IFERROR(VLOOKUP(N1907, 'SIC &amp; NAICS Codes'!A:B, 2, FALSE), "")</f>
        <v>Excavation Work</v>
      </c>
      <c r="S1907" s="28">
        <v>2.8654940529999998E-4</v>
      </c>
      <c r="T1907" s="315">
        <f>_xlfn.MAXIFS('Raw Period DMR Data'!$O:$O,'Raw Period DMR Data'!$A:$A,'Raw Annual DMR Data_2021-2024'!#REF!,'Raw Period DMR Data'!$C:$C,X1907)/S1907</f>
        <v>0</v>
      </c>
      <c r="U1907" s="28" t="str">
        <f>+IF(COUNTIFS('Raw Period DMR Data'!$A:$A,B1907,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07" s="28" t="str" cm="1">
        <f t="array" ref="V1907">IFERROR(INDEX('Raw Period DMR Data'!N:N,MATCH(1,(B1907='Raw Period DMR Data'!$A:$A)*(U1907='Raw Period DMR Data'!M:M)*(X1907='Raw Period DMR Data'!C:C),0),1), "N/A")</f>
        <v>N/A</v>
      </c>
      <c r="W1907" s="28" t="s">
        <v>1463</v>
      </c>
      <c r="X1907" s="28" t="s">
        <v>1928</v>
      </c>
      <c r="Y1907" s="28" t="s">
        <v>1475</v>
      </c>
      <c r="Z1907" s="61"/>
      <c r="AA1907" s="28"/>
      <c r="AB1907" s="28" t="s">
        <v>7355</v>
      </c>
      <c r="AC1907" s="28" t="s">
        <v>1466</v>
      </c>
    </row>
    <row r="1908" spans="1:29" x14ac:dyDescent="0.25">
      <c r="A1908" s="61">
        <v>110042005503</v>
      </c>
      <c r="B1908" s="28">
        <v>2022</v>
      </c>
      <c r="C1908" s="68">
        <f t="shared" si="30"/>
        <v>44562</v>
      </c>
      <c r="D1908" s="28" t="s">
        <v>6803</v>
      </c>
      <c r="E1908" s="28" t="s">
        <v>6957</v>
      </c>
      <c r="F1908" s="28" t="s">
        <v>6958</v>
      </c>
      <c r="G1908" s="28" t="s">
        <v>362</v>
      </c>
      <c r="H1908" s="28">
        <v>77539</v>
      </c>
      <c r="I1908" s="28">
        <v>29.460277999999999</v>
      </c>
      <c r="J1908" s="28">
        <v>-95.043890000000005</v>
      </c>
      <c r="L1908" s="61">
        <v>110042005503</v>
      </c>
      <c r="M1908" s="28" t="s">
        <v>265</v>
      </c>
      <c r="N1908" s="28">
        <v>2999</v>
      </c>
      <c r="O1908" s="28" t="str">
        <f>IFERROR(VLOOKUP(N1908, 'SIC &amp; NAICS Codes'!A:B, 2, FALSE), "")</f>
        <v>Products of Petroleum and Coal, NEC</v>
      </c>
      <c r="S1908" s="28">
        <v>0.16571</v>
      </c>
      <c r="T1908" s="315">
        <f>_xlfn.MAXIFS('Raw Period DMR Data'!$O:$O,'Raw Period DMR Data'!$A:$A,'Raw Annual DMR Data_2021-2024'!#REF!,'Raw Period DMR Data'!$C:$C,X1908)/S1908</f>
        <v>0</v>
      </c>
      <c r="U1908" s="28" t="str">
        <f>+IF(COUNTIFS('Raw Period DMR Data'!$A:$A,B1908,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08" s="28" t="str" cm="1">
        <f t="array" ref="V1908">IFERROR(INDEX('Raw Period DMR Data'!N:N,MATCH(1,(B1908='Raw Period DMR Data'!$A:$A)*(U1908='Raw Period DMR Data'!M:M)*(X1908='Raw Period DMR Data'!C:C),0),1), "N/A")</f>
        <v>N/A</v>
      </c>
      <c r="W1908" s="28" t="s">
        <v>1463</v>
      </c>
      <c r="X1908" s="28" t="s">
        <v>7156</v>
      </c>
      <c r="Y1908" s="28" t="s">
        <v>7268</v>
      </c>
      <c r="Z1908" s="61">
        <v>12040204000087</v>
      </c>
      <c r="AC1908" s="28" t="s">
        <v>1466</v>
      </c>
    </row>
    <row r="1909" spans="1:29" x14ac:dyDescent="0.25">
      <c r="A1909" s="61">
        <v>110009933402</v>
      </c>
      <c r="B1909" s="28">
        <v>2021</v>
      </c>
      <c r="C1909" s="68">
        <f t="shared" si="30"/>
        <v>44197</v>
      </c>
      <c r="D1909" s="28" t="s">
        <v>1194</v>
      </c>
      <c r="E1909" s="28" t="s">
        <v>1929</v>
      </c>
      <c r="F1909" s="28" t="s">
        <v>1195</v>
      </c>
      <c r="G1909" s="28" t="s">
        <v>324</v>
      </c>
      <c r="H1909" s="28">
        <v>40004</v>
      </c>
      <c r="I1909" s="28">
        <v>37.780760000000001</v>
      </c>
      <c r="J1909" s="28">
        <v>-85.510740999999996</v>
      </c>
      <c r="L1909" s="61">
        <v>110009933402</v>
      </c>
      <c r="M1909" s="28" t="s">
        <v>263</v>
      </c>
      <c r="N1909" s="28">
        <v>4952</v>
      </c>
      <c r="O1909" s="28" t="str">
        <f>IFERROR(VLOOKUP(N1909, 'SIC &amp; NAICS Codes'!A:B, 2, FALSE), "")</f>
        <v>Sewerage Systems</v>
      </c>
      <c r="S1909" s="28">
        <v>1.6219103500000001</v>
      </c>
      <c r="T1909" s="315">
        <f>_xlfn.MAXIFS('Raw Period DMR Data'!$O:$O,'Raw Period DMR Data'!$A:$A,'Raw Annual DMR Data_2021-2024'!#REF!,'Raw Period DMR Data'!$C:$C,X1909)/S1909</f>
        <v>0</v>
      </c>
      <c r="U1909" s="28" t="str">
        <f>+IF(COUNTIFS('Raw Period DMR Data'!$A:$A,B1909,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09" s="28" t="str" cm="1">
        <f t="array" ref="V1909">IFERROR(INDEX('Raw Period DMR Data'!N:N,MATCH(1,(B1909='Raw Period DMR Data'!$A:$A)*(U1909='Raw Period DMR Data'!M:M)*(X1909='Raw Period DMR Data'!C:C),0),1), "N/A")</f>
        <v>N/A</v>
      </c>
      <c r="W1909" s="28" t="s">
        <v>1463</v>
      </c>
      <c r="X1909" s="28" t="s">
        <v>1930</v>
      </c>
      <c r="Y1909" s="28" t="s">
        <v>1931</v>
      </c>
      <c r="Z1909" s="61">
        <v>5140103000201</v>
      </c>
      <c r="AA1909" s="28"/>
      <c r="AB1909" s="28" t="s">
        <v>7355</v>
      </c>
      <c r="AC1909" s="28" t="s">
        <v>263</v>
      </c>
    </row>
    <row r="1910" spans="1:29" x14ac:dyDescent="0.25">
      <c r="A1910" s="61">
        <v>110006777210</v>
      </c>
      <c r="B1910" s="28">
        <v>2021</v>
      </c>
      <c r="C1910" s="68">
        <f t="shared" si="30"/>
        <v>44197</v>
      </c>
      <c r="D1910" s="28" t="s">
        <v>6842</v>
      </c>
      <c r="E1910" s="28" t="s">
        <v>6998</v>
      </c>
      <c r="F1910" s="28" t="s">
        <v>1286</v>
      </c>
      <c r="G1910" s="28" t="s">
        <v>1171</v>
      </c>
      <c r="H1910" s="28">
        <v>96816</v>
      </c>
      <c r="I1910" s="28">
        <v>21.27167</v>
      </c>
      <c r="J1910" s="28">
        <v>-157.77395999999999</v>
      </c>
      <c r="L1910" s="61">
        <v>110006777210</v>
      </c>
      <c r="M1910" s="28" t="s">
        <v>265</v>
      </c>
      <c r="O1910" s="28" t="str">
        <f>IFERROR(VLOOKUP(N1910, 'SIC &amp; NAICS Codes'!A:B, 2, FALSE), "")</f>
        <v/>
      </c>
      <c r="S1910" s="28">
        <v>3.3720372722</v>
      </c>
      <c r="T1910" s="315">
        <f>_xlfn.MAXIFS('Raw Period DMR Data'!$O:$O,'Raw Period DMR Data'!$A:$A,'Raw Annual DMR Data_2021-2024'!#REF!,'Raw Period DMR Data'!$C:$C,X1910)/S1910</f>
        <v>0</v>
      </c>
      <c r="U1910" s="28" t="str">
        <f>+IF(COUNTIFS('Raw Period DMR Data'!$A:$A,B1910,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10" s="28" t="str" cm="1">
        <f t="array" ref="V1910">IFERROR(INDEX('Raw Period DMR Data'!N:N,MATCH(1,(B1910='Raw Period DMR Data'!$A:$A)*(U1910='Raw Period DMR Data'!M:M)*(X1910='Raw Period DMR Data'!C:C),0),1), "N/A")</f>
        <v>N/A</v>
      </c>
      <c r="W1910" s="28" t="s">
        <v>1463</v>
      </c>
      <c r="X1910" s="28" t="s">
        <v>7177</v>
      </c>
      <c r="Y1910" s="28" t="s">
        <v>7287</v>
      </c>
      <c r="Z1910" s="61">
        <v>20060000000144</v>
      </c>
      <c r="AA1910" s="28"/>
      <c r="AC1910" s="28" t="s">
        <v>1466</v>
      </c>
    </row>
    <row r="1911" spans="1:29" x14ac:dyDescent="0.25">
      <c r="A1911" s="61">
        <v>110000599479</v>
      </c>
      <c r="B1911" s="28">
        <v>2021</v>
      </c>
      <c r="C1911" s="68">
        <f t="shared" si="30"/>
        <v>44197</v>
      </c>
      <c r="D1911" s="28" t="s">
        <v>166</v>
      </c>
      <c r="E1911" s="28" t="s">
        <v>537</v>
      </c>
      <c r="F1911" s="28" t="s">
        <v>538</v>
      </c>
      <c r="G1911" s="28" t="s">
        <v>362</v>
      </c>
      <c r="H1911" s="28">
        <v>77578</v>
      </c>
      <c r="I1911" s="28">
        <v>29.458400000000001</v>
      </c>
      <c r="J1911" s="28">
        <v>-95.330399999999997</v>
      </c>
      <c r="K1911" s="28" t="s">
        <v>539</v>
      </c>
      <c r="L1911" s="61">
        <v>110000599479</v>
      </c>
      <c r="M1911" s="28" t="s">
        <v>251</v>
      </c>
      <c r="N1911" s="28">
        <v>2869</v>
      </c>
      <c r="O1911" s="28" t="str">
        <f>IFERROR(VLOOKUP(N1911, 'SIC &amp; NAICS Codes'!A:B, 2, FALSE), "")</f>
        <v>Industrial Organic Chemicals, NEC (aliphatics)</v>
      </c>
      <c r="S1911" s="28">
        <v>1.4913900000000001E-2</v>
      </c>
      <c r="T1911" s="315">
        <f>_xlfn.MAXIFS('Raw Period DMR Data'!$O:$O,'Raw Period DMR Data'!$A:$A,'Raw Annual DMR Data_2021-2024'!#REF!,'Raw Period DMR Data'!$C:$C,X1911)/S1911</f>
        <v>0</v>
      </c>
      <c r="U1911" s="28" t="str">
        <f>+IF(COUNTIFS('Raw Period DMR Data'!$A:$A,B1911,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11" s="28" t="str" cm="1">
        <f t="array" ref="V1911">IFERROR(INDEX('Raw Period DMR Data'!N:N,MATCH(1,(B1911='Raw Period DMR Data'!$A:$A)*(U1911='Raw Period DMR Data'!M:M)*(X1911='Raw Period DMR Data'!C:C),0),1), "N/A")</f>
        <v>N/A</v>
      </c>
      <c r="W1911" s="28" t="s">
        <v>1463</v>
      </c>
      <c r="X1911" s="28" t="s">
        <v>890</v>
      </c>
      <c r="Y1911" s="28" t="s">
        <v>891</v>
      </c>
      <c r="Z1911" s="61">
        <v>12040204000953</v>
      </c>
      <c r="AA1911" s="28"/>
      <c r="AC1911" s="28" t="s">
        <v>1466</v>
      </c>
    </row>
    <row r="1912" spans="1:29" x14ac:dyDescent="0.25">
      <c r="A1912" s="61">
        <v>110000599479</v>
      </c>
      <c r="B1912" s="28">
        <v>2021</v>
      </c>
      <c r="C1912" s="68">
        <f t="shared" si="30"/>
        <v>44197</v>
      </c>
      <c r="D1912" s="28" t="s">
        <v>166</v>
      </c>
      <c r="E1912" s="28" t="s">
        <v>537</v>
      </c>
      <c r="F1912" s="28" t="s">
        <v>538</v>
      </c>
      <c r="G1912" s="28" t="s">
        <v>362</v>
      </c>
      <c r="H1912" s="28">
        <v>77578</v>
      </c>
      <c r="I1912" s="28">
        <v>29.458400000000001</v>
      </c>
      <c r="J1912" s="28">
        <v>-95.330399999999997</v>
      </c>
      <c r="K1912" s="28" t="s">
        <v>539</v>
      </c>
      <c r="L1912" s="61">
        <v>110000599479</v>
      </c>
      <c r="M1912" s="28" t="s">
        <v>251</v>
      </c>
      <c r="N1912" s="28">
        <v>2869</v>
      </c>
      <c r="O1912" s="28" t="str">
        <f>IFERROR(VLOOKUP(N1912, 'SIC &amp; NAICS Codes'!A:B, 2, FALSE), "")</f>
        <v>Industrial Organic Chemicals, NEC (aliphatics)</v>
      </c>
      <c r="S1912" s="28">
        <v>1.4913900000000001E-2</v>
      </c>
      <c r="T1912" s="315">
        <f>_xlfn.MAXIFS('Raw Period DMR Data'!$O:$O,'Raw Period DMR Data'!$A:$A,'Raw Annual DMR Data_2021-2024'!#REF!,'Raw Period DMR Data'!$C:$C,X1912)/S1912</f>
        <v>0</v>
      </c>
      <c r="U1912" s="28" t="str">
        <f>+IF(COUNTIFS('Raw Period DMR Data'!$A:$A,B1912,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12" s="28" t="str" cm="1">
        <f t="array" ref="V1912">IFERROR(INDEX('Raw Period DMR Data'!N:N,MATCH(1,(B1912='Raw Period DMR Data'!$A:$A)*(U1912='Raw Period DMR Data'!M:M)*(X1912='Raw Period DMR Data'!C:C),0),1), "N/A")</f>
        <v>N/A</v>
      </c>
      <c r="W1912" s="28" t="s">
        <v>1463</v>
      </c>
      <c r="X1912" s="28" t="s">
        <v>890</v>
      </c>
      <c r="Y1912" s="28" t="s">
        <v>891</v>
      </c>
      <c r="Z1912" s="61">
        <v>12040204000953</v>
      </c>
      <c r="AA1912" s="28"/>
      <c r="AC1912" s="28" t="s">
        <v>1466</v>
      </c>
    </row>
    <row r="1913" spans="1:29" x14ac:dyDescent="0.25">
      <c r="A1913" s="61">
        <v>110000599479</v>
      </c>
      <c r="B1913" s="28">
        <v>2022</v>
      </c>
      <c r="C1913" s="68">
        <f t="shared" si="30"/>
        <v>44562</v>
      </c>
      <c r="D1913" s="28" t="s">
        <v>166</v>
      </c>
      <c r="E1913" s="28" t="s">
        <v>537</v>
      </c>
      <c r="F1913" s="28" t="s">
        <v>538</v>
      </c>
      <c r="G1913" s="28" t="s">
        <v>362</v>
      </c>
      <c r="H1913" s="28">
        <v>77578</v>
      </c>
      <c r="I1913" s="28">
        <v>29.458400000000001</v>
      </c>
      <c r="J1913" s="28">
        <v>-95.330399999999997</v>
      </c>
      <c r="K1913" s="28" t="s">
        <v>539</v>
      </c>
      <c r="L1913" s="61">
        <v>110000599479</v>
      </c>
      <c r="M1913" s="28" t="s">
        <v>251</v>
      </c>
      <c r="N1913" s="28">
        <v>2869</v>
      </c>
      <c r="O1913" s="28" t="str">
        <f>IFERROR(VLOOKUP(N1913, 'SIC &amp; NAICS Codes'!A:B, 2, FALSE), "")</f>
        <v>Industrial Organic Chemicals, NEC (aliphatics)</v>
      </c>
      <c r="S1913" s="28">
        <v>1.4913900000000001E-2</v>
      </c>
      <c r="T1913" s="315">
        <f>_xlfn.MAXIFS('Raw Period DMR Data'!$O:$O,'Raw Period DMR Data'!$A:$A,'Raw Annual DMR Data_2021-2024'!#REF!,'Raw Period DMR Data'!$C:$C,X1913)/S1913</f>
        <v>0</v>
      </c>
      <c r="U1913" s="28" t="str">
        <f>+IF(COUNTIFS('Raw Period DMR Data'!$A:$A,B1913,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13" s="28" t="str" cm="1">
        <f t="array" ref="V1913">IFERROR(INDEX('Raw Period DMR Data'!N:N,MATCH(1,(B1913='Raw Period DMR Data'!$A:$A)*(U1913='Raw Period DMR Data'!M:M)*(X1913='Raw Period DMR Data'!C:C),0),1), "N/A")</f>
        <v>N/A</v>
      </c>
      <c r="W1913" s="28" t="s">
        <v>1463</v>
      </c>
      <c r="X1913" s="28" t="s">
        <v>890</v>
      </c>
      <c r="Y1913" s="28" t="s">
        <v>891</v>
      </c>
      <c r="Z1913" s="61">
        <v>12040204000953</v>
      </c>
      <c r="AC1913" s="28" t="s">
        <v>1466</v>
      </c>
    </row>
    <row r="1914" spans="1:29" x14ac:dyDescent="0.25">
      <c r="A1914" s="61">
        <v>110000599479</v>
      </c>
      <c r="B1914" s="28">
        <v>2022</v>
      </c>
      <c r="C1914" s="68">
        <f t="shared" si="30"/>
        <v>44562</v>
      </c>
      <c r="D1914" s="28" t="s">
        <v>166</v>
      </c>
      <c r="E1914" s="28" t="s">
        <v>537</v>
      </c>
      <c r="F1914" s="28" t="s">
        <v>538</v>
      </c>
      <c r="G1914" s="28" t="s">
        <v>362</v>
      </c>
      <c r="H1914" s="28">
        <v>77578</v>
      </c>
      <c r="I1914" s="28">
        <v>29.458400000000001</v>
      </c>
      <c r="J1914" s="28">
        <v>-95.330399999999997</v>
      </c>
      <c r="K1914" s="28" t="s">
        <v>539</v>
      </c>
      <c r="L1914" s="61">
        <v>110000599479</v>
      </c>
      <c r="M1914" s="28" t="s">
        <v>251</v>
      </c>
      <c r="N1914" s="28">
        <v>2869</v>
      </c>
      <c r="O1914" s="28" t="str">
        <f>IFERROR(VLOOKUP(N1914, 'SIC &amp; NAICS Codes'!A:B, 2, FALSE), "")</f>
        <v>Industrial Organic Chemicals, NEC (aliphatics)</v>
      </c>
      <c r="S1914" s="28">
        <v>1.4913900000000001E-2</v>
      </c>
      <c r="T1914" s="315">
        <f>_xlfn.MAXIFS('Raw Period DMR Data'!$O:$O,'Raw Period DMR Data'!$A:$A,'Raw Annual DMR Data_2021-2024'!#REF!,'Raw Period DMR Data'!$C:$C,X1914)/S1914</f>
        <v>0</v>
      </c>
      <c r="U1914" s="28" t="str">
        <f>+IF(COUNTIFS('Raw Period DMR Data'!$A:$A,B1914,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14" s="28" t="str" cm="1">
        <f t="array" ref="V1914">IFERROR(INDEX('Raw Period DMR Data'!N:N,MATCH(1,(B1914='Raw Period DMR Data'!$A:$A)*(U1914='Raw Period DMR Data'!M:M)*(X1914='Raw Period DMR Data'!C:C),0),1), "N/A")</f>
        <v>N/A</v>
      </c>
      <c r="W1914" s="28" t="s">
        <v>1463</v>
      </c>
      <c r="X1914" s="28" t="s">
        <v>890</v>
      </c>
      <c r="Y1914" s="28" t="s">
        <v>891</v>
      </c>
      <c r="Z1914" s="61">
        <v>12040204000953</v>
      </c>
      <c r="AC1914" s="28" t="s">
        <v>1466</v>
      </c>
    </row>
    <row r="1915" spans="1:29" x14ac:dyDescent="0.25">
      <c r="A1915" s="61">
        <v>110000599479</v>
      </c>
      <c r="B1915" s="28">
        <v>2023</v>
      </c>
      <c r="C1915" s="68">
        <f t="shared" si="30"/>
        <v>44927</v>
      </c>
      <c r="D1915" s="28" t="s">
        <v>166</v>
      </c>
      <c r="E1915" s="28" t="s">
        <v>537</v>
      </c>
      <c r="F1915" s="28" t="s">
        <v>538</v>
      </c>
      <c r="G1915" s="28" t="s">
        <v>362</v>
      </c>
      <c r="H1915" s="28">
        <v>77578</v>
      </c>
      <c r="I1915" s="28">
        <v>29.458400000000001</v>
      </c>
      <c r="J1915" s="28">
        <v>-95.330399999999997</v>
      </c>
      <c r="K1915" s="28" t="s">
        <v>539</v>
      </c>
      <c r="L1915" s="61">
        <v>110000599479</v>
      </c>
      <c r="M1915" s="28" t="s">
        <v>251</v>
      </c>
      <c r="N1915" s="28">
        <v>2869</v>
      </c>
      <c r="O1915" s="28" t="str">
        <f>IFERROR(VLOOKUP(N1915, 'SIC &amp; NAICS Codes'!A:B, 2, FALSE), "")</f>
        <v>Industrial Organic Chemicals, NEC (aliphatics)</v>
      </c>
      <c r="S1915" s="28">
        <v>1.4913900000000001E-2</v>
      </c>
      <c r="T1915" s="315">
        <f>_xlfn.MAXIFS('Raw Period DMR Data'!$O:$O,'Raw Period DMR Data'!$A:$A,'Raw Annual DMR Data_2021-2024'!#REF!,'Raw Period DMR Data'!$C:$C,X1915)/S1915</f>
        <v>0</v>
      </c>
      <c r="U1915" s="28" t="str">
        <f>+IF(COUNTIFS('Raw Period DMR Data'!$A:$A,B1915,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15" s="28" t="str" cm="1">
        <f t="array" ref="V1915">IFERROR(INDEX('Raw Period DMR Data'!N:N,MATCH(1,(B1915='Raw Period DMR Data'!$A:$A)*(U1915='Raw Period DMR Data'!M:M)*(X1915='Raw Period DMR Data'!C:C),0),1), "N/A")</f>
        <v>N/A</v>
      </c>
      <c r="W1915" s="28" t="s">
        <v>1463</v>
      </c>
      <c r="X1915" s="28" t="s">
        <v>890</v>
      </c>
      <c r="Y1915" s="28" t="s">
        <v>891</v>
      </c>
      <c r="Z1915" s="61">
        <v>12040204000953</v>
      </c>
      <c r="AC1915" s="28" t="s">
        <v>1466</v>
      </c>
    </row>
    <row r="1916" spans="1:29" x14ac:dyDescent="0.25">
      <c r="A1916" s="61">
        <v>110000599479</v>
      </c>
      <c r="B1916" s="28">
        <v>2023</v>
      </c>
      <c r="C1916" s="68">
        <f t="shared" si="30"/>
        <v>44927</v>
      </c>
      <c r="D1916" s="28" t="s">
        <v>166</v>
      </c>
      <c r="E1916" s="28" t="s">
        <v>537</v>
      </c>
      <c r="F1916" s="28" t="s">
        <v>538</v>
      </c>
      <c r="G1916" s="28" t="s">
        <v>362</v>
      </c>
      <c r="H1916" s="28">
        <v>77578</v>
      </c>
      <c r="I1916" s="28">
        <v>29.458400000000001</v>
      </c>
      <c r="J1916" s="28">
        <v>-95.330399999999997</v>
      </c>
      <c r="K1916" s="28" t="s">
        <v>539</v>
      </c>
      <c r="L1916" s="61">
        <v>110000599479</v>
      </c>
      <c r="M1916" s="28" t="s">
        <v>251</v>
      </c>
      <c r="N1916" s="28">
        <v>2869</v>
      </c>
      <c r="O1916" s="28" t="str">
        <f>IFERROR(VLOOKUP(N1916, 'SIC &amp; NAICS Codes'!A:B, 2, FALSE), "")</f>
        <v>Industrial Organic Chemicals, NEC (aliphatics)</v>
      </c>
      <c r="S1916" s="28">
        <v>1.4913900000000001E-2</v>
      </c>
      <c r="T1916" s="315">
        <f>_xlfn.MAXIFS('Raw Period DMR Data'!$O:$O,'Raw Period DMR Data'!$A:$A,'Raw Annual DMR Data_2021-2024'!#REF!,'Raw Period DMR Data'!$C:$C,X1916)/S1916</f>
        <v>0</v>
      </c>
      <c r="U1916" s="28" t="str">
        <f>+IF(COUNTIFS('Raw Period DMR Data'!$A:$A,B1916,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16" s="28" t="str" cm="1">
        <f t="array" ref="V1916">IFERROR(INDEX('Raw Period DMR Data'!N:N,MATCH(1,(B1916='Raw Period DMR Data'!$A:$A)*(U1916='Raw Period DMR Data'!M:M)*(X1916='Raw Period DMR Data'!C:C),0),1), "N/A")</f>
        <v>N/A</v>
      </c>
      <c r="W1916" s="28" t="s">
        <v>1463</v>
      </c>
      <c r="X1916" s="28" t="s">
        <v>890</v>
      </c>
      <c r="Y1916" s="28" t="s">
        <v>891</v>
      </c>
      <c r="Z1916" s="61">
        <v>12040204000953</v>
      </c>
      <c r="AC1916" s="28" t="s">
        <v>1466</v>
      </c>
    </row>
    <row r="1917" spans="1:29" x14ac:dyDescent="0.25">
      <c r="A1917" s="61">
        <v>110000599479</v>
      </c>
      <c r="B1917" s="28">
        <v>2024</v>
      </c>
      <c r="C1917" s="68">
        <f t="shared" si="30"/>
        <v>45292</v>
      </c>
      <c r="D1917" s="28" t="s">
        <v>166</v>
      </c>
      <c r="E1917" s="28" t="s">
        <v>537</v>
      </c>
      <c r="F1917" s="28" t="s">
        <v>538</v>
      </c>
      <c r="G1917" s="28" t="s">
        <v>362</v>
      </c>
      <c r="H1917" s="28">
        <v>77578</v>
      </c>
      <c r="I1917" s="28">
        <v>29.458400000000001</v>
      </c>
      <c r="J1917" s="28">
        <v>-95.330399999999997</v>
      </c>
      <c r="K1917" s="28" t="s">
        <v>539</v>
      </c>
      <c r="L1917" s="61">
        <v>110000599479</v>
      </c>
      <c r="M1917" s="28" t="s">
        <v>251</v>
      </c>
      <c r="N1917" s="28">
        <v>2869</v>
      </c>
      <c r="O1917" s="28" t="str">
        <f>IFERROR(VLOOKUP(N1917, 'SIC &amp; NAICS Codes'!A:B, 2, FALSE), "")</f>
        <v>Industrial Organic Chemicals, NEC (aliphatics)</v>
      </c>
      <c r="S1917" s="28">
        <v>1.4913900000000001E-2</v>
      </c>
      <c r="T1917" s="315">
        <f>_xlfn.MAXIFS('Raw Period DMR Data'!$O:$O,'Raw Period DMR Data'!$A:$A,'Raw Annual DMR Data_2021-2024'!#REF!,'Raw Period DMR Data'!$C:$C,X1917)/S1917</f>
        <v>0</v>
      </c>
      <c r="U1917" s="28" t="str">
        <f>+IF(COUNTIFS('Raw Period DMR Data'!$A:$A,B1917,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17" s="28" t="str" cm="1">
        <f t="array" ref="V1917">IFERROR(INDEX('Raw Period DMR Data'!N:N,MATCH(1,(B1917='Raw Period DMR Data'!$A:$A)*(U1917='Raw Period DMR Data'!M:M)*(X1917='Raw Period DMR Data'!C:C),0),1), "N/A")</f>
        <v>N/A</v>
      </c>
      <c r="W1917" s="28" t="s">
        <v>1463</v>
      </c>
      <c r="X1917" s="28" t="s">
        <v>890</v>
      </c>
      <c r="Y1917" s="28" t="s">
        <v>891</v>
      </c>
      <c r="Z1917" s="61">
        <v>12040204000953</v>
      </c>
      <c r="AC1917" s="28" t="s">
        <v>1466</v>
      </c>
    </row>
    <row r="1918" spans="1:29" x14ac:dyDescent="0.25">
      <c r="A1918" s="61">
        <v>110000599479</v>
      </c>
      <c r="B1918" s="28">
        <v>2024</v>
      </c>
      <c r="C1918" s="68">
        <f t="shared" si="30"/>
        <v>45292</v>
      </c>
      <c r="D1918" s="28" t="s">
        <v>166</v>
      </c>
      <c r="E1918" s="28" t="s">
        <v>537</v>
      </c>
      <c r="F1918" s="28" t="s">
        <v>538</v>
      </c>
      <c r="G1918" s="28" t="s">
        <v>362</v>
      </c>
      <c r="H1918" s="28">
        <v>77578</v>
      </c>
      <c r="I1918" s="28">
        <v>29.458400000000001</v>
      </c>
      <c r="J1918" s="28">
        <v>-95.330399999999997</v>
      </c>
      <c r="K1918" s="28" t="s">
        <v>539</v>
      </c>
      <c r="L1918" s="61">
        <v>110000599479</v>
      </c>
      <c r="M1918" s="28" t="s">
        <v>251</v>
      </c>
      <c r="N1918" s="28">
        <v>2869</v>
      </c>
      <c r="O1918" s="28" t="str">
        <f>IFERROR(VLOOKUP(N1918, 'SIC &amp; NAICS Codes'!A:B, 2, FALSE), "")</f>
        <v>Industrial Organic Chemicals, NEC (aliphatics)</v>
      </c>
      <c r="S1918" s="28">
        <v>1.4913900000000001E-2</v>
      </c>
      <c r="T1918" s="315">
        <f>_xlfn.MAXIFS('Raw Period DMR Data'!$O:$O,'Raw Period DMR Data'!$A:$A,'Raw Annual DMR Data_2021-2024'!#REF!,'Raw Period DMR Data'!$C:$C,X1918)/S1918</f>
        <v>0</v>
      </c>
      <c r="U1918" s="28" t="str">
        <f>+IF(COUNTIFS('Raw Period DMR Data'!$A:$A,B1918,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18" s="28" t="str" cm="1">
        <f t="array" ref="V1918">IFERROR(INDEX('Raw Period DMR Data'!N:N,MATCH(1,(B1918='Raw Period DMR Data'!$A:$A)*(U1918='Raw Period DMR Data'!M:M)*(X1918='Raw Period DMR Data'!C:C),0),1), "N/A")</f>
        <v>N/A</v>
      </c>
      <c r="W1918" s="28" t="s">
        <v>1463</v>
      </c>
      <c r="X1918" s="28" t="s">
        <v>890</v>
      </c>
      <c r="Y1918" s="28" t="s">
        <v>891</v>
      </c>
      <c r="Z1918" s="61">
        <v>12040204000953</v>
      </c>
      <c r="AC1918" s="28" t="s">
        <v>1466</v>
      </c>
    </row>
    <row r="1919" spans="1:29" x14ac:dyDescent="0.25">
      <c r="A1919" s="61">
        <v>110071357531</v>
      </c>
      <c r="B1919" s="28">
        <v>2022</v>
      </c>
      <c r="C1919" s="68">
        <f t="shared" si="30"/>
        <v>44562</v>
      </c>
      <c r="D1919" s="28" t="s">
        <v>6787</v>
      </c>
      <c r="E1919" s="28" t="s">
        <v>6938</v>
      </c>
      <c r="F1919" s="28" t="s">
        <v>1403</v>
      </c>
      <c r="G1919" s="28" t="s">
        <v>294</v>
      </c>
      <c r="H1919" s="28">
        <v>23462</v>
      </c>
      <c r="I1919" s="28">
        <v>36.825991999999999</v>
      </c>
      <c r="J1919" s="28">
        <v>-76.161393000000004</v>
      </c>
      <c r="L1919" s="61">
        <v>110071357531</v>
      </c>
      <c r="M1919" s="28" t="s">
        <v>265</v>
      </c>
      <c r="N1919" s="28">
        <v>1794</v>
      </c>
      <c r="O1919" s="28" t="str">
        <f>IFERROR(VLOOKUP(N1919, 'SIC &amp; NAICS Codes'!A:B, 2, FALSE), "")</f>
        <v>Excavation Work</v>
      </c>
      <c r="S1919" s="28">
        <v>1.3626000000000001E-3</v>
      </c>
      <c r="T1919" s="315">
        <f>_xlfn.MAXIFS('Raw Period DMR Data'!$O:$O,'Raw Period DMR Data'!$A:$A,'Raw Annual DMR Data_2021-2024'!#REF!,'Raw Period DMR Data'!$C:$C,X1919)/S1919</f>
        <v>0</v>
      </c>
      <c r="U1919" s="28" t="str">
        <f>+IF(COUNTIFS('Raw Period DMR Data'!$A:$A,B1919,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19" s="28" t="str" cm="1">
        <f t="array" ref="V1919">IFERROR(INDEX('Raw Period DMR Data'!N:N,MATCH(1,(B1919='Raw Period DMR Data'!$A:$A)*(U1919='Raw Period DMR Data'!M:M)*(X1919='Raw Period DMR Data'!C:C),0),1), "N/A")</f>
        <v>N/A</v>
      </c>
      <c r="W1919" s="28" t="s">
        <v>1463</v>
      </c>
      <c r="X1919" s="28" t="s">
        <v>7147</v>
      </c>
      <c r="Y1919" s="28" t="s">
        <v>2319</v>
      </c>
      <c r="Z1919" s="61"/>
      <c r="AB1919" s="28" t="s">
        <v>7355</v>
      </c>
      <c r="AC1919" s="28" t="s">
        <v>1466</v>
      </c>
    </row>
    <row r="1920" spans="1:29" x14ac:dyDescent="0.25">
      <c r="A1920" s="61">
        <v>110042005503</v>
      </c>
      <c r="B1920" s="28">
        <v>2023</v>
      </c>
      <c r="C1920" s="68">
        <f t="shared" si="30"/>
        <v>44927</v>
      </c>
      <c r="D1920" s="28" t="s">
        <v>6803</v>
      </c>
      <c r="E1920" s="28" t="s">
        <v>6957</v>
      </c>
      <c r="F1920" s="28" t="s">
        <v>6958</v>
      </c>
      <c r="G1920" s="28" t="s">
        <v>362</v>
      </c>
      <c r="H1920" s="28">
        <v>77539</v>
      </c>
      <c r="I1920" s="28">
        <v>29.460277999999999</v>
      </c>
      <c r="J1920" s="28">
        <v>-95.043890000000005</v>
      </c>
      <c r="L1920" s="61">
        <v>110042005503</v>
      </c>
      <c r="M1920" s="28" t="s">
        <v>265</v>
      </c>
      <c r="N1920" s="28">
        <v>2999</v>
      </c>
      <c r="O1920" s="28" t="str">
        <f>IFERROR(VLOOKUP(N1920, 'SIC &amp; NAICS Codes'!A:B, 2, FALSE), "")</f>
        <v>Products of Petroleum and Coal, NEC</v>
      </c>
      <c r="S1920" s="28">
        <v>0.16571</v>
      </c>
      <c r="T1920" s="315">
        <f>_xlfn.MAXIFS('Raw Period DMR Data'!$O:$O,'Raw Period DMR Data'!$A:$A,'Raw Annual DMR Data_2021-2024'!#REF!,'Raw Period DMR Data'!$C:$C,X1920)/S1920</f>
        <v>0</v>
      </c>
      <c r="U1920" s="28" t="str">
        <f>+IF(COUNTIFS('Raw Period DMR Data'!$A:$A,B1920,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20" s="28" t="str" cm="1">
        <f t="array" ref="V1920">IFERROR(INDEX('Raw Period DMR Data'!N:N,MATCH(1,(B1920='Raw Period DMR Data'!$A:$A)*(U1920='Raw Period DMR Data'!M:M)*(X1920='Raw Period DMR Data'!C:C),0),1), "N/A")</f>
        <v>N/A</v>
      </c>
      <c r="W1920" s="28" t="s">
        <v>1463</v>
      </c>
      <c r="X1920" s="28" t="s">
        <v>7156</v>
      </c>
      <c r="Y1920" s="28" t="s">
        <v>7268</v>
      </c>
      <c r="Z1920" s="61">
        <v>12040204000087</v>
      </c>
      <c r="AC1920" s="28" t="s">
        <v>1466</v>
      </c>
    </row>
    <row r="1921" spans="1:29" x14ac:dyDescent="0.25">
      <c r="A1921" s="61">
        <v>110001063483</v>
      </c>
      <c r="B1921" s="28">
        <v>2021</v>
      </c>
      <c r="C1921" s="68">
        <f t="shared" si="30"/>
        <v>44197</v>
      </c>
      <c r="D1921" s="28" t="s">
        <v>6861</v>
      </c>
      <c r="E1921" s="28" t="s">
        <v>7023</v>
      </c>
      <c r="F1921" s="28" t="s">
        <v>7024</v>
      </c>
      <c r="G1921" s="28" t="s">
        <v>491</v>
      </c>
      <c r="H1921" s="28" t="s">
        <v>7025</v>
      </c>
      <c r="I1921" s="28">
        <v>40.080860000000001</v>
      </c>
      <c r="J1921" s="28">
        <v>-76.18674</v>
      </c>
      <c r="L1921" s="61">
        <v>110001063483</v>
      </c>
      <c r="M1921" s="28" t="s">
        <v>6751</v>
      </c>
      <c r="N1921" s="28">
        <v>3084</v>
      </c>
      <c r="O1921" s="28" t="str">
        <f>IFERROR(VLOOKUP(N1921, 'SIC &amp; NAICS Codes'!A:B, 2, FALSE), "")</f>
        <v>Plastics Pipe</v>
      </c>
      <c r="S1921" s="28">
        <v>421.36390127999999</v>
      </c>
      <c r="T1921" s="315">
        <f>_xlfn.MAXIFS('Raw Period DMR Data'!$O:$O,'Raw Period DMR Data'!$A:$A,'Raw Annual DMR Data_2021-2024'!B2267,'Raw Period DMR Data'!$C:$C,X1921)/S1921</f>
        <v>0</v>
      </c>
      <c r="U1921" s="28" t="str">
        <f>+IF(COUNTIFS('Raw Period DMR Data'!$A:$A,B1921, 'Raw Period DMR Data'!C:C,'Raw Annual DMR Data_2021-2024'!X2267, 'Raw Period DMR Data'!M:M, "&gt;0")&gt;0,_xlfn.MAXIFS('Raw Period DMR Data'!M:M,'Raw Period DMR Data'!$A:$A,'Raw Annual DMR Data_2021-2024'!B2267,'Raw Period DMR Data'!C:C,'Raw Annual DMR Data_2021-2024'!X2267), "N/A - Period DMR Data Not Available")</f>
        <v>N/A - Period DMR Data Not Available</v>
      </c>
      <c r="V1921" s="28" t="str" cm="1">
        <f t="array" ref="V1921">IFERROR(INDEX('Raw Period DMR Data'!N:N,MATCH(1,(B1921='Raw Period DMR Data'!$A:$A)*(U1921='Raw Period DMR Data'!M:M)*(X1921='Raw Period DMR Data'!C:C),0),1), "N/A")</f>
        <v>N/A</v>
      </c>
      <c r="W1921" s="28" t="s">
        <v>1463</v>
      </c>
      <c r="X1921" s="28" t="s">
        <v>7191</v>
      </c>
      <c r="Y1921" s="28" t="s">
        <v>7296</v>
      </c>
      <c r="Z1921" s="61">
        <v>2050306001321</v>
      </c>
      <c r="AA1921" s="28"/>
      <c r="AC1921" s="28" t="s">
        <v>1466</v>
      </c>
    </row>
    <row r="1922" spans="1:29" x14ac:dyDescent="0.25">
      <c r="A1922" s="61">
        <v>110000496981</v>
      </c>
      <c r="B1922" s="28">
        <v>2023</v>
      </c>
      <c r="C1922" s="68">
        <f t="shared" si="30"/>
        <v>44927</v>
      </c>
      <c r="D1922" s="28" t="s">
        <v>6875</v>
      </c>
      <c r="E1922" s="28" t="s">
        <v>7045</v>
      </c>
      <c r="F1922" s="28" t="s">
        <v>318</v>
      </c>
      <c r="G1922" s="28" t="s">
        <v>319</v>
      </c>
      <c r="H1922" s="28">
        <v>44622</v>
      </c>
      <c r="I1922" s="28">
        <v>40.506320000000002</v>
      </c>
      <c r="J1922" s="28">
        <v>-81.474299999999999</v>
      </c>
      <c r="K1922" s="28" t="s">
        <v>321</v>
      </c>
      <c r="L1922" s="61">
        <v>110000496981</v>
      </c>
      <c r="M1922" s="28" t="s">
        <v>251</v>
      </c>
      <c r="N1922" s="28">
        <v>2869</v>
      </c>
      <c r="O1922" s="28" t="str">
        <f>IFERROR(VLOOKUP(N1922, 'SIC &amp; NAICS Codes'!A:B, 2, FALSE), "")</f>
        <v>Industrial Organic Chemicals, NEC (aliphatics)</v>
      </c>
      <c r="S1922" s="28">
        <v>1.1681999999999999</v>
      </c>
      <c r="T1922" s="315">
        <f>_xlfn.MAXIFS('Raw Period DMR Data'!$O:$O,'Raw Period DMR Data'!$A:$A,'Raw Annual DMR Data_2021-2024'!#REF!,'Raw Period DMR Data'!$C:$C,X1922)/S1922</f>
        <v>0</v>
      </c>
      <c r="U1922" s="28" t="str">
        <f>+IF(COUNTIFS('Raw Period DMR Data'!$A:$A,B1922,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22" s="28" t="str" cm="1">
        <f t="array" ref="V1922">IFERROR(INDEX('Raw Period DMR Data'!N:N,MATCH(1,(B1922='Raw Period DMR Data'!$A:$A)*(U1922='Raw Period DMR Data'!M:M)*(X1922='Raw Period DMR Data'!C:C),0),1), "N/A")</f>
        <v>N/A</v>
      </c>
      <c r="W1922" s="28" t="s">
        <v>1463</v>
      </c>
      <c r="X1922" s="28" t="s">
        <v>774</v>
      </c>
      <c r="Z1922" s="61" t="s">
        <v>7343</v>
      </c>
      <c r="AC1922" s="28" t="s">
        <v>1466</v>
      </c>
    </row>
    <row r="1923" spans="1:29" x14ac:dyDescent="0.25">
      <c r="A1923" s="61">
        <v>110002108059</v>
      </c>
      <c r="B1923" s="28">
        <v>2024</v>
      </c>
      <c r="C1923" s="68">
        <f t="shared" si="30"/>
        <v>45292</v>
      </c>
      <c r="D1923" s="28" t="s">
        <v>1206</v>
      </c>
      <c r="E1923" s="28" t="s">
        <v>1947</v>
      </c>
      <c r="F1923" s="28" t="s">
        <v>1207</v>
      </c>
      <c r="G1923" s="28" t="s">
        <v>324</v>
      </c>
      <c r="H1923" s="28">
        <v>40031</v>
      </c>
      <c r="I1923" s="28">
        <v>38.391995999999999</v>
      </c>
      <c r="J1923" s="28">
        <v>-85.416021999999998</v>
      </c>
      <c r="L1923" s="61">
        <v>110002108059</v>
      </c>
      <c r="M1923" s="28" t="s">
        <v>263</v>
      </c>
      <c r="N1923" s="28">
        <v>9223</v>
      </c>
      <c r="O1923" s="28" t="str">
        <f>IFERROR(VLOOKUP(N1923, 'SIC &amp; NAICS Codes'!A:B, 2, FALSE), "")</f>
        <v>Correctional Institutions</v>
      </c>
      <c r="S1923" s="28">
        <v>2.4625683125000002</v>
      </c>
      <c r="T1923" s="315">
        <f>_xlfn.MAXIFS('Raw Period DMR Data'!$O:$O,'Raw Period DMR Data'!$A:$A,'Raw Annual DMR Data_2021-2024'!#REF!,'Raw Period DMR Data'!$C:$C,X1923)/S1923</f>
        <v>0</v>
      </c>
      <c r="U1923" s="28" t="str">
        <f>+IF(COUNTIFS('Raw Period DMR Data'!$A:$A,B1923,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23" s="28" t="str" cm="1">
        <f t="array" ref="V1923">IFERROR(INDEX('Raw Period DMR Data'!N:N,MATCH(1,(B1923='Raw Period DMR Data'!$A:$A)*(U1923='Raw Period DMR Data'!M:M)*(X1923='Raw Period DMR Data'!C:C),0),1), "N/A")</f>
        <v>N/A</v>
      </c>
      <c r="W1923" s="28" t="s">
        <v>1463</v>
      </c>
      <c r="X1923" s="28" t="s">
        <v>1948</v>
      </c>
      <c r="Y1923" s="28" t="s">
        <v>1949</v>
      </c>
      <c r="Z1923" s="61">
        <v>5140101000459</v>
      </c>
      <c r="AB1923" s="28" t="s">
        <v>7355</v>
      </c>
      <c r="AC1923" s="28" t="s">
        <v>263</v>
      </c>
    </row>
    <row r="1924" spans="1:29" x14ac:dyDescent="0.25">
      <c r="A1924" s="61">
        <v>110002108059</v>
      </c>
      <c r="B1924" s="28">
        <v>2023</v>
      </c>
      <c r="C1924" s="68">
        <f t="shared" si="30"/>
        <v>44927</v>
      </c>
      <c r="D1924" s="28" t="s">
        <v>1206</v>
      </c>
      <c r="E1924" s="28" t="s">
        <v>1947</v>
      </c>
      <c r="F1924" s="28" t="s">
        <v>1207</v>
      </c>
      <c r="G1924" s="28" t="s">
        <v>324</v>
      </c>
      <c r="H1924" s="28">
        <v>40031</v>
      </c>
      <c r="I1924" s="28">
        <v>38.391995999999999</v>
      </c>
      <c r="J1924" s="28">
        <v>-85.416021999999998</v>
      </c>
      <c r="L1924" s="61">
        <v>110002108059</v>
      </c>
      <c r="M1924" s="28" t="s">
        <v>263</v>
      </c>
      <c r="N1924" s="28">
        <v>9223</v>
      </c>
      <c r="O1924" s="28" t="str">
        <f>IFERROR(VLOOKUP(N1924, 'SIC &amp; NAICS Codes'!A:B, 2, FALSE), "")</f>
        <v>Correctional Institutions</v>
      </c>
      <c r="S1924" s="28">
        <v>1.7752596249999999</v>
      </c>
      <c r="T1924" s="315">
        <f>_xlfn.MAXIFS('Raw Period DMR Data'!$O:$O,'Raw Period DMR Data'!$A:$A,'Raw Annual DMR Data_2021-2024'!#REF!,'Raw Period DMR Data'!$C:$C,X1924)/S1924</f>
        <v>0</v>
      </c>
      <c r="U1924" s="28" t="str">
        <f>+IF(COUNTIFS('Raw Period DMR Data'!$A:$A,B1924,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24" s="28" t="str" cm="1">
        <f t="array" ref="V1924">IFERROR(INDEX('Raw Period DMR Data'!N:N,MATCH(1,(B1924='Raw Period DMR Data'!$A:$A)*(U1924='Raw Period DMR Data'!M:M)*(X1924='Raw Period DMR Data'!C:C),0),1), "N/A")</f>
        <v>N/A</v>
      </c>
      <c r="W1924" s="28" t="s">
        <v>1463</v>
      </c>
      <c r="X1924" s="28" t="s">
        <v>1948</v>
      </c>
      <c r="Y1924" s="28" t="s">
        <v>1949</v>
      </c>
      <c r="Z1924" s="61" t="s">
        <v>1950</v>
      </c>
      <c r="AB1924" s="28" t="s">
        <v>7355</v>
      </c>
      <c r="AC1924" s="28" t="s">
        <v>263</v>
      </c>
    </row>
    <row r="1925" spans="1:29" x14ac:dyDescent="0.25">
      <c r="A1925" s="61">
        <v>110000539757</v>
      </c>
      <c r="B1925" s="28">
        <v>2021</v>
      </c>
      <c r="C1925" s="68">
        <f t="shared" si="30"/>
        <v>44197</v>
      </c>
      <c r="D1925" s="28" t="s">
        <v>1955</v>
      </c>
      <c r="E1925" s="28" t="s">
        <v>604</v>
      </c>
      <c r="F1925" s="28" t="s">
        <v>446</v>
      </c>
      <c r="G1925" s="28" t="s">
        <v>303</v>
      </c>
      <c r="H1925" s="28">
        <v>70669</v>
      </c>
      <c r="I1925" s="28">
        <v>30.240278</v>
      </c>
      <c r="J1925" s="28">
        <v>-93.277221999999995</v>
      </c>
      <c r="K1925" s="28" t="s">
        <v>605</v>
      </c>
      <c r="L1925" s="61">
        <v>110000539757</v>
      </c>
      <c r="M1925" s="28" t="s">
        <v>252</v>
      </c>
      <c r="N1925" s="28">
        <v>2911</v>
      </c>
      <c r="O1925" s="28" t="str">
        <f>IFERROR(VLOOKUP(N1925, 'SIC &amp; NAICS Codes'!A:B, 2, FALSE), "")</f>
        <v>Petroleum Refining</v>
      </c>
      <c r="S1925" s="28">
        <v>6.9492599999999998</v>
      </c>
      <c r="T1925" s="315">
        <f>_xlfn.MAXIFS('Raw Period DMR Data'!$O:$O,'Raw Period DMR Data'!$A:$A,'Raw Annual DMR Data_2021-2024'!B2380,'Raw Period DMR Data'!$C:$C,X1925)/S1925</f>
        <v>0</v>
      </c>
      <c r="U1925" s="28" t="str">
        <f>+IF(COUNTIFS('Raw Period DMR Data'!$A:$A,B1925, 'Raw Period DMR Data'!C:C,'Raw Annual DMR Data_2021-2024'!X2380, 'Raw Period DMR Data'!M:M, "&gt;0")&gt;0,_xlfn.MAXIFS('Raw Period DMR Data'!M:M,'Raw Period DMR Data'!$A:$A,'Raw Annual DMR Data_2021-2024'!B2380,'Raw Period DMR Data'!C:C,'Raw Annual DMR Data_2021-2024'!X2380), "N/A - Period DMR Data Not Available")</f>
        <v>N/A - Period DMR Data Not Available</v>
      </c>
      <c r="V1925" s="28" t="str" cm="1">
        <f t="array" ref="V1925">IFERROR(INDEX('Raw Period DMR Data'!N:N,MATCH(1,(B1925='Raw Period DMR Data'!$A:$A)*(U1925='Raw Period DMR Data'!M:M)*(X1925='Raw Period DMR Data'!C:C),0),1), "N/A")</f>
        <v>N/A</v>
      </c>
      <c r="W1925" s="28" t="s">
        <v>1463</v>
      </c>
      <c r="X1925" s="28" t="s">
        <v>921</v>
      </c>
      <c r="Y1925" s="28" t="s">
        <v>922</v>
      </c>
      <c r="Z1925" s="61">
        <v>8080206001238</v>
      </c>
      <c r="AA1925" s="28"/>
      <c r="AC1925" s="28" t="s">
        <v>1466</v>
      </c>
    </row>
    <row r="1926" spans="1:29" x14ac:dyDescent="0.25">
      <c r="A1926" s="61">
        <v>110000539757</v>
      </c>
      <c r="B1926" s="28">
        <v>2022</v>
      </c>
      <c r="C1926" s="68">
        <f t="shared" si="30"/>
        <v>44562</v>
      </c>
      <c r="D1926" s="28" t="s">
        <v>1955</v>
      </c>
      <c r="E1926" s="28" t="s">
        <v>604</v>
      </c>
      <c r="F1926" s="28" t="s">
        <v>446</v>
      </c>
      <c r="G1926" s="28" t="s">
        <v>303</v>
      </c>
      <c r="H1926" s="28">
        <v>70669</v>
      </c>
      <c r="I1926" s="28">
        <v>30.240278</v>
      </c>
      <c r="J1926" s="28">
        <v>-93.277221999999995</v>
      </c>
      <c r="K1926" s="28" t="s">
        <v>605</v>
      </c>
      <c r="L1926" s="61">
        <v>110000539757</v>
      </c>
      <c r="M1926" s="28" t="s">
        <v>252</v>
      </c>
      <c r="N1926" s="28">
        <v>2911</v>
      </c>
      <c r="O1926" s="28" t="str">
        <f>IFERROR(VLOOKUP(N1926, 'SIC &amp; NAICS Codes'!A:B, 2, FALSE), "")</f>
        <v>Petroleum Refining</v>
      </c>
      <c r="S1926" s="28">
        <v>1.5669900000000001</v>
      </c>
      <c r="T1926" s="315">
        <f>_xlfn.MAXIFS('Raw Period DMR Data'!$O:$O,'Raw Period DMR Data'!$A:$A,'Raw Annual DMR Data_2021-2024'!#REF!,'Raw Period DMR Data'!$C:$C,X1926)/S1926</f>
        <v>0</v>
      </c>
      <c r="U1926" s="28" t="str">
        <f>+IF(COUNTIFS('Raw Period DMR Data'!$A:$A,B1926,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26" s="28" t="str" cm="1">
        <f t="array" ref="V1926">IFERROR(INDEX('Raw Period DMR Data'!N:N,MATCH(1,(B1926='Raw Period DMR Data'!$A:$A)*(U1926='Raw Period DMR Data'!M:M)*(X1926='Raw Period DMR Data'!C:C),0),1), "N/A")</f>
        <v>N/A</v>
      </c>
      <c r="W1926" s="28" t="s">
        <v>1463</v>
      </c>
      <c r="X1926" s="28" t="s">
        <v>921</v>
      </c>
      <c r="Y1926" s="28" t="s">
        <v>922</v>
      </c>
      <c r="Z1926" s="61">
        <v>8080206001238</v>
      </c>
      <c r="AC1926" s="28" t="s">
        <v>1466</v>
      </c>
    </row>
    <row r="1927" spans="1:29" x14ac:dyDescent="0.25">
      <c r="A1927" s="61">
        <v>110039705049</v>
      </c>
      <c r="B1927" s="28">
        <v>2021</v>
      </c>
      <c r="C1927" s="68">
        <f t="shared" ref="C1927:C1990" si="31">DATE(B1927, 1, 1)</f>
        <v>44197</v>
      </c>
      <c r="D1927" s="28" t="s">
        <v>6856</v>
      </c>
      <c r="E1927" s="28" t="s">
        <v>7016</v>
      </c>
      <c r="F1927" s="28" t="s">
        <v>7017</v>
      </c>
      <c r="G1927" s="28" t="s">
        <v>324</v>
      </c>
      <c r="H1927" s="28">
        <v>40444</v>
      </c>
      <c r="I1927" s="28">
        <v>37.616959999999999</v>
      </c>
      <c r="J1927" s="28">
        <v>-84.585099999999997</v>
      </c>
      <c r="L1927" s="61">
        <v>110039705049</v>
      </c>
      <c r="M1927" s="28" t="s">
        <v>263</v>
      </c>
      <c r="N1927" s="28">
        <v>4952</v>
      </c>
      <c r="O1927" s="28" t="str">
        <f>IFERROR(VLOOKUP(N1927, 'SIC &amp; NAICS Codes'!A:B, 2, FALSE), "")</f>
        <v>Sewerage Systems</v>
      </c>
      <c r="S1927" s="28">
        <v>3.2700696749999998</v>
      </c>
      <c r="T1927" s="315">
        <f>_xlfn.MAXIFS('Raw Period DMR Data'!$O:$O,'Raw Period DMR Data'!$A:$A,'Raw Annual DMR Data_2021-2024'!#REF!,'Raw Period DMR Data'!$C:$C,X1927)/S1927</f>
        <v>0</v>
      </c>
      <c r="U1927" s="28" t="str">
        <f>+IF(COUNTIFS('Raw Period DMR Data'!$A:$A,B1927,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27" s="28" t="str" cm="1">
        <f t="array" ref="V1927">IFERROR(INDEX('Raw Period DMR Data'!N:N,MATCH(1,(B1927='Raw Period DMR Data'!$A:$A)*(U1927='Raw Period DMR Data'!M:M)*(X1927='Raw Period DMR Data'!C:C),0),1), "N/A")</f>
        <v>N/A</v>
      </c>
      <c r="W1927" s="28" t="s">
        <v>1463</v>
      </c>
      <c r="X1927" s="28" t="s">
        <v>7187</v>
      </c>
      <c r="Y1927" s="28" t="s">
        <v>7294</v>
      </c>
      <c r="Z1927" s="61">
        <v>5100205001067</v>
      </c>
      <c r="AB1927" s="28" t="s">
        <v>7355</v>
      </c>
      <c r="AC1927" s="28" t="s">
        <v>263</v>
      </c>
    </row>
    <row r="1928" spans="1:29" x14ac:dyDescent="0.25">
      <c r="A1928" s="61">
        <v>110071816702</v>
      </c>
      <c r="B1928" s="28">
        <v>2024</v>
      </c>
      <c r="C1928" s="68">
        <f t="shared" si="31"/>
        <v>45292</v>
      </c>
      <c r="D1928" s="28" t="s">
        <v>6890</v>
      </c>
      <c r="E1928" s="28" t="s">
        <v>7072</v>
      </c>
      <c r="F1928" s="28" t="s">
        <v>968</v>
      </c>
      <c r="G1928" s="28" t="s">
        <v>294</v>
      </c>
      <c r="H1928" s="28">
        <v>22304</v>
      </c>
      <c r="I1928" s="28">
        <v>38.816679000000001</v>
      </c>
      <c r="J1928" s="28">
        <v>-77.132997000000003</v>
      </c>
      <c r="L1928" s="61">
        <v>110071816702</v>
      </c>
      <c r="M1928" s="28" t="s">
        <v>265</v>
      </c>
      <c r="N1928" s="28">
        <v>1794</v>
      </c>
      <c r="O1928" s="28" t="str">
        <f>IFERROR(VLOOKUP(N1928, 'SIC &amp; NAICS Codes'!A:B, 2, FALSE), "")</f>
        <v>Excavation Work</v>
      </c>
      <c r="S1928" s="28">
        <v>1.2118056E-2</v>
      </c>
      <c r="T1928" s="315">
        <f>_xlfn.MAXIFS('Raw Period DMR Data'!$O:$O,'Raw Period DMR Data'!$A:$A,'Raw Annual DMR Data_2021-2024'!#REF!,'Raw Period DMR Data'!$C:$C,X1928)/S1928</f>
        <v>0</v>
      </c>
      <c r="U1928" s="28" t="str">
        <f>+IF(COUNTIFS('Raw Period DMR Data'!$A:$A,B1928,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28" s="28" t="str" cm="1">
        <f t="array" ref="V1928">IFERROR(INDEX('Raw Period DMR Data'!N:N,MATCH(1,(B1928='Raw Period DMR Data'!$A:$A)*(U1928='Raw Period DMR Data'!M:M)*(X1928='Raw Period DMR Data'!C:C),0),1), "N/A")</f>
        <v>N/A</v>
      </c>
      <c r="W1928" s="28" t="s">
        <v>1463</v>
      </c>
      <c r="X1928" s="28" t="s">
        <v>7217</v>
      </c>
      <c r="Y1928" s="28" t="s">
        <v>1788</v>
      </c>
      <c r="Z1928" s="61"/>
      <c r="AB1928" s="28" t="s">
        <v>7355</v>
      </c>
      <c r="AC1928" s="28" t="s">
        <v>1466</v>
      </c>
    </row>
    <row r="1929" spans="1:29" x14ac:dyDescent="0.25">
      <c r="A1929" s="61">
        <v>110071816702</v>
      </c>
      <c r="B1929" s="28">
        <v>2024</v>
      </c>
      <c r="C1929" s="68">
        <f t="shared" si="31"/>
        <v>45292</v>
      </c>
      <c r="D1929" s="28" t="s">
        <v>6890</v>
      </c>
      <c r="E1929" s="28" t="s">
        <v>7072</v>
      </c>
      <c r="F1929" s="28" t="s">
        <v>968</v>
      </c>
      <c r="G1929" s="28" t="s">
        <v>294</v>
      </c>
      <c r="H1929" s="28">
        <v>22304</v>
      </c>
      <c r="I1929" s="28">
        <v>38.816679000000001</v>
      </c>
      <c r="J1929" s="28">
        <v>-77.132997000000003</v>
      </c>
      <c r="L1929" s="61">
        <v>110071816702</v>
      </c>
      <c r="M1929" s="28" t="s">
        <v>265</v>
      </c>
      <c r="N1929" s="28">
        <v>1794</v>
      </c>
      <c r="O1929" s="28" t="str">
        <f>IFERROR(VLOOKUP(N1929, 'SIC &amp; NAICS Codes'!A:B, 2, FALSE), "")</f>
        <v>Excavation Work</v>
      </c>
      <c r="S1929" s="28">
        <v>1.2118056E-2</v>
      </c>
      <c r="T1929" s="315">
        <f>_xlfn.MAXIFS('Raw Period DMR Data'!$O:$O,'Raw Period DMR Data'!$A:$A,'Raw Annual DMR Data_2021-2024'!#REF!,'Raw Period DMR Data'!$C:$C,X1929)/S1929</f>
        <v>0</v>
      </c>
      <c r="U1929" s="28" t="str">
        <f>+IF(COUNTIFS('Raw Period DMR Data'!$A:$A,B1929,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29" s="28" t="str" cm="1">
        <f t="array" ref="V1929">IFERROR(INDEX('Raw Period DMR Data'!N:N,MATCH(1,(B1929='Raw Period DMR Data'!$A:$A)*(U1929='Raw Period DMR Data'!M:M)*(X1929='Raw Period DMR Data'!C:C),0),1), "N/A")</f>
        <v>N/A</v>
      </c>
      <c r="W1929" s="28" t="s">
        <v>1463</v>
      </c>
      <c r="X1929" s="28" t="s">
        <v>7217</v>
      </c>
      <c r="Y1929" s="28" t="s">
        <v>1788</v>
      </c>
      <c r="Z1929" s="61"/>
      <c r="AB1929" s="28" t="s">
        <v>7355</v>
      </c>
      <c r="AC1929" s="28" t="s">
        <v>1466</v>
      </c>
    </row>
    <row r="1930" spans="1:29" x14ac:dyDescent="0.25">
      <c r="A1930" s="61">
        <v>110001063483</v>
      </c>
      <c r="B1930" s="28">
        <v>2022</v>
      </c>
      <c r="C1930" s="68">
        <f t="shared" si="31"/>
        <v>44562</v>
      </c>
      <c r="D1930" s="28" t="s">
        <v>6861</v>
      </c>
      <c r="E1930" s="28" t="s">
        <v>7023</v>
      </c>
      <c r="F1930" s="28" t="s">
        <v>7024</v>
      </c>
      <c r="G1930" s="28" t="s">
        <v>491</v>
      </c>
      <c r="H1930" s="28" t="s">
        <v>7025</v>
      </c>
      <c r="I1930" s="28">
        <v>40.080860000000001</v>
      </c>
      <c r="J1930" s="28">
        <v>-76.18674</v>
      </c>
      <c r="L1930" s="61">
        <v>110001063483</v>
      </c>
      <c r="M1930" s="28" t="s">
        <v>6751</v>
      </c>
      <c r="N1930" s="28">
        <v>3084</v>
      </c>
      <c r="O1930" s="28" t="str">
        <f>IFERROR(VLOOKUP(N1930, 'SIC &amp; NAICS Codes'!A:B, 2, FALSE), "")</f>
        <v>Plastics Pipe</v>
      </c>
      <c r="S1930" s="28">
        <v>234.81470200000001</v>
      </c>
      <c r="T1930" s="315">
        <f>_xlfn.MAXIFS('Raw Period DMR Data'!$O:$O,'Raw Period DMR Data'!$A:$A,'Raw Annual DMR Data_2021-2024'!B2278,'Raw Period DMR Data'!$C:$C,X1930)/S1930</f>
        <v>0</v>
      </c>
      <c r="U1930" s="28" t="str">
        <f>+IF(COUNTIFS('Raw Period DMR Data'!$A:$A,B1930, 'Raw Period DMR Data'!C:C,'Raw Annual DMR Data_2021-2024'!X2278, 'Raw Period DMR Data'!M:M, "&gt;0")&gt;0,_xlfn.MAXIFS('Raw Period DMR Data'!M:M,'Raw Period DMR Data'!$A:$A,'Raw Annual DMR Data_2021-2024'!B2278,'Raw Period DMR Data'!C:C,'Raw Annual DMR Data_2021-2024'!X2278), "N/A - Period DMR Data Not Available")</f>
        <v>N/A - Period DMR Data Not Available</v>
      </c>
      <c r="V1930" s="28" t="str" cm="1">
        <f t="array" ref="V1930">IFERROR(INDEX('Raw Period DMR Data'!N:N,MATCH(1,(B1930='Raw Period DMR Data'!$A:$A)*(U1930='Raw Period DMR Data'!M:M)*(X1930='Raw Period DMR Data'!C:C),0),1), "N/A")</f>
        <v>N/A</v>
      </c>
      <c r="W1930" s="28" t="s">
        <v>1463</v>
      </c>
      <c r="X1930" s="28" t="s">
        <v>7191</v>
      </c>
      <c r="Y1930" s="28" t="s">
        <v>7296</v>
      </c>
      <c r="Z1930" s="61">
        <v>2050306001321</v>
      </c>
      <c r="AA1930" s="60" t="s">
        <v>7355</v>
      </c>
      <c r="AC1930" s="28" t="s">
        <v>1466</v>
      </c>
    </row>
    <row r="1931" spans="1:29" x14ac:dyDescent="0.25">
      <c r="A1931" s="61">
        <v>110001063483</v>
      </c>
      <c r="B1931" s="28">
        <v>2024</v>
      </c>
      <c r="C1931" s="68">
        <f t="shared" si="31"/>
        <v>45292</v>
      </c>
      <c r="D1931" s="28" t="s">
        <v>6861</v>
      </c>
      <c r="E1931" s="28" t="s">
        <v>7023</v>
      </c>
      <c r="F1931" s="28" t="s">
        <v>7024</v>
      </c>
      <c r="G1931" s="28" t="s">
        <v>491</v>
      </c>
      <c r="H1931" s="28" t="s">
        <v>7025</v>
      </c>
      <c r="I1931" s="28">
        <v>40.080860000000001</v>
      </c>
      <c r="J1931" s="28">
        <v>-76.18674</v>
      </c>
      <c r="L1931" s="61">
        <v>110001063483</v>
      </c>
      <c r="M1931" s="28" t="s">
        <v>6751</v>
      </c>
      <c r="N1931" s="28">
        <v>3084</v>
      </c>
      <c r="O1931" s="28" t="str">
        <f>IFERROR(VLOOKUP(N1931, 'SIC &amp; NAICS Codes'!A:B, 2, FALSE), "")</f>
        <v>Plastics Pipe</v>
      </c>
      <c r="S1931" s="28">
        <v>0.468528</v>
      </c>
      <c r="T1931" s="315">
        <f>_xlfn.MAXIFS('Raw Period DMR Data'!$O:$O,'Raw Period DMR Data'!$A:$A,'Raw Annual DMR Data_2021-2024'!#REF!,'Raw Period DMR Data'!$C:$C,X1931)/S1931</f>
        <v>0</v>
      </c>
      <c r="U1931" s="28" t="str">
        <f>+IF(COUNTIFS('Raw Period DMR Data'!$A:$A,B1931,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31" s="28" t="str" cm="1">
        <f t="array" ref="V1931">IFERROR(INDEX('Raw Period DMR Data'!N:N,MATCH(1,(B1931='Raw Period DMR Data'!$A:$A)*(U1931='Raw Period DMR Data'!M:M)*(X1931='Raw Period DMR Data'!C:C),0),1), "N/A")</f>
        <v>N/A</v>
      </c>
      <c r="W1931" s="28" t="s">
        <v>1463</v>
      </c>
      <c r="X1931" s="28" t="s">
        <v>7191</v>
      </c>
      <c r="Y1931" s="28" t="s">
        <v>7296</v>
      </c>
      <c r="Z1931" s="61">
        <v>2050306001321</v>
      </c>
      <c r="AC1931" s="28" t="s">
        <v>1466</v>
      </c>
    </row>
    <row r="1932" spans="1:29" x14ac:dyDescent="0.25">
      <c r="A1932" s="61">
        <v>110001063483</v>
      </c>
      <c r="B1932" s="28">
        <v>2023</v>
      </c>
      <c r="C1932" s="68">
        <f t="shared" si="31"/>
        <v>44927</v>
      </c>
      <c r="D1932" s="28" t="s">
        <v>6861</v>
      </c>
      <c r="E1932" s="28" t="s">
        <v>7023</v>
      </c>
      <c r="F1932" s="28" t="s">
        <v>7024</v>
      </c>
      <c r="G1932" s="28" t="s">
        <v>491</v>
      </c>
      <c r="H1932" s="28" t="s">
        <v>7025</v>
      </c>
      <c r="I1932" s="28">
        <v>40.080860000000001</v>
      </c>
      <c r="J1932" s="28">
        <v>-76.18674</v>
      </c>
      <c r="L1932" s="61">
        <v>110001063483</v>
      </c>
      <c r="M1932" s="28" t="s">
        <v>6751</v>
      </c>
      <c r="N1932" s="28">
        <v>3084</v>
      </c>
      <c r="O1932" s="28" t="str">
        <f>IFERROR(VLOOKUP(N1932, 'SIC &amp; NAICS Codes'!A:B, 2, FALSE), "")</f>
        <v>Plastics Pipe</v>
      </c>
      <c r="S1932" s="28">
        <v>0.37137199999999998</v>
      </c>
      <c r="T1932" s="315">
        <f>_xlfn.MAXIFS('Raw Period DMR Data'!$O:$O,'Raw Period DMR Data'!$A:$A,'Raw Annual DMR Data_2021-2024'!#REF!,'Raw Period DMR Data'!$C:$C,X1932)/S1932</f>
        <v>0</v>
      </c>
      <c r="U1932" s="28" t="str">
        <f>+IF(COUNTIFS('Raw Period DMR Data'!$A:$A,B1932,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32" s="28" t="str" cm="1">
        <f t="array" ref="V1932">IFERROR(INDEX('Raw Period DMR Data'!N:N,MATCH(1,(B1932='Raw Period DMR Data'!$A:$A)*(U1932='Raw Period DMR Data'!M:M)*(X1932='Raw Period DMR Data'!C:C),0),1), "N/A")</f>
        <v>N/A</v>
      </c>
      <c r="W1932" s="28" t="s">
        <v>1463</v>
      </c>
      <c r="X1932" s="28" t="s">
        <v>7191</v>
      </c>
      <c r="Y1932" s="28" t="s">
        <v>7296</v>
      </c>
      <c r="Z1932" s="61">
        <v>2050306001321</v>
      </c>
      <c r="AC1932" s="28" t="s">
        <v>1466</v>
      </c>
    </row>
    <row r="1933" spans="1:29" x14ac:dyDescent="0.25">
      <c r="A1933" s="61">
        <v>110059844156</v>
      </c>
      <c r="B1933" s="28">
        <v>2021</v>
      </c>
      <c r="C1933" s="68">
        <f t="shared" si="31"/>
        <v>44197</v>
      </c>
      <c r="D1933" s="28" t="s">
        <v>1211</v>
      </c>
      <c r="E1933" s="28" t="s">
        <v>1958</v>
      </c>
      <c r="F1933" s="28" t="s">
        <v>657</v>
      </c>
      <c r="G1933" s="28" t="s">
        <v>418</v>
      </c>
      <c r="H1933" s="28">
        <v>89109</v>
      </c>
      <c r="I1933" s="28">
        <v>36.131489999999999</v>
      </c>
      <c r="J1933" s="28">
        <v>-115.15483</v>
      </c>
      <c r="L1933" s="61">
        <v>110059844156</v>
      </c>
      <c r="M1933" s="28" t="s">
        <v>264</v>
      </c>
      <c r="N1933" s="28">
        <v>1799</v>
      </c>
      <c r="O1933" s="28" t="str">
        <f>IFERROR(VLOOKUP(N1933, 'SIC &amp; NAICS Codes'!A:B, 2, FALSE), "")</f>
        <v>Special Trade Contractors, NEC (indoor swimming pool construction contractors)</v>
      </c>
      <c r="S1933" s="28">
        <v>4.4369402281249998E-2</v>
      </c>
      <c r="T1933" s="315">
        <f>_xlfn.MAXIFS('Raw Period DMR Data'!$O:$O,'Raw Period DMR Data'!$A:$A,'Raw Annual DMR Data_2021-2024'!#REF!,'Raw Period DMR Data'!$C:$C,X1933)/S1933</f>
        <v>0</v>
      </c>
      <c r="U1933" s="28" t="str">
        <f>+IF(COUNTIFS('Raw Period DMR Data'!$A:$A,B1933,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33" s="28" t="str" cm="1">
        <f t="array" ref="V1933">IFERROR(INDEX('Raw Period DMR Data'!N:N,MATCH(1,(B1933='Raw Period DMR Data'!$A:$A)*(U1933='Raw Period DMR Data'!M:M)*(X1933='Raw Period DMR Data'!C:C),0),1), "N/A")</f>
        <v>N/A</v>
      </c>
      <c r="W1933" s="28" t="s">
        <v>1463</v>
      </c>
      <c r="X1933" s="28" t="s">
        <v>1959</v>
      </c>
      <c r="Y1933" s="28" t="s">
        <v>1960</v>
      </c>
      <c r="Z1933" s="61"/>
      <c r="AA1933" s="28"/>
      <c r="AB1933" s="28" t="s">
        <v>7355</v>
      </c>
      <c r="AC1933" s="28" t="s">
        <v>1466</v>
      </c>
    </row>
    <row r="1934" spans="1:29" x14ac:dyDescent="0.25">
      <c r="A1934" s="61">
        <v>110059844156</v>
      </c>
      <c r="B1934" s="28">
        <v>2023</v>
      </c>
      <c r="C1934" s="68">
        <f t="shared" si="31"/>
        <v>44927</v>
      </c>
      <c r="D1934" s="28" t="s">
        <v>1211</v>
      </c>
      <c r="E1934" s="28" t="s">
        <v>1958</v>
      </c>
      <c r="F1934" s="28" t="s">
        <v>657</v>
      </c>
      <c r="G1934" s="28" t="s">
        <v>418</v>
      </c>
      <c r="H1934" s="28">
        <v>89109</v>
      </c>
      <c r="I1934" s="28">
        <v>36.131489999999999</v>
      </c>
      <c r="J1934" s="28">
        <v>-115.15483</v>
      </c>
      <c r="L1934" s="61">
        <v>110059844156</v>
      </c>
      <c r="M1934" s="28" t="s">
        <v>264</v>
      </c>
      <c r="N1934" s="28">
        <v>1799</v>
      </c>
      <c r="O1934" s="28" t="str">
        <f>IFERROR(VLOOKUP(N1934, 'SIC &amp; NAICS Codes'!A:B, 2, FALSE), "")</f>
        <v>Special Trade Contractors, NEC (indoor swimming pool construction contractors)</v>
      </c>
      <c r="S1934" s="28">
        <v>4.09242243125E-2</v>
      </c>
      <c r="T1934" s="315">
        <f>_xlfn.MAXIFS('Raw Period DMR Data'!$O:$O,'Raw Period DMR Data'!$A:$A,'Raw Annual DMR Data_2021-2024'!#REF!,'Raw Period DMR Data'!$C:$C,X1934)/S1934</f>
        <v>0</v>
      </c>
      <c r="U1934" s="28" t="str">
        <f>+IF(COUNTIFS('Raw Period DMR Data'!$A:$A,B1934,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34" s="28" t="str" cm="1">
        <f t="array" ref="V1934">IFERROR(INDEX('Raw Period DMR Data'!N:N,MATCH(1,(B1934='Raw Period DMR Data'!$A:$A)*(U1934='Raw Period DMR Data'!M:M)*(X1934='Raw Period DMR Data'!C:C),0),1), "N/A")</f>
        <v>N/A</v>
      </c>
      <c r="W1934" s="28" t="s">
        <v>1463</v>
      </c>
      <c r="X1934" s="28" t="s">
        <v>1959</v>
      </c>
      <c r="Y1934" s="28" t="s">
        <v>1960</v>
      </c>
      <c r="Z1934" s="61"/>
      <c r="AB1934" s="28" t="s">
        <v>7355</v>
      </c>
      <c r="AC1934" s="28" t="s">
        <v>1466</v>
      </c>
    </row>
    <row r="1935" spans="1:29" x14ac:dyDescent="0.25">
      <c r="A1935" s="61">
        <v>110059844156</v>
      </c>
      <c r="B1935" s="28">
        <v>2023</v>
      </c>
      <c r="C1935" s="68">
        <f t="shared" si="31"/>
        <v>44927</v>
      </c>
      <c r="D1935" s="28" t="s">
        <v>1211</v>
      </c>
      <c r="E1935" s="28" t="s">
        <v>1958</v>
      </c>
      <c r="F1935" s="28" t="s">
        <v>657</v>
      </c>
      <c r="G1935" s="28" t="s">
        <v>418</v>
      </c>
      <c r="H1935" s="28">
        <v>89109</v>
      </c>
      <c r="I1935" s="28">
        <v>36.131489999999999</v>
      </c>
      <c r="J1935" s="28">
        <v>-115.15483</v>
      </c>
      <c r="L1935" s="61">
        <v>110059844156</v>
      </c>
      <c r="M1935" s="28" t="s">
        <v>264</v>
      </c>
      <c r="N1935" s="28">
        <v>1799</v>
      </c>
      <c r="O1935" s="28" t="str">
        <f>IFERROR(VLOOKUP(N1935, 'SIC &amp; NAICS Codes'!A:B, 2, FALSE), "")</f>
        <v>Special Trade Contractors, NEC (indoor swimming pool construction contractors)</v>
      </c>
      <c r="S1935" s="28">
        <v>3.7662098406249997E-2</v>
      </c>
      <c r="T1935" s="315">
        <f>_xlfn.MAXIFS('Raw Period DMR Data'!$O:$O,'Raw Period DMR Data'!$A:$A,'Raw Annual DMR Data_2021-2024'!#REF!,'Raw Period DMR Data'!$C:$C,X1935)/S1935</f>
        <v>0</v>
      </c>
      <c r="U1935" s="28" t="str">
        <f>+IF(COUNTIFS('Raw Period DMR Data'!$A:$A,B1935,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35" s="28" t="str" cm="1">
        <f t="array" ref="V1935">IFERROR(INDEX('Raw Period DMR Data'!N:N,MATCH(1,(B1935='Raw Period DMR Data'!$A:$A)*(U1935='Raw Period DMR Data'!M:M)*(X1935='Raw Period DMR Data'!C:C),0),1), "N/A")</f>
        <v>N/A</v>
      </c>
      <c r="W1935" s="28" t="s">
        <v>1463</v>
      </c>
      <c r="X1935" s="28" t="s">
        <v>1959</v>
      </c>
      <c r="Y1935" s="28" t="s">
        <v>1960</v>
      </c>
      <c r="Z1935" s="61"/>
      <c r="AB1935" s="28" t="s">
        <v>7355</v>
      </c>
      <c r="AC1935" s="28" t="s">
        <v>1466</v>
      </c>
    </row>
    <row r="1936" spans="1:29" x14ac:dyDescent="0.25">
      <c r="A1936" s="61">
        <v>110059844156</v>
      </c>
      <c r="B1936" s="28">
        <v>2024</v>
      </c>
      <c r="C1936" s="68">
        <f t="shared" si="31"/>
        <v>45292</v>
      </c>
      <c r="D1936" s="28" t="s">
        <v>1211</v>
      </c>
      <c r="E1936" s="28" t="s">
        <v>1958</v>
      </c>
      <c r="F1936" s="28" t="s">
        <v>657</v>
      </c>
      <c r="G1936" s="28" t="s">
        <v>418</v>
      </c>
      <c r="H1936" s="28">
        <v>89109</v>
      </c>
      <c r="I1936" s="28">
        <v>36.131489999999999</v>
      </c>
      <c r="J1936" s="28">
        <v>-115.15483</v>
      </c>
      <c r="L1936" s="61">
        <v>110059844156</v>
      </c>
      <c r="M1936" s="28" t="s">
        <v>264</v>
      </c>
      <c r="N1936" s="28">
        <v>1799</v>
      </c>
      <c r="O1936" s="28" t="str">
        <f>IFERROR(VLOOKUP(N1936, 'SIC &amp; NAICS Codes'!A:B, 2, FALSE), "")</f>
        <v>Special Trade Contractors, NEC (indoor swimming pool construction contractors)</v>
      </c>
      <c r="S1936" s="28">
        <v>6.5663883250000003E-3</v>
      </c>
      <c r="T1936" s="315">
        <f>_xlfn.MAXIFS('Raw Period DMR Data'!$O:$O,'Raw Period DMR Data'!$A:$A,'Raw Annual DMR Data_2021-2024'!#REF!,'Raw Period DMR Data'!$C:$C,X1936)/S1936</f>
        <v>0</v>
      </c>
      <c r="U1936" s="28" t="str">
        <f>+IF(COUNTIFS('Raw Period DMR Data'!$A:$A,B1936,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36" s="28" t="str" cm="1">
        <f t="array" ref="V1936">IFERROR(INDEX('Raw Period DMR Data'!N:N,MATCH(1,(B1936='Raw Period DMR Data'!$A:$A)*(U1936='Raw Period DMR Data'!M:M)*(X1936='Raw Period DMR Data'!C:C),0),1), "N/A")</f>
        <v>N/A</v>
      </c>
      <c r="W1936" s="28" t="s">
        <v>1463</v>
      </c>
      <c r="X1936" s="28" t="s">
        <v>1959</v>
      </c>
      <c r="Y1936" s="28" t="s">
        <v>1960</v>
      </c>
      <c r="Z1936" s="61"/>
      <c r="AB1936" s="28" t="s">
        <v>7355</v>
      </c>
      <c r="AC1936" s="28" t="s">
        <v>1466</v>
      </c>
    </row>
    <row r="1937" spans="1:29" x14ac:dyDescent="0.25">
      <c r="A1937" s="61">
        <v>110059844156</v>
      </c>
      <c r="B1937" s="28">
        <v>2024</v>
      </c>
      <c r="C1937" s="68">
        <f t="shared" si="31"/>
        <v>45292</v>
      </c>
      <c r="D1937" s="28" t="s">
        <v>1211</v>
      </c>
      <c r="E1937" s="28" t="s">
        <v>1958</v>
      </c>
      <c r="F1937" s="28" t="s">
        <v>657</v>
      </c>
      <c r="G1937" s="28" t="s">
        <v>418</v>
      </c>
      <c r="H1937" s="28">
        <v>89109</v>
      </c>
      <c r="I1937" s="28">
        <v>36.131489999999999</v>
      </c>
      <c r="J1937" s="28">
        <v>-115.15483</v>
      </c>
      <c r="L1937" s="61">
        <v>110059844156</v>
      </c>
      <c r="M1937" s="28" t="s">
        <v>264</v>
      </c>
      <c r="N1937" s="28">
        <v>1799</v>
      </c>
      <c r="O1937" s="28" t="str">
        <f>IFERROR(VLOOKUP(N1937, 'SIC &amp; NAICS Codes'!A:B, 2, FALSE), "")</f>
        <v>Special Trade Contractors, NEC (indoor swimming pool construction contractors)</v>
      </c>
      <c r="S1937" s="28">
        <v>6.2524367687500004E-3</v>
      </c>
      <c r="T1937" s="315">
        <f>_xlfn.MAXIFS('Raw Period DMR Data'!$O:$O,'Raw Period DMR Data'!$A:$A,'Raw Annual DMR Data_2021-2024'!#REF!,'Raw Period DMR Data'!$C:$C,X1937)/S1937</f>
        <v>0</v>
      </c>
      <c r="U1937" s="28" t="str">
        <f>+IF(COUNTIFS('Raw Period DMR Data'!$A:$A,B1937,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37" s="28" t="str" cm="1">
        <f t="array" ref="V1937">IFERROR(INDEX('Raw Period DMR Data'!N:N,MATCH(1,(B1937='Raw Period DMR Data'!$A:$A)*(U1937='Raw Period DMR Data'!M:M)*(X1937='Raw Period DMR Data'!C:C),0),1), "N/A")</f>
        <v>N/A</v>
      </c>
      <c r="W1937" s="28" t="s">
        <v>1463</v>
      </c>
      <c r="X1937" s="28" t="s">
        <v>1959</v>
      </c>
      <c r="Y1937" s="28" t="s">
        <v>1960</v>
      </c>
      <c r="Z1937" s="61"/>
      <c r="AB1937" s="28" t="s">
        <v>7355</v>
      </c>
      <c r="AC1937" s="28" t="s">
        <v>1466</v>
      </c>
    </row>
    <row r="1938" spans="1:29" x14ac:dyDescent="0.25">
      <c r="A1938" s="61">
        <v>110059844156</v>
      </c>
      <c r="B1938" s="28">
        <v>2021</v>
      </c>
      <c r="C1938" s="68">
        <f t="shared" si="31"/>
        <v>44197</v>
      </c>
      <c r="D1938" s="28" t="s">
        <v>1211</v>
      </c>
      <c r="E1938" s="28" t="s">
        <v>1958</v>
      </c>
      <c r="F1938" s="28" t="s">
        <v>657</v>
      </c>
      <c r="G1938" s="28" t="s">
        <v>418</v>
      </c>
      <c r="H1938" s="28">
        <v>89109</v>
      </c>
      <c r="I1938" s="28">
        <v>36.131489999999999</v>
      </c>
      <c r="J1938" s="28">
        <v>-115.15483</v>
      </c>
      <c r="L1938" s="61">
        <v>110059844156</v>
      </c>
      <c r="M1938" s="28" t="s">
        <v>264</v>
      </c>
      <c r="N1938" s="28">
        <v>1799</v>
      </c>
      <c r="O1938" s="28" t="str">
        <f>IFERROR(VLOOKUP(N1938, 'SIC &amp; NAICS Codes'!A:B, 2, FALSE), "")</f>
        <v>Special Trade Contractors, NEC (indoor swimming pool construction contractors)</v>
      </c>
      <c r="S1938" s="28">
        <v>1.9040868312500001E-5</v>
      </c>
      <c r="T1938" s="315">
        <f>_xlfn.MAXIFS('Raw Period DMR Data'!$O:$O,'Raw Period DMR Data'!$A:$A,'Raw Annual DMR Data_2021-2024'!#REF!,'Raw Period DMR Data'!$C:$C,X1938)/S1938</f>
        <v>0</v>
      </c>
      <c r="U1938" s="28" t="str">
        <f>+IF(COUNTIFS('Raw Period DMR Data'!$A:$A,B1938,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38" s="28" t="str" cm="1">
        <f t="array" ref="V1938">IFERROR(INDEX('Raw Period DMR Data'!N:N,MATCH(1,(B1938='Raw Period DMR Data'!$A:$A)*(U1938='Raw Period DMR Data'!M:M)*(X1938='Raw Period DMR Data'!C:C),0),1), "N/A")</f>
        <v>N/A</v>
      </c>
      <c r="W1938" s="28" t="s">
        <v>1463</v>
      </c>
      <c r="X1938" s="28" t="s">
        <v>1959</v>
      </c>
      <c r="Y1938" s="28" t="s">
        <v>1960</v>
      </c>
      <c r="Z1938" s="61"/>
      <c r="AA1938" s="28"/>
      <c r="AB1938" s="28" t="s">
        <v>7355</v>
      </c>
      <c r="AC1938" s="28" t="s">
        <v>1466</v>
      </c>
    </row>
    <row r="1939" spans="1:29" x14ac:dyDescent="0.25">
      <c r="A1939" s="61">
        <v>110000373621</v>
      </c>
      <c r="B1939" s="28">
        <v>2021</v>
      </c>
      <c r="C1939" s="68">
        <f t="shared" si="31"/>
        <v>44197</v>
      </c>
      <c r="D1939" s="28" t="s">
        <v>6816</v>
      </c>
      <c r="E1939" s="28" t="s">
        <v>6971</v>
      </c>
      <c r="F1939" s="28" t="s">
        <v>6972</v>
      </c>
      <c r="G1939" s="28" t="s">
        <v>979</v>
      </c>
      <c r="H1939" s="28">
        <v>38012</v>
      </c>
      <c r="I1939" s="28">
        <v>35.607599999999998</v>
      </c>
      <c r="J1939" s="28">
        <v>-89.237700000000004</v>
      </c>
      <c r="K1939" s="28" t="s">
        <v>7125</v>
      </c>
      <c r="L1939" s="61">
        <v>110000373621</v>
      </c>
      <c r="M1939" s="28" t="s">
        <v>265</v>
      </c>
      <c r="N1939" s="28">
        <v>3087</v>
      </c>
      <c r="O1939" s="28" t="str">
        <f>IFERROR(VLOOKUP(N1939, 'SIC &amp; NAICS Codes'!A:B, 2, FALSE), "")</f>
        <v>Custom Compounding of Purchased Plastics Resins</v>
      </c>
      <c r="S1939" s="28">
        <v>1.2488986</v>
      </c>
      <c r="T1939" s="315">
        <f>_xlfn.MAXIFS('Raw Period DMR Data'!$O:$O,'Raw Period DMR Data'!$A:$A,'Raw Annual DMR Data_2021-2024'!#REF!,'Raw Period DMR Data'!$C:$C,X1939)/S1939</f>
        <v>0</v>
      </c>
      <c r="U1939" s="28" t="str">
        <f>+IF(COUNTIFS('Raw Period DMR Data'!$A:$A,B1939,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39" s="28" t="str" cm="1">
        <f t="array" ref="V1939">IFERROR(INDEX('Raw Period DMR Data'!N:N,MATCH(1,(B1939='Raw Period DMR Data'!$A:$A)*(U1939='Raw Period DMR Data'!M:M)*(X1939='Raw Period DMR Data'!C:C),0),1), "N/A")</f>
        <v>N/A</v>
      </c>
      <c r="W1939" s="28" t="s">
        <v>1463</v>
      </c>
      <c r="X1939" s="28" t="s">
        <v>7162</v>
      </c>
      <c r="Y1939" s="28" t="s">
        <v>7274</v>
      </c>
      <c r="Z1939" s="61">
        <v>8010205000538</v>
      </c>
      <c r="AA1939" s="28"/>
      <c r="AB1939" s="28" t="s">
        <v>7355</v>
      </c>
      <c r="AC1939" s="28" t="s">
        <v>1466</v>
      </c>
    </row>
    <row r="1940" spans="1:29" x14ac:dyDescent="0.25">
      <c r="A1940" s="61">
        <v>110000373621</v>
      </c>
      <c r="B1940" s="28">
        <v>2021</v>
      </c>
      <c r="C1940" s="68">
        <f t="shared" si="31"/>
        <v>44197</v>
      </c>
      <c r="D1940" s="28" t="s">
        <v>6816</v>
      </c>
      <c r="E1940" s="28" t="s">
        <v>6971</v>
      </c>
      <c r="F1940" s="28" t="s">
        <v>6972</v>
      </c>
      <c r="G1940" s="28" t="s">
        <v>979</v>
      </c>
      <c r="H1940" s="28">
        <v>38012</v>
      </c>
      <c r="I1940" s="28">
        <v>35.607599999999998</v>
      </c>
      <c r="J1940" s="28">
        <v>-89.237700000000004</v>
      </c>
      <c r="K1940" s="28" t="s">
        <v>7125</v>
      </c>
      <c r="L1940" s="61">
        <v>110000373621</v>
      </c>
      <c r="M1940" s="28" t="s">
        <v>265</v>
      </c>
      <c r="N1940" s="28">
        <v>3087</v>
      </c>
      <c r="O1940" s="28" t="str">
        <f>IFERROR(VLOOKUP(N1940, 'SIC &amp; NAICS Codes'!A:B, 2, FALSE), "")</f>
        <v>Custom Compounding of Purchased Plastics Resins</v>
      </c>
      <c r="S1940" s="28">
        <v>1.1328505</v>
      </c>
      <c r="T1940" s="315">
        <f>_xlfn.MAXIFS('Raw Period DMR Data'!$O:$O,'Raw Period DMR Data'!$A:$A,'Raw Annual DMR Data_2021-2024'!#REF!,'Raw Period DMR Data'!$C:$C,X1940)/S1940</f>
        <v>0</v>
      </c>
      <c r="U1940" s="28" t="str">
        <f>+IF(COUNTIFS('Raw Period DMR Data'!$A:$A,B1940,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40" s="28" t="str" cm="1">
        <f t="array" ref="V1940">IFERROR(INDEX('Raw Period DMR Data'!N:N,MATCH(1,(B1940='Raw Period DMR Data'!$A:$A)*(U1940='Raw Period DMR Data'!M:M)*(X1940='Raw Period DMR Data'!C:C),0),1), "N/A")</f>
        <v>N/A</v>
      </c>
      <c r="W1940" s="28" t="s">
        <v>1463</v>
      </c>
      <c r="X1940" s="28" t="s">
        <v>7162</v>
      </c>
      <c r="Y1940" s="28" t="s">
        <v>7274</v>
      </c>
      <c r="Z1940" s="61">
        <v>8010205000538</v>
      </c>
      <c r="AB1940" s="28" t="s">
        <v>7355</v>
      </c>
      <c r="AC1940" s="28" t="s">
        <v>1466</v>
      </c>
    </row>
    <row r="1941" spans="1:29" x14ac:dyDescent="0.25">
      <c r="A1941" s="61">
        <v>110000373621</v>
      </c>
      <c r="B1941" s="28">
        <v>2022</v>
      </c>
      <c r="C1941" s="68">
        <f t="shared" si="31"/>
        <v>44562</v>
      </c>
      <c r="D1941" s="28" t="s">
        <v>6816</v>
      </c>
      <c r="E1941" s="28" t="s">
        <v>6971</v>
      </c>
      <c r="F1941" s="28" t="s">
        <v>6972</v>
      </c>
      <c r="G1941" s="28" t="s">
        <v>979</v>
      </c>
      <c r="H1941" s="28">
        <v>38012</v>
      </c>
      <c r="I1941" s="28">
        <v>35.607599999999998</v>
      </c>
      <c r="J1941" s="28">
        <v>-89.237700000000004</v>
      </c>
      <c r="K1941" s="28" t="s">
        <v>7125</v>
      </c>
      <c r="L1941" s="61">
        <v>110000373621</v>
      </c>
      <c r="M1941" s="28" t="s">
        <v>265</v>
      </c>
      <c r="N1941" s="28">
        <v>3087</v>
      </c>
      <c r="O1941" s="28" t="str">
        <f>IFERROR(VLOOKUP(N1941, 'SIC &amp; NAICS Codes'!A:B, 2, FALSE), "")</f>
        <v>Custom Compounding of Purchased Plastics Resins</v>
      </c>
      <c r="S1941" s="28">
        <v>0.43103580000000002</v>
      </c>
      <c r="T1941" s="315">
        <f>_xlfn.MAXIFS('Raw Period DMR Data'!$O:$O,'Raw Period DMR Data'!$A:$A,'Raw Annual DMR Data_2021-2024'!#REF!,'Raw Period DMR Data'!$C:$C,X1941)/S1941</f>
        <v>0</v>
      </c>
      <c r="U1941" s="28" t="str">
        <f>+IF(COUNTIFS('Raw Period DMR Data'!$A:$A,B1941,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41" s="28" t="str" cm="1">
        <f t="array" ref="V1941">IFERROR(INDEX('Raw Period DMR Data'!N:N,MATCH(1,(B1941='Raw Period DMR Data'!$A:$A)*(U1941='Raw Period DMR Data'!M:M)*(X1941='Raw Period DMR Data'!C:C),0),1), "N/A")</f>
        <v>N/A</v>
      </c>
      <c r="W1941" s="28" t="s">
        <v>1463</v>
      </c>
      <c r="X1941" s="28" t="s">
        <v>7162</v>
      </c>
      <c r="Y1941" s="28" t="s">
        <v>7274</v>
      </c>
      <c r="Z1941" s="61">
        <v>8010205000538</v>
      </c>
      <c r="AB1941" s="28" t="s">
        <v>7355</v>
      </c>
      <c r="AC1941" s="28" t="s">
        <v>1466</v>
      </c>
    </row>
    <row r="1942" spans="1:29" x14ac:dyDescent="0.25">
      <c r="A1942" s="61">
        <v>110002468669</v>
      </c>
      <c r="B1942" s="28">
        <v>2021</v>
      </c>
      <c r="C1942" s="68">
        <f t="shared" si="31"/>
        <v>44197</v>
      </c>
      <c r="D1942" s="28" t="s">
        <v>167</v>
      </c>
      <c r="E1942" s="28" t="s">
        <v>543</v>
      </c>
      <c r="F1942" s="28" t="s">
        <v>544</v>
      </c>
      <c r="G1942" s="28" t="s">
        <v>338</v>
      </c>
      <c r="H1942" s="28">
        <v>7036</v>
      </c>
      <c r="I1942" s="28">
        <v>40.610097000000003</v>
      </c>
      <c r="J1942" s="28">
        <v>-74.204927999999995</v>
      </c>
      <c r="L1942" s="61">
        <v>110002468669</v>
      </c>
      <c r="M1942" s="28" t="s">
        <v>259</v>
      </c>
      <c r="N1942" s="28">
        <v>2841</v>
      </c>
      <c r="O1942" s="28" t="str">
        <f>IFERROR(VLOOKUP(N1942, 'SIC &amp; NAICS Codes'!A:B, 2, FALSE), "")</f>
        <v>Soaps and Other Detergents, Except Specialty Cleaners</v>
      </c>
      <c r="S1942" s="28">
        <v>2.0382225E-2</v>
      </c>
      <c r="T1942" s="315">
        <f>_xlfn.MAXIFS('Raw Period DMR Data'!$O:$O,'Raw Period DMR Data'!$A:$A,'Raw Annual DMR Data_2021-2024'!#REF!,'Raw Period DMR Data'!$C:$C,X1942)/S1942</f>
        <v>0</v>
      </c>
      <c r="U1942" s="28" t="str">
        <f>+IF(COUNTIFS('Raw Period DMR Data'!$A:$A,B1942,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42" s="28" t="str" cm="1">
        <f t="array" ref="V1942">IFERROR(INDEX('Raw Period DMR Data'!N:N,MATCH(1,(B1942='Raw Period DMR Data'!$A:$A)*(U1942='Raw Period DMR Data'!M:M)*(X1942='Raw Period DMR Data'!C:C),0),1), "N/A")</f>
        <v>N/A</v>
      </c>
      <c r="W1942" s="28" t="s">
        <v>1463</v>
      </c>
      <c r="X1942" s="28" t="s">
        <v>892</v>
      </c>
      <c r="Y1942" s="28" t="s">
        <v>893</v>
      </c>
      <c r="Z1942" s="61">
        <v>2030104000564</v>
      </c>
      <c r="AA1942" s="28"/>
      <c r="AB1942" s="28" t="s">
        <v>7355</v>
      </c>
      <c r="AC1942" s="28" t="s">
        <v>1466</v>
      </c>
    </row>
    <row r="1943" spans="1:29" x14ac:dyDescent="0.25">
      <c r="A1943" s="61">
        <v>110005219913</v>
      </c>
      <c r="B1943" s="28">
        <v>2023</v>
      </c>
      <c r="C1943" s="68">
        <f t="shared" si="31"/>
        <v>44927</v>
      </c>
      <c r="D1943" s="28" t="s">
        <v>6905</v>
      </c>
      <c r="E1943" s="28" t="s">
        <v>7103</v>
      </c>
      <c r="F1943" s="28" t="s">
        <v>968</v>
      </c>
      <c r="G1943" s="28" t="s">
        <v>294</v>
      </c>
      <c r="H1943" s="28">
        <v>22302</v>
      </c>
      <c r="I1943" s="28">
        <v>38.829189999999997</v>
      </c>
      <c r="J1943" s="28">
        <v>-77.084609999999998</v>
      </c>
      <c r="L1943" s="61">
        <v>110005219913</v>
      </c>
      <c r="M1943" s="28" t="s">
        <v>265</v>
      </c>
      <c r="N1943" s="28">
        <v>1794</v>
      </c>
      <c r="O1943" s="28" t="str">
        <f>IFERROR(VLOOKUP(N1943, 'SIC &amp; NAICS Codes'!A:B, 2, FALSE), "")</f>
        <v>Excavation Work</v>
      </c>
      <c r="S1943" s="28">
        <v>3.2356276241142798E-3</v>
      </c>
      <c r="T1943" s="315">
        <f>_xlfn.MAXIFS('Raw Period DMR Data'!$O:$O,'Raw Period DMR Data'!$A:$A,'Raw Annual DMR Data_2021-2024'!#REF!,'Raw Period DMR Data'!$C:$C,X1943)/S1943</f>
        <v>0</v>
      </c>
      <c r="U1943" s="28" t="str">
        <f>+IF(COUNTIFS('Raw Period DMR Data'!$A:$A,B1943,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43" s="28" t="str" cm="1">
        <f t="array" ref="V1943">IFERROR(INDEX('Raw Period DMR Data'!N:N,MATCH(1,(B1943='Raw Period DMR Data'!$A:$A)*(U1943='Raw Period DMR Data'!M:M)*(X1943='Raw Period DMR Data'!C:C),0),1), "N/A")</f>
        <v>N/A</v>
      </c>
      <c r="W1943" s="28" t="s">
        <v>1463</v>
      </c>
      <c r="X1943" s="28" t="s">
        <v>7235</v>
      </c>
      <c r="Y1943" s="28" t="s">
        <v>1788</v>
      </c>
      <c r="Z1943" s="61"/>
      <c r="AB1943" s="28" t="s">
        <v>7355</v>
      </c>
      <c r="AC1943" s="28" t="s">
        <v>1466</v>
      </c>
    </row>
    <row r="1944" spans="1:29" x14ac:dyDescent="0.25">
      <c r="A1944" s="61">
        <v>110000610429</v>
      </c>
      <c r="B1944" s="28">
        <v>2023</v>
      </c>
      <c r="C1944" s="68">
        <f t="shared" si="31"/>
        <v>44927</v>
      </c>
      <c r="D1944" s="28" t="s">
        <v>1212</v>
      </c>
      <c r="E1944" s="28" t="s">
        <v>1963</v>
      </c>
      <c r="F1944" s="28" t="s">
        <v>1213</v>
      </c>
      <c r="G1944" s="28" t="s">
        <v>1128</v>
      </c>
      <c r="H1944" s="28">
        <v>80125</v>
      </c>
      <c r="I1944" s="28">
        <v>39.496341999999999</v>
      </c>
      <c r="J1944" s="28">
        <v>-105.10758800000001</v>
      </c>
      <c r="K1944" s="28" t="s">
        <v>724</v>
      </c>
      <c r="L1944" s="61">
        <v>110000610429</v>
      </c>
      <c r="M1944" s="28" t="s">
        <v>265</v>
      </c>
      <c r="N1944" s="28">
        <v>3761</v>
      </c>
      <c r="O1944" s="28" t="str">
        <f>IFERROR(VLOOKUP(N1944, 'SIC &amp; NAICS Codes'!A:B, 2, FALSE), "")</f>
        <v>Guided Missiles and Space Vehicles (except research and development not producing prototypes)</v>
      </c>
      <c r="S1944" s="28">
        <v>7.4004698499999993E-2</v>
      </c>
      <c r="T1944" s="315">
        <f>_xlfn.MAXIFS('Raw Period DMR Data'!$O:$O,'Raw Period DMR Data'!$A:$A,'Raw Annual DMR Data_2021-2024'!#REF!,'Raw Period DMR Data'!$C:$C,X1944)/S1944</f>
        <v>0</v>
      </c>
      <c r="U1944" s="28" t="str">
        <f>+IF(COUNTIFS('Raw Period DMR Data'!$A:$A,B1944,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44" s="28" t="str" cm="1">
        <f t="array" ref="V1944">IFERROR(INDEX('Raw Period DMR Data'!N:N,MATCH(1,(B1944='Raw Period DMR Data'!$A:$A)*(U1944='Raw Period DMR Data'!M:M)*(X1944='Raw Period DMR Data'!C:C),0),1), "N/A")</f>
        <v>N/A</v>
      </c>
      <c r="W1944" s="28" t="s">
        <v>1463</v>
      </c>
      <c r="X1944" s="28" t="s">
        <v>1964</v>
      </c>
      <c r="Y1944" s="28" t="s">
        <v>1965</v>
      </c>
      <c r="Z1944" s="61">
        <v>10190002000856</v>
      </c>
      <c r="AB1944" s="28" t="s">
        <v>7355</v>
      </c>
      <c r="AC1944" s="28" t="s">
        <v>1466</v>
      </c>
    </row>
    <row r="1945" spans="1:29" x14ac:dyDescent="0.25">
      <c r="A1945" s="61">
        <v>110000610429</v>
      </c>
      <c r="B1945" s="28">
        <v>2021</v>
      </c>
      <c r="C1945" s="68">
        <f t="shared" si="31"/>
        <v>44197</v>
      </c>
      <c r="D1945" s="28" t="s">
        <v>1212</v>
      </c>
      <c r="E1945" s="28" t="s">
        <v>1963</v>
      </c>
      <c r="F1945" s="28" t="s">
        <v>1213</v>
      </c>
      <c r="G1945" s="28" t="s">
        <v>1128</v>
      </c>
      <c r="H1945" s="28">
        <v>80125</v>
      </c>
      <c r="I1945" s="28">
        <v>39.496341999999999</v>
      </c>
      <c r="J1945" s="28">
        <v>-105.10758800000001</v>
      </c>
      <c r="K1945" s="28" t="s">
        <v>724</v>
      </c>
      <c r="L1945" s="61">
        <v>110000610429</v>
      </c>
      <c r="M1945" s="28" t="s">
        <v>265</v>
      </c>
      <c r="N1945" s="28">
        <v>3761</v>
      </c>
      <c r="O1945" s="28" t="str">
        <f>IFERROR(VLOOKUP(N1945, 'SIC &amp; NAICS Codes'!A:B, 2, FALSE), "")</f>
        <v>Guided Missiles and Space Vehicles (except research and development not producing prototypes)</v>
      </c>
      <c r="S1945" s="28">
        <v>4.4857927499999999E-2</v>
      </c>
      <c r="T1945" s="315">
        <f>_xlfn.MAXIFS('Raw Period DMR Data'!$O:$O,'Raw Period DMR Data'!$A:$A,'Raw Annual DMR Data_2021-2024'!#REF!,'Raw Period DMR Data'!$C:$C,X1945)/S1945</f>
        <v>0</v>
      </c>
      <c r="U1945" s="28" t="str">
        <f>+IF(COUNTIFS('Raw Period DMR Data'!$A:$A,B1945,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45" s="28" t="str" cm="1">
        <f t="array" ref="V1945">IFERROR(INDEX('Raw Period DMR Data'!N:N,MATCH(1,(B1945='Raw Period DMR Data'!$A:$A)*(U1945='Raw Period DMR Data'!M:M)*(X1945='Raw Period DMR Data'!C:C),0),1), "N/A")</f>
        <v>N/A</v>
      </c>
      <c r="W1945" s="28" t="s">
        <v>1463</v>
      </c>
      <c r="X1945" s="28" t="s">
        <v>1964</v>
      </c>
      <c r="Y1945" s="28" t="s">
        <v>1965</v>
      </c>
      <c r="Z1945" s="61">
        <v>10190002000856</v>
      </c>
      <c r="AA1945" s="28"/>
      <c r="AB1945" s="28" t="s">
        <v>7355</v>
      </c>
      <c r="AC1945" s="28" t="s">
        <v>1466</v>
      </c>
    </row>
    <row r="1946" spans="1:29" x14ac:dyDescent="0.25">
      <c r="A1946" s="61">
        <v>110000610429</v>
      </c>
      <c r="B1946" s="28">
        <v>2024</v>
      </c>
      <c r="C1946" s="68">
        <f t="shared" si="31"/>
        <v>45292</v>
      </c>
      <c r="D1946" s="28" t="s">
        <v>1212</v>
      </c>
      <c r="E1946" s="28" t="s">
        <v>1963</v>
      </c>
      <c r="F1946" s="28" t="s">
        <v>1213</v>
      </c>
      <c r="G1946" s="28" t="s">
        <v>1128</v>
      </c>
      <c r="H1946" s="28">
        <v>80125</v>
      </c>
      <c r="I1946" s="28">
        <v>39.496341999999999</v>
      </c>
      <c r="J1946" s="28">
        <v>-105.10758800000001</v>
      </c>
      <c r="K1946" s="28" t="s">
        <v>724</v>
      </c>
      <c r="L1946" s="61">
        <v>110000610429</v>
      </c>
      <c r="M1946" s="28" t="s">
        <v>265</v>
      </c>
      <c r="N1946" s="28">
        <v>3761</v>
      </c>
      <c r="O1946" s="28" t="str">
        <f>IFERROR(VLOOKUP(N1946, 'SIC &amp; NAICS Codes'!A:B, 2, FALSE), "")</f>
        <v>Guided Missiles and Space Vehicles (except research and development not producing prototypes)</v>
      </c>
      <c r="S1946" s="28">
        <v>4.2477351750000003E-2</v>
      </c>
      <c r="T1946" s="315">
        <f>_xlfn.MAXIFS('Raw Period DMR Data'!$O:$O,'Raw Period DMR Data'!$A:$A,'Raw Annual DMR Data_2021-2024'!#REF!,'Raw Period DMR Data'!$C:$C,X1946)/S1946</f>
        <v>0</v>
      </c>
      <c r="U1946" s="28" t="str">
        <f>+IF(COUNTIFS('Raw Period DMR Data'!$A:$A,B1946,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46" s="28" t="str" cm="1">
        <f t="array" ref="V1946">IFERROR(INDEX('Raw Period DMR Data'!N:N,MATCH(1,(B1946='Raw Period DMR Data'!$A:$A)*(U1946='Raw Period DMR Data'!M:M)*(X1946='Raw Period DMR Data'!C:C),0),1), "N/A")</f>
        <v>N/A</v>
      </c>
      <c r="W1946" s="28" t="s">
        <v>1463</v>
      </c>
      <c r="X1946" s="28" t="s">
        <v>1964</v>
      </c>
      <c r="Y1946" s="28" t="s">
        <v>1965</v>
      </c>
      <c r="Z1946" s="61">
        <v>10190002000856</v>
      </c>
      <c r="AB1946" s="28" t="s">
        <v>7355</v>
      </c>
      <c r="AC1946" s="28" t="s">
        <v>1466</v>
      </c>
    </row>
    <row r="1947" spans="1:29" x14ac:dyDescent="0.25">
      <c r="A1947" s="61">
        <v>110000610429</v>
      </c>
      <c r="B1947" s="28">
        <v>2022</v>
      </c>
      <c r="C1947" s="68">
        <f t="shared" si="31"/>
        <v>44562</v>
      </c>
      <c r="D1947" s="28" t="s">
        <v>1212</v>
      </c>
      <c r="E1947" s="28" t="s">
        <v>1963</v>
      </c>
      <c r="F1947" s="28" t="s">
        <v>1213</v>
      </c>
      <c r="G1947" s="28" t="s">
        <v>1128</v>
      </c>
      <c r="H1947" s="28">
        <v>80125</v>
      </c>
      <c r="I1947" s="28">
        <v>39.496341999999999</v>
      </c>
      <c r="J1947" s="28">
        <v>-105.10758800000001</v>
      </c>
      <c r="K1947" s="28" t="s">
        <v>724</v>
      </c>
      <c r="L1947" s="61">
        <v>110000610429</v>
      </c>
      <c r="M1947" s="28" t="s">
        <v>265</v>
      </c>
      <c r="N1947" s="28">
        <v>3761</v>
      </c>
      <c r="O1947" s="28" t="str">
        <f>IFERROR(VLOOKUP(N1947, 'SIC &amp; NAICS Codes'!A:B, 2, FALSE), "")</f>
        <v>Guided Missiles and Space Vehicles (except research and development not producing prototypes)</v>
      </c>
      <c r="S1947" s="28">
        <v>3.6758406E-2</v>
      </c>
      <c r="T1947" s="315">
        <f>_xlfn.MAXIFS('Raw Period DMR Data'!$O:$O,'Raw Period DMR Data'!$A:$A,'Raw Annual DMR Data_2021-2024'!#REF!,'Raw Period DMR Data'!$C:$C,X1947)/S1947</f>
        <v>0</v>
      </c>
      <c r="U1947" s="28" t="str">
        <f>+IF(COUNTIFS('Raw Period DMR Data'!$A:$A,B1947,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47" s="28" t="str" cm="1">
        <f t="array" ref="V1947">IFERROR(INDEX('Raw Period DMR Data'!N:N,MATCH(1,(B1947='Raw Period DMR Data'!$A:$A)*(U1947='Raw Period DMR Data'!M:M)*(X1947='Raw Period DMR Data'!C:C),0),1), "N/A")</f>
        <v>N/A</v>
      </c>
      <c r="W1947" s="28" t="s">
        <v>1463</v>
      </c>
      <c r="X1947" s="28" t="s">
        <v>1964</v>
      </c>
      <c r="Y1947" s="28" t="s">
        <v>1965</v>
      </c>
      <c r="Z1947" s="61">
        <v>10190002000856</v>
      </c>
      <c r="AB1947" s="28" t="s">
        <v>7355</v>
      </c>
      <c r="AC1947" s="28" t="s">
        <v>1466</v>
      </c>
    </row>
    <row r="1948" spans="1:29" x14ac:dyDescent="0.25">
      <c r="A1948" s="61">
        <v>110010059649</v>
      </c>
      <c r="B1948" s="28">
        <v>2024</v>
      </c>
      <c r="C1948" s="68">
        <f t="shared" si="31"/>
        <v>45292</v>
      </c>
      <c r="D1948" s="28" t="s">
        <v>6815</v>
      </c>
      <c r="E1948" s="28" t="s">
        <v>6968</v>
      </c>
      <c r="F1948" s="28" t="s">
        <v>6969</v>
      </c>
      <c r="G1948" s="28" t="s">
        <v>366</v>
      </c>
      <c r="H1948" s="28">
        <v>95551</v>
      </c>
      <c r="I1948" s="28">
        <v>40.638300000000001</v>
      </c>
      <c r="J1948" s="28">
        <v>-124.22553000000001</v>
      </c>
      <c r="L1948" s="61">
        <v>110010059649</v>
      </c>
      <c r="M1948" s="28" t="s">
        <v>263</v>
      </c>
      <c r="N1948" s="28">
        <v>4952</v>
      </c>
      <c r="O1948" s="28" t="str">
        <f>IFERROR(VLOOKUP(N1948, 'SIC &amp; NAICS Codes'!A:B, 2, FALSE), "")</f>
        <v>Sewerage Systems</v>
      </c>
      <c r="S1948" s="28">
        <v>6.2753010075000004</v>
      </c>
      <c r="T1948" s="315">
        <f>_xlfn.MAXIFS('Raw Period DMR Data'!$O:$O,'Raw Period DMR Data'!$A:$A,'Raw Annual DMR Data_2021-2024'!B2383,'Raw Period DMR Data'!$C:$C,X1948)/S1948</f>
        <v>0</v>
      </c>
      <c r="U1948" s="28" t="str">
        <f>+IF(COUNTIFS('Raw Period DMR Data'!$A:$A,B1948, 'Raw Period DMR Data'!C:C,'Raw Annual DMR Data_2021-2024'!X2383, 'Raw Period DMR Data'!M:M, "&gt;0")&gt;0,_xlfn.MAXIFS('Raw Period DMR Data'!M:M,'Raw Period DMR Data'!$A:$A,'Raw Annual DMR Data_2021-2024'!B2383,'Raw Period DMR Data'!C:C,'Raw Annual DMR Data_2021-2024'!X2383), "N/A - Period DMR Data Not Available")</f>
        <v>N/A - Period DMR Data Not Available</v>
      </c>
      <c r="V1948" s="28" t="str" cm="1">
        <f t="array" ref="V1948">IFERROR(INDEX('Raw Period DMR Data'!N:N,MATCH(1,(B1948='Raw Period DMR Data'!$A:$A)*(U1948='Raw Period DMR Data'!M:M)*(X1948='Raw Period DMR Data'!C:C),0),1), "N/A")</f>
        <v>N/A</v>
      </c>
      <c r="W1948" s="28" t="s">
        <v>1463</v>
      </c>
      <c r="X1948" s="28" t="s">
        <v>7161</v>
      </c>
      <c r="Y1948" s="28" t="s">
        <v>7272</v>
      </c>
      <c r="Z1948" s="61">
        <v>18010105000712</v>
      </c>
      <c r="AC1948" s="28" t="s">
        <v>263</v>
      </c>
    </row>
    <row r="1949" spans="1:29" x14ac:dyDescent="0.25">
      <c r="A1949" s="61">
        <v>110010059649</v>
      </c>
      <c r="B1949" s="28">
        <v>2022</v>
      </c>
      <c r="C1949" s="68">
        <f t="shared" si="31"/>
        <v>44562</v>
      </c>
      <c r="D1949" s="28" t="s">
        <v>6815</v>
      </c>
      <c r="E1949" s="28" t="s">
        <v>6968</v>
      </c>
      <c r="F1949" s="28" t="s">
        <v>6969</v>
      </c>
      <c r="G1949" s="28" t="s">
        <v>366</v>
      </c>
      <c r="H1949" s="28">
        <v>95551</v>
      </c>
      <c r="I1949" s="28">
        <v>40.638300000000001</v>
      </c>
      <c r="J1949" s="28">
        <v>-124.22553000000001</v>
      </c>
      <c r="L1949" s="61">
        <v>110010059649</v>
      </c>
      <c r="M1949" s="28" t="s">
        <v>263</v>
      </c>
      <c r="N1949" s="28">
        <v>4952</v>
      </c>
      <c r="O1949" s="28" t="str">
        <f>IFERROR(VLOOKUP(N1949, 'SIC &amp; NAICS Codes'!A:B, 2, FALSE), "")</f>
        <v>Sewerage Systems</v>
      </c>
      <c r="S1949" s="28">
        <v>6.8385487499999995E-2</v>
      </c>
      <c r="T1949" s="315">
        <f>_xlfn.MAXIFS('Raw Period DMR Data'!$O:$O,'Raw Period DMR Data'!$A:$A,'Raw Annual DMR Data_2021-2024'!#REF!,'Raw Period DMR Data'!$C:$C,X1949)/S1949</f>
        <v>0</v>
      </c>
      <c r="U1949" s="28" t="str">
        <f>+IF(COUNTIFS('Raw Period DMR Data'!$A:$A,B1949,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49" s="28" t="str" cm="1">
        <f t="array" ref="V1949">IFERROR(INDEX('Raw Period DMR Data'!N:N,MATCH(1,(B1949='Raw Period DMR Data'!$A:$A)*(U1949='Raw Period DMR Data'!M:M)*(X1949='Raw Period DMR Data'!C:C),0),1), "N/A")</f>
        <v>N/A</v>
      </c>
      <c r="W1949" s="28" t="s">
        <v>1463</v>
      </c>
      <c r="X1949" s="28" t="s">
        <v>7161</v>
      </c>
      <c r="Y1949" s="28" t="s">
        <v>7272</v>
      </c>
      <c r="Z1949" s="61">
        <v>18010105000712</v>
      </c>
      <c r="AB1949" s="28" t="s">
        <v>7355</v>
      </c>
      <c r="AC1949" s="28" t="s">
        <v>263</v>
      </c>
    </row>
    <row r="1950" spans="1:29" x14ac:dyDescent="0.25">
      <c r="A1950" s="61">
        <v>110010059649</v>
      </c>
      <c r="B1950" s="28">
        <v>2023</v>
      </c>
      <c r="C1950" s="68">
        <f t="shared" si="31"/>
        <v>44927</v>
      </c>
      <c r="D1950" s="28" t="s">
        <v>6815</v>
      </c>
      <c r="E1950" s="28" t="s">
        <v>6968</v>
      </c>
      <c r="F1950" s="28" t="s">
        <v>6969</v>
      </c>
      <c r="G1950" s="28" t="s">
        <v>366</v>
      </c>
      <c r="H1950" s="28">
        <v>95551</v>
      </c>
      <c r="I1950" s="28">
        <v>40.638300000000001</v>
      </c>
      <c r="J1950" s="28">
        <v>-124.22553000000001</v>
      </c>
      <c r="L1950" s="61">
        <v>110010059649</v>
      </c>
      <c r="M1950" s="28" t="s">
        <v>263</v>
      </c>
      <c r="N1950" s="28">
        <v>4952</v>
      </c>
      <c r="O1950" s="28" t="str">
        <f>IFERROR(VLOOKUP(N1950, 'SIC &amp; NAICS Codes'!A:B, 2, FALSE), "")</f>
        <v>Sewerage Systems</v>
      </c>
      <c r="S1950" s="28">
        <v>2.363789275E-2</v>
      </c>
      <c r="T1950" s="315">
        <f>_xlfn.MAXIFS('Raw Period DMR Data'!$O:$O,'Raw Period DMR Data'!$A:$A,'Raw Annual DMR Data_2021-2024'!#REF!,'Raw Period DMR Data'!$C:$C,X1950)/S1950</f>
        <v>0</v>
      </c>
      <c r="U1950" s="28" t="str">
        <f>+IF(COUNTIFS('Raw Period DMR Data'!$A:$A,B1950,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50" s="28" t="str" cm="1">
        <f t="array" ref="V1950">IFERROR(INDEX('Raw Period DMR Data'!N:N,MATCH(1,(B1950='Raw Period DMR Data'!$A:$A)*(U1950='Raw Period DMR Data'!M:M)*(X1950='Raw Period DMR Data'!C:C),0),1), "N/A")</f>
        <v>N/A</v>
      </c>
      <c r="W1950" s="28" t="s">
        <v>1463</v>
      </c>
      <c r="X1950" s="28" t="s">
        <v>7161</v>
      </c>
      <c r="Y1950" s="28" t="s">
        <v>7272</v>
      </c>
      <c r="Z1950" s="61">
        <v>18010105000712</v>
      </c>
      <c r="AB1950" s="28" t="s">
        <v>7355</v>
      </c>
      <c r="AC1950" s="28" t="s">
        <v>263</v>
      </c>
    </row>
    <row r="1951" spans="1:29" x14ac:dyDescent="0.25">
      <c r="A1951" s="61">
        <v>110000557013</v>
      </c>
      <c r="B1951" s="28">
        <v>2021</v>
      </c>
      <c r="C1951" s="68">
        <f t="shared" si="31"/>
        <v>44197</v>
      </c>
      <c r="D1951" s="28" t="s">
        <v>6800</v>
      </c>
      <c r="E1951" s="28" t="s">
        <v>1966</v>
      </c>
      <c r="F1951" s="28" t="s">
        <v>1215</v>
      </c>
      <c r="G1951" s="28" t="s">
        <v>324</v>
      </c>
      <c r="H1951" s="28" t="s">
        <v>1967</v>
      </c>
      <c r="I1951" s="28">
        <v>37.106380000000001</v>
      </c>
      <c r="J1951" s="28">
        <v>-84.066829999999996</v>
      </c>
      <c r="L1951" s="61">
        <v>110000557013</v>
      </c>
      <c r="M1951" s="28" t="s">
        <v>263</v>
      </c>
      <c r="N1951" s="28">
        <v>4952</v>
      </c>
      <c r="O1951" s="28" t="str">
        <f>IFERROR(VLOOKUP(N1951, 'SIC &amp; NAICS Codes'!A:B, 2, FALSE), "")</f>
        <v>Sewerage Systems</v>
      </c>
      <c r="S1951" s="28">
        <v>2.1586328125000001</v>
      </c>
      <c r="T1951" s="315">
        <f>_xlfn.MAXIFS('Raw Period DMR Data'!$O:$O,'Raw Period DMR Data'!$A:$A,'Raw Annual DMR Data_2021-2024'!#REF!,'Raw Period DMR Data'!$C:$C,X1951)/S1951</f>
        <v>0</v>
      </c>
      <c r="U1951" s="28" t="str">
        <f>+IF(COUNTIFS('Raw Period DMR Data'!$A:$A,B1951,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51" s="28" t="str" cm="1">
        <f t="array" ref="V1951">IFERROR(INDEX('Raw Period DMR Data'!N:N,MATCH(1,(B1951='Raw Period DMR Data'!$A:$A)*(U1951='Raw Period DMR Data'!M:M)*(X1951='Raw Period DMR Data'!C:C),0),1), "N/A")</f>
        <v>N/A</v>
      </c>
      <c r="W1951" s="28" t="s">
        <v>1463</v>
      </c>
      <c r="X1951" s="28" t="s">
        <v>1968</v>
      </c>
      <c r="Y1951" s="28" t="s">
        <v>1969</v>
      </c>
      <c r="Z1951" s="61">
        <v>5130101001074</v>
      </c>
      <c r="AA1951" s="28"/>
      <c r="AB1951" s="28" t="s">
        <v>7355</v>
      </c>
      <c r="AC1951" s="28" t="s">
        <v>263</v>
      </c>
    </row>
    <row r="1952" spans="1:29" x14ac:dyDescent="0.25">
      <c r="A1952" s="61">
        <v>110002041380</v>
      </c>
      <c r="B1952" s="28">
        <v>2021</v>
      </c>
      <c r="C1952" s="68">
        <f t="shared" si="31"/>
        <v>44197</v>
      </c>
      <c r="D1952" s="28" t="s">
        <v>1218</v>
      </c>
      <c r="E1952" s="28" t="s">
        <v>1975</v>
      </c>
      <c r="F1952" s="28" t="s">
        <v>1219</v>
      </c>
      <c r="G1952" s="28" t="s">
        <v>324</v>
      </c>
      <c r="H1952" s="28">
        <v>42431</v>
      </c>
      <c r="I1952" s="28">
        <v>37.318492999999997</v>
      </c>
      <c r="J1952" s="28">
        <v>-87.549857000000003</v>
      </c>
      <c r="L1952" s="61">
        <v>110002041380</v>
      </c>
      <c r="M1952" s="28" t="s">
        <v>263</v>
      </c>
      <c r="N1952" s="28">
        <v>4952</v>
      </c>
      <c r="O1952" s="28" t="str">
        <f>IFERROR(VLOOKUP(N1952, 'SIC &amp; NAICS Codes'!A:B, 2, FALSE), "")</f>
        <v>Sewerage Systems</v>
      </c>
      <c r="S1952" s="28">
        <v>19.372434312500001</v>
      </c>
      <c r="T1952" s="315">
        <f>_xlfn.MAXIFS('Raw Period DMR Data'!$O:$O,'Raw Period DMR Data'!$A:$A,'Raw Annual DMR Data_2021-2024'!B2326,'Raw Period DMR Data'!$C:$C,X1952)/S1952</f>
        <v>0</v>
      </c>
      <c r="U1952" s="28" t="str">
        <f>+IF(COUNTIFS('Raw Period DMR Data'!$A:$A,B1952, 'Raw Period DMR Data'!C:C,'Raw Annual DMR Data_2021-2024'!X2326, 'Raw Period DMR Data'!M:M, "&gt;0")&gt;0,_xlfn.MAXIFS('Raw Period DMR Data'!M:M,'Raw Period DMR Data'!$A:$A,'Raw Annual DMR Data_2021-2024'!B2326,'Raw Period DMR Data'!C:C,'Raw Annual DMR Data_2021-2024'!X2326), "N/A - Period DMR Data Not Available")</f>
        <v>N/A - Period DMR Data Not Available</v>
      </c>
      <c r="V1952" s="28" t="str" cm="1">
        <f t="array" ref="V1952">IFERROR(INDEX('Raw Period DMR Data'!N:N,MATCH(1,(B1952='Raw Period DMR Data'!$A:$A)*(U1952='Raw Period DMR Data'!M:M)*(X1952='Raw Period DMR Data'!C:C),0),1), "N/A")</f>
        <v>N/A</v>
      </c>
      <c r="W1952" s="28" t="s">
        <v>1463</v>
      </c>
      <c r="X1952" s="28" t="s">
        <v>1976</v>
      </c>
      <c r="Y1952" s="28" t="s">
        <v>1977</v>
      </c>
      <c r="Z1952" s="61">
        <v>5140205000228</v>
      </c>
      <c r="AA1952" s="28"/>
      <c r="AB1952" s="28" t="s">
        <v>7355</v>
      </c>
      <c r="AC1952" s="28" t="s">
        <v>263</v>
      </c>
    </row>
    <row r="1953" spans="1:29" x14ac:dyDescent="0.25">
      <c r="A1953" s="61">
        <v>110002041380</v>
      </c>
      <c r="B1953" s="28">
        <v>2022</v>
      </c>
      <c r="C1953" s="68">
        <f t="shared" si="31"/>
        <v>44562</v>
      </c>
      <c r="D1953" s="28" t="s">
        <v>1218</v>
      </c>
      <c r="E1953" s="28" t="s">
        <v>1975</v>
      </c>
      <c r="F1953" s="28" t="s">
        <v>1219</v>
      </c>
      <c r="G1953" s="28" t="s">
        <v>324</v>
      </c>
      <c r="H1953" s="28">
        <v>42431</v>
      </c>
      <c r="I1953" s="28">
        <v>37.318492999999997</v>
      </c>
      <c r="J1953" s="28">
        <v>-87.549857000000003</v>
      </c>
      <c r="L1953" s="61">
        <v>110002041380</v>
      </c>
      <c r="M1953" s="28" t="s">
        <v>263</v>
      </c>
      <c r="N1953" s="28">
        <v>4952</v>
      </c>
      <c r="O1953" s="28" t="str">
        <f>IFERROR(VLOOKUP(N1953, 'SIC &amp; NAICS Codes'!A:B, 2, FALSE), "")</f>
        <v>Sewerage Systems</v>
      </c>
      <c r="S1953" s="28">
        <v>6.4088944750000003</v>
      </c>
      <c r="T1953" s="315">
        <f>_xlfn.MAXIFS('Raw Period DMR Data'!$O:$O,'Raw Period DMR Data'!$A:$A,'Raw Annual DMR Data_2021-2024'!B2382,'Raw Period DMR Data'!$C:$C,X1953)/S1953</f>
        <v>0</v>
      </c>
      <c r="U1953" s="28" t="str">
        <f>+IF(COUNTIFS('Raw Period DMR Data'!$A:$A,B1953, 'Raw Period DMR Data'!C:C,'Raw Annual DMR Data_2021-2024'!X2382, 'Raw Period DMR Data'!M:M, "&gt;0")&gt;0,_xlfn.MAXIFS('Raw Period DMR Data'!M:M,'Raw Period DMR Data'!$A:$A,'Raw Annual DMR Data_2021-2024'!B2382,'Raw Period DMR Data'!C:C,'Raw Annual DMR Data_2021-2024'!X2382), "N/A - Period DMR Data Not Available")</f>
        <v>N/A - Period DMR Data Not Available</v>
      </c>
      <c r="V1953" s="28" t="str" cm="1">
        <f t="array" ref="V1953">IFERROR(INDEX('Raw Period DMR Data'!N:N,MATCH(1,(B1953='Raw Period DMR Data'!$A:$A)*(U1953='Raw Period DMR Data'!M:M)*(X1953='Raw Period DMR Data'!C:C),0),1), "N/A")</f>
        <v>N/A</v>
      </c>
      <c r="W1953" s="28" t="s">
        <v>1463</v>
      </c>
      <c r="X1953" s="28" t="s">
        <v>1976</v>
      </c>
      <c r="Y1953" s="28" t="s">
        <v>1977</v>
      </c>
      <c r="Z1953" s="61">
        <v>5140205000228</v>
      </c>
      <c r="AB1953" s="28" t="s">
        <v>7355</v>
      </c>
      <c r="AC1953" s="28" t="s">
        <v>263</v>
      </c>
    </row>
    <row r="1954" spans="1:29" x14ac:dyDescent="0.25">
      <c r="A1954" s="61">
        <v>110009938808</v>
      </c>
      <c r="B1954" s="28">
        <v>2021</v>
      </c>
      <c r="C1954" s="68">
        <f t="shared" si="31"/>
        <v>44197</v>
      </c>
      <c r="D1954" s="28" t="s">
        <v>1222</v>
      </c>
      <c r="E1954" s="28" t="s">
        <v>1983</v>
      </c>
      <c r="F1954" s="28" t="s">
        <v>1223</v>
      </c>
      <c r="G1954" s="28" t="s">
        <v>324</v>
      </c>
      <c r="H1954" s="28">
        <v>40962</v>
      </c>
      <c r="I1954" s="28">
        <v>37.177222</v>
      </c>
      <c r="J1954" s="28">
        <v>-83.761388999999994</v>
      </c>
      <c r="L1954" s="61">
        <v>110009938808</v>
      </c>
      <c r="M1954" s="28" t="s">
        <v>263</v>
      </c>
      <c r="N1954" s="28">
        <v>4952</v>
      </c>
      <c r="O1954" s="28" t="str">
        <f>IFERROR(VLOOKUP(N1954, 'SIC &amp; NAICS Codes'!A:B, 2, FALSE), "")</f>
        <v>Sewerage Systems</v>
      </c>
      <c r="S1954" s="28">
        <v>2.8563029375000002</v>
      </c>
      <c r="T1954" s="315">
        <f>_xlfn.MAXIFS('Raw Period DMR Data'!$O:$O,'Raw Period DMR Data'!$A:$A,'Raw Annual DMR Data_2021-2024'!#REF!,'Raw Period DMR Data'!$C:$C,X1954)/S1954</f>
        <v>0</v>
      </c>
      <c r="U1954" s="28" t="str">
        <f>+IF(COUNTIFS('Raw Period DMR Data'!$A:$A,B1954,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54" s="28" t="str" cm="1">
        <f t="array" ref="V1954">IFERROR(INDEX('Raw Period DMR Data'!N:N,MATCH(1,(B1954='Raw Period DMR Data'!$A:$A)*(U1954='Raw Period DMR Data'!M:M)*(X1954='Raw Period DMR Data'!C:C),0),1), "N/A")</f>
        <v>N/A</v>
      </c>
      <c r="W1954" s="28" t="s">
        <v>1463</v>
      </c>
      <c r="X1954" s="28" t="s">
        <v>1984</v>
      </c>
      <c r="Y1954" s="28" t="s">
        <v>1721</v>
      </c>
      <c r="Z1954" s="61">
        <v>5100203000072</v>
      </c>
      <c r="AB1954" s="28" t="s">
        <v>7355</v>
      </c>
      <c r="AC1954" s="28" t="s">
        <v>263</v>
      </c>
    </row>
    <row r="1955" spans="1:29" x14ac:dyDescent="0.25">
      <c r="A1955" s="61">
        <v>110039801462</v>
      </c>
      <c r="B1955" s="28">
        <v>2022</v>
      </c>
      <c r="C1955" s="68">
        <f t="shared" si="31"/>
        <v>44562</v>
      </c>
      <c r="D1955" s="28" t="s">
        <v>6864</v>
      </c>
      <c r="E1955" s="28" t="s">
        <v>7028</v>
      </c>
      <c r="F1955" s="28" t="s">
        <v>7029</v>
      </c>
      <c r="G1955" s="28" t="s">
        <v>366</v>
      </c>
      <c r="H1955" s="28">
        <v>95337</v>
      </c>
      <c r="I1955" s="28">
        <v>37.795589999999997</v>
      </c>
      <c r="J1955" s="28">
        <v>-121.26000999999999</v>
      </c>
      <c r="L1955" s="61">
        <v>110039801462</v>
      </c>
      <c r="M1955" s="28" t="s">
        <v>263</v>
      </c>
      <c r="N1955" s="28">
        <v>4952</v>
      </c>
      <c r="O1955" s="28" t="str">
        <f>IFERROR(VLOOKUP(N1955, 'SIC &amp; NAICS Codes'!A:B, 2, FALSE), "")</f>
        <v>Sewerage Systems</v>
      </c>
      <c r="S1955" s="28">
        <v>0.27096562666666602</v>
      </c>
      <c r="T1955" s="315">
        <f>_xlfn.MAXIFS('Raw Period DMR Data'!$O:$O,'Raw Period DMR Data'!$A:$A,'Raw Annual DMR Data_2021-2024'!#REF!,'Raw Period DMR Data'!$C:$C,X1955)/S1955</f>
        <v>0</v>
      </c>
      <c r="U1955" s="28" t="str">
        <f>+IF(COUNTIFS('Raw Period DMR Data'!$A:$A,B1955,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55" s="28" t="str" cm="1">
        <f t="array" ref="V1955">IFERROR(INDEX('Raw Period DMR Data'!N:N,MATCH(1,(B1955='Raw Period DMR Data'!$A:$A)*(U1955='Raw Period DMR Data'!M:M)*(X1955='Raw Period DMR Data'!C:C),0),1), "N/A")</f>
        <v>N/A</v>
      </c>
      <c r="W1955" s="28" t="s">
        <v>1463</v>
      </c>
      <c r="X1955" s="28" t="s">
        <v>7194</v>
      </c>
      <c r="Y1955" s="28" t="s">
        <v>7277</v>
      </c>
      <c r="Z1955" s="61">
        <v>18040003005695</v>
      </c>
      <c r="AB1955" s="28" t="s">
        <v>7355</v>
      </c>
      <c r="AC1955" s="28" t="s">
        <v>263</v>
      </c>
    </row>
    <row r="1956" spans="1:29" x14ac:dyDescent="0.25">
      <c r="A1956" s="61">
        <v>110008995490</v>
      </c>
      <c r="B1956" s="28">
        <v>2024</v>
      </c>
      <c r="C1956" s="68">
        <f t="shared" si="31"/>
        <v>45292</v>
      </c>
      <c r="D1956" s="28" t="s">
        <v>1224</v>
      </c>
      <c r="E1956" s="28" t="s">
        <v>1985</v>
      </c>
      <c r="F1956" s="28" t="s">
        <v>657</v>
      </c>
      <c r="G1956" s="28" t="s">
        <v>418</v>
      </c>
      <c r="H1956" s="28">
        <v>89101</v>
      </c>
      <c r="I1956" s="28">
        <v>36.176639999999999</v>
      </c>
      <c r="J1956" s="28">
        <v>-115.12891999999999</v>
      </c>
      <c r="L1956" s="61">
        <v>110008995490</v>
      </c>
      <c r="M1956" s="28" t="s">
        <v>265</v>
      </c>
      <c r="N1956" s="28">
        <v>6513</v>
      </c>
      <c r="O1956" s="28" t="str">
        <f>IFERROR(VLOOKUP(N1956, 'SIC &amp; NAICS Codes'!A:B, 2, FALSE), "")</f>
        <v>Operators of Apartment Buildings</v>
      </c>
      <c r="S1956" s="28">
        <v>0.59346860187499995</v>
      </c>
      <c r="T1956" s="315">
        <f>_xlfn.MAXIFS('Raw Period DMR Data'!$O:$O,'Raw Period DMR Data'!$A:$A,'Raw Annual DMR Data_2021-2024'!#REF!,'Raw Period DMR Data'!$C:$C,X1956)/S1956</f>
        <v>0</v>
      </c>
      <c r="U1956" s="28" t="str">
        <f>+IF(COUNTIFS('Raw Period DMR Data'!$A:$A,B1956,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56" s="28" t="str" cm="1">
        <f t="array" ref="V1956">IFERROR(INDEX('Raw Period DMR Data'!N:N,MATCH(1,(B1956='Raw Period DMR Data'!$A:$A)*(U1956='Raw Period DMR Data'!M:M)*(X1956='Raw Period DMR Data'!C:C),0),1), "N/A")</f>
        <v>N/A</v>
      </c>
      <c r="W1956" s="28" t="s">
        <v>1463</v>
      </c>
      <c r="X1956" s="28" t="s">
        <v>1986</v>
      </c>
      <c r="Y1956" s="28" t="s">
        <v>952</v>
      </c>
      <c r="Z1956" s="61">
        <v>15010015000125</v>
      </c>
      <c r="AB1956" s="28" t="s">
        <v>7355</v>
      </c>
      <c r="AC1956" s="28" t="s">
        <v>1466</v>
      </c>
    </row>
    <row r="1957" spans="1:29" x14ac:dyDescent="0.25">
      <c r="A1957" s="61">
        <v>110008995490</v>
      </c>
      <c r="B1957" s="28">
        <v>2023</v>
      </c>
      <c r="C1957" s="68">
        <f t="shared" si="31"/>
        <v>44927</v>
      </c>
      <c r="D1957" s="28" t="s">
        <v>1224</v>
      </c>
      <c r="E1957" s="28" t="s">
        <v>1985</v>
      </c>
      <c r="F1957" s="28" t="s">
        <v>657</v>
      </c>
      <c r="G1957" s="28" t="s">
        <v>418</v>
      </c>
      <c r="H1957" s="28">
        <v>89101</v>
      </c>
      <c r="I1957" s="28">
        <v>36.176639999999999</v>
      </c>
      <c r="J1957" s="28">
        <v>-115.12891999999999</v>
      </c>
      <c r="L1957" s="61">
        <v>110008995490</v>
      </c>
      <c r="M1957" s="28" t="s">
        <v>265</v>
      </c>
      <c r="N1957" s="28">
        <v>6513</v>
      </c>
      <c r="O1957" s="28" t="str">
        <f>IFERROR(VLOOKUP(N1957, 'SIC &amp; NAICS Codes'!A:B, 2, FALSE), "")</f>
        <v>Operators of Apartment Buildings</v>
      </c>
      <c r="S1957" s="28">
        <v>0.25150662624999998</v>
      </c>
      <c r="T1957" s="315">
        <f>_xlfn.MAXIFS('Raw Period DMR Data'!$O:$O,'Raw Period DMR Data'!$A:$A,'Raw Annual DMR Data_2021-2024'!#REF!,'Raw Period DMR Data'!$C:$C,X1957)/S1957</f>
        <v>0</v>
      </c>
      <c r="U1957" s="28" t="str">
        <f>+IF(COUNTIFS('Raw Period DMR Data'!$A:$A,B1957,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57" s="28" t="str" cm="1">
        <f t="array" ref="V1957">IFERROR(INDEX('Raw Period DMR Data'!N:N,MATCH(1,(B1957='Raw Period DMR Data'!$A:$A)*(U1957='Raw Period DMR Data'!M:M)*(X1957='Raw Period DMR Data'!C:C),0),1), "N/A")</f>
        <v>N/A</v>
      </c>
      <c r="W1957" s="28" t="s">
        <v>1463</v>
      </c>
      <c r="X1957" s="28" t="s">
        <v>1986</v>
      </c>
      <c r="Y1957" s="28" t="s">
        <v>952</v>
      </c>
      <c r="Z1957" s="61">
        <v>15010015000125</v>
      </c>
      <c r="AB1957" s="28" t="s">
        <v>7355</v>
      </c>
      <c r="AC1957" s="28" t="s">
        <v>1466</v>
      </c>
    </row>
    <row r="1958" spans="1:29" x14ac:dyDescent="0.25">
      <c r="A1958" s="61">
        <v>110008995490</v>
      </c>
      <c r="B1958" s="28">
        <v>2021</v>
      </c>
      <c r="C1958" s="68">
        <f t="shared" si="31"/>
        <v>44197</v>
      </c>
      <c r="D1958" s="28" t="s">
        <v>1224</v>
      </c>
      <c r="E1958" s="28" t="s">
        <v>1985</v>
      </c>
      <c r="F1958" s="28" t="s">
        <v>657</v>
      </c>
      <c r="G1958" s="28" t="s">
        <v>418</v>
      </c>
      <c r="H1958" s="28">
        <v>89101</v>
      </c>
      <c r="I1958" s="28">
        <v>36.176639999999999</v>
      </c>
      <c r="J1958" s="28">
        <v>-115.12891999999999</v>
      </c>
      <c r="L1958" s="61">
        <v>110008995490</v>
      </c>
      <c r="M1958" s="28" t="s">
        <v>265</v>
      </c>
      <c r="N1958" s="28">
        <v>6513</v>
      </c>
      <c r="O1958" s="28" t="str">
        <f>IFERROR(VLOOKUP(N1958, 'SIC &amp; NAICS Codes'!A:B, 2, FALSE), "")</f>
        <v>Operators of Apartment Buildings</v>
      </c>
      <c r="S1958" s="28">
        <v>5.8714812500000003E-3</v>
      </c>
      <c r="T1958" s="315">
        <f>_xlfn.MAXIFS('Raw Period DMR Data'!$O:$O,'Raw Period DMR Data'!$A:$A,'Raw Annual DMR Data_2021-2024'!#REF!,'Raw Period DMR Data'!$C:$C,X1958)/S1958</f>
        <v>0</v>
      </c>
      <c r="U1958" s="28" t="str">
        <f>+IF(COUNTIFS('Raw Period DMR Data'!$A:$A,B1958,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58" s="28" t="str" cm="1">
        <f t="array" ref="V1958">IFERROR(INDEX('Raw Period DMR Data'!N:N,MATCH(1,(B1958='Raw Period DMR Data'!$A:$A)*(U1958='Raw Period DMR Data'!M:M)*(X1958='Raw Period DMR Data'!C:C),0),1), "N/A")</f>
        <v>N/A</v>
      </c>
      <c r="W1958" s="28" t="s">
        <v>1463</v>
      </c>
      <c r="X1958" s="28" t="s">
        <v>1986</v>
      </c>
      <c r="Y1958" s="28" t="s">
        <v>952</v>
      </c>
      <c r="Z1958" s="61">
        <v>15010015000125</v>
      </c>
      <c r="AA1958" s="28"/>
      <c r="AB1958" s="28" t="s">
        <v>7355</v>
      </c>
      <c r="AC1958" s="28" t="s">
        <v>1466</v>
      </c>
    </row>
    <row r="1959" spans="1:29" x14ac:dyDescent="0.25">
      <c r="A1959" s="61">
        <v>110008995490</v>
      </c>
      <c r="B1959" s="28">
        <v>2022</v>
      </c>
      <c r="C1959" s="68">
        <f t="shared" si="31"/>
        <v>44562</v>
      </c>
      <c r="D1959" s="28" t="s">
        <v>1224</v>
      </c>
      <c r="E1959" s="28" t="s">
        <v>1985</v>
      </c>
      <c r="F1959" s="28" t="s">
        <v>657</v>
      </c>
      <c r="G1959" s="28" t="s">
        <v>418</v>
      </c>
      <c r="H1959" s="28">
        <v>89101</v>
      </c>
      <c r="I1959" s="28">
        <v>36.176639999999999</v>
      </c>
      <c r="J1959" s="28">
        <v>-115.12891999999999</v>
      </c>
      <c r="L1959" s="61">
        <v>110008995490</v>
      </c>
      <c r="M1959" s="28" t="s">
        <v>265</v>
      </c>
      <c r="N1959" s="28">
        <v>6513</v>
      </c>
      <c r="O1959" s="28" t="str">
        <f>IFERROR(VLOOKUP(N1959, 'SIC &amp; NAICS Codes'!A:B, 2, FALSE), "")</f>
        <v>Operators of Apartment Buildings</v>
      </c>
      <c r="S1959" s="28">
        <v>1.5196775E-3</v>
      </c>
      <c r="T1959" s="315">
        <f>_xlfn.MAXIFS('Raw Period DMR Data'!$O:$O,'Raw Period DMR Data'!$A:$A,'Raw Annual DMR Data_2021-2024'!#REF!,'Raw Period DMR Data'!$C:$C,X1959)/S1959</f>
        <v>0</v>
      </c>
      <c r="U1959" s="28" t="str">
        <f>+IF(COUNTIFS('Raw Period DMR Data'!$A:$A,B1959,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59" s="28" t="str" cm="1">
        <f t="array" ref="V1959">IFERROR(INDEX('Raw Period DMR Data'!N:N,MATCH(1,(B1959='Raw Period DMR Data'!$A:$A)*(U1959='Raw Period DMR Data'!M:M)*(X1959='Raw Period DMR Data'!C:C),0),1), "N/A")</f>
        <v>N/A</v>
      </c>
      <c r="W1959" s="28" t="s">
        <v>1463</v>
      </c>
      <c r="X1959" s="28" t="s">
        <v>1986</v>
      </c>
      <c r="Y1959" s="28" t="s">
        <v>952</v>
      </c>
      <c r="Z1959" s="61">
        <v>15010015000125</v>
      </c>
      <c r="AB1959" s="28" t="s">
        <v>7355</v>
      </c>
      <c r="AC1959" s="28" t="s">
        <v>1466</v>
      </c>
    </row>
    <row r="1960" spans="1:29" x14ac:dyDescent="0.25">
      <c r="A1960" s="61">
        <v>110064134459</v>
      </c>
      <c r="B1960" s="28">
        <v>2023</v>
      </c>
      <c r="C1960" s="68">
        <f t="shared" si="31"/>
        <v>44927</v>
      </c>
      <c r="D1960" s="28" t="s">
        <v>1226</v>
      </c>
      <c r="E1960" s="28" t="s">
        <v>1990</v>
      </c>
      <c r="F1960" s="28" t="s">
        <v>657</v>
      </c>
      <c r="G1960" s="28" t="s">
        <v>418</v>
      </c>
      <c r="H1960" s="28">
        <v>89119</v>
      </c>
      <c r="I1960" s="28">
        <v>36.075400000000002</v>
      </c>
      <c r="J1960" s="28">
        <v>-115.1669</v>
      </c>
      <c r="L1960" s="61">
        <v>110064134459</v>
      </c>
      <c r="M1960" s="28" t="s">
        <v>265</v>
      </c>
      <c r="N1960" s="28">
        <v>4581</v>
      </c>
      <c r="O1960" s="28" t="str">
        <f>IFERROR(VLOOKUP(N1960, 'SIC &amp; NAICS Codes'!A:B, 2, FALSE), "")</f>
        <v>Airports, Flying Fields, and Airport Terminal Services (private air traffic control)</v>
      </c>
      <c r="S1960" s="28">
        <v>7.1289528749999996E-3</v>
      </c>
      <c r="T1960" s="315">
        <f>_xlfn.MAXIFS('Raw Period DMR Data'!$O:$O,'Raw Period DMR Data'!$A:$A,'Raw Annual DMR Data_2021-2024'!#REF!,'Raw Period DMR Data'!$C:$C,X1960)/S1960</f>
        <v>0</v>
      </c>
      <c r="U1960" s="28" t="str">
        <f>+IF(COUNTIFS('Raw Period DMR Data'!$A:$A,B1960,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60" s="28" t="str" cm="1">
        <f t="array" ref="V1960">IFERROR(INDEX('Raw Period DMR Data'!N:N,MATCH(1,(B1960='Raw Period DMR Data'!$A:$A)*(U1960='Raw Period DMR Data'!M:M)*(X1960='Raw Period DMR Data'!C:C),0),1), "N/A")</f>
        <v>N/A</v>
      </c>
      <c r="W1960" s="28" t="s">
        <v>1463</v>
      </c>
      <c r="X1960" s="28" t="s">
        <v>1991</v>
      </c>
      <c r="Y1960" s="28" t="s">
        <v>2255</v>
      </c>
      <c r="Z1960" s="61">
        <v>15010015000139</v>
      </c>
      <c r="AB1960" s="28" t="s">
        <v>7355</v>
      </c>
      <c r="AC1960" s="28" t="s">
        <v>1466</v>
      </c>
    </row>
    <row r="1961" spans="1:29" x14ac:dyDescent="0.25">
      <c r="A1961" s="61">
        <v>110064134459</v>
      </c>
      <c r="B1961" s="28">
        <v>2024</v>
      </c>
      <c r="C1961" s="68">
        <f t="shared" si="31"/>
        <v>45292</v>
      </c>
      <c r="D1961" s="28" t="s">
        <v>1226</v>
      </c>
      <c r="E1961" s="28" t="s">
        <v>1990</v>
      </c>
      <c r="F1961" s="28" t="s">
        <v>657</v>
      </c>
      <c r="G1961" s="28" t="s">
        <v>418</v>
      </c>
      <c r="H1961" s="28">
        <v>89119</v>
      </c>
      <c r="I1961" s="28">
        <v>36.075400000000002</v>
      </c>
      <c r="J1961" s="28">
        <v>-115.1669</v>
      </c>
      <c r="L1961" s="61">
        <v>110064134459</v>
      </c>
      <c r="M1961" s="28" t="s">
        <v>265</v>
      </c>
      <c r="N1961" s="28">
        <v>4581</v>
      </c>
      <c r="O1961" s="28" t="str">
        <f>IFERROR(VLOOKUP(N1961, 'SIC &amp; NAICS Codes'!A:B, 2, FALSE), "")</f>
        <v>Airports, Flying Fields, and Airport Terminal Services (private air traffic control)</v>
      </c>
      <c r="S1961" s="28">
        <v>5.5951762500000002E-3</v>
      </c>
      <c r="T1961" s="315">
        <f>_xlfn.MAXIFS('Raw Period DMR Data'!$O:$O,'Raw Period DMR Data'!$A:$A,'Raw Annual DMR Data_2021-2024'!#REF!,'Raw Period DMR Data'!$C:$C,X1961)/S1961</f>
        <v>0</v>
      </c>
      <c r="U1961" s="28" t="str">
        <f>+IF(COUNTIFS('Raw Period DMR Data'!$A:$A,B1961,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61" s="28" t="str" cm="1">
        <f t="array" ref="V1961">IFERROR(INDEX('Raw Period DMR Data'!N:N,MATCH(1,(B1961='Raw Period DMR Data'!$A:$A)*(U1961='Raw Period DMR Data'!M:M)*(X1961='Raw Period DMR Data'!C:C),0),1), "N/A")</f>
        <v>N/A</v>
      </c>
      <c r="W1961" s="28" t="s">
        <v>1463</v>
      </c>
      <c r="X1961" s="28" t="s">
        <v>1991</v>
      </c>
      <c r="Y1961" s="28" t="s">
        <v>2255</v>
      </c>
      <c r="Z1961" s="61">
        <v>15010015000139</v>
      </c>
      <c r="AB1961" s="28" t="s">
        <v>7355</v>
      </c>
      <c r="AC1961" s="28" t="s">
        <v>1466</v>
      </c>
    </row>
    <row r="1962" spans="1:29" x14ac:dyDescent="0.25">
      <c r="A1962" s="61">
        <v>110064134459</v>
      </c>
      <c r="B1962" s="28">
        <v>2023</v>
      </c>
      <c r="C1962" s="68">
        <f t="shared" si="31"/>
        <v>44927</v>
      </c>
      <c r="D1962" s="28" t="s">
        <v>1226</v>
      </c>
      <c r="E1962" s="28" t="s">
        <v>1990</v>
      </c>
      <c r="F1962" s="28" t="s">
        <v>657</v>
      </c>
      <c r="G1962" s="28" t="s">
        <v>418</v>
      </c>
      <c r="H1962" s="28">
        <v>89119</v>
      </c>
      <c r="I1962" s="28">
        <v>36.075400000000002</v>
      </c>
      <c r="J1962" s="28">
        <v>-115.1669</v>
      </c>
      <c r="L1962" s="61">
        <v>110064134459</v>
      </c>
      <c r="M1962" s="28" t="s">
        <v>265</v>
      </c>
      <c r="N1962" s="28">
        <v>4581</v>
      </c>
      <c r="O1962" s="28" t="str">
        <f>IFERROR(VLOOKUP(N1962, 'SIC &amp; NAICS Codes'!A:B, 2, FALSE), "")</f>
        <v>Airports, Flying Fields, and Airport Terminal Services (private air traffic control)</v>
      </c>
      <c r="S1962" s="28">
        <v>4.0396358750000002E-3</v>
      </c>
      <c r="T1962" s="315">
        <f>_xlfn.MAXIFS('Raw Period DMR Data'!$O:$O,'Raw Period DMR Data'!$A:$A,'Raw Annual DMR Data_2021-2024'!#REF!,'Raw Period DMR Data'!$C:$C,X1962)/S1962</f>
        <v>0</v>
      </c>
      <c r="U1962" s="28" t="str">
        <f>+IF(COUNTIFS('Raw Period DMR Data'!$A:$A,B1962,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62" s="28" t="str" cm="1">
        <f t="array" ref="V1962">IFERROR(INDEX('Raw Period DMR Data'!N:N,MATCH(1,(B1962='Raw Period DMR Data'!$A:$A)*(U1962='Raw Period DMR Data'!M:M)*(X1962='Raw Period DMR Data'!C:C),0),1), "N/A")</f>
        <v>N/A</v>
      </c>
      <c r="W1962" s="28" t="s">
        <v>1463</v>
      </c>
      <c r="X1962" s="28" t="s">
        <v>1991</v>
      </c>
      <c r="Y1962" s="28" t="s">
        <v>2255</v>
      </c>
      <c r="Z1962" s="61">
        <v>15010015000139</v>
      </c>
      <c r="AB1962" s="28" t="s">
        <v>7355</v>
      </c>
      <c r="AC1962" s="28" t="s">
        <v>1466</v>
      </c>
    </row>
    <row r="1963" spans="1:29" x14ac:dyDescent="0.25">
      <c r="A1963" s="61">
        <v>110064134459</v>
      </c>
      <c r="B1963" s="28">
        <v>2021</v>
      </c>
      <c r="C1963" s="68">
        <f t="shared" si="31"/>
        <v>44197</v>
      </c>
      <c r="D1963" s="28" t="s">
        <v>1226</v>
      </c>
      <c r="E1963" s="28" t="s">
        <v>1990</v>
      </c>
      <c r="F1963" s="28" t="s">
        <v>657</v>
      </c>
      <c r="G1963" s="28" t="s">
        <v>418</v>
      </c>
      <c r="H1963" s="28">
        <v>89119</v>
      </c>
      <c r="I1963" s="28">
        <v>36.075400000000002</v>
      </c>
      <c r="J1963" s="28">
        <v>-115.1669</v>
      </c>
      <c r="L1963" s="61">
        <v>110064134459</v>
      </c>
      <c r="M1963" s="28" t="s">
        <v>265</v>
      </c>
      <c r="N1963" s="28">
        <v>4581</v>
      </c>
      <c r="O1963" s="28" t="str">
        <f>IFERROR(VLOOKUP(N1963, 'SIC &amp; NAICS Codes'!A:B, 2, FALSE), "")</f>
        <v>Airports, Flying Fields, and Airport Terminal Services (private air traffic control)</v>
      </c>
      <c r="S1963" s="28">
        <v>3.8610785000000002E-3</v>
      </c>
      <c r="T1963" s="315">
        <f>_xlfn.MAXIFS('Raw Period DMR Data'!$O:$O,'Raw Period DMR Data'!$A:$A,'Raw Annual DMR Data_2021-2024'!#REF!,'Raw Period DMR Data'!$C:$C,X1963)/S1963</f>
        <v>0</v>
      </c>
      <c r="U1963" s="28" t="str">
        <f>+IF(COUNTIFS('Raw Period DMR Data'!$A:$A,B1963,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63" s="28" t="str" cm="1">
        <f t="array" ref="V1963">IFERROR(INDEX('Raw Period DMR Data'!N:N,MATCH(1,(B1963='Raw Period DMR Data'!$A:$A)*(U1963='Raw Period DMR Data'!M:M)*(X1963='Raw Period DMR Data'!C:C),0),1), "N/A")</f>
        <v>N/A</v>
      </c>
      <c r="W1963" s="28" t="s">
        <v>1463</v>
      </c>
      <c r="X1963" s="28" t="s">
        <v>1991</v>
      </c>
      <c r="Y1963" s="28" t="s">
        <v>2255</v>
      </c>
      <c r="Z1963" s="61">
        <v>15010015000139</v>
      </c>
      <c r="AA1963" s="28"/>
      <c r="AB1963" s="28" t="s">
        <v>7355</v>
      </c>
      <c r="AC1963" s="28" t="s">
        <v>1466</v>
      </c>
    </row>
    <row r="1964" spans="1:29" x14ac:dyDescent="0.25">
      <c r="A1964" s="61">
        <v>110064134459</v>
      </c>
      <c r="B1964" s="28">
        <v>2024</v>
      </c>
      <c r="C1964" s="68">
        <f t="shared" si="31"/>
        <v>45292</v>
      </c>
      <c r="D1964" s="28" t="s">
        <v>1226</v>
      </c>
      <c r="E1964" s="28" t="s">
        <v>1990</v>
      </c>
      <c r="F1964" s="28" t="s">
        <v>657</v>
      </c>
      <c r="G1964" s="28" t="s">
        <v>418</v>
      </c>
      <c r="H1964" s="28">
        <v>89119</v>
      </c>
      <c r="I1964" s="28">
        <v>36.075400000000002</v>
      </c>
      <c r="J1964" s="28">
        <v>-115.1669</v>
      </c>
      <c r="L1964" s="61">
        <v>110064134459</v>
      </c>
      <c r="M1964" s="28" t="s">
        <v>265</v>
      </c>
      <c r="N1964" s="28">
        <v>4581</v>
      </c>
      <c r="O1964" s="28" t="str">
        <f>IFERROR(VLOOKUP(N1964, 'SIC &amp; NAICS Codes'!A:B, 2, FALSE), "")</f>
        <v>Airports, Flying Fields, and Airport Terminal Services (private air traffic control)</v>
      </c>
      <c r="S1964" s="28">
        <v>3.7311268333333298E-3</v>
      </c>
      <c r="T1964" s="315">
        <f>_xlfn.MAXIFS('Raw Period DMR Data'!$O:$O,'Raw Period DMR Data'!$A:$A,'Raw Annual DMR Data_2021-2024'!#REF!,'Raw Period DMR Data'!$C:$C,X1964)/S1964</f>
        <v>0</v>
      </c>
      <c r="U1964" s="28" t="str">
        <f>+IF(COUNTIFS('Raw Period DMR Data'!$A:$A,B1964,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64" s="28" t="str" cm="1">
        <f t="array" ref="V1964">IFERROR(INDEX('Raw Period DMR Data'!N:N,MATCH(1,(B1964='Raw Period DMR Data'!$A:$A)*(U1964='Raw Period DMR Data'!M:M)*(X1964='Raw Period DMR Data'!C:C),0),1), "N/A")</f>
        <v>N/A</v>
      </c>
      <c r="W1964" s="28" t="s">
        <v>1463</v>
      </c>
      <c r="X1964" s="28" t="s">
        <v>1991</v>
      </c>
      <c r="Y1964" s="28" t="s">
        <v>2255</v>
      </c>
      <c r="Z1964" s="61">
        <v>15010015000139</v>
      </c>
      <c r="AB1964" s="28" t="s">
        <v>7355</v>
      </c>
      <c r="AC1964" s="28" t="s">
        <v>1466</v>
      </c>
    </row>
    <row r="1965" spans="1:29" x14ac:dyDescent="0.25">
      <c r="A1965" s="61">
        <v>110064134459</v>
      </c>
      <c r="B1965" s="28">
        <v>2022</v>
      </c>
      <c r="C1965" s="68">
        <f t="shared" si="31"/>
        <v>44562</v>
      </c>
      <c r="D1965" s="28" t="s">
        <v>1226</v>
      </c>
      <c r="E1965" s="28" t="s">
        <v>1990</v>
      </c>
      <c r="F1965" s="28" t="s">
        <v>657</v>
      </c>
      <c r="G1965" s="28" t="s">
        <v>418</v>
      </c>
      <c r="H1965" s="28">
        <v>89119</v>
      </c>
      <c r="I1965" s="28">
        <v>36.075400000000002</v>
      </c>
      <c r="J1965" s="28">
        <v>-115.1669</v>
      </c>
      <c r="L1965" s="61">
        <v>110064134459</v>
      </c>
      <c r="M1965" s="28" t="s">
        <v>265</v>
      </c>
      <c r="N1965" s="28">
        <v>4581</v>
      </c>
      <c r="O1965" s="28" t="str">
        <f>IFERROR(VLOOKUP(N1965, 'SIC &amp; NAICS Codes'!A:B, 2, FALSE), "")</f>
        <v>Airports, Flying Fields, and Airport Terminal Services (private air traffic control)</v>
      </c>
      <c r="S1965" s="28">
        <v>3.6058748750000002E-3</v>
      </c>
      <c r="T1965" s="315">
        <f>_xlfn.MAXIFS('Raw Period DMR Data'!$O:$O,'Raw Period DMR Data'!$A:$A,'Raw Annual DMR Data_2021-2024'!#REF!,'Raw Period DMR Data'!$C:$C,X1965)/S1965</f>
        <v>0</v>
      </c>
      <c r="U1965" s="28" t="str">
        <f>+IF(COUNTIFS('Raw Period DMR Data'!$A:$A,B1965,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65" s="28" t="str" cm="1">
        <f t="array" ref="V1965">IFERROR(INDEX('Raw Period DMR Data'!N:N,MATCH(1,(B1965='Raw Period DMR Data'!$A:$A)*(U1965='Raw Period DMR Data'!M:M)*(X1965='Raw Period DMR Data'!C:C),0),1), "N/A")</f>
        <v>N/A</v>
      </c>
      <c r="W1965" s="28" t="s">
        <v>1463</v>
      </c>
      <c r="X1965" s="28" t="s">
        <v>1991</v>
      </c>
      <c r="Y1965" s="28" t="s">
        <v>2255</v>
      </c>
      <c r="Z1965" s="61">
        <v>15010015000139</v>
      </c>
      <c r="AB1965" s="28" t="s">
        <v>7355</v>
      </c>
      <c r="AC1965" s="28" t="s">
        <v>1466</v>
      </c>
    </row>
    <row r="1966" spans="1:29" x14ac:dyDescent="0.25">
      <c r="A1966" s="61">
        <v>110064134459</v>
      </c>
      <c r="B1966" s="28">
        <v>2021</v>
      </c>
      <c r="C1966" s="68">
        <f t="shared" si="31"/>
        <v>44197</v>
      </c>
      <c r="D1966" s="28" t="s">
        <v>1226</v>
      </c>
      <c r="E1966" s="28" t="s">
        <v>1990</v>
      </c>
      <c r="F1966" s="28" t="s">
        <v>657</v>
      </c>
      <c r="G1966" s="28" t="s">
        <v>418</v>
      </c>
      <c r="H1966" s="28">
        <v>89119</v>
      </c>
      <c r="I1966" s="28">
        <v>36.075400000000002</v>
      </c>
      <c r="J1966" s="28">
        <v>-115.1669</v>
      </c>
      <c r="L1966" s="61">
        <v>110064134459</v>
      </c>
      <c r="M1966" s="28" t="s">
        <v>265</v>
      </c>
      <c r="N1966" s="28">
        <v>4581</v>
      </c>
      <c r="O1966" s="28" t="str">
        <f>IFERROR(VLOOKUP(N1966, 'SIC &amp; NAICS Codes'!A:B, 2, FALSE), "")</f>
        <v>Airports, Flying Fields, and Airport Terminal Services (private air traffic control)</v>
      </c>
      <c r="S1966" s="28">
        <v>2.1833772500000001E-3</v>
      </c>
      <c r="T1966" s="315">
        <f>_xlfn.MAXIFS('Raw Period DMR Data'!$O:$O,'Raw Period DMR Data'!$A:$A,'Raw Annual DMR Data_2021-2024'!#REF!,'Raw Period DMR Data'!$C:$C,X1966)/S1966</f>
        <v>0</v>
      </c>
      <c r="U1966" s="28" t="str">
        <f>+IF(COUNTIFS('Raw Period DMR Data'!$A:$A,B1966,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66" s="28" t="str" cm="1">
        <f t="array" ref="V1966">IFERROR(INDEX('Raw Period DMR Data'!N:N,MATCH(1,(B1966='Raw Period DMR Data'!$A:$A)*(U1966='Raw Period DMR Data'!M:M)*(X1966='Raw Period DMR Data'!C:C),0),1), "N/A")</f>
        <v>N/A</v>
      </c>
      <c r="W1966" s="28" t="s">
        <v>1463</v>
      </c>
      <c r="X1966" s="28" t="s">
        <v>1991</v>
      </c>
      <c r="Y1966" s="28" t="s">
        <v>2255</v>
      </c>
      <c r="Z1966" s="61">
        <v>15010015000139</v>
      </c>
      <c r="AA1966" s="28"/>
      <c r="AB1966" s="28" t="s">
        <v>7355</v>
      </c>
      <c r="AC1966" s="28" t="s">
        <v>1466</v>
      </c>
    </row>
    <row r="1967" spans="1:29" x14ac:dyDescent="0.25">
      <c r="A1967" s="61">
        <v>110064134459</v>
      </c>
      <c r="B1967" s="28">
        <v>2022</v>
      </c>
      <c r="C1967" s="68">
        <f t="shared" si="31"/>
        <v>44562</v>
      </c>
      <c r="D1967" s="28" t="s">
        <v>1226</v>
      </c>
      <c r="E1967" s="28" t="s">
        <v>1990</v>
      </c>
      <c r="F1967" s="28" t="s">
        <v>657</v>
      </c>
      <c r="G1967" s="28" t="s">
        <v>418</v>
      </c>
      <c r="H1967" s="28">
        <v>89119</v>
      </c>
      <c r="I1967" s="28">
        <v>36.075400000000002</v>
      </c>
      <c r="J1967" s="28">
        <v>-115.1669</v>
      </c>
      <c r="L1967" s="61">
        <v>110064134459</v>
      </c>
      <c r="M1967" s="28" t="s">
        <v>265</v>
      </c>
      <c r="N1967" s="28">
        <v>4581</v>
      </c>
      <c r="O1967" s="28" t="str">
        <f>IFERROR(VLOOKUP(N1967, 'SIC &amp; NAICS Codes'!A:B, 2, FALSE), "")</f>
        <v>Airports, Flying Fields, and Airport Terminal Services (private air traffic control)</v>
      </c>
      <c r="S1967" s="28">
        <v>2.0112543749999999E-3</v>
      </c>
      <c r="T1967" s="315">
        <f>_xlfn.MAXIFS('Raw Period DMR Data'!$O:$O,'Raw Period DMR Data'!$A:$A,'Raw Annual DMR Data_2021-2024'!#REF!,'Raw Period DMR Data'!$C:$C,X1967)/S1967</f>
        <v>0</v>
      </c>
      <c r="U1967" s="28" t="str">
        <f>+IF(COUNTIFS('Raw Period DMR Data'!$A:$A,B1967,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67" s="28" t="str" cm="1">
        <f t="array" ref="V1967">IFERROR(INDEX('Raw Period DMR Data'!N:N,MATCH(1,(B1967='Raw Period DMR Data'!$A:$A)*(U1967='Raw Period DMR Data'!M:M)*(X1967='Raw Period DMR Data'!C:C),0),1), "N/A")</f>
        <v>N/A</v>
      </c>
      <c r="W1967" s="28" t="s">
        <v>1463</v>
      </c>
      <c r="X1967" s="28" t="s">
        <v>1991</v>
      </c>
      <c r="Y1967" s="28" t="s">
        <v>2255</v>
      </c>
      <c r="Z1967" s="61">
        <v>15010015000139</v>
      </c>
      <c r="AB1967" s="28" t="s">
        <v>7355</v>
      </c>
      <c r="AC1967" s="28" t="s">
        <v>1466</v>
      </c>
    </row>
    <row r="1968" spans="1:29" x14ac:dyDescent="0.25">
      <c r="A1968" s="61">
        <v>110064134459</v>
      </c>
      <c r="B1968" s="28">
        <v>2024</v>
      </c>
      <c r="C1968" s="68">
        <f t="shared" si="31"/>
        <v>45292</v>
      </c>
      <c r="D1968" s="28" t="s">
        <v>1226</v>
      </c>
      <c r="E1968" s="28" t="s">
        <v>1990</v>
      </c>
      <c r="F1968" s="28" t="s">
        <v>657</v>
      </c>
      <c r="G1968" s="28" t="s">
        <v>418</v>
      </c>
      <c r="H1968" s="28">
        <v>89119</v>
      </c>
      <c r="I1968" s="28">
        <v>36.075400000000002</v>
      </c>
      <c r="J1968" s="28">
        <v>-115.1669</v>
      </c>
      <c r="L1968" s="61">
        <v>110064134459</v>
      </c>
      <c r="M1968" s="28" t="s">
        <v>265</v>
      </c>
      <c r="N1968" s="28">
        <v>4581</v>
      </c>
      <c r="O1968" s="28" t="str">
        <f>IFERROR(VLOOKUP(N1968, 'SIC &amp; NAICS Codes'!A:B, 2, FALSE), "")</f>
        <v>Airports, Flying Fields, and Airport Terminal Services (private air traffic control)</v>
      </c>
      <c r="S1968" s="28">
        <v>1.5427029166666601E-3</v>
      </c>
      <c r="T1968" s="315">
        <f>_xlfn.MAXIFS('Raw Period DMR Data'!$O:$O,'Raw Period DMR Data'!$A:$A,'Raw Annual DMR Data_2021-2024'!#REF!,'Raw Period DMR Data'!$C:$C,X1968)/S1968</f>
        <v>0</v>
      </c>
      <c r="U1968" s="28" t="str">
        <f>+IF(COUNTIFS('Raw Period DMR Data'!$A:$A,B1968,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68" s="28" t="str" cm="1">
        <f t="array" ref="V1968">IFERROR(INDEX('Raw Period DMR Data'!N:N,MATCH(1,(B1968='Raw Period DMR Data'!$A:$A)*(U1968='Raw Period DMR Data'!M:M)*(X1968='Raw Period DMR Data'!C:C),0),1), "N/A")</f>
        <v>N/A</v>
      </c>
      <c r="W1968" s="28" t="s">
        <v>1463</v>
      </c>
      <c r="X1968" s="28" t="s">
        <v>1991</v>
      </c>
      <c r="Y1968" s="28" t="s">
        <v>2255</v>
      </c>
      <c r="Z1968" s="61">
        <v>15010015000139</v>
      </c>
      <c r="AB1968" s="28" t="s">
        <v>7355</v>
      </c>
      <c r="AC1968" s="28" t="s">
        <v>1466</v>
      </c>
    </row>
    <row r="1969" spans="1:29" x14ac:dyDescent="0.25">
      <c r="A1969" s="61">
        <v>110064134459</v>
      </c>
      <c r="B1969" s="28">
        <v>2024</v>
      </c>
      <c r="C1969" s="68">
        <f t="shared" si="31"/>
        <v>45292</v>
      </c>
      <c r="D1969" s="28" t="s">
        <v>1226</v>
      </c>
      <c r="E1969" s="28" t="s">
        <v>1990</v>
      </c>
      <c r="F1969" s="28" t="s">
        <v>657</v>
      </c>
      <c r="G1969" s="28" t="s">
        <v>418</v>
      </c>
      <c r="H1969" s="28">
        <v>89119</v>
      </c>
      <c r="I1969" s="28">
        <v>36.075400000000002</v>
      </c>
      <c r="J1969" s="28">
        <v>-115.1669</v>
      </c>
      <c r="L1969" s="61">
        <v>110064134459</v>
      </c>
      <c r="M1969" s="28" t="s">
        <v>265</v>
      </c>
      <c r="N1969" s="28">
        <v>4581</v>
      </c>
      <c r="O1969" s="28" t="str">
        <f>IFERROR(VLOOKUP(N1969, 'SIC &amp; NAICS Codes'!A:B, 2, FALSE), "")</f>
        <v>Airports, Flying Fields, and Airport Terminal Services (private air traffic control)</v>
      </c>
      <c r="S1969" s="28">
        <v>8.1610908333333305E-4</v>
      </c>
      <c r="T1969" s="315">
        <f>_xlfn.MAXIFS('Raw Period DMR Data'!$O:$O,'Raw Period DMR Data'!$A:$A,'Raw Annual DMR Data_2021-2024'!#REF!,'Raw Period DMR Data'!$C:$C,X1969)/S1969</f>
        <v>0</v>
      </c>
      <c r="U1969" s="28" t="str">
        <f>+IF(COUNTIFS('Raw Period DMR Data'!$A:$A,B1969,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69" s="28" t="str" cm="1">
        <f t="array" ref="V1969">IFERROR(INDEX('Raw Period DMR Data'!N:N,MATCH(1,(B1969='Raw Period DMR Data'!$A:$A)*(U1969='Raw Period DMR Data'!M:M)*(X1969='Raw Period DMR Data'!C:C),0),1), "N/A")</f>
        <v>N/A</v>
      </c>
      <c r="W1969" s="28" t="s">
        <v>1463</v>
      </c>
      <c r="X1969" s="28" t="s">
        <v>1991</v>
      </c>
      <c r="Y1969" s="28" t="s">
        <v>2255</v>
      </c>
      <c r="Z1969" s="61">
        <v>15010015000139</v>
      </c>
      <c r="AB1969" s="28" t="s">
        <v>7355</v>
      </c>
      <c r="AC1969" s="28" t="s">
        <v>1466</v>
      </c>
    </row>
    <row r="1970" spans="1:29" x14ac:dyDescent="0.25">
      <c r="A1970" s="61">
        <v>110070162955</v>
      </c>
      <c r="B1970" s="28">
        <v>2024</v>
      </c>
      <c r="C1970" s="68">
        <f t="shared" si="31"/>
        <v>45292</v>
      </c>
      <c r="D1970" s="28" t="s">
        <v>1227</v>
      </c>
      <c r="E1970" s="28" t="s">
        <v>1993</v>
      </c>
      <c r="F1970" s="28" t="s">
        <v>1228</v>
      </c>
      <c r="G1970" s="28" t="s">
        <v>1128</v>
      </c>
      <c r="H1970" s="28">
        <v>80216</v>
      </c>
      <c r="I1970" s="28">
        <v>39.781474000000003</v>
      </c>
      <c r="J1970" s="28">
        <v>-104.97438</v>
      </c>
      <c r="L1970" s="61">
        <v>110070162955</v>
      </c>
      <c r="M1970" s="28" t="s">
        <v>265</v>
      </c>
      <c r="N1970" s="28">
        <v>1629</v>
      </c>
      <c r="O1970" s="28" t="str">
        <f>IFERROR(VLOOKUP(N1970, 'SIC &amp; NAICS Codes'!A:B, 2, FALSE), "")</f>
        <v>Heavy Construction, NEC (Industrial nonbuilding structures [except petrochemical plants and petroleum refineries])</v>
      </c>
      <c r="S1970" s="28">
        <v>1.1895274685E-2</v>
      </c>
      <c r="T1970" s="315">
        <f>_xlfn.MAXIFS('Raw Period DMR Data'!$O:$O,'Raw Period DMR Data'!$A:$A,'Raw Annual DMR Data_2021-2024'!#REF!,'Raw Period DMR Data'!$C:$C,X1970)/S1970</f>
        <v>0</v>
      </c>
      <c r="U1970" s="28" t="str">
        <f>+IF(COUNTIFS('Raw Period DMR Data'!$A:$A,B1970,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70" s="28" t="str" cm="1">
        <f t="array" ref="V1970">IFERROR(INDEX('Raw Period DMR Data'!N:N,MATCH(1,(B1970='Raw Period DMR Data'!$A:$A)*(U1970='Raw Period DMR Data'!M:M)*(X1970='Raw Period DMR Data'!C:C),0),1), "N/A")</f>
        <v>N/A</v>
      </c>
      <c r="W1970" s="28" t="s">
        <v>1463</v>
      </c>
      <c r="X1970" s="28" t="s">
        <v>1994</v>
      </c>
      <c r="Y1970" s="28" t="s">
        <v>1965</v>
      </c>
      <c r="Z1970" s="61">
        <v>10190003001246</v>
      </c>
      <c r="AB1970" s="28" t="s">
        <v>7355</v>
      </c>
      <c r="AC1970" s="28" t="s">
        <v>1466</v>
      </c>
    </row>
    <row r="1971" spans="1:29" x14ac:dyDescent="0.25">
      <c r="A1971" s="61">
        <v>110070162955</v>
      </c>
      <c r="B1971" s="28">
        <v>2022</v>
      </c>
      <c r="C1971" s="68">
        <f t="shared" si="31"/>
        <v>44562</v>
      </c>
      <c r="D1971" s="28" t="s">
        <v>1227</v>
      </c>
      <c r="E1971" s="28" t="s">
        <v>1993</v>
      </c>
      <c r="F1971" s="28" t="s">
        <v>1228</v>
      </c>
      <c r="G1971" s="28" t="s">
        <v>1128</v>
      </c>
      <c r="H1971" s="28">
        <v>80216</v>
      </c>
      <c r="I1971" s="28">
        <v>39.781474000000003</v>
      </c>
      <c r="J1971" s="28">
        <v>-104.97438</v>
      </c>
      <c r="L1971" s="61">
        <v>110070162955</v>
      </c>
      <c r="M1971" s="28" t="s">
        <v>265</v>
      </c>
      <c r="N1971" s="28">
        <v>1629</v>
      </c>
      <c r="O1971" s="28" t="str">
        <f>IFERROR(VLOOKUP(N1971, 'SIC &amp; NAICS Codes'!A:B, 2, FALSE), "")</f>
        <v>Heavy Construction, NEC (Industrial nonbuilding structures [except petrochemical plants and petroleum refineries])</v>
      </c>
      <c r="S1971" s="28">
        <v>7.8992950000000006E-3</v>
      </c>
      <c r="T1971" s="315">
        <f>_xlfn.MAXIFS('Raw Period DMR Data'!$O:$O,'Raw Period DMR Data'!$A:$A,'Raw Annual DMR Data_2021-2024'!#REF!,'Raw Period DMR Data'!$C:$C,X1971)/S1971</f>
        <v>0</v>
      </c>
      <c r="U1971" s="28" t="str">
        <f>+IF(COUNTIFS('Raw Period DMR Data'!$A:$A,B1971,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71" s="28" t="str" cm="1">
        <f t="array" ref="V1971">IFERROR(INDEX('Raw Period DMR Data'!N:N,MATCH(1,(B1971='Raw Period DMR Data'!$A:$A)*(U1971='Raw Period DMR Data'!M:M)*(X1971='Raw Period DMR Data'!C:C),0),1), "N/A")</f>
        <v>N/A</v>
      </c>
      <c r="W1971" s="28" t="s">
        <v>1463</v>
      </c>
      <c r="X1971" s="28" t="s">
        <v>1994</v>
      </c>
      <c r="Y1971" s="28" t="s">
        <v>1965</v>
      </c>
      <c r="Z1971" s="61">
        <v>10190003001246</v>
      </c>
      <c r="AB1971" s="28" t="s">
        <v>7355</v>
      </c>
      <c r="AC1971" s="28" t="s">
        <v>1466</v>
      </c>
    </row>
    <row r="1972" spans="1:29" x14ac:dyDescent="0.25">
      <c r="A1972" s="61">
        <v>110070162955</v>
      </c>
      <c r="B1972" s="28">
        <v>2021</v>
      </c>
      <c r="C1972" s="68">
        <f t="shared" si="31"/>
        <v>44197</v>
      </c>
      <c r="D1972" s="28" t="s">
        <v>1227</v>
      </c>
      <c r="E1972" s="28" t="s">
        <v>1993</v>
      </c>
      <c r="F1972" s="28" t="s">
        <v>1228</v>
      </c>
      <c r="G1972" s="28" t="s">
        <v>1128</v>
      </c>
      <c r="H1972" s="28">
        <v>80216</v>
      </c>
      <c r="I1972" s="28">
        <v>39.781474000000003</v>
      </c>
      <c r="J1972" s="28">
        <v>-104.97438</v>
      </c>
      <c r="L1972" s="61">
        <v>110070162955</v>
      </c>
      <c r="M1972" s="28" t="s">
        <v>265</v>
      </c>
      <c r="N1972" s="28">
        <v>1629</v>
      </c>
      <c r="O1972" s="28" t="str">
        <f>IFERROR(VLOOKUP(N1972, 'SIC &amp; NAICS Codes'!A:B, 2, FALSE), "")</f>
        <v>Heavy Construction, NEC (Industrial nonbuilding structures [except petrochemical plants and petroleum refineries])</v>
      </c>
      <c r="S1972" s="28">
        <v>3.0584692500000002E-3</v>
      </c>
      <c r="T1972" s="315">
        <f>_xlfn.MAXIFS('Raw Period DMR Data'!$O:$O,'Raw Period DMR Data'!$A:$A,'Raw Annual DMR Data_2021-2024'!#REF!,'Raw Period DMR Data'!$C:$C,X1972)/S1972</f>
        <v>0</v>
      </c>
      <c r="U1972" s="28" t="str">
        <f>+IF(COUNTIFS('Raw Period DMR Data'!$A:$A,B1972,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72" s="28" t="str" cm="1">
        <f t="array" ref="V1972">IFERROR(INDEX('Raw Period DMR Data'!N:N,MATCH(1,(B1972='Raw Period DMR Data'!$A:$A)*(U1972='Raw Period DMR Data'!M:M)*(X1972='Raw Period DMR Data'!C:C),0),1), "N/A")</f>
        <v>N/A</v>
      </c>
      <c r="W1972" s="28" t="s">
        <v>1463</v>
      </c>
      <c r="X1972" s="28" t="s">
        <v>1994</v>
      </c>
      <c r="Y1972" s="28" t="s">
        <v>1965</v>
      </c>
      <c r="Z1972" s="61">
        <v>10190003001246</v>
      </c>
      <c r="AA1972" s="28"/>
      <c r="AB1972" s="28" t="s">
        <v>7355</v>
      </c>
      <c r="AC1972" s="28" t="s">
        <v>1466</v>
      </c>
    </row>
    <row r="1973" spans="1:29" x14ac:dyDescent="0.25">
      <c r="A1973" s="61">
        <v>110070162955</v>
      </c>
      <c r="B1973" s="28">
        <v>2023</v>
      </c>
      <c r="C1973" s="68">
        <f t="shared" si="31"/>
        <v>44927</v>
      </c>
      <c r="D1973" s="28" t="s">
        <v>1227</v>
      </c>
      <c r="E1973" s="28" t="s">
        <v>1993</v>
      </c>
      <c r="F1973" s="28" t="s">
        <v>1228</v>
      </c>
      <c r="G1973" s="28" t="s">
        <v>1128</v>
      </c>
      <c r="H1973" s="28">
        <v>80216</v>
      </c>
      <c r="I1973" s="28">
        <v>39.781474000000003</v>
      </c>
      <c r="J1973" s="28">
        <v>-104.97438</v>
      </c>
      <c r="L1973" s="61">
        <v>110070162955</v>
      </c>
      <c r="M1973" s="28" t="s">
        <v>265</v>
      </c>
      <c r="N1973" s="28">
        <v>1629</v>
      </c>
      <c r="O1973" s="28" t="str">
        <f>IFERROR(VLOOKUP(N1973, 'SIC &amp; NAICS Codes'!A:B, 2, FALSE), "")</f>
        <v>Heavy Construction, NEC (Industrial nonbuilding structures [except petrochemical plants and petroleum refineries])</v>
      </c>
      <c r="S1973" s="28">
        <v>2.5072994424999999E-3</v>
      </c>
      <c r="T1973" s="315">
        <f>_xlfn.MAXIFS('Raw Period DMR Data'!$O:$O,'Raw Period DMR Data'!$A:$A,'Raw Annual DMR Data_2021-2024'!#REF!,'Raw Period DMR Data'!$C:$C,X1973)/S1973</f>
        <v>0</v>
      </c>
      <c r="U1973" s="28" t="str">
        <f>+IF(COUNTIFS('Raw Period DMR Data'!$A:$A,B1973,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73" s="28" t="str" cm="1">
        <f t="array" ref="V1973">IFERROR(INDEX('Raw Period DMR Data'!N:N,MATCH(1,(B1973='Raw Period DMR Data'!$A:$A)*(U1973='Raw Period DMR Data'!M:M)*(X1973='Raw Period DMR Data'!C:C),0),1), "N/A")</f>
        <v>N/A</v>
      </c>
      <c r="W1973" s="28" t="s">
        <v>1463</v>
      </c>
      <c r="X1973" s="28" t="s">
        <v>1994</v>
      </c>
      <c r="Y1973" s="28" t="s">
        <v>1965</v>
      </c>
      <c r="Z1973" s="61">
        <v>10190003001246</v>
      </c>
      <c r="AB1973" s="28" t="s">
        <v>7355</v>
      </c>
      <c r="AC1973" s="28" t="s">
        <v>1466</v>
      </c>
    </row>
    <row r="1974" spans="1:29" x14ac:dyDescent="0.25">
      <c r="A1974" s="61">
        <v>110000587384</v>
      </c>
      <c r="B1974" s="28">
        <v>2022</v>
      </c>
      <c r="C1974" s="68">
        <f t="shared" si="31"/>
        <v>44562</v>
      </c>
      <c r="D1974" s="28" t="s">
        <v>1230</v>
      </c>
      <c r="E1974" s="28" t="s">
        <v>1997</v>
      </c>
      <c r="F1974" s="28" t="s">
        <v>1231</v>
      </c>
      <c r="G1974" s="28" t="s">
        <v>541</v>
      </c>
      <c r="H1974" s="28" t="s">
        <v>1998</v>
      </c>
      <c r="I1974" s="28">
        <v>34.807729999999999</v>
      </c>
      <c r="J1974" s="28">
        <v>-82.006420000000006</v>
      </c>
      <c r="L1974" s="61">
        <v>110000587384</v>
      </c>
      <c r="M1974" s="28" t="s">
        <v>265</v>
      </c>
      <c r="N1974" s="28">
        <v>3674</v>
      </c>
      <c r="O1974" s="28" t="str">
        <f>IFERROR(VLOOKUP(N1974, 'SIC &amp; NAICS Codes'!A:B, 2, FALSE), "")</f>
        <v>Semiconductors and Related Devices</v>
      </c>
      <c r="S1974" s="28">
        <v>9.2479662000000004E-2</v>
      </c>
      <c r="T1974" s="315">
        <f>_xlfn.MAXIFS('Raw Period DMR Data'!$O:$O,'Raw Period DMR Data'!$A:$A,'Raw Annual DMR Data_2021-2024'!#REF!,'Raw Period DMR Data'!$C:$C,X1974)/S1974</f>
        <v>0</v>
      </c>
      <c r="U1974" s="28" t="str">
        <f>+IF(COUNTIFS('Raw Period DMR Data'!$A:$A,B1974,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74" s="28" t="str" cm="1">
        <f t="array" ref="V1974">IFERROR(INDEX('Raw Period DMR Data'!N:N,MATCH(1,(B1974='Raw Period DMR Data'!$A:$A)*(U1974='Raw Period DMR Data'!M:M)*(X1974='Raw Period DMR Data'!C:C),0),1), "N/A")</f>
        <v>N/A</v>
      </c>
      <c r="W1974" s="28" t="s">
        <v>1463</v>
      </c>
      <c r="X1974" s="28" t="s">
        <v>1999</v>
      </c>
      <c r="Y1974" s="28" t="s">
        <v>2000</v>
      </c>
      <c r="Z1974" s="61">
        <v>3050107000093</v>
      </c>
      <c r="AB1974" s="28" t="s">
        <v>7355</v>
      </c>
      <c r="AC1974" s="28" t="s">
        <v>1466</v>
      </c>
    </row>
    <row r="1975" spans="1:29" x14ac:dyDescent="0.25">
      <c r="A1975" s="61">
        <v>110000587384</v>
      </c>
      <c r="B1975" s="28">
        <v>2023</v>
      </c>
      <c r="C1975" s="68">
        <f t="shared" si="31"/>
        <v>44927</v>
      </c>
      <c r="D1975" s="28" t="s">
        <v>1230</v>
      </c>
      <c r="E1975" s="28" t="s">
        <v>1997</v>
      </c>
      <c r="F1975" s="28" t="s">
        <v>1231</v>
      </c>
      <c r="G1975" s="28" t="s">
        <v>541</v>
      </c>
      <c r="H1975" s="28" t="s">
        <v>1998</v>
      </c>
      <c r="I1975" s="28">
        <v>34.807729999999999</v>
      </c>
      <c r="J1975" s="28">
        <v>-82.006420000000006</v>
      </c>
      <c r="L1975" s="61">
        <v>110000587384</v>
      </c>
      <c r="M1975" s="28" t="s">
        <v>265</v>
      </c>
      <c r="N1975" s="28">
        <v>3674</v>
      </c>
      <c r="O1975" s="28" t="str">
        <f>IFERROR(VLOOKUP(N1975, 'SIC &amp; NAICS Codes'!A:B, 2, FALSE), "")</f>
        <v>Semiconductors and Related Devices</v>
      </c>
      <c r="S1975" s="28">
        <v>3.6895422999999997E-2</v>
      </c>
      <c r="T1975" s="315">
        <f>_xlfn.MAXIFS('Raw Period DMR Data'!$O:$O,'Raw Period DMR Data'!$A:$A,'Raw Annual DMR Data_2021-2024'!#REF!,'Raw Period DMR Data'!$C:$C,X1975)/S1975</f>
        <v>0</v>
      </c>
      <c r="U1975" s="28" t="str">
        <f>+IF(COUNTIFS('Raw Period DMR Data'!$A:$A,B1975,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75" s="28" t="str" cm="1">
        <f t="array" ref="V1975">IFERROR(INDEX('Raw Period DMR Data'!N:N,MATCH(1,(B1975='Raw Period DMR Data'!$A:$A)*(U1975='Raw Period DMR Data'!M:M)*(X1975='Raw Period DMR Data'!C:C),0),1), "N/A")</f>
        <v>N/A</v>
      </c>
      <c r="W1975" s="28" t="s">
        <v>1463</v>
      </c>
      <c r="X1975" s="28" t="s">
        <v>1999</v>
      </c>
      <c r="Y1975" s="28" t="s">
        <v>2000</v>
      </c>
      <c r="Z1975" s="61" t="s">
        <v>2001</v>
      </c>
      <c r="AB1975" s="28" t="s">
        <v>7355</v>
      </c>
      <c r="AC1975" s="28" t="s">
        <v>1466</v>
      </c>
    </row>
    <row r="1976" spans="1:29" x14ac:dyDescent="0.25">
      <c r="A1976" s="61">
        <v>110000587384</v>
      </c>
      <c r="B1976" s="28">
        <v>2024</v>
      </c>
      <c r="C1976" s="68">
        <f t="shared" si="31"/>
        <v>45292</v>
      </c>
      <c r="D1976" s="28" t="s">
        <v>1230</v>
      </c>
      <c r="E1976" s="28" t="s">
        <v>1997</v>
      </c>
      <c r="F1976" s="28" t="s">
        <v>1231</v>
      </c>
      <c r="G1976" s="28" t="s">
        <v>541</v>
      </c>
      <c r="H1976" s="28" t="s">
        <v>1998</v>
      </c>
      <c r="I1976" s="28">
        <v>34.807729999999999</v>
      </c>
      <c r="J1976" s="28">
        <v>-82.006420000000006</v>
      </c>
      <c r="L1976" s="61">
        <v>110000587384</v>
      </c>
      <c r="M1976" s="28" t="s">
        <v>265</v>
      </c>
      <c r="N1976" s="28">
        <v>3674</v>
      </c>
      <c r="O1976" s="28" t="str">
        <f>IFERROR(VLOOKUP(N1976, 'SIC &amp; NAICS Codes'!A:B, 2, FALSE), "")</f>
        <v>Semiconductors and Related Devices</v>
      </c>
      <c r="S1976" s="28">
        <v>3.6437059500000001E-2</v>
      </c>
      <c r="T1976" s="315">
        <f>_xlfn.MAXIFS('Raw Period DMR Data'!$O:$O,'Raw Period DMR Data'!$A:$A,'Raw Annual DMR Data_2021-2024'!#REF!,'Raw Period DMR Data'!$C:$C,X1976)/S1976</f>
        <v>0</v>
      </c>
      <c r="U1976" s="28" t="str">
        <f>+IF(COUNTIFS('Raw Period DMR Data'!$A:$A,B1976,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76" s="28" t="str" cm="1">
        <f t="array" ref="V1976">IFERROR(INDEX('Raw Period DMR Data'!N:N,MATCH(1,(B1976='Raw Period DMR Data'!$A:$A)*(U1976='Raw Period DMR Data'!M:M)*(X1976='Raw Period DMR Data'!C:C),0),1), "N/A")</f>
        <v>N/A</v>
      </c>
      <c r="W1976" s="28" t="s">
        <v>1463</v>
      </c>
      <c r="X1976" s="28" t="s">
        <v>1999</v>
      </c>
      <c r="Y1976" s="28" t="s">
        <v>2000</v>
      </c>
      <c r="Z1976" s="61">
        <v>3050107000093</v>
      </c>
      <c r="AB1976" s="28" t="s">
        <v>7355</v>
      </c>
      <c r="AC1976" s="28" t="s">
        <v>1466</v>
      </c>
    </row>
    <row r="1977" spans="1:29" x14ac:dyDescent="0.25">
      <c r="A1977" s="61">
        <v>110000587384</v>
      </c>
      <c r="B1977" s="28">
        <v>2021</v>
      </c>
      <c r="C1977" s="68">
        <f t="shared" si="31"/>
        <v>44197</v>
      </c>
      <c r="D1977" s="28" t="s">
        <v>1230</v>
      </c>
      <c r="E1977" s="28" t="s">
        <v>1997</v>
      </c>
      <c r="F1977" s="28" t="s">
        <v>1231</v>
      </c>
      <c r="G1977" s="28" t="s">
        <v>541</v>
      </c>
      <c r="H1977" s="28" t="s">
        <v>1998</v>
      </c>
      <c r="I1977" s="28">
        <v>34.807729999999999</v>
      </c>
      <c r="J1977" s="28">
        <v>-82.006420000000006</v>
      </c>
      <c r="L1977" s="61">
        <v>110000587384</v>
      </c>
      <c r="M1977" s="28" t="s">
        <v>265</v>
      </c>
      <c r="N1977" s="28">
        <v>3674</v>
      </c>
      <c r="O1977" s="28" t="str">
        <f>IFERROR(VLOOKUP(N1977, 'SIC &amp; NAICS Codes'!A:B, 2, FALSE), "")</f>
        <v>Semiconductors and Related Devices</v>
      </c>
      <c r="S1977" s="28">
        <v>3.4572190000000003E-2</v>
      </c>
      <c r="T1977" s="315">
        <f>_xlfn.MAXIFS('Raw Period DMR Data'!$O:$O,'Raw Period DMR Data'!$A:$A,'Raw Annual DMR Data_2021-2024'!#REF!,'Raw Period DMR Data'!$C:$C,X1977)/S1977</f>
        <v>0</v>
      </c>
      <c r="U1977" s="28" t="str">
        <f>+IF(COUNTIFS('Raw Period DMR Data'!$A:$A,B1977,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77" s="28" t="str" cm="1">
        <f t="array" ref="V1977">IFERROR(INDEX('Raw Period DMR Data'!N:N,MATCH(1,(B1977='Raw Period DMR Data'!$A:$A)*(U1977='Raw Period DMR Data'!M:M)*(X1977='Raw Period DMR Data'!C:C),0),1), "N/A")</f>
        <v>N/A</v>
      </c>
      <c r="W1977" s="28" t="s">
        <v>1463</v>
      </c>
      <c r="X1977" s="28" t="s">
        <v>1999</v>
      </c>
      <c r="Y1977" s="28" t="s">
        <v>2000</v>
      </c>
      <c r="Z1977" s="61">
        <v>3050107000093</v>
      </c>
      <c r="AA1977" s="28"/>
      <c r="AB1977" s="28" t="s">
        <v>7355</v>
      </c>
      <c r="AC1977" s="28" t="s">
        <v>1466</v>
      </c>
    </row>
    <row r="1978" spans="1:29" x14ac:dyDescent="0.25">
      <c r="A1978" s="61">
        <v>110000492020</v>
      </c>
      <c r="B1978" s="28">
        <v>2024</v>
      </c>
      <c r="C1978" s="68">
        <f t="shared" si="31"/>
        <v>45292</v>
      </c>
      <c r="D1978" s="28" t="s">
        <v>171</v>
      </c>
      <c r="E1978" s="28" t="s">
        <v>555</v>
      </c>
      <c r="F1978" s="28" t="s">
        <v>556</v>
      </c>
      <c r="G1978" s="28" t="s">
        <v>338</v>
      </c>
      <c r="H1978" s="28">
        <v>7065</v>
      </c>
      <c r="I1978" s="28">
        <v>40.612743000000002</v>
      </c>
      <c r="J1978" s="28">
        <v>-74.260920999999996</v>
      </c>
      <c r="K1978" s="28" t="s">
        <v>557</v>
      </c>
      <c r="L1978" s="61">
        <v>110000492020</v>
      </c>
      <c r="M1978" s="28" t="s">
        <v>254</v>
      </c>
      <c r="N1978" s="28">
        <v>2833</v>
      </c>
      <c r="O1978" s="28" t="str">
        <f>IFERROR(VLOOKUP(N1978, 'SIC &amp; NAICS Codes'!A:B, 2, FALSE), "")</f>
        <v>Medicinal Chemicals and Botanical Products</v>
      </c>
      <c r="S1978" s="28">
        <v>69.489797964499999</v>
      </c>
      <c r="T1978" s="315">
        <f>_xlfn.MAXIFS('Raw Period DMR Data'!$O:$O,'Raw Period DMR Data'!$A:$A,'Raw Annual DMR Data_2021-2024'!B2291,'Raw Period DMR Data'!$C:$C,X1978)/S1978</f>
        <v>0</v>
      </c>
      <c r="U1978" s="28" t="str">
        <f>+IF(COUNTIFS('Raw Period DMR Data'!$A:$A,B1978, 'Raw Period DMR Data'!C:C,'Raw Annual DMR Data_2021-2024'!X2291, 'Raw Period DMR Data'!M:M, "&gt;0")&gt;0,_xlfn.MAXIFS('Raw Period DMR Data'!M:M,'Raw Period DMR Data'!$A:$A,'Raw Annual DMR Data_2021-2024'!B2291,'Raw Period DMR Data'!C:C,'Raw Annual DMR Data_2021-2024'!X2291), "N/A - Period DMR Data Not Available")</f>
        <v>N/A - Period DMR Data Not Available</v>
      </c>
      <c r="V1978" s="28" t="str" cm="1">
        <f t="array" ref="V1978">IFERROR(INDEX('Raw Period DMR Data'!N:N,MATCH(1,(B1978='Raw Period DMR Data'!$A:$A)*(U1978='Raw Period DMR Data'!M:M)*(X1978='Raw Period DMR Data'!C:C),0),1), "N/A")</f>
        <v>N/A</v>
      </c>
      <c r="W1978" s="28" t="s">
        <v>1463</v>
      </c>
      <c r="X1978" s="28" t="s">
        <v>900</v>
      </c>
      <c r="Y1978" s="28" t="s">
        <v>901</v>
      </c>
      <c r="Z1978" s="61">
        <v>2030104000565</v>
      </c>
      <c r="AA1978" s="60" t="s">
        <v>7355</v>
      </c>
      <c r="AB1978" s="28" t="s">
        <v>7355</v>
      </c>
      <c r="AC1978" s="28" t="s">
        <v>1466</v>
      </c>
    </row>
    <row r="1979" spans="1:29" x14ac:dyDescent="0.25">
      <c r="A1979" s="61">
        <v>110000492020</v>
      </c>
      <c r="B1979" s="28">
        <v>2021</v>
      </c>
      <c r="C1979" s="68">
        <f t="shared" si="31"/>
        <v>44197</v>
      </c>
      <c r="D1979" s="28" t="s">
        <v>171</v>
      </c>
      <c r="E1979" s="28" t="s">
        <v>555</v>
      </c>
      <c r="F1979" s="28" t="s">
        <v>556</v>
      </c>
      <c r="G1979" s="28" t="s">
        <v>338</v>
      </c>
      <c r="H1979" s="28">
        <v>7065</v>
      </c>
      <c r="I1979" s="28">
        <v>40.612743000000002</v>
      </c>
      <c r="J1979" s="28">
        <v>-74.260920999999996</v>
      </c>
      <c r="K1979" s="28" t="s">
        <v>557</v>
      </c>
      <c r="L1979" s="61">
        <v>110000492020</v>
      </c>
      <c r="M1979" s="28" t="s">
        <v>254</v>
      </c>
      <c r="N1979" s="28">
        <v>2833</v>
      </c>
      <c r="O1979" s="28" t="str">
        <f>IFERROR(VLOOKUP(N1979, 'SIC &amp; NAICS Codes'!A:B, 2, FALSE), "")</f>
        <v>Medicinal Chemicals and Botanical Products</v>
      </c>
      <c r="S1979" s="28">
        <v>4.0298216727999998</v>
      </c>
      <c r="T1979" s="315">
        <f>_xlfn.MAXIFS('Raw Period DMR Data'!$O:$O,'Raw Period DMR Data'!$A:$A,'Raw Annual DMR Data_2021-2024'!B2408,'Raw Period DMR Data'!$C:$C,X1979)/S1979</f>
        <v>0</v>
      </c>
      <c r="U1979" s="28" t="str">
        <f>+IF(COUNTIFS('Raw Period DMR Data'!$A:$A,B1979, 'Raw Period DMR Data'!C:C,'Raw Annual DMR Data_2021-2024'!X2408, 'Raw Period DMR Data'!M:M, "&gt;0")&gt;0,_xlfn.MAXIFS('Raw Period DMR Data'!M:M,'Raw Period DMR Data'!$A:$A,'Raw Annual DMR Data_2021-2024'!B2408,'Raw Period DMR Data'!C:C,'Raw Annual DMR Data_2021-2024'!X2408), "N/A - Period DMR Data Not Available")</f>
        <v>N/A - Period DMR Data Not Available</v>
      </c>
      <c r="V1979" s="28" t="str" cm="1">
        <f t="array" ref="V1979">IFERROR(INDEX('Raw Period DMR Data'!N:N,MATCH(1,(B1979='Raw Period DMR Data'!$A:$A)*(U1979='Raw Period DMR Data'!M:M)*(X1979='Raw Period DMR Data'!C:C),0),1), "N/A")</f>
        <v>N/A</v>
      </c>
      <c r="W1979" s="28" t="s">
        <v>1463</v>
      </c>
      <c r="X1979" s="28" t="s">
        <v>900</v>
      </c>
      <c r="Y1979" s="28" t="s">
        <v>901</v>
      </c>
      <c r="Z1979" s="61">
        <v>2030104000565</v>
      </c>
      <c r="AA1979" s="28"/>
      <c r="AB1979" s="28" t="s">
        <v>7355</v>
      </c>
      <c r="AC1979" s="28" t="s">
        <v>1466</v>
      </c>
    </row>
    <row r="1980" spans="1:29" x14ac:dyDescent="0.25">
      <c r="A1980" s="61">
        <v>110000492020</v>
      </c>
      <c r="B1980" s="28">
        <v>2023</v>
      </c>
      <c r="C1980" s="68">
        <f t="shared" si="31"/>
        <v>44927</v>
      </c>
      <c r="D1980" s="28" t="s">
        <v>171</v>
      </c>
      <c r="E1980" s="28" t="s">
        <v>555</v>
      </c>
      <c r="F1980" s="28" t="s">
        <v>556</v>
      </c>
      <c r="G1980" s="28" t="s">
        <v>338</v>
      </c>
      <c r="H1980" s="28" t="s">
        <v>2002</v>
      </c>
      <c r="I1980" s="28">
        <v>40.612743000000002</v>
      </c>
      <c r="J1980" s="28">
        <v>-74.260920999999996</v>
      </c>
      <c r="K1980" s="28" t="s">
        <v>557</v>
      </c>
      <c r="L1980" s="61">
        <v>110000492020</v>
      </c>
      <c r="M1980" s="28" t="s">
        <v>254</v>
      </c>
      <c r="N1980" s="28">
        <v>2833</v>
      </c>
      <c r="O1980" s="28" t="str">
        <f>IFERROR(VLOOKUP(N1980, 'SIC &amp; NAICS Codes'!A:B, 2, FALSE), "")</f>
        <v>Medicinal Chemicals and Botanical Products</v>
      </c>
      <c r="S1980" s="28">
        <v>0.53613881549999998</v>
      </c>
      <c r="T1980" s="315">
        <f>_xlfn.MAXIFS('Raw Period DMR Data'!$O:$O,'Raw Period DMR Data'!$A:$A,'Raw Annual DMR Data_2021-2024'!#REF!,'Raw Period DMR Data'!$C:$C,X1980)/S1980</f>
        <v>0</v>
      </c>
      <c r="U1980" s="28" t="str">
        <f>+IF(COUNTIFS('Raw Period DMR Data'!$A:$A,B1980,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80" s="28" t="str" cm="1">
        <f t="array" ref="V1980">IFERROR(INDEX('Raw Period DMR Data'!N:N,MATCH(1,(B1980='Raw Period DMR Data'!$A:$A)*(U1980='Raw Period DMR Data'!M:M)*(X1980='Raw Period DMR Data'!C:C),0),1), "N/A")</f>
        <v>N/A</v>
      </c>
      <c r="W1980" s="28" t="s">
        <v>1463</v>
      </c>
      <c r="X1980" s="28" t="s">
        <v>900</v>
      </c>
      <c r="Y1980" s="28" t="s">
        <v>901</v>
      </c>
      <c r="Z1980" s="61">
        <v>2030104000565</v>
      </c>
      <c r="AB1980" s="28" t="s">
        <v>7355</v>
      </c>
      <c r="AC1980" s="28" t="s">
        <v>1466</v>
      </c>
    </row>
    <row r="1981" spans="1:29" x14ac:dyDescent="0.25">
      <c r="A1981" s="61">
        <v>110070882213</v>
      </c>
      <c r="B1981" s="28">
        <v>2021</v>
      </c>
      <c r="C1981" s="68">
        <f t="shared" si="31"/>
        <v>44197</v>
      </c>
      <c r="D1981" s="28" t="s">
        <v>1233</v>
      </c>
      <c r="E1981" s="28" t="s">
        <v>2006</v>
      </c>
      <c r="F1981" s="28" t="s">
        <v>293</v>
      </c>
      <c r="G1981" s="28" t="s">
        <v>294</v>
      </c>
      <c r="H1981" s="28">
        <v>22202</v>
      </c>
      <c r="I1981" s="28">
        <v>38.86157</v>
      </c>
      <c r="J1981" s="28">
        <v>-77.053929999999994</v>
      </c>
      <c r="L1981" s="61">
        <v>110070882213</v>
      </c>
      <c r="M1981" s="28" t="s">
        <v>265</v>
      </c>
      <c r="N1981" s="28">
        <v>7521</v>
      </c>
      <c r="O1981" s="28" t="str">
        <f>IFERROR(VLOOKUP(N1981, 'SIC &amp; NAICS Codes'!A:B, 2, FALSE), "")</f>
        <v>Automobile Parking</v>
      </c>
      <c r="S1981" s="28">
        <v>3.7453331999999999E-2</v>
      </c>
      <c r="T1981" s="315">
        <f>_xlfn.MAXIFS('Raw Period DMR Data'!$O:$O,'Raw Period DMR Data'!$A:$A,'Raw Annual DMR Data_2021-2024'!#REF!,'Raw Period DMR Data'!$C:$C,X1981)/S1981</f>
        <v>0</v>
      </c>
      <c r="U1981" s="28" t="str">
        <f>+IF(COUNTIFS('Raw Period DMR Data'!$A:$A,B1981,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81" s="28" t="str" cm="1">
        <f t="array" ref="V1981">IFERROR(INDEX('Raw Period DMR Data'!N:N,MATCH(1,(B1981='Raw Period DMR Data'!$A:$A)*(U1981='Raw Period DMR Data'!M:M)*(X1981='Raw Period DMR Data'!C:C),0),1), "N/A")</f>
        <v>N/A</v>
      </c>
      <c r="W1981" s="28" t="s">
        <v>1463</v>
      </c>
      <c r="X1981" s="28" t="s">
        <v>2007</v>
      </c>
      <c r="Y1981" s="28" t="s">
        <v>762</v>
      </c>
      <c r="Z1981" s="61"/>
      <c r="AA1981" s="28"/>
      <c r="AB1981" s="28" t="s">
        <v>7355</v>
      </c>
      <c r="AC1981" s="28" t="s">
        <v>1466</v>
      </c>
    </row>
    <row r="1982" spans="1:29" x14ac:dyDescent="0.25">
      <c r="A1982" s="61">
        <v>110000463677</v>
      </c>
      <c r="B1982" s="28">
        <v>2022</v>
      </c>
      <c r="C1982" s="68">
        <f t="shared" si="31"/>
        <v>44562</v>
      </c>
      <c r="D1982" s="28" t="s">
        <v>1234</v>
      </c>
      <c r="E1982" s="28" t="s">
        <v>2008</v>
      </c>
      <c r="F1982" s="28" t="s">
        <v>361</v>
      </c>
      <c r="G1982" s="28" t="s">
        <v>362</v>
      </c>
      <c r="H1982" s="28">
        <v>77571</v>
      </c>
      <c r="I1982" s="28">
        <v>29.726065999999999</v>
      </c>
      <c r="J1982" s="28">
        <v>-95.079583999999997</v>
      </c>
      <c r="K1982" s="28" t="s">
        <v>725</v>
      </c>
      <c r="L1982" s="61">
        <v>110000463677</v>
      </c>
      <c r="M1982" s="28" t="s">
        <v>265</v>
      </c>
      <c r="N1982" s="28">
        <v>2821</v>
      </c>
      <c r="O1982" s="28" t="str">
        <f>IFERROR(VLOOKUP(N1982, 'SIC &amp; NAICS Codes'!A:B, 2, FALSE), "")</f>
        <v>Plastics Materials, Synthetic and Resins, and Nonvulcanizable Elastomers</v>
      </c>
      <c r="S1982" s="28">
        <v>3.9438980000000004E-3</v>
      </c>
      <c r="T1982" s="315">
        <f>_xlfn.MAXIFS('Raw Period DMR Data'!$O:$O,'Raw Period DMR Data'!$A:$A,'Raw Annual DMR Data_2021-2024'!#REF!,'Raw Period DMR Data'!$C:$C,X1982)/S1982</f>
        <v>0</v>
      </c>
      <c r="U1982" s="28" t="str">
        <f>+IF(COUNTIFS('Raw Period DMR Data'!$A:$A,B1982,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82" s="28" t="str" cm="1">
        <f t="array" ref="V1982">IFERROR(INDEX('Raw Period DMR Data'!N:N,MATCH(1,(B1982='Raw Period DMR Data'!$A:$A)*(U1982='Raw Period DMR Data'!M:M)*(X1982='Raw Period DMR Data'!C:C),0),1), "N/A")</f>
        <v>N/A</v>
      </c>
      <c r="W1982" s="28" t="s">
        <v>1463</v>
      </c>
      <c r="X1982" s="28" t="s">
        <v>2009</v>
      </c>
      <c r="Y1982" s="28" t="s">
        <v>7254</v>
      </c>
      <c r="Z1982" s="61">
        <v>12040104000661</v>
      </c>
      <c r="AC1982" s="28" t="s">
        <v>1466</v>
      </c>
    </row>
    <row r="1983" spans="1:29" x14ac:dyDescent="0.25">
      <c r="A1983" s="61">
        <v>110000463677</v>
      </c>
      <c r="B1983" s="28">
        <v>2023</v>
      </c>
      <c r="C1983" s="68">
        <f t="shared" si="31"/>
        <v>44927</v>
      </c>
      <c r="D1983" s="28" t="s">
        <v>1234</v>
      </c>
      <c r="E1983" s="28" t="s">
        <v>2008</v>
      </c>
      <c r="F1983" s="28" t="s">
        <v>361</v>
      </c>
      <c r="G1983" s="28" t="s">
        <v>362</v>
      </c>
      <c r="H1983" s="28">
        <v>77571</v>
      </c>
      <c r="I1983" s="28">
        <v>29.726065999999999</v>
      </c>
      <c r="J1983" s="28">
        <v>-95.079583999999997</v>
      </c>
      <c r="K1983" s="28" t="s">
        <v>725</v>
      </c>
      <c r="L1983" s="61">
        <v>110000463677</v>
      </c>
      <c r="M1983" s="28" t="s">
        <v>265</v>
      </c>
      <c r="N1983" s="28">
        <v>2821</v>
      </c>
      <c r="O1983" s="28" t="str">
        <f>IFERROR(VLOOKUP(N1983, 'SIC &amp; NAICS Codes'!A:B, 2, FALSE), "")</f>
        <v>Plastics Materials, Synthetic and Resins, and Nonvulcanizable Elastomers</v>
      </c>
      <c r="S1983" s="28">
        <v>3.4964810000000001E-3</v>
      </c>
      <c r="T1983" s="315">
        <f>_xlfn.MAXIFS('Raw Period DMR Data'!$O:$O,'Raw Period DMR Data'!$A:$A,'Raw Annual DMR Data_2021-2024'!#REF!,'Raw Period DMR Data'!$C:$C,X1983)/S1983</f>
        <v>0</v>
      </c>
      <c r="U1983" s="28" t="str">
        <f>+IF(COUNTIFS('Raw Period DMR Data'!$A:$A,B1983,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83" s="28" t="str" cm="1">
        <f t="array" ref="V1983">IFERROR(INDEX('Raw Period DMR Data'!N:N,MATCH(1,(B1983='Raw Period DMR Data'!$A:$A)*(U1983='Raw Period DMR Data'!M:M)*(X1983='Raw Period DMR Data'!C:C),0),1), "N/A")</f>
        <v>N/A</v>
      </c>
      <c r="W1983" s="28" t="s">
        <v>1463</v>
      </c>
      <c r="X1983" s="28" t="s">
        <v>2009</v>
      </c>
      <c r="Y1983" s="28" t="s">
        <v>7254</v>
      </c>
      <c r="Z1983" s="61">
        <v>12040104000661</v>
      </c>
      <c r="AC1983" s="28" t="s">
        <v>1466</v>
      </c>
    </row>
    <row r="1984" spans="1:29" x14ac:dyDescent="0.25">
      <c r="A1984" s="61">
        <v>110000463677</v>
      </c>
      <c r="B1984" s="28">
        <v>2021</v>
      </c>
      <c r="C1984" s="68">
        <f t="shared" si="31"/>
        <v>44197</v>
      </c>
      <c r="D1984" s="28" t="s">
        <v>1234</v>
      </c>
      <c r="E1984" s="28" t="s">
        <v>2008</v>
      </c>
      <c r="F1984" s="28" t="s">
        <v>361</v>
      </c>
      <c r="G1984" s="28" t="s">
        <v>362</v>
      </c>
      <c r="H1984" s="28">
        <v>77571</v>
      </c>
      <c r="I1984" s="28">
        <v>29.726065999999999</v>
      </c>
      <c r="J1984" s="28">
        <v>-95.079583999999997</v>
      </c>
      <c r="K1984" s="28" t="s">
        <v>725</v>
      </c>
      <c r="L1984" s="61">
        <v>110000463677</v>
      </c>
      <c r="M1984" s="28" t="s">
        <v>265</v>
      </c>
      <c r="N1984" s="28">
        <v>2821</v>
      </c>
      <c r="O1984" s="28" t="str">
        <f>IFERROR(VLOOKUP(N1984, 'SIC &amp; NAICS Codes'!A:B, 2, FALSE), "")</f>
        <v>Plastics Materials, Synthetic and Resins, and Nonvulcanizable Elastomers</v>
      </c>
      <c r="S1984" s="28">
        <v>3.0490640000000002E-3</v>
      </c>
      <c r="T1984" s="315">
        <f>_xlfn.MAXIFS('Raw Period DMR Data'!$O:$O,'Raw Period DMR Data'!$A:$A,'Raw Annual DMR Data_2021-2024'!#REF!,'Raw Period DMR Data'!$C:$C,X1984)/S1984</f>
        <v>0</v>
      </c>
      <c r="U1984" s="28" t="str">
        <f>+IF(COUNTIFS('Raw Period DMR Data'!$A:$A,B1984,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84" s="28" t="str" cm="1">
        <f t="array" ref="V1984">IFERROR(INDEX('Raw Period DMR Data'!N:N,MATCH(1,(B1984='Raw Period DMR Data'!$A:$A)*(U1984='Raw Period DMR Data'!M:M)*(X1984='Raw Period DMR Data'!C:C),0),1), "N/A")</f>
        <v>N/A</v>
      </c>
      <c r="W1984" s="28" t="s">
        <v>1463</v>
      </c>
      <c r="X1984" s="28" t="s">
        <v>2009</v>
      </c>
      <c r="Y1984" s="28" t="s">
        <v>7254</v>
      </c>
      <c r="Z1984" s="61">
        <v>12040104000661</v>
      </c>
      <c r="AA1984" s="28"/>
      <c r="AC1984" s="28" t="s">
        <v>1466</v>
      </c>
    </row>
    <row r="1985" spans="1:29" x14ac:dyDescent="0.25">
      <c r="A1985" s="61">
        <v>110041022274</v>
      </c>
      <c r="B1985" s="28">
        <v>2023</v>
      </c>
      <c r="C1985" s="68">
        <f t="shared" si="31"/>
        <v>44927</v>
      </c>
      <c r="D1985" s="28" t="s">
        <v>172</v>
      </c>
      <c r="E1985" s="28" t="s">
        <v>558</v>
      </c>
      <c r="F1985" s="28" t="s">
        <v>559</v>
      </c>
      <c r="G1985" s="28" t="s">
        <v>338</v>
      </c>
      <c r="H1985" s="28" t="s">
        <v>560</v>
      </c>
      <c r="I1985" s="28">
        <v>39.766944000000002</v>
      </c>
      <c r="J1985" s="28">
        <v>-75.421361000000005</v>
      </c>
      <c r="K1985" s="28" t="s">
        <v>561</v>
      </c>
      <c r="L1985" s="61">
        <v>110041022274</v>
      </c>
      <c r="M1985" s="28" t="s">
        <v>253</v>
      </c>
      <c r="N1985" s="28">
        <v>2821</v>
      </c>
      <c r="O1985" s="28" t="str">
        <f>IFERROR(VLOOKUP(N1985, 'SIC &amp; NAICS Codes'!A:B, 2, FALSE), "")</f>
        <v>Plastics Materials, Synthetic and Resins, and Nonvulcanizable Elastomers</v>
      </c>
      <c r="S1985" s="28">
        <v>3.96E-5</v>
      </c>
      <c r="T1985" s="315">
        <f>_xlfn.MAXIFS('Raw Period DMR Data'!$O:$O,'Raw Period DMR Data'!$A:$A,'Raw Annual DMR Data_2021-2024'!#REF!,'Raw Period DMR Data'!$C:$C,X1985)/S1985</f>
        <v>0</v>
      </c>
      <c r="U1985" s="28" t="str">
        <f>+IF(COUNTIFS('Raw Period DMR Data'!$A:$A,B1985,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85" s="28" t="str" cm="1">
        <f t="array" ref="V1985">IFERROR(INDEX('Raw Period DMR Data'!N:N,MATCH(1,(B1985='Raw Period DMR Data'!$A:$A)*(U1985='Raw Period DMR Data'!M:M)*(X1985='Raw Period DMR Data'!C:C),0),1), "N/A")</f>
        <v>N/A</v>
      </c>
      <c r="W1985" s="28" t="s">
        <v>1463</v>
      </c>
      <c r="X1985" s="28" t="s">
        <v>902</v>
      </c>
      <c r="Y1985" s="28" t="s">
        <v>783</v>
      </c>
      <c r="Z1985" s="61" t="s">
        <v>2011</v>
      </c>
      <c r="AB1985" s="28" t="s">
        <v>7355</v>
      </c>
      <c r="AC1985" s="28" t="s">
        <v>1466</v>
      </c>
    </row>
    <row r="1986" spans="1:29" x14ac:dyDescent="0.25">
      <c r="A1986" s="61">
        <v>110041022274</v>
      </c>
      <c r="B1986" s="28">
        <v>2024</v>
      </c>
      <c r="C1986" s="68">
        <f t="shared" si="31"/>
        <v>45292</v>
      </c>
      <c r="D1986" s="28" t="s">
        <v>172</v>
      </c>
      <c r="E1986" s="28" t="s">
        <v>558</v>
      </c>
      <c r="F1986" s="28" t="s">
        <v>559</v>
      </c>
      <c r="G1986" s="28" t="s">
        <v>338</v>
      </c>
      <c r="H1986" s="28" t="s">
        <v>560</v>
      </c>
      <c r="I1986" s="28">
        <v>39.766944000000002</v>
      </c>
      <c r="J1986" s="28">
        <v>-75.421361000000005</v>
      </c>
      <c r="K1986" s="28" t="s">
        <v>561</v>
      </c>
      <c r="L1986" s="61">
        <v>110041022274</v>
      </c>
      <c r="M1986" s="28" t="s">
        <v>253</v>
      </c>
      <c r="N1986" s="28">
        <v>2821</v>
      </c>
      <c r="O1986" s="28" t="str">
        <f>IFERROR(VLOOKUP(N1986, 'SIC &amp; NAICS Codes'!A:B, 2, FALSE), "")</f>
        <v>Plastics Materials, Synthetic and Resins, and Nonvulcanizable Elastomers</v>
      </c>
      <c r="S1986" s="28">
        <v>3.15E-5</v>
      </c>
      <c r="T1986" s="315">
        <f>_xlfn.MAXIFS('Raw Period DMR Data'!$O:$O,'Raw Period DMR Data'!$A:$A,'Raw Annual DMR Data_2021-2024'!#REF!,'Raw Period DMR Data'!$C:$C,X1986)/S1986</f>
        <v>0</v>
      </c>
      <c r="U1986" s="28" t="str">
        <f>+IF(COUNTIFS('Raw Period DMR Data'!$A:$A,B1986,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86" s="28" t="str" cm="1">
        <f t="array" ref="V1986">IFERROR(INDEX('Raw Period DMR Data'!N:N,MATCH(1,(B1986='Raw Period DMR Data'!$A:$A)*(U1986='Raw Period DMR Data'!M:M)*(X1986='Raw Period DMR Data'!C:C),0),1), "N/A")</f>
        <v>N/A</v>
      </c>
      <c r="W1986" s="28" t="s">
        <v>1463</v>
      </c>
      <c r="X1986" s="28" t="s">
        <v>902</v>
      </c>
      <c r="Y1986" s="28" t="s">
        <v>783</v>
      </c>
      <c r="Z1986" s="61">
        <v>2040206001666</v>
      </c>
      <c r="AB1986" s="28" t="s">
        <v>7355</v>
      </c>
      <c r="AC1986" s="28" t="s">
        <v>1466</v>
      </c>
    </row>
    <row r="1987" spans="1:29" x14ac:dyDescent="0.25">
      <c r="A1987" s="61">
        <v>110041022274</v>
      </c>
      <c r="B1987" s="28">
        <v>2022</v>
      </c>
      <c r="C1987" s="68">
        <f t="shared" si="31"/>
        <v>44562</v>
      </c>
      <c r="D1987" s="28" t="s">
        <v>172</v>
      </c>
      <c r="E1987" s="28" t="s">
        <v>558</v>
      </c>
      <c r="F1987" s="28" t="s">
        <v>559</v>
      </c>
      <c r="G1987" s="28" t="s">
        <v>338</v>
      </c>
      <c r="H1987" s="28" t="s">
        <v>560</v>
      </c>
      <c r="I1987" s="28">
        <v>39.766944000000002</v>
      </c>
      <c r="J1987" s="28">
        <v>-75.421361000000005</v>
      </c>
      <c r="K1987" s="28" t="s">
        <v>561</v>
      </c>
      <c r="L1987" s="61">
        <v>110041022274</v>
      </c>
      <c r="M1987" s="28" t="s">
        <v>253</v>
      </c>
      <c r="N1987" s="28">
        <v>2821</v>
      </c>
      <c r="O1987" s="28" t="str">
        <f>IFERROR(VLOOKUP(N1987, 'SIC &amp; NAICS Codes'!A:B, 2, FALSE), "")</f>
        <v>Plastics Materials, Synthetic and Resins, and Nonvulcanizable Elastomers</v>
      </c>
      <c r="S1987" s="28">
        <v>2.0400000000000001E-5</v>
      </c>
      <c r="T1987" s="315">
        <f>_xlfn.MAXIFS('Raw Period DMR Data'!$O:$O,'Raw Period DMR Data'!$A:$A,'Raw Annual DMR Data_2021-2024'!#REF!,'Raw Period DMR Data'!$C:$C,X1987)/S1987</f>
        <v>0</v>
      </c>
      <c r="U1987" s="28" t="str">
        <f>+IF(COUNTIFS('Raw Period DMR Data'!$A:$A,B1987,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87" s="28" t="str" cm="1">
        <f t="array" ref="V1987">IFERROR(INDEX('Raw Period DMR Data'!N:N,MATCH(1,(B1987='Raw Period DMR Data'!$A:$A)*(U1987='Raw Period DMR Data'!M:M)*(X1987='Raw Period DMR Data'!C:C),0),1), "N/A")</f>
        <v>N/A</v>
      </c>
      <c r="W1987" s="28" t="s">
        <v>1463</v>
      </c>
      <c r="X1987" s="28" t="s">
        <v>902</v>
      </c>
      <c r="Y1987" s="28" t="s">
        <v>783</v>
      </c>
      <c r="Z1987" s="61">
        <v>2040206001666</v>
      </c>
      <c r="AB1987" s="28" t="s">
        <v>7355</v>
      </c>
      <c r="AC1987" s="28" t="s">
        <v>1466</v>
      </c>
    </row>
    <row r="1988" spans="1:29" x14ac:dyDescent="0.25">
      <c r="A1988" s="61">
        <v>110041022274</v>
      </c>
      <c r="B1988" s="28">
        <v>2021</v>
      </c>
      <c r="C1988" s="68">
        <f t="shared" si="31"/>
        <v>44197</v>
      </c>
      <c r="D1988" s="28" t="s">
        <v>172</v>
      </c>
      <c r="E1988" s="28" t="s">
        <v>558</v>
      </c>
      <c r="F1988" s="28" t="s">
        <v>559</v>
      </c>
      <c r="G1988" s="28" t="s">
        <v>338</v>
      </c>
      <c r="H1988" s="28" t="s">
        <v>560</v>
      </c>
      <c r="I1988" s="28">
        <v>39.766944000000002</v>
      </c>
      <c r="J1988" s="28">
        <v>-75.421361000000005</v>
      </c>
      <c r="K1988" s="28" t="s">
        <v>561</v>
      </c>
      <c r="L1988" s="61">
        <v>110041022274</v>
      </c>
      <c r="M1988" s="28" t="s">
        <v>253</v>
      </c>
      <c r="N1988" s="28">
        <v>2821</v>
      </c>
      <c r="O1988" s="28" t="str">
        <f>IFERROR(VLOOKUP(N1988, 'SIC &amp; NAICS Codes'!A:B, 2, FALSE), "")</f>
        <v>Plastics Materials, Synthetic and Resins, and Nonvulcanizable Elastomers</v>
      </c>
      <c r="S1988" s="28">
        <v>1.2E-5</v>
      </c>
      <c r="T1988" s="315">
        <f>_xlfn.MAXIFS('Raw Period DMR Data'!$O:$O,'Raw Period DMR Data'!$A:$A,'Raw Annual DMR Data_2021-2024'!#REF!,'Raw Period DMR Data'!$C:$C,X1988)/S1988</f>
        <v>0</v>
      </c>
      <c r="U1988" s="28" t="str">
        <f>+IF(COUNTIFS('Raw Period DMR Data'!$A:$A,B1988,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88" s="28" t="str" cm="1">
        <f t="array" ref="V1988">IFERROR(INDEX('Raw Period DMR Data'!N:N,MATCH(1,(B1988='Raw Period DMR Data'!$A:$A)*(U1988='Raw Period DMR Data'!M:M)*(X1988='Raw Period DMR Data'!C:C),0),1), "N/A")</f>
        <v>N/A</v>
      </c>
      <c r="W1988" s="28" t="s">
        <v>1463</v>
      </c>
      <c r="X1988" s="28" t="s">
        <v>902</v>
      </c>
      <c r="Y1988" s="28" t="s">
        <v>783</v>
      </c>
      <c r="Z1988" s="61">
        <v>2040206001666</v>
      </c>
      <c r="AA1988" s="28"/>
      <c r="AB1988" s="28" t="s">
        <v>7355</v>
      </c>
      <c r="AC1988" s="28" t="s">
        <v>1466</v>
      </c>
    </row>
    <row r="1989" spans="1:29" x14ac:dyDescent="0.25">
      <c r="A1989" s="61">
        <v>110000373621</v>
      </c>
      <c r="B1989" s="28">
        <v>2024</v>
      </c>
      <c r="C1989" s="68">
        <f t="shared" si="31"/>
        <v>45292</v>
      </c>
      <c r="D1989" s="28" t="s">
        <v>6816</v>
      </c>
      <c r="E1989" s="28" t="s">
        <v>6971</v>
      </c>
      <c r="F1989" s="28" t="s">
        <v>6972</v>
      </c>
      <c r="G1989" s="28" t="s">
        <v>979</v>
      </c>
      <c r="H1989" s="28">
        <v>38012</v>
      </c>
      <c r="I1989" s="28">
        <v>35.607599999999998</v>
      </c>
      <c r="J1989" s="28">
        <v>-89.237700000000004</v>
      </c>
      <c r="K1989" s="28" t="s">
        <v>7125</v>
      </c>
      <c r="L1989" s="61">
        <v>110000373621</v>
      </c>
      <c r="M1989" s="28" t="s">
        <v>265</v>
      </c>
      <c r="N1989" s="28">
        <v>3087</v>
      </c>
      <c r="O1989" s="28" t="str">
        <f>IFERROR(VLOOKUP(N1989, 'SIC &amp; NAICS Codes'!A:B, 2, FALSE), "")</f>
        <v>Custom Compounding of Purchased Plastics Resins</v>
      </c>
      <c r="S1989" s="28">
        <v>0.41445749999999998</v>
      </c>
      <c r="T1989" s="315">
        <f>_xlfn.MAXIFS('Raw Period DMR Data'!$O:$O,'Raw Period DMR Data'!$A:$A,'Raw Annual DMR Data_2021-2024'!#REF!,'Raw Period DMR Data'!$C:$C,X1989)/S1989</f>
        <v>0</v>
      </c>
      <c r="U1989" s="28" t="str">
        <f>+IF(COUNTIFS('Raw Period DMR Data'!$A:$A,B1989,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89" s="28" t="str" cm="1">
        <f t="array" ref="V1989">IFERROR(INDEX('Raw Period DMR Data'!N:N,MATCH(1,(B1989='Raw Period DMR Data'!$A:$A)*(U1989='Raw Period DMR Data'!M:M)*(X1989='Raw Period DMR Data'!C:C),0),1), "N/A")</f>
        <v>N/A</v>
      </c>
      <c r="W1989" s="28" t="s">
        <v>1463</v>
      </c>
      <c r="X1989" s="28" t="s">
        <v>7162</v>
      </c>
      <c r="Y1989" s="28" t="s">
        <v>7274</v>
      </c>
      <c r="Z1989" s="61">
        <v>8010205000538</v>
      </c>
      <c r="AB1989" s="28" t="s">
        <v>7355</v>
      </c>
      <c r="AC1989" s="28" t="s">
        <v>1466</v>
      </c>
    </row>
    <row r="1990" spans="1:29" x14ac:dyDescent="0.25">
      <c r="A1990" s="61">
        <v>110002321345</v>
      </c>
      <c r="B1990" s="28">
        <v>2023</v>
      </c>
      <c r="C1990" s="68">
        <f t="shared" si="31"/>
        <v>44927</v>
      </c>
      <c r="D1990" s="28" t="s">
        <v>1235</v>
      </c>
      <c r="E1990" s="28" t="s">
        <v>2012</v>
      </c>
      <c r="F1990" s="28" t="s">
        <v>1236</v>
      </c>
      <c r="G1990" s="28" t="s">
        <v>450</v>
      </c>
      <c r="H1990" s="28">
        <v>13502</v>
      </c>
      <c r="I1990" s="28">
        <v>43.107216000000001</v>
      </c>
      <c r="J1990" s="28">
        <v>-75.225815999999995</v>
      </c>
      <c r="L1990" s="61">
        <v>110002321345</v>
      </c>
      <c r="M1990" s="28" t="s">
        <v>265</v>
      </c>
      <c r="N1990" s="28">
        <v>5169</v>
      </c>
      <c r="O1990" s="28" t="str">
        <f>IFERROR(VLOOKUP(N1990, 'SIC &amp; NAICS Codes'!A:B, 2, FALSE), "")</f>
        <v>Chemicals and Allied Products, NEC (merchant wholesalers)</v>
      </c>
      <c r="S1990" s="28">
        <v>6.0083847000000001E-3</v>
      </c>
      <c r="T1990" s="315">
        <f>_xlfn.MAXIFS('Raw Period DMR Data'!$O:$O,'Raw Period DMR Data'!$A:$A,'Raw Annual DMR Data_2021-2024'!#REF!,'Raw Period DMR Data'!$C:$C,X1990)/S1990</f>
        <v>0</v>
      </c>
      <c r="U1990" s="28" t="str">
        <f>+IF(COUNTIFS('Raw Period DMR Data'!$A:$A,B1990,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90" s="28" t="str" cm="1">
        <f t="array" ref="V1990">IFERROR(INDEX('Raw Period DMR Data'!N:N,MATCH(1,(B1990='Raw Period DMR Data'!$A:$A)*(U1990='Raw Period DMR Data'!M:M)*(X1990='Raw Period DMR Data'!C:C),0),1), "N/A")</f>
        <v>N/A</v>
      </c>
      <c r="W1990" s="28" t="s">
        <v>1463</v>
      </c>
      <c r="X1990" s="28" t="s">
        <v>2013</v>
      </c>
      <c r="Y1990" s="28" t="s">
        <v>2014</v>
      </c>
      <c r="Z1990" s="61" t="s">
        <v>2015</v>
      </c>
      <c r="AB1990" s="28" t="s">
        <v>7355</v>
      </c>
      <c r="AC1990" s="28" t="s">
        <v>1466</v>
      </c>
    </row>
    <row r="1991" spans="1:29" x14ac:dyDescent="0.25">
      <c r="A1991" s="61">
        <v>110002321345</v>
      </c>
      <c r="B1991" s="28">
        <v>2024</v>
      </c>
      <c r="C1991" s="68">
        <f t="shared" ref="C1991:C2054" si="32">DATE(B1991, 1, 1)</f>
        <v>45292</v>
      </c>
      <c r="D1991" s="28" t="s">
        <v>1235</v>
      </c>
      <c r="E1991" s="28" t="s">
        <v>2012</v>
      </c>
      <c r="F1991" s="28" t="s">
        <v>1236</v>
      </c>
      <c r="G1991" s="28" t="s">
        <v>450</v>
      </c>
      <c r="H1991" s="28">
        <v>13502</v>
      </c>
      <c r="I1991" s="28">
        <v>43.107216000000001</v>
      </c>
      <c r="J1991" s="28">
        <v>-75.225815999999995</v>
      </c>
      <c r="L1991" s="61">
        <v>110002321345</v>
      </c>
      <c r="M1991" s="28" t="s">
        <v>265</v>
      </c>
      <c r="N1991" s="28">
        <v>5169</v>
      </c>
      <c r="O1991" s="28" t="str">
        <f>IFERROR(VLOOKUP(N1991, 'SIC &amp; NAICS Codes'!A:B, 2, FALSE), "")</f>
        <v>Chemicals and Allied Products, NEC (merchant wholesalers)</v>
      </c>
      <c r="S1991" s="28">
        <v>5.9681880000000001E-3</v>
      </c>
      <c r="T1991" s="315">
        <f>_xlfn.MAXIFS('Raw Period DMR Data'!$O:$O,'Raw Period DMR Data'!$A:$A,'Raw Annual DMR Data_2021-2024'!#REF!,'Raw Period DMR Data'!$C:$C,X1991)/S1991</f>
        <v>0</v>
      </c>
      <c r="U1991" s="28" t="str">
        <f>+IF(COUNTIFS('Raw Period DMR Data'!$A:$A,B1991,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91" s="28" t="str" cm="1">
        <f t="array" ref="V1991">IFERROR(INDEX('Raw Period DMR Data'!N:N,MATCH(1,(B1991='Raw Period DMR Data'!$A:$A)*(U1991='Raw Period DMR Data'!M:M)*(X1991='Raw Period DMR Data'!C:C),0),1), "N/A")</f>
        <v>N/A</v>
      </c>
      <c r="W1991" s="28" t="s">
        <v>1463</v>
      </c>
      <c r="X1991" s="28" t="s">
        <v>2013</v>
      </c>
      <c r="Y1991" s="28" t="s">
        <v>2014</v>
      </c>
      <c r="Z1991" s="61">
        <v>2020004002623</v>
      </c>
      <c r="AB1991" s="28" t="s">
        <v>7355</v>
      </c>
      <c r="AC1991" s="28" t="s">
        <v>1466</v>
      </c>
    </row>
    <row r="1992" spans="1:29" x14ac:dyDescent="0.25">
      <c r="A1992" s="61">
        <v>110002321345</v>
      </c>
      <c r="B1992" s="28">
        <v>2022</v>
      </c>
      <c r="C1992" s="68">
        <f t="shared" si="32"/>
        <v>44562</v>
      </c>
      <c r="D1992" s="28" t="s">
        <v>1235</v>
      </c>
      <c r="E1992" s="28" t="s">
        <v>2012</v>
      </c>
      <c r="F1992" s="28" t="s">
        <v>1236</v>
      </c>
      <c r="G1992" s="28" t="s">
        <v>450</v>
      </c>
      <c r="H1992" s="28">
        <v>13502</v>
      </c>
      <c r="I1992" s="28">
        <v>43.107216000000001</v>
      </c>
      <c r="J1992" s="28">
        <v>-75.225815999999995</v>
      </c>
      <c r="L1992" s="61">
        <v>110002321345</v>
      </c>
      <c r="M1992" s="28" t="s">
        <v>265</v>
      </c>
      <c r="N1992" s="28">
        <v>5169</v>
      </c>
      <c r="O1992" s="28" t="str">
        <f>IFERROR(VLOOKUP(N1992, 'SIC &amp; NAICS Codes'!A:B, 2, FALSE), "")</f>
        <v>Chemicals and Allied Products, NEC (merchant wholesalers)</v>
      </c>
      <c r="S1992" s="28">
        <v>5.9606937000000002E-3</v>
      </c>
      <c r="T1992" s="315">
        <f>_xlfn.MAXIFS('Raw Period DMR Data'!$O:$O,'Raw Period DMR Data'!$A:$A,'Raw Annual DMR Data_2021-2024'!#REF!,'Raw Period DMR Data'!$C:$C,X1992)/S1992</f>
        <v>0</v>
      </c>
      <c r="U1992" s="28" t="str">
        <f>+IF(COUNTIFS('Raw Period DMR Data'!$A:$A,B1992,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92" s="28" t="str" cm="1">
        <f t="array" ref="V1992">IFERROR(INDEX('Raw Period DMR Data'!N:N,MATCH(1,(B1992='Raw Period DMR Data'!$A:$A)*(U1992='Raw Period DMR Data'!M:M)*(X1992='Raw Period DMR Data'!C:C),0),1), "N/A")</f>
        <v>N/A</v>
      </c>
      <c r="W1992" s="28" t="s">
        <v>1463</v>
      </c>
      <c r="X1992" s="28" t="s">
        <v>2013</v>
      </c>
      <c r="Y1992" s="28" t="s">
        <v>2014</v>
      </c>
      <c r="Z1992" s="61">
        <v>2020004002623</v>
      </c>
      <c r="AB1992" s="28" t="s">
        <v>7355</v>
      </c>
      <c r="AC1992" s="28" t="s">
        <v>1466</v>
      </c>
    </row>
    <row r="1993" spans="1:29" x14ac:dyDescent="0.25">
      <c r="A1993" s="61">
        <v>110002321345</v>
      </c>
      <c r="B1993" s="28">
        <v>2021</v>
      </c>
      <c r="C1993" s="68">
        <f t="shared" si="32"/>
        <v>44197</v>
      </c>
      <c r="D1993" s="28" t="s">
        <v>1235</v>
      </c>
      <c r="E1993" s="28" t="s">
        <v>2012</v>
      </c>
      <c r="F1993" s="28" t="s">
        <v>1236</v>
      </c>
      <c r="G1993" s="28" t="s">
        <v>450</v>
      </c>
      <c r="H1993" s="28">
        <v>13502</v>
      </c>
      <c r="I1993" s="28">
        <v>43.107216000000001</v>
      </c>
      <c r="J1993" s="28">
        <v>-75.225815999999995</v>
      </c>
      <c r="L1993" s="61">
        <v>110002321345</v>
      </c>
      <c r="M1993" s="28" t="s">
        <v>265</v>
      </c>
      <c r="N1993" s="28">
        <v>5169</v>
      </c>
      <c r="O1993" s="28" t="str">
        <f>IFERROR(VLOOKUP(N1993, 'SIC &amp; NAICS Codes'!A:B, 2, FALSE), "")</f>
        <v>Chemicals and Allied Products, NEC (merchant wholesalers)</v>
      </c>
      <c r="S1993" s="28">
        <v>5.4490373999999996E-3</v>
      </c>
      <c r="T1993" s="315">
        <f>_xlfn.MAXIFS('Raw Period DMR Data'!$O:$O,'Raw Period DMR Data'!$A:$A,'Raw Annual DMR Data_2021-2024'!#REF!,'Raw Period DMR Data'!$C:$C,X1993)/S1993</f>
        <v>0</v>
      </c>
      <c r="U1993" s="28" t="str">
        <f>+IF(COUNTIFS('Raw Period DMR Data'!$A:$A,B1993,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93" s="28" t="str" cm="1">
        <f t="array" ref="V1993">IFERROR(INDEX('Raw Period DMR Data'!N:N,MATCH(1,(B1993='Raw Period DMR Data'!$A:$A)*(U1993='Raw Period DMR Data'!M:M)*(X1993='Raw Period DMR Data'!C:C),0),1), "N/A")</f>
        <v>N/A</v>
      </c>
      <c r="W1993" s="28" t="s">
        <v>1463</v>
      </c>
      <c r="X1993" s="28" t="s">
        <v>2013</v>
      </c>
      <c r="Y1993" s="28" t="s">
        <v>2014</v>
      </c>
      <c r="Z1993" s="61">
        <v>2020004002623</v>
      </c>
      <c r="AA1993" s="28"/>
      <c r="AB1993" s="28" t="s">
        <v>7355</v>
      </c>
      <c r="AC1993" s="28" t="s">
        <v>1466</v>
      </c>
    </row>
    <row r="1994" spans="1:29" x14ac:dyDescent="0.25">
      <c r="A1994" s="61">
        <v>110000460983</v>
      </c>
      <c r="B1994" s="28">
        <v>2021</v>
      </c>
      <c r="C1994" s="68">
        <f t="shared" si="32"/>
        <v>44197</v>
      </c>
      <c r="D1994" s="28" t="s">
        <v>6837</v>
      </c>
      <c r="E1994" s="28" t="s">
        <v>566</v>
      </c>
      <c r="F1994" s="28" t="s">
        <v>520</v>
      </c>
      <c r="G1994" s="28" t="s">
        <v>362</v>
      </c>
      <c r="H1994" s="28">
        <v>770156544</v>
      </c>
      <c r="I1994" s="28">
        <v>29.75487</v>
      </c>
      <c r="J1994" s="28">
        <v>-95.103269999999995</v>
      </c>
      <c r="K1994" s="28" t="s">
        <v>567</v>
      </c>
      <c r="L1994" s="61">
        <v>110000460983</v>
      </c>
      <c r="M1994" s="28" t="s">
        <v>251</v>
      </c>
      <c r="N1994" s="28">
        <v>2869</v>
      </c>
      <c r="O1994" s="28" t="str">
        <f>IFERROR(VLOOKUP(N1994, 'SIC &amp; NAICS Codes'!A:B, 2, FALSE), "")</f>
        <v>Industrial Organic Chemicals, NEC (aliphatics)</v>
      </c>
      <c r="S1994" s="28">
        <v>0.37450460000000002</v>
      </c>
      <c r="T1994" s="315">
        <f>_xlfn.MAXIFS('Raw Period DMR Data'!$O:$O,'Raw Period DMR Data'!$A:$A,'Raw Annual DMR Data_2021-2024'!#REF!,'Raw Period DMR Data'!$C:$C,X1994)/S1994</f>
        <v>0</v>
      </c>
      <c r="U1994" s="28" t="str">
        <f>+IF(COUNTIFS('Raw Period DMR Data'!$A:$A,B1994,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94" s="28" t="str" cm="1">
        <f t="array" ref="V1994">IFERROR(INDEX('Raw Period DMR Data'!N:N,MATCH(1,(B1994='Raw Period DMR Data'!$A:$A)*(U1994='Raw Period DMR Data'!M:M)*(X1994='Raw Period DMR Data'!C:C),0),1), "N/A")</f>
        <v>N/A</v>
      </c>
      <c r="W1994" s="28" t="s">
        <v>1463</v>
      </c>
      <c r="X1994" s="28" t="s">
        <v>903</v>
      </c>
      <c r="Y1994" s="28" t="s">
        <v>7286</v>
      </c>
      <c r="Z1994" s="61">
        <v>12040104000012</v>
      </c>
      <c r="AA1994" s="28"/>
      <c r="AB1994" s="28" t="s">
        <v>7355</v>
      </c>
      <c r="AC1994" s="28" t="s">
        <v>1466</v>
      </c>
    </row>
    <row r="1995" spans="1:29" x14ac:dyDescent="0.25">
      <c r="A1995" s="61">
        <v>110000460983</v>
      </c>
      <c r="B1995" s="28">
        <v>2023</v>
      </c>
      <c r="C1995" s="68">
        <f t="shared" si="32"/>
        <v>44927</v>
      </c>
      <c r="D1995" s="28" t="s">
        <v>6837</v>
      </c>
      <c r="E1995" s="28" t="s">
        <v>566</v>
      </c>
      <c r="F1995" s="28" t="s">
        <v>520</v>
      </c>
      <c r="G1995" s="28" t="s">
        <v>362</v>
      </c>
      <c r="H1995" s="28">
        <v>770156544</v>
      </c>
      <c r="I1995" s="28">
        <v>29.75487</v>
      </c>
      <c r="J1995" s="28">
        <v>-95.103269999999995</v>
      </c>
      <c r="K1995" s="28" t="s">
        <v>567</v>
      </c>
      <c r="L1995" s="61">
        <v>110000460983</v>
      </c>
      <c r="M1995" s="28" t="s">
        <v>251</v>
      </c>
      <c r="N1995" s="28">
        <v>2869</v>
      </c>
      <c r="O1995" s="28" t="str">
        <f>IFERROR(VLOOKUP(N1995, 'SIC &amp; NAICS Codes'!A:B, 2, FALSE), "")</f>
        <v>Industrial Organic Chemicals, NEC (aliphatics)</v>
      </c>
      <c r="S1995" s="28">
        <v>0.198852</v>
      </c>
      <c r="T1995" s="315">
        <f>_xlfn.MAXIFS('Raw Period DMR Data'!$O:$O,'Raw Period DMR Data'!$A:$A,'Raw Annual DMR Data_2021-2024'!#REF!,'Raw Period DMR Data'!$C:$C,X1995)/S1995</f>
        <v>0</v>
      </c>
      <c r="U1995" s="28" t="str">
        <f>+IF(COUNTIFS('Raw Period DMR Data'!$A:$A,B1995,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95" s="28" t="str" cm="1">
        <f t="array" ref="V1995">IFERROR(INDEX('Raw Period DMR Data'!N:N,MATCH(1,(B1995='Raw Period DMR Data'!$A:$A)*(U1995='Raw Period DMR Data'!M:M)*(X1995='Raw Period DMR Data'!C:C),0),1), "N/A")</f>
        <v>N/A</v>
      </c>
      <c r="W1995" s="28" t="s">
        <v>1463</v>
      </c>
      <c r="X1995" s="28" t="s">
        <v>903</v>
      </c>
      <c r="Y1995" s="28" t="s">
        <v>7286</v>
      </c>
      <c r="Z1995" s="61">
        <v>12040104000012</v>
      </c>
      <c r="AC1995" s="28" t="s">
        <v>1466</v>
      </c>
    </row>
    <row r="1996" spans="1:29" x14ac:dyDescent="0.25">
      <c r="A1996" s="61">
        <v>110000460983</v>
      </c>
      <c r="B1996" s="28">
        <v>2022</v>
      </c>
      <c r="C1996" s="68">
        <f t="shared" si="32"/>
        <v>44562</v>
      </c>
      <c r="D1996" s="28" t="s">
        <v>6837</v>
      </c>
      <c r="E1996" s="28" t="s">
        <v>566</v>
      </c>
      <c r="F1996" s="28" t="s">
        <v>520</v>
      </c>
      <c r="G1996" s="28" t="s">
        <v>362</v>
      </c>
      <c r="H1996" s="28">
        <v>770156544</v>
      </c>
      <c r="I1996" s="28">
        <v>29.75487</v>
      </c>
      <c r="J1996" s="28">
        <v>-95.103269999999995</v>
      </c>
      <c r="K1996" s="28" t="s">
        <v>567</v>
      </c>
      <c r="L1996" s="61">
        <v>110000460983</v>
      </c>
      <c r="M1996" s="28" t="s">
        <v>251</v>
      </c>
      <c r="N1996" s="28">
        <v>2869</v>
      </c>
      <c r="O1996" s="28" t="str">
        <f>IFERROR(VLOOKUP(N1996, 'SIC &amp; NAICS Codes'!A:B, 2, FALSE), "")</f>
        <v>Industrial Organic Chemicals, NEC (aliphatics)</v>
      </c>
      <c r="S1996" s="28">
        <v>0.16571</v>
      </c>
      <c r="T1996" s="315">
        <f>_xlfn.MAXIFS('Raw Period DMR Data'!$O:$O,'Raw Period DMR Data'!$A:$A,'Raw Annual DMR Data_2021-2024'!#REF!,'Raw Period DMR Data'!$C:$C,X1996)/S1996</f>
        <v>0</v>
      </c>
      <c r="U1996" s="28" t="str">
        <f>+IF(COUNTIFS('Raw Period DMR Data'!$A:$A,B1996,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96" s="28" t="str" cm="1">
        <f t="array" ref="V1996">IFERROR(INDEX('Raw Period DMR Data'!N:N,MATCH(1,(B1996='Raw Period DMR Data'!$A:$A)*(U1996='Raw Period DMR Data'!M:M)*(X1996='Raw Period DMR Data'!C:C),0),1), "N/A")</f>
        <v>N/A</v>
      </c>
      <c r="W1996" s="28" t="s">
        <v>1463</v>
      </c>
      <c r="X1996" s="28" t="s">
        <v>903</v>
      </c>
      <c r="Y1996" s="28" t="s">
        <v>7286</v>
      </c>
      <c r="Z1996" s="61">
        <v>12040104000012</v>
      </c>
      <c r="AB1996" s="28" t="s">
        <v>7355</v>
      </c>
      <c r="AC1996" s="28" t="s">
        <v>1466</v>
      </c>
    </row>
    <row r="1997" spans="1:29" x14ac:dyDescent="0.25">
      <c r="A1997" s="61">
        <v>110064612557</v>
      </c>
      <c r="B1997" s="28">
        <v>2021</v>
      </c>
      <c r="C1997" s="68">
        <f t="shared" si="32"/>
        <v>44197</v>
      </c>
      <c r="D1997" s="28" t="s">
        <v>1239</v>
      </c>
      <c r="E1997" s="28" t="s">
        <v>2020</v>
      </c>
      <c r="F1997" s="28" t="s">
        <v>1240</v>
      </c>
      <c r="G1997" s="28" t="s">
        <v>324</v>
      </c>
      <c r="H1997" s="28">
        <v>42437</v>
      </c>
      <c r="I1997" s="28">
        <v>37.671391</v>
      </c>
      <c r="J1997" s="28">
        <v>-87.828888000000006</v>
      </c>
      <c r="L1997" s="61">
        <v>110064612557</v>
      </c>
      <c r="M1997" s="28" t="s">
        <v>263</v>
      </c>
      <c r="N1997" s="28">
        <v>4952</v>
      </c>
      <c r="O1997" s="28" t="str">
        <f>IFERROR(VLOOKUP(N1997, 'SIC &amp; NAICS Codes'!A:B, 2, FALSE), "")</f>
        <v>Sewerage Systems</v>
      </c>
      <c r="S1997" s="28">
        <v>5.9543727500000001</v>
      </c>
      <c r="T1997" s="315">
        <f>_xlfn.MAXIFS('Raw Period DMR Data'!$O:$O,'Raw Period DMR Data'!$A:$A,'Raw Annual DMR Data_2021-2024'!B2384,'Raw Period DMR Data'!$C:$C,X1997)/S1997</f>
        <v>0</v>
      </c>
      <c r="U1997" s="28" t="str">
        <f>+IF(COUNTIFS('Raw Period DMR Data'!$A:$A,B1997, 'Raw Period DMR Data'!C:C,'Raw Annual DMR Data_2021-2024'!X2384, 'Raw Period DMR Data'!M:M, "&gt;0")&gt;0,_xlfn.MAXIFS('Raw Period DMR Data'!M:M,'Raw Period DMR Data'!$A:$A,'Raw Annual DMR Data_2021-2024'!B2384,'Raw Period DMR Data'!C:C,'Raw Annual DMR Data_2021-2024'!X2384), "N/A - Period DMR Data Not Available")</f>
        <v>N/A - Period DMR Data Not Available</v>
      </c>
      <c r="V1997" s="28" t="str" cm="1">
        <f t="array" ref="V1997">IFERROR(INDEX('Raw Period DMR Data'!N:N,MATCH(1,(B1997='Raw Period DMR Data'!$A:$A)*(U1997='Raw Period DMR Data'!M:M)*(X1997='Raw Period DMR Data'!C:C),0),1), "N/A")</f>
        <v>N/A</v>
      </c>
      <c r="W1997" s="28" t="s">
        <v>1463</v>
      </c>
      <c r="X1997" s="28" t="s">
        <v>2021</v>
      </c>
      <c r="Y1997" s="28" t="s">
        <v>2022</v>
      </c>
      <c r="Z1997" s="61">
        <v>5140203000958</v>
      </c>
      <c r="AA1997" s="28"/>
      <c r="AB1997" s="28" t="s">
        <v>7355</v>
      </c>
      <c r="AC1997" s="28" t="s">
        <v>263</v>
      </c>
    </row>
    <row r="1998" spans="1:29" x14ac:dyDescent="0.25">
      <c r="A1998" s="61">
        <v>110064612557</v>
      </c>
      <c r="B1998" s="28">
        <v>2022</v>
      </c>
      <c r="C1998" s="68">
        <f t="shared" si="32"/>
        <v>44562</v>
      </c>
      <c r="D1998" s="28" t="s">
        <v>1239</v>
      </c>
      <c r="E1998" s="28" t="s">
        <v>2020</v>
      </c>
      <c r="F1998" s="28" t="s">
        <v>1240</v>
      </c>
      <c r="G1998" s="28" t="s">
        <v>324</v>
      </c>
      <c r="H1998" s="28">
        <v>42437</v>
      </c>
      <c r="I1998" s="28">
        <v>37.671391</v>
      </c>
      <c r="J1998" s="28">
        <v>-87.828888000000006</v>
      </c>
      <c r="L1998" s="61">
        <v>110064612557</v>
      </c>
      <c r="M1998" s="28" t="s">
        <v>263</v>
      </c>
      <c r="N1998" s="28">
        <v>4952</v>
      </c>
      <c r="O1998" s="28" t="str">
        <f>IFERROR(VLOOKUP(N1998, 'SIC &amp; NAICS Codes'!A:B, 2, FALSE), "")</f>
        <v>Sewerage Systems</v>
      </c>
      <c r="S1998" s="28">
        <v>3.5712421249999999</v>
      </c>
      <c r="T1998" s="315">
        <f>_xlfn.MAXIFS('Raw Period DMR Data'!$O:$O,'Raw Period DMR Data'!$A:$A,'Raw Annual DMR Data_2021-2024'!B2419,'Raw Period DMR Data'!$C:$C,X1998)/S1998</f>
        <v>0</v>
      </c>
      <c r="U1998" s="28" t="str">
        <f>+IF(COUNTIFS('Raw Period DMR Data'!$A:$A,B1998, 'Raw Period DMR Data'!C:C,'Raw Annual DMR Data_2021-2024'!X2419, 'Raw Period DMR Data'!M:M, "&gt;0")&gt;0,_xlfn.MAXIFS('Raw Period DMR Data'!M:M,'Raw Period DMR Data'!$A:$A,'Raw Annual DMR Data_2021-2024'!B2419,'Raw Period DMR Data'!C:C,'Raw Annual DMR Data_2021-2024'!X2419), "N/A - Period DMR Data Not Available")</f>
        <v>N/A - Period DMR Data Not Available</v>
      </c>
      <c r="V1998" s="28" t="str" cm="1">
        <f t="array" ref="V1998">IFERROR(INDEX('Raw Period DMR Data'!N:N,MATCH(1,(B1998='Raw Period DMR Data'!$A:$A)*(U1998='Raw Period DMR Data'!M:M)*(X1998='Raw Period DMR Data'!C:C),0),1), "N/A")</f>
        <v>N/A</v>
      </c>
      <c r="W1998" s="28" t="s">
        <v>1463</v>
      </c>
      <c r="X1998" s="28" t="s">
        <v>2021</v>
      </c>
      <c r="Y1998" s="28" t="s">
        <v>2022</v>
      </c>
      <c r="Z1998" s="61">
        <v>5140203000958</v>
      </c>
      <c r="AB1998" s="28" t="s">
        <v>7355</v>
      </c>
      <c r="AC1998" s="28" t="s">
        <v>263</v>
      </c>
    </row>
    <row r="1999" spans="1:29" x14ac:dyDescent="0.25">
      <c r="A1999" s="61">
        <v>110039705361</v>
      </c>
      <c r="B1999" s="28">
        <v>2021</v>
      </c>
      <c r="C1999" s="68">
        <f t="shared" si="32"/>
        <v>44197</v>
      </c>
      <c r="D1999" s="28" t="s">
        <v>1243</v>
      </c>
      <c r="E1999" s="28" t="s">
        <v>2027</v>
      </c>
      <c r="F1999" s="28" t="s">
        <v>1244</v>
      </c>
      <c r="G1999" s="28" t="s">
        <v>324</v>
      </c>
      <c r="H1999" s="28">
        <v>40353</v>
      </c>
      <c r="I1999" s="28">
        <v>38.101582000000001</v>
      </c>
      <c r="J1999" s="28">
        <v>-83.919770999999997</v>
      </c>
      <c r="L1999" s="61">
        <v>110039705361</v>
      </c>
      <c r="M1999" s="28" t="s">
        <v>263</v>
      </c>
      <c r="N1999" s="28">
        <v>4952</v>
      </c>
      <c r="O1999" s="28" t="str">
        <f>IFERROR(VLOOKUP(N1999, 'SIC &amp; NAICS Codes'!A:B, 2, FALSE), "")</f>
        <v>Sewerage Systems</v>
      </c>
      <c r="S1999" s="28">
        <v>7.4256968749999999</v>
      </c>
      <c r="T1999" s="315">
        <f>_xlfn.MAXIFS('Raw Period DMR Data'!$O:$O,'Raw Period DMR Data'!$A:$A,'Raw Annual DMR Data_2021-2024'!B2378,'Raw Period DMR Data'!$C:$C,X1999)/S1999</f>
        <v>0</v>
      </c>
      <c r="U1999" s="28" t="str">
        <f>+IF(COUNTIFS('Raw Period DMR Data'!$A:$A,B1999, 'Raw Period DMR Data'!C:C,'Raw Annual DMR Data_2021-2024'!X2378, 'Raw Period DMR Data'!M:M, "&gt;0")&gt;0,_xlfn.MAXIFS('Raw Period DMR Data'!M:M,'Raw Period DMR Data'!$A:$A,'Raw Annual DMR Data_2021-2024'!B2378,'Raw Period DMR Data'!C:C,'Raw Annual DMR Data_2021-2024'!X2378), "N/A - Period DMR Data Not Available")</f>
        <v>N/A - Period DMR Data Not Available</v>
      </c>
      <c r="V1999" s="28" t="str" cm="1">
        <f t="array" ref="V1999">IFERROR(INDEX('Raw Period DMR Data'!N:N,MATCH(1,(B1999='Raw Period DMR Data'!$A:$A)*(U1999='Raw Period DMR Data'!M:M)*(X1999='Raw Period DMR Data'!C:C),0),1), "N/A")</f>
        <v>N/A</v>
      </c>
      <c r="W1999" s="28" t="s">
        <v>1463</v>
      </c>
      <c r="X1999" s="28" t="s">
        <v>2028</v>
      </c>
      <c r="Y1999" s="28" t="s">
        <v>2029</v>
      </c>
      <c r="Z1999" s="61">
        <v>5100102000126</v>
      </c>
      <c r="AB1999" s="28" t="s">
        <v>7355</v>
      </c>
      <c r="AC1999" s="28" t="s">
        <v>263</v>
      </c>
    </row>
    <row r="2000" spans="1:29" x14ac:dyDescent="0.25">
      <c r="A2000" s="61">
        <v>110000344814</v>
      </c>
      <c r="B2000" s="28">
        <v>2023</v>
      </c>
      <c r="C2000" s="68">
        <f t="shared" si="32"/>
        <v>44927</v>
      </c>
      <c r="D2000" s="28" t="s">
        <v>174</v>
      </c>
      <c r="E2000" s="28" t="s">
        <v>568</v>
      </c>
      <c r="F2000" s="28" t="s">
        <v>569</v>
      </c>
      <c r="G2000" s="28" t="s">
        <v>311</v>
      </c>
      <c r="H2000" s="28">
        <v>26146</v>
      </c>
      <c r="I2000" s="28">
        <v>39.484572</v>
      </c>
      <c r="J2000" s="28">
        <v>-81.093402999999995</v>
      </c>
      <c r="K2000" s="28" t="s">
        <v>570</v>
      </c>
      <c r="L2000" s="61">
        <v>110000344814</v>
      </c>
      <c r="M2000" s="28" t="s">
        <v>251</v>
      </c>
      <c r="N2000" s="28">
        <v>2869</v>
      </c>
      <c r="O2000" s="28" t="str">
        <f>IFERROR(VLOOKUP(N2000, 'SIC &amp; NAICS Codes'!A:B, 2, FALSE), "")</f>
        <v>Industrial Organic Chemicals, NEC (aliphatics)</v>
      </c>
      <c r="S2000" s="28">
        <v>1.8613999999999999</v>
      </c>
      <c r="T2000" s="315">
        <f>_xlfn.MAXIFS('Raw Period DMR Data'!$O:$O,'Raw Period DMR Data'!$A:$A,'Raw Annual DMR Data_2021-2024'!#REF!,'Raw Period DMR Data'!$C:$C,X2000)/S2000</f>
        <v>0</v>
      </c>
      <c r="U2000" s="28" t="str">
        <f>+IF(COUNTIFS('Raw Period DMR Data'!$A:$A,B2000,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00" s="28" t="str" cm="1">
        <f t="array" ref="V2000">IFERROR(INDEX('Raw Period DMR Data'!N:N,MATCH(1,(B2000='Raw Period DMR Data'!$A:$A)*(U2000='Raw Period DMR Data'!M:M)*(X2000='Raw Period DMR Data'!C:C),0),1), "N/A")</f>
        <v>N/A</v>
      </c>
      <c r="W2000" s="28" t="s">
        <v>1463</v>
      </c>
      <c r="X2000" s="28" t="s">
        <v>905</v>
      </c>
      <c r="Y2000" s="28" t="s">
        <v>906</v>
      </c>
      <c r="Z2000" s="61" t="s">
        <v>7333</v>
      </c>
      <c r="AC2000" s="28" t="s">
        <v>1466</v>
      </c>
    </row>
    <row r="2001" spans="1:29" x14ac:dyDescent="0.25">
      <c r="A2001" s="61">
        <v>110000344814</v>
      </c>
      <c r="B2001" s="28">
        <v>2024</v>
      </c>
      <c r="C2001" s="68">
        <f t="shared" si="32"/>
        <v>45292</v>
      </c>
      <c r="D2001" s="28" t="s">
        <v>174</v>
      </c>
      <c r="E2001" s="28" t="s">
        <v>568</v>
      </c>
      <c r="F2001" s="28" t="s">
        <v>569</v>
      </c>
      <c r="G2001" s="28" t="s">
        <v>311</v>
      </c>
      <c r="H2001" s="28">
        <v>26146</v>
      </c>
      <c r="I2001" s="28">
        <v>39.484572</v>
      </c>
      <c r="J2001" s="28">
        <v>-81.093402999999995</v>
      </c>
      <c r="K2001" s="28" t="s">
        <v>570</v>
      </c>
      <c r="L2001" s="61">
        <v>110000344814</v>
      </c>
      <c r="M2001" s="28" t="s">
        <v>251</v>
      </c>
      <c r="N2001" s="28">
        <v>2869</v>
      </c>
      <c r="O2001" s="28" t="str">
        <f>IFERROR(VLOOKUP(N2001, 'SIC &amp; NAICS Codes'!A:B, 2, FALSE), "")</f>
        <v>Industrial Organic Chemicals, NEC (aliphatics)</v>
      </c>
      <c r="S2001" s="28">
        <v>1.03512</v>
      </c>
      <c r="T2001" s="315">
        <f>_xlfn.MAXIFS('Raw Period DMR Data'!$O:$O,'Raw Period DMR Data'!$A:$A,'Raw Annual DMR Data_2021-2024'!#REF!,'Raw Period DMR Data'!$C:$C,X2001)/S2001</f>
        <v>0</v>
      </c>
      <c r="U2001" s="28" t="str">
        <f>+IF(COUNTIFS('Raw Period DMR Data'!$A:$A,B2001,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01" s="28" t="str" cm="1">
        <f t="array" ref="V2001">IFERROR(INDEX('Raw Period DMR Data'!N:N,MATCH(1,(B2001='Raw Period DMR Data'!$A:$A)*(U2001='Raw Period DMR Data'!M:M)*(X2001='Raw Period DMR Data'!C:C),0),1), "N/A")</f>
        <v>N/A</v>
      </c>
      <c r="W2001" s="28" t="s">
        <v>1463</v>
      </c>
      <c r="X2001" s="28" t="s">
        <v>905</v>
      </c>
      <c r="Y2001" s="28" t="s">
        <v>906</v>
      </c>
      <c r="Z2001" s="61">
        <v>5030201001622</v>
      </c>
      <c r="AC2001" s="28" t="s">
        <v>1466</v>
      </c>
    </row>
    <row r="2002" spans="1:29" x14ac:dyDescent="0.25">
      <c r="A2002" s="61">
        <v>110000344814</v>
      </c>
      <c r="B2002" s="28">
        <v>2021</v>
      </c>
      <c r="C2002" s="68">
        <f t="shared" si="32"/>
        <v>44197</v>
      </c>
      <c r="D2002" s="28" t="s">
        <v>174</v>
      </c>
      <c r="E2002" s="28" t="s">
        <v>568</v>
      </c>
      <c r="F2002" s="28" t="s">
        <v>569</v>
      </c>
      <c r="G2002" s="28" t="s">
        <v>311</v>
      </c>
      <c r="H2002" s="28">
        <v>26146</v>
      </c>
      <c r="I2002" s="28">
        <v>39.484572</v>
      </c>
      <c r="J2002" s="28">
        <v>-81.093402999999995</v>
      </c>
      <c r="K2002" s="28" t="s">
        <v>570</v>
      </c>
      <c r="L2002" s="61">
        <v>110000344814</v>
      </c>
      <c r="M2002" s="28" t="s">
        <v>251</v>
      </c>
      <c r="N2002" s="28">
        <v>2869</v>
      </c>
      <c r="O2002" s="28" t="str">
        <f>IFERROR(VLOOKUP(N2002, 'SIC &amp; NAICS Codes'!A:B, 2, FALSE), "")</f>
        <v>Industrial Organic Chemicals, NEC (aliphatics)</v>
      </c>
      <c r="S2002" s="28">
        <v>1.013101</v>
      </c>
      <c r="T2002" s="315">
        <f>_xlfn.MAXIFS('Raw Period DMR Data'!$O:$O,'Raw Period DMR Data'!$A:$A,'Raw Annual DMR Data_2021-2024'!#REF!,'Raw Period DMR Data'!$C:$C,X2002)/S2002</f>
        <v>0</v>
      </c>
      <c r="U2002" s="28" t="str">
        <f>+IF(COUNTIFS('Raw Period DMR Data'!$A:$A,B2002,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02" s="28" t="str" cm="1">
        <f t="array" ref="V2002">IFERROR(INDEX('Raw Period DMR Data'!N:N,MATCH(1,(B2002='Raw Period DMR Data'!$A:$A)*(U2002='Raw Period DMR Data'!M:M)*(X2002='Raw Period DMR Data'!C:C),0),1), "N/A")</f>
        <v>N/A</v>
      </c>
      <c r="W2002" s="28" t="s">
        <v>1463</v>
      </c>
      <c r="X2002" s="28" t="s">
        <v>905</v>
      </c>
      <c r="Y2002" s="28" t="s">
        <v>906</v>
      </c>
      <c r="Z2002" s="61">
        <v>5030201001622</v>
      </c>
      <c r="AA2002" s="28"/>
      <c r="AC2002" s="28" t="s">
        <v>1466</v>
      </c>
    </row>
    <row r="2003" spans="1:29" x14ac:dyDescent="0.25">
      <c r="A2003" s="61">
        <v>110000344814</v>
      </c>
      <c r="B2003" s="28">
        <v>2022</v>
      </c>
      <c r="C2003" s="68">
        <f t="shared" si="32"/>
        <v>44562</v>
      </c>
      <c r="D2003" s="28" t="s">
        <v>174</v>
      </c>
      <c r="E2003" s="28" t="s">
        <v>568</v>
      </c>
      <c r="F2003" s="28" t="s">
        <v>569</v>
      </c>
      <c r="G2003" s="28" t="s">
        <v>311</v>
      </c>
      <c r="H2003" s="28">
        <v>26146</v>
      </c>
      <c r="I2003" s="28">
        <v>39.484572</v>
      </c>
      <c r="J2003" s="28">
        <v>-81.093402999999995</v>
      </c>
      <c r="K2003" s="28" t="s">
        <v>570</v>
      </c>
      <c r="L2003" s="61">
        <v>110000344814</v>
      </c>
      <c r="M2003" s="28" t="s">
        <v>251</v>
      </c>
      <c r="N2003" s="28">
        <v>2869</v>
      </c>
      <c r="O2003" s="28" t="str">
        <f>IFERROR(VLOOKUP(N2003, 'SIC &amp; NAICS Codes'!A:B, 2, FALSE), "")</f>
        <v>Industrial Organic Chemicals, NEC (aliphatics)</v>
      </c>
      <c r="S2003" s="28">
        <v>0.82855000000000001</v>
      </c>
      <c r="T2003" s="315">
        <f>_xlfn.MAXIFS('Raw Period DMR Data'!$O:$O,'Raw Period DMR Data'!$A:$A,'Raw Annual DMR Data_2021-2024'!#REF!,'Raw Period DMR Data'!$C:$C,X2003)/S2003</f>
        <v>0</v>
      </c>
      <c r="U2003" s="28" t="str">
        <f>+IF(COUNTIFS('Raw Period DMR Data'!$A:$A,B2003,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03" s="28" t="str" cm="1">
        <f t="array" ref="V2003">IFERROR(INDEX('Raw Period DMR Data'!N:N,MATCH(1,(B2003='Raw Period DMR Data'!$A:$A)*(U2003='Raw Period DMR Data'!M:M)*(X2003='Raw Period DMR Data'!C:C),0),1), "N/A")</f>
        <v>N/A</v>
      </c>
      <c r="W2003" s="28" t="s">
        <v>1463</v>
      </c>
      <c r="X2003" s="28" t="s">
        <v>905</v>
      </c>
      <c r="Y2003" s="28" t="s">
        <v>906</v>
      </c>
      <c r="Z2003" s="61">
        <v>5030201001622</v>
      </c>
      <c r="AC2003" s="28" t="s">
        <v>1466</v>
      </c>
    </row>
    <row r="2004" spans="1:29" x14ac:dyDescent="0.25">
      <c r="A2004" s="61">
        <v>110000373621</v>
      </c>
      <c r="B2004" s="28">
        <v>2022</v>
      </c>
      <c r="C2004" s="68">
        <f t="shared" si="32"/>
        <v>44562</v>
      </c>
      <c r="D2004" s="28" t="s">
        <v>6816</v>
      </c>
      <c r="E2004" s="28" t="s">
        <v>6971</v>
      </c>
      <c r="F2004" s="28" t="s">
        <v>6972</v>
      </c>
      <c r="G2004" s="28" t="s">
        <v>979</v>
      </c>
      <c r="H2004" s="28">
        <v>38012</v>
      </c>
      <c r="I2004" s="28">
        <v>35.607599999999998</v>
      </c>
      <c r="J2004" s="28">
        <v>-89.237700000000004</v>
      </c>
      <c r="K2004" s="28" t="s">
        <v>7125</v>
      </c>
      <c r="L2004" s="61">
        <v>110000373621</v>
      </c>
      <c r="M2004" s="28" t="s">
        <v>265</v>
      </c>
      <c r="N2004" s="28">
        <v>3087</v>
      </c>
      <c r="O2004" s="28" t="str">
        <f>IFERROR(VLOOKUP(N2004, 'SIC &amp; NAICS Codes'!A:B, 2, FALSE), "")</f>
        <v>Custom Compounding of Purchased Plastics Resins</v>
      </c>
      <c r="S2004" s="28">
        <v>0.2265701</v>
      </c>
      <c r="T2004" s="315">
        <f>_xlfn.MAXIFS('Raw Period DMR Data'!$O:$O,'Raw Period DMR Data'!$A:$A,'Raw Annual DMR Data_2021-2024'!#REF!,'Raw Period DMR Data'!$C:$C,X2004)/S2004</f>
        <v>0</v>
      </c>
      <c r="U2004" s="28" t="str">
        <f>+IF(COUNTIFS('Raw Period DMR Data'!$A:$A,B2004,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04" s="28" t="str" cm="1">
        <f t="array" ref="V2004">IFERROR(INDEX('Raw Period DMR Data'!N:N,MATCH(1,(B2004='Raw Period DMR Data'!$A:$A)*(U2004='Raw Period DMR Data'!M:M)*(X2004='Raw Period DMR Data'!C:C),0),1), "N/A")</f>
        <v>N/A</v>
      </c>
      <c r="W2004" s="28" t="s">
        <v>1463</v>
      </c>
      <c r="X2004" s="28" t="s">
        <v>7162</v>
      </c>
      <c r="Y2004" s="28" t="s">
        <v>7274</v>
      </c>
      <c r="Z2004" s="61">
        <v>8010205000538</v>
      </c>
      <c r="AB2004" s="28" t="s">
        <v>7355</v>
      </c>
      <c r="AC2004" s="28" t="s">
        <v>1466</v>
      </c>
    </row>
    <row r="2005" spans="1:29" x14ac:dyDescent="0.25">
      <c r="A2005" s="61">
        <v>110000373621</v>
      </c>
      <c r="B2005" s="28">
        <v>2024</v>
      </c>
      <c r="C2005" s="68">
        <f t="shared" si="32"/>
        <v>45292</v>
      </c>
      <c r="D2005" s="28" t="s">
        <v>6816</v>
      </c>
      <c r="E2005" s="28" t="s">
        <v>6971</v>
      </c>
      <c r="F2005" s="28" t="s">
        <v>6972</v>
      </c>
      <c r="G2005" s="28" t="s">
        <v>979</v>
      </c>
      <c r="H2005" s="28">
        <v>38012</v>
      </c>
      <c r="I2005" s="28">
        <v>35.607599999999998</v>
      </c>
      <c r="J2005" s="28">
        <v>-89.237700000000004</v>
      </c>
      <c r="K2005" s="28" t="s">
        <v>7125</v>
      </c>
      <c r="L2005" s="61">
        <v>110000373621</v>
      </c>
      <c r="M2005" s="28" t="s">
        <v>265</v>
      </c>
      <c r="N2005" s="28">
        <v>3087</v>
      </c>
      <c r="O2005" s="28" t="str">
        <f>IFERROR(VLOOKUP(N2005, 'SIC &amp; NAICS Codes'!A:B, 2, FALSE), "")</f>
        <v>Custom Compounding of Purchased Plastics Resins</v>
      </c>
      <c r="S2005" s="28">
        <v>0.14367859999999999</v>
      </c>
      <c r="T2005" s="315">
        <f>_xlfn.MAXIFS('Raw Period DMR Data'!$O:$O,'Raw Period DMR Data'!$A:$A,'Raw Annual DMR Data_2021-2024'!#REF!,'Raw Period DMR Data'!$C:$C,X2005)/S2005</f>
        <v>0</v>
      </c>
      <c r="U2005" s="28" t="str">
        <f>+IF(COUNTIFS('Raw Period DMR Data'!$A:$A,B2005,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05" s="28" t="str" cm="1">
        <f t="array" ref="V2005">IFERROR(INDEX('Raw Period DMR Data'!N:N,MATCH(1,(B2005='Raw Period DMR Data'!$A:$A)*(U2005='Raw Period DMR Data'!M:M)*(X2005='Raw Period DMR Data'!C:C),0),1), "N/A")</f>
        <v>N/A</v>
      </c>
      <c r="W2005" s="28" t="s">
        <v>1463</v>
      </c>
      <c r="X2005" s="28" t="s">
        <v>7162</v>
      </c>
      <c r="Y2005" s="28" t="s">
        <v>7274</v>
      </c>
      <c r="Z2005" s="61">
        <v>8010205000538</v>
      </c>
      <c r="AB2005" s="28" t="s">
        <v>7355</v>
      </c>
      <c r="AC2005" s="28" t="s">
        <v>1466</v>
      </c>
    </row>
    <row r="2006" spans="1:29" x14ac:dyDescent="0.25">
      <c r="A2006" s="61">
        <v>110000373621</v>
      </c>
      <c r="B2006" s="28">
        <v>2023</v>
      </c>
      <c r="C2006" s="68">
        <f t="shared" si="32"/>
        <v>44927</v>
      </c>
      <c r="D2006" s="28" t="s">
        <v>6816</v>
      </c>
      <c r="E2006" s="28" t="s">
        <v>6971</v>
      </c>
      <c r="F2006" s="28" t="s">
        <v>6972</v>
      </c>
      <c r="G2006" s="28" t="s">
        <v>979</v>
      </c>
      <c r="H2006" s="28">
        <v>38012</v>
      </c>
      <c r="I2006" s="28">
        <v>35.607599999999998</v>
      </c>
      <c r="J2006" s="28">
        <v>-89.237700000000004</v>
      </c>
      <c r="K2006" s="28" t="s">
        <v>7125</v>
      </c>
      <c r="L2006" s="61">
        <v>110000373621</v>
      </c>
      <c r="M2006" s="28" t="s">
        <v>265</v>
      </c>
      <c r="N2006" s="28">
        <v>3087</v>
      </c>
      <c r="O2006" s="28" t="str">
        <f>IFERROR(VLOOKUP(N2006, 'SIC &amp; NAICS Codes'!A:B, 2, FALSE), "")</f>
        <v>Custom Compounding of Purchased Plastics Resins</v>
      </c>
      <c r="S2006" s="28">
        <v>0.12157419999999999</v>
      </c>
      <c r="T2006" s="315">
        <f>_xlfn.MAXIFS('Raw Period DMR Data'!$O:$O,'Raw Period DMR Data'!$A:$A,'Raw Annual DMR Data_2021-2024'!#REF!,'Raw Period DMR Data'!$C:$C,X2006)/S2006</f>
        <v>0</v>
      </c>
      <c r="U2006" s="28" t="str">
        <f>+IF(COUNTIFS('Raw Period DMR Data'!$A:$A,B2006,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06" s="28" t="str" cm="1">
        <f t="array" ref="V2006">IFERROR(INDEX('Raw Period DMR Data'!N:N,MATCH(1,(B2006='Raw Period DMR Data'!$A:$A)*(U2006='Raw Period DMR Data'!M:M)*(X2006='Raw Period DMR Data'!C:C),0),1), "N/A")</f>
        <v>N/A</v>
      </c>
      <c r="W2006" s="28" t="s">
        <v>1463</v>
      </c>
      <c r="X2006" s="28" t="s">
        <v>7162</v>
      </c>
      <c r="Y2006" s="28" t="s">
        <v>7274</v>
      </c>
      <c r="Z2006" s="61" t="s">
        <v>7330</v>
      </c>
      <c r="AB2006" s="28" t="s">
        <v>7355</v>
      </c>
      <c r="AC2006" s="28" t="s">
        <v>1466</v>
      </c>
    </row>
    <row r="2007" spans="1:29" x14ac:dyDescent="0.25">
      <c r="A2007" s="61">
        <v>110000373621</v>
      </c>
      <c r="B2007" s="28">
        <v>2023</v>
      </c>
      <c r="C2007" s="68">
        <f t="shared" si="32"/>
        <v>44927</v>
      </c>
      <c r="D2007" s="28" t="s">
        <v>6816</v>
      </c>
      <c r="E2007" s="28" t="s">
        <v>6971</v>
      </c>
      <c r="F2007" s="28" t="s">
        <v>6972</v>
      </c>
      <c r="G2007" s="28" t="s">
        <v>979</v>
      </c>
      <c r="H2007" s="28">
        <v>38012</v>
      </c>
      <c r="I2007" s="28">
        <v>35.607599999999998</v>
      </c>
      <c r="J2007" s="28">
        <v>-89.237700000000004</v>
      </c>
      <c r="K2007" s="28" t="s">
        <v>7125</v>
      </c>
      <c r="L2007" s="61">
        <v>110000373621</v>
      </c>
      <c r="M2007" s="28" t="s">
        <v>265</v>
      </c>
      <c r="N2007" s="28">
        <v>3087</v>
      </c>
      <c r="O2007" s="28" t="str">
        <f>IFERROR(VLOOKUP(N2007, 'SIC &amp; NAICS Codes'!A:B, 2, FALSE), "")</f>
        <v>Custom Compounding of Purchased Plastics Resins</v>
      </c>
      <c r="S2007" s="28">
        <v>3.86827E-2</v>
      </c>
      <c r="T2007" s="315">
        <f>_xlfn.MAXIFS('Raw Period DMR Data'!$O:$O,'Raw Period DMR Data'!$A:$A,'Raw Annual DMR Data_2021-2024'!#REF!,'Raw Period DMR Data'!$C:$C,X2007)/S2007</f>
        <v>0</v>
      </c>
      <c r="U2007" s="28" t="str">
        <f>+IF(COUNTIFS('Raw Period DMR Data'!$A:$A,B2007,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07" s="28" t="str" cm="1">
        <f t="array" ref="V2007">IFERROR(INDEX('Raw Period DMR Data'!N:N,MATCH(1,(B2007='Raw Period DMR Data'!$A:$A)*(U2007='Raw Period DMR Data'!M:M)*(X2007='Raw Period DMR Data'!C:C),0),1), "N/A")</f>
        <v>N/A</v>
      </c>
      <c r="W2007" s="28" t="s">
        <v>1463</v>
      </c>
      <c r="X2007" s="28" t="s">
        <v>7162</v>
      </c>
      <c r="Y2007" s="28" t="s">
        <v>7274</v>
      </c>
      <c r="Z2007" s="61" t="s">
        <v>7330</v>
      </c>
      <c r="AB2007" s="28" t="s">
        <v>7355</v>
      </c>
      <c r="AC2007" s="28" t="s">
        <v>1466</v>
      </c>
    </row>
    <row r="2008" spans="1:29" x14ac:dyDescent="0.25">
      <c r="A2008" s="61">
        <v>110000484039</v>
      </c>
      <c r="B2008" s="28">
        <v>2024</v>
      </c>
      <c r="C2008" s="68">
        <f t="shared" si="32"/>
        <v>45292</v>
      </c>
      <c r="D2008" s="28" t="s">
        <v>6794</v>
      </c>
      <c r="E2008" s="28" t="s">
        <v>6945</v>
      </c>
      <c r="F2008" s="28" t="s">
        <v>6917</v>
      </c>
      <c r="G2008" s="28" t="s">
        <v>366</v>
      </c>
      <c r="H2008" s="28">
        <v>95014</v>
      </c>
      <c r="I2008" s="28">
        <v>37.318058999999998</v>
      </c>
      <c r="J2008" s="28">
        <v>-122.09263199999999</v>
      </c>
      <c r="K2008" s="28" t="s">
        <v>7121</v>
      </c>
      <c r="L2008" s="61">
        <v>110000484039</v>
      </c>
      <c r="M2008" s="28" t="s">
        <v>265</v>
      </c>
      <c r="N2008" s="28">
        <v>3241</v>
      </c>
      <c r="O2008" s="28" t="str">
        <f>IFERROR(VLOOKUP(N2008, 'SIC &amp; NAICS Codes'!A:B, 2, FALSE), "")</f>
        <v>Cement, Hydraulic</v>
      </c>
      <c r="S2008" s="28">
        <v>3.2927266849999998E-2</v>
      </c>
      <c r="T2008" s="315">
        <f>_xlfn.MAXIFS('Raw Period DMR Data'!$O:$O,'Raw Period DMR Data'!$A:$A,'Raw Annual DMR Data_2021-2024'!#REF!,'Raw Period DMR Data'!$C:$C,X2008)/S2008</f>
        <v>0</v>
      </c>
      <c r="U2008" s="28" t="str">
        <f>+IF(COUNTIFS('Raw Period DMR Data'!$A:$A,B2008,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08" s="28" t="str" cm="1">
        <f t="array" ref="V2008">IFERROR(INDEX('Raw Period DMR Data'!N:N,MATCH(1,(B2008='Raw Period DMR Data'!$A:$A)*(U2008='Raw Period DMR Data'!M:M)*(X2008='Raw Period DMR Data'!C:C),0),1), "N/A")</f>
        <v>N/A</v>
      </c>
      <c r="W2008" s="28" t="s">
        <v>1463</v>
      </c>
      <c r="X2008" s="28" t="s">
        <v>7150</v>
      </c>
      <c r="Y2008" s="28" t="s">
        <v>7262</v>
      </c>
      <c r="Z2008" s="61">
        <v>18050003000976</v>
      </c>
      <c r="AB2008" s="28" t="s">
        <v>7355</v>
      </c>
      <c r="AC2008" s="28" t="s">
        <v>1466</v>
      </c>
    </row>
    <row r="2009" spans="1:29" x14ac:dyDescent="0.25">
      <c r="A2009" s="61">
        <v>110000484039</v>
      </c>
      <c r="B2009" s="28">
        <v>2023</v>
      </c>
      <c r="C2009" s="68">
        <f t="shared" si="32"/>
        <v>44927</v>
      </c>
      <c r="D2009" s="28" t="s">
        <v>6794</v>
      </c>
      <c r="E2009" s="28" t="s">
        <v>6945</v>
      </c>
      <c r="F2009" s="28" t="s">
        <v>6917</v>
      </c>
      <c r="G2009" s="28" t="s">
        <v>366</v>
      </c>
      <c r="H2009" s="28">
        <v>95014</v>
      </c>
      <c r="I2009" s="28">
        <v>37.318058999999998</v>
      </c>
      <c r="J2009" s="28">
        <v>-122.09263199999999</v>
      </c>
      <c r="K2009" s="28" t="s">
        <v>7121</v>
      </c>
      <c r="L2009" s="61">
        <v>110000484039</v>
      </c>
      <c r="M2009" s="28" t="s">
        <v>265</v>
      </c>
      <c r="N2009" s="28">
        <v>3241</v>
      </c>
      <c r="O2009" s="28" t="str">
        <f>IFERROR(VLOOKUP(N2009, 'SIC &amp; NAICS Codes'!A:B, 2, FALSE), "")</f>
        <v>Cement, Hydraulic</v>
      </c>
      <c r="S2009" s="28">
        <v>3.07195899E-2</v>
      </c>
      <c r="T2009" s="315">
        <f>_xlfn.MAXIFS('Raw Period DMR Data'!$O:$O,'Raw Period DMR Data'!$A:$A,'Raw Annual DMR Data_2021-2024'!#REF!,'Raw Period DMR Data'!$C:$C,X2009)/S2009</f>
        <v>0</v>
      </c>
      <c r="U2009" s="28" t="str">
        <f>+IF(COUNTIFS('Raw Period DMR Data'!$A:$A,B2009,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09" s="28" t="str" cm="1">
        <f t="array" ref="V2009">IFERROR(INDEX('Raw Period DMR Data'!N:N,MATCH(1,(B2009='Raw Period DMR Data'!$A:$A)*(U2009='Raw Period DMR Data'!M:M)*(X2009='Raw Period DMR Data'!C:C),0),1), "N/A")</f>
        <v>N/A</v>
      </c>
      <c r="W2009" s="28" t="s">
        <v>1463</v>
      </c>
      <c r="X2009" s="28" t="s">
        <v>7150</v>
      </c>
      <c r="Y2009" s="28" t="s">
        <v>7262</v>
      </c>
      <c r="Z2009" s="61">
        <v>18050003000976</v>
      </c>
      <c r="AB2009" s="28" t="s">
        <v>7355</v>
      </c>
      <c r="AC2009" s="28" t="s">
        <v>1466</v>
      </c>
    </row>
    <row r="2010" spans="1:29" x14ac:dyDescent="0.25">
      <c r="A2010" s="61">
        <v>110000484039</v>
      </c>
      <c r="B2010" s="28">
        <v>2022</v>
      </c>
      <c r="C2010" s="68">
        <f t="shared" si="32"/>
        <v>44562</v>
      </c>
      <c r="D2010" s="28" t="s">
        <v>6794</v>
      </c>
      <c r="E2010" s="28" t="s">
        <v>6945</v>
      </c>
      <c r="F2010" s="28" t="s">
        <v>6917</v>
      </c>
      <c r="G2010" s="28" t="s">
        <v>366</v>
      </c>
      <c r="H2010" s="28">
        <v>95014</v>
      </c>
      <c r="I2010" s="28">
        <v>37.318058999999998</v>
      </c>
      <c r="J2010" s="28">
        <v>-122.09263199999999</v>
      </c>
      <c r="K2010" s="28" t="s">
        <v>7121</v>
      </c>
      <c r="L2010" s="61">
        <v>110000484039</v>
      </c>
      <c r="M2010" s="28" t="s">
        <v>265</v>
      </c>
      <c r="N2010" s="28">
        <v>3241</v>
      </c>
      <c r="O2010" s="28" t="str">
        <f>IFERROR(VLOOKUP(N2010, 'SIC &amp; NAICS Codes'!A:B, 2, FALSE), "")</f>
        <v>Cement, Hydraulic</v>
      </c>
      <c r="S2010" s="28">
        <v>2.5364799E-2</v>
      </c>
      <c r="T2010" s="315">
        <f>_xlfn.MAXIFS('Raw Period DMR Data'!$O:$O,'Raw Period DMR Data'!$A:$A,'Raw Annual DMR Data_2021-2024'!#REF!,'Raw Period DMR Data'!$C:$C,X2010)/S2010</f>
        <v>0</v>
      </c>
      <c r="U2010" s="28" t="str">
        <f>+IF(COUNTIFS('Raw Period DMR Data'!$A:$A,B2010,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10" s="28" t="str" cm="1">
        <f t="array" ref="V2010">IFERROR(INDEX('Raw Period DMR Data'!N:N,MATCH(1,(B2010='Raw Period DMR Data'!$A:$A)*(U2010='Raw Period DMR Data'!M:M)*(X2010='Raw Period DMR Data'!C:C),0),1), "N/A")</f>
        <v>N/A</v>
      </c>
      <c r="W2010" s="28" t="s">
        <v>1463</v>
      </c>
      <c r="X2010" s="28" t="s">
        <v>7150</v>
      </c>
      <c r="Y2010" s="28" t="s">
        <v>7262</v>
      </c>
      <c r="Z2010" s="61">
        <v>18050003000976</v>
      </c>
      <c r="AB2010" s="28" t="s">
        <v>7355</v>
      </c>
      <c r="AC2010" s="28" t="s">
        <v>1466</v>
      </c>
    </row>
    <row r="2011" spans="1:29" x14ac:dyDescent="0.25">
      <c r="A2011" s="61">
        <v>110000581255</v>
      </c>
      <c r="B2011" s="28">
        <v>2022</v>
      </c>
      <c r="C2011" s="68">
        <f t="shared" si="32"/>
        <v>44562</v>
      </c>
      <c r="D2011" s="28" t="s">
        <v>6801</v>
      </c>
      <c r="E2011" s="28" t="s">
        <v>6952</v>
      </c>
      <c r="F2011" s="28" t="s">
        <v>6953</v>
      </c>
      <c r="G2011" s="28" t="s">
        <v>553</v>
      </c>
      <c r="H2011" s="28" t="s">
        <v>6954</v>
      </c>
      <c r="I2011" s="28">
        <v>41.633920000000003</v>
      </c>
      <c r="J2011" s="28">
        <v>-71.493690000000001</v>
      </c>
      <c r="L2011" s="61">
        <v>110000581255</v>
      </c>
      <c r="M2011" s="28" t="s">
        <v>265</v>
      </c>
      <c r="N2011" s="28">
        <v>3315</v>
      </c>
      <c r="O2011" s="28" t="str">
        <f>IFERROR(VLOOKUP(N2011, 'SIC &amp; NAICS Codes'!A:B, 2, FALSE), "")</f>
        <v>Steel Wiredrawing and Steel Nails and Spikes (steel wire drawing)</v>
      </c>
      <c r="S2011" s="28">
        <v>0.233113608</v>
      </c>
      <c r="T2011" s="315">
        <f>_xlfn.MAXIFS('Raw Period DMR Data'!$O:$O,'Raw Period DMR Data'!$A:$A,'Raw Annual DMR Data_2021-2024'!#REF!,'Raw Period DMR Data'!$C:$C,X2011)/S2011</f>
        <v>0</v>
      </c>
      <c r="U2011" s="28" t="str">
        <f>+IF(COUNTIFS('Raw Period DMR Data'!$A:$A,B2011,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11" s="28" t="str" cm="1">
        <f t="array" ref="V2011">IFERROR(INDEX('Raw Period DMR Data'!N:N,MATCH(1,(B2011='Raw Period DMR Data'!$A:$A)*(U2011='Raw Period DMR Data'!M:M)*(X2011='Raw Period DMR Data'!C:C),0),1), "N/A")</f>
        <v>N/A</v>
      </c>
      <c r="W2011" s="28" t="s">
        <v>1463</v>
      </c>
      <c r="X2011" s="28" t="s">
        <v>7154</v>
      </c>
      <c r="Y2011" s="28" t="s">
        <v>7266</v>
      </c>
      <c r="Z2011" s="61">
        <v>1090004000699</v>
      </c>
      <c r="AB2011" s="28" t="s">
        <v>7355</v>
      </c>
      <c r="AC2011" s="28" t="s">
        <v>1466</v>
      </c>
    </row>
    <row r="2012" spans="1:29" x14ac:dyDescent="0.25">
      <c r="A2012" s="61">
        <v>110043086941</v>
      </c>
      <c r="B2012" s="28">
        <v>2021</v>
      </c>
      <c r="C2012" s="68">
        <f t="shared" si="32"/>
        <v>44197</v>
      </c>
      <c r="D2012" s="28" t="s">
        <v>6871</v>
      </c>
      <c r="E2012" s="28" t="s">
        <v>7039</v>
      </c>
      <c r="F2012" s="28" t="s">
        <v>7040</v>
      </c>
      <c r="G2012" s="28" t="s">
        <v>311</v>
      </c>
      <c r="H2012" s="28">
        <v>26101</v>
      </c>
      <c r="I2012" s="28">
        <v>39.237650000000002</v>
      </c>
      <c r="J2012" s="28">
        <v>-81.526092000000006</v>
      </c>
      <c r="L2012" s="61">
        <v>110043086941</v>
      </c>
      <c r="M2012" s="28" t="s">
        <v>265</v>
      </c>
      <c r="N2012" s="28">
        <v>3423</v>
      </c>
      <c r="O2012" s="28" t="str">
        <f>IFERROR(VLOOKUP(N2012, 'SIC &amp; NAICS Codes'!A:B, 2, FALSE), "")</f>
        <v>Hand and Edge Tools, Except Machine Tools and Handsaws</v>
      </c>
      <c r="S2012" s="28">
        <v>0.338990105454545</v>
      </c>
      <c r="T2012" s="315">
        <f>_xlfn.MAXIFS('Raw Period DMR Data'!$O:$O,'Raw Period DMR Data'!$A:$A,'Raw Annual DMR Data_2021-2024'!#REF!,'Raw Period DMR Data'!$C:$C,X2012)/S2012</f>
        <v>0</v>
      </c>
      <c r="U2012" s="28" t="str">
        <f>+IF(COUNTIFS('Raw Period DMR Data'!$A:$A,B2012,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12" s="28" t="str" cm="1">
        <f t="array" ref="V2012">IFERROR(INDEX('Raw Period DMR Data'!N:N,MATCH(1,(B2012='Raw Period DMR Data'!$A:$A)*(U2012='Raw Period DMR Data'!M:M)*(X2012='Raw Period DMR Data'!C:C),0),1), "N/A")</f>
        <v>N/A</v>
      </c>
      <c r="W2012" s="28" t="s">
        <v>1463</v>
      </c>
      <c r="X2012" s="28" t="s">
        <v>7199</v>
      </c>
      <c r="Y2012" s="28" t="s">
        <v>7302</v>
      </c>
      <c r="Z2012" s="61">
        <v>5030203000007</v>
      </c>
      <c r="AA2012" s="28"/>
      <c r="AC2012" s="28" t="s">
        <v>1466</v>
      </c>
    </row>
    <row r="2013" spans="1:29" x14ac:dyDescent="0.25">
      <c r="A2013" s="61">
        <v>110043086941</v>
      </c>
      <c r="B2013" s="28">
        <v>2022</v>
      </c>
      <c r="C2013" s="68">
        <f t="shared" si="32"/>
        <v>44562</v>
      </c>
      <c r="D2013" s="28" t="s">
        <v>6871</v>
      </c>
      <c r="E2013" s="28" t="s">
        <v>7039</v>
      </c>
      <c r="F2013" s="28" t="s">
        <v>7040</v>
      </c>
      <c r="G2013" s="28" t="s">
        <v>311</v>
      </c>
      <c r="H2013" s="28">
        <v>26101</v>
      </c>
      <c r="I2013" s="28">
        <v>39.237650000000002</v>
      </c>
      <c r="J2013" s="28">
        <v>-81.526092000000006</v>
      </c>
      <c r="L2013" s="61">
        <v>110043086941</v>
      </c>
      <c r="M2013" s="28" t="s">
        <v>265</v>
      </c>
      <c r="N2013" s="28">
        <v>3423</v>
      </c>
      <c r="O2013" s="28" t="str">
        <f>IFERROR(VLOOKUP(N2013, 'SIC &amp; NAICS Codes'!A:B, 2, FALSE), "")</f>
        <v>Hand and Edge Tools, Except Machine Tools and Handsaws</v>
      </c>
      <c r="S2013" s="28">
        <v>2.0722875000000001E-3</v>
      </c>
      <c r="T2013" s="315">
        <f>_xlfn.MAXIFS('Raw Period DMR Data'!$O:$O,'Raw Period DMR Data'!$A:$A,'Raw Annual DMR Data_2021-2024'!#REF!,'Raw Period DMR Data'!$C:$C,X2013)/S2013</f>
        <v>0</v>
      </c>
      <c r="U2013" s="28" t="str">
        <f>+IF(COUNTIFS('Raw Period DMR Data'!$A:$A,B2013,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13" s="28" t="str" cm="1">
        <f t="array" ref="V2013">IFERROR(INDEX('Raw Period DMR Data'!N:N,MATCH(1,(B2013='Raw Period DMR Data'!$A:$A)*(U2013='Raw Period DMR Data'!M:M)*(X2013='Raw Period DMR Data'!C:C),0),1), "N/A")</f>
        <v>N/A</v>
      </c>
      <c r="W2013" s="28" t="s">
        <v>1463</v>
      </c>
      <c r="X2013" s="28" t="s">
        <v>7199</v>
      </c>
      <c r="Y2013" s="28" t="s">
        <v>7302</v>
      </c>
      <c r="Z2013" s="61">
        <v>5030203000007</v>
      </c>
      <c r="AC2013" s="28" t="s">
        <v>1466</v>
      </c>
    </row>
    <row r="2014" spans="1:29" x14ac:dyDescent="0.25">
      <c r="A2014" s="61">
        <v>110043086941</v>
      </c>
      <c r="B2014" s="28">
        <v>2023</v>
      </c>
      <c r="C2014" s="68">
        <f t="shared" si="32"/>
        <v>44927</v>
      </c>
      <c r="D2014" s="28" t="s">
        <v>6871</v>
      </c>
      <c r="E2014" s="28" t="s">
        <v>7039</v>
      </c>
      <c r="F2014" s="28" t="s">
        <v>7040</v>
      </c>
      <c r="G2014" s="28" t="s">
        <v>311</v>
      </c>
      <c r="H2014" s="28">
        <v>26101</v>
      </c>
      <c r="I2014" s="28">
        <v>39.237650000000002</v>
      </c>
      <c r="J2014" s="28">
        <v>-81.526092000000006</v>
      </c>
      <c r="L2014" s="61">
        <v>110043086941</v>
      </c>
      <c r="M2014" s="28" t="s">
        <v>265</v>
      </c>
      <c r="N2014" s="28">
        <v>3423</v>
      </c>
      <c r="O2014" s="28" t="str">
        <f>IFERROR(VLOOKUP(N2014, 'SIC &amp; NAICS Codes'!A:B, 2, FALSE), "")</f>
        <v>Hand and Edge Tools, Except Machine Tools and Handsaws</v>
      </c>
      <c r="S2014" s="28">
        <v>2.0722875000000001E-3</v>
      </c>
      <c r="T2014" s="315">
        <f>_xlfn.MAXIFS('Raw Period DMR Data'!$O:$O,'Raw Period DMR Data'!$A:$A,'Raw Annual DMR Data_2021-2024'!#REF!,'Raw Period DMR Data'!$C:$C,X2014)/S2014</f>
        <v>0</v>
      </c>
      <c r="U2014" s="28" t="str">
        <f>+IF(COUNTIFS('Raw Period DMR Data'!$A:$A,B2014,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14" s="28" t="str" cm="1">
        <f t="array" ref="V2014">IFERROR(INDEX('Raw Period DMR Data'!N:N,MATCH(1,(B2014='Raw Period DMR Data'!$A:$A)*(U2014='Raw Period DMR Data'!M:M)*(X2014='Raw Period DMR Data'!C:C),0),1), "N/A")</f>
        <v>N/A</v>
      </c>
      <c r="W2014" s="28" t="s">
        <v>1463</v>
      </c>
      <c r="X2014" s="28" t="s">
        <v>7199</v>
      </c>
      <c r="Y2014" s="28" t="s">
        <v>7302</v>
      </c>
      <c r="Z2014" s="61" t="s">
        <v>7336</v>
      </c>
      <c r="AC2014" s="28" t="s">
        <v>1466</v>
      </c>
    </row>
    <row r="2015" spans="1:29" x14ac:dyDescent="0.25">
      <c r="A2015" s="61">
        <v>110007015871</v>
      </c>
      <c r="B2015" s="28">
        <v>2021</v>
      </c>
      <c r="C2015" s="68">
        <f t="shared" si="32"/>
        <v>44197</v>
      </c>
      <c r="D2015" s="28" t="s">
        <v>6881</v>
      </c>
      <c r="E2015" s="28" t="s">
        <v>571</v>
      </c>
      <c r="F2015" s="28" t="s">
        <v>572</v>
      </c>
      <c r="G2015" s="28" t="s">
        <v>303</v>
      </c>
      <c r="H2015" s="28">
        <v>70051</v>
      </c>
      <c r="I2015" s="28">
        <v>30.048590999999998</v>
      </c>
      <c r="J2015" s="28">
        <v>-90.630941000000007</v>
      </c>
      <c r="K2015" s="28" t="s">
        <v>573</v>
      </c>
      <c r="L2015" s="61">
        <v>110007015871</v>
      </c>
      <c r="M2015" s="28" t="s">
        <v>265</v>
      </c>
      <c r="N2015" s="28">
        <v>2869</v>
      </c>
      <c r="O2015" s="28" t="str">
        <f>IFERROR(VLOOKUP(N2015, 'SIC &amp; NAICS Codes'!A:B, 2, FALSE), "")</f>
        <v>Industrial Organic Chemicals, NEC (aliphatics)</v>
      </c>
      <c r="S2015" s="28">
        <v>0.16571</v>
      </c>
      <c r="T2015" s="315">
        <f>_xlfn.MAXIFS('Raw Period DMR Data'!$O:$O,'Raw Period DMR Data'!$A:$A,'Raw Annual DMR Data_2021-2024'!#REF!,'Raw Period DMR Data'!$C:$C,X2015)/S2015</f>
        <v>0</v>
      </c>
      <c r="U2015" s="28" t="str">
        <f>+IF(COUNTIFS('Raw Period DMR Data'!$A:$A,B2015,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15" s="28" t="str" cm="1">
        <f t="array" ref="V2015">IFERROR(INDEX('Raw Period DMR Data'!N:N,MATCH(1,(B2015='Raw Period DMR Data'!$A:$A)*(U2015='Raw Period DMR Data'!M:M)*(X2015='Raw Period DMR Data'!C:C),0),1), "N/A")</f>
        <v>N/A</v>
      </c>
      <c r="W2015" s="28" t="s">
        <v>1463</v>
      </c>
      <c r="X2015" s="28" t="s">
        <v>907</v>
      </c>
      <c r="Y2015" s="28" t="s">
        <v>816</v>
      </c>
      <c r="Z2015" s="61">
        <v>8070204000715</v>
      </c>
      <c r="AB2015" s="28" t="s">
        <v>7355</v>
      </c>
      <c r="AC2015" s="28" t="s">
        <v>1466</v>
      </c>
    </row>
    <row r="2016" spans="1:29" x14ac:dyDescent="0.25">
      <c r="A2016" s="61">
        <v>110007015871</v>
      </c>
      <c r="B2016" s="28">
        <v>2022</v>
      </c>
      <c r="C2016" s="68">
        <f t="shared" si="32"/>
        <v>44562</v>
      </c>
      <c r="D2016" s="28" t="s">
        <v>6881</v>
      </c>
      <c r="E2016" s="28" t="s">
        <v>571</v>
      </c>
      <c r="F2016" s="28" t="s">
        <v>572</v>
      </c>
      <c r="G2016" s="28" t="s">
        <v>303</v>
      </c>
      <c r="H2016" s="28">
        <v>70051</v>
      </c>
      <c r="I2016" s="28">
        <v>30.048590999999998</v>
      </c>
      <c r="J2016" s="28">
        <v>-90.630941000000007</v>
      </c>
      <c r="K2016" s="28" t="s">
        <v>573</v>
      </c>
      <c r="L2016" s="61">
        <v>110007015871</v>
      </c>
      <c r="M2016" s="28" t="s">
        <v>265</v>
      </c>
      <c r="N2016" s="28">
        <v>2869</v>
      </c>
      <c r="O2016" s="28" t="str">
        <f>IFERROR(VLOOKUP(N2016, 'SIC &amp; NAICS Codes'!A:B, 2, FALSE), "")</f>
        <v>Industrial Organic Chemicals, NEC (aliphatics)</v>
      </c>
      <c r="S2016" s="28">
        <v>8.2854999999999998E-2</v>
      </c>
      <c r="T2016" s="315">
        <f>_xlfn.MAXIFS('Raw Period DMR Data'!$O:$O,'Raw Period DMR Data'!$A:$A,'Raw Annual DMR Data_2021-2024'!#REF!,'Raw Period DMR Data'!$C:$C,X2016)/S2016</f>
        <v>0</v>
      </c>
      <c r="U2016" s="28" t="str">
        <f>+IF(COUNTIFS('Raw Period DMR Data'!$A:$A,B2016,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16" s="28" t="str" cm="1">
        <f t="array" ref="V2016">IFERROR(INDEX('Raw Period DMR Data'!N:N,MATCH(1,(B2016='Raw Period DMR Data'!$A:$A)*(U2016='Raw Period DMR Data'!M:M)*(X2016='Raw Period DMR Data'!C:C),0),1), "N/A")</f>
        <v>N/A</v>
      </c>
      <c r="W2016" s="28" t="s">
        <v>1463</v>
      </c>
      <c r="X2016" s="28" t="s">
        <v>907</v>
      </c>
      <c r="Y2016" s="28" t="s">
        <v>816</v>
      </c>
      <c r="Z2016" s="61">
        <v>8070204000715</v>
      </c>
      <c r="AB2016" s="28" t="s">
        <v>7355</v>
      </c>
      <c r="AC2016" s="28" t="s">
        <v>1466</v>
      </c>
    </row>
    <row r="2017" spans="1:29" x14ac:dyDescent="0.25">
      <c r="A2017" s="61">
        <v>110007015871</v>
      </c>
      <c r="B2017" s="28">
        <v>2023</v>
      </c>
      <c r="C2017" s="68">
        <f t="shared" si="32"/>
        <v>44927</v>
      </c>
      <c r="D2017" s="28" t="s">
        <v>6881</v>
      </c>
      <c r="E2017" s="28" t="s">
        <v>571</v>
      </c>
      <c r="F2017" s="28" t="s">
        <v>572</v>
      </c>
      <c r="G2017" s="28" t="s">
        <v>303</v>
      </c>
      <c r="H2017" s="28">
        <v>70051</v>
      </c>
      <c r="I2017" s="28">
        <v>30.048590999999998</v>
      </c>
      <c r="J2017" s="28">
        <v>-90.630941000000007</v>
      </c>
      <c r="K2017" s="28" t="s">
        <v>573</v>
      </c>
      <c r="L2017" s="61">
        <v>110007015871</v>
      </c>
      <c r="M2017" s="28" t="s">
        <v>265</v>
      </c>
      <c r="N2017" s="28">
        <v>2869</v>
      </c>
      <c r="O2017" s="28" t="str">
        <f>IFERROR(VLOOKUP(N2017, 'SIC &amp; NAICS Codes'!A:B, 2, FALSE), "")</f>
        <v>Industrial Organic Chemicals, NEC (aliphatics)</v>
      </c>
      <c r="S2017" s="28">
        <v>8.2854999999999998E-2</v>
      </c>
      <c r="T2017" s="315">
        <f>_xlfn.MAXIFS('Raw Period DMR Data'!$O:$O,'Raw Period DMR Data'!$A:$A,'Raw Annual DMR Data_2021-2024'!#REF!,'Raw Period DMR Data'!$C:$C,X2017)/S2017</f>
        <v>0</v>
      </c>
      <c r="U2017" s="28" t="str">
        <f>+IF(COUNTIFS('Raw Period DMR Data'!$A:$A,B2017,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17" s="28" t="str" cm="1">
        <f t="array" ref="V2017">IFERROR(INDEX('Raw Period DMR Data'!N:N,MATCH(1,(B2017='Raw Period DMR Data'!$A:$A)*(U2017='Raw Period DMR Data'!M:M)*(X2017='Raw Period DMR Data'!C:C),0),1), "N/A")</f>
        <v>N/A</v>
      </c>
      <c r="W2017" s="28" t="s">
        <v>1463</v>
      </c>
      <c r="X2017" s="28" t="s">
        <v>907</v>
      </c>
      <c r="Y2017" s="28" t="s">
        <v>816</v>
      </c>
      <c r="Z2017" s="61" t="s">
        <v>2034</v>
      </c>
      <c r="AB2017" s="28" t="s">
        <v>7355</v>
      </c>
      <c r="AC2017" s="28" t="s">
        <v>1466</v>
      </c>
    </row>
    <row r="2018" spans="1:29" x14ac:dyDescent="0.25">
      <c r="A2018" s="61">
        <v>110007015871</v>
      </c>
      <c r="B2018" s="28">
        <v>2024</v>
      </c>
      <c r="C2018" s="68">
        <f t="shared" si="32"/>
        <v>45292</v>
      </c>
      <c r="D2018" s="28" t="s">
        <v>6881</v>
      </c>
      <c r="E2018" s="28" t="s">
        <v>571</v>
      </c>
      <c r="F2018" s="28" t="s">
        <v>572</v>
      </c>
      <c r="G2018" s="28" t="s">
        <v>303</v>
      </c>
      <c r="H2018" s="28">
        <v>70051</v>
      </c>
      <c r="I2018" s="28">
        <v>30.048590999999998</v>
      </c>
      <c r="J2018" s="28">
        <v>-90.630941000000007</v>
      </c>
      <c r="K2018" s="28" t="s">
        <v>573</v>
      </c>
      <c r="L2018" s="61">
        <v>110007015871</v>
      </c>
      <c r="M2018" s="28" t="s">
        <v>265</v>
      </c>
      <c r="N2018" s="28">
        <v>2869</v>
      </c>
      <c r="O2018" s="28" t="str">
        <f>IFERROR(VLOOKUP(N2018, 'SIC &amp; NAICS Codes'!A:B, 2, FALSE), "")</f>
        <v>Industrial Organic Chemicals, NEC (aliphatics)</v>
      </c>
      <c r="S2018" s="28">
        <v>8.2854999999999998E-2</v>
      </c>
      <c r="T2018" s="315">
        <f>_xlfn.MAXIFS('Raw Period DMR Data'!$O:$O,'Raw Period DMR Data'!$A:$A,'Raw Annual DMR Data_2021-2024'!#REF!,'Raw Period DMR Data'!$C:$C,X2018)/S2018</f>
        <v>0</v>
      </c>
      <c r="U2018" s="28" t="str">
        <f>+IF(COUNTIFS('Raw Period DMR Data'!$A:$A,B2018,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18" s="28" t="str" cm="1">
        <f t="array" ref="V2018">IFERROR(INDEX('Raw Period DMR Data'!N:N,MATCH(1,(B2018='Raw Period DMR Data'!$A:$A)*(U2018='Raw Period DMR Data'!M:M)*(X2018='Raw Period DMR Data'!C:C),0),1), "N/A")</f>
        <v>N/A</v>
      </c>
      <c r="W2018" s="28" t="s">
        <v>1463</v>
      </c>
      <c r="X2018" s="28" t="s">
        <v>907</v>
      </c>
      <c r="Y2018" s="28" t="s">
        <v>816</v>
      </c>
      <c r="Z2018" s="61">
        <v>8070204000715</v>
      </c>
      <c r="AB2018" s="28" t="s">
        <v>7355</v>
      </c>
      <c r="AC2018" s="28" t="s">
        <v>1466</v>
      </c>
    </row>
    <row r="2019" spans="1:29" x14ac:dyDescent="0.25">
      <c r="A2019" s="61">
        <v>110071169347</v>
      </c>
      <c r="B2019" s="28">
        <v>2021</v>
      </c>
      <c r="C2019" s="68">
        <f t="shared" si="32"/>
        <v>44197</v>
      </c>
      <c r="D2019" s="28" t="s">
        <v>1250</v>
      </c>
      <c r="E2019" s="28" t="s">
        <v>2038</v>
      </c>
      <c r="F2019" s="28" t="s">
        <v>1463</v>
      </c>
      <c r="G2019" s="28" t="s">
        <v>366</v>
      </c>
      <c r="H2019" s="28" t="s">
        <v>1463</v>
      </c>
      <c r="I2019" s="28">
        <v>33.022727000000003</v>
      </c>
      <c r="J2019" s="28">
        <v>-118.58829299999999</v>
      </c>
      <c r="K2019" s="28" t="s">
        <v>726</v>
      </c>
      <c r="L2019" s="61">
        <v>110071169347</v>
      </c>
      <c r="M2019" s="28" t="s">
        <v>263</v>
      </c>
      <c r="N2019" s="28">
        <v>4952</v>
      </c>
      <c r="O2019" s="28" t="str">
        <f>IFERROR(VLOOKUP(N2019, 'SIC &amp; NAICS Codes'!A:B, 2, FALSE), "")</f>
        <v>Sewerage Systems</v>
      </c>
      <c r="S2019" s="28">
        <v>8.3927984399999999E-3</v>
      </c>
      <c r="T2019" s="315">
        <f>_xlfn.MAXIFS('Raw Period DMR Data'!$O:$O,'Raw Period DMR Data'!$A:$A,'Raw Annual DMR Data_2021-2024'!#REF!,'Raw Period DMR Data'!$C:$C,X2019)/S2019</f>
        <v>0</v>
      </c>
      <c r="U2019" s="28" t="str">
        <f>+IF(COUNTIFS('Raw Period DMR Data'!$A:$A,B2019,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19" s="28" t="str" cm="1">
        <f t="array" ref="V2019">IFERROR(INDEX('Raw Period DMR Data'!N:N,MATCH(1,(B2019='Raw Period DMR Data'!$A:$A)*(U2019='Raw Period DMR Data'!M:M)*(X2019='Raw Period DMR Data'!C:C),0),1), "N/A")</f>
        <v>N/A</v>
      </c>
      <c r="W2019" s="28" t="s">
        <v>1463</v>
      </c>
      <c r="X2019" s="28" t="s">
        <v>2039</v>
      </c>
      <c r="Y2019" s="28" t="s">
        <v>926</v>
      </c>
      <c r="Z2019" s="61">
        <v>18070107000163</v>
      </c>
      <c r="AA2019" s="28"/>
      <c r="AB2019" s="28" t="s">
        <v>7355</v>
      </c>
      <c r="AC2019" s="28" t="s">
        <v>7356</v>
      </c>
    </row>
    <row r="2020" spans="1:29" x14ac:dyDescent="0.25">
      <c r="A2020" s="61">
        <v>110043086941</v>
      </c>
      <c r="B2020" s="28">
        <v>2024</v>
      </c>
      <c r="C2020" s="68">
        <f t="shared" si="32"/>
        <v>45292</v>
      </c>
      <c r="D2020" s="28" t="s">
        <v>6871</v>
      </c>
      <c r="E2020" s="28" t="s">
        <v>7039</v>
      </c>
      <c r="F2020" s="28" t="s">
        <v>7040</v>
      </c>
      <c r="G2020" s="28" t="s">
        <v>311</v>
      </c>
      <c r="H2020" s="28">
        <v>26101</v>
      </c>
      <c r="I2020" s="28">
        <v>39.237650000000002</v>
      </c>
      <c r="J2020" s="28">
        <v>-81.526092000000006</v>
      </c>
      <c r="L2020" s="61">
        <v>110043086941</v>
      </c>
      <c r="M2020" s="28" t="s">
        <v>265</v>
      </c>
      <c r="N2020" s="28">
        <v>3423</v>
      </c>
      <c r="O2020" s="28" t="str">
        <f>IFERROR(VLOOKUP(N2020, 'SIC &amp; NAICS Codes'!A:B, 2, FALSE), "")</f>
        <v>Hand and Edge Tools, Except Machine Tools and Handsaws</v>
      </c>
      <c r="S2020" s="28">
        <v>1.5499575E-3</v>
      </c>
      <c r="T2020" s="315">
        <f>_xlfn.MAXIFS('Raw Period DMR Data'!$O:$O,'Raw Period DMR Data'!$A:$A,'Raw Annual DMR Data_2021-2024'!#REF!,'Raw Period DMR Data'!$C:$C,X2020)/S2020</f>
        <v>0</v>
      </c>
      <c r="U2020" s="28" t="str">
        <f>+IF(COUNTIFS('Raw Period DMR Data'!$A:$A,B2020,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20" s="28" t="str" cm="1">
        <f t="array" ref="V2020">IFERROR(INDEX('Raw Period DMR Data'!N:N,MATCH(1,(B2020='Raw Period DMR Data'!$A:$A)*(U2020='Raw Period DMR Data'!M:M)*(X2020='Raw Period DMR Data'!C:C),0),1), "N/A")</f>
        <v>N/A</v>
      </c>
      <c r="W2020" s="28" t="s">
        <v>1463</v>
      </c>
      <c r="X2020" s="28" t="s">
        <v>7199</v>
      </c>
      <c r="Y2020" s="28" t="s">
        <v>7302</v>
      </c>
      <c r="Z2020" s="61">
        <v>5030203000007</v>
      </c>
      <c r="AC2020" s="28" t="s">
        <v>1466</v>
      </c>
    </row>
    <row r="2021" spans="1:29" x14ac:dyDescent="0.25">
      <c r="A2021" s="61">
        <v>110000519920</v>
      </c>
      <c r="B2021" s="28">
        <v>2023</v>
      </c>
      <c r="C2021" s="68">
        <f t="shared" si="32"/>
        <v>44927</v>
      </c>
      <c r="D2021" s="28" t="s">
        <v>1256</v>
      </c>
      <c r="E2021" s="28" t="s">
        <v>2046</v>
      </c>
      <c r="F2021" s="28" t="s">
        <v>549</v>
      </c>
      <c r="G2021" s="28" t="s">
        <v>366</v>
      </c>
      <c r="H2021" s="28">
        <v>95959</v>
      </c>
      <c r="I2021" s="28">
        <v>39.259293999999997</v>
      </c>
      <c r="J2021" s="28">
        <v>-121.03256</v>
      </c>
      <c r="L2021" s="61">
        <v>110000519920</v>
      </c>
      <c r="M2021" s="28" t="s">
        <v>263</v>
      </c>
      <c r="N2021" s="28">
        <v>4952</v>
      </c>
      <c r="O2021" s="28" t="str">
        <f>IFERROR(VLOOKUP(N2021, 'SIC &amp; NAICS Codes'!A:B, 2, FALSE), "")</f>
        <v>Sewerage Systems</v>
      </c>
      <c r="S2021" s="28">
        <v>3.4912537200000003E-2</v>
      </c>
      <c r="T2021" s="315">
        <f>_xlfn.MAXIFS('Raw Period DMR Data'!$O:$O,'Raw Period DMR Data'!$A:$A,'Raw Annual DMR Data_2021-2024'!#REF!,'Raw Period DMR Data'!$C:$C,X2021)/S2021</f>
        <v>0</v>
      </c>
      <c r="U2021" s="28" t="str">
        <f>+IF(COUNTIFS('Raw Period DMR Data'!$A:$A,B2021,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21" s="28" t="str" cm="1">
        <f t="array" ref="V2021">IFERROR(INDEX('Raw Period DMR Data'!N:N,MATCH(1,(B2021='Raw Period DMR Data'!$A:$A)*(U2021='Raw Period DMR Data'!M:M)*(X2021='Raw Period DMR Data'!C:C),0),1), "N/A")</f>
        <v>N/A</v>
      </c>
      <c r="W2021" s="28" t="s">
        <v>1463</v>
      </c>
      <c r="X2021" s="28" t="s">
        <v>2047</v>
      </c>
      <c r="Y2021" s="28" t="s">
        <v>1672</v>
      </c>
      <c r="Z2021" s="61">
        <v>18020125000668</v>
      </c>
      <c r="AB2021" s="28" t="s">
        <v>7355</v>
      </c>
      <c r="AC2021" s="28" t="s">
        <v>263</v>
      </c>
    </row>
    <row r="2022" spans="1:29" x14ac:dyDescent="0.25">
      <c r="A2022" s="61">
        <v>110071672105</v>
      </c>
      <c r="B2022" s="28">
        <v>2024</v>
      </c>
      <c r="C2022" s="68">
        <f t="shared" si="32"/>
        <v>45292</v>
      </c>
      <c r="D2022" s="28" t="s">
        <v>6896</v>
      </c>
      <c r="E2022" s="28" t="s">
        <v>7082</v>
      </c>
      <c r="F2022" s="28" t="s">
        <v>7083</v>
      </c>
      <c r="G2022" s="28" t="s">
        <v>294</v>
      </c>
      <c r="H2022" s="28">
        <v>22191</v>
      </c>
      <c r="I2022" s="28">
        <v>38.654493000000002</v>
      </c>
      <c r="J2022" s="28">
        <v>-77.248682000000002</v>
      </c>
      <c r="L2022" s="61">
        <v>110071672105</v>
      </c>
      <c r="M2022" s="28" t="s">
        <v>265</v>
      </c>
      <c r="N2022" s="28">
        <v>4225</v>
      </c>
      <c r="O2022" s="28" t="str">
        <f>IFERROR(VLOOKUP(N2022, 'SIC &amp; NAICS Codes'!A:B, 2, FALSE), "")</f>
        <v>General Warehousing and Storage (except self-storage and miniwarehouses)</v>
      </c>
      <c r="S2022" s="28">
        <v>1.20138819857142E-4</v>
      </c>
      <c r="T2022" s="315">
        <f>_xlfn.MAXIFS('Raw Period DMR Data'!$O:$O,'Raw Period DMR Data'!$A:$A,'Raw Annual DMR Data_2021-2024'!#REF!,'Raw Period DMR Data'!$C:$C,X2022)/S2022</f>
        <v>0</v>
      </c>
      <c r="U2022" s="28" t="str">
        <f>+IF(COUNTIFS('Raw Period DMR Data'!$A:$A,B2022,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22" s="28" t="str" cm="1">
        <f t="array" ref="V2022">IFERROR(INDEX('Raw Period DMR Data'!N:N,MATCH(1,(B2022='Raw Period DMR Data'!$A:$A)*(U2022='Raw Period DMR Data'!M:M)*(X2022='Raw Period DMR Data'!C:C),0),1), "N/A")</f>
        <v>N/A</v>
      </c>
      <c r="W2022" s="28" t="s">
        <v>1463</v>
      </c>
      <c r="X2022" s="28" t="s">
        <v>7224</v>
      </c>
      <c r="Y2022" s="28" t="s">
        <v>7316</v>
      </c>
      <c r="Z2022" s="61"/>
      <c r="AB2022" s="28" t="s">
        <v>7355</v>
      </c>
      <c r="AC2022" s="28" t="s">
        <v>1466</v>
      </c>
    </row>
    <row r="2023" spans="1:29" x14ac:dyDescent="0.25">
      <c r="A2023" s="61">
        <v>110071672105</v>
      </c>
      <c r="B2023" s="28">
        <v>2024</v>
      </c>
      <c r="C2023" s="68">
        <f t="shared" si="32"/>
        <v>45292</v>
      </c>
      <c r="D2023" s="28" t="s">
        <v>6896</v>
      </c>
      <c r="E2023" s="28" t="s">
        <v>7082</v>
      </c>
      <c r="F2023" s="28" t="s">
        <v>7083</v>
      </c>
      <c r="G2023" s="28" t="s">
        <v>294</v>
      </c>
      <c r="H2023" s="28">
        <v>22191</v>
      </c>
      <c r="I2023" s="28">
        <v>38.654493000000002</v>
      </c>
      <c r="J2023" s="28">
        <v>-77.248682000000002</v>
      </c>
      <c r="L2023" s="61">
        <v>110071672105</v>
      </c>
      <c r="M2023" s="28" t="s">
        <v>265</v>
      </c>
      <c r="N2023" s="28">
        <v>4225</v>
      </c>
      <c r="O2023" s="28" t="str">
        <f>IFERROR(VLOOKUP(N2023, 'SIC &amp; NAICS Codes'!A:B, 2, FALSE), "")</f>
        <v>General Warehousing and Storage (except self-storage and miniwarehouses)</v>
      </c>
      <c r="S2023" s="28">
        <v>1.12865455714285E-5</v>
      </c>
      <c r="T2023" s="315">
        <f>_xlfn.MAXIFS('Raw Period DMR Data'!$O:$O,'Raw Period DMR Data'!$A:$A,'Raw Annual DMR Data_2021-2024'!#REF!,'Raw Period DMR Data'!$C:$C,X2023)/S2023</f>
        <v>0</v>
      </c>
      <c r="U2023" s="28" t="str">
        <f>+IF(COUNTIFS('Raw Period DMR Data'!$A:$A,B2023,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23" s="28" t="str" cm="1">
        <f t="array" ref="V2023">IFERROR(INDEX('Raw Period DMR Data'!N:N,MATCH(1,(B2023='Raw Period DMR Data'!$A:$A)*(U2023='Raw Period DMR Data'!M:M)*(X2023='Raw Period DMR Data'!C:C),0),1), "N/A")</f>
        <v>N/A</v>
      </c>
      <c r="W2023" s="28" t="s">
        <v>1463</v>
      </c>
      <c r="X2023" s="28" t="s">
        <v>7224</v>
      </c>
      <c r="Y2023" s="28" t="s">
        <v>7316</v>
      </c>
      <c r="Z2023" s="61"/>
      <c r="AB2023" s="28" t="s">
        <v>7355</v>
      </c>
      <c r="AC2023" s="28" t="s">
        <v>1466</v>
      </c>
    </row>
    <row r="2024" spans="1:29" x14ac:dyDescent="0.25">
      <c r="A2024" s="61">
        <v>110008052926</v>
      </c>
      <c r="B2024" s="28">
        <v>2021</v>
      </c>
      <c r="C2024" s="68">
        <f t="shared" si="32"/>
        <v>44197</v>
      </c>
      <c r="D2024" s="28" t="s">
        <v>6834</v>
      </c>
      <c r="E2024" s="28" t="s">
        <v>6989</v>
      </c>
      <c r="F2024" s="28" t="s">
        <v>500</v>
      </c>
      <c r="G2024" s="28" t="s">
        <v>303</v>
      </c>
      <c r="H2024" s="28">
        <v>70767</v>
      </c>
      <c r="I2024" s="28">
        <v>30.4375</v>
      </c>
      <c r="J2024" s="28">
        <v>-91.203056000000004</v>
      </c>
      <c r="L2024" s="61">
        <v>110008052926</v>
      </c>
      <c r="M2024" s="28" t="s">
        <v>265</v>
      </c>
      <c r="N2024" s="28">
        <v>4226</v>
      </c>
      <c r="O2024" s="28" t="str">
        <f>IFERROR(VLOOKUP(N2024, 'SIC &amp; NAICS Codes'!A:B, 2, FALSE), "")</f>
        <v>Special Warehousing and Storage, NEC (warehousing in foreign trade zones)</v>
      </c>
      <c r="S2024" s="28">
        <v>8.6846673600000004E-3</v>
      </c>
      <c r="T2024" s="315">
        <f>_xlfn.MAXIFS('Raw Period DMR Data'!$O:$O,'Raw Period DMR Data'!$A:$A,'Raw Annual DMR Data_2021-2024'!#REF!,'Raw Period DMR Data'!$C:$C,X2024)/S2024</f>
        <v>0</v>
      </c>
      <c r="U2024" s="28" t="str">
        <f>+IF(COUNTIFS('Raw Period DMR Data'!$A:$A,B2024,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24" s="28" t="str" cm="1">
        <f t="array" ref="V2024">IFERROR(INDEX('Raw Period DMR Data'!N:N,MATCH(1,(B2024='Raw Period DMR Data'!$A:$A)*(U2024='Raw Period DMR Data'!M:M)*(X2024='Raw Period DMR Data'!C:C),0),1), "N/A")</f>
        <v>N/A</v>
      </c>
      <c r="W2024" s="28" t="s">
        <v>1463</v>
      </c>
      <c r="X2024" s="28" t="s">
        <v>7172</v>
      </c>
      <c r="Y2024" s="28" t="s">
        <v>7285</v>
      </c>
      <c r="Z2024" s="61">
        <v>8070300001451</v>
      </c>
      <c r="AA2024" s="28"/>
      <c r="AC2024" s="28" t="s">
        <v>1466</v>
      </c>
    </row>
    <row r="2025" spans="1:29" x14ac:dyDescent="0.25">
      <c r="A2025" s="61">
        <v>110042068473</v>
      </c>
      <c r="B2025" s="28">
        <v>2021</v>
      </c>
      <c r="C2025" s="68">
        <f t="shared" si="32"/>
        <v>44197</v>
      </c>
      <c r="D2025" s="28" t="s">
        <v>6790</v>
      </c>
      <c r="E2025" s="28" t="s">
        <v>6941</v>
      </c>
      <c r="F2025" s="28" t="s">
        <v>6942</v>
      </c>
      <c r="G2025" s="28" t="s">
        <v>1249</v>
      </c>
      <c r="H2025" s="28">
        <v>87416</v>
      </c>
      <c r="I2025" s="28">
        <v>36.688809999999997</v>
      </c>
      <c r="J2025" s="28">
        <v>-108.48036</v>
      </c>
      <c r="K2025" s="28" t="s">
        <v>7120</v>
      </c>
      <c r="L2025" s="61">
        <v>110042068473</v>
      </c>
      <c r="M2025" s="28" t="s">
        <v>265</v>
      </c>
      <c r="N2025" s="28">
        <v>4911</v>
      </c>
      <c r="O2025" s="28" t="str">
        <f>IFERROR(VLOOKUP(N2025, 'SIC &amp; NAICS Codes'!A:B, 2, FALSE), "")</f>
        <v>Electric Services (hydroelectric power generation)</v>
      </c>
      <c r="S2025" s="28">
        <v>1.6192230000000001</v>
      </c>
      <c r="T2025" s="315">
        <f>_xlfn.MAXIFS('Raw Period DMR Data'!$O:$O,'Raw Period DMR Data'!$A:$A,'Raw Annual DMR Data_2021-2024'!#REF!,'Raw Period DMR Data'!$C:$C,X2025)/S2025</f>
        <v>0</v>
      </c>
      <c r="U2025" s="28" t="str">
        <f>+IF(COUNTIFS('Raw Period DMR Data'!$A:$A,B2025,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25" s="28" t="str" cm="1">
        <f t="array" ref="V2025">IFERROR(INDEX('Raw Period DMR Data'!N:N,MATCH(1,(B2025='Raw Period DMR Data'!$A:$A)*(U2025='Raw Period DMR Data'!M:M)*(X2025='Raw Period DMR Data'!C:C),0),1), "N/A")</f>
        <v>N/A</v>
      </c>
      <c r="W2025" s="28" t="s">
        <v>1463</v>
      </c>
      <c r="X2025" s="28" t="s">
        <v>7149</v>
      </c>
      <c r="Y2025" s="28" t="s">
        <v>7260</v>
      </c>
      <c r="Z2025" s="61">
        <v>14080106001035</v>
      </c>
      <c r="AA2025" s="28"/>
      <c r="AB2025" s="28" t="s">
        <v>7355</v>
      </c>
      <c r="AC2025" s="28" t="s">
        <v>1466</v>
      </c>
    </row>
    <row r="2026" spans="1:29" x14ac:dyDescent="0.25">
      <c r="A2026" s="61">
        <v>110071538714</v>
      </c>
      <c r="B2026" s="28">
        <v>2024</v>
      </c>
      <c r="C2026" s="68">
        <f t="shared" si="32"/>
        <v>45292</v>
      </c>
      <c r="D2026" s="28" t="s">
        <v>6894</v>
      </c>
      <c r="E2026" s="28" t="s">
        <v>7076</v>
      </c>
      <c r="F2026" s="28" t="s">
        <v>1403</v>
      </c>
      <c r="G2026" s="28" t="s">
        <v>294</v>
      </c>
      <c r="H2026" s="28">
        <v>23451</v>
      </c>
      <c r="I2026" s="28">
        <v>36.816054000000001</v>
      </c>
      <c r="J2026" s="28">
        <v>-75.971458999999996</v>
      </c>
      <c r="L2026" s="61">
        <v>110071538714</v>
      </c>
      <c r="M2026" s="28" t="s">
        <v>265</v>
      </c>
      <c r="N2026" s="28">
        <v>4911</v>
      </c>
      <c r="O2026" s="28" t="str">
        <f>IFERROR(VLOOKUP(N2026, 'SIC &amp; NAICS Codes'!A:B, 2, FALSE), "")</f>
        <v>Electric Services (hydroelectric power generation)</v>
      </c>
      <c r="S2026" s="28">
        <v>0.12163558134499999</v>
      </c>
      <c r="T2026" s="315">
        <f>_xlfn.MAXIFS('Raw Period DMR Data'!$O:$O,'Raw Period DMR Data'!$A:$A,'Raw Annual DMR Data_2021-2024'!#REF!,'Raw Period DMR Data'!$C:$C,X2026)/S2026</f>
        <v>0</v>
      </c>
      <c r="U2026" s="28" t="str">
        <f>+IF(COUNTIFS('Raw Period DMR Data'!$A:$A,B2026,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26" s="28" t="str" cm="1">
        <f t="array" ref="V2026">IFERROR(INDEX('Raw Period DMR Data'!N:N,MATCH(1,(B2026='Raw Period DMR Data'!$A:$A)*(U2026='Raw Period DMR Data'!M:M)*(X2026='Raw Period DMR Data'!C:C),0),1), "N/A")</f>
        <v>N/A</v>
      </c>
      <c r="W2026" s="28" t="s">
        <v>1463</v>
      </c>
      <c r="X2026" s="28" t="s">
        <v>7221</v>
      </c>
      <c r="Y2026" s="28" t="s">
        <v>7279</v>
      </c>
      <c r="Z2026" s="61"/>
      <c r="AC2026" s="28" t="s">
        <v>1466</v>
      </c>
    </row>
    <row r="2027" spans="1:29" x14ac:dyDescent="0.25">
      <c r="A2027" s="61">
        <v>110001163062</v>
      </c>
      <c r="B2027" s="28">
        <v>2024</v>
      </c>
      <c r="C2027" s="68">
        <f t="shared" si="32"/>
        <v>45292</v>
      </c>
      <c r="D2027" s="28" t="s">
        <v>6889</v>
      </c>
      <c r="E2027" s="28" t="s">
        <v>7069</v>
      </c>
      <c r="F2027" s="28" t="s">
        <v>6925</v>
      </c>
      <c r="G2027" s="28" t="s">
        <v>366</v>
      </c>
      <c r="H2027" s="28" t="s">
        <v>7070</v>
      </c>
      <c r="I2027" s="28">
        <v>38.055900000000001</v>
      </c>
      <c r="J2027" s="28">
        <v>-122.21435</v>
      </c>
      <c r="L2027" s="61">
        <v>110001163062</v>
      </c>
      <c r="M2027" s="28" t="s">
        <v>265</v>
      </c>
      <c r="N2027" s="28">
        <v>4931</v>
      </c>
      <c r="O2027" s="28" t="str">
        <f>IFERROR(VLOOKUP(N2027, 'SIC &amp; NAICS Codes'!A:B, 2, FALSE), "")</f>
        <v xml:space="preserve">Electric and Other Services Combined (hydroelectric power generation) </v>
      </c>
      <c r="S2027" s="28">
        <v>1.164276601785E-3</v>
      </c>
      <c r="T2027" s="315">
        <f>_xlfn.MAXIFS('Raw Period DMR Data'!$O:$O,'Raw Period DMR Data'!$A:$A,'Raw Annual DMR Data_2021-2024'!#REF!,'Raw Period DMR Data'!$C:$C,X2027)/S2027</f>
        <v>0</v>
      </c>
      <c r="U2027" s="28" t="str">
        <f>+IF(COUNTIFS('Raw Period DMR Data'!$A:$A,B2027,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27" s="28" t="str" cm="1">
        <f t="array" ref="V2027">IFERROR(INDEX('Raw Period DMR Data'!N:N,MATCH(1,(B2027='Raw Period DMR Data'!$A:$A)*(U2027='Raw Period DMR Data'!M:M)*(X2027='Raw Period DMR Data'!C:C),0),1), "N/A")</f>
        <v>N/A</v>
      </c>
      <c r="W2027" s="28" t="s">
        <v>1463</v>
      </c>
      <c r="X2027" s="28" t="s">
        <v>7216</v>
      </c>
      <c r="Y2027" s="28" t="s">
        <v>7252</v>
      </c>
      <c r="Z2027" s="61">
        <v>18050001001573</v>
      </c>
      <c r="AB2027" s="28" t="s">
        <v>7355</v>
      </c>
      <c r="AC2027" s="28" t="s">
        <v>1466</v>
      </c>
    </row>
    <row r="2028" spans="1:29" x14ac:dyDescent="0.25">
      <c r="A2028" s="61">
        <v>110001163062</v>
      </c>
      <c r="B2028" s="28">
        <v>2023</v>
      </c>
      <c r="C2028" s="68">
        <f t="shared" si="32"/>
        <v>44927</v>
      </c>
      <c r="D2028" s="28" t="s">
        <v>6889</v>
      </c>
      <c r="E2028" s="28" t="s">
        <v>7069</v>
      </c>
      <c r="F2028" s="28" t="s">
        <v>6925</v>
      </c>
      <c r="G2028" s="28" t="s">
        <v>366</v>
      </c>
      <c r="H2028" s="28" t="s">
        <v>7070</v>
      </c>
      <c r="I2028" s="28">
        <v>38.055900000000001</v>
      </c>
      <c r="J2028" s="28">
        <v>-122.21435</v>
      </c>
      <c r="L2028" s="61">
        <v>110001163062</v>
      </c>
      <c r="M2028" s="28" t="s">
        <v>265</v>
      </c>
      <c r="N2028" s="28">
        <v>4931</v>
      </c>
      <c r="O2028" s="28" t="str">
        <f>IFERROR(VLOOKUP(N2028, 'SIC &amp; NAICS Codes'!A:B, 2, FALSE), "")</f>
        <v xml:space="preserve">Electric and Other Services Combined (hydroelectric power generation) </v>
      </c>
      <c r="S2028" s="28">
        <v>1.0307440595375E-3</v>
      </c>
      <c r="T2028" s="315">
        <f>_xlfn.MAXIFS('Raw Period DMR Data'!$O:$O,'Raw Period DMR Data'!$A:$A,'Raw Annual DMR Data_2021-2024'!#REF!,'Raw Period DMR Data'!$C:$C,X2028)/S2028</f>
        <v>0</v>
      </c>
      <c r="U2028" s="28" t="str">
        <f>+IF(COUNTIFS('Raw Period DMR Data'!$A:$A,B2028,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28" s="28" t="str" cm="1">
        <f t="array" ref="V2028">IFERROR(INDEX('Raw Period DMR Data'!N:N,MATCH(1,(B2028='Raw Period DMR Data'!$A:$A)*(U2028='Raw Period DMR Data'!M:M)*(X2028='Raw Period DMR Data'!C:C),0),1), "N/A")</f>
        <v>N/A</v>
      </c>
      <c r="W2028" s="28" t="s">
        <v>1463</v>
      </c>
      <c r="X2028" s="28" t="s">
        <v>7216</v>
      </c>
      <c r="Y2028" s="28" t="s">
        <v>7252</v>
      </c>
      <c r="Z2028" s="61">
        <v>18050001001573</v>
      </c>
      <c r="AB2028" s="28" t="s">
        <v>7355</v>
      </c>
      <c r="AC2028" s="28" t="s">
        <v>1466</v>
      </c>
    </row>
    <row r="2029" spans="1:29" x14ac:dyDescent="0.25">
      <c r="A2029" s="61">
        <v>110001076978</v>
      </c>
      <c r="B2029" s="28">
        <v>2024</v>
      </c>
      <c r="C2029" s="68">
        <f t="shared" si="32"/>
        <v>45292</v>
      </c>
      <c r="D2029" s="28" t="s">
        <v>1261</v>
      </c>
      <c r="E2029" s="28" t="s">
        <v>2053</v>
      </c>
      <c r="F2029" s="28" t="s">
        <v>966</v>
      </c>
      <c r="G2029" s="28" t="s">
        <v>491</v>
      </c>
      <c r="H2029" s="28" t="s">
        <v>2054</v>
      </c>
      <c r="I2029" s="28">
        <v>39.991410000000002</v>
      </c>
      <c r="J2029" s="28">
        <v>-75.085030000000003</v>
      </c>
      <c r="L2029" s="61">
        <v>110001076978</v>
      </c>
      <c r="M2029" s="28" t="s">
        <v>263</v>
      </c>
      <c r="N2029" s="28">
        <v>4952</v>
      </c>
      <c r="O2029" s="28" t="str">
        <f>IFERROR(VLOOKUP(N2029, 'SIC &amp; NAICS Codes'!A:B, 2, FALSE), "")</f>
        <v>Sewerage Systems</v>
      </c>
      <c r="S2029" s="28">
        <v>289.76540625000001</v>
      </c>
      <c r="T2029" s="315">
        <f>_xlfn.MAXIFS('Raw Period DMR Data'!$O:$O,'Raw Period DMR Data'!$A:$A,'Raw Annual DMR Data_2021-2024'!B2273,'Raw Period DMR Data'!$C:$C,X2029)/S2029</f>
        <v>0</v>
      </c>
      <c r="U2029" s="28" t="str">
        <f>+IF(COUNTIFS('Raw Period DMR Data'!$A:$A,B2029, 'Raw Period DMR Data'!C:C,'Raw Annual DMR Data_2021-2024'!X2273, 'Raw Period DMR Data'!M:M, "&gt;0")&gt;0,_xlfn.MAXIFS('Raw Period DMR Data'!M:M,'Raw Period DMR Data'!$A:$A,'Raw Annual DMR Data_2021-2024'!B2273,'Raw Period DMR Data'!C:C,'Raw Annual DMR Data_2021-2024'!X2273), "N/A - Period DMR Data Not Available")</f>
        <v>N/A - Period DMR Data Not Available</v>
      </c>
      <c r="V2029" s="28" t="str" cm="1">
        <f t="array" ref="V2029">IFERROR(INDEX('Raw Period DMR Data'!N:N,MATCH(1,(B2029='Raw Period DMR Data'!$A:$A)*(U2029='Raw Period DMR Data'!M:M)*(X2029='Raw Period DMR Data'!C:C),0),1), "N/A")</f>
        <v>N/A</v>
      </c>
      <c r="W2029" s="28" t="s">
        <v>1463</v>
      </c>
      <c r="X2029" s="28" t="s">
        <v>2055</v>
      </c>
      <c r="Y2029" s="28" t="s">
        <v>2056</v>
      </c>
      <c r="Z2029" s="61">
        <v>2040202001980</v>
      </c>
      <c r="AB2029" s="28" t="s">
        <v>7355</v>
      </c>
      <c r="AC2029" s="28" t="s">
        <v>263</v>
      </c>
    </row>
    <row r="2030" spans="1:29" x14ac:dyDescent="0.25">
      <c r="A2030" s="61">
        <v>110001076978</v>
      </c>
      <c r="B2030" s="28">
        <v>2022</v>
      </c>
      <c r="C2030" s="68">
        <f t="shared" si="32"/>
        <v>44562</v>
      </c>
      <c r="D2030" s="28" t="s">
        <v>1261</v>
      </c>
      <c r="E2030" s="28" t="s">
        <v>2053</v>
      </c>
      <c r="F2030" s="28" t="s">
        <v>966</v>
      </c>
      <c r="G2030" s="28" t="s">
        <v>491</v>
      </c>
      <c r="H2030" s="28" t="s">
        <v>2054</v>
      </c>
      <c r="I2030" s="28">
        <v>39.991410000000002</v>
      </c>
      <c r="J2030" s="28">
        <v>-75.085030000000003</v>
      </c>
      <c r="L2030" s="61">
        <v>110001076978</v>
      </c>
      <c r="M2030" s="28" t="s">
        <v>263</v>
      </c>
      <c r="N2030" s="28">
        <v>4952</v>
      </c>
      <c r="O2030" s="28" t="str">
        <f>IFERROR(VLOOKUP(N2030, 'SIC &amp; NAICS Codes'!A:B, 2, FALSE), "")</f>
        <v>Sewerage Systems</v>
      </c>
      <c r="S2030" s="28">
        <v>284.18726249999997</v>
      </c>
      <c r="T2030" s="315">
        <f>_xlfn.MAXIFS('Raw Period DMR Data'!$O:$O,'Raw Period DMR Data'!$A:$A,'Raw Annual DMR Data_2021-2024'!B2274,'Raw Period DMR Data'!$C:$C,X2030)/S2030</f>
        <v>0</v>
      </c>
      <c r="U2030" s="28" t="str">
        <f>+IF(COUNTIFS('Raw Period DMR Data'!$A:$A,B2030, 'Raw Period DMR Data'!C:C,'Raw Annual DMR Data_2021-2024'!X2274, 'Raw Period DMR Data'!M:M, "&gt;0")&gt;0,_xlfn.MAXIFS('Raw Period DMR Data'!M:M,'Raw Period DMR Data'!$A:$A,'Raw Annual DMR Data_2021-2024'!B2274,'Raw Period DMR Data'!C:C,'Raw Annual DMR Data_2021-2024'!X2274), "N/A - Period DMR Data Not Available")</f>
        <v>N/A - Period DMR Data Not Available</v>
      </c>
      <c r="V2030" s="28" t="str" cm="1">
        <f t="array" ref="V2030">IFERROR(INDEX('Raw Period DMR Data'!N:N,MATCH(1,(B2030='Raw Period DMR Data'!$A:$A)*(U2030='Raw Period DMR Data'!M:M)*(X2030='Raw Period DMR Data'!C:C),0),1), "N/A")</f>
        <v>N/A</v>
      </c>
      <c r="W2030" s="28" t="s">
        <v>1463</v>
      </c>
      <c r="X2030" s="28" t="s">
        <v>2055</v>
      </c>
      <c r="Y2030" s="28" t="s">
        <v>2056</v>
      </c>
      <c r="Z2030" s="61">
        <v>2040202001980</v>
      </c>
      <c r="AB2030" s="28" t="s">
        <v>7355</v>
      </c>
      <c r="AC2030" s="28" t="s">
        <v>263</v>
      </c>
    </row>
    <row r="2031" spans="1:29" x14ac:dyDescent="0.25">
      <c r="A2031" s="61">
        <v>110001076978</v>
      </c>
      <c r="B2031" s="28">
        <v>2021</v>
      </c>
      <c r="C2031" s="68">
        <f t="shared" si="32"/>
        <v>44197</v>
      </c>
      <c r="D2031" s="28" t="s">
        <v>1261</v>
      </c>
      <c r="E2031" s="28" t="s">
        <v>2053</v>
      </c>
      <c r="F2031" s="28" t="s">
        <v>966</v>
      </c>
      <c r="G2031" s="28" t="s">
        <v>491</v>
      </c>
      <c r="H2031" s="28" t="s">
        <v>2054</v>
      </c>
      <c r="I2031" s="28">
        <v>39.991410000000002</v>
      </c>
      <c r="J2031" s="28">
        <v>-75.085030000000003</v>
      </c>
      <c r="L2031" s="61">
        <v>110001076978</v>
      </c>
      <c r="M2031" s="28" t="s">
        <v>263</v>
      </c>
      <c r="N2031" s="28">
        <v>4952</v>
      </c>
      <c r="O2031" s="28" t="str">
        <f>IFERROR(VLOOKUP(N2031, 'SIC &amp; NAICS Codes'!A:B, 2, FALSE), "")</f>
        <v>Sewerage Systems</v>
      </c>
      <c r="S2031" s="28">
        <v>282.30990250000002</v>
      </c>
      <c r="T2031" s="315">
        <f>_xlfn.MAXIFS('Raw Period DMR Data'!$O:$O,'Raw Period DMR Data'!$A:$A,'Raw Annual DMR Data_2021-2024'!B2275,'Raw Period DMR Data'!$C:$C,X2031)/S2031</f>
        <v>0</v>
      </c>
      <c r="U2031" s="28" t="str">
        <f>+IF(COUNTIFS('Raw Period DMR Data'!$A:$A,B2031, 'Raw Period DMR Data'!C:C,'Raw Annual DMR Data_2021-2024'!X2275, 'Raw Period DMR Data'!M:M, "&gt;0")&gt;0,_xlfn.MAXIFS('Raw Period DMR Data'!M:M,'Raw Period DMR Data'!$A:$A,'Raw Annual DMR Data_2021-2024'!B2275,'Raw Period DMR Data'!C:C,'Raw Annual DMR Data_2021-2024'!X2275), "N/A - Period DMR Data Not Available")</f>
        <v>N/A - Period DMR Data Not Available</v>
      </c>
      <c r="V2031" s="28" t="str" cm="1">
        <f t="array" ref="V2031">IFERROR(INDEX('Raw Period DMR Data'!N:N,MATCH(1,(B2031='Raw Period DMR Data'!$A:$A)*(U2031='Raw Period DMR Data'!M:M)*(X2031='Raw Period DMR Data'!C:C),0),1), "N/A")</f>
        <v>N/A</v>
      </c>
      <c r="W2031" s="28" t="s">
        <v>1463</v>
      </c>
      <c r="X2031" s="28" t="s">
        <v>2055</v>
      </c>
      <c r="Y2031" s="28" t="s">
        <v>2056</v>
      </c>
      <c r="Z2031" s="61">
        <v>2040202001980</v>
      </c>
      <c r="AB2031" s="28" t="s">
        <v>7355</v>
      </c>
      <c r="AC2031" s="28" t="s">
        <v>263</v>
      </c>
    </row>
    <row r="2032" spans="1:29" x14ac:dyDescent="0.25">
      <c r="A2032" s="61">
        <v>110001076978</v>
      </c>
      <c r="B2032" s="28">
        <v>2023</v>
      </c>
      <c r="C2032" s="68">
        <f t="shared" si="32"/>
        <v>44927</v>
      </c>
      <c r="D2032" s="28" t="s">
        <v>1261</v>
      </c>
      <c r="E2032" s="28" t="s">
        <v>2053</v>
      </c>
      <c r="F2032" s="28" t="s">
        <v>966</v>
      </c>
      <c r="G2032" s="28" t="s">
        <v>491</v>
      </c>
      <c r="H2032" s="28" t="s">
        <v>2054</v>
      </c>
      <c r="I2032" s="28">
        <v>39.991410000000002</v>
      </c>
      <c r="J2032" s="28">
        <v>-75.085030000000003</v>
      </c>
      <c r="L2032" s="61">
        <v>110001076978</v>
      </c>
      <c r="M2032" s="28" t="s">
        <v>263</v>
      </c>
      <c r="N2032" s="28">
        <v>4952</v>
      </c>
      <c r="O2032" s="28" t="str">
        <f>IFERROR(VLOOKUP(N2032, 'SIC &amp; NAICS Codes'!A:B, 2, FALSE), "")</f>
        <v>Sewerage Systems</v>
      </c>
      <c r="S2032" s="28">
        <v>273.60818749999999</v>
      </c>
      <c r="T2032" s="315">
        <f>_xlfn.MAXIFS('Raw Period DMR Data'!$O:$O,'Raw Period DMR Data'!$A:$A,'Raw Annual DMR Data_2021-2024'!B2277,'Raw Period DMR Data'!$C:$C,X2032)/S2032</f>
        <v>0</v>
      </c>
      <c r="U2032" s="28" t="str">
        <f>+IF(COUNTIFS('Raw Period DMR Data'!$A:$A,B2032, 'Raw Period DMR Data'!C:C,'Raw Annual DMR Data_2021-2024'!X2277, 'Raw Period DMR Data'!M:M, "&gt;0")&gt;0,_xlfn.MAXIFS('Raw Period DMR Data'!M:M,'Raw Period DMR Data'!$A:$A,'Raw Annual DMR Data_2021-2024'!B2277,'Raw Period DMR Data'!C:C,'Raw Annual DMR Data_2021-2024'!X2277), "N/A - Period DMR Data Not Available")</f>
        <v>N/A - Period DMR Data Not Available</v>
      </c>
      <c r="V2032" s="28" t="str" cm="1">
        <f t="array" ref="V2032">IFERROR(INDEX('Raw Period DMR Data'!N:N,MATCH(1,(B2032='Raw Period DMR Data'!$A:$A)*(U2032='Raw Period DMR Data'!M:M)*(X2032='Raw Period DMR Data'!C:C),0),1), "N/A")</f>
        <v>N/A</v>
      </c>
      <c r="W2032" s="28" t="s">
        <v>1463</v>
      </c>
      <c r="X2032" s="28" t="s">
        <v>2055</v>
      </c>
      <c r="Y2032" s="28" t="s">
        <v>2056</v>
      </c>
      <c r="Z2032" s="61">
        <v>2040202001980</v>
      </c>
      <c r="AB2032" s="28" t="s">
        <v>7355</v>
      </c>
      <c r="AC2032" s="28" t="s">
        <v>263</v>
      </c>
    </row>
    <row r="2033" spans="1:29" x14ac:dyDescent="0.25">
      <c r="A2033" s="61">
        <v>110064631457</v>
      </c>
      <c r="B2033" s="28">
        <v>2021</v>
      </c>
      <c r="C2033" s="68">
        <f t="shared" si="32"/>
        <v>44197</v>
      </c>
      <c r="D2033" s="28" t="s">
        <v>6872</v>
      </c>
      <c r="E2033" s="28" t="s">
        <v>7041</v>
      </c>
      <c r="F2033" s="28" t="s">
        <v>6942</v>
      </c>
      <c r="G2033" s="28" t="s">
        <v>1249</v>
      </c>
      <c r="H2033" s="28">
        <v>87416</v>
      </c>
      <c r="I2033" s="28">
        <v>36.716268999999997</v>
      </c>
      <c r="J2033" s="28">
        <v>-108.255737</v>
      </c>
      <c r="L2033" s="61">
        <v>110064631457</v>
      </c>
      <c r="M2033" s="28" t="s">
        <v>263</v>
      </c>
      <c r="N2033" s="28">
        <v>4952</v>
      </c>
      <c r="O2033" s="28" t="str">
        <f>IFERROR(VLOOKUP(N2033, 'SIC &amp; NAICS Codes'!A:B, 2, FALSE), "")</f>
        <v>Sewerage Systems</v>
      </c>
      <c r="S2033" s="28">
        <v>0.1114304</v>
      </c>
      <c r="T2033" s="315">
        <f>_xlfn.MAXIFS('Raw Period DMR Data'!$O:$O,'Raw Period DMR Data'!$A:$A,'Raw Annual DMR Data_2021-2024'!#REF!,'Raw Period DMR Data'!$C:$C,X2033)/S2033</f>
        <v>0</v>
      </c>
      <c r="U2033" s="28" t="str">
        <f>+IF(COUNTIFS('Raw Period DMR Data'!$A:$A,B2033,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33" s="28" t="str" cm="1">
        <f t="array" ref="V2033">IFERROR(INDEX('Raw Period DMR Data'!N:N,MATCH(1,(B2033='Raw Period DMR Data'!$A:$A)*(U2033='Raw Period DMR Data'!M:M)*(X2033='Raw Period DMR Data'!C:C),0),1), "N/A")</f>
        <v>N/A</v>
      </c>
      <c r="W2033" s="28" t="s">
        <v>1463</v>
      </c>
      <c r="X2033" s="28" t="s">
        <v>7200</v>
      </c>
      <c r="Y2033" s="28" t="s">
        <v>7303</v>
      </c>
      <c r="Z2033" s="61">
        <v>14080105001832</v>
      </c>
      <c r="AA2033" s="28"/>
      <c r="AC2033" s="28" t="s">
        <v>263</v>
      </c>
    </row>
    <row r="2034" spans="1:29" x14ac:dyDescent="0.25">
      <c r="A2034" s="61">
        <v>110064631457</v>
      </c>
      <c r="B2034" s="28">
        <v>2024</v>
      </c>
      <c r="C2034" s="68">
        <f t="shared" si="32"/>
        <v>45292</v>
      </c>
      <c r="D2034" s="28" t="s">
        <v>6872</v>
      </c>
      <c r="E2034" s="28" t="s">
        <v>7041</v>
      </c>
      <c r="F2034" s="28" t="s">
        <v>6942</v>
      </c>
      <c r="G2034" s="28" t="s">
        <v>1249</v>
      </c>
      <c r="H2034" s="28">
        <v>87416</v>
      </c>
      <c r="I2034" s="28">
        <v>36.716268999999997</v>
      </c>
      <c r="J2034" s="28">
        <v>-108.255737</v>
      </c>
      <c r="L2034" s="61">
        <v>110064631457</v>
      </c>
      <c r="M2034" s="28" t="s">
        <v>263</v>
      </c>
      <c r="N2034" s="28">
        <v>4952</v>
      </c>
      <c r="O2034" s="28" t="str">
        <f>IFERROR(VLOOKUP(N2034, 'SIC &amp; NAICS Codes'!A:B, 2, FALSE), "")</f>
        <v>Sewerage Systems</v>
      </c>
      <c r="S2034" s="28">
        <v>1.7959824999999999E-2</v>
      </c>
      <c r="T2034" s="315">
        <f>_xlfn.MAXIFS('Raw Period DMR Data'!$O:$O,'Raw Period DMR Data'!$A:$A,'Raw Annual DMR Data_2021-2024'!#REF!,'Raw Period DMR Data'!$C:$C,X2034)/S2034</f>
        <v>0</v>
      </c>
      <c r="U2034" s="28" t="str">
        <f>+IF(COUNTIFS('Raw Period DMR Data'!$A:$A,B2034,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34" s="28" t="str" cm="1">
        <f t="array" ref="V2034">IFERROR(INDEX('Raw Period DMR Data'!N:N,MATCH(1,(B2034='Raw Period DMR Data'!$A:$A)*(U2034='Raw Period DMR Data'!M:M)*(X2034='Raw Period DMR Data'!C:C),0),1), "N/A")</f>
        <v>N/A</v>
      </c>
      <c r="W2034" s="28" t="s">
        <v>1463</v>
      </c>
      <c r="X2034" s="28" t="s">
        <v>7200</v>
      </c>
      <c r="Y2034" s="28" t="s">
        <v>7303</v>
      </c>
      <c r="Z2034" s="61">
        <v>14080105001832</v>
      </c>
      <c r="AB2034" s="28" t="s">
        <v>7355</v>
      </c>
      <c r="AC2034" s="28" t="s">
        <v>263</v>
      </c>
    </row>
    <row r="2035" spans="1:29" x14ac:dyDescent="0.25">
      <c r="A2035" s="61">
        <v>110016759444</v>
      </c>
      <c r="B2035" s="28">
        <v>2021</v>
      </c>
      <c r="C2035" s="68">
        <f t="shared" si="32"/>
        <v>44197</v>
      </c>
      <c r="D2035" s="28" t="s">
        <v>1264</v>
      </c>
      <c r="E2035" s="28" t="s">
        <v>2061</v>
      </c>
      <c r="F2035" s="28" t="s">
        <v>1265</v>
      </c>
      <c r="G2035" s="28" t="s">
        <v>324</v>
      </c>
      <c r="H2035" s="28">
        <v>40475</v>
      </c>
      <c r="I2035" s="28">
        <v>37.852220000000003</v>
      </c>
      <c r="J2035" s="28">
        <v>-84.363079999999997</v>
      </c>
      <c r="L2035" s="61">
        <v>110016759444</v>
      </c>
      <c r="M2035" s="28" t="s">
        <v>263</v>
      </c>
      <c r="N2035" s="28">
        <v>4952</v>
      </c>
      <c r="O2035" s="28" t="str">
        <f>IFERROR(VLOOKUP(N2035, 'SIC &amp; NAICS Codes'!A:B, 2, FALSE), "")</f>
        <v>Sewerage Systems</v>
      </c>
      <c r="S2035" s="28">
        <v>0.69352555000000005</v>
      </c>
      <c r="T2035" s="315">
        <f>_xlfn.MAXIFS('Raw Period DMR Data'!$O:$O,'Raw Period DMR Data'!$A:$A,'Raw Annual DMR Data_2021-2024'!#REF!,'Raw Period DMR Data'!$C:$C,X2035)/S2035</f>
        <v>0</v>
      </c>
      <c r="U2035" s="28" t="str">
        <f>+IF(COUNTIFS('Raw Period DMR Data'!$A:$A,B2035,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35" s="28" t="str" cm="1">
        <f t="array" ref="V2035">IFERROR(INDEX('Raw Period DMR Data'!N:N,MATCH(1,(B2035='Raw Period DMR Data'!$A:$A)*(U2035='Raw Period DMR Data'!M:M)*(X2035='Raw Period DMR Data'!C:C),0),1), "N/A")</f>
        <v>N/A</v>
      </c>
      <c r="W2035" s="28" t="s">
        <v>1463</v>
      </c>
      <c r="X2035" s="28" t="s">
        <v>2062</v>
      </c>
      <c r="Y2035" s="28" t="s">
        <v>2063</v>
      </c>
      <c r="Z2035" s="61">
        <v>5100205000171</v>
      </c>
      <c r="AA2035" s="28"/>
      <c r="AC2035" s="28" t="s">
        <v>263</v>
      </c>
    </row>
    <row r="2036" spans="1:29" x14ac:dyDescent="0.25">
      <c r="A2036" s="61">
        <v>110016759444</v>
      </c>
      <c r="B2036" s="28">
        <v>2024</v>
      </c>
      <c r="C2036" s="68">
        <f t="shared" si="32"/>
        <v>45292</v>
      </c>
      <c r="D2036" s="28" t="s">
        <v>1264</v>
      </c>
      <c r="E2036" s="28" t="s">
        <v>2061</v>
      </c>
      <c r="F2036" s="28" t="s">
        <v>1265</v>
      </c>
      <c r="G2036" s="28" t="s">
        <v>324</v>
      </c>
      <c r="H2036" s="28">
        <v>40475</v>
      </c>
      <c r="I2036" s="28">
        <v>37.852220000000003</v>
      </c>
      <c r="J2036" s="28">
        <v>-84.363079999999997</v>
      </c>
      <c r="L2036" s="61">
        <v>110016759444</v>
      </c>
      <c r="M2036" s="28" t="s">
        <v>263</v>
      </c>
      <c r="N2036" s="28">
        <v>4952</v>
      </c>
      <c r="O2036" s="28" t="str">
        <f>IFERROR(VLOOKUP(N2036, 'SIC &amp; NAICS Codes'!A:B, 2, FALSE), "")</f>
        <v>Sewerage Systems</v>
      </c>
      <c r="S2036" s="28">
        <v>0.36195955000000002</v>
      </c>
      <c r="T2036" s="315">
        <f>_xlfn.MAXIFS('Raw Period DMR Data'!$O:$O,'Raw Period DMR Data'!$A:$A,'Raw Annual DMR Data_2021-2024'!#REF!,'Raw Period DMR Data'!$C:$C,X2036)/S2036</f>
        <v>0</v>
      </c>
      <c r="U2036" s="28" t="str">
        <f>+IF(COUNTIFS('Raw Period DMR Data'!$A:$A,B2036,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36" s="28" t="str" cm="1">
        <f t="array" ref="V2036">IFERROR(INDEX('Raw Period DMR Data'!N:N,MATCH(1,(B2036='Raw Period DMR Data'!$A:$A)*(U2036='Raw Period DMR Data'!M:M)*(X2036='Raw Period DMR Data'!C:C),0),1), "N/A")</f>
        <v>N/A</v>
      </c>
      <c r="W2036" s="28" t="s">
        <v>1463</v>
      </c>
      <c r="X2036" s="28" t="s">
        <v>2062</v>
      </c>
      <c r="Y2036" s="28" t="s">
        <v>2063</v>
      </c>
      <c r="Z2036" s="61">
        <v>5100205000171</v>
      </c>
      <c r="AC2036" s="28" t="s">
        <v>263</v>
      </c>
    </row>
    <row r="2037" spans="1:29" x14ac:dyDescent="0.25">
      <c r="A2037" s="61">
        <v>110000547196</v>
      </c>
      <c r="B2037" s="28">
        <v>2024</v>
      </c>
      <c r="C2037" s="68">
        <f t="shared" si="32"/>
        <v>45292</v>
      </c>
      <c r="D2037" s="28" t="s">
        <v>215</v>
      </c>
      <c r="E2037" s="28" t="s">
        <v>2065</v>
      </c>
      <c r="F2037" s="28" t="s">
        <v>1103</v>
      </c>
      <c r="G2037" s="28" t="s">
        <v>345</v>
      </c>
      <c r="H2037" s="28">
        <v>60450</v>
      </c>
      <c r="I2037" s="28">
        <v>41.405655000000003</v>
      </c>
      <c r="J2037" s="28">
        <v>-88.335212999999996</v>
      </c>
      <c r="K2037" s="28" t="s">
        <v>727</v>
      </c>
      <c r="L2037" s="61">
        <v>110000547196</v>
      </c>
      <c r="M2037" s="28" t="s">
        <v>253</v>
      </c>
      <c r="N2037" s="28">
        <v>2869</v>
      </c>
      <c r="O2037" s="28" t="str">
        <f>IFERROR(VLOOKUP(N2037, 'SIC &amp; NAICS Codes'!A:B, 2, FALSE), "")</f>
        <v>Industrial Organic Chemicals, NEC (aliphatics)</v>
      </c>
      <c r="S2037" s="28">
        <v>0.53617400000000004</v>
      </c>
      <c r="T2037" s="315">
        <f>_xlfn.MAXIFS('Raw Period DMR Data'!$O:$O,'Raw Period DMR Data'!$A:$A,'Raw Annual DMR Data_2021-2024'!#REF!,'Raw Period DMR Data'!$C:$C,X2037)/S2037</f>
        <v>0</v>
      </c>
      <c r="U2037" s="28" t="str">
        <f>+IF(COUNTIFS('Raw Period DMR Data'!$A:$A,B2037,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37" s="28" t="str" cm="1">
        <f t="array" ref="V2037">IFERROR(INDEX('Raw Period DMR Data'!N:N,MATCH(1,(B2037='Raw Period DMR Data'!$A:$A)*(U2037='Raw Period DMR Data'!M:M)*(X2037='Raw Period DMR Data'!C:C),0),1), "N/A")</f>
        <v>N/A</v>
      </c>
      <c r="W2037" s="28" t="s">
        <v>1463</v>
      </c>
      <c r="X2037" s="28" t="s">
        <v>2067</v>
      </c>
      <c r="Y2037" s="28" t="s">
        <v>2068</v>
      </c>
      <c r="Z2037" s="61">
        <v>7120005000849</v>
      </c>
      <c r="AB2037" s="28" t="s">
        <v>7355</v>
      </c>
      <c r="AC2037" s="28" t="s">
        <v>1466</v>
      </c>
    </row>
    <row r="2038" spans="1:29" x14ac:dyDescent="0.25">
      <c r="A2038" s="61">
        <v>110000547196</v>
      </c>
      <c r="B2038" s="28">
        <v>2022</v>
      </c>
      <c r="C2038" s="68">
        <f t="shared" si="32"/>
        <v>44562</v>
      </c>
      <c r="D2038" s="28" t="s">
        <v>215</v>
      </c>
      <c r="E2038" s="28" t="s">
        <v>2065</v>
      </c>
      <c r="F2038" s="28" t="s">
        <v>1103</v>
      </c>
      <c r="G2038" s="28" t="s">
        <v>345</v>
      </c>
      <c r="H2038" s="28">
        <v>60450</v>
      </c>
      <c r="I2038" s="28">
        <v>41.405655000000003</v>
      </c>
      <c r="J2038" s="28">
        <v>-88.335212999999996</v>
      </c>
      <c r="K2038" s="28" t="s">
        <v>727</v>
      </c>
      <c r="L2038" s="61">
        <v>110000547196</v>
      </c>
      <c r="M2038" s="28" t="s">
        <v>253</v>
      </c>
      <c r="N2038" s="28">
        <v>2869</v>
      </c>
      <c r="O2038" s="28" t="str">
        <f>IFERROR(VLOOKUP(N2038, 'SIC &amp; NAICS Codes'!A:B, 2, FALSE), "")</f>
        <v>Industrial Organic Chemicals, NEC (aliphatics)</v>
      </c>
      <c r="S2038" s="28">
        <v>8.6459759999999997E-2</v>
      </c>
      <c r="T2038" s="315">
        <f>_xlfn.MAXIFS('Raw Period DMR Data'!$O:$O,'Raw Period DMR Data'!$A:$A,'Raw Annual DMR Data_2021-2024'!#REF!,'Raw Period DMR Data'!$C:$C,X2038)/S2038</f>
        <v>0</v>
      </c>
      <c r="U2038" s="28" t="str">
        <f>+IF(COUNTIFS('Raw Period DMR Data'!$A:$A,B2038,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38" s="28" t="str" cm="1">
        <f t="array" ref="V2038">IFERROR(INDEX('Raw Period DMR Data'!N:N,MATCH(1,(B2038='Raw Period DMR Data'!$A:$A)*(U2038='Raw Period DMR Data'!M:M)*(X2038='Raw Period DMR Data'!C:C),0),1), "N/A")</f>
        <v>N/A</v>
      </c>
      <c r="W2038" s="28" t="s">
        <v>1463</v>
      </c>
      <c r="X2038" s="28" t="s">
        <v>2067</v>
      </c>
      <c r="Y2038" s="28" t="s">
        <v>2068</v>
      </c>
      <c r="Z2038" s="61">
        <v>7120005000849</v>
      </c>
      <c r="AB2038" s="28" t="s">
        <v>7355</v>
      </c>
      <c r="AC2038" s="28" t="s">
        <v>1466</v>
      </c>
    </row>
    <row r="2039" spans="1:29" x14ac:dyDescent="0.25">
      <c r="A2039" s="61">
        <v>110000547196</v>
      </c>
      <c r="B2039" s="28">
        <v>2021</v>
      </c>
      <c r="C2039" s="68">
        <f t="shared" si="32"/>
        <v>44197</v>
      </c>
      <c r="D2039" s="28" t="s">
        <v>215</v>
      </c>
      <c r="E2039" s="28" t="s">
        <v>2065</v>
      </c>
      <c r="F2039" s="28" t="s">
        <v>1103</v>
      </c>
      <c r="G2039" s="28" t="s">
        <v>345</v>
      </c>
      <c r="H2039" s="28">
        <v>60450</v>
      </c>
      <c r="I2039" s="28">
        <v>41.405655000000003</v>
      </c>
      <c r="J2039" s="28">
        <v>-88.335212999999996</v>
      </c>
      <c r="K2039" s="28" t="s">
        <v>727</v>
      </c>
      <c r="L2039" s="61">
        <v>110000547196</v>
      </c>
      <c r="M2039" s="28" t="s">
        <v>253</v>
      </c>
      <c r="N2039" s="28">
        <v>2869</v>
      </c>
      <c r="O2039" s="28" t="str">
        <f>IFERROR(VLOOKUP(N2039, 'SIC &amp; NAICS Codes'!A:B, 2, FALSE), "")</f>
        <v>Industrial Organic Chemicals, NEC (aliphatics)</v>
      </c>
      <c r="S2039" s="28">
        <v>5.977818E-2</v>
      </c>
      <c r="T2039" s="315">
        <f>_xlfn.MAXIFS('Raw Period DMR Data'!$O:$O,'Raw Period DMR Data'!$A:$A,'Raw Annual DMR Data_2021-2024'!#REF!,'Raw Period DMR Data'!$C:$C,X2039)/S2039</f>
        <v>0</v>
      </c>
      <c r="U2039" s="28" t="str">
        <f>+IF(COUNTIFS('Raw Period DMR Data'!$A:$A,B2039,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39" s="28" t="str" cm="1">
        <f t="array" ref="V2039">IFERROR(INDEX('Raw Period DMR Data'!N:N,MATCH(1,(B2039='Raw Period DMR Data'!$A:$A)*(U2039='Raw Period DMR Data'!M:M)*(X2039='Raw Period DMR Data'!C:C),0),1), "N/A")</f>
        <v>N/A</v>
      </c>
      <c r="W2039" s="28" t="s">
        <v>1463</v>
      </c>
      <c r="X2039" s="28" t="s">
        <v>2067</v>
      </c>
      <c r="Y2039" s="28" t="s">
        <v>2068</v>
      </c>
      <c r="Z2039" s="61">
        <v>7120005000849</v>
      </c>
      <c r="AA2039" s="28"/>
      <c r="AB2039" s="28" t="s">
        <v>7355</v>
      </c>
      <c r="AC2039" s="28" t="s">
        <v>1466</v>
      </c>
    </row>
    <row r="2040" spans="1:29" x14ac:dyDescent="0.25">
      <c r="A2040" s="61">
        <v>110000547196</v>
      </c>
      <c r="B2040" s="28">
        <v>2023</v>
      </c>
      <c r="C2040" s="68">
        <f t="shared" si="32"/>
        <v>44927</v>
      </c>
      <c r="D2040" s="28" t="s">
        <v>215</v>
      </c>
      <c r="E2040" s="28" t="s">
        <v>2065</v>
      </c>
      <c r="F2040" s="28" t="s">
        <v>1103</v>
      </c>
      <c r="G2040" s="28" t="s">
        <v>345</v>
      </c>
      <c r="H2040" s="28">
        <v>60450</v>
      </c>
      <c r="I2040" s="28">
        <v>41.405655000000003</v>
      </c>
      <c r="J2040" s="28">
        <v>-88.335212999999996</v>
      </c>
      <c r="K2040" s="28" t="s">
        <v>727</v>
      </c>
      <c r="L2040" s="61">
        <v>110000547196</v>
      </c>
      <c r="M2040" s="28" t="s">
        <v>253</v>
      </c>
      <c r="N2040" s="28">
        <v>2869</v>
      </c>
      <c r="O2040" s="28" t="str">
        <f>IFERROR(VLOOKUP(N2040, 'SIC &amp; NAICS Codes'!A:B, 2, FALSE), "")</f>
        <v>Industrial Organic Chemicals, NEC (aliphatics)</v>
      </c>
      <c r="S2040" s="28">
        <v>5.7698859999999998E-2</v>
      </c>
      <c r="T2040" s="315">
        <f>_xlfn.MAXIFS('Raw Period DMR Data'!$O:$O,'Raw Period DMR Data'!$A:$A,'Raw Annual DMR Data_2021-2024'!#REF!,'Raw Period DMR Data'!$C:$C,X2040)/S2040</f>
        <v>0</v>
      </c>
      <c r="U2040" s="28" t="str">
        <f>+IF(COUNTIFS('Raw Period DMR Data'!$A:$A,B2040,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40" s="28" t="str" cm="1">
        <f t="array" ref="V2040">IFERROR(INDEX('Raw Period DMR Data'!N:N,MATCH(1,(B2040='Raw Period DMR Data'!$A:$A)*(U2040='Raw Period DMR Data'!M:M)*(X2040='Raw Period DMR Data'!C:C),0),1), "N/A")</f>
        <v>N/A</v>
      </c>
      <c r="W2040" s="28" t="s">
        <v>1463</v>
      </c>
      <c r="X2040" s="28" t="s">
        <v>2067</v>
      </c>
      <c r="Y2040" s="28" t="s">
        <v>2068</v>
      </c>
      <c r="Z2040" s="61" t="s">
        <v>2069</v>
      </c>
      <c r="AB2040" s="28" t="s">
        <v>7355</v>
      </c>
      <c r="AC2040" s="28" t="s">
        <v>1466</v>
      </c>
    </row>
    <row r="2041" spans="1:29" x14ac:dyDescent="0.25">
      <c r="A2041" s="61">
        <v>110000520026</v>
      </c>
      <c r="B2041" s="28">
        <v>2021</v>
      </c>
      <c r="C2041" s="68">
        <f t="shared" si="32"/>
        <v>44197</v>
      </c>
      <c r="D2041" s="28" t="s">
        <v>6833</v>
      </c>
      <c r="E2041" s="28" t="s">
        <v>6987</v>
      </c>
      <c r="F2041" s="28" t="s">
        <v>6988</v>
      </c>
      <c r="G2041" s="28" t="s">
        <v>366</v>
      </c>
      <c r="H2041" s="28">
        <v>95954</v>
      </c>
      <c r="I2041" s="28">
        <v>39.814230000000002</v>
      </c>
      <c r="J2041" s="28">
        <v>-121.58031699999999</v>
      </c>
      <c r="L2041" s="61">
        <v>110000520026</v>
      </c>
      <c r="M2041" s="28" t="s">
        <v>6751</v>
      </c>
      <c r="N2041" s="28">
        <v>4941</v>
      </c>
      <c r="O2041" s="28" t="str">
        <f>IFERROR(VLOOKUP(N2041, 'SIC &amp; NAICS Codes'!A:B, 2, FALSE), "")</f>
        <v>Water Supply</v>
      </c>
      <c r="S2041" s="28">
        <v>1.1605553752499999E-2</v>
      </c>
      <c r="T2041" s="315">
        <f>_xlfn.MAXIFS('Raw Period DMR Data'!$O:$O,'Raw Period DMR Data'!$A:$A,'Raw Annual DMR Data_2021-2024'!#REF!,'Raw Period DMR Data'!$C:$C,X2041)/S2041</f>
        <v>0</v>
      </c>
      <c r="U2041" s="28" t="str">
        <f>+IF(COUNTIFS('Raw Period DMR Data'!$A:$A,B2041,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41" s="28" t="str" cm="1">
        <f t="array" ref="V2041">IFERROR(INDEX('Raw Period DMR Data'!N:N,MATCH(1,(B2041='Raw Period DMR Data'!$A:$A)*(U2041='Raw Period DMR Data'!M:M)*(X2041='Raw Period DMR Data'!C:C),0),1), "N/A")</f>
        <v>N/A</v>
      </c>
      <c r="W2041" s="28" t="s">
        <v>1463</v>
      </c>
      <c r="X2041" s="28" t="s">
        <v>7171</v>
      </c>
      <c r="Y2041" s="28" t="s">
        <v>7284</v>
      </c>
      <c r="Z2041" s="61">
        <v>18020158006557</v>
      </c>
      <c r="AB2041" s="28" t="s">
        <v>7355</v>
      </c>
      <c r="AC2041" s="28" t="s">
        <v>1466</v>
      </c>
    </row>
    <row r="2042" spans="1:29" x14ac:dyDescent="0.25">
      <c r="A2042" s="61">
        <v>110013128169</v>
      </c>
      <c r="B2042" s="28">
        <v>2023</v>
      </c>
      <c r="C2042" s="68">
        <f t="shared" si="32"/>
        <v>44927</v>
      </c>
      <c r="D2042" s="28" t="s">
        <v>6807</v>
      </c>
      <c r="E2042" s="28" t="s">
        <v>6960</v>
      </c>
      <c r="F2042" s="28" t="s">
        <v>457</v>
      </c>
      <c r="G2042" s="28" t="s">
        <v>366</v>
      </c>
      <c r="H2042" s="28" t="s">
        <v>6961</v>
      </c>
      <c r="I2042" s="28">
        <v>32.796432000000003</v>
      </c>
      <c r="J2042" s="28">
        <v>-115.667761</v>
      </c>
      <c r="L2042" s="61">
        <v>110013128169</v>
      </c>
      <c r="M2042" s="28" t="s">
        <v>265</v>
      </c>
      <c r="N2042" s="28">
        <v>4952</v>
      </c>
      <c r="O2042" s="28" t="str">
        <f>IFERROR(VLOOKUP(N2042, 'SIC &amp; NAICS Codes'!A:B, 2, FALSE), "")</f>
        <v>Sewerage Systems</v>
      </c>
      <c r="S2042" s="28">
        <v>2.0722875000000001E-3</v>
      </c>
      <c r="T2042" s="315">
        <f>_xlfn.MAXIFS('Raw Period DMR Data'!$O:$O,'Raw Period DMR Data'!$A:$A,'Raw Annual DMR Data_2021-2024'!#REF!,'Raw Period DMR Data'!$C:$C,X2042)/S2042</f>
        <v>0</v>
      </c>
      <c r="U2042" s="28" t="str">
        <f>+IF(COUNTIFS('Raw Period DMR Data'!$A:$A,B2042,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42" s="28" t="str" cm="1">
        <f t="array" ref="V2042">IFERROR(INDEX('Raw Period DMR Data'!N:N,MATCH(1,(B2042='Raw Period DMR Data'!$A:$A)*(U2042='Raw Period DMR Data'!M:M)*(X2042='Raw Period DMR Data'!C:C),0),1), "N/A")</f>
        <v>N/A</v>
      </c>
      <c r="W2042" s="28" t="s">
        <v>1463</v>
      </c>
      <c r="X2042" s="28" t="s">
        <v>7157</v>
      </c>
      <c r="Y2042" s="28" t="s">
        <v>7269</v>
      </c>
      <c r="Z2042" s="61">
        <v>18100204011470</v>
      </c>
      <c r="AB2042" s="28" t="s">
        <v>7355</v>
      </c>
      <c r="AC2042" s="28" t="s">
        <v>1466</v>
      </c>
    </row>
    <row r="2043" spans="1:29" x14ac:dyDescent="0.25">
      <c r="A2043" s="61">
        <v>110013128169</v>
      </c>
      <c r="B2043" s="28">
        <v>2024</v>
      </c>
      <c r="C2043" s="68">
        <f t="shared" si="32"/>
        <v>45292</v>
      </c>
      <c r="D2043" s="28" t="s">
        <v>6807</v>
      </c>
      <c r="E2043" s="28" t="s">
        <v>6960</v>
      </c>
      <c r="F2043" s="28" t="s">
        <v>457</v>
      </c>
      <c r="G2043" s="28" t="s">
        <v>366</v>
      </c>
      <c r="H2043" s="28" t="s">
        <v>6961</v>
      </c>
      <c r="I2043" s="28">
        <v>32.796432000000003</v>
      </c>
      <c r="J2043" s="28">
        <v>-115.667761</v>
      </c>
      <c r="L2043" s="61">
        <v>110013128169</v>
      </c>
      <c r="M2043" s="28" t="s">
        <v>265</v>
      </c>
      <c r="N2043" s="28">
        <v>4952</v>
      </c>
      <c r="O2043" s="28" t="str">
        <f>IFERROR(VLOOKUP(N2043, 'SIC &amp; NAICS Codes'!A:B, 2, FALSE), "")</f>
        <v>Sewerage Systems</v>
      </c>
      <c r="S2043" s="28">
        <v>1.7269062499999999E-3</v>
      </c>
      <c r="T2043" s="315">
        <f>_xlfn.MAXIFS('Raw Period DMR Data'!$O:$O,'Raw Period DMR Data'!$A:$A,'Raw Annual DMR Data_2021-2024'!#REF!,'Raw Period DMR Data'!$C:$C,X2043)/S2043</f>
        <v>0</v>
      </c>
      <c r="U2043" s="28" t="str">
        <f>+IF(COUNTIFS('Raw Period DMR Data'!$A:$A,B2043,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43" s="28" t="str" cm="1">
        <f t="array" ref="V2043">IFERROR(INDEX('Raw Period DMR Data'!N:N,MATCH(1,(B2043='Raw Period DMR Data'!$A:$A)*(U2043='Raw Period DMR Data'!M:M)*(X2043='Raw Period DMR Data'!C:C),0),1), "N/A")</f>
        <v>N/A</v>
      </c>
      <c r="W2043" s="28" t="s">
        <v>1463</v>
      </c>
      <c r="X2043" s="28" t="s">
        <v>7157</v>
      </c>
      <c r="Y2043" s="28" t="s">
        <v>7269</v>
      </c>
      <c r="Z2043" s="61">
        <v>18100204011470</v>
      </c>
      <c r="AB2043" s="28" t="s">
        <v>7355</v>
      </c>
      <c r="AC2043" s="28" t="s">
        <v>1466</v>
      </c>
    </row>
    <row r="2044" spans="1:29" x14ac:dyDescent="0.25">
      <c r="A2044" s="61">
        <v>110020662166</v>
      </c>
      <c r="B2044" s="28">
        <v>2024</v>
      </c>
      <c r="C2044" s="68">
        <f t="shared" si="32"/>
        <v>45292</v>
      </c>
      <c r="D2044" s="28" t="s">
        <v>6852</v>
      </c>
      <c r="E2044" s="28" t="s">
        <v>7010</v>
      </c>
      <c r="F2044" s="28" t="s">
        <v>6942</v>
      </c>
      <c r="G2044" s="28" t="s">
        <v>1249</v>
      </c>
      <c r="H2044" s="28" t="s">
        <v>7011</v>
      </c>
      <c r="I2044" s="28">
        <v>36.739803999999999</v>
      </c>
      <c r="J2044" s="28">
        <v>-108.397068</v>
      </c>
      <c r="L2044" s="61">
        <v>110020662166</v>
      </c>
      <c r="M2044" s="28" t="s">
        <v>265</v>
      </c>
      <c r="N2044" s="28">
        <v>4952</v>
      </c>
      <c r="O2044" s="28" t="str">
        <f>IFERROR(VLOOKUP(N2044, 'SIC &amp; NAICS Codes'!A:B, 2, FALSE), "")</f>
        <v>Sewerage Systems</v>
      </c>
      <c r="S2044" s="28">
        <v>5.2497950000000002E-2</v>
      </c>
      <c r="T2044" s="315">
        <f>_xlfn.MAXIFS('Raw Period DMR Data'!$O:$O,'Raw Period DMR Data'!$A:$A,'Raw Annual DMR Data_2021-2024'!#REF!,'Raw Period DMR Data'!$C:$C,X2044)/S2044</f>
        <v>0</v>
      </c>
      <c r="U2044" s="28" t="str">
        <f>+IF(COUNTIFS('Raw Period DMR Data'!$A:$A,B2044,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44" s="28" t="str" cm="1">
        <f t="array" ref="V2044">IFERROR(INDEX('Raw Period DMR Data'!N:N,MATCH(1,(B2044='Raw Period DMR Data'!$A:$A)*(U2044='Raw Period DMR Data'!M:M)*(X2044='Raw Period DMR Data'!C:C),0),1), "N/A")</f>
        <v>N/A</v>
      </c>
      <c r="W2044" s="28" t="s">
        <v>1463</v>
      </c>
      <c r="X2044" s="28" t="s">
        <v>7184</v>
      </c>
      <c r="Y2044" s="28" t="s">
        <v>2219</v>
      </c>
      <c r="Z2044" s="61">
        <v>14080105001175</v>
      </c>
      <c r="AB2044" s="28" t="s">
        <v>7355</v>
      </c>
      <c r="AC2044" s="28" t="s">
        <v>7356</v>
      </c>
    </row>
    <row r="2045" spans="1:29" x14ac:dyDescent="0.25">
      <c r="A2045" s="61">
        <v>110012150858</v>
      </c>
      <c r="B2045" s="28">
        <v>2023</v>
      </c>
      <c r="C2045" s="68">
        <f t="shared" si="32"/>
        <v>44927</v>
      </c>
      <c r="D2045" s="28" t="s">
        <v>6904</v>
      </c>
      <c r="E2045" s="28" t="s">
        <v>7100</v>
      </c>
      <c r="F2045" s="28" t="s">
        <v>7101</v>
      </c>
      <c r="G2045" s="28" t="s">
        <v>1128</v>
      </c>
      <c r="H2045" s="28" t="s">
        <v>7102</v>
      </c>
      <c r="I2045" s="28">
        <v>40.49682</v>
      </c>
      <c r="J2045" s="28">
        <v>-105.11552</v>
      </c>
      <c r="L2045" s="61">
        <v>110012150858</v>
      </c>
      <c r="M2045" s="28" t="s">
        <v>6752</v>
      </c>
      <c r="N2045" s="28">
        <v>4953</v>
      </c>
      <c r="O2045" s="28" t="str">
        <f>IFERROR(VLOOKUP(N2045, 'SIC &amp; NAICS Codes'!A:B, 2, FALSE), "")</f>
        <v>Refuse Systems (hazardous waste treatment and disposal)</v>
      </c>
      <c r="S2045" s="28">
        <v>1.8000771818181801E-3</v>
      </c>
      <c r="T2045" s="315">
        <f>_xlfn.MAXIFS('Raw Period DMR Data'!$O:$O,'Raw Period DMR Data'!$A:$A,'Raw Annual DMR Data_2021-2024'!#REF!,'Raw Period DMR Data'!$C:$C,X2045)/S2045</f>
        <v>0</v>
      </c>
      <c r="U2045" s="28" t="str">
        <f>+IF(COUNTIFS('Raw Period DMR Data'!$A:$A,B2045,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45" s="28" t="str" cm="1">
        <f t="array" ref="V2045">IFERROR(INDEX('Raw Period DMR Data'!N:N,MATCH(1,(B2045='Raw Period DMR Data'!$A:$A)*(U2045='Raw Period DMR Data'!M:M)*(X2045='Raw Period DMR Data'!C:C),0),1), "N/A")</f>
        <v>N/A</v>
      </c>
      <c r="W2045" s="28" t="s">
        <v>1463</v>
      </c>
      <c r="X2045" s="28" t="s">
        <v>7234</v>
      </c>
      <c r="Y2045" s="28" t="s">
        <v>7320</v>
      </c>
      <c r="Z2045" s="61"/>
      <c r="AB2045" s="28" t="s">
        <v>7355</v>
      </c>
      <c r="AC2045" s="28" t="s">
        <v>1466</v>
      </c>
    </row>
    <row r="2046" spans="1:29" x14ac:dyDescent="0.25">
      <c r="A2046" s="61">
        <v>110012150858</v>
      </c>
      <c r="B2046" s="28">
        <v>2024</v>
      </c>
      <c r="C2046" s="68">
        <f t="shared" si="32"/>
        <v>45292</v>
      </c>
      <c r="D2046" s="28" t="s">
        <v>6904</v>
      </c>
      <c r="E2046" s="28" t="s">
        <v>7100</v>
      </c>
      <c r="F2046" s="28" t="s">
        <v>7101</v>
      </c>
      <c r="G2046" s="28" t="s">
        <v>1128</v>
      </c>
      <c r="H2046" s="28" t="s">
        <v>7102</v>
      </c>
      <c r="I2046" s="28">
        <v>40.49682</v>
      </c>
      <c r="J2046" s="28">
        <v>-105.11552</v>
      </c>
      <c r="L2046" s="61">
        <v>110012150858</v>
      </c>
      <c r="M2046" s="28" t="s">
        <v>6752</v>
      </c>
      <c r="N2046" s="28">
        <v>4953</v>
      </c>
      <c r="O2046" s="28" t="str">
        <f>IFERROR(VLOOKUP(N2046, 'SIC &amp; NAICS Codes'!A:B, 2, FALSE), "")</f>
        <v>Refuse Systems (hazardous waste treatment and disposal)</v>
      </c>
      <c r="S2046" s="28">
        <v>4.9999850000000004E-4</v>
      </c>
      <c r="T2046" s="315">
        <f>_xlfn.MAXIFS('Raw Period DMR Data'!$O:$O,'Raw Period DMR Data'!$A:$A,'Raw Annual DMR Data_2021-2024'!#REF!,'Raw Period DMR Data'!$C:$C,X2046)/S2046</f>
        <v>0</v>
      </c>
      <c r="U2046" s="28" t="str">
        <f>+IF(COUNTIFS('Raw Period DMR Data'!$A:$A,B2046,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46" s="28" t="str" cm="1">
        <f t="array" ref="V2046">IFERROR(INDEX('Raw Period DMR Data'!N:N,MATCH(1,(B2046='Raw Period DMR Data'!$A:$A)*(U2046='Raw Period DMR Data'!M:M)*(X2046='Raw Period DMR Data'!C:C),0),1), "N/A")</f>
        <v>N/A</v>
      </c>
      <c r="W2046" s="28" t="s">
        <v>1463</v>
      </c>
      <c r="X2046" s="28" t="s">
        <v>7234</v>
      </c>
      <c r="Y2046" s="28" t="s">
        <v>7320</v>
      </c>
      <c r="Z2046" s="61"/>
      <c r="AB2046" s="28" t="s">
        <v>7355</v>
      </c>
      <c r="AC2046" s="28" t="s">
        <v>1466</v>
      </c>
    </row>
    <row r="2047" spans="1:29" x14ac:dyDescent="0.25">
      <c r="A2047" s="61">
        <v>110012150858</v>
      </c>
      <c r="B2047" s="28">
        <v>2024</v>
      </c>
      <c r="C2047" s="68">
        <f t="shared" si="32"/>
        <v>45292</v>
      </c>
      <c r="D2047" s="28" t="s">
        <v>6904</v>
      </c>
      <c r="E2047" s="28" t="s">
        <v>7100</v>
      </c>
      <c r="F2047" s="28" t="s">
        <v>7101</v>
      </c>
      <c r="G2047" s="28" t="s">
        <v>1128</v>
      </c>
      <c r="H2047" s="28" t="s">
        <v>7102</v>
      </c>
      <c r="I2047" s="28">
        <v>40.49682</v>
      </c>
      <c r="J2047" s="28">
        <v>-105.11552</v>
      </c>
      <c r="L2047" s="61">
        <v>110012150858</v>
      </c>
      <c r="M2047" s="28" t="s">
        <v>6752</v>
      </c>
      <c r="N2047" s="28">
        <v>4953</v>
      </c>
      <c r="O2047" s="28" t="str">
        <f>IFERROR(VLOOKUP(N2047, 'SIC &amp; NAICS Codes'!A:B, 2, FALSE), "")</f>
        <v>Refuse Systems (hazardous waste treatment and disposal)</v>
      </c>
      <c r="S2047" s="28">
        <v>3.5919649999999998E-5</v>
      </c>
      <c r="T2047" s="315">
        <f>_xlfn.MAXIFS('Raw Period DMR Data'!$O:$O,'Raw Period DMR Data'!$A:$A,'Raw Annual DMR Data_2021-2024'!#REF!,'Raw Period DMR Data'!$C:$C,X2047)/S2047</f>
        <v>0</v>
      </c>
      <c r="U2047" s="28" t="str">
        <f>+IF(COUNTIFS('Raw Period DMR Data'!$A:$A,B2047,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47" s="28" t="str" cm="1">
        <f t="array" ref="V2047">IFERROR(INDEX('Raw Period DMR Data'!N:N,MATCH(1,(B2047='Raw Period DMR Data'!$A:$A)*(U2047='Raw Period DMR Data'!M:M)*(X2047='Raw Period DMR Data'!C:C),0),1), "N/A")</f>
        <v>N/A</v>
      </c>
      <c r="W2047" s="28" t="s">
        <v>1463</v>
      </c>
      <c r="X2047" s="28" t="s">
        <v>7234</v>
      </c>
      <c r="Y2047" s="28" t="s">
        <v>7320</v>
      </c>
      <c r="Z2047" s="61"/>
      <c r="AB2047" s="28" t="s">
        <v>7355</v>
      </c>
      <c r="AC2047" s="28" t="s">
        <v>1466</v>
      </c>
    </row>
    <row r="2048" spans="1:29" x14ac:dyDescent="0.25">
      <c r="A2048" s="61">
        <v>110064644782</v>
      </c>
      <c r="B2048" s="28">
        <v>2022</v>
      </c>
      <c r="C2048" s="68">
        <f t="shared" si="32"/>
        <v>44562</v>
      </c>
      <c r="D2048" s="28" t="s">
        <v>6789</v>
      </c>
      <c r="E2048" s="28" t="s">
        <v>6940</v>
      </c>
      <c r="F2048" s="28" t="s">
        <v>302</v>
      </c>
      <c r="G2048" s="28" t="s">
        <v>303</v>
      </c>
      <c r="H2048" s="28">
        <v>70807</v>
      </c>
      <c r="I2048" s="28">
        <v>30.584540000000001</v>
      </c>
      <c r="J2048" s="28">
        <v>-91.247479999999996</v>
      </c>
      <c r="L2048" s="61">
        <v>110064644782</v>
      </c>
      <c r="M2048" s="28" t="s">
        <v>264</v>
      </c>
      <c r="N2048" s="28">
        <v>4953</v>
      </c>
      <c r="O2048" s="28" t="str">
        <f>IFERROR(VLOOKUP(N2048, 'SIC &amp; NAICS Codes'!A:B, 2, FALSE), "")</f>
        <v>Refuse Systems (hazardous waste treatment and disposal)</v>
      </c>
      <c r="S2048" s="28">
        <v>0.99645802500000002</v>
      </c>
      <c r="T2048" s="315">
        <f>_xlfn.MAXIFS('Raw Period DMR Data'!$O:$O,'Raw Period DMR Data'!$A:$A,'Raw Annual DMR Data_2021-2024'!#REF!,'Raw Period DMR Data'!$C:$C,X2048)/S2048</f>
        <v>0</v>
      </c>
      <c r="U2048" s="28" t="str">
        <f>+IF(COUNTIFS('Raw Period DMR Data'!$A:$A,B2048,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48" s="28" t="str" cm="1">
        <f t="array" ref="V2048">IFERROR(INDEX('Raw Period DMR Data'!N:N,MATCH(1,(B2048='Raw Period DMR Data'!$A:$A)*(U2048='Raw Period DMR Data'!M:M)*(X2048='Raw Period DMR Data'!C:C),0),1), "N/A")</f>
        <v>N/A</v>
      </c>
      <c r="W2048" s="28" t="s">
        <v>1463</v>
      </c>
      <c r="X2048" s="28" t="s">
        <v>7148</v>
      </c>
      <c r="Y2048" s="28" t="s">
        <v>7259</v>
      </c>
      <c r="Z2048" s="61">
        <v>8070201000153</v>
      </c>
      <c r="AB2048" s="28" t="s">
        <v>7355</v>
      </c>
      <c r="AC2048" s="28" t="s">
        <v>1466</v>
      </c>
    </row>
    <row r="2049" spans="1:29" x14ac:dyDescent="0.25">
      <c r="A2049" s="61">
        <v>110000449774</v>
      </c>
      <c r="B2049" s="28">
        <v>2022</v>
      </c>
      <c r="C2049" s="68">
        <f t="shared" si="32"/>
        <v>44562</v>
      </c>
      <c r="D2049" s="28" t="s">
        <v>6822</v>
      </c>
      <c r="E2049" s="28" t="s">
        <v>584</v>
      </c>
      <c r="F2049" s="28" t="s">
        <v>516</v>
      </c>
      <c r="G2049" s="28" t="s">
        <v>303</v>
      </c>
      <c r="H2049" s="28">
        <v>707340227</v>
      </c>
      <c r="I2049" s="28">
        <v>30.185099999999998</v>
      </c>
      <c r="J2049" s="28">
        <v>-90.980400000000003</v>
      </c>
      <c r="K2049" s="28" t="s">
        <v>585</v>
      </c>
      <c r="L2049" s="61">
        <v>110000449774</v>
      </c>
      <c r="M2049" s="28" t="s">
        <v>251</v>
      </c>
      <c r="N2049" s="28">
        <v>2812</v>
      </c>
      <c r="O2049" s="28" t="str">
        <f>IFERROR(VLOOKUP(N2049, 'SIC &amp; NAICS Codes'!A:B, 2, FALSE), "")</f>
        <v>Alkalies and Chlorine</v>
      </c>
      <c r="S2049" s="28">
        <v>92.016720000000007</v>
      </c>
      <c r="T2049" s="315">
        <f>_xlfn.MAXIFS('Raw Period DMR Data'!$O:$O,'Raw Period DMR Data'!$A:$A,'Raw Annual DMR Data_2021-2024'!B2288,'Raw Period DMR Data'!$C:$C,X2049)/S2049</f>
        <v>0</v>
      </c>
      <c r="U2049" s="28" t="str">
        <f>+IF(COUNTIFS('Raw Period DMR Data'!$A:$A,B2049, 'Raw Period DMR Data'!C:C,'Raw Annual DMR Data_2021-2024'!X2288, 'Raw Period DMR Data'!M:M, "&gt;0")&gt;0,_xlfn.MAXIFS('Raw Period DMR Data'!M:M,'Raw Period DMR Data'!$A:$A,'Raw Annual DMR Data_2021-2024'!B2288,'Raw Period DMR Data'!C:C,'Raw Annual DMR Data_2021-2024'!X2288), "N/A - Period DMR Data Not Available")</f>
        <v>N/A - Period DMR Data Not Available</v>
      </c>
      <c r="V2049" s="28" t="str" cm="1">
        <f t="array" ref="V2049">IFERROR(INDEX('Raw Period DMR Data'!N:N,MATCH(1,(B2049='Raw Period DMR Data'!$A:$A)*(U2049='Raw Period DMR Data'!M:M)*(X2049='Raw Period DMR Data'!C:C),0),1), "N/A")</f>
        <v>N/A</v>
      </c>
      <c r="W2049" s="28" t="s">
        <v>1463</v>
      </c>
      <c r="X2049" s="28" t="s">
        <v>912</v>
      </c>
      <c r="Y2049" s="28">
        <v>701</v>
      </c>
      <c r="Z2049" s="61">
        <v>8090302006735</v>
      </c>
      <c r="AC2049" s="28" t="s">
        <v>1466</v>
      </c>
    </row>
    <row r="2050" spans="1:29" x14ac:dyDescent="0.25">
      <c r="A2050" s="61">
        <v>110064644782</v>
      </c>
      <c r="B2050" s="28">
        <v>2022</v>
      </c>
      <c r="C2050" s="68">
        <f t="shared" si="32"/>
        <v>44562</v>
      </c>
      <c r="D2050" s="28" t="s">
        <v>6789</v>
      </c>
      <c r="E2050" s="28" t="s">
        <v>6940</v>
      </c>
      <c r="F2050" s="28" t="s">
        <v>302</v>
      </c>
      <c r="G2050" s="28" t="s">
        <v>303</v>
      </c>
      <c r="H2050" s="28">
        <v>70807</v>
      </c>
      <c r="I2050" s="28">
        <v>30.584540000000001</v>
      </c>
      <c r="J2050" s="28">
        <v>-91.247479999999996</v>
      </c>
      <c r="L2050" s="61">
        <v>110064644782</v>
      </c>
      <c r="M2050" s="28" t="s">
        <v>264</v>
      </c>
      <c r="N2050" s="28">
        <v>4953</v>
      </c>
      <c r="O2050" s="28" t="str">
        <f>IFERROR(VLOOKUP(N2050, 'SIC &amp; NAICS Codes'!A:B, 2, FALSE), "")</f>
        <v>Refuse Systems (hazardous waste treatment and disposal)</v>
      </c>
      <c r="S2050" s="28">
        <v>0.16559375000000001</v>
      </c>
      <c r="T2050" s="315">
        <f>_xlfn.MAXIFS('Raw Period DMR Data'!$O:$O,'Raw Period DMR Data'!$A:$A,'Raw Annual DMR Data_2021-2024'!#REF!,'Raw Period DMR Data'!$C:$C,X2050)/S2050</f>
        <v>0</v>
      </c>
      <c r="U2050" s="28" t="str">
        <f>+IF(COUNTIFS('Raw Period DMR Data'!$A:$A,B2050,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50" s="28" t="str" cm="1">
        <f t="array" ref="V2050">IFERROR(INDEX('Raw Period DMR Data'!N:N,MATCH(1,(B2050='Raw Period DMR Data'!$A:$A)*(U2050='Raw Period DMR Data'!M:M)*(X2050='Raw Period DMR Data'!C:C),0),1), "N/A")</f>
        <v>N/A</v>
      </c>
      <c r="W2050" s="28" t="s">
        <v>1463</v>
      </c>
      <c r="X2050" s="28" t="s">
        <v>7148</v>
      </c>
      <c r="Y2050" s="28" t="s">
        <v>7259</v>
      </c>
      <c r="Z2050" s="61">
        <v>8070201000153</v>
      </c>
      <c r="AB2050" s="28" t="s">
        <v>7355</v>
      </c>
      <c r="AC2050" s="28" t="s">
        <v>1466</v>
      </c>
    </row>
    <row r="2051" spans="1:29" x14ac:dyDescent="0.25">
      <c r="A2051" s="61">
        <v>110022905588</v>
      </c>
      <c r="B2051" s="28">
        <v>2022</v>
      </c>
      <c r="C2051" s="68">
        <f t="shared" si="32"/>
        <v>44562</v>
      </c>
      <c r="D2051" s="28" t="s">
        <v>1268</v>
      </c>
      <c r="E2051" s="28" t="s">
        <v>2074</v>
      </c>
      <c r="F2051" s="28" t="s">
        <v>1269</v>
      </c>
      <c r="G2051" s="28" t="s">
        <v>324</v>
      </c>
      <c r="H2051" s="28">
        <v>40026</v>
      </c>
      <c r="I2051" s="28">
        <v>38.417499999999997</v>
      </c>
      <c r="J2051" s="28">
        <v>-85.611109999999996</v>
      </c>
      <c r="L2051" s="61">
        <v>110022905588</v>
      </c>
      <c r="M2051" s="28" t="s">
        <v>263</v>
      </c>
      <c r="N2051" s="28">
        <v>4952</v>
      </c>
      <c r="O2051" s="28" t="str">
        <f>IFERROR(VLOOKUP(N2051, 'SIC &amp; NAICS Codes'!A:B, 2, FALSE), "")</f>
        <v>Sewerage Systems</v>
      </c>
      <c r="S2051" s="28">
        <v>2.756142375</v>
      </c>
      <c r="T2051" s="315">
        <f>_xlfn.MAXIFS('Raw Period DMR Data'!$O:$O,'Raw Period DMR Data'!$A:$A,'Raw Annual DMR Data_2021-2024'!#REF!,'Raw Period DMR Data'!$C:$C,X2051)/S2051</f>
        <v>0</v>
      </c>
      <c r="U2051" s="28" t="str">
        <f>+IF(COUNTIFS('Raw Period DMR Data'!$A:$A,B2051,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51" s="28" t="str" cm="1">
        <f t="array" ref="V2051">IFERROR(INDEX('Raw Period DMR Data'!N:N,MATCH(1,(B2051='Raw Period DMR Data'!$A:$A)*(U2051='Raw Period DMR Data'!M:M)*(X2051='Raw Period DMR Data'!C:C),0),1), "N/A")</f>
        <v>N/A</v>
      </c>
      <c r="W2051" s="28" t="s">
        <v>1463</v>
      </c>
      <c r="X2051" s="28" t="s">
        <v>2075</v>
      </c>
      <c r="Y2051" s="28" t="s">
        <v>830</v>
      </c>
      <c r="Z2051" s="61">
        <v>5140101000032</v>
      </c>
      <c r="AB2051" s="28" t="s">
        <v>7355</v>
      </c>
      <c r="AC2051" s="28" t="s">
        <v>263</v>
      </c>
    </row>
    <row r="2052" spans="1:29" x14ac:dyDescent="0.25">
      <c r="A2052" s="61">
        <v>110022905588</v>
      </c>
      <c r="B2052" s="28">
        <v>2024</v>
      </c>
      <c r="C2052" s="68">
        <f t="shared" si="32"/>
        <v>45292</v>
      </c>
      <c r="D2052" s="28" t="s">
        <v>1268</v>
      </c>
      <c r="E2052" s="28" t="s">
        <v>2074</v>
      </c>
      <c r="F2052" s="28" t="s">
        <v>1269</v>
      </c>
      <c r="G2052" s="28" t="s">
        <v>324</v>
      </c>
      <c r="H2052" s="28">
        <v>40026</v>
      </c>
      <c r="I2052" s="28">
        <v>38.417499999999997</v>
      </c>
      <c r="J2052" s="28">
        <v>-85.611109999999996</v>
      </c>
      <c r="L2052" s="61">
        <v>110022905588</v>
      </c>
      <c r="M2052" s="28" t="s">
        <v>263</v>
      </c>
      <c r="N2052" s="28">
        <v>4952</v>
      </c>
      <c r="O2052" s="28" t="str">
        <f>IFERROR(VLOOKUP(N2052, 'SIC &amp; NAICS Codes'!A:B, 2, FALSE), "")</f>
        <v>Sewerage Systems</v>
      </c>
      <c r="S2052" s="28">
        <v>2.3371949187499999</v>
      </c>
      <c r="T2052" s="315">
        <f>_xlfn.MAXIFS('Raw Period DMR Data'!$O:$O,'Raw Period DMR Data'!$A:$A,'Raw Annual DMR Data_2021-2024'!#REF!,'Raw Period DMR Data'!$C:$C,X2052)/S2052</f>
        <v>0</v>
      </c>
      <c r="U2052" s="28" t="str">
        <f>+IF(COUNTIFS('Raw Period DMR Data'!$A:$A,B2052,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52" s="28" t="str" cm="1">
        <f t="array" ref="V2052">IFERROR(INDEX('Raw Period DMR Data'!N:N,MATCH(1,(B2052='Raw Period DMR Data'!$A:$A)*(U2052='Raw Period DMR Data'!M:M)*(X2052='Raw Period DMR Data'!C:C),0),1), "N/A")</f>
        <v>N/A</v>
      </c>
      <c r="W2052" s="28" t="s">
        <v>1463</v>
      </c>
      <c r="X2052" s="28" t="s">
        <v>2075</v>
      </c>
      <c r="Y2052" s="28" t="s">
        <v>830</v>
      </c>
      <c r="Z2052" s="61">
        <v>5140101000032</v>
      </c>
      <c r="AB2052" s="28" t="s">
        <v>7355</v>
      </c>
      <c r="AC2052" s="28" t="s">
        <v>263</v>
      </c>
    </row>
    <row r="2053" spans="1:29" x14ac:dyDescent="0.25">
      <c r="A2053" s="61">
        <v>110022905588</v>
      </c>
      <c r="B2053" s="28">
        <v>2021</v>
      </c>
      <c r="C2053" s="68">
        <f t="shared" si="32"/>
        <v>44197</v>
      </c>
      <c r="D2053" s="28" t="s">
        <v>1268</v>
      </c>
      <c r="E2053" s="28" t="s">
        <v>2074</v>
      </c>
      <c r="F2053" s="28" t="s">
        <v>1269</v>
      </c>
      <c r="G2053" s="28" t="s">
        <v>324</v>
      </c>
      <c r="H2053" s="28">
        <v>40026</v>
      </c>
      <c r="I2053" s="28">
        <v>38.417499999999997</v>
      </c>
      <c r="J2053" s="28">
        <v>-85.611109999999996</v>
      </c>
      <c r="L2053" s="61">
        <v>110022905588</v>
      </c>
      <c r="M2053" s="28" t="s">
        <v>263</v>
      </c>
      <c r="N2053" s="28">
        <v>4952</v>
      </c>
      <c r="O2053" s="28" t="str">
        <f>IFERROR(VLOOKUP(N2053, 'SIC &amp; NAICS Codes'!A:B, 2, FALSE), "")</f>
        <v>Sewerage Systems</v>
      </c>
      <c r="S2053" s="28">
        <v>1.982488375</v>
      </c>
      <c r="T2053" s="315">
        <f>_xlfn.MAXIFS('Raw Period DMR Data'!$O:$O,'Raw Period DMR Data'!$A:$A,'Raw Annual DMR Data_2021-2024'!#REF!,'Raw Period DMR Data'!$C:$C,X2053)/S2053</f>
        <v>0</v>
      </c>
      <c r="U2053" s="28" t="str">
        <f>+IF(COUNTIFS('Raw Period DMR Data'!$A:$A,B2053,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53" s="28" t="str" cm="1">
        <f t="array" ref="V2053">IFERROR(INDEX('Raw Period DMR Data'!N:N,MATCH(1,(B2053='Raw Period DMR Data'!$A:$A)*(U2053='Raw Period DMR Data'!M:M)*(X2053='Raw Period DMR Data'!C:C),0),1), "N/A")</f>
        <v>N/A</v>
      </c>
      <c r="W2053" s="28" t="s">
        <v>1463</v>
      </c>
      <c r="X2053" s="28" t="s">
        <v>2075</v>
      </c>
      <c r="Y2053" s="28" t="s">
        <v>830</v>
      </c>
      <c r="Z2053" s="61">
        <v>5140101000032</v>
      </c>
      <c r="AA2053" s="28"/>
      <c r="AB2053" s="28" t="s">
        <v>7355</v>
      </c>
      <c r="AC2053" s="28" t="s">
        <v>263</v>
      </c>
    </row>
    <row r="2054" spans="1:29" x14ac:dyDescent="0.25">
      <c r="A2054" s="61">
        <v>110064615590</v>
      </c>
      <c r="B2054" s="28">
        <v>2024</v>
      </c>
      <c r="C2054" s="68">
        <f t="shared" si="32"/>
        <v>45292</v>
      </c>
      <c r="D2054" s="28" t="s">
        <v>6818</v>
      </c>
      <c r="E2054" s="28" t="s">
        <v>6974</v>
      </c>
      <c r="F2054" s="28" t="s">
        <v>6975</v>
      </c>
      <c r="G2054" s="28" t="s">
        <v>324</v>
      </c>
      <c r="H2054" s="28">
        <v>40014</v>
      </c>
      <c r="I2054" s="28">
        <v>38.32978</v>
      </c>
      <c r="J2054" s="28">
        <v>-85.540719999999993</v>
      </c>
      <c r="L2054" s="61">
        <v>110064615590</v>
      </c>
      <c r="M2054" s="28" t="s">
        <v>263</v>
      </c>
      <c r="N2054" s="28">
        <v>4952</v>
      </c>
      <c r="O2054" s="28" t="str">
        <f>IFERROR(VLOOKUP(N2054, 'SIC &amp; NAICS Codes'!A:B, 2, FALSE), "")</f>
        <v>Sewerage Systems</v>
      </c>
      <c r="S2054" s="28">
        <v>1.3159025625</v>
      </c>
      <c r="T2054" s="315">
        <f>_xlfn.MAXIFS('Raw Period DMR Data'!$O:$O,'Raw Period DMR Data'!$A:$A,'Raw Annual DMR Data_2021-2024'!#REF!,'Raw Period DMR Data'!$C:$C,X2054)/S2054</f>
        <v>0</v>
      </c>
      <c r="U2054" s="28" t="str">
        <f>+IF(COUNTIFS('Raw Period DMR Data'!$A:$A,B2054,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54" s="28" t="str" cm="1">
        <f t="array" ref="V2054">IFERROR(INDEX('Raw Period DMR Data'!N:N,MATCH(1,(B2054='Raw Period DMR Data'!$A:$A)*(U2054='Raw Period DMR Data'!M:M)*(X2054='Raw Period DMR Data'!C:C),0),1), "N/A")</f>
        <v>N/A</v>
      </c>
      <c r="W2054" s="28" t="s">
        <v>1463</v>
      </c>
      <c r="X2054" s="28" t="s">
        <v>7163</v>
      </c>
      <c r="Y2054" s="28" t="s">
        <v>7275</v>
      </c>
      <c r="Z2054" s="61">
        <v>5140101000441</v>
      </c>
      <c r="AB2054" s="28" t="s">
        <v>7355</v>
      </c>
      <c r="AC2054" s="28" t="s">
        <v>263</v>
      </c>
    </row>
    <row r="2055" spans="1:29" x14ac:dyDescent="0.25">
      <c r="A2055" s="61">
        <v>110064615590</v>
      </c>
      <c r="B2055" s="28">
        <v>2021</v>
      </c>
      <c r="C2055" s="68">
        <f t="shared" ref="C2055:C2118" si="33">DATE(B2055, 1, 1)</f>
        <v>44197</v>
      </c>
      <c r="D2055" s="28" t="s">
        <v>6818</v>
      </c>
      <c r="E2055" s="28" t="s">
        <v>6974</v>
      </c>
      <c r="F2055" s="28" t="s">
        <v>6975</v>
      </c>
      <c r="G2055" s="28" t="s">
        <v>324</v>
      </c>
      <c r="H2055" s="28">
        <v>40014</v>
      </c>
      <c r="I2055" s="28">
        <v>38.32978</v>
      </c>
      <c r="J2055" s="28">
        <v>-85.540719999999993</v>
      </c>
      <c r="L2055" s="61">
        <v>110064615590</v>
      </c>
      <c r="M2055" s="28" t="s">
        <v>263</v>
      </c>
      <c r="N2055" s="28">
        <v>4952</v>
      </c>
      <c r="O2055" s="28" t="str">
        <f>IFERROR(VLOOKUP(N2055, 'SIC &amp; NAICS Codes'!A:B, 2, FALSE), "")</f>
        <v>Sewerage Systems</v>
      </c>
      <c r="S2055" s="28">
        <v>1.1846576874999999</v>
      </c>
      <c r="T2055" s="315">
        <f>_xlfn.MAXIFS('Raw Period DMR Data'!$O:$O,'Raw Period DMR Data'!$A:$A,'Raw Annual DMR Data_2021-2024'!#REF!,'Raw Period DMR Data'!$C:$C,X2055)/S2055</f>
        <v>0</v>
      </c>
      <c r="U2055" s="28" t="str">
        <f>+IF(COUNTIFS('Raw Period DMR Data'!$A:$A,B2055,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55" s="28" t="str" cm="1">
        <f t="array" ref="V2055">IFERROR(INDEX('Raw Period DMR Data'!N:N,MATCH(1,(B2055='Raw Period DMR Data'!$A:$A)*(U2055='Raw Period DMR Data'!M:M)*(X2055='Raw Period DMR Data'!C:C),0),1), "N/A")</f>
        <v>N/A</v>
      </c>
      <c r="W2055" s="28" t="s">
        <v>1463</v>
      </c>
      <c r="X2055" s="28" t="s">
        <v>7163</v>
      </c>
      <c r="Y2055" s="28" t="s">
        <v>7275</v>
      </c>
      <c r="Z2055" s="61">
        <v>5140101000441</v>
      </c>
      <c r="AA2055" s="28"/>
      <c r="AB2055" s="28" t="s">
        <v>7355</v>
      </c>
      <c r="AC2055" s="28" t="s">
        <v>263</v>
      </c>
    </row>
    <row r="2056" spans="1:29" x14ac:dyDescent="0.25">
      <c r="A2056" s="61">
        <v>110064615590</v>
      </c>
      <c r="B2056" s="28">
        <v>2022</v>
      </c>
      <c r="C2056" s="68">
        <f t="shared" si="33"/>
        <v>44562</v>
      </c>
      <c r="D2056" s="28" t="s">
        <v>6818</v>
      </c>
      <c r="E2056" s="28" t="s">
        <v>6974</v>
      </c>
      <c r="F2056" s="28" t="s">
        <v>6975</v>
      </c>
      <c r="G2056" s="28" t="s">
        <v>324</v>
      </c>
      <c r="H2056" s="28">
        <v>40014</v>
      </c>
      <c r="I2056" s="28">
        <v>38.32978</v>
      </c>
      <c r="J2056" s="28">
        <v>-85.540719999999993</v>
      </c>
      <c r="L2056" s="61">
        <v>110064615590</v>
      </c>
      <c r="M2056" s="28" t="s">
        <v>263</v>
      </c>
      <c r="N2056" s="28">
        <v>4952</v>
      </c>
      <c r="O2056" s="28" t="str">
        <f>IFERROR(VLOOKUP(N2056, 'SIC &amp; NAICS Codes'!A:B, 2, FALSE), "")</f>
        <v>Sewerage Systems</v>
      </c>
      <c r="S2056" s="28">
        <v>0.97397512500000005</v>
      </c>
      <c r="T2056" s="315">
        <f>_xlfn.MAXIFS('Raw Period DMR Data'!$O:$O,'Raw Period DMR Data'!$A:$A,'Raw Annual DMR Data_2021-2024'!#REF!,'Raw Period DMR Data'!$C:$C,X2056)/S2056</f>
        <v>0</v>
      </c>
      <c r="U2056" s="28" t="str">
        <f>+IF(COUNTIFS('Raw Period DMR Data'!$A:$A,B2056,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56" s="28" t="str" cm="1">
        <f t="array" ref="V2056">IFERROR(INDEX('Raw Period DMR Data'!N:N,MATCH(1,(B2056='Raw Period DMR Data'!$A:$A)*(U2056='Raw Period DMR Data'!M:M)*(X2056='Raw Period DMR Data'!C:C),0),1), "N/A")</f>
        <v>N/A</v>
      </c>
      <c r="W2056" s="28" t="s">
        <v>1463</v>
      </c>
      <c r="X2056" s="28" t="s">
        <v>7163</v>
      </c>
      <c r="Y2056" s="28" t="s">
        <v>7275</v>
      </c>
      <c r="Z2056" s="61">
        <v>5140101000441</v>
      </c>
      <c r="AB2056" s="28" t="s">
        <v>7355</v>
      </c>
      <c r="AC2056" s="28" t="s">
        <v>263</v>
      </c>
    </row>
    <row r="2057" spans="1:29" x14ac:dyDescent="0.25">
      <c r="A2057" s="61">
        <v>110064615590</v>
      </c>
      <c r="B2057" s="28">
        <v>2023</v>
      </c>
      <c r="C2057" s="68">
        <f t="shared" si="33"/>
        <v>44927</v>
      </c>
      <c r="D2057" s="28" t="s">
        <v>6818</v>
      </c>
      <c r="E2057" s="28" t="s">
        <v>6974</v>
      </c>
      <c r="F2057" s="28" t="s">
        <v>6975</v>
      </c>
      <c r="G2057" s="28" t="s">
        <v>324</v>
      </c>
      <c r="H2057" s="28">
        <v>40014</v>
      </c>
      <c r="I2057" s="28">
        <v>38.32978</v>
      </c>
      <c r="J2057" s="28">
        <v>-85.540719999999993</v>
      </c>
      <c r="L2057" s="61">
        <v>110064615590</v>
      </c>
      <c r="M2057" s="28" t="s">
        <v>263</v>
      </c>
      <c r="N2057" s="28">
        <v>4952</v>
      </c>
      <c r="O2057" s="28" t="str">
        <f>IFERROR(VLOOKUP(N2057, 'SIC &amp; NAICS Codes'!A:B, 2, FALSE), "")</f>
        <v>Sewerage Systems</v>
      </c>
      <c r="S2057" s="28">
        <v>0.74256968749999996</v>
      </c>
      <c r="T2057" s="315">
        <f>_xlfn.MAXIFS('Raw Period DMR Data'!$O:$O,'Raw Period DMR Data'!$A:$A,'Raw Annual DMR Data_2021-2024'!#REF!,'Raw Period DMR Data'!$C:$C,X2057)/S2057</f>
        <v>0</v>
      </c>
      <c r="U2057" s="28" t="str">
        <f>+IF(COUNTIFS('Raw Period DMR Data'!$A:$A,B2057,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57" s="28" t="str" cm="1">
        <f t="array" ref="V2057">IFERROR(INDEX('Raw Period DMR Data'!N:N,MATCH(1,(B2057='Raw Period DMR Data'!$A:$A)*(U2057='Raw Period DMR Data'!M:M)*(X2057='Raw Period DMR Data'!C:C),0),1), "N/A")</f>
        <v>N/A</v>
      </c>
      <c r="W2057" s="28" t="s">
        <v>1463</v>
      </c>
      <c r="X2057" s="28" t="s">
        <v>7163</v>
      </c>
      <c r="Y2057" s="28" t="s">
        <v>7275</v>
      </c>
      <c r="Z2057" s="61" t="s">
        <v>7334</v>
      </c>
      <c r="AB2057" s="28" t="s">
        <v>7355</v>
      </c>
      <c r="AC2057" s="28" t="s">
        <v>263</v>
      </c>
    </row>
    <row r="2058" spans="1:29" x14ac:dyDescent="0.25">
      <c r="A2058" s="61">
        <v>110006740161</v>
      </c>
      <c r="B2058" s="28">
        <v>2022</v>
      </c>
      <c r="C2058" s="68">
        <f t="shared" si="33"/>
        <v>44562</v>
      </c>
      <c r="D2058" s="28" t="s">
        <v>1270</v>
      </c>
      <c r="E2058" s="28" t="s">
        <v>2076</v>
      </c>
      <c r="F2058" s="28" t="s">
        <v>1271</v>
      </c>
      <c r="G2058" s="28" t="s">
        <v>427</v>
      </c>
      <c r="H2058" s="28">
        <v>49424</v>
      </c>
      <c r="I2058" s="28">
        <v>42.813049999999997</v>
      </c>
      <c r="J2058" s="28">
        <v>-86.197429999999997</v>
      </c>
      <c r="L2058" s="61">
        <v>110006740161</v>
      </c>
      <c r="M2058" s="28" t="s">
        <v>265</v>
      </c>
      <c r="N2058" s="28">
        <v>4953</v>
      </c>
      <c r="O2058" s="28" t="str">
        <f>IFERROR(VLOOKUP(N2058, 'SIC &amp; NAICS Codes'!A:B, 2, FALSE), "")</f>
        <v>Refuse Systems (hazardous waste treatment and disposal)</v>
      </c>
      <c r="S2058" s="28">
        <v>0.19588056300000001</v>
      </c>
      <c r="T2058" s="315">
        <f>_xlfn.MAXIFS('Raw Period DMR Data'!$O:$O,'Raw Period DMR Data'!$A:$A,'Raw Annual DMR Data_2021-2024'!#REF!,'Raw Period DMR Data'!$C:$C,X2058)/S2058</f>
        <v>0</v>
      </c>
      <c r="U2058" s="28" t="str">
        <f>+IF(COUNTIFS('Raw Period DMR Data'!$A:$A,B2058,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58" s="28" t="str" cm="1">
        <f t="array" ref="V2058">IFERROR(INDEX('Raw Period DMR Data'!N:N,MATCH(1,(B2058='Raw Period DMR Data'!$A:$A)*(U2058='Raw Period DMR Data'!M:M)*(X2058='Raw Period DMR Data'!C:C),0),1), "N/A")</f>
        <v>N/A</v>
      </c>
      <c r="W2058" s="28" t="s">
        <v>1463</v>
      </c>
      <c r="X2058" s="28" t="s">
        <v>2077</v>
      </c>
      <c r="Y2058" s="28" t="s">
        <v>2078</v>
      </c>
      <c r="Z2058" s="61">
        <v>4050002000163</v>
      </c>
      <c r="AB2058" s="28" t="s">
        <v>7355</v>
      </c>
      <c r="AC2058" s="28" t="s">
        <v>1466</v>
      </c>
    </row>
    <row r="2059" spans="1:29" x14ac:dyDescent="0.25">
      <c r="A2059" s="61">
        <v>110006740161</v>
      </c>
      <c r="B2059" s="28">
        <v>2021</v>
      </c>
      <c r="C2059" s="68">
        <f t="shared" si="33"/>
        <v>44197</v>
      </c>
      <c r="D2059" s="28" t="s">
        <v>1270</v>
      </c>
      <c r="E2059" s="28" t="s">
        <v>2076</v>
      </c>
      <c r="F2059" s="28" t="s">
        <v>1271</v>
      </c>
      <c r="G2059" s="28" t="s">
        <v>427</v>
      </c>
      <c r="H2059" s="28">
        <v>49424</v>
      </c>
      <c r="I2059" s="28">
        <v>42.813049999999997</v>
      </c>
      <c r="J2059" s="28">
        <v>-86.197429999999997</v>
      </c>
      <c r="L2059" s="61">
        <v>110006740161</v>
      </c>
      <c r="M2059" s="28" t="s">
        <v>265</v>
      </c>
      <c r="N2059" s="28">
        <v>4953</v>
      </c>
      <c r="O2059" s="28" t="str">
        <f>IFERROR(VLOOKUP(N2059, 'SIC &amp; NAICS Codes'!A:B, 2, FALSE), "")</f>
        <v>Refuse Systems (hazardous waste treatment and disposal)</v>
      </c>
      <c r="S2059" s="28">
        <v>0.1820414675</v>
      </c>
      <c r="T2059" s="315">
        <f>_xlfn.MAXIFS('Raw Period DMR Data'!$O:$O,'Raw Period DMR Data'!$A:$A,'Raw Annual DMR Data_2021-2024'!#REF!,'Raw Period DMR Data'!$C:$C,X2059)/S2059</f>
        <v>0</v>
      </c>
      <c r="U2059" s="28" t="str">
        <f>+IF(COUNTIFS('Raw Period DMR Data'!$A:$A,B2059,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59" s="28" t="str" cm="1">
        <f t="array" ref="V2059">IFERROR(INDEX('Raw Period DMR Data'!N:N,MATCH(1,(B2059='Raw Period DMR Data'!$A:$A)*(U2059='Raw Period DMR Data'!M:M)*(X2059='Raw Period DMR Data'!C:C),0),1), "N/A")</f>
        <v>N/A</v>
      </c>
      <c r="W2059" s="28" t="s">
        <v>1463</v>
      </c>
      <c r="X2059" s="28" t="s">
        <v>2077</v>
      </c>
      <c r="Y2059" s="28" t="s">
        <v>2078</v>
      </c>
      <c r="Z2059" s="61">
        <v>4050002000163</v>
      </c>
      <c r="AA2059" s="28"/>
      <c r="AB2059" s="28" t="s">
        <v>7355</v>
      </c>
      <c r="AC2059" s="28" t="s">
        <v>1466</v>
      </c>
    </row>
    <row r="2060" spans="1:29" x14ac:dyDescent="0.25">
      <c r="A2060" s="61">
        <v>110043734983</v>
      </c>
      <c r="B2060" s="28">
        <v>2021</v>
      </c>
      <c r="C2060" s="68">
        <f t="shared" si="33"/>
        <v>44197</v>
      </c>
      <c r="D2060" s="28" t="s">
        <v>1272</v>
      </c>
      <c r="E2060" s="28" t="s">
        <v>2080</v>
      </c>
      <c r="F2060" s="28" t="s">
        <v>1273</v>
      </c>
      <c r="G2060" s="28" t="s">
        <v>324</v>
      </c>
      <c r="H2060" s="28">
        <v>42303</v>
      </c>
      <c r="I2060" s="28">
        <v>37.770769999999999</v>
      </c>
      <c r="J2060" s="28">
        <v>-87.065669999999997</v>
      </c>
      <c r="L2060" s="61">
        <v>110043734983</v>
      </c>
      <c r="M2060" s="28" t="s">
        <v>263</v>
      </c>
      <c r="N2060" s="28">
        <v>4952</v>
      </c>
      <c r="O2060" s="28" t="str">
        <f>IFERROR(VLOOKUP(N2060, 'SIC &amp; NAICS Codes'!A:B, 2, FALSE), "")</f>
        <v>Sewerage Systems</v>
      </c>
      <c r="S2060" s="28">
        <v>14.333321874999999</v>
      </c>
      <c r="T2060" s="315">
        <f>_xlfn.MAXIFS('Raw Period DMR Data'!$O:$O,'Raw Period DMR Data'!$A:$A,'Raw Annual DMR Data_2021-2024'!B2337,'Raw Period DMR Data'!$C:$C,X2060)/S2060</f>
        <v>0</v>
      </c>
      <c r="U2060" s="28" t="str">
        <f>+IF(COUNTIFS('Raw Period DMR Data'!$A:$A,B2060, 'Raw Period DMR Data'!C:C,'Raw Annual DMR Data_2021-2024'!X2337, 'Raw Period DMR Data'!M:M, "&gt;0")&gt;0,_xlfn.MAXIFS('Raw Period DMR Data'!M:M,'Raw Period DMR Data'!$A:$A,'Raw Annual DMR Data_2021-2024'!B2337,'Raw Period DMR Data'!C:C,'Raw Annual DMR Data_2021-2024'!X2337), "N/A - Period DMR Data Not Available")</f>
        <v>N/A - Period DMR Data Not Available</v>
      </c>
      <c r="V2060" s="28" t="str" cm="1">
        <f t="array" ref="V2060">IFERROR(INDEX('Raw Period DMR Data'!N:N,MATCH(1,(B2060='Raw Period DMR Data'!$A:$A)*(U2060='Raw Period DMR Data'!M:M)*(X2060='Raw Period DMR Data'!C:C),0),1), "N/A")</f>
        <v>N/A</v>
      </c>
      <c r="W2060" s="28" t="s">
        <v>1463</v>
      </c>
      <c r="X2060" s="28" t="s">
        <v>2081</v>
      </c>
      <c r="Y2060" s="28" t="s">
        <v>830</v>
      </c>
      <c r="Z2060" s="61">
        <v>5140201000008</v>
      </c>
      <c r="AA2060" s="28"/>
      <c r="AB2060" s="28" t="s">
        <v>7355</v>
      </c>
      <c r="AC2060" s="28" t="s">
        <v>263</v>
      </c>
    </row>
    <row r="2061" spans="1:29" x14ac:dyDescent="0.25">
      <c r="A2061" s="61">
        <v>110043734983</v>
      </c>
      <c r="B2061" s="28">
        <v>2023</v>
      </c>
      <c r="C2061" s="68">
        <f t="shared" si="33"/>
        <v>44927</v>
      </c>
      <c r="D2061" s="28" t="s">
        <v>1272</v>
      </c>
      <c r="E2061" s="28" t="s">
        <v>2080</v>
      </c>
      <c r="F2061" s="28" t="s">
        <v>1273</v>
      </c>
      <c r="G2061" s="28" t="s">
        <v>324</v>
      </c>
      <c r="H2061" s="28">
        <v>42303</v>
      </c>
      <c r="I2061" s="28">
        <v>37.770769999999999</v>
      </c>
      <c r="J2061" s="28">
        <v>-87.065669999999997</v>
      </c>
      <c r="L2061" s="61">
        <v>110043734983</v>
      </c>
      <c r="M2061" s="28" t="s">
        <v>263</v>
      </c>
      <c r="N2061" s="28">
        <v>4952</v>
      </c>
      <c r="O2061" s="28" t="str">
        <f>IFERROR(VLOOKUP(N2061, 'SIC &amp; NAICS Codes'!A:B, 2, FALSE), "")</f>
        <v>Sewerage Systems</v>
      </c>
      <c r="S2061" s="28">
        <v>4.7248155000000001</v>
      </c>
      <c r="T2061" s="315">
        <f>_xlfn.MAXIFS('Raw Period DMR Data'!$O:$O,'Raw Period DMR Data'!$A:$A,'Raw Annual DMR Data_2021-2024'!B2397,'Raw Period DMR Data'!$C:$C,X2061)/S2061</f>
        <v>0</v>
      </c>
      <c r="U2061" s="28" t="str">
        <f>+IF(COUNTIFS('Raw Period DMR Data'!$A:$A,B2061, 'Raw Period DMR Data'!C:C,'Raw Annual DMR Data_2021-2024'!X2397, 'Raw Period DMR Data'!M:M, "&gt;0")&gt;0,_xlfn.MAXIFS('Raw Period DMR Data'!M:M,'Raw Period DMR Data'!$A:$A,'Raw Annual DMR Data_2021-2024'!B2397,'Raw Period DMR Data'!C:C,'Raw Annual DMR Data_2021-2024'!X2397), "N/A - Period DMR Data Not Available")</f>
        <v>N/A - Period DMR Data Not Available</v>
      </c>
      <c r="V2061" s="28" t="str" cm="1">
        <f t="array" ref="V2061">IFERROR(INDEX('Raw Period DMR Data'!N:N,MATCH(1,(B2061='Raw Period DMR Data'!$A:$A)*(U2061='Raw Period DMR Data'!M:M)*(X2061='Raw Period DMR Data'!C:C),0),1), "N/A")</f>
        <v>N/A</v>
      </c>
      <c r="W2061" s="28" t="s">
        <v>1463</v>
      </c>
      <c r="X2061" s="28" t="s">
        <v>2081</v>
      </c>
      <c r="Y2061" s="28" t="s">
        <v>830</v>
      </c>
      <c r="Z2061" s="61" t="s">
        <v>2082</v>
      </c>
      <c r="AB2061" s="28" t="s">
        <v>7355</v>
      </c>
      <c r="AC2061" s="28" t="s">
        <v>263</v>
      </c>
    </row>
    <row r="2062" spans="1:29" x14ac:dyDescent="0.25">
      <c r="A2062" s="61">
        <v>110043734983</v>
      </c>
      <c r="B2062" s="28">
        <v>2024</v>
      </c>
      <c r="C2062" s="68">
        <f t="shared" si="33"/>
        <v>45292</v>
      </c>
      <c r="D2062" s="28" t="s">
        <v>1272</v>
      </c>
      <c r="E2062" s="28" t="s">
        <v>2080</v>
      </c>
      <c r="F2062" s="28" t="s">
        <v>1273</v>
      </c>
      <c r="G2062" s="28" t="s">
        <v>324</v>
      </c>
      <c r="H2062" s="28">
        <v>42303</v>
      </c>
      <c r="I2062" s="28">
        <v>37.770769999999999</v>
      </c>
      <c r="J2062" s="28">
        <v>-87.065669999999997</v>
      </c>
      <c r="L2062" s="61">
        <v>110043734983</v>
      </c>
      <c r="M2062" s="28" t="s">
        <v>263</v>
      </c>
      <c r="N2062" s="28">
        <v>4952</v>
      </c>
      <c r="O2062" s="28" t="str">
        <f>IFERROR(VLOOKUP(N2062, 'SIC &amp; NAICS Codes'!A:B, 2, FALSE), "")</f>
        <v>Sewerage Systems</v>
      </c>
      <c r="S2062" s="28">
        <v>2.9219253749999998</v>
      </c>
      <c r="T2062" s="315">
        <f>_xlfn.MAXIFS('Raw Period DMR Data'!$O:$O,'Raw Period DMR Data'!$A:$A,'Raw Annual DMR Data_2021-2024'!#REF!,'Raw Period DMR Data'!$C:$C,X2062)/S2062</f>
        <v>0</v>
      </c>
      <c r="U2062" s="28" t="str">
        <f>+IF(COUNTIFS('Raw Period DMR Data'!$A:$A,B2062,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62" s="28" t="str" cm="1">
        <f t="array" ref="V2062">IFERROR(INDEX('Raw Period DMR Data'!N:N,MATCH(1,(B2062='Raw Period DMR Data'!$A:$A)*(U2062='Raw Period DMR Data'!M:M)*(X2062='Raw Period DMR Data'!C:C),0),1), "N/A")</f>
        <v>N/A</v>
      </c>
      <c r="W2062" s="28" t="s">
        <v>1463</v>
      </c>
      <c r="X2062" s="28" t="s">
        <v>2081</v>
      </c>
      <c r="Y2062" s="28" t="s">
        <v>830</v>
      </c>
      <c r="Z2062" s="61">
        <v>5140201000008</v>
      </c>
      <c r="AB2062" s="28" t="s">
        <v>7355</v>
      </c>
      <c r="AC2062" s="28" t="s">
        <v>263</v>
      </c>
    </row>
    <row r="2063" spans="1:29" x14ac:dyDescent="0.25">
      <c r="A2063" s="61">
        <v>110043734983</v>
      </c>
      <c r="B2063" s="28">
        <v>2022</v>
      </c>
      <c r="C2063" s="68">
        <f t="shared" si="33"/>
        <v>44562</v>
      </c>
      <c r="D2063" s="28" t="s">
        <v>1272</v>
      </c>
      <c r="E2063" s="28" t="s">
        <v>2080</v>
      </c>
      <c r="F2063" s="28" t="s">
        <v>1273</v>
      </c>
      <c r="G2063" s="28" t="s">
        <v>324</v>
      </c>
      <c r="H2063" s="28">
        <v>42303</v>
      </c>
      <c r="I2063" s="28">
        <v>37.770769999999999</v>
      </c>
      <c r="J2063" s="28">
        <v>-87.065669999999997</v>
      </c>
      <c r="L2063" s="61">
        <v>110043734983</v>
      </c>
      <c r="M2063" s="28" t="s">
        <v>263</v>
      </c>
      <c r="N2063" s="28">
        <v>4952</v>
      </c>
      <c r="O2063" s="28" t="str">
        <f>IFERROR(VLOOKUP(N2063, 'SIC &amp; NAICS Codes'!A:B, 2, FALSE), "")</f>
        <v>Sewerage Systems</v>
      </c>
      <c r="S2063" s="28">
        <v>0.93446351000000005</v>
      </c>
      <c r="T2063" s="315">
        <f>_xlfn.MAXIFS('Raw Period DMR Data'!$O:$O,'Raw Period DMR Data'!$A:$A,'Raw Annual DMR Data_2021-2024'!#REF!,'Raw Period DMR Data'!$C:$C,X2063)/S2063</f>
        <v>0</v>
      </c>
      <c r="U2063" s="28" t="str">
        <f>+IF(COUNTIFS('Raw Period DMR Data'!$A:$A,B2063,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63" s="28" t="str" cm="1">
        <f t="array" ref="V2063">IFERROR(INDEX('Raw Period DMR Data'!N:N,MATCH(1,(B2063='Raw Period DMR Data'!$A:$A)*(U2063='Raw Period DMR Data'!M:M)*(X2063='Raw Period DMR Data'!C:C),0),1), "N/A")</f>
        <v>N/A</v>
      </c>
      <c r="W2063" s="28" t="s">
        <v>1463</v>
      </c>
      <c r="X2063" s="28" t="s">
        <v>2081</v>
      </c>
      <c r="Y2063" s="28" t="s">
        <v>830</v>
      </c>
      <c r="Z2063" s="61">
        <v>5140201000008</v>
      </c>
      <c r="AB2063" s="28" t="s">
        <v>7355</v>
      </c>
      <c r="AC2063" s="28" t="s">
        <v>263</v>
      </c>
    </row>
    <row r="2064" spans="1:29" x14ac:dyDescent="0.25">
      <c r="A2064" s="61">
        <v>110000747835</v>
      </c>
      <c r="B2064" s="28">
        <v>2022</v>
      </c>
      <c r="C2064" s="68">
        <f t="shared" si="33"/>
        <v>44562</v>
      </c>
      <c r="D2064" s="28" t="s">
        <v>6804</v>
      </c>
      <c r="E2064" s="28" t="s">
        <v>2083</v>
      </c>
      <c r="F2064" s="28" t="s">
        <v>1273</v>
      </c>
      <c r="G2064" s="28" t="s">
        <v>324</v>
      </c>
      <c r="H2064" s="28">
        <v>42303</v>
      </c>
      <c r="I2064" s="28">
        <v>37.8125</v>
      </c>
      <c r="J2064" s="28">
        <v>-87.05</v>
      </c>
      <c r="K2064" s="28" t="s">
        <v>729</v>
      </c>
      <c r="L2064" s="61">
        <v>110000747835</v>
      </c>
      <c r="M2064" s="28" t="s">
        <v>265</v>
      </c>
      <c r="N2064" s="28">
        <v>2821</v>
      </c>
      <c r="O2064" s="28" t="str">
        <f>IFERROR(VLOOKUP(N2064, 'SIC &amp; NAICS Codes'!A:B, 2, FALSE), "")</f>
        <v>Plastics Materials, Synthetic and Resins, and Nonvulcanizable Elastomers</v>
      </c>
      <c r="S2064" s="28">
        <v>0.4457019015</v>
      </c>
      <c r="T2064" s="315">
        <f>_xlfn.MAXIFS('Raw Period DMR Data'!$O:$O,'Raw Period DMR Data'!$A:$A,'Raw Annual DMR Data_2021-2024'!#REF!,'Raw Period DMR Data'!$C:$C,X2064)/S2064</f>
        <v>0</v>
      </c>
      <c r="U2064" s="28" t="str">
        <f>+IF(COUNTIFS('Raw Period DMR Data'!$A:$A,B2064,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64" s="28" t="str" cm="1">
        <f t="array" ref="V2064">IFERROR(INDEX('Raw Period DMR Data'!N:N,MATCH(1,(B2064='Raw Period DMR Data'!$A:$A)*(U2064='Raw Period DMR Data'!M:M)*(X2064='Raw Period DMR Data'!C:C),0),1), "N/A")</f>
        <v>N/A</v>
      </c>
      <c r="W2064" s="28" t="s">
        <v>1463</v>
      </c>
      <c r="X2064" s="28" t="s">
        <v>2084</v>
      </c>
      <c r="Y2064" s="28" t="s">
        <v>2085</v>
      </c>
      <c r="Z2064" s="61">
        <v>5140201000239</v>
      </c>
      <c r="AB2064" s="28" t="s">
        <v>7355</v>
      </c>
      <c r="AC2064" s="28" t="s">
        <v>1466</v>
      </c>
    </row>
    <row r="2065" spans="1:29" x14ac:dyDescent="0.25">
      <c r="A2065" s="61">
        <v>110000747835</v>
      </c>
      <c r="B2065" s="28">
        <v>2021</v>
      </c>
      <c r="C2065" s="68">
        <f t="shared" si="33"/>
        <v>44197</v>
      </c>
      <c r="D2065" s="28" t="s">
        <v>6804</v>
      </c>
      <c r="E2065" s="28" t="s">
        <v>2083</v>
      </c>
      <c r="F2065" s="28" t="s">
        <v>1273</v>
      </c>
      <c r="G2065" s="28" t="s">
        <v>324</v>
      </c>
      <c r="H2065" s="28">
        <v>42303</v>
      </c>
      <c r="I2065" s="28">
        <v>37.8125</v>
      </c>
      <c r="J2065" s="28">
        <v>-87.05</v>
      </c>
      <c r="K2065" s="28" t="s">
        <v>729</v>
      </c>
      <c r="L2065" s="61">
        <v>110000747835</v>
      </c>
      <c r="M2065" s="28" t="s">
        <v>265</v>
      </c>
      <c r="N2065" s="28">
        <v>2821</v>
      </c>
      <c r="O2065" s="28" t="str">
        <f>IFERROR(VLOOKUP(N2065, 'SIC &amp; NAICS Codes'!A:B, 2, FALSE), "")</f>
        <v>Plastics Materials, Synthetic and Resins, and Nonvulcanizable Elastomers</v>
      </c>
      <c r="S2065" s="28">
        <v>1.6570999999999999E-2</v>
      </c>
      <c r="T2065" s="315">
        <f>_xlfn.MAXIFS('Raw Period DMR Data'!$O:$O,'Raw Period DMR Data'!$A:$A,'Raw Annual DMR Data_2021-2024'!#REF!,'Raw Period DMR Data'!$C:$C,X2065)/S2065</f>
        <v>0</v>
      </c>
      <c r="U2065" s="28" t="str">
        <f>+IF(COUNTIFS('Raw Period DMR Data'!$A:$A,B2065,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65" s="28" t="str" cm="1">
        <f t="array" ref="V2065">IFERROR(INDEX('Raw Period DMR Data'!N:N,MATCH(1,(B2065='Raw Period DMR Data'!$A:$A)*(U2065='Raw Period DMR Data'!M:M)*(X2065='Raw Period DMR Data'!C:C),0),1), "N/A")</f>
        <v>N/A</v>
      </c>
      <c r="W2065" s="28" t="s">
        <v>1463</v>
      </c>
      <c r="X2065" s="28" t="s">
        <v>2084</v>
      </c>
      <c r="Y2065" s="28" t="s">
        <v>2085</v>
      </c>
      <c r="Z2065" s="61">
        <v>5140201000239</v>
      </c>
      <c r="AA2065" s="28"/>
      <c r="AC2065" s="28" t="s">
        <v>1466</v>
      </c>
    </row>
    <row r="2066" spans="1:29" x14ac:dyDescent="0.25">
      <c r="A2066" s="61">
        <v>110070097306</v>
      </c>
      <c r="B2066" s="28">
        <v>2024</v>
      </c>
      <c r="C2066" s="68">
        <f t="shared" si="33"/>
        <v>45292</v>
      </c>
      <c r="D2066" s="28" t="s">
        <v>1275</v>
      </c>
      <c r="E2066" s="28" t="s">
        <v>2087</v>
      </c>
      <c r="F2066" s="28" t="s">
        <v>1276</v>
      </c>
      <c r="G2066" s="28" t="s">
        <v>366</v>
      </c>
      <c r="H2066" s="28">
        <v>93033</v>
      </c>
      <c r="I2066" s="28">
        <v>34.141618999999999</v>
      </c>
      <c r="J2066" s="28">
        <v>-119.184014</v>
      </c>
      <c r="L2066" s="61">
        <v>110070097306</v>
      </c>
      <c r="M2066" s="28" t="s">
        <v>263</v>
      </c>
      <c r="N2066" s="28">
        <v>4952</v>
      </c>
      <c r="O2066" s="28" t="str">
        <f>IFERROR(VLOOKUP(N2066, 'SIC &amp; NAICS Codes'!A:B, 2, FALSE), "")</f>
        <v>Sewerage Systems</v>
      </c>
      <c r="S2066" s="28">
        <v>5.6519512499999998</v>
      </c>
      <c r="T2066" s="315">
        <f>_xlfn.MAXIFS('Raw Period DMR Data'!$O:$O,'Raw Period DMR Data'!$A:$A,'Raw Annual DMR Data_2021-2024'!B2386,'Raw Period DMR Data'!$C:$C,X2066)/S2066</f>
        <v>0</v>
      </c>
      <c r="U2066" s="28" t="str">
        <f>+IF(COUNTIFS('Raw Period DMR Data'!$A:$A,B2066, 'Raw Period DMR Data'!C:C,'Raw Annual DMR Data_2021-2024'!X2386, 'Raw Period DMR Data'!M:M, "&gt;0")&gt;0,_xlfn.MAXIFS('Raw Period DMR Data'!M:M,'Raw Period DMR Data'!$A:$A,'Raw Annual DMR Data_2021-2024'!B2386,'Raw Period DMR Data'!C:C,'Raw Annual DMR Data_2021-2024'!X2386), "N/A - Period DMR Data Not Available")</f>
        <v>N/A - Period DMR Data Not Available</v>
      </c>
      <c r="V2066" s="28" t="str" cm="1">
        <f t="array" ref="V2066">IFERROR(INDEX('Raw Period DMR Data'!N:N,MATCH(1,(B2066='Raw Period DMR Data'!$A:$A)*(U2066='Raw Period DMR Data'!M:M)*(X2066='Raw Period DMR Data'!C:C),0),1), "N/A")</f>
        <v>N/A</v>
      </c>
      <c r="W2066" s="28" t="s">
        <v>1463</v>
      </c>
      <c r="X2066" s="28" t="s">
        <v>2088</v>
      </c>
      <c r="Y2066" s="28" t="s">
        <v>926</v>
      </c>
      <c r="Z2066" s="61">
        <v>18070103000060</v>
      </c>
      <c r="AB2066" s="28" t="s">
        <v>7355</v>
      </c>
      <c r="AC2066" s="28" t="s">
        <v>263</v>
      </c>
    </row>
    <row r="2067" spans="1:29" x14ac:dyDescent="0.25">
      <c r="A2067" s="61">
        <v>110070097306</v>
      </c>
      <c r="B2067" s="28">
        <v>2023</v>
      </c>
      <c r="C2067" s="68">
        <f t="shared" si="33"/>
        <v>44927</v>
      </c>
      <c r="D2067" s="28" t="s">
        <v>1275</v>
      </c>
      <c r="E2067" s="28" t="s">
        <v>2087</v>
      </c>
      <c r="F2067" s="28" t="s">
        <v>1276</v>
      </c>
      <c r="G2067" s="28" t="s">
        <v>366</v>
      </c>
      <c r="H2067" s="28">
        <v>93033</v>
      </c>
      <c r="I2067" s="28">
        <v>34.141618999999999</v>
      </c>
      <c r="J2067" s="28">
        <v>-119.184014</v>
      </c>
      <c r="L2067" s="61">
        <v>110070097306</v>
      </c>
      <c r="M2067" s="28" t="s">
        <v>263</v>
      </c>
      <c r="N2067" s="28">
        <v>4952</v>
      </c>
      <c r="O2067" s="28" t="str">
        <f>IFERROR(VLOOKUP(N2067, 'SIC &amp; NAICS Codes'!A:B, 2, FALSE), "")</f>
        <v>Sewerage Systems</v>
      </c>
      <c r="S2067" s="28">
        <v>5.4631895149999998</v>
      </c>
      <c r="T2067" s="315">
        <f>_xlfn.MAXIFS('Raw Period DMR Data'!$O:$O,'Raw Period DMR Data'!$A:$A,'Raw Annual DMR Data_2021-2024'!B2387,'Raw Period DMR Data'!$C:$C,X2067)/S2067</f>
        <v>0</v>
      </c>
      <c r="U2067" s="28" t="str">
        <f>+IF(COUNTIFS('Raw Period DMR Data'!$A:$A,B2067, 'Raw Period DMR Data'!C:C,'Raw Annual DMR Data_2021-2024'!X2387, 'Raw Period DMR Data'!M:M, "&gt;0")&gt;0,_xlfn.MAXIFS('Raw Period DMR Data'!M:M,'Raw Period DMR Data'!$A:$A,'Raw Annual DMR Data_2021-2024'!B2387,'Raw Period DMR Data'!C:C,'Raw Annual DMR Data_2021-2024'!X2387), "N/A - Period DMR Data Not Available")</f>
        <v>N/A - Period DMR Data Not Available</v>
      </c>
      <c r="V2067" s="28" t="str" cm="1">
        <f t="array" ref="V2067">IFERROR(INDEX('Raw Period DMR Data'!N:N,MATCH(1,(B2067='Raw Period DMR Data'!$A:$A)*(U2067='Raw Period DMR Data'!M:M)*(X2067='Raw Period DMR Data'!C:C),0),1), "N/A")</f>
        <v>N/A</v>
      </c>
      <c r="W2067" s="28" t="s">
        <v>1463</v>
      </c>
      <c r="X2067" s="28" t="s">
        <v>2088</v>
      </c>
      <c r="Y2067" s="28" t="s">
        <v>926</v>
      </c>
      <c r="Z2067" s="61">
        <v>18070103000060</v>
      </c>
      <c r="AB2067" s="28" t="s">
        <v>7355</v>
      </c>
      <c r="AC2067" s="28" t="s">
        <v>263</v>
      </c>
    </row>
    <row r="2068" spans="1:29" x14ac:dyDescent="0.25">
      <c r="A2068" s="61">
        <v>110070097306</v>
      </c>
      <c r="B2068" s="28">
        <v>2021</v>
      </c>
      <c r="C2068" s="68">
        <f t="shared" si="33"/>
        <v>44197</v>
      </c>
      <c r="D2068" s="28" t="s">
        <v>1275</v>
      </c>
      <c r="E2068" s="28" t="s">
        <v>2087</v>
      </c>
      <c r="F2068" s="28" t="s">
        <v>1276</v>
      </c>
      <c r="G2068" s="28" t="s">
        <v>366</v>
      </c>
      <c r="H2068" s="28">
        <v>93033</v>
      </c>
      <c r="I2068" s="28">
        <v>34.141618999999999</v>
      </c>
      <c r="J2068" s="28">
        <v>-119.184014</v>
      </c>
      <c r="L2068" s="61">
        <v>110070097306</v>
      </c>
      <c r="M2068" s="28" t="s">
        <v>263</v>
      </c>
      <c r="N2068" s="28">
        <v>4952</v>
      </c>
      <c r="O2068" s="28" t="str">
        <f>IFERROR(VLOOKUP(N2068, 'SIC &amp; NAICS Codes'!A:B, 2, FALSE), "")</f>
        <v>Sewerage Systems</v>
      </c>
      <c r="S2068" s="28">
        <v>0.94100966750000004</v>
      </c>
      <c r="T2068" s="315">
        <f>_xlfn.MAXIFS('Raw Period DMR Data'!$O:$O,'Raw Period DMR Data'!$A:$A,'Raw Annual DMR Data_2021-2024'!#REF!,'Raw Period DMR Data'!$C:$C,X2068)/S2068</f>
        <v>0</v>
      </c>
      <c r="U2068" s="28" t="str">
        <f>+IF(COUNTIFS('Raw Period DMR Data'!$A:$A,B2068,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68" s="28" t="str" cm="1">
        <f t="array" ref="V2068">IFERROR(INDEX('Raw Period DMR Data'!N:N,MATCH(1,(B2068='Raw Period DMR Data'!$A:$A)*(U2068='Raw Period DMR Data'!M:M)*(X2068='Raw Period DMR Data'!C:C),0),1), "N/A")</f>
        <v>N/A</v>
      </c>
      <c r="W2068" s="28" t="s">
        <v>1463</v>
      </c>
      <c r="X2068" s="28" t="s">
        <v>2088</v>
      </c>
      <c r="Y2068" s="28" t="s">
        <v>926</v>
      </c>
      <c r="Z2068" s="61">
        <v>18070103000060</v>
      </c>
      <c r="AA2068" s="28"/>
      <c r="AB2068" s="28" t="s">
        <v>7355</v>
      </c>
      <c r="AC2068" s="28" t="s">
        <v>263</v>
      </c>
    </row>
    <row r="2069" spans="1:29" x14ac:dyDescent="0.25">
      <c r="A2069" s="61">
        <v>110070097306</v>
      </c>
      <c r="B2069" s="28">
        <v>2022</v>
      </c>
      <c r="C2069" s="68">
        <f t="shared" si="33"/>
        <v>44562</v>
      </c>
      <c r="D2069" s="28" t="s">
        <v>1275</v>
      </c>
      <c r="E2069" s="28" t="s">
        <v>2087</v>
      </c>
      <c r="F2069" s="28" t="s">
        <v>1276</v>
      </c>
      <c r="G2069" s="28" t="s">
        <v>366</v>
      </c>
      <c r="H2069" s="28">
        <v>93033</v>
      </c>
      <c r="I2069" s="28">
        <v>34.141618999999999</v>
      </c>
      <c r="J2069" s="28">
        <v>-119.184014</v>
      </c>
      <c r="L2069" s="61">
        <v>110070097306</v>
      </c>
      <c r="M2069" s="28" t="s">
        <v>263</v>
      </c>
      <c r="N2069" s="28">
        <v>4952</v>
      </c>
      <c r="O2069" s="28" t="str">
        <f>IFERROR(VLOOKUP(N2069, 'SIC &amp; NAICS Codes'!A:B, 2, FALSE), "")</f>
        <v>Sewerage Systems</v>
      </c>
      <c r="S2069" s="28">
        <v>0.74887284799999998</v>
      </c>
      <c r="T2069" s="315">
        <f>_xlfn.MAXIFS('Raw Period DMR Data'!$O:$O,'Raw Period DMR Data'!$A:$A,'Raw Annual DMR Data_2021-2024'!#REF!,'Raw Period DMR Data'!$C:$C,X2069)/S2069</f>
        <v>0</v>
      </c>
      <c r="U2069" s="28" t="str">
        <f>+IF(COUNTIFS('Raw Period DMR Data'!$A:$A,B2069,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69" s="28" t="str" cm="1">
        <f t="array" ref="V2069">IFERROR(INDEX('Raw Period DMR Data'!N:N,MATCH(1,(B2069='Raw Period DMR Data'!$A:$A)*(U2069='Raw Period DMR Data'!M:M)*(X2069='Raw Period DMR Data'!C:C),0),1), "N/A")</f>
        <v>N/A</v>
      </c>
      <c r="W2069" s="28" t="s">
        <v>1463</v>
      </c>
      <c r="X2069" s="28" t="s">
        <v>2088</v>
      </c>
      <c r="Y2069" s="28" t="s">
        <v>926</v>
      </c>
      <c r="Z2069" s="61">
        <v>18070103000060</v>
      </c>
      <c r="AB2069" s="28" t="s">
        <v>7355</v>
      </c>
      <c r="AC2069" s="28" t="s">
        <v>263</v>
      </c>
    </row>
    <row r="2070" spans="1:29" x14ac:dyDescent="0.25">
      <c r="A2070" s="61">
        <v>110043782788</v>
      </c>
      <c r="B2070" s="28">
        <v>2021</v>
      </c>
      <c r="C2070" s="68">
        <f t="shared" si="33"/>
        <v>44197</v>
      </c>
      <c r="D2070" s="28" t="s">
        <v>179</v>
      </c>
      <c r="E2070" s="28" t="s">
        <v>6970</v>
      </c>
      <c r="F2070" s="28" t="s">
        <v>590</v>
      </c>
      <c r="G2070" s="28" t="s">
        <v>362</v>
      </c>
      <c r="H2070" s="28">
        <v>77536</v>
      </c>
      <c r="I2070" s="28">
        <v>29.726130000000001</v>
      </c>
      <c r="J2070" s="28">
        <v>-95.108019999999996</v>
      </c>
      <c r="K2070" s="28" t="s">
        <v>591</v>
      </c>
      <c r="L2070" s="61">
        <v>110043782788</v>
      </c>
      <c r="M2070" s="28" t="s">
        <v>253</v>
      </c>
      <c r="N2070" s="28">
        <v>2869</v>
      </c>
      <c r="O2070" s="28" t="str">
        <f>IFERROR(VLOOKUP(N2070, 'SIC &amp; NAICS Codes'!A:B, 2, FALSE), "")</f>
        <v>Industrial Organic Chemicals, NEC (aliphatics)</v>
      </c>
      <c r="S2070" s="28">
        <v>53.641776999999998</v>
      </c>
      <c r="T2070" s="315">
        <f>_xlfn.MAXIFS('Raw Period DMR Data'!$O:$O,'Raw Period DMR Data'!$A:$A,'Raw Annual DMR Data_2021-2024'!B2297,'Raw Period DMR Data'!$C:$C,X2070)/S2070</f>
        <v>0</v>
      </c>
      <c r="U2070" s="28" t="str">
        <f>+IF(COUNTIFS('Raw Period DMR Data'!$A:$A,B2070, 'Raw Period DMR Data'!C:C,'Raw Annual DMR Data_2021-2024'!X2297, 'Raw Period DMR Data'!M:M, "&gt;0")&gt;0,_xlfn.MAXIFS('Raw Period DMR Data'!M:M,'Raw Period DMR Data'!$A:$A,'Raw Annual DMR Data_2021-2024'!B2297,'Raw Period DMR Data'!C:C,'Raw Annual DMR Data_2021-2024'!X2297), "N/A - Period DMR Data Not Available")</f>
        <v>N/A - Period DMR Data Not Available</v>
      </c>
      <c r="V2070" s="28" t="str" cm="1">
        <f t="array" ref="V2070">IFERROR(INDEX('Raw Period DMR Data'!N:N,MATCH(1,(B2070='Raw Period DMR Data'!$A:$A)*(U2070='Raw Period DMR Data'!M:M)*(X2070='Raw Period DMR Data'!C:C),0),1), "N/A")</f>
        <v>N/A</v>
      </c>
      <c r="W2070" s="28" t="s">
        <v>1463</v>
      </c>
      <c r="X2070" s="28" t="s">
        <v>913</v>
      </c>
      <c r="Y2070" s="28" t="s">
        <v>7273</v>
      </c>
      <c r="Z2070" s="61">
        <v>12040104000662</v>
      </c>
      <c r="AA2070" s="28"/>
      <c r="AC2070" s="28" t="s">
        <v>1466</v>
      </c>
    </row>
    <row r="2071" spans="1:29" x14ac:dyDescent="0.25">
      <c r="A2071" s="61">
        <v>110043782788</v>
      </c>
      <c r="B2071" s="28">
        <v>2024</v>
      </c>
      <c r="C2071" s="68">
        <f t="shared" si="33"/>
        <v>45292</v>
      </c>
      <c r="D2071" s="28" t="s">
        <v>179</v>
      </c>
      <c r="E2071" s="28" t="s">
        <v>6970</v>
      </c>
      <c r="F2071" s="28" t="s">
        <v>590</v>
      </c>
      <c r="G2071" s="28" t="s">
        <v>362</v>
      </c>
      <c r="H2071" s="28">
        <v>77536</v>
      </c>
      <c r="I2071" s="28">
        <v>29.726130000000001</v>
      </c>
      <c r="J2071" s="28">
        <v>-95.108019999999996</v>
      </c>
      <c r="K2071" s="28" t="s">
        <v>591</v>
      </c>
      <c r="L2071" s="61">
        <v>110043782788</v>
      </c>
      <c r="M2071" s="28" t="s">
        <v>253</v>
      </c>
      <c r="N2071" s="28">
        <v>2869</v>
      </c>
      <c r="O2071" s="28" t="str">
        <f>IFERROR(VLOOKUP(N2071, 'SIC &amp; NAICS Codes'!A:B, 2, FALSE), "")</f>
        <v>Industrial Organic Chemicals, NEC (aliphatics)</v>
      </c>
      <c r="S2071" s="28">
        <v>53.214072000000002</v>
      </c>
      <c r="T2071" s="315">
        <f>_xlfn.MAXIFS('Raw Period DMR Data'!$O:$O,'Raw Period DMR Data'!$A:$A,'Raw Annual DMR Data_2021-2024'!B2298,'Raw Period DMR Data'!$C:$C,X2071)/S2071</f>
        <v>0</v>
      </c>
      <c r="U2071" s="28" t="str">
        <f>+IF(COUNTIFS('Raw Period DMR Data'!$A:$A,B2071, 'Raw Period DMR Data'!C:C,'Raw Annual DMR Data_2021-2024'!X2298, 'Raw Period DMR Data'!M:M, "&gt;0")&gt;0,_xlfn.MAXIFS('Raw Period DMR Data'!M:M,'Raw Period DMR Data'!$A:$A,'Raw Annual DMR Data_2021-2024'!B2298,'Raw Period DMR Data'!C:C,'Raw Annual DMR Data_2021-2024'!X2298), "N/A - Period DMR Data Not Available")</f>
        <v>N/A - Period DMR Data Not Available</v>
      </c>
      <c r="V2071" s="28" t="str" cm="1">
        <f t="array" ref="V2071">IFERROR(INDEX('Raw Period DMR Data'!N:N,MATCH(1,(B2071='Raw Period DMR Data'!$A:$A)*(U2071='Raw Period DMR Data'!M:M)*(X2071='Raw Period DMR Data'!C:C),0),1), "N/A")</f>
        <v>N/A</v>
      </c>
      <c r="W2071" s="28" t="s">
        <v>1463</v>
      </c>
      <c r="X2071" s="28" t="s">
        <v>913</v>
      </c>
      <c r="Y2071" s="28" t="s">
        <v>7273</v>
      </c>
      <c r="Z2071" s="61">
        <v>12040104000662</v>
      </c>
      <c r="AC2071" s="28" t="s">
        <v>1466</v>
      </c>
    </row>
    <row r="2072" spans="1:29" x14ac:dyDescent="0.25">
      <c r="A2072" s="61">
        <v>110043782788</v>
      </c>
      <c r="B2072" s="28">
        <v>2023</v>
      </c>
      <c r="C2072" s="68">
        <f t="shared" si="33"/>
        <v>44927</v>
      </c>
      <c r="D2072" s="28" t="s">
        <v>179</v>
      </c>
      <c r="E2072" s="28" t="s">
        <v>6970</v>
      </c>
      <c r="F2072" s="28" t="s">
        <v>590</v>
      </c>
      <c r="G2072" s="28" t="s">
        <v>362</v>
      </c>
      <c r="H2072" s="28">
        <v>77536</v>
      </c>
      <c r="I2072" s="28">
        <v>29.726130000000001</v>
      </c>
      <c r="J2072" s="28">
        <v>-95.108019999999996</v>
      </c>
      <c r="K2072" s="28" t="s">
        <v>591</v>
      </c>
      <c r="L2072" s="61">
        <v>110043782788</v>
      </c>
      <c r="M2072" s="28" t="s">
        <v>253</v>
      </c>
      <c r="N2072" s="28">
        <v>2869</v>
      </c>
      <c r="O2072" s="28" t="str">
        <f>IFERROR(VLOOKUP(N2072, 'SIC &amp; NAICS Codes'!A:B, 2, FALSE), "")</f>
        <v>Industrial Organic Chemicals, NEC (aliphatics)</v>
      </c>
      <c r="S2072" s="28">
        <v>39.070284000000001</v>
      </c>
      <c r="T2072" s="315">
        <f>_xlfn.MAXIFS('Raw Period DMR Data'!$O:$O,'Raw Period DMR Data'!$A:$A,'Raw Annual DMR Data_2021-2024'!B2304,'Raw Period DMR Data'!$C:$C,X2072)/S2072</f>
        <v>0</v>
      </c>
      <c r="U2072" s="28" t="str">
        <f>+IF(COUNTIFS('Raw Period DMR Data'!$A:$A,B2072, 'Raw Period DMR Data'!C:C,'Raw Annual DMR Data_2021-2024'!X2304, 'Raw Period DMR Data'!M:M, "&gt;0")&gt;0,_xlfn.MAXIFS('Raw Period DMR Data'!M:M,'Raw Period DMR Data'!$A:$A,'Raw Annual DMR Data_2021-2024'!B2304,'Raw Period DMR Data'!C:C,'Raw Annual DMR Data_2021-2024'!X2304), "N/A - Period DMR Data Not Available")</f>
        <v>N/A - Period DMR Data Not Available</v>
      </c>
      <c r="V2072" s="28" t="str" cm="1">
        <f t="array" ref="V2072">IFERROR(INDEX('Raw Period DMR Data'!N:N,MATCH(1,(B2072='Raw Period DMR Data'!$A:$A)*(U2072='Raw Period DMR Data'!M:M)*(X2072='Raw Period DMR Data'!C:C),0),1), "N/A")</f>
        <v>N/A</v>
      </c>
      <c r="W2072" s="28" t="s">
        <v>1463</v>
      </c>
      <c r="X2072" s="28" t="s">
        <v>913</v>
      </c>
      <c r="Y2072" s="28" t="s">
        <v>7273</v>
      </c>
      <c r="Z2072" s="61">
        <v>12040104000662</v>
      </c>
      <c r="AC2072" s="28" t="s">
        <v>1466</v>
      </c>
    </row>
    <row r="2073" spans="1:29" x14ac:dyDescent="0.25">
      <c r="A2073" s="61">
        <v>110064644782</v>
      </c>
      <c r="B2073" s="28">
        <v>2024</v>
      </c>
      <c r="C2073" s="68">
        <f t="shared" si="33"/>
        <v>45292</v>
      </c>
      <c r="D2073" s="28" t="s">
        <v>6789</v>
      </c>
      <c r="E2073" s="28" t="s">
        <v>6940</v>
      </c>
      <c r="F2073" s="28" t="s">
        <v>302</v>
      </c>
      <c r="G2073" s="28" t="s">
        <v>303</v>
      </c>
      <c r="H2073" s="28">
        <v>70807</v>
      </c>
      <c r="I2073" s="28">
        <v>30.584540000000001</v>
      </c>
      <c r="J2073" s="28">
        <v>-91.247479999999996</v>
      </c>
      <c r="L2073" s="61">
        <v>110064644782</v>
      </c>
      <c r="M2073" s="28" t="s">
        <v>264</v>
      </c>
      <c r="N2073" s="28">
        <v>4953</v>
      </c>
      <c r="O2073" s="28" t="str">
        <f>IFERROR(VLOOKUP(N2073, 'SIC &amp; NAICS Codes'!A:B, 2, FALSE), "")</f>
        <v>Refuse Systems (hazardous waste treatment and disposal)</v>
      </c>
      <c r="S2073" s="28">
        <v>9.5251890625000002E-2</v>
      </c>
      <c r="T2073" s="315">
        <f>_xlfn.MAXIFS('Raw Period DMR Data'!$O:$O,'Raw Period DMR Data'!$A:$A,'Raw Annual DMR Data_2021-2024'!#REF!,'Raw Period DMR Data'!$C:$C,X2073)/S2073</f>
        <v>0</v>
      </c>
      <c r="U2073" s="28" t="str">
        <f>+IF(COUNTIFS('Raw Period DMR Data'!$A:$A,B2073,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73" s="28" t="str" cm="1">
        <f t="array" ref="V2073">IFERROR(INDEX('Raw Period DMR Data'!N:N,MATCH(1,(B2073='Raw Period DMR Data'!$A:$A)*(U2073='Raw Period DMR Data'!M:M)*(X2073='Raw Period DMR Data'!C:C),0),1), "N/A")</f>
        <v>N/A</v>
      </c>
      <c r="W2073" s="28" t="s">
        <v>1463</v>
      </c>
      <c r="X2073" s="28" t="s">
        <v>7148</v>
      </c>
      <c r="Y2073" s="28" t="s">
        <v>7259</v>
      </c>
      <c r="Z2073" s="61">
        <v>8070201000153</v>
      </c>
      <c r="AB2073" s="28" t="s">
        <v>7355</v>
      </c>
      <c r="AC2073" s="28" t="s">
        <v>1466</v>
      </c>
    </row>
    <row r="2074" spans="1:29" x14ac:dyDescent="0.25">
      <c r="A2074" s="61">
        <v>110064644782</v>
      </c>
      <c r="B2074" s="28">
        <v>2023</v>
      </c>
      <c r="C2074" s="68">
        <f t="shared" si="33"/>
        <v>44927</v>
      </c>
      <c r="D2074" s="28" t="s">
        <v>6789</v>
      </c>
      <c r="E2074" s="28" t="s">
        <v>6940</v>
      </c>
      <c r="F2074" s="28" t="s">
        <v>302</v>
      </c>
      <c r="G2074" s="28" t="s">
        <v>303</v>
      </c>
      <c r="H2074" s="28">
        <v>70807</v>
      </c>
      <c r="I2074" s="28">
        <v>30.584540000000001</v>
      </c>
      <c r="J2074" s="28">
        <v>-91.247479999999996</v>
      </c>
      <c r="L2074" s="61">
        <v>110064644782</v>
      </c>
      <c r="M2074" s="28" t="s">
        <v>264</v>
      </c>
      <c r="N2074" s="28">
        <v>4953</v>
      </c>
      <c r="O2074" s="28" t="str">
        <f>IFERROR(VLOOKUP(N2074, 'SIC &amp; NAICS Codes'!A:B, 2, FALSE), "")</f>
        <v>Refuse Systems (hazardous waste treatment and disposal)</v>
      </c>
      <c r="S2074" s="28">
        <v>1.9485872655E-2</v>
      </c>
      <c r="T2074" s="315">
        <f>_xlfn.MAXIFS('Raw Period DMR Data'!$O:$O,'Raw Period DMR Data'!$A:$A,'Raw Annual DMR Data_2021-2024'!#REF!,'Raw Period DMR Data'!$C:$C,X2074)/S2074</f>
        <v>0</v>
      </c>
      <c r="U2074" s="28" t="str">
        <f>+IF(COUNTIFS('Raw Period DMR Data'!$A:$A,B2074,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74" s="28" t="str" cm="1">
        <f t="array" ref="V2074">IFERROR(INDEX('Raw Period DMR Data'!N:N,MATCH(1,(B2074='Raw Period DMR Data'!$A:$A)*(U2074='Raw Period DMR Data'!M:M)*(X2074='Raw Period DMR Data'!C:C),0),1), "N/A")</f>
        <v>N/A</v>
      </c>
      <c r="W2074" s="28" t="s">
        <v>1463</v>
      </c>
      <c r="X2074" s="28" t="s">
        <v>7148</v>
      </c>
      <c r="Y2074" s="28" t="s">
        <v>7259</v>
      </c>
      <c r="Z2074" s="61" t="s">
        <v>7327</v>
      </c>
      <c r="AB2074" s="28" t="s">
        <v>7355</v>
      </c>
      <c r="AC2074" s="28" t="s">
        <v>1466</v>
      </c>
    </row>
    <row r="2075" spans="1:29" x14ac:dyDescent="0.25">
      <c r="A2075" s="61">
        <v>110064644782</v>
      </c>
      <c r="B2075" s="28">
        <v>2024</v>
      </c>
      <c r="C2075" s="68">
        <f t="shared" si="33"/>
        <v>45292</v>
      </c>
      <c r="D2075" s="28" t="s">
        <v>6789</v>
      </c>
      <c r="E2075" s="28" t="s">
        <v>6940</v>
      </c>
      <c r="F2075" s="28" t="s">
        <v>302</v>
      </c>
      <c r="G2075" s="28" t="s">
        <v>303</v>
      </c>
      <c r="H2075" s="28">
        <v>70807</v>
      </c>
      <c r="I2075" s="28">
        <v>30.584540000000001</v>
      </c>
      <c r="J2075" s="28">
        <v>-91.247479999999996</v>
      </c>
      <c r="L2075" s="61">
        <v>110064644782</v>
      </c>
      <c r="M2075" s="28" t="s">
        <v>264</v>
      </c>
      <c r="N2075" s="28">
        <v>4953</v>
      </c>
      <c r="O2075" s="28" t="str">
        <f>IFERROR(VLOOKUP(N2075, 'SIC &amp; NAICS Codes'!A:B, 2, FALSE), "")</f>
        <v>Refuse Systems (hazardous waste treatment and disposal)</v>
      </c>
      <c r="S2075" s="28">
        <v>8.9257396874999999E-3</v>
      </c>
      <c r="T2075" s="315">
        <f>_xlfn.MAXIFS('Raw Period DMR Data'!$O:$O,'Raw Period DMR Data'!$A:$A,'Raw Annual DMR Data_2021-2024'!#REF!,'Raw Period DMR Data'!$C:$C,X2075)/S2075</f>
        <v>0</v>
      </c>
      <c r="U2075" s="28" t="str">
        <f>+IF(COUNTIFS('Raw Period DMR Data'!$A:$A,B2075,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75" s="28" t="str" cm="1">
        <f t="array" ref="V2075">IFERROR(INDEX('Raw Period DMR Data'!N:N,MATCH(1,(B2075='Raw Period DMR Data'!$A:$A)*(U2075='Raw Period DMR Data'!M:M)*(X2075='Raw Period DMR Data'!C:C),0),1), "N/A")</f>
        <v>N/A</v>
      </c>
      <c r="W2075" s="28" t="s">
        <v>1463</v>
      </c>
      <c r="X2075" s="28" t="s">
        <v>7148</v>
      </c>
      <c r="Y2075" s="28" t="s">
        <v>7259</v>
      </c>
      <c r="Z2075" s="61">
        <v>8070201000153</v>
      </c>
      <c r="AB2075" s="28" t="s">
        <v>7355</v>
      </c>
      <c r="AC2075" s="28" t="s">
        <v>1466</v>
      </c>
    </row>
    <row r="2076" spans="1:29" x14ac:dyDescent="0.25">
      <c r="A2076" s="61">
        <v>110064644782</v>
      </c>
      <c r="B2076" s="28">
        <v>2021</v>
      </c>
      <c r="C2076" s="68">
        <f t="shared" si="33"/>
        <v>44197</v>
      </c>
      <c r="D2076" s="28" t="s">
        <v>6789</v>
      </c>
      <c r="E2076" s="28" t="s">
        <v>6940</v>
      </c>
      <c r="F2076" s="28" t="s">
        <v>302</v>
      </c>
      <c r="G2076" s="28" t="s">
        <v>303</v>
      </c>
      <c r="H2076" s="28">
        <v>70807</v>
      </c>
      <c r="I2076" s="28">
        <v>30.584540000000001</v>
      </c>
      <c r="J2076" s="28">
        <v>-91.247479999999996</v>
      </c>
      <c r="L2076" s="61">
        <v>110064644782</v>
      </c>
      <c r="M2076" s="28" t="s">
        <v>264</v>
      </c>
      <c r="N2076" s="28">
        <v>4953</v>
      </c>
      <c r="O2076" s="28" t="str">
        <f>IFERROR(VLOOKUP(N2076, 'SIC &amp; NAICS Codes'!A:B, 2, FALSE), "")</f>
        <v>Refuse Systems (hazardous waste treatment and disposal)</v>
      </c>
      <c r="S2076" s="28">
        <v>5.014368E-3</v>
      </c>
      <c r="T2076" s="315">
        <f>_xlfn.MAXIFS('Raw Period DMR Data'!$O:$O,'Raw Period DMR Data'!$A:$A,'Raw Annual DMR Data_2021-2024'!#REF!,'Raw Period DMR Data'!$C:$C,X2076)/S2076</f>
        <v>0</v>
      </c>
      <c r="U2076" s="28" t="str">
        <f>+IF(COUNTIFS('Raw Period DMR Data'!$A:$A,B2076,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76" s="28" t="str" cm="1">
        <f t="array" ref="V2076">IFERROR(INDEX('Raw Period DMR Data'!N:N,MATCH(1,(B2076='Raw Period DMR Data'!$A:$A)*(U2076='Raw Period DMR Data'!M:M)*(X2076='Raw Period DMR Data'!C:C),0),1), "N/A")</f>
        <v>N/A</v>
      </c>
      <c r="W2076" s="28" t="s">
        <v>1463</v>
      </c>
      <c r="X2076" s="28" t="s">
        <v>7148</v>
      </c>
      <c r="Y2076" s="28" t="s">
        <v>7259</v>
      </c>
      <c r="Z2076" s="61">
        <v>8070201000153</v>
      </c>
      <c r="AA2076" s="28"/>
      <c r="AB2076" s="28" t="s">
        <v>7355</v>
      </c>
      <c r="AC2076" s="28" t="s">
        <v>1466</v>
      </c>
    </row>
    <row r="2077" spans="1:29" x14ac:dyDescent="0.25">
      <c r="A2077" s="61">
        <v>110006367136</v>
      </c>
      <c r="B2077" s="28">
        <v>2021</v>
      </c>
      <c r="C2077" s="68">
        <f t="shared" si="33"/>
        <v>44197</v>
      </c>
      <c r="D2077" s="28" t="s">
        <v>1277</v>
      </c>
      <c r="E2077" s="28" t="s">
        <v>2089</v>
      </c>
      <c r="F2077" s="28" t="s">
        <v>1278</v>
      </c>
      <c r="G2077" s="28" t="s">
        <v>324</v>
      </c>
      <c r="H2077" s="28">
        <v>42001</v>
      </c>
      <c r="I2077" s="28">
        <v>37.021974</v>
      </c>
      <c r="J2077" s="28">
        <v>-88.512833000000001</v>
      </c>
      <c r="L2077" s="61">
        <v>110006367136</v>
      </c>
      <c r="M2077" s="28" t="s">
        <v>263</v>
      </c>
      <c r="N2077" s="28">
        <v>4952</v>
      </c>
      <c r="O2077" s="28" t="str">
        <f>IFERROR(VLOOKUP(N2077, 'SIC &amp; NAICS Codes'!A:B, 2, FALSE), "")</f>
        <v>Sewerage Systems</v>
      </c>
      <c r="S2077" s="28">
        <v>1.9859421875000001</v>
      </c>
      <c r="T2077" s="315">
        <f>_xlfn.MAXIFS('Raw Period DMR Data'!$O:$O,'Raw Period DMR Data'!$A:$A,'Raw Annual DMR Data_2021-2024'!#REF!,'Raw Period DMR Data'!$C:$C,X2077)/S2077</f>
        <v>0</v>
      </c>
      <c r="U2077" s="28" t="str">
        <f>+IF(COUNTIFS('Raw Period DMR Data'!$A:$A,B2077,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77" s="28" t="str" cm="1">
        <f t="array" ref="V2077">IFERROR(INDEX('Raw Period DMR Data'!N:N,MATCH(1,(B2077='Raw Period DMR Data'!$A:$A)*(U2077='Raw Period DMR Data'!M:M)*(X2077='Raw Period DMR Data'!C:C),0),1), "N/A")</f>
        <v>N/A</v>
      </c>
      <c r="W2077" s="28" t="s">
        <v>1463</v>
      </c>
      <c r="X2077" s="28" t="s">
        <v>2090</v>
      </c>
      <c r="Y2077" s="28" t="s">
        <v>2091</v>
      </c>
      <c r="Z2077" s="61">
        <v>6040006000343</v>
      </c>
      <c r="AA2077" s="28"/>
      <c r="AB2077" s="28" t="s">
        <v>7355</v>
      </c>
      <c r="AC2077" s="28" t="s">
        <v>263</v>
      </c>
    </row>
    <row r="2078" spans="1:29" x14ac:dyDescent="0.25">
      <c r="A2078" s="61">
        <v>110006367136</v>
      </c>
      <c r="B2078" s="28">
        <v>2024</v>
      </c>
      <c r="C2078" s="68">
        <f t="shared" si="33"/>
        <v>45292</v>
      </c>
      <c r="D2078" s="28" t="s">
        <v>1277</v>
      </c>
      <c r="E2078" s="28" t="s">
        <v>2089</v>
      </c>
      <c r="F2078" s="28" t="s">
        <v>1278</v>
      </c>
      <c r="G2078" s="28" t="s">
        <v>324</v>
      </c>
      <c r="H2078" s="28">
        <v>42001</v>
      </c>
      <c r="I2078" s="28">
        <v>37.021974</v>
      </c>
      <c r="J2078" s="28">
        <v>-88.512833000000001</v>
      </c>
      <c r="L2078" s="61">
        <v>110006367136</v>
      </c>
      <c r="M2078" s="28" t="s">
        <v>263</v>
      </c>
      <c r="N2078" s="28">
        <v>4952</v>
      </c>
      <c r="O2078" s="28" t="str">
        <f>IFERROR(VLOOKUP(N2078, 'SIC &amp; NAICS Codes'!A:B, 2, FALSE), "")</f>
        <v>Sewerage Systems</v>
      </c>
      <c r="S2078" s="28">
        <v>1.19640065</v>
      </c>
      <c r="T2078" s="315">
        <f>_xlfn.MAXIFS('Raw Period DMR Data'!$O:$O,'Raw Period DMR Data'!$A:$A,'Raw Annual DMR Data_2021-2024'!#REF!,'Raw Period DMR Data'!$C:$C,X2078)/S2078</f>
        <v>0</v>
      </c>
      <c r="U2078" s="28" t="str">
        <f>+IF(COUNTIFS('Raw Period DMR Data'!$A:$A,B2078,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78" s="28" t="str" cm="1">
        <f t="array" ref="V2078">IFERROR(INDEX('Raw Period DMR Data'!N:N,MATCH(1,(B2078='Raw Period DMR Data'!$A:$A)*(U2078='Raw Period DMR Data'!M:M)*(X2078='Raw Period DMR Data'!C:C),0),1), "N/A")</f>
        <v>N/A</v>
      </c>
      <c r="W2078" s="28" t="s">
        <v>1463</v>
      </c>
      <c r="X2078" s="28" t="s">
        <v>2090</v>
      </c>
      <c r="Y2078" s="28" t="s">
        <v>2091</v>
      </c>
      <c r="Z2078" s="61">
        <v>6040006000343</v>
      </c>
      <c r="AC2078" s="28" t="s">
        <v>263</v>
      </c>
    </row>
    <row r="2079" spans="1:29" x14ac:dyDescent="0.25">
      <c r="A2079" s="61">
        <v>110006367136</v>
      </c>
      <c r="B2079" s="28">
        <v>2022</v>
      </c>
      <c r="C2079" s="68">
        <f t="shared" si="33"/>
        <v>44562</v>
      </c>
      <c r="D2079" s="28" t="s">
        <v>1277</v>
      </c>
      <c r="E2079" s="28" t="s">
        <v>2089</v>
      </c>
      <c r="F2079" s="28" t="s">
        <v>1278</v>
      </c>
      <c r="G2079" s="28" t="s">
        <v>324</v>
      </c>
      <c r="H2079" s="28">
        <v>42001</v>
      </c>
      <c r="I2079" s="28">
        <v>37.021974</v>
      </c>
      <c r="J2079" s="28">
        <v>-88.512833000000001</v>
      </c>
      <c r="L2079" s="61">
        <v>110006367136</v>
      </c>
      <c r="M2079" s="28" t="s">
        <v>263</v>
      </c>
      <c r="N2079" s="28">
        <v>4952</v>
      </c>
      <c r="O2079" s="28" t="str">
        <f>IFERROR(VLOOKUP(N2079, 'SIC &amp; NAICS Codes'!A:B, 2, FALSE), "")</f>
        <v>Sewerage Systems</v>
      </c>
      <c r="S2079" s="28">
        <v>0.66589505000000004</v>
      </c>
      <c r="T2079" s="315">
        <f>_xlfn.MAXIFS('Raw Period DMR Data'!$O:$O,'Raw Period DMR Data'!$A:$A,'Raw Annual DMR Data_2021-2024'!#REF!,'Raw Period DMR Data'!$C:$C,X2079)/S2079</f>
        <v>0</v>
      </c>
      <c r="U2079" s="28" t="str">
        <f>+IF(COUNTIFS('Raw Period DMR Data'!$A:$A,B2079,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79" s="28" t="str" cm="1">
        <f t="array" ref="V2079">IFERROR(INDEX('Raw Period DMR Data'!N:N,MATCH(1,(B2079='Raw Period DMR Data'!$A:$A)*(U2079='Raw Period DMR Data'!M:M)*(X2079='Raw Period DMR Data'!C:C),0),1), "N/A")</f>
        <v>N/A</v>
      </c>
      <c r="W2079" s="28" t="s">
        <v>1463</v>
      </c>
      <c r="X2079" s="28" t="s">
        <v>2090</v>
      </c>
      <c r="Y2079" s="28" t="s">
        <v>2091</v>
      </c>
      <c r="Z2079" s="61">
        <v>6040006000343</v>
      </c>
      <c r="AB2079" s="28" t="s">
        <v>7355</v>
      </c>
      <c r="AC2079" s="28" t="s">
        <v>263</v>
      </c>
    </row>
    <row r="2080" spans="1:29" x14ac:dyDescent="0.25">
      <c r="A2080" s="61">
        <v>110006367136</v>
      </c>
      <c r="B2080" s="28">
        <v>2023</v>
      </c>
      <c r="C2080" s="68">
        <f t="shared" si="33"/>
        <v>44927</v>
      </c>
      <c r="D2080" s="28" t="s">
        <v>1277</v>
      </c>
      <c r="E2080" s="28" t="s">
        <v>2089</v>
      </c>
      <c r="F2080" s="28" t="s">
        <v>1278</v>
      </c>
      <c r="G2080" s="28" t="s">
        <v>324</v>
      </c>
      <c r="H2080" s="28">
        <v>42001</v>
      </c>
      <c r="I2080" s="28">
        <v>37.021974</v>
      </c>
      <c r="J2080" s="28">
        <v>-88.512833000000001</v>
      </c>
      <c r="L2080" s="61">
        <v>110006367136</v>
      </c>
      <c r="M2080" s="28" t="s">
        <v>263</v>
      </c>
      <c r="N2080" s="28">
        <v>4952</v>
      </c>
      <c r="O2080" s="28" t="str">
        <f>IFERROR(VLOOKUP(N2080, 'SIC &amp; NAICS Codes'!A:B, 2, FALSE), "")</f>
        <v>Sewerage Systems</v>
      </c>
      <c r="S2080" s="28">
        <v>8.1786279999999999E-4</v>
      </c>
      <c r="T2080" s="315">
        <f>_xlfn.MAXIFS('Raw Period DMR Data'!$O:$O,'Raw Period DMR Data'!$A:$A,'Raw Annual DMR Data_2021-2024'!#REF!,'Raw Period DMR Data'!$C:$C,X2080)/S2080</f>
        <v>0</v>
      </c>
      <c r="U2080" s="28" t="str">
        <f>+IF(COUNTIFS('Raw Period DMR Data'!$A:$A,B2080,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80" s="28" t="str" cm="1">
        <f t="array" ref="V2080">IFERROR(INDEX('Raw Period DMR Data'!N:N,MATCH(1,(B2080='Raw Period DMR Data'!$A:$A)*(U2080='Raw Period DMR Data'!M:M)*(X2080='Raw Period DMR Data'!C:C),0),1), "N/A")</f>
        <v>N/A</v>
      </c>
      <c r="W2080" s="28" t="s">
        <v>1463</v>
      </c>
      <c r="X2080" s="28" t="s">
        <v>2090</v>
      </c>
      <c r="Y2080" s="28" t="s">
        <v>2091</v>
      </c>
      <c r="Z2080" s="61" t="s">
        <v>7324</v>
      </c>
      <c r="AC2080" s="28" t="s">
        <v>263</v>
      </c>
    </row>
    <row r="2081" spans="1:29" x14ac:dyDescent="0.25">
      <c r="A2081" s="61">
        <v>110000551082</v>
      </c>
      <c r="B2081" s="28">
        <v>2021</v>
      </c>
      <c r="C2081" s="68">
        <f t="shared" si="33"/>
        <v>44197</v>
      </c>
      <c r="D2081" s="28" t="s">
        <v>6826</v>
      </c>
      <c r="E2081" s="28" t="s">
        <v>2096</v>
      </c>
      <c r="F2081" s="28" t="s">
        <v>1284</v>
      </c>
      <c r="G2081" s="28" t="s">
        <v>324</v>
      </c>
      <c r="H2081" s="28" t="s">
        <v>2097</v>
      </c>
      <c r="I2081" s="28">
        <v>38.223610999999998</v>
      </c>
      <c r="J2081" s="28">
        <v>-84.253332999999998</v>
      </c>
      <c r="L2081" s="61">
        <v>110000551082</v>
      </c>
      <c r="M2081" s="28" t="s">
        <v>263</v>
      </c>
      <c r="N2081" s="28">
        <v>4952</v>
      </c>
      <c r="O2081" s="28" t="str">
        <f>IFERROR(VLOOKUP(N2081, 'SIC &amp; NAICS Codes'!A:B, 2, FALSE), "")</f>
        <v>Sewerage Systems</v>
      </c>
      <c r="S2081" s="28">
        <v>6.2824849375E-3</v>
      </c>
      <c r="T2081" s="315">
        <f>_xlfn.MAXIFS('Raw Period DMR Data'!$O:$O,'Raw Period DMR Data'!$A:$A,'Raw Annual DMR Data_2021-2024'!#REF!,'Raw Period DMR Data'!$C:$C,X2081)/S2081</f>
        <v>0</v>
      </c>
      <c r="U2081" s="28" t="str">
        <f>+IF(COUNTIFS('Raw Period DMR Data'!$A:$A,B2081,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81" s="28" t="str" cm="1">
        <f t="array" ref="V2081">IFERROR(INDEX('Raw Period DMR Data'!N:N,MATCH(1,(B2081='Raw Period DMR Data'!$A:$A)*(U2081='Raw Period DMR Data'!M:M)*(X2081='Raw Period DMR Data'!C:C),0),1), "N/A")</f>
        <v>N/A</v>
      </c>
      <c r="W2081" s="28" t="s">
        <v>1463</v>
      </c>
      <c r="X2081" s="28" t="s">
        <v>2098</v>
      </c>
      <c r="Y2081" s="28" t="s">
        <v>2099</v>
      </c>
      <c r="Z2081" s="61">
        <v>5100102000062</v>
      </c>
      <c r="AA2081" s="28"/>
      <c r="AB2081" s="28" t="s">
        <v>7355</v>
      </c>
      <c r="AC2081" s="28" t="s">
        <v>263</v>
      </c>
    </row>
    <row r="2082" spans="1:29" x14ac:dyDescent="0.25">
      <c r="A2082" s="61">
        <v>110046184516</v>
      </c>
      <c r="B2082" s="28">
        <v>2024</v>
      </c>
      <c r="C2082" s="68">
        <f t="shared" si="33"/>
        <v>45292</v>
      </c>
      <c r="D2082" s="28" t="s">
        <v>1285</v>
      </c>
      <c r="E2082" s="28" t="s">
        <v>2101</v>
      </c>
      <c r="F2082" s="28" t="s">
        <v>1286</v>
      </c>
      <c r="G2082" s="28" t="s">
        <v>1171</v>
      </c>
      <c r="H2082" s="28">
        <v>96818</v>
      </c>
      <c r="I2082" s="28">
        <v>21.347193999999998</v>
      </c>
      <c r="J2082" s="28">
        <v>-157.943556</v>
      </c>
      <c r="L2082" s="61">
        <v>110046184516</v>
      </c>
      <c r="M2082" s="28" t="s">
        <v>265</v>
      </c>
      <c r="N2082" s="28">
        <v>3731</v>
      </c>
      <c r="O2082" s="28" t="str">
        <f>IFERROR(VLOOKUP(N2082, 'SIC &amp; NAICS Codes'!A:B, 2, FALSE), "")</f>
        <v>Ship Building and Repairing (except repairs in floating drydocks)</v>
      </c>
      <c r="S2082" s="28">
        <v>1.6578299999999999</v>
      </c>
      <c r="T2082" s="315">
        <f>_xlfn.MAXIFS('Raw Period DMR Data'!$O:$O,'Raw Period DMR Data'!$A:$A,'Raw Annual DMR Data_2021-2024'!#REF!,'Raw Period DMR Data'!$C:$C,X2082)/S2082</f>
        <v>0</v>
      </c>
      <c r="U2082" s="28" t="str">
        <f>+IF(COUNTIFS('Raw Period DMR Data'!$A:$A,B2082,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82" s="28" t="str" cm="1">
        <f t="array" ref="V2082">IFERROR(INDEX('Raw Period DMR Data'!N:N,MATCH(1,(B2082='Raw Period DMR Data'!$A:$A)*(U2082='Raw Period DMR Data'!M:M)*(X2082='Raw Period DMR Data'!C:C),0),1), "N/A")</f>
        <v>N/A</v>
      </c>
      <c r="W2082" s="28" t="s">
        <v>1463</v>
      </c>
      <c r="X2082" s="28" t="s">
        <v>2102</v>
      </c>
      <c r="Y2082" s="28" t="s">
        <v>1253</v>
      </c>
      <c r="Z2082" s="61">
        <v>20060000000166</v>
      </c>
      <c r="AB2082" s="28" t="s">
        <v>7355</v>
      </c>
      <c r="AC2082" s="28" t="s">
        <v>1466</v>
      </c>
    </row>
    <row r="2083" spans="1:29" x14ac:dyDescent="0.25">
      <c r="A2083" s="61">
        <v>110046184516</v>
      </c>
      <c r="B2083" s="28">
        <v>2021</v>
      </c>
      <c r="C2083" s="68">
        <f t="shared" si="33"/>
        <v>44197</v>
      </c>
      <c r="D2083" s="28" t="s">
        <v>1285</v>
      </c>
      <c r="E2083" s="28" t="s">
        <v>2101</v>
      </c>
      <c r="F2083" s="28" t="s">
        <v>1286</v>
      </c>
      <c r="G2083" s="28" t="s">
        <v>1171</v>
      </c>
      <c r="H2083" s="28">
        <v>96818</v>
      </c>
      <c r="I2083" s="28">
        <v>21.347193999999998</v>
      </c>
      <c r="J2083" s="28">
        <v>-157.943556</v>
      </c>
      <c r="L2083" s="61">
        <v>110046184516</v>
      </c>
      <c r="M2083" s="28" t="s">
        <v>265</v>
      </c>
      <c r="N2083" s="28">
        <v>3731</v>
      </c>
      <c r="O2083" s="28" t="str">
        <f>IFERROR(VLOOKUP(N2083, 'SIC &amp; NAICS Codes'!A:B, 2, FALSE), "")</f>
        <v>Ship Building and Repairing (except repairs in floating drydocks)</v>
      </c>
      <c r="S2083" s="28">
        <v>1.0430513749999999</v>
      </c>
      <c r="T2083" s="315">
        <f>_xlfn.MAXIFS('Raw Period DMR Data'!$O:$O,'Raw Period DMR Data'!$A:$A,'Raw Annual DMR Data_2021-2024'!#REF!,'Raw Period DMR Data'!$C:$C,X2083)/S2083</f>
        <v>0</v>
      </c>
      <c r="U2083" s="28" t="str">
        <f>+IF(COUNTIFS('Raw Period DMR Data'!$A:$A,B2083,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83" s="28" t="str" cm="1">
        <f t="array" ref="V2083">IFERROR(INDEX('Raw Period DMR Data'!N:N,MATCH(1,(B2083='Raw Period DMR Data'!$A:$A)*(U2083='Raw Period DMR Data'!M:M)*(X2083='Raw Period DMR Data'!C:C),0),1), "N/A")</f>
        <v>N/A</v>
      </c>
      <c r="W2083" s="28" t="s">
        <v>1463</v>
      </c>
      <c r="X2083" s="28" t="s">
        <v>2102</v>
      </c>
      <c r="Y2083" s="28" t="s">
        <v>1253</v>
      </c>
      <c r="Z2083" s="61">
        <v>20060000000166</v>
      </c>
      <c r="AA2083" s="28"/>
      <c r="AB2083" s="28" t="s">
        <v>7355</v>
      </c>
      <c r="AC2083" s="28" t="s">
        <v>1466</v>
      </c>
    </row>
    <row r="2084" spans="1:29" x14ac:dyDescent="0.25">
      <c r="A2084" s="61">
        <v>110046184516</v>
      </c>
      <c r="B2084" s="28">
        <v>2023</v>
      </c>
      <c r="C2084" s="68">
        <f t="shared" si="33"/>
        <v>44927</v>
      </c>
      <c r="D2084" s="28" t="s">
        <v>1285</v>
      </c>
      <c r="E2084" s="28" t="s">
        <v>2101</v>
      </c>
      <c r="F2084" s="28" t="s">
        <v>1286</v>
      </c>
      <c r="G2084" s="28" t="s">
        <v>1171</v>
      </c>
      <c r="H2084" s="28">
        <v>96818</v>
      </c>
      <c r="I2084" s="28">
        <v>21.347193999999998</v>
      </c>
      <c r="J2084" s="28">
        <v>-157.943556</v>
      </c>
      <c r="L2084" s="61">
        <v>110046184516</v>
      </c>
      <c r="M2084" s="28" t="s">
        <v>265</v>
      </c>
      <c r="N2084" s="28">
        <v>3731</v>
      </c>
      <c r="O2084" s="28" t="str">
        <f>IFERROR(VLOOKUP(N2084, 'SIC &amp; NAICS Codes'!A:B, 2, FALSE), "")</f>
        <v>Ship Building and Repairing (except repairs in floating drydocks)</v>
      </c>
      <c r="S2084" s="28">
        <v>0.82891499999999996</v>
      </c>
      <c r="T2084" s="315">
        <f>_xlfn.MAXIFS('Raw Period DMR Data'!$O:$O,'Raw Period DMR Data'!$A:$A,'Raw Annual DMR Data_2021-2024'!#REF!,'Raw Period DMR Data'!$C:$C,X2084)/S2084</f>
        <v>0</v>
      </c>
      <c r="U2084" s="28" t="str">
        <f>+IF(COUNTIFS('Raw Period DMR Data'!$A:$A,B2084,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84" s="28" t="str" cm="1">
        <f t="array" ref="V2084">IFERROR(INDEX('Raw Period DMR Data'!N:N,MATCH(1,(B2084='Raw Period DMR Data'!$A:$A)*(U2084='Raw Period DMR Data'!M:M)*(X2084='Raw Period DMR Data'!C:C),0),1), "N/A")</f>
        <v>N/A</v>
      </c>
      <c r="W2084" s="28" t="s">
        <v>1463</v>
      </c>
      <c r="X2084" s="28" t="s">
        <v>2102</v>
      </c>
      <c r="Y2084" s="28" t="s">
        <v>1253</v>
      </c>
      <c r="Z2084" s="61">
        <v>20060000000166</v>
      </c>
      <c r="AB2084" s="28" t="s">
        <v>7355</v>
      </c>
      <c r="AC2084" s="28" t="s">
        <v>1466</v>
      </c>
    </row>
    <row r="2085" spans="1:29" x14ac:dyDescent="0.25">
      <c r="A2085" s="61">
        <v>110046184516</v>
      </c>
      <c r="B2085" s="28">
        <v>2022</v>
      </c>
      <c r="C2085" s="68">
        <f t="shared" si="33"/>
        <v>44562</v>
      </c>
      <c r="D2085" s="28" t="s">
        <v>1285</v>
      </c>
      <c r="E2085" s="28" t="s">
        <v>2101</v>
      </c>
      <c r="F2085" s="28" t="s">
        <v>1286</v>
      </c>
      <c r="G2085" s="28" t="s">
        <v>1171</v>
      </c>
      <c r="H2085" s="28">
        <v>96818</v>
      </c>
      <c r="I2085" s="28">
        <v>21.347193999999998</v>
      </c>
      <c r="J2085" s="28">
        <v>-157.943556</v>
      </c>
      <c r="L2085" s="61">
        <v>110046184516</v>
      </c>
      <c r="M2085" s="28" t="s">
        <v>265</v>
      </c>
      <c r="N2085" s="28">
        <v>3731</v>
      </c>
      <c r="O2085" s="28" t="str">
        <f>IFERROR(VLOOKUP(N2085, 'SIC &amp; NAICS Codes'!A:B, 2, FALSE), "")</f>
        <v>Ship Building and Repairing (except repairs in floating drydocks)</v>
      </c>
      <c r="S2085" s="28">
        <v>0.27630500000000002</v>
      </c>
      <c r="T2085" s="315">
        <f>_xlfn.MAXIFS('Raw Period DMR Data'!$O:$O,'Raw Period DMR Data'!$A:$A,'Raw Annual DMR Data_2021-2024'!#REF!,'Raw Period DMR Data'!$C:$C,X2085)/S2085</f>
        <v>0</v>
      </c>
      <c r="U2085" s="28" t="str">
        <f>+IF(COUNTIFS('Raw Period DMR Data'!$A:$A,B2085,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85" s="28" t="str" cm="1">
        <f t="array" ref="V2085">IFERROR(INDEX('Raw Period DMR Data'!N:N,MATCH(1,(B2085='Raw Period DMR Data'!$A:$A)*(U2085='Raw Period DMR Data'!M:M)*(X2085='Raw Period DMR Data'!C:C),0),1), "N/A")</f>
        <v>N/A</v>
      </c>
      <c r="W2085" s="28" t="s">
        <v>1463</v>
      </c>
      <c r="X2085" s="28" t="s">
        <v>2102</v>
      </c>
      <c r="Y2085" s="28" t="s">
        <v>1253</v>
      </c>
      <c r="Z2085" s="61">
        <v>20060000000166</v>
      </c>
      <c r="AB2085" s="28" t="s">
        <v>7355</v>
      </c>
      <c r="AC2085" s="28" t="s">
        <v>1466</v>
      </c>
    </row>
    <row r="2086" spans="1:29" x14ac:dyDescent="0.25">
      <c r="A2086" s="61">
        <v>110046184516</v>
      </c>
      <c r="B2086" s="28">
        <v>2024</v>
      </c>
      <c r="C2086" s="68">
        <f t="shared" si="33"/>
        <v>45292</v>
      </c>
      <c r="D2086" s="28" t="s">
        <v>1285</v>
      </c>
      <c r="E2086" s="28" t="s">
        <v>2101</v>
      </c>
      <c r="F2086" s="28" t="s">
        <v>1286</v>
      </c>
      <c r="G2086" s="28" t="s">
        <v>1171</v>
      </c>
      <c r="H2086" s="28">
        <v>96818</v>
      </c>
      <c r="I2086" s="28">
        <v>21.347193999999998</v>
      </c>
      <c r="J2086" s="28">
        <v>-157.943556</v>
      </c>
      <c r="L2086" s="61">
        <v>110046184516</v>
      </c>
      <c r="M2086" s="28" t="s">
        <v>265</v>
      </c>
      <c r="N2086" s="28">
        <v>3731</v>
      </c>
      <c r="O2086" s="28" t="str">
        <f>IFERROR(VLOOKUP(N2086, 'SIC &amp; NAICS Codes'!A:B, 2, FALSE), "")</f>
        <v>Ship Building and Repairing (except repairs in floating drydocks)</v>
      </c>
      <c r="S2086" s="28">
        <v>0.20722874999999999</v>
      </c>
      <c r="T2086" s="315">
        <f>_xlfn.MAXIFS('Raw Period DMR Data'!$O:$O,'Raw Period DMR Data'!$A:$A,'Raw Annual DMR Data_2021-2024'!#REF!,'Raw Period DMR Data'!$C:$C,X2086)/S2086</f>
        <v>0</v>
      </c>
      <c r="U2086" s="28" t="str">
        <f>+IF(COUNTIFS('Raw Period DMR Data'!$A:$A,B2086,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86" s="28" t="str" cm="1">
        <f t="array" ref="V2086">IFERROR(INDEX('Raw Period DMR Data'!N:N,MATCH(1,(B2086='Raw Period DMR Data'!$A:$A)*(U2086='Raw Period DMR Data'!M:M)*(X2086='Raw Period DMR Data'!C:C),0),1), "N/A")</f>
        <v>N/A</v>
      </c>
      <c r="W2086" s="28" t="s">
        <v>1463</v>
      </c>
      <c r="X2086" s="28" t="s">
        <v>2102</v>
      </c>
      <c r="Y2086" s="28" t="s">
        <v>1253</v>
      </c>
      <c r="Z2086" s="61">
        <v>20060000000166</v>
      </c>
      <c r="AB2086" s="28" t="s">
        <v>7355</v>
      </c>
      <c r="AC2086" s="28" t="s">
        <v>1466</v>
      </c>
    </row>
    <row r="2087" spans="1:29" x14ac:dyDescent="0.25">
      <c r="A2087" s="61">
        <v>110070217974</v>
      </c>
      <c r="B2087" s="28">
        <v>2023</v>
      </c>
      <c r="C2087" s="68">
        <f t="shared" si="33"/>
        <v>44927</v>
      </c>
      <c r="D2087" s="28" t="s">
        <v>180</v>
      </c>
      <c r="E2087" s="28" t="s">
        <v>596</v>
      </c>
      <c r="F2087" s="28" t="s">
        <v>597</v>
      </c>
      <c r="G2087" s="28" t="s">
        <v>338</v>
      </c>
      <c r="H2087" s="28" t="s">
        <v>7093</v>
      </c>
      <c r="I2087" s="28">
        <v>40.52516</v>
      </c>
      <c r="J2087" s="28">
        <v>-74.601039999999998</v>
      </c>
      <c r="L2087" s="61">
        <v>110070217974</v>
      </c>
      <c r="M2087" s="28" t="s">
        <v>254</v>
      </c>
      <c r="N2087" s="28">
        <v>2851</v>
      </c>
      <c r="O2087" s="28" t="str">
        <f>IFERROR(VLOOKUP(N2087, 'SIC &amp; NAICS Codes'!A:B, 2, FALSE), "")</f>
        <v>Paints, Varnishes, Lacquers, Enamels and Allied Products</v>
      </c>
      <c r="S2087" s="28">
        <v>1.55568328146E-3</v>
      </c>
      <c r="T2087" s="315">
        <f>_xlfn.MAXIFS('Raw Period DMR Data'!$O:$O,'Raw Period DMR Data'!$A:$A,'Raw Annual DMR Data_2021-2024'!#REF!,'Raw Period DMR Data'!$C:$C,X2087)/S2087</f>
        <v>0</v>
      </c>
      <c r="U2087" s="28" t="str">
        <f>+IF(COUNTIFS('Raw Period DMR Data'!$A:$A,B2087,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87" s="28" t="str" cm="1">
        <f t="array" ref="V2087">IFERROR(INDEX('Raw Period DMR Data'!N:N,MATCH(1,(B2087='Raw Period DMR Data'!$A:$A)*(U2087='Raw Period DMR Data'!M:M)*(X2087='Raw Period DMR Data'!C:C),0),1), "N/A")</f>
        <v>N/A</v>
      </c>
      <c r="W2087" s="28" t="s">
        <v>1463</v>
      </c>
      <c r="X2087" s="28" t="s">
        <v>915</v>
      </c>
      <c r="Y2087" s="28" t="s">
        <v>916</v>
      </c>
      <c r="Z2087" s="61" t="s">
        <v>7341</v>
      </c>
      <c r="AB2087" s="28" t="s">
        <v>7355</v>
      </c>
      <c r="AC2087" s="28" t="s">
        <v>1466</v>
      </c>
    </row>
    <row r="2088" spans="1:29" x14ac:dyDescent="0.25">
      <c r="A2088" s="61">
        <v>110070217974</v>
      </c>
      <c r="B2088" s="28">
        <v>2022</v>
      </c>
      <c r="C2088" s="68">
        <f t="shared" si="33"/>
        <v>44562</v>
      </c>
      <c r="D2088" s="28" t="s">
        <v>180</v>
      </c>
      <c r="E2088" s="28" t="s">
        <v>596</v>
      </c>
      <c r="F2088" s="28" t="s">
        <v>597</v>
      </c>
      <c r="G2088" s="28" t="s">
        <v>338</v>
      </c>
      <c r="H2088" s="28">
        <v>8844</v>
      </c>
      <c r="I2088" s="28">
        <v>40.52516</v>
      </c>
      <c r="J2088" s="28">
        <v>-74.601039999999998</v>
      </c>
      <c r="L2088" s="61">
        <v>110070217974</v>
      </c>
      <c r="M2088" s="28" t="s">
        <v>254</v>
      </c>
      <c r="N2088" s="28">
        <v>2851</v>
      </c>
      <c r="O2088" s="28" t="str">
        <f>IFERROR(VLOOKUP(N2088, 'SIC &amp; NAICS Codes'!A:B, 2, FALSE), "")</f>
        <v>Paints, Varnishes, Lacquers, Enamels and Allied Products</v>
      </c>
      <c r="S2088" s="28">
        <v>1.2749013739975E-3</v>
      </c>
      <c r="T2088" s="315">
        <f>_xlfn.MAXIFS('Raw Period DMR Data'!$O:$O,'Raw Period DMR Data'!$A:$A,'Raw Annual DMR Data_2021-2024'!#REF!,'Raw Period DMR Data'!$C:$C,X2088)/S2088</f>
        <v>0</v>
      </c>
      <c r="U2088" s="28" t="str">
        <f>+IF(COUNTIFS('Raw Period DMR Data'!$A:$A,B2088,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88" s="28" t="str" cm="1">
        <f t="array" ref="V2088">IFERROR(INDEX('Raw Period DMR Data'!N:N,MATCH(1,(B2088='Raw Period DMR Data'!$A:$A)*(U2088='Raw Period DMR Data'!M:M)*(X2088='Raw Period DMR Data'!C:C),0),1), "N/A")</f>
        <v>N/A</v>
      </c>
      <c r="W2088" s="28" t="s">
        <v>1463</v>
      </c>
      <c r="X2088" s="28" t="s">
        <v>915</v>
      </c>
      <c r="Y2088" s="28" t="s">
        <v>916</v>
      </c>
      <c r="Z2088" s="61">
        <v>2030105000369</v>
      </c>
      <c r="AB2088" s="28" t="s">
        <v>7355</v>
      </c>
      <c r="AC2088" s="28" t="s">
        <v>1466</v>
      </c>
    </row>
    <row r="2089" spans="1:29" x14ac:dyDescent="0.25">
      <c r="A2089" s="61">
        <v>110070217974</v>
      </c>
      <c r="B2089" s="28">
        <v>2024</v>
      </c>
      <c r="C2089" s="68">
        <f t="shared" si="33"/>
        <v>45292</v>
      </c>
      <c r="D2089" s="28" t="s">
        <v>180</v>
      </c>
      <c r="E2089" s="28" t="s">
        <v>596</v>
      </c>
      <c r="F2089" s="28" t="s">
        <v>597</v>
      </c>
      <c r="G2089" s="28" t="s">
        <v>338</v>
      </c>
      <c r="H2089" s="28">
        <v>8844</v>
      </c>
      <c r="I2089" s="28">
        <v>40.52516</v>
      </c>
      <c r="J2089" s="28">
        <v>-74.601039999999998</v>
      </c>
      <c r="L2089" s="61">
        <v>110070217974</v>
      </c>
      <c r="M2089" s="28" t="s">
        <v>254</v>
      </c>
      <c r="N2089" s="28">
        <v>2851</v>
      </c>
      <c r="O2089" s="28" t="str">
        <f>IFERROR(VLOOKUP(N2089, 'SIC &amp; NAICS Codes'!A:B, 2, FALSE), "")</f>
        <v>Paints, Varnishes, Lacquers, Enamels and Allied Products</v>
      </c>
      <c r="S2089" s="28">
        <v>7.02871294105E-4</v>
      </c>
      <c r="T2089" s="315">
        <f>_xlfn.MAXIFS('Raw Period DMR Data'!$O:$O,'Raw Period DMR Data'!$A:$A,'Raw Annual DMR Data_2021-2024'!#REF!,'Raw Period DMR Data'!$C:$C,X2089)/S2089</f>
        <v>0</v>
      </c>
      <c r="U2089" s="28" t="str">
        <f>+IF(COUNTIFS('Raw Period DMR Data'!$A:$A,B2089,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89" s="28" t="str" cm="1">
        <f t="array" ref="V2089">IFERROR(INDEX('Raw Period DMR Data'!N:N,MATCH(1,(B2089='Raw Period DMR Data'!$A:$A)*(U2089='Raw Period DMR Data'!M:M)*(X2089='Raw Period DMR Data'!C:C),0),1), "N/A")</f>
        <v>N/A</v>
      </c>
      <c r="W2089" s="28" t="s">
        <v>1463</v>
      </c>
      <c r="X2089" s="28" t="s">
        <v>915</v>
      </c>
      <c r="Y2089" s="28" t="s">
        <v>916</v>
      </c>
      <c r="Z2089" s="61">
        <v>2030105000369</v>
      </c>
      <c r="AB2089" s="28" t="s">
        <v>7355</v>
      </c>
      <c r="AC2089" s="28" t="s">
        <v>1466</v>
      </c>
    </row>
    <row r="2090" spans="1:29" x14ac:dyDescent="0.25">
      <c r="A2090" s="61">
        <v>110070217974</v>
      </c>
      <c r="B2090" s="28">
        <v>2021</v>
      </c>
      <c r="C2090" s="68">
        <f t="shared" si="33"/>
        <v>44197</v>
      </c>
      <c r="D2090" s="28" t="s">
        <v>180</v>
      </c>
      <c r="E2090" s="28" t="s">
        <v>596</v>
      </c>
      <c r="F2090" s="28" t="s">
        <v>597</v>
      </c>
      <c r="G2090" s="28" t="s">
        <v>338</v>
      </c>
      <c r="H2090" s="28">
        <v>8844</v>
      </c>
      <c r="I2090" s="28">
        <v>40.52516</v>
      </c>
      <c r="J2090" s="28">
        <v>-74.601039999999998</v>
      </c>
      <c r="L2090" s="61">
        <v>110070217974</v>
      </c>
      <c r="M2090" s="28" t="s">
        <v>254</v>
      </c>
      <c r="N2090" s="28">
        <v>2851</v>
      </c>
      <c r="O2090" s="28" t="str">
        <f>IFERROR(VLOOKUP(N2090, 'SIC &amp; NAICS Codes'!A:B, 2, FALSE), "")</f>
        <v>Paints, Varnishes, Lacquers, Enamels and Allied Products</v>
      </c>
      <c r="S2090" s="28">
        <v>6.5636964330000001E-5</v>
      </c>
      <c r="T2090" s="315">
        <f>_xlfn.MAXIFS('Raw Period DMR Data'!$O:$O,'Raw Period DMR Data'!$A:$A,'Raw Annual DMR Data_2021-2024'!#REF!,'Raw Period DMR Data'!$C:$C,X2090)/S2090</f>
        <v>0</v>
      </c>
      <c r="U2090" s="28" t="str">
        <f>+IF(COUNTIFS('Raw Period DMR Data'!$A:$A,B2090,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90" s="28" t="str" cm="1">
        <f t="array" ref="V2090">IFERROR(INDEX('Raw Period DMR Data'!N:N,MATCH(1,(B2090='Raw Period DMR Data'!$A:$A)*(U2090='Raw Period DMR Data'!M:M)*(X2090='Raw Period DMR Data'!C:C),0),1), "N/A")</f>
        <v>N/A</v>
      </c>
      <c r="W2090" s="28" t="s">
        <v>1463</v>
      </c>
      <c r="X2090" s="28" t="s">
        <v>915</v>
      </c>
      <c r="Y2090" s="28" t="s">
        <v>916</v>
      </c>
      <c r="Z2090" s="61">
        <v>2030105000369</v>
      </c>
      <c r="AB2090" s="28" t="s">
        <v>7355</v>
      </c>
      <c r="AC2090" s="28" t="s">
        <v>1466</v>
      </c>
    </row>
    <row r="2091" spans="1:29" x14ac:dyDescent="0.25">
      <c r="A2091" s="61">
        <v>110064644782</v>
      </c>
      <c r="B2091" s="28">
        <v>2023</v>
      </c>
      <c r="C2091" s="68">
        <f t="shared" si="33"/>
        <v>44927</v>
      </c>
      <c r="D2091" s="28" t="s">
        <v>6789</v>
      </c>
      <c r="E2091" s="28" t="s">
        <v>6940</v>
      </c>
      <c r="F2091" s="28" t="s">
        <v>302</v>
      </c>
      <c r="G2091" s="28" t="s">
        <v>303</v>
      </c>
      <c r="H2091" s="28">
        <v>70807</v>
      </c>
      <c r="I2091" s="28">
        <v>30.584540000000001</v>
      </c>
      <c r="J2091" s="28">
        <v>-91.247479999999996</v>
      </c>
      <c r="L2091" s="61">
        <v>110064644782</v>
      </c>
      <c r="M2091" s="28" t="s">
        <v>264</v>
      </c>
      <c r="N2091" s="28">
        <v>4953</v>
      </c>
      <c r="O2091" s="28" t="str">
        <f>IFERROR(VLOOKUP(N2091, 'SIC &amp; NAICS Codes'!A:B, 2, FALSE), "")</f>
        <v>Refuse Systems (hazardous waste treatment and disposal)</v>
      </c>
      <c r="S2091" s="28">
        <v>1.9980504024999998E-3</v>
      </c>
      <c r="T2091" s="315">
        <f>_xlfn.MAXIFS('Raw Period DMR Data'!$O:$O,'Raw Period DMR Data'!$A:$A,'Raw Annual DMR Data_2021-2024'!#REF!,'Raw Period DMR Data'!$C:$C,X2091)/S2091</f>
        <v>0</v>
      </c>
      <c r="U2091" s="28" t="str">
        <f>+IF(COUNTIFS('Raw Period DMR Data'!$A:$A,B2091,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91" s="28" t="str" cm="1">
        <f t="array" ref="V2091">IFERROR(INDEX('Raw Period DMR Data'!N:N,MATCH(1,(B2091='Raw Period DMR Data'!$A:$A)*(U2091='Raw Period DMR Data'!M:M)*(X2091='Raw Period DMR Data'!C:C),0),1), "N/A")</f>
        <v>N/A</v>
      </c>
      <c r="W2091" s="28" t="s">
        <v>1463</v>
      </c>
      <c r="X2091" s="28" t="s">
        <v>7148</v>
      </c>
      <c r="Y2091" s="28" t="s">
        <v>7259</v>
      </c>
      <c r="Z2091" s="61" t="s">
        <v>7327</v>
      </c>
      <c r="AB2091" s="28" t="s">
        <v>7355</v>
      </c>
      <c r="AC2091" s="28" t="s">
        <v>1466</v>
      </c>
    </row>
    <row r="2092" spans="1:29" x14ac:dyDescent="0.25">
      <c r="A2092" s="61">
        <v>110064644782</v>
      </c>
      <c r="B2092" s="28">
        <v>2021</v>
      </c>
      <c r="C2092" s="68">
        <f t="shared" si="33"/>
        <v>44197</v>
      </c>
      <c r="D2092" s="28" t="s">
        <v>6789</v>
      </c>
      <c r="E2092" s="28" t="s">
        <v>6940</v>
      </c>
      <c r="F2092" s="28" t="s">
        <v>302</v>
      </c>
      <c r="G2092" s="28" t="s">
        <v>303</v>
      </c>
      <c r="H2092" s="28">
        <v>70807</v>
      </c>
      <c r="I2092" s="28">
        <v>30.584540000000001</v>
      </c>
      <c r="J2092" s="28">
        <v>-91.247479999999996</v>
      </c>
      <c r="L2092" s="61">
        <v>110064644782</v>
      </c>
      <c r="M2092" s="28" t="s">
        <v>264</v>
      </c>
      <c r="N2092" s="28">
        <v>4953</v>
      </c>
      <c r="O2092" s="28" t="str">
        <f>IFERROR(VLOOKUP(N2092, 'SIC &amp; NAICS Codes'!A:B, 2, FALSE), "")</f>
        <v>Refuse Systems (hazardous waste treatment and disposal)</v>
      </c>
      <c r="S2092" s="28">
        <v>5.0143680000000002E-4</v>
      </c>
      <c r="T2092" s="315">
        <f>_xlfn.MAXIFS('Raw Period DMR Data'!$O:$O,'Raw Period DMR Data'!$A:$A,'Raw Annual DMR Data_2021-2024'!#REF!,'Raw Period DMR Data'!$C:$C,X2092)/S2092</f>
        <v>0</v>
      </c>
      <c r="U2092" s="28" t="str">
        <f>+IF(COUNTIFS('Raw Period DMR Data'!$A:$A,B2092,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92" s="28" t="str" cm="1">
        <f t="array" ref="V2092">IFERROR(INDEX('Raw Period DMR Data'!N:N,MATCH(1,(B2092='Raw Period DMR Data'!$A:$A)*(U2092='Raw Period DMR Data'!M:M)*(X2092='Raw Period DMR Data'!C:C),0),1), "N/A")</f>
        <v>N/A</v>
      </c>
      <c r="W2092" s="28" t="s">
        <v>1463</v>
      </c>
      <c r="X2092" s="28" t="s">
        <v>7148</v>
      </c>
      <c r="Y2092" s="28" t="s">
        <v>7259</v>
      </c>
      <c r="Z2092" s="61">
        <v>8070201000153</v>
      </c>
      <c r="AA2092" s="28"/>
      <c r="AB2092" s="28" t="s">
        <v>7355</v>
      </c>
      <c r="AC2092" s="28" t="s">
        <v>1466</v>
      </c>
    </row>
    <row r="2093" spans="1:29" x14ac:dyDescent="0.25">
      <c r="A2093" s="61">
        <v>110000542119</v>
      </c>
      <c r="B2093" s="28">
        <v>2022</v>
      </c>
      <c r="C2093" s="68">
        <f t="shared" si="33"/>
        <v>44562</v>
      </c>
      <c r="D2093" s="28" t="s">
        <v>1289</v>
      </c>
      <c r="E2093" s="28" t="s">
        <v>2111</v>
      </c>
      <c r="F2093" s="28" t="s">
        <v>966</v>
      </c>
      <c r="G2093" s="28" t="s">
        <v>491</v>
      </c>
      <c r="H2093" s="28">
        <v>19153</v>
      </c>
      <c r="I2093" s="28">
        <v>39.886130000000001</v>
      </c>
      <c r="J2093" s="28">
        <v>-75.218249999999998</v>
      </c>
      <c r="L2093" s="61">
        <v>110000542119</v>
      </c>
      <c r="M2093" s="28" t="s">
        <v>263</v>
      </c>
      <c r="N2093" s="28">
        <v>4952</v>
      </c>
      <c r="O2093" s="28" t="str">
        <f>IFERROR(VLOOKUP(N2093, 'SIC &amp; NAICS Codes'!A:B, 2, FALSE), "")</f>
        <v>Sewerage Systems</v>
      </c>
      <c r="S2093" s="28">
        <v>391.34345124999999</v>
      </c>
      <c r="T2093" s="315">
        <f>_xlfn.MAXIFS('Raw Period DMR Data'!$O:$O,'Raw Period DMR Data'!$A:$A,'Raw Annual DMR Data_2021-2024'!B2268,'Raw Period DMR Data'!$C:$C,X2093)/S2093</f>
        <v>0</v>
      </c>
      <c r="U2093" s="28" t="str">
        <f>+IF(COUNTIFS('Raw Period DMR Data'!$A:$A,B2093, 'Raw Period DMR Data'!C:C,'Raw Annual DMR Data_2021-2024'!X2268, 'Raw Period DMR Data'!M:M, "&gt;0")&gt;0,_xlfn.MAXIFS('Raw Period DMR Data'!M:M,'Raw Period DMR Data'!$A:$A,'Raw Annual DMR Data_2021-2024'!B2268,'Raw Period DMR Data'!C:C,'Raw Annual DMR Data_2021-2024'!X2268), "N/A - Period DMR Data Not Available")</f>
        <v>N/A - Period DMR Data Not Available</v>
      </c>
      <c r="V2093" s="28" t="str" cm="1">
        <f t="array" ref="V2093">IFERROR(INDEX('Raw Period DMR Data'!N:N,MATCH(1,(B2093='Raw Period DMR Data'!$A:$A)*(U2093='Raw Period DMR Data'!M:M)*(X2093='Raw Period DMR Data'!C:C),0),1), "N/A")</f>
        <v>N/A</v>
      </c>
      <c r="W2093" s="28" t="s">
        <v>1463</v>
      </c>
      <c r="X2093" s="28" t="s">
        <v>2112</v>
      </c>
      <c r="Y2093" s="28" t="s">
        <v>7251</v>
      </c>
      <c r="Z2093" s="61">
        <v>2040203009681</v>
      </c>
      <c r="AB2093" s="28" t="s">
        <v>7355</v>
      </c>
      <c r="AC2093" s="28" t="s">
        <v>263</v>
      </c>
    </row>
    <row r="2094" spans="1:29" x14ac:dyDescent="0.25">
      <c r="A2094" s="61">
        <v>110000542119</v>
      </c>
      <c r="B2094" s="28">
        <v>2021</v>
      </c>
      <c r="C2094" s="68">
        <f t="shared" si="33"/>
        <v>44197</v>
      </c>
      <c r="D2094" s="28" t="s">
        <v>1289</v>
      </c>
      <c r="E2094" s="28" t="s">
        <v>2111</v>
      </c>
      <c r="F2094" s="28" t="s">
        <v>966</v>
      </c>
      <c r="G2094" s="28" t="s">
        <v>491</v>
      </c>
      <c r="H2094" s="28">
        <v>19153</v>
      </c>
      <c r="I2094" s="28">
        <v>39.886130000000001</v>
      </c>
      <c r="J2094" s="28">
        <v>-75.218249999999998</v>
      </c>
      <c r="L2094" s="61">
        <v>110000542119</v>
      </c>
      <c r="M2094" s="28" t="s">
        <v>263</v>
      </c>
      <c r="N2094" s="28">
        <v>4952</v>
      </c>
      <c r="O2094" s="28" t="str">
        <f>IFERROR(VLOOKUP(N2094, 'SIC &amp; NAICS Codes'!A:B, 2, FALSE), "")</f>
        <v>Sewerage Systems</v>
      </c>
      <c r="S2094" s="28">
        <v>307.49434624999998</v>
      </c>
      <c r="T2094" s="315">
        <f>_xlfn.MAXIFS('Raw Period DMR Data'!$O:$O,'Raw Period DMR Data'!$A:$A,'Raw Annual DMR Data_2021-2024'!B2271,'Raw Period DMR Data'!$C:$C,X2094)/S2094</f>
        <v>0</v>
      </c>
      <c r="U2094" s="28" t="str">
        <f>+IF(COUNTIFS('Raw Period DMR Data'!$A:$A,B2094, 'Raw Period DMR Data'!C:C,'Raw Annual DMR Data_2021-2024'!X2271, 'Raw Period DMR Data'!M:M, "&gt;0")&gt;0,_xlfn.MAXIFS('Raw Period DMR Data'!M:M,'Raw Period DMR Data'!$A:$A,'Raw Annual DMR Data_2021-2024'!B2271,'Raw Period DMR Data'!C:C,'Raw Annual DMR Data_2021-2024'!X2271), "N/A - Period DMR Data Not Available")</f>
        <v>N/A - Period DMR Data Not Available</v>
      </c>
      <c r="V2094" s="28" t="str" cm="1">
        <f t="array" ref="V2094">IFERROR(INDEX('Raw Period DMR Data'!N:N,MATCH(1,(B2094='Raw Period DMR Data'!$A:$A)*(U2094='Raw Period DMR Data'!M:M)*(X2094='Raw Period DMR Data'!C:C),0),1), "N/A")</f>
        <v>N/A</v>
      </c>
      <c r="W2094" s="28" t="s">
        <v>1463</v>
      </c>
      <c r="X2094" s="28" t="s">
        <v>2112</v>
      </c>
      <c r="Y2094" s="28" t="s">
        <v>7251</v>
      </c>
      <c r="Z2094" s="61">
        <v>2040203009681</v>
      </c>
      <c r="AA2094" s="28"/>
      <c r="AB2094" s="28" t="s">
        <v>7355</v>
      </c>
      <c r="AC2094" s="28" t="s">
        <v>263</v>
      </c>
    </row>
    <row r="2095" spans="1:29" x14ac:dyDescent="0.25">
      <c r="A2095" s="61">
        <v>110000542119</v>
      </c>
      <c r="B2095" s="28">
        <v>2024</v>
      </c>
      <c r="C2095" s="68">
        <f t="shared" si="33"/>
        <v>45292</v>
      </c>
      <c r="D2095" s="28" t="s">
        <v>1289</v>
      </c>
      <c r="E2095" s="28" t="s">
        <v>2111</v>
      </c>
      <c r="F2095" s="28" t="s">
        <v>966</v>
      </c>
      <c r="G2095" s="28" t="s">
        <v>491</v>
      </c>
      <c r="H2095" s="28">
        <v>19153</v>
      </c>
      <c r="I2095" s="28">
        <v>39.886130000000001</v>
      </c>
      <c r="J2095" s="28">
        <v>-75.218249999999998</v>
      </c>
      <c r="L2095" s="61">
        <v>110000542119</v>
      </c>
      <c r="M2095" s="28" t="s">
        <v>263</v>
      </c>
      <c r="N2095" s="28">
        <v>4952</v>
      </c>
      <c r="O2095" s="28" t="str">
        <f>IFERROR(VLOOKUP(N2095, 'SIC &amp; NAICS Codes'!A:B, 2, FALSE), "")</f>
        <v>Sewerage Systems</v>
      </c>
      <c r="S2095" s="28">
        <v>299.59694374999998</v>
      </c>
      <c r="T2095" s="315">
        <f>_xlfn.MAXIFS('Raw Period DMR Data'!$O:$O,'Raw Period DMR Data'!$A:$A,'Raw Annual DMR Data_2021-2024'!B2272,'Raw Period DMR Data'!$C:$C,X2095)/S2095</f>
        <v>0</v>
      </c>
      <c r="U2095" s="28" t="str">
        <f>+IF(COUNTIFS('Raw Period DMR Data'!$A:$A,B2095, 'Raw Period DMR Data'!C:C,'Raw Annual DMR Data_2021-2024'!X2272, 'Raw Period DMR Data'!M:M, "&gt;0")&gt;0,_xlfn.MAXIFS('Raw Period DMR Data'!M:M,'Raw Period DMR Data'!$A:$A,'Raw Annual DMR Data_2021-2024'!B2272,'Raw Period DMR Data'!C:C,'Raw Annual DMR Data_2021-2024'!X2272), "N/A - Period DMR Data Not Available")</f>
        <v>N/A - Period DMR Data Not Available</v>
      </c>
      <c r="V2095" s="28" t="str" cm="1">
        <f t="array" ref="V2095">IFERROR(INDEX('Raw Period DMR Data'!N:N,MATCH(1,(B2095='Raw Period DMR Data'!$A:$A)*(U2095='Raw Period DMR Data'!M:M)*(X2095='Raw Period DMR Data'!C:C),0),1), "N/A")</f>
        <v>N/A</v>
      </c>
      <c r="W2095" s="28" t="s">
        <v>1463</v>
      </c>
      <c r="X2095" s="28" t="s">
        <v>2112</v>
      </c>
      <c r="Y2095" s="28" t="s">
        <v>7251</v>
      </c>
      <c r="Z2095" s="61">
        <v>2040203009681</v>
      </c>
      <c r="AB2095" s="28" t="s">
        <v>7355</v>
      </c>
      <c r="AC2095" s="28" t="s">
        <v>263</v>
      </c>
    </row>
    <row r="2096" spans="1:29" x14ac:dyDescent="0.25">
      <c r="A2096" s="61">
        <v>110000542119</v>
      </c>
      <c r="B2096" s="28">
        <v>2023</v>
      </c>
      <c r="C2096" s="68">
        <f t="shared" si="33"/>
        <v>44927</v>
      </c>
      <c r="D2096" s="28" t="s">
        <v>1289</v>
      </c>
      <c r="E2096" s="28" t="s">
        <v>2111</v>
      </c>
      <c r="F2096" s="28" t="s">
        <v>966</v>
      </c>
      <c r="G2096" s="28" t="s">
        <v>491</v>
      </c>
      <c r="H2096" s="28">
        <v>19153</v>
      </c>
      <c r="I2096" s="28">
        <v>39.886130000000001</v>
      </c>
      <c r="J2096" s="28">
        <v>-75.218249999999998</v>
      </c>
      <c r="L2096" s="61">
        <v>110000542119</v>
      </c>
      <c r="M2096" s="28" t="s">
        <v>263</v>
      </c>
      <c r="N2096" s="28">
        <v>4952</v>
      </c>
      <c r="O2096" s="28" t="str">
        <f>IFERROR(VLOOKUP(N2096, 'SIC &amp; NAICS Codes'!A:B, 2, FALSE), "")</f>
        <v>Sewerage Systems</v>
      </c>
      <c r="S2096" s="28">
        <v>279.84984175</v>
      </c>
      <c r="T2096" s="315">
        <f>_xlfn.MAXIFS('Raw Period DMR Data'!$O:$O,'Raw Period DMR Data'!$A:$A,'Raw Annual DMR Data_2021-2024'!B2276,'Raw Period DMR Data'!$C:$C,X2096)/S2096</f>
        <v>0</v>
      </c>
      <c r="U2096" s="28" t="str">
        <f>+IF(COUNTIFS('Raw Period DMR Data'!$A:$A,B2096, 'Raw Period DMR Data'!C:C,'Raw Annual DMR Data_2021-2024'!X2276, 'Raw Period DMR Data'!M:M, "&gt;0")&gt;0,_xlfn.MAXIFS('Raw Period DMR Data'!M:M,'Raw Period DMR Data'!$A:$A,'Raw Annual DMR Data_2021-2024'!B2276,'Raw Period DMR Data'!C:C,'Raw Annual DMR Data_2021-2024'!X2276), "N/A - Period DMR Data Not Available")</f>
        <v>N/A - Period DMR Data Not Available</v>
      </c>
      <c r="V2096" s="28" t="str" cm="1">
        <f t="array" ref="V2096">IFERROR(INDEX('Raw Period DMR Data'!N:N,MATCH(1,(B2096='Raw Period DMR Data'!$A:$A)*(U2096='Raw Period DMR Data'!M:M)*(X2096='Raw Period DMR Data'!C:C),0),1), "N/A")</f>
        <v>N/A</v>
      </c>
      <c r="W2096" s="28" t="s">
        <v>1463</v>
      </c>
      <c r="X2096" s="28" t="s">
        <v>2112</v>
      </c>
      <c r="Y2096" s="28" t="s">
        <v>7251</v>
      </c>
      <c r="Z2096" s="61">
        <v>2040203009681</v>
      </c>
      <c r="AB2096" s="28" t="s">
        <v>7355</v>
      </c>
      <c r="AC2096" s="28" t="s">
        <v>263</v>
      </c>
    </row>
    <row r="2097" spans="1:29" x14ac:dyDescent="0.25">
      <c r="A2097" s="61">
        <v>110041133163</v>
      </c>
      <c r="B2097" s="28">
        <v>2024</v>
      </c>
      <c r="C2097" s="68">
        <f t="shared" si="33"/>
        <v>45292</v>
      </c>
      <c r="D2097" s="28" t="s">
        <v>1290</v>
      </c>
      <c r="E2097" s="28" t="s">
        <v>2115</v>
      </c>
      <c r="F2097" s="28" t="s">
        <v>544</v>
      </c>
      <c r="G2097" s="28" t="s">
        <v>338</v>
      </c>
      <c r="H2097" s="28">
        <v>7036</v>
      </c>
      <c r="I2097" s="28">
        <v>40.640135000000001</v>
      </c>
      <c r="J2097" s="28">
        <v>-74.218879999999999</v>
      </c>
      <c r="K2097" s="28" t="s">
        <v>730</v>
      </c>
      <c r="L2097" s="61">
        <v>110041133163</v>
      </c>
      <c r="M2097" s="28" t="s">
        <v>265</v>
      </c>
      <c r="N2097" s="28">
        <v>2911</v>
      </c>
      <c r="O2097" s="28" t="str">
        <f>IFERROR(VLOOKUP(N2097, 'SIC &amp; NAICS Codes'!A:B, 2, FALSE), "")</f>
        <v>Petroleum Refining</v>
      </c>
      <c r="S2097" s="28">
        <v>2.46</v>
      </c>
      <c r="T2097" s="315">
        <f>_xlfn.MAXIFS('Raw Period DMR Data'!$O:$O,'Raw Period DMR Data'!$A:$A,'Raw Annual DMR Data_2021-2024'!#REF!,'Raw Period DMR Data'!$C:$C,X2097)/S2097</f>
        <v>0</v>
      </c>
      <c r="U2097" s="28" t="str">
        <f>+IF(COUNTIFS('Raw Period DMR Data'!$A:$A,B2097,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97" s="28" t="str" cm="1">
        <f t="array" ref="V2097">IFERROR(INDEX('Raw Period DMR Data'!N:N,MATCH(1,(B2097='Raw Period DMR Data'!$A:$A)*(U2097='Raw Period DMR Data'!M:M)*(X2097='Raw Period DMR Data'!C:C),0),1), "N/A")</f>
        <v>N/A</v>
      </c>
      <c r="W2097" s="28" t="s">
        <v>1463</v>
      </c>
      <c r="X2097" s="28" t="s">
        <v>2116</v>
      </c>
      <c r="Y2097" s="28" t="s">
        <v>7276</v>
      </c>
      <c r="Z2097" s="61">
        <v>2030104000282</v>
      </c>
      <c r="AB2097" s="28" t="s">
        <v>7355</v>
      </c>
      <c r="AC2097" s="28" t="s">
        <v>1466</v>
      </c>
    </row>
    <row r="2098" spans="1:29" x14ac:dyDescent="0.25">
      <c r="A2098" s="61">
        <v>110041133163</v>
      </c>
      <c r="B2098" s="28">
        <v>2023</v>
      </c>
      <c r="C2098" s="68">
        <f t="shared" si="33"/>
        <v>44927</v>
      </c>
      <c r="D2098" s="28" t="s">
        <v>1290</v>
      </c>
      <c r="E2098" s="28" t="s">
        <v>2115</v>
      </c>
      <c r="F2098" s="28" t="s">
        <v>544</v>
      </c>
      <c r="G2098" s="28" t="s">
        <v>338</v>
      </c>
      <c r="H2098" s="28" t="s">
        <v>1961</v>
      </c>
      <c r="I2098" s="28">
        <v>40.640135000000001</v>
      </c>
      <c r="J2098" s="28">
        <v>-74.218879999999999</v>
      </c>
      <c r="K2098" s="28" t="s">
        <v>730</v>
      </c>
      <c r="L2098" s="61">
        <v>110041133163</v>
      </c>
      <c r="M2098" s="28" t="s">
        <v>265</v>
      </c>
      <c r="N2098" s="28">
        <v>2911</v>
      </c>
      <c r="O2098" s="28" t="str">
        <f>IFERROR(VLOOKUP(N2098, 'SIC &amp; NAICS Codes'!A:B, 2, FALSE), "")</f>
        <v>Petroleum Refining</v>
      </c>
      <c r="S2098" s="28">
        <v>2.3050000000000002</v>
      </c>
      <c r="T2098" s="315">
        <f>_xlfn.MAXIFS('Raw Period DMR Data'!$O:$O,'Raw Period DMR Data'!$A:$A,'Raw Annual DMR Data_2021-2024'!#REF!,'Raw Period DMR Data'!$C:$C,X2098)/S2098</f>
        <v>0</v>
      </c>
      <c r="U2098" s="28" t="str">
        <f>+IF(COUNTIFS('Raw Period DMR Data'!$A:$A,B2098,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98" s="28" t="str" cm="1">
        <f t="array" ref="V2098">IFERROR(INDEX('Raw Period DMR Data'!N:N,MATCH(1,(B2098='Raw Period DMR Data'!$A:$A)*(U2098='Raw Period DMR Data'!M:M)*(X2098='Raw Period DMR Data'!C:C),0),1), "N/A")</f>
        <v>N/A</v>
      </c>
      <c r="W2098" s="28" t="s">
        <v>1463</v>
      </c>
      <c r="X2098" s="28" t="s">
        <v>2116</v>
      </c>
      <c r="Y2098" s="28" t="s">
        <v>7276</v>
      </c>
      <c r="Z2098" s="61" t="s">
        <v>2118</v>
      </c>
      <c r="AB2098" s="28" t="s">
        <v>7355</v>
      </c>
      <c r="AC2098" s="28" t="s">
        <v>1466</v>
      </c>
    </row>
    <row r="2099" spans="1:29" x14ac:dyDescent="0.25">
      <c r="A2099" s="61">
        <v>110041133163</v>
      </c>
      <c r="B2099" s="28">
        <v>2022</v>
      </c>
      <c r="C2099" s="68">
        <f t="shared" si="33"/>
        <v>44562</v>
      </c>
      <c r="D2099" s="28" t="s">
        <v>1290</v>
      </c>
      <c r="E2099" s="28" t="s">
        <v>2115</v>
      </c>
      <c r="F2099" s="28" t="s">
        <v>544</v>
      </c>
      <c r="G2099" s="28" t="s">
        <v>338</v>
      </c>
      <c r="H2099" s="28">
        <v>7036</v>
      </c>
      <c r="I2099" s="28">
        <v>40.640135000000001</v>
      </c>
      <c r="J2099" s="28">
        <v>-74.218879999999999</v>
      </c>
      <c r="K2099" s="28" t="s">
        <v>730</v>
      </c>
      <c r="L2099" s="61">
        <v>110041133163</v>
      </c>
      <c r="M2099" s="28" t="s">
        <v>265</v>
      </c>
      <c r="N2099" s="28">
        <v>2911</v>
      </c>
      <c r="O2099" s="28" t="str">
        <f>IFERROR(VLOOKUP(N2099, 'SIC &amp; NAICS Codes'!A:B, 2, FALSE), "")</f>
        <v>Petroleum Refining</v>
      </c>
      <c r="S2099" s="28">
        <v>1.9950000000000001</v>
      </c>
      <c r="T2099" s="315">
        <f>_xlfn.MAXIFS('Raw Period DMR Data'!$O:$O,'Raw Period DMR Data'!$A:$A,'Raw Annual DMR Data_2021-2024'!#REF!,'Raw Period DMR Data'!$C:$C,X2099)/S2099</f>
        <v>0</v>
      </c>
      <c r="U2099" s="28" t="str">
        <f>+IF(COUNTIFS('Raw Period DMR Data'!$A:$A,B2099,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99" s="28" t="str" cm="1">
        <f t="array" ref="V2099">IFERROR(INDEX('Raw Period DMR Data'!N:N,MATCH(1,(B2099='Raw Period DMR Data'!$A:$A)*(U2099='Raw Period DMR Data'!M:M)*(X2099='Raw Period DMR Data'!C:C),0),1), "N/A")</f>
        <v>N/A</v>
      </c>
      <c r="W2099" s="28" t="s">
        <v>1463</v>
      </c>
      <c r="X2099" s="28" t="s">
        <v>2116</v>
      </c>
      <c r="Y2099" s="28" t="s">
        <v>7276</v>
      </c>
      <c r="Z2099" s="61">
        <v>2030104000282</v>
      </c>
      <c r="AB2099" s="28" t="s">
        <v>7355</v>
      </c>
      <c r="AC2099" s="28" t="s">
        <v>1466</v>
      </c>
    </row>
    <row r="2100" spans="1:29" x14ac:dyDescent="0.25">
      <c r="A2100" s="61">
        <v>110041133163</v>
      </c>
      <c r="B2100" s="28">
        <v>2021</v>
      </c>
      <c r="C2100" s="68">
        <f t="shared" si="33"/>
        <v>44197</v>
      </c>
      <c r="D2100" s="28" t="s">
        <v>1290</v>
      </c>
      <c r="E2100" s="28" t="s">
        <v>2115</v>
      </c>
      <c r="F2100" s="28" t="s">
        <v>544</v>
      </c>
      <c r="G2100" s="28" t="s">
        <v>338</v>
      </c>
      <c r="H2100" s="28">
        <v>7036</v>
      </c>
      <c r="I2100" s="28">
        <v>40.640135000000001</v>
      </c>
      <c r="J2100" s="28">
        <v>-74.218879999999999</v>
      </c>
      <c r="K2100" s="28" t="s">
        <v>730</v>
      </c>
      <c r="L2100" s="61">
        <v>110041133163</v>
      </c>
      <c r="M2100" s="28" t="s">
        <v>265</v>
      </c>
      <c r="N2100" s="28">
        <v>2911</v>
      </c>
      <c r="O2100" s="28" t="str">
        <f>IFERROR(VLOOKUP(N2100, 'SIC &amp; NAICS Codes'!A:B, 2, FALSE), "")</f>
        <v>Petroleum Refining</v>
      </c>
      <c r="S2100" s="28">
        <v>1.845</v>
      </c>
      <c r="T2100" s="315">
        <f>_xlfn.MAXIFS('Raw Period DMR Data'!$O:$O,'Raw Period DMR Data'!$A:$A,'Raw Annual DMR Data_2021-2024'!#REF!,'Raw Period DMR Data'!$C:$C,X2100)/S2100</f>
        <v>0</v>
      </c>
      <c r="U2100" s="28" t="str">
        <f>+IF(COUNTIFS('Raw Period DMR Data'!$A:$A,B2100,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00" s="28" t="str" cm="1">
        <f t="array" ref="V2100">IFERROR(INDEX('Raw Period DMR Data'!N:N,MATCH(1,(B2100='Raw Period DMR Data'!$A:$A)*(U2100='Raw Period DMR Data'!M:M)*(X2100='Raw Period DMR Data'!C:C),0),1), "N/A")</f>
        <v>N/A</v>
      </c>
      <c r="W2100" s="28" t="s">
        <v>1463</v>
      </c>
      <c r="X2100" s="28" t="s">
        <v>2116</v>
      </c>
      <c r="Y2100" s="28" t="s">
        <v>7276</v>
      </c>
      <c r="Z2100" s="61">
        <v>2030104000282</v>
      </c>
      <c r="AA2100" s="28"/>
      <c r="AB2100" s="28" t="s">
        <v>7355</v>
      </c>
      <c r="AC2100" s="28" t="s">
        <v>1466</v>
      </c>
    </row>
    <row r="2101" spans="1:29" x14ac:dyDescent="0.25">
      <c r="A2101" s="61">
        <v>110045415207</v>
      </c>
      <c r="B2101" s="28">
        <v>2024</v>
      </c>
      <c r="C2101" s="68">
        <f t="shared" si="33"/>
        <v>45292</v>
      </c>
      <c r="D2101" s="28" t="s">
        <v>6907</v>
      </c>
      <c r="E2101" s="28" t="s">
        <v>1894</v>
      </c>
      <c r="F2101" s="28" t="s">
        <v>1178</v>
      </c>
      <c r="G2101" s="28" t="s">
        <v>308</v>
      </c>
      <c r="H2101" s="28">
        <v>1803</v>
      </c>
      <c r="I2101" s="28">
        <v>42.481274999999997</v>
      </c>
      <c r="J2101" s="28">
        <v>-71.198278999999999</v>
      </c>
      <c r="L2101" s="61">
        <v>110045415207</v>
      </c>
      <c r="M2101" s="28" t="s">
        <v>265</v>
      </c>
      <c r="N2101" s="28">
        <v>4959</v>
      </c>
      <c r="O2101" s="28" t="str">
        <f>IFERROR(VLOOKUP(N2101, 'SIC &amp; NAICS Codes'!A:B, 2, FALSE), "")</f>
        <v>Sanitary Services, NEC (vacuuming of runways)</v>
      </c>
      <c r="S2101" s="28">
        <v>2.7391636144299999E-2</v>
      </c>
      <c r="T2101" s="315">
        <f>_xlfn.MAXIFS('Raw Period DMR Data'!$O:$O,'Raw Period DMR Data'!$A:$A,'Raw Annual DMR Data_2021-2024'!#REF!,'Raw Period DMR Data'!$C:$C,X2101)/S2101</f>
        <v>0</v>
      </c>
      <c r="U2101" s="28" t="str">
        <f>+IF(COUNTIFS('Raw Period DMR Data'!$A:$A,B2101,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01" s="28" t="str" cm="1">
        <f t="array" ref="V2101">IFERROR(INDEX('Raw Period DMR Data'!N:N,MATCH(1,(B2101='Raw Period DMR Data'!$A:$A)*(U2101='Raw Period DMR Data'!M:M)*(X2101='Raw Period DMR Data'!C:C),0),1), "N/A")</f>
        <v>N/A</v>
      </c>
      <c r="W2101" s="28" t="s">
        <v>1463</v>
      </c>
      <c r="X2101" s="28" t="s">
        <v>7238</v>
      </c>
      <c r="Y2101" s="28" t="s">
        <v>1896</v>
      </c>
      <c r="Z2101" s="61"/>
      <c r="AB2101" s="28" t="s">
        <v>7355</v>
      </c>
      <c r="AC2101" s="28" t="s">
        <v>1466</v>
      </c>
    </row>
    <row r="2102" spans="1:29" x14ac:dyDescent="0.25">
      <c r="A2102" s="61">
        <v>110006644872</v>
      </c>
      <c r="B2102" s="28">
        <v>2024</v>
      </c>
      <c r="C2102" s="68">
        <f t="shared" si="33"/>
        <v>45292</v>
      </c>
      <c r="D2102" s="28" t="s">
        <v>1293</v>
      </c>
      <c r="E2102" s="28" t="s">
        <v>2122</v>
      </c>
      <c r="F2102" s="28" t="s">
        <v>1294</v>
      </c>
      <c r="G2102" s="28" t="s">
        <v>324</v>
      </c>
      <c r="H2102" s="28">
        <v>41501</v>
      </c>
      <c r="I2102" s="28">
        <v>37.491857000000003</v>
      </c>
      <c r="J2102" s="28">
        <v>-82.539703000000003</v>
      </c>
      <c r="L2102" s="61">
        <v>110006644872</v>
      </c>
      <c r="M2102" s="28" t="s">
        <v>263</v>
      </c>
      <c r="N2102" s="28">
        <v>4952</v>
      </c>
      <c r="O2102" s="28" t="str">
        <f>IFERROR(VLOOKUP(N2102, 'SIC &amp; NAICS Codes'!A:B, 2, FALSE), "")</f>
        <v>Sewerage Systems</v>
      </c>
      <c r="S2102" s="28">
        <v>1.38428805E-3</v>
      </c>
      <c r="T2102" s="315">
        <f>_xlfn.MAXIFS('Raw Period DMR Data'!$O:$O,'Raw Period DMR Data'!$A:$A,'Raw Annual DMR Data_2021-2024'!#REF!,'Raw Period DMR Data'!$C:$C,X2102)/S2102</f>
        <v>0</v>
      </c>
      <c r="U2102" s="28" t="str">
        <f>+IF(COUNTIFS('Raw Period DMR Data'!$A:$A,B2102,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02" s="28" t="str" cm="1">
        <f t="array" ref="V2102">IFERROR(INDEX('Raw Period DMR Data'!N:N,MATCH(1,(B2102='Raw Period DMR Data'!$A:$A)*(U2102='Raw Period DMR Data'!M:M)*(X2102='Raw Period DMR Data'!C:C),0),1), "N/A")</f>
        <v>N/A</v>
      </c>
      <c r="W2102" s="28" t="s">
        <v>1463</v>
      </c>
      <c r="X2102" s="28" t="s">
        <v>2123</v>
      </c>
      <c r="Y2102" s="28" t="s">
        <v>2124</v>
      </c>
      <c r="Z2102" s="61">
        <v>5070203000244</v>
      </c>
      <c r="AB2102" s="28" t="s">
        <v>7355</v>
      </c>
      <c r="AC2102" s="28" t="s">
        <v>263</v>
      </c>
    </row>
    <row r="2103" spans="1:29" x14ac:dyDescent="0.25">
      <c r="A2103" s="61">
        <v>110006644872</v>
      </c>
      <c r="B2103" s="28">
        <v>2023</v>
      </c>
      <c r="C2103" s="68">
        <f t="shared" si="33"/>
        <v>44927</v>
      </c>
      <c r="D2103" s="28" t="s">
        <v>1293</v>
      </c>
      <c r="E2103" s="28" t="s">
        <v>2122</v>
      </c>
      <c r="F2103" s="28" t="s">
        <v>1294</v>
      </c>
      <c r="G2103" s="28" t="s">
        <v>324</v>
      </c>
      <c r="H2103" s="28">
        <v>41501</v>
      </c>
      <c r="I2103" s="28">
        <v>37.491857000000003</v>
      </c>
      <c r="J2103" s="28">
        <v>-82.539703000000003</v>
      </c>
      <c r="L2103" s="61">
        <v>110006644872</v>
      </c>
      <c r="M2103" s="28" t="s">
        <v>263</v>
      </c>
      <c r="N2103" s="28">
        <v>4952</v>
      </c>
      <c r="O2103" s="28" t="str">
        <f>IFERROR(VLOOKUP(N2103, 'SIC &amp; NAICS Codes'!A:B, 2, FALSE), "")</f>
        <v>Sewerage Systems</v>
      </c>
      <c r="S2103" s="28">
        <v>1.2218897862500001E-3</v>
      </c>
      <c r="T2103" s="315">
        <f>_xlfn.MAXIFS('Raw Period DMR Data'!$O:$O,'Raw Period DMR Data'!$A:$A,'Raw Annual DMR Data_2021-2024'!#REF!,'Raw Period DMR Data'!$C:$C,X2103)/S2103</f>
        <v>0</v>
      </c>
      <c r="U2103" s="28" t="str">
        <f>+IF(COUNTIFS('Raw Period DMR Data'!$A:$A,B2103,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03" s="28" t="str" cm="1">
        <f t="array" ref="V2103">IFERROR(INDEX('Raw Period DMR Data'!N:N,MATCH(1,(B2103='Raw Period DMR Data'!$A:$A)*(U2103='Raw Period DMR Data'!M:M)*(X2103='Raw Period DMR Data'!C:C),0),1), "N/A")</f>
        <v>N/A</v>
      </c>
      <c r="W2103" s="28" t="s">
        <v>1463</v>
      </c>
      <c r="X2103" s="28" t="s">
        <v>2123</v>
      </c>
      <c r="Y2103" s="28" t="s">
        <v>2124</v>
      </c>
      <c r="Z2103" s="61" t="s">
        <v>2125</v>
      </c>
      <c r="AB2103" s="28" t="s">
        <v>7355</v>
      </c>
      <c r="AC2103" s="28" t="s">
        <v>263</v>
      </c>
    </row>
    <row r="2104" spans="1:29" x14ac:dyDescent="0.25">
      <c r="A2104" s="61">
        <v>110070214056</v>
      </c>
      <c r="B2104" s="28">
        <v>2024</v>
      </c>
      <c r="C2104" s="68">
        <f t="shared" si="33"/>
        <v>45292</v>
      </c>
      <c r="D2104" s="28" t="s">
        <v>6832</v>
      </c>
      <c r="E2104" s="28" t="s">
        <v>6985</v>
      </c>
      <c r="F2104" s="28" t="s">
        <v>6986</v>
      </c>
      <c r="G2104" s="28" t="s">
        <v>338</v>
      </c>
      <c r="H2104" s="28">
        <v>8533</v>
      </c>
      <c r="I2104" s="28">
        <v>40.085931000000002</v>
      </c>
      <c r="J2104" s="28">
        <v>-74.536839999999998</v>
      </c>
      <c r="L2104" s="61">
        <v>110070214056</v>
      </c>
      <c r="M2104" s="28" t="s">
        <v>263</v>
      </c>
      <c r="O2104" s="28" t="str">
        <f>IFERROR(VLOOKUP(N2104, 'SIC &amp; NAICS Codes'!A:B, 2, FALSE), "")</f>
        <v/>
      </c>
      <c r="S2104" s="28">
        <v>2.7302187207499998E-2</v>
      </c>
      <c r="T2104" s="315">
        <f>_xlfn.MAXIFS('Raw Period DMR Data'!$O:$O,'Raw Period DMR Data'!$A:$A,'Raw Annual DMR Data_2021-2024'!#REF!,'Raw Period DMR Data'!$C:$C,X2104)/S2104</f>
        <v>0</v>
      </c>
      <c r="U2104" s="28" t="str">
        <f>+IF(COUNTIFS('Raw Period DMR Data'!$A:$A,B2104,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04" s="28" t="str" cm="1">
        <f t="array" ref="V2104">IFERROR(INDEX('Raw Period DMR Data'!N:N,MATCH(1,(B2104='Raw Period DMR Data'!$A:$A)*(U2104='Raw Period DMR Data'!M:M)*(X2104='Raw Period DMR Data'!C:C),0),1), "N/A")</f>
        <v>N/A</v>
      </c>
      <c r="W2104" s="28" t="s">
        <v>1463</v>
      </c>
      <c r="X2104" s="28" t="s">
        <v>7170</v>
      </c>
      <c r="Y2104" s="28" t="s">
        <v>1837</v>
      </c>
      <c r="Z2104" s="61"/>
      <c r="AB2104" s="28" t="s">
        <v>7355</v>
      </c>
      <c r="AC2104" s="28" t="s">
        <v>263</v>
      </c>
    </row>
    <row r="2105" spans="1:29" x14ac:dyDescent="0.25">
      <c r="A2105" s="61">
        <v>110070214056</v>
      </c>
      <c r="B2105" s="28">
        <v>2023</v>
      </c>
      <c r="C2105" s="68">
        <f t="shared" si="33"/>
        <v>44927</v>
      </c>
      <c r="D2105" s="28" t="s">
        <v>6832</v>
      </c>
      <c r="E2105" s="28" t="s">
        <v>6985</v>
      </c>
      <c r="F2105" s="28" t="s">
        <v>6986</v>
      </c>
      <c r="G2105" s="28" t="s">
        <v>338</v>
      </c>
      <c r="H2105" s="28" t="s">
        <v>7104</v>
      </c>
      <c r="I2105" s="28">
        <v>40.085931000000002</v>
      </c>
      <c r="J2105" s="28">
        <v>-74.536839999999998</v>
      </c>
      <c r="L2105" s="61">
        <v>110070214056</v>
      </c>
      <c r="M2105" s="28" t="s">
        <v>263</v>
      </c>
      <c r="O2105" s="28" t="str">
        <f>IFERROR(VLOOKUP(N2105, 'SIC &amp; NAICS Codes'!A:B, 2, FALSE), "")</f>
        <v/>
      </c>
      <c r="S2105" s="28">
        <v>9.9227730325000003E-3</v>
      </c>
      <c r="T2105" s="315">
        <f>_xlfn.MAXIFS('Raw Period DMR Data'!$O:$O,'Raw Period DMR Data'!$A:$A,'Raw Annual DMR Data_2021-2024'!#REF!,'Raw Period DMR Data'!$C:$C,X2105)/S2105</f>
        <v>0</v>
      </c>
      <c r="U2105" s="28" t="str">
        <f>+IF(COUNTIFS('Raw Period DMR Data'!$A:$A,B2105,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05" s="28" t="str" cm="1">
        <f t="array" ref="V2105">IFERROR(INDEX('Raw Period DMR Data'!N:N,MATCH(1,(B2105='Raw Period DMR Data'!$A:$A)*(U2105='Raw Period DMR Data'!M:M)*(X2105='Raw Period DMR Data'!C:C),0),1), "N/A")</f>
        <v>N/A</v>
      </c>
      <c r="W2105" s="28" t="s">
        <v>1463</v>
      </c>
      <c r="X2105" s="28" t="s">
        <v>7170</v>
      </c>
      <c r="Y2105" s="28" t="s">
        <v>1837</v>
      </c>
      <c r="Z2105" s="61"/>
      <c r="AB2105" s="28" t="s">
        <v>7355</v>
      </c>
      <c r="AC2105" s="28" t="s">
        <v>263</v>
      </c>
    </row>
    <row r="2106" spans="1:29" x14ac:dyDescent="0.25">
      <c r="A2106" s="61">
        <v>110070214056</v>
      </c>
      <c r="B2106" s="28">
        <v>2022</v>
      </c>
      <c r="C2106" s="68">
        <f t="shared" si="33"/>
        <v>44562</v>
      </c>
      <c r="D2106" s="28" t="s">
        <v>6832</v>
      </c>
      <c r="E2106" s="28" t="s">
        <v>6985</v>
      </c>
      <c r="F2106" s="28" t="s">
        <v>6986</v>
      </c>
      <c r="G2106" s="28" t="s">
        <v>338</v>
      </c>
      <c r="H2106" s="28">
        <v>8533</v>
      </c>
      <c r="I2106" s="28">
        <v>40.085931000000002</v>
      </c>
      <c r="J2106" s="28">
        <v>-74.536839999999998</v>
      </c>
      <c r="L2106" s="61">
        <v>110070214056</v>
      </c>
      <c r="M2106" s="28" t="s">
        <v>263</v>
      </c>
      <c r="O2106" s="28" t="str">
        <f>IFERROR(VLOOKUP(N2106, 'SIC &amp; NAICS Codes'!A:B, 2, FALSE), "")</f>
        <v/>
      </c>
      <c r="S2106" s="28">
        <v>2.2527733325000002E-3</v>
      </c>
      <c r="T2106" s="315">
        <f>_xlfn.MAXIFS('Raw Period DMR Data'!$O:$O,'Raw Period DMR Data'!$A:$A,'Raw Annual DMR Data_2021-2024'!#REF!,'Raw Period DMR Data'!$C:$C,X2106)/S2106</f>
        <v>0</v>
      </c>
      <c r="U2106" s="28" t="str">
        <f>+IF(COUNTIFS('Raw Period DMR Data'!$A:$A,B2106,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06" s="28" t="str" cm="1">
        <f t="array" ref="V2106">IFERROR(INDEX('Raw Period DMR Data'!N:N,MATCH(1,(B2106='Raw Period DMR Data'!$A:$A)*(U2106='Raw Period DMR Data'!M:M)*(X2106='Raw Period DMR Data'!C:C),0),1), "N/A")</f>
        <v>N/A</v>
      </c>
      <c r="W2106" s="28" t="s">
        <v>1463</v>
      </c>
      <c r="X2106" s="28" t="s">
        <v>7170</v>
      </c>
      <c r="Y2106" s="28" t="s">
        <v>1837</v>
      </c>
      <c r="Z2106" s="61"/>
      <c r="AB2106" s="28" t="s">
        <v>7355</v>
      </c>
      <c r="AC2106" s="28" t="s">
        <v>263</v>
      </c>
    </row>
    <row r="2107" spans="1:29" x14ac:dyDescent="0.25">
      <c r="A2107" s="61">
        <v>110010059293</v>
      </c>
      <c r="B2107" s="28">
        <v>2024</v>
      </c>
      <c r="C2107" s="68">
        <f t="shared" si="33"/>
        <v>45292</v>
      </c>
      <c r="D2107" s="28" t="s">
        <v>6857</v>
      </c>
      <c r="E2107" s="28" t="s">
        <v>7018</v>
      </c>
      <c r="F2107" s="28" t="s">
        <v>7019</v>
      </c>
      <c r="G2107" s="28" t="s">
        <v>366</v>
      </c>
      <c r="H2107" s="28">
        <v>94569</v>
      </c>
      <c r="I2107" s="28">
        <v>38.045079999999999</v>
      </c>
      <c r="J2107" s="28">
        <v>-122.18787</v>
      </c>
      <c r="L2107" s="61">
        <v>110010059293</v>
      </c>
      <c r="M2107" s="28" t="s">
        <v>263</v>
      </c>
      <c r="N2107" s="28">
        <v>4952</v>
      </c>
      <c r="O2107" s="28" t="str">
        <f>IFERROR(VLOOKUP(N2107, 'SIC &amp; NAICS Codes'!A:B, 2, FALSE), "")</f>
        <v>Sewerage Systems</v>
      </c>
      <c r="S2107" s="28">
        <v>6.0787099999999995E-4</v>
      </c>
      <c r="T2107" s="315">
        <f>_xlfn.MAXIFS('Raw Period DMR Data'!$O:$O,'Raw Period DMR Data'!$A:$A,'Raw Annual DMR Data_2021-2024'!#REF!,'Raw Period DMR Data'!$C:$C,X2107)/S2107</f>
        <v>0</v>
      </c>
      <c r="U2107" s="28" t="str">
        <f>+IF(COUNTIFS('Raw Period DMR Data'!$A:$A,B2107,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07" s="28" t="str" cm="1">
        <f t="array" ref="V2107">IFERROR(INDEX('Raw Period DMR Data'!N:N,MATCH(1,(B2107='Raw Period DMR Data'!$A:$A)*(U2107='Raw Period DMR Data'!M:M)*(X2107='Raw Period DMR Data'!C:C),0),1), "N/A")</f>
        <v>N/A</v>
      </c>
      <c r="W2107" s="28" t="s">
        <v>1463</v>
      </c>
      <c r="X2107" s="28" t="s">
        <v>7188</v>
      </c>
      <c r="Y2107" s="28" t="s">
        <v>7252</v>
      </c>
      <c r="Z2107" s="61">
        <v>18050001001573</v>
      </c>
      <c r="AC2107" s="28" t="s">
        <v>263</v>
      </c>
    </row>
    <row r="2108" spans="1:29" x14ac:dyDescent="0.25">
      <c r="A2108" s="61">
        <v>110063004528</v>
      </c>
      <c r="B2108" s="28">
        <v>2023</v>
      </c>
      <c r="C2108" s="68">
        <f t="shared" si="33"/>
        <v>44927</v>
      </c>
      <c r="D2108" s="28" t="s">
        <v>6819</v>
      </c>
      <c r="E2108" s="28" t="s">
        <v>377</v>
      </c>
      <c r="F2108" s="28" t="s">
        <v>480</v>
      </c>
      <c r="G2108" s="28" t="s">
        <v>362</v>
      </c>
      <c r="H2108" s="28">
        <v>77978</v>
      </c>
      <c r="I2108" s="28">
        <v>28.643972000000002</v>
      </c>
      <c r="J2108" s="28">
        <v>-96.547583000000003</v>
      </c>
      <c r="L2108" s="61">
        <v>110063004528</v>
      </c>
      <c r="M2108" s="28" t="s">
        <v>252</v>
      </c>
      <c r="N2108" s="28">
        <v>4491</v>
      </c>
      <c r="O2108" s="28" t="str">
        <f>IFERROR(VLOOKUP(N2108, 'SIC &amp; NAICS Codes'!A:B, 2, FALSE), "")</f>
        <v>Marine Cargo Handling (dock and pier operations)</v>
      </c>
      <c r="S2108" s="28">
        <v>0.21994635000000001</v>
      </c>
      <c r="T2108" s="315">
        <f>_xlfn.MAXIFS('Raw Period DMR Data'!$O:$O,'Raw Period DMR Data'!$A:$A,'Raw Annual DMR Data_2021-2024'!#REF!,'Raw Period DMR Data'!$C:$C,X2108)/S2108</f>
        <v>0</v>
      </c>
      <c r="U2108" s="28" t="str">
        <f>+IF(COUNTIFS('Raw Period DMR Data'!$A:$A,B2108,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08" s="28" t="str" cm="1">
        <f t="array" ref="V2108">IFERROR(INDEX('Raw Period DMR Data'!N:N,MATCH(1,(B2108='Raw Period DMR Data'!$A:$A)*(U2108='Raw Period DMR Data'!M:M)*(X2108='Raw Period DMR Data'!C:C),0),1), "N/A")</f>
        <v>N/A</v>
      </c>
      <c r="W2108" s="28" t="s">
        <v>1463</v>
      </c>
      <c r="X2108" s="28" t="s">
        <v>804</v>
      </c>
      <c r="Y2108" s="28" t="s">
        <v>805</v>
      </c>
      <c r="Z2108" s="61">
        <v>12100401000758</v>
      </c>
      <c r="AC2108" s="28" t="s">
        <v>1466</v>
      </c>
    </row>
    <row r="2109" spans="1:29" x14ac:dyDescent="0.25">
      <c r="A2109" s="61">
        <v>110063004528</v>
      </c>
      <c r="B2109" s="28">
        <v>2021</v>
      </c>
      <c r="C2109" s="68">
        <f t="shared" si="33"/>
        <v>44197</v>
      </c>
      <c r="D2109" s="28" t="s">
        <v>6819</v>
      </c>
      <c r="E2109" s="28" t="s">
        <v>377</v>
      </c>
      <c r="F2109" s="28" t="s">
        <v>480</v>
      </c>
      <c r="G2109" s="28" t="s">
        <v>362</v>
      </c>
      <c r="H2109" s="28">
        <v>77978</v>
      </c>
      <c r="I2109" s="28">
        <v>28.643972000000002</v>
      </c>
      <c r="J2109" s="28">
        <v>-96.547583000000003</v>
      </c>
      <c r="L2109" s="61">
        <v>110063004528</v>
      </c>
      <c r="M2109" s="28" t="s">
        <v>252</v>
      </c>
      <c r="N2109" s="28">
        <v>4491</v>
      </c>
      <c r="O2109" s="28" t="str">
        <f>IFERROR(VLOOKUP(N2109, 'SIC &amp; NAICS Codes'!A:B, 2, FALSE), "")</f>
        <v>Marine Cargo Handling (dock and pier operations)</v>
      </c>
      <c r="S2109" s="28">
        <v>2.5074868E-2</v>
      </c>
      <c r="T2109" s="315">
        <f>_xlfn.MAXIFS('Raw Period DMR Data'!$O:$O,'Raw Period DMR Data'!$A:$A,'Raw Annual DMR Data_2021-2024'!#REF!,'Raw Period DMR Data'!$C:$C,X2109)/S2109</f>
        <v>0</v>
      </c>
      <c r="U2109" s="28" t="str">
        <f>+IF(COUNTIFS('Raw Period DMR Data'!$A:$A,B2109,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09" s="28" t="str" cm="1">
        <f t="array" ref="V2109">IFERROR(INDEX('Raw Period DMR Data'!N:N,MATCH(1,(B2109='Raw Period DMR Data'!$A:$A)*(U2109='Raw Period DMR Data'!M:M)*(X2109='Raw Period DMR Data'!C:C),0),1), "N/A")</f>
        <v>N/A</v>
      </c>
      <c r="W2109" s="28" t="s">
        <v>1463</v>
      </c>
      <c r="X2109" s="28" t="s">
        <v>804</v>
      </c>
      <c r="Y2109" s="28" t="s">
        <v>805</v>
      </c>
      <c r="Z2109" s="61">
        <v>12100401000758</v>
      </c>
      <c r="AC2109" s="28" t="s">
        <v>1466</v>
      </c>
    </row>
    <row r="2110" spans="1:29" x14ac:dyDescent="0.25">
      <c r="A2110" s="61">
        <v>110070949081</v>
      </c>
      <c r="B2110" s="28">
        <v>2022</v>
      </c>
      <c r="C2110" s="68">
        <f t="shared" si="33"/>
        <v>44562</v>
      </c>
      <c r="D2110" s="28" t="s">
        <v>6813</v>
      </c>
      <c r="E2110" s="28" t="s">
        <v>6967</v>
      </c>
      <c r="F2110" s="28" t="s">
        <v>968</v>
      </c>
      <c r="G2110" s="28" t="s">
        <v>294</v>
      </c>
      <c r="H2110" s="28">
        <v>22305</v>
      </c>
      <c r="I2110" s="28">
        <v>38.840083999999997</v>
      </c>
      <c r="J2110" s="28">
        <v>-77.048516000000006</v>
      </c>
      <c r="L2110" s="61">
        <v>110070949081</v>
      </c>
      <c r="M2110" s="28" t="s">
        <v>265</v>
      </c>
      <c r="N2110" s="28">
        <v>1794</v>
      </c>
      <c r="O2110" s="28" t="str">
        <f>IFERROR(VLOOKUP(N2110, 'SIC &amp; NAICS Codes'!A:B, 2, FALSE), "")</f>
        <v>Excavation Work</v>
      </c>
      <c r="S2110" s="28">
        <v>3.7160940750000003E-2</v>
      </c>
      <c r="T2110" s="315">
        <f>_xlfn.MAXIFS('Raw Period DMR Data'!$O:$O,'Raw Period DMR Data'!$A:$A,'Raw Annual DMR Data_2021-2024'!#REF!,'Raw Period DMR Data'!$C:$C,X2110)/S2110</f>
        <v>0</v>
      </c>
      <c r="U2110" s="28" t="str">
        <f>+IF(COUNTIFS('Raw Period DMR Data'!$A:$A,B2110,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10" s="28" t="str" cm="1">
        <f t="array" ref="V2110">IFERROR(INDEX('Raw Period DMR Data'!N:N,MATCH(1,(B2110='Raw Period DMR Data'!$A:$A)*(U2110='Raw Period DMR Data'!M:M)*(X2110='Raw Period DMR Data'!C:C),0),1), "N/A")</f>
        <v>N/A</v>
      </c>
      <c r="W2110" s="28" t="s">
        <v>1463</v>
      </c>
      <c r="X2110" s="28" t="s">
        <v>7160</v>
      </c>
      <c r="Y2110" s="28" t="s">
        <v>1475</v>
      </c>
      <c r="Z2110" s="61"/>
      <c r="AB2110" s="28" t="s">
        <v>7355</v>
      </c>
      <c r="AC2110" s="28" t="s">
        <v>1466</v>
      </c>
    </row>
    <row r="2111" spans="1:29" x14ac:dyDescent="0.25">
      <c r="A2111" s="61">
        <v>110070949081</v>
      </c>
      <c r="B2111" s="28">
        <v>2021</v>
      </c>
      <c r="C2111" s="68">
        <f t="shared" si="33"/>
        <v>44197</v>
      </c>
      <c r="D2111" s="28" t="s">
        <v>6813</v>
      </c>
      <c r="E2111" s="28" t="s">
        <v>6967</v>
      </c>
      <c r="F2111" s="28" t="s">
        <v>968</v>
      </c>
      <c r="G2111" s="28" t="s">
        <v>294</v>
      </c>
      <c r="H2111" s="28">
        <v>22305</v>
      </c>
      <c r="I2111" s="28">
        <v>38.840083999999997</v>
      </c>
      <c r="J2111" s="28">
        <v>-77.048516000000006</v>
      </c>
      <c r="L2111" s="61">
        <v>110070949081</v>
      </c>
      <c r="M2111" s="28" t="s">
        <v>265</v>
      </c>
      <c r="N2111" s="28">
        <v>1794</v>
      </c>
      <c r="O2111" s="28" t="str">
        <f>IFERROR(VLOOKUP(N2111, 'SIC &amp; NAICS Codes'!A:B, 2, FALSE), "")</f>
        <v>Excavation Work</v>
      </c>
      <c r="S2111" s="28">
        <v>3.0301628571428499E-2</v>
      </c>
      <c r="T2111" s="315">
        <f>_xlfn.MAXIFS('Raw Period DMR Data'!$O:$O,'Raw Period DMR Data'!$A:$A,'Raw Annual DMR Data_2021-2024'!#REF!,'Raw Period DMR Data'!$C:$C,X2111)/S2111</f>
        <v>0</v>
      </c>
      <c r="U2111" s="28" t="str">
        <f>+IF(COUNTIFS('Raw Period DMR Data'!$A:$A,B2111,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11" s="28" t="str" cm="1">
        <f t="array" ref="V2111">IFERROR(INDEX('Raw Period DMR Data'!N:N,MATCH(1,(B2111='Raw Period DMR Data'!$A:$A)*(U2111='Raw Period DMR Data'!M:M)*(X2111='Raw Period DMR Data'!C:C),0),1), "N/A")</f>
        <v>N/A</v>
      </c>
      <c r="W2111" s="28" t="s">
        <v>1463</v>
      </c>
      <c r="X2111" s="28" t="s">
        <v>7160</v>
      </c>
      <c r="Y2111" s="28" t="s">
        <v>1475</v>
      </c>
      <c r="Z2111" s="61"/>
      <c r="AA2111" s="28"/>
      <c r="AB2111" s="28" t="s">
        <v>7355</v>
      </c>
      <c r="AC2111" s="28" t="s">
        <v>1466</v>
      </c>
    </row>
    <row r="2112" spans="1:29" x14ac:dyDescent="0.25">
      <c r="A2112" s="61">
        <v>110070884091</v>
      </c>
      <c r="B2112" s="28">
        <v>2021</v>
      </c>
      <c r="C2112" s="68">
        <f t="shared" si="33"/>
        <v>44197</v>
      </c>
      <c r="D2112" s="28" t="s">
        <v>1300</v>
      </c>
      <c r="E2112" s="28" t="s">
        <v>2135</v>
      </c>
      <c r="F2112" s="28" t="s">
        <v>968</v>
      </c>
      <c r="G2112" s="28" t="s">
        <v>294</v>
      </c>
      <c r="H2112" s="28">
        <v>22301</v>
      </c>
      <c r="I2112" s="28">
        <v>38.828830000000004</v>
      </c>
      <c r="J2112" s="28">
        <v>-77.049679999999995</v>
      </c>
      <c r="L2112" s="61">
        <v>110070884091</v>
      </c>
      <c r="M2112" s="28" t="s">
        <v>265</v>
      </c>
      <c r="N2112" s="28">
        <v>1794</v>
      </c>
      <c r="O2112" s="28" t="str">
        <f>IFERROR(VLOOKUP(N2112, 'SIC &amp; NAICS Codes'!A:B, 2, FALSE), "")</f>
        <v>Excavation Work</v>
      </c>
      <c r="S2112" s="28">
        <v>0.1216229678325</v>
      </c>
      <c r="T2112" s="315">
        <f>_xlfn.MAXIFS('Raw Period DMR Data'!$O:$O,'Raw Period DMR Data'!$A:$A,'Raw Annual DMR Data_2021-2024'!#REF!,'Raw Period DMR Data'!$C:$C,X2112)/S2112</f>
        <v>0</v>
      </c>
      <c r="U2112" s="28" t="str">
        <f>+IF(COUNTIFS('Raw Period DMR Data'!$A:$A,B2112,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12" s="28" t="str" cm="1">
        <f t="array" ref="V2112">IFERROR(INDEX('Raw Period DMR Data'!N:N,MATCH(1,(B2112='Raw Period DMR Data'!$A:$A)*(U2112='Raw Period DMR Data'!M:M)*(X2112='Raw Period DMR Data'!C:C),0),1), "N/A")</f>
        <v>N/A</v>
      </c>
      <c r="W2112" s="28" t="s">
        <v>1463</v>
      </c>
      <c r="X2112" s="28" t="s">
        <v>2136</v>
      </c>
      <c r="Y2112" s="28" t="s">
        <v>1475</v>
      </c>
      <c r="Z2112" s="61"/>
      <c r="AA2112" s="28" t="s">
        <v>7355</v>
      </c>
      <c r="AB2112" s="28" t="s">
        <v>7355</v>
      </c>
      <c r="AC2112" s="28" t="s">
        <v>1466</v>
      </c>
    </row>
    <row r="2113" spans="1:29" x14ac:dyDescent="0.25">
      <c r="A2113" s="61">
        <v>110070884091</v>
      </c>
      <c r="B2113" s="28">
        <v>2021</v>
      </c>
      <c r="C2113" s="68">
        <f t="shared" si="33"/>
        <v>44197</v>
      </c>
      <c r="D2113" s="28" t="s">
        <v>1300</v>
      </c>
      <c r="E2113" s="28" t="s">
        <v>2135</v>
      </c>
      <c r="F2113" s="28" t="s">
        <v>968</v>
      </c>
      <c r="G2113" s="28" t="s">
        <v>294</v>
      </c>
      <c r="H2113" s="28">
        <v>22301</v>
      </c>
      <c r="I2113" s="28">
        <v>38.828830000000004</v>
      </c>
      <c r="J2113" s="28">
        <v>-77.049679999999995</v>
      </c>
      <c r="L2113" s="61">
        <v>110070884091</v>
      </c>
      <c r="M2113" s="28" t="s">
        <v>265</v>
      </c>
      <c r="N2113" s="28">
        <v>1794</v>
      </c>
      <c r="O2113" s="28" t="str">
        <f>IFERROR(VLOOKUP(N2113, 'SIC &amp; NAICS Codes'!A:B, 2, FALSE), "")</f>
        <v>Excavation Work</v>
      </c>
      <c r="S2113" s="28">
        <v>0.1216229678325</v>
      </c>
      <c r="T2113" s="315">
        <f>_xlfn.MAXIFS('Raw Period DMR Data'!$O:$O,'Raw Period DMR Data'!$A:$A,'Raw Annual DMR Data_2021-2024'!#REF!,'Raw Period DMR Data'!$C:$C,X2113)/S2113</f>
        <v>0</v>
      </c>
      <c r="U2113" s="28" t="str">
        <f>+IF(COUNTIFS('Raw Period DMR Data'!$A:$A,B2113,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13" s="28" t="str" cm="1">
        <f t="array" ref="V2113">IFERROR(INDEX('Raw Period DMR Data'!N:N,MATCH(1,(B2113='Raw Period DMR Data'!$A:$A)*(U2113='Raw Period DMR Data'!M:M)*(X2113='Raw Period DMR Data'!C:C),0),1), "N/A")</f>
        <v>N/A</v>
      </c>
      <c r="W2113" s="28" t="s">
        <v>1463</v>
      </c>
      <c r="X2113" s="28" t="s">
        <v>2136</v>
      </c>
      <c r="Y2113" s="28" t="s">
        <v>1475</v>
      </c>
      <c r="Z2113" s="61"/>
      <c r="AA2113" s="28" t="s">
        <v>7355</v>
      </c>
      <c r="AB2113" s="28" t="s">
        <v>7355</v>
      </c>
      <c r="AC2113" s="28" t="s">
        <v>1466</v>
      </c>
    </row>
    <row r="2114" spans="1:29" x14ac:dyDescent="0.25">
      <c r="A2114" s="61">
        <v>110070884091</v>
      </c>
      <c r="B2114" s="28">
        <v>2022</v>
      </c>
      <c r="C2114" s="68">
        <f t="shared" si="33"/>
        <v>44562</v>
      </c>
      <c r="D2114" s="28" t="s">
        <v>1300</v>
      </c>
      <c r="E2114" s="28" t="s">
        <v>2135</v>
      </c>
      <c r="F2114" s="28" t="s">
        <v>968</v>
      </c>
      <c r="G2114" s="28" t="s">
        <v>294</v>
      </c>
      <c r="H2114" s="28">
        <v>22301</v>
      </c>
      <c r="I2114" s="28">
        <v>38.828830000000004</v>
      </c>
      <c r="J2114" s="28">
        <v>-77.049679999999995</v>
      </c>
      <c r="L2114" s="61">
        <v>110070884091</v>
      </c>
      <c r="M2114" s="28" t="s">
        <v>265</v>
      </c>
      <c r="N2114" s="28">
        <v>1794</v>
      </c>
      <c r="O2114" s="28" t="str">
        <f>IFERROR(VLOOKUP(N2114, 'SIC &amp; NAICS Codes'!A:B, 2, FALSE), "")</f>
        <v>Excavation Work</v>
      </c>
      <c r="S2114" s="28">
        <v>2.4698140461428501E-4</v>
      </c>
      <c r="T2114" s="315">
        <f>_xlfn.MAXIFS('Raw Period DMR Data'!$O:$O,'Raw Period DMR Data'!$A:$A,'Raw Annual DMR Data_2021-2024'!#REF!,'Raw Period DMR Data'!$C:$C,X2114)/S2114</f>
        <v>0</v>
      </c>
      <c r="U2114" s="28" t="str">
        <f>+IF(COUNTIFS('Raw Period DMR Data'!$A:$A,B2114,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14" s="28" t="str" cm="1">
        <f t="array" ref="V2114">IFERROR(INDEX('Raw Period DMR Data'!N:N,MATCH(1,(B2114='Raw Period DMR Data'!$A:$A)*(U2114='Raw Period DMR Data'!M:M)*(X2114='Raw Period DMR Data'!C:C),0),1), "N/A")</f>
        <v>N/A</v>
      </c>
      <c r="W2114" s="28" t="s">
        <v>1463</v>
      </c>
      <c r="X2114" s="28" t="s">
        <v>2136</v>
      </c>
      <c r="Y2114" s="28" t="s">
        <v>1475</v>
      </c>
      <c r="Z2114" s="61"/>
      <c r="AB2114" s="28" t="s">
        <v>7355</v>
      </c>
      <c r="AC2114" s="28" t="s">
        <v>1466</v>
      </c>
    </row>
    <row r="2115" spans="1:29" x14ac:dyDescent="0.25">
      <c r="A2115" s="61">
        <v>110070884091</v>
      </c>
      <c r="B2115" s="28">
        <v>2022</v>
      </c>
      <c r="C2115" s="68">
        <f t="shared" si="33"/>
        <v>44562</v>
      </c>
      <c r="D2115" s="28" t="s">
        <v>1300</v>
      </c>
      <c r="E2115" s="28" t="s">
        <v>2135</v>
      </c>
      <c r="F2115" s="28" t="s">
        <v>968</v>
      </c>
      <c r="G2115" s="28" t="s">
        <v>294</v>
      </c>
      <c r="H2115" s="28">
        <v>22301</v>
      </c>
      <c r="I2115" s="28">
        <v>38.828830000000004</v>
      </c>
      <c r="J2115" s="28">
        <v>-77.049679999999995</v>
      </c>
      <c r="L2115" s="61">
        <v>110070884091</v>
      </c>
      <c r="M2115" s="28" t="s">
        <v>265</v>
      </c>
      <c r="N2115" s="28">
        <v>1794</v>
      </c>
      <c r="O2115" s="28" t="str">
        <f>IFERROR(VLOOKUP(N2115, 'SIC &amp; NAICS Codes'!A:B, 2, FALSE), "")</f>
        <v>Excavation Work</v>
      </c>
      <c r="S2115" s="28">
        <v>2.4698140461428501E-4</v>
      </c>
      <c r="T2115" s="315">
        <f>_xlfn.MAXIFS('Raw Period DMR Data'!$O:$O,'Raw Period DMR Data'!$A:$A,'Raw Annual DMR Data_2021-2024'!#REF!,'Raw Period DMR Data'!$C:$C,X2115)/S2115</f>
        <v>0</v>
      </c>
      <c r="U2115" s="28" t="str">
        <f>+IF(COUNTIFS('Raw Period DMR Data'!$A:$A,B2115,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15" s="28" t="str" cm="1">
        <f t="array" ref="V2115">IFERROR(INDEX('Raw Period DMR Data'!N:N,MATCH(1,(B2115='Raw Period DMR Data'!$A:$A)*(U2115='Raw Period DMR Data'!M:M)*(X2115='Raw Period DMR Data'!C:C),0),1), "N/A")</f>
        <v>N/A</v>
      </c>
      <c r="W2115" s="28" t="s">
        <v>1463</v>
      </c>
      <c r="X2115" s="28" t="s">
        <v>2136</v>
      </c>
      <c r="Y2115" s="28" t="s">
        <v>1475</v>
      </c>
      <c r="Z2115" s="61"/>
      <c r="AB2115" s="28" t="s">
        <v>7355</v>
      </c>
      <c r="AC2115" s="28" t="s">
        <v>1466</v>
      </c>
    </row>
    <row r="2116" spans="1:29" x14ac:dyDescent="0.25">
      <c r="A2116" s="61">
        <v>110044852068</v>
      </c>
      <c r="B2116" s="28">
        <v>2023</v>
      </c>
      <c r="C2116" s="68">
        <f t="shared" si="33"/>
        <v>44927</v>
      </c>
      <c r="D2116" s="28" t="s">
        <v>1301</v>
      </c>
      <c r="E2116" s="28" t="s">
        <v>2137</v>
      </c>
      <c r="F2116" s="28" t="s">
        <v>1302</v>
      </c>
      <c r="G2116" s="28" t="s">
        <v>345</v>
      </c>
      <c r="H2116" s="28">
        <v>622573438</v>
      </c>
      <c r="I2116" s="28">
        <v>38.2774</v>
      </c>
      <c r="J2116" s="28">
        <v>-89.666899999999998</v>
      </c>
      <c r="K2116" s="28" t="s">
        <v>731</v>
      </c>
      <c r="L2116" s="61">
        <v>110044852068</v>
      </c>
      <c r="M2116" s="28" t="s">
        <v>265</v>
      </c>
      <c r="N2116" s="28">
        <v>4911</v>
      </c>
      <c r="O2116" s="28" t="str">
        <f>IFERROR(VLOOKUP(N2116, 'SIC &amp; NAICS Codes'!A:B, 2, FALSE), "")</f>
        <v>Electric Services (hydroelectric power generation)</v>
      </c>
      <c r="S2116" s="28">
        <v>2.4298261700000001</v>
      </c>
      <c r="T2116" s="315">
        <f>_xlfn.MAXIFS('Raw Period DMR Data'!$O:$O,'Raw Period DMR Data'!$A:$A,'Raw Annual DMR Data_2021-2024'!#REF!,'Raw Period DMR Data'!$C:$C,X2116)/S2116</f>
        <v>0</v>
      </c>
      <c r="U2116" s="28" t="str">
        <f>+IF(COUNTIFS('Raw Period DMR Data'!$A:$A,B2116,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16" s="28" t="str" cm="1">
        <f t="array" ref="V2116">IFERROR(INDEX('Raw Period DMR Data'!N:N,MATCH(1,(B2116='Raw Period DMR Data'!$A:$A)*(U2116='Raw Period DMR Data'!M:M)*(X2116='Raw Period DMR Data'!C:C),0),1), "N/A")</f>
        <v>N/A</v>
      </c>
      <c r="W2116" s="28" t="s">
        <v>1463</v>
      </c>
      <c r="X2116" s="28" t="s">
        <v>2139</v>
      </c>
      <c r="Y2116" s="28" t="s">
        <v>2140</v>
      </c>
      <c r="Z2116" s="61" t="s">
        <v>2141</v>
      </c>
      <c r="AB2116" s="28" t="s">
        <v>7355</v>
      </c>
      <c r="AC2116" s="28" t="s">
        <v>1466</v>
      </c>
    </row>
    <row r="2117" spans="1:29" x14ac:dyDescent="0.25">
      <c r="A2117" s="61">
        <v>110044852068</v>
      </c>
      <c r="B2117" s="28">
        <v>2021</v>
      </c>
      <c r="C2117" s="68">
        <f t="shared" si="33"/>
        <v>44197</v>
      </c>
      <c r="D2117" s="28" t="s">
        <v>1301</v>
      </c>
      <c r="E2117" s="28" t="s">
        <v>2137</v>
      </c>
      <c r="F2117" s="28" t="s">
        <v>1302</v>
      </c>
      <c r="G2117" s="28" t="s">
        <v>345</v>
      </c>
      <c r="H2117" s="28">
        <v>622573438</v>
      </c>
      <c r="I2117" s="28">
        <v>38.2774</v>
      </c>
      <c r="J2117" s="28">
        <v>-89.666899999999998</v>
      </c>
      <c r="K2117" s="28" t="s">
        <v>731</v>
      </c>
      <c r="L2117" s="61">
        <v>110044852068</v>
      </c>
      <c r="M2117" s="28" t="s">
        <v>265</v>
      </c>
      <c r="N2117" s="28">
        <v>4911</v>
      </c>
      <c r="O2117" s="28" t="str">
        <f>IFERROR(VLOOKUP(N2117, 'SIC &amp; NAICS Codes'!A:B, 2, FALSE), "")</f>
        <v>Electric Services (hydroelectric power generation)</v>
      </c>
      <c r="S2117" s="28">
        <v>1.3066463450000001</v>
      </c>
      <c r="T2117" s="315">
        <f>_xlfn.MAXIFS('Raw Period DMR Data'!$O:$O,'Raw Period DMR Data'!$A:$A,'Raw Annual DMR Data_2021-2024'!#REF!,'Raw Period DMR Data'!$C:$C,X2117)/S2117</f>
        <v>0</v>
      </c>
      <c r="U2117" s="28" t="str">
        <f>+IF(COUNTIFS('Raw Period DMR Data'!$A:$A,B2117,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17" s="28" t="str" cm="1">
        <f t="array" ref="V2117">IFERROR(INDEX('Raw Period DMR Data'!N:N,MATCH(1,(B2117='Raw Period DMR Data'!$A:$A)*(U2117='Raw Period DMR Data'!M:M)*(X2117='Raw Period DMR Data'!C:C),0),1), "N/A")</f>
        <v>N/A</v>
      </c>
      <c r="W2117" s="28" t="s">
        <v>1463</v>
      </c>
      <c r="X2117" s="28" t="s">
        <v>2139</v>
      </c>
      <c r="Y2117" s="28" t="s">
        <v>2140</v>
      </c>
      <c r="Z2117" s="61">
        <v>7140204002294</v>
      </c>
      <c r="AA2117" s="28"/>
      <c r="AB2117" s="28" t="s">
        <v>7355</v>
      </c>
      <c r="AC2117" s="28" t="s">
        <v>1466</v>
      </c>
    </row>
    <row r="2118" spans="1:29" x14ac:dyDescent="0.25">
      <c r="A2118" s="61">
        <v>110044852068</v>
      </c>
      <c r="B2118" s="28">
        <v>2024</v>
      </c>
      <c r="C2118" s="68">
        <f t="shared" si="33"/>
        <v>45292</v>
      </c>
      <c r="D2118" s="28" t="s">
        <v>1301</v>
      </c>
      <c r="E2118" s="28" t="s">
        <v>2137</v>
      </c>
      <c r="F2118" s="28" t="s">
        <v>1302</v>
      </c>
      <c r="G2118" s="28" t="s">
        <v>345</v>
      </c>
      <c r="H2118" s="28">
        <v>622573438</v>
      </c>
      <c r="I2118" s="28">
        <v>38.2774</v>
      </c>
      <c r="J2118" s="28">
        <v>-89.666899999999998</v>
      </c>
      <c r="K2118" s="28" t="s">
        <v>731</v>
      </c>
      <c r="L2118" s="61">
        <v>110044852068</v>
      </c>
      <c r="M2118" s="28" t="s">
        <v>265</v>
      </c>
      <c r="N2118" s="28">
        <v>4911</v>
      </c>
      <c r="O2118" s="28" t="str">
        <f>IFERROR(VLOOKUP(N2118, 'SIC &amp; NAICS Codes'!A:B, 2, FALSE), "")</f>
        <v>Electric Services (hydroelectric power generation)</v>
      </c>
      <c r="S2118" s="28">
        <v>0.88445230500000005</v>
      </c>
      <c r="T2118" s="315">
        <f>_xlfn.MAXIFS('Raw Period DMR Data'!$O:$O,'Raw Period DMR Data'!$A:$A,'Raw Annual DMR Data_2021-2024'!#REF!,'Raw Period DMR Data'!$C:$C,X2118)/S2118</f>
        <v>0</v>
      </c>
      <c r="U2118" s="28" t="str">
        <f>+IF(COUNTIFS('Raw Period DMR Data'!$A:$A,B2118,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18" s="28" t="str" cm="1">
        <f t="array" ref="V2118">IFERROR(INDEX('Raw Period DMR Data'!N:N,MATCH(1,(B2118='Raw Period DMR Data'!$A:$A)*(U2118='Raw Period DMR Data'!M:M)*(X2118='Raw Period DMR Data'!C:C),0),1), "N/A")</f>
        <v>N/A</v>
      </c>
      <c r="W2118" s="28" t="s">
        <v>1463</v>
      </c>
      <c r="X2118" s="28" t="s">
        <v>2139</v>
      </c>
      <c r="Y2118" s="28" t="s">
        <v>2140</v>
      </c>
      <c r="Z2118" s="61">
        <v>7140204002294</v>
      </c>
      <c r="AB2118" s="28" t="s">
        <v>7355</v>
      </c>
      <c r="AC2118" s="28" t="s">
        <v>1466</v>
      </c>
    </row>
    <row r="2119" spans="1:29" x14ac:dyDescent="0.25">
      <c r="A2119" s="61">
        <v>110060340162</v>
      </c>
      <c r="B2119" s="28">
        <v>2021</v>
      </c>
      <c r="C2119" s="68">
        <f t="shared" ref="C2119:C2182" si="34">DATE(B2119, 1, 1)</f>
        <v>44197</v>
      </c>
      <c r="D2119" s="28" t="s">
        <v>6850</v>
      </c>
      <c r="E2119" s="28" t="s">
        <v>462</v>
      </c>
      <c r="F2119" s="28" t="s">
        <v>463</v>
      </c>
      <c r="G2119" s="28" t="s">
        <v>362</v>
      </c>
      <c r="H2119" s="28">
        <v>77503</v>
      </c>
      <c r="I2119" s="28">
        <v>29.738610999999999</v>
      </c>
      <c r="J2119" s="28">
        <v>-95.166944000000001</v>
      </c>
      <c r="K2119" s="28" t="s">
        <v>7130</v>
      </c>
      <c r="L2119" s="61">
        <v>110060340162</v>
      </c>
      <c r="M2119" s="28" t="s">
        <v>251</v>
      </c>
      <c r="N2119" s="28">
        <v>2869</v>
      </c>
      <c r="O2119" s="28" t="str">
        <f>IFERROR(VLOOKUP(N2119, 'SIC &amp; NAICS Codes'!A:B, 2, FALSE), "")</f>
        <v>Industrial Organic Chemicals, NEC (aliphatics)</v>
      </c>
      <c r="S2119" s="28">
        <v>0.71839299999999995</v>
      </c>
      <c r="T2119" s="315">
        <f>_xlfn.MAXIFS('Raw Period DMR Data'!$O:$O,'Raw Period DMR Data'!$A:$A,'Raw Annual DMR Data_2021-2024'!#REF!,'Raw Period DMR Data'!$C:$C,X2119)/S2119</f>
        <v>0</v>
      </c>
      <c r="U2119" s="28" t="str">
        <f>+IF(COUNTIFS('Raw Period DMR Data'!$A:$A,B2119,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19" s="28" t="str" cm="1">
        <f t="array" ref="V2119">IFERROR(INDEX('Raw Period DMR Data'!N:N,MATCH(1,(B2119='Raw Period DMR Data'!$A:$A)*(U2119='Raw Period DMR Data'!M:M)*(X2119='Raw Period DMR Data'!C:C),0),1), "N/A")</f>
        <v>N/A</v>
      </c>
      <c r="W2119" s="28" t="s">
        <v>1463</v>
      </c>
      <c r="X2119" s="28" t="s">
        <v>848</v>
      </c>
      <c r="Y2119" s="28" t="s">
        <v>7273</v>
      </c>
      <c r="Z2119" s="61">
        <v>12040104000620</v>
      </c>
      <c r="AA2119" s="28"/>
      <c r="AB2119" s="28" t="s">
        <v>7355</v>
      </c>
      <c r="AC2119" s="28" t="s">
        <v>1466</v>
      </c>
    </row>
    <row r="2120" spans="1:29" x14ac:dyDescent="0.25">
      <c r="A2120" s="61">
        <v>110060340162</v>
      </c>
      <c r="B2120" s="28">
        <v>2022</v>
      </c>
      <c r="C2120" s="68">
        <f t="shared" si="34"/>
        <v>44562</v>
      </c>
      <c r="D2120" s="28" t="s">
        <v>6850</v>
      </c>
      <c r="E2120" s="28" t="s">
        <v>462</v>
      </c>
      <c r="F2120" s="28" t="s">
        <v>463</v>
      </c>
      <c r="G2120" s="28" t="s">
        <v>362</v>
      </c>
      <c r="H2120" s="28">
        <v>77503</v>
      </c>
      <c r="I2120" s="28">
        <v>29.738610999999999</v>
      </c>
      <c r="J2120" s="28">
        <v>-95.166944000000001</v>
      </c>
      <c r="K2120" s="28" t="s">
        <v>7130</v>
      </c>
      <c r="L2120" s="61">
        <v>110060340162</v>
      </c>
      <c r="M2120" s="28" t="s">
        <v>251</v>
      </c>
      <c r="N2120" s="28">
        <v>2869</v>
      </c>
      <c r="O2120" s="28" t="str">
        <f>IFERROR(VLOOKUP(N2120, 'SIC &amp; NAICS Codes'!A:B, 2, FALSE), "")</f>
        <v>Industrial Organic Chemicals, NEC (aliphatics)</v>
      </c>
      <c r="S2120" s="28">
        <v>0.56642524999999999</v>
      </c>
      <c r="T2120" s="315">
        <f>_xlfn.MAXIFS('Raw Period DMR Data'!$O:$O,'Raw Period DMR Data'!$A:$A,'Raw Annual DMR Data_2021-2024'!#REF!,'Raw Period DMR Data'!$C:$C,X2120)/S2120</f>
        <v>0</v>
      </c>
      <c r="U2120" s="28" t="str">
        <f>+IF(COUNTIFS('Raw Period DMR Data'!$A:$A,B2120,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20" s="28" t="str" cm="1">
        <f t="array" ref="V2120">IFERROR(INDEX('Raw Period DMR Data'!N:N,MATCH(1,(B2120='Raw Period DMR Data'!$A:$A)*(U2120='Raw Period DMR Data'!M:M)*(X2120='Raw Period DMR Data'!C:C),0),1), "N/A")</f>
        <v>N/A</v>
      </c>
      <c r="W2120" s="28" t="s">
        <v>1463</v>
      </c>
      <c r="X2120" s="28" t="s">
        <v>848</v>
      </c>
      <c r="Y2120" s="28" t="s">
        <v>7273</v>
      </c>
      <c r="Z2120" s="61">
        <v>12040104000620</v>
      </c>
      <c r="AB2120" s="28" t="s">
        <v>7355</v>
      </c>
      <c r="AC2120" s="28" t="s">
        <v>1466</v>
      </c>
    </row>
    <row r="2121" spans="1:29" x14ac:dyDescent="0.25">
      <c r="A2121" s="61">
        <v>110060340162</v>
      </c>
      <c r="B2121" s="28">
        <v>2023</v>
      </c>
      <c r="C2121" s="68">
        <f t="shared" si="34"/>
        <v>44927</v>
      </c>
      <c r="D2121" s="28" t="s">
        <v>6850</v>
      </c>
      <c r="E2121" s="28" t="s">
        <v>462</v>
      </c>
      <c r="F2121" s="28" t="s">
        <v>463</v>
      </c>
      <c r="G2121" s="28" t="s">
        <v>362</v>
      </c>
      <c r="H2121" s="28">
        <v>77503</v>
      </c>
      <c r="I2121" s="28">
        <v>29.738610999999999</v>
      </c>
      <c r="J2121" s="28">
        <v>-95.166944000000001</v>
      </c>
      <c r="K2121" s="28" t="s">
        <v>7130</v>
      </c>
      <c r="L2121" s="61">
        <v>110060340162</v>
      </c>
      <c r="M2121" s="28" t="s">
        <v>251</v>
      </c>
      <c r="N2121" s="28">
        <v>2869</v>
      </c>
      <c r="O2121" s="28" t="str">
        <f>IFERROR(VLOOKUP(N2121, 'SIC &amp; NAICS Codes'!A:B, 2, FALSE), "")</f>
        <v>Industrial Organic Chemicals, NEC (aliphatics)</v>
      </c>
      <c r="S2121" s="28">
        <v>6.4240912499999997E-2</v>
      </c>
      <c r="T2121" s="315">
        <f>_xlfn.MAXIFS('Raw Period DMR Data'!$O:$O,'Raw Period DMR Data'!$A:$A,'Raw Annual DMR Data_2021-2024'!#REF!,'Raw Period DMR Data'!$C:$C,X2121)/S2121</f>
        <v>0</v>
      </c>
      <c r="U2121" s="28" t="str">
        <f>+IF(COUNTIFS('Raw Period DMR Data'!$A:$A,B2121,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21" s="28" t="str" cm="1">
        <f t="array" ref="V2121">IFERROR(INDEX('Raw Period DMR Data'!N:N,MATCH(1,(B2121='Raw Period DMR Data'!$A:$A)*(U2121='Raw Period DMR Data'!M:M)*(X2121='Raw Period DMR Data'!C:C),0),1), "N/A")</f>
        <v>N/A</v>
      </c>
      <c r="W2121" s="28" t="s">
        <v>1463</v>
      </c>
      <c r="X2121" s="28" t="s">
        <v>848</v>
      </c>
      <c r="Y2121" s="28" t="s">
        <v>7273</v>
      </c>
      <c r="Z2121" s="61">
        <v>12040104000620</v>
      </c>
      <c r="AB2121" s="28" t="s">
        <v>7355</v>
      </c>
      <c r="AC2121" s="28" t="s">
        <v>1466</v>
      </c>
    </row>
    <row r="2122" spans="1:29" x14ac:dyDescent="0.25">
      <c r="A2122" s="61">
        <v>110000911309</v>
      </c>
      <c r="B2122" s="28">
        <v>2021</v>
      </c>
      <c r="C2122" s="68">
        <f t="shared" si="34"/>
        <v>44197</v>
      </c>
      <c r="D2122" s="28" t="s">
        <v>6809</v>
      </c>
      <c r="E2122" s="28" t="s">
        <v>2282</v>
      </c>
      <c r="F2122" s="28" t="s">
        <v>516</v>
      </c>
      <c r="G2122" s="28" t="s">
        <v>303</v>
      </c>
      <c r="H2122" s="28">
        <v>707340000</v>
      </c>
      <c r="I2122" s="28">
        <v>30.233011999999999</v>
      </c>
      <c r="J2122" s="28">
        <v>-91.022057000000004</v>
      </c>
      <c r="L2122" s="61">
        <v>110000911309</v>
      </c>
      <c r="M2122" s="28" t="s">
        <v>252</v>
      </c>
      <c r="N2122" s="28">
        <v>4789</v>
      </c>
      <c r="O2122" s="28" t="str">
        <f>IFERROR(VLOOKUP(N2122, 'SIC &amp; NAICS Codes'!A:B, 2, FALSE), "")</f>
        <v>Transportation Services, NEC (horse-drawn cabs and carriages)</v>
      </c>
      <c r="S2122" s="28">
        <v>3.6560135587999998E-3</v>
      </c>
      <c r="T2122" s="315">
        <f>_xlfn.MAXIFS('Raw Period DMR Data'!$O:$O,'Raw Period DMR Data'!$A:$A,'Raw Annual DMR Data_2021-2024'!#REF!,'Raw Period DMR Data'!$C:$C,X2122)/S2122</f>
        <v>0</v>
      </c>
      <c r="U2122" s="28" t="str">
        <f>+IF(COUNTIFS('Raw Period DMR Data'!$A:$A,B2122,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22" s="28" t="str" cm="1">
        <f t="array" ref="V2122">IFERROR(INDEX('Raw Period DMR Data'!N:N,MATCH(1,(B2122='Raw Period DMR Data'!$A:$A)*(U2122='Raw Period DMR Data'!M:M)*(X2122='Raw Period DMR Data'!C:C),0),1), "N/A")</f>
        <v>N/A</v>
      </c>
      <c r="W2122" s="28" t="s">
        <v>1463</v>
      </c>
      <c r="X2122" s="28" t="s">
        <v>2283</v>
      </c>
      <c r="Y2122" s="28" t="s">
        <v>795</v>
      </c>
      <c r="Z2122" s="61">
        <v>8070204000034</v>
      </c>
      <c r="AA2122" s="28"/>
      <c r="AB2122" s="28" t="s">
        <v>7355</v>
      </c>
      <c r="AC2122" s="28" t="s">
        <v>1466</v>
      </c>
    </row>
    <row r="2123" spans="1:29" x14ac:dyDescent="0.25">
      <c r="A2123" s="61">
        <v>110000911309</v>
      </c>
      <c r="B2123" s="28">
        <v>2022</v>
      </c>
      <c r="C2123" s="68">
        <f t="shared" si="34"/>
        <v>44562</v>
      </c>
      <c r="D2123" s="28" t="s">
        <v>6809</v>
      </c>
      <c r="E2123" s="28" t="s">
        <v>2282</v>
      </c>
      <c r="F2123" s="28" t="s">
        <v>516</v>
      </c>
      <c r="G2123" s="28" t="s">
        <v>303</v>
      </c>
      <c r="H2123" s="28">
        <v>707340000</v>
      </c>
      <c r="I2123" s="28">
        <v>30.233011999999999</v>
      </c>
      <c r="J2123" s="28">
        <v>-91.022057000000004</v>
      </c>
      <c r="L2123" s="61">
        <v>110000911309</v>
      </c>
      <c r="M2123" s="28" t="s">
        <v>252</v>
      </c>
      <c r="N2123" s="28">
        <v>4789</v>
      </c>
      <c r="O2123" s="28" t="str">
        <f>IFERROR(VLOOKUP(N2123, 'SIC &amp; NAICS Codes'!A:B, 2, FALSE), "")</f>
        <v>Transportation Services, NEC (horse-drawn cabs and carriages)</v>
      </c>
      <c r="S2123" s="28">
        <v>2.0294894981899999E-3</v>
      </c>
      <c r="T2123" s="315">
        <f>_xlfn.MAXIFS('Raw Period DMR Data'!$O:$O,'Raw Period DMR Data'!$A:$A,'Raw Annual DMR Data_2021-2024'!#REF!,'Raw Period DMR Data'!$C:$C,X2123)/S2123</f>
        <v>0</v>
      </c>
      <c r="U2123" s="28" t="str">
        <f>+IF(COUNTIFS('Raw Period DMR Data'!$A:$A,B2123,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23" s="28" t="str" cm="1">
        <f t="array" ref="V2123">IFERROR(INDEX('Raw Period DMR Data'!N:N,MATCH(1,(B2123='Raw Period DMR Data'!$A:$A)*(U2123='Raw Period DMR Data'!M:M)*(X2123='Raw Period DMR Data'!C:C),0),1), "N/A")</f>
        <v>N/A</v>
      </c>
      <c r="W2123" s="28" t="s">
        <v>1463</v>
      </c>
      <c r="X2123" s="28" t="s">
        <v>2283</v>
      </c>
      <c r="Y2123" s="28" t="s">
        <v>795</v>
      </c>
      <c r="Z2123" s="61">
        <v>8070204000034</v>
      </c>
      <c r="AB2123" s="28" t="s">
        <v>7355</v>
      </c>
      <c r="AC2123" s="28" t="s">
        <v>1466</v>
      </c>
    </row>
    <row r="2124" spans="1:29" x14ac:dyDescent="0.25">
      <c r="A2124" s="61">
        <v>110000732253</v>
      </c>
      <c r="B2124" s="28">
        <v>2021</v>
      </c>
      <c r="C2124" s="68">
        <f t="shared" si="34"/>
        <v>44197</v>
      </c>
      <c r="D2124" s="28" t="s">
        <v>1306</v>
      </c>
      <c r="E2124" s="28" t="s">
        <v>2146</v>
      </c>
      <c r="F2124" s="28" t="s">
        <v>1307</v>
      </c>
      <c r="G2124" s="28" t="s">
        <v>324</v>
      </c>
      <c r="H2124" s="28">
        <v>40160</v>
      </c>
      <c r="I2124" s="28">
        <v>37.845027999999999</v>
      </c>
      <c r="J2124" s="28">
        <v>-85.940962999999996</v>
      </c>
      <c r="L2124" s="61">
        <v>110000732253</v>
      </c>
      <c r="M2124" s="28" t="s">
        <v>263</v>
      </c>
      <c r="N2124" s="28">
        <v>4952</v>
      </c>
      <c r="O2124" s="28" t="str">
        <f>IFERROR(VLOOKUP(N2124, 'SIC &amp; NAICS Codes'!A:B, 2, FALSE), "")</f>
        <v>Sewerage Systems</v>
      </c>
      <c r="S2124" s="28">
        <v>8.8935671875000004</v>
      </c>
      <c r="T2124" s="315">
        <f>_xlfn.MAXIFS('Raw Period DMR Data'!$O:$O,'Raw Period DMR Data'!$A:$A,'Raw Annual DMR Data_2021-2024'!B2366,'Raw Period DMR Data'!$C:$C,X2124)/S2124</f>
        <v>0</v>
      </c>
      <c r="U2124" s="28" t="str">
        <f>+IF(COUNTIFS('Raw Period DMR Data'!$A:$A,B2124, 'Raw Period DMR Data'!C:C,'Raw Annual DMR Data_2021-2024'!X2366, 'Raw Period DMR Data'!M:M, "&gt;0")&gt;0,_xlfn.MAXIFS('Raw Period DMR Data'!M:M,'Raw Period DMR Data'!$A:$A,'Raw Annual DMR Data_2021-2024'!B2366,'Raw Period DMR Data'!C:C,'Raw Annual DMR Data_2021-2024'!X2366), "N/A - Period DMR Data Not Available")</f>
        <v>N/A - Period DMR Data Not Available</v>
      </c>
      <c r="V2124" s="28" t="str" cm="1">
        <f t="array" ref="V2124">IFERROR(INDEX('Raw Period DMR Data'!N:N,MATCH(1,(B2124='Raw Period DMR Data'!$A:$A)*(U2124='Raw Period DMR Data'!M:M)*(X2124='Raw Period DMR Data'!C:C),0),1), "N/A")</f>
        <v>N/A</v>
      </c>
      <c r="W2124" s="28" t="s">
        <v>1463</v>
      </c>
      <c r="X2124" s="28" t="s">
        <v>2147</v>
      </c>
      <c r="Y2124" s="28" t="s">
        <v>2148</v>
      </c>
      <c r="Z2124" s="61">
        <v>5140102000422</v>
      </c>
      <c r="AA2124" s="28"/>
      <c r="AB2124" s="28" t="s">
        <v>7355</v>
      </c>
      <c r="AC2124" s="28" t="s">
        <v>263</v>
      </c>
    </row>
    <row r="2125" spans="1:29" x14ac:dyDescent="0.25">
      <c r="A2125" s="61">
        <v>110071501940</v>
      </c>
      <c r="B2125" s="28">
        <v>2024</v>
      </c>
      <c r="C2125" s="68">
        <f t="shared" si="34"/>
        <v>45292</v>
      </c>
      <c r="D2125" s="28" t="s">
        <v>6882</v>
      </c>
      <c r="E2125" s="28" t="s">
        <v>7056</v>
      </c>
      <c r="F2125" s="28" t="s">
        <v>6991</v>
      </c>
      <c r="G2125" s="28" t="s">
        <v>308</v>
      </c>
      <c r="H2125" s="28">
        <v>2142</v>
      </c>
      <c r="I2125" s="28">
        <v>42.365363000000002</v>
      </c>
      <c r="J2125" s="28">
        <v>-71.087440999999998</v>
      </c>
      <c r="L2125" s="61">
        <v>110071501940</v>
      </c>
      <c r="M2125" s="28" t="s">
        <v>265</v>
      </c>
      <c r="N2125" s="28">
        <v>4959</v>
      </c>
      <c r="O2125" s="28" t="str">
        <f>IFERROR(VLOOKUP(N2125, 'SIC &amp; NAICS Codes'!A:B, 2, FALSE), "")</f>
        <v>Sanitary Services, NEC (vacuuming of runways)</v>
      </c>
      <c r="S2125" s="28">
        <v>5.374603955625E-2</v>
      </c>
      <c r="T2125" s="315">
        <f>_xlfn.MAXIFS('Raw Period DMR Data'!$O:$O,'Raw Period DMR Data'!$A:$A,'Raw Annual DMR Data_2021-2024'!#REF!,'Raw Period DMR Data'!$C:$C,X2125)/S2125</f>
        <v>0</v>
      </c>
      <c r="U2125" s="28" t="str">
        <f>+IF(COUNTIFS('Raw Period DMR Data'!$A:$A,B2125,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25" s="28" t="str" cm="1">
        <f t="array" ref="V2125">IFERROR(INDEX('Raw Period DMR Data'!N:N,MATCH(1,(B2125='Raw Period DMR Data'!$A:$A)*(U2125='Raw Period DMR Data'!M:M)*(X2125='Raw Period DMR Data'!C:C),0),1), "N/A")</f>
        <v>N/A</v>
      </c>
      <c r="W2125" s="28" t="s">
        <v>1463</v>
      </c>
      <c r="X2125" s="28" t="s">
        <v>7208</v>
      </c>
      <c r="Y2125" s="28" t="s">
        <v>7306</v>
      </c>
      <c r="Z2125" s="61"/>
      <c r="AA2125" s="60" t="s">
        <v>7355</v>
      </c>
      <c r="AB2125" s="28" t="s">
        <v>7355</v>
      </c>
      <c r="AC2125" s="28" t="s">
        <v>1466</v>
      </c>
    </row>
    <row r="2126" spans="1:29" x14ac:dyDescent="0.25">
      <c r="A2126" s="61">
        <v>110009938470</v>
      </c>
      <c r="B2126" s="28">
        <v>2021</v>
      </c>
      <c r="C2126" s="68">
        <f t="shared" si="34"/>
        <v>44197</v>
      </c>
      <c r="D2126" s="28" t="s">
        <v>6866</v>
      </c>
      <c r="E2126" s="28" t="s">
        <v>7032</v>
      </c>
      <c r="F2126" s="28" t="s">
        <v>7033</v>
      </c>
      <c r="G2126" s="28" t="s">
        <v>324</v>
      </c>
      <c r="H2126" s="28">
        <v>40380</v>
      </c>
      <c r="I2126" s="28">
        <v>37.857500000000002</v>
      </c>
      <c r="J2126" s="28">
        <v>-83.865278000000004</v>
      </c>
      <c r="L2126" s="61">
        <v>110009938470</v>
      </c>
      <c r="M2126" s="28" t="s">
        <v>263</v>
      </c>
      <c r="N2126" s="28">
        <v>4952</v>
      </c>
      <c r="O2126" s="28" t="str">
        <f>IFERROR(VLOOKUP(N2126, 'SIC &amp; NAICS Codes'!A:B, 2, FALSE), "")</f>
        <v>Sewerage Systems</v>
      </c>
      <c r="S2126" s="28">
        <v>3.9718843750000001</v>
      </c>
      <c r="T2126" s="315">
        <f>_xlfn.MAXIFS('Raw Period DMR Data'!$O:$O,'Raw Period DMR Data'!$A:$A,'Raw Annual DMR Data_2021-2024'!B2412,'Raw Period DMR Data'!$C:$C,X2126)/S2126</f>
        <v>0</v>
      </c>
      <c r="U2126" s="28" t="str">
        <f>+IF(COUNTIFS('Raw Period DMR Data'!$A:$A,B2126, 'Raw Period DMR Data'!C:C,'Raw Annual DMR Data_2021-2024'!X2412, 'Raw Period DMR Data'!M:M, "&gt;0")&gt;0,_xlfn.MAXIFS('Raw Period DMR Data'!M:M,'Raw Period DMR Data'!$A:$A,'Raw Annual DMR Data_2021-2024'!B2412,'Raw Period DMR Data'!C:C,'Raw Annual DMR Data_2021-2024'!X2412), "N/A - Period DMR Data Not Available")</f>
        <v>N/A - Period DMR Data Not Available</v>
      </c>
      <c r="V2126" s="28" t="str" cm="1">
        <f t="array" ref="V2126">IFERROR(INDEX('Raw Period DMR Data'!N:N,MATCH(1,(B2126='Raw Period DMR Data'!$A:$A)*(U2126='Raw Period DMR Data'!M:M)*(X2126='Raw Period DMR Data'!C:C),0),1), "N/A")</f>
        <v>N/A</v>
      </c>
      <c r="W2126" s="28" t="s">
        <v>1463</v>
      </c>
      <c r="X2126" s="28" t="s">
        <v>7195</v>
      </c>
      <c r="Y2126" s="28" t="s">
        <v>7299</v>
      </c>
      <c r="Z2126" s="61">
        <v>5100204000462</v>
      </c>
      <c r="AA2126" s="28"/>
      <c r="AB2126" s="28" t="s">
        <v>7355</v>
      </c>
      <c r="AC2126" s="28" t="s">
        <v>263</v>
      </c>
    </row>
    <row r="2127" spans="1:29" x14ac:dyDescent="0.25">
      <c r="A2127" s="61">
        <v>110041253256</v>
      </c>
      <c r="B2127" s="28">
        <v>2024</v>
      </c>
      <c r="C2127" s="68">
        <f t="shared" si="34"/>
        <v>45292</v>
      </c>
      <c r="D2127" s="28" t="s">
        <v>1308</v>
      </c>
      <c r="E2127" s="28" t="s">
        <v>2149</v>
      </c>
      <c r="F2127" s="28" t="s">
        <v>657</v>
      </c>
      <c r="G2127" s="28" t="s">
        <v>418</v>
      </c>
      <c r="H2127" s="28">
        <v>89109</v>
      </c>
      <c r="I2127" s="28">
        <v>36.132570000000001</v>
      </c>
      <c r="J2127" s="28">
        <v>-115.16477</v>
      </c>
      <c r="L2127" s="61">
        <v>110041253256</v>
      </c>
      <c r="M2127" s="28" t="s">
        <v>264</v>
      </c>
      <c r="N2127" s="28">
        <v>7011</v>
      </c>
      <c r="O2127" s="28" t="str">
        <f>IFERROR(VLOOKUP(N2127, 'SIC &amp; NAICS Codes'!A:B, 2, FALSE), "")</f>
        <v>Hotels and Motels (hotels, except casino hotels, and motels)</v>
      </c>
      <c r="S2127" s="28">
        <v>0.44346952499999998</v>
      </c>
      <c r="T2127" s="315">
        <f>_xlfn.MAXIFS('Raw Period DMR Data'!$O:$O,'Raw Period DMR Data'!$A:$A,'Raw Annual DMR Data_2021-2024'!#REF!,'Raw Period DMR Data'!$C:$C,X2127)/S2127</f>
        <v>0</v>
      </c>
      <c r="U2127" s="28" t="str">
        <f>+IF(COUNTIFS('Raw Period DMR Data'!$A:$A,B2127,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27" s="28" t="str" cm="1">
        <f t="array" ref="V2127">IFERROR(INDEX('Raw Period DMR Data'!N:N,MATCH(1,(B2127='Raw Period DMR Data'!$A:$A)*(U2127='Raw Period DMR Data'!M:M)*(X2127='Raw Period DMR Data'!C:C),0),1), "N/A")</f>
        <v>N/A</v>
      </c>
      <c r="W2127" s="28" t="s">
        <v>1463</v>
      </c>
      <c r="X2127" s="28" t="s">
        <v>2150</v>
      </c>
      <c r="Y2127" s="28" t="s">
        <v>2151</v>
      </c>
      <c r="Z2127" s="61">
        <v>15010015000432</v>
      </c>
      <c r="AB2127" s="28" t="s">
        <v>7355</v>
      </c>
      <c r="AC2127" s="28" t="s">
        <v>1466</v>
      </c>
    </row>
    <row r="2128" spans="1:29" x14ac:dyDescent="0.25">
      <c r="A2128" s="61">
        <v>110041253256</v>
      </c>
      <c r="B2128" s="28">
        <v>2023</v>
      </c>
      <c r="C2128" s="68">
        <f t="shared" si="34"/>
        <v>44927</v>
      </c>
      <c r="D2128" s="28" t="s">
        <v>1308</v>
      </c>
      <c r="E2128" s="28" t="s">
        <v>2149</v>
      </c>
      <c r="F2128" s="28" t="s">
        <v>657</v>
      </c>
      <c r="G2128" s="28" t="s">
        <v>418</v>
      </c>
      <c r="H2128" s="28">
        <v>89109</v>
      </c>
      <c r="I2128" s="28">
        <v>36.132570000000001</v>
      </c>
      <c r="J2128" s="28">
        <v>-115.16477</v>
      </c>
      <c r="L2128" s="61">
        <v>110041253256</v>
      </c>
      <c r="M2128" s="28" t="s">
        <v>264</v>
      </c>
      <c r="N2128" s="28">
        <v>7011</v>
      </c>
      <c r="O2128" s="28" t="str">
        <f>IFERROR(VLOOKUP(N2128, 'SIC &amp; NAICS Codes'!A:B, 2, FALSE), "")</f>
        <v>Hotels and Motels (hotels, except casino hotels, and motels)</v>
      </c>
      <c r="S2128" s="28">
        <v>0.1271003</v>
      </c>
      <c r="T2128" s="315">
        <f>_xlfn.MAXIFS('Raw Period DMR Data'!$O:$O,'Raw Period DMR Data'!$A:$A,'Raw Annual DMR Data_2021-2024'!#REF!,'Raw Period DMR Data'!$C:$C,X2128)/S2128</f>
        <v>0</v>
      </c>
      <c r="U2128" s="28" t="str">
        <f>+IF(COUNTIFS('Raw Period DMR Data'!$A:$A,B2128,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28" s="28" t="str" cm="1">
        <f t="array" ref="V2128">IFERROR(INDEX('Raw Period DMR Data'!N:N,MATCH(1,(B2128='Raw Period DMR Data'!$A:$A)*(U2128='Raw Period DMR Data'!M:M)*(X2128='Raw Period DMR Data'!C:C),0),1), "N/A")</f>
        <v>N/A</v>
      </c>
      <c r="W2128" s="28" t="s">
        <v>1463</v>
      </c>
      <c r="X2128" s="28" t="s">
        <v>2150</v>
      </c>
      <c r="Y2128" s="28" t="s">
        <v>2151</v>
      </c>
      <c r="Z2128" s="61">
        <v>15010015000432</v>
      </c>
      <c r="AB2128" s="28" t="s">
        <v>7355</v>
      </c>
      <c r="AC2128" s="28" t="s">
        <v>1466</v>
      </c>
    </row>
    <row r="2129" spans="1:29" x14ac:dyDescent="0.25">
      <c r="A2129" s="61">
        <v>110041253256</v>
      </c>
      <c r="B2129" s="28">
        <v>2021</v>
      </c>
      <c r="C2129" s="68">
        <f t="shared" si="34"/>
        <v>44197</v>
      </c>
      <c r="D2129" s="28" t="s">
        <v>1308</v>
      </c>
      <c r="E2129" s="28" t="s">
        <v>2149</v>
      </c>
      <c r="F2129" s="28" t="s">
        <v>657</v>
      </c>
      <c r="G2129" s="28" t="s">
        <v>418</v>
      </c>
      <c r="H2129" s="28">
        <v>89109</v>
      </c>
      <c r="I2129" s="28">
        <v>36.132570000000001</v>
      </c>
      <c r="J2129" s="28">
        <v>-115.16477</v>
      </c>
      <c r="L2129" s="61">
        <v>110041253256</v>
      </c>
      <c r="M2129" s="28" t="s">
        <v>264</v>
      </c>
      <c r="N2129" s="28">
        <v>7011</v>
      </c>
      <c r="O2129" s="28" t="str">
        <f>IFERROR(VLOOKUP(N2129, 'SIC &amp; NAICS Codes'!A:B, 2, FALSE), "")</f>
        <v>Hotels and Motels (hotels, except casino hotels, and motels)</v>
      </c>
      <c r="S2129" s="28">
        <v>0.10361437499999999</v>
      </c>
      <c r="T2129" s="315">
        <f>_xlfn.MAXIFS('Raw Period DMR Data'!$O:$O,'Raw Period DMR Data'!$A:$A,'Raw Annual DMR Data_2021-2024'!#REF!,'Raw Period DMR Data'!$C:$C,X2129)/S2129</f>
        <v>0</v>
      </c>
      <c r="U2129" s="28" t="str">
        <f>+IF(COUNTIFS('Raw Period DMR Data'!$A:$A,B2129,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29" s="28" t="str" cm="1">
        <f t="array" ref="V2129">IFERROR(INDEX('Raw Period DMR Data'!N:N,MATCH(1,(B2129='Raw Period DMR Data'!$A:$A)*(U2129='Raw Period DMR Data'!M:M)*(X2129='Raw Period DMR Data'!C:C),0),1), "N/A")</f>
        <v>N/A</v>
      </c>
      <c r="W2129" s="28" t="s">
        <v>1463</v>
      </c>
      <c r="X2129" s="28" t="s">
        <v>2150</v>
      </c>
      <c r="Y2129" s="28" t="s">
        <v>2151</v>
      </c>
      <c r="Z2129" s="61">
        <v>15010015000432</v>
      </c>
      <c r="AA2129" s="28"/>
      <c r="AB2129" s="28" t="s">
        <v>7355</v>
      </c>
      <c r="AC2129" s="28" t="s">
        <v>1466</v>
      </c>
    </row>
    <row r="2130" spans="1:29" x14ac:dyDescent="0.25">
      <c r="A2130" s="61">
        <v>110041253256</v>
      </c>
      <c r="B2130" s="28">
        <v>2022</v>
      </c>
      <c r="C2130" s="68">
        <f t="shared" si="34"/>
        <v>44562</v>
      </c>
      <c r="D2130" s="28" t="s">
        <v>1308</v>
      </c>
      <c r="E2130" s="28" t="s">
        <v>2149</v>
      </c>
      <c r="F2130" s="28" t="s">
        <v>657</v>
      </c>
      <c r="G2130" s="28" t="s">
        <v>418</v>
      </c>
      <c r="H2130" s="28">
        <v>89109</v>
      </c>
      <c r="I2130" s="28">
        <v>36.132570000000001</v>
      </c>
      <c r="J2130" s="28">
        <v>-115.16477</v>
      </c>
      <c r="L2130" s="61">
        <v>110041253256</v>
      </c>
      <c r="M2130" s="28" t="s">
        <v>264</v>
      </c>
      <c r="N2130" s="28">
        <v>7011</v>
      </c>
      <c r="O2130" s="28" t="str">
        <f>IFERROR(VLOOKUP(N2130, 'SIC &amp; NAICS Codes'!A:B, 2, FALSE), "")</f>
        <v>Hotels and Motels (hotels, except casino hotels, and motels)</v>
      </c>
      <c r="S2130" s="28">
        <v>9.6706749999999994E-2</v>
      </c>
      <c r="T2130" s="315">
        <f>_xlfn.MAXIFS('Raw Period DMR Data'!$O:$O,'Raw Period DMR Data'!$A:$A,'Raw Annual DMR Data_2021-2024'!#REF!,'Raw Period DMR Data'!$C:$C,X2130)/S2130</f>
        <v>0</v>
      </c>
      <c r="U2130" s="28" t="str">
        <f>+IF(COUNTIFS('Raw Period DMR Data'!$A:$A,B2130,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30" s="28" t="str" cm="1">
        <f t="array" ref="V2130">IFERROR(INDEX('Raw Period DMR Data'!N:N,MATCH(1,(B2130='Raw Period DMR Data'!$A:$A)*(U2130='Raw Period DMR Data'!M:M)*(X2130='Raw Period DMR Data'!C:C),0),1), "N/A")</f>
        <v>N/A</v>
      </c>
      <c r="W2130" s="28" t="s">
        <v>1463</v>
      </c>
      <c r="X2130" s="28" t="s">
        <v>2150</v>
      </c>
      <c r="Y2130" s="28" t="s">
        <v>2151</v>
      </c>
      <c r="Z2130" s="61">
        <v>15010015000432</v>
      </c>
      <c r="AB2130" s="28" t="s">
        <v>7355</v>
      </c>
      <c r="AC2130" s="28" t="s">
        <v>1466</v>
      </c>
    </row>
    <row r="2131" spans="1:29" x14ac:dyDescent="0.25">
      <c r="A2131" s="61">
        <v>110000525842</v>
      </c>
      <c r="B2131" s="28">
        <v>2023</v>
      </c>
      <c r="C2131" s="68">
        <f t="shared" si="34"/>
        <v>44927</v>
      </c>
      <c r="D2131" s="28" t="s">
        <v>1309</v>
      </c>
      <c r="E2131" s="28" t="s">
        <v>2152</v>
      </c>
      <c r="F2131" s="28" t="s">
        <v>1310</v>
      </c>
      <c r="G2131" s="28" t="s">
        <v>366</v>
      </c>
      <c r="H2131" s="28">
        <v>92316</v>
      </c>
      <c r="I2131" s="28">
        <v>34.055900000000001</v>
      </c>
      <c r="J2131" s="28">
        <v>-117.36134</v>
      </c>
      <c r="L2131" s="61">
        <v>110000525842</v>
      </c>
      <c r="M2131" s="28" t="s">
        <v>263</v>
      </c>
      <c r="N2131" s="28">
        <v>4952</v>
      </c>
      <c r="O2131" s="28" t="str">
        <f>IFERROR(VLOOKUP(N2131, 'SIC &amp; NAICS Codes'!A:B, 2, FALSE), "")</f>
        <v>Sewerage Systems</v>
      </c>
      <c r="S2131" s="28">
        <v>7.9446847199999997</v>
      </c>
      <c r="T2131" s="315">
        <f>_xlfn.MAXIFS('Raw Period DMR Data'!$O:$O,'Raw Period DMR Data'!$A:$A,'Raw Annual DMR Data_2021-2024'!B2376,'Raw Period DMR Data'!$C:$C,X2131)/S2131</f>
        <v>0</v>
      </c>
      <c r="U2131" s="28" t="str">
        <f>+IF(COUNTIFS('Raw Period DMR Data'!$A:$A,B2131, 'Raw Period DMR Data'!C:C,'Raw Annual DMR Data_2021-2024'!X2376, 'Raw Period DMR Data'!M:M, "&gt;0")&gt;0,_xlfn.MAXIFS('Raw Period DMR Data'!M:M,'Raw Period DMR Data'!$A:$A,'Raw Annual DMR Data_2021-2024'!B2376,'Raw Period DMR Data'!C:C,'Raw Annual DMR Data_2021-2024'!X2376), "N/A - Period DMR Data Not Available")</f>
        <v>N/A - Period DMR Data Not Available</v>
      </c>
      <c r="V2131" s="28" t="str" cm="1">
        <f t="array" ref="V2131">IFERROR(INDEX('Raw Period DMR Data'!N:N,MATCH(1,(B2131='Raw Period DMR Data'!$A:$A)*(U2131='Raw Period DMR Data'!M:M)*(X2131='Raw Period DMR Data'!C:C),0),1), "N/A")</f>
        <v>N/A</v>
      </c>
      <c r="W2131" s="28" t="s">
        <v>1463</v>
      </c>
      <c r="X2131" s="28" t="s">
        <v>2153</v>
      </c>
      <c r="Y2131" s="28" t="s">
        <v>2154</v>
      </c>
      <c r="Z2131" s="61">
        <v>18070203002243</v>
      </c>
      <c r="AB2131" s="28" t="s">
        <v>7355</v>
      </c>
      <c r="AC2131" s="28" t="s">
        <v>263</v>
      </c>
    </row>
    <row r="2132" spans="1:29" x14ac:dyDescent="0.25">
      <c r="A2132" s="61">
        <v>110000525842</v>
      </c>
      <c r="B2132" s="28">
        <v>2021</v>
      </c>
      <c r="C2132" s="68">
        <f t="shared" si="34"/>
        <v>44197</v>
      </c>
      <c r="D2132" s="28" t="s">
        <v>1309</v>
      </c>
      <c r="E2132" s="28" t="s">
        <v>2152</v>
      </c>
      <c r="F2132" s="28" t="s">
        <v>1310</v>
      </c>
      <c r="G2132" s="28" t="s">
        <v>366</v>
      </c>
      <c r="H2132" s="28">
        <v>92316</v>
      </c>
      <c r="I2132" s="28">
        <v>34.055900000000001</v>
      </c>
      <c r="J2132" s="28">
        <v>-117.36134</v>
      </c>
      <c r="L2132" s="61">
        <v>110000525842</v>
      </c>
      <c r="M2132" s="28" t="s">
        <v>263</v>
      </c>
      <c r="N2132" s="28">
        <v>4952</v>
      </c>
      <c r="O2132" s="28" t="str">
        <f>IFERROR(VLOOKUP(N2132, 'SIC &amp; NAICS Codes'!A:B, 2, FALSE), "")</f>
        <v>Sewerage Systems</v>
      </c>
      <c r="S2132" s="28">
        <v>2.4102596125</v>
      </c>
      <c r="T2132" s="315">
        <f>_xlfn.MAXIFS('Raw Period DMR Data'!$O:$O,'Raw Period DMR Data'!$A:$A,'Raw Annual DMR Data_2021-2024'!#REF!,'Raw Period DMR Data'!$C:$C,X2132)/S2132</f>
        <v>0</v>
      </c>
      <c r="U2132" s="28" t="str">
        <f>+IF(COUNTIFS('Raw Period DMR Data'!$A:$A,B2132,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32" s="28" t="str" cm="1">
        <f t="array" ref="V2132">IFERROR(INDEX('Raw Period DMR Data'!N:N,MATCH(1,(B2132='Raw Period DMR Data'!$A:$A)*(U2132='Raw Period DMR Data'!M:M)*(X2132='Raw Period DMR Data'!C:C),0),1), "N/A")</f>
        <v>N/A</v>
      </c>
      <c r="W2132" s="28" t="s">
        <v>1463</v>
      </c>
      <c r="X2132" s="28" t="s">
        <v>2153</v>
      </c>
      <c r="Y2132" s="28" t="s">
        <v>2154</v>
      </c>
      <c r="Z2132" s="61">
        <v>18070203002243</v>
      </c>
      <c r="AA2132" s="28"/>
      <c r="AB2132" s="28" t="s">
        <v>7355</v>
      </c>
      <c r="AC2132" s="28" t="s">
        <v>263</v>
      </c>
    </row>
    <row r="2133" spans="1:29" x14ac:dyDescent="0.25">
      <c r="A2133" s="61">
        <v>110000525842</v>
      </c>
      <c r="B2133" s="28">
        <v>2022</v>
      </c>
      <c r="C2133" s="68">
        <f t="shared" si="34"/>
        <v>44562</v>
      </c>
      <c r="D2133" s="28" t="s">
        <v>1309</v>
      </c>
      <c r="E2133" s="28" t="s">
        <v>2152</v>
      </c>
      <c r="F2133" s="28" t="s">
        <v>1310</v>
      </c>
      <c r="G2133" s="28" t="s">
        <v>366</v>
      </c>
      <c r="H2133" s="28">
        <v>92316</v>
      </c>
      <c r="I2133" s="28">
        <v>34.055900000000001</v>
      </c>
      <c r="J2133" s="28">
        <v>-117.36134</v>
      </c>
      <c r="L2133" s="61">
        <v>110000525842</v>
      </c>
      <c r="M2133" s="28" t="s">
        <v>263</v>
      </c>
      <c r="N2133" s="28">
        <v>4952</v>
      </c>
      <c r="O2133" s="28" t="str">
        <f>IFERROR(VLOOKUP(N2133, 'SIC &amp; NAICS Codes'!A:B, 2, FALSE), "")</f>
        <v>Sewerage Systems</v>
      </c>
      <c r="S2133" s="28">
        <v>2.3969326275</v>
      </c>
      <c r="T2133" s="315">
        <f>_xlfn.MAXIFS('Raw Period DMR Data'!$O:$O,'Raw Period DMR Data'!$A:$A,'Raw Annual DMR Data_2021-2024'!#REF!,'Raw Period DMR Data'!$C:$C,X2133)/S2133</f>
        <v>0</v>
      </c>
      <c r="U2133" s="28" t="str">
        <f>+IF(COUNTIFS('Raw Period DMR Data'!$A:$A,B2133,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33" s="28" t="str" cm="1">
        <f t="array" ref="V2133">IFERROR(INDEX('Raw Period DMR Data'!N:N,MATCH(1,(B2133='Raw Period DMR Data'!$A:$A)*(U2133='Raw Period DMR Data'!M:M)*(X2133='Raw Period DMR Data'!C:C),0),1), "N/A")</f>
        <v>N/A</v>
      </c>
      <c r="W2133" s="28" t="s">
        <v>1463</v>
      </c>
      <c r="X2133" s="28" t="s">
        <v>2153</v>
      </c>
      <c r="Y2133" s="28" t="s">
        <v>2154</v>
      </c>
      <c r="Z2133" s="61">
        <v>18070203002243</v>
      </c>
      <c r="AB2133" s="28" t="s">
        <v>7355</v>
      </c>
      <c r="AC2133" s="28" t="s">
        <v>263</v>
      </c>
    </row>
    <row r="2134" spans="1:29" x14ac:dyDescent="0.25">
      <c r="A2134" s="61">
        <v>110000525842</v>
      </c>
      <c r="B2134" s="28">
        <v>2024</v>
      </c>
      <c r="C2134" s="68">
        <f t="shared" si="34"/>
        <v>45292</v>
      </c>
      <c r="D2134" s="28" t="s">
        <v>1309</v>
      </c>
      <c r="E2134" s="28" t="s">
        <v>2152</v>
      </c>
      <c r="F2134" s="28" t="s">
        <v>1310</v>
      </c>
      <c r="G2134" s="28" t="s">
        <v>366</v>
      </c>
      <c r="H2134" s="28">
        <v>92316</v>
      </c>
      <c r="I2134" s="28">
        <v>34.055900000000001</v>
      </c>
      <c r="J2134" s="28">
        <v>-117.36134</v>
      </c>
      <c r="L2134" s="61">
        <v>110000525842</v>
      </c>
      <c r="M2134" s="28" t="s">
        <v>263</v>
      </c>
      <c r="N2134" s="28">
        <v>4952</v>
      </c>
      <c r="O2134" s="28" t="str">
        <f>IFERROR(VLOOKUP(N2134, 'SIC &amp; NAICS Codes'!A:B, 2, FALSE), "")</f>
        <v>Sewerage Systems</v>
      </c>
      <c r="S2134" s="28">
        <v>1.9628232561000001</v>
      </c>
      <c r="T2134" s="315">
        <f>_xlfn.MAXIFS('Raw Period DMR Data'!$O:$O,'Raw Period DMR Data'!$A:$A,'Raw Annual DMR Data_2021-2024'!#REF!,'Raw Period DMR Data'!$C:$C,X2134)/S2134</f>
        <v>0</v>
      </c>
      <c r="U2134" s="28" t="str">
        <f>+IF(COUNTIFS('Raw Period DMR Data'!$A:$A,B2134,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34" s="28" t="str" cm="1">
        <f t="array" ref="V2134">IFERROR(INDEX('Raw Period DMR Data'!N:N,MATCH(1,(B2134='Raw Period DMR Data'!$A:$A)*(U2134='Raw Period DMR Data'!M:M)*(X2134='Raw Period DMR Data'!C:C),0),1), "N/A")</f>
        <v>N/A</v>
      </c>
      <c r="W2134" s="28" t="s">
        <v>1463</v>
      </c>
      <c r="X2134" s="28" t="s">
        <v>2153</v>
      </c>
      <c r="Y2134" s="28" t="s">
        <v>2154</v>
      </c>
      <c r="Z2134" s="61">
        <v>18070203002243</v>
      </c>
      <c r="AB2134" s="28" t="s">
        <v>7355</v>
      </c>
      <c r="AC2134" s="28" t="s">
        <v>263</v>
      </c>
    </row>
    <row r="2135" spans="1:29" x14ac:dyDescent="0.25">
      <c r="A2135" s="61">
        <v>110031112659</v>
      </c>
      <c r="B2135" s="28">
        <v>2022</v>
      </c>
      <c r="C2135" s="68">
        <f t="shared" si="34"/>
        <v>44562</v>
      </c>
      <c r="D2135" s="28" t="s">
        <v>6868</v>
      </c>
      <c r="E2135" s="28" t="s">
        <v>7036</v>
      </c>
      <c r="F2135" s="28" t="s">
        <v>1265</v>
      </c>
      <c r="G2135" s="28" t="s">
        <v>324</v>
      </c>
      <c r="H2135" s="28">
        <v>40475</v>
      </c>
      <c r="I2135" s="28">
        <v>37.801943999999999</v>
      </c>
      <c r="J2135" s="28">
        <v>-84.261111</v>
      </c>
      <c r="L2135" s="61">
        <v>110031112659</v>
      </c>
      <c r="M2135" s="28" t="s">
        <v>263</v>
      </c>
      <c r="N2135" s="28">
        <v>4952</v>
      </c>
      <c r="O2135" s="28" t="str">
        <f>IFERROR(VLOOKUP(N2135, 'SIC &amp; NAICS Codes'!A:B, 2, FALSE), "")</f>
        <v>Sewerage Systems</v>
      </c>
      <c r="S2135" s="28">
        <v>34.448325875000002</v>
      </c>
      <c r="T2135" s="315">
        <f>_xlfn.MAXIFS('Raw Period DMR Data'!$O:$O,'Raw Period DMR Data'!$A:$A,'Raw Annual DMR Data_2021-2024'!B2307,'Raw Period DMR Data'!$C:$C,X2135)/S2135</f>
        <v>0</v>
      </c>
      <c r="U2135" s="28" t="str">
        <f>+IF(COUNTIFS('Raw Period DMR Data'!$A:$A,B2135, 'Raw Period DMR Data'!C:C,'Raw Annual DMR Data_2021-2024'!X2307, 'Raw Period DMR Data'!M:M, "&gt;0")&gt;0,_xlfn.MAXIFS('Raw Period DMR Data'!M:M,'Raw Period DMR Data'!$A:$A,'Raw Annual DMR Data_2021-2024'!B2307,'Raw Period DMR Data'!C:C,'Raw Annual DMR Data_2021-2024'!X2307), "N/A - Period DMR Data Not Available")</f>
        <v>N/A - Period DMR Data Not Available</v>
      </c>
      <c r="V2135" s="28" t="str" cm="1">
        <f t="array" ref="V2135">IFERROR(INDEX('Raw Period DMR Data'!N:N,MATCH(1,(B2135='Raw Period DMR Data'!$A:$A)*(U2135='Raw Period DMR Data'!M:M)*(X2135='Raw Period DMR Data'!C:C),0),1), "N/A")</f>
        <v>N/A</v>
      </c>
      <c r="W2135" s="28" t="s">
        <v>1463</v>
      </c>
      <c r="X2135" s="28" t="s">
        <v>7197</v>
      </c>
      <c r="Y2135" s="28" t="s">
        <v>7300</v>
      </c>
      <c r="Z2135" s="61">
        <v>5100205000179</v>
      </c>
      <c r="AC2135" s="28" t="s">
        <v>263</v>
      </c>
    </row>
    <row r="2136" spans="1:29" x14ac:dyDescent="0.25">
      <c r="A2136" s="61">
        <v>110031112659</v>
      </c>
      <c r="B2136" s="28">
        <v>2023</v>
      </c>
      <c r="C2136" s="68">
        <f t="shared" si="34"/>
        <v>44927</v>
      </c>
      <c r="D2136" s="28" t="s">
        <v>6868</v>
      </c>
      <c r="E2136" s="28" t="s">
        <v>7036</v>
      </c>
      <c r="F2136" s="28" t="s">
        <v>1265</v>
      </c>
      <c r="G2136" s="28" t="s">
        <v>324</v>
      </c>
      <c r="H2136" s="28">
        <v>40475</v>
      </c>
      <c r="I2136" s="28">
        <v>37.801943999999999</v>
      </c>
      <c r="J2136" s="28">
        <v>-84.261111</v>
      </c>
      <c r="L2136" s="61">
        <v>110031112659</v>
      </c>
      <c r="M2136" s="28" t="s">
        <v>263</v>
      </c>
      <c r="N2136" s="28">
        <v>4952</v>
      </c>
      <c r="O2136" s="28" t="str">
        <f>IFERROR(VLOOKUP(N2136, 'SIC &amp; NAICS Codes'!A:B, 2, FALSE), "")</f>
        <v>Sewerage Systems</v>
      </c>
      <c r="S2136" s="28">
        <v>27.865359250000001</v>
      </c>
      <c r="T2136" s="315">
        <f>_xlfn.MAXIFS('Raw Period DMR Data'!$O:$O,'Raw Period DMR Data'!$A:$A,'Raw Annual DMR Data_2021-2024'!B2311,'Raw Period DMR Data'!$C:$C,X2136)/S2136</f>
        <v>0</v>
      </c>
      <c r="U2136" s="28" t="str">
        <f>+IF(COUNTIFS('Raw Period DMR Data'!$A:$A,B2136, 'Raw Period DMR Data'!C:C,'Raw Annual DMR Data_2021-2024'!X2311, 'Raw Period DMR Data'!M:M, "&gt;0")&gt;0,_xlfn.MAXIFS('Raw Period DMR Data'!M:M,'Raw Period DMR Data'!$A:$A,'Raw Annual DMR Data_2021-2024'!B2311,'Raw Period DMR Data'!C:C,'Raw Annual DMR Data_2021-2024'!X2311), "N/A - Period DMR Data Not Available")</f>
        <v>N/A - Period DMR Data Not Available</v>
      </c>
      <c r="V2136" s="28" t="str" cm="1">
        <f t="array" ref="V2136">IFERROR(INDEX('Raw Period DMR Data'!N:N,MATCH(1,(B2136='Raw Period DMR Data'!$A:$A)*(U2136='Raw Period DMR Data'!M:M)*(X2136='Raw Period DMR Data'!C:C),0),1), "N/A")</f>
        <v>N/A</v>
      </c>
      <c r="W2136" s="28" t="s">
        <v>1463</v>
      </c>
      <c r="X2136" s="28" t="s">
        <v>7197</v>
      </c>
      <c r="Y2136" s="28" t="s">
        <v>7300</v>
      </c>
      <c r="Z2136" s="61">
        <v>5100205000179</v>
      </c>
      <c r="AC2136" s="28" t="s">
        <v>263</v>
      </c>
    </row>
    <row r="2137" spans="1:29" x14ac:dyDescent="0.25">
      <c r="A2137" s="61">
        <v>110031112659</v>
      </c>
      <c r="B2137" s="28">
        <v>2024</v>
      </c>
      <c r="C2137" s="68">
        <f t="shared" si="34"/>
        <v>45292</v>
      </c>
      <c r="D2137" s="28" t="s">
        <v>6868</v>
      </c>
      <c r="E2137" s="28" t="s">
        <v>7036</v>
      </c>
      <c r="F2137" s="28" t="s">
        <v>1265</v>
      </c>
      <c r="G2137" s="28" t="s">
        <v>324</v>
      </c>
      <c r="H2137" s="28">
        <v>40475</v>
      </c>
      <c r="I2137" s="28">
        <v>37.801943999999999</v>
      </c>
      <c r="J2137" s="28">
        <v>-84.261111</v>
      </c>
      <c r="L2137" s="61">
        <v>110031112659</v>
      </c>
      <c r="M2137" s="28" t="s">
        <v>263</v>
      </c>
      <c r="N2137" s="28">
        <v>4952</v>
      </c>
      <c r="O2137" s="28" t="str">
        <f>IFERROR(VLOOKUP(N2137, 'SIC &amp; NAICS Codes'!A:B, 2, FALSE), "")</f>
        <v>Sewerage Systems</v>
      </c>
      <c r="S2137" s="28">
        <v>7.4187892499999997</v>
      </c>
      <c r="T2137" s="315">
        <f>_xlfn.MAXIFS('Raw Period DMR Data'!$O:$O,'Raw Period DMR Data'!$A:$A,'Raw Annual DMR Data_2021-2024'!B2379,'Raw Period DMR Data'!$C:$C,X2137)/S2137</f>
        <v>0</v>
      </c>
      <c r="U2137" s="28" t="str">
        <f>+IF(COUNTIFS('Raw Period DMR Data'!$A:$A,B2137, 'Raw Period DMR Data'!C:C,'Raw Annual DMR Data_2021-2024'!X2379, 'Raw Period DMR Data'!M:M, "&gt;0")&gt;0,_xlfn.MAXIFS('Raw Period DMR Data'!M:M,'Raw Period DMR Data'!$A:$A,'Raw Annual DMR Data_2021-2024'!B2379,'Raw Period DMR Data'!C:C,'Raw Annual DMR Data_2021-2024'!X2379), "N/A - Period DMR Data Not Available")</f>
        <v>N/A - Period DMR Data Not Available</v>
      </c>
      <c r="V2137" s="28" t="str" cm="1">
        <f t="array" ref="V2137">IFERROR(INDEX('Raw Period DMR Data'!N:N,MATCH(1,(B2137='Raw Period DMR Data'!$A:$A)*(U2137='Raw Period DMR Data'!M:M)*(X2137='Raw Period DMR Data'!C:C),0),1), "N/A")</f>
        <v>N/A</v>
      </c>
      <c r="W2137" s="28" t="s">
        <v>1463</v>
      </c>
      <c r="X2137" s="28" t="s">
        <v>7197</v>
      </c>
      <c r="Y2137" s="28" t="s">
        <v>7300</v>
      </c>
      <c r="Z2137" s="61">
        <v>5100205000179</v>
      </c>
      <c r="AC2137" s="28" t="s">
        <v>263</v>
      </c>
    </row>
    <row r="2138" spans="1:29" x14ac:dyDescent="0.25">
      <c r="A2138" s="61">
        <v>110041245015</v>
      </c>
      <c r="B2138" s="28">
        <v>2022</v>
      </c>
      <c r="C2138" s="68">
        <f t="shared" si="34"/>
        <v>44562</v>
      </c>
      <c r="D2138" s="28" t="s">
        <v>1311</v>
      </c>
      <c r="E2138" s="28" t="s">
        <v>2155</v>
      </c>
      <c r="F2138" s="28" t="s">
        <v>1312</v>
      </c>
      <c r="G2138" s="28" t="s">
        <v>506</v>
      </c>
      <c r="H2138" s="28">
        <v>21157</v>
      </c>
      <c r="I2138" s="28">
        <v>39.567390000000003</v>
      </c>
      <c r="J2138" s="28">
        <v>-76.920410000000004</v>
      </c>
      <c r="L2138" s="61">
        <v>110041245015</v>
      </c>
      <c r="M2138" s="28" t="s">
        <v>265</v>
      </c>
      <c r="O2138" s="28" t="str">
        <f>IFERROR(VLOOKUP(N2138, 'SIC &amp; NAICS Codes'!A:B, 2, FALSE), "")</f>
        <v/>
      </c>
      <c r="S2138" s="28">
        <v>1.0603204375E-3</v>
      </c>
      <c r="T2138" s="315">
        <f>_xlfn.MAXIFS('Raw Period DMR Data'!$O:$O,'Raw Period DMR Data'!$A:$A,'Raw Annual DMR Data_2021-2024'!#REF!,'Raw Period DMR Data'!$C:$C,X2138)/S2138</f>
        <v>0</v>
      </c>
      <c r="U2138" s="28" t="str">
        <f>+IF(COUNTIFS('Raw Period DMR Data'!$A:$A,B2138,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38" s="28" t="str" cm="1">
        <f t="array" ref="V2138">IFERROR(INDEX('Raw Period DMR Data'!N:N,MATCH(1,(B2138='Raw Period DMR Data'!$A:$A)*(U2138='Raw Period DMR Data'!M:M)*(X2138='Raw Period DMR Data'!C:C),0),1), "N/A")</f>
        <v>N/A</v>
      </c>
      <c r="W2138" s="28" t="s">
        <v>1463</v>
      </c>
      <c r="X2138" s="28" t="s">
        <v>2156</v>
      </c>
      <c r="Z2138" s="61">
        <v>2060003000267</v>
      </c>
      <c r="AB2138" s="28" t="s">
        <v>7355</v>
      </c>
      <c r="AC2138" s="28" t="s">
        <v>1466</v>
      </c>
    </row>
    <row r="2139" spans="1:29" x14ac:dyDescent="0.25">
      <c r="A2139" s="61">
        <v>110041245015</v>
      </c>
      <c r="B2139" s="28">
        <v>2022</v>
      </c>
      <c r="C2139" s="68">
        <f t="shared" si="34"/>
        <v>44562</v>
      </c>
      <c r="D2139" s="28" t="s">
        <v>1311</v>
      </c>
      <c r="E2139" s="28" t="s">
        <v>2155</v>
      </c>
      <c r="F2139" s="28" t="s">
        <v>1312</v>
      </c>
      <c r="G2139" s="28" t="s">
        <v>506</v>
      </c>
      <c r="H2139" s="28">
        <v>21157</v>
      </c>
      <c r="I2139" s="28">
        <v>39.567390000000003</v>
      </c>
      <c r="J2139" s="28">
        <v>-76.920410000000004</v>
      </c>
      <c r="L2139" s="61">
        <v>110041245015</v>
      </c>
      <c r="M2139" s="28" t="s">
        <v>265</v>
      </c>
      <c r="O2139" s="28" t="str">
        <f>IFERROR(VLOOKUP(N2139, 'SIC &amp; NAICS Codes'!A:B, 2, FALSE), "")</f>
        <v/>
      </c>
      <c r="S2139" s="28">
        <v>1.0603204375E-3</v>
      </c>
      <c r="T2139" s="315">
        <f>_xlfn.MAXIFS('Raw Period DMR Data'!$O:$O,'Raw Period DMR Data'!$A:$A,'Raw Annual DMR Data_2021-2024'!#REF!,'Raw Period DMR Data'!$C:$C,X2139)/S2139</f>
        <v>0</v>
      </c>
      <c r="U2139" s="28" t="str">
        <f>+IF(COUNTIFS('Raw Period DMR Data'!$A:$A,B2139,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39" s="28" t="str" cm="1">
        <f t="array" ref="V2139">IFERROR(INDEX('Raw Period DMR Data'!N:N,MATCH(1,(B2139='Raw Period DMR Data'!$A:$A)*(U2139='Raw Period DMR Data'!M:M)*(X2139='Raw Period DMR Data'!C:C),0),1), "N/A")</f>
        <v>N/A</v>
      </c>
      <c r="W2139" s="28" t="s">
        <v>1463</v>
      </c>
      <c r="X2139" s="28" t="s">
        <v>2156</v>
      </c>
      <c r="Z2139" s="61">
        <v>2060003000267</v>
      </c>
      <c r="AB2139" s="28" t="s">
        <v>7355</v>
      </c>
      <c r="AC2139" s="28" t="s">
        <v>1466</v>
      </c>
    </row>
    <row r="2140" spans="1:29" x14ac:dyDescent="0.25">
      <c r="A2140" s="61">
        <v>110041245015</v>
      </c>
      <c r="B2140" s="28">
        <v>2023</v>
      </c>
      <c r="C2140" s="68">
        <f t="shared" si="34"/>
        <v>44927</v>
      </c>
      <c r="D2140" s="28" t="s">
        <v>1311</v>
      </c>
      <c r="E2140" s="28" t="s">
        <v>2155</v>
      </c>
      <c r="F2140" s="28" t="s">
        <v>1312</v>
      </c>
      <c r="G2140" s="28" t="s">
        <v>506</v>
      </c>
      <c r="H2140" s="28">
        <v>21157</v>
      </c>
      <c r="I2140" s="28">
        <v>39.567390000000003</v>
      </c>
      <c r="J2140" s="28">
        <v>-76.920410000000004</v>
      </c>
      <c r="L2140" s="61">
        <v>110041245015</v>
      </c>
      <c r="M2140" s="28" t="s">
        <v>265</v>
      </c>
      <c r="O2140" s="28" t="str">
        <f>IFERROR(VLOOKUP(N2140, 'SIC &amp; NAICS Codes'!A:B, 2, FALSE), "")</f>
        <v/>
      </c>
      <c r="S2140" s="28">
        <v>1.0257823125000001E-3</v>
      </c>
      <c r="T2140" s="315">
        <f>_xlfn.MAXIFS('Raw Period DMR Data'!$O:$O,'Raw Period DMR Data'!$A:$A,'Raw Annual DMR Data_2021-2024'!#REF!,'Raw Period DMR Data'!$C:$C,X2140)/S2140</f>
        <v>0</v>
      </c>
      <c r="U2140" s="28" t="str">
        <f>+IF(COUNTIFS('Raw Period DMR Data'!$A:$A,B2140,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40" s="28" t="str" cm="1">
        <f t="array" ref="V2140">IFERROR(INDEX('Raw Period DMR Data'!N:N,MATCH(1,(B2140='Raw Period DMR Data'!$A:$A)*(U2140='Raw Period DMR Data'!M:M)*(X2140='Raw Period DMR Data'!C:C),0),1), "N/A")</f>
        <v>N/A</v>
      </c>
      <c r="W2140" s="28" t="s">
        <v>1463</v>
      </c>
      <c r="X2140" s="28" t="s">
        <v>2156</v>
      </c>
      <c r="Z2140" s="61" t="s">
        <v>2157</v>
      </c>
      <c r="AB2140" s="28" t="s">
        <v>7355</v>
      </c>
      <c r="AC2140" s="28" t="s">
        <v>1466</v>
      </c>
    </row>
    <row r="2141" spans="1:29" x14ac:dyDescent="0.25">
      <c r="A2141" s="61">
        <v>110041245015</v>
      </c>
      <c r="B2141" s="28">
        <v>2023</v>
      </c>
      <c r="C2141" s="68">
        <f t="shared" si="34"/>
        <v>44927</v>
      </c>
      <c r="D2141" s="28" t="s">
        <v>1311</v>
      </c>
      <c r="E2141" s="28" t="s">
        <v>2155</v>
      </c>
      <c r="F2141" s="28" t="s">
        <v>1312</v>
      </c>
      <c r="G2141" s="28" t="s">
        <v>506</v>
      </c>
      <c r="H2141" s="28">
        <v>21157</v>
      </c>
      <c r="I2141" s="28">
        <v>39.567390000000003</v>
      </c>
      <c r="J2141" s="28">
        <v>-76.920410000000004</v>
      </c>
      <c r="L2141" s="61">
        <v>110041245015</v>
      </c>
      <c r="M2141" s="28" t="s">
        <v>265</v>
      </c>
      <c r="O2141" s="28" t="str">
        <f>IFERROR(VLOOKUP(N2141, 'SIC &amp; NAICS Codes'!A:B, 2, FALSE), "")</f>
        <v/>
      </c>
      <c r="S2141" s="28">
        <v>1.0257823125000001E-3</v>
      </c>
      <c r="T2141" s="315">
        <f>_xlfn.MAXIFS('Raw Period DMR Data'!$O:$O,'Raw Period DMR Data'!$A:$A,'Raw Annual DMR Data_2021-2024'!#REF!,'Raw Period DMR Data'!$C:$C,X2141)/S2141</f>
        <v>0</v>
      </c>
      <c r="U2141" s="28" t="str">
        <f>+IF(COUNTIFS('Raw Period DMR Data'!$A:$A,B2141,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41" s="28" t="str" cm="1">
        <f t="array" ref="V2141">IFERROR(INDEX('Raw Period DMR Data'!N:N,MATCH(1,(B2141='Raw Period DMR Data'!$A:$A)*(U2141='Raw Period DMR Data'!M:M)*(X2141='Raw Period DMR Data'!C:C),0),1), "N/A")</f>
        <v>N/A</v>
      </c>
      <c r="W2141" s="28" t="s">
        <v>1463</v>
      </c>
      <c r="X2141" s="28" t="s">
        <v>2156</v>
      </c>
      <c r="Z2141" s="61" t="s">
        <v>2157</v>
      </c>
      <c r="AB2141" s="28" t="s">
        <v>7355</v>
      </c>
      <c r="AC2141" s="28" t="s">
        <v>1466</v>
      </c>
    </row>
    <row r="2142" spans="1:29" x14ac:dyDescent="0.25">
      <c r="A2142" s="61">
        <v>110041245015</v>
      </c>
      <c r="B2142" s="28">
        <v>2024</v>
      </c>
      <c r="C2142" s="68">
        <f t="shared" si="34"/>
        <v>45292</v>
      </c>
      <c r="D2142" s="28" t="s">
        <v>1311</v>
      </c>
      <c r="E2142" s="28" t="s">
        <v>2155</v>
      </c>
      <c r="F2142" s="28" t="s">
        <v>1312</v>
      </c>
      <c r="G2142" s="28" t="s">
        <v>506</v>
      </c>
      <c r="H2142" s="28">
        <v>21157</v>
      </c>
      <c r="I2142" s="28">
        <v>39.567390000000003</v>
      </c>
      <c r="J2142" s="28">
        <v>-76.920410000000004</v>
      </c>
      <c r="L2142" s="61">
        <v>110041245015</v>
      </c>
      <c r="M2142" s="28" t="s">
        <v>265</v>
      </c>
      <c r="O2142" s="28" t="str">
        <f>IFERROR(VLOOKUP(N2142, 'SIC &amp; NAICS Codes'!A:B, 2, FALSE), "")</f>
        <v/>
      </c>
      <c r="S2142" s="28">
        <v>9.8088275000000002E-4</v>
      </c>
      <c r="T2142" s="315">
        <f>_xlfn.MAXIFS('Raw Period DMR Data'!$O:$O,'Raw Period DMR Data'!$A:$A,'Raw Annual DMR Data_2021-2024'!#REF!,'Raw Period DMR Data'!$C:$C,X2142)/S2142</f>
        <v>0</v>
      </c>
      <c r="U2142" s="28" t="str">
        <f>+IF(COUNTIFS('Raw Period DMR Data'!$A:$A,B2142,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42" s="28" t="str" cm="1">
        <f t="array" ref="V2142">IFERROR(INDEX('Raw Period DMR Data'!N:N,MATCH(1,(B2142='Raw Period DMR Data'!$A:$A)*(U2142='Raw Period DMR Data'!M:M)*(X2142='Raw Period DMR Data'!C:C),0),1), "N/A")</f>
        <v>N/A</v>
      </c>
      <c r="W2142" s="28" t="s">
        <v>1463</v>
      </c>
      <c r="X2142" s="28" t="s">
        <v>2156</v>
      </c>
      <c r="Z2142" s="61">
        <v>2060003000267</v>
      </c>
      <c r="AB2142" s="28" t="s">
        <v>7355</v>
      </c>
      <c r="AC2142" s="28" t="s">
        <v>1466</v>
      </c>
    </row>
    <row r="2143" spans="1:29" x14ac:dyDescent="0.25">
      <c r="A2143" s="61">
        <v>110041245015</v>
      </c>
      <c r="B2143" s="28">
        <v>2024</v>
      </c>
      <c r="C2143" s="68">
        <f t="shared" si="34"/>
        <v>45292</v>
      </c>
      <c r="D2143" s="28" t="s">
        <v>1311</v>
      </c>
      <c r="E2143" s="28" t="s">
        <v>2155</v>
      </c>
      <c r="F2143" s="28" t="s">
        <v>1312</v>
      </c>
      <c r="G2143" s="28" t="s">
        <v>506</v>
      </c>
      <c r="H2143" s="28">
        <v>21157</v>
      </c>
      <c r="I2143" s="28">
        <v>39.567390000000003</v>
      </c>
      <c r="J2143" s="28">
        <v>-76.920410000000004</v>
      </c>
      <c r="L2143" s="61">
        <v>110041245015</v>
      </c>
      <c r="M2143" s="28" t="s">
        <v>265</v>
      </c>
      <c r="O2143" s="28" t="str">
        <f>IFERROR(VLOOKUP(N2143, 'SIC &amp; NAICS Codes'!A:B, 2, FALSE), "")</f>
        <v/>
      </c>
      <c r="S2143" s="28">
        <v>9.8088275000000002E-4</v>
      </c>
      <c r="T2143" s="315">
        <f>_xlfn.MAXIFS('Raw Period DMR Data'!$O:$O,'Raw Period DMR Data'!$A:$A,'Raw Annual DMR Data_2021-2024'!#REF!,'Raw Period DMR Data'!$C:$C,X2143)/S2143</f>
        <v>0</v>
      </c>
      <c r="U2143" s="28" t="str">
        <f>+IF(COUNTIFS('Raw Period DMR Data'!$A:$A,B2143,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43" s="28" t="str" cm="1">
        <f t="array" ref="V2143">IFERROR(INDEX('Raw Period DMR Data'!N:N,MATCH(1,(B2143='Raw Period DMR Data'!$A:$A)*(U2143='Raw Period DMR Data'!M:M)*(X2143='Raw Period DMR Data'!C:C),0),1), "N/A")</f>
        <v>N/A</v>
      </c>
      <c r="W2143" s="28" t="s">
        <v>1463</v>
      </c>
      <c r="X2143" s="28" t="s">
        <v>2156</v>
      </c>
      <c r="Z2143" s="61">
        <v>2060003000267</v>
      </c>
      <c r="AB2143" s="28" t="s">
        <v>7355</v>
      </c>
      <c r="AC2143" s="28" t="s">
        <v>1466</v>
      </c>
    </row>
    <row r="2144" spans="1:29" x14ac:dyDescent="0.25">
      <c r="A2144" s="61">
        <v>110041245015</v>
      </c>
      <c r="B2144" s="28">
        <v>2021</v>
      </c>
      <c r="C2144" s="68">
        <f t="shared" si="34"/>
        <v>44197</v>
      </c>
      <c r="D2144" s="28" t="s">
        <v>1311</v>
      </c>
      <c r="E2144" s="28" t="s">
        <v>2155</v>
      </c>
      <c r="F2144" s="28" t="s">
        <v>1312</v>
      </c>
      <c r="G2144" s="28" t="s">
        <v>506</v>
      </c>
      <c r="H2144" s="28">
        <v>21157</v>
      </c>
      <c r="I2144" s="28">
        <v>39.567390000000003</v>
      </c>
      <c r="J2144" s="28">
        <v>-76.920410000000004</v>
      </c>
      <c r="L2144" s="61">
        <v>110041245015</v>
      </c>
      <c r="M2144" s="28" t="s">
        <v>265</v>
      </c>
      <c r="O2144" s="28" t="str">
        <f>IFERROR(VLOOKUP(N2144, 'SIC &amp; NAICS Codes'!A:B, 2, FALSE), "")</f>
        <v/>
      </c>
      <c r="S2144" s="28">
        <v>7.3911587500000001E-4</v>
      </c>
      <c r="T2144" s="315">
        <f>_xlfn.MAXIFS('Raw Period DMR Data'!$O:$O,'Raw Period DMR Data'!$A:$A,'Raw Annual DMR Data_2021-2024'!#REF!,'Raw Period DMR Data'!$C:$C,X2144)/S2144</f>
        <v>0</v>
      </c>
      <c r="U2144" s="28" t="str">
        <f>+IF(COUNTIFS('Raw Period DMR Data'!$A:$A,B2144,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44" s="28" t="str" cm="1">
        <f t="array" ref="V2144">IFERROR(INDEX('Raw Period DMR Data'!N:N,MATCH(1,(B2144='Raw Period DMR Data'!$A:$A)*(U2144='Raw Period DMR Data'!M:M)*(X2144='Raw Period DMR Data'!C:C),0),1), "N/A")</f>
        <v>N/A</v>
      </c>
      <c r="W2144" s="28" t="s">
        <v>1463</v>
      </c>
      <c r="X2144" s="28" t="s">
        <v>2156</v>
      </c>
      <c r="Z2144" s="61">
        <v>2060003000267</v>
      </c>
      <c r="AA2144" s="28"/>
      <c r="AB2144" s="28" t="s">
        <v>7355</v>
      </c>
      <c r="AC2144" s="28" t="s">
        <v>1466</v>
      </c>
    </row>
    <row r="2145" spans="1:29" x14ac:dyDescent="0.25">
      <c r="A2145" s="61">
        <v>110041245015</v>
      </c>
      <c r="B2145" s="28">
        <v>2021</v>
      </c>
      <c r="C2145" s="68">
        <f t="shared" si="34"/>
        <v>44197</v>
      </c>
      <c r="D2145" s="28" t="s">
        <v>1311</v>
      </c>
      <c r="E2145" s="28" t="s">
        <v>2155</v>
      </c>
      <c r="F2145" s="28" t="s">
        <v>1312</v>
      </c>
      <c r="G2145" s="28" t="s">
        <v>506</v>
      </c>
      <c r="H2145" s="28">
        <v>21157</v>
      </c>
      <c r="I2145" s="28">
        <v>39.567390000000003</v>
      </c>
      <c r="J2145" s="28">
        <v>-76.920410000000004</v>
      </c>
      <c r="L2145" s="61">
        <v>110041245015</v>
      </c>
      <c r="M2145" s="28" t="s">
        <v>265</v>
      </c>
      <c r="O2145" s="28" t="str">
        <f>IFERROR(VLOOKUP(N2145, 'SIC &amp; NAICS Codes'!A:B, 2, FALSE), "")</f>
        <v/>
      </c>
      <c r="S2145" s="28">
        <v>7.3911587500000001E-4</v>
      </c>
      <c r="T2145" s="315">
        <f>_xlfn.MAXIFS('Raw Period DMR Data'!$O:$O,'Raw Period DMR Data'!$A:$A,'Raw Annual DMR Data_2021-2024'!#REF!,'Raw Period DMR Data'!$C:$C,X2145)/S2145</f>
        <v>0</v>
      </c>
      <c r="U2145" s="28" t="str">
        <f>+IF(COUNTIFS('Raw Period DMR Data'!$A:$A,B2145,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45" s="28" t="str" cm="1">
        <f t="array" ref="V2145">IFERROR(INDEX('Raw Period DMR Data'!N:N,MATCH(1,(B2145='Raw Period DMR Data'!$A:$A)*(U2145='Raw Period DMR Data'!M:M)*(X2145='Raw Period DMR Data'!C:C),0),1), "N/A")</f>
        <v>N/A</v>
      </c>
      <c r="W2145" s="28" t="s">
        <v>1463</v>
      </c>
      <c r="X2145" s="28" t="s">
        <v>2156</v>
      </c>
      <c r="Z2145" s="61">
        <v>2060003000267</v>
      </c>
      <c r="AA2145" s="28"/>
      <c r="AB2145" s="28" t="s">
        <v>7355</v>
      </c>
      <c r="AC2145" s="28" t="s">
        <v>1466</v>
      </c>
    </row>
    <row r="2146" spans="1:29" x14ac:dyDescent="0.25">
      <c r="A2146" s="61">
        <v>110070544905</v>
      </c>
      <c r="B2146" s="28">
        <v>2021</v>
      </c>
      <c r="C2146" s="68">
        <f t="shared" si="34"/>
        <v>44197</v>
      </c>
      <c r="D2146" s="28" t="s">
        <v>1315</v>
      </c>
      <c r="E2146" s="28" t="s">
        <v>2160</v>
      </c>
      <c r="F2146" s="28" t="s">
        <v>1316</v>
      </c>
      <c r="G2146" s="28" t="s">
        <v>294</v>
      </c>
      <c r="H2146" s="28">
        <v>22801</v>
      </c>
      <c r="I2146" s="28">
        <v>38.400409000000003</v>
      </c>
      <c r="J2146" s="28">
        <v>-78.895222000000004</v>
      </c>
      <c r="L2146" s="61">
        <v>110070544905</v>
      </c>
      <c r="M2146" s="28" t="s">
        <v>6750</v>
      </c>
      <c r="N2146" s="28">
        <v>4953</v>
      </c>
      <c r="O2146" s="28" t="str">
        <f>IFERROR(VLOOKUP(N2146, 'SIC &amp; NAICS Codes'!A:B, 2, FALSE), "")</f>
        <v>Refuse Systems (hazardous waste treatment and disposal)</v>
      </c>
      <c r="S2146" s="28">
        <v>4.9779596875750003E-2</v>
      </c>
      <c r="T2146" s="315">
        <f>_xlfn.MAXIFS('Raw Period DMR Data'!$O:$O,'Raw Period DMR Data'!$A:$A,'Raw Annual DMR Data_2021-2024'!#REF!,'Raw Period DMR Data'!$C:$C,X2146)/S2146</f>
        <v>0</v>
      </c>
      <c r="U2146" s="28" t="str">
        <f>+IF(COUNTIFS('Raw Period DMR Data'!$A:$A,B2146,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46" s="28" t="str" cm="1">
        <f t="array" ref="V2146">IFERROR(INDEX('Raw Period DMR Data'!N:N,MATCH(1,(B2146='Raw Period DMR Data'!$A:$A)*(U2146='Raw Period DMR Data'!M:M)*(X2146='Raw Period DMR Data'!C:C),0),1), "N/A")</f>
        <v>N/A</v>
      </c>
      <c r="W2146" s="28" t="s">
        <v>1463</v>
      </c>
      <c r="X2146" s="28" t="s">
        <v>2161</v>
      </c>
      <c r="Y2146" s="28" t="s">
        <v>2162</v>
      </c>
      <c r="Z2146" s="61"/>
      <c r="AB2146" s="28" t="s">
        <v>7355</v>
      </c>
      <c r="AC2146" s="28" t="s">
        <v>1466</v>
      </c>
    </row>
    <row r="2147" spans="1:29" x14ac:dyDescent="0.25">
      <c r="A2147" s="61">
        <v>110070544905</v>
      </c>
      <c r="B2147" s="28">
        <v>2022</v>
      </c>
      <c r="C2147" s="68">
        <f t="shared" si="34"/>
        <v>44562</v>
      </c>
      <c r="D2147" s="28" t="s">
        <v>1315</v>
      </c>
      <c r="E2147" s="28" t="s">
        <v>2160</v>
      </c>
      <c r="F2147" s="28" t="s">
        <v>1316</v>
      </c>
      <c r="G2147" s="28" t="s">
        <v>294</v>
      </c>
      <c r="H2147" s="28">
        <v>22801</v>
      </c>
      <c r="I2147" s="28">
        <v>38.400409000000003</v>
      </c>
      <c r="J2147" s="28">
        <v>-78.895222000000004</v>
      </c>
      <c r="L2147" s="61">
        <v>110070544905</v>
      </c>
      <c r="M2147" s="28" t="s">
        <v>6750</v>
      </c>
      <c r="N2147" s="28">
        <v>4953</v>
      </c>
      <c r="O2147" s="28" t="str">
        <f>IFERROR(VLOOKUP(N2147, 'SIC &amp; NAICS Codes'!A:B, 2, FALSE), "")</f>
        <v>Refuse Systems (hazardous waste treatment and disposal)</v>
      </c>
      <c r="S2147" s="28">
        <v>4.6002852528499998E-2</v>
      </c>
      <c r="T2147" s="315">
        <f>_xlfn.MAXIFS('Raw Period DMR Data'!$O:$O,'Raw Period DMR Data'!$A:$A,'Raw Annual DMR Data_2021-2024'!#REF!,'Raw Period DMR Data'!$C:$C,X2147)/S2147</f>
        <v>0</v>
      </c>
      <c r="U2147" s="28" t="str">
        <f>+IF(COUNTIFS('Raw Period DMR Data'!$A:$A,B2147,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47" s="28" t="str" cm="1">
        <f t="array" ref="V2147">IFERROR(INDEX('Raw Period DMR Data'!N:N,MATCH(1,(B2147='Raw Period DMR Data'!$A:$A)*(U2147='Raw Period DMR Data'!M:M)*(X2147='Raw Period DMR Data'!C:C),0),1), "N/A")</f>
        <v>N/A</v>
      </c>
      <c r="W2147" s="28" t="s">
        <v>1463</v>
      </c>
      <c r="X2147" s="28" t="s">
        <v>2161</v>
      </c>
      <c r="Y2147" s="28" t="s">
        <v>2162</v>
      </c>
      <c r="Z2147" s="61"/>
      <c r="AB2147" s="28" t="s">
        <v>7355</v>
      </c>
      <c r="AC2147" s="28" t="s">
        <v>1466</v>
      </c>
    </row>
    <row r="2148" spans="1:29" x14ac:dyDescent="0.25">
      <c r="A2148" s="61">
        <v>110070544905</v>
      </c>
      <c r="B2148" s="28">
        <v>2023</v>
      </c>
      <c r="C2148" s="68">
        <f t="shared" si="34"/>
        <v>44927</v>
      </c>
      <c r="D2148" s="28" t="s">
        <v>1315</v>
      </c>
      <c r="E2148" s="28" t="s">
        <v>2160</v>
      </c>
      <c r="F2148" s="28" t="s">
        <v>1316</v>
      </c>
      <c r="G2148" s="28" t="s">
        <v>294</v>
      </c>
      <c r="H2148" s="28">
        <v>22801</v>
      </c>
      <c r="I2148" s="28">
        <v>38.400409000000003</v>
      </c>
      <c r="J2148" s="28">
        <v>-78.895222000000004</v>
      </c>
      <c r="L2148" s="61">
        <v>110070544905</v>
      </c>
      <c r="M2148" s="28" t="s">
        <v>6750</v>
      </c>
      <c r="N2148" s="28">
        <v>4953</v>
      </c>
      <c r="O2148" s="28" t="str">
        <f>IFERROR(VLOOKUP(N2148, 'SIC &amp; NAICS Codes'!A:B, 2, FALSE), "")</f>
        <v>Refuse Systems (hazardous waste treatment and disposal)</v>
      </c>
      <c r="S2148" s="28">
        <v>1.8750545943500001E-2</v>
      </c>
      <c r="T2148" s="315">
        <f>_xlfn.MAXIFS('Raw Period DMR Data'!$O:$O,'Raw Period DMR Data'!$A:$A,'Raw Annual DMR Data_2021-2024'!#REF!,'Raw Period DMR Data'!$C:$C,X2148)/S2148</f>
        <v>0</v>
      </c>
      <c r="U2148" s="28" t="str">
        <f>+IF(COUNTIFS('Raw Period DMR Data'!$A:$A,B2148,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48" s="28" t="str" cm="1">
        <f t="array" ref="V2148">IFERROR(INDEX('Raw Period DMR Data'!N:N,MATCH(1,(B2148='Raw Period DMR Data'!$A:$A)*(U2148='Raw Period DMR Data'!M:M)*(X2148='Raw Period DMR Data'!C:C),0),1), "N/A")</f>
        <v>N/A</v>
      </c>
      <c r="W2148" s="28" t="s">
        <v>1463</v>
      </c>
      <c r="X2148" s="28" t="s">
        <v>2161</v>
      </c>
      <c r="Y2148" s="28" t="s">
        <v>2162</v>
      </c>
      <c r="Z2148" s="61"/>
      <c r="AB2148" s="28" t="s">
        <v>7355</v>
      </c>
      <c r="AC2148" s="28" t="s">
        <v>1466</v>
      </c>
    </row>
    <row r="2149" spans="1:29" x14ac:dyDescent="0.25">
      <c r="A2149" s="61">
        <v>110070544905</v>
      </c>
      <c r="B2149" s="28">
        <v>2024</v>
      </c>
      <c r="C2149" s="68">
        <f t="shared" si="34"/>
        <v>45292</v>
      </c>
      <c r="D2149" s="28" t="s">
        <v>1315</v>
      </c>
      <c r="E2149" s="28" t="s">
        <v>2160</v>
      </c>
      <c r="F2149" s="28" t="s">
        <v>1316</v>
      </c>
      <c r="G2149" s="28" t="s">
        <v>294</v>
      </c>
      <c r="H2149" s="28">
        <v>22801</v>
      </c>
      <c r="I2149" s="28">
        <v>38.400409000000003</v>
      </c>
      <c r="J2149" s="28">
        <v>-78.895222000000004</v>
      </c>
      <c r="L2149" s="61">
        <v>110070544905</v>
      </c>
      <c r="M2149" s="28" t="s">
        <v>6750</v>
      </c>
      <c r="N2149" s="28">
        <v>4953</v>
      </c>
      <c r="O2149" s="28" t="str">
        <f>IFERROR(VLOOKUP(N2149, 'SIC &amp; NAICS Codes'!A:B, 2, FALSE), "")</f>
        <v>Refuse Systems (hazardous waste treatment and disposal)</v>
      </c>
      <c r="S2149" s="28">
        <v>1.2155906000000001E-3</v>
      </c>
      <c r="T2149" s="315">
        <f>_xlfn.MAXIFS('Raw Period DMR Data'!$O:$O,'Raw Period DMR Data'!$A:$A,'Raw Annual DMR Data_2021-2024'!#REF!,'Raw Period DMR Data'!$C:$C,X2149)/S2149</f>
        <v>0</v>
      </c>
      <c r="U2149" s="28" t="str">
        <f>+IF(COUNTIFS('Raw Period DMR Data'!$A:$A,B2149,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49" s="28" t="str" cm="1">
        <f t="array" ref="V2149">IFERROR(INDEX('Raw Period DMR Data'!N:N,MATCH(1,(B2149='Raw Period DMR Data'!$A:$A)*(U2149='Raw Period DMR Data'!M:M)*(X2149='Raw Period DMR Data'!C:C),0),1), "N/A")</f>
        <v>N/A</v>
      </c>
      <c r="W2149" s="28" t="s">
        <v>1463</v>
      </c>
      <c r="X2149" s="28" t="s">
        <v>2161</v>
      </c>
      <c r="Y2149" s="28" t="s">
        <v>2162</v>
      </c>
      <c r="Z2149" s="61"/>
      <c r="AB2149" s="28" t="s">
        <v>7355</v>
      </c>
      <c r="AC2149" s="28" t="s">
        <v>1466</v>
      </c>
    </row>
    <row r="2150" spans="1:29" x14ac:dyDescent="0.25">
      <c r="A2150" s="61">
        <v>110064634686</v>
      </c>
      <c r="B2150" s="28">
        <v>2023</v>
      </c>
      <c r="C2150" s="68">
        <f t="shared" si="34"/>
        <v>44927</v>
      </c>
      <c r="D2150" s="28" t="s">
        <v>1317</v>
      </c>
      <c r="E2150" s="28" t="s">
        <v>2163</v>
      </c>
      <c r="F2150" s="28" t="s">
        <v>1133</v>
      </c>
      <c r="G2150" s="28" t="s">
        <v>491</v>
      </c>
      <c r="H2150" s="28" t="s">
        <v>6950</v>
      </c>
      <c r="I2150" s="28">
        <v>40.094276999999998</v>
      </c>
      <c r="J2150" s="28">
        <v>-74.865442000000002</v>
      </c>
      <c r="L2150" s="61">
        <v>110064634686</v>
      </c>
      <c r="M2150" s="28" t="s">
        <v>265</v>
      </c>
      <c r="N2150" s="28">
        <v>2821</v>
      </c>
      <c r="O2150" s="28" t="str">
        <f>IFERROR(VLOOKUP(N2150, 'SIC &amp; NAICS Codes'!A:B, 2, FALSE), "")</f>
        <v>Plastics Materials, Synthetic and Resins, and Nonvulcanizable Elastomers</v>
      </c>
      <c r="S2150" s="28">
        <v>0.38862400000000002</v>
      </c>
      <c r="T2150" s="315">
        <f>_xlfn.MAXIFS('Raw Period DMR Data'!$O:$O,'Raw Period DMR Data'!$A:$A,'Raw Annual DMR Data_2021-2024'!#REF!,'Raw Period DMR Data'!$C:$C,X2150)/S2150</f>
        <v>0</v>
      </c>
      <c r="U2150" s="28" t="str">
        <f>+IF(COUNTIFS('Raw Period DMR Data'!$A:$A,B2150,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50" s="28" t="str" cm="1">
        <f t="array" ref="V2150">IFERROR(INDEX('Raw Period DMR Data'!N:N,MATCH(1,(B2150='Raw Period DMR Data'!$A:$A)*(U2150='Raw Period DMR Data'!M:M)*(X2150='Raw Period DMR Data'!C:C),0),1), "N/A")</f>
        <v>N/A</v>
      </c>
      <c r="W2150" s="28" t="s">
        <v>1463</v>
      </c>
      <c r="X2150" s="28" t="s">
        <v>2164</v>
      </c>
      <c r="Y2150" s="28" t="s">
        <v>2165</v>
      </c>
      <c r="Z2150" s="61">
        <v>2040201000476</v>
      </c>
      <c r="AB2150" s="28" t="s">
        <v>7355</v>
      </c>
      <c r="AC2150" s="28" t="s">
        <v>1466</v>
      </c>
    </row>
    <row r="2151" spans="1:29" x14ac:dyDescent="0.25">
      <c r="A2151" s="61">
        <v>110064634686</v>
      </c>
      <c r="B2151" s="28">
        <v>2021</v>
      </c>
      <c r="C2151" s="68">
        <f t="shared" si="34"/>
        <v>44197</v>
      </c>
      <c r="D2151" s="28" t="s">
        <v>1317</v>
      </c>
      <c r="E2151" s="28" t="s">
        <v>2163</v>
      </c>
      <c r="F2151" s="28" t="s">
        <v>1133</v>
      </c>
      <c r="G2151" s="28" t="s">
        <v>491</v>
      </c>
      <c r="H2151" s="28" t="s">
        <v>6950</v>
      </c>
      <c r="I2151" s="28">
        <v>40.094276999999998</v>
      </c>
      <c r="J2151" s="28">
        <v>-74.865442000000002</v>
      </c>
      <c r="L2151" s="61">
        <v>110064634686</v>
      </c>
      <c r="M2151" s="28" t="s">
        <v>265</v>
      </c>
      <c r="N2151" s="28">
        <v>2821</v>
      </c>
      <c r="O2151" s="28" t="str">
        <f>IFERROR(VLOOKUP(N2151, 'SIC &amp; NAICS Codes'!A:B, 2, FALSE), "")</f>
        <v>Plastics Materials, Synthetic and Resins, and Nonvulcanizable Elastomers</v>
      </c>
      <c r="S2151" s="28">
        <v>0.3698284</v>
      </c>
      <c r="T2151" s="315">
        <f>_xlfn.MAXIFS('Raw Period DMR Data'!$O:$O,'Raw Period DMR Data'!$A:$A,'Raw Annual DMR Data_2021-2024'!#REF!,'Raw Period DMR Data'!$C:$C,X2151)/S2151</f>
        <v>0</v>
      </c>
      <c r="U2151" s="28" t="str">
        <f>+IF(COUNTIFS('Raw Period DMR Data'!$A:$A,B2151,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51" s="28" t="str" cm="1">
        <f t="array" ref="V2151">IFERROR(INDEX('Raw Period DMR Data'!N:N,MATCH(1,(B2151='Raw Period DMR Data'!$A:$A)*(U2151='Raw Period DMR Data'!M:M)*(X2151='Raw Period DMR Data'!C:C),0),1), "N/A")</f>
        <v>N/A</v>
      </c>
      <c r="W2151" s="28" t="s">
        <v>1463</v>
      </c>
      <c r="X2151" s="28" t="s">
        <v>2164</v>
      </c>
      <c r="Y2151" s="28" t="s">
        <v>2165</v>
      </c>
      <c r="Z2151" s="61">
        <v>2040201000476</v>
      </c>
      <c r="AB2151" s="28" t="s">
        <v>7355</v>
      </c>
      <c r="AC2151" s="28" t="s">
        <v>1466</v>
      </c>
    </row>
    <row r="2152" spans="1:29" x14ac:dyDescent="0.25">
      <c r="A2152" s="61">
        <v>110064634686</v>
      </c>
      <c r="B2152" s="28">
        <v>2024</v>
      </c>
      <c r="C2152" s="68">
        <f t="shared" si="34"/>
        <v>45292</v>
      </c>
      <c r="D2152" s="28" t="s">
        <v>1317</v>
      </c>
      <c r="E2152" s="28" t="s">
        <v>2163</v>
      </c>
      <c r="F2152" s="28" t="s">
        <v>1133</v>
      </c>
      <c r="G2152" s="28" t="s">
        <v>491</v>
      </c>
      <c r="H2152" s="28" t="s">
        <v>6950</v>
      </c>
      <c r="I2152" s="28">
        <v>40.094276999999998</v>
      </c>
      <c r="J2152" s="28">
        <v>-74.865442000000002</v>
      </c>
      <c r="L2152" s="61">
        <v>110064634686</v>
      </c>
      <c r="M2152" s="28" t="s">
        <v>265</v>
      </c>
      <c r="N2152" s="28">
        <v>2821</v>
      </c>
      <c r="O2152" s="28" t="str">
        <f>IFERROR(VLOOKUP(N2152, 'SIC &amp; NAICS Codes'!A:B, 2, FALSE), "")</f>
        <v>Plastics Materials, Synthetic and Resins, and Nonvulcanizable Elastomers</v>
      </c>
      <c r="S2152" s="28">
        <v>0.35770659999999999</v>
      </c>
      <c r="T2152" s="315">
        <f>_xlfn.MAXIFS('Raw Period DMR Data'!$O:$O,'Raw Period DMR Data'!$A:$A,'Raw Annual DMR Data_2021-2024'!#REF!,'Raw Period DMR Data'!$C:$C,X2152)/S2152</f>
        <v>0</v>
      </c>
      <c r="U2152" s="28" t="str">
        <f>+IF(COUNTIFS('Raw Period DMR Data'!$A:$A,B2152,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52" s="28" t="str" cm="1">
        <f t="array" ref="V2152">IFERROR(INDEX('Raw Period DMR Data'!N:N,MATCH(1,(B2152='Raw Period DMR Data'!$A:$A)*(U2152='Raw Period DMR Data'!M:M)*(X2152='Raw Period DMR Data'!C:C),0),1), "N/A")</f>
        <v>N/A</v>
      </c>
      <c r="W2152" s="28" t="s">
        <v>1463</v>
      </c>
      <c r="X2152" s="28" t="s">
        <v>2164</v>
      </c>
      <c r="Y2152" s="28" t="s">
        <v>2165</v>
      </c>
      <c r="Z2152" s="61">
        <v>2040201000476</v>
      </c>
      <c r="AB2152" s="28" t="s">
        <v>7355</v>
      </c>
      <c r="AC2152" s="28" t="s">
        <v>1466</v>
      </c>
    </row>
    <row r="2153" spans="1:29" x14ac:dyDescent="0.25">
      <c r="A2153" s="61">
        <v>110064634686</v>
      </c>
      <c r="B2153" s="28">
        <v>2022</v>
      </c>
      <c r="C2153" s="68">
        <f t="shared" si="34"/>
        <v>44562</v>
      </c>
      <c r="D2153" s="28" t="s">
        <v>1317</v>
      </c>
      <c r="E2153" s="28" t="s">
        <v>2163</v>
      </c>
      <c r="F2153" s="28" t="s">
        <v>1133</v>
      </c>
      <c r="G2153" s="28" t="s">
        <v>491</v>
      </c>
      <c r="H2153" s="28" t="s">
        <v>6950</v>
      </c>
      <c r="I2153" s="28">
        <v>40.094276999999998</v>
      </c>
      <c r="J2153" s="28">
        <v>-74.865442000000002</v>
      </c>
      <c r="L2153" s="61">
        <v>110064634686</v>
      </c>
      <c r="M2153" s="28" t="s">
        <v>265</v>
      </c>
      <c r="N2153" s="28">
        <v>2821</v>
      </c>
      <c r="O2153" s="28" t="str">
        <f>IFERROR(VLOOKUP(N2153, 'SIC &amp; NAICS Codes'!A:B, 2, FALSE), "")</f>
        <v>Plastics Materials, Synthetic and Resins, and Nonvulcanizable Elastomers</v>
      </c>
      <c r="S2153" s="28">
        <v>0.32921810000000001</v>
      </c>
      <c r="T2153" s="315">
        <f>_xlfn.MAXIFS('Raw Period DMR Data'!$O:$O,'Raw Period DMR Data'!$A:$A,'Raw Annual DMR Data_2021-2024'!#REF!,'Raw Period DMR Data'!$C:$C,X2153)/S2153</f>
        <v>0</v>
      </c>
      <c r="U2153" s="28" t="str">
        <f>+IF(COUNTIFS('Raw Period DMR Data'!$A:$A,B2153,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53" s="28" t="str" cm="1">
        <f t="array" ref="V2153">IFERROR(INDEX('Raw Period DMR Data'!N:N,MATCH(1,(B2153='Raw Period DMR Data'!$A:$A)*(U2153='Raw Period DMR Data'!M:M)*(X2153='Raw Period DMR Data'!C:C),0),1), "N/A")</f>
        <v>N/A</v>
      </c>
      <c r="W2153" s="28" t="s">
        <v>1463</v>
      </c>
      <c r="X2153" s="28" t="s">
        <v>2164</v>
      </c>
      <c r="Y2153" s="28" t="s">
        <v>2165</v>
      </c>
      <c r="Z2153" s="61">
        <v>2040201000476</v>
      </c>
      <c r="AB2153" s="28" t="s">
        <v>7355</v>
      </c>
      <c r="AC2153" s="28" t="s">
        <v>1466</v>
      </c>
    </row>
    <row r="2154" spans="1:29" x14ac:dyDescent="0.25">
      <c r="A2154" s="61">
        <v>110000719045</v>
      </c>
      <c r="B2154" s="28">
        <v>2021</v>
      </c>
      <c r="C2154" s="68">
        <f t="shared" si="34"/>
        <v>44197</v>
      </c>
      <c r="D2154" s="28" t="s">
        <v>1319</v>
      </c>
      <c r="E2154" s="28" t="s">
        <v>2167</v>
      </c>
      <c r="F2154" s="28" t="s">
        <v>1320</v>
      </c>
      <c r="G2154" s="28" t="s">
        <v>324</v>
      </c>
      <c r="H2154" s="28">
        <v>42629</v>
      </c>
      <c r="I2154" s="28">
        <v>36.946111000000002</v>
      </c>
      <c r="J2154" s="28">
        <v>-85.020832999999996</v>
      </c>
      <c r="L2154" s="61">
        <v>110000719045</v>
      </c>
      <c r="M2154" s="28" t="s">
        <v>263</v>
      </c>
      <c r="N2154" s="28">
        <v>4952</v>
      </c>
      <c r="O2154" s="28" t="str">
        <f>IFERROR(VLOOKUP(N2154, 'SIC &amp; NAICS Codes'!A:B, 2, FALSE), "")</f>
        <v>Sewerage Systems</v>
      </c>
      <c r="S2154" s="28">
        <v>0.43172656250000002</v>
      </c>
      <c r="T2154" s="315">
        <f>_xlfn.MAXIFS('Raw Period DMR Data'!$O:$O,'Raw Period DMR Data'!$A:$A,'Raw Annual DMR Data_2021-2024'!#REF!,'Raw Period DMR Data'!$C:$C,X2154)/S2154</f>
        <v>0</v>
      </c>
      <c r="U2154" s="28" t="str">
        <f>+IF(COUNTIFS('Raw Period DMR Data'!$A:$A,B2154,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54" s="28" t="str" cm="1">
        <f t="array" ref="V2154">IFERROR(INDEX('Raw Period DMR Data'!N:N,MATCH(1,(B2154='Raw Period DMR Data'!$A:$A)*(U2154='Raw Period DMR Data'!M:M)*(X2154='Raw Period DMR Data'!C:C),0),1), "N/A")</f>
        <v>N/A</v>
      </c>
      <c r="W2154" s="28" t="s">
        <v>1463</v>
      </c>
      <c r="X2154" s="28" t="s">
        <v>2168</v>
      </c>
      <c r="Y2154" s="28" t="s">
        <v>2169</v>
      </c>
      <c r="Z2154" s="61">
        <v>5130103010237</v>
      </c>
      <c r="AA2154" s="28"/>
      <c r="AB2154" s="28" t="s">
        <v>7355</v>
      </c>
      <c r="AC2154" s="28" t="s">
        <v>263</v>
      </c>
    </row>
    <row r="2155" spans="1:29" x14ac:dyDescent="0.25">
      <c r="A2155" s="61">
        <v>110000736730</v>
      </c>
      <c r="B2155" s="28">
        <v>2022</v>
      </c>
      <c r="C2155" s="68">
        <f t="shared" si="34"/>
        <v>44562</v>
      </c>
      <c r="D2155" s="28" t="s">
        <v>1321</v>
      </c>
      <c r="E2155" s="28" t="s">
        <v>2171</v>
      </c>
      <c r="F2155" s="28" t="s">
        <v>626</v>
      </c>
      <c r="G2155" s="28" t="s">
        <v>324</v>
      </c>
      <c r="H2155" s="28">
        <v>42276</v>
      </c>
      <c r="I2155" s="28">
        <v>36.856732000000001</v>
      </c>
      <c r="J2155" s="28">
        <v>-86.889048000000003</v>
      </c>
      <c r="L2155" s="61">
        <v>110000736730</v>
      </c>
      <c r="M2155" s="28" t="s">
        <v>263</v>
      </c>
      <c r="N2155" s="28">
        <v>4952</v>
      </c>
      <c r="O2155" s="28" t="str">
        <f>IFERROR(VLOOKUP(N2155, 'SIC &amp; NAICS Codes'!A:B, 2, FALSE), "")</f>
        <v>Sewerage Systems</v>
      </c>
      <c r="S2155" s="28">
        <v>3.8199166250000001E-3</v>
      </c>
      <c r="T2155" s="315">
        <f>_xlfn.MAXIFS('Raw Period DMR Data'!$O:$O,'Raw Period DMR Data'!$A:$A,'Raw Annual DMR Data_2021-2024'!#REF!,'Raw Period DMR Data'!$C:$C,X2155)/S2155</f>
        <v>0</v>
      </c>
      <c r="U2155" s="28" t="str">
        <f>+IF(COUNTIFS('Raw Period DMR Data'!$A:$A,B2155,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55" s="28" t="str" cm="1">
        <f t="array" ref="V2155">IFERROR(INDEX('Raw Period DMR Data'!N:N,MATCH(1,(B2155='Raw Period DMR Data'!$A:$A)*(U2155='Raw Period DMR Data'!M:M)*(X2155='Raw Period DMR Data'!C:C),0),1), "N/A")</f>
        <v>N/A</v>
      </c>
      <c r="W2155" s="28" t="s">
        <v>1463</v>
      </c>
      <c r="X2155" s="28" t="s">
        <v>2172</v>
      </c>
      <c r="Y2155" s="28" t="s">
        <v>1760</v>
      </c>
      <c r="Z2155" s="61">
        <v>5110003000994</v>
      </c>
      <c r="AB2155" s="28" t="s">
        <v>7355</v>
      </c>
      <c r="AC2155" s="28" t="s">
        <v>263</v>
      </c>
    </row>
    <row r="2156" spans="1:29" x14ac:dyDescent="0.25">
      <c r="A2156" s="61">
        <v>110000736730</v>
      </c>
      <c r="B2156" s="28">
        <v>2024</v>
      </c>
      <c r="C2156" s="68">
        <f t="shared" si="34"/>
        <v>45292</v>
      </c>
      <c r="D2156" s="28" t="s">
        <v>1321</v>
      </c>
      <c r="E2156" s="28" t="s">
        <v>2171</v>
      </c>
      <c r="F2156" s="28" t="s">
        <v>626</v>
      </c>
      <c r="G2156" s="28" t="s">
        <v>324</v>
      </c>
      <c r="H2156" s="28">
        <v>42276</v>
      </c>
      <c r="I2156" s="28">
        <v>36.856732000000001</v>
      </c>
      <c r="J2156" s="28">
        <v>-86.889048000000003</v>
      </c>
      <c r="L2156" s="61">
        <v>110000736730</v>
      </c>
      <c r="M2156" s="28" t="s">
        <v>263</v>
      </c>
      <c r="N2156" s="28">
        <v>4952</v>
      </c>
      <c r="O2156" s="28" t="str">
        <f>IFERROR(VLOOKUP(N2156, 'SIC &amp; NAICS Codes'!A:B, 2, FALSE), "")</f>
        <v>Sewerage Systems</v>
      </c>
      <c r="S2156" s="28">
        <v>1.2178142874999999E-3</v>
      </c>
      <c r="T2156" s="315">
        <f>_xlfn.MAXIFS('Raw Period DMR Data'!$O:$O,'Raw Period DMR Data'!$A:$A,'Raw Annual DMR Data_2021-2024'!#REF!,'Raw Period DMR Data'!$C:$C,X2156)/S2156</f>
        <v>0</v>
      </c>
      <c r="U2156" s="28" t="str">
        <f>+IF(COUNTIFS('Raw Period DMR Data'!$A:$A,B2156,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56" s="28" t="str" cm="1">
        <f t="array" ref="V2156">IFERROR(INDEX('Raw Period DMR Data'!N:N,MATCH(1,(B2156='Raw Period DMR Data'!$A:$A)*(U2156='Raw Period DMR Data'!M:M)*(X2156='Raw Period DMR Data'!C:C),0),1), "N/A")</f>
        <v>N/A</v>
      </c>
      <c r="W2156" s="28" t="s">
        <v>1463</v>
      </c>
      <c r="X2156" s="28" t="s">
        <v>2172</v>
      </c>
      <c r="Y2156" s="28" t="s">
        <v>1760</v>
      </c>
      <c r="Z2156" s="61">
        <v>5110003000994</v>
      </c>
      <c r="AB2156" s="28" t="s">
        <v>7355</v>
      </c>
      <c r="AC2156" s="28" t="s">
        <v>263</v>
      </c>
    </row>
    <row r="2157" spans="1:29" x14ac:dyDescent="0.25">
      <c r="A2157" s="61">
        <v>110000736730</v>
      </c>
      <c r="B2157" s="28">
        <v>2021</v>
      </c>
      <c r="C2157" s="68">
        <f t="shared" si="34"/>
        <v>44197</v>
      </c>
      <c r="D2157" s="28" t="s">
        <v>1321</v>
      </c>
      <c r="E2157" s="28" t="s">
        <v>2171</v>
      </c>
      <c r="F2157" s="28" t="s">
        <v>626</v>
      </c>
      <c r="G2157" s="28" t="s">
        <v>324</v>
      </c>
      <c r="H2157" s="28">
        <v>42276</v>
      </c>
      <c r="I2157" s="28">
        <v>36.856732000000001</v>
      </c>
      <c r="J2157" s="28">
        <v>-86.889048000000003</v>
      </c>
      <c r="L2157" s="61">
        <v>110000736730</v>
      </c>
      <c r="M2157" s="28" t="s">
        <v>263</v>
      </c>
      <c r="N2157" s="28">
        <v>4952</v>
      </c>
      <c r="O2157" s="28" t="str">
        <f>IFERROR(VLOOKUP(N2157, 'SIC &amp; NAICS Codes'!A:B, 2, FALSE), "")</f>
        <v>Sewerage Systems</v>
      </c>
      <c r="S2157" s="28">
        <v>8.0819212500000005E-4</v>
      </c>
      <c r="T2157" s="315">
        <f>_xlfn.MAXIFS('Raw Period DMR Data'!$O:$O,'Raw Period DMR Data'!$A:$A,'Raw Annual DMR Data_2021-2024'!#REF!,'Raw Period DMR Data'!$C:$C,X2157)/S2157</f>
        <v>0</v>
      </c>
      <c r="U2157" s="28" t="str">
        <f>+IF(COUNTIFS('Raw Period DMR Data'!$A:$A,B2157,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57" s="28" t="str" cm="1">
        <f t="array" ref="V2157">IFERROR(INDEX('Raw Period DMR Data'!N:N,MATCH(1,(B2157='Raw Period DMR Data'!$A:$A)*(U2157='Raw Period DMR Data'!M:M)*(X2157='Raw Period DMR Data'!C:C),0),1), "N/A")</f>
        <v>N/A</v>
      </c>
      <c r="W2157" s="28" t="s">
        <v>1463</v>
      </c>
      <c r="X2157" s="28" t="s">
        <v>2172</v>
      </c>
      <c r="Y2157" s="28" t="s">
        <v>1760</v>
      </c>
      <c r="Z2157" s="61">
        <v>5110003000994</v>
      </c>
      <c r="AA2157" s="28"/>
      <c r="AB2157" s="28" t="s">
        <v>7355</v>
      </c>
      <c r="AC2157" s="28" t="s">
        <v>263</v>
      </c>
    </row>
    <row r="2158" spans="1:29" x14ac:dyDescent="0.25">
      <c r="A2158" s="61">
        <v>110000736730</v>
      </c>
      <c r="B2158" s="28">
        <v>2023</v>
      </c>
      <c r="C2158" s="68">
        <f t="shared" si="34"/>
        <v>44927</v>
      </c>
      <c r="D2158" s="28" t="s">
        <v>1321</v>
      </c>
      <c r="E2158" s="28" t="s">
        <v>2171</v>
      </c>
      <c r="F2158" s="28" t="s">
        <v>626</v>
      </c>
      <c r="G2158" s="28" t="s">
        <v>324</v>
      </c>
      <c r="H2158" s="28">
        <v>42276</v>
      </c>
      <c r="I2158" s="28">
        <v>36.856732000000001</v>
      </c>
      <c r="J2158" s="28">
        <v>-86.889048000000003</v>
      </c>
      <c r="L2158" s="61">
        <v>110000736730</v>
      </c>
      <c r="M2158" s="28" t="s">
        <v>263</v>
      </c>
      <c r="N2158" s="28">
        <v>4952</v>
      </c>
      <c r="O2158" s="28" t="str">
        <f>IFERROR(VLOOKUP(N2158, 'SIC &amp; NAICS Codes'!A:B, 2, FALSE), "")</f>
        <v>Sewerage Systems</v>
      </c>
      <c r="S2158" s="28">
        <v>4.6557392499999999E-4</v>
      </c>
      <c r="T2158" s="315">
        <f>_xlfn.MAXIFS('Raw Period DMR Data'!$O:$O,'Raw Period DMR Data'!$A:$A,'Raw Annual DMR Data_2021-2024'!#REF!,'Raw Period DMR Data'!$C:$C,X2158)/S2158</f>
        <v>0</v>
      </c>
      <c r="U2158" s="28" t="str">
        <f>+IF(COUNTIFS('Raw Period DMR Data'!$A:$A,B2158,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58" s="28" t="str" cm="1">
        <f t="array" ref="V2158">IFERROR(INDEX('Raw Period DMR Data'!N:N,MATCH(1,(B2158='Raw Period DMR Data'!$A:$A)*(U2158='Raw Period DMR Data'!M:M)*(X2158='Raw Period DMR Data'!C:C),0),1), "N/A")</f>
        <v>N/A</v>
      </c>
      <c r="W2158" s="28" t="s">
        <v>1463</v>
      </c>
      <c r="X2158" s="28" t="s">
        <v>2172</v>
      </c>
      <c r="Y2158" s="28" t="s">
        <v>1760</v>
      </c>
      <c r="Z2158" s="61" t="s">
        <v>7350</v>
      </c>
      <c r="AB2158" s="28" t="s">
        <v>7355</v>
      </c>
      <c r="AC2158" s="28" t="s">
        <v>263</v>
      </c>
    </row>
    <row r="2159" spans="1:29" x14ac:dyDescent="0.25">
      <c r="A2159" s="61">
        <v>110039998214</v>
      </c>
      <c r="B2159" s="28">
        <v>2021</v>
      </c>
      <c r="C2159" s="68">
        <f t="shared" si="34"/>
        <v>44197</v>
      </c>
      <c r="D2159" s="28" t="s">
        <v>1322</v>
      </c>
      <c r="E2159" s="28" t="s">
        <v>2173</v>
      </c>
      <c r="F2159" s="28" t="s">
        <v>1273</v>
      </c>
      <c r="G2159" s="28" t="s">
        <v>324</v>
      </c>
      <c r="H2159" s="28">
        <v>42301</v>
      </c>
      <c r="I2159" s="28">
        <v>37.790278000000001</v>
      </c>
      <c r="J2159" s="28">
        <v>-87.140277999999995</v>
      </c>
      <c r="L2159" s="61">
        <v>110039998214</v>
      </c>
      <c r="M2159" s="28" t="s">
        <v>263</v>
      </c>
      <c r="N2159" s="28">
        <v>4952</v>
      </c>
      <c r="O2159" s="28" t="str">
        <f>IFERROR(VLOOKUP(N2159, 'SIC &amp; NAICS Codes'!A:B, 2, FALSE), "")</f>
        <v>Sewerage Systems</v>
      </c>
      <c r="S2159" s="28">
        <v>29.688972249999999</v>
      </c>
      <c r="T2159" s="315">
        <f>_xlfn.MAXIFS('Raw Period DMR Data'!$O:$O,'Raw Period DMR Data'!$A:$A,'Raw Annual DMR Data_2021-2024'!B2309,'Raw Period DMR Data'!$C:$C,X2159)/S2159</f>
        <v>0</v>
      </c>
      <c r="U2159" s="28" t="str">
        <f>+IF(COUNTIFS('Raw Period DMR Data'!$A:$A,B2159, 'Raw Period DMR Data'!C:C,'Raw Annual DMR Data_2021-2024'!X2309, 'Raw Period DMR Data'!M:M, "&gt;0")&gt;0,_xlfn.MAXIFS('Raw Period DMR Data'!M:M,'Raw Period DMR Data'!$A:$A,'Raw Annual DMR Data_2021-2024'!B2309,'Raw Period DMR Data'!C:C,'Raw Annual DMR Data_2021-2024'!X2309), "N/A - Period DMR Data Not Available")</f>
        <v>N/A - Period DMR Data Not Available</v>
      </c>
      <c r="V2159" s="28" t="str" cm="1">
        <f t="array" ref="V2159">IFERROR(INDEX('Raw Period DMR Data'!N:N,MATCH(1,(B2159='Raw Period DMR Data'!$A:$A)*(U2159='Raw Period DMR Data'!M:M)*(X2159='Raw Period DMR Data'!C:C),0),1), "N/A")</f>
        <v>N/A</v>
      </c>
      <c r="W2159" s="28" t="s">
        <v>1463</v>
      </c>
      <c r="X2159" s="28" t="s">
        <v>2174</v>
      </c>
      <c r="Y2159" s="28" t="s">
        <v>830</v>
      </c>
      <c r="Z2159" s="61">
        <v>5140201000008</v>
      </c>
      <c r="AA2159" s="28"/>
      <c r="AB2159" s="28" t="s">
        <v>7355</v>
      </c>
      <c r="AC2159" s="28" t="s">
        <v>263</v>
      </c>
    </row>
    <row r="2160" spans="1:29" x14ac:dyDescent="0.25">
      <c r="A2160" s="61">
        <v>110039998214</v>
      </c>
      <c r="B2160" s="28">
        <v>2023</v>
      </c>
      <c r="C2160" s="68">
        <f t="shared" si="34"/>
        <v>44927</v>
      </c>
      <c r="D2160" s="28" t="s">
        <v>1322</v>
      </c>
      <c r="E2160" s="28" t="s">
        <v>2173</v>
      </c>
      <c r="F2160" s="28" t="s">
        <v>1273</v>
      </c>
      <c r="G2160" s="28" t="s">
        <v>324</v>
      </c>
      <c r="H2160" s="28">
        <v>42301</v>
      </c>
      <c r="I2160" s="28">
        <v>37.790278000000001</v>
      </c>
      <c r="J2160" s="28">
        <v>-87.140277999999995</v>
      </c>
      <c r="L2160" s="61">
        <v>110039998214</v>
      </c>
      <c r="M2160" s="28" t="s">
        <v>263</v>
      </c>
      <c r="N2160" s="28">
        <v>4952</v>
      </c>
      <c r="O2160" s="28" t="str">
        <f>IFERROR(VLOOKUP(N2160, 'SIC &amp; NAICS Codes'!A:B, 2, FALSE), "")</f>
        <v>Sewerage Systems</v>
      </c>
      <c r="S2160" s="28">
        <v>9.6015987500000008</v>
      </c>
      <c r="T2160" s="315">
        <f>_xlfn.MAXIFS('Raw Period DMR Data'!$O:$O,'Raw Period DMR Data'!$A:$A,'Raw Annual DMR Data_2021-2024'!B2364,'Raw Period DMR Data'!$C:$C,X2160)/S2160</f>
        <v>0</v>
      </c>
      <c r="U2160" s="28" t="str">
        <f>+IF(COUNTIFS('Raw Period DMR Data'!$A:$A,B2160, 'Raw Period DMR Data'!C:C,'Raw Annual DMR Data_2021-2024'!X2364, 'Raw Period DMR Data'!M:M, "&gt;0")&gt;0,_xlfn.MAXIFS('Raw Period DMR Data'!M:M,'Raw Period DMR Data'!$A:$A,'Raw Annual DMR Data_2021-2024'!B2364,'Raw Period DMR Data'!C:C,'Raw Annual DMR Data_2021-2024'!X2364), "N/A - Period DMR Data Not Available")</f>
        <v>N/A - Period DMR Data Not Available</v>
      </c>
      <c r="V2160" s="28" t="str" cm="1">
        <f t="array" ref="V2160">IFERROR(INDEX('Raw Period DMR Data'!N:N,MATCH(1,(B2160='Raw Period DMR Data'!$A:$A)*(U2160='Raw Period DMR Data'!M:M)*(X2160='Raw Period DMR Data'!C:C),0),1), "N/A")</f>
        <v>N/A</v>
      </c>
      <c r="W2160" s="28" t="s">
        <v>1463</v>
      </c>
      <c r="X2160" s="28" t="s">
        <v>2174</v>
      </c>
      <c r="Y2160" s="28" t="s">
        <v>830</v>
      </c>
      <c r="Z2160" s="61">
        <v>5140201000008</v>
      </c>
      <c r="AB2160" s="28" t="s">
        <v>7355</v>
      </c>
      <c r="AC2160" s="28" t="s">
        <v>263</v>
      </c>
    </row>
    <row r="2161" spans="1:29" x14ac:dyDescent="0.25">
      <c r="A2161" s="61">
        <v>110039998214</v>
      </c>
      <c r="B2161" s="28">
        <v>2024</v>
      </c>
      <c r="C2161" s="68">
        <f t="shared" si="34"/>
        <v>45292</v>
      </c>
      <c r="D2161" s="28" t="s">
        <v>1322</v>
      </c>
      <c r="E2161" s="28" t="s">
        <v>2173</v>
      </c>
      <c r="F2161" s="28" t="s">
        <v>1273</v>
      </c>
      <c r="G2161" s="28" t="s">
        <v>324</v>
      </c>
      <c r="H2161" s="28">
        <v>42301</v>
      </c>
      <c r="I2161" s="28">
        <v>37.790278000000001</v>
      </c>
      <c r="J2161" s="28">
        <v>-87.140277999999995</v>
      </c>
      <c r="L2161" s="61">
        <v>110039998214</v>
      </c>
      <c r="M2161" s="28" t="s">
        <v>263</v>
      </c>
      <c r="N2161" s="28">
        <v>4952</v>
      </c>
      <c r="O2161" s="28" t="str">
        <f>IFERROR(VLOOKUP(N2161, 'SIC &amp; NAICS Codes'!A:B, 2, FALSE), "")</f>
        <v>Sewerage Systems</v>
      </c>
      <c r="S2161" s="28">
        <v>5.6849753749999996</v>
      </c>
      <c r="T2161" s="315">
        <f>_xlfn.MAXIFS('Raw Period DMR Data'!$O:$O,'Raw Period DMR Data'!$A:$A,'Raw Annual DMR Data_2021-2024'!B2385,'Raw Period DMR Data'!$C:$C,X2161)/S2161</f>
        <v>0</v>
      </c>
      <c r="U2161" s="28" t="str">
        <f>+IF(COUNTIFS('Raw Period DMR Data'!$A:$A,B2161, 'Raw Period DMR Data'!C:C,'Raw Annual DMR Data_2021-2024'!X2385, 'Raw Period DMR Data'!M:M, "&gt;0")&gt;0,_xlfn.MAXIFS('Raw Period DMR Data'!M:M,'Raw Period DMR Data'!$A:$A,'Raw Annual DMR Data_2021-2024'!B2385,'Raw Period DMR Data'!C:C,'Raw Annual DMR Data_2021-2024'!X2385), "N/A - Period DMR Data Not Available")</f>
        <v>N/A - Period DMR Data Not Available</v>
      </c>
      <c r="V2161" s="28" t="str" cm="1">
        <f t="array" ref="V2161">IFERROR(INDEX('Raw Period DMR Data'!N:N,MATCH(1,(B2161='Raw Period DMR Data'!$A:$A)*(U2161='Raw Period DMR Data'!M:M)*(X2161='Raw Period DMR Data'!C:C),0),1), "N/A")</f>
        <v>N/A</v>
      </c>
      <c r="W2161" s="28" t="s">
        <v>1463</v>
      </c>
      <c r="X2161" s="28" t="s">
        <v>2174</v>
      </c>
      <c r="Y2161" s="28" t="s">
        <v>830</v>
      </c>
      <c r="Z2161" s="61">
        <v>5140201000008</v>
      </c>
      <c r="AB2161" s="28" t="s">
        <v>7355</v>
      </c>
      <c r="AC2161" s="28" t="s">
        <v>263</v>
      </c>
    </row>
    <row r="2162" spans="1:29" x14ac:dyDescent="0.25">
      <c r="A2162" s="61">
        <v>110039998214</v>
      </c>
      <c r="B2162" s="28">
        <v>2022</v>
      </c>
      <c r="C2162" s="68">
        <f t="shared" si="34"/>
        <v>44562</v>
      </c>
      <c r="D2162" s="28" t="s">
        <v>1322</v>
      </c>
      <c r="E2162" s="28" t="s">
        <v>2173</v>
      </c>
      <c r="F2162" s="28" t="s">
        <v>1273</v>
      </c>
      <c r="G2162" s="28" t="s">
        <v>324</v>
      </c>
      <c r="H2162" s="28">
        <v>42301</v>
      </c>
      <c r="I2162" s="28">
        <v>37.790278000000001</v>
      </c>
      <c r="J2162" s="28">
        <v>-87.140277999999995</v>
      </c>
      <c r="L2162" s="61">
        <v>110039998214</v>
      </c>
      <c r="M2162" s="28" t="s">
        <v>263</v>
      </c>
      <c r="N2162" s="28">
        <v>4952</v>
      </c>
      <c r="O2162" s="28" t="str">
        <f>IFERROR(VLOOKUP(N2162, 'SIC &amp; NAICS Codes'!A:B, 2, FALSE), "")</f>
        <v>Sewerage Systems</v>
      </c>
      <c r="S2162" s="28">
        <v>2.1427038292499998</v>
      </c>
      <c r="T2162" s="315">
        <f>_xlfn.MAXIFS('Raw Period DMR Data'!$O:$O,'Raw Period DMR Data'!$A:$A,'Raw Annual DMR Data_2021-2024'!#REF!,'Raw Period DMR Data'!$C:$C,X2162)/S2162</f>
        <v>0</v>
      </c>
      <c r="U2162" s="28" t="str">
        <f>+IF(COUNTIFS('Raw Period DMR Data'!$A:$A,B2162,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62" s="28" t="str" cm="1">
        <f t="array" ref="V2162">IFERROR(INDEX('Raw Period DMR Data'!N:N,MATCH(1,(B2162='Raw Period DMR Data'!$A:$A)*(U2162='Raw Period DMR Data'!M:M)*(X2162='Raw Period DMR Data'!C:C),0),1), "N/A")</f>
        <v>N/A</v>
      </c>
      <c r="W2162" s="28" t="s">
        <v>1463</v>
      </c>
      <c r="X2162" s="28" t="s">
        <v>2174</v>
      </c>
      <c r="Y2162" s="28" t="s">
        <v>830</v>
      </c>
      <c r="Z2162" s="61">
        <v>5140201000008</v>
      </c>
      <c r="AB2162" s="28" t="s">
        <v>7355</v>
      </c>
      <c r="AC2162" s="28" t="s">
        <v>263</v>
      </c>
    </row>
    <row r="2163" spans="1:29" x14ac:dyDescent="0.25">
      <c r="A2163" s="61">
        <v>110000324391</v>
      </c>
      <c r="B2163" s="28">
        <v>2021</v>
      </c>
      <c r="C2163" s="68">
        <f t="shared" si="34"/>
        <v>44197</v>
      </c>
      <c r="D2163" s="28" t="s">
        <v>6805</v>
      </c>
      <c r="E2163" s="28" t="s">
        <v>6959</v>
      </c>
      <c r="F2163" s="28" t="s">
        <v>1324</v>
      </c>
      <c r="G2163" s="28" t="s">
        <v>450</v>
      </c>
      <c r="H2163" s="28">
        <v>12158</v>
      </c>
      <c r="I2163" s="28">
        <v>42.575806</v>
      </c>
      <c r="J2163" s="28">
        <v>-73.859943999999999</v>
      </c>
      <c r="L2163" s="61">
        <v>110000324391</v>
      </c>
      <c r="M2163" s="28" t="s">
        <v>265</v>
      </c>
      <c r="N2163" s="28">
        <v>2821</v>
      </c>
      <c r="O2163" s="28" t="str">
        <f>IFERROR(VLOOKUP(N2163, 'SIC &amp; NAICS Codes'!A:B, 2, FALSE), "")</f>
        <v>Plastics Materials, Synthetic and Resins, and Nonvulcanizable Elastomers</v>
      </c>
      <c r="S2163" s="28">
        <v>0.82855000000000001</v>
      </c>
      <c r="T2163" s="315">
        <f>_xlfn.MAXIFS('Raw Period DMR Data'!$O:$O,'Raw Period DMR Data'!$A:$A,'Raw Annual DMR Data_2021-2024'!#REF!,'Raw Period DMR Data'!$C:$C,X2163)/S2163</f>
        <v>0</v>
      </c>
      <c r="U2163" s="28" t="str">
        <f>+IF(COUNTIFS('Raw Period DMR Data'!$A:$A,B2163,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63" s="28" t="str" cm="1">
        <f t="array" ref="V2163">IFERROR(INDEX('Raw Period DMR Data'!N:N,MATCH(1,(B2163='Raw Period DMR Data'!$A:$A)*(U2163='Raw Period DMR Data'!M:M)*(X2163='Raw Period DMR Data'!C:C),0),1), "N/A")</f>
        <v>N/A</v>
      </c>
      <c r="W2163" s="28" t="s">
        <v>1463</v>
      </c>
      <c r="X2163" s="28" t="s">
        <v>2176</v>
      </c>
      <c r="Y2163" s="28" t="s">
        <v>2177</v>
      </c>
      <c r="Z2163" s="61">
        <v>2020006000238</v>
      </c>
      <c r="AB2163" s="28" t="s">
        <v>7355</v>
      </c>
      <c r="AC2163" s="28" t="s">
        <v>1466</v>
      </c>
    </row>
    <row r="2164" spans="1:29" x14ac:dyDescent="0.25">
      <c r="A2164" s="61">
        <v>110000324391</v>
      </c>
      <c r="B2164" s="28">
        <v>2022</v>
      </c>
      <c r="C2164" s="68">
        <f t="shared" si="34"/>
        <v>44562</v>
      </c>
      <c r="D2164" s="28" t="s">
        <v>6805</v>
      </c>
      <c r="E2164" s="28" t="s">
        <v>6959</v>
      </c>
      <c r="F2164" s="28" t="s">
        <v>1324</v>
      </c>
      <c r="G2164" s="28" t="s">
        <v>450</v>
      </c>
      <c r="H2164" s="28">
        <v>12158</v>
      </c>
      <c r="I2164" s="28">
        <v>42.575806</v>
      </c>
      <c r="J2164" s="28">
        <v>-73.859943999999999</v>
      </c>
      <c r="L2164" s="61">
        <v>110000324391</v>
      </c>
      <c r="M2164" s="28" t="s">
        <v>265</v>
      </c>
      <c r="N2164" s="28">
        <v>2821</v>
      </c>
      <c r="O2164" s="28" t="str">
        <f>IFERROR(VLOOKUP(N2164, 'SIC &amp; NAICS Codes'!A:B, 2, FALSE), "")</f>
        <v>Plastics Materials, Synthetic and Resins, and Nonvulcanizable Elastomers</v>
      </c>
      <c r="S2164" s="28">
        <v>0.82855000000000001</v>
      </c>
      <c r="T2164" s="315">
        <f>_xlfn.MAXIFS('Raw Period DMR Data'!$O:$O,'Raw Period DMR Data'!$A:$A,'Raw Annual DMR Data_2021-2024'!#REF!,'Raw Period DMR Data'!$C:$C,X2164)/S2164</f>
        <v>0</v>
      </c>
      <c r="U2164" s="28" t="str">
        <f>+IF(COUNTIFS('Raw Period DMR Data'!$A:$A,B2164,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64" s="28" t="str" cm="1">
        <f t="array" ref="V2164">IFERROR(INDEX('Raw Period DMR Data'!N:N,MATCH(1,(B2164='Raw Period DMR Data'!$A:$A)*(U2164='Raw Period DMR Data'!M:M)*(X2164='Raw Period DMR Data'!C:C),0),1), "N/A")</f>
        <v>N/A</v>
      </c>
      <c r="W2164" s="28" t="s">
        <v>1463</v>
      </c>
      <c r="X2164" s="28" t="s">
        <v>2176</v>
      </c>
      <c r="Y2164" s="28" t="s">
        <v>2177</v>
      </c>
      <c r="Z2164" s="61">
        <v>2020006000238</v>
      </c>
      <c r="AB2164" s="28" t="s">
        <v>7355</v>
      </c>
      <c r="AC2164" s="28" t="s">
        <v>1466</v>
      </c>
    </row>
    <row r="2165" spans="1:29" x14ac:dyDescent="0.25">
      <c r="A2165" s="61">
        <v>110000324391</v>
      </c>
      <c r="B2165" s="28">
        <v>2023</v>
      </c>
      <c r="C2165" s="68">
        <f t="shared" si="34"/>
        <v>44927</v>
      </c>
      <c r="D2165" s="28" t="s">
        <v>6805</v>
      </c>
      <c r="E2165" s="28" t="s">
        <v>6959</v>
      </c>
      <c r="F2165" s="28" t="s">
        <v>1324</v>
      </c>
      <c r="G2165" s="28" t="s">
        <v>450</v>
      </c>
      <c r="H2165" s="28">
        <v>12158</v>
      </c>
      <c r="I2165" s="28">
        <v>42.575806</v>
      </c>
      <c r="J2165" s="28">
        <v>-73.859943999999999</v>
      </c>
      <c r="L2165" s="61">
        <v>110000324391</v>
      </c>
      <c r="M2165" s="28" t="s">
        <v>265</v>
      </c>
      <c r="N2165" s="28">
        <v>2821</v>
      </c>
      <c r="O2165" s="28" t="str">
        <f>IFERROR(VLOOKUP(N2165, 'SIC &amp; NAICS Codes'!A:B, 2, FALSE), "")</f>
        <v>Plastics Materials, Synthetic and Resins, and Nonvulcanizable Elastomers</v>
      </c>
      <c r="S2165" s="28">
        <v>0.82855000000000001</v>
      </c>
      <c r="T2165" s="315">
        <f>_xlfn.MAXIFS('Raw Period DMR Data'!$O:$O,'Raw Period DMR Data'!$A:$A,'Raw Annual DMR Data_2021-2024'!#REF!,'Raw Period DMR Data'!$C:$C,X2165)/S2165</f>
        <v>0</v>
      </c>
      <c r="U2165" s="28" t="str">
        <f>+IF(COUNTIFS('Raw Period DMR Data'!$A:$A,B2165,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65" s="28" t="str" cm="1">
        <f t="array" ref="V2165">IFERROR(INDEX('Raw Period DMR Data'!N:N,MATCH(1,(B2165='Raw Period DMR Data'!$A:$A)*(U2165='Raw Period DMR Data'!M:M)*(X2165='Raw Period DMR Data'!C:C),0),1), "N/A")</f>
        <v>N/A</v>
      </c>
      <c r="W2165" s="28" t="s">
        <v>1463</v>
      </c>
      <c r="X2165" s="28" t="s">
        <v>2176</v>
      </c>
      <c r="Y2165" s="28" t="s">
        <v>2177</v>
      </c>
      <c r="Z2165" s="61" t="s">
        <v>2178</v>
      </c>
      <c r="AB2165" s="28" t="s">
        <v>7355</v>
      </c>
      <c r="AC2165" s="28" t="s">
        <v>1466</v>
      </c>
    </row>
    <row r="2166" spans="1:29" x14ac:dyDescent="0.25">
      <c r="A2166" s="61">
        <v>110000324391</v>
      </c>
      <c r="B2166" s="28">
        <v>2024</v>
      </c>
      <c r="C2166" s="68">
        <f t="shared" si="34"/>
        <v>45292</v>
      </c>
      <c r="D2166" s="28" t="s">
        <v>6805</v>
      </c>
      <c r="E2166" s="28" t="s">
        <v>6959</v>
      </c>
      <c r="F2166" s="28" t="s">
        <v>1324</v>
      </c>
      <c r="G2166" s="28" t="s">
        <v>450</v>
      </c>
      <c r="H2166" s="28">
        <v>12158</v>
      </c>
      <c r="I2166" s="28">
        <v>42.575806</v>
      </c>
      <c r="J2166" s="28">
        <v>-73.859943999999999</v>
      </c>
      <c r="L2166" s="61">
        <v>110000324391</v>
      </c>
      <c r="M2166" s="28" t="s">
        <v>265</v>
      </c>
      <c r="N2166" s="28">
        <v>2821</v>
      </c>
      <c r="O2166" s="28" t="str">
        <f>IFERROR(VLOOKUP(N2166, 'SIC &amp; NAICS Codes'!A:B, 2, FALSE), "")</f>
        <v>Plastics Materials, Synthetic and Resins, and Nonvulcanizable Elastomers</v>
      </c>
      <c r="S2166" s="28">
        <v>0.62311499999999997</v>
      </c>
      <c r="T2166" s="315">
        <f>_xlfn.MAXIFS('Raw Period DMR Data'!$O:$O,'Raw Period DMR Data'!$A:$A,'Raw Annual DMR Data_2021-2024'!#REF!,'Raw Period DMR Data'!$C:$C,X2166)/S2166</f>
        <v>0</v>
      </c>
      <c r="U2166" s="28" t="str">
        <f>+IF(COUNTIFS('Raw Period DMR Data'!$A:$A,B2166,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66" s="28" t="str" cm="1">
        <f t="array" ref="V2166">IFERROR(INDEX('Raw Period DMR Data'!N:N,MATCH(1,(B2166='Raw Period DMR Data'!$A:$A)*(U2166='Raw Period DMR Data'!M:M)*(X2166='Raw Period DMR Data'!C:C),0),1), "N/A")</f>
        <v>N/A</v>
      </c>
      <c r="W2166" s="28" t="s">
        <v>1463</v>
      </c>
      <c r="X2166" s="28" t="s">
        <v>2176</v>
      </c>
      <c r="Y2166" s="28" t="s">
        <v>2177</v>
      </c>
      <c r="Z2166" s="61">
        <v>2020006000238</v>
      </c>
      <c r="AB2166" s="28" t="s">
        <v>7355</v>
      </c>
      <c r="AC2166" s="28" t="s">
        <v>1466</v>
      </c>
    </row>
    <row r="2167" spans="1:29" x14ac:dyDescent="0.25">
      <c r="A2167" s="61">
        <v>110000324391</v>
      </c>
      <c r="B2167" s="28">
        <v>2024</v>
      </c>
      <c r="C2167" s="68">
        <f t="shared" si="34"/>
        <v>45292</v>
      </c>
      <c r="D2167" s="28" t="s">
        <v>6805</v>
      </c>
      <c r="E2167" s="28" t="s">
        <v>6959</v>
      </c>
      <c r="F2167" s="28" t="s">
        <v>1324</v>
      </c>
      <c r="G2167" s="28" t="s">
        <v>450</v>
      </c>
      <c r="H2167" s="28">
        <v>12158</v>
      </c>
      <c r="I2167" s="28">
        <v>42.575806</v>
      </c>
      <c r="J2167" s="28">
        <v>-73.859943999999999</v>
      </c>
      <c r="L2167" s="61">
        <v>110000324391</v>
      </c>
      <c r="M2167" s="28" t="s">
        <v>265</v>
      </c>
      <c r="N2167" s="28">
        <v>2821</v>
      </c>
      <c r="O2167" s="28" t="str">
        <f>IFERROR(VLOOKUP(N2167, 'SIC &amp; NAICS Codes'!A:B, 2, FALSE), "")</f>
        <v>Plastics Materials, Synthetic and Resins, and Nonvulcanizable Elastomers</v>
      </c>
      <c r="S2167" s="28">
        <v>0.20611599999999999</v>
      </c>
      <c r="T2167" s="315">
        <f>_xlfn.MAXIFS('Raw Period DMR Data'!$O:$O,'Raw Period DMR Data'!$A:$A,'Raw Annual DMR Data_2021-2024'!#REF!,'Raw Period DMR Data'!$C:$C,X2167)/S2167</f>
        <v>0</v>
      </c>
      <c r="U2167" s="28" t="str">
        <f>+IF(COUNTIFS('Raw Period DMR Data'!$A:$A,B2167,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67" s="28" t="str" cm="1">
        <f t="array" ref="V2167">IFERROR(INDEX('Raw Period DMR Data'!N:N,MATCH(1,(B2167='Raw Period DMR Data'!$A:$A)*(U2167='Raw Period DMR Data'!M:M)*(X2167='Raw Period DMR Data'!C:C),0),1), "N/A")</f>
        <v>N/A</v>
      </c>
      <c r="W2167" s="28" t="s">
        <v>1463</v>
      </c>
      <c r="X2167" s="28" t="s">
        <v>2176</v>
      </c>
      <c r="Y2167" s="28" t="s">
        <v>2177</v>
      </c>
      <c r="Z2167" s="61">
        <v>2020006000238</v>
      </c>
      <c r="AB2167" s="28" t="s">
        <v>7355</v>
      </c>
      <c r="AC2167" s="28" t="s">
        <v>1466</v>
      </c>
    </row>
    <row r="2168" spans="1:29" x14ac:dyDescent="0.25">
      <c r="A2168" s="61">
        <v>110000324391</v>
      </c>
      <c r="B2168" s="28">
        <v>2021</v>
      </c>
      <c r="C2168" s="68">
        <f t="shared" si="34"/>
        <v>44197</v>
      </c>
      <c r="D2168" s="28" t="s">
        <v>6805</v>
      </c>
      <c r="E2168" s="28" t="s">
        <v>6959</v>
      </c>
      <c r="F2168" s="28" t="s">
        <v>1324</v>
      </c>
      <c r="G2168" s="28" t="s">
        <v>450</v>
      </c>
      <c r="H2168" s="28">
        <v>12158</v>
      </c>
      <c r="I2168" s="28">
        <v>42.575806</v>
      </c>
      <c r="J2168" s="28">
        <v>-73.859943999999999</v>
      </c>
      <c r="L2168" s="61">
        <v>110000324391</v>
      </c>
      <c r="M2168" s="28" t="s">
        <v>265</v>
      </c>
      <c r="N2168" s="28">
        <v>2821</v>
      </c>
      <c r="O2168" s="28" t="str">
        <f>IFERROR(VLOOKUP(N2168, 'SIC &amp; NAICS Codes'!A:B, 2, FALSE), "")</f>
        <v>Plastics Materials, Synthetic and Resins, and Nonvulcanizable Elastomers</v>
      </c>
      <c r="S2168" s="28">
        <v>0.123942</v>
      </c>
      <c r="T2168" s="315">
        <f>_xlfn.MAXIFS('Raw Period DMR Data'!$O:$O,'Raw Period DMR Data'!$A:$A,'Raw Annual DMR Data_2021-2024'!#REF!,'Raw Period DMR Data'!$C:$C,X2168)/S2168</f>
        <v>0</v>
      </c>
      <c r="U2168" s="28" t="str">
        <f>+IF(COUNTIFS('Raw Period DMR Data'!$A:$A,B2168,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68" s="28" t="str" cm="1">
        <f t="array" ref="V2168">IFERROR(INDEX('Raw Period DMR Data'!N:N,MATCH(1,(B2168='Raw Period DMR Data'!$A:$A)*(U2168='Raw Period DMR Data'!M:M)*(X2168='Raw Period DMR Data'!C:C),0),1), "N/A")</f>
        <v>N/A</v>
      </c>
      <c r="W2168" s="28" t="s">
        <v>1463</v>
      </c>
      <c r="X2168" s="28" t="s">
        <v>2176</v>
      </c>
      <c r="Y2168" s="28" t="s">
        <v>2177</v>
      </c>
      <c r="Z2168" s="61">
        <v>2020006000238</v>
      </c>
      <c r="AA2168" s="28"/>
      <c r="AB2168" s="28" t="s">
        <v>7355</v>
      </c>
      <c r="AC2168" s="28" t="s">
        <v>1466</v>
      </c>
    </row>
    <row r="2169" spans="1:29" x14ac:dyDescent="0.25">
      <c r="A2169" s="61">
        <v>110000324391</v>
      </c>
      <c r="B2169" s="28">
        <v>2023</v>
      </c>
      <c r="C2169" s="68">
        <f t="shared" si="34"/>
        <v>44927</v>
      </c>
      <c r="D2169" s="28" t="s">
        <v>6805</v>
      </c>
      <c r="E2169" s="28" t="s">
        <v>6959</v>
      </c>
      <c r="F2169" s="28" t="s">
        <v>1324</v>
      </c>
      <c r="G2169" s="28" t="s">
        <v>450</v>
      </c>
      <c r="H2169" s="28">
        <v>12158</v>
      </c>
      <c r="I2169" s="28">
        <v>42.575806</v>
      </c>
      <c r="J2169" s="28">
        <v>-73.859943999999999</v>
      </c>
      <c r="L2169" s="61">
        <v>110000324391</v>
      </c>
      <c r="M2169" s="28" t="s">
        <v>265</v>
      </c>
      <c r="N2169" s="28">
        <v>2821</v>
      </c>
      <c r="O2169" s="28" t="str">
        <f>IFERROR(VLOOKUP(N2169, 'SIC &amp; NAICS Codes'!A:B, 2, FALSE), "")</f>
        <v>Plastics Materials, Synthetic and Resins, and Nonvulcanizable Elastomers</v>
      </c>
      <c r="S2169" s="28">
        <v>0.123942</v>
      </c>
      <c r="T2169" s="315">
        <f>_xlfn.MAXIFS('Raw Period DMR Data'!$O:$O,'Raw Period DMR Data'!$A:$A,'Raw Annual DMR Data_2021-2024'!#REF!,'Raw Period DMR Data'!$C:$C,X2169)/S2169</f>
        <v>0</v>
      </c>
      <c r="U2169" s="28" t="str">
        <f>+IF(COUNTIFS('Raw Period DMR Data'!$A:$A,B2169,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69" s="28" t="str" cm="1">
        <f t="array" ref="V2169">IFERROR(INDEX('Raw Period DMR Data'!N:N,MATCH(1,(B2169='Raw Period DMR Data'!$A:$A)*(U2169='Raw Period DMR Data'!M:M)*(X2169='Raw Period DMR Data'!C:C),0),1), "N/A")</f>
        <v>N/A</v>
      </c>
      <c r="W2169" s="28" t="s">
        <v>1463</v>
      </c>
      <c r="X2169" s="28" t="s">
        <v>2176</v>
      </c>
      <c r="Y2169" s="28" t="s">
        <v>2177</v>
      </c>
      <c r="Z2169" s="61" t="s">
        <v>2178</v>
      </c>
      <c r="AB2169" s="28" t="s">
        <v>7355</v>
      </c>
      <c r="AC2169" s="28" t="s">
        <v>1466</v>
      </c>
    </row>
    <row r="2170" spans="1:29" x14ac:dyDescent="0.25">
      <c r="A2170" s="61">
        <v>110000324391</v>
      </c>
      <c r="B2170" s="28">
        <v>2022</v>
      </c>
      <c r="C2170" s="68">
        <f t="shared" si="34"/>
        <v>44562</v>
      </c>
      <c r="D2170" s="28" t="s">
        <v>6805</v>
      </c>
      <c r="E2170" s="28" t="s">
        <v>6959</v>
      </c>
      <c r="F2170" s="28" t="s">
        <v>1324</v>
      </c>
      <c r="G2170" s="28" t="s">
        <v>450</v>
      </c>
      <c r="H2170" s="28">
        <v>12158</v>
      </c>
      <c r="I2170" s="28">
        <v>42.575806</v>
      </c>
      <c r="J2170" s="28">
        <v>-73.859943999999999</v>
      </c>
      <c r="L2170" s="61">
        <v>110000324391</v>
      </c>
      <c r="M2170" s="28" t="s">
        <v>265</v>
      </c>
      <c r="N2170" s="28">
        <v>2821</v>
      </c>
      <c r="O2170" s="28" t="str">
        <f>IFERROR(VLOOKUP(N2170, 'SIC &amp; NAICS Codes'!A:B, 2, FALSE), "")</f>
        <v>Plastics Materials, Synthetic and Resins, and Nonvulcanizable Elastomers</v>
      </c>
      <c r="S2170" s="28">
        <v>8.2854999999999998E-2</v>
      </c>
      <c r="T2170" s="315">
        <f>_xlfn.MAXIFS('Raw Period DMR Data'!$O:$O,'Raw Period DMR Data'!$A:$A,'Raw Annual DMR Data_2021-2024'!#REF!,'Raw Period DMR Data'!$C:$C,X2170)/S2170</f>
        <v>0</v>
      </c>
      <c r="U2170" s="28" t="str">
        <f>+IF(COUNTIFS('Raw Period DMR Data'!$A:$A,B2170,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70" s="28" t="str" cm="1">
        <f t="array" ref="V2170">IFERROR(INDEX('Raw Period DMR Data'!N:N,MATCH(1,(B2170='Raw Period DMR Data'!$A:$A)*(U2170='Raw Period DMR Data'!M:M)*(X2170='Raw Period DMR Data'!C:C),0),1), "N/A")</f>
        <v>N/A</v>
      </c>
      <c r="W2170" s="28" t="s">
        <v>1463</v>
      </c>
      <c r="X2170" s="28" t="s">
        <v>2176</v>
      </c>
      <c r="Y2170" s="28" t="s">
        <v>2177</v>
      </c>
      <c r="Z2170" s="61">
        <v>2020006000238</v>
      </c>
      <c r="AB2170" s="28" t="s">
        <v>7355</v>
      </c>
      <c r="AC2170" s="28" t="s">
        <v>1466</v>
      </c>
    </row>
    <row r="2171" spans="1:29" x14ac:dyDescent="0.25">
      <c r="A2171" s="61">
        <v>110000403670</v>
      </c>
      <c r="B2171" s="28">
        <v>2021</v>
      </c>
      <c r="C2171" s="68">
        <f t="shared" si="34"/>
        <v>44197</v>
      </c>
      <c r="D2171" s="28" t="s">
        <v>1325</v>
      </c>
      <c r="E2171" s="28" t="s">
        <v>2179</v>
      </c>
      <c r="F2171" s="28" t="s">
        <v>1326</v>
      </c>
      <c r="G2171" s="28" t="s">
        <v>469</v>
      </c>
      <c r="H2171" s="28">
        <v>47620</v>
      </c>
      <c r="I2171" s="28">
        <v>37.907200000000003</v>
      </c>
      <c r="J2171" s="28">
        <v>-87.927099999999996</v>
      </c>
      <c r="K2171" s="28" t="s">
        <v>732</v>
      </c>
      <c r="L2171" s="61">
        <v>110000403670</v>
      </c>
      <c r="M2171" s="28" t="s">
        <v>253</v>
      </c>
      <c r="N2171" s="28">
        <v>2821</v>
      </c>
      <c r="O2171" s="28" t="str">
        <f>IFERROR(VLOOKUP(N2171, 'SIC &amp; NAICS Codes'!A:B, 2, FALSE), "")</f>
        <v>Plastics Materials, Synthetic and Resins, and Nonvulcanizable Elastomers</v>
      </c>
      <c r="S2171" s="28">
        <v>8.3536000000000001</v>
      </c>
      <c r="T2171" s="315">
        <f>_xlfn.MAXIFS('Raw Period DMR Data'!$O:$O,'Raw Period DMR Data'!$A:$A,'Raw Annual DMR Data_2021-2024'!B2371,'Raw Period DMR Data'!$C:$C,X2171)/S2171</f>
        <v>0</v>
      </c>
      <c r="U2171" s="28" t="str">
        <f>+IF(COUNTIFS('Raw Period DMR Data'!$A:$A,B2171, 'Raw Period DMR Data'!C:C,'Raw Annual DMR Data_2021-2024'!X2371, 'Raw Period DMR Data'!M:M, "&gt;0")&gt;0,_xlfn.MAXIFS('Raw Period DMR Data'!M:M,'Raw Period DMR Data'!$A:$A,'Raw Annual DMR Data_2021-2024'!B2371,'Raw Period DMR Data'!C:C,'Raw Annual DMR Data_2021-2024'!X2371), "N/A - Period DMR Data Not Available")</f>
        <v>N/A - Period DMR Data Not Available</v>
      </c>
      <c r="V2171" s="28" t="str" cm="1">
        <f t="array" ref="V2171">IFERROR(INDEX('Raw Period DMR Data'!N:N,MATCH(1,(B2171='Raw Period DMR Data'!$A:$A)*(U2171='Raw Period DMR Data'!M:M)*(X2171='Raw Period DMR Data'!C:C),0),1), "N/A")</f>
        <v>N/A</v>
      </c>
      <c r="W2171" s="28" t="s">
        <v>1463</v>
      </c>
      <c r="X2171" s="28" t="s">
        <v>2180</v>
      </c>
      <c r="Y2171" s="28" t="s">
        <v>830</v>
      </c>
      <c r="Z2171" s="61">
        <v>5140202000333</v>
      </c>
      <c r="AB2171" s="28" t="s">
        <v>7355</v>
      </c>
      <c r="AC2171" s="28" t="s">
        <v>1466</v>
      </c>
    </row>
    <row r="2172" spans="1:29" x14ac:dyDescent="0.25">
      <c r="A2172" s="61">
        <v>110000403670</v>
      </c>
      <c r="B2172" s="28">
        <v>2022</v>
      </c>
      <c r="C2172" s="68">
        <f t="shared" si="34"/>
        <v>44562</v>
      </c>
      <c r="D2172" s="28" t="s">
        <v>1325</v>
      </c>
      <c r="E2172" s="28" t="s">
        <v>2179</v>
      </c>
      <c r="F2172" s="28" t="s">
        <v>1326</v>
      </c>
      <c r="G2172" s="28" t="s">
        <v>469</v>
      </c>
      <c r="H2172" s="28">
        <v>47620</v>
      </c>
      <c r="I2172" s="28">
        <v>37.907200000000003</v>
      </c>
      <c r="J2172" s="28">
        <v>-87.927099999999996</v>
      </c>
      <c r="K2172" s="28" t="s">
        <v>732</v>
      </c>
      <c r="L2172" s="61">
        <v>110000403670</v>
      </c>
      <c r="M2172" s="28" t="s">
        <v>253</v>
      </c>
      <c r="N2172" s="28">
        <v>2821</v>
      </c>
      <c r="O2172" s="28" t="str">
        <f>IFERROR(VLOOKUP(N2172, 'SIC &amp; NAICS Codes'!A:B, 2, FALSE), "")</f>
        <v>Plastics Materials, Synthetic and Resins, and Nonvulcanizable Elastomers</v>
      </c>
      <c r="S2172" s="28">
        <v>6.6828799999999999</v>
      </c>
      <c r="T2172" s="315">
        <f>_xlfn.MAXIFS('Raw Period DMR Data'!$O:$O,'Raw Period DMR Data'!$A:$A,'Raw Annual DMR Data_2021-2024'!B2381,'Raw Period DMR Data'!$C:$C,X2172)/S2172</f>
        <v>0</v>
      </c>
      <c r="U2172" s="28" t="str">
        <f>+IF(COUNTIFS('Raw Period DMR Data'!$A:$A,B2172, 'Raw Period DMR Data'!C:C,'Raw Annual DMR Data_2021-2024'!X2381, 'Raw Period DMR Data'!M:M, "&gt;0")&gt;0,_xlfn.MAXIFS('Raw Period DMR Data'!M:M,'Raw Period DMR Data'!$A:$A,'Raw Annual DMR Data_2021-2024'!B2381,'Raw Period DMR Data'!C:C,'Raw Annual DMR Data_2021-2024'!X2381), "N/A - Period DMR Data Not Available")</f>
        <v>N/A - Period DMR Data Not Available</v>
      </c>
      <c r="V2172" s="28" t="str" cm="1">
        <f t="array" ref="V2172">IFERROR(INDEX('Raw Period DMR Data'!N:N,MATCH(1,(B2172='Raw Period DMR Data'!$A:$A)*(U2172='Raw Period DMR Data'!M:M)*(X2172='Raw Period DMR Data'!C:C),0),1), "N/A")</f>
        <v>N/A</v>
      </c>
      <c r="W2172" s="28" t="s">
        <v>1463</v>
      </c>
      <c r="X2172" s="28" t="s">
        <v>2180</v>
      </c>
      <c r="Y2172" s="28" t="s">
        <v>830</v>
      </c>
      <c r="Z2172" s="61">
        <v>5140202000333</v>
      </c>
      <c r="AB2172" s="28" t="s">
        <v>7355</v>
      </c>
      <c r="AC2172" s="28" t="s">
        <v>1466</v>
      </c>
    </row>
    <row r="2173" spans="1:29" x14ac:dyDescent="0.25">
      <c r="A2173" s="61">
        <v>110000403670</v>
      </c>
      <c r="B2173" s="28">
        <v>2024</v>
      </c>
      <c r="C2173" s="68">
        <f t="shared" si="34"/>
        <v>45292</v>
      </c>
      <c r="D2173" s="28" t="s">
        <v>1325</v>
      </c>
      <c r="E2173" s="28" t="s">
        <v>2179</v>
      </c>
      <c r="F2173" s="28" t="s">
        <v>1326</v>
      </c>
      <c r="G2173" s="28" t="s">
        <v>469</v>
      </c>
      <c r="H2173" s="28">
        <v>47620</v>
      </c>
      <c r="I2173" s="28">
        <v>37.907200000000003</v>
      </c>
      <c r="J2173" s="28">
        <v>-87.927099999999996</v>
      </c>
      <c r="K2173" s="28" t="s">
        <v>732</v>
      </c>
      <c r="L2173" s="61">
        <v>110000403670</v>
      </c>
      <c r="M2173" s="28" t="s">
        <v>253</v>
      </c>
      <c r="N2173" s="28">
        <v>2821</v>
      </c>
      <c r="O2173" s="28" t="str">
        <f>IFERROR(VLOOKUP(N2173, 'SIC &amp; NAICS Codes'!A:B, 2, FALSE), "")</f>
        <v>Plastics Materials, Synthetic and Resins, and Nonvulcanizable Elastomers</v>
      </c>
      <c r="S2173" s="28">
        <v>4.1427500000000004</v>
      </c>
      <c r="T2173" s="315">
        <f>_xlfn.MAXIFS('Raw Period DMR Data'!$O:$O,'Raw Period DMR Data'!$A:$A,'Raw Annual DMR Data_2021-2024'!B2403,'Raw Period DMR Data'!$C:$C,X2173)/S2173</f>
        <v>0</v>
      </c>
      <c r="U2173" s="28" t="str">
        <f>+IF(COUNTIFS('Raw Period DMR Data'!$A:$A,B2173, 'Raw Period DMR Data'!C:C,'Raw Annual DMR Data_2021-2024'!X2403, 'Raw Period DMR Data'!M:M, "&gt;0")&gt;0,_xlfn.MAXIFS('Raw Period DMR Data'!M:M,'Raw Period DMR Data'!$A:$A,'Raw Annual DMR Data_2021-2024'!B2403,'Raw Period DMR Data'!C:C,'Raw Annual DMR Data_2021-2024'!X2403), "N/A - Period DMR Data Not Available")</f>
        <v>N/A - Period DMR Data Not Available</v>
      </c>
      <c r="V2173" s="28" t="str" cm="1">
        <f t="array" ref="V2173">IFERROR(INDEX('Raw Period DMR Data'!N:N,MATCH(1,(B2173='Raw Period DMR Data'!$A:$A)*(U2173='Raw Period DMR Data'!M:M)*(X2173='Raw Period DMR Data'!C:C),0),1), "N/A")</f>
        <v>N/A</v>
      </c>
      <c r="W2173" s="28" t="s">
        <v>1463</v>
      </c>
      <c r="X2173" s="28" t="s">
        <v>2180</v>
      </c>
      <c r="Y2173" s="28" t="s">
        <v>830</v>
      </c>
      <c r="Z2173" s="61">
        <v>5140202000333</v>
      </c>
      <c r="AB2173" s="28" t="s">
        <v>7355</v>
      </c>
      <c r="AC2173" s="28" t="s">
        <v>1466</v>
      </c>
    </row>
    <row r="2174" spans="1:29" x14ac:dyDescent="0.25">
      <c r="A2174" s="61">
        <v>110000403670</v>
      </c>
      <c r="B2174" s="28">
        <v>2023</v>
      </c>
      <c r="C2174" s="68">
        <f t="shared" si="34"/>
        <v>44927</v>
      </c>
      <c r="D2174" s="28" t="s">
        <v>1325</v>
      </c>
      <c r="E2174" s="28" t="s">
        <v>2179</v>
      </c>
      <c r="F2174" s="28" t="s">
        <v>1326</v>
      </c>
      <c r="G2174" s="28" t="s">
        <v>469</v>
      </c>
      <c r="H2174" s="28">
        <v>47620</v>
      </c>
      <c r="I2174" s="28">
        <v>37.907200000000003</v>
      </c>
      <c r="J2174" s="28">
        <v>-87.927099999999996</v>
      </c>
      <c r="K2174" s="28" t="s">
        <v>732</v>
      </c>
      <c r="L2174" s="61">
        <v>110000403670</v>
      </c>
      <c r="M2174" s="28" t="s">
        <v>253</v>
      </c>
      <c r="N2174" s="28">
        <v>2821</v>
      </c>
      <c r="O2174" s="28" t="str">
        <f>IFERROR(VLOOKUP(N2174, 'SIC &amp; NAICS Codes'!A:B, 2, FALSE), "")</f>
        <v>Plastics Materials, Synthetic and Resins, and Nonvulcanizable Elastomers</v>
      </c>
      <c r="S2174" s="28">
        <v>3.34144</v>
      </c>
      <c r="T2174" s="315">
        <f>_xlfn.MAXIFS('Raw Period DMR Data'!$O:$O,'Raw Period DMR Data'!$A:$A,'Raw Annual DMR Data_2021-2024'!#REF!,'Raw Period DMR Data'!$C:$C,X2174)/S2174</f>
        <v>0</v>
      </c>
      <c r="U2174" s="28" t="str">
        <f>+IF(COUNTIFS('Raw Period DMR Data'!$A:$A,B2174,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74" s="28" t="str" cm="1">
        <f t="array" ref="V2174">IFERROR(INDEX('Raw Period DMR Data'!N:N,MATCH(1,(B2174='Raw Period DMR Data'!$A:$A)*(U2174='Raw Period DMR Data'!M:M)*(X2174='Raw Period DMR Data'!C:C),0),1), "N/A")</f>
        <v>N/A</v>
      </c>
      <c r="W2174" s="28" t="s">
        <v>1463</v>
      </c>
      <c r="X2174" s="28" t="s">
        <v>2180</v>
      </c>
      <c r="Y2174" s="28" t="s">
        <v>830</v>
      </c>
      <c r="Z2174" s="61" t="s">
        <v>2181</v>
      </c>
      <c r="AB2174" s="28" t="s">
        <v>7355</v>
      </c>
      <c r="AC2174" s="28" t="s">
        <v>1466</v>
      </c>
    </row>
    <row r="2175" spans="1:29" x14ac:dyDescent="0.25">
      <c r="A2175" s="61">
        <v>110000734484</v>
      </c>
      <c r="B2175" s="28">
        <v>2024</v>
      </c>
      <c r="C2175" s="68">
        <f t="shared" si="34"/>
        <v>45292</v>
      </c>
      <c r="D2175" s="28" t="s">
        <v>6912</v>
      </c>
      <c r="E2175" s="28" t="s">
        <v>7114</v>
      </c>
      <c r="F2175" s="28" t="s">
        <v>7115</v>
      </c>
      <c r="G2175" s="28" t="s">
        <v>338</v>
      </c>
      <c r="H2175" s="28" t="s">
        <v>7116</v>
      </c>
      <c r="I2175" s="28">
        <v>39.573918999999997</v>
      </c>
      <c r="J2175" s="28">
        <v>-75.479337000000001</v>
      </c>
      <c r="L2175" s="61">
        <v>110000734484</v>
      </c>
      <c r="M2175" s="28" t="s">
        <v>263</v>
      </c>
      <c r="N2175" s="28">
        <v>4952</v>
      </c>
      <c r="O2175" s="28" t="str">
        <f>IFERROR(VLOOKUP(N2175, 'SIC &amp; NAICS Codes'!A:B, 2, FALSE), "")</f>
        <v>Sewerage Systems</v>
      </c>
      <c r="S2175" s="28">
        <v>36.58</v>
      </c>
      <c r="T2175" s="315">
        <f>_xlfn.MAXIFS('Raw Period DMR Data'!$O:$O,'Raw Period DMR Data'!$A:$A,'Raw Annual DMR Data_2021-2024'!B2306,'Raw Period DMR Data'!$C:$C,X2175)/S2175</f>
        <v>0</v>
      </c>
      <c r="U2175" s="28" t="str">
        <f>+IF(COUNTIFS('Raw Period DMR Data'!$A:$A,B2175, 'Raw Period DMR Data'!C:C,'Raw Annual DMR Data_2021-2024'!X2306, 'Raw Period DMR Data'!M:M, "&gt;0")&gt;0,_xlfn.MAXIFS('Raw Period DMR Data'!M:M,'Raw Period DMR Data'!$A:$A,'Raw Annual DMR Data_2021-2024'!B2306,'Raw Period DMR Data'!C:C,'Raw Annual DMR Data_2021-2024'!X2306), "N/A - Period DMR Data Not Available")</f>
        <v>N/A - Period DMR Data Not Available</v>
      </c>
      <c r="V2175" s="28" t="str" cm="1">
        <f t="array" ref="V2175">IFERROR(INDEX('Raw Period DMR Data'!N:N,MATCH(1,(B2175='Raw Period DMR Data'!$A:$A)*(U2175='Raw Period DMR Data'!M:M)*(X2175='Raw Period DMR Data'!C:C),0),1), "N/A")</f>
        <v>N/A</v>
      </c>
      <c r="W2175" s="28" t="s">
        <v>1463</v>
      </c>
      <c r="X2175" s="28" t="s">
        <v>7244</v>
      </c>
      <c r="Y2175" s="28" t="s">
        <v>7322</v>
      </c>
      <c r="Z2175" s="61">
        <v>2040206002345</v>
      </c>
      <c r="AB2175" s="28" t="s">
        <v>7355</v>
      </c>
      <c r="AC2175" s="28" t="s">
        <v>263</v>
      </c>
    </row>
    <row r="2176" spans="1:29" x14ac:dyDescent="0.25">
      <c r="A2176" s="61">
        <v>110006522735</v>
      </c>
      <c r="B2176" s="28">
        <v>2021</v>
      </c>
      <c r="C2176" s="68">
        <f t="shared" si="34"/>
        <v>44197</v>
      </c>
      <c r="D2176" s="28" t="s">
        <v>1332</v>
      </c>
      <c r="E2176" s="28" t="s">
        <v>2189</v>
      </c>
      <c r="F2176" s="28" t="s">
        <v>1333</v>
      </c>
      <c r="G2176" s="28" t="s">
        <v>491</v>
      </c>
      <c r="H2176" s="28">
        <v>18370</v>
      </c>
      <c r="I2176" s="28">
        <v>41.094749999999998</v>
      </c>
      <c r="J2176" s="28">
        <v>-75.326319999999996</v>
      </c>
      <c r="K2176" s="28" t="s">
        <v>733</v>
      </c>
      <c r="L2176" s="61">
        <v>110006522735</v>
      </c>
      <c r="M2176" s="28" t="s">
        <v>265</v>
      </c>
      <c r="N2176" s="28">
        <v>2834</v>
      </c>
      <c r="O2176" s="28" t="str">
        <f>IFERROR(VLOOKUP(N2176, 'SIC &amp; NAICS Codes'!A:B, 2, FALSE), "")</f>
        <v xml:space="preserve">Pharmaceutical Preparations </v>
      </c>
      <c r="S2176" s="28">
        <v>2.07478E-2</v>
      </c>
      <c r="T2176" s="315">
        <f>_xlfn.MAXIFS('Raw Period DMR Data'!$O:$O,'Raw Period DMR Data'!$A:$A,'Raw Annual DMR Data_2021-2024'!#REF!,'Raw Period DMR Data'!$C:$C,X2176)/S2176</f>
        <v>0</v>
      </c>
      <c r="U2176" s="28" t="str">
        <f>+IF(COUNTIFS('Raw Period DMR Data'!$A:$A,B2176,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76" s="28" t="str" cm="1">
        <f t="array" ref="V2176">IFERROR(INDEX('Raw Period DMR Data'!N:N,MATCH(1,(B2176='Raw Period DMR Data'!$A:$A)*(U2176='Raw Period DMR Data'!M:M)*(X2176='Raw Period DMR Data'!C:C),0),1), "N/A")</f>
        <v>N/A</v>
      </c>
      <c r="W2176" s="28" t="s">
        <v>1463</v>
      </c>
      <c r="X2176" s="28" t="s">
        <v>2190</v>
      </c>
      <c r="Y2176" s="28" t="s">
        <v>2191</v>
      </c>
      <c r="Z2176" s="61">
        <v>2040104000718</v>
      </c>
      <c r="AA2176" s="28"/>
      <c r="AB2176" s="28" t="s">
        <v>7355</v>
      </c>
      <c r="AC2176" s="28" t="s">
        <v>1466</v>
      </c>
    </row>
    <row r="2177" spans="1:29" x14ac:dyDescent="0.25">
      <c r="A2177" s="61">
        <v>110006522735</v>
      </c>
      <c r="B2177" s="28">
        <v>2022</v>
      </c>
      <c r="C2177" s="68">
        <f t="shared" si="34"/>
        <v>44562</v>
      </c>
      <c r="D2177" s="28" t="s">
        <v>1332</v>
      </c>
      <c r="E2177" s="28" t="s">
        <v>2189</v>
      </c>
      <c r="F2177" s="28" t="s">
        <v>1333</v>
      </c>
      <c r="G2177" s="28" t="s">
        <v>491</v>
      </c>
      <c r="H2177" s="28">
        <v>18370</v>
      </c>
      <c r="I2177" s="28">
        <v>41.094749999999998</v>
      </c>
      <c r="J2177" s="28">
        <v>-75.326319999999996</v>
      </c>
      <c r="K2177" s="28" t="s">
        <v>733</v>
      </c>
      <c r="L2177" s="61">
        <v>110006522735</v>
      </c>
      <c r="M2177" s="28" t="s">
        <v>265</v>
      </c>
      <c r="N2177" s="28">
        <v>2834</v>
      </c>
      <c r="O2177" s="28" t="str">
        <f>IFERROR(VLOOKUP(N2177, 'SIC &amp; NAICS Codes'!A:B, 2, FALSE), "")</f>
        <v xml:space="preserve">Pharmaceutical Preparations </v>
      </c>
      <c r="S2177" s="28">
        <v>2.0679699999999999E-2</v>
      </c>
      <c r="T2177" s="315">
        <f>_xlfn.MAXIFS('Raw Period DMR Data'!$O:$O,'Raw Period DMR Data'!$A:$A,'Raw Annual DMR Data_2021-2024'!#REF!,'Raw Period DMR Data'!$C:$C,X2177)/S2177</f>
        <v>0</v>
      </c>
      <c r="U2177" s="28" t="str">
        <f>+IF(COUNTIFS('Raw Period DMR Data'!$A:$A,B2177,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77" s="28" t="str" cm="1">
        <f t="array" ref="V2177">IFERROR(INDEX('Raw Period DMR Data'!N:N,MATCH(1,(B2177='Raw Period DMR Data'!$A:$A)*(U2177='Raw Period DMR Data'!M:M)*(X2177='Raw Period DMR Data'!C:C),0),1), "N/A")</f>
        <v>N/A</v>
      </c>
      <c r="W2177" s="28" t="s">
        <v>1463</v>
      </c>
      <c r="X2177" s="28" t="s">
        <v>2190</v>
      </c>
      <c r="Y2177" s="28" t="s">
        <v>2191</v>
      </c>
      <c r="Z2177" s="61">
        <v>2040104000718</v>
      </c>
      <c r="AB2177" s="28" t="s">
        <v>7355</v>
      </c>
      <c r="AC2177" s="28" t="s">
        <v>1466</v>
      </c>
    </row>
    <row r="2178" spans="1:29" x14ac:dyDescent="0.25">
      <c r="A2178" s="61">
        <v>110006522735</v>
      </c>
      <c r="B2178" s="28">
        <v>2023</v>
      </c>
      <c r="C2178" s="68">
        <f t="shared" si="34"/>
        <v>44927</v>
      </c>
      <c r="D2178" s="28" t="s">
        <v>1332</v>
      </c>
      <c r="E2178" s="28" t="s">
        <v>2189</v>
      </c>
      <c r="F2178" s="28" t="s">
        <v>1333</v>
      </c>
      <c r="G2178" s="28" t="s">
        <v>491</v>
      </c>
      <c r="H2178" s="28">
        <v>18370</v>
      </c>
      <c r="I2178" s="28">
        <v>41.094749999999998</v>
      </c>
      <c r="J2178" s="28">
        <v>-75.326319999999996</v>
      </c>
      <c r="K2178" s="28" t="s">
        <v>733</v>
      </c>
      <c r="L2178" s="61">
        <v>110006522735</v>
      </c>
      <c r="M2178" s="28" t="s">
        <v>265</v>
      </c>
      <c r="N2178" s="28">
        <v>2834</v>
      </c>
      <c r="O2178" s="28" t="str">
        <f>IFERROR(VLOOKUP(N2178, 'SIC &amp; NAICS Codes'!A:B, 2, FALSE), "")</f>
        <v xml:space="preserve">Pharmaceutical Preparations </v>
      </c>
      <c r="S2178" s="28">
        <v>1.6570999999999999E-2</v>
      </c>
      <c r="T2178" s="315">
        <f>_xlfn.MAXIFS('Raw Period DMR Data'!$O:$O,'Raw Period DMR Data'!$A:$A,'Raw Annual DMR Data_2021-2024'!#REF!,'Raw Period DMR Data'!$C:$C,X2178)/S2178</f>
        <v>0</v>
      </c>
      <c r="U2178" s="28" t="str">
        <f>+IF(COUNTIFS('Raw Period DMR Data'!$A:$A,B2178,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78" s="28" t="str" cm="1">
        <f t="array" ref="V2178">IFERROR(INDEX('Raw Period DMR Data'!N:N,MATCH(1,(B2178='Raw Period DMR Data'!$A:$A)*(U2178='Raw Period DMR Data'!M:M)*(X2178='Raw Period DMR Data'!C:C),0),1), "N/A")</f>
        <v>N/A</v>
      </c>
      <c r="W2178" s="28" t="s">
        <v>1463</v>
      </c>
      <c r="X2178" s="28" t="s">
        <v>2190</v>
      </c>
      <c r="Y2178" s="28" t="s">
        <v>2191</v>
      </c>
      <c r="Z2178" s="61" t="s">
        <v>2192</v>
      </c>
      <c r="AB2178" s="28" t="s">
        <v>7355</v>
      </c>
      <c r="AC2178" s="28" t="s">
        <v>1466</v>
      </c>
    </row>
    <row r="2179" spans="1:29" x14ac:dyDescent="0.25">
      <c r="A2179" s="61">
        <v>110006522735</v>
      </c>
      <c r="B2179" s="28">
        <v>2024</v>
      </c>
      <c r="C2179" s="68">
        <f t="shared" si="34"/>
        <v>45292</v>
      </c>
      <c r="D2179" s="28" t="s">
        <v>1332</v>
      </c>
      <c r="E2179" s="28" t="s">
        <v>2189</v>
      </c>
      <c r="F2179" s="28" t="s">
        <v>1333</v>
      </c>
      <c r="G2179" s="28" t="s">
        <v>491</v>
      </c>
      <c r="H2179" s="28">
        <v>18370</v>
      </c>
      <c r="I2179" s="28">
        <v>41.094749999999998</v>
      </c>
      <c r="J2179" s="28">
        <v>-75.326319999999996</v>
      </c>
      <c r="K2179" s="28" t="s">
        <v>733</v>
      </c>
      <c r="L2179" s="61">
        <v>110006522735</v>
      </c>
      <c r="M2179" s="28" t="s">
        <v>265</v>
      </c>
      <c r="N2179" s="28">
        <v>2834</v>
      </c>
      <c r="O2179" s="28" t="str">
        <f>IFERROR(VLOOKUP(N2179, 'SIC &amp; NAICS Codes'!A:B, 2, FALSE), "")</f>
        <v xml:space="preserve">Pharmaceutical Preparations </v>
      </c>
      <c r="S2179" s="28">
        <v>1.2462300000000001E-2</v>
      </c>
      <c r="T2179" s="315">
        <f>_xlfn.MAXIFS('Raw Period DMR Data'!$O:$O,'Raw Period DMR Data'!$A:$A,'Raw Annual DMR Data_2021-2024'!#REF!,'Raw Period DMR Data'!$C:$C,X2179)/S2179</f>
        <v>0</v>
      </c>
      <c r="U2179" s="28" t="str">
        <f>+IF(COUNTIFS('Raw Period DMR Data'!$A:$A,B2179,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79" s="28" t="str" cm="1">
        <f t="array" ref="V2179">IFERROR(INDEX('Raw Period DMR Data'!N:N,MATCH(1,(B2179='Raw Period DMR Data'!$A:$A)*(U2179='Raw Period DMR Data'!M:M)*(X2179='Raw Period DMR Data'!C:C),0),1), "N/A")</f>
        <v>N/A</v>
      </c>
      <c r="W2179" s="28" t="s">
        <v>1463</v>
      </c>
      <c r="X2179" s="28" t="s">
        <v>2190</v>
      </c>
      <c r="Y2179" s="28" t="s">
        <v>2191</v>
      </c>
      <c r="Z2179" s="61">
        <v>2040104000718</v>
      </c>
      <c r="AB2179" s="28" t="s">
        <v>7355</v>
      </c>
      <c r="AC2179" s="28" t="s">
        <v>1466</v>
      </c>
    </row>
    <row r="2180" spans="1:29" x14ac:dyDescent="0.25">
      <c r="A2180" s="61">
        <v>110013848453</v>
      </c>
      <c r="B2180" s="28">
        <v>2023</v>
      </c>
      <c r="C2180" s="68">
        <f t="shared" si="34"/>
        <v>44927</v>
      </c>
      <c r="D2180" s="28" t="s">
        <v>1334</v>
      </c>
      <c r="E2180" s="28" t="s">
        <v>2193</v>
      </c>
      <c r="F2180" s="28" t="s">
        <v>1335</v>
      </c>
      <c r="G2180" s="28" t="s">
        <v>366</v>
      </c>
      <c r="H2180" s="28" t="s">
        <v>2194</v>
      </c>
      <c r="I2180" s="28">
        <v>36.963245999999998</v>
      </c>
      <c r="J2180" s="28">
        <v>-122.034009</v>
      </c>
      <c r="L2180" s="61">
        <v>110013848453</v>
      </c>
      <c r="M2180" s="28" t="s">
        <v>263</v>
      </c>
      <c r="N2180" s="28">
        <v>4952</v>
      </c>
      <c r="O2180" s="28" t="str">
        <f>IFERROR(VLOOKUP(N2180, 'SIC &amp; NAICS Codes'!A:B, 2, FALSE), "")</f>
        <v>Sewerage Systems</v>
      </c>
      <c r="S2180" s="28">
        <v>0.1037379174</v>
      </c>
      <c r="T2180" s="315">
        <f>_xlfn.MAXIFS('Raw Period DMR Data'!$O:$O,'Raw Period DMR Data'!$A:$A,'Raw Annual DMR Data_2021-2024'!#REF!,'Raw Period DMR Data'!$C:$C,X2180)/S2180</f>
        <v>0</v>
      </c>
      <c r="U2180" s="28" t="str">
        <f>+IF(COUNTIFS('Raw Period DMR Data'!$A:$A,B2180,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80" s="28" t="str" cm="1">
        <f t="array" ref="V2180">IFERROR(INDEX('Raw Period DMR Data'!N:N,MATCH(1,(B2180='Raw Period DMR Data'!$A:$A)*(U2180='Raw Period DMR Data'!M:M)*(X2180='Raw Period DMR Data'!C:C),0),1), "N/A")</f>
        <v>N/A</v>
      </c>
      <c r="W2180" s="28" t="s">
        <v>1463</v>
      </c>
      <c r="X2180" s="28" t="s">
        <v>2195</v>
      </c>
      <c r="Y2180" s="28" t="s">
        <v>2196</v>
      </c>
      <c r="Z2180" s="61">
        <v>18060015000054</v>
      </c>
      <c r="AB2180" s="28" t="s">
        <v>7355</v>
      </c>
      <c r="AC2180" s="28" t="s">
        <v>263</v>
      </c>
    </row>
    <row r="2181" spans="1:29" x14ac:dyDescent="0.25">
      <c r="A2181" s="61">
        <v>110013848453</v>
      </c>
      <c r="B2181" s="28">
        <v>2021</v>
      </c>
      <c r="C2181" s="68">
        <f t="shared" si="34"/>
        <v>44197</v>
      </c>
      <c r="D2181" s="28" t="s">
        <v>1334</v>
      </c>
      <c r="E2181" s="28" t="s">
        <v>2193</v>
      </c>
      <c r="F2181" s="28" t="s">
        <v>1335</v>
      </c>
      <c r="G2181" s="28" t="s">
        <v>366</v>
      </c>
      <c r="H2181" s="28" t="s">
        <v>2194</v>
      </c>
      <c r="I2181" s="28">
        <v>36.963245999999998</v>
      </c>
      <c r="J2181" s="28">
        <v>-122.034009</v>
      </c>
      <c r="L2181" s="61">
        <v>110013848453</v>
      </c>
      <c r="M2181" s="28" t="s">
        <v>263</v>
      </c>
      <c r="N2181" s="28">
        <v>4952</v>
      </c>
      <c r="O2181" s="28" t="str">
        <f>IFERROR(VLOOKUP(N2181, 'SIC &amp; NAICS Codes'!A:B, 2, FALSE), "")</f>
        <v>Sewerage Systems</v>
      </c>
      <c r="S2181" s="28">
        <v>9.8133498180000001E-2</v>
      </c>
      <c r="T2181" s="315">
        <f>_xlfn.MAXIFS('Raw Period DMR Data'!$O:$O,'Raw Period DMR Data'!$A:$A,'Raw Annual DMR Data_2021-2024'!#REF!,'Raw Period DMR Data'!$C:$C,X2181)/S2181</f>
        <v>0</v>
      </c>
      <c r="U2181" s="28" t="str">
        <f>+IF(COUNTIFS('Raw Period DMR Data'!$A:$A,B2181,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81" s="28" t="str" cm="1">
        <f t="array" ref="V2181">IFERROR(INDEX('Raw Period DMR Data'!N:N,MATCH(1,(B2181='Raw Period DMR Data'!$A:$A)*(U2181='Raw Period DMR Data'!M:M)*(X2181='Raw Period DMR Data'!C:C),0),1), "N/A")</f>
        <v>N/A</v>
      </c>
      <c r="W2181" s="28" t="s">
        <v>1463</v>
      </c>
      <c r="X2181" s="28" t="s">
        <v>2195</v>
      </c>
      <c r="Y2181" s="28" t="s">
        <v>2196</v>
      </c>
      <c r="Z2181" s="61">
        <v>18060015000054</v>
      </c>
      <c r="AA2181" s="28"/>
      <c r="AB2181" s="28" t="s">
        <v>7355</v>
      </c>
      <c r="AC2181" s="28" t="s">
        <v>263</v>
      </c>
    </row>
    <row r="2182" spans="1:29" x14ac:dyDescent="0.25">
      <c r="A2182" s="61">
        <v>110013848453</v>
      </c>
      <c r="B2182" s="28">
        <v>2024</v>
      </c>
      <c r="C2182" s="68">
        <f t="shared" si="34"/>
        <v>45292</v>
      </c>
      <c r="D2182" s="28" t="s">
        <v>1334</v>
      </c>
      <c r="E2182" s="28" t="s">
        <v>2193</v>
      </c>
      <c r="F2182" s="28" t="s">
        <v>1335</v>
      </c>
      <c r="G2182" s="28" t="s">
        <v>366</v>
      </c>
      <c r="H2182" s="28" t="s">
        <v>2194</v>
      </c>
      <c r="I2182" s="28">
        <v>36.963245999999998</v>
      </c>
      <c r="J2182" s="28">
        <v>-122.034009</v>
      </c>
      <c r="L2182" s="61">
        <v>110013848453</v>
      </c>
      <c r="M2182" s="28" t="s">
        <v>263</v>
      </c>
      <c r="N2182" s="28">
        <v>4952</v>
      </c>
      <c r="O2182" s="28" t="str">
        <f>IFERROR(VLOOKUP(N2182, 'SIC &amp; NAICS Codes'!A:B, 2, FALSE), "")</f>
        <v>Sewerage Systems</v>
      </c>
      <c r="S2182" s="28">
        <v>8.7358216350000004E-2</v>
      </c>
      <c r="T2182" s="315">
        <f>_xlfn.MAXIFS('Raw Period DMR Data'!$O:$O,'Raw Period DMR Data'!$A:$A,'Raw Annual DMR Data_2021-2024'!#REF!,'Raw Period DMR Data'!$C:$C,X2182)/S2182</f>
        <v>0</v>
      </c>
      <c r="U2182" s="28" t="str">
        <f>+IF(COUNTIFS('Raw Period DMR Data'!$A:$A,B2182,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82" s="28" t="str" cm="1">
        <f t="array" ref="V2182">IFERROR(INDEX('Raw Period DMR Data'!N:N,MATCH(1,(B2182='Raw Period DMR Data'!$A:$A)*(U2182='Raw Period DMR Data'!M:M)*(X2182='Raw Period DMR Data'!C:C),0),1), "N/A")</f>
        <v>N/A</v>
      </c>
      <c r="W2182" s="28" t="s">
        <v>1463</v>
      </c>
      <c r="X2182" s="28" t="s">
        <v>2195</v>
      </c>
      <c r="Y2182" s="28" t="s">
        <v>2196</v>
      </c>
      <c r="Z2182" s="61">
        <v>18060015000054</v>
      </c>
      <c r="AB2182" s="28" t="s">
        <v>7355</v>
      </c>
      <c r="AC2182" s="28" t="s">
        <v>263</v>
      </c>
    </row>
    <row r="2183" spans="1:29" x14ac:dyDescent="0.25">
      <c r="A2183" s="61">
        <v>110008476327</v>
      </c>
      <c r="B2183" s="28">
        <v>2021</v>
      </c>
      <c r="C2183" s="68">
        <f t="shared" ref="C2183:C2246" si="35">DATE(B2183, 1, 1)</f>
        <v>44197</v>
      </c>
      <c r="D2183" s="28" t="s">
        <v>1338</v>
      </c>
      <c r="E2183" s="28" t="s">
        <v>2201</v>
      </c>
      <c r="F2183" s="28" t="s">
        <v>1339</v>
      </c>
      <c r="G2183" s="28" t="s">
        <v>491</v>
      </c>
      <c r="H2183" s="28" t="s">
        <v>2202</v>
      </c>
      <c r="I2183" s="28">
        <v>41.452778000000002</v>
      </c>
      <c r="J2183" s="28">
        <v>-79.690278000000006</v>
      </c>
      <c r="K2183" s="28" t="s">
        <v>734</v>
      </c>
      <c r="L2183" s="61">
        <v>110008476327</v>
      </c>
      <c r="M2183" s="28" t="s">
        <v>265</v>
      </c>
      <c r="N2183" s="28">
        <v>2865</v>
      </c>
      <c r="O2183" s="28" t="str">
        <f>IFERROR(VLOOKUP(N2183, 'SIC &amp; NAICS Codes'!A:B, 2, FALSE), "")</f>
        <v>Cyclic Organic Crudes and Intermediates, and Organic Dyes and Pigments (aromatics)</v>
      </c>
      <c r="S2183" s="28">
        <v>1.077115E-2</v>
      </c>
      <c r="T2183" s="315">
        <f>_xlfn.MAXIFS('Raw Period DMR Data'!$O:$O,'Raw Period DMR Data'!$A:$A,'Raw Annual DMR Data_2021-2024'!#REF!,'Raw Period DMR Data'!$C:$C,X2183)/S2183</f>
        <v>0</v>
      </c>
      <c r="U2183" s="28" t="str">
        <f>+IF(COUNTIFS('Raw Period DMR Data'!$A:$A,B2183,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83" s="28" t="str" cm="1">
        <f t="array" ref="V2183">IFERROR(INDEX('Raw Period DMR Data'!N:N,MATCH(1,(B2183='Raw Period DMR Data'!$A:$A)*(U2183='Raw Period DMR Data'!M:M)*(X2183='Raw Period DMR Data'!C:C),0),1), "N/A")</f>
        <v>N/A</v>
      </c>
      <c r="W2183" s="28" t="s">
        <v>1463</v>
      </c>
      <c r="X2183" s="28" t="s">
        <v>2203</v>
      </c>
      <c r="Y2183" s="28" t="s">
        <v>2204</v>
      </c>
      <c r="Z2183" s="61">
        <v>5010003001287</v>
      </c>
      <c r="AA2183" s="28"/>
      <c r="AB2183" s="28" t="s">
        <v>7355</v>
      </c>
      <c r="AC2183" s="28" t="s">
        <v>1466</v>
      </c>
    </row>
    <row r="2184" spans="1:29" x14ac:dyDescent="0.25">
      <c r="A2184" s="61">
        <v>110008476327</v>
      </c>
      <c r="B2184" s="28">
        <v>2024</v>
      </c>
      <c r="C2184" s="68">
        <f t="shared" si="35"/>
        <v>45292</v>
      </c>
      <c r="D2184" s="28" t="s">
        <v>1338</v>
      </c>
      <c r="E2184" s="28" t="s">
        <v>2201</v>
      </c>
      <c r="F2184" s="28" t="s">
        <v>1339</v>
      </c>
      <c r="G2184" s="28" t="s">
        <v>491</v>
      </c>
      <c r="H2184" s="28" t="s">
        <v>2202</v>
      </c>
      <c r="I2184" s="28">
        <v>41.452778000000002</v>
      </c>
      <c r="J2184" s="28">
        <v>-79.690278000000006</v>
      </c>
      <c r="K2184" s="28" t="s">
        <v>734</v>
      </c>
      <c r="L2184" s="61">
        <v>110008476327</v>
      </c>
      <c r="M2184" s="28" t="s">
        <v>265</v>
      </c>
      <c r="N2184" s="28">
        <v>2865</v>
      </c>
      <c r="O2184" s="28" t="str">
        <f>IFERROR(VLOOKUP(N2184, 'SIC &amp; NAICS Codes'!A:B, 2, FALSE), "")</f>
        <v>Cyclic Organic Crudes and Intermediates, and Organic Dyes and Pigments (aromatics)</v>
      </c>
      <c r="S2184" s="28">
        <v>6.6283999999999996E-3</v>
      </c>
      <c r="T2184" s="315">
        <f>_xlfn.MAXIFS('Raw Period DMR Data'!$O:$O,'Raw Period DMR Data'!$A:$A,'Raw Annual DMR Data_2021-2024'!#REF!,'Raw Period DMR Data'!$C:$C,X2184)/S2184</f>
        <v>0</v>
      </c>
      <c r="U2184" s="28" t="str">
        <f>+IF(COUNTIFS('Raw Period DMR Data'!$A:$A,B2184,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84" s="28" t="str" cm="1">
        <f t="array" ref="V2184">IFERROR(INDEX('Raw Period DMR Data'!N:N,MATCH(1,(B2184='Raw Period DMR Data'!$A:$A)*(U2184='Raw Period DMR Data'!M:M)*(X2184='Raw Period DMR Data'!C:C),0),1), "N/A")</f>
        <v>N/A</v>
      </c>
      <c r="W2184" s="28" t="s">
        <v>1463</v>
      </c>
      <c r="X2184" s="28" t="s">
        <v>2203</v>
      </c>
      <c r="Y2184" s="28" t="s">
        <v>2204</v>
      </c>
      <c r="Z2184" s="61">
        <v>5010003001287</v>
      </c>
      <c r="AB2184" s="28" t="s">
        <v>7355</v>
      </c>
      <c r="AC2184" s="28" t="s">
        <v>1466</v>
      </c>
    </row>
    <row r="2185" spans="1:29" x14ac:dyDescent="0.25">
      <c r="A2185" s="61">
        <v>110008476327</v>
      </c>
      <c r="B2185" s="28">
        <v>2022</v>
      </c>
      <c r="C2185" s="68">
        <f t="shared" si="35"/>
        <v>44562</v>
      </c>
      <c r="D2185" s="28" t="s">
        <v>1338</v>
      </c>
      <c r="E2185" s="28" t="s">
        <v>2201</v>
      </c>
      <c r="F2185" s="28" t="s">
        <v>1339</v>
      </c>
      <c r="G2185" s="28" t="s">
        <v>491</v>
      </c>
      <c r="H2185" s="28" t="s">
        <v>2202</v>
      </c>
      <c r="I2185" s="28">
        <v>41.452778000000002</v>
      </c>
      <c r="J2185" s="28">
        <v>-79.690278000000006</v>
      </c>
      <c r="K2185" s="28" t="s">
        <v>734</v>
      </c>
      <c r="L2185" s="61">
        <v>110008476327</v>
      </c>
      <c r="M2185" s="28" t="s">
        <v>265</v>
      </c>
      <c r="N2185" s="28">
        <v>2865</v>
      </c>
      <c r="O2185" s="28" t="str">
        <f>IFERROR(VLOOKUP(N2185, 'SIC &amp; NAICS Codes'!A:B, 2, FALSE), "")</f>
        <v>Cyclic Organic Crudes and Intermediates, and Organic Dyes and Pigments (aromatics)</v>
      </c>
      <c r="S2185" s="28">
        <v>2.4856499999999998E-3</v>
      </c>
      <c r="T2185" s="315">
        <f>_xlfn.MAXIFS('Raw Period DMR Data'!$O:$O,'Raw Period DMR Data'!$A:$A,'Raw Annual DMR Data_2021-2024'!#REF!,'Raw Period DMR Data'!$C:$C,X2185)/S2185</f>
        <v>0</v>
      </c>
      <c r="U2185" s="28" t="str">
        <f>+IF(COUNTIFS('Raw Period DMR Data'!$A:$A,B2185,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85" s="28" t="str" cm="1">
        <f t="array" ref="V2185">IFERROR(INDEX('Raw Period DMR Data'!N:N,MATCH(1,(B2185='Raw Period DMR Data'!$A:$A)*(U2185='Raw Period DMR Data'!M:M)*(X2185='Raw Period DMR Data'!C:C),0),1), "N/A")</f>
        <v>N/A</v>
      </c>
      <c r="W2185" s="28" t="s">
        <v>1463</v>
      </c>
      <c r="X2185" s="28" t="s">
        <v>2203</v>
      </c>
      <c r="Y2185" s="28" t="s">
        <v>2204</v>
      </c>
      <c r="Z2185" s="61">
        <v>5010003001287</v>
      </c>
      <c r="AB2185" s="28" t="s">
        <v>7355</v>
      </c>
      <c r="AC2185" s="28" t="s">
        <v>1466</v>
      </c>
    </row>
    <row r="2186" spans="1:29" x14ac:dyDescent="0.25">
      <c r="A2186" s="61">
        <v>110008476327</v>
      </c>
      <c r="B2186" s="28">
        <v>2023</v>
      </c>
      <c r="C2186" s="68">
        <f t="shared" si="35"/>
        <v>44927</v>
      </c>
      <c r="D2186" s="28" t="s">
        <v>1338</v>
      </c>
      <c r="E2186" s="28" t="s">
        <v>2201</v>
      </c>
      <c r="F2186" s="28" t="s">
        <v>1339</v>
      </c>
      <c r="G2186" s="28" t="s">
        <v>491</v>
      </c>
      <c r="H2186" s="28" t="s">
        <v>2202</v>
      </c>
      <c r="I2186" s="28">
        <v>41.452778000000002</v>
      </c>
      <c r="J2186" s="28">
        <v>-79.690278000000006</v>
      </c>
      <c r="K2186" s="28" t="s">
        <v>734</v>
      </c>
      <c r="L2186" s="61">
        <v>110008476327</v>
      </c>
      <c r="M2186" s="28" t="s">
        <v>265</v>
      </c>
      <c r="N2186" s="28">
        <v>2865</v>
      </c>
      <c r="O2186" s="28" t="str">
        <f>IFERROR(VLOOKUP(N2186, 'SIC &amp; NAICS Codes'!A:B, 2, FALSE), "")</f>
        <v>Cyclic Organic Crudes and Intermediates, and Organic Dyes and Pigments (aromatics)</v>
      </c>
      <c r="S2186" s="28">
        <v>1.6570999999999999E-3</v>
      </c>
      <c r="T2186" s="315">
        <f>_xlfn.MAXIFS('Raw Period DMR Data'!$O:$O,'Raw Period DMR Data'!$A:$A,'Raw Annual DMR Data_2021-2024'!#REF!,'Raw Period DMR Data'!$C:$C,X2186)/S2186</f>
        <v>0</v>
      </c>
      <c r="U2186" s="28" t="str">
        <f>+IF(COUNTIFS('Raw Period DMR Data'!$A:$A,B2186,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86" s="28" t="str" cm="1">
        <f t="array" ref="V2186">IFERROR(INDEX('Raw Period DMR Data'!N:N,MATCH(1,(B2186='Raw Period DMR Data'!$A:$A)*(U2186='Raw Period DMR Data'!M:M)*(X2186='Raw Period DMR Data'!C:C),0),1), "N/A")</f>
        <v>N/A</v>
      </c>
      <c r="W2186" s="28" t="s">
        <v>1463</v>
      </c>
      <c r="X2186" s="28" t="s">
        <v>2203</v>
      </c>
      <c r="Y2186" s="28" t="s">
        <v>2204</v>
      </c>
      <c r="Z2186" s="61" t="s">
        <v>2205</v>
      </c>
      <c r="AB2186" s="28" t="s">
        <v>7355</v>
      </c>
      <c r="AC2186" s="28" t="s">
        <v>1466</v>
      </c>
    </row>
    <row r="2187" spans="1:29" x14ac:dyDescent="0.25">
      <c r="A2187" s="61">
        <v>110017418061</v>
      </c>
      <c r="B2187" s="28">
        <v>2021</v>
      </c>
      <c r="C2187" s="68">
        <f t="shared" si="35"/>
        <v>44197</v>
      </c>
      <c r="D2187" s="28" t="s">
        <v>6776</v>
      </c>
      <c r="E2187" s="28" t="s">
        <v>1953</v>
      </c>
      <c r="F2187" s="28" t="s">
        <v>446</v>
      </c>
      <c r="G2187" s="28" t="s">
        <v>303</v>
      </c>
      <c r="H2187" s="28">
        <v>70669</v>
      </c>
      <c r="I2187" s="28">
        <v>30.258800000000001</v>
      </c>
      <c r="J2187" s="28">
        <v>-93.293700000000001</v>
      </c>
      <c r="K2187" s="28" t="s">
        <v>723</v>
      </c>
      <c r="L2187" s="61">
        <v>110017418061</v>
      </c>
      <c r="M2187" s="28" t="s">
        <v>265</v>
      </c>
      <c r="N2187" s="28">
        <v>2869</v>
      </c>
      <c r="O2187" s="28" t="str">
        <f>IFERROR(VLOOKUP(N2187, 'SIC &amp; NAICS Codes'!A:B, 2, FALSE), "")</f>
        <v>Industrial Organic Chemicals, NEC (aliphatics)</v>
      </c>
      <c r="S2187" s="28">
        <v>487.838052</v>
      </c>
      <c r="T2187" s="315">
        <f>_xlfn.MAXIFS('Raw Period DMR Data'!$O:$O,'Raw Period DMR Data'!$A:$A,'Raw Annual DMR Data_2021-2024'!B2265,'Raw Period DMR Data'!$C:$C,X2187)/S2187</f>
        <v>0</v>
      </c>
      <c r="U2187" s="28" t="str">
        <f>+IF(COUNTIFS('Raw Period DMR Data'!$A:$A,B2187, 'Raw Period DMR Data'!C:C,'Raw Annual DMR Data_2021-2024'!X2265, 'Raw Period DMR Data'!M:M, "&gt;0")&gt;0,_xlfn.MAXIFS('Raw Period DMR Data'!M:M,'Raw Period DMR Data'!$A:$A,'Raw Annual DMR Data_2021-2024'!B2265,'Raw Period DMR Data'!C:C,'Raw Annual DMR Data_2021-2024'!X2265), "N/A - Period DMR Data Not Available")</f>
        <v>N/A - Period DMR Data Not Available</v>
      </c>
      <c r="V2187" s="28" t="str" cm="1">
        <f t="array" ref="V2187">IFERROR(INDEX('Raw Period DMR Data'!N:N,MATCH(1,(B2187='Raw Period DMR Data'!$A:$A)*(U2187='Raw Period DMR Data'!M:M)*(X2187='Raw Period DMR Data'!C:C),0),1), "N/A")</f>
        <v>N/A</v>
      </c>
      <c r="W2187" s="28" t="s">
        <v>1463</v>
      </c>
      <c r="X2187" s="28" t="s">
        <v>1954</v>
      </c>
      <c r="Y2187" s="28">
        <v>315</v>
      </c>
      <c r="Z2187" s="61">
        <v>8080206001238</v>
      </c>
      <c r="AA2187" s="28"/>
      <c r="AC2187" s="28" t="s">
        <v>1466</v>
      </c>
    </row>
    <row r="2188" spans="1:29" x14ac:dyDescent="0.25">
      <c r="A2188" s="61">
        <v>110017418061</v>
      </c>
      <c r="B2188" s="28">
        <v>2021</v>
      </c>
      <c r="C2188" s="68">
        <f t="shared" si="35"/>
        <v>44197</v>
      </c>
      <c r="D2188" s="28" t="s">
        <v>6776</v>
      </c>
      <c r="E2188" s="28" t="s">
        <v>1953</v>
      </c>
      <c r="F2188" s="28" t="s">
        <v>446</v>
      </c>
      <c r="G2188" s="28" t="s">
        <v>303</v>
      </c>
      <c r="H2188" s="28">
        <v>70669</v>
      </c>
      <c r="I2188" s="28">
        <v>30.258800000000001</v>
      </c>
      <c r="J2188" s="28">
        <v>-93.293700000000001</v>
      </c>
      <c r="K2188" s="28" t="s">
        <v>723</v>
      </c>
      <c r="L2188" s="61">
        <v>110017418061</v>
      </c>
      <c r="M2188" s="28" t="s">
        <v>265</v>
      </c>
      <c r="N2188" s="28">
        <v>2869</v>
      </c>
      <c r="O2188" s="28" t="str">
        <f>IFERROR(VLOOKUP(N2188, 'SIC &amp; NAICS Codes'!A:B, 2, FALSE), "")</f>
        <v>Industrial Organic Chemicals, NEC (aliphatics)</v>
      </c>
      <c r="S2188" s="28">
        <v>48.187559999999998</v>
      </c>
      <c r="T2188" s="315">
        <f>_xlfn.MAXIFS('Raw Period DMR Data'!$O:$O,'Raw Period DMR Data'!$A:$A,'Raw Annual DMR Data_2021-2024'!B2301,'Raw Period DMR Data'!$C:$C,X2188)/S2188</f>
        <v>0</v>
      </c>
      <c r="U2188" s="28" t="str">
        <f>+IF(COUNTIFS('Raw Period DMR Data'!$A:$A,B2188, 'Raw Period DMR Data'!C:C,'Raw Annual DMR Data_2021-2024'!X2301, 'Raw Period DMR Data'!M:M, "&gt;0")&gt;0,_xlfn.MAXIFS('Raw Period DMR Data'!M:M,'Raw Period DMR Data'!$A:$A,'Raw Annual DMR Data_2021-2024'!B2301,'Raw Period DMR Data'!C:C,'Raw Annual DMR Data_2021-2024'!X2301), "N/A - Period DMR Data Not Available")</f>
        <v>N/A - Period DMR Data Not Available</v>
      </c>
      <c r="V2188" s="28" t="str" cm="1">
        <f t="array" ref="V2188">IFERROR(INDEX('Raw Period DMR Data'!N:N,MATCH(1,(B2188='Raw Period DMR Data'!$A:$A)*(U2188='Raw Period DMR Data'!M:M)*(X2188='Raw Period DMR Data'!C:C),0),1), "N/A")</f>
        <v>N/A</v>
      </c>
      <c r="W2188" s="28" t="s">
        <v>1463</v>
      </c>
      <c r="X2188" s="28" t="s">
        <v>1954</v>
      </c>
      <c r="Y2188" s="28">
        <v>315</v>
      </c>
      <c r="Z2188" s="61">
        <v>8080206001238</v>
      </c>
      <c r="AA2188" s="28"/>
      <c r="AC2188" s="28" t="s">
        <v>1466</v>
      </c>
    </row>
    <row r="2189" spans="1:29" x14ac:dyDescent="0.25">
      <c r="A2189" s="61">
        <v>110017418061</v>
      </c>
      <c r="B2189" s="28">
        <v>2022</v>
      </c>
      <c r="C2189" s="68">
        <f t="shared" si="35"/>
        <v>44562</v>
      </c>
      <c r="D2189" s="28" t="s">
        <v>6776</v>
      </c>
      <c r="E2189" s="28" t="s">
        <v>1953</v>
      </c>
      <c r="F2189" s="28" t="s">
        <v>446</v>
      </c>
      <c r="G2189" s="28" t="s">
        <v>303</v>
      </c>
      <c r="H2189" s="28">
        <v>70669</v>
      </c>
      <c r="I2189" s="28">
        <v>30.258800000000001</v>
      </c>
      <c r="J2189" s="28">
        <v>-93.293700000000001</v>
      </c>
      <c r="K2189" s="28" t="s">
        <v>723</v>
      </c>
      <c r="L2189" s="61">
        <v>110017418061</v>
      </c>
      <c r="M2189" s="28" t="s">
        <v>265</v>
      </c>
      <c r="N2189" s="28">
        <v>2869</v>
      </c>
      <c r="O2189" s="28" t="str">
        <f>IFERROR(VLOOKUP(N2189, 'SIC &amp; NAICS Codes'!A:B, 2, FALSE), "")</f>
        <v>Industrial Organic Chemicals, NEC (aliphatics)</v>
      </c>
      <c r="S2189" s="28">
        <v>3.1890139</v>
      </c>
      <c r="T2189" s="315">
        <f>_xlfn.MAXIFS('Raw Period DMR Data'!$O:$O,'Raw Period DMR Data'!$A:$A,'Raw Annual DMR Data_2021-2024'!#REF!,'Raw Period DMR Data'!$C:$C,X2189)/S2189</f>
        <v>0</v>
      </c>
      <c r="U2189" s="28" t="str">
        <f>+IF(COUNTIFS('Raw Period DMR Data'!$A:$A,B2189,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89" s="28" t="str" cm="1">
        <f t="array" ref="V2189">IFERROR(INDEX('Raw Period DMR Data'!N:N,MATCH(1,(B2189='Raw Period DMR Data'!$A:$A)*(U2189='Raw Period DMR Data'!M:M)*(X2189='Raw Period DMR Data'!C:C),0),1), "N/A")</f>
        <v>N/A</v>
      </c>
      <c r="W2189" s="28" t="s">
        <v>1463</v>
      </c>
      <c r="X2189" s="28" t="s">
        <v>1954</v>
      </c>
      <c r="Y2189" s="28">
        <v>315</v>
      </c>
      <c r="Z2189" s="61">
        <v>8080206001238</v>
      </c>
      <c r="AB2189" s="28" t="s">
        <v>7355</v>
      </c>
      <c r="AC2189" s="28" t="s">
        <v>1466</v>
      </c>
    </row>
    <row r="2190" spans="1:29" x14ac:dyDescent="0.25">
      <c r="A2190" s="61">
        <v>110017418061</v>
      </c>
      <c r="B2190" s="28">
        <v>2024</v>
      </c>
      <c r="C2190" s="68">
        <f t="shared" si="35"/>
        <v>45292</v>
      </c>
      <c r="D2190" s="28" t="s">
        <v>6776</v>
      </c>
      <c r="E2190" s="28" t="s">
        <v>1953</v>
      </c>
      <c r="F2190" s="28" t="s">
        <v>446</v>
      </c>
      <c r="G2190" s="28" t="s">
        <v>303</v>
      </c>
      <c r="H2190" s="28">
        <v>70669</v>
      </c>
      <c r="I2190" s="28">
        <v>30.258800000000001</v>
      </c>
      <c r="J2190" s="28">
        <v>-93.293700000000001</v>
      </c>
      <c r="K2190" s="28" t="s">
        <v>723</v>
      </c>
      <c r="L2190" s="61">
        <v>110017418061</v>
      </c>
      <c r="M2190" s="28" t="s">
        <v>265</v>
      </c>
      <c r="N2190" s="28">
        <v>2869</v>
      </c>
      <c r="O2190" s="28" t="str">
        <f>IFERROR(VLOOKUP(N2190, 'SIC &amp; NAICS Codes'!A:B, 2, FALSE), "")</f>
        <v>Industrial Organic Chemicals, NEC (aliphatics)</v>
      </c>
      <c r="S2190" s="28">
        <v>1.5823116800000001</v>
      </c>
      <c r="T2190" s="315">
        <f>_xlfn.MAXIFS('Raw Period DMR Data'!$O:$O,'Raw Period DMR Data'!$A:$A,'Raw Annual DMR Data_2021-2024'!#REF!,'Raw Period DMR Data'!$C:$C,X2190)/S2190</f>
        <v>0</v>
      </c>
      <c r="U2190" s="28" t="str">
        <f>+IF(COUNTIFS('Raw Period DMR Data'!$A:$A,B2190,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90" s="28" t="str" cm="1">
        <f t="array" ref="V2190">IFERROR(INDEX('Raw Period DMR Data'!N:N,MATCH(1,(B2190='Raw Period DMR Data'!$A:$A)*(U2190='Raw Period DMR Data'!M:M)*(X2190='Raw Period DMR Data'!C:C),0),1), "N/A")</f>
        <v>N/A</v>
      </c>
      <c r="W2190" s="28" t="s">
        <v>1463</v>
      </c>
      <c r="X2190" s="28" t="s">
        <v>1954</v>
      </c>
      <c r="Y2190" s="28">
        <v>315</v>
      </c>
      <c r="Z2190" s="61">
        <v>8080206001238</v>
      </c>
      <c r="AC2190" s="28" t="s">
        <v>1466</v>
      </c>
    </row>
    <row r="2191" spans="1:29" x14ac:dyDescent="0.25">
      <c r="A2191" s="61">
        <v>110017418061</v>
      </c>
      <c r="B2191" s="28">
        <v>2022</v>
      </c>
      <c r="C2191" s="68">
        <f t="shared" si="35"/>
        <v>44562</v>
      </c>
      <c r="D2191" s="28" t="s">
        <v>6776</v>
      </c>
      <c r="E2191" s="28" t="s">
        <v>1953</v>
      </c>
      <c r="F2191" s="28" t="s">
        <v>446</v>
      </c>
      <c r="G2191" s="28" t="s">
        <v>303</v>
      </c>
      <c r="H2191" s="28">
        <v>70669</v>
      </c>
      <c r="I2191" s="28">
        <v>30.258800000000001</v>
      </c>
      <c r="J2191" s="28">
        <v>-93.293700000000001</v>
      </c>
      <c r="K2191" s="28" t="s">
        <v>723</v>
      </c>
      <c r="L2191" s="61">
        <v>110017418061</v>
      </c>
      <c r="M2191" s="28" t="s">
        <v>265</v>
      </c>
      <c r="N2191" s="28">
        <v>2869</v>
      </c>
      <c r="O2191" s="28" t="str">
        <f>IFERROR(VLOOKUP(N2191, 'SIC &amp; NAICS Codes'!A:B, 2, FALSE), "")</f>
        <v>Industrial Organic Chemicals, NEC (aliphatics)</v>
      </c>
      <c r="S2191" s="28">
        <v>1.114304</v>
      </c>
      <c r="T2191" s="315">
        <f>_xlfn.MAXIFS('Raw Period DMR Data'!$O:$O,'Raw Period DMR Data'!$A:$A,'Raw Annual DMR Data_2021-2024'!#REF!,'Raw Period DMR Data'!$C:$C,X2191)/S2191</f>
        <v>0</v>
      </c>
      <c r="U2191" s="28" t="str">
        <f>+IF(COUNTIFS('Raw Period DMR Data'!$A:$A,B2191,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91" s="28" t="str" cm="1">
        <f t="array" ref="V2191">IFERROR(INDEX('Raw Period DMR Data'!N:N,MATCH(1,(B2191='Raw Period DMR Data'!$A:$A)*(U2191='Raw Period DMR Data'!M:M)*(X2191='Raw Period DMR Data'!C:C),0),1), "N/A")</f>
        <v>N/A</v>
      </c>
      <c r="W2191" s="28" t="s">
        <v>1463</v>
      </c>
      <c r="X2191" s="28" t="s">
        <v>1954</v>
      </c>
      <c r="Y2191" s="28">
        <v>315</v>
      </c>
      <c r="Z2191" s="61">
        <v>8080206001238</v>
      </c>
      <c r="AB2191" s="28" t="s">
        <v>7355</v>
      </c>
      <c r="AC2191" s="28" t="s">
        <v>1466</v>
      </c>
    </row>
    <row r="2192" spans="1:29" x14ac:dyDescent="0.25">
      <c r="A2192" s="61">
        <v>110017418061</v>
      </c>
      <c r="B2192" s="28">
        <v>2022</v>
      </c>
      <c r="C2192" s="68">
        <f t="shared" si="35"/>
        <v>44562</v>
      </c>
      <c r="D2192" s="28" t="s">
        <v>6776</v>
      </c>
      <c r="E2192" s="28" t="s">
        <v>1953</v>
      </c>
      <c r="F2192" s="28" t="s">
        <v>446</v>
      </c>
      <c r="G2192" s="28" t="s">
        <v>303</v>
      </c>
      <c r="H2192" s="28">
        <v>70669</v>
      </c>
      <c r="I2192" s="28">
        <v>30.258800000000001</v>
      </c>
      <c r="J2192" s="28">
        <v>-93.293700000000001</v>
      </c>
      <c r="K2192" s="28" t="s">
        <v>723</v>
      </c>
      <c r="L2192" s="61">
        <v>110017418061</v>
      </c>
      <c r="M2192" s="28" t="s">
        <v>265</v>
      </c>
      <c r="N2192" s="28">
        <v>2869</v>
      </c>
      <c r="O2192" s="28" t="str">
        <f>IFERROR(VLOOKUP(N2192, 'SIC &amp; NAICS Codes'!A:B, 2, FALSE), "")</f>
        <v>Industrial Organic Chemicals, NEC (aliphatics)</v>
      </c>
      <c r="S2192" s="28">
        <v>0.80090600000000001</v>
      </c>
      <c r="T2192" s="315">
        <f>_xlfn.MAXIFS('Raw Period DMR Data'!$O:$O,'Raw Period DMR Data'!$A:$A,'Raw Annual DMR Data_2021-2024'!#REF!,'Raw Period DMR Data'!$C:$C,X2192)/S2192</f>
        <v>0</v>
      </c>
      <c r="U2192" s="28" t="str">
        <f>+IF(COUNTIFS('Raw Period DMR Data'!$A:$A,B2192,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92" s="28" t="str" cm="1">
        <f t="array" ref="V2192">IFERROR(INDEX('Raw Period DMR Data'!N:N,MATCH(1,(B2192='Raw Period DMR Data'!$A:$A)*(U2192='Raw Period DMR Data'!M:M)*(X2192='Raw Period DMR Data'!C:C),0),1), "N/A")</f>
        <v>N/A</v>
      </c>
      <c r="W2192" s="28" t="s">
        <v>1463</v>
      </c>
      <c r="X2192" s="28" t="s">
        <v>1954</v>
      </c>
      <c r="Y2192" s="28">
        <v>315</v>
      </c>
      <c r="Z2192" s="61">
        <v>8080206001238</v>
      </c>
      <c r="AB2192" s="28" t="s">
        <v>7355</v>
      </c>
      <c r="AC2192" s="28" t="s">
        <v>1466</v>
      </c>
    </row>
    <row r="2193" spans="1:29" x14ac:dyDescent="0.25">
      <c r="A2193" s="61">
        <v>110017418061</v>
      </c>
      <c r="B2193" s="28">
        <v>2023</v>
      </c>
      <c r="C2193" s="68">
        <f t="shared" si="35"/>
        <v>44927</v>
      </c>
      <c r="D2193" s="28" t="s">
        <v>6776</v>
      </c>
      <c r="E2193" s="28" t="s">
        <v>1953</v>
      </c>
      <c r="F2193" s="28" t="s">
        <v>446</v>
      </c>
      <c r="G2193" s="28" t="s">
        <v>303</v>
      </c>
      <c r="H2193" s="28">
        <v>70669</v>
      </c>
      <c r="I2193" s="28">
        <v>30.258800000000001</v>
      </c>
      <c r="J2193" s="28">
        <v>-93.293700000000001</v>
      </c>
      <c r="K2193" s="28" t="s">
        <v>723</v>
      </c>
      <c r="L2193" s="61">
        <v>110017418061</v>
      </c>
      <c r="M2193" s="28" t="s">
        <v>265</v>
      </c>
      <c r="N2193" s="28">
        <v>2869</v>
      </c>
      <c r="O2193" s="28" t="str">
        <f>IFERROR(VLOOKUP(N2193, 'SIC &amp; NAICS Codes'!A:B, 2, FALSE), "")</f>
        <v>Industrial Organic Chemicals, NEC (aliphatics)</v>
      </c>
      <c r="S2193" s="28">
        <v>0.56829503999999997</v>
      </c>
      <c r="T2193" s="315">
        <f>_xlfn.MAXIFS('Raw Period DMR Data'!$O:$O,'Raw Period DMR Data'!$A:$A,'Raw Annual DMR Data_2021-2024'!#REF!,'Raw Period DMR Data'!$C:$C,X2193)/S2193</f>
        <v>0</v>
      </c>
      <c r="U2193" s="28" t="str">
        <f>+IF(COUNTIFS('Raw Period DMR Data'!$A:$A,B2193,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93" s="28" t="str" cm="1">
        <f t="array" ref="V2193">IFERROR(INDEX('Raw Period DMR Data'!N:N,MATCH(1,(B2193='Raw Period DMR Data'!$A:$A)*(U2193='Raw Period DMR Data'!M:M)*(X2193='Raw Period DMR Data'!C:C),0),1), "N/A")</f>
        <v>N/A</v>
      </c>
      <c r="W2193" s="28" t="s">
        <v>1463</v>
      </c>
      <c r="X2193" s="28" t="s">
        <v>1954</v>
      </c>
      <c r="Y2193" s="28" t="s">
        <v>1733</v>
      </c>
      <c r="Z2193" s="61">
        <v>8080206001238</v>
      </c>
      <c r="AC2193" s="28" t="s">
        <v>1466</v>
      </c>
    </row>
    <row r="2194" spans="1:29" x14ac:dyDescent="0.25">
      <c r="A2194" s="61">
        <v>110017418061</v>
      </c>
      <c r="B2194" s="28">
        <v>2022</v>
      </c>
      <c r="C2194" s="68">
        <f t="shared" si="35"/>
        <v>44562</v>
      </c>
      <c r="D2194" s="28" t="s">
        <v>6776</v>
      </c>
      <c r="E2194" s="28" t="s">
        <v>1953</v>
      </c>
      <c r="F2194" s="28" t="s">
        <v>446</v>
      </c>
      <c r="G2194" s="28" t="s">
        <v>303</v>
      </c>
      <c r="H2194" s="28">
        <v>70669</v>
      </c>
      <c r="I2194" s="28">
        <v>30.258800000000001</v>
      </c>
      <c r="J2194" s="28">
        <v>-93.293700000000001</v>
      </c>
      <c r="K2194" s="28" t="s">
        <v>723</v>
      </c>
      <c r="L2194" s="61">
        <v>110017418061</v>
      </c>
      <c r="M2194" s="28" t="s">
        <v>265</v>
      </c>
      <c r="N2194" s="28">
        <v>2869</v>
      </c>
      <c r="O2194" s="28" t="str">
        <f>IFERROR(VLOOKUP(N2194, 'SIC &amp; NAICS Codes'!A:B, 2, FALSE), "")</f>
        <v>Industrial Organic Chemicals, NEC (aliphatics)</v>
      </c>
      <c r="S2194" s="28">
        <v>0.55715199999999998</v>
      </c>
      <c r="T2194" s="315">
        <f>_xlfn.MAXIFS('Raw Period DMR Data'!$O:$O,'Raw Period DMR Data'!$A:$A,'Raw Annual DMR Data_2021-2024'!#REF!,'Raw Period DMR Data'!$C:$C,X2194)/S2194</f>
        <v>0</v>
      </c>
      <c r="U2194" s="28" t="str">
        <f>+IF(COUNTIFS('Raw Period DMR Data'!$A:$A,B2194,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94" s="28" t="str" cm="1">
        <f t="array" ref="V2194">IFERROR(INDEX('Raw Period DMR Data'!N:N,MATCH(1,(B2194='Raw Period DMR Data'!$A:$A)*(U2194='Raw Period DMR Data'!M:M)*(X2194='Raw Period DMR Data'!C:C),0),1), "N/A")</f>
        <v>N/A</v>
      </c>
      <c r="W2194" s="28" t="s">
        <v>1463</v>
      </c>
      <c r="X2194" s="28" t="s">
        <v>1954</v>
      </c>
      <c r="Y2194" s="28">
        <v>315</v>
      </c>
      <c r="Z2194" s="61">
        <v>8080206001238</v>
      </c>
      <c r="AB2194" s="28" t="s">
        <v>7355</v>
      </c>
      <c r="AC2194" s="28" t="s">
        <v>1466</v>
      </c>
    </row>
    <row r="2195" spans="1:29" x14ac:dyDescent="0.25">
      <c r="A2195" s="61">
        <v>110017418061</v>
      </c>
      <c r="B2195" s="28">
        <v>2022</v>
      </c>
      <c r="C2195" s="68">
        <f t="shared" si="35"/>
        <v>44562</v>
      </c>
      <c r="D2195" s="28" t="s">
        <v>6776</v>
      </c>
      <c r="E2195" s="28" t="s">
        <v>1953</v>
      </c>
      <c r="F2195" s="28" t="s">
        <v>446</v>
      </c>
      <c r="G2195" s="28" t="s">
        <v>303</v>
      </c>
      <c r="H2195" s="28">
        <v>70669</v>
      </c>
      <c r="I2195" s="28">
        <v>30.258800000000001</v>
      </c>
      <c r="J2195" s="28">
        <v>-93.293700000000001</v>
      </c>
      <c r="K2195" s="28" t="s">
        <v>723</v>
      </c>
      <c r="L2195" s="61">
        <v>110017418061</v>
      </c>
      <c r="M2195" s="28" t="s">
        <v>265</v>
      </c>
      <c r="N2195" s="28">
        <v>2869</v>
      </c>
      <c r="O2195" s="28" t="str">
        <f>IFERROR(VLOOKUP(N2195, 'SIC &amp; NAICS Codes'!A:B, 2, FALSE), "")</f>
        <v>Industrial Organic Chemicals, NEC (aliphatics)</v>
      </c>
      <c r="S2195" s="28">
        <v>0.52232999999999996</v>
      </c>
      <c r="T2195" s="315">
        <f>_xlfn.MAXIFS('Raw Period DMR Data'!$O:$O,'Raw Period DMR Data'!$A:$A,'Raw Annual DMR Data_2021-2024'!#REF!,'Raw Period DMR Data'!$C:$C,X2195)/S2195</f>
        <v>0</v>
      </c>
      <c r="U2195" s="28" t="str">
        <f>+IF(COUNTIFS('Raw Period DMR Data'!$A:$A,B2195,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95" s="28" t="str" cm="1">
        <f t="array" ref="V2195">IFERROR(INDEX('Raw Period DMR Data'!N:N,MATCH(1,(B2195='Raw Period DMR Data'!$A:$A)*(U2195='Raw Period DMR Data'!M:M)*(X2195='Raw Period DMR Data'!C:C),0),1), "N/A")</f>
        <v>N/A</v>
      </c>
      <c r="W2195" s="28" t="s">
        <v>1463</v>
      </c>
      <c r="X2195" s="28" t="s">
        <v>1954</v>
      </c>
      <c r="Y2195" s="28">
        <v>315</v>
      </c>
      <c r="Z2195" s="61">
        <v>8080206001238</v>
      </c>
      <c r="AB2195" s="28" t="s">
        <v>7355</v>
      </c>
      <c r="AC2195" s="28" t="s">
        <v>1466</v>
      </c>
    </row>
    <row r="2196" spans="1:29" x14ac:dyDescent="0.25">
      <c r="A2196" s="61">
        <v>110017418061</v>
      </c>
      <c r="B2196" s="28">
        <v>2022</v>
      </c>
      <c r="C2196" s="68">
        <f t="shared" si="35"/>
        <v>44562</v>
      </c>
      <c r="D2196" s="28" t="s">
        <v>6776</v>
      </c>
      <c r="E2196" s="28" t="s">
        <v>1953</v>
      </c>
      <c r="F2196" s="28" t="s">
        <v>446</v>
      </c>
      <c r="G2196" s="28" t="s">
        <v>303</v>
      </c>
      <c r="H2196" s="28">
        <v>70669</v>
      </c>
      <c r="I2196" s="28">
        <v>30.258800000000001</v>
      </c>
      <c r="J2196" s="28">
        <v>-93.293700000000001</v>
      </c>
      <c r="K2196" s="28" t="s">
        <v>723</v>
      </c>
      <c r="L2196" s="61">
        <v>110017418061</v>
      </c>
      <c r="M2196" s="28" t="s">
        <v>265</v>
      </c>
      <c r="N2196" s="28">
        <v>2869</v>
      </c>
      <c r="O2196" s="28" t="str">
        <f>IFERROR(VLOOKUP(N2196, 'SIC &amp; NAICS Codes'!A:B, 2, FALSE), "")</f>
        <v>Industrial Organic Chemicals, NEC (aliphatics)</v>
      </c>
      <c r="S2196" s="28">
        <v>0.27857599999999999</v>
      </c>
      <c r="T2196" s="315">
        <f>_xlfn.MAXIFS('Raw Period DMR Data'!$O:$O,'Raw Period DMR Data'!$A:$A,'Raw Annual DMR Data_2021-2024'!#REF!,'Raw Period DMR Data'!$C:$C,X2196)/S2196</f>
        <v>0</v>
      </c>
      <c r="U2196" s="28" t="str">
        <f>+IF(COUNTIFS('Raw Period DMR Data'!$A:$A,B2196,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96" s="28" t="str" cm="1">
        <f t="array" ref="V2196">IFERROR(INDEX('Raw Period DMR Data'!N:N,MATCH(1,(B2196='Raw Period DMR Data'!$A:$A)*(U2196='Raw Period DMR Data'!M:M)*(X2196='Raw Period DMR Data'!C:C),0),1), "N/A")</f>
        <v>N/A</v>
      </c>
      <c r="W2196" s="28" t="s">
        <v>1463</v>
      </c>
      <c r="X2196" s="28" t="s">
        <v>1954</v>
      </c>
      <c r="Y2196" s="28">
        <v>315</v>
      </c>
      <c r="Z2196" s="61">
        <v>8080206001238</v>
      </c>
      <c r="AB2196" s="28" t="s">
        <v>7355</v>
      </c>
      <c r="AC2196" s="28" t="s">
        <v>1466</v>
      </c>
    </row>
    <row r="2197" spans="1:29" x14ac:dyDescent="0.25">
      <c r="A2197" s="61">
        <v>110070218704</v>
      </c>
      <c r="B2197" s="28">
        <v>2024</v>
      </c>
      <c r="C2197" s="68">
        <f t="shared" si="35"/>
        <v>45292</v>
      </c>
      <c r="D2197" s="28" t="s">
        <v>1340</v>
      </c>
      <c r="E2197" s="28" t="s">
        <v>2206</v>
      </c>
      <c r="F2197" s="28" t="s">
        <v>1341</v>
      </c>
      <c r="G2197" s="28" t="s">
        <v>338</v>
      </c>
      <c r="H2197" s="28">
        <v>7041</v>
      </c>
      <c r="I2197" s="28">
        <v>40.723140000000001</v>
      </c>
      <c r="J2197" s="28">
        <v>-74.310130000000001</v>
      </c>
      <c r="L2197" s="61">
        <v>110070218704</v>
      </c>
      <c r="M2197" s="28" t="s">
        <v>265</v>
      </c>
      <c r="O2197" s="28" t="str">
        <f>IFERROR(VLOOKUP(N2197, 'SIC &amp; NAICS Codes'!A:B, 2, FALSE), "")</f>
        <v/>
      </c>
      <c r="S2197" s="28">
        <v>2.5571664390000001E-4</v>
      </c>
      <c r="T2197" s="315">
        <f>_xlfn.MAXIFS('Raw Period DMR Data'!$O:$O,'Raw Period DMR Data'!$A:$A,'Raw Annual DMR Data_2021-2024'!#REF!,'Raw Period DMR Data'!$C:$C,X2197)/S2197</f>
        <v>0</v>
      </c>
      <c r="U2197" s="28" t="str">
        <f>+IF(COUNTIFS('Raw Period DMR Data'!$A:$A,B2197,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97" s="28" t="str" cm="1">
        <f t="array" ref="V2197">IFERROR(INDEX('Raw Period DMR Data'!N:N,MATCH(1,(B2197='Raw Period DMR Data'!$A:$A)*(U2197='Raw Period DMR Data'!M:M)*(X2197='Raw Period DMR Data'!C:C),0),1), "N/A")</f>
        <v>N/A</v>
      </c>
      <c r="W2197" s="28" t="s">
        <v>1463</v>
      </c>
      <c r="X2197" s="28" t="s">
        <v>2207</v>
      </c>
      <c r="Y2197" s="28" t="s">
        <v>2208</v>
      </c>
      <c r="Z2197" s="61">
        <v>2030104000062</v>
      </c>
      <c r="AB2197" s="28" t="s">
        <v>7355</v>
      </c>
      <c r="AC2197" s="28" t="s">
        <v>1466</v>
      </c>
    </row>
    <row r="2198" spans="1:29" x14ac:dyDescent="0.25">
      <c r="A2198" s="61">
        <v>110070218704</v>
      </c>
      <c r="B2198" s="28">
        <v>2021</v>
      </c>
      <c r="C2198" s="68">
        <f t="shared" si="35"/>
        <v>44197</v>
      </c>
      <c r="D2198" s="28" t="s">
        <v>1340</v>
      </c>
      <c r="E2198" s="28" t="s">
        <v>2206</v>
      </c>
      <c r="F2198" s="28" t="s">
        <v>1341</v>
      </c>
      <c r="G2198" s="28" t="s">
        <v>338</v>
      </c>
      <c r="H2198" s="28">
        <v>7041</v>
      </c>
      <c r="I2198" s="28">
        <v>40.723140000000001</v>
      </c>
      <c r="J2198" s="28">
        <v>-74.310130000000001</v>
      </c>
      <c r="L2198" s="61">
        <v>110070218704</v>
      </c>
      <c r="M2198" s="28" t="s">
        <v>265</v>
      </c>
      <c r="O2198" s="28" t="str">
        <f>IFERROR(VLOOKUP(N2198, 'SIC &amp; NAICS Codes'!A:B, 2, FALSE), "")</f>
        <v/>
      </c>
      <c r="S2198" s="28">
        <v>5.7690667199999999E-5</v>
      </c>
      <c r="T2198" s="315">
        <f>_xlfn.MAXIFS('Raw Period DMR Data'!$O:$O,'Raw Period DMR Data'!$A:$A,'Raw Annual DMR Data_2021-2024'!#REF!,'Raw Period DMR Data'!$C:$C,X2198)/S2198</f>
        <v>0</v>
      </c>
      <c r="U2198" s="28" t="str">
        <f>+IF(COUNTIFS('Raw Period DMR Data'!$A:$A,B2198,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98" s="28" t="str" cm="1">
        <f t="array" ref="V2198">IFERROR(INDEX('Raw Period DMR Data'!N:N,MATCH(1,(B2198='Raw Period DMR Data'!$A:$A)*(U2198='Raw Period DMR Data'!M:M)*(X2198='Raw Period DMR Data'!C:C),0),1), "N/A")</f>
        <v>N/A</v>
      </c>
      <c r="W2198" s="28" t="s">
        <v>1463</v>
      </c>
      <c r="X2198" s="28" t="s">
        <v>2207</v>
      </c>
      <c r="Y2198" s="28" t="s">
        <v>2208</v>
      </c>
      <c r="Z2198" s="61">
        <v>2030104000062</v>
      </c>
      <c r="AA2198" s="28"/>
      <c r="AB2198" s="28" t="s">
        <v>7355</v>
      </c>
      <c r="AC2198" s="28" t="s">
        <v>1466</v>
      </c>
    </row>
    <row r="2199" spans="1:29" x14ac:dyDescent="0.25">
      <c r="A2199" s="61">
        <v>110070218704</v>
      </c>
      <c r="B2199" s="28">
        <v>2022</v>
      </c>
      <c r="C2199" s="68">
        <f t="shared" si="35"/>
        <v>44562</v>
      </c>
      <c r="D2199" s="28" t="s">
        <v>1340</v>
      </c>
      <c r="E2199" s="28" t="s">
        <v>2206</v>
      </c>
      <c r="F2199" s="28" t="s">
        <v>1341</v>
      </c>
      <c r="G2199" s="28" t="s">
        <v>338</v>
      </c>
      <c r="H2199" s="28">
        <v>7041</v>
      </c>
      <c r="I2199" s="28">
        <v>40.723140000000001</v>
      </c>
      <c r="J2199" s="28">
        <v>-74.310130000000001</v>
      </c>
      <c r="L2199" s="61">
        <v>110070218704</v>
      </c>
      <c r="M2199" s="28" t="s">
        <v>265</v>
      </c>
      <c r="O2199" s="28" t="str">
        <f>IFERROR(VLOOKUP(N2199, 'SIC &amp; NAICS Codes'!A:B, 2, FALSE), "")</f>
        <v/>
      </c>
      <c r="S2199" s="28">
        <v>4.9351214550000002E-5</v>
      </c>
      <c r="T2199" s="315">
        <f>_xlfn.MAXIFS('Raw Period DMR Data'!$O:$O,'Raw Period DMR Data'!$A:$A,'Raw Annual DMR Data_2021-2024'!#REF!,'Raw Period DMR Data'!$C:$C,X2199)/S2199</f>
        <v>0</v>
      </c>
      <c r="U2199" s="28" t="str">
        <f>+IF(COUNTIFS('Raw Period DMR Data'!$A:$A,B2199,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99" s="28" t="str" cm="1">
        <f t="array" ref="V2199">IFERROR(INDEX('Raw Period DMR Data'!N:N,MATCH(1,(B2199='Raw Period DMR Data'!$A:$A)*(U2199='Raw Period DMR Data'!M:M)*(X2199='Raw Period DMR Data'!C:C),0),1), "N/A")</f>
        <v>N/A</v>
      </c>
      <c r="W2199" s="28" t="s">
        <v>1463</v>
      </c>
      <c r="X2199" s="28" t="s">
        <v>2207</v>
      </c>
      <c r="Y2199" s="28" t="s">
        <v>2208</v>
      </c>
      <c r="Z2199" s="61">
        <v>2030104000062</v>
      </c>
      <c r="AB2199" s="28" t="s">
        <v>7355</v>
      </c>
      <c r="AC2199" s="28" t="s">
        <v>1466</v>
      </c>
    </row>
    <row r="2200" spans="1:29" x14ac:dyDescent="0.25">
      <c r="A2200" s="61">
        <v>110070218704</v>
      </c>
      <c r="B2200" s="28">
        <v>2023</v>
      </c>
      <c r="C2200" s="68">
        <f t="shared" si="35"/>
        <v>44927</v>
      </c>
      <c r="D2200" s="28" t="s">
        <v>1340</v>
      </c>
      <c r="E2200" s="28" t="s">
        <v>2206</v>
      </c>
      <c r="F2200" s="28" t="s">
        <v>1341</v>
      </c>
      <c r="G2200" s="28" t="s">
        <v>338</v>
      </c>
      <c r="H2200" s="28" t="s">
        <v>7105</v>
      </c>
      <c r="I2200" s="28">
        <v>40.723140000000001</v>
      </c>
      <c r="J2200" s="28">
        <v>-74.310130000000001</v>
      </c>
      <c r="L2200" s="61">
        <v>110070218704</v>
      </c>
      <c r="M2200" s="28" t="s">
        <v>265</v>
      </c>
      <c r="O2200" s="28" t="str">
        <f>IFERROR(VLOOKUP(N2200, 'SIC &amp; NAICS Codes'!A:B, 2, FALSE), "")</f>
        <v/>
      </c>
      <c r="S2200" s="28">
        <v>4.4448693300000003E-5</v>
      </c>
      <c r="T2200" s="315">
        <f>_xlfn.MAXIFS('Raw Period DMR Data'!$O:$O,'Raw Period DMR Data'!$A:$A,'Raw Annual DMR Data_2021-2024'!#REF!,'Raw Period DMR Data'!$C:$C,X2200)/S2200</f>
        <v>0</v>
      </c>
      <c r="U2200" s="28" t="str">
        <f>+IF(COUNTIFS('Raw Period DMR Data'!$A:$A,B2200,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00" s="28" t="str" cm="1">
        <f t="array" ref="V2200">IFERROR(INDEX('Raw Period DMR Data'!N:N,MATCH(1,(B2200='Raw Period DMR Data'!$A:$A)*(U2200='Raw Period DMR Data'!M:M)*(X2200='Raw Period DMR Data'!C:C),0),1), "N/A")</f>
        <v>N/A</v>
      </c>
      <c r="W2200" s="28" t="s">
        <v>1463</v>
      </c>
      <c r="X2200" s="28" t="s">
        <v>2207</v>
      </c>
      <c r="Y2200" s="28" t="s">
        <v>2208</v>
      </c>
      <c r="Z2200" s="61" t="s">
        <v>7351</v>
      </c>
      <c r="AB2200" s="28" t="s">
        <v>7355</v>
      </c>
      <c r="AC2200" s="28" t="s">
        <v>1466</v>
      </c>
    </row>
    <row r="2201" spans="1:29" x14ac:dyDescent="0.25">
      <c r="A2201" s="61">
        <v>110071501940</v>
      </c>
      <c r="B2201" s="28">
        <v>2024</v>
      </c>
      <c r="C2201" s="68">
        <f t="shared" si="35"/>
        <v>45292</v>
      </c>
      <c r="D2201" s="28" t="s">
        <v>6882</v>
      </c>
      <c r="E2201" s="28" t="s">
        <v>7056</v>
      </c>
      <c r="F2201" s="28" t="s">
        <v>6991</v>
      </c>
      <c r="G2201" s="28" t="s">
        <v>308</v>
      </c>
      <c r="H2201" s="28">
        <v>2142</v>
      </c>
      <c r="I2201" s="28">
        <v>42.365363000000002</v>
      </c>
      <c r="J2201" s="28">
        <v>-71.087440999999998</v>
      </c>
      <c r="L2201" s="61">
        <v>110071501940</v>
      </c>
      <c r="M2201" s="28" t="s">
        <v>265</v>
      </c>
      <c r="N2201" s="28">
        <v>4959</v>
      </c>
      <c r="O2201" s="28" t="str">
        <f>IFERROR(VLOOKUP(N2201, 'SIC &amp; NAICS Codes'!A:B, 2, FALSE), "")</f>
        <v>Sanitary Services, NEC (vacuuming of runways)</v>
      </c>
      <c r="S2201" s="28">
        <v>3.11590567875E-2</v>
      </c>
      <c r="T2201" s="315">
        <f>_xlfn.MAXIFS('Raw Period DMR Data'!$O:$O,'Raw Period DMR Data'!$A:$A,'Raw Annual DMR Data_2021-2024'!#REF!,'Raw Period DMR Data'!$C:$C,X2201)/S2201</f>
        <v>0</v>
      </c>
      <c r="U2201" s="28" t="str">
        <f>+IF(COUNTIFS('Raw Period DMR Data'!$A:$A,B2201,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01" s="28" t="str" cm="1">
        <f t="array" ref="V2201">IFERROR(INDEX('Raw Period DMR Data'!N:N,MATCH(1,(B2201='Raw Period DMR Data'!$A:$A)*(U2201='Raw Period DMR Data'!M:M)*(X2201='Raw Period DMR Data'!C:C),0),1), "N/A")</f>
        <v>N/A</v>
      </c>
      <c r="W2201" s="28" t="s">
        <v>1463</v>
      </c>
      <c r="X2201" s="28" t="s">
        <v>7208</v>
      </c>
      <c r="Y2201" s="28" t="s">
        <v>7306</v>
      </c>
      <c r="Z2201" s="61"/>
      <c r="AA2201" s="60" t="s">
        <v>7355</v>
      </c>
      <c r="AB2201" s="28" t="s">
        <v>7355</v>
      </c>
      <c r="AC2201" s="28" t="s">
        <v>1466</v>
      </c>
    </row>
    <row r="2202" spans="1:29" x14ac:dyDescent="0.25">
      <c r="A2202" s="61">
        <v>110006657554</v>
      </c>
      <c r="B2202" s="28">
        <v>2024</v>
      </c>
      <c r="C2202" s="68">
        <f t="shared" si="35"/>
        <v>45292</v>
      </c>
      <c r="D2202" s="28" t="s">
        <v>6873</v>
      </c>
      <c r="E2202" s="28" t="s">
        <v>7042</v>
      </c>
      <c r="F2202" s="28" t="s">
        <v>7043</v>
      </c>
      <c r="G2202" s="28" t="s">
        <v>366</v>
      </c>
      <c r="H2202" s="28">
        <v>92273</v>
      </c>
      <c r="I2202" s="28">
        <v>32.7958</v>
      </c>
      <c r="J2202" s="28">
        <v>-115.6957</v>
      </c>
      <c r="L2202" s="61">
        <v>110006657554</v>
      </c>
      <c r="M2202" s="28" t="s">
        <v>263</v>
      </c>
      <c r="N2202" s="28">
        <v>4952</v>
      </c>
      <c r="O2202" s="28" t="str">
        <f>IFERROR(VLOOKUP(N2202, 'SIC &amp; NAICS Codes'!A:B, 2, FALSE), "")</f>
        <v>Sewerage Systems</v>
      </c>
      <c r="S2202" s="28">
        <v>1.0865694125E-2</v>
      </c>
      <c r="T2202" s="315">
        <f>_xlfn.MAXIFS('Raw Period DMR Data'!$O:$O,'Raw Period DMR Data'!$A:$A,'Raw Annual DMR Data_2021-2024'!#REF!,'Raw Period DMR Data'!$C:$C,X2202)/S2202</f>
        <v>0</v>
      </c>
      <c r="U2202" s="28" t="str">
        <f>+IF(COUNTIFS('Raw Period DMR Data'!$A:$A,B2202,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02" s="28" t="str" cm="1">
        <f t="array" ref="V2202">IFERROR(INDEX('Raw Period DMR Data'!N:N,MATCH(1,(B2202='Raw Period DMR Data'!$A:$A)*(U2202='Raw Period DMR Data'!M:M)*(X2202='Raw Period DMR Data'!C:C),0),1), "N/A")</f>
        <v>N/A</v>
      </c>
      <c r="W2202" s="28" t="s">
        <v>1463</v>
      </c>
      <c r="X2202" s="28" t="s">
        <v>7201</v>
      </c>
      <c r="Y2202" s="28" t="s">
        <v>795</v>
      </c>
      <c r="Z2202" s="61">
        <v>18100204010975</v>
      </c>
      <c r="AB2202" s="28" t="s">
        <v>7355</v>
      </c>
      <c r="AC2202" s="28" t="s">
        <v>263</v>
      </c>
    </row>
    <row r="2203" spans="1:29" x14ac:dyDescent="0.25">
      <c r="A2203" s="61">
        <v>110071501940</v>
      </c>
      <c r="B2203" s="28">
        <v>2023</v>
      </c>
      <c r="C2203" s="68">
        <f t="shared" si="35"/>
        <v>44927</v>
      </c>
      <c r="D2203" s="28" t="s">
        <v>6882</v>
      </c>
      <c r="E2203" s="28" t="s">
        <v>7056</v>
      </c>
      <c r="F2203" s="28" t="s">
        <v>6991</v>
      </c>
      <c r="G2203" s="28" t="s">
        <v>308</v>
      </c>
      <c r="H2203" s="28" t="s">
        <v>7089</v>
      </c>
      <c r="I2203" s="28">
        <v>42.365363000000002</v>
      </c>
      <c r="J2203" s="28">
        <v>-71.087440999999998</v>
      </c>
      <c r="L2203" s="61">
        <v>110071501940</v>
      </c>
      <c r="M2203" s="28" t="s">
        <v>265</v>
      </c>
      <c r="N2203" s="28">
        <v>4959</v>
      </c>
      <c r="O2203" s="28" t="str">
        <f>IFERROR(VLOOKUP(N2203, 'SIC &amp; NAICS Codes'!A:B, 2, FALSE), "")</f>
        <v>Sanitary Services, NEC (vacuuming of runways)</v>
      </c>
      <c r="S2203" s="28">
        <v>1.2962584124999999E-2</v>
      </c>
      <c r="T2203" s="315">
        <f>_xlfn.MAXIFS('Raw Period DMR Data'!$O:$O,'Raw Period DMR Data'!$A:$A,'Raw Annual DMR Data_2021-2024'!#REF!,'Raw Period DMR Data'!$C:$C,X2203)/S2203</f>
        <v>0</v>
      </c>
      <c r="U2203" s="28" t="str">
        <f>+IF(COUNTIFS('Raw Period DMR Data'!$A:$A,B2203,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03" s="28" t="str" cm="1">
        <f t="array" ref="V2203">IFERROR(INDEX('Raw Period DMR Data'!N:N,MATCH(1,(B2203='Raw Period DMR Data'!$A:$A)*(U2203='Raw Period DMR Data'!M:M)*(X2203='Raw Period DMR Data'!C:C),0),1), "N/A")</f>
        <v>N/A</v>
      </c>
      <c r="W2203" s="28" t="s">
        <v>1463</v>
      </c>
      <c r="X2203" s="28" t="s">
        <v>7208</v>
      </c>
      <c r="Y2203" s="28" t="s">
        <v>7306</v>
      </c>
      <c r="Z2203" s="61"/>
      <c r="AB2203" s="28" t="s">
        <v>7355</v>
      </c>
      <c r="AC2203" s="28" t="s">
        <v>1466</v>
      </c>
    </row>
    <row r="2204" spans="1:29" x14ac:dyDescent="0.25">
      <c r="A2204" s="61">
        <v>110071501940</v>
      </c>
      <c r="B2204" s="28">
        <v>2023</v>
      </c>
      <c r="C2204" s="68">
        <f t="shared" si="35"/>
        <v>44927</v>
      </c>
      <c r="D2204" s="28" t="s">
        <v>6882</v>
      </c>
      <c r="E2204" s="28" t="s">
        <v>7056</v>
      </c>
      <c r="F2204" s="28" t="s">
        <v>6991</v>
      </c>
      <c r="G2204" s="28" t="s">
        <v>308</v>
      </c>
      <c r="H2204" s="28" t="s">
        <v>7089</v>
      </c>
      <c r="I2204" s="28">
        <v>42.365363000000002</v>
      </c>
      <c r="J2204" s="28">
        <v>-71.087440999999998</v>
      </c>
      <c r="L2204" s="61">
        <v>110071501940</v>
      </c>
      <c r="M2204" s="28" t="s">
        <v>265</v>
      </c>
      <c r="N2204" s="28">
        <v>4959</v>
      </c>
      <c r="O2204" s="28" t="str">
        <f>IFERROR(VLOOKUP(N2204, 'SIC &amp; NAICS Codes'!A:B, 2, FALSE), "")</f>
        <v>Sanitary Services, NEC (vacuuming of runways)</v>
      </c>
      <c r="S2204" s="28">
        <v>1.2962584124999999E-2</v>
      </c>
      <c r="T2204" s="315">
        <f>_xlfn.MAXIFS('Raw Period DMR Data'!$O:$O,'Raw Period DMR Data'!$A:$A,'Raw Annual DMR Data_2021-2024'!#REF!,'Raw Period DMR Data'!$C:$C,X2204)/S2204</f>
        <v>0</v>
      </c>
      <c r="U2204" s="28" t="str">
        <f>+IF(COUNTIFS('Raw Period DMR Data'!$A:$A,B2204,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04" s="28" t="str" cm="1">
        <f t="array" ref="V2204">IFERROR(INDEX('Raw Period DMR Data'!N:N,MATCH(1,(B2204='Raw Period DMR Data'!$A:$A)*(U2204='Raw Period DMR Data'!M:M)*(X2204='Raw Period DMR Data'!C:C),0),1), "N/A")</f>
        <v>N/A</v>
      </c>
      <c r="W2204" s="28" t="s">
        <v>1463</v>
      </c>
      <c r="X2204" s="28" t="s">
        <v>7208</v>
      </c>
      <c r="Y2204" s="28" t="s">
        <v>7306</v>
      </c>
      <c r="Z2204" s="61"/>
      <c r="AB2204" s="28" t="s">
        <v>7355</v>
      </c>
      <c r="AC2204" s="28" t="s">
        <v>1466</v>
      </c>
    </row>
    <row r="2205" spans="1:29" x14ac:dyDescent="0.25">
      <c r="A2205" s="61">
        <v>110071501940</v>
      </c>
      <c r="B2205" s="28">
        <v>2024</v>
      </c>
      <c r="C2205" s="68">
        <f t="shared" si="35"/>
        <v>45292</v>
      </c>
      <c r="D2205" s="28" t="s">
        <v>6882</v>
      </c>
      <c r="E2205" s="28" t="s">
        <v>7056</v>
      </c>
      <c r="F2205" s="28" t="s">
        <v>6991</v>
      </c>
      <c r="G2205" s="28" t="s">
        <v>308</v>
      </c>
      <c r="H2205" s="28">
        <v>2142</v>
      </c>
      <c r="I2205" s="28">
        <v>42.365363000000002</v>
      </c>
      <c r="J2205" s="28">
        <v>-71.087440999999998</v>
      </c>
      <c r="L2205" s="61">
        <v>110071501940</v>
      </c>
      <c r="M2205" s="28" t="s">
        <v>265</v>
      </c>
      <c r="N2205" s="28">
        <v>4959</v>
      </c>
      <c r="O2205" s="28" t="str">
        <f>IFERROR(VLOOKUP(N2205, 'SIC &amp; NAICS Codes'!A:B, 2, FALSE), "")</f>
        <v>Sanitary Services, NEC (vacuuming of runways)</v>
      </c>
      <c r="S2205" s="28">
        <v>1.7540901199999999E-4</v>
      </c>
      <c r="T2205" s="315">
        <f>_xlfn.MAXIFS('Raw Period DMR Data'!$O:$O,'Raw Period DMR Data'!$A:$A,'Raw Annual DMR Data_2021-2024'!#REF!,'Raw Period DMR Data'!$C:$C,X2205)/S2205</f>
        <v>0</v>
      </c>
      <c r="U2205" s="28" t="str">
        <f>+IF(COUNTIFS('Raw Period DMR Data'!$A:$A,B2205,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05" s="28" t="str" cm="1">
        <f t="array" ref="V2205">IFERROR(INDEX('Raw Period DMR Data'!N:N,MATCH(1,(B2205='Raw Period DMR Data'!$A:$A)*(U2205='Raw Period DMR Data'!M:M)*(X2205='Raw Period DMR Data'!C:C),0),1), "N/A")</f>
        <v>N/A</v>
      </c>
      <c r="W2205" s="28" t="s">
        <v>1463</v>
      </c>
      <c r="X2205" s="28" t="s">
        <v>7208</v>
      </c>
      <c r="Y2205" s="28" t="s">
        <v>7306</v>
      </c>
      <c r="Z2205" s="61"/>
      <c r="AB2205" s="28" t="s">
        <v>7355</v>
      </c>
      <c r="AC2205" s="28" t="s">
        <v>1466</v>
      </c>
    </row>
    <row r="2206" spans="1:29" x14ac:dyDescent="0.25">
      <c r="A2206" s="61">
        <v>110071501940</v>
      </c>
      <c r="B2206" s="28">
        <v>2023</v>
      </c>
      <c r="C2206" s="68">
        <f t="shared" si="35"/>
        <v>44927</v>
      </c>
      <c r="D2206" s="28" t="s">
        <v>6882</v>
      </c>
      <c r="E2206" s="28" t="s">
        <v>7056</v>
      </c>
      <c r="F2206" s="28" t="s">
        <v>6991</v>
      </c>
      <c r="G2206" s="28" t="s">
        <v>308</v>
      </c>
      <c r="H2206" s="28" t="s">
        <v>7089</v>
      </c>
      <c r="I2206" s="28">
        <v>42.365363000000002</v>
      </c>
      <c r="J2206" s="28">
        <v>-71.087440999999998</v>
      </c>
      <c r="L2206" s="61">
        <v>110071501940</v>
      </c>
      <c r="M2206" s="28" t="s">
        <v>265</v>
      </c>
      <c r="N2206" s="28">
        <v>4959</v>
      </c>
      <c r="O2206" s="28" t="str">
        <f>IFERROR(VLOOKUP(N2206, 'SIC &amp; NAICS Codes'!A:B, 2, FALSE), "")</f>
        <v>Sanitary Services, NEC (vacuuming of runways)</v>
      </c>
      <c r="S2206" s="28">
        <v>2.26248375E-5</v>
      </c>
      <c r="T2206" s="315">
        <f>_xlfn.MAXIFS('Raw Period DMR Data'!$O:$O,'Raw Period DMR Data'!$A:$A,'Raw Annual DMR Data_2021-2024'!#REF!,'Raw Period DMR Data'!$C:$C,X2206)/S2206</f>
        <v>0</v>
      </c>
      <c r="U2206" s="28" t="str">
        <f>+IF(COUNTIFS('Raw Period DMR Data'!$A:$A,B2206,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06" s="28" t="str" cm="1">
        <f t="array" ref="V2206">IFERROR(INDEX('Raw Period DMR Data'!N:N,MATCH(1,(B2206='Raw Period DMR Data'!$A:$A)*(U2206='Raw Period DMR Data'!M:M)*(X2206='Raw Period DMR Data'!C:C),0),1), "N/A")</f>
        <v>N/A</v>
      </c>
      <c r="W2206" s="28" t="s">
        <v>1463</v>
      </c>
      <c r="X2206" s="28" t="s">
        <v>7208</v>
      </c>
      <c r="Y2206" s="28" t="s">
        <v>7306</v>
      </c>
      <c r="Z2206" s="61"/>
      <c r="AB2206" s="28" t="s">
        <v>7355</v>
      </c>
      <c r="AC2206" s="28" t="s">
        <v>1466</v>
      </c>
    </row>
    <row r="2207" spans="1:29" x14ac:dyDescent="0.25">
      <c r="A2207" s="61">
        <v>110071501940</v>
      </c>
      <c r="B2207" s="28">
        <v>2022</v>
      </c>
      <c r="C2207" s="68">
        <f t="shared" si="35"/>
        <v>44562</v>
      </c>
      <c r="D2207" s="28" t="s">
        <v>6882</v>
      </c>
      <c r="E2207" s="28" t="s">
        <v>7056</v>
      </c>
      <c r="F2207" s="28" t="s">
        <v>6991</v>
      </c>
      <c r="G2207" s="28" t="s">
        <v>308</v>
      </c>
      <c r="H2207" s="28">
        <v>2142</v>
      </c>
      <c r="I2207" s="28">
        <v>42.365363000000002</v>
      </c>
      <c r="J2207" s="28">
        <v>-71.087440999999998</v>
      </c>
      <c r="L2207" s="61">
        <v>110071501940</v>
      </c>
      <c r="M2207" s="28" t="s">
        <v>265</v>
      </c>
      <c r="N2207" s="28">
        <v>4959</v>
      </c>
      <c r="O2207" s="28" t="str">
        <f>IFERROR(VLOOKUP(N2207, 'SIC &amp; NAICS Codes'!A:B, 2, FALSE), "")</f>
        <v>Sanitary Services, NEC (vacuuming of runways)</v>
      </c>
      <c r="S2207" s="28">
        <v>2.1120299999999998E-5</v>
      </c>
      <c r="T2207" s="315">
        <f>_xlfn.MAXIFS('Raw Period DMR Data'!$O:$O,'Raw Period DMR Data'!$A:$A,'Raw Annual DMR Data_2021-2024'!#REF!,'Raw Period DMR Data'!$C:$C,X2207)/S2207</f>
        <v>0</v>
      </c>
      <c r="U2207" s="28" t="str">
        <f>+IF(COUNTIFS('Raw Period DMR Data'!$A:$A,B2207,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07" s="28" t="str" cm="1">
        <f t="array" ref="V2207">IFERROR(INDEX('Raw Period DMR Data'!N:N,MATCH(1,(B2207='Raw Period DMR Data'!$A:$A)*(U2207='Raw Period DMR Data'!M:M)*(X2207='Raw Period DMR Data'!C:C),0),1), "N/A")</f>
        <v>N/A</v>
      </c>
      <c r="W2207" s="28" t="s">
        <v>1463</v>
      </c>
      <c r="X2207" s="28" t="s">
        <v>7208</v>
      </c>
      <c r="Y2207" s="28" t="s">
        <v>7306</v>
      </c>
      <c r="Z2207" s="61"/>
      <c r="AB2207" s="28" t="s">
        <v>7355</v>
      </c>
      <c r="AC2207" s="28" t="s">
        <v>1466</v>
      </c>
    </row>
    <row r="2208" spans="1:29" x14ac:dyDescent="0.25">
      <c r="A2208" s="61">
        <v>110000732217</v>
      </c>
      <c r="B2208" s="28">
        <v>2024</v>
      </c>
      <c r="C2208" s="68">
        <f t="shared" si="35"/>
        <v>45292</v>
      </c>
      <c r="D2208" s="28" t="s">
        <v>6885</v>
      </c>
      <c r="E2208" s="28" t="s">
        <v>7060</v>
      </c>
      <c r="F2208" s="28" t="s">
        <v>7061</v>
      </c>
      <c r="G2208" s="28" t="s">
        <v>324</v>
      </c>
      <c r="H2208" s="28">
        <v>40065</v>
      </c>
      <c r="I2208" s="28">
        <v>38.198332999999998</v>
      </c>
      <c r="J2208" s="28">
        <v>-85.224999999999994</v>
      </c>
      <c r="L2208" s="61">
        <v>110000732217</v>
      </c>
      <c r="M2208" s="28" t="s">
        <v>263</v>
      </c>
      <c r="N2208" s="28">
        <v>4952</v>
      </c>
      <c r="O2208" s="28" t="str">
        <f>IFERROR(VLOOKUP(N2208, 'SIC &amp; NAICS Codes'!A:B, 2, FALSE), "")</f>
        <v>Sewerage Systems</v>
      </c>
      <c r="S2208" s="28">
        <v>10.907139875</v>
      </c>
      <c r="T2208" s="315">
        <f>_xlfn.MAXIFS('Raw Period DMR Data'!$O:$O,'Raw Period DMR Data'!$A:$A,'Raw Annual DMR Data_2021-2024'!B2359,'Raw Period DMR Data'!$C:$C,X2208)/S2208</f>
        <v>0</v>
      </c>
      <c r="U2208" s="28" t="str">
        <f>+IF(COUNTIFS('Raw Period DMR Data'!$A:$A,B2208, 'Raw Period DMR Data'!C:C,'Raw Annual DMR Data_2021-2024'!X2359, 'Raw Period DMR Data'!M:M, "&gt;0")&gt;0,_xlfn.MAXIFS('Raw Period DMR Data'!M:M,'Raw Period DMR Data'!$A:$A,'Raw Annual DMR Data_2021-2024'!B2359,'Raw Period DMR Data'!C:C,'Raw Annual DMR Data_2021-2024'!X2359), "N/A - Period DMR Data Not Available")</f>
        <v>N/A - Period DMR Data Not Available</v>
      </c>
      <c r="V2208" s="28" t="str" cm="1">
        <f t="array" ref="V2208">IFERROR(INDEX('Raw Period DMR Data'!N:N,MATCH(1,(B2208='Raw Period DMR Data'!$A:$A)*(U2208='Raw Period DMR Data'!M:M)*(X2208='Raw Period DMR Data'!C:C),0),1), "N/A")</f>
        <v>N/A</v>
      </c>
      <c r="W2208" s="28" t="s">
        <v>1463</v>
      </c>
      <c r="X2208" s="28" t="s">
        <v>7211</v>
      </c>
      <c r="Y2208" s="28" t="s">
        <v>7309</v>
      </c>
      <c r="Z2208" s="61">
        <v>5140102000191</v>
      </c>
      <c r="AB2208" s="28" t="s">
        <v>7355</v>
      </c>
      <c r="AC2208" s="28" t="s">
        <v>263</v>
      </c>
    </row>
    <row r="2209" spans="1:29" x14ac:dyDescent="0.25">
      <c r="A2209" s="61">
        <v>110003499857</v>
      </c>
      <c r="B2209" s="28">
        <v>2023</v>
      </c>
      <c r="C2209" s="68">
        <f t="shared" si="35"/>
        <v>44927</v>
      </c>
      <c r="D2209" s="28" t="s">
        <v>6901</v>
      </c>
      <c r="E2209" s="28" t="s">
        <v>7094</v>
      </c>
      <c r="F2209" s="28" t="s">
        <v>1370</v>
      </c>
      <c r="G2209" s="28" t="s">
        <v>308</v>
      </c>
      <c r="H2209" s="28" t="s">
        <v>7095</v>
      </c>
      <c r="I2209" s="28">
        <v>42.012988</v>
      </c>
      <c r="J2209" s="28">
        <v>-71.213122999999996</v>
      </c>
      <c r="L2209" s="61">
        <v>110003499857</v>
      </c>
      <c r="M2209" s="28" t="s">
        <v>265</v>
      </c>
      <c r="N2209" s="28">
        <v>4959</v>
      </c>
      <c r="O2209" s="28" t="str">
        <f>IFERROR(VLOOKUP(N2209, 'SIC &amp; NAICS Codes'!A:B, 2, FALSE), "")</f>
        <v>Sanitary Services, NEC (vacuuming of runways)</v>
      </c>
      <c r="S2209" s="28">
        <v>8.7993973067142794E-2</v>
      </c>
      <c r="T2209" s="315">
        <f>_xlfn.MAXIFS('Raw Period DMR Data'!$O:$O,'Raw Period DMR Data'!$A:$A,'Raw Annual DMR Data_2021-2024'!#REF!,'Raw Period DMR Data'!$C:$C,X2209)/S2209</f>
        <v>0</v>
      </c>
      <c r="U2209" s="28" t="str">
        <f>+IF(COUNTIFS('Raw Period DMR Data'!$A:$A,B2209,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09" s="28" t="str" cm="1">
        <f t="array" ref="V2209">IFERROR(INDEX('Raw Period DMR Data'!N:N,MATCH(1,(B2209='Raw Period DMR Data'!$A:$A)*(U2209='Raw Period DMR Data'!M:M)*(X2209='Raw Period DMR Data'!C:C),0),1), "N/A")</f>
        <v>N/A</v>
      </c>
      <c r="W2209" s="28" t="s">
        <v>1463</v>
      </c>
      <c r="X2209" s="28" t="s">
        <v>7230</v>
      </c>
      <c r="Y2209" s="28" t="s">
        <v>2258</v>
      </c>
      <c r="Z2209" s="61"/>
      <c r="AA2209" s="60" t="s">
        <v>7355</v>
      </c>
      <c r="AB2209" s="28" t="s">
        <v>7355</v>
      </c>
      <c r="AC2209" s="28" t="s">
        <v>1466</v>
      </c>
    </row>
    <row r="2210" spans="1:29" x14ac:dyDescent="0.25">
      <c r="A2210" s="61">
        <v>110003499857</v>
      </c>
      <c r="B2210" s="28">
        <v>2024</v>
      </c>
      <c r="C2210" s="68">
        <f t="shared" si="35"/>
        <v>45292</v>
      </c>
      <c r="D2210" s="28" t="s">
        <v>6901</v>
      </c>
      <c r="E2210" s="28" t="s">
        <v>7094</v>
      </c>
      <c r="F2210" s="28" t="s">
        <v>1370</v>
      </c>
      <c r="G2210" s="28" t="s">
        <v>308</v>
      </c>
      <c r="H2210" s="28">
        <v>2048</v>
      </c>
      <c r="I2210" s="28">
        <v>42.012988</v>
      </c>
      <c r="J2210" s="28">
        <v>-71.213122999999996</v>
      </c>
      <c r="L2210" s="61">
        <v>110003499857</v>
      </c>
      <c r="M2210" s="28" t="s">
        <v>265</v>
      </c>
      <c r="N2210" s="28">
        <v>4959</v>
      </c>
      <c r="O2210" s="28" t="str">
        <f>IFERROR(VLOOKUP(N2210, 'SIC &amp; NAICS Codes'!A:B, 2, FALSE), "")</f>
        <v>Sanitary Services, NEC (vacuuming of runways)</v>
      </c>
      <c r="S2210" s="28">
        <v>9.914334375000001E-4</v>
      </c>
      <c r="T2210" s="315">
        <f>_xlfn.MAXIFS('Raw Period DMR Data'!$O:$O,'Raw Period DMR Data'!$A:$A,'Raw Annual DMR Data_2021-2024'!#REF!,'Raw Period DMR Data'!$C:$C,X2210)/S2210</f>
        <v>0</v>
      </c>
      <c r="U2210" s="28" t="str">
        <f>+IF(COUNTIFS('Raw Period DMR Data'!$A:$A,B2210,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10" s="28" t="str" cm="1">
        <f t="array" ref="V2210">IFERROR(INDEX('Raw Period DMR Data'!N:N,MATCH(1,(B2210='Raw Period DMR Data'!$A:$A)*(U2210='Raw Period DMR Data'!M:M)*(X2210='Raw Period DMR Data'!C:C),0),1), "N/A")</f>
        <v>N/A</v>
      </c>
      <c r="W2210" s="28" t="s">
        <v>1463</v>
      </c>
      <c r="X2210" s="28" t="s">
        <v>7230</v>
      </c>
      <c r="Y2210" s="28" t="s">
        <v>2258</v>
      </c>
      <c r="Z2210" s="61"/>
      <c r="AB2210" s="28" t="s">
        <v>7355</v>
      </c>
      <c r="AC2210" s="28" t="s">
        <v>1466</v>
      </c>
    </row>
    <row r="2211" spans="1:29" x14ac:dyDescent="0.25">
      <c r="A2211" s="61">
        <v>110003499857</v>
      </c>
      <c r="B2211" s="28">
        <v>2023</v>
      </c>
      <c r="C2211" s="68">
        <f t="shared" si="35"/>
        <v>44927</v>
      </c>
      <c r="D2211" s="28" t="s">
        <v>6901</v>
      </c>
      <c r="E2211" s="28" t="s">
        <v>7094</v>
      </c>
      <c r="F2211" s="28" t="s">
        <v>1370</v>
      </c>
      <c r="G2211" s="28" t="s">
        <v>308</v>
      </c>
      <c r="H2211" s="28" t="s">
        <v>7095</v>
      </c>
      <c r="I2211" s="28">
        <v>42.012988</v>
      </c>
      <c r="J2211" s="28">
        <v>-71.213122999999996</v>
      </c>
      <c r="L2211" s="61">
        <v>110003499857</v>
      </c>
      <c r="M2211" s="28" t="s">
        <v>265</v>
      </c>
      <c r="N2211" s="28">
        <v>4959</v>
      </c>
      <c r="O2211" s="28" t="str">
        <f>IFERROR(VLOOKUP(N2211, 'SIC &amp; NAICS Codes'!A:B, 2, FALSE), "")</f>
        <v>Sanitary Services, NEC (vacuuming of runways)</v>
      </c>
      <c r="S2211" s="28">
        <v>3.7473392500000002E-4</v>
      </c>
      <c r="T2211" s="315">
        <f>_xlfn.MAXIFS('Raw Period DMR Data'!$O:$O,'Raw Period DMR Data'!$A:$A,'Raw Annual DMR Data_2021-2024'!#REF!,'Raw Period DMR Data'!$C:$C,X2211)/S2211</f>
        <v>0</v>
      </c>
      <c r="U2211" s="28" t="str">
        <f>+IF(COUNTIFS('Raw Period DMR Data'!$A:$A,B2211,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11" s="28" t="str" cm="1">
        <f t="array" ref="V2211">IFERROR(INDEX('Raw Period DMR Data'!N:N,MATCH(1,(B2211='Raw Period DMR Data'!$A:$A)*(U2211='Raw Period DMR Data'!M:M)*(X2211='Raw Period DMR Data'!C:C),0),1), "N/A")</f>
        <v>N/A</v>
      </c>
      <c r="W2211" s="28" t="s">
        <v>1463</v>
      </c>
      <c r="X2211" s="28" t="s">
        <v>7237</v>
      </c>
      <c r="Y2211" s="28" t="s">
        <v>2258</v>
      </c>
      <c r="Z2211" s="61"/>
      <c r="AB2211" s="28" t="s">
        <v>7355</v>
      </c>
      <c r="AC2211" s="28" t="s">
        <v>1466</v>
      </c>
    </row>
    <row r="2212" spans="1:29" x14ac:dyDescent="0.25">
      <c r="A2212" s="61">
        <v>110020941383</v>
      </c>
      <c r="B2212" s="28">
        <v>2021</v>
      </c>
      <c r="C2212" s="68">
        <f t="shared" si="35"/>
        <v>44197</v>
      </c>
      <c r="D2212" s="28" t="s">
        <v>1346</v>
      </c>
      <c r="E2212" s="28" t="s">
        <v>2213</v>
      </c>
      <c r="F2212" s="28" t="s">
        <v>1347</v>
      </c>
      <c r="G2212" s="28" t="s">
        <v>324</v>
      </c>
      <c r="H2212" s="28">
        <v>40165</v>
      </c>
      <c r="I2212" s="28">
        <v>37.987499999999997</v>
      </c>
      <c r="J2212" s="28">
        <v>-85.720832999999999</v>
      </c>
      <c r="L2212" s="61">
        <v>110020941383</v>
      </c>
      <c r="M2212" s="28" t="s">
        <v>263</v>
      </c>
      <c r="N2212" s="28">
        <v>4952</v>
      </c>
      <c r="O2212" s="28" t="str">
        <f>IFERROR(VLOOKUP(N2212, 'SIC &amp; NAICS Codes'!A:B, 2, FALSE), "")</f>
        <v>Sewerage Systems</v>
      </c>
      <c r="S2212" s="28">
        <v>2.1828094999999998</v>
      </c>
      <c r="T2212" s="315">
        <f>_xlfn.MAXIFS('Raw Period DMR Data'!$O:$O,'Raw Period DMR Data'!$A:$A,'Raw Annual DMR Data_2021-2024'!#REF!,'Raw Period DMR Data'!$C:$C,X2212)/S2212</f>
        <v>0</v>
      </c>
      <c r="U2212" s="28" t="str">
        <f>+IF(COUNTIFS('Raw Period DMR Data'!$A:$A,B2212,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12" s="28" t="str" cm="1">
        <f t="array" ref="V2212">IFERROR(INDEX('Raw Period DMR Data'!N:N,MATCH(1,(B2212='Raw Period DMR Data'!$A:$A)*(U2212='Raw Period DMR Data'!M:M)*(X2212='Raw Period DMR Data'!C:C),0),1), "N/A")</f>
        <v>N/A</v>
      </c>
      <c r="W2212" s="28" t="s">
        <v>1463</v>
      </c>
      <c r="X2212" s="28" t="s">
        <v>2214</v>
      </c>
      <c r="Y2212" s="28" t="s">
        <v>2215</v>
      </c>
      <c r="Z2212" s="61">
        <v>5140102000052</v>
      </c>
      <c r="AA2212" s="28"/>
      <c r="AB2212" s="28" t="s">
        <v>7355</v>
      </c>
      <c r="AC2212" s="28" t="s">
        <v>263</v>
      </c>
    </row>
    <row r="2213" spans="1:29" x14ac:dyDescent="0.25">
      <c r="A2213" s="61">
        <v>110024409362</v>
      </c>
      <c r="B2213" s="28">
        <v>2023</v>
      </c>
      <c r="C2213" s="68">
        <f t="shared" si="35"/>
        <v>44927</v>
      </c>
      <c r="D2213" s="28" t="s">
        <v>1348</v>
      </c>
      <c r="E2213" s="28" t="s">
        <v>2217</v>
      </c>
      <c r="F2213" s="28" t="s">
        <v>1349</v>
      </c>
      <c r="G2213" s="28" t="s">
        <v>1249</v>
      </c>
      <c r="H2213" s="28">
        <v>87420</v>
      </c>
      <c r="I2213" s="28">
        <v>36.786963999999998</v>
      </c>
      <c r="J2213" s="28">
        <v>-108.711493</v>
      </c>
      <c r="L2213" s="61">
        <v>110024409362</v>
      </c>
      <c r="M2213" s="28" t="s">
        <v>263</v>
      </c>
      <c r="N2213" s="28">
        <v>4952</v>
      </c>
      <c r="O2213" s="28" t="str">
        <f>IFERROR(VLOOKUP(N2213, 'SIC &amp; NAICS Codes'!A:B, 2, FALSE), "")</f>
        <v>Sewerage Systems</v>
      </c>
      <c r="S2213" s="28">
        <v>0.80347979999999997</v>
      </c>
      <c r="T2213" s="315">
        <f>_xlfn.MAXIFS('Raw Period DMR Data'!$O:$O,'Raw Period DMR Data'!$A:$A,'Raw Annual DMR Data_2021-2024'!#REF!,'Raw Period DMR Data'!$C:$C,X2213)/S2213</f>
        <v>0</v>
      </c>
      <c r="U2213" s="28" t="str">
        <f>+IF(COUNTIFS('Raw Period DMR Data'!$A:$A,B2213,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13" s="28" t="str" cm="1">
        <f t="array" ref="V2213">IFERROR(INDEX('Raw Period DMR Data'!N:N,MATCH(1,(B2213='Raw Period DMR Data'!$A:$A)*(U2213='Raw Period DMR Data'!M:M)*(X2213='Raw Period DMR Data'!C:C),0),1), "N/A")</f>
        <v>N/A</v>
      </c>
      <c r="W2213" s="28" t="s">
        <v>1463</v>
      </c>
      <c r="X2213" s="28" t="s">
        <v>2218</v>
      </c>
      <c r="Y2213" s="28" t="s">
        <v>2219</v>
      </c>
      <c r="Z2213" s="61">
        <v>14080105001216</v>
      </c>
      <c r="AB2213" s="28" t="s">
        <v>7355</v>
      </c>
      <c r="AC2213" s="28" t="s">
        <v>263</v>
      </c>
    </row>
    <row r="2214" spans="1:29" x14ac:dyDescent="0.25">
      <c r="A2214" s="61">
        <v>110024409362</v>
      </c>
      <c r="B2214" s="28">
        <v>2024</v>
      </c>
      <c r="C2214" s="68">
        <f t="shared" si="35"/>
        <v>45292</v>
      </c>
      <c r="D2214" s="28" t="s">
        <v>1348</v>
      </c>
      <c r="E2214" s="28" t="s">
        <v>2217</v>
      </c>
      <c r="F2214" s="28" t="s">
        <v>1349</v>
      </c>
      <c r="G2214" s="28" t="s">
        <v>1249</v>
      </c>
      <c r="H2214" s="28">
        <v>87420</v>
      </c>
      <c r="I2214" s="28">
        <v>36.786963999999998</v>
      </c>
      <c r="J2214" s="28">
        <v>-108.711493</v>
      </c>
      <c r="L2214" s="61">
        <v>110024409362</v>
      </c>
      <c r="M2214" s="28" t="s">
        <v>263</v>
      </c>
      <c r="N2214" s="28">
        <v>4952</v>
      </c>
      <c r="O2214" s="28" t="str">
        <f>IFERROR(VLOOKUP(N2214, 'SIC &amp; NAICS Codes'!A:B, 2, FALSE), "")</f>
        <v>Sewerage Systems</v>
      </c>
      <c r="S2214" s="28">
        <v>0.74602349999999995</v>
      </c>
      <c r="T2214" s="315">
        <f>_xlfn.MAXIFS('Raw Period DMR Data'!$O:$O,'Raw Period DMR Data'!$A:$A,'Raw Annual DMR Data_2021-2024'!#REF!,'Raw Period DMR Data'!$C:$C,X2214)/S2214</f>
        <v>0</v>
      </c>
      <c r="U2214" s="28" t="str">
        <f>+IF(COUNTIFS('Raw Period DMR Data'!$A:$A,B2214,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14" s="28" t="str" cm="1">
        <f t="array" ref="V2214">IFERROR(INDEX('Raw Period DMR Data'!N:N,MATCH(1,(B2214='Raw Period DMR Data'!$A:$A)*(U2214='Raw Period DMR Data'!M:M)*(X2214='Raw Period DMR Data'!C:C),0),1), "N/A")</f>
        <v>N/A</v>
      </c>
      <c r="W2214" s="28" t="s">
        <v>1463</v>
      </c>
      <c r="X2214" s="28" t="s">
        <v>2218</v>
      </c>
      <c r="Y2214" s="28" t="s">
        <v>2219</v>
      </c>
      <c r="Z2214" s="61">
        <v>14080105001216</v>
      </c>
      <c r="AB2214" s="28" t="s">
        <v>7355</v>
      </c>
      <c r="AC2214" s="28" t="s">
        <v>263</v>
      </c>
    </row>
    <row r="2215" spans="1:29" x14ac:dyDescent="0.25">
      <c r="A2215" s="61">
        <v>110000572782</v>
      </c>
      <c r="B2215" s="28">
        <v>2021</v>
      </c>
      <c r="C2215" s="68">
        <f t="shared" si="35"/>
        <v>44197</v>
      </c>
      <c r="D2215" s="28" t="s">
        <v>6779</v>
      </c>
      <c r="E2215" s="28" t="s">
        <v>617</v>
      </c>
      <c r="F2215" s="28" t="s">
        <v>618</v>
      </c>
      <c r="G2215" s="28" t="s">
        <v>311</v>
      </c>
      <c r="H2215" s="28">
        <v>26501</v>
      </c>
      <c r="I2215" s="28">
        <v>39.599829999999997</v>
      </c>
      <c r="J2215" s="28">
        <v>-79.97148</v>
      </c>
      <c r="K2215" s="28" t="s">
        <v>619</v>
      </c>
      <c r="L2215" s="61">
        <v>110000572782</v>
      </c>
      <c r="M2215" s="28" t="s">
        <v>251</v>
      </c>
      <c r="N2215" s="28">
        <v>2869</v>
      </c>
      <c r="O2215" s="28" t="str">
        <f>IFERROR(VLOOKUP(N2215, 'SIC &amp; NAICS Codes'!A:B, 2, FALSE), "")</f>
        <v>Industrial Organic Chemicals, NEC (aliphatics)</v>
      </c>
      <c r="S2215" s="28">
        <v>0.32747888130000002</v>
      </c>
      <c r="T2215" s="315">
        <f>_xlfn.MAXIFS('Raw Period DMR Data'!$O:$O,'Raw Period DMR Data'!$A:$A,'Raw Annual DMR Data_2021-2024'!#REF!,'Raw Period DMR Data'!$C:$C,X2215)/S2215</f>
        <v>0</v>
      </c>
      <c r="U2215" s="28" t="str">
        <f>+IF(COUNTIFS('Raw Period DMR Data'!$A:$A,B2215,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15" s="28" t="str" cm="1">
        <f t="array" ref="V2215">IFERROR(INDEX('Raw Period DMR Data'!N:N,MATCH(1,(B2215='Raw Period DMR Data'!$A:$A)*(U2215='Raw Period DMR Data'!M:M)*(X2215='Raw Period DMR Data'!C:C),0),1), "N/A")</f>
        <v>N/A</v>
      </c>
      <c r="W2215" s="28" t="s">
        <v>1463</v>
      </c>
      <c r="X2215" s="28" t="s">
        <v>931</v>
      </c>
      <c r="Y2215" s="28" t="s">
        <v>7250</v>
      </c>
      <c r="Z2215" s="61">
        <v>5020003000026</v>
      </c>
      <c r="AA2215" s="28"/>
      <c r="AC2215" s="28" t="s">
        <v>1466</v>
      </c>
    </row>
    <row r="2216" spans="1:29" x14ac:dyDescent="0.25">
      <c r="A2216" s="61">
        <v>110000572782</v>
      </c>
      <c r="B2216" s="28">
        <v>2021</v>
      </c>
      <c r="C2216" s="68">
        <f t="shared" si="35"/>
        <v>44197</v>
      </c>
      <c r="D2216" s="28" t="s">
        <v>6779</v>
      </c>
      <c r="E2216" s="28" t="s">
        <v>617</v>
      </c>
      <c r="F2216" s="28" t="s">
        <v>618</v>
      </c>
      <c r="G2216" s="28" t="s">
        <v>311</v>
      </c>
      <c r="H2216" s="28">
        <v>26501</v>
      </c>
      <c r="I2216" s="28">
        <v>39.599829999999997</v>
      </c>
      <c r="J2216" s="28">
        <v>-79.97148</v>
      </c>
      <c r="K2216" s="28" t="s">
        <v>619</v>
      </c>
      <c r="L2216" s="61">
        <v>110000572782</v>
      </c>
      <c r="M2216" s="28" t="s">
        <v>251</v>
      </c>
      <c r="N2216" s="28">
        <v>2869</v>
      </c>
      <c r="O2216" s="28" t="str">
        <f>IFERROR(VLOOKUP(N2216, 'SIC &amp; NAICS Codes'!A:B, 2, FALSE), "")</f>
        <v>Industrial Organic Chemicals, NEC (aliphatics)</v>
      </c>
      <c r="S2216" s="28">
        <v>0.16921942000000001</v>
      </c>
      <c r="T2216" s="315">
        <f>_xlfn.MAXIFS('Raw Period DMR Data'!$O:$O,'Raw Period DMR Data'!$A:$A,'Raw Annual DMR Data_2021-2024'!#REF!,'Raw Period DMR Data'!$C:$C,X2216)/S2216</f>
        <v>0</v>
      </c>
      <c r="U2216" s="28" t="str">
        <f>+IF(COUNTIFS('Raw Period DMR Data'!$A:$A,B2216,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16" s="28" t="str" cm="1">
        <f t="array" ref="V2216">IFERROR(INDEX('Raw Period DMR Data'!N:N,MATCH(1,(B2216='Raw Period DMR Data'!$A:$A)*(U2216='Raw Period DMR Data'!M:M)*(X2216='Raw Period DMR Data'!C:C),0),1), "N/A")</f>
        <v>N/A</v>
      </c>
      <c r="W2216" s="28" t="s">
        <v>1463</v>
      </c>
      <c r="X2216" s="28" t="s">
        <v>931</v>
      </c>
      <c r="Y2216" s="28" t="s">
        <v>7250</v>
      </c>
      <c r="Z2216" s="61">
        <v>5020003000026</v>
      </c>
      <c r="AC2216" s="28" t="s">
        <v>1466</v>
      </c>
    </row>
    <row r="2217" spans="1:29" x14ac:dyDescent="0.25">
      <c r="A2217" s="61">
        <v>110000572782</v>
      </c>
      <c r="B2217" s="28">
        <v>2023</v>
      </c>
      <c r="C2217" s="68">
        <f t="shared" si="35"/>
        <v>44927</v>
      </c>
      <c r="D2217" s="28" t="s">
        <v>6779</v>
      </c>
      <c r="E2217" s="28" t="s">
        <v>617</v>
      </c>
      <c r="F2217" s="28" t="s">
        <v>618</v>
      </c>
      <c r="G2217" s="28" t="s">
        <v>311</v>
      </c>
      <c r="H2217" s="28">
        <v>26501</v>
      </c>
      <c r="I2217" s="28">
        <v>39.599829999999997</v>
      </c>
      <c r="J2217" s="28">
        <v>-79.97148</v>
      </c>
      <c r="K2217" s="28" t="s">
        <v>619</v>
      </c>
      <c r="L2217" s="61">
        <v>110000572782</v>
      </c>
      <c r="M2217" s="28" t="s">
        <v>251</v>
      </c>
      <c r="N2217" s="28">
        <v>2869</v>
      </c>
      <c r="O2217" s="28" t="str">
        <f>IFERROR(VLOOKUP(N2217, 'SIC &amp; NAICS Codes'!A:B, 2, FALSE), "")</f>
        <v>Industrial Organic Chemicals, NEC (aliphatics)</v>
      </c>
      <c r="S2217" s="28">
        <v>7.8517030000000002E-2</v>
      </c>
      <c r="T2217" s="315">
        <f>_xlfn.MAXIFS('Raw Period DMR Data'!$O:$O,'Raw Period DMR Data'!$A:$A,'Raw Annual DMR Data_2021-2024'!#REF!,'Raw Period DMR Data'!$C:$C,X2217)/S2217</f>
        <v>0</v>
      </c>
      <c r="U2217" s="28" t="str">
        <f>+IF(COUNTIFS('Raw Period DMR Data'!$A:$A,B2217,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17" s="28" t="str" cm="1">
        <f t="array" ref="V2217">IFERROR(INDEX('Raw Period DMR Data'!N:N,MATCH(1,(B2217='Raw Period DMR Data'!$A:$A)*(U2217='Raw Period DMR Data'!M:M)*(X2217='Raw Period DMR Data'!C:C),0),1), "N/A")</f>
        <v>N/A</v>
      </c>
      <c r="W2217" s="28" t="s">
        <v>1463</v>
      </c>
      <c r="X2217" s="28" t="s">
        <v>931</v>
      </c>
      <c r="Y2217" s="28" t="s">
        <v>7250</v>
      </c>
      <c r="Z2217" s="61" t="s">
        <v>7323</v>
      </c>
      <c r="AC2217" s="28" t="s">
        <v>1466</v>
      </c>
    </row>
    <row r="2218" spans="1:29" x14ac:dyDescent="0.25">
      <c r="A2218" s="61">
        <v>110000572782</v>
      </c>
      <c r="B2218" s="28">
        <v>2024</v>
      </c>
      <c r="C2218" s="68">
        <f t="shared" si="35"/>
        <v>45292</v>
      </c>
      <c r="D2218" s="28" t="s">
        <v>6779</v>
      </c>
      <c r="E2218" s="28" t="s">
        <v>617</v>
      </c>
      <c r="F2218" s="28" t="s">
        <v>618</v>
      </c>
      <c r="G2218" s="28" t="s">
        <v>311</v>
      </c>
      <c r="H2218" s="28">
        <v>26501</v>
      </c>
      <c r="I2218" s="28">
        <v>39.599829999999997</v>
      </c>
      <c r="J2218" s="28">
        <v>-79.97148</v>
      </c>
      <c r="K2218" s="28" t="s">
        <v>619</v>
      </c>
      <c r="L2218" s="61">
        <v>110000572782</v>
      </c>
      <c r="M2218" s="28" t="s">
        <v>251</v>
      </c>
      <c r="N2218" s="28">
        <v>2869</v>
      </c>
      <c r="O2218" s="28" t="str">
        <f>IFERROR(VLOOKUP(N2218, 'SIC &amp; NAICS Codes'!A:B, 2, FALSE), "")</f>
        <v>Industrial Organic Chemicals, NEC (aliphatics)</v>
      </c>
      <c r="S2218" s="28">
        <v>5.8644562900000002E-2</v>
      </c>
      <c r="T2218" s="315">
        <f>_xlfn.MAXIFS('Raw Period DMR Data'!$O:$O,'Raw Period DMR Data'!$A:$A,'Raw Annual DMR Data_2021-2024'!#REF!,'Raw Period DMR Data'!$C:$C,X2218)/S2218</f>
        <v>0</v>
      </c>
      <c r="U2218" s="28" t="str">
        <f>+IF(COUNTIFS('Raw Period DMR Data'!$A:$A,B2218,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18" s="28" t="str" cm="1">
        <f t="array" ref="V2218">IFERROR(INDEX('Raw Period DMR Data'!N:N,MATCH(1,(B2218='Raw Period DMR Data'!$A:$A)*(U2218='Raw Period DMR Data'!M:M)*(X2218='Raw Period DMR Data'!C:C),0),1), "N/A")</f>
        <v>N/A</v>
      </c>
      <c r="W2218" s="28" t="s">
        <v>1463</v>
      </c>
      <c r="X2218" s="28" t="s">
        <v>931</v>
      </c>
      <c r="Y2218" s="28" t="s">
        <v>7250</v>
      </c>
      <c r="Z2218" s="61">
        <v>5020003000026</v>
      </c>
      <c r="AC2218" s="28" t="s">
        <v>1466</v>
      </c>
    </row>
    <row r="2219" spans="1:29" x14ac:dyDescent="0.25">
      <c r="A2219" s="61">
        <v>110000572782</v>
      </c>
      <c r="B2219" s="28">
        <v>2023</v>
      </c>
      <c r="C2219" s="68">
        <f t="shared" si="35"/>
        <v>44927</v>
      </c>
      <c r="D2219" s="28" t="s">
        <v>6779</v>
      </c>
      <c r="E2219" s="28" t="s">
        <v>617</v>
      </c>
      <c r="F2219" s="28" t="s">
        <v>618</v>
      </c>
      <c r="G2219" s="28" t="s">
        <v>311</v>
      </c>
      <c r="H2219" s="28">
        <v>26501</v>
      </c>
      <c r="I2219" s="28">
        <v>39.599829999999997</v>
      </c>
      <c r="J2219" s="28">
        <v>-79.97148</v>
      </c>
      <c r="K2219" s="28" t="s">
        <v>619</v>
      </c>
      <c r="L2219" s="61">
        <v>110000572782</v>
      </c>
      <c r="M2219" s="28" t="s">
        <v>251</v>
      </c>
      <c r="N2219" s="28">
        <v>2869</v>
      </c>
      <c r="O2219" s="28" t="str">
        <f>IFERROR(VLOOKUP(N2219, 'SIC &amp; NAICS Codes'!A:B, 2, FALSE), "")</f>
        <v>Industrial Organic Chemicals, NEC (aliphatics)</v>
      </c>
      <c r="S2219" s="28">
        <v>5.4896580200000003E-2</v>
      </c>
      <c r="T2219" s="315">
        <f>_xlfn.MAXIFS('Raw Period DMR Data'!$O:$O,'Raw Period DMR Data'!$A:$A,'Raw Annual DMR Data_2021-2024'!#REF!,'Raw Period DMR Data'!$C:$C,X2219)/S2219</f>
        <v>0</v>
      </c>
      <c r="U2219" s="28" t="str">
        <f>+IF(COUNTIFS('Raw Period DMR Data'!$A:$A,B2219,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19" s="28" t="str" cm="1">
        <f t="array" ref="V2219">IFERROR(INDEX('Raw Period DMR Data'!N:N,MATCH(1,(B2219='Raw Period DMR Data'!$A:$A)*(U2219='Raw Period DMR Data'!M:M)*(X2219='Raw Period DMR Data'!C:C),0),1), "N/A")</f>
        <v>N/A</v>
      </c>
      <c r="W2219" s="28" t="s">
        <v>1463</v>
      </c>
      <c r="X2219" s="28" t="s">
        <v>931</v>
      </c>
      <c r="Y2219" s="28" t="s">
        <v>7250</v>
      </c>
      <c r="Z2219" s="61" t="s">
        <v>7323</v>
      </c>
      <c r="AC2219" s="28" t="s">
        <v>1466</v>
      </c>
    </row>
    <row r="2220" spans="1:29" x14ac:dyDescent="0.25">
      <c r="A2220" s="61">
        <v>110000572782</v>
      </c>
      <c r="B2220" s="28">
        <v>2022</v>
      </c>
      <c r="C2220" s="68">
        <f t="shared" si="35"/>
        <v>44562</v>
      </c>
      <c r="D2220" s="28" t="s">
        <v>6779</v>
      </c>
      <c r="E2220" s="28" t="s">
        <v>617</v>
      </c>
      <c r="F2220" s="28" t="s">
        <v>618</v>
      </c>
      <c r="G2220" s="28" t="s">
        <v>311</v>
      </c>
      <c r="H2220" s="28">
        <v>26501</v>
      </c>
      <c r="I2220" s="28">
        <v>39.599829999999997</v>
      </c>
      <c r="J2220" s="28">
        <v>-79.97148</v>
      </c>
      <c r="K2220" s="28" t="s">
        <v>619</v>
      </c>
      <c r="L2220" s="61">
        <v>110000572782</v>
      </c>
      <c r="M2220" s="28" t="s">
        <v>251</v>
      </c>
      <c r="N2220" s="28">
        <v>2869</v>
      </c>
      <c r="O2220" s="28" t="str">
        <f>IFERROR(VLOOKUP(N2220, 'SIC &amp; NAICS Codes'!A:B, 2, FALSE), "")</f>
        <v>Industrial Organic Chemicals, NEC (aliphatics)</v>
      </c>
      <c r="S2220" s="28">
        <v>5.4361381200000003E-2</v>
      </c>
      <c r="T2220" s="315">
        <f>_xlfn.MAXIFS('Raw Period DMR Data'!$O:$O,'Raw Period DMR Data'!$A:$A,'Raw Annual DMR Data_2021-2024'!#REF!,'Raw Period DMR Data'!$C:$C,X2220)/S2220</f>
        <v>0</v>
      </c>
      <c r="U2220" s="28" t="str">
        <f>+IF(COUNTIFS('Raw Period DMR Data'!$A:$A,B2220,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20" s="28" t="str" cm="1">
        <f t="array" ref="V2220">IFERROR(INDEX('Raw Period DMR Data'!N:N,MATCH(1,(B2220='Raw Period DMR Data'!$A:$A)*(U2220='Raw Period DMR Data'!M:M)*(X2220='Raw Period DMR Data'!C:C),0),1), "N/A")</f>
        <v>N/A</v>
      </c>
      <c r="W2220" s="28" t="s">
        <v>1463</v>
      </c>
      <c r="X2220" s="28" t="s">
        <v>931</v>
      </c>
      <c r="Y2220" s="28" t="s">
        <v>7250</v>
      </c>
      <c r="Z2220" s="61">
        <v>5020003000026</v>
      </c>
      <c r="AC2220" s="28" t="s">
        <v>1466</v>
      </c>
    </row>
    <row r="2221" spans="1:29" x14ac:dyDescent="0.25">
      <c r="A2221" s="61">
        <v>110000572782</v>
      </c>
      <c r="B2221" s="28">
        <v>2024</v>
      </c>
      <c r="C2221" s="68">
        <f t="shared" si="35"/>
        <v>45292</v>
      </c>
      <c r="D2221" s="28" t="s">
        <v>6779</v>
      </c>
      <c r="E2221" s="28" t="s">
        <v>617</v>
      </c>
      <c r="F2221" s="28" t="s">
        <v>618</v>
      </c>
      <c r="G2221" s="28" t="s">
        <v>311</v>
      </c>
      <c r="H2221" s="28">
        <v>26501</v>
      </c>
      <c r="I2221" s="28">
        <v>39.599829999999997</v>
      </c>
      <c r="J2221" s="28">
        <v>-79.97148</v>
      </c>
      <c r="K2221" s="28" t="s">
        <v>619</v>
      </c>
      <c r="L2221" s="61">
        <v>110000572782</v>
      </c>
      <c r="M2221" s="28" t="s">
        <v>251</v>
      </c>
      <c r="N2221" s="28">
        <v>2869</v>
      </c>
      <c r="O2221" s="28" t="str">
        <f>IFERROR(VLOOKUP(N2221, 'SIC &amp; NAICS Codes'!A:B, 2, FALSE), "")</f>
        <v>Industrial Organic Chemicals, NEC (aliphatics)</v>
      </c>
      <c r="S2221" s="28">
        <v>3.5761580000000001E-2</v>
      </c>
      <c r="T2221" s="315">
        <f>_xlfn.MAXIFS('Raw Period DMR Data'!$O:$O,'Raw Period DMR Data'!$A:$A,'Raw Annual DMR Data_2021-2024'!#REF!,'Raw Period DMR Data'!$C:$C,X2221)/S2221</f>
        <v>0</v>
      </c>
      <c r="U2221" s="28" t="str">
        <f>+IF(COUNTIFS('Raw Period DMR Data'!$A:$A,B2221,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21" s="28" t="str" cm="1">
        <f t="array" ref="V2221">IFERROR(INDEX('Raw Period DMR Data'!N:N,MATCH(1,(B2221='Raw Period DMR Data'!$A:$A)*(U2221='Raw Period DMR Data'!M:M)*(X2221='Raw Period DMR Data'!C:C),0),1), "N/A")</f>
        <v>N/A</v>
      </c>
      <c r="W2221" s="28" t="s">
        <v>1463</v>
      </c>
      <c r="X2221" s="28" t="s">
        <v>931</v>
      </c>
      <c r="Y2221" s="28" t="s">
        <v>7250</v>
      </c>
      <c r="Z2221" s="61">
        <v>5020003000026</v>
      </c>
      <c r="AC2221" s="28" t="s">
        <v>1466</v>
      </c>
    </row>
    <row r="2222" spans="1:29" x14ac:dyDescent="0.25">
      <c r="A2222" s="61">
        <v>110000572782</v>
      </c>
      <c r="B2222" s="28">
        <v>2022</v>
      </c>
      <c r="C2222" s="68">
        <f t="shared" si="35"/>
        <v>44562</v>
      </c>
      <c r="D2222" s="28" t="s">
        <v>6779</v>
      </c>
      <c r="E2222" s="28" t="s">
        <v>617</v>
      </c>
      <c r="F2222" s="28" t="s">
        <v>618</v>
      </c>
      <c r="G2222" s="28" t="s">
        <v>311</v>
      </c>
      <c r="H2222" s="28">
        <v>26501</v>
      </c>
      <c r="I2222" s="28">
        <v>39.599829999999997</v>
      </c>
      <c r="J2222" s="28">
        <v>-79.97148</v>
      </c>
      <c r="K2222" s="28" t="s">
        <v>619</v>
      </c>
      <c r="L2222" s="61">
        <v>110000572782</v>
      </c>
      <c r="M2222" s="28" t="s">
        <v>251</v>
      </c>
      <c r="N2222" s="28">
        <v>2869</v>
      </c>
      <c r="O2222" s="28" t="str">
        <f>IFERROR(VLOOKUP(N2222, 'SIC &amp; NAICS Codes'!A:B, 2, FALSE), "")</f>
        <v>Industrial Organic Chemicals, NEC (aliphatics)</v>
      </c>
      <c r="S2222" s="28">
        <v>2.768265E-2</v>
      </c>
      <c r="T2222" s="315">
        <f>_xlfn.MAXIFS('Raw Period DMR Data'!$O:$O,'Raw Period DMR Data'!$A:$A,'Raw Annual DMR Data_2021-2024'!#REF!,'Raw Period DMR Data'!$C:$C,X2222)/S2222</f>
        <v>0</v>
      </c>
      <c r="U2222" s="28" t="str">
        <f>+IF(COUNTIFS('Raw Period DMR Data'!$A:$A,B2222,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22" s="28" t="str" cm="1">
        <f t="array" ref="V2222">IFERROR(INDEX('Raw Period DMR Data'!N:N,MATCH(1,(B2222='Raw Period DMR Data'!$A:$A)*(U2222='Raw Period DMR Data'!M:M)*(X2222='Raw Period DMR Data'!C:C),0),1), "N/A")</f>
        <v>N/A</v>
      </c>
      <c r="W2222" s="28" t="s">
        <v>1463</v>
      </c>
      <c r="X2222" s="28" t="s">
        <v>931</v>
      </c>
      <c r="Y2222" s="28" t="s">
        <v>7250</v>
      </c>
      <c r="Z2222" s="61">
        <v>5020003000026</v>
      </c>
      <c r="AC2222" s="28" t="s">
        <v>1466</v>
      </c>
    </row>
    <row r="2223" spans="1:29" x14ac:dyDescent="0.25">
      <c r="A2223" s="61">
        <v>110013317614</v>
      </c>
      <c r="B2223" s="28">
        <v>2024</v>
      </c>
      <c r="C2223" s="68">
        <f t="shared" si="35"/>
        <v>45292</v>
      </c>
      <c r="D2223" s="28" t="s">
        <v>190</v>
      </c>
      <c r="E2223" s="28" t="s">
        <v>622</v>
      </c>
      <c r="F2223" s="28" t="s">
        <v>623</v>
      </c>
      <c r="G2223" s="28" t="s">
        <v>338</v>
      </c>
      <c r="H2223" s="28">
        <v>8086</v>
      </c>
      <c r="I2223" s="28">
        <v>39.845474000000003</v>
      </c>
      <c r="J2223" s="28">
        <v>-75.209485999999998</v>
      </c>
      <c r="K2223" s="28" t="s">
        <v>624</v>
      </c>
      <c r="L2223" s="61">
        <v>110013317614</v>
      </c>
      <c r="M2223" s="28" t="s">
        <v>253</v>
      </c>
      <c r="N2223" s="28">
        <v>2821</v>
      </c>
      <c r="O2223" s="28" t="str">
        <f>IFERROR(VLOOKUP(N2223, 'SIC &amp; NAICS Codes'!A:B, 2, FALSE), "")</f>
        <v>Plastics Materials, Synthetic and Resins, and Nonvulcanizable Elastomers</v>
      </c>
      <c r="S2223" s="28">
        <v>7.7108850000000007E-2</v>
      </c>
      <c r="T2223" s="315">
        <f>_xlfn.MAXIFS('Raw Period DMR Data'!$O:$O,'Raw Period DMR Data'!$A:$A,'Raw Annual DMR Data_2021-2024'!#REF!,'Raw Period DMR Data'!$C:$C,X2223)/S2223</f>
        <v>0</v>
      </c>
      <c r="U2223" s="28" t="str">
        <f>+IF(COUNTIFS('Raw Period DMR Data'!$A:$A,B2223,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23" s="28" t="str" cm="1">
        <f t="array" ref="V2223">IFERROR(INDEX('Raw Period DMR Data'!N:N,MATCH(1,(B2223='Raw Period DMR Data'!$A:$A)*(U2223='Raw Period DMR Data'!M:M)*(X2223='Raw Period DMR Data'!C:C),0),1), "N/A")</f>
        <v>N/A</v>
      </c>
      <c r="W2223" s="28" t="s">
        <v>1463</v>
      </c>
      <c r="X2223" s="28" t="s">
        <v>934</v>
      </c>
      <c r="Y2223" s="28" t="s">
        <v>935</v>
      </c>
      <c r="Z2223" s="61">
        <v>2040202001763</v>
      </c>
      <c r="AB2223" s="28" t="s">
        <v>7355</v>
      </c>
      <c r="AC2223" s="28" t="s">
        <v>1466</v>
      </c>
    </row>
    <row r="2224" spans="1:29" x14ac:dyDescent="0.25">
      <c r="A2224" s="61">
        <v>110013317614</v>
      </c>
      <c r="B2224" s="28">
        <v>2023</v>
      </c>
      <c r="C2224" s="68">
        <f t="shared" si="35"/>
        <v>44927</v>
      </c>
      <c r="D2224" s="28" t="s">
        <v>190</v>
      </c>
      <c r="E2224" s="28" t="s">
        <v>622</v>
      </c>
      <c r="F2224" s="28" t="s">
        <v>623</v>
      </c>
      <c r="G2224" s="28" t="s">
        <v>338</v>
      </c>
      <c r="H2224" s="28" t="s">
        <v>2223</v>
      </c>
      <c r="I2224" s="28">
        <v>39.845474000000003</v>
      </c>
      <c r="J2224" s="28">
        <v>-75.209485999999998</v>
      </c>
      <c r="K2224" s="28" t="s">
        <v>624</v>
      </c>
      <c r="L2224" s="61">
        <v>110013317614</v>
      </c>
      <c r="M2224" s="28" t="s">
        <v>253</v>
      </c>
      <c r="N2224" s="28">
        <v>2821</v>
      </c>
      <c r="O2224" s="28" t="str">
        <f>IFERROR(VLOOKUP(N2224, 'SIC &amp; NAICS Codes'!A:B, 2, FALSE), "")</f>
        <v>Plastics Materials, Synthetic and Resins, and Nonvulcanizable Elastomers</v>
      </c>
      <c r="S2224" s="28">
        <v>3.6082599999999999E-2</v>
      </c>
      <c r="T2224" s="315">
        <f>_xlfn.MAXIFS('Raw Period DMR Data'!$O:$O,'Raw Period DMR Data'!$A:$A,'Raw Annual DMR Data_2021-2024'!#REF!,'Raw Period DMR Data'!$C:$C,X2224)/S2224</f>
        <v>0</v>
      </c>
      <c r="U2224" s="28" t="str">
        <f>+IF(COUNTIFS('Raw Period DMR Data'!$A:$A,B2224,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24" s="28" t="str" cm="1">
        <f t="array" ref="V2224">IFERROR(INDEX('Raw Period DMR Data'!N:N,MATCH(1,(B2224='Raw Period DMR Data'!$A:$A)*(U2224='Raw Period DMR Data'!M:M)*(X2224='Raw Period DMR Data'!C:C),0),1), "N/A")</f>
        <v>N/A</v>
      </c>
      <c r="W2224" s="28" t="s">
        <v>1463</v>
      </c>
      <c r="X2224" s="28" t="s">
        <v>934</v>
      </c>
      <c r="Y2224" s="28" t="s">
        <v>935</v>
      </c>
      <c r="Z2224" s="61" t="s">
        <v>2224</v>
      </c>
      <c r="AB2224" s="28" t="s">
        <v>7355</v>
      </c>
      <c r="AC2224" s="28" t="s">
        <v>1466</v>
      </c>
    </row>
    <row r="2225" spans="1:29" x14ac:dyDescent="0.25">
      <c r="A2225" s="61">
        <v>110013317614</v>
      </c>
      <c r="B2225" s="28">
        <v>2021</v>
      </c>
      <c r="C2225" s="68">
        <f t="shared" si="35"/>
        <v>44197</v>
      </c>
      <c r="D2225" s="28" t="s">
        <v>190</v>
      </c>
      <c r="E2225" s="28" t="s">
        <v>622</v>
      </c>
      <c r="F2225" s="28" t="s">
        <v>623</v>
      </c>
      <c r="G2225" s="28" t="s">
        <v>338</v>
      </c>
      <c r="H2225" s="28">
        <v>8086</v>
      </c>
      <c r="I2225" s="28">
        <v>39.845474000000003</v>
      </c>
      <c r="J2225" s="28">
        <v>-75.209485999999998</v>
      </c>
      <c r="K2225" s="28" t="s">
        <v>624</v>
      </c>
      <c r="L2225" s="61">
        <v>110013317614</v>
      </c>
      <c r="M2225" s="28" t="s">
        <v>253</v>
      </c>
      <c r="N2225" s="28">
        <v>2821</v>
      </c>
      <c r="O2225" s="28" t="str">
        <f>IFERROR(VLOOKUP(N2225, 'SIC &amp; NAICS Codes'!A:B, 2, FALSE), "")</f>
        <v>Plastics Materials, Synthetic and Resins, and Nonvulcanizable Elastomers</v>
      </c>
      <c r="S2225" s="28">
        <v>2.7546600000000001E-2</v>
      </c>
      <c r="T2225" s="315">
        <f>_xlfn.MAXIFS('Raw Period DMR Data'!$O:$O,'Raw Period DMR Data'!$A:$A,'Raw Annual DMR Data_2021-2024'!#REF!,'Raw Period DMR Data'!$C:$C,X2225)/S2225</f>
        <v>0</v>
      </c>
      <c r="U2225" s="28" t="str">
        <f>+IF(COUNTIFS('Raw Period DMR Data'!$A:$A,B2225,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25" s="28" t="str" cm="1">
        <f t="array" ref="V2225">IFERROR(INDEX('Raw Period DMR Data'!N:N,MATCH(1,(B2225='Raw Period DMR Data'!$A:$A)*(U2225='Raw Period DMR Data'!M:M)*(X2225='Raw Period DMR Data'!C:C),0),1), "N/A")</f>
        <v>N/A</v>
      </c>
      <c r="W2225" s="28" t="s">
        <v>1463</v>
      </c>
      <c r="X2225" s="28" t="s">
        <v>934</v>
      </c>
      <c r="Y2225" s="28" t="s">
        <v>935</v>
      </c>
      <c r="Z2225" s="61">
        <v>2040202001763</v>
      </c>
      <c r="AA2225" s="28"/>
      <c r="AB2225" s="28" t="s">
        <v>7355</v>
      </c>
      <c r="AC2225" s="28" t="s">
        <v>1466</v>
      </c>
    </row>
    <row r="2226" spans="1:29" x14ac:dyDescent="0.25">
      <c r="A2226" s="61">
        <v>110013317614</v>
      </c>
      <c r="B2226" s="28">
        <v>2022</v>
      </c>
      <c r="C2226" s="68">
        <f t="shared" si="35"/>
        <v>44562</v>
      </c>
      <c r="D2226" s="28" t="s">
        <v>190</v>
      </c>
      <c r="E2226" s="28" t="s">
        <v>622</v>
      </c>
      <c r="F2226" s="28" t="s">
        <v>623</v>
      </c>
      <c r="G2226" s="28" t="s">
        <v>338</v>
      </c>
      <c r="H2226" s="28">
        <v>8086</v>
      </c>
      <c r="I2226" s="28">
        <v>39.845474000000003</v>
      </c>
      <c r="J2226" s="28">
        <v>-75.209485999999998</v>
      </c>
      <c r="K2226" s="28" t="s">
        <v>624</v>
      </c>
      <c r="L2226" s="61">
        <v>110013317614</v>
      </c>
      <c r="M2226" s="28" t="s">
        <v>253</v>
      </c>
      <c r="N2226" s="28">
        <v>2821</v>
      </c>
      <c r="O2226" s="28" t="str">
        <f>IFERROR(VLOOKUP(N2226, 'SIC &amp; NAICS Codes'!A:B, 2, FALSE), "")</f>
        <v>Plastics Materials, Synthetic and Resins, and Nonvulcanizable Elastomers</v>
      </c>
      <c r="S2226" s="28">
        <v>2.6297299999999999E-2</v>
      </c>
      <c r="T2226" s="315">
        <f>_xlfn.MAXIFS('Raw Period DMR Data'!$O:$O,'Raw Period DMR Data'!$A:$A,'Raw Annual DMR Data_2021-2024'!#REF!,'Raw Period DMR Data'!$C:$C,X2226)/S2226</f>
        <v>0</v>
      </c>
      <c r="U2226" s="28" t="str">
        <f>+IF(COUNTIFS('Raw Period DMR Data'!$A:$A,B2226,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26" s="28" t="str" cm="1">
        <f t="array" ref="V2226">IFERROR(INDEX('Raw Period DMR Data'!N:N,MATCH(1,(B2226='Raw Period DMR Data'!$A:$A)*(U2226='Raw Period DMR Data'!M:M)*(X2226='Raw Period DMR Data'!C:C),0),1), "N/A")</f>
        <v>N/A</v>
      </c>
      <c r="W2226" s="28" t="s">
        <v>1463</v>
      </c>
      <c r="X2226" s="28" t="s">
        <v>934</v>
      </c>
      <c r="Y2226" s="28" t="s">
        <v>935</v>
      </c>
      <c r="Z2226" s="61">
        <v>2040202001763</v>
      </c>
      <c r="AB2226" s="28" t="s">
        <v>7355</v>
      </c>
      <c r="AC2226" s="28" t="s">
        <v>1466</v>
      </c>
    </row>
    <row r="2227" spans="1:29" x14ac:dyDescent="0.25">
      <c r="A2227" s="61">
        <v>110002912750</v>
      </c>
      <c r="B2227" s="28">
        <v>2021</v>
      </c>
      <c r="C2227" s="68">
        <f t="shared" si="35"/>
        <v>44197</v>
      </c>
      <c r="D2227" s="28" t="s">
        <v>1353</v>
      </c>
      <c r="E2227" s="28" t="s">
        <v>2225</v>
      </c>
      <c r="F2227" s="28" t="s">
        <v>612</v>
      </c>
      <c r="G2227" s="28" t="s">
        <v>366</v>
      </c>
      <c r="H2227" s="28" t="s">
        <v>2226</v>
      </c>
      <c r="I2227" s="28">
        <v>32.544722</v>
      </c>
      <c r="J2227" s="28">
        <v>-117.068056</v>
      </c>
      <c r="L2227" s="61">
        <v>110002912750</v>
      </c>
      <c r="M2227" s="28" t="s">
        <v>263</v>
      </c>
      <c r="N2227" s="28">
        <v>4952</v>
      </c>
      <c r="O2227" s="28" t="str">
        <f>IFERROR(VLOOKUP(N2227, 'SIC &amp; NAICS Codes'!A:B, 2, FALSE), "")</f>
        <v>Sewerage Systems</v>
      </c>
      <c r="S2227" s="28">
        <v>2.8919800000000002</v>
      </c>
      <c r="T2227" s="315">
        <f>_xlfn.MAXIFS('Raw Period DMR Data'!$O:$O,'Raw Period DMR Data'!$A:$A,'Raw Annual DMR Data_2021-2024'!#REF!,'Raw Period DMR Data'!$C:$C,X2227)/S2227</f>
        <v>0</v>
      </c>
      <c r="U2227" s="28" t="str">
        <f>+IF(COUNTIFS('Raw Period DMR Data'!$A:$A,B2227,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27" s="28" t="str" cm="1">
        <f t="array" ref="V2227">IFERROR(INDEX('Raw Period DMR Data'!N:N,MATCH(1,(B2227='Raw Period DMR Data'!$A:$A)*(U2227='Raw Period DMR Data'!M:M)*(X2227='Raw Period DMR Data'!C:C),0),1), "N/A")</f>
        <v>N/A</v>
      </c>
      <c r="W2227" s="28" t="s">
        <v>1463</v>
      </c>
      <c r="X2227" s="28" t="s">
        <v>2227</v>
      </c>
      <c r="Y2227" s="28" t="s">
        <v>926</v>
      </c>
      <c r="Z2227" s="61">
        <v>18070304005658</v>
      </c>
      <c r="AB2227" s="28" t="s">
        <v>7355</v>
      </c>
      <c r="AC2227" s="28" t="s">
        <v>7356</v>
      </c>
    </row>
    <row r="2228" spans="1:29" x14ac:dyDescent="0.25">
      <c r="A2228" s="61">
        <v>110000730629</v>
      </c>
      <c r="B2228" s="28">
        <v>2021</v>
      </c>
      <c r="C2228" s="68">
        <f t="shared" si="35"/>
        <v>44197</v>
      </c>
      <c r="D2228" s="28" t="s">
        <v>1354</v>
      </c>
      <c r="E2228" s="28" t="s">
        <v>2228</v>
      </c>
      <c r="F2228" s="28" t="s">
        <v>1355</v>
      </c>
      <c r="G2228" s="28" t="s">
        <v>366</v>
      </c>
      <c r="H2228" s="28" t="s">
        <v>2229</v>
      </c>
      <c r="I2228" s="28">
        <v>35.102089999999997</v>
      </c>
      <c r="J2228" s="28">
        <v>-120.62509</v>
      </c>
      <c r="L2228" s="61">
        <v>110000730629</v>
      </c>
      <c r="M2228" s="28" t="s">
        <v>263</v>
      </c>
      <c r="N2228" s="28">
        <v>4952</v>
      </c>
      <c r="O2228" s="28" t="str">
        <f>IFERROR(VLOOKUP(N2228, 'SIC &amp; NAICS Codes'!A:B, 2, FALSE), "")</f>
        <v>Sewerage Systems</v>
      </c>
      <c r="S2228" s="28">
        <v>0.78712249999999995</v>
      </c>
      <c r="T2228" s="315">
        <f>_xlfn.MAXIFS('Raw Period DMR Data'!$O:$O,'Raw Period DMR Data'!$A:$A,'Raw Annual DMR Data_2021-2024'!#REF!,'Raw Period DMR Data'!$C:$C,X2228)/S2228</f>
        <v>0</v>
      </c>
      <c r="U2228" s="28" t="str">
        <f>+IF(COUNTIFS('Raw Period DMR Data'!$A:$A,B2228,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28" s="28" t="str" cm="1">
        <f t="array" ref="V2228">IFERROR(INDEX('Raw Period DMR Data'!N:N,MATCH(1,(B2228='Raw Period DMR Data'!$A:$A)*(U2228='Raw Period DMR Data'!M:M)*(X2228='Raw Period DMR Data'!C:C),0),1), "N/A")</f>
        <v>N/A</v>
      </c>
      <c r="W2228" s="28" t="s">
        <v>1463</v>
      </c>
      <c r="X2228" s="28" t="s">
        <v>2230</v>
      </c>
      <c r="Y2228" s="28" t="s">
        <v>926</v>
      </c>
      <c r="Z2228" s="61">
        <v>18060006000024</v>
      </c>
      <c r="AA2228" s="28"/>
      <c r="AB2228" s="28" t="s">
        <v>7355</v>
      </c>
      <c r="AC2228" s="28" t="s">
        <v>263</v>
      </c>
    </row>
    <row r="2229" spans="1:29" x14ac:dyDescent="0.25">
      <c r="A2229" s="61">
        <v>110000540610</v>
      </c>
      <c r="B2229" s="28">
        <v>2024</v>
      </c>
      <c r="C2229" s="68">
        <f t="shared" si="35"/>
        <v>45292</v>
      </c>
      <c r="D2229" s="28" t="s">
        <v>6811</v>
      </c>
      <c r="E2229" s="28" t="s">
        <v>2107</v>
      </c>
      <c r="F2229" s="28" t="s">
        <v>966</v>
      </c>
      <c r="G2229" s="28" t="s">
        <v>491</v>
      </c>
      <c r="H2229" s="28" t="s">
        <v>2108</v>
      </c>
      <c r="I2229" s="28">
        <v>39.901820000000001</v>
      </c>
      <c r="J2229" s="28">
        <v>-75.144549999999995</v>
      </c>
      <c r="L2229" s="61">
        <v>110000540610</v>
      </c>
      <c r="M2229" s="28" t="s">
        <v>263</v>
      </c>
      <c r="N2229" s="28">
        <v>4952</v>
      </c>
      <c r="O2229" s="28" t="str">
        <f>IFERROR(VLOOKUP(N2229, 'SIC &amp; NAICS Codes'!A:B, 2, FALSE), "")</f>
        <v>Sewerage Systems</v>
      </c>
      <c r="S2229" s="28">
        <v>149.26147499999999</v>
      </c>
      <c r="T2229" s="315">
        <f>_xlfn.MAXIFS('Raw Period DMR Data'!$O:$O,'Raw Period DMR Data'!$A:$A,'Raw Annual DMR Data_2021-2024'!B2281,'Raw Period DMR Data'!$C:$C,X2229)/S2229</f>
        <v>0</v>
      </c>
      <c r="U2229" s="28" t="str">
        <f>+IF(COUNTIFS('Raw Period DMR Data'!$A:$A,B2229, 'Raw Period DMR Data'!C:C,'Raw Annual DMR Data_2021-2024'!X2281, 'Raw Period DMR Data'!M:M, "&gt;0")&gt;0,_xlfn.MAXIFS('Raw Period DMR Data'!M:M,'Raw Period DMR Data'!$A:$A,'Raw Annual DMR Data_2021-2024'!B2281,'Raw Period DMR Data'!C:C,'Raw Annual DMR Data_2021-2024'!X2281), "N/A - Period DMR Data Not Available")</f>
        <v>N/A - Period DMR Data Not Available</v>
      </c>
      <c r="V2229" s="28" t="str" cm="1">
        <f t="array" ref="V2229">IFERROR(INDEX('Raw Period DMR Data'!N:N,MATCH(1,(B2229='Raw Period DMR Data'!$A:$A)*(U2229='Raw Period DMR Data'!M:M)*(X2229='Raw Period DMR Data'!C:C),0),1), "N/A")</f>
        <v>N/A</v>
      </c>
      <c r="W2229" s="28" t="s">
        <v>1463</v>
      </c>
      <c r="X2229" s="28" t="s">
        <v>2109</v>
      </c>
      <c r="Y2229" s="28" t="s">
        <v>783</v>
      </c>
      <c r="Z2229" s="61">
        <v>2040202000077</v>
      </c>
      <c r="AB2229" s="28" t="s">
        <v>7355</v>
      </c>
      <c r="AC2229" s="28" t="s">
        <v>263</v>
      </c>
    </row>
    <row r="2230" spans="1:29" x14ac:dyDescent="0.25">
      <c r="A2230" s="61">
        <v>110000540610</v>
      </c>
      <c r="B2230" s="28">
        <v>2023</v>
      </c>
      <c r="C2230" s="68">
        <f t="shared" si="35"/>
        <v>44927</v>
      </c>
      <c r="D2230" s="28" t="s">
        <v>6811</v>
      </c>
      <c r="E2230" s="28" t="s">
        <v>2107</v>
      </c>
      <c r="F2230" s="28" t="s">
        <v>966</v>
      </c>
      <c r="G2230" s="28" t="s">
        <v>491</v>
      </c>
      <c r="H2230" s="28" t="s">
        <v>2108</v>
      </c>
      <c r="I2230" s="28">
        <v>39.901820000000001</v>
      </c>
      <c r="J2230" s="28">
        <v>-75.144549999999995</v>
      </c>
      <c r="L2230" s="61">
        <v>110000540610</v>
      </c>
      <c r="M2230" s="28" t="s">
        <v>263</v>
      </c>
      <c r="N2230" s="28">
        <v>4952</v>
      </c>
      <c r="O2230" s="28" t="str">
        <f>IFERROR(VLOOKUP(N2230, 'SIC &amp; NAICS Codes'!A:B, 2, FALSE), "")</f>
        <v>Sewerage Systems</v>
      </c>
      <c r="S2230" s="28">
        <v>134.4459252</v>
      </c>
      <c r="T2230" s="315">
        <f>_xlfn.MAXIFS('Raw Period DMR Data'!$O:$O,'Raw Period DMR Data'!$A:$A,'Raw Annual DMR Data_2021-2024'!B2283,'Raw Period DMR Data'!$C:$C,X2230)/S2230</f>
        <v>0</v>
      </c>
      <c r="U2230" s="28" t="str">
        <f>+IF(COUNTIFS('Raw Period DMR Data'!$A:$A,B2230, 'Raw Period DMR Data'!C:C,'Raw Annual DMR Data_2021-2024'!X2283, 'Raw Period DMR Data'!M:M, "&gt;0")&gt;0,_xlfn.MAXIFS('Raw Period DMR Data'!M:M,'Raw Period DMR Data'!$A:$A,'Raw Annual DMR Data_2021-2024'!B2283,'Raw Period DMR Data'!C:C,'Raw Annual DMR Data_2021-2024'!X2283), "N/A - Period DMR Data Not Available")</f>
        <v>N/A - Period DMR Data Not Available</v>
      </c>
      <c r="V2230" s="28" t="str" cm="1">
        <f t="array" ref="V2230">IFERROR(INDEX('Raw Period DMR Data'!N:N,MATCH(1,(B2230='Raw Period DMR Data'!$A:$A)*(U2230='Raw Period DMR Data'!M:M)*(X2230='Raw Period DMR Data'!C:C),0),1), "N/A")</f>
        <v>N/A</v>
      </c>
      <c r="W2230" s="28" t="s">
        <v>1463</v>
      </c>
      <c r="X2230" s="28" t="s">
        <v>2109</v>
      </c>
      <c r="Y2230" s="28" t="s">
        <v>783</v>
      </c>
      <c r="Z2230" s="61">
        <v>2040202000077</v>
      </c>
      <c r="AB2230" s="28" t="s">
        <v>7355</v>
      </c>
      <c r="AC2230" s="28" t="s">
        <v>263</v>
      </c>
    </row>
    <row r="2231" spans="1:29" x14ac:dyDescent="0.25">
      <c r="A2231" s="61">
        <v>110000540610</v>
      </c>
      <c r="B2231" s="28">
        <v>2022</v>
      </c>
      <c r="C2231" s="68">
        <f t="shared" si="35"/>
        <v>44562</v>
      </c>
      <c r="D2231" s="28" t="s">
        <v>6811</v>
      </c>
      <c r="E2231" s="28" t="s">
        <v>2107</v>
      </c>
      <c r="F2231" s="28" t="s">
        <v>966</v>
      </c>
      <c r="G2231" s="28" t="s">
        <v>491</v>
      </c>
      <c r="H2231" s="28" t="s">
        <v>2108</v>
      </c>
      <c r="I2231" s="28">
        <v>39.901820000000001</v>
      </c>
      <c r="J2231" s="28">
        <v>-75.144549999999995</v>
      </c>
      <c r="L2231" s="61">
        <v>110000540610</v>
      </c>
      <c r="M2231" s="28" t="s">
        <v>263</v>
      </c>
      <c r="N2231" s="28">
        <v>4952</v>
      </c>
      <c r="O2231" s="28" t="str">
        <f>IFERROR(VLOOKUP(N2231, 'SIC &amp; NAICS Codes'!A:B, 2, FALSE), "")</f>
        <v>Sewerage Systems</v>
      </c>
      <c r="S2231" s="28">
        <v>133.87545</v>
      </c>
      <c r="T2231" s="315">
        <f>_xlfn.MAXIFS('Raw Period DMR Data'!$O:$O,'Raw Period DMR Data'!$A:$A,'Raw Annual DMR Data_2021-2024'!B2284,'Raw Period DMR Data'!$C:$C,X2231)/S2231</f>
        <v>0</v>
      </c>
      <c r="U2231" s="28" t="str">
        <f>+IF(COUNTIFS('Raw Period DMR Data'!$A:$A,B2231, 'Raw Period DMR Data'!C:C,'Raw Annual DMR Data_2021-2024'!X2284, 'Raw Period DMR Data'!M:M, "&gt;0")&gt;0,_xlfn.MAXIFS('Raw Period DMR Data'!M:M,'Raw Period DMR Data'!$A:$A,'Raw Annual DMR Data_2021-2024'!B2284,'Raw Period DMR Data'!C:C,'Raw Annual DMR Data_2021-2024'!X2284), "N/A - Period DMR Data Not Available")</f>
        <v>N/A - Period DMR Data Not Available</v>
      </c>
      <c r="V2231" s="28" t="str" cm="1">
        <f t="array" ref="V2231">IFERROR(INDEX('Raw Period DMR Data'!N:N,MATCH(1,(B2231='Raw Period DMR Data'!$A:$A)*(U2231='Raw Period DMR Data'!M:M)*(X2231='Raw Period DMR Data'!C:C),0),1), "N/A")</f>
        <v>N/A</v>
      </c>
      <c r="W2231" s="28" t="s">
        <v>1463</v>
      </c>
      <c r="X2231" s="28" t="s">
        <v>2109</v>
      </c>
      <c r="Y2231" s="28" t="s">
        <v>783</v>
      </c>
      <c r="Z2231" s="61">
        <v>2040202000077</v>
      </c>
      <c r="AB2231" s="28" t="s">
        <v>7355</v>
      </c>
      <c r="AC2231" s="28" t="s">
        <v>263</v>
      </c>
    </row>
    <row r="2232" spans="1:29" x14ac:dyDescent="0.25">
      <c r="A2232" s="61">
        <v>110000540610</v>
      </c>
      <c r="B2232" s="28">
        <v>2021</v>
      </c>
      <c r="C2232" s="68">
        <f t="shared" si="35"/>
        <v>44197</v>
      </c>
      <c r="D2232" s="28" t="s">
        <v>6811</v>
      </c>
      <c r="E2232" s="28" t="s">
        <v>2107</v>
      </c>
      <c r="F2232" s="28" t="s">
        <v>966</v>
      </c>
      <c r="G2232" s="28" t="s">
        <v>491</v>
      </c>
      <c r="H2232" s="28" t="s">
        <v>2108</v>
      </c>
      <c r="I2232" s="28">
        <v>39.901820000000001</v>
      </c>
      <c r="J2232" s="28">
        <v>-75.144549999999995</v>
      </c>
      <c r="L2232" s="61">
        <v>110000540610</v>
      </c>
      <c r="M2232" s="28" t="s">
        <v>263</v>
      </c>
      <c r="N2232" s="28">
        <v>4952</v>
      </c>
      <c r="O2232" s="28" t="str">
        <f>IFERROR(VLOOKUP(N2232, 'SIC &amp; NAICS Codes'!A:B, 2, FALSE), "")</f>
        <v>Sewerage Systems</v>
      </c>
      <c r="S2232" s="28">
        <v>119.02575950000001</v>
      </c>
      <c r="T2232" s="315">
        <f>_xlfn.MAXIFS('Raw Period DMR Data'!$O:$O,'Raw Period DMR Data'!$A:$A,'Raw Annual DMR Data_2021-2024'!B2286,'Raw Period DMR Data'!$C:$C,X2232)/S2232</f>
        <v>0</v>
      </c>
      <c r="U2232" s="28" t="str">
        <f>+IF(COUNTIFS('Raw Period DMR Data'!$A:$A,B2232, 'Raw Period DMR Data'!C:C,'Raw Annual DMR Data_2021-2024'!X2286, 'Raw Period DMR Data'!M:M, "&gt;0")&gt;0,_xlfn.MAXIFS('Raw Period DMR Data'!M:M,'Raw Period DMR Data'!$A:$A,'Raw Annual DMR Data_2021-2024'!B2286,'Raw Period DMR Data'!C:C,'Raw Annual DMR Data_2021-2024'!X2286), "N/A - Period DMR Data Not Available")</f>
        <v>N/A - Period DMR Data Not Available</v>
      </c>
      <c r="V2232" s="28" t="str" cm="1">
        <f t="array" ref="V2232">IFERROR(INDEX('Raw Period DMR Data'!N:N,MATCH(1,(B2232='Raw Period DMR Data'!$A:$A)*(U2232='Raw Period DMR Data'!M:M)*(X2232='Raw Period DMR Data'!C:C),0),1), "N/A")</f>
        <v>N/A</v>
      </c>
      <c r="W2232" s="28" t="s">
        <v>1463</v>
      </c>
      <c r="X2232" s="28" t="s">
        <v>2109</v>
      </c>
      <c r="Y2232" s="28" t="s">
        <v>783</v>
      </c>
      <c r="Z2232" s="61">
        <v>2040202000077</v>
      </c>
      <c r="AA2232" s="28"/>
      <c r="AB2232" s="28" t="s">
        <v>7355</v>
      </c>
      <c r="AC2232" s="28" t="s">
        <v>263</v>
      </c>
    </row>
    <row r="2233" spans="1:29" x14ac:dyDescent="0.25">
      <c r="A2233" s="61">
        <v>110009830200</v>
      </c>
      <c r="B2233" s="28">
        <v>2024</v>
      </c>
      <c r="C2233" s="68">
        <f t="shared" si="35"/>
        <v>45292</v>
      </c>
      <c r="D2233" s="28" t="s">
        <v>1356</v>
      </c>
      <c r="E2233" s="28" t="s">
        <v>2231</v>
      </c>
      <c r="F2233" s="28" t="s">
        <v>1357</v>
      </c>
      <c r="G2233" s="28" t="s">
        <v>418</v>
      </c>
      <c r="H2233" s="28">
        <v>89434</v>
      </c>
      <c r="I2233" s="28">
        <v>39.530619999999999</v>
      </c>
      <c r="J2233" s="28">
        <v>-119.73309</v>
      </c>
      <c r="L2233" s="61">
        <v>110009830200</v>
      </c>
      <c r="M2233" s="28" t="s">
        <v>265</v>
      </c>
      <c r="N2233" s="28">
        <v>9511</v>
      </c>
      <c r="O2233" s="28" t="str">
        <f>IFERROR(VLOOKUP(N2233, 'SIC &amp; NAICS Codes'!A:B, 2, FALSE), "")</f>
        <v>Air and Water Resource and Solid Waste Management</v>
      </c>
      <c r="S2233" s="28">
        <v>7.9783068750000004</v>
      </c>
      <c r="T2233" s="315">
        <f>_xlfn.MAXIFS('Raw Period DMR Data'!$O:$O,'Raw Period DMR Data'!$A:$A,'Raw Annual DMR Data_2021-2024'!B2375,'Raw Period DMR Data'!$C:$C,X2233)/S2233</f>
        <v>0</v>
      </c>
      <c r="U2233" s="28" t="str">
        <f>+IF(COUNTIFS('Raw Period DMR Data'!$A:$A,B2233, 'Raw Period DMR Data'!C:C,'Raw Annual DMR Data_2021-2024'!X2375, 'Raw Period DMR Data'!M:M, "&gt;0")&gt;0,_xlfn.MAXIFS('Raw Period DMR Data'!M:M,'Raw Period DMR Data'!$A:$A,'Raw Annual DMR Data_2021-2024'!B2375,'Raw Period DMR Data'!C:C,'Raw Annual DMR Data_2021-2024'!X2375), "N/A - Period DMR Data Not Available")</f>
        <v>N/A - Period DMR Data Not Available</v>
      </c>
      <c r="V2233" s="28" t="str" cm="1">
        <f t="array" ref="V2233">IFERROR(INDEX('Raw Period DMR Data'!N:N,MATCH(1,(B2233='Raw Period DMR Data'!$A:$A)*(U2233='Raw Period DMR Data'!M:M)*(X2233='Raw Period DMR Data'!C:C),0),1), "N/A")</f>
        <v>N/A</v>
      </c>
      <c r="W2233" s="28" t="s">
        <v>1463</v>
      </c>
      <c r="X2233" s="28" t="s">
        <v>2232</v>
      </c>
      <c r="Y2233" s="28" t="s">
        <v>2233</v>
      </c>
      <c r="Z2233" s="61">
        <v>16050102000423</v>
      </c>
      <c r="AB2233" s="28" t="s">
        <v>7355</v>
      </c>
      <c r="AC2233" s="28" t="s">
        <v>1466</v>
      </c>
    </row>
    <row r="2234" spans="1:29" x14ac:dyDescent="0.25">
      <c r="A2234" s="61">
        <v>110009830200</v>
      </c>
      <c r="B2234" s="28">
        <v>2021</v>
      </c>
      <c r="C2234" s="68">
        <f t="shared" si="35"/>
        <v>44197</v>
      </c>
      <c r="D2234" s="28" t="s">
        <v>1356</v>
      </c>
      <c r="E2234" s="28" t="s">
        <v>2231</v>
      </c>
      <c r="F2234" s="28" t="s">
        <v>1357</v>
      </c>
      <c r="G2234" s="28" t="s">
        <v>418</v>
      </c>
      <c r="H2234" s="28">
        <v>89434</v>
      </c>
      <c r="I2234" s="28">
        <v>39.530619999999999</v>
      </c>
      <c r="J2234" s="28">
        <v>-119.73309</v>
      </c>
      <c r="L2234" s="61">
        <v>110009830200</v>
      </c>
      <c r="M2234" s="28" t="s">
        <v>265</v>
      </c>
      <c r="N2234" s="28">
        <v>9511</v>
      </c>
      <c r="O2234" s="28" t="str">
        <f>IFERROR(VLOOKUP(N2234, 'SIC &amp; NAICS Codes'!A:B, 2, FALSE), "")</f>
        <v>Air and Water Resource and Solid Waste Management</v>
      </c>
      <c r="S2234" s="28">
        <v>2.7837728749999999</v>
      </c>
      <c r="T2234" s="315">
        <f>_xlfn.MAXIFS('Raw Period DMR Data'!$O:$O,'Raw Period DMR Data'!$A:$A,'Raw Annual DMR Data_2021-2024'!#REF!,'Raw Period DMR Data'!$C:$C,X2234)/S2234</f>
        <v>0</v>
      </c>
      <c r="U2234" s="28" t="str">
        <f>+IF(COUNTIFS('Raw Period DMR Data'!$A:$A,B2234,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34" s="28" t="str" cm="1">
        <f t="array" ref="V2234">IFERROR(INDEX('Raw Period DMR Data'!N:N,MATCH(1,(B2234='Raw Period DMR Data'!$A:$A)*(U2234='Raw Period DMR Data'!M:M)*(X2234='Raw Period DMR Data'!C:C),0),1), "N/A")</f>
        <v>N/A</v>
      </c>
      <c r="W2234" s="28" t="s">
        <v>1463</v>
      </c>
      <c r="X2234" s="28" t="s">
        <v>2232</v>
      </c>
      <c r="Y2234" s="28" t="s">
        <v>2233</v>
      </c>
      <c r="Z2234" s="61">
        <v>16050102000423</v>
      </c>
      <c r="AA2234" s="28"/>
      <c r="AB2234" s="28" t="s">
        <v>7355</v>
      </c>
      <c r="AC2234" s="28" t="s">
        <v>1466</v>
      </c>
    </row>
    <row r="2235" spans="1:29" x14ac:dyDescent="0.25">
      <c r="A2235" s="61">
        <v>110009830200</v>
      </c>
      <c r="B2235" s="28">
        <v>2023</v>
      </c>
      <c r="C2235" s="68">
        <f t="shared" si="35"/>
        <v>44927</v>
      </c>
      <c r="D2235" s="28" t="s">
        <v>1356</v>
      </c>
      <c r="E2235" s="28" t="s">
        <v>2231</v>
      </c>
      <c r="F2235" s="28" t="s">
        <v>1357</v>
      </c>
      <c r="G2235" s="28" t="s">
        <v>418</v>
      </c>
      <c r="H2235" s="28">
        <v>89434</v>
      </c>
      <c r="I2235" s="28">
        <v>39.530619999999999</v>
      </c>
      <c r="J2235" s="28">
        <v>-119.73309</v>
      </c>
      <c r="L2235" s="61">
        <v>110009830200</v>
      </c>
      <c r="M2235" s="28" t="s">
        <v>265</v>
      </c>
      <c r="N2235" s="28">
        <v>9511</v>
      </c>
      <c r="O2235" s="28" t="str">
        <f>IFERROR(VLOOKUP(N2235, 'SIC &amp; NAICS Codes'!A:B, 2, FALSE), "")</f>
        <v>Air and Water Resource and Solid Waste Management</v>
      </c>
      <c r="S2235" s="28">
        <v>2.0101188749999999</v>
      </c>
      <c r="T2235" s="315">
        <f>_xlfn.MAXIFS('Raw Period DMR Data'!$O:$O,'Raw Period DMR Data'!$A:$A,'Raw Annual DMR Data_2021-2024'!#REF!,'Raw Period DMR Data'!$C:$C,X2235)/S2235</f>
        <v>0</v>
      </c>
      <c r="U2235" s="28" t="str">
        <f>+IF(COUNTIFS('Raw Period DMR Data'!$A:$A,B2235,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35" s="28" t="str" cm="1">
        <f t="array" ref="V2235">IFERROR(INDEX('Raw Period DMR Data'!N:N,MATCH(1,(B2235='Raw Period DMR Data'!$A:$A)*(U2235='Raw Period DMR Data'!M:M)*(X2235='Raw Period DMR Data'!C:C),0),1), "N/A")</f>
        <v>N/A</v>
      </c>
      <c r="W2235" s="28" t="s">
        <v>1463</v>
      </c>
      <c r="X2235" s="28" t="s">
        <v>2232</v>
      </c>
      <c r="Y2235" s="28" t="s">
        <v>2233</v>
      </c>
      <c r="Z2235" s="61">
        <v>16050102000423</v>
      </c>
      <c r="AB2235" s="28" t="s">
        <v>7355</v>
      </c>
      <c r="AC2235" s="28" t="s">
        <v>1466</v>
      </c>
    </row>
    <row r="2236" spans="1:29" x14ac:dyDescent="0.25">
      <c r="A2236" s="61">
        <v>110009830200</v>
      </c>
      <c r="B2236" s="28">
        <v>2022</v>
      </c>
      <c r="C2236" s="68">
        <f t="shared" si="35"/>
        <v>44562</v>
      </c>
      <c r="D2236" s="28" t="s">
        <v>1356</v>
      </c>
      <c r="E2236" s="28" t="s">
        <v>2231</v>
      </c>
      <c r="F2236" s="28" t="s">
        <v>1357</v>
      </c>
      <c r="G2236" s="28" t="s">
        <v>418</v>
      </c>
      <c r="H2236" s="28">
        <v>89434</v>
      </c>
      <c r="I2236" s="28">
        <v>39.530619999999999</v>
      </c>
      <c r="J2236" s="28">
        <v>-119.73309</v>
      </c>
      <c r="L2236" s="61">
        <v>110009830200</v>
      </c>
      <c r="M2236" s="28" t="s">
        <v>265</v>
      </c>
      <c r="N2236" s="28">
        <v>9511</v>
      </c>
      <c r="O2236" s="28" t="str">
        <f>IFERROR(VLOOKUP(N2236, 'SIC &amp; NAICS Codes'!A:B, 2, FALSE), "")</f>
        <v>Air and Water Resource and Solid Waste Management</v>
      </c>
      <c r="S2236" s="28">
        <v>1.64401475</v>
      </c>
      <c r="T2236" s="315">
        <f>_xlfn.MAXIFS('Raw Period DMR Data'!$O:$O,'Raw Period DMR Data'!$A:$A,'Raw Annual DMR Data_2021-2024'!#REF!,'Raw Period DMR Data'!$C:$C,X2236)/S2236</f>
        <v>0</v>
      </c>
      <c r="U2236" s="28" t="str">
        <f>+IF(COUNTIFS('Raw Period DMR Data'!$A:$A,B2236,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36" s="28" t="str" cm="1">
        <f t="array" ref="V2236">IFERROR(INDEX('Raw Period DMR Data'!N:N,MATCH(1,(B2236='Raw Period DMR Data'!$A:$A)*(U2236='Raw Period DMR Data'!M:M)*(X2236='Raw Period DMR Data'!C:C),0),1), "N/A")</f>
        <v>N/A</v>
      </c>
      <c r="W2236" s="28" t="s">
        <v>1463</v>
      </c>
      <c r="X2236" s="28" t="s">
        <v>2232</v>
      </c>
      <c r="Y2236" s="28" t="s">
        <v>2233</v>
      </c>
      <c r="Z2236" s="61">
        <v>16050102000423</v>
      </c>
      <c r="AB2236" s="28" t="s">
        <v>7355</v>
      </c>
      <c r="AC2236" s="28" t="s">
        <v>1466</v>
      </c>
    </row>
    <row r="2237" spans="1:29" x14ac:dyDescent="0.25">
      <c r="A2237" s="61">
        <v>110000449435</v>
      </c>
      <c r="B2237" s="28">
        <v>2024</v>
      </c>
      <c r="C2237" s="68">
        <f t="shared" si="35"/>
        <v>45292</v>
      </c>
      <c r="D2237" s="28" t="s">
        <v>6893</v>
      </c>
      <c r="E2237" s="28" t="s">
        <v>7075</v>
      </c>
      <c r="F2237" s="28" t="s">
        <v>7050</v>
      </c>
      <c r="G2237" s="28" t="s">
        <v>303</v>
      </c>
      <c r="H2237" s="28">
        <v>70578</v>
      </c>
      <c r="I2237" s="28">
        <v>30.230833000000001</v>
      </c>
      <c r="J2237" s="28">
        <v>-92.306667000000004</v>
      </c>
      <c r="K2237" s="28" t="s">
        <v>7133</v>
      </c>
      <c r="L2237" s="61">
        <v>110000449435</v>
      </c>
      <c r="M2237" s="28" t="s">
        <v>265</v>
      </c>
      <c r="N2237" s="28">
        <v>5169</v>
      </c>
      <c r="O2237" s="28" t="str">
        <f>IFERROR(VLOOKUP(N2237, 'SIC &amp; NAICS Codes'!A:B, 2, FALSE), "")</f>
        <v>Chemicals and Allied Products, NEC (merchant wholesalers)</v>
      </c>
      <c r="S2237" s="28">
        <v>7.3561475000000003E-4</v>
      </c>
      <c r="T2237" s="315">
        <f>_xlfn.MAXIFS('Raw Period DMR Data'!$O:$O,'Raw Period DMR Data'!$A:$A,'Raw Annual DMR Data_2021-2024'!#REF!,'Raw Period DMR Data'!$C:$C,X2237)/S2237</f>
        <v>0</v>
      </c>
      <c r="U2237" s="28" t="str">
        <f>+IF(COUNTIFS('Raw Period DMR Data'!$A:$A,B2237,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37" s="28" t="str" cm="1">
        <f t="array" ref="V2237">IFERROR(INDEX('Raw Period DMR Data'!N:N,MATCH(1,(B2237='Raw Period DMR Data'!$A:$A)*(U2237='Raw Period DMR Data'!M:M)*(X2237='Raw Period DMR Data'!C:C),0),1), "N/A")</f>
        <v>N/A</v>
      </c>
      <c r="W2237" s="28" t="s">
        <v>1463</v>
      </c>
      <c r="X2237" s="28" t="s">
        <v>7220</v>
      </c>
      <c r="Y2237" s="28" t="s">
        <v>7314</v>
      </c>
      <c r="Z2237" s="61">
        <v>8080201000271</v>
      </c>
      <c r="AB2237" s="28" t="s">
        <v>7355</v>
      </c>
      <c r="AC2237" s="28" t="s">
        <v>1466</v>
      </c>
    </row>
    <row r="2238" spans="1:29" x14ac:dyDescent="0.25">
      <c r="A2238" s="61">
        <v>110000432504</v>
      </c>
      <c r="B2238" s="28">
        <v>2022</v>
      </c>
      <c r="C2238" s="68">
        <f t="shared" si="35"/>
        <v>44562</v>
      </c>
      <c r="D2238" s="28" t="s">
        <v>6830</v>
      </c>
      <c r="E2238" s="28" t="s">
        <v>628</v>
      </c>
      <c r="F2238" s="28" t="s">
        <v>629</v>
      </c>
      <c r="G2238" s="28" t="s">
        <v>345</v>
      </c>
      <c r="H2238" s="28">
        <v>604219646</v>
      </c>
      <c r="I2238" s="28">
        <v>41.441667000000002</v>
      </c>
      <c r="J2238" s="28">
        <v>-88.159719999999993</v>
      </c>
      <c r="K2238" s="28" t="s">
        <v>631</v>
      </c>
      <c r="L2238" s="61">
        <v>110000432504</v>
      </c>
      <c r="M2238" s="28" t="s">
        <v>254</v>
      </c>
      <c r="N2238" s="28">
        <v>2843</v>
      </c>
      <c r="O2238" s="28" t="str">
        <f>IFERROR(VLOOKUP(N2238, 'SIC &amp; NAICS Codes'!A:B, 2, FALSE), "")</f>
        <v>Surface Active Agents, Finishing Agents, Sulfonated Oils, and Assistants</v>
      </c>
      <c r="S2238" s="28">
        <v>0.58066600000000002</v>
      </c>
      <c r="T2238" s="315">
        <f>_xlfn.MAXIFS('Raw Period DMR Data'!$O:$O,'Raw Period DMR Data'!$A:$A,'Raw Annual DMR Data_2021-2024'!#REF!,'Raw Period DMR Data'!$C:$C,X2238)/S2238</f>
        <v>0</v>
      </c>
      <c r="U2238" s="28" t="str">
        <f>+IF(COUNTIFS('Raw Period DMR Data'!$A:$A,B2238,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38" s="28" t="str" cm="1">
        <f t="array" ref="V2238">IFERROR(INDEX('Raw Period DMR Data'!N:N,MATCH(1,(B2238='Raw Period DMR Data'!$A:$A)*(U2238='Raw Period DMR Data'!M:M)*(X2238='Raw Period DMR Data'!C:C),0),1), "N/A")</f>
        <v>N/A</v>
      </c>
      <c r="W2238" s="28" t="s">
        <v>1463</v>
      </c>
      <c r="X2238" s="28" t="s">
        <v>938</v>
      </c>
      <c r="Y2238" s="28" t="s">
        <v>939</v>
      </c>
      <c r="Z2238" s="61">
        <v>7120004000886</v>
      </c>
      <c r="AC2238" s="28" t="s">
        <v>1466</v>
      </c>
    </row>
    <row r="2239" spans="1:29" x14ac:dyDescent="0.25">
      <c r="A2239" s="61">
        <v>110000432504</v>
      </c>
      <c r="B2239" s="28">
        <v>2023</v>
      </c>
      <c r="C2239" s="68">
        <f t="shared" si="35"/>
        <v>44927</v>
      </c>
      <c r="D2239" s="28" t="s">
        <v>6830</v>
      </c>
      <c r="E2239" s="28" t="s">
        <v>628</v>
      </c>
      <c r="F2239" s="28" t="s">
        <v>629</v>
      </c>
      <c r="G2239" s="28" t="s">
        <v>345</v>
      </c>
      <c r="H2239" s="28">
        <v>604219646</v>
      </c>
      <c r="I2239" s="28">
        <v>41.441667000000002</v>
      </c>
      <c r="J2239" s="28">
        <v>-88.159719999999993</v>
      </c>
      <c r="K2239" s="28" t="s">
        <v>631</v>
      </c>
      <c r="L2239" s="61">
        <v>110000432504</v>
      </c>
      <c r="M2239" s="28" t="s">
        <v>254</v>
      </c>
      <c r="N2239" s="28">
        <v>2843</v>
      </c>
      <c r="O2239" s="28" t="str">
        <f>IFERROR(VLOOKUP(N2239, 'SIC &amp; NAICS Codes'!A:B, 2, FALSE), "")</f>
        <v>Surface Active Agents, Finishing Agents, Sulfonated Oils, and Assistants</v>
      </c>
      <c r="S2239" s="28">
        <v>0.49713000000000002</v>
      </c>
      <c r="T2239" s="315">
        <f>_xlfn.MAXIFS('Raw Period DMR Data'!$O:$O,'Raw Period DMR Data'!$A:$A,'Raw Annual DMR Data_2021-2024'!#REF!,'Raw Period DMR Data'!$C:$C,X2239)/S2239</f>
        <v>0</v>
      </c>
      <c r="U2239" s="28" t="str">
        <f>+IF(COUNTIFS('Raw Period DMR Data'!$A:$A,B2239,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39" s="28" t="str" cm="1">
        <f t="array" ref="V2239">IFERROR(INDEX('Raw Period DMR Data'!N:N,MATCH(1,(B2239='Raw Period DMR Data'!$A:$A)*(U2239='Raw Period DMR Data'!M:M)*(X2239='Raw Period DMR Data'!C:C),0),1), "N/A")</f>
        <v>N/A</v>
      </c>
      <c r="W2239" s="28" t="s">
        <v>1463</v>
      </c>
      <c r="X2239" s="28" t="s">
        <v>938</v>
      </c>
      <c r="Y2239" s="28" t="s">
        <v>939</v>
      </c>
      <c r="Z2239" s="61">
        <v>7120004000886</v>
      </c>
      <c r="AC2239" s="28" t="s">
        <v>1466</v>
      </c>
    </row>
    <row r="2240" spans="1:29" x14ac:dyDescent="0.25">
      <c r="A2240" s="61">
        <v>110000432504</v>
      </c>
      <c r="B2240" s="28">
        <v>2024</v>
      </c>
      <c r="C2240" s="68">
        <f t="shared" si="35"/>
        <v>45292</v>
      </c>
      <c r="D2240" s="28" t="s">
        <v>6830</v>
      </c>
      <c r="E2240" s="28" t="s">
        <v>628</v>
      </c>
      <c r="F2240" s="28" t="s">
        <v>629</v>
      </c>
      <c r="G2240" s="28" t="s">
        <v>345</v>
      </c>
      <c r="H2240" s="28">
        <v>604219646</v>
      </c>
      <c r="I2240" s="28">
        <v>41.441667000000002</v>
      </c>
      <c r="J2240" s="28">
        <v>-88.159719999999993</v>
      </c>
      <c r="K2240" s="28" t="s">
        <v>631</v>
      </c>
      <c r="L2240" s="61">
        <v>110000432504</v>
      </c>
      <c r="M2240" s="28" t="s">
        <v>254</v>
      </c>
      <c r="N2240" s="28">
        <v>2843</v>
      </c>
      <c r="O2240" s="28" t="str">
        <f>IFERROR(VLOOKUP(N2240, 'SIC &amp; NAICS Codes'!A:B, 2, FALSE), "")</f>
        <v>Surface Active Agents, Finishing Agents, Sulfonated Oils, and Assistants</v>
      </c>
      <c r="S2240" s="28">
        <v>0.41359400000000002</v>
      </c>
      <c r="T2240" s="315">
        <f>_xlfn.MAXIFS('Raw Period DMR Data'!$O:$O,'Raw Period DMR Data'!$A:$A,'Raw Annual DMR Data_2021-2024'!#REF!,'Raw Period DMR Data'!$C:$C,X2240)/S2240</f>
        <v>0</v>
      </c>
      <c r="U2240" s="28" t="str">
        <f>+IF(COUNTIFS('Raw Period DMR Data'!$A:$A,B2240,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40" s="28" t="str" cm="1">
        <f t="array" ref="V2240">IFERROR(INDEX('Raw Period DMR Data'!N:N,MATCH(1,(B2240='Raw Period DMR Data'!$A:$A)*(U2240='Raw Period DMR Data'!M:M)*(X2240='Raw Period DMR Data'!C:C),0),1), "N/A")</f>
        <v>N/A</v>
      </c>
      <c r="W2240" s="28" t="s">
        <v>1463</v>
      </c>
      <c r="X2240" s="28" t="s">
        <v>938</v>
      </c>
      <c r="Y2240" s="28" t="s">
        <v>939</v>
      </c>
      <c r="Z2240" s="61">
        <v>7120004000886</v>
      </c>
      <c r="AC2240" s="28" t="s">
        <v>1466</v>
      </c>
    </row>
    <row r="2241" spans="1:29" x14ac:dyDescent="0.25">
      <c r="A2241" s="61">
        <v>110000432504</v>
      </c>
      <c r="B2241" s="28">
        <v>2021</v>
      </c>
      <c r="C2241" s="68">
        <f t="shared" si="35"/>
        <v>44197</v>
      </c>
      <c r="D2241" s="28" t="s">
        <v>6830</v>
      </c>
      <c r="E2241" s="28" t="s">
        <v>628</v>
      </c>
      <c r="F2241" s="28" t="s">
        <v>629</v>
      </c>
      <c r="G2241" s="28" t="s">
        <v>345</v>
      </c>
      <c r="H2241" s="28">
        <v>604219646</v>
      </c>
      <c r="I2241" s="28">
        <v>41.441667000000002</v>
      </c>
      <c r="J2241" s="28">
        <v>-88.159719999999993</v>
      </c>
      <c r="K2241" s="28" t="s">
        <v>631</v>
      </c>
      <c r="L2241" s="61">
        <v>110000432504</v>
      </c>
      <c r="M2241" s="28" t="s">
        <v>254</v>
      </c>
      <c r="N2241" s="28">
        <v>2843</v>
      </c>
      <c r="O2241" s="28" t="str">
        <f>IFERROR(VLOOKUP(N2241, 'SIC &amp; NAICS Codes'!A:B, 2, FALSE), "")</f>
        <v>Surface Active Agents, Finishing Agents, Sulfonated Oils, and Assistants</v>
      </c>
      <c r="S2241" s="28">
        <v>0.33005800000000002</v>
      </c>
      <c r="T2241" s="315">
        <f>_xlfn.MAXIFS('Raw Period DMR Data'!$O:$O,'Raw Period DMR Data'!$A:$A,'Raw Annual DMR Data_2021-2024'!#REF!,'Raw Period DMR Data'!$C:$C,X2241)/S2241</f>
        <v>0</v>
      </c>
      <c r="U2241" s="28" t="str">
        <f>+IF(COUNTIFS('Raw Period DMR Data'!$A:$A,B2241,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41" s="28" t="str" cm="1">
        <f t="array" ref="V2241">IFERROR(INDEX('Raw Period DMR Data'!N:N,MATCH(1,(B2241='Raw Period DMR Data'!$A:$A)*(U2241='Raw Period DMR Data'!M:M)*(X2241='Raw Period DMR Data'!C:C),0),1), "N/A")</f>
        <v>N/A</v>
      </c>
      <c r="W2241" s="28" t="s">
        <v>1463</v>
      </c>
      <c r="X2241" s="28" t="s">
        <v>938</v>
      </c>
      <c r="Y2241" s="28" t="s">
        <v>939</v>
      </c>
      <c r="Z2241" s="61">
        <v>7120004000886</v>
      </c>
      <c r="AA2241" s="28"/>
      <c r="AC2241" s="28" t="s">
        <v>1466</v>
      </c>
    </row>
    <row r="2242" spans="1:29" x14ac:dyDescent="0.25">
      <c r="A2242" s="61">
        <v>110045515180</v>
      </c>
      <c r="B2242" s="28">
        <v>2022</v>
      </c>
      <c r="C2242" s="68">
        <f t="shared" si="35"/>
        <v>44562</v>
      </c>
      <c r="D2242" s="28" t="s">
        <v>1362</v>
      </c>
      <c r="E2242" s="28" t="s">
        <v>2240</v>
      </c>
      <c r="F2242" s="28" t="s">
        <v>1282</v>
      </c>
      <c r="G2242" s="28" t="s">
        <v>366</v>
      </c>
      <c r="H2242" s="28">
        <v>92029</v>
      </c>
      <c r="I2242" s="28">
        <v>33.115580000000001</v>
      </c>
      <c r="J2242" s="28">
        <v>-117.1194</v>
      </c>
      <c r="L2242" s="61">
        <v>110045515180</v>
      </c>
      <c r="M2242" s="28" t="s">
        <v>265</v>
      </c>
      <c r="N2242" s="28">
        <v>2082</v>
      </c>
      <c r="O2242" s="28" t="str">
        <f>IFERROR(VLOOKUP(N2242, 'SIC &amp; NAICS Codes'!A:B, 2, FALSE), "")</f>
        <v>Malt Beverages (malt extract)</v>
      </c>
      <c r="S2242" s="28">
        <v>4.56043E-2</v>
      </c>
      <c r="T2242" s="315">
        <f>_xlfn.MAXIFS('Raw Period DMR Data'!$O:$O,'Raw Period DMR Data'!$A:$A,'Raw Annual DMR Data_2021-2024'!#REF!,'Raw Period DMR Data'!$C:$C,X2242)/S2242</f>
        <v>0</v>
      </c>
      <c r="U2242" s="28" t="str">
        <f>+IF(COUNTIFS('Raw Period DMR Data'!$A:$A,B2242,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42" s="28" t="str" cm="1">
        <f t="array" ref="V2242">IFERROR(INDEX('Raw Period DMR Data'!N:N,MATCH(1,(B2242='Raw Period DMR Data'!$A:$A)*(U2242='Raw Period DMR Data'!M:M)*(X2242='Raw Period DMR Data'!C:C),0),1), "N/A")</f>
        <v>N/A</v>
      </c>
      <c r="W2242" s="28" t="s">
        <v>1463</v>
      </c>
      <c r="X2242" s="28" t="s">
        <v>2241</v>
      </c>
      <c r="Y2242" s="28" t="s">
        <v>926</v>
      </c>
      <c r="Z2242" s="61">
        <v>18070303000010</v>
      </c>
      <c r="AB2242" s="28" t="s">
        <v>7355</v>
      </c>
      <c r="AC2242" s="28" t="s">
        <v>1466</v>
      </c>
    </row>
    <row r="2243" spans="1:29" x14ac:dyDescent="0.25">
      <c r="A2243" s="61">
        <v>110045515180</v>
      </c>
      <c r="B2243" s="28">
        <v>2024</v>
      </c>
      <c r="C2243" s="68">
        <f t="shared" si="35"/>
        <v>45292</v>
      </c>
      <c r="D2243" s="28" t="s">
        <v>1362</v>
      </c>
      <c r="E2243" s="28" t="s">
        <v>2240</v>
      </c>
      <c r="F2243" s="28" t="s">
        <v>1282</v>
      </c>
      <c r="G2243" s="28" t="s">
        <v>366</v>
      </c>
      <c r="H2243" s="28">
        <v>92029</v>
      </c>
      <c r="I2243" s="28">
        <v>33.115580000000001</v>
      </c>
      <c r="J2243" s="28">
        <v>-117.1194</v>
      </c>
      <c r="L2243" s="61">
        <v>110045515180</v>
      </c>
      <c r="M2243" s="28" t="s">
        <v>265</v>
      </c>
      <c r="N2243" s="28">
        <v>2082</v>
      </c>
      <c r="O2243" s="28" t="str">
        <f>IFERROR(VLOOKUP(N2243, 'SIC &amp; NAICS Codes'!A:B, 2, FALSE), "")</f>
        <v>Malt Beverages (malt extract)</v>
      </c>
      <c r="S2243" s="28">
        <v>1.2462300000000001E-2</v>
      </c>
      <c r="T2243" s="315">
        <f>_xlfn.MAXIFS('Raw Period DMR Data'!$O:$O,'Raw Period DMR Data'!$A:$A,'Raw Annual DMR Data_2021-2024'!#REF!,'Raw Period DMR Data'!$C:$C,X2243)/S2243</f>
        <v>0</v>
      </c>
      <c r="U2243" s="28" t="str">
        <f>+IF(COUNTIFS('Raw Period DMR Data'!$A:$A,B2243,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43" s="28" t="str" cm="1">
        <f t="array" ref="V2243">IFERROR(INDEX('Raw Period DMR Data'!N:N,MATCH(1,(B2243='Raw Period DMR Data'!$A:$A)*(U2243='Raw Period DMR Data'!M:M)*(X2243='Raw Period DMR Data'!C:C),0),1), "N/A")</f>
        <v>N/A</v>
      </c>
      <c r="W2243" s="28" t="s">
        <v>1463</v>
      </c>
      <c r="X2243" s="28" t="s">
        <v>2241</v>
      </c>
      <c r="Y2243" s="28" t="s">
        <v>926</v>
      </c>
      <c r="Z2243" s="61">
        <v>18070303000010</v>
      </c>
      <c r="AB2243" s="28" t="s">
        <v>7355</v>
      </c>
      <c r="AC2243" s="28" t="s">
        <v>1466</v>
      </c>
    </row>
    <row r="2244" spans="1:29" x14ac:dyDescent="0.25">
      <c r="A2244" s="61">
        <v>110045515180</v>
      </c>
      <c r="B2244" s="28">
        <v>2023</v>
      </c>
      <c r="C2244" s="68">
        <f t="shared" si="35"/>
        <v>44927</v>
      </c>
      <c r="D2244" s="28" t="s">
        <v>1362</v>
      </c>
      <c r="E2244" s="28" t="s">
        <v>2240</v>
      </c>
      <c r="F2244" s="28" t="s">
        <v>1282</v>
      </c>
      <c r="G2244" s="28" t="s">
        <v>366</v>
      </c>
      <c r="H2244" s="28">
        <v>92029</v>
      </c>
      <c r="I2244" s="28">
        <v>33.115580000000001</v>
      </c>
      <c r="J2244" s="28">
        <v>-117.1194</v>
      </c>
      <c r="L2244" s="61">
        <v>110045515180</v>
      </c>
      <c r="M2244" s="28" t="s">
        <v>265</v>
      </c>
      <c r="N2244" s="28">
        <v>2082</v>
      </c>
      <c r="O2244" s="28" t="str">
        <f>IFERROR(VLOOKUP(N2244, 'SIC &amp; NAICS Codes'!A:B, 2, FALSE), "")</f>
        <v>Malt Beverages (malt extract)</v>
      </c>
      <c r="S2244" s="28">
        <v>8.3535999999999992E-3</v>
      </c>
      <c r="T2244" s="315">
        <f>_xlfn.MAXIFS('Raw Period DMR Data'!$O:$O,'Raw Period DMR Data'!$A:$A,'Raw Annual DMR Data_2021-2024'!#REF!,'Raw Period DMR Data'!$C:$C,X2244)/S2244</f>
        <v>0</v>
      </c>
      <c r="U2244" s="28" t="str">
        <f>+IF(COUNTIFS('Raw Period DMR Data'!$A:$A,B2244,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44" s="28" t="str" cm="1">
        <f t="array" ref="V2244">IFERROR(INDEX('Raw Period DMR Data'!N:N,MATCH(1,(B2244='Raw Period DMR Data'!$A:$A)*(U2244='Raw Period DMR Data'!M:M)*(X2244='Raw Period DMR Data'!C:C),0),1), "N/A")</f>
        <v>N/A</v>
      </c>
      <c r="W2244" s="28" t="s">
        <v>1463</v>
      </c>
      <c r="X2244" s="28" t="s">
        <v>2241</v>
      </c>
      <c r="Y2244" s="28" t="s">
        <v>926</v>
      </c>
      <c r="Z2244" s="61">
        <v>18070303000010</v>
      </c>
      <c r="AB2244" s="28" t="s">
        <v>7355</v>
      </c>
      <c r="AC2244" s="28" t="s">
        <v>1466</v>
      </c>
    </row>
    <row r="2245" spans="1:29" x14ac:dyDescent="0.25">
      <c r="A2245" s="61">
        <v>110045515180</v>
      </c>
      <c r="B2245" s="28">
        <v>2021</v>
      </c>
      <c r="C2245" s="68">
        <f t="shared" si="35"/>
        <v>44197</v>
      </c>
      <c r="D2245" s="28" t="s">
        <v>1362</v>
      </c>
      <c r="E2245" s="28" t="s">
        <v>2240</v>
      </c>
      <c r="F2245" s="28" t="s">
        <v>1282</v>
      </c>
      <c r="G2245" s="28" t="s">
        <v>366</v>
      </c>
      <c r="H2245" s="28">
        <v>92029</v>
      </c>
      <c r="I2245" s="28">
        <v>33.115580000000001</v>
      </c>
      <c r="J2245" s="28">
        <v>-117.1194</v>
      </c>
      <c r="L2245" s="61">
        <v>110045515180</v>
      </c>
      <c r="M2245" s="28" t="s">
        <v>265</v>
      </c>
      <c r="N2245" s="28">
        <v>2082</v>
      </c>
      <c r="O2245" s="28" t="str">
        <f>IFERROR(VLOOKUP(N2245, 'SIC &amp; NAICS Codes'!A:B, 2, FALSE), "")</f>
        <v>Malt Beverages (malt extract)</v>
      </c>
      <c r="S2245" s="28">
        <v>6.5866320000000003E-3</v>
      </c>
      <c r="T2245" s="315">
        <f>_xlfn.MAXIFS('Raw Period DMR Data'!$O:$O,'Raw Period DMR Data'!$A:$A,'Raw Annual DMR Data_2021-2024'!#REF!,'Raw Period DMR Data'!$C:$C,X2245)/S2245</f>
        <v>0</v>
      </c>
      <c r="U2245" s="28" t="str">
        <f>+IF(COUNTIFS('Raw Period DMR Data'!$A:$A,B2245,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45" s="28" t="str" cm="1">
        <f t="array" ref="V2245">IFERROR(INDEX('Raw Period DMR Data'!N:N,MATCH(1,(B2245='Raw Period DMR Data'!$A:$A)*(U2245='Raw Period DMR Data'!M:M)*(X2245='Raw Period DMR Data'!C:C),0),1), "N/A")</f>
        <v>N/A</v>
      </c>
      <c r="W2245" s="28" t="s">
        <v>1463</v>
      </c>
      <c r="X2245" s="28" t="s">
        <v>2241</v>
      </c>
      <c r="Y2245" s="28" t="s">
        <v>926</v>
      </c>
      <c r="Z2245" s="61">
        <v>18070303000010</v>
      </c>
      <c r="AA2245" s="28"/>
      <c r="AB2245" s="28" t="s">
        <v>7355</v>
      </c>
      <c r="AC2245" s="28" t="s">
        <v>1466</v>
      </c>
    </row>
    <row r="2246" spans="1:29" x14ac:dyDescent="0.25">
      <c r="A2246" s="61">
        <v>110000449435</v>
      </c>
      <c r="B2246" s="28">
        <v>2023</v>
      </c>
      <c r="C2246" s="68">
        <f t="shared" si="35"/>
        <v>44927</v>
      </c>
      <c r="D2246" s="28" t="s">
        <v>6893</v>
      </c>
      <c r="E2246" s="28" t="s">
        <v>7075</v>
      </c>
      <c r="F2246" s="28" t="s">
        <v>7050</v>
      </c>
      <c r="G2246" s="28" t="s">
        <v>303</v>
      </c>
      <c r="H2246" s="28">
        <v>70578</v>
      </c>
      <c r="I2246" s="28">
        <v>30.230833000000001</v>
      </c>
      <c r="J2246" s="28">
        <v>-92.306667000000004</v>
      </c>
      <c r="K2246" s="28" t="s">
        <v>7133</v>
      </c>
      <c r="L2246" s="61">
        <v>110000449435</v>
      </c>
      <c r="M2246" s="28" t="s">
        <v>265</v>
      </c>
      <c r="N2246" s="28">
        <v>5169</v>
      </c>
      <c r="O2246" s="28" t="str">
        <f>IFERROR(VLOOKUP(N2246, 'SIC &amp; NAICS Codes'!A:B, 2, FALSE), "")</f>
        <v>Chemicals and Allied Products, NEC (merchant wholesalers)</v>
      </c>
      <c r="S2246" s="28">
        <v>2.8784924999999999E-4</v>
      </c>
      <c r="T2246" s="315">
        <f>_xlfn.MAXIFS('Raw Period DMR Data'!$O:$O,'Raw Period DMR Data'!$A:$A,'Raw Annual DMR Data_2021-2024'!#REF!,'Raw Period DMR Data'!$C:$C,X2246)/S2246</f>
        <v>0</v>
      </c>
      <c r="U2246" s="28" t="str">
        <f>+IF(COUNTIFS('Raw Period DMR Data'!$A:$A,B2246,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46" s="28" t="str" cm="1">
        <f t="array" ref="V2246">IFERROR(INDEX('Raw Period DMR Data'!N:N,MATCH(1,(B2246='Raw Period DMR Data'!$A:$A)*(U2246='Raw Period DMR Data'!M:M)*(X2246='Raw Period DMR Data'!C:C),0),1), "N/A")</f>
        <v>N/A</v>
      </c>
      <c r="W2246" s="28" t="s">
        <v>1463</v>
      </c>
      <c r="X2246" s="28" t="s">
        <v>7220</v>
      </c>
      <c r="Y2246" s="28" t="s">
        <v>7314</v>
      </c>
      <c r="Z2246" s="61" t="s">
        <v>7326</v>
      </c>
      <c r="AB2246" s="28" t="s">
        <v>7355</v>
      </c>
      <c r="AC2246" s="28" t="s">
        <v>1466</v>
      </c>
    </row>
    <row r="2247" spans="1:29" x14ac:dyDescent="0.25">
      <c r="A2247" s="61">
        <v>110000597426</v>
      </c>
      <c r="B2247" s="28">
        <v>2024</v>
      </c>
      <c r="C2247" s="68">
        <f t="shared" ref="C2247:C2310" si="36">DATE(B2247, 1, 1)</f>
        <v>45292</v>
      </c>
      <c r="D2247" s="28" t="s">
        <v>1363</v>
      </c>
      <c r="E2247" s="28" t="s">
        <v>2242</v>
      </c>
      <c r="F2247" s="28" t="s">
        <v>1364</v>
      </c>
      <c r="G2247" s="28" t="s">
        <v>303</v>
      </c>
      <c r="H2247" s="28">
        <v>70776</v>
      </c>
      <c r="I2247" s="28">
        <v>30.241299999999999</v>
      </c>
      <c r="J2247" s="28">
        <v>-91.100899999999996</v>
      </c>
      <c r="K2247" s="28" t="s">
        <v>735</v>
      </c>
      <c r="L2247" s="61">
        <v>110000597426</v>
      </c>
      <c r="M2247" s="28" t="s">
        <v>265</v>
      </c>
      <c r="N2247" s="28">
        <v>2819</v>
      </c>
      <c r="O2247" s="28" t="str">
        <f>IFERROR(VLOOKUP(N2247, 'SIC &amp; NAICS Codes'!A:B, 2, FALSE), "")</f>
        <v>Industrial Inorganic Chemicals, NEC (recovering sulfur from natural gas)</v>
      </c>
      <c r="S2247" s="28">
        <v>1.6571</v>
      </c>
      <c r="T2247" s="315">
        <f>_xlfn.MAXIFS('Raw Period DMR Data'!$O:$O,'Raw Period DMR Data'!$A:$A,'Raw Annual DMR Data_2021-2024'!#REF!,'Raw Period DMR Data'!$C:$C,X2247)/S2247</f>
        <v>0</v>
      </c>
      <c r="U2247" s="28" t="str">
        <f>+IF(COUNTIFS('Raw Period DMR Data'!$A:$A,B2247,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47" s="28" t="str" cm="1">
        <f t="array" ref="V2247">IFERROR(INDEX('Raw Period DMR Data'!N:N,MATCH(1,(B2247='Raw Period DMR Data'!$A:$A)*(U2247='Raw Period DMR Data'!M:M)*(X2247='Raw Period DMR Data'!C:C),0),1), "N/A")</f>
        <v>N/A</v>
      </c>
      <c r="W2247" s="28" t="s">
        <v>1463</v>
      </c>
      <c r="X2247" s="28" t="s">
        <v>2243</v>
      </c>
      <c r="Y2247" s="28">
        <v>402</v>
      </c>
      <c r="Z2247" s="61">
        <v>8070202002351</v>
      </c>
      <c r="AB2247" s="28" t="s">
        <v>7355</v>
      </c>
      <c r="AC2247" s="28" t="s">
        <v>1466</v>
      </c>
    </row>
    <row r="2248" spans="1:29" x14ac:dyDescent="0.25">
      <c r="A2248" s="61">
        <v>110000597426</v>
      </c>
      <c r="B2248" s="28">
        <v>2021</v>
      </c>
      <c r="C2248" s="68">
        <f t="shared" si="36"/>
        <v>44197</v>
      </c>
      <c r="D2248" s="28" t="s">
        <v>1363</v>
      </c>
      <c r="E2248" s="28" t="s">
        <v>2242</v>
      </c>
      <c r="F2248" s="28" t="s">
        <v>1364</v>
      </c>
      <c r="G2248" s="28" t="s">
        <v>303</v>
      </c>
      <c r="H2248" s="28">
        <v>70776</v>
      </c>
      <c r="I2248" s="28">
        <v>30.241299999999999</v>
      </c>
      <c r="J2248" s="28">
        <v>-91.100899999999996</v>
      </c>
      <c r="K2248" s="28" t="s">
        <v>735</v>
      </c>
      <c r="L2248" s="61">
        <v>110000597426</v>
      </c>
      <c r="M2248" s="28" t="s">
        <v>265</v>
      </c>
      <c r="N2248" s="28">
        <v>2819</v>
      </c>
      <c r="O2248" s="28" t="str">
        <f>IFERROR(VLOOKUP(N2248, 'SIC &amp; NAICS Codes'!A:B, 2, FALSE), "")</f>
        <v>Industrial Inorganic Chemicals, NEC (recovering sulfur from natural gas)</v>
      </c>
      <c r="S2248" s="28">
        <v>0.82855000000000001</v>
      </c>
      <c r="T2248" s="315">
        <f>_xlfn.MAXIFS('Raw Period DMR Data'!$O:$O,'Raw Period DMR Data'!$A:$A,'Raw Annual DMR Data_2021-2024'!#REF!,'Raw Period DMR Data'!$C:$C,X2248)/S2248</f>
        <v>0</v>
      </c>
      <c r="U2248" s="28" t="str">
        <f>+IF(COUNTIFS('Raw Period DMR Data'!$A:$A,B2248,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48" s="28" t="str" cm="1">
        <f t="array" ref="V2248">IFERROR(INDEX('Raw Period DMR Data'!N:N,MATCH(1,(B2248='Raw Period DMR Data'!$A:$A)*(U2248='Raw Period DMR Data'!M:M)*(X2248='Raw Period DMR Data'!C:C),0),1), "N/A")</f>
        <v>N/A</v>
      </c>
      <c r="W2248" s="28" t="s">
        <v>1463</v>
      </c>
      <c r="X2248" s="28" t="s">
        <v>2243</v>
      </c>
      <c r="Y2248" s="28">
        <v>402</v>
      </c>
      <c r="Z2248" s="61">
        <v>8070202002351</v>
      </c>
      <c r="AA2248" s="28"/>
      <c r="AB2248" s="28" t="s">
        <v>7355</v>
      </c>
      <c r="AC2248" s="28" t="s">
        <v>1466</v>
      </c>
    </row>
    <row r="2249" spans="1:29" x14ac:dyDescent="0.25">
      <c r="A2249" s="61">
        <v>110000597426</v>
      </c>
      <c r="B2249" s="28">
        <v>2022</v>
      </c>
      <c r="C2249" s="68">
        <f t="shared" si="36"/>
        <v>44562</v>
      </c>
      <c r="D2249" s="28" t="s">
        <v>1363</v>
      </c>
      <c r="E2249" s="28" t="s">
        <v>2242</v>
      </c>
      <c r="F2249" s="28" t="s">
        <v>1364</v>
      </c>
      <c r="G2249" s="28" t="s">
        <v>303</v>
      </c>
      <c r="H2249" s="28">
        <v>70776</v>
      </c>
      <c r="I2249" s="28">
        <v>30.241299999999999</v>
      </c>
      <c r="J2249" s="28">
        <v>-91.100899999999996</v>
      </c>
      <c r="K2249" s="28" t="s">
        <v>735</v>
      </c>
      <c r="L2249" s="61">
        <v>110000597426</v>
      </c>
      <c r="M2249" s="28" t="s">
        <v>265</v>
      </c>
      <c r="N2249" s="28">
        <v>2819</v>
      </c>
      <c r="O2249" s="28" t="str">
        <f>IFERROR(VLOOKUP(N2249, 'SIC &amp; NAICS Codes'!A:B, 2, FALSE), "")</f>
        <v>Industrial Inorganic Chemicals, NEC (recovering sulfur from natural gas)</v>
      </c>
      <c r="S2249" s="28">
        <v>0.24856500000000001</v>
      </c>
      <c r="T2249" s="315">
        <f>_xlfn.MAXIFS('Raw Period DMR Data'!$O:$O,'Raw Period DMR Data'!$A:$A,'Raw Annual DMR Data_2021-2024'!#REF!,'Raw Period DMR Data'!$C:$C,X2249)/S2249</f>
        <v>0</v>
      </c>
      <c r="U2249" s="28" t="str">
        <f>+IF(COUNTIFS('Raw Period DMR Data'!$A:$A,B2249,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49" s="28" t="str" cm="1">
        <f t="array" ref="V2249">IFERROR(INDEX('Raw Period DMR Data'!N:N,MATCH(1,(B2249='Raw Period DMR Data'!$A:$A)*(U2249='Raw Period DMR Data'!M:M)*(X2249='Raw Period DMR Data'!C:C),0),1), "N/A")</f>
        <v>N/A</v>
      </c>
      <c r="W2249" s="28" t="s">
        <v>1463</v>
      </c>
      <c r="X2249" s="28" t="s">
        <v>2243</v>
      </c>
      <c r="Y2249" s="28">
        <v>402</v>
      </c>
      <c r="Z2249" s="61">
        <v>8070202002351</v>
      </c>
      <c r="AB2249" s="28" t="s">
        <v>7355</v>
      </c>
      <c r="AC2249" s="28" t="s">
        <v>1466</v>
      </c>
    </row>
    <row r="2250" spans="1:29" x14ac:dyDescent="0.25">
      <c r="A2250" s="61">
        <v>110056972432</v>
      </c>
      <c r="B2250" s="28">
        <v>2021</v>
      </c>
      <c r="C2250" s="68">
        <f t="shared" si="36"/>
        <v>44197</v>
      </c>
      <c r="D2250" s="28" t="s">
        <v>1367</v>
      </c>
      <c r="E2250" s="28" t="s">
        <v>2251</v>
      </c>
      <c r="F2250" s="28" t="s">
        <v>1364</v>
      </c>
      <c r="G2250" s="28" t="s">
        <v>303</v>
      </c>
      <c r="H2250" s="28">
        <v>70776</v>
      </c>
      <c r="I2250" s="28">
        <v>30.250833</v>
      </c>
      <c r="J2250" s="28">
        <v>-91.092277999999993</v>
      </c>
      <c r="K2250" s="28" t="s">
        <v>736</v>
      </c>
      <c r="L2250" s="61">
        <v>110056972432</v>
      </c>
      <c r="M2250" s="28" t="s">
        <v>265</v>
      </c>
      <c r="N2250" s="28">
        <v>2869</v>
      </c>
      <c r="O2250" s="28" t="str">
        <f>IFERROR(VLOOKUP(N2250, 'SIC &amp; NAICS Codes'!A:B, 2, FALSE), "")</f>
        <v>Industrial Organic Chemicals, NEC (aliphatics)</v>
      </c>
      <c r="S2250" s="28">
        <v>0.414275</v>
      </c>
      <c r="T2250" s="315">
        <f>_xlfn.MAXIFS('Raw Period DMR Data'!$O:$O,'Raw Period DMR Data'!$A:$A,'Raw Annual DMR Data_2021-2024'!#REF!,'Raw Period DMR Data'!$C:$C,X2250)/S2250</f>
        <v>0</v>
      </c>
      <c r="U2250" s="28" t="str">
        <f>+IF(COUNTIFS('Raw Period DMR Data'!$A:$A,B2250,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50" s="28" t="str" cm="1">
        <f t="array" ref="V2250">IFERROR(INDEX('Raw Period DMR Data'!N:N,MATCH(1,(B2250='Raw Period DMR Data'!$A:$A)*(U2250='Raw Period DMR Data'!M:M)*(X2250='Raw Period DMR Data'!C:C),0),1), "N/A")</f>
        <v>N/A</v>
      </c>
      <c r="W2250" s="28" t="s">
        <v>1463</v>
      </c>
      <c r="X2250" s="28" t="s">
        <v>2252</v>
      </c>
      <c r="Z2250" s="61">
        <v>8070202000842</v>
      </c>
      <c r="AA2250" s="28"/>
      <c r="AB2250" s="28" t="s">
        <v>7355</v>
      </c>
      <c r="AC2250" s="28" t="s">
        <v>1466</v>
      </c>
    </row>
    <row r="2251" spans="1:29" x14ac:dyDescent="0.25">
      <c r="A2251" s="61">
        <v>110056972432</v>
      </c>
      <c r="B2251" s="28">
        <v>2022</v>
      </c>
      <c r="C2251" s="68">
        <f t="shared" si="36"/>
        <v>44562</v>
      </c>
      <c r="D2251" s="28" t="s">
        <v>1367</v>
      </c>
      <c r="E2251" s="28" t="s">
        <v>2251</v>
      </c>
      <c r="F2251" s="28" t="s">
        <v>1364</v>
      </c>
      <c r="G2251" s="28" t="s">
        <v>303</v>
      </c>
      <c r="H2251" s="28">
        <v>70776</v>
      </c>
      <c r="I2251" s="28">
        <v>30.250833</v>
      </c>
      <c r="J2251" s="28">
        <v>-91.092277999999993</v>
      </c>
      <c r="K2251" s="28" t="s">
        <v>736</v>
      </c>
      <c r="L2251" s="61">
        <v>110056972432</v>
      </c>
      <c r="M2251" s="28" t="s">
        <v>265</v>
      </c>
      <c r="N2251" s="28">
        <v>2869</v>
      </c>
      <c r="O2251" s="28" t="str">
        <f>IFERROR(VLOOKUP(N2251, 'SIC &amp; NAICS Codes'!A:B, 2, FALSE), "")</f>
        <v>Industrial Organic Chemicals, NEC (aliphatics)</v>
      </c>
      <c r="S2251" s="28">
        <v>0.414275</v>
      </c>
      <c r="T2251" s="315">
        <f>_xlfn.MAXIFS('Raw Period DMR Data'!$O:$O,'Raw Period DMR Data'!$A:$A,'Raw Annual DMR Data_2021-2024'!#REF!,'Raw Period DMR Data'!$C:$C,X2251)/S2251</f>
        <v>0</v>
      </c>
      <c r="U2251" s="28" t="str">
        <f>+IF(COUNTIFS('Raw Period DMR Data'!$A:$A,B2251,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51" s="28" t="str" cm="1">
        <f t="array" ref="V2251">IFERROR(INDEX('Raw Period DMR Data'!N:N,MATCH(1,(B2251='Raw Period DMR Data'!$A:$A)*(U2251='Raw Period DMR Data'!M:M)*(X2251='Raw Period DMR Data'!C:C),0),1), "N/A")</f>
        <v>N/A</v>
      </c>
      <c r="W2251" s="28" t="s">
        <v>1463</v>
      </c>
      <c r="X2251" s="28" t="s">
        <v>2252</v>
      </c>
      <c r="Z2251" s="61">
        <v>8070202000842</v>
      </c>
      <c r="AB2251" s="28" t="s">
        <v>7355</v>
      </c>
      <c r="AC2251" s="28" t="s">
        <v>1466</v>
      </c>
    </row>
    <row r="2252" spans="1:29" x14ac:dyDescent="0.25">
      <c r="A2252" s="61">
        <v>110000449435</v>
      </c>
      <c r="B2252" s="28">
        <v>2024</v>
      </c>
      <c r="C2252" s="68">
        <f t="shared" si="36"/>
        <v>45292</v>
      </c>
      <c r="D2252" s="28" t="s">
        <v>6893</v>
      </c>
      <c r="E2252" s="28" t="s">
        <v>7075</v>
      </c>
      <c r="F2252" s="28" t="s">
        <v>7050</v>
      </c>
      <c r="G2252" s="28" t="s">
        <v>303</v>
      </c>
      <c r="H2252" s="28">
        <v>70578</v>
      </c>
      <c r="I2252" s="28">
        <v>30.230833000000001</v>
      </c>
      <c r="J2252" s="28">
        <v>-92.306667000000004</v>
      </c>
      <c r="K2252" s="28" t="s">
        <v>7133</v>
      </c>
      <c r="L2252" s="61">
        <v>110000449435</v>
      </c>
      <c r="M2252" s="28" t="s">
        <v>265</v>
      </c>
      <c r="N2252" s="28">
        <v>5169</v>
      </c>
      <c r="O2252" s="28" t="str">
        <f>IFERROR(VLOOKUP(N2252, 'SIC &amp; NAICS Codes'!A:B, 2, FALSE), "")</f>
        <v>Chemicals and Allied Products, NEC (merchant wholesalers)</v>
      </c>
      <c r="S2252" s="28">
        <v>7.3561474999999995E-5</v>
      </c>
      <c r="T2252" s="315">
        <f>_xlfn.MAXIFS('Raw Period DMR Data'!$O:$O,'Raw Period DMR Data'!$A:$A,'Raw Annual DMR Data_2021-2024'!#REF!,'Raw Period DMR Data'!$C:$C,X2252)/S2252</f>
        <v>0</v>
      </c>
      <c r="U2252" s="28" t="str">
        <f>+IF(COUNTIFS('Raw Period DMR Data'!$A:$A,B2252,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52" s="28" t="str" cm="1">
        <f t="array" ref="V2252">IFERROR(INDEX('Raw Period DMR Data'!N:N,MATCH(1,(B2252='Raw Period DMR Data'!$A:$A)*(U2252='Raw Period DMR Data'!M:M)*(X2252='Raw Period DMR Data'!C:C),0),1), "N/A")</f>
        <v>N/A</v>
      </c>
      <c r="W2252" s="28" t="s">
        <v>1463</v>
      </c>
      <c r="X2252" s="28" t="s">
        <v>7220</v>
      </c>
      <c r="Y2252" s="28" t="s">
        <v>7314</v>
      </c>
      <c r="Z2252" s="61">
        <v>8080201000271</v>
      </c>
      <c r="AB2252" s="28" t="s">
        <v>7355</v>
      </c>
      <c r="AC2252" s="28" t="s">
        <v>1466</v>
      </c>
    </row>
    <row r="2253" spans="1:29" x14ac:dyDescent="0.25">
      <c r="A2253" s="61">
        <v>110000449435</v>
      </c>
      <c r="B2253" s="28">
        <v>2024</v>
      </c>
      <c r="C2253" s="68">
        <f t="shared" si="36"/>
        <v>45292</v>
      </c>
      <c r="D2253" s="28" t="s">
        <v>6893</v>
      </c>
      <c r="E2253" s="28" t="s">
        <v>7075</v>
      </c>
      <c r="F2253" s="28" t="s">
        <v>7050</v>
      </c>
      <c r="G2253" s="28" t="s">
        <v>303</v>
      </c>
      <c r="H2253" s="28">
        <v>70578</v>
      </c>
      <c r="I2253" s="28">
        <v>30.230833000000001</v>
      </c>
      <c r="J2253" s="28">
        <v>-92.306667000000004</v>
      </c>
      <c r="K2253" s="28" t="s">
        <v>7133</v>
      </c>
      <c r="L2253" s="61">
        <v>110000449435</v>
      </c>
      <c r="M2253" s="28" t="s">
        <v>265</v>
      </c>
      <c r="N2253" s="28">
        <v>5169</v>
      </c>
      <c r="O2253" s="28" t="str">
        <f>IFERROR(VLOOKUP(N2253, 'SIC &amp; NAICS Codes'!A:B, 2, FALSE), "")</f>
        <v>Chemicals and Allied Products, NEC (merchant wholesalers)</v>
      </c>
      <c r="S2253" s="28">
        <v>7.3561474999999995E-5</v>
      </c>
      <c r="T2253" s="315">
        <f>_xlfn.MAXIFS('Raw Period DMR Data'!$O:$O,'Raw Period DMR Data'!$A:$A,'Raw Annual DMR Data_2021-2024'!#REF!,'Raw Period DMR Data'!$C:$C,X2253)/S2253</f>
        <v>0</v>
      </c>
      <c r="U2253" s="28" t="str">
        <f>+IF(COUNTIFS('Raw Period DMR Data'!$A:$A,B2253,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53" s="28" t="str" cm="1">
        <f t="array" ref="V2253">IFERROR(INDEX('Raw Period DMR Data'!N:N,MATCH(1,(B2253='Raw Period DMR Data'!$A:$A)*(U2253='Raw Period DMR Data'!M:M)*(X2253='Raw Period DMR Data'!C:C),0),1), "N/A")</f>
        <v>N/A</v>
      </c>
      <c r="W2253" s="28" t="s">
        <v>1463</v>
      </c>
      <c r="X2253" s="28" t="s">
        <v>7220</v>
      </c>
      <c r="Y2253" s="28" t="s">
        <v>7314</v>
      </c>
      <c r="Z2253" s="61">
        <v>8080201000271</v>
      </c>
      <c r="AB2253" s="28" t="s">
        <v>7355</v>
      </c>
      <c r="AC2253" s="28" t="s">
        <v>1466</v>
      </c>
    </row>
    <row r="2254" spans="1:29" x14ac:dyDescent="0.25">
      <c r="A2254" s="61">
        <v>110000449435</v>
      </c>
      <c r="B2254" s="28">
        <v>2023</v>
      </c>
      <c r="C2254" s="68">
        <f t="shared" si="36"/>
        <v>44927</v>
      </c>
      <c r="D2254" s="28" t="s">
        <v>6893</v>
      </c>
      <c r="E2254" s="28" t="s">
        <v>7075</v>
      </c>
      <c r="F2254" s="28" t="s">
        <v>7050</v>
      </c>
      <c r="G2254" s="28" t="s">
        <v>303</v>
      </c>
      <c r="H2254" s="28">
        <v>70578</v>
      </c>
      <c r="I2254" s="28">
        <v>30.230833000000001</v>
      </c>
      <c r="J2254" s="28">
        <v>-92.306667000000004</v>
      </c>
      <c r="K2254" s="28" t="s">
        <v>7133</v>
      </c>
      <c r="L2254" s="61">
        <v>110000449435</v>
      </c>
      <c r="M2254" s="28" t="s">
        <v>265</v>
      </c>
      <c r="N2254" s="28">
        <v>5169</v>
      </c>
      <c r="O2254" s="28" t="str">
        <f>IFERROR(VLOOKUP(N2254, 'SIC &amp; NAICS Codes'!A:B, 2, FALSE), "")</f>
        <v>Chemicals and Allied Products, NEC (merchant wholesalers)</v>
      </c>
      <c r="S2254" s="28">
        <v>5.7569850000000002E-5</v>
      </c>
      <c r="T2254" s="315">
        <f>_xlfn.MAXIFS('Raw Period DMR Data'!$O:$O,'Raw Period DMR Data'!$A:$A,'Raw Annual DMR Data_2021-2024'!#REF!,'Raw Period DMR Data'!$C:$C,X2254)/S2254</f>
        <v>0</v>
      </c>
      <c r="U2254" s="28" t="str">
        <f>+IF(COUNTIFS('Raw Period DMR Data'!$A:$A,B2254,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54" s="28" t="str" cm="1">
        <f t="array" ref="V2254">IFERROR(INDEX('Raw Period DMR Data'!N:N,MATCH(1,(B2254='Raw Period DMR Data'!$A:$A)*(U2254='Raw Period DMR Data'!M:M)*(X2254='Raw Period DMR Data'!C:C),0),1), "N/A")</f>
        <v>N/A</v>
      </c>
      <c r="W2254" s="28" t="s">
        <v>1463</v>
      </c>
      <c r="X2254" s="28" t="s">
        <v>7220</v>
      </c>
      <c r="Y2254" s="28" t="s">
        <v>7314</v>
      </c>
      <c r="Z2254" s="61" t="s">
        <v>7326</v>
      </c>
      <c r="AB2254" s="28" t="s">
        <v>7355</v>
      </c>
      <c r="AC2254" s="28" t="s">
        <v>1466</v>
      </c>
    </row>
    <row r="2255" spans="1:29" x14ac:dyDescent="0.25">
      <c r="A2255" s="61">
        <v>110000449435</v>
      </c>
      <c r="B2255" s="28">
        <v>2023</v>
      </c>
      <c r="C2255" s="68">
        <f t="shared" si="36"/>
        <v>44927</v>
      </c>
      <c r="D2255" s="28" t="s">
        <v>6893</v>
      </c>
      <c r="E2255" s="28" t="s">
        <v>7075</v>
      </c>
      <c r="F2255" s="28" t="s">
        <v>7050</v>
      </c>
      <c r="G2255" s="28" t="s">
        <v>303</v>
      </c>
      <c r="H2255" s="28">
        <v>70578</v>
      </c>
      <c r="I2255" s="28">
        <v>30.230833000000001</v>
      </c>
      <c r="J2255" s="28">
        <v>-92.306667000000004</v>
      </c>
      <c r="K2255" s="28" t="s">
        <v>7133</v>
      </c>
      <c r="L2255" s="61">
        <v>110000449435</v>
      </c>
      <c r="M2255" s="28" t="s">
        <v>265</v>
      </c>
      <c r="N2255" s="28">
        <v>5169</v>
      </c>
      <c r="O2255" s="28" t="str">
        <f>IFERROR(VLOOKUP(N2255, 'SIC &amp; NAICS Codes'!A:B, 2, FALSE), "")</f>
        <v>Chemicals and Allied Products, NEC (merchant wholesalers)</v>
      </c>
      <c r="S2255" s="28">
        <v>2.8784925000000001E-5</v>
      </c>
      <c r="T2255" s="315">
        <f>_xlfn.MAXIFS('Raw Period DMR Data'!$O:$O,'Raw Period DMR Data'!$A:$A,'Raw Annual DMR Data_2021-2024'!#REF!,'Raw Period DMR Data'!$C:$C,X2255)/S2255</f>
        <v>0</v>
      </c>
      <c r="U2255" s="28" t="str">
        <f>+IF(COUNTIFS('Raw Period DMR Data'!$A:$A,B2255,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55" s="28" t="str" cm="1">
        <f t="array" ref="V2255">IFERROR(INDEX('Raw Period DMR Data'!N:N,MATCH(1,(B2255='Raw Period DMR Data'!$A:$A)*(U2255='Raw Period DMR Data'!M:M)*(X2255='Raw Period DMR Data'!C:C),0),1), "N/A")</f>
        <v>N/A</v>
      </c>
      <c r="W2255" s="28" t="s">
        <v>1463</v>
      </c>
      <c r="X2255" s="28" t="s">
        <v>7220</v>
      </c>
      <c r="Y2255" s="28" t="s">
        <v>7314</v>
      </c>
      <c r="Z2255" s="61" t="s">
        <v>7326</v>
      </c>
      <c r="AB2255" s="28" t="s">
        <v>7355</v>
      </c>
      <c r="AC2255" s="28" t="s">
        <v>1466</v>
      </c>
    </row>
    <row r="2256" spans="1:29" x14ac:dyDescent="0.25">
      <c r="A2256" s="61">
        <v>110071437899</v>
      </c>
      <c r="B2256" s="28">
        <v>2023</v>
      </c>
      <c r="C2256" s="68">
        <f t="shared" si="36"/>
        <v>44927</v>
      </c>
      <c r="D2256" s="28" t="s">
        <v>6895</v>
      </c>
      <c r="E2256" s="28" t="s">
        <v>7077</v>
      </c>
      <c r="F2256" s="28" t="s">
        <v>7078</v>
      </c>
      <c r="G2256" s="28" t="s">
        <v>294</v>
      </c>
      <c r="H2256" s="28">
        <v>23601</v>
      </c>
      <c r="I2256" s="28">
        <v>37.094301999999999</v>
      </c>
      <c r="J2256" s="28">
        <v>-76.458343999999997</v>
      </c>
      <c r="L2256" s="61">
        <v>110071437899</v>
      </c>
      <c r="M2256" s="28" t="s">
        <v>265</v>
      </c>
      <c r="N2256" s="28">
        <v>5541</v>
      </c>
      <c r="O2256" s="28" t="str">
        <f>IFERROR(VLOOKUP(N2256, 'SIC &amp; NAICS Codes'!A:B, 2, FALSE), "")</f>
        <v>Gasoline Service Station (gasoline station with convenience store)</v>
      </c>
      <c r="S2256" s="28">
        <v>3.88341E-4</v>
      </c>
      <c r="T2256" s="315">
        <f>_xlfn.MAXIFS('Raw Period DMR Data'!$O:$O,'Raw Period DMR Data'!$A:$A,'Raw Annual DMR Data_2021-2024'!#REF!,'Raw Period DMR Data'!$C:$C,X2256)/S2256</f>
        <v>0</v>
      </c>
      <c r="U2256" s="28" t="str">
        <f>+IF(COUNTIFS('Raw Period DMR Data'!$A:$A,B2256,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56" s="28" t="str" cm="1">
        <f t="array" ref="V2256">IFERROR(INDEX('Raw Period DMR Data'!N:N,MATCH(1,(B2256='Raw Period DMR Data'!$A:$A)*(U2256='Raw Period DMR Data'!M:M)*(X2256='Raw Period DMR Data'!C:C),0),1), "N/A")</f>
        <v>N/A</v>
      </c>
      <c r="W2256" s="28" t="s">
        <v>1463</v>
      </c>
      <c r="X2256" s="28" t="s">
        <v>7222</v>
      </c>
      <c r="Y2256" s="28" t="s">
        <v>7315</v>
      </c>
      <c r="Z2256" s="61"/>
      <c r="AB2256" s="28" t="s">
        <v>7355</v>
      </c>
      <c r="AC2256" s="28" t="s">
        <v>1466</v>
      </c>
    </row>
    <row r="2257" spans="1:29" x14ac:dyDescent="0.25">
      <c r="A2257" s="61">
        <v>110070545278</v>
      </c>
      <c r="B2257" s="28">
        <v>2023</v>
      </c>
      <c r="C2257" s="68">
        <f t="shared" si="36"/>
        <v>44927</v>
      </c>
      <c r="D2257" s="28" t="s">
        <v>6909</v>
      </c>
      <c r="E2257" s="28" t="s">
        <v>7110</v>
      </c>
      <c r="F2257" s="28" t="s">
        <v>968</v>
      </c>
      <c r="G2257" s="28" t="s">
        <v>294</v>
      </c>
      <c r="H2257" s="28">
        <v>223021508</v>
      </c>
      <c r="I2257" s="28">
        <v>38.837760000000003</v>
      </c>
      <c r="J2257" s="28">
        <v>-77.103750000000005</v>
      </c>
      <c r="L2257" s="61">
        <v>110070545278</v>
      </c>
      <c r="M2257" s="28" t="s">
        <v>265</v>
      </c>
      <c r="N2257" s="28">
        <v>5541</v>
      </c>
      <c r="O2257" s="28" t="str">
        <f>IFERROR(VLOOKUP(N2257, 'SIC &amp; NAICS Codes'!A:B, 2, FALSE), "")</f>
        <v>Gasoline Service Station (gasoline station with convenience store)</v>
      </c>
      <c r="S2257" s="28">
        <v>3.7222951666666601E-4</v>
      </c>
      <c r="T2257" s="315">
        <f>_xlfn.MAXIFS('Raw Period DMR Data'!$O:$O,'Raw Period DMR Data'!$A:$A,'Raw Annual DMR Data_2021-2024'!#REF!,'Raw Period DMR Data'!$C:$C,X2257)/S2257</f>
        <v>0</v>
      </c>
      <c r="U2257" s="28" t="str">
        <f>+IF(COUNTIFS('Raw Period DMR Data'!$A:$A,B2257,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57" s="28" t="str" cm="1">
        <f t="array" ref="V2257">IFERROR(INDEX('Raw Period DMR Data'!N:N,MATCH(1,(B2257='Raw Period DMR Data'!$A:$A)*(U2257='Raw Period DMR Data'!M:M)*(X2257='Raw Period DMR Data'!C:C),0),1), "N/A")</f>
        <v>N/A</v>
      </c>
      <c r="W2257" s="28" t="s">
        <v>1463</v>
      </c>
      <c r="X2257" s="28" t="s">
        <v>7240</v>
      </c>
      <c r="Y2257" s="28" t="s">
        <v>1475</v>
      </c>
      <c r="Z2257" s="61"/>
      <c r="AB2257" s="28" t="s">
        <v>7355</v>
      </c>
      <c r="AC2257" s="28" t="s">
        <v>1466</v>
      </c>
    </row>
    <row r="2258" spans="1:29" x14ac:dyDescent="0.25">
      <c r="A2258" s="61">
        <v>110070545278</v>
      </c>
      <c r="B2258" s="28">
        <v>2024</v>
      </c>
      <c r="C2258" s="68">
        <f t="shared" si="36"/>
        <v>45292</v>
      </c>
      <c r="D2258" s="28" t="s">
        <v>6909</v>
      </c>
      <c r="E2258" s="28" t="s">
        <v>7110</v>
      </c>
      <c r="F2258" s="28" t="s">
        <v>968</v>
      </c>
      <c r="G2258" s="28" t="s">
        <v>294</v>
      </c>
      <c r="H2258" s="28">
        <v>223021508</v>
      </c>
      <c r="I2258" s="28">
        <v>38.837760000000003</v>
      </c>
      <c r="J2258" s="28">
        <v>-77.103750000000005</v>
      </c>
      <c r="L2258" s="61">
        <v>110070545278</v>
      </c>
      <c r="M2258" s="28" t="s">
        <v>265</v>
      </c>
      <c r="N2258" s="28">
        <v>5541</v>
      </c>
      <c r="O2258" s="28" t="str">
        <f>IFERROR(VLOOKUP(N2258, 'SIC &amp; NAICS Codes'!A:B, 2, FALSE), "")</f>
        <v>Gasoline Service Station (gasoline station with convenience store)</v>
      </c>
      <c r="S2258" s="28">
        <v>2.2474573E-4</v>
      </c>
      <c r="T2258" s="315">
        <f>_xlfn.MAXIFS('Raw Period DMR Data'!$O:$O,'Raw Period DMR Data'!$A:$A,'Raw Annual DMR Data_2021-2024'!#REF!,'Raw Period DMR Data'!$C:$C,X2258)/S2258</f>
        <v>0</v>
      </c>
      <c r="U2258" s="28" t="str">
        <f>+IF(COUNTIFS('Raw Period DMR Data'!$A:$A,B2258,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58" s="28" t="str" cm="1">
        <f t="array" ref="V2258">IFERROR(INDEX('Raw Period DMR Data'!N:N,MATCH(1,(B2258='Raw Period DMR Data'!$A:$A)*(U2258='Raw Period DMR Data'!M:M)*(X2258='Raw Period DMR Data'!C:C),0),1), "N/A")</f>
        <v>N/A</v>
      </c>
      <c r="W2258" s="28" t="s">
        <v>1463</v>
      </c>
      <c r="X2258" s="28" t="s">
        <v>7240</v>
      </c>
      <c r="Y2258" s="28" t="s">
        <v>1475</v>
      </c>
      <c r="Z2258" s="61"/>
      <c r="AB2258" s="28" t="s">
        <v>7355</v>
      </c>
      <c r="AC2258" s="28" t="s">
        <v>1466</v>
      </c>
    </row>
    <row r="2259" spans="1:29" x14ac:dyDescent="0.25">
      <c r="A2259" s="61">
        <v>110071662000</v>
      </c>
      <c r="B2259" s="28">
        <v>2024</v>
      </c>
      <c r="C2259" s="68">
        <f t="shared" si="36"/>
        <v>45292</v>
      </c>
      <c r="D2259" s="28" t="s">
        <v>6911</v>
      </c>
      <c r="E2259" s="28" t="s">
        <v>7113</v>
      </c>
      <c r="F2259" s="28" t="s">
        <v>657</v>
      </c>
      <c r="G2259" s="28" t="s">
        <v>418</v>
      </c>
      <c r="H2259" s="28">
        <v>89115</v>
      </c>
      <c r="I2259" s="28">
        <v>36.217517000000001</v>
      </c>
      <c r="J2259" s="28">
        <v>-115.094336</v>
      </c>
      <c r="L2259" s="61">
        <v>110071662000</v>
      </c>
      <c r="M2259" s="28" t="s">
        <v>265</v>
      </c>
      <c r="N2259" s="28">
        <v>5541</v>
      </c>
      <c r="O2259" s="28" t="str">
        <f>IFERROR(VLOOKUP(N2259, 'SIC &amp; NAICS Codes'!A:B, 2, FALSE), "")</f>
        <v>Gasoline Service Station (gasoline station with convenience store)</v>
      </c>
      <c r="S2259" s="28">
        <v>0.123434624828571</v>
      </c>
      <c r="T2259" s="315">
        <f>_xlfn.MAXIFS('Raw Period DMR Data'!$O:$O,'Raw Period DMR Data'!$A:$A,'Raw Annual DMR Data_2021-2024'!#REF!,'Raw Period DMR Data'!$C:$C,X2259)/S2259</f>
        <v>0</v>
      </c>
      <c r="U2259" s="28" t="str">
        <f>+IF(COUNTIFS('Raw Period DMR Data'!$A:$A,B2259,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59" s="28" t="str" cm="1">
        <f t="array" ref="V2259">IFERROR(INDEX('Raw Period DMR Data'!N:N,MATCH(1,(B2259='Raw Period DMR Data'!$A:$A)*(U2259='Raw Period DMR Data'!M:M)*(X2259='Raw Period DMR Data'!C:C),0),1), "N/A")</f>
        <v>N/A</v>
      </c>
      <c r="W2259" s="28" t="s">
        <v>1463</v>
      </c>
      <c r="X2259" s="28" t="s">
        <v>7243</v>
      </c>
      <c r="Y2259" s="28" t="s">
        <v>1893</v>
      </c>
      <c r="Z2259" s="61"/>
      <c r="AB2259" s="28" t="s">
        <v>7355</v>
      </c>
      <c r="AC2259" s="28" t="s">
        <v>1466</v>
      </c>
    </row>
    <row r="2260" spans="1:29" x14ac:dyDescent="0.25">
      <c r="A2260" s="61">
        <v>110022316411</v>
      </c>
      <c r="B2260" s="28">
        <v>2024</v>
      </c>
      <c r="C2260" s="68">
        <f t="shared" si="36"/>
        <v>45292</v>
      </c>
      <c r="D2260" s="28" t="s">
        <v>6903</v>
      </c>
      <c r="E2260" s="28" t="s">
        <v>7097</v>
      </c>
      <c r="F2260" s="28" t="s">
        <v>1316</v>
      </c>
      <c r="G2260" s="28" t="s">
        <v>294</v>
      </c>
      <c r="H2260" s="28">
        <v>22801</v>
      </c>
      <c r="I2260" s="28">
        <v>38.428930000000001</v>
      </c>
      <c r="J2260" s="28">
        <v>-78.856080000000006</v>
      </c>
      <c r="L2260" s="61">
        <v>110022316411</v>
      </c>
      <c r="M2260" s="28" t="s">
        <v>265</v>
      </c>
      <c r="N2260" s="28">
        <v>5541</v>
      </c>
      <c r="O2260" s="28" t="str">
        <f>IFERROR(VLOOKUP(N2260, 'SIC &amp; NAICS Codes'!A:B, 2, FALSE), "")</f>
        <v>Gasoline Service Station (gasoline station with convenience store)</v>
      </c>
      <c r="S2260" s="28">
        <v>2.79278496E-3</v>
      </c>
      <c r="T2260" s="315">
        <f>_xlfn.MAXIFS('Raw Period DMR Data'!$O:$O,'Raw Period DMR Data'!$A:$A,'Raw Annual DMR Data_2021-2024'!#REF!,'Raw Period DMR Data'!$C:$C,X2260)/S2260</f>
        <v>0</v>
      </c>
      <c r="U2260" s="28" t="str">
        <f>+IF(COUNTIFS('Raw Period DMR Data'!$A:$A,B2260,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60" s="28" t="str" cm="1">
        <f t="array" ref="V2260">IFERROR(INDEX('Raw Period DMR Data'!N:N,MATCH(1,(B2260='Raw Period DMR Data'!$A:$A)*(U2260='Raw Period DMR Data'!M:M)*(X2260='Raw Period DMR Data'!C:C),0),1), "N/A")</f>
        <v>N/A</v>
      </c>
      <c r="W2260" s="28" t="s">
        <v>1463</v>
      </c>
      <c r="X2260" s="28" t="s">
        <v>7232</v>
      </c>
      <c r="Y2260" s="28" t="s">
        <v>2162</v>
      </c>
      <c r="Z2260" s="61"/>
      <c r="AB2260" s="28" t="s">
        <v>7355</v>
      </c>
      <c r="AC2260" s="28" t="s">
        <v>1466</v>
      </c>
    </row>
    <row r="2261" spans="1:29" x14ac:dyDescent="0.25">
      <c r="A2261" s="61">
        <v>110056127007</v>
      </c>
      <c r="B2261" s="28">
        <v>2021</v>
      </c>
      <c r="C2261" s="68">
        <f t="shared" si="36"/>
        <v>44197</v>
      </c>
      <c r="D2261" s="28" t="s">
        <v>6781</v>
      </c>
      <c r="E2261" s="28" t="s">
        <v>6926</v>
      </c>
      <c r="F2261" s="28" t="s">
        <v>1228</v>
      </c>
      <c r="G2261" s="28" t="s">
        <v>1128</v>
      </c>
      <c r="H2261" s="28">
        <v>80202</v>
      </c>
      <c r="I2261" s="28">
        <v>39.753999999999998</v>
      </c>
      <c r="J2261" s="28">
        <v>-104.999</v>
      </c>
      <c r="L2261" s="61">
        <v>110056127007</v>
      </c>
      <c r="M2261" s="28" t="s">
        <v>265</v>
      </c>
      <c r="N2261" s="28">
        <v>6512</v>
      </c>
      <c r="O2261" s="28" t="str">
        <f>IFERROR(VLOOKUP(N2261, 'SIC &amp; NAICS Codes'!A:B, 2, FALSE), "")</f>
        <v>Operators of Nonresidential Buildings (except stadium and arena owners)</v>
      </c>
      <c r="S2261" s="28">
        <v>0.159404518</v>
      </c>
      <c r="T2261" s="315">
        <f>_xlfn.MAXIFS('Raw Period DMR Data'!$O:$O,'Raw Period DMR Data'!$A:$A,'Raw Annual DMR Data_2021-2024'!#REF!,'Raw Period DMR Data'!$C:$C,X2261)/S2261</f>
        <v>0</v>
      </c>
      <c r="U2261" s="28" t="str">
        <f>+IF(COUNTIFS('Raw Period DMR Data'!$A:$A,B2261,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61" s="28" t="str" cm="1">
        <f t="array" ref="V2261">IFERROR(INDEX('Raw Period DMR Data'!N:N,MATCH(1,(B2261='Raw Period DMR Data'!$A:$A)*(U2261='Raw Period DMR Data'!M:M)*(X2261='Raw Period DMR Data'!C:C),0),1), "N/A")</f>
        <v>N/A</v>
      </c>
      <c r="W2261" s="28" t="s">
        <v>1463</v>
      </c>
      <c r="X2261" s="28" t="s">
        <v>7142</v>
      </c>
      <c r="Y2261" s="28" t="s">
        <v>1965</v>
      </c>
      <c r="Z2261" s="61">
        <v>10190003001175</v>
      </c>
      <c r="AA2261" s="28"/>
      <c r="AC2261" s="28" t="s">
        <v>1466</v>
      </c>
    </row>
    <row r="2262" spans="1:29" x14ac:dyDescent="0.25">
      <c r="A2262" s="61">
        <v>110070097711</v>
      </c>
      <c r="B2262" s="28">
        <v>2021</v>
      </c>
      <c r="C2262" s="68">
        <f t="shared" si="36"/>
        <v>44197</v>
      </c>
      <c r="D2262" s="28" t="s">
        <v>6878</v>
      </c>
      <c r="E2262" s="28" t="s">
        <v>7053</v>
      </c>
      <c r="F2262" s="28" t="s">
        <v>1228</v>
      </c>
      <c r="G2262" s="28" t="s">
        <v>1128</v>
      </c>
      <c r="H2262" s="28">
        <v>80206</v>
      </c>
      <c r="I2262" s="28">
        <v>39.744531000000002</v>
      </c>
      <c r="J2262" s="28">
        <v>-104.95984</v>
      </c>
      <c r="L2262" s="61">
        <v>110070097711</v>
      </c>
      <c r="M2262" s="28" t="s">
        <v>265</v>
      </c>
      <c r="N2262" s="28">
        <v>6513</v>
      </c>
      <c r="O2262" s="28" t="str">
        <f>IFERROR(VLOOKUP(N2262, 'SIC &amp; NAICS Codes'!A:B, 2, FALSE), "")</f>
        <v>Operators of Apartment Buildings</v>
      </c>
      <c r="S2262" s="28">
        <v>3.2778100000000003E-4</v>
      </c>
      <c r="T2262" s="315">
        <f>_xlfn.MAXIFS('Raw Period DMR Data'!$O:$O,'Raw Period DMR Data'!$A:$A,'Raw Annual DMR Data_2021-2024'!#REF!,'Raw Period DMR Data'!$C:$C,X2262)/S2262</f>
        <v>0</v>
      </c>
      <c r="U2262" s="28" t="str">
        <f>+IF(COUNTIFS('Raw Period DMR Data'!$A:$A,B2262,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62" s="28" t="str" cm="1">
        <f t="array" ref="V2262">IFERROR(INDEX('Raw Period DMR Data'!N:N,MATCH(1,(B2262='Raw Period DMR Data'!$A:$A)*(U2262='Raw Period DMR Data'!M:M)*(X2262='Raw Period DMR Data'!C:C),0),1), "N/A")</f>
        <v>N/A</v>
      </c>
      <c r="W2262" s="28" t="s">
        <v>1463</v>
      </c>
      <c r="X2262" s="28" t="s">
        <v>7206</v>
      </c>
      <c r="Y2262" s="28" t="s">
        <v>1965</v>
      </c>
      <c r="Z2262" s="61">
        <v>10190003001175</v>
      </c>
      <c r="AB2262" s="28" t="s">
        <v>7355</v>
      </c>
      <c r="AC2262" s="28" t="s">
        <v>1466</v>
      </c>
    </row>
    <row r="2263" spans="1:29" x14ac:dyDescent="0.25">
      <c r="A2263" s="61">
        <v>110070097711</v>
      </c>
      <c r="B2263" s="28">
        <v>2024</v>
      </c>
      <c r="C2263" s="68">
        <f t="shared" si="36"/>
        <v>45292</v>
      </c>
      <c r="D2263" s="28" t="s">
        <v>6878</v>
      </c>
      <c r="E2263" s="28" t="s">
        <v>7053</v>
      </c>
      <c r="F2263" s="28" t="s">
        <v>1228</v>
      </c>
      <c r="G2263" s="28" t="s">
        <v>1128</v>
      </c>
      <c r="H2263" s="28">
        <v>80206</v>
      </c>
      <c r="I2263" s="28">
        <v>39.744531000000002</v>
      </c>
      <c r="J2263" s="28">
        <v>-104.95984</v>
      </c>
      <c r="L2263" s="61">
        <v>110070097711</v>
      </c>
      <c r="M2263" s="28" t="s">
        <v>265</v>
      </c>
      <c r="N2263" s="28">
        <v>6513</v>
      </c>
      <c r="O2263" s="28" t="str">
        <f>IFERROR(VLOOKUP(N2263, 'SIC &amp; NAICS Codes'!A:B, 2, FALSE), "")</f>
        <v>Operators of Apartment Buildings</v>
      </c>
      <c r="S2263" s="28">
        <v>1.04466E-4</v>
      </c>
      <c r="T2263" s="315">
        <f>_xlfn.MAXIFS('Raw Period DMR Data'!$O:$O,'Raw Period DMR Data'!$A:$A,'Raw Annual DMR Data_2021-2024'!#REF!,'Raw Period DMR Data'!$C:$C,X2263)/S2263</f>
        <v>0</v>
      </c>
      <c r="U2263" s="28" t="str">
        <f>+IF(COUNTIFS('Raw Period DMR Data'!$A:$A,B2263,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63" s="28" t="str" cm="1">
        <f t="array" ref="V2263">IFERROR(INDEX('Raw Period DMR Data'!N:N,MATCH(1,(B2263='Raw Period DMR Data'!$A:$A)*(U2263='Raw Period DMR Data'!M:M)*(X2263='Raw Period DMR Data'!C:C),0),1), "N/A")</f>
        <v>N/A</v>
      </c>
      <c r="W2263" s="28" t="s">
        <v>1463</v>
      </c>
      <c r="X2263" s="28" t="s">
        <v>7206</v>
      </c>
      <c r="Y2263" s="28" t="s">
        <v>1965</v>
      </c>
      <c r="Z2263" s="61">
        <v>10190003001175</v>
      </c>
      <c r="AC2263" s="28" t="s">
        <v>1466</v>
      </c>
    </row>
    <row r="2264" spans="1:29" x14ac:dyDescent="0.25">
      <c r="A2264" s="61">
        <v>110012876557</v>
      </c>
      <c r="B2264" s="28">
        <v>2023</v>
      </c>
      <c r="C2264" s="68">
        <f t="shared" si="36"/>
        <v>44927</v>
      </c>
      <c r="D2264" s="28" t="s">
        <v>6851</v>
      </c>
      <c r="E2264" s="28" t="s">
        <v>7007</v>
      </c>
      <c r="F2264" s="28" t="s">
        <v>457</v>
      </c>
      <c r="G2264" s="28" t="s">
        <v>366</v>
      </c>
      <c r="H2264" s="28" t="s">
        <v>7008</v>
      </c>
      <c r="I2264" s="28">
        <v>32.781489999999998</v>
      </c>
      <c r="J2264" s="28">
        <v>-115.5035</v>
      </c>
      <c r="L2264" s="61">
        <v>110012876557</v>
      </c>
      <c r="M2264" s="28" t="s">
        <v>265</v>
      </c>
      <c r="N2264" s="28">
        <v>6515</v>
      </c>
      <c r="O2264" s="28" t="str">
        <f>IFERROR(VLOOKUP(N2264, 'SIC &amp; NAICS Codes'!A:B, 2, FALSE), "")</f>
        <v>Operators of Residential Mobile Home Sites</v>
      </c>
      <c r="S2264" s="28">
        <v>7.94376875E-3</v>
      </c>
      <c r="T2264" s="315">
        <f>_xlfn.MAXIFS('Raw Period DMR Data'!$O:$O,'Raw Period DMR Data'!$A:$A,'Raw Annual DMR Data_2021-2024'!#REF!,'Raw Period DMR Data'!$C:$C,X2264)/S2264</f>
        <v>0</v>
      </c>
      <c r="U2264" s="28" t="str">
        <f>+IF(COUNTIFS('Raw Period DMR Data'!$A:$A,B2264,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64" s="28" t="str" cm="1">
        <f t="array" ref="V2264">IFERROR(INDEX('Raw Period DMR Data'!N:N,MATCH(1,(B2264='Raw Period DMR Data'!$A:$A)*(U2264='Raw Period DMR Data'!M:M)*(X2264='Raw Period DMR Data'!C:C),0),1), "N/A")</f>
        <v>N/A</v>
      </c>
      <c r="W2264" s="28" t="s">
        <v>1463</v>
      </c>
      <c r="X2264" s="28" t="s">
        <v>7182</v>
      </c>
      <c r="Y2264" s="28" t="s">
        <v>7292</v>
      </c>
      <c r="Z2264" s="61">
        <v>18100204011486</v>
      </c>
      <c r="AB2264" s="28" t="s">
        <v>7355</v>
      </c>
      <c r="AC2264" s="28" t="s">
        <v>1466</v>
      </c>
    </row>
    <row r="2265" spans="1:29" x14ac:dyDescent="0.25">
      <c r="A2265" s="61">
        <v>110012876557</v>
      </c>
      <c r="B2265" s="28">
        <v>2024</v>
      </c>
      <c r="C2265" s="68">
        <f t="shared" si="36"/>
        <v>45292</v>
      </c>
      <c r="D2265" s="28" t="s">
        <v>6851</v>
      </c>
      <c r="E2265" s="28" t="s">
        <v>7007</v>
      </c>
      <c r="F2265" s="28" t="s">
        <v>457</v>
      </c>
      <c r="G2265" s="28" t="s">
        <v>366</v>
      </c>
      <c r="H2265" s="28" t="s">
        <v>7008</v>
      </c>
      <c r="I2265" s="28">
        <v>32.781489999999998</v>
      </c>
      <c r="J2265" s="28">
        <v>-115.5035</v>
      </c>
      <c r="L2265" s="61">
        <v>110012876557</v>
      </c>
      <c r="M2265" s="28" t="s">
        <v>265</v>
      </c>
      <c r="N2265" s="28">
        <v>6515</v>
      </c>
      <c r="O2265" s="28" t="str">
        <f>IFERROR(VLOOKUP(N2265, 'SIC &amp; NAICS Codes'!A:B, 2, FALSE), "")</f>
        <v>Operators of Residential Mobile Home Sites</v>
      </c>
      <c r="S2265" s="28">
        <v>7.94376875E-3</v>
      </c>
      <c r="T2265" s="315">
        <f>_xlfn.MAXIFS('Raw Period DMR Data'!$O:$O,'Raw Period DMR Data'!$A:$A,'Raw Annual DMR Data_2021-2024'!#REF!,'Raw Period DMR Data'!$C:$C,X2265)/S2265</f>
        <v>0</v>
      </c>
      <c r="U2265" s="28" t="str">
        <f>+IF(COUNTIFS('Raw Period DMR Data'!$A:$A,B2265,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65" s="28" t="str" cm="1">
        <f t="array" ref="V2265">IFERROR(INDEX('Raw Period DMR Data'!N:N,MATCH(1,(B2265='Raw Period DMR Data'!$A:$A)*(U2265='Raw Period DMR Data'!M:M)*(X2265='Raw Period DMR Data'!C:C),0),1), "N/A")</f>
        <v>N/A</v>
      </c>
      <c r="W2265" s="28" t="s">
        <v>1463</v>
      </c>
      <c r="X2265" s="28" t="s">
        <v>7182</v>
      </c>
      <c r="Y2265" s="28" t="s">
        <v>7292</v>
      </c>
      <c r="Z2265" s="61">
        <v>18100204011486</v>
      </c>
      <c r="AB2265" s="28" t="s">
        <v>7355</v>
      </c>
      <c r="AC2265" s="28" t="s">
        <v>1466</v>
      </c>
    </row>
    <row r="2266" spans="1:29" x14ac:dyDescent="0.25">
      <c r="A2266" s="61">
        <v>110070602569</v>
      </c>
      <c r="B2266" s="28">
        <v>2021</v>
      </c>
      <c r="C2266" s="68">
        <f t="shared" si="36"/>
        <v>44197</v>
      </c>
      <c r="D2266" s="28" t="s">
        <v>1369</v>
      </c>
      <c r="E2266" s="28" t="s">
        <v>2256</v>
      </c>
      <c r="F2266" s="28" t="s">
        <v>1370</v>
      </c>
      <c r="G2266" s="28" t="s">
        <v>308</v>
      </c>
      <c r="H2266" s="28">
        <v>2048</v>
      </c>
      <c r="I2266" s="28">
        <v>42.020510000000002</v>
      </c>
      <c r="J2266" s="28">
        <v>-71.267250000000004</v>
      </c>
      <c r="L2266" s="61">
        <v>110070602569</v>
      </c>
      <c r="M2266" s="28" t="s">
        <v>265</v>
      </c>
      <c r="O2266" s="28" t="str">
        <f>IFERROR(VLOOKUP(N2266, 'SIC &amp; NAICS Codes'!A:B, 2, FALSE), "")</f>
        <v/>
      </c>
      <c r="S2266" s="28">
        <v>1.187600525E-2</v>
      </c>
      <c r="T2266" s="315">
        <f>_xlfn.MAXIFS('Raw Period DMR Data'!$O:$O,'Raw Period DMR Data'!$A:$A,'Raw Annual DMR Data_2021-2024'!#REF!,'Raw Period DMR Data'!$C:$C,X2266)/S2266</f>
        <v>0</v>
      </c>
      <c r="U2266" s="28" t="str">
        <f>+IF(COUNTIFS('Raw Period DMR Data'!$A:$A,B2266,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66" s="28" t="str" cm="1">
        <f t="array" ref="V2266">IFERROR(INDEX('Raw Period DMR Data'!N:N,MATCH(1,(B2266='Raw Period DMR Data'!$A:$A)*(U2266='Raw Period DMR Data'!M:M)*(X2266='Raw Period DMR Data'!C:C),0),1), "N/A")</f>
        <v>N/A</v>
      </c>
      <c r="W2266" s="28" t="s">
        <v>1463</v>
      </c>
      <c r="X2266" s="28" t="s">
        <v>2257</v>
      </c>
      <c r="Y2266" s="28" t="s">
        <v>2258</v>
      </c>
      <c r="Z2266" s="61"/>
      <c r="AA2266" s="28"/>
      <c r="AB2266" s="28" t="s">
        <v>7355</v>
      </c>
      <c r="AC2266" s="28" t="s">
        <v>1466</v>
      </c>
    </row>
    <row r="2267" spans="1:29" x14ac:dyDescent="0.25">
      <c r="A2267" s="61">
        <v>110070602569</v>
      </c>
      <c r="B2267" s="28">
        <v>2022</v>
      </c>
      <c r="C2267" s="68">
        <f t="shared" si="36"/>
        <v>44562</v>
      </c>
      <c r="D2267" s="28" t="s">
        <v>1369</v>
      </c>
      <c r="E2267" s="28" t="s">
        <v>2256</v>
      </c>
      <c r="F2267" s="28" t="s">
        <v>1370</v>
      </c>
      <c r="G2267" s="28" t="s">
        <v>308</v>
      </c>
      <c r="H2267" s="28">
        <v>2048</v>
      </c>
      <c r="I2267" s="28">
        <v>42.020510000000002</v>
      </c>
      <c r="J2267" s="28">
        <v>-71.267250000000004</v>
      </c>
      <c r="L2267" s="61">
        <v>110070602569</v>
      </c>
      <c r="M2267" s="28" t="s">
        <v>265</v>
      </c>
      <c r="O2267" s="28" t="str">
        <f>IFERROR(VLOOKUP(N2267, 'SIC &amp; NAICS Codes'!A:B, 2, FALSE), "")</f>
        <v/>
      </c>
      <c r="S2267" s="28">
        <v>1.2383573750000001E-3</v>
      </c>
      <c r="T2267" s="315">
        <f>_xlfn.MAXIFS('Raw Period DMR Data'!$O:$O,'Raw Period DMR Data'!$A:$A,'Raw Annual DMR Data_2021-2024'!#REF!,'Raw Period DMR Data'!$C:$C,X2267)/S2267</f>
        <v>0</v>
      </c>
      <c r="U2267" s="28" t="str">
        <f>+IF(COUNTIFS('Raw Period DMR Data'!$A:$A,B2267,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67" s="28" t="str" cm="1">
        <f t="array" ref="V2267">IFERROR(INDEX('Raw Period DMR Data'!N:N,MATCH(1,(B2267='Raw Period DMR Data'!$A:$A)*(U2267='Raw Period DMR Data'!M:M)*(X2267='Raw Period DMR Data'!C:C),0),1), "N/A")</f>
        <v>N/A</v>
      </c>
      <c r="W2267" s="28" t="s">
        <v>1463</v>
      </c>
      <c r="X2267" s="28" t="s">
        <v>2257</v>
      </c>
      <c r="Y2267" s="28" t="s">
        <v>2258</v>
      </c>
      <c r="Z2267" s="61"/>
      <c r="AB2267" s="28" t="s">
        <v>7355</v>
      </c>
      <c r="AC2267" s="28" t="s">
        <v>1466</v>
      </c>
    </row>
    <row r="2268" spans="1:29" x14ac:dyDescent="0.25">
      <c r="A2268" s="61">
        <v>110070602569</v>
      </c>
      <c r="B2268" s="28">
        <v>2023</v>
      </c>
      <c r="C2268" s="68">
        <f t="shared" si="36"/>
        <v>44927</v>
      </c>
      <c r="D2268" s="28" t="s">
        <v>1369</v>
      </c>
      <c r="E2268" s="28" t="s">
        <v>2256</v>
      </c>
      <c r="F2268" s="28" t="s">
        <v>1370</v>
      </c>
      <c r="G2268" s="28" t="s">
        <v>308</v>
      </c>
      <c r="H2268" s="28" t="s">
        <v>7095</v>
      </c>
      <c r="I2268" s="28">
        <v>42.020510000000002</v>
      </c>
      <c r="J2268" s="28">
        <v>-71.267250000000004</v>
      </c>
      <c r="L2268" s="61">
        <v>110070602569</v>
      </c>
      <c r="M2268" s="28" t="s">
        <v>265</v>
      </c>
      <c r="O2268" s="28" t="str">
        <f>IFERROR(VLOOKUP(N2268, 'SIC &amp; NAICS Codes'!A:B, 2, FALSE), "")</f>
        <v/>
      </c>
      <c r="S2268" s="28">
        <v>6.5726998125000002E-4</v>
      </c>
      <c r="T2268" s="315">
        <f>_xlfn.MAXIFS('Raw Period DMR Data'!$O:$O,'Raw Period DMR Data'!$A:$A,'Raw Annual DMR Data_2021-2024'!#REF!,'Raw Period DMR Data'!$C:$C,X2268)/S2268</f>
        <v>0</v>
      </c>
      <c r="U2268" s="28" t="str">
        <f>+IF(COUNTIFS('Raw Period DMR Data'!$A:$A,B2268,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68" s="28" t="str" cm="1">
        <f t="array" ref="V2268">IFERROR(INDEX('Raw Period DMR Data'!N:N,MATCH(1,(B2268='Raw Period DMR Data'!$A:$A)*(U2268='Raw Period DMR Data'!M:M)*(X2268='Raw Period DMR Data'!C:C),0),1), "N/A")</f>
        <v>N/A</v>
      </c>
      <c r="W2268" s="28" t="s">
        <v>1463</v>
      </c>
      <c r="X2268" s="28" t="s">
        <v>2257</v>
      </c>
      <c r="Y2268" s="28" t="s">
        <v>2258</v>
      </c>
      <c r="Z2268" s="61"/>
      <c r="AB2268" s="28" t="s">
        <v>7355</v>
      </c>
      <c r="AC2268" s="28" t="s">
        <v>1466</v>
      </c>
    </row>
    <row r="2269" spans="1:29" x14ac:dyDescent="0.25">
      <c r="A2269" s="61">
        <v>110000329886</v>
      </c>
      <c r="B2269" s="28">
        <v>2024</v>
      </c>
      <c r="C2269" s="68">
        <f t="shared" si="36"/>
        <v>45292</v>
      </c>
      <c r="D2269" s="28" t="s">
        <v>6855</v>
      </c>
      <c r="E2269" s="28" t="s">
        <v>7014</v>
      </c>
      <c r="F2269" s="28" t="s">
        <v>7015</v>
      </c>
      <c r="G2269" s="28" t="s">
        <v>491</v>
      </c>
      <c r="H2269" s="28">
        <v>15317</v>
      </c>
      <c r="I2269" s="28">
        <v>40.269072000000001</v>
      </c>
      <c r="J2269" s="28">
        <v>-80.170649999999995</v>
      </c>
      <c r="L2269" s="61">
        <v>110000329886</v>
      </c>
      <c r="M2269" s="28" t="s">
        <v>265</v>
      </c>
      <c r="O2269" s="28" t="str">
        <f>IFERROR(VLOOKUP(N2269, 'SIC &amp; NAICS Codes'!A:B, 2, FALSE), "")</f>
        <v/>
      </c>
      <c r="S2269" s="28">
        <v>1.061195151E-2</v>
      </c>
      <c r="T2269" s="315">
        <f>_xlfn.MAXIFS('Raw Period DMR Data'!$O:$O,'Raw Period DMR Data'!$A:$A,'Raw Annual DMR Data_2021-2024'!#REF!,'Raw Period DMR Data'!$C:$C,X2269)/S2269</f>
        <v>0</v>
      </c>
      <c r="U2269" s="28" t="str">
        <f>+IF(COUNTIFS('Raw Period DMR Data'!$A:$A,B2269,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69" s="28" t="str" cm="1">
        <f t="array" ref="V2269">IFERROR(INDEX('Raw Period DMR Data'!N:N,MATCH(1,(B2269='Raw Period DMR Data'!$A:$A)*(U2269='Raw Period DMR Data'!M:M)*(X2269='Raw Period DMR Data'!C:C),0),1), "N/A")</f>
        <v>N/A</v>
      </c>
      <c r="W2269" s="28" t="s">
        <v>1463</v>
      </c>
      <c r="X2269" s="28" t="s">
        <v>7186</v>
      </c>
      <c r="Y2269" s="28" t="s">
        <v>7293</v>
      </c>
      <c r="Z2269" s="61">
        <v>5030101000095</v>
      </c>
      <c r="AB2269" s="28" t="s">
        <v>7355</v>
      </c>
      <c r="AC2269" s="28" t="s">
        <v>1466</v>
      </c>
    </row>
    <row r="2270" spans="1:29" x14ac:dyDescent="0.25">
      <c r="A2270" s="61">
        <v>110059861065</v>
      </c>
      <c r="B2270" s="28">
        <v>2024</v>
      </c>
      <c r="C2270" s="68">
        <f t="shared" si="36"/>
        <v>45292</v>
      </c>
      <c r="D2270" s="28" t="s">
        <v>1373</v>
      </c>
      <c r="E2270" s="28" t="s">
        <v>2262</v>
      </c>
      <c r="F2270" s="28" t="s">
        <v>657</v>
      </c>
      <c r="G2270" s="28" t="s">
        <v>418</v>
      </c>
      <c r="H2270" s="28">
        <v>89103</v>
      </c>
      <c r="I2270" s="28">
        <v>36.108890000000002</v>
      </c>
      <c r="J2270" s="28">
        <v>-115.18118</v>
      </c>
      <c r="L2270" s="61">
        <v>110059861065</v>
      </c>
      <c r="M2270" s="28" t="s">
        <v>265</v>
      </c>
      <c r="N2270" s="28">
        <v>6531</v>
      </c>
      <c r="O2270" s="28" t="str">
        <f>IFERROR(VLOOKUP(N2270, 'SIC &amp; NAICS Codes'!A:B, 2, FALSE), "")</f>
        <v>Real Estate Agents and Managers (operating housing authorities)</v>
      </c>
      <c r="S2270" s="28">
        <v>1.0465051875E-3</v>
      </c>
      <c r="T2270" s="315">
        <f>_xlfn.MAXIFS('Raw Period DMR Data'!$O:$O,'Raw Period DMR Data'!$A:$A,'Raw Annual DMR Data_2021-2024'!#REF!,'Raw Period DMR Data'!$C:$C,X2270)/S2270</f>
        <v>0</v>
      </c>
      <c r="U2270" s="28" t="str">
        <f>+IF(COUNTIFS('Raw Period DMR Data'!$A:$A,B2270,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70" s="28" t="str" cm="1">
        <f t="array" ref="V2270">IFERROR(INDEX('Raw Period DMR Data'!N:N,MATCH(1,(B2270='Raw Period DMR Data'!$A:$A)*(U2270='Raw Period DMR Data'!M:M)*(X2270='Raw Period DMR Data'!C:C),0),1), "N/A")</f>
        <v>N/A</v>
      </c>
      <c r="W2270" s="28" t="s">
        <v>1463</v>
      </c>
      <c r="X2270" s="28" t="s">
        <v>2263</v>
      </c>
      <c r="Y2270" s="28" t="s">
        <v>1893</v>
      </c>
      <c r="Z2270" s="61">
        <v>15010015000432</v>
      </c>
      <c r="AB2270" s="28" t="s">
        <v>7355</v>
      </c>
      <c r="AC2270" s="28" t="s">
        <v>1466</v>
      </c>
    </row>
    <row r="2271" spans="1:29" x14ac:dyDescent="0.25">
      <c r="A2271" s="61">
        <v>110059861065</v>
      </c>
      <c r="B2271" s="28">
        <v>2021</v>
      </c>
      <c r="C2271" s="68">
        <f t="shared" si="36"/>
        <v>44197</v>
      </c>
      <c r="D2271" s="28" t="s">
        <v>1373</v>
      </c>
      <c r="E2271" s="28" t="s">
        <v>2262</v>
      </c>
      <c r="F2271" s="28" t="s">
        <v>657</v>
      </c>
      <c r="G2271" s="28" t="s">
        <v>418</v>
      </c>
      <c r="H2271" s="28">
        <v>89103</v>
      </c>
      <c r="I2271" s="28">
        <v>36.108890000000002</v>
      </c>
      <c r="J2271" s="28">
        <v>-115.18118</v>
      </c>
      <c r="L2271" s="61">
        <v>110059861065</v>
      </c>
      <c r="M2271" s="28" t="s">
        <v>265</v>
      </c>
      <c r="N2271" s="28">
        <v>6531</v>
      </c>
      <c r="O2271" s="28" t="str">
        <f>IFERROR(VLOOKUP(N2271, 'SIC &amp; NAICS Codes'!A:B, 2, FALSE), "")</f>
        <v>Real Estate Agents and Managers (operating housing authorities)</v>
      </c>
      <c r="S2271" s="28">
        <v>6.8730868750000004E-4</v>
      </c>
      <c r="T2271" s="315">
        <f>_xlfn.MAXIFS('Raw Period DMR Data'!$O:$O,'Raw Period DMR Data'!$A:$A,'Raw Annual DMR Data_2021-2024'!#REF!,'Raw Period DMR Data'!$C:$C,X2271)/S2271</f>
        <v>0</v>
      </c>
      <c r="U2271" s="28" t="str">
        <f>+IF(COUNTIFS('Raw Period DMR Data'!$A:$A,B2271,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71" s="28" t="str" cm="1">
        <f t="array" ref="V2271">IFERROR(INDEX('Raw Period DMR Data'!N:N,MATCH(1,(B2271='Raw Period DMR Data'!$A:$A)*(U2271='Raw Period DMR Data'!M:M)*(X2271='Raw Period DMR Data'!C:C),0),1), "N/A")</f>
        <v>N/A</v>
      </c>
      <c r="W2271" s="28" t="s">
        <v>1463</v>
      </c>
      <c r="X2271" s="28" t="s">
        <v>2263</v>
      </c>
      <c r="Y2271" s="28" t="s">
        <v>1893</v>
      </c>
      <c r="Z2271" s="61">
        <v>15010015000432</v>
      </c>
      <c r="AA2271" s="28"/>
      <c r="AB2271" s="28" t="s">
        <v>7355</v>
      </c>
      <c r="AC2271" s="28" t="s">
        <v>1466</v>
      </c>
    </row>
    <row r="2272" spans="1:29" x14ac:dyDescent="0.25">
      <c r="A2272" s="61">
        <v>110059861065</v>
      </c>
      <c r="B2272" s="28">
        <v>2022</v>
      </c>
      <c r="C2272" s="68">
        <f t="shared" si="36"/>
        <v>44562</v>
      </c>
      <c r="D2272" s="28" t="s">
        <v>1373</v>
      </c>
      <c r="E2272" s="28" t="s">
        <v>2262</v>
      </c>
      <c r="F2272" s="28" t="s">
        <v>657</v>
      </c>
      <c r="G2272" s="28" t="s">
        <v>418</v>
      </c>
      <c r="H2272" s="28">
        <v>89103</v>
      </c>
      <c r="I2272" s="28">
        <v>36.108890000000002</v>
      </c>
      <c r="J2272" s="28">
        <v>-115.18118</v>
      </c>
      <c r="L2272" s="61">
        <v>110059861065</v>
      </c>
      <c r="M2272" s="28" t="s">
        <v>265</v>
      </c>
      <c r="N2272" s="28">
        <v>6531</v>
      </c>
      <c r="O2272" s="28" t="str">
        <f>IFERROR(VLOOKUP(N2272, 'SIC &amp; NAICS Codes'!A:B, 2, FALSE), "")</f>
        <v>Real Estate Agents and Managers (operating housing authorities)</v>
      </c>
      <c r="S2272" s="28">
        <v>6.8661792500000003E-4</v>
      </c>
      <c r="T2272" s="315">
        <f>_xlfn.MAXIFS('Raw Period DMR Data'!$O:$O,'Raw Period DMR Data'!$A:$A,'Raw Annual DMR Data_2021-2024'!#REF!,'Raw Period DMR Data'!$C:$C,X2272)/S2272</f>
        <v>0</v>
      </c>
      <c r="U2272" s="28" t="str">
        <f>+IF(COUNTIFS('Raw Period DMR Data'!$A:$A,B2272,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72" s="28" t="str" cm="1">
        <f t="array" ref="V2272">IFERROR(INDEX('Raw Period DMR Data'!N:N,MATCH(1,(B2272='Raw Period DMR Data'!$A:$A)*(U2272='Raw Period DMR Data'!M:M)*(X2272='Raw Period DMR Data'!C:C),0),1), "N/A")</f>
        <v>N/A</v>
      </c>
      <c r="W2272" s="28" t="s">
        <v>1463</v>
      </c>
      <c r="X2272" s="28" t="s">
        <v>2263</v>
      </c>
      <c r="Y2272" s="28" t="s">
        <v>1893</v>
      </c>
      <c r="Z2272" s="61">
        <v>15010015000432</v>
      </c>
      <c r="AB2272" s="28" t="s">
        <v>7355</v>
      </c>
      <c r="AC2272" s="28" t="s">
        <v>1466</v>
      </c>
    </row>
    <row r="2273" spans="1:29" x14ac:dyDescent="0.25">
      <c r="A2273" s="61">
        <v>110059861065</v>
      </c>
      <c r="B2273" s="28">
        <v>2024</v>
      </c>
      <c r="C2273" s="68">
        <f t="shared" si="36"/>
        <v>45292</v>
      </c>
      <c r="D2273" s="28" t="s">
        <v>1373</v>
      </c>
      <c r="E2273" s="28" t="s">
        <v>2262</v>
      </c>
      <c r="F2273" s="28" t="s">
        <v>657</v>
      </c>
      <c r="G2273" s="28" t="s">
        <v>418</v>
      </c>
      <c r="H2273" s="28">
        <v>89103</v>
      </c>
      <c r="I2273" s="28">
        <v>36.108890000000002</v>
      </c>
      <c r="J2273" s="28">
        <v>-115.18118</v>
      </c>
      <c r="L2273" s="61">
        <v>110059861065</v>
      </c>
      <c r="M2273" s="28" t="s">
        <v>265</v>
      </c>
      <c r="N2273" s="28">
        <v>6531</v>
      </c>
      <c r="O2273" s="28" t="str">
        <f>IFERROR(VLOOKUP(N2273, 'SIC &amp; NAICS Codes'!A:B, 2, FALSE), "")</f>
        <v>Real Estate Agents and Managers (operating housing authorities)</v>
      </c>
      <c r="S2273" s="28">
        <v>4.2067436250000002E-4</v>
      </c>
      <c r="T2273" s="315">
        <f>_xlfn.MAXIFS('Raw Period DMR Data'!$O:$O,'Raw Period DMR Data'!$A:$A,'Raw Annual DMR Data_2021-2024'!#REF!,'Raw Period DMR Data'!$C:$C,X2273)/S2273</f>
        <v>0</v>
      </c>
      <c r="U2273" s="28" t="str">
        <f>+IF(COUNTIFS('Raw Period DMR Data'!$A:$A,B2273,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73" s="28" t="str" cm="1">
        <f t="array" ref="V2273">IFERROR(INDEX('Raw Period DMR Data'!N:N,MATCH(1,(B2273='Raw Period DMR Data'!$A:$A)*(U2273='Raw Period DMR Data'!M:M)*(X2273='Raw Period DMR Data'!C:C),0),1), "N/A")</f>
        <v>N/A</v>
      </c>
      <c r="W2273" s="28" t="s">
        <v>1463</v>
      </c>
      <c r="X2273" s="28" t="s">
        <v>2263</v>
      </c>
      <c r="Y2273" s="28" t="s">
        <v>1893</v>
      </c>
      <c r="Z2273" s="61">
        <v>15010015000432</v>
      </c>
      <c r="AB2273" s="28" t="s">
        <v>7355</v>
      </c>
      <c r="AC2273" s="28" t="s">
        <v>1466</v>
      </c>
    </row>
    <row r="2274" spans="1:29" x14ac:dyDescent="0.25">
      <c r="A2274" s="61">
        <v>110059861065</v>
      </c>
      <c r="B2274" s="28">
        <v>2023</v>
      </c>
      <c r="C2274" s="68">
        <f t="shared" si="36"/>
        <v>44927</v>
      </c>
      <c r="D2274" s="28" t="s">
        <v>1373</v>
      </c>
      <c r="E2274" s="28" t="s">
        <v>2262</v>
      </c>
      <c r="F2274" s="28" t="s">
        <v>657</v>
      </c>
      <c r="G2274" s="28" t="s">
        <v>418</v>
      </c>
      <c r="H2274" s="28">
        <v>89103</v>
      </c>
      <c r="I2274" s="28">
        <v>36.108890000000002</v>
      </c>
      <c r="J2274" s="28">
        <v>-115.18118</v>
      </c>
      <c r="L2274" s="61">
        <v>110059861065</v>
      </c>
      <c r="M2274" s="28" t="s">
        <v>265</v>
      </c>
      <c r="N2274" s="28">
        <v>6531</v>
      </c>
      <c r="O2274" s="28" t="str">
        <f>IFERROR(VLOOKUP(N2274, 'SIC &amp; NAICS Codes'!A:B, 2, FALSE), "")</f>
        <v>Real Estate Agents and Managers (operating housing authorities)</v>
      </c>
      <c r="S2274" s="28">
        <v>3.6195954999999999E-4</v>
      </c>
      <c r="T2274" s="315">
        <f>_xlfn.MAXIFS('Raw Period DMR Data'!$O:$O,'Raw Period DMR Data'!$A:$A,'Raw Annual DMR Data_2021-2024'!#REF!,'Raw Period DMR Data'!$C:$C,X2274)/S2274</f>
        <v>0</v>
      </c>
      <c r="U2274" s="28" t="str">
        <f>+IF(COUNTIFS('Raw Period DMR Data'!$A:$A,B2274,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74" s="28" t="str" cm="1">
        <f t="array" ref="V2274">IFERROR(INDEX('Raw Period DMR Data'!N:N,MATCH(1,(B2274='Raw Period DMR Data'!$A:$A)*(U2274='Raw Period DMR Data'!M:M)*(X2274='Raw Period DMR Data'!C:C),0),1), "N/A")</f>
        <v>N/A</v>
      </c>
      <c r="W2274" s="28" t="s">
        <v>1463</v>
      </c>
      <c r="X2274" s="28" t="s">
        <v>2263</v>
      </c>
      <c r="Y2274" s="28" t="s">
        <v>1893</v>
      </c>
      <c r="Z2274" s="61">
        <v>15010015000432</v>
      </c>
      <c r="AB2274" s="28" t="s">
        <v>7355</v>
      </c>
      <c r="AC2274" s="28" t="s">
        <v>1466</v>
      </c>
    </row>
    <row r="2275" spans="1:29" x14ac:dyDescent="0.25">
      <c r="A2275" s="61">
        <v>110059861065</v>
      </c>
      <c r="B2275" s="28">
        <v>2022</v>
      </c>
      <c r="C2275" s="68">
        <f t="shared" si="36"/>
        <v>44562</v>
      </c>
      <c r="D2275" s="28" t="s">
        <v>1373</v>
      </c>
      <c r="E2275" s="28" t="s">
        <v>2262</v>
      </c>
      <c r="F2275" s="28" t="s">
        <v>657</v>
      </c>
      <c r="G2275" s="28" t="s">
        <v>418</v>
      </c>
      <c r="H2275" s="28">
        <v>89103</v>
      </c>
      <c r="I2275" s="28">
        <v>36.108890000000002</v>
      </c>
      <c r="J2275" s="28">
        <v>-115.18118</v>
      </c>
      <c r="L2275" s="61">
        <v>110059861065</v>
      </c>
      <c r="M2275" s="28" t="s">
        <v>265</v>
      </c>
      <c r="N2275" s="28">
        <v>6531</v>
      </c>
      <c r="O2275" s="28" t="str">
        <f>IFERROR(VLOOKUP(N2275, 'SIC &amp; NAICS Codes'!A:B, 2, FALSE), "")</f>
        <v>Real Estate Agents and Managers (operating housing authorities)</v>
      </c>
      <c r="S2275" s="28">
        <v>3.2673066250000002E-4</v>
      </c>
      <c r="T2275" s="315">
        <f>_xlfn.MAXIFS('Raw Period DMR Data'!$O:$O,'Raw Period DMR Data'!$A:$A,'Raw Annual DMR Data_2021-2024'!#REF!,'Raw Period DMR Data'!$C:$C,X2275)/S2275</f>
        <v>0</v>
      </c>
      <c r="U2275" s="28" t="str">
        <f>+IF(COUNTIFS('Raw Period DMR Data'!$A:$A,B2275,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75" s="28" t="str" cm="1">
        <f t="array" ref="V2275">IFERROR(INDEX('Raw Period DMR Data'!N:N,MATCH(1,(B2275='Raw Period DMR Data'!$A:$A)*(U2275='Raw Period DMR Data'!M:M)*(X2275='Raw Period DMR Data'!C:C),0),1), "N/A")</f>
        <v>N/A</v>
      </c>
      <c r="W2275" s="28" t="s">
        <v>1463</v>
      </c>
      <c r="X2275" s="28" t="s">
        <v>2263</v>
      </c>
      <c r="Y2275" s="28" t="s">
        <v>1893</v>
      </c>
      <c r="Z2275" s="61">
        <v>15010015000432</v>
      </c>
      <c r="AB2275" s="28" t="s">
        <v>7355</v>
      </c>
      <c r="AC2275" s="28" t="s">
        <v>1466</v>
      </c>
    </row>
    <row r="2276" spans="1:29" x14ac:dyDescent="0.25">
      <c r="A2276" s="61">
        <v>110059861065</v>
      </c>
      <c r="B2276" s="28">
        <v>2021</v>
      </c>
      <c r="C2276" s="68">
        <f t="shared" si="36"/>
        <v>44197</v>
      </c>
      <c r="D2276" s="28" t="s">
        <v>1373</v>
      </c>
      <c r="E2276" s="28" t="s">
        <v>2262</v>
      </c>
      <c r="F2276" s="28" t="s">
        <v>657</v>
      </c>
      <c r="G2276" s="28" t="s">
        <v>418</v>
      </c>
      <c r="H2276" s="28">
        <v>89103</v>
      </c>
      <c r="I2276" s="28">
        <v>36.108890000000002</v>
      </c>
      <c r="J2276" s="28">
        <v>-115.18118</v>
      </c>
      <c r="L2276" s="61">
        <v>110059861065</v>
      </c>
      <c r="M2276" s="28" t="s">
        <v>265</v>
      </c>
      <c r="N2276" s="28">
        <v>6531</v>
      </c>
      <c r="O2276" s="28" t="str">
        <f>IFERROR(VLOOKUP(N2276, 'SIC &amp; NAICS Codes'!A:B, 2, FALSE), "")</f>
        <v>Real Estate Agents and Managers (operating housing authorities)</v>
      </c>
      <c r="S2276" s="28">
        <v>2.1206408750000001E-4</v>
      </c>
      <c r="T2276" s="315">
        <f>_xlfn.MAXIFS('Raw Period DMR Data'!$O:$O,'Raw Period DMR Data'!$A:$A,'Raw Annual DMR Data_2021-2024'!#REF!,'Raw Period DMR Data'!$C:$C,X2276)/S2276</f>
        <v>0</v>
      </c>
      <c r="U2276" s="28" t="str">
        <f>+IF(COUNTIFS('Raw Period DMR Data'!$A:$A,B2276,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76" s="28" t="str" cm="1">
        <f t="array" ref="V2276">IFERROR(INDEX('Raw Period DMR Data'!N:N,MATCH(1,(B2276='Raw Period DMR Data'!$A:$A)*(U2276='Raw Period DMR Data'!M:M)*(X2276='Raw Period DMR Data'!C:C),0),1), "N/A")</f>
        <v>N/A</v>
      </c>
      <c r="W2276" s="28" t="s">
        <v>1463</v>
      </c>
      <c r="X2276" s="28" t="s">
        <v>2263</v>
      </c>
      <c r="Y2276" s="28" t="s">
        <v>1893</v>
      </c>
      <c r="Z2276" s="61">
        <v>15010015000432</v>
      </c>
      <c r="AA2276" s="28"/>
      <c r="AB2276" s="28" t="s">
        <v>7355</v>
      </c>
      <c r="AC2276" s="28" t="s">
        <v>1466</v>
      </c>
    </row>
    <row r="2277" spans="1:29" x14ac:dyDescent="0.25">
      <c r="A2277" s="61">
        <v>110059861065</v>
      </c>
      <c r="B2277" s="28">
        <v>2023</v>
      </c>
      <c r="C2277" s="68">
        <f t="shared" si="36"/>
        <v>44927</v>
      </c>
      <c r="D2277" s="28" t="s">
        <v>1373</v>
      </c>
      <c r="E2277" s="28" t="s">
        <v>2262</v>
      </c>
      <c r="F2277" s="28" t="s">
        <v>657</v>
      </c>
      <c r="G2277" s="28" t="s">
        <v>418</v>
      </c>
      <c r="H2277" s="28">
        <v>89103</v>
      </c>
      <c r="I2277" s="28">
        <v>36.108890000000002</v>
      </c>
      <c r="J2277" s="28">
        <v>-115.18118</v>
      </c>
      <c r="L2277" s="61">
        <v>110059861065</v>
      </c>
      <c r="M2277" s="28" t="s">
        <v>265</v>
      </c>
      <c r="N2277" s="28">
        <v>6531</v>
      </c>
      <c r="O2277" s="28" t="str">
        <f>IFERROR(VLOOKUP(N2277, 'SIC &amp; NAICS Codes'!A:B, 2, FALSE), "")</f>
        <v>Real Estate Agents and Managers (operating housing authorities)</v>
      </c>
      <c r="S2277" s="28">
        <v>1.7303600625E-4</v>
      </c>
      <c r="T2277" s="315">
        <f>_xlfn.MAXIFS('Raw Period DMR Data'!$O:$O,'Raw Period DMR Data'!$A:$A,'Raw Annual DMR Data_2021-2024'!#REF!,'Raw Period DMR Data'!$C:$C,X2277)/S2277</f>
        <v>0</v>
      </c>
      <c r="U2277" s="28" t="str">
        <f>+IF(COUNTIFS('Raw Period DMR Data'!$A:$A,B2277,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77" s="28" t="str" cm="1">
        <f t="array" ref="V2277">IFERROR(INDEX('Raw Period DMR Data'!N:N,MATCH(1,(B2277='Raw Period DMR Data'!$A:$A)*(U2277='Raw Period DMR Data'!M:M)*(X2277='Raw Period DMR Data'!C:C),0),1), "N/A")</f>
        <v>N/A</v>
      </c>
      <c r="W2277" s="28" t="s">
        <v>1463</v>
      </c>
      <c r="X2277" s="28" t="s">
        <v>2263</v>
      </c>
      <c r="Y2277" s="28" t="s">
        <v>1893</v>
      </c>
      <c r="Z2277" s="61">
        <v>15010015000432</v>
      </c>
      <c r="AB2277" s="28" t="s">
        <v>7355</v>
      </c>
      <c r="AC2277" s="28" t="s">
        <v>1466</v>
      </c>
    </row>
    <row r="2278" spans="1:29" x14ac:dyDescent="0.25">
      <c r="A2278" s="61">
        <v>110010844426</v>
      </c>
      <c r="B2278" s="28">
        <v>2021</v>
      </c>
      <c r="C2278" s="68">
        <f t="shared" si="36"/>
        <v>44197</v>
      </c>
      <c r="D2278" s="28" t="s">
        <v>1374</v>
      </c>
      <c r="E2278" s="28" t="s">
        <v>2264</v>
      </c>
      <c r="F2278" s="28" t="s">
        <v>293</v>
      </c>
      <c r="G2278" s="28" t="s">
        <v>294</v>
      </c>
      <c r="H2278" s="28">
        <v>222031606</v>
      </c>
      <c r="I2278" s="28">
        <v>38.88223</v>
      </c>
      <c r="J2278" s="28">
        <v>-77.112300000000005</v>
      </c>
      <c r="L2278" s="61">
        <v>110010844426</v>
      </c>
      <c r="M2278" s="28" t="s">
        <v>265</v>
      </c>
      <c r="N2278" s="28">
        <v>4959</v>
      </c>
      <c r="O2278" s="28" t="str">
        <f>IFERROR(VLOOKUP(N2278, 'SIC &amp; NAICS Codes'!A:B, 2, FALSE), "")</f>
        <v>Sanitary Services, NEC (vacuuming of runways)</v>
      </c>
      <c r="S2278" s="28">
        <v>8.2891499999999997E-5</v>
      </c>
      <c r="T2278" s="315">
        <f>_xlfn.MAXIFS('Raw Period DMR Data'!$O:$O,'Raw Period DMR Data'!$A:$A,'Raw Annual DMR Data_2021-2024'!#REF!,'Raw Period DMR Data'!$C:$C,X2278)/S2278</f>
        <v>0</v>
      </c>
      <c r="U2278" s="28" t="str">
        <f>+IF(COUNTIFS('Raw Period DMR Data'!$A:$A,B2278,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78" s="28" t="str" cm="1">
        <f t="array" ref="V2278">IFERROR(INDEX('Raw Period DMR Data'!N:N,MATCH(1,(B2278='Raw Period DMR Data'!$A:$A)*(U2278='Raw Period DMR Data'!M:M)*(X2278='Raw Period DMR Data'!C:C),0),1), "N/A")</f>
        <v>N/A</v>
      </c>
      <c r="W2278" s="28" t="s">
        <v>1463</v>
      </c>
      <c r="X2278" s="28" t="s">
        <v>2265</v>
      </c>
      <c r="Y2278" s="28" t="s">
        <v>2266</v>
      </c>
      <c r="Z2278" s="61">
        <v>2070010001022</v>
      </c>
      <c r="AB2278" s="28" t="s">
        <v>7355</v>
      </c>
      <c r="AC2278" s="28" t="s">
        <v>1466</v>
      </c>
    </row>
    <row r="2279" spans="1:29" x14ac:dyDescent="0.25">
      <c r="A2279" s="61">
        <v>110010844426</v>
      </c>
      <c r="B2279" s="28">
        <v>2023</v>
      </c>
      <c r="C2279" s="68">
        <f t="shared" si="36"/>
        <v>44927</v>
      </c>
      <c r="D2279" s="28" t="s">
        <v>1374</v>
      </c>
      <c r="E2279" s="28" t="s">
        <v>2264</v>
      </c>
      <c r="F2279" s="28" t="s">
        <v>293</v>
      </c>
      <c r="G2279" s="28" t="s">
        <v>294</v>
      </c>
      <c r="H2279" s="28">
        <v>222031606</v>
      </c>
      <c r="I2279" s="28">
        <v>38.88223</v>
      </c>
      <c r="J2279" s="28">
        <v>-77.112300000000005</v>
      </c>
      <c r="L2279" s="61">
        <v>110010844426</v>
      </c>
      <c r="M2279" s="28" t="s">
        <v>265</v>
      </c>
      <c r="N2279" s="28">
        <v>4959</v>
      </c>
      <c r="O2279" s="28" t="str">
        <f>IFERROR(VLOOKUP(N2279, 'SIC &amp; NAICS Codes'!A:B, 2, FALSE), "")</f>
        <v>Sanitary Services, NEC (vacuuming of runways)</v>
      </c>
      <c r="S2279" s="28">
        <v>4.1105100000000001E-5</v>
      </c>
      <c r="T2279" s="315">
        <f>_xlfn.MAXIFS('Raw Period DMR Data'!$O:$O,'Raw Period DMR Data'!$A:$A,'Raw Annual DMR Data_2021-2024'!#REF!,'Raw Period DMR Data'!$C:$C,X2279)/S2279</f>
        <v>0</v>
      </c>
      <c r="U2279" s="28" t="str">
        <f>+IF(COUNTIFS('Raw Period DMR Data'!$A:$A,B2279,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79" s="28" t="str" cm="1">
        <f t="array" ref="V2279">IFERROR(INDEX('Raw Period DMR Data'!N:N,MATCH(1,(B2279='Raw Period DMR Data'!$A:$A)*(U2279='Raw Period DMR Data'!M:M)*(X2279='Raw Period DMR Data'!C:C),0),1), "N/A")</f>
        <v>N/A</v>
      </c>
      <c r="W2279" s="28" t="s">
        <v>1463</v>
      </c>
      <c r="X2279" s="28" t="s">
        <v>2265</v>
      </c>
      <c r="Y2279" s="28" t="s">
        <v>2266</v>
      </c>
      <c r="Z2279" s="61" t="s">
        <v>2267</v>
      </c>
      <c r="AB2279" s="28" t="s">
        <v>7355</v>
      </c>
      <c r="AC2279" s="28" t="s">
        <v>1466</v>
      </c>
    </row>
    <row r="2280" spans="1:29" x14ac:dyDescent="0.25">
      <c r="A2280" s="61">
        <v>110010844426</v>
      </c>
      <c r="B2280" s="28">
        <v>2022</v>
      </c>
      <c r="C2280" s="68">
        <f t="shared" si="36"/>
        <v>44562</v>
      </c>
      <c r="D2280" s="28" t="s">
        <v>1374</v>
      </c>
      <c r="E2280" s="28" t="s">
        <v>2264</v>
      </c>
      <c r="F2280" s="28" t="s">
        <v>293</v>
      </c>
      <c r="G2280" s="28" t="s">
        <v>294</v>
      </c>
      <c r="H2280" s="28">
        <v>222031606</v>
      </c>
      <c r="I2280" s="28">
        <v>38.88223</v>
      </c>
      <c r="J2280" s="28">
        <v>-77.112300000000005</v>
      </c>
      <c r="L2280" s="61">
        <v>110010844426</v>
      </c>
      <c r="M2280" s="28" t="s">
        <v>265</v>
      </c>
      <c r="N2280" s="28">
        <v>4959</v>
      </c>
      <c r="O2280" s="28" t="str">
        <f>IFERROR(VLOOKUP(N2280, 'SIC &amp; NAICS Codes'!A:B, 2, FALSE), "")</f>
        <v>Sanitary Services, NEC (vacuuming of runways)</v>
      </c>
      <c r="S2280" s="28">
        <v>3.5822375500000001E-5</v>
      </c>
      <c r="T2280" s="315">
        <f>_xlfn.MAXIFS('Raw Period DMR Data'!$O:$O,'Raw Period DMR Data'!$A:$A,'Raw Annual DMR Data_2021-2024'!#REF!,'Raw Period DMR Data'!$C:$C,X2280)/S2280</f>
        <v>0</v>
      </c>
      <c r="U2280" s="28" t="str">
        <f>+IF(COUNTIFS('Raw Period DMR Data'!$A:$A,B2280,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80" s="28" t="str" cm="1">
        <f t="array" ref="V2280">IFERROR(INDEX('Raw Period DMR Data'!N:N,MATCH(1,(B2280='Raw Period DMR Data'!$A:$A)*(U2280='Raw Period DMR Data'!M:M)*(X2280='Raw Period DMR Data'!C:C),0),1), "N/A")</f>
        <v>N/A</v>
      </c>
      <c r="W2280" s="28" t="s">
        <v>1463</v>
      </c>
      <c r="X2280" s="28" t="s">
        <v>2265</v>
      </c>
      <c r="Y2280" s="28" t="s">
        <v>2266</v>
      </c>
      <c r="Z2280" s="61">
        <v>2070010001022</v>
      </c>
      <c r="AB2280" s="28" t="s">
        <v>7355</v>
      </c>
      <c r="AC2280" s="28" t="s">
        <v>1466</v>
      </c>
    </row>
    <row r="2281" spans="1:29" x14ac:dyDescent="0.25">
      <c r="A2281" s="61">
        <v>110010844426</v>
      </c>
      <c r="B2281" s="28">
        <v>2024</v>
      </c>
      <c r="C2281" s="68">
        <f t="shared" si="36"/>
        <v>45292</v>
      </c>
      <c r="D2281" s="28" t="s">
        <v>1374</v>
      </c>
      <c r="E2281" s="28" t="s">
        <v>2264</v>
      </c>
      <c r="F2281" s="28" t="s">
        <v>293</v>
      </c>
      <c r="G2281" s="28" t="s">
        <v>294</v>
      </c>
      <c r="H2281" s="28">
        <v>222031606</v>
      </c>
      <c r="I2281" s="28">
        <v>38.88223</v>
      </c>
      <c r="J2281" s="28">
        <v>-77.112300000000005</v>
      </c>
      <c r="L2281" s="61">
        <v>110010844426</v>
      </c>
      <c r="M2281" s="28" t="s">
        <v>265</v>
      </c>
      <c r="N2281" s="28">
        <v>4959</v>
      </c>
      <c r="O2281" s="28" t="str">
        <f>IFERROR(VLOOKUP(N2281, 'SIC &amp; NAICS Codes'!A:B, 2, FALSE), "")</f>
        <v>Sanitary Services, NEC (vacuuming of runways)</v>
      </c>
      <c r="S2281" s="28">
        <v>2.8470467200000001E-5</v>
      </c>
      <c r="T2281" s="315">
        <f>_xlfn.MAXIFS('Raw Period DMR Data'!$O:$O,'Raw Period DMR Data'!$A:$A,'Raw Annual DMR Data_2021-2024'!#REF!,'Raw Period DMR Data'!$C:$C,X2281)/S2281</f>
        <v>0</v>
      </c>
      <c r="U2281" s="28" t="str">
        <f>+IF(COUNTIFS('Raw Period DMR Data'!$A:$A,B2281,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81" s="28" t="str" cm="1">
        <f t="array" ref="V2281">IFERROR(INDEX('Raw Period DMR Data'!N:N,MATCH(1,(B2281='Raw Period DMR Data'!$A:$A)*(U2281='Raw Period DMR Data'!M:M)*(X2281='Raw Period DMR Data'!C:C),0),1), "N/A")</f>
        <v>N/A</v>
      </c>
      <c r="W2281" s="28" t="s">
        <v>1463</v>
      </c>
      <c r="X2281" s="28" t="s">
        <v>2265</v>
      </c>
      <c r="Y2281" s="28" t="s">
        <v>2266</v>
      </c>
      <c r="Z2281" s="61">
        <v>2070010001022</v>
      </c>
      <c r="AB2281" s="28" t="s">
        <v>7355</v>
      </c>
      <c r="AC2281" s="28" t="s">
        <v>1466</v>
      </c>
    </row>
    <row r="2282" spans="1:29" x14ac:dyDescent="0.25">
      <c r="A2282" s="61">
        <v>110020039402</v>
      </c>
      <c r="B2282" s="28">
        <v>2021</v>
      </c>
      <c r="C2282" s="68">
        <f t="shared" si="36"/>
        <v>44197</v>
      </c>
      <c r="D2282" s="28" t="s">
        <v>1375</v>
      </c>
      <c r="E2282" s="28" t="s">
        <v>2268</v>
      </c>
      <c r="F2282" s="28" t="s">
        <v>657</v>
      </c>
      <c r="G2282" s="28" t="s">
        <v>418</v>
      </c>
      <c r="H2282" s="28">
        <v>89109</v>
      </c>
      <c r="I2282" s="28">
        <v>36.137529999999998</v>
      </c>
      <c r="J2282" s="28">
        <v>-115.15479000000001</v>
      </c>
      <c r="L2282" s="61">
        <v>110020039402</v>
      </c>
      <c r="M2282" s="28" t="s">
        <v>265</v>
      </c>
      <c r="N2282" s="28">
        <v>7011</v>
      </c>
      <c r="O2282" s="28" t="str">
        <f>IFERROR(VLOOKUP(N2282, 'SIC &amp; NAICS Codes'!A:B, 2, FALSE), "")</f>
        <v>Hotels and Motels (hotels, except casino hotels, and motels)</v>
      </c>
      <c r="S2282" s="28">
        <v>3.3080986137137502E-3</v>
      </c>
      <c r="T2282" s="315">
        <f>_xlfn.MAXIFS('Raw Period DMR Data'!$O:$O,'Raw Period DMR Data'!$A:$A,'Raw Annual DMR Data_2021-2024'!#REF!,'Raw Period DMR Data'!$C:$C,X2282)/S2282</f>
        <v>0</v>
      </c>
      <c r="U2282" s="28" t="str">
        <f>+IF(COUNTIFS('Raw Period DMR Data'!$A:$A,B2282,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82" s="28" t="str" cm="1">
        <f t="array" ref="V2282">IFERROR(INDEX('Raw Period DMR Data'!N:N,MATCH(1,(B2282='Raw Period DMR Data'!$A:$A)*(U2282='Raw Period DMR Data'!M:M)*(X2282='Raw Period DMR Data'!C:C),0),1), "N/A")</f>
        <v>N/A</v>
      </c>
      <c r="W2282" s="28" t="s">
        <v>1463</v>
      </c>
      <c r="X2282" s="28" t="s">
        <v>2269</v>
      </c>
      <c r="Y2282" s="28" t="s">
        <v>2270</v>
      </c>
      <c r="Z2282" s="61">
        <v>15010015000432</v>
      </c>
      <c r="AA2282" s="28" t="s">
        <v>7355</v>
      </c>
      <c r="AB2282" s="28" t="s">
        <v>7355</v>
      </c>
      <c r="AC2282" s="28" t="s">
        <v>1466</v>
      </c>
    </row>
    <row r="2283" spans="1:29" x14ac:dyDescent="0.25">
      <c r="A2283" s="61">
        <v>110020039402</v>
      </c>
      <c r="B2283" s="28">
        <v>2023</v>
      </c>
      <c r="C2283" s="68">
        <f t="shared" si="36"/>
        <v>44927</v>
      </c>
      <c r="D2283" s="28" t="s">
        <v>1375</v>
      </c>
      <c r="E2283" s="28" t="s">
        <v>2268</v>
      </c>
      <c r="F2283" s="28" t="s">
        <v>657</v>
      </c>
      <c r="G2283" s="28" t="s">
        <v>418</v>
      </c>
      <c r="H2283" s="28">
        <v>89109</v>
      </c>
      <c r="I2283" s="28">
        <v>36.137529999999998</v>
      </c>
      <c r="J2283" s="28">
        <v>-115.15479000000001</v>
      </c>
      <c r="L2283" s="61">
        <v>110020039402</v>
      </c>
      <c r="M2283" s="28" t="s">
        <v>265</v>
      </c>
      <c r="N2283" s="28">
        <v>7011</v>
      </c>
      <c r="O2283" s="28" t="str">
        <f>IFERROR(VLOOKUP(N2283, 'SIC &amp; NAICS Codes'!A:B, 2, FALSE), "")</f>
        <v>Hotels and Motels (hotels, except casino hotels, and motels)</v>
      </c>
      <c r="S2283" s="28">
        <v>1.9505063768887501E-3</v>
      </c>
      <c r="T2283" s="315">
        <f>_xlfn.MAXIFS('Raw Period DMR Data'!$O:$O,'Raw Period DMR Data'!$A:$A,'Raw Annual DMR Data_2021-2024'!#REF!,'Raw Period DMR Data'!$C:$C,X2283)/S2283</f>
        <v>0</v>
      </c>
      <c r="U2283" s="28" t="str">
        <f>+IF(COUNTIFS('Raw Period DMR Data'!$A:$A,B2283,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83" s="28" t="str" cm="1">
        <f t="array" ref="V2283">IFERROR(INDEX('Raw Period DMR Data'!N:N,MATCH(1,(B2283='Raw Period DMR Data'!$A:$A)*(U2283='Raw Period DMR Data'!M:M)*(X2283='Raw Period DMR Data'!C:C),0),1), "N/A")</f>
        <v>N/A</v>
      </c>
      <c r="W2283" s="28" t="s">
        <v>1463</v>
      </c>
      <c r="X2283" s="28" t="s">
        <v>2269</v>
      </c>
      <c r="Y2283" s="28" t="s">
        <v>2270</v>
      </c>
      <c r="Z2283" s="61">
        <v>15010015000432</v>
      </c>
      <c r="AA2283" s="60" t="s">
        <v>7355</v>
      </c>
      <c r="AB2283" s="28" t="s">
        <v>7355</v>
      </c>
      <c r="AC2283" s="28" t="s">
        <v>1466</v>
      </c>
    </row>
    <row r="2284" spans="1:29" x14ac:dyDescent="0.25">
      <c r="A2284" s="61">
        <v>110020039402</v>
      </c>
      <c r="B2284" s="28">
        <v>2024</v>
      </c>
      <c r="C2284" s="68">
        <f t="shared" si="36"/>
        <v>45292</v>
      </c>
      <c r="D2284" s="28" t="s">
        <v>1375</v>
      </c>
      <c r="E2284" s="28" t="s">
        <v>2268</v>
      </c>
      <c r="F2284" s="28" t="s">
        <v>657</v>
      </c>
      <c r="G2284" s="28" t="s">
        <v>418</v>
      </c>
      <c r="H2284" s="28">
        <v>89109</v>
      </c>
      <c r="I2284" s="28">
        <v>36.137529999999998</v>
      </c>
      <c r="J2284" s="28">
        <v>-115.15479000000001</v>
      </c>
      <c r="L2284" s="61">
        <v>110020039402</v>
      </c>
      <c r="M2284" s="28" t="s">
        <v>265</v>
      </c>
      <c r="N2284" s="28">
        <v>7011</v>
      </c>
      <c r="O2284" s="28" t="str">
        <f>IFERROR(VLOOKUP(N2284, 'SIC &amp; NAICS Codes'!A:B, 2, FALSE), "")</f>
        <v>Hotels and Motels (hotels, except casino hotels, and motels)</v>
      </c>
      <c r="S2284" s="28">
        <v>1.69549189969375E-3</v>
      </c>
      <c r="T2284" s="315">
        <f>_xlfn.MAXIFS('Raw Period DMR Data'!$O:$O,'Raw Period DMR Data'!$A:$A,'Raw Annual DMR Data_2021-2024'!#REF!,'Raw Period DMR Data'!$C:$C,X2284)/S2284</f>
        <v>0</v>
      </c>
      <c r="U2284" s="28" t="str">
        <f>+IF(COUNTIFS('Raw Period DMR Data'!$A:$A,B2284,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84" s="28" t="str" cm="1">
        <f t="array" ref="V2284">IFERROR(INDEX('Raw Period DMR Data'!N:N,MATCH(1,(B2284='Raw Period DMR Data'!$A:$A)*(U2284='Raw Period DMR Data'!M:M)*(X2284='Raw Period DMR Data'!C:C),0),1), "N/A")</f>
        <v>N/A</v>
      </c>
      <c r="W2284" s="28" t="s">
        <v>1463</v>
      </c>
      <c r="X2284" s="28" t="s">
        <v>2269</v>
      </c>
      <c r="Y2284" s="28" t="s">
        <v>2270</v>
      </c>
      <c r="Z2284" s="61">
        <v>15010015000432</v>
      </c>
      <c r="AA2284" s="60" t="s">
        <v>7355</v>
      </c>
      <c r="AB2284" s="28" t="s">
        <v>7355</v>
      </c>
      <c r="AC2284" s="28" t="s">
        <v>1466</v>
      </c>
    </row>
    <row r="2285" spans="1:29" x14ac:dyDescent="0.25">
      <c r="A2285" s="61">
        <v>110020039402</v>
      </c>
      <c r="B2285" s="28">
        <v>2022</v>
      </c>
      <c r="C2285" s="68">
        <f t="shared" si="36"/>
        <v>44562</v>
      </c>
      <c r="D2285" s="28" t="s">
        <v>1375</v>
      </c>
      <c r="E2285" s="28" t="s">
        <v>2268</v>
      </c>
      <c r="F2285" s="28" t="s">
        <v>657</v>
      </c>
      <c r="G2285" s="28" t="s">
        <v>418</v>
      </c>
      <c r="H2285" s="28">
        <v>89109</v>
      </c>
      <c r="I2285" s="28">
        <v>36.137529999999998</v>
      </c>
      <c r="J2285" s="28">
        <v>-115.15479000000001</v>
      </c>
      <c r="L2285" s="61">
        <v>110020039402</v>
      </c>
      <c r="M2285" s="28" t="s">
        <v>265</v>
      </c>
      <c r="N2285" s="28">
        <v>7011</v>
      </c>
      <c r="O2285" s="28" t="str">
        <f>IFERROR(VLOOKUP(N2285, 'SIC &amp; NAICS Codes'!A:B, 2, FALSE), "")</f>
        <v>Hotels and Motels (hotels, except casino hotels, and motels)</v>
      </c>
      <c r="S2285" s="28">
        <v>6.7077769999999996E-9</v>
      </c>
      <c r="T2285" s="315">
        <f>_xlfn.MAXIFS('Raw Period DMR Data'!$O:$O,'Raw Period DMR Data'!$A:$A,'Raw Annual DMR Data_2021-2024'!#REF!,'Raw Period DMR Data'!$C:$C,X2285)/S2285</f>
        <v>0</v>
      </c>
      <c r="U2285" s="28" t="str">
        <f>+IF(COUNTIFS('Raw Period DMR Data'!$A:$A,B2285,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85" s="28" t="str" cm="1">
        <f t="array" ref="V2285">IFERROR(INDEX('Raw Period DMR Data'!N:N,MATCH(1,(B2285='Raw Period DMR Data'!$A:$A)*(U2285='Raw Period DMR Data'!M:M)*(X2285='Raw Period DMR Data'!C:C),0),1), "N/A")</f>
        <v>N/A</v>
      </c>
      <c r="W2285" s="28" t="s">
        <v>1463</v>
      </c>
      <c r="X2285" s="28" t="s">
        <v>2269</v>
      </c>
      <c r="Y2285" s="28" t="s">
        <v>2270</v>
      </c>
      <c r="Z2285" s="61">
        <v>15010015000432</v>
      </c>
      <c r="AB2285" s="28" t="s">
        <v>7355</v>
      </c>
      <c r="AC2285" s="28" t="s">
        <v>1466</v>
      </c>
    </row>
    <row r="2286" spans="1:29" x14ac:dyDescent="0.25">
      <c r="A2286" s="61">
        <v>110000329886</v>
      </c>
      <c r="B2286" s="28">
        <v>2023</v>
      </c>
      <c r="C2286" s="68">
        <f t="shared" si="36"/>
        <v>44927</v>
      </c>
      <c r="D2286" s="28" t="s">
        <v>6855</v>
      </c>
      <c r="E2286" s="28" t="s">
        <v>7014</v>
      </c>
      <c r="F2286" s="28" t="s">
        <v>7015</v>
      </c>
      <c r="G2286" s="28" t="s">
        <v>491</v>
      </c>
      <c r="H2286" s="28">
        <v>15317</v>
      </c>
      <c r="I2286" s="28">
        <v>40.269072000000001</v>
      </c>
      <c r="J2286" s="28">
        <v>-80.170649999999995</v>
      </c>
      <c r="L2286" s="61">
        <v>110000329886</v>
      </c>
      <c r="M2286" s="28" t="s">
        <v>265</v>
      </c>
      <c r="O2286" s="28" t="str">
        <f>IFERROR(VLOOKUP(N2286, 'SIC &amp; NAICS Codes'!A:B, 2, FALSE), "")</f>
        <v/>
      </c>
      <c r="S2286" s="28">
        <v>6.6519274325000004E-3</v>
      </c>
      <c r="T2286" s="315">
        <f>_xlfn.MAXIFS('Raw Period DMR Data'!$O:$O,'Raw Period DMR Data'!$A:$A,'Raw Annual DMR Data_2021-2024'!#REF!,'Raw Period DMR Data'!$C:$C,X2286)/S2286</f>
        <v>0</v>
      </c>
      <c r="U2286" s="28" t="str">
        <f>+IF(COUNTIFS('Raw Period DMR Data'!$A:$A,B2286,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86" s="28" t="str" cm="1">
        <f t="array" ref="V2286">IFERROR(INDEX('Raw Period DMR Data'!N:N,MATCH(1,(B2286='Raw Period DMR Data'!$A:$A)*(U2286='Raw Period DMR Data'!M:M)*(X2286='Raw Period DMR Data'!C:C),0),1), "N/A")</f>
        <v>N/A</v>
      </c>
      <c r="W2286" s="28" t="s">
        <v>1463</v>
      </c>
      <c r="X2286" s="28" t="s">
        <v>7186</v>
      </c>
      <c r="Y2286" s="28" t="s">
        <v>7293</v>
      </c>
      <c r="Z2286" s="61" t="s">
        <v>7348</v>
      </c>
      <c r="AB2286" s="28" t="s">
        <v>7355</v>
      </c>
      <c r="AC2286" s="28" t="s">
        <v>1466</v>
      </c>
    </row>
    <row r="2287" spans="1:29" x14ac:dyDescent="0.25">
      <c r="A2287" s="61">
        <v>110000329886</v>
      </c>
      <c r="B2287" s="28">
        <v>2022</v>
      </c>
      <c r="C2287" s="68">
        <f t="shared" si="36"/>
        <v>44562</v>
      </c>
      <c r="D2287" s="28" t="s">
        <v>6855</v>
      </c>
      <c r="E2287" s="28" t="s">
        <v>7014</v>
      </c>
      <c r="F2287" s="28" t="s">
        <v>7015</v>
      </c>
      <c r="G2287" s="28" t="s">
        <v>491</v>
      </c>
      <c r="H2287" s="28">
        <v>15317</v>
      </c>
      <c r="I2287" s="28">
        <v>40.269072000000001</v>
      </c>
      <c r="J2287" s="28">
        <v>-80.170649999999995</v>
      </c>
      <c r="L2287" s="61">
        <v>110000329886</v>
      </c>
      <c r="M2287" s="28" t="s">
        <v>265</v>
      </c>
      <c r="O2287" s="28" t="str">
        <f>IFERROR(VLOOKUP(N2287, 'SIC &amp; NAICS Codes'!A:B, 2, FALSE), "")</f>
        <v/>
      </c>
      <c r="S2287" s="28">
        <v>6.5808849696249996E-3</v>
      </c>
      <c r="T2287" s="315">
        <f>_xlfn.MAXIFS('Raw Period DMR Data'!$O:$O,'Raw Period DMR Data'!$A:$A,'Raw Annual DMR Data_2021-2024'!#REF!,'Raw Period DMR Data'!$C:$C,X2287)/S2287</f>
        <v>0</v>
      </c>
      <c r="U2287" s="28" t="str">
        <f>+IF(COUNTIFS('Raw Period DMR Data'!$A:$A,B2287,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87" s="28" t="str" cm="1">
        <f t="array" ref="V2287">IFERROR(INDEX('Raw Period DMR Data'!N:N,MATCH(1,(B2287='Raw Period DMR Data'!$A:$A)*(U2287='Raw Period DMR Data'!M:M)*(X2287='Raw Period DMR Data'!C:C),0),1), "N/A")</f>
        <v>N/A</v>
      </c>
      <c r="W2287" s="28" t="s">
        <v>1463</v>
      </c>
      <c r="X2287" s="28" t="s">
        <v>7186</v>
      </c>
      <c r="Y2287" s="28" t="s">
        <v>7293</v>
      </c>
      <c r="Z2287" s="61">
        <v>5030101000095</v>
      </c>
      <c r="AB2287" s="28" t="s">
        <v>7355</v>
      </c>
      <c r="AC2287" s="28" t="s">
        <v>1466</v>
      </c>
    </row>
    <row r="2288" spans="1:29" x14ac:dyDescent="0.25">
      <c r="A2288" s="61">
        <v>110070212009</v>
      </c>
      <c r="B2288" s="28">
        <v>2024</v>
      </c>
      <c r="C2288" s="68">
        <f t="shared" si="36"/>
        <v>45292</v>
      </c>
      <c r="D2288" s="28" t="s">
        <v>1378</v>
      </c>
      <c r="E2288" s="28" t="s">
        <v>2274</v>
      </c>
      <c r="F2288" s="28" t="s">
        <v>474</v>
      </c>
      <c r="G2288" s="28" t="s">
        <v>338</v>
      </c>
      <c r="H2288" s="28">
        <v>7470</v>
      </c>
      <c r="I2288" s="28">
        <v>40.936109999999999</v>
      </c>
      <c r="J2288" s="28">
        <v>-74.273809999999997</v>
      </c>
      <c r="L2288" s="61">
        <v>110070212009</v>
      </c>
      <c r="M2288" s="28" t="s">
        <v>265</v>
      </c>
      <c r="O2288" s="28" t="str">
        <f>IFERROR(VLOOKUP(N2288, 'SIC &amp; NAICS Codes'!A:B, 2, FALSE), "")</f>
        <v/>
      </c>
      <c r="S2288" s="28">
        <v>1.3795171332000001E-3</v>
      </c>
      <c r="T2288" s="315">
        <f>_xlfn.MAXIFS('Raw Period DMR Data'!$O:$O,'Raw Period DMR Data'!$A:$A,'Raw Annual DMR Data_2021-2024'!#REF!,'Raw Period DMR Data'!$C:$C,X2288)/S2288</f>
        <v>0</v>
      </c>
      <c r="U2288" s="28" t="str">
        <f>+IF(COUNTIFS('Raw Period DMR Data'!$A:$A,B2288,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88" s="28" t="str" cm="1">
        <f t="array" ref="V2288">IFERROR(INDEX('Raw Period DMR Data'!N:N,MATCH(1,(B2288='Raw Period DMR Data'!$A:$A)*(U2288='Raw Period DMR Data'!M:M)*(X2288='Raw Period DMR Data'!C:C),0),1), "N/A")</f>
        <v>N/A</v>
      </c>
      <c r="W2288" s="28" t="s">
        <v>1463</v>
      </c>
      <c r="X2288" s="28" t="s">
        <v>2275</v>
      </c>
      <c r="Y2288" s="28" t="s">
        <v>2276</v>
      </c>
      <c r="Z2288" s="61">
        <v>2030103000052</v>
      </c>
      <c r="AB2288" s="28" t="s">
        <v>7355</v>
      </c>
      <c r="AC2288" s="28" t="s">
        <v>1466</v>
      </c>
    </row>
    <row r="2289" spans="1:29" x14ac:dyDescent="0.25">
      <c r="A2289" s="61">
        <v>110070212009</v>
      </c>
      <c r="B2289" s="28">
        <v>2023</v>
      </c>
      <c r="C2289" s="68">
        <f t="shared" si="36"/>
        <v>44927</v>
      </c>
      <c r="D2289" s="28" t="s">
        <v>1378</v>
      </c>
      <c r="E2289" s="28" t="s">
        <v>2274</v>
      </c>
      <c r="F2289" s="28" t="s">
        <v>474</v>
      </c>
      <c r="G2289" s="28" t="s">
        <v>338</v>
      </c>
      <c r="H2289" s="28" t="s">
        <v>1778</v>
      </c>
      <c r="I2289" s="28">
        <v>40.936109999999999</v>
      </c>
      <c r="J2289" s="28">
        <v>-74.273809999999997</v>
      </c>
      <c r="L2289" s="61">
        <v>110070212009</v>
      </c>
      <c r="M2289" s="28" t="s">
        <v>265</v>
      </c>
      <c r="O2289" s="28" t="str">
        <f>IFERROR(VLOOKUP(N2289, 'SIC &amp; NAICS Codes'!A:B, 2, FALSE), "")</f>
        <v/>
      </c>
      <c r="S2289" s="28">
        <v>9.7059981339999997E-4</v>
      </c>
      <c r="T2289" s="315">
        <f>_xlfn.MAXIFS('Raw Period DMR Data'!$O:$O,'Raw Period DMR Data'!$A:$A,'Raw Annual DMR Data_2021-2024'!#REF!,'Raw Period DMR Data'!$C:$C,X2289)/S2289</f>
        <v>0</v>
      </c>
      <c r="U2289" s="28" t="str">
        <f>+IF(COUNTIFS('Raw Period DMR Data'!$A:$A,B2289,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89" s="28" t="str" cm="1">
        <f t="array" ref="V2289">IFERROR(INDEX('Raw Period DMR Data'!N:N,MATCH(1,(B2289='Raw Period DMR Data'!$A:$A)*(U2289='Raw Period DMR Data'!M:M)*(X2289='Raw Period DMR Data'!C:C),0),1), "N/A")</f>
        <v>N/A</v>
      </c>
      <c r="W2289" s="28" t="s">
        <v>1463</v>
      </c>
      <c r="X2289" s="28" t="s">
        <v>2275</v>
      </c>
      <c r="Y2289" s="28" t="s">
        <v>2276</v>
      </c>
      <c r="Z2289" s="61" t="s">
        <v>2277</v>
      </c>
      <c r="AB2289" s="28" t="s">
        <v>7355</v>
      </c>
      <c r="AC2289" s="28" t="s">
        <v>1466</v>
      </c>
    </row>
    <row r="2290" spans="1:29" x14ac:dyDescent="0.25">
      <c r="A2290" s="61">
        <v>110070212009</v>
      </c>
      <c r="B2290" s="28">
        <v>2021</v>
      </c>
      <c r="C2290" s="68">
        <f t="shared" si="36"/>
        <v>44197</v>
      </c>
      <c r="D2290" s="28" t="s">
        <v>1378</v>
      </c>
      <c r="E2290" s="28" t="s">
        <v>2274</v>
      </c>
      <c r="F2290" s="28" t="s">
        <v>474</v>
      </c>
      <c r="G2290" s="28" t="s">
        <v>338</v>
      </c>
      <c r="H2290" s="28">
        <v>7470</v>
      </c>
      <c r="I2290" s="28">
        <v>40.936109999999999</v>
      </c>
      <c r="J2290" s="28">
        <v>-74.273809999999997</v>
      </c>
      <c r="L2290" s="61">
        <v>110070212009</v>
      </c>
      <c r="M2290" s="28" t="s">
        <v>265</v>
      </c>
      <c r="O2290" s="28" t="str">
        <f>IFERROR(VLOOKUP(N2290, 'SIC &amp; NAICS Codes'!A:B, 2, FALSE), "")</f>
        <v/>
      </c>
      <c r="S2290" s="28">
        <v>7.9502499947500002E-4</v>
      </c>
      <c r="T2290" s="315">
        <f>_xlfn.MAXIFS('Raw Period DMR Data'!$O:$O,'Raw Period DMR Data'!$A:$A,'Raw Annual DMR Data_2021-2024'!#REF!,'Raw Period DMR Data'!$C:$C,X2290)/S2290</f>
        <v>0</v>
      </c>
      <c r="U2290" s="28" t="str">
        <f>+IF(COUNTIFS('Raw Period DMR Data'!$A:$A,B2290,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90" s="28" t="str" cm="1">
        <f t="array" ref="V2290">IFERROR(INDEX('Raw Period DMR Data'!N:N,MATCH(1,(B2290='Raw Period DMR Data'!$A:$A)*(U2290='Raw Period DMR Data'!M:M)*(X2290='Raw Period DMR Data'!C:C),0),1), "N/A")</f>
        <v>N/A</v>
      </c>
      <c r="W2290" s="28" t="s">
        <v>1463</v>
      </c>
      <c r="X2290" s="28" t="s">
        <v>2275</v>
      </c>
      <c r="Y2290" s="28" t="s">
        <v>2276</v>
      </c>
      <c r="Z2290" s="61">
        <v>2030103000052</v>
      </c>
      <c r="AA2290" s="28"/>
      <c r="AB2290" s="28" t="s">
        <v>7355</v>
      </c>
      <c r="AC2290" s="28" t="s">
        <v>1466</v>
      </c>
    </row>
    <row r="2291" spans="1:29" x14ac:dyDescent="0.25">
      <c r="A2291" s="61">
        <v>110070212009</v>
      </c>
      <c r="B2291" s="28">
        <v>2022</v>
      </c>
      <c r="C2291" s="68">
        <f t="shared" si="36"/>
        <v>44562</v>
      </c>
      <c r="D2291" s="28" t="s">
        <v>1378</v>
      </c>
      <c r="E2291" s="28" t="s">
        <v>2274</v>
      </c>
      <c r="F2291" s="28" t="s">
        <v>474</v>
      </c>
      <c r="G2291" s="28" t="s">
        <v>338</v>
      </c>
      <c r="H2291" s="28">
        <v>7470</v>
      </c>
      <c r="I2291" s="28">
        <v>40.936109999999999</v>
      </c>
      <c r="J2291" s="28">
        <v>-74.273809999999997</v>
      </c>
      <c r="L2291" s="61">
        <v>110070212009</v>
      </c>
      <c r="M2291" s="28" t="s">
        <v>265</v>
      </c>
      <c r="O2291" s="28" t="str">
        <f>IFERROR(VLOOKUP(N2291, 'SIC &amp; NAICS Codes'!A:B, 2, FALSE), "")</f>
        <v/>
      </c>
      <c r="S2291" s="28">
        <v>7.2175926544999997E-4</v>
      </c>
      <c r="T2291" s="315">
        <f>_xlfn.MAXIFS('Raw Period DMR Data'!$O:$O,'Raw Period DMR Data'!$A:$A,'Raw Annual DMR Data_2021-2024'!#REF!,'Raw Period DMR Data'!$C:$C,X2291)/S2291</f>
        <v>0</v>
      </c>
      <c r="U2291" s="28" t="str">
        <f>+IF(COUNTIFS('Raw Period DMR Data'!$A:$A,B2291,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91" s="28" t="str" cm="1">
        <f t="array" ref="V2291">IFERROR(INDEX('Raw Period DMR Data'!N:N,MATCH(1,(B2291='Raw Period DMR Data'!$A:$A)*(U2291='Raw Period DMR Data'!M:M)*(X2291='Raw Period DMR Data'!C:C),0),1), "N/A")</f>
        <v>N/A</v>
      </c>
      <c r="W2291" s="28" t="s">
        <v>1463</v>
      </c>
      <c r="X2291" s="28" t="s">
        <v>2275</v>
      </c>
      <c r="Y2291" s="28" t="s">
        <v>2276</v>
      </c>
      <c r="Z2291" s="61">
        <v>2030103000052</v>
      </c>
      <c r="AB2291" s="28" t="s">
        <v>7355</v>
      </c>
      <c r="AC2291" s="28" t="s">
        <v>1466</v>
      </c>
    </row>
    <row r="2292" spans="1:29" x14ac:dyDescent="0.25">
      <c r="A2292" s="61">
        <v>110024409344</v>
      </c>
      <c r="B2292" s="28">
        <v>2022</v>
      </c>
      <c r="C2292" s="68">
        <f t="shared" si="36"/>
        <v>44562</v>
      </c>
      <c r="D2292" s="28" t="s">
        <v>1384</v>
      </c>
      <c r="E2292" s="28" t="s">
        <v>2285</v>
      </c>
      <c r="F2292" s="28" t="s">
        <v>1385</v>
      </c>
      <c r="G2292" s="28" t="s">
        <v>374</v>
      </c>
      <c r="H2292" s="28">
        <v>86045</v>
      </c>
      <c r="I2292" s="28">
        <v>36.091380999999998</v>
      </c>
      <c r="J2292" s="28">
        <v>-111.289585</v>
      </c>
      <c r="L2292" s="61">
        <v>110024409344</v>
      </c>
      <c r="M2292" s="28" t="s">
        <v>263</v>
      </c>
      <c r="N2292" s="28">
        <v>4952</v>
      </c>
      <c r="O2292" s="28" t="str">
        <f>IFERROR(VLOOKUP(N2292, 'SIC &amp; NAICS Codes'!A:B, 2, FALSE), "")</f>
        <v>Sewerage Systems</v>
      </c>
      <c r="S2292" s="28">
        <v>1.9834611200000001</v>
      </c>
      <c r="T2292" s="315">
        <f>_xlfn.MAXIFS('Raw Period DMR Data'!$O:$O,'Raw Period DMR Data'!$A:$A,'Raw Annual DMR Data_2021-2024'!#REF!,'Raw Period DMR Data'!$C:$C,X2292)/S2292</f>
        <v>0</v>
      </c>
      <c r="U2292" s="28" t="str">
        <f>+IF(COUNTIFS('Raw Period DMR Data'!$A:$A,B2292,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92" s="28" t="str" cm="1">
        <f t="array" ref="V2292">IFERROR(INDEX('Raw Period DMR Data'!N:N,MATCH(1,(B2292='Raw Period DMR Data'!$A:$A)*(U2292='Raw Period DMR Data'!M:M)*(X2292='Raw Period DMR Data'!C:C),0),1), "N/A")</f>
        <v>N/A</v>
      </c>
      <c r="W2292" s="28" t="s">
        <v>1463</v>
      </c>
      <c r="X2292" s="28" t="s">
        <v>2286</v>
      </c>
      <c r="Y2292" s="28" t="s">
        <v>2287</v>
      </c>
      <c r="Z2292" s="61">
        <v>14080204013964</v>
      </c>
      <c r="AC2292" s="28" t="s">
        <v>263</v>
      </c>
    </row>
    <row r="2293" spans="1:29" x14ac:dyDescent="0.25">
      <c r="A2293" s="61">
        <v>110024409344</v>
      </c>
      <c r="B2293" s="28">
        <v>2024</v>
      </c>
      <c r="C2293" s="68">
        <f t="shared" si="36"/>
        <v>45292</v>
      </c>
      <c r="D2293" s="28" t="s">
        <v>1384</v>
      </c>
      <c r="E2293" s="28" t="s">
        <v>2285</v>
      </c>
      <c r="F2293" s="28" t="s">
        <v>1385</v>
      </c>
      <c r="G2293" s="28" t="s">
        <v>374</v>
      </c>
      <c r="H2293" s="28">
        <v>86045</v>
      </c>
      <c r="I2293" s="28">
        <v>36.091380999999998</v>
      </c>
      <c r="J2293" s="28">
        <v>-111.289585</v>
      </c>
      <c r="L2293" s="61">
        <v>110024409344</v>
      </c>
      <c r="M2293" s="28" t="s">
        <v>263</v>
      </c>
      <c r="N2293" s="28">
        <v>4952</v>
      </c>
      <c r="O2293" s="28" t="str">
        <f>IFERROR(VLOOKUP(N2293, 'SIC &amp; NAICS Codes'!A:B, 2, FALSE), "")</f>
        <v>Sewerage Systems</v>
      </c>
      <c r="S2293" s="28">
        <v>1.8037795999999999</v>
      </c>
      <c r="T2293" s="315">
        <f>_xlfn.MAXIFS('Raw Period DMR Data'!$O:$O,'Raw Period DMR Data'!$A:$A,'Raw Annual DMR Data_2021-2024'!#REF!,'Raw Period DMR Data'!$C:$C,X2293)/S2293</f>
        <v>0</v>
      </c>
      <c r="U2293" s="28" t="str">
        <f>+IF(COUNTIFS('Raw Period DMR Data'!$A:$A,B2293,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93" s="28" t="str" cm="1">
        <f t="array" ref="V2293">IFERROR(INDEX('Raw Period DMR Data'!N:N,MATCH(1,(B2293='Raw Period DMR Data'!$A:$A)*(U2293='Raw Period DMR Data'!M:M)*(X2293='Raw Period DMR Data'!C:C),0),1), "N/A")</f>
        <v>N/A</v>
      </c>
      <c r="W2293" s="28" t="s">
        <v>1463</v>
      </c>
      <c r="X2293" s="28" t="s">
        <v>2286</v>
      </c>
      <c r="Y2293" s="28" t="s">
        <v>2287</v>
      </c>
      <c r="Z2293" s="61">
        <v>14080204013964</v>
      </c>
      <c r="AB2293" s="28" t="s">
        <v>7355</v>
      </c>
      <c r="AC2293" s="28" t="s">
        <v>263</v>
      </c>
    </row>
    <row r="2294" spans="1:29" x14ac:dyDescent="0.25">
      <c r="A2294" s="61">
        <v>110024409344</v>
      </c>
      <c r="B2294" s="28">
        <v>2023</v>
      </c>
      <c r="C2294" s="68">
        <f t="shared" si="36"/>
        <v>44927</v>
      </c>
      <c r="D2294" s="28" t="s">
        <v>1384</v>
      </c>
      <c r="E2294" s="28" t="s">
        <v>2285</v>
      </c>
      <c r="F2294" s="28" t="s">
        <v>1385</v>
      </c>
      <c r="G2294" s="28" t="s">
        <v>374</v>
      </c>
      <c r="H2294" s="28">
        <v>86045</v>
      </c>
      <c r="I2294" s="28">
        <v>36.091380999999998</v>
      </c>
      <c r="J2294" s="28">
        <v>-111.289585</v>
      </c>
      <c r="L2294" s="61">
        <v>110024409344</v>
      </c>
      <c r="M2294" s="28" t="s">
        <v>263</v>
      </c>
      <c r="N2294" s="28">
        <v>4952</v>
      </c>
      <c r="O2294" s="28" t="str">
        <f>IFERROR(VLOOKUP(N2294, 'SIC &amp; NAICS Codes'!A:B, 2, FALSE), "")</f>
        <v>Sewerage Systems</v>
      </c>
      <c r="S2294" s="28">
        <v>1.2317904</v>
      </c>
      <c r="T2294" s="315">
        <f>_xlfn.MAXIFS('Raw Period DMR Data'!$O:$O,'Raw Period DMR Data'!$A:$A,'Raw Annual DMR Data_2021-2024'!#REF!,'Raw Period DMR Data'!$C:$C,X2294)/S2294</f>
        <v>0</v>
      </c>
      <c r="U2294" s="28" t="str">
        <f>+IF(COUNTIFS('Raw Period DMR Data'!$A:$A,B2294,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94" s="28" t="str" cm="1">
        <f t="array" ref="V2294">IFERROR(INDEX('Raw Period DMR Data'!N:N,MATCH(1,(B2294='Raw Period DMR Data'!$A:$A)*(U2294='Raw Period DMR Data'!M:M)*(X2294='Raw Period DMR Data'!C:C),0),1), "N/A")</f>
        <v>N/A</v>
      </c>
      <c r="W2294" s="28" t="s">
        <v>1463</v>
      </c>
      <c r="X2294" s="28" t="s">
        <v>2286</v>
      </c>
      <c r="Y2294" s="28" t="s">
        <v>2287</v>
      </c>
      <c r="Z2294" s="61">
        <v>14080204013964</v>
      </c>
      <c r="AB2294" s="28" t="s">
        <v>7355</v>
      </c>
      <c r="AC2294" s="28" t="s">
        <v>263</v>
      </c>
    </row>
    <row r="2295" spans="1:29" x14ac:dyDescent="0.25">
      <c r="A2295" s="61">
        <v>110070684897</v>
      </c>
      <c r="B2295" s="28">
        <v>2021</v>
      </c>
      <c r="C2295" s="68">
        <f t="shared" si="36"/>
        <v>44197</v>
      </c>
      <c r="D2295" s="28" t="s">
        <v>1387</v>
      </c>
      <c r="E2295" s="28" t="s">
        <v>2291</v>
      </c>
      <c r="F2295" s="28" t="s">
        <v>1388</v>
      </c>
      <c r="G2295" s="28" t="s">
        <v>294</v>
      </c>
      <c r="H2295" s="28">
        <v>221822454</v>
      </c>
      <c r="I2295" s="28">
        <v>38.920251999999998</v>
      </c>
      <c r="J2295" s="28">
        <v>-77.231944999999996</v>
      </c>
      <c r="L2295" s="61">
        <v>110070684897</v>
      </c>
      <c r="M2295" s="28" t="s">
        <v>265</v>
      </c>
      <c r="N2295" s="28">
        <v>1794</v>
      </c>
      <c r="O2295" s="28" t="str">
        <f>IFERROR(VLOOKUP(N2295, 'SIC &amp; NAICS Codes'!A:B, 2, FALSE), "")</f>
        <v>Excavation Work</v>
      </c>
      <c r="S2295" s="28">
        <v>6.9788700550000001E-3</v>
      </c>
      <c r="T2295" s="315">
        <f>_xlfn.MAXIFS('Raw Period DMR Data'!$O:$O,'Raw Period DMR Data'!$A:$A,'Raw Annual DMR Data_2021-2024'!#REF!,'Raw Period DMR Data'!$C:$C,X2295)/S2295</f>
        <v>0</v>
      </c>
      <c r="U2295" s="28" t="str">
        <f>+IF(COUNTIFS('Raw Period DMR Data'!$A:$A,B2295,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95" s="28" t="str" cm="1">
        <f t="array" ref="V2295">IFERROR(INDEX('Raw Period DMR Data'!N:N,MATCH(1,(B2295='Raw Period DMR Data'!$A:$A)*(U2295='Raw Period DMR Data'!M:M)*(X2295='Raw Period DMR Data'!C:C),0),1), "N/A")</f>
        <v>N/A</v>
      </c>
      <c r="W2295" s="28" t="s">
        <v>1463</v>
      </c>
      <c r="X2295" s="28" t="s">
        <v>2292</v>
      </c>
      <c r="Y2295" s="28" t="s">
        <v>2293</v>
      </c>
      <c r="Z2295" s="61"/>
      <c r="AA2295" s="28"/>
      <c r="AB2295" s="28" t="s">
        <v>7355</v>
      </c>
      <c r="AC2295" s="28" t="s">
        <v>1466</v>
      </c>
    </row>
    <row r="2296" spans="1:29" x14ac:dyDescent="0.25">
      <c r="A2296" s="61">
        <v>110070684897</v>
      </c>
      <c r="B2296" s="28">
        <v>2022</v>
      </c>
      <c r="C2296" s="68">
        <f t="shared" si="36"/>
        <v>44562</v>
      </c>
      <c r="D2296" s="28" t="s">
        <v>1387</v>
      </c>
      <c r="E2296" s="28" t="s">
        <v>2291</v>
      </c>
      <c r="F2296" s="28" t="s">
        <v>1388</v>
      </c>
      <c r="G2296" s="28" t="s">
        <v>294</v>
      </c>
      <c r="H2296" s="28">
        <v>221822454</v>
      </c>
      <c r="I2296" s="28">
        <v>38.920251999999998</v>
      </c>
      <c r="J2296" s="28">
        <v>-77.231944999999996</v>
      </c>
      <c r="L2296" s="61">
        <v>110070684897</v>
      </c>
      <c r="M2296" s="28" t="s">
        <v>265</v>
      </c>
      <c r="N2296" s="28">
        <v>1794</v>
      </c>
      <c r="O2296" s="28" t="str">
        <f>IFERROR(VLOOKUP(N2296, 'SIC &amp; NAICS Codes'!A:B, 2, FALSE), "")</f>
        <v>Excavation Work</v>
      </c>
      <c r="S2296" s="28">
        <v>5.1380845099999999E-3</v>
      </c>
      <c r="T2296" s="315">
        <f>_xlfn.MAXIFS('Raw Period DMR Data'!$O:$O,'Raw Period DMR Data'!$A:$A,'Raw Annual DMR Data_2021-2024'!#REF!,'Raw Period DMR Data'!$C:$C,X2296)/S2296</f>
        <v>0</v>
      </c>
      <c r="U2296" s="28" t="str">
        <f>+IF(COUNTIFS('Raw Period DMR Data'!$A:$A,B2296,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96" s="28" t="str" cm="1">
        <f t="array" ref="V2296">IFERROR(INDEX('Raw Period DMR Data'!N:N,MATCH(1,(B2296='Raw Period DMR Data'!$A:$A)*(U2296='Raw Period DMR Data'!M:M)*(X2296='Raw Period DMR Data'!C:C),0),1), "N/A")</f>
        <v>N/A</v>
      </c>
      <c r="W2296" s="28" t="s">
        <v>1463</v>
      </c>
      <c r="X2296" s="28" t="s">
        <v>2292</v>
      </c>
      <c r="Y2296" s="28" t="s">
        <v>2293</v>
      </c>
      <c r="Z2296" s="61"/>
      <c r="AB2296" s="28" t="s">
        <v>7355</v>
      </c>
      <c r="AC2296" s="28" t="s">
        <v>1466</v>
      </c>
    </row>
    <row r="2297" spans="1:29" x14ac:dyDescent="0.25">
      <c r="A2297" s="61">
        <v>110070684897</v>
      </c>
      <c r="B2297" s="28">
        <v>2023</v>
      </c>
      <c r="C2297" s="68">
        <f t="shared" si="36"/>
        <v>44927</v>
      </c>
      <c r="D2297" s="28" t="s">
        <v>1387</v>
      </c>
      <c r="E2297" s="28" t="s">
        <v>2291</v>
      </c>
      <c r="F2297" s="28" t="s">
        <v>1388</v>
      </c>
      <c r="G2297" s="28" t="s">
        <v>294</v>
      </c>
      <c r="H2297" s="28">
        <v>221822454</v>
      </c>
      <c r="I2297" s="28">
        <v>38.920251999999998</v>
      </c>
      <c r="J2297" s="28">
        <v>-77.231944999999996</v>
      </c>
      <c r="L2297" s="61">
        <v>110070684897</v>
      </c>
      <c r="M2297" s="28" t="s">
        <v>265</v>
      </c>
      <c r="N2297" s="28">
        <v>1794</v>
      </c>
      <c r="O2297" s="28" t="str">
        <f>IFERROR(VLOOKUP(N2297, 'SIC &amp; NAICS Codes'!A:B, 2, FALSE), "")</f>
        <v>Excavation Work</v>
      </c>
      <c r="S2297" s="28">
        <v>4.3259948672727203E-3</v>
      </c>
      <c r="T2297" s="315">
        <f>_xlfn.MAXIFS('Raw Period DMR Data'!$O:$O,'Raw Period DMR Data'!$A:$A,'Raw Annual DMR Data_2021-2024'!#REF!,'Raw Period DMR Data'!$C:$C,X2297)/S2297</f>
        <v>0</v>
      </c>
      <c r="U2297" s="28" t="str">
        <f>+IF(COUNTIFS('Raw Period DMR Data'!$A:$A,B2297,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97" s="28" t="str" cm="1">
        <f t="array" ref="V2297">IFERROR(INDEX('Raw Period DMR Data'!N:N,MATCH(1,(B2297='Raw Period DMR Data'!$A:$A)*(U2297='Raw Period DMR Data'!M:M)*(X2297='Raw Period DMR Data'!C:C),0),1), "N/A")</f>
        <v>N/A</v>
      </c>
      <c r="W2297" s="28" t="s">
        <v>1463</v>
      </c>
      <c r="X2297" s="28" t="s">
        <v>2292</v>
      </c>
      <c r="Y2297" s="28" t="s">
        <v>2293</v>
      </c>
      <c r="Z2297" s="61"/>
      <c r="AB2297" s="28" t="s">
        <v>7355</v>
      </c>
      <c r="AC2297" s="28" t="s">
        <v>1466</v>
      </c>
    </row>
    <row r="2298" spans="1:29" x14ac:dyDescent="0.25">
      <c r="A2298" s="61">
        <v>110070684897</v>
      </c>
      <c r="B2298" s="28">
        <v>2024</v>
      </c>
      <c r="C2298" s="68">
        <f t="shared" si="36"/>
        <v>45292</v>
      </c>
      <c r="D2298" s="28" t="s">
        <v>1387</v>
      </c>
      <c r="E2298" s="28" t="s">
        <v>2291</v>
      </c>
      <c r="F2298" s="28" t="s">
        <v>1388</v>
      </c>
      <c r="G2298" s="28" t="s">
        <v>294</v>
      </c>
      <c r="H2298" s="28">
        <v>221822454</v>
      </c>
      <c r="I2298" s="28">
        <v>38.920251999999998</v>
      </c>
      <c r="J2298" s="28">
        <v>-77.231944999999996</v>
      </c>
      <c r="L2298" s="61">
        <v>110070684897</v>
      </c>
      <c r="M2298" s="28" t="s">
        <v>265</v>
      </c>
      <c r="N2298" s="28">
        <v>1794</v>
      </c>
      <c r="O2298" s="28" t="str">
        <f>IFERROR(VLOOKUP(N2298, 'SIC &amp; NAICS Codes'!A:B, 2, FALSE), "")</f>
        <v>Excavation Work</v>
      </c>
      <c r="S2298" s="28">
        <v>3.1815688049999999E-3</v>
      </c>
      <c r="T2298" s="315">
        <f>_xlfn.MAXIFS('Raw Period DMR Data'!$O:$O,'Raw Period DMR Data'!$A:$A,'Raw Annual DMR Data_2021-2024'!#REF!,'Raw Period DMR Data'!$C:$C,X2298)/S2298</f>
        <v>0</v>
      </c>
      <c r="U2298" s="28" t="str">
        <f>+IF(COUNTIFS('Raw Period DMR Data'!$A:$A,B2298,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98" s="28" t="str" cm="1">
        <f t="array" ref="V2298">IFERROR(INDEX('Raw Period DMR Data'!N:N,MATCH(1,(B2298='Raw Period DMR Data'!$A:$A)*(U2298='Raw Period DMR Data'!M:M)*(X2298='Raw Period DMR Data'!C:C),0),1), "N/A")</f>
        <v>N/A</v>
      </c>
      <c r="W2298" s="28" t="s">
        <v>1463</v>
      </c>
      <c r="X2298" s="28" t="s">
        <v>2292</v>
      </c>
      <c r="Y2298" s="28" t="s">
        <v>2293</v>
      </c>
      <c r="Z2298" s="61"/>
      <c r="AB2298" s="28" t="s">
        <v>7355</v>
      </c>
      <c r="AC2298" s="28" t="s">
        <v>1466</v>
      </c>
    </row>
    <row r="2299" spans="1:29" x14ac:dyDescent="0.25">
      <c r="A2299" s="61">
        <v>110000329886</v>
      </c>
      <c r="B2299" s="28">
        <v>2021</v>
      </c>
      <c r="C2299" s="68">
        <f t="shared" si="36"/>
        <v>44197</v>
      </c>
      <c r="D2299" s="28" t="s">
        <v>6855</v>
      </c>
      <c r="E2299" s="28" t="s">
        <v>7014</v>
      </c>
      <c r="F2299" s="28" t="s">
        <v>7015</v>
      </c>
      <c r="G2299" s="28" t="s">
        <v>491</v>
      </c>
      <c r="H2299" s="28">
        <v>15317</v>
      </c>
      <c r="I2299" s="28">
        <v>40.269072000000001</v>
      </c>
      <c r="J2299" s="28">
        <v>-80.170649999999995</v>
      </c>
      <c r="L2299" s="61">
        <v>110000329886</v>
      </c>
      <c r="M2299" s="28" t="s">
        <v>265</v>
      </c>
      <c r="O2299" s="28" t="str">
        <f>IFERROR(VLOOKUP(N2299, 'SIC &amp; NAICS Codes'!A:B, 2, FALSE), "")</f>
        <v/>
      </c>
      <c r="S2299" s="28">
        <v>5.9680311590624997E-3</v>
      </c>
      <c r="T2299" s="315">
        <f>_xlfn.MAXIFS('Raw Period DMR Data'!$O:$O,'Raw Period DMR Data'!$A:$A,'Raw Annual DMR Data_2021-2024'!#REF!,'Raw Period DMR Data'!$C:$C,X2299)/S2299</f>
        <v>0</v>
      </c>
      <c r="U2299" s="28" t="str">
        <f>+IF(COUNTIFS('Raw Period DMR Data'!$A:$A,B2299,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99" s="28" t="str" cm="1">
        <f t="array" ref="V2299">IFERROR(INDEX('Raw Period DMR Data'!N:N,MATCH(1,(B2299='Raw Period DMR Data'!$A:$A)*(U2299='Raw Period DMR Data'!M:M)*(X2299='Raw Period DMR Data'!C:C),0),1), "N/A")</f>
        <v>N/A</v>
      </c>
      <c r="W2299" s="28" t="s">
        <v>1463</v>
      </c>
      <c r="X2299" s="28" t="s">
        <v>7186</v>
      </c>
      <c r="Y2299" s="28" t="s">
        <v>7293</v>
      </c>
      <c r="Z2299" s="61">
        <v>5030101000095</v>
      </c>
      <c r="AA2299" s="28"/>
      <c r="AB2299" s="28" t="s">
        <v>7355</v>
      </c>
      <c r="AC2299" s="28" t="s">
        <v>1466</v>
      </c>
    </row>
    <row r="2300" spans="1:29" x14ac:dyDescent="0.25">
      <c r="A2300" s="61">
        <v>110000487447</v>
      </c>
      <c r="B2300" s="28">
        <v>2024</v>
      </c>
      <c r="C2300" s="68">
        <f t="shared" si="36"/>
        <v>45292</v>
      </c>
      <c r="D2300" s="28" t="s">
        <v>6880</v>
      </c>
      <c r="E2300" s="28" t="s">
        <v>2297</v>
      </c>
      <c r="F2300" s="28" t="s">
        <v>1007</v>
      </c>
      <c r="G2300" s="28" t="s">
        <v>1008</v>
      </c>
      <c r="H2300" s="28">
        <v>972101412</v>
      </c>
      <c r="I2300" s="28">
        <v>45.548641000000003</v>
      </c>
      <c r="J2300" s="28">
        <v>-122.72292299999999</v>
      </c>
      <c r="K2300" s="28" t="s">
        <v>737</v>
      </c>
      <c r="L2300" s="61">
        <v>110000487447</v>
      </c>
      <c r="M2300" s="28" t="s">
        <v>252</v>
      </c>
      <c r="N2300" s="28">
        <v>5169</v>
      </c>
      <c r="O2300" s="28" t="str">
        <f>IFERROR(VLOOKUP(N2300, 'SIC &amp; NAICS Codes'!A:B, 2, FALSE), "")</f>
        <v>Chemicals and Allied Products, NEC (merchant wholesalers)</v>
      </c>
      <c r="S2300" s="28">
        <v>2.6408196324E-3</v>
      </c>
      <c r="T2300" s="315">
        <f>_xlfn.MAXIFS('Raw Period DMR Data'!$O:$O,'Raw Period DMR Data'!$A:$A,'Raw Annual DMR Data_2021-2024'!#REF!,'Raw Period DMR Data'!$C:$C,X2300)/S2300</f>
        <v>0</v>
      </c>
      <c r="U2300" s="28" t="str">
        <f>+IF(COUNTIFS('Raw Period DMR Data'!$A:$A,B2300,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00" s="28" t="str" cm="1">
        <f t="array" ref="V2300">IFERROR(INDEX('Raw Period DMR Data'!N:N,MATCH(1,(B2300='Raw Period DMR Data'!$A:$A)*(U2300='Raw Period DMR Data'!M:M)*(X2300='Raw Period DMR Data'!C:C),0),1), "N/A")</f>
        <v>N/A</v>
      </c>
      <c r="W2300" s="28" t="s">
        <v>1463</v>
      </c>
      <c r="X2300" s="28" t="s">
        <v>2298</v>
      </c>
      <c r="Y2300" s="28" t="s">
        <v>2299</v>
      </c>
      <c r="Z2300" s="61">
        <v>17090012000085</v>
      </c>
      <c r="AB2300" s="28" t="s">
        <v>7355</v>
      </c>
      <c r="AC2300" s="28" t="s">
        <v>1466</v>
      </c>
    </row>
    <row r="2301" spans="1:29" x14ac:dyDescent="0.25">
      <c r="A2301" s="61">
        <v>110000487447</v>
      </c>
      <c r="B2301" s="28">
        <v>2021</v>
      </c>
      <c r="C2301" s="68">
        <f t="shared" si="36"/>
        <v>44197</v>
      </c>
      <c r="D2301" s="28" t="s">
        <v>6880</v>
      </c>
      <c r="E2301" s="28" t="s">
        <v>2297</v>
      </c>
      <c r="F2301" s="28" t="s">
        <v>1007</v>
      </c>
      <c r="G2301" s="28" t="s">
        <v>1008</v>
      </c>
      <c r="H2301" s="28">
        <v>972101412</v>
      </c>
      <c r="I2301" s="28">
        <v>45.548641000000003</v>
      </c>
      <c r="J2301" s="28">
        <v>-122.72292299999999</v>
      </c>
      <c r="K2301" s="28" t="s">
        <v>737</v>
      </c>
      <c r="L2301" s="61">
        <v>110000487447</v>
      </c>
      <c r="M2301" s="28" t="s">
        <v>252</v>
      </c>
      <c r="N2301" s="28">
        <v>5169</v>
      </c>
      <c r="O2301" s="28" t="str">
        <f>IFERROR(VLOOKUP(N2301, 'SIC &amp; NAICS Codes'!A:B, 2, FALSE), "")</f>
        <v>Chemicals and Allied Products, NEC (merchant wholesalers)</v>
      </c>
      <c r="S2301" s="28">
        <v>2.5549731072000001E-3</v>
      </c>
      <c r="T2301" s="315">
        <f>_xlfn.MAXIFS('Raw Period DMR Data'!$O:$O,'Raw Period DMR Data'!$A:$A,'Raw Annual DMR Data_2021-2024'!#REF!,'Raw Period DMR Data'!$C:$C,X2301)/S2301</f>
        <v>0</v>
      </c>
      <c r="U2301" s="28" t="str">
        <f>+IF(COUNTIFS('Raw Period DMR Data'!$A:$A,B2301,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01" s="28" t="str" cm="1">
        <f t="array" ref="V2301">IFERROR(INDEX('Raw Period DMR Data'!N:N,MATCH(1,(B2301='Raw Period DMR Data'!$A:$A)*(U2301='Raw Period DMR Data'!M:M)*(X2301='Raw Period DMR Data'!C:C),0),1), "N/A")</f>
        <v>N/A</v>
      </c>
      <c r="W2301" s="28" t="s">
        <v>1463</v>
      </c>
      <c r="X2301" s="28" t="s">
        <v>2298</v>
      </c>
      <c r="Y2301" s="28" t="s">
        <v>2299</v>
      </c>
      <c r="Z2301" s="61">
        <v>17090012000085</v>
      </c>
      <c r="AB2301" s="28" t="s">
        <v>7355</v>
      </c>
      <c r="AC2301" s="28" t="s">
        <v>1466</v>
      </c>
    </row>
    <row r="2302" spans="1:29" x14ac:dyDescent="0.25">
      <c r="A2302" s="61">
        <v>110000487447</v>
      </c>
      <c r="B2302" s="28">
        <v>2022</v>
      </c>
      <c r="C2302" s="68">
        <f t="shared" si="36"/>
        <v>44562</v>
      </c>
      <c r="D2302" s="28" t="s">
        <v>6880</v>
      </c>
      <c r="E2302" s="28" t="s">
        <v>2297</v>
      </c>
      <c r="F2302" s="28" t="s">
        <v>1007</v>
      </c>
      <c r="G2302" s="28" t="s">
        <v>1008</v>
      </c>
      <c r="H2302" s="28">
        <v>972101412</v>
      </c>
      <c r="I2302" s="28">
        <v>45.548641000000003</v>
      </c>
      <c r="J2302" s="28">
        <v>-122.72292299999999</v>
      </c>
      <c r="K2302" s="28" t="s">
        <v>737</v>
      </c>
      <c r="L2302" s="61">
        <v>110000487447</v>
      </c>
      <c r="M2302" s="28" t="s">
        <v>252</v>
      </c>
      <c r="N2302" s="28">
        <v>5169</v>
      </c>
      <c r="O2302" s="28" t="str">
        <f>IFERROR(VLOOKUP(N2302, 'SIC &amp; NAICS Codes'!A:B, 2, FALSE), "")</f>
        <v>Chemicals and Allied Products, NEC (merchant wholesalers)</v>
      </c>
      <c r="S2302" s="28">
        <v>2.1525809759999999E-3</v>
      </c>
      <c r="T2302" s="315">
        <f>_xlfn.MAXIFS('Raw Period DMR Data'!$O:$O,'Raw Period DMR Data'!$A:$A,'Raw Annual DMR Data_2021-2024'!#REF!,'Raw Period DMR Data'!$C:$C,X2302)/S2302</f>
        <v>0</v>
      </c>
      <c r="U2302" s="28" t="str">
        <f>+IF(COUNTIFS('Raw Period DMR Data'!$A:$A,B2302,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02" s="28" t="str" cm="1">
        <f t="array" ref="V2302">IFERROR(INDEX('Raw Period DMR Data'!N:N,MATCH(1,(B2302='Raw Period DMR Data'!$A:$A)*(U2302='Raw Period DMR Data'!M:M)*(X2302='Raw Period DMR Data'!C:C),0),1), "N/A")</f>
        <v>N/A</v>
      </c>
      <c r="W2302" s="28" t="s">
        <v>1463</v>
      </c>
      <c r="X2302" s="28" t="s">
        <v>2298</v>
      </c>
      <c r="Y2302" s="28" t="s">
        <v>2299</v>
      </c>
      <c r="Z2302" s="61">
        <v>17090012000085</v>
      </c>
      <c r="AB2302" s="28" t="s">
        <v>7355</v>
      </c>
      <c r="AC2302" s="28" t="s">
        <v>1466</v>
      </c>
    </row>
    <row r="2303" spans="1:29" x14ac:dyDescent="0.25">
      <c r="A2303" s="61">
        <v>110000487447</v>
      </c>
      <c r="B2303" s="28">
        <v>2023</v>
      </c>
      <c r="C2303" s="68">
        <f t="shared" si="36"/>
        <v>44927</v>
      </c>
      <c r="D2303" s="28" t="s">
        <v>6880</v>
      </c>
      <c r="E2303" s="28" t="s">
        <v>2297</v>
      </c>
      <c r="F2303" s="28" t="s">
        <v>1007</v>
      </c>
      <c r="G2303" s="28" t="s">
        <v>1008</v>
      </c>
      <c r="H2303" s="28">
        <v>972101412</v>
      </c>
      <c r="I2303" s="28">
        <v>45.548641000000003</v>
      </c>
      <c r="J2303" s="28">
        <v>-122.72292299999999</v>
      </c>
      <c r="K2303" s="28" t="s">
        <v>737</v>
      </c>
      <c r="L2303" s="61">
        <v>110000487447</v>
      </c>
      <c r="M2303" s="28" t="s">
        <v>252</v>
      </c>
      <c r="N2303" s="28">
        <v>5169</v>
      </c>
      <c r="O2303" s="28" t="str">
        <f>IFERROR(VLOOKUP(N2303, 'SIC &amp; NAICS Codes'!A:B, 2, FALSE), "")</f>
        <v>Chemicals and Allied Products, NEC (merchant wholesalers)</v>
      </c>
      <c r="S2303" s="28">
        <v>1.5053786783999999E-3</v>
      </c>
      <c r="T2303" s="315">
        <f>_xlfn.MAXIFS('Raw Period DMR Data'!$O:$O,'Raw Period DMR Data'!$A:$A,'Raw Annual DMR Data_2021-2024'!#REF!,'Raw Period DMR Data'!$C:$C,X2303)/S2303</f>
        <v>0</v>
      </c>
      <c r="U2303" s="28" t="str">
        <f>+IF(COUNTIFS('Raw Period DMR Data'!$A:$A,B2303,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03" s="28" t="str" cm="1">
        <f t="array" ref="V2303">IFERROR(INDEX('Raw Period DMR Data'!N:N,MATCH(1,(B2303='Raw Period DMR Data'!$A:$A)*(U2303='Raw Period DMR Data'!M:M)*(X2303='Raw Period DMR Data'!C:C),0),1), "N/A")</f>
        <v>N/A</v>
      </c>
      <c r="W2303" s="28" t="s">
        <v>1463</v>
      </c>
      <c r="X2303" s="28" t="s">
        <v>2298</v>
      </c>
      <c r="Y2303" s="28" t="s">
        <v>2299</v>
      </c>
      <c r="Z2303" s="61">
        <v>17090012000085</v>
      </c>
      <c r="AB2303" s="28" t="s">
        <v>7355</v>
      </c>
      <c r="AC2303" s="28" t="s">
        <v>1466</v>
      </c>
    </row>
    <row r="2304" spans="1:29" x14ac:dyDescent="0.25">
      <c r="A2304" s="61">
        <v>110062644367</v>
      </c>
      <c r="B2304" s="28">
        <v>2024</v>
      </c>
      <c r="C2304" s="68">
        <f t="shared" si="36"/>
        <v>45292</v>
      </c>
      <c r="D2304" s="28" t="s">
        <v>1389</v>
      </c>
      <c r="E2304" s="28" t="s">
        <v>2294</v>
      </c>
      <c r="F2304" s="28" t="s">
        <v>358</v>
      </c>
      <c r="G2304" s="28" t="s">
        <v>275</v>
      </c>
      <c r="H2304" s="28">
        <v>83704</v>
      </c>
      <c r="I2304" s="28">
        <v>43.605383000000003</v>
      </c>
      <c r="J2304" s="28">
        <v>-116.27849000000001</v>
      </c>
      <c r="L2304" s="61">
        <v>110062644367</v>
      </c>
      <c r="M2304" s="28" t="s">
        <v>265</v>
      </c>
      <c r="O2304" s="28" t="str">
        <f>IFERROR(VLOOKUP(N2304, 'SIC &amp; NAICS Codes'!A:B, 2, FALSE), "")</f>
        <v/>
      </c>
      <c r="S2304" s="28">
        <v>1.2986637800000001E-2</v>
      </c>
      <c r="T2304" s="315">
        <f>_xlfn.MAXIFS('Raw Period DMR Data'!$O:$O,'Raw Period DMR Data'!$A:$A,'Raw Annual DMR Data_2021-2024'!#REF!,'Raw Period DMR Data'!$C:$C,X2304)/S2304</f>
        <v>0</v>
      </c>
      <c r="U2304" s="28" t="str">
        <f>+IF(COUNTIFS('Raw Period DMR Data'!$A:$A,B2304,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04" s="28" t="str" cm="1">
        <f t="array" ref="V2304">IFERROR(INDEX('Raw Period DMR Data'!N:N,MATCH(1,(B2304='Raw Period DMR Data'!$A:$A)*(U2304='Raw Period DMR Data'!M:M)*(X2304='Raw Period DMR Data'!C:C),0),1), "N/A")</f>
        <v>N/A</v>
      </c>
      <c r="W2304" s="28" t="s">
        <v>1463</v>
      </c>
      <c r="X2304" s="28" t="s">
        <v>2295</v>
      </c>
      <c r="Y2304" s="28" t="s">
        <v>7261</v>
      </c>
      <c r="Z2304" s="61">
        <v>17050114001337</v>
      </c>
      <c r="AB2304" s="28" t="s">
        <v>7355</v>
      </c>
      <c r="AC2304" s="28" t="s">
        <v>1466</v>
      </c>
    </row>
    <row r="2305" spans="1:29" x14ac:dyDescent="0.25">
      <c r="A2305" s="61">
        <v>110062644367</v>
      </c>
      <c r="B2305" s="28">
        <v>2022</v>
      </c>
      <c r="C2305" s="68">
        <f t="shared" si="36"/>
        <v>44562</v>
      </c>
      <c r="D2305" s="28" t="s">
        <v>1389</v>
      </c>
      <c r="E2305" s="28" t="s">
        <v>2294</v>
      </c>
      <c r="F2305" s="28" t="s">
        <v>358</v>
      </c>
      <c r="G2305" s="28" t="s">
        <v>275</v>
      </c>
      <c r="H2305" s="28">
        <v>83704</v>
      </c>
      <c r="I2305" s="28">
        <v>43.605383000000003</v>
      </c>
      <c r="J2305" s="28">
        <v>-116.27849000000001</v>
      </c>
      <c r="L2305" s="61">
        <v>110062644367</v>
      </c>
      <c r="M2305" s="28" t="s">
        <v>265</v>
      </c>
      <c r="O2305" s="28" t="str">
        <f>IFERROR(VLOOKUP(N2305, 'SIC &amp; NAICS Codes'!A:B, 2, FALSE), "")</f>
        <v/>
      </c>
      <c r="S2305" s="28">
        <v>1.0638412445E-2</v>
      </c>
      <c r="T2305" s="315">
        <f>_xlfn.MAXIFS('Raw Period DMR Data'!$O:$O,'Raw Period DMR Data'!$A:$A,'Raw Annual DMR Data_2021-2024'!#REF!,'Raw Period DMR Data'!$C:$C,X2305)/S2305</f>
        <v>0</v>
      </c>
      <c r="U2305" s="28" t="str">
        <f>+IF(COUNTIFS('Raw Period DMR Data'!$A:$A,B2305,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05" s="28" t="str" cm="1">
        <f t="array" ref="V2305">IFERROR(INDEX('Raw Period DMR Data'!N:N,MATCH(1,(B2305='Raw Period DMR Data'!$A:$A)*(U2305='Raw Period DMR Data'!M:M)*(X2305='Raw Period DMR Data'!C:C),0),1), "N/A")</f>
        <v>N/A</v>
      </c>
      <c r="W2305" s="28" t="s">
        <v>1463</v>
      </c>
      <c r="X2305" s="28" t="s">
        <v>2295</v>
      </c>
      <c r="Y2305" s="28" t="s">
        <v>7261</v>
      </c>
      <c r="Z2305" s="61">
        <v>17050114001337</v>
      </c>
      <c r="AB2305" s="28" t="s">
        <v>7355</v>
      </c>
      <c r="AC2305" s="28" t="s">
        <v>1466</v>
      </c>
    </row>
    <row r="2306" spans="1:29" x14ac:dyDescent="0.25">
      <c r="A2306" s="61">
        <v>110062644367</v>
      </c>
      <c r="B2306" s="28">
        <v>2021</v>
      </c>
      <c r="C2306" s="68">
        <f t="shared" si="36"/>
        <v>44197</v>
      </c>
      <c r="D2306" s="28" t="s">
        <v>1389</v>
      </c>
      <c r="E2306" s="28" t="s">
        <v>2294</v>
      </c>
      <c r="F2306" s="28" t="s">
        <v>358</v>
      </c>
      <c r="G2306" s="28" t="s">
        <v>275</v>
      </c>
      <c r="H2306" s="28">
        <v>83704</v>
      </c>
      <c r="I2306" s="28">
        <v>43.605383000000003</v>
      </c>
      <c r="J2306" s="28">
        <v>-116.27849000000001</v>
      </c>
      <c r="L2306" s="61">
        <v>110062644367</v>
      </c>
      <c r="M2306" s="28" t="s">
        <v>265</v>
      </c>
      <c r="O2306" s="28" t="str">
        <f>IFERROR(VLOOKUP(N2306, 'SIC &amp; NAICS Codes'!A:B, 2, FALSE), "")</f>
        <v/>
      </c>
      <c r="S2306" s="28">
        <v>9.9794590849999996E-3</v>
      </c>
      <c r="T2306" s="315">
        <f>_xlfn.MAXIFS('Raw Period DMR Data'!$O:$O,'Raw Period DMR Data'!$A:$A,'Raw Annual DMR Data_2021-2024'!#REF!,'Raw Period DMR Data'!$C:$C,X2306)/S2306</f>
        <v>0</v>
      </c>
      <c r="U2306" s="28" t="str">
        <f>+IF(COUNTIFS('Raw Period DMR Data'!$A:$A,B2306,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06" s="28" t="str" cm="1">
        <f t="array" ref="V2306">IFERROR(INDEX('Raw Period DMR Data'!N:N,MATCH(1,(B2306='Raw Period DMR Data'!$A:$A)*(U2306='Raw Period DMR Data'!M:M)*(X2306='Raw Period DMR Data'!C:C),0),1), "N/A")</f>
        <v>N/A</v>
      </c>
      <c r="W2306" s="28" t="s">
        <v>1463</v>
      </c>
      <c r="X2306" s="28" t="s">
        <v>2295</v>
      </c>
      <c r="Y2306" s="28" t="s">
        <v>7261</v>
      </c>
      <c r="Z2306" s="61">
        <v>17050114001337</v>
      </c>
      <c r="AA2306" s="28"/>
      <c r="AB2306" s="28" t="s">
        <v>7355</v>
      </c>
      <c r="AC2306" s="28" t="s">
        <v>1466</v>
      </c>
    </row>
    <row r="2307" spans="1:29" x14ac:dyDescent="0.25">
      <c r="A2307" s="61">
        <v>110062644367</v>
      </c>
      <c r="B2307" s="28">
        <v>2023</v>
      </c>
      <c r="C2307" s="68">
        <f t="shared" si="36"/>
        <v>44927</v>
      </c>
      <c r="D2307" s="28" t="s">
        <v>1389</v>
      </c>
      <c r="E2307" s="28" t="s">
        <v>2294</v>
      </c>
      <c r="F2307" s="28" t="s">
        <v>358</v>
      </c>
      <c r="G2307" s="28" t="s">
        <v>275</v>
      </c>
      <c r="H2307" s="28">
        <v>83704</v>
      </c>
      <c r="I2307" s="28">
        <v>43.605383000000003</v>
      </c>
      <c r="J2307" s="28">
        <v>-116.27849000000001</v>
      </c>
      <c r="L2307" s="61">
        <v>110062644367</v>
      </c>
      <c r="M2307" s="28" t="s">
        <v>265</v>
      </c>
      <c r="O2307" s="28" t="str">
        <f>IFERROR(VLOOKUP(N2307, 'SIC &amp; NAICS Codes'!A:B, 2, FALSE), "")</f>
        <v/>
      </c>
      <c r="S2307" s="28">
        <v>9.8414731249999998E-3</v>
      </c>
      <c r="T2307" s="315">
        <f>_xlfn.MAXIFS('Raw Period DMR Data'!$O:$O,'Raw Period DMR Data'!$A:$A,'Raw Annual DMR Data_2021-2024'!#REF!,'Raw Period DMR Data'!$C:$C,X2307)/S2307</f>
        <v>0</v>
      </c>
      <c r="U2307" s="28" t="str">
        <f>+IF(COUNTIFS('Raw Period DMR Data'!$A:$A,B2307,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07" s="28" t="str" cm="1">
        <f t="array" ref="V2307">IFERROR(INDEX('Raw Period DMR Data'!N:N,MATCH(1,(B2307='Raw Period DMR Data'!$A:$A)*(U2307='Raw Period DMR Data'!M:M)*(X2307='Raw Period DMR Data'!C:C),0),1), "N/A")</f>
        <v>N/A</v>
      </c>
      <c r="W2307" s="28" t="s">
        <v>1463</v>
      </c>
      <c r="X2307" s="28" t="s">
        <v>2295</v>
      </c>
      <c r="Y2307" s="28" t="s">
        <v>7261</v>
      </c>
      <c r="Z2307" s="61">
        <v>17050114001337</v>
      </c>
      <c r="AB2307" s="28" t="s">
        <v>7355</v>
      </c>
      <c r="AC2307" s="28" t="s">
        <v>1466</v>
      </c>
    </row>
    <row r="2308" spans="1:29" x14ac:dyDescent="0.25">
      <c r="A2308" s="61">
        <v>110070596765</v>
      </c>
      <c r="B2308" s="28">
        <v>2021</v>
      </c>
      <c r="C2308" s="68">
        <f t="shared" si="36"/>
        <v>44197</v>
      </c>
      <c r="D2308" s="28" t="s">
        <v>1392</v>
      </c>
      <c r="E2308" s="28" t="s">
        <v>2302</v>
      </c>
      <c r="F2308" s="28" t="s">
        <v>1393</v>
      </c>
      <c r="G2308" s="28" t="s">
        <v>294</v>
      </c>
      <c r="H2308" s="28">
        <v>22060</v>
      </c>
      <c r="I2308" s="28">
        <v>38.711596</v>
      </c>
      <c r="J2308" s="28">
        <v>-77.147887999999995</v>
      </c>
      <c r="L2308" s="61">
        <v>110070596765</v>
      </c>
      <c r="M2308" s="28" t="s">
        <v>261</v>
      </c>
      <c r="N2308" s="28">
        <v>3825</v>
      </c>
      <c r="O2308" s="28" t="str">
        <f>IFERROR(VLOOKUP(N2308, 'SIC &amp; NAICS Codes'!A:B, 2, FALSE), "")</f>
        <v>Instruments for Measuring and Testing of Electricity and Electrical Signals (automotive ammeters and voltmeters)</v>
      </c>
      <c r="S2308" s="28">
        <v>3.4780554249999999E-3</v>
      </c>
      <c r="T2308" s="315">
        <f>_xlfn.MAXIFS('Raw Period DMR Data'!$O:$O,'Raw Period DMR Data'!$A:$A,'Raw Annual DMR Data_2021-2024'!#REF!,'Raw Period DMR Data'!$C:$C,X2308)/S2308</f>
        <v>0</v>
      </c>
      <c r="U2308" s="28" t="str">
        <f>+IF(COUNTIFS('Raw Period DMR Data'!$A:$A,B2308,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08" s="28" t="str" cm="1">
        <f t="array" ref="V2308">IFERROR(INDEX('Raw Period DMR Data'!N:N,MATCH(1,(B2308='Raw Period DMR Data'!$A:$A)*(U2308='Raw Period DMR Data'!M:M)*(X2308='Raw Period DMR Data'!C:C),0),1), "N/A")</f>
        <v>N/A</v>
      </c>
      <c r="W2308" s="28" t="s">
        <v>1463</v>
      </c>
      <c r="X2308" s="28" t="s">
        <v>2303</v>
      </c>
      <c r="Y2308" s="28" t="s">
        <v>877</v>
      </c>
      <c r="Z2308" s="61"/>
      <c r="AA2308" s="28"/>
      <c r="AB2308" s="28" t="s">
        <v>7355</v>
      </c>
      <c r="AC2308" s="28" t="s">
        <v>7356</v>
      </c>
    </row>
    <row r="2309" spans="1:29" x14ac:dyDescent="0.25">
      <c r="A2309" s="61">
        <v>110070596765</v>
      </c>
      <c r="B2309" s="28">
        <v>2022</v>
      </c>
      <c r="C2309" s="68">
        <f t="shared" si="36"/>
        <v>44562</v>
      </c>
      <c r="D2309" s="28" t="s">
        <v>1392</v>
      </c>
      <c r="E2309" s="28" t="s">
        <v>2302</v>
      </c>
      <c r="F2309" s="28" t="s">
        <v>1393</v>
      </c>
      <c r="G2309" s="28" t="s">
        <v>294</v>
      </c>
      <c r="H2309" s="28">
        <v>22060</v>
      </c>
      <c r="I2309" s="28">
        <v>38.711596</v>
      </c>
      <c r="J2309" s="28">
        <v>-77.147887999999995</v>
      </c>
      <c r="L2309" s="61">
        <v>110070596765</v>
      </c>
      <c r="M2309" s="28" t="s">
        <v>261</v>
      </c>
      <c r="N2309" s="28">
        <v>3825</v>
      </c>
      <c r="O2309" s="28" t="str">
        <f>IFERROR(VLOOKUP(N2309, 'SIC &amp; NAICS Codes'!A:B, 2, FALSE), "")</f>
        <v>Instruments for Measuring and Testing of Electricity and Electrical Signals (automotive ammeters and voltmeters)</v>
      </c>
      <c r="S2309" s="28">
        <v>4.4959176249999999E-4</v>
      </c>
      <c r="T2309" s="315">
        <f>_xlfn.MAXIFS('Raw Period DMR Data'!$O:$O,'Raw Period DMR Data'!$A:$A,'Raw Annual DMR Data_2021-2024'!#REF!,'Raw Period DMR Data'!$C:$C,X2309)/S2309</f>
        <v>0</v>
      </c>
      <c r="U2309" s="28" t="str">
        <f>+IF(COUNTIFS('Raw Period DMR Data'!$A:$A,B2309,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09" s="28" t="str" cm="1">
        <f t="array" ref="V2309">IFERROR(INDEX('Raw Period DMR Data'!N:N,MATCH(1,(B2309='Raw Period DMR Data'!$A:$A)*(U2309='Raw Period DMR Data'!M:M)*(X2309='Raw Period DMR Data'!C:C),0),1), "N/A")</f>
        <v>N/A</v>
      </c>
      <c r="W2309" s="28" t="s">
        <v>1463</v>
      </c>
      <c r="X2309" s="28" t="s">
        <v>2303</v>
      </c>
      <c r="Y2309" s="28" t="s">
        <v>877</v>
      </c>
      <c r="Z2309" s="61"/>
      <c r="AB2309" s="28" t="s">
        <v>7355</v>
      </c>
      <c r="AC2309" s="28" t="s">
        <v>7356</v>
      </c>
    </row>
    <row r="2310" spans="1:29" x14ac:dyDescent="0.25">
      <c r="A2310" s="61">
        <v>110042004915</v>
      </c>
      <c r="B2310" s="28">
        <v>2021</v>
      </c>
      <c r="C2310" s="68">
        <f t="shared" si="36"/>
        <v>44197</v>
      </c>
      <c r="D2310" s="28" t="s">
        <v>1394</v>
      </c>
      <c r="E2310" s="28" t="s">
        <v>6973</v>
      </c>
      <c r="F2310" s="28" t="s">
        <v>1395</v>
      </c>
      <c r="G2310" s="28" t="s">
        <v>362</v>
      </c>
      <c r="H2310" s="28">
        <v>78241</v>
      </c>
      <c r="I2310" s="28">
        <v>29.378699999999998</v>
      </c>
      <c r="J2310" s="28">
        <v>-98.551670000000001</v>
      </c>
      <c r="L2310" s="61">
        <v>110042004915</v>
      </c>
      <c r="M2310" s="28" t="s">
        <v>265</v>
      </c>
      <c r="N2310" s="28">
        <v>9711</v>
      </c>
      <c r="O2310" s="28" t="str">
        <f>IFERROR(VLOOKUP(N2310, 'SIC &amp; NAICS Codes'!A:B, 2, FALSE), "")</f>
        <v>National Security</v>
      </c>
      <c r="S2310" s="28">
        <v>1.8848089935499999E-2</v>
      </c>
      <c r="T2310" s="315">
        <f>_xlfn.MAXIFS('Raw Period DMR Data'!$O:$O,'Raw Period DMR Data'!$A:$A,'Raw Annual DMR Data_2021-2024'!#REF!,'Raw Period DMR Data'!$C:$C,X2310)/S2310</f>
        <v>0</v>
      </c>
      <c r="U2310" s="28" t="str">
        <f>+IF(COUNTIFS('Raw Period DMR Data'!$A:$A,B2310,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10" s="28" t="str" cm="1">
        <f t="array" ref="V2310">IFERROR(INDEX('Raw Period DMR Data'!N:N,MATCH(1,(B2310='Raw Period DMR Data'!$A:$A)*(U2310='Raw Period DMR Data'!M:M)*(X2310='Raw Period DMR Data'!C:C),0),1), "N/A")</f>
        <v>N/A</v>
      </c>
      <c r="W2310" s="28" t="s">
        <v>1463</v>
      </c>
      <c r="X2310" s="28" t="s">
        <v>2305</v>
      </c>
      <c r="Y2310" s="28" t="s">
        <v>2306</v>
      </c>
      <c r="Z2310" s="61">
        <v>12100302000008</v>
      </c>
      <c r="AA2310" s="28"/>
      <c r="AB2310" s="28" t="s">
        <v>7355</v>
      </c>
      <c r="AC2310" s="28" t="s">
        <v>7356</v>
      </c>
    </row>
    <row r="2311" spans="1:29" x14ac:dyDescent="0.25">
      <c r="A2311" s="61">
        <v>110042004915</v>
      </c>
      <c r="B2311" s="28">
        <v>2022</v>
      </c>
      <c r="C2311" s="68">
        <f t="shared" ref="C2311:C2374" si="37">DATE(B2311, 1, 1)</f>
        <v>44562</v>
      </c>
      <c r="D2311" s="28" t="s">
        <v>1394</v>
      </c>
      <c r="E2311" s="28" t="s">
        <v>6973</v>
      </c>
      <c r="F2311" s="28" t="s">
        <v>1395</v>
      </c>
      <c r="G2311" s="28" t="s">
        <v>362</v>
      </c>
      <c r="H2311" s="28">
        <v>78241</v>
      </c>
      <c r="I2311" s="28">
        <v>29.378699999999998</v>
      </c>
      <c r="J2311" s="28">
        <v>-98.551670000000001</v>
      </c>
      <c r="L2311" s="61">
        <v>110042004915</v>
      </c>
      <c r="M2311" s="28" t="s">
        <v>265</v>
      </c>
      <c r="N2311" s="28">
        <v>9711</v>
      </c>
      <c r="O2311" s="28" t="str">
        <f>IFERROR(VLOOKUP(N2311, 'SIC &amp; NAICS Codes'!A:B, 2, FALSE), "")</f>
        <v>National Security</v>
      </c>
      <c r="S2311" s="28">
        <v>1.4131892880499999E-2</v>
      </c>
      <c r="T2311" s="315">
        <f>_xlfn.MAXIFS('Raw Period DMR Data'!$O:$O,'Raw Period DMR Data'!$A:$A,'Raw Annual DMR Data_2021-2024'!#REF!,'Raw Period DMR Data'!$C:$C,X2311)/S2311</f>
        <v>0</v>
      </c>
      <c r="U2311" s="28" t="str">
        <f>+IF(COUNTIFS('Raw Period DMR Data'!$A:$A,B2311,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11" s="28" t="str" cm="1">
        <f t="array" ref="V2311">IFERROR(INDEX('Raw Period DMR Data'!N:N,MATCH(1,(B2311='Raw Period DMR Data'!$A:$A)*(U2311='Raw Period DMR Data'!M:M)*(X2311='Raw Period DMR Data'!C:C),0),1), "N/A")</f>
        <v>N/A</v>
      </c>
      <c r="W2311" s="28" t="s">
        <v>1463</v>
      </c>
      <c r="X2311" s="28" t="s">
        <v>2305</v>
      </c>
      <c r="Y2311" s="28" t="s">
        <v>2306</v>
      </c>
      <c r="Z2311" s="61">
        <v>12100302000008</v>
      </c>
      <c r="AB2311" s="28" t="s">
        <v>7355</v>
      </c>
      <c r="AC2311" s="28" t="s">
        <v>7356</v>
      </c>
    </row>
    <row r="2312" spans="1:29" x14ac:dyDescent="0.25">
      <c r="A2312" s="61">
        <v>110042004915</v>
      </c>
      <c r="B2312" s="28">
        <v>2023</v>
      </c>
      <c r="C2312" s="68">
        <f t="shared" si="37"/>
        <v>44927</v>
      </c>
      <c r="D2312" s="28" t="s">
        <v>1394</v>
      </c>
      <c r="E2312" s="28" t="s">
        <v>6973</v>
      </c>
      <c r="F2312" s="28" t="s">
        <v>1395</v>
      </c>
      <c r="G2312" s="28" t="s">
        <v>362</v>
      </c>
      <c r="H2312" s="28">
        <v>78241</v>
      </c>
      <c r="I2312" s="28">
        <v>29.378699999999998</v>
      </c>
      <c r="J2312" s="28">
        <v>-98.551670000000001</v>
      </c>
      <c r="L2312" s="61">
        <v>110042004915</v>
      </c>
      <c r="M2312" s="28" t="s">
        <v>265</v>
      </c>
      <c r="N2312" s="28">
        <v>9711</v>
      </c>
      <c r="O2312" s="28" t="str">
        <f>IFERROR(VLOOKUP(N2312, 'SIC &amp; NAICS Codes'!A:B, 2, FALSE), "")</f>
        <v>National Security</v>
      </c>
      <c r="S2312" s="28">
        <v>1.3861786575E-2</v>
      </c>
      <c r="T2312" s="315">
        <f>_xlfn.MAXIFS('Raw Period DMR Data'!$O:$O,'Raw Period DMR Data'!$A:$A,'Raw Annual DMR Data_2021-2024'!#REF!,'Raw Period DMR Data'!$C:$C,X2312)/S2312</f>
        <v>0</v>
      </c>
      <c r="U2312" s="28" t="str">
        <f>+IF(COUNTIFS('Raw Period DMR Data'!$A:$A,B2312,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12" s="28" t="str" cm="1">
        <f t="array" ref="V2312">IFERROR(INDEX('Raw Period DMR Data'!N:N,MATCH(1,(B2312='Raw Period DMR Data'!$A:$A)*(U2312='Raw Period DMR Data'!M:M)*(X2312='Raw Period DMR Data'!C:C),0),1), "N/A")</f>
        <v>N/A</v>
      </c>
      <c r="W2312" s="28" t="s">
        <v>1463</v>
      </c>
      <c r="X2312" s="28" t="s">
        <v>2305</v>
      </c>
      <c r="Y2312" s="28" t="s">
        <v>2306</v>
      </c>
      <c r="Z2312" s="61">
        <v>12100302000008</v>
      </c>
      <c r="AB2312" s="28" t="s">
        <v>7355</v>
      </c>
      <c r="AC2312" s="28" t="s">
        <v>7356</v>
      </c>
    </row>
    <row r="2313" spans="1:29" x14ac:dyDescent="0.25">
      <c r="A2313" s="61">
        <v>110042004915</v>
      </c>
      <c r="B2313" s="28">
        <v>2024</v>
      </c>
      <c r="C2313" s="68">
        <f t="shared" si="37"/>
        <v>45292</v>
      </c>
      <c r="D2313" s="28" t="s">
        <v>1394</v>
      </c>
      <c r="E2313" s="28" t="s">
        <v>6973</v>
      </c>
      <c r="F2313" s="28" t="s">
        <v>1395</v>
      </c>
      <c r="G2313" s="28" t="s">
        <v>362</v>
      </c>
      <c r="H2313" s="28">
        <v>78241</v>
      </c>
      <c r="I2313" s="28">
        <v>29.378699999999998</v>
      </c>
      <c r="J2313" s="28">
        <v>-98.551670000000001</v>
      </c>
      <c r="L2313" s="61">
        <v>110042004915</v>
      </c>
      <c r="M2313" s="28" t="s">
        <v>265</v>
      </c>
      <c r="N2313" s="28">
        <v>9711</v>
      </c>
      <c r="O2313" s="28" t="str">
        <f>IFERROR(VLOOKUP(N2313, 'SIC &amp; NAICS Codes'!A:B, 2, FALSE), "")</f>
        <v>National Security</v>
      </c>
      <c r="S2313" s="28">
        <v>1.24766639325E-2</v>
      </c>
      <c r="T2313" s="315">
        <f>_xlfn.MAXIFS('Raw Period DMR Data'!$O:$O,'Raw Period DMR Data'!$A:$A,'Raw Annual DMR Data_2021-2024'!#REF!,'Raw Period DMR Data'!$C:$C,X2313)/S2313</f>
        <v>0</v>
      </c>
      <c r="U2313" s="28" t="str">
        <f>+IF(COUNTIFS('Raw Period DMR Data'!$A:$A,B2313,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13" s="28" t="str" cm="1">
        <f t="array" ref="V2313">IFERROR(INDEX('Raw Period DMR Data'!N:N,MATCH(1,(B2313='Raw Period DMR Data'!$A:$A)*(U2313='Raw Period DMR Data'!M:M)*(X2313='Raw Period DMR Data'!C:C),0),1), "N/A")</f>
        <v>N/A</v>
      </c>
      <c r="W2313" s="28" t="s">
        <v>1463</v>
      </c>
      <c r="X2313" s="28" t="s">
        <v>2305</v>
      </c>
      <c r="Y2313" s="28" t="s">
        <v>2306</v>
      </c>
      <c r="Z2313" s="61">
        <v>12100302000008</v>
      </c>
      <c r="AB2313" s="28" t="s">
        <v>7355</v>
      </c>
      <c r="AC2313" s="28" t="s">
        <v>7356</v>
      </c>
    </row>
    <row r="2314" spans="1:29" x14ac:dyDescent="0.25">
      <c r="A2314" s="61">
        <v>110041973460</v>
      </c>
      <c r="B2314" s="28">
        <v>2021</v>
      </c>
      <c r="C2314" s="68">
        <f t="shared" si="37"/>
        <v>44197</v>
      </c>
      <c r="D2314" s="28" t="s">
        <v>1398</v>
      </c>
      <c r="E2314" s="28" t="s">
        <v>2311</v>
      </c>
      <c r="F2314" s="28" t="s">
        <v>1399</v>
      </c>
      <c r="G2314" s="28" t="s">
        <v>1171</v>
      </c>
      <c r="H2314" s="28">
        <v>968633062</v>
      </c>
      <c r="I2314" s="28">
        <v>21.438638999999998</v>
      </c>
      <c r="J2314" s="28">
        <v>-157.75847200000001</v>
      </c>
      <c r="L2314" s="61">
        <v>110041973460</v>
      </c>
      <c r="M2314" s="28" t="s">
        <v>263</v>
      </c>
      <c r="N2314" s="28">
        <v>4952</v>
      </c>
      <c r="O2314" s="28" t="str">
        <f>IFERROR(VLOOKUP(N2314, 'SIC &amp; NAICS Codes'!A:B, 2, FALSE), "")</f>
        <v>Sewerage Systems</v>
      </c>
      <c r="S2314" s="28">
        <v>1.747629125</v>
      </c>
      <c r="T2314" s="315">
        <f>_xlfn.MAXIFS('Raw Period DMR Data'!$O:$O,'Raw Period DMR Data'!$A:$A,'Raw Annual DMR Data_2021-2024'!#REF!,'Raw Period DMR Data'!$C:$C,X2314)/S2314</f>
        <v>0</v>
      </c>
      <c r="U2314" s="28" t="str">
        <f>+IF(COUNTIFS('Raw Period DMR Data'!$A:$A,B2314,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14" s="28" t="str" cm="1">
        <f t="array" ref="V2314">IFERROR(INDEX('Raw Period DMR Data'!N:N,MATCH(1,(B2314='Raw Period DMR Data'!$A:$A)*(U2314='Raw Period DMR Data'!M:M)*(X2314='Raw Period DMR Data'!C:C),0),1), "N/A")</f>
        <v>N/A</v>
      </c>
      <c r="W2314" s="28" t="s">
        <v>1463</v>
      </c>
      <c r="X2314" s="28" t="s">
        <v>2312</v>
      </c>
      <c r="Y2314" s="28" t="s">
        <v>926</v>
      </c>
      <c r="Z2314" s="61">
        <v>20060000000122</v>
      </c>
      <c r="AA2314" s="28"/>
      <c r="AB2314" s="28" t="s">
        <v>7355</v>
      </c>
      <c r="AC2314" s="28" t="s">
        <v>7356</v>
      </c>
    </row>
    <row r="2315" spans="1:29" x14ac:dyDescent="0.25">
      <c r="A2315" s="61">
        <v>110041973460</v>
      </c>
      <c r="B2315" s="28">
        <v>2023</v>
      </c>
      <c r="C2315" s="68">
        <f t="shared" si="37"/>
        <v>44927</v>
      </c>
      <c r="D2315" s="28" t="s">
        <v>1398</v>
      </c>
      <c r="E2315" s="28" t="s">
        <v>2311</v>
      </c>
      <c r="F2315" s="28" t="s">
        <v>1399</v>
      </c>
      <c r="G2315" s="28" t="s">
        <v>1171</v>
      </c>
      <c r="H2315" s="28">
        <v>968633062</v>
      </c>
      <c r="I2315" s="28">
        <v>21.438638999999998</v>
      </c>
      <c r="J2315" s="28">
        <v>-157.75847200000001</v>
      </c>
      <c r="L2315" s="61">
        <v>110041973460</v>
      </c>
      <c r="M2315" s="28" t="s">
        <v>263</v>
      </c>
      <c r="N2315" s="28">
        <v>4952</v>
      </c>
      <c r="O2315" s="28" t="str">
        <f>IFERROR(VLOOKUP(N2315, 'SIC &amp; NAICS Codes'!A:B, 2, FALSE), "")</f>
        <v>Sewerage Systems</v>
      </c>
      <c r="S2315" s="28">
        <v>1.6523038999999999</v>
      </c>
      <c r="T2315" s="315">
        <f>_xlfn.MAXIFS('Raw Period DMR Data'!$O:$O,'Raw Period DMR Data'!$A:$A,'Raw Annual DMR Data_2021-2024'!#REF!,'Raw Period DMR Data'!$C:$C,X2315)/S2315</f>
        <v>0</v>
      </c>
      <c r="U2315" s="28" t="str">
        <f>+IF(COUNTIFS('Raw Period DMR Data'!$A:$A,B2315,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15" s="28" t="str" cm="1">
        <f t="array" ref="V2315">IFERROR(INDEX('Raw Period DMR Data'!N:N,MATCH(1,(B2315='Raw Period DMR Data'!$A:$A)*(U2315='Raw Period DMR Data'!M:M)*(X2315='Raw Period DMR Data'!C:C),0),1), "N/A")</f>
        <v>N/A</v>
      </c>
      <c r="W2315" s="28" t="s">
        <v>1463</v>
      </c>
      <c r="X2315" s="28" t="s">
        <v>2312</v>
      </c>
      <c r="Y2315" s="28" t="s">
        <v>926</v>
      </c>
      <c r="Z2315" s="61">
        <v>20060000000122</v>
      </c>
      <c r="AB2315" s="28" t="s">
        <v>7355</v>
      </c>
      <c r="AC2315" s="28" t="s">
        <v>7356</v>
      </c>
    </row>
    <row r="2316" spans="1:29" x14ac:dyDescent="0.25">
      <c r="A2316" s="61">
        <v>110041973460</v>
      </c>
      <c r="B2316" s="28">
        <v>2022</v>
      </c>
      <c r="C2316" s="68">
        <f t="shared" si="37"/>
        <v>44562</v>
      </c>
      <c r="D2316" s="28" t="s">
        <v>1398</v>
      </c>
      <c r="E2316" s="28" t="s">
        <v>2311</v>
      </c>
      <c r="F2316" s="28" t="s">
        <v>1399</v>
      </c>
      <c r="G2316" s="28" t="s">
        <v>1171</v>
      </c>
      <c r="H2316" s="28">
        <v>968633062</v>
      </c>
      <c r="I2316" s="28">
        <v>21.438638999999998</v>
      </c>
      <c r="J2316" s="28">
        <v>-157.75847200000001</v>
      </c>
      <c r="L2316" s="61">
        <v>110041973460</v>
      </c>
      <c r="M2316" s="28" t="s">
        <v>263</v>
      </c>
      <c r="N2316" s="28">
        <v>4952</v>
      </c>
      <c r="O2316" s="28" t="str">
        <f>IFERROR(VLOOKUP(N2316, 'SIC &amp; NAICS Codes'!A:B, 2, FALSE), "")</f>
        <v>Sewerage Systems</v>
      </c>
      <c r="S2316" s="28">
        <v>1.2924166374999999</v>
      </c>
      <c r="T2316" s="315">
        <f>_xlfn.MAXIFS('Raw Period DMR Data'!$O:$O,'Raw Period DMR Data'!$A:$A,'Raw Annual DMR Data_2021-2024'!#REF!,'Raw Period DMR Data'!$C:$C,X2316)/S2316</f>
        <v>0</v>
      </c>
      <c r="U2316" s="28" t="str">
        <f>+IF(COUNTIFS('Raw Period DMR Data'!$A:$A,B2316,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16" s="28" t="str" cm="1">
        <f t="array" ref="V2316">IFERROR(INDEX('Raw Period DMR Data'!N:N,MATCH(1,(B2316='Raw Period DMR Data'!$A:$A)*(U2316='Raw Period DMR Data'!M:M)*(X2316='Raw Period DMR Data'!C:C),0),1), "N/A")</f>
        <v>N/A</v>
      </c>
      <c r="W2316" s="28" t="s">
        <v>1463</v>
      </c>
      <c r="X2316" s="28" t="s">
        <v>2312</v>
      </c>
      <c r="Y2316" s="28" t="s">
        <v>926</v>
      </c>
      <c r="Z2316" s="61">
        <v>20060000000122</v>
      </c>
      <c r="AB2316" s="28" t="s">
        <v>7355</v>
      </c>
      <c r="AC2316" s="28" t="s">
        <v>7356</v>
      </c>
    </row>
    <row r="2317" spans="1:29" x14ac:dyDescent="0.25">
      <c r="A2317" s="61">
        <v>110070917345</v>
      </c>
      <c r="B2317" s="28">
        <v>2021</v>
      </c>
      <c r="C2317" s="68">
        <f t="shared" si="37"/>
        <v>44197</v>
      </c>
      <c r="D2317" s="28" t="s">
        <v>6797</v>
      </c>
      <c r="E2317" s="28" t="s">
        <v>6946</v>
      </c>
      <c r="F2317" s="28" t="s">
        <v>6947</v>
      </c>
      <c r="G2317" s="28" t="s">
        <v>308</v>
      </c>
      <c r="H2317" s="28">
        <v>2210</v>
      </c>
      <c r="I2317" s="28">
        <v>42.349516999999999</v>
      </c>
      <c r="J2317" s="28">
        <v>-71.047058000000007</v>
      </c>
      <c r="L2317" s="61">
        <v>110070917345</v>
      </c>
      <c r="M2317" s="28" t="s">
        <v>265</v>
      </c>
      <c r="O2317" s="28" t="str">
        <f>IFERROR(VLOOKUP(N2317, 'SIC &amp; NAICS Codes'!A:B, 2, FALSE), "")</f>
        <v/>
      </c>
      <c r="S2317" s="28">
        <v>9.1566719999999993E-5</v>
      </c>
      <c r="T2317" s="315">
        <f>_xlfn.MAXIFS('Raw Period DMR Data'!$O:$O,'Raw Period DMR Data'!$A:$A,'Raw Annual DMR Data_2021-2024'!#REF!,'Raw Period DMR Data'!$C:$C,X2317)/S2317</f>
        <v>0</v>
      </c>
      <c r="U2317" s="28" t="str">
        <f>+IF(COUNTIFS('Raw Period DMR Data'!$A:$A,B2317,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17" s="28" t="str" cm="1">
        <f t="array" ref="V2317">IFERROR(INDEX('Raw Period DMR Data'!N:N,MATCH(1,(B2317='Raw Period DMR Data'!$A:$A)*(U2317='Raw Period DMR Data'!M:M)*(X2317='Raw Period DMR Data'!C:C),0),1), "N/A")</f>
        <v>N/A</v>
      </c>
      <c r="W2317" s="28" t="s">
        <v>1463</v>
      </c>
      <c r="X2317" s="28" t="s">
        <v>7151</v>
      </c>
      <c r="Y2317" s="28" t="s">
        <v>7263</v>
      </c>
      <c r="Z2317" s="61"/>
      <c r="AA2317" s="28"/>
      <c r="AB2317" s="28" t="s">
        <v>7355</v>
      </c>
      <c r="AC2317" s="28" t="s">
        <v>1466</v>
      </c>
    </row>
    <row r="2318" spans="1:29" x14ac:dyDescent="0.25">
      <c r="A2318" s="61">
        <v>110000571373</v>
      </c>
      <c r="B2318" s="28">
        <v>2024</v>
      </c>
      <c r="C2318" s="68">
        <f t="shared" si="37"/>
        <v>45292</v>
      </c>
      <c r="D2318" s="28" t="s">
        <v>1400</v>
      </c>
      <c r="E2318" s="28" t="s">
        <v>2313</v>
      </c>
      <c r="F2318" s="28" t="s">
        <v>1401</v>
      </c>
      <c r="G2318" s="28" t="s">
        <v>324</v>
      </c>
      <c r="H2318" s="28" t="s">
        <v>2314</v>
      </c>
      <c r="I2318" s="28">
        <v>37.642310000000002</v>
      </c>
      <c r="J2318" s="28">
        <v>-85.903570000000002</v>
      </c>
      <c r="L2318" s="61">
        <v>110000571373</v>
      </c>
      <c r="M2318" s="28" t="s">
        <v>263</v>
      </c>
      <c r="N2318" s="28">
        <v>4952</v>
      </c>
      <c r="O2318" s="28" t="str">
        <f>IFERROR(VLOOKUP(N2318, 'SIC &amp; NAICS Codes'!A:B, 2, FALSE), "")</f>
        <v>Sewerage Systems</v>
      </c>
      <c r="S2318" s="28">
        <v>27.630500000000001</v>
      </c>
      <c r="T2318" s="315">
        <f>_xlfn.MAXIFS('Raw Period DMR Data'!$O:$O,'Raw Period DMR Data'!$A:$A,'Raw Annual DMR Data_2021-2024'!B2312,'Raw Period DMR Data'!$C:$C,X2318)/S2318</f>
        <v>0</v>
      </c>
      <c r="U2318" s="28" t="str">
        <f>+IF(COUNTIFS('Raw Period DMR Data'!$A:$A,B2318, 'Raw Period DMR Data'!C:C,'Raw Annual DMR Data_2021-2024'!X2312, 'Raw Period DMR Data'!M:M, "&gt;0")&gt;0,_xlfn.MAXIFS('Raw Period DMR Data'!M:M,'Raw Period DMR Data'!$A:$A,'Raw Annual DMR Data_2021-2024'!B2312,'Raw Period DMR Data'!C:C,'Raw Annual DMR Data_2021-2024'!X2312), "N/A - Period DMR Data Not Available")</f>
        <v>N/A - Period DMR Data Not Available</v>
      </c>
      <c r="V2318" s="28" t="str" cm="1">
        <f t="array" ref="V2318">IFERROR(INDEX('Raw Period DMR Data'!N:N,MATCH(1,(B2318='Raw Period DMR Data'!$A:$A)*(U2318='Raw Period DMR Data'!M:M)*(X2318='Raw Period DMR Data'!C:C),0),1), "N/A")</f>
        <v>N/A</v>
      </c>
      <c r="W2318" s="28" t="s">
        <v>1463</v>
      </c>
      <c r="X2318" s="28" t="s">
        <v>2315</v>
      </c>
      <c r="Y2318" s="28" t="s">
        <v>2316</v>
      </c>
      <c r="Z2318" s="61">
        <v>5110001000593</v>
      </c>
      <c r="AB2318" s="28" t="s">
        <v>7355</v>
      </c>
      <c r="AC2318" s="28" t="s">
        <v>263</v>
      </c>
    </row>
    <row r="2319" spans="1:29" x14ac:dyDescent="0.25">
      <c r="A2319" s="61">
        <v>110000571373</v>
      </c>
      <c r="B2319" s="28">
        <v>2021</v>
      </c>
      <c r="C2319" s="68">
        <f t="shared" si="37"/>
        <v>44197</v>
      </c>
      <c r="D2319" s="28" t="s">
        <v>1400</v>
      </c>
      <c r="E2319" s="28" t="s">
        <v>2313</v>
      </c>
      <c r="F2319" s="28" t="s">
        <v>1401</v>
      </c>
      <c r="G2319" s="28" t="s">
        <v>324</v>
      </c>
      <c r="H2319" s="28" t="s">
        <v>2314</v>
      </c>
      <c r="I2319" s="28">
        <v>37.642310000000002</v>
      </c>
      <c r="J2319" s="28">
        <v>-85.903570000000002</v>
      </c>
      <c r="L2319" s="61">
        <v>110000571373</v>
      </c>
      <c r="M2319" s="28" t="s">
        <v>263</v>
      </c>
      <c r="N2319" s="28">
        <v>4952</v>
      </c>
      <c r="O2319" s="28" t="str">
        <f>IFERROR(VLOOKUP(N2319, 'SIC &amp; NAICS Codes'!A:B, 2, FALSE), "")</f>
        <v>Sewerage Systems</v>
      </c>
      <c r="S2319" s="28">
        <v>22.7951625</v>
      </c>
      <c r="T2319" s="315">
        <f>_xlfn.MAXIFS('Raw Period DMR Data'!$O:$O,'Raw Period DMR Data'!$A:$A,'Raw Annual DMR Data_2021-2024'!B2317,'Raw Period DMR Data'!$C:$C,X2319)/S2319</f>
        <v>0</v>
      </c>
      <c r="U2319" s="28" t="str">
        <f>+IF(COUNTIFS('Raw Period DMR Data'!$A:$A,B2319, 'Raw Period DMR Data'!C:C,'Raw Annual DMR Data_2021-2024'!X2317, 'Raw Period DMR Data'!M:M, "&gt;0")&gt;0,_xlfn.MAXIFS('Raw Period DMR Data'!M:M,'Raw Period DMR Data'!$A:$A,'Raw Annual DMR Data_2021-2024'!B2317,'Raw Period DMR Data'!C:C,'Raw Annual DMR Data_2021-2024'!X2317), "N/A - Period DMR Data Not Available")</f>
        <v>N/A - Period DMR Data Not Available</v>
      </c>
      <c r="V2319" s="28" t="str" cm="1">
        <f t="array" ref="V2319">IFERROR(INDEX('Raw Period DMR Data'!N:N,MATCH(1,(B2319='Raw Period DMR Data'!$A:$A)*(U2319='Raw Period DMR Data'!M:M)*(X2319='Raw Period DMR Data'!C:C),0),1), "N/A")</f>
        <v>N/A</v>
      </c>
      <c r="W2319" s="28" t="s">
        <v>1463</v>
      </c>
      <c r="X2319" s="28" t="s">
        <v>2315</v>
      </c>
      <c r="Y2319" s="28" t="s">
        <v>2316</v>
      </c>
      <c r="Z2319" s="61">
        <v>5110001000593</v>
      </c>
      <c r="AA2319" s="28"/>
      <c r="AB2319" s="28" t="s">
        <v>7355</v>
      </c>
      <c r="AC2319" s="28" t="s">
        <v>263</v>
      </c>
    </row>
    <row r="2320" spans="1:29" x14ac:dyDescent="0.25">
      <c r="A2320" s="61">
        <v>110000571373</v>
      </c>
      <c r="B2320" s="28">
        <v>2022</v>
      </c>
      <c r="C2320" s="68">
        <f t="shared" si="37"/>
        <v>44562</v>
      </c>
      <c r="D2320" s="28" t="s">
        <v>1400</v>
      </c>
      <c r="E2320" s="28" t="s">
        <v>2313</v>
      </c>
      <c r="F2320" s="28" t="s">
        <v>1401</v>
      </c>
      <c r="G2320" s="28" t="s">
        <v>324</v>
      </c>
      <c r="H2320" s="28" t="s">
        <v>2314</v>
      </c>
      <c r="I2320" s="28">
        <v>37.642310000000002</v>
      </c>
      <c r="J2320" s="28">
        <v>-85.903570000000002</v>
      </c>
      <c r="L2320" s="61">
        <v>110000571373</v>
      </c>
      <c r="M2320" s="28" t="s">
        <v>263</v>
      </c>
      <c r="N2320" s="28">
        <v>4952</v>
      </c>
      <c r="O2320" s="28" t="str">
        <f>IFERROR(VLOOKUP(N2320, 'SIC &amp; NAICS Codes'!A:B, 2, FALSE), "")</f>
        <v>Sewerage Systems</v>
      </c>
      <c r="S2320" s="28">
        <v>20.0321125</v>
      </c>
      <c r="T2320" s="315">
        <f>_xlfn.MAXIFS('Raw Period DMR Data'!$O:$O,'Raw Period DMR Data'!$A:$A,'Raw Annual DMR Data_2021-2024'!B2323,'Raw Period DMR Data'!$C:$C,X2320)/S2320</f>
        <v>0</v>
      </c>
      <c r="U2320" s="28" t="str">
        <f>+IF(COUNTIFS('Raw Period DMR Data'!$A:$A,B2320, 'Raw Period DMR Data'!C:C,'Raw Annual DMR Data_2021-2024'!X2323, 'Raw Period DMR Data'!M:M, "&gt;0")&gt;0,_xlfn.MAXIFS('Raw Period DMR Data'!M:M,'Raw Period DMR Data'!$A:$A,'Raw Annual DMR Data_2021-2024'!B2323,'Raw Period DMR Data'!C:C,'Raw Annual DMR Data_2021-2024'!X2323), "N/A - Period DMR Data Not Available")</f>
        <v>N/A - Period DMR Data Not Available</v>
      </c>
      <c r="V2320" s="28" t="str" cm="1">
        <f t="array" ref="V2320">IFERROR(INDEX('Raw Period DMR Data'!N:N,MATCH(1,(B2320='Raw Period DMR Data'!$A:$A)*(U2320='Raw Period DMR Data'!M:M)*(X2320='Raw Period DMR Data'!C:C),0),1), "N/A")</f>
        <v>N/A</v>
      </c>
      <c r="W2320" s="28" t="s">
        <v>1463</v>
      </c>
      <c r="X2320" s="28" t="s">
        <v>2315</v>
      </c>
      <c r="Y2320" s="28" t="s">
        <v>2316</v>
      </c>
      <c r="Z2320" s="61">
        <v>5110001000593</v>
      </c>
      <c r="AB2320" s="28" t="s">
        <v>7355</v>
      </c>
      <c r="AC2320" s="28" t="s">
        <v>263</v>
      </c>
    </row>
    <row r="2321" spans="1:29" x14ac:dyDescent="0.25">
      <c r="A2321" s="61">
        <v>110000571373</v>
      </c>
      <c r="B2321" s="28">
        <v>2023</v>
      </c>
      <c r="C2321" s="68">
        <f t="shared" si="37"/>
        <v>44927</v>
      </c>
      <c r="D2321" s="28" t="s">
        <v>1400</v>
      </c>
      <c r="E2321" s="28" t="s">
        <v>2313</v>
      </c>
      <c r="F2321" s="28" t="s">
        <v>1401</v>
      </c>
      <c r="G2321" s="28" t="s">
        <v>324</v>
      </c>
      <c r="H2321" s="28" t="s">
        <v>2314</v>
      </c>
      <c r="I2321" s="28">
        <v>37.642310000000002</v>
      </c>
      <c r="J2321" s="28">
        <v>-85.903570000000002</v>
      </c>
      <c r="L2321" s="61">
        <v>110000571373</v>
      </c>
      <c r="M2321" s="28" t="s">
        <v>263</v>
      </c>
      <c r="N2321" s="28">
        <v>4952</v>
      </c>
      <c r="O2321" s="28" t="str">
        <f>IFERROR(VLOOKUP(N2321, 'SIC &amp; NAICS Codes'!A:B, 2, FALSE), "")</f>
        <v>Sewerage Systems</v>
      </c>
      <c r="S2321" s="28">
        <v>3.3156599999999998</v>
      </c>
      <c r="T2321" s="315">
        <f>_xlfn.MAXIFS('Raw Period DMR Data'!$O:$O,'Raw Period DMR Data'!$A:$A,'Raw Annual DMR Data_2021-2024'!#REF!,'Raw Period DMR Data'!$C:$C,X2321)/S2321</f>
        <v>0</v>
      </c>
      <c r="U2321" s="28" t="str">
        <f>+IF(COUNTIFS('Raw Period DMR Data'!$A:$A,B2321,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21" s="28" t="str" cm="1">
        <f t="array" ref="V2321">IFERROR(INDEX('Raw Period DMR Data'!N:N,MATCH(1,(B2321='Raw Period DMR Data'!$A:$A)*(U2321='Raw Period DMR Data'!M:M)*(X2321='Raw Period DMR Data'!C:C),0),1), "N/A")</f>
        <v>N/A</v>
      </c>
      <c r="W2321" s="28" t="s">
        <v>1463</v>
      </c>
      <c r="X2321" s="28" t="s">
        <v>2315</v>
      </c>
      <c r="Y2321" s="28" t="s">
        <v>2316</v>
      </c>
      <c r="Z2321" s="61" t="s">
        <v>7335</v>
      </c>
      <c r="AB2321" s="28" t="s">
        <v>7355</v>
      </c>
      <c r="AC2321" s="28" t="s">
        <v>263</v>
      </c>
    </row>
    <row r="2322" spans="1:29" x14ac:dyDescent="0.25">
      <c r="A2322" s="61">
        <v>110001905163</v>
      </c>
      <c r="B2322" s="28">
        <v>2024</v>
      </c>
      <c r="C2322" s="68">
        <f t="shared" si="37"/>
        <v>45292</v>
      </c>
      <c r="D2322" s="28" t="s">
        <v>6798</v>
      </c>
      <c r="E2322" s="28" t="s">
        <v>6948</v>
      </c>
      <c r="F2322" s="28" t="s">
        <v>6949</v>
      </c>
      <c r="G2322" s="28" t="s">
        <v>294</v>
      </c>
      <c r="H2322" s="28">
        <v>231500000</v>
      </c>
      <c r="I2322" s="28">
        <v>37.497348000000002</v>
      </c>
      <c r="J2322" s="28">
        <v>-77.244916000000003</v>
      </c>
      <c r="L2322" s="61">
        <v>110001905163</v>
      </c>
      <c r="M2322" s="28" t="s">
        <v>261</v>
      </c>
      <c r="N2322" s="28">
        <v>8734</v>
      </c>
      <c r="O2322" s="28" t="str">
        <f>IFERROR(VLOOKUP(N2322, 'SIC &amp; NAICS Codes'!A:B, 2, FALSE), "")</f>
        <v>Testing Laboratories (except veterinary testing laboratories)</v>
      </c>
      <c r="S2322" s="28">
        <v>8.3816788234724997E-4</v>
      </c>
      <c r="T2322" s="315">
        <f>_xlfn.MAXIFS('Raw Period DMR Data'!$O:$O,'Raw Period DMR Data'!$A:$A,'Raw Annual DMR Data_2021-2024'!#REF!,'Raw Period DMR Data'!$C:$C,X2322)/S2322</f>
        <v>0</v>
      </c>
      <c r="U2322" s="28" t="str">
        <f>+IF(COUNTIFS('Raw Period DMR Data'!$A:$A,B2322,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22" s="28" t="str" cm="1">
        <f t="array" ref="V2322">IFERROR(INDEX('Raw Period DMR Data'!N:N,MATCH(1,(B2322='Raw Period DMR Data'!$A:$A)*(U2322='Raw Period DMR Data'!M:M)*(X2322='Raw Period DMR Data'!C:C),0),1), "N/A")</f>
        <v>N/A</v>
      </c>
      <c r="W2322" s="28" t="s">
        <v>1463</v>
      </c>
      <c r="X2322" s="28" t="s">
        <v>7152</v>
      </c>
      <c r="Y2322" s="28" t="s">
        <v>7264</v>
      </c>
      <c r="Z2322" s="61"/>
      <c r="AB2322" s="28" t="s">
        <v>7355</v>
      </c>
      <c r="AC2322" s="28" t="s">
        <v>1466</v>
      </c>
    </row>
    <row r="2323" spans="1:29" x14ac:dyDescent="0.25">
      <c r="A2323" s="61">
        <v>110004306938</v>
      </c>
      <c r="B2323" s="28">
        <v>2024</v>
      </c>
      <c r="C2323" s="68">
        <f t="shared" si="37"/>
        <v>45292</v>
      </c>
      <c r="D2323" s="28" t="s">
        <v>198</v>
      </c>
      <c r="E2323" s="28" t="s">
        <v>656</v>
      </c>
      <c r="F2323" s="28" t="s">
        <v>657</v>
      </c>
      <c r="G2323" s="28" t="s">
        <v>418</v>
      </c>
      <c r="H2323" s="28">
        <v>89109</v>
      </c>
      <c r="I2323" s="28">
        <v>36.122100000000003</v>
      </c>
      <c r="J2323" s="28">
        <v>-115.17139</v>
      </c>
      <c r="L2323" s="61">
        <v>110004306938</v>
      </c>
      <c r="M2323" s="28" t="s">
        <v>264</v>
      </c>
      <c r="N2323" s="28">
        <v>7011</v>
      </c>
      <c r="O2323" s="28" t="str">
        <f>IFERROR(VLOOKUP(N2323, 'SIC &amp; NAICS Codes'!A:B, 2, FALSE), "")</f>
        <v>Hotels and Motels (hotels, except casino hotels, and motels)</v>
      </c>
      <c r="S2323" s="28">
        <v>0.67920949718750001</v>
      </c>
      <c r="T2323" s="315">
        <f>_xlfn.MAXIFS('Raw Period DMR Data'!$O:$O,'Raw Period DMR Data'!$A:$A,'Raw Annual DMR Data_2021-2024'!#REF!,'Raw Period DMR Data'!$C:$C,X2323)/S2323</f>
        <v>0</v>
      </c>
      <c r="U2323" s="28" t="str">
        <f>+IF(COUNTIFS('Raw Period DMR Data'!$A:$A,B2323,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23" s="28" t="str" cm="1">
        <f t="array" ref="V2323">IFERROR(INDEX('Raw Period DMR Data'!N:N,MATCH(1,(B2323='Raw Period DMR Data'!$A:$A)*(U2323='Raw Period DMR Data'!M:M)*(X2323='Raw Period DMR Data'!C:C),0),1), "N/A")</f>
        <v>N/A</v>
      </c>
      <c r="W2323" s="28" t="s">
        <v>1463</v>
      </c>
      <c r="X2323" s="28" t="s">
        <v>951</v>
      </c>
      <c r="Y2323" s="28" t="s">
        <v>952</v>
      </c>
      <c r="Z2323" s="61">
        <v>15010015000432</v>
      </c>
      <c r="AB2323" s="28" t="s">
        <v>7355</v>
      </c>
      <c r="AC2323" s="28" t="s">
        <v>1466</v>
      </c>
    </row>
    <row r="2324" spans="1:29" x14ac:dyDescent="0.25">
      <c r="A2324" s="61">
        <v>110004306938</v>
      </c>
      <c r="B2324" s="28">
        <v>2023</v>
      </c>
      <c r="C2324" s="68">
        <f t="shared" si="37"/>
        <v>44927</v>
      </c>
      <c r="D2324" s="28" t="s">
        <v>198</v>
      </c>
      <c r="E2324" s="28" t="s">
        <v>656</v>
      </c>
      <c r="F2324" s="28" t="s">
        <v>657</v>
      </c>
      <c r="G2324" s="28" t="s">
        <v>418</v>
      </c>
      <c r="H2324" s="28">
        <v>89109</v>
      </c>
      <c r="I2324" s="28">
        <v>36.122100000000003</v>
      </c>
      <c r="J2324" s="28">
        <v>-115.17139</v>
      </c>
      <c r="L2324" s="61">
        <v>110004306938</v>
      </c>
      <c r="M2324" s="28" t="s">
        <v>264</v>
      </c>
      <c r="N2324" s="28">
        <v>7011</v>
      </c>
      <c r="O2324" s="28" t="str">
        <f>IFERROR(VLOOKUP(N2324, 'SIC &amp; NAICS Codes'!A:B, 2, FALSE), "")</f>
        <v>Hotels and Motels (hotels, except casino hotels, and motels)</v>
      </c>
      <c r="S2324" s="28">
        <v>0.67112412212500006</v>
      </c>
      <c r="T2324" s="315">
        <f>_xlfn.MAXIFS('Raw Period DMR Data'!$O:$O,'Raw Period DMR Data'!$A:$A,'Raw Annual DMR Data_2021-2024'!#REF!,'Raw Period DMR Data'!$C:$C,X2324)/S2324</f>
        <v>0</v>
      </c>
      <c r="U2324" s="28" t="str">
        <f>+IF(COUNTIFS('Raw Period DMR Data'!$A:$A,B2324,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24" s="28" t="str" cm="1">
        <f t="array" ref="V2324">IFERROR(INDEX('Raw Period DMR Data'!N:N,MATCH(1,(B2324='Raw Period DMR Data'!$A:$A)*(U2324='Raw Period DMR Data'!M:M)*(X2324='Raw Period DMR Data'!C:C),0),1), "N/A")</f>
        <v>N/A</v>
      </c>
      <c r="W2324" s="28" t="s">
        <v>1463</v>
      </c>
      <c r="X2324" s="28" t="s">
        <v>951</v>
      </c>
      <c r="Y2324" s="28" t="s">
        <v>952</v>
      </c>
      <c r="Z2324" s="61">
        <v>15010015000432</v>
      </c>
      <c r="AB2324" s="28" t="s">
        <v>7355</v>
      </c>
      <c r="AC2324" s="28" t="s">
        <v>1466</v>
      </c>
    </row>
    <row r="2325" spans="1:29" x14ac:dyDescent="0.25">
      <c r="A2325" s="61">
        <v>110004306938</v>
      </c>
      <c r="B2325" s="28">
        <v>2022</v>
      </c>
      <c r="C2325" s="68">
        <f t="shared" si="37"/>
        <v>44562</v>
      </c>
      <c r="D2325" s="28" t="s">
        <v>198</v>
      </c>
      <c r="E2325" s="28" t="s">
        <v>656</v>
      </c>
      <c r="F2325" s="28" t="s">
        <v>657</v>
      </c>
      <c r="G2325" s="28" t="s">
        <v>418</v>
      </c>
      <c r="H2325" s="28">
        <v>89109</v>
      </c>
      <c r="I2325" s="28">
        <v>36.122100000000003</v>
      </c>
      <c r="J2325" s="28">
        <v>-115.17139</v>
      </c>
      <c r="L2325" s="61">
        <v>110004306938</v>
      </c>
      <c r="M2325" s="28" t="s">
        <v>264</v>
      </c>
      <c r="N2325" s="28">
        <v>7011</v>
      </c>
      <c r="O2325" s="28" t="str">
        <f>IFERROR(VLOOKUP(N2325, 'SIC &amp; NAICS Codes'!A:B, 2, FALSE), "")</f>
        <v>Hotels and Motels (hotels, except casino hotels, and motels)</v>
      </c>
      <c r="S2325" s="28">
        <v>0.32990817</v>
      </c>
      <c r="T2325" s="315">
        <f>_xlfn.MAXIFS('Raw Period DMR Data'!$O:$O,'Raw Period DMR Data'!$A:$A,'Raw Annual DMR Data_2021-2024'!#REF!,'Raw Period DMR Data'!$C:$C,X2325)/S2325</f>
        <v>0</v>
      </c>
      <c r="U2325" s="28" t="str">
        <f>+IF(COUNTIFS('Raw Period DMR Data'!$A:$A,B2325,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25" s="28" t="str" cm="1">
        <f t="array" ref="V2325">IFERROR(INDEX('Raw Period DMR Data'!N:N,MATCH(1,(B2325='Raw Period DMR Data'!$A:$A)*(U2325='Raw Period DMR Data'!M:M)*(X2325='Raw Period DMR Data'!C:C),0),1), "N/A")</f>
        <v>N/A</v>
      </c>
      <c r="W2325" s="28" t="s">
        <v>1463</v>
      </c>
      <c r="X2325" s="28" t="s">
        <v>951</v>
      </c>
      <c r="Y2325" s="28" t="s">
        <v>952</v>
      </c>
      <c r="Z2325" s="61">
        <v>15010015000432</v>
      </c>
      <c r="AB2325" s="28" t="s">
        <v>7355</v>
      </c>
      <c r="AC2325" s="28" t="s">
        <v>1466</v>
      </c>
    </row>
    <row r="2326" spans="1:29" x14ac:dyDescent="0.25">
      <c r="A2326" s="61">
        <v>110004306938</v>
      </c>
      <c r="B2326" s="28">
        <v>2021</v>
      </c>
      <c r="C2326" s="68">
        <f t="shared" si="37"/>
        <v>44197</v>
      </c>
      <c r="D2326" s="28" t="s">
        <v>198</v>
      </c>
      <c r="E2326" s="28" t="s">
        <v>656</v>
      </c>
      <c r="F2326" s="28" t="s">
        <v>657</v>
      </c>
      <c r="G2326" s="28" t="s">
        <v>418</v>
      </c>
      <c r="H2326" s="28">
        <v>89109</v>
      </c>
      <c r="I2326" s="28">
        <v>36.122100000000003</v>
      </c>
      <c r="J2326" s="28">
        <v>-115.17139</v>
      </c>
      <c r="L2326" s="61">
        <v>110004306938</v>
      </c>
      <c r="M2326" s="28" t="s">
        <v>264</v>
      </c>
      <c r="N2326" s="28">
        <v>7011</v>
      </c>
      <c r="O2326" s="28" t="str">
        <f>IFERROR(VLOOKUP(N2326, 'SIC &amp; NAICS Codes'!A:B, 2, FALSE), "")</f>
        <v>Hotels and Motels (hotels, except casino hotels, and motels)</v>
      </c>
      <c r="S2326" s="28">
        <v>0.16635633287500001</v>
      </c>
      <c r="T2326" s="315">
        <f>_xlfn.MAXIFS('Raw Period DMR Data'!$O:$O,'Raw Period DMR Data'!$A:$A,'Raw Annual DMR Data_2021-2024'!#REF!,'Raw Period DMR Data'!$C:$C,X2326)/S2326</f>
        <v>0</v>
      </c>
      <c r="U2326" s="28" t="str">
        <f>+IF(COUNTIFS('Raw Period DMR Data'!$A:$A,B2326,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26" s="28" t="str" cm="1">
        <f t="array" ref="V2326">IFERROR(INDEX('Raw Period DMR Data'!N:N,MATCH(1,(B2326='Raw Period DMR Data'!$A:$A)*(U2326='Raw Period DMR Data'!M:M)*(X2326='Raw Period DMR Data'!C:C),0),1), "N/A")</f>
        <v>N/A</v>
      </c>
      <c r="W2326" s="28" t="s">
        <v>1463</v>
      </c>
      <c r="X2326" s="28" t="s">
        <v>951</v>
      </c>
      <c r="Y2326" s="28" t="s">
        <v>952</v>
      </c>
      <c r="Z2326" s="61">
        <v>15010015000432</v>
      </c>
      <c r="AA2326" s="28"/>
      <c r="AB2326" s="28" t="s">
        <v>7355</v>
      </c>
      <c r="AC2326" s="28" t="s">
        <v>1466</v>
      </c>
    </row>
    <row r="2327" spans="1:29" x14ac:dyDescent="0.25">
      <c r="A2327" s="61">
        <v>110004306938</v>
      </c>
      <c r="B2327" s="28">
        <v>2022</v>
      </c>
      <c r="C2327" s="68">
        <f t="shared" si="37"/>
        <v>44562</v>
      </c>
      <c r="D2327" s="28" t="s">
        <v>198</v>
      </c>
      <c r="E2327" s="28" t="s">
        <v>656</v>
      </c>
      <c r="F2327" s="28" t="s">
        <v>657</v>
      </c>
      <c r="G2327" s="28" t="s">
        <v>418</v>
      </c>
      <c r="H2327" s="28">
        <v>89109</v>
      </c>
      <c r="I2327" s="28">
        <v>36.122100000000003</v>
      </c>
      <c r="J2327" s="28">
        <v>-115.17139</v>
      </c>
      <c r="L2327" s="61">
        <v>110004306938</v>
      </c>
      <c r="M2327" s="28" t="s">
        <v>264</v>
      </c>
      <c r="N2327" s="28">
        <v>7011</v>
      </c>
      <c r="O2327" s="28" t="str">
        <f>IFERROR(VLOOKUP(N2327, 'SIC &amp; NAICS Codes'!A:B, 2, FALSE), "")</f>
        <v>Hotels and Motels (hotels, except casino hotels, and motels)</v>
      </c>
      <c r="S2327" s="28">
        <v>0.145080847875</v>
      </c>
      <c r="T2327" s="315">
        <f>_xlfn.MAXIFS('Raw Period DMR Data'!$O:$O,'Raw Period DMR Data'!$A:$A,'Raw Annual DMR Data_2021-2024'!#REF!,'Raw Period DMR Data'!$C:$C,X2327)/S2327</f>
        <v>0</v>
      </c>
      <c r="U2327" s="28" t="str">
        <f>+IF(COUNTIFS('Raw Period DMR Data'!$A:$A,B2327,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27" s="28" t="str" cm="1">
        <f t="array" ref="V2327">IFERROR(INDEX('Raw Period DMR Data'!N:N,MATCH(1,(B2327='Raw Period DMR Data'!$A:$A)*(U2327='Raw Period DMR Data'!M:M)*(X2327='Raw Period DMR Data'!C:C),0),1), "N/A")</f>
        <v>N/A</v>
      </c>
      <c r="W2327" s="28" t="s">
        <v>1463</v>
      </c>
      <c r="X2327" s="28" t="s">
        <v>951</v>
      </c>
      <c r="Y2327" s="28" t="s">
        <v>952</v>
      </c>
      <c r="Z2327" s="61">
        <v>15010015000432</v>
      </c>
      <c r="AB2327" s="28" t="s">
        <v>7355</v>
      </c>
      <c r="AC2327" s="28" t="s">
        <v>1466</v>
      </c>
    </row>
    <row r="2328" spans="1:29" x14ac:dyDescent="0.25">
      <c r="A2328" s="61">
        <v>110004306938</v>
      </c>
      <c r="B2328" s="28">
        <v>2022</v>
      </c>
      <c r="C2328" s="68">
        <f t="shared" si="37"/>
        <v>44562</v>
      </c>
      <c r="D2328" s="28" t="s">
        <v>198</v>
      </c>
      <c r="E2328" s="28" t="s">
        <v>656</v>
      </c>
      <c r="F2328" s="28" t="s">
        <v>657</v>
      </c>
      <c r="G2328" s="28" t="s">
        <v>418</v>
      </c>
      <c r="H2328" s="28">
        <v>89109</v>
      </c>
      <c r="I2328" s="28">
        <v>36.122100000000003</v>
      </c>
      <c r="J2328" s="28">
        <v>-115.17139</v>
      </c>
      <c r="L2328" s="61">
        <v>110004306938</v>
      </c>
      <c r="M2328" s="28" t="s">
        <v>264</v>
      </c>
      <c r="N2328" s="28">
        <v>7011</v>
      </c>
      <c r="O2328" s="28" t="str">
        <f>IFERROR(VLOOKUP(N2328, 'SIC &amp; NAICS Codes'!A:B, 2, FALSE), "")</f>
        <v>Hotels and Motels (hotels, except casino hotels, and motels)</v>
      </c>
      <c r="S2328" s="28">
        <v>9.1149565687500003E-2</v>
      </c>
      <c r="T2328" s="315">
        <f>_xlfn.MAXIFS('Raw Period DMR Data'!$O:$O,'Raw Period DMR Data'!$A:$A,'Raw Annual DMR Data_2021-2024'!#REF!,'Raw Period DMR Data'!$C:$C,X2328)/S2328</f>
        <v>0</v>
      </c>
      <c r="U2328" s="28" t="str">
        <f>+IF(COUNTIFS('Raw Period DMR Data'!$A:$A,B2328,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28" s="28" t="str" cm="1">
        <f t="array" ref="V2328">IFERROR(INDEX('Raw Period DMR Data'!N:N,MATCH(1,(B2328='Raw Period DMR Data'!$A:$A)*(U2328='Raw Period DMR Data'!M:M)*(X2328='Raw Period DMR Data'!C:C),0),1), "N/A")</f>
        <v>N/A</v>
      </c>
      <c r="W2328" s="28" t="s">
        <v>1463</v>
      </c>
      <c r="X2328" s="28" t="s">
        <v>951</v>
      </c>
      <c r="Y2328" s="28" t="s">
        <v>952</v>
      </c>
      <c r="Z2328" s="61">
        <v>15010015000432</v>
      </c>
      <c r="AB2328" s="28" t="s">
        <v>7355</v>
      </c>
      <c r="AC2328" s="28" t="s">
        <v>1466</v>
      </c>
    </row>
    <row r="2329" spans="1:29" x14ac:dyDescent="0.25">
      <c r="A2329" s="61">
        <v>110004306938</v>
      </c>
      <c r="B2329" s="28">
        <v>2022</v>
      </c>
      <c r="C2329" s="68">
        <f t="shared" si="37"/>
        <v>44562</v>
      </c>
      <c r="D2329" s="28" t="s">
        <v>198</v>
      </c>
      <c r="E2329" s="28" t="s">
        <v>656</v>
      </c>
      <c r="F2329" s="28" t="s">
        <v>657</v>
      </c>
      <c r="G2329" s="28" t="s">
        <v>418</v>
      </c>
      <c r="H2329" s="28">
        <v>89109</v>
      </c>
      <c r="I2329" s="28">
        <v>36.122100000000003</v>
      </c>
      <c r="J2329" s="28">
        <v>-115.17139</v>
      </c>
      <c r="L2329" s="61">
        <v>110004306938</v>
      </c>
      <c r="M2329" s="28" t="s">
        <v>264</v>
      </c>
      <c r="N2329" s="28">
        <v>7011</v>
      </c>
      <c r="O2329" s="28" t="str">
        <f>IFERROR(VLOOKUP(N2329, 'SIC &amp; NAICS Codes'!A:B, 2, FALSE), "")</f>
        <v>Hotels and Motels (hotels, except casino hotels, and motels)</v>
      </c>
      <c r="S2329" s="28">
        <v>6.6845087124999994E-2</v>
      </c>
      <c r="T2329" s="315">
        <f>_xlfn.MAXIFS('Raw Period DMR Data'!$O:$O,'Raw Period DMR Data'!$A:$A,'Raw Annual DMR Data_2021-2024'!#REF!,'Raw Period DMR Data'!$C:$C,X2329)/S2329</f>
        <v>0</v>
      </c>
      <c r="U2329" s="28" t="str">
        <f>+IF(COUNTIFS('Raw Period DMR Data'!$A:$A,B2329,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29" s="28" t="str" cm="1">
        <f t="array" ref="V2329">IFERROR(INDEX('Raw Period DMR Data'!N:N,MATCH(1,(B2329='Raw Period DMR Data'!$A:$A)*(U2329='Raw Period DMR Data'!M:M)*(X2329='Raw Period DMR Data'!C:C),0),1), "N/A")</f>
        <v>N/A</v>
      </c>
      <c r="W2329" s="28" t="s">
        <v>1463</v>
      </c>
      <c r="X2329" s="28" t="s">
        <v>951</v>
      </c>
      <c r="Y2329" s="28" t="s">
        <v>952</v>
      </c>
      <c r="Z2329" s="61">
        <v>15010015000432</v>
      </c>
      <c r="AB2329" s="28" t="s">
        <v>7355</v>
      </c>
      <c r="AC2329" s="28" t="s">
        <v>1466</v>
      </c>
    </row>
    <row r="2330" spans="1:29" x14ac:dyDescent="0.25">
      <c r="A2330" s="61">
        <v>110004306938</v>
      </c>
      <c r="B2330" s="28">
        <v>2021</v>
      </c>
      <c r="C2330" s="68">
        <f t="shared" si="37"/>
        <v>44197</v>
      </c>
      <c r="D2330" s="28" t="s">
        <v>198</v>
      </c>
      <c r="E2330" s="28" t="s">
        <v>656</v>
      </c>
      <c r="F2330" s="28" t="s">
        <v>657</v>
      </c>
      <c r="G2330" s="28" t="s">
        <v>418</v>
      </c>
      <c r="H2330" s="28">
        <v>89109</v>
      </c>
      <c r="I2330" s="28">
        <v>36.122100000000003</v>
      </c>
      <c r="J2330" s="28">
        <v>-115.17139</v>
      </c>
      <c r="L2330" s="61">
        <v>110004306938</v>
      </c>
      <c r="M2330" s="28" t="s">
        <v>264</v>
      </c>
      <c r="N2330" s="28">
        <v>7011</v>
      </c>
      <c r="O2330" s="28" t="str">
        <f>IFERROR(VLOOKUP(N2330, 'SIC &amp; NAICS Codes'!A:B, 2, FALSE), "")</f>
        <v>Hotels and Motels (hotels, except casino hotels, and motels)</v>
      </c>
      <c r="S2330" s="28">
        <v>4.4208799999999999E-2</v>
      </c>
      <c r="T2330" s="315">
        <f>_xlfn.MAXIFS('Raw Period DMR Data'!$O:$O,'Raw Period DMR Data'!$A:$A,'Raw Annual DMR Data_2021-2024'!#REF!,'Raw Period DMR Data'!$C:$C,X2330)/S2330</f>
        <v>0</v>
      </c>
      <c r="U2330" s="28" t="str">
        <f>+IF(COUNTIFS('Raw Period DMR Data'!$A:$A,B2330,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30" s="28" t="str" cm="1">
        <f t="array" ref="V2330">IFERROR(INDEX('Raw Period DMR Data'!N:N,MATCH(1,(B2330='Raw Period DMR Data'!$A:$A)*(U2330='Raw Period DMR Data'!M:M)*(X2330='Raw Period DMR Data'!C:C),0),1), "N/A")</f>
        <v>N/A</v>
      </c>
      <c r="W2330" s="28" t="s">
        <v>1463</v>
      </c>
      <c r="X2330" s="28" t="s">
        <v>951</v>
      </c>
      <c r="Y2330" s="28" t="s">
        <v>952</v>
      </c>
      <c r="Z2330" s="61">
        <v>15010015000432</v>
      </c>
      <c r="AA2330" s="28"/>
      <c r="AB2330" s="28" t="s">
        <v>7355</v>
      </c>
      <c r="AC2330" s="28" t="s">
        <v>1466</v>
      </c>
    </row>
    <row r="2331" spans="1:29" x14ac:dyDescent="0.25">
      <c r="A2331" s="61">
        <v>110004306938</v>
      </c>
      <c r="B2331" s="28">
        <v>2023</v>
      </c>
      <c r="C2331" s="68">
        <f t="shared" si="37"/>
        <v>44927</v>
      </c>
      <c r="D2331" s="28" t="s">
        <v>198</v>
      </c>
      <c r="E2331" s="28" t="s">
        <v>656</v>
      </c>
      <c r="F2331" s="28" t="s">
        <v>657</v>
      </c>
      <c r="G2331" s="28" t="s">
        <v>418</v>
      </c>
      <c r="H2331" s="28">
        <v>89109</v>
      </c>
      <c r="I2331" s="28">
        <v>36.122100000000003</v>
      </c>
      <c r="J2331" s="28">
        <v>-115.17139</v>
      </c>
      <c r="L2331" s="61">
        <v>110004306938</v>
      </c>
      <c r="M2331" s="28" t="s">
        <v>264</v>
      </c>
      <c r="N2331" s="28">
        <v>7011</v>
      </c>
      <c r="O2331" s="28" t="str">
        <f>IFERROR(VLOOKUP(N2331, 'SIC &amp; NAICS Codes'!A:B, 2, FALSE), "")</f>
        <v>Hotels and Motels (hotels, except casino hotels, and motels)</v>
      </c>
      <c r="S2331" s="28">
        <v>3.9787919999999997E-2</v>
      </c>
      <c r="T2331" s="315">
        <f>_xlfn.MAXIFS('Raw Period DMR Data'!$O:$O,'Raw Period DMR Data'!$A:$A,'Raw Annual DMR Data_2021-2024'!#REF!,'Raw Period DMR Data'!$C:$C,X2331)/S2331</f>
        <v>0</v>
      </c>
      <c r="U2331" s="28" t="str">
        <f>+IF(COUNTIFS('Raw Period DMR Data'!$A:$A,B2331,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31" s="28" t="str" cm="1">
        <f t="array" ref="V2331">IFERROR(INDEX('Raw Period DMR Data'!N:N,MATCH(1,(B2331='Raw Period DMR Data'!$A:$A)*(U2331='Raw Period DMR Data'!M:M)*(X2331='Raw Period DMR Data'!C:C),0),1), "N/A")</f>
        <v>N/A</v>
      </c>
      <c r="W2331" s="28" t="s">
        <v>1463</v>
      </c>
      <c r="X2331" s="28" t="s">
        <v>951</v>
      </c>
      <c r="Y2331" s="28" t="s">
        <v>952</v>
      </c>
      <c r="Z2331" s="61">
        <v>15010015000432</v>
      </c>
      <c r="AB2331" s="28" t="s">
        <v>7355</v>
      </c>
      <c r="AC2331" s="28" t="s">
        <v>1466</v>
      </c>
    </row>
    <row r="2332" spans="1:29" x14ac:dyDescent="0.25">
      <c r="A2332" s="61">
        <v>110004306938</v>
      </c>
      <c r="B2332" s="28">
        <v>2023</v>
      </c>
      <c r="C2332" s="68">
        <f t="shared" si="37"/>
        <v>44927</v>
      </c>
      <c r="D2332" s="28" t="s">
        <v>198</v>
      </c>
      <c r="E2332" s="28" t="s">
        <v>656</v>
      </c>
      <c r="F2332" s="28" t="s">
        <v>657</v>
      </c>
      <c r="G2332" s="28" t="s">
        <v>418</v>
      </c>
      <c r="H2332" s="28">
        <v>89109</v>
      </c>
      <c r="I2332" s="28">
        <v>36.122100000000003</v>
      </c>
      <c r="J2332" s="28">
        <v>-115.17139</v>
      </c>
      <c r="L2332" s="61">
        <v>110004306938</v>
      </c>
      <c r="M2332" s="28" t="s">
        <v>264</v>
      </c>
      <c r="N2332" s="28">
        <v>7011</v>
      </c>
      <c r="O2332" s="28" t="str">
        <f>IFERROR(VLOOKUP(N2332, 'SIC &amp; NAICS Codes'!A:B, 2, FALSE), "")</f>
        <v>Hotels and Motels (hotels, except casino hotels, and motels)</v>
      </c>
      <c r="S2332" s="28">
        <v>2.5347529937499998E-2</v>
      </c>
      <c r="T2332" s="315">
        <f>_xlfn.MAXIFS('Raw Period DMR Data'!$O:$O,'Raw Period DMR Data'!$A:$A,'Raw Annual DMR Data_2021-2024'!#REF!,'Raw Period DMR Data'!$C:$C,X2332)/S2332</f>
        <v>0</v>
      </c>
      <c r="U2332" s="28" t="str">
        <f>+IF(COUNTIFS('Raw Period DMR Data'!$A:$A,B2332,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32" s="28" t="str" cm="1">
        <f t="array" ref="V2332">IFERROR(INDEX('Raw Period DMR Data'!N:N,MATCH(1,(B2332='Raw Period DMR Data'!$A:$A)*(U2332='Raw Period DMR Data'!M:M)*(X2332='Raw Period DMR Data'!C:C),0),1), "N/A")</f>
        <v>N/A</v>
      </c>
      <c r="W2332" s="28" t="s">
        <v>1463</v>
      </c>
      <c r="X2332" s="28" t="s">
        <v>951</v>
      </c>
      <c r="Y2332" s="28" t="s">
        <v>952</v>
      </c>
      <c r="Z2332" s="61">
        <v>15010015000432</v>
      </c>
      <c r="AB2332" s="28" t="s">
        <v>7355</v>
      </c>
      <c r="AC2332" s="28" t="s">
        <v>1466</v>
      </c>
    </row>
    <row r="2333" spans="1:29" x14ac:dyDescent="0.25">
      <c r="A2333" s="61">
        <v>110004306938</v>
      </c>
      <c r="B2333" s="28">
        <v>2021</v>
      </c>
      <c r="C2333" s="68">
        <f t="shared" si="37"/>
        <v>44197</v>
      </c>
      <c r="D2333" s="28" t="s">
        <v>198</v>
      </c>
      <c r="E2333" s="28" t="s">
        <v>656</v>
      </c>
      <c r="F2333" s="28" t="s">
        <v>657</v>
      </c>
      <c r="G2333" s="28" t="s">
        <v>418</v>
      </c>
      <c r="H2333" s="28">
        <v>89109</v>
      </c>
      <c r="I2333" s="28">
        <v>36.122100000000003</v>
      </c>
      <c r="J2333" s="28">
        <v>-115.17139</v>
      </c>
      <c r="L2333" s="61">
        <v>110004306938</v>
      </c>
      <c r="M2333" s="28" t="s">
        <v>264</v>
      </c>
      <c r="N2333" s="28">
        <v>7011</v>
      </c>
      <c r="O2333" s="28" t="str">
        <f>IFERROR(VLOOKUP(N2333, 'SIC &amp; NAICS Codes'!A:B, 2, FALSE), "")</f>
        <v>Hotels and Motels (hotels, except casino hotels, and motels)</v>
      </c>
      <c r="S2333" s="28">
        <v>2.3333957249999999E-2</v>
      </c>
      <c r="T2333" s="315">
        <f>_xlfn.MAXIFS('Raw Period DMR Data'!$O:$O,'Raw Period DMR Data'!$A:$A,'Raw Annual DMR Data_2021-2024'!#REF!,'Raw Period DMR Data'!$C:$C,X2333)/S2333</f>
        <v>0</v>
      </c>
      <c r="U2333" s="28" t="str">
        <f>+IF(COUNTIFS('Raw Period DMR Data'!$A:$A,B2333,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33" s="28" t="str" cm="1">
        <f t="array" ref="V2333">IFERROR(INDEX('Raw Period DMR Data'!N:N,MATCH(1,(B2333='Raw Period DMR Data'!$A:$A)*(U2333='Raw Period DMR Data'!M:M)*(X2333='Raw Period DMR Data'!C:C),0),1), "N/A")</f>
        <v>N/A</v>
      </c>
      <c r="W2333" s="28" t="s">
        <v>1463</v>
      </c>
      <c r="X2333" s="28" t="s">
        <v>951</v>
      </c>
      <c r="Y2333" s="28" t="s">
        <v>952</v>
      </c>
      <c r="Z2333" s="61">
        <v>15010015000432</v>
      </c>
      <c r="AA2333" s="28"/>
      <c r="AB2333" s="28" t="s">
        <v>7355</v>
      </c>
      <c r="AC2333" s="28" t="s">
        <v>1466</v>
      </c>
    </row>
    <row r="2334" spans="1:29" x14ac:dyDescent="0.25">
      <c r="A2334" s="61">
        <v>110004306938</v>
      </c>
      <c r="B2334" s="28">
        <v>2024</v>
      </c>
      <c r="C2334" s="68">
        <f t="shared" si="37"/>
        <v>45292</v>
      </c>
      <c r="D2334" s="28" t="s">
        <v>198</v>
      </c>
      <c r="E2334" s="28" t="s">
        <v>656</v>
      </c>
      <c r="F2334" s="28" t="s">
        <v>657</v>
      </c>
      <c r="G2334" s="28" t="s">
        <v>418</v>
      </c>
      <c r="H2334" s="28">
        <v>89109</v>
      </c>
      <c r="I2334" s="28">
        <v>36.122100000000003</v>
      </c>
      <c r="J2334" s="28">
        <v>-115.17139</v>
      </c>
      <c r="L2334" s="61">
        <v>110004306938</v>
      </c>
      <c r="M2334" s="28" t="s">
        <v>264</v>
      </c>
      <c r="N2334" s="28">
        <v>7011</v>
      </c>
      <c r="O2334" s="28" t="str">
        <f>IFERROR(VLOOKUP(N2334, 'SIC &amp; NAICS Codes'!A:B, 2, FALSE), "")</f>
        <v>Hotels and Motels (hotels, except casino hotels, and motels)</v>
      </c>
      <c r="S2334" s="28">
        <v>2.2325444E-2</v>
      </c>
      <c r="T2334" s="315">
        <f>_xlfn.MAXIFS('Raw Period DMR Data'!$O:$O,'Raw Period DMR Data'!$A:$A,'Raw Annual DMR Data_2021-2024'!#REF!,'Raw Period DMR Data'!$C:$C,X2334)/S2334</f>
        <v>0</v>
      </c>
      <c r="U2334" s="28" t="str">
        <f>+IF(COUNTIFS('Raw Period DMR Data'!$A:$A,B2334,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34" s="28" t="str" cm="1">
        <f t="array" ref="V2334">IFERROR(INDEX('Raw Period DMR Data'!N:N,MATCH(1,(B2334='Raw Period DMR Data'!$A:$A)*(U2334='Raw Period DMR Data'!M:M)*(X2334='Raw Period DMR Data'!C:C),0),1), "N/A")</f>
        <v>N/A</v>
      </c>
      <c r="W2334" s="28" t="s">
        <v>1463</v>
      </c>
      <c r="X2334" s="28" t="s">
        <v>951</v>
      </c>
      <c r="Y2334" s="28" t="s">
        <v>952</v>
      </c>
      <c r="Z2334" s="61">
        <v>15010015000432</v>
      </c>
      <c r="AB2334" s="28" t="s">
        <v>7355</v>
      </c>
      <c r="AC2334" s="28" t="s">
        <v>1466</v>
      </c>
    </row>
    <row r="2335" spans="1:29" x14ac:dyDescent="0.25">
      <c r="A2335" s="61">
        <v>110004306938</v>
      </c>
      <c r="B2335" s="28">
        <v>2024</v>
      </c>
      <c r="C2335" s="68">
        <f t="shared" si="37"/>
        <v>45292</v>
      </c>
      <c r="D2335" s="28" t="s">
        <v>198</v>
      </c>
      <c r="E2335" s="28" t="s">
        <v>656</v>
      </c>
      <c r="F2335" s="28" t="s">
        <v>657</v>
      </c>
      <c r="G2335" s="28" t="s">
        <v>418</v>
      </c>
      <c r="H2335" s="28">
        <v>89109</v>
      </c>
      <c r="I2335" s="28">
        <v>36.122100000000003</v>
      </c>
      <c r="J2335" s="28">
        <v>-115.17139</v>
      </c>
      <c r="L2335" s="61">
        <v>110004306938</v>
      </c>
      <c r="M2335" s="28" t="s">
        <v>264</v>
      </c>
      <c r="N2335" s="28">
        <v>7011</v>
      </c>
      <c r="O2335" s="28" t="str">
        <f>IFERROR(VLOOKUP(N2335, 'SIC &amp; NAICS Codes'!A:B, 2, FALSE), "")</f>
        <v>Hotels and Motels (hotels, except casino hotels, and motels)</v>
      </c>
      <c r="S2335" s="28">
        <v>2.1002633812500001E-2</v>
      </c>
      <c r="T2335" s="315">
        <f>_xlfn.MAXIFS('Raw Period DMR Data'!$O:$O,'Raw Period DMR Data'!$A:$A,'Raw Annual DMR Data_2021-2024'!#REF!,'Raw Period DMR Data'!$C:$C,X2335)/S2335</f>
        <v>0</v>
      </c>
      <c r="U2335" s="28" t="str">
        <f>+IF(COUNTIFS('Raw Period DMR Data'!$A:$A,B2335,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35" s="28" t="str" cm="1">
        <f t="array" ref="V2335">IFERROR(INDEX('Raw Period DMR Data'!N:N,MATCH(1,(B2335='Raw Period DMR Data'!$A:$A)*(U2335='Raw Period DMR Data'!M:M)*(X2335='Raw Period DMR Data'!C:C),0),1), "N/A")</f>
        <v>N/A</v>
      </c>
      <c r="W2335" s="28" t="s">
        <v>1463</v>
      </c>
      <c r="X2335" s="28" t="s">
        <v>951</v>
      </c>
      <c r="Y2335" s="28" t="s">
        <v>952</v>
      </c>
      <c r="Z2335" s="61">
        <v>15010015000432</v>
      </c>
      <c r="AB2335" s="28" t="s">
        <v>7355</v>
      </c>
      <c r="AC2335" s="28" t="s">
        <v>1466</v>
      </c>
    </row>
    <row r="2336" spans="1:29" x14ac:dyDescent="0.25">
      <c r="A2336" s="61">
        <v>110004306938</v>
      </c>
      <c r="B2336" s="28">
        <v>2023</v>
      </c>
      <c r="C2336" s="68">
        <f t="shared" si="37"/>
        <v>44927</v>
      </c>
      <c r="D2336" s="28" t="s">
        <v>198</v>
      </c>
      <c r="E2336" s="28" t="s">
        <v>656</v>
      </c>
      <c r="F2336" s="28" t="s">
        <v>657</v>
      </c>
      <c r="G2336" s="28" t="s">
        <v>418</v>
      </c>
      <c r="H2336" s="28">
        <v>89109</v>
      </c>
      <c r="I2336" s="28">
        <v>36.122100000000003</v>
      </c>
      <c r="J2336" s="28">
        <v>-115.17139</v>
      </c>
      <c r="L2336" s="61">
        <v>110004306938</v>
      </c>
      <c r="M2336" s="28" t="s">
        <v>264</v>
      </c>
      <c r="N2336" s="28">
        <v>7011</v>
      </c>
      <c r="O2336" s="28" t="str">
        <f>IFERROR(VLOOKUP(N2336, 'SIC &amp; NAICS Codes'!A:B, 2, FALSE), "")</f>
        <v>Hotels and Motels (hotels, except casino hotels, and motels)</v>
      </c>
      <c r="S2336" s="28">
        <v>1.94138800625E-2</v>
      </c>
      <c r="T2336" s="315">
        <f>_xlfn.MAXIFS('Raw Period DMR Data'!$O:$O,'Raw Period DMR Data'!$A:$A,'Raw Annual DMR Data_2021-2024'!#REF!,'Raw Period DMR Data'!$C:$C,X2336)/S2336</f>
        <v>0</v>
      </c>
      <c r="U2336" s="28" t="str">
        <f>+IF(COUNTIFS('Raw Period DMR Data'!$A:$A,B2336,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36" s="28" t="str" cm="1">
        <f t="array" ref="V2336">IFERROR(INDEX('Raw Period DMR Data'!N:N,MATCH(1,(B2336='Raw Period DMR Data'!$A:$A)*(U2336='Raw Period DMR Data'!M:M)*(X2336='Raw Period DMR Data'!C:C),0),1), "N/A")</f>
        <v>N/A</v>
      </c>
      <c r="W2336" s="28" t="s">
        <v>1463</v>
      </c>
      <c r="X2336" s="28" t="s">
        <v>951</v>
      </c>
      <c r="Y2336" s="28" t="s">
        <v>952</v>
      </c>
      <c r="Z2336" s="61">
        <v>15010015000432</v>
      </c>
      <c r="AB2336" s="28" t="s">
        <v>7355</v>
      </c>
      <c r="AC2336" s="28" t="s">
        <v>1466</v>
      </c>
    </row>
    <row r="2337" spans="1:29" x14ac:dyDescent="0.25">
      <c r="A2337" s="61">
        <v>110004306938</v>
      </c>
      <c r="B2337" s="28">
        <v>2021</v>
      </c>
      <c r="C2337" s="68">
        <f t="shared" si="37"/>
        <v>44197</v>
      </c>
      <c r="D2337" s="28" t="s">
        <v>198</v>
      </c>
      <c r="E2337" s="28" t="s">
        <v>656</v>
      </c>
      <c r="F2337" s="28" t="s">
        <v>657</v>
      </c>
      <c r="G2337" s="28" t="s">
        <v>418</v>
      </c>
      <c r="H2337" s="28">
        <v>89109</v>
      </c>
      <c r="I2337" s="28">
        <v>36.122100000000003</v>
      </c>
      <c r="J2337" s="28">
        <v>-115.17139</v>
      </c>
      <c r="L2337" s="61">
        <v>110004306938</v>
      </c>
      <c r="M2337" s="28" t="s">
        <v>264</v>
      </c>
      <c r="N2337" s="28">
        <v>7011</v>
      </c>
      <c r="O2337" s="28" t="str">
        <f>IFERROR(VLOOKUP(N2337, 'SIC &amp; NAICS Codes'!A:B, 2, FALSE), "")</f>
        <v>Hotels and Motels (hotels, except casino hotels, and motels)</v>
      </c>
      <c r="S2337" s="28">
        <v>1.53591041875E-2</v>
      </c>
      <c r="T2337" s="315">
        <f>_xlfn.MAXIFS('Raw Period DMR Data'!$O:$O,'Raw Period DMR Data'!$A:$A,'Raw Annual DMR Data_2021-2024'!#REF!,'Raw Period DMR Data'!$C:$C,X2337)/S2337</f>
        <v>0</v>
      </c>
      <c r="U2337" s="28" t="str">
        <f>+IF(COUNTIFS('Raw Period DMR Data'!$A:$A,B2337,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37" s="28" t="str" cm="1">
        <f t="array" ref="V2337">IFERROR(INDEX('Raw Period DMR Data'!N:N,MATCH(1,(B2337='Raw Period DMR Data'!$A:$A)*(U2337='Raw Period DMR Data'!M:M)*(X2337='Raw Period DMR Data'!C:C),0),1), "N/A")</f>
        <v>N/A</v>
      </c>
      <c r="W2337" s="28" t="s">
        <v>1463</v>
      </c>
      <c r="X2337" s="28" t="s">
        <v>951</v>
      </c>
      <c r="Y2337" s="28" t="s">
        <v>952</v>
      </c>
      <c r="Z2337" s="61">
        <v>15010015000432</v>
      </c>
      <c r="AA2337" s="28"/>
      <c r="AB2337" s="28" t="s">
        <v>7355</v>
      </c>
      <c r="AC2337" s="28" t="s">
        <v>1466</v>
      </c>
    </row>
    <row r="2338" spans="1:29" x14ac:dyDescent="0.25">
      <c r="A2338" s="61">
        <v>110004306938</v>
      </c>
      <c r="B2338" s="28">
        <v>2021</v>
      </c>
      <c r="C2338" s="68">
        <f t="shared" si="37"/>
        <v>44197</v>
      </c>
      <c r="D2338" s="28" t="s">
        <v>198</v>
      </c>
      <c r="E2338" s="28" t="s">
        <v>656</v>
      </c>
      <c r="F2338" s="28" t="s">
        <v>657</v>
      </c>
      <c r="G2338" s="28" t="s">
        <v>418</v>
      </c>
      <c r="H2338" s="28">
        <v>89109</v>
      </c>
      <c r="I2338" s="28">
        <v>36.122100000000003</v>
      </c>
      <c r="J2338" s="28">
        <v>-115.17139</v>
      </c>
      <c r="L2338" s="61">
        <v>110004306938</v>
      </c>
      <c r="M2338" s="28" t="s">
        <v>264</v>
      </c>
      <c r="N2338" s="28">
        <v>7011</v>
      </c>
      <c r="O2338" s="28" t="str">
        <f>IFERROR(VLOOKUP(N2338, 'SIC &amp; NAICS Codes'!A:B, 2, FALSE), "")</f>
        <v>Hotels and Motels (hotels, except casino hotels, and motels)</v>
      </c>
      <c r="S2338" s="28">
        <v>7.8228853124999997E-3</v>
      </c>
      <c r="T2338" s="315">
        <f>_xlfn.MAXIFS('Raw Period DMR Data'!$O:$O,'Raw Period DMR Data'!$A:$A,'Raw Annual DMR Data_2021-2024'!#REF!,'Raw Period DMR Data'!$C:$C,X2338)/S2338</f>
        <v>0</v>
      </c>
      <c r="U2338" s="28" t="str">
        <f>+IF(COUNTIFS('Raw Period DMR Data'!$A:$A,B2338,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38" s="28" t="str" cm="1">
        <f t="array" ref="V2338">IFERROR(INDEX('Raw Period DMR Data'!N:N,MATCH(1,(B2338='Raw Period DMR Data'!$A:$A)*(U2338='Raw Period DMR Data'!M:M)*(X2338='Raw Period DMR Data'!C:C),0),1), "N/A")</f>
        <v>N/A</v>
      </c>
      <c r="W2338" s="28" t="s">
        <v>1463</v>
      </c>
      <c r="X2338" s="28" t="s">
        <v>951</v>
      </c>
      <c r="Y2338" s="28" t="s">
        <v>952</v>
      </c>
      <c r="Z2338" s="61">
        <v>15010015000432</v>
      </c>
      <c r="AA2338" s="28"/>
      <c r="AB2338" s="28" t="s">
        <v>7355</v>
      </c>
      <c r="AC2338" s="28" t="s">
        <v>1466</v>
      </c>
    </row>
    <row r="2339" spans="1:29" x14ac:dyDescent="0.25">
      <c r="A2339" s="61">
        <v>110004306938</v>
      </c>
      <c r="B2339" s="28">
        <v>2021</v>
      </c>
      <c r="C2339" s="68">
        <f t="shared" si="37"/>
        <v>44197</v>
      </c>
      <c r="D2339" s="28" t="s">
        <v>198</v>
      </c>
      <c r="E2339" s="28" t="s">
        <v>656</v>
      </c>
      <c r="F2339" s="28" t="s">
        <v>657</v>
      </c>
      <c r="G2339" s="28" t="s">
        <v>418</v>
      </c>
      <c r="H2339" s="28">
        <v>89109</v>
      </c>
      <c r="I2339" s="28">
        <v>36.122100000000003</v>
      </c>
      <c r="J2339" s="28">
        <v>-115.17139</v>
      </c>
      <c r="L2339" s="61">
        <v>110004306938</v>
      </c>
      <c r="M2339" s="28" t="s">
        <v>264</v>
      </c>
      <c r="N2339" s="28">
        <v>7011</v>
      </c>
      <c r="O2339" s="28" t="str">
        <f>IFERROR(VLOOKUP(N2339, 'SIC &amp; NAICS Codes'!A:B, 2, FALSE), "")</f>
        <v>Hotels and Motels (hotels, except casino hotels, and motels)</v>
      </c>
      <c r="S2339" s="28">
        <v>7.2771829374999996E-3</v>
      </c>
      <c r="T2339" s="315">
        <f>_xlfn.MAXIFS('Raw Period DMR Data'!$O:$O,'Raw Period DMR Data'!$A:$A,'Raw Annual DMR Data_2021-2024'!#REF!,'Raw Period DMR Data'!$C:$C,X2339)/S2339</f>
        <v>0</v>
      </c>
      <c r="U2339" s="28" t="str">
        <f>+IF(COUNTIFS('Raw Period DMR Data'!$A:$A,B2339,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39" s="28" t="str" cm="1">
        <f t="array" ref="V2339">IFERROR(INDEX('Raw Period DMR Data'!N:N,MATCH(1,(B2339='Raw Period DMR Data'!$A:$A)*(U2339='Raw Period DMR Data'!M:M)*(X2339='Raw Period DMR Data'!C:C),0),1), "N/A")</f>
        <v>N/A</v>
      </c>
      <c r="W2339" s="28" t="s">
        <v>1463</v>
      </c>
      <c r="X2339" s="28" t="s">
        <v>951</v>
      </c>
      <c r="Y2339" s="28" t="s">
        <v>952</v>
      </c>
      <c r="Z2339" s="61">
        <v>15010015000432</v>
      </c>
      <c r="AA2339" s="28"/>
      <c r="AB2339" s="28" t="s">
        <v>7355</v>
      </c>
      <c r="AC2339" s="28" t="s">
        <v>1466</v>
      </c>
    </row>
    <row r="2340" spans="1:29" x14ac:dyDescent="0.25">
      <c r="A2340" s="61">
        <v>110004306938</v>
      </c>
      <c r="B2340" s="28">
        <v>2024</v>
      </c>
      <c r="C2340" s="68">
        <f t="shared" si="37"/>
        <v>45292</v>
      </c>
      <c r="D2340" s="28" t="s">
        <v>198</v>
      </c>
      <c r="E2340" s="28" t="s">
        <v>656</v>
      </c>
      <c r="F2340" s="28" t="s">
        <v>657</v>
      </c>
      <c r="G2340" s="28" t="s">
        <v>418</v>
      </c>
      <c r="H2340" s="28">
        <v>89109</v>
      </c>
      <c r="I2340" s="28">
        <v>36.122100000000003</v>
      </c>
      <c r="J2340" s="28">
        <v>-115.17139</v>
      </c>
      <c r="L2340" s="61">
        <v>110004306938</v>
      </c>
      <c r="M2340" s="28" t="s">
        <v>264</v>
      </c>
      <c r="N2340" s="28">
        <v>7011</v>
      </c>
      <c r="O2340" s="28" t="str">
        <f>IFERROR(VLOOKUP(N2340, 'SIC &amp; NAICS Codes'!A:B, 2, FALSE), "")</f>
        <v>Hotels and Motels (hotels, except casino hotels, and motels)</v>
      </c>
      <c r="S2340" s="28">
        <v>3.3916438750000001E-3</v>
      </c>
      <c r="T2340" s="315">
        <f>_xlfn.MAXIFS('Raw Period DMR Data'!$O:$O,'Raw Period DMR Data'!$A:$A,'Raw Annual DMR Data_2021-2024'!#REF!,'Raw Period DMR Data'!$C:$C,X2340)/S2340</f>
        <v>0</v>
      </c>
      <c r="U2340" s="28" t="str">
        <f>+IF(COUNTIFS('Raw Period DMR Data'!$A:$A,B2340,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40" s="28" t="str" cm="1">
        <f t="array" ref="V2340">IFERROR(INDEX('Raw Period DMR Data'!N:N,MATCH(1,(B2340='Raw Period DMR Data'!$A:$A)*(U2340='Raw Period DMR Data'!M:M)*(X2340='Raw Period DMR Data'!C:C),0),1), "N/A")</f>
        <v>N/A</v>
      </c>
      <c r="W2340" s="28" t="s">
        <v>1463</v>
      </c>
      <c r="X2340" s="28" t="s">
        <v>951</v>
      </c>
      <c r="Y2340" s="28" t="s">
        <v>952</v>
      </c>
      <c r="Z2340" s="61">
        <v>15010015000432</v>
      </c>
      <c r="AB2340" s="28" t="s">
        <v>7355</v>
      </c>
      <c r="AC2340" s="28" t="s">
        <v>1466</v>
      </c>
    </row>
    <row r="2341" spans="1:29" x14ac:dyDescent="0.25">
      <c r="A2341" s="61">
        <v>110004306938</v>
      </c>
      <c r="B2341" s="28">
        <v>2024</v>
      </c>
      <c r="C2341" s="68">
        <f t="shared" si="37"/>
        <v>45292</v>
      </c>
      <c r="D2341" s="28" t="s">
        <v>198</v>
      </c>
      <c r="E2341" s="28" t="s">
        <v>656</v>
      </c>
      <c r="F2341" s="28" t="s">
        <v>657</v>
      </c>
      <c r="G2341" s="28" t="s">
        <v>418</v>
      </c>
      <c r="H2341" s="28">
        <v>89109</v>
      </c>
      <c r="I2341" s="28">
        <v>36.122100000000003</v>
      </c>
      <c r="J2341" s="28">
        <v>-115.17139</v>
      </c>
      <c r="L2341" s="61">
        <v>110004306938</v>
      </c>
      <c r="M2341" s="28" t="s">
        <v>264</v>
      </c>
      <c r="N2341" s="28">
        <v>7011</v>
      </c>
      <c r="O2341" s="28" t="str">
        <f>IFERROR(VLOOKUP(N2341, 'SIC &amp; NAICS Codes'!A:B, 2, FALSE), "")</f>
        <v>Hotels and Motels (hotels, except casino hotels, and motels)</v>
      </c>
      <c r="S2341" s="28">
        <v>2.6283513125E-3</v>
      </c>
      <c r="T2341" s="315">
        <f>_xlfn.MAXIFS('Raw Period DMR Data'!$O:$O,'Raw Period DMR Data'!$A:$A,'Raw Annual DMR Data_2021-2024'!#REF!,'Raw Period DMR Data'!$C:$C,X2341)/S2341</f>
        <v>0</v>
      </c>
      <c r="U2341" s="28" t="str">
        <f>+IF(COUNTIFS('Raw Period DMR Data'!$A:$A,B2341,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41" s="28" t="str" cm="1">
        <f t="array" ref="V2341">IFERROR(INDEX('Raw Period DMR Data'!N:N,MATCH(1,(B2341='Raw Period DMR Data'!$A:$A)*(U2341='Raw Period DMR Data'!M:M)*(X2341='Raw Period DMR Data'!C:C),0),1), "N/A")</f>
        <v>N/A</v>
      </c>
      <c r="W2341" s="28" t="s">
        <v>1463</v>
      </c>
      <c r="X2341" s="28" t="s">
        <v>951</v>
      </c>
      <c r="Y2341" s="28" t="s">
        <v>952</v>
      </c>
      <c r="Z2341" s="61">
        <v>15010015000432</v>
      </c>
      <c r="AB2341" s="28" t="s">
        <v>7355</v>
      </c>
      <c r="AC2341" s="28" t="s">
        <v>1466</v>
      </c>
    </row>
    <row r="2342" spans="1:29" x14ac:dyDescent="0.25">
      <c r="A2342" s="61">
        <v>110004306938</v>
      </c>
      <c r="B2342" s="28">
        <v>2022</v>
      </c>
      <c r="C2342" s="68">
        <f t="shared" si="37"/>
        <v>44562</v>
      </c>
      <c r="D2342" s="28" t="s">
        <v>198</v>
      </c>
      <c r="E2342" s="28" t="s">
        <v>656</v>
      </c>
      <c r="F2342" s="28" t="s">
        <v>657</v>
      </c>
      <c r="G2342" s="28" t="s">
        <v>418</v>
      </c>
      <c r="H2342" s="28">
        <v>89109</v>
      </c>
      <c r="I2342" s="28">
        <v>36.122100000000003</v>
      </c>
      <c r="J2342" s="28">
        <v>-115.17139</v>
      </c>
      <c r="L2342" s="61">
        <v>110004306938</v>
      </c>
      <c r="M2342" s="28" t="s">
        <v>264</v>
      </c>
      <c r="N2342" s="28">
        <v>7011</v>
      </c>
      <c r="O2342" s="28" t="str">
        <f>IFERROR(VLOOKUP(N2342, 'SIC &amp; NAICS Codes'!A:B, 2, FALSE), "")</f>
        <v>Hotels and Motels (hotels, except casino hotels, and motels)</v>
      </c>
      <c r="S2342" s="28">
        <v>5.6642525000000004E-4</v>
      </c>
      <c r="T2342" s="315">
        <f>_xlfn.MAXIFS('Raw Period DMR Data'!$O:$O,'Raw Period DMR Data'!$A:$A,'Raw Annual DMR Data_2021-2024'!#REF!,'Raw Period DMR Data'!$C:$C,X2342)/S2342</f>
        <v>0</v>
      </c>
      <c r="U2342" s="28" t="str">
        <f>+IF(COUNTIFS('Raw Period DMR Data'!$A:$A,B2342,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42" s="28" t="str" cm="1">
        <f t="array" ref="V2342">IFERROR(INDEX('Raw Period DMR Data'!N:N,MATCH(1,(B2342='Raw Period DMR Data'!$A:$A)*(U2342='Raw Period DMR Data'!M:M)*(X2342='Raw Period DMR Data'!C:C),0),1), "N/A")</f>
        <v>N/A</v>
      </c>
      <c r="W2342" s="28" t="s">
        <v>1463</v>
      </c>
      <c r="X2342" s="28" t="s">
        <v>951</v>
      </c>
      <c r="Y2342" s="28" t="s">
        <v>952</v>
      </c>
      <c r="Z2342" s="61">
        <v>15010015000432</v>
      </c>
      <c r="AB2342" s="28" t="s">
        <v>7355</v>
      </c>
      <c r="AC2342" s="28" t="s">
        <v>1466</v>
      </c>
    </row>
    <row r="2343" spans="1:29" x14ac:dyDescent="0.25">
      <c r="A2343" s="61">
        <v>110006040989</v>
      </c>
      <c r="B2343" s="28">
        <v>2024</v>
      </c>
      <c r="C2343" s="68">
        <f t="shared" si="37"/>
        <v>45292</v>
      </c>
      <c r="D2343" s="28" t="s">
        <v>6858</v>
      </c>
      <c r="E2343" s="28" t="s">
        <v>2320</v>
      </c>
      <c r="F2343" s="28" t="s">
        <v>1405</v>
      </c>
      <c r="G2343" s="28" t="s">
        <v>427</v>
      </c>
      <c r="H2343" s="28" t="s">
        <v>2321</v>
      </c>
      <c r="I2343" s="28">
        <v>42.338805999999998</v>
      </c>
      <c r="J2343" s="28">
        <v>-85.144028000000006</v>
      </c>
      <c r="L2343" s="61">
        <v>110006040989</v>
      </c>
      <c r="M2343" s="28" t="s">
        <v>265</v>
      </c>
      <c r="N2343" s="28">
        <v>9999</v>
      </c>
      <c r="O2343" s="28" t="str">
        <f>IFERROR(VLOOKUP(N2343, 'SIC &amp; NAICS Codes'!A:B, 2, FALSE), "")</f>
        <v>Nonclassifiable Establishments</v>
      </c>
      <c r="S2343" s="28">
        <v>0.95508797499999998</v>
      </c>
      <c r="T2343" s="315">
        <f>_xlfn.MAXIFS('Raw Period DMR Data'!$O:$O,'Raw Period DMR Data'!$A:$A,'Raw Annual DMR Data_2021-2024'!#REF!,'Raw Period DMR Data'!$C:$C,X2343)/S2343</f>
        <v>0</v>
      </c>
      <c r="U2343" s="28" t="str">
        <f>+IF(COUNTIFS('Raw Period DMR Data'!$A:$A,B2343,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43" s="28" t="str" cm="1">
        <f t="array" ref="V2343">IFERROR(INDEX('Raw Period DMR Data'!N:N,MATCH(1,(B2343='Raw Period DMR Data'!$A:$A)*(U2343='Raw Period DMR Data'!M:M)*(X2343='Raw Period DMR Data'!C:C),0),1), "N/A")</f>
        <v>N/A</v>
      </c>
      <c r="W2343" s="28" t="s">
        <v>1463</v>
      </c>
      <c r="X2343" s="28" t="s">
        <v>2322</v>
      </c>
      <c r="Y2343" s="28" t="s">
        <v>2323</v>
      </c>
      <c r="Z2343" s="61">
        <v>4050003000125</v>
      </c>
      <c r="AB2343" s="28" t="s">
        <v>7355</v>
      </c>
      <c r="AC2343" s="28" t="s">
        <v>1466</v>
      </c>
    </row>
    <row r="2344" spans="1:29" x14ac:dyDescent="0.25">
      <c r="A2344" s="61">
        <v>110006040989</v>
      </c>
      <c r="B2344" s="28">
        <v>2023</v>
      </c>
      <c r="C2344" s="68">
        <f t="shared" si="37"/>
        <v>44927</v>
      </c>
      <c r="D2344" s="28" t="s">
        <v>6858</v>
      </c>
      <c r="E2344" s="28" t="s">
        <v>2320</v>
      </c>
      <c r="F2344" s="28" t="s">
        <v>1405</v>
      </c>
      <c r="G2344" s="28" t="s">
        <v>427</v>
      </c>
      <c r="H2344" s="28" t="s">
        <v>2321</v>
      </c>
      <c r="I2344" s="28">
        <v>42.338805999999998</v>
      </c>
      <c r="J2344" s="28">
        <v>-85.144028000000006</v>
      </c>
      <c r="L2344" s="61">
        <v>110006040989</v>
      </c>
      <c r="M2344" s="28" t="s">
        <v>265</v>
      </c>
      <c r="N2344" s="28">
        <v>9999</v>
      </c>
      <c r="O2344" s="28" t="str">
        <f>IFERROR(VLOOKUP(N2344, 'SIC &amp; NAICS Codes'!A:B, 2, FALSE), "")</f>
        <v>Nonclassifiable Establishments</v>
      </c>
      <c r="S2344" s="28">
        <v>0.90419864999999999</v>
      </c>
      <c r="T2344" s="315">
        <f>_xlfn.MAXIFS('Raw Period DMR Data'!$O:$O,'Raw Period DMR Data'!$A:$A,'Raw Annual DMR Data_2021-2024'!#REF!,'Raw Period DMR Data'!$C:$C,X2344)/S2344</f>
        <v>0</v>
      </c>
      <c r="U2344" s="28" t="str">
        <f>+IF(COUNTIFS('Raw Period DMR Data'!$A:$A,B2344,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44" s="28" t="str" cm="1">
        <f t="array" ref="V2344">IFERROR(INDEX('Raw Period DMR Data'!N:N,MATCH(1,(B2344='Raw Period DMR Data'!$A:$A)*(U2344='Raw Period DMR Data'!M:M)*(X2344='Raw Period DMR Data'!C:C),0),1), "N/A")</f>
        <v>N/A</v>
      </c>
      <c r="W2344" s="28" t="s">
        <v>1463</v>
      </c>
      <c r="X2344" s="28" t="s">
        <v>2322</v>
      </c>
      <c r="Y2344" s="28" t="s">
        <v>2323</v>
      </c>
      <c r="Z2344" s="61" t="s">
        <v>7345</v>
      </c>
      <c r="AB2344" s="28" t="s">
        <v>7355</v>
      </c>
      <c r="AC2344" s="28" t="s">
        <v>1466</v>
      </c>
    </row>
    <row r="2345" spans="1:29" x14ac:dyDescent="0.25">
      <c r="A2345" s="61">
        <v>110006040989</v>
      </c>
      <c r="B2345" s="28">
        <v>2021</v>
      </c>
      <c r="C2345" s="68">
        <f t="shared" si="37"/>
        <v>44197</v>
      </c>
      <c r="D2345" s="28" t="s">
        <v>6858</v>
      </c>
      <c r="E2345" s="28" t="s">
        <v>2320</v>
      </c>
      <c r="F2345" s="28" t="s">
        <v>1405</v>
      </c>
      <c r="G2345" s="28" t="s">
        <v>427</v>
      </c>
      <c r="H2345" s="28" t="s">
        <v>2321</v>
      </c>
      <c r="I2345" s="28">
        <v>42.338805999999998</v>
      </c>
      <c r="J2345" s="28">
        <v>-85.144028000000006</v>
      </c>
      <c r="L2345" s="61">
        <v>110006040989</v>
      </c>
      <c r="M2345" s="28" t="s">
        <v>265</v>
      </c>
      <c r="N2345" s="28">
        <v>9999</v>
      </c>
      <c r="O2345" s="28" t="str">
        <f>IFERROR(VLOOKUP(N2345, 'SIC &amp; NAICS Codes'!A:B, 2, FALSE), "")</f>
        <v>Nonclassifiable Establishments</v>
      </c>
      <c r="S2345" s="28">
        <v>0.88304050000000001</v>
      </c>
      <c r="T2345" s="315">
        <f>_xlfn.MAXIFS('Raw Period DMR Data'!$O:$O,'Raw Period DMR Data'!$A:$A,'Raw Annual DMR Data_2021-2024'!#REF!,'Raw Period DMR Data'!$C:$C,X2345)/S2345</f>
        <v>0</v>
      </c>
      <c r="U2345" s="28" t="str">
        <f>+IF(COUNTIFS('Raw Period DMR Data'!$A:$A,B2345,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45" s="28" t="str" cm="1">
        <f t="array" ref="V2345">IFERROR(INDEX('Raw Period DMR Data'!N:N,MATCH(1,(B2345='Raw Period DMR Data'!$A:$A)*(U2345='Raw Period DMR Data'!M:M)*(X2345='Raw Period DMR Data'!C:C),0),1), "N/A")</f>
        <v>N/A</v>
      </c>
      <c r="W2345" s="28" t="s">
        <v>1463</v>
      </c>
      <c r="X2345" s="28" t="s">
        <v>2322</v>
      </c>
      <c r="Y2345" s="28" t="s">
        <v>2323</v>
      </c>
      <c r="Z2345" s="61">
        <v>4050003000125</v>
      </c>
      <c r="AB2345" s="28" t="s">
        <v>7355</v>
      </c>
      <c r="AC2345" s="28" t="s">
        <v>1466</v>
      </c>
    </row>
    <row r="2346" spans="1:29" x14ac:dyDescent="0.25">
      <c r="A2346" s="61">
        <v>110006040989</v>
      </c>
      <c r="B2346" s="28">
        <v>2022</v>
      </c>
      <c r="C2346" s="68">
        <f t="shared" si="37"/>
        <v>44562</v>
      </c>
      <c r="D2346" s="28" t="s">
        <v>6858</v>
      </c>
      <c r="E2346" s="28" t="s">
        <v>2320</v>
      </c>
      <c r="F2346" s="28" t="s">
        <v>1405</v>
      </c>
      <c r="G2346" s="28" t="s">
        <v>427</v>
      </c>
      <c r="H2346" s="28" t="s">
        <v>2321</v>
      </c>
      <c r="I2346" s="28">
        <v>42.338805999999998</v>
      </c>
      <c r="J2346" s="28">
        <v>-85.144028000000006</v>
      </c>
      <c r="L2346" s="61">
        <v>110006040989</v>
      </c>
      <c r="M2346" s="28" t="s">
        <v>265</v>
      </c>
      <c r="N2346" s="28">
        <v>9999</v>
      </c>
      <c r="O2346" s="28" t="str">
        <f>IFERROR(VLOOKUP(N2346, 'SIC &amp; NAICS Codes'!A:B, 2, FALSE), "")</f>
        <v>Nonclassifiable Establishments</v>
      </c>
      <c r="S2346" s="28">
        <v>0.87463780000000002</v>
      </c>
      <c r="T2346" s="315">
        <f>_xlfn.MAXIFS('Raw Period DMR Data'!$O:$O,'Raw Period DMR Data'!$A:$A,'Raw Annual DMR Data_2021-2024'!#REF!,'Raw Period DMR Data'!$C:$C,X2346)/S2346</f>
        <v>0</v>
      </c>
      <c r="U2346" s="28" t="str">
        <f>+IF(COUNTIFS('Raw Period DMR Data'!$A:$A,B2346,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46" s="28" t="str" cm="1">
        <f t="array" ref="V2346">IFERROR(INDEX('Raw Period DMR Data'!N:N,MATCH(1,(B2346='Raw Period DMR Data'!$A:$A)*(U2346='Raw Period DMR Data'!M:M)*(X2346='Raw Period DMR Data'!C:C),0),1), "N/A")</f>
        <v>N/A</v>
      </c>
      <c r="W2346" s="28" t="s">
        <v>1463</v>
      </c>
      <c r="X2346" s="28" t="s">
        <v>2322</v>
      </c>
      <c r="Y2346" s="28" t="s">
        <v>2323</v>
      </c>
      <c r="Z2346" s="61">
        <v>4050003000125</v>
      </c>
      <c r="AB2346" s="28" t="s">
        <v>7355</v>
      </c>
      <c r="AC2346" s="28" t="s">
        <v>1466</v>
      </c>
    </row>
    <row r="2347" spans="1:29" x14ac:dyDescent="0.25">
      <c r="A2347" s="61">
        <v>110071428198</v>
      </c>
      <c r="B2347" s="28">
        <v>2023</v>
      </c>
      <c r="C2347" s="68">
        <f t="shared" si="37"/>
        <v>44927</v>
      </c>
      <c r="D2347" s="28" t="s">
        <v>6908</v>
      </c>
      <c r="E2347" s="28" t="s">
        <v>7108</v>
      </c>
      <c r="F2347" s="28" t="s">
        <v>7109</v>
      </c>
      <c r="G2347" s="28" t="s">
        <v>294</v>
      </c>
      <c r="H2347" s="28">
        <v>22180</v>
      </c>
      <c r="I2347" s="28">
        <v>38.899099999999997</v>
      </c>
      <c r="J2347" s="28">
        <v>-77.269300000000001</v>
      </c>
      <c r="L2347" s="61">
        <v>110071428198</v>
      </c>
      <c r="M2347" s="28" t="s">
        <v>265</v>
      </c>
      <c r="N2347" s="28">
        <v>6519</v>
      </c>
      <c r="O2347" s="28" t="str">
        <f>IFERROR(VLOOKUP(N2347, 'SIC &amp; NAICS Codes'!A:B, 2, FALSE), "")</f>
        <v>Lessors of Real Property, NEC</v>
      </c>
      <c r="S2347" s="28">
        <v>5.3597838524699999E-3</v>
      </c>
      <c r="T2347" s="315">
        <f>_xlfn.MAXIFS('Raw Period DMR Data'!$O:$O,'Raw Period DMR Data'!$A:$A,'Raw Annual DMR Data_2021-2024'!#REF!,'Raw Period DMR Data'!$C:$C,X2347)/S2347</f>
        <v>0</v>
      </c>
      <c r="U2347" s="28" t="str">
        <f>+IF(COUNTIFS('Raw Period DMR Data'!$A:$A,B2347,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47" s="28" t="str" cm="1">
        <f t="array" ref="V2347">IFERROR(INDEX('Raw Period DMR Data'!N:N,MATCH(1,(B2347='Raw Period DMR Data'!$A:$A)*(U2347='Raw Period DMR Data'!M:M)*(X2347='Raw Period DMR Data'!C:C),0),1), "N/A")</f>
        <v>N/A</v>
      </c>
      <c r="W2347" s="28" t="s">
        <v>1463</v>
      </c>
      <c r="X2347" s="28" t="s">
        <v>7239</v>
      </c>
      <c r="Y2347" s="28" t="s">
        <v>2293</v>
      </c>
      <c r="Z2347" s="61"/>
      <c r="AB2347" s="28" t="s">
        <v>7355</v>
      </c>
      <c r="AC2347" s="28" t="s">
        <v>1466</v>
      </c>
    </row>
    <row r="2348" spans="1:29" x14ac:dyDescent="0.25">
      <c r="A2348" s="61">
        <v>110071428198</v>
      </c>
      <c r="B2348" s="28">
        <v>2024</v>
      </c>
      <c r="C2348" s="68">
        <f t="shared" si="37"/>
        <v>45292</v>
      </c>
      <c r="D2348" s="28" t="s">
        <v>6908</v>
      </c>
      <c r="E2348" s="28" t="s">
        <v>7108</v>
      </c>
      <c r="F2348" s="28" t="s">
        <v>7109</v>
      </c>
      <c r="G2348" s="28" t="s">
        <v>294</v>
      </c>
      <c r="H2348" s="28">
        <v>22180</v>
      </c>
      <c r="I2348" s="28">
        <v>38.899099999999997</v>
      </c>
      <c r="J2348" s="28">
        <v>-77.269300000000001</v>
      </c>
      <c r="L2348" s="61">
        <v>110071428198</v>
      </c>
      <c r="M2348" s="28" t="s">
        <v>265</v>
      </c>
      <c r="N2348" s="28">
        <v>6519</v>
      </c>
      <c r="O2348" s="28" t="str">
        <f>IFERROR(VLOOKUP(N2348, 'SIC &amp; NAICS Codes'!A:B, 2, FALSE), "")</f>
        <v>Lessors of Real Property, NEC</v>
      </c>
      <c r="S2348" s="28">
        <v>2.48661141109474E-3</v>
      </c>
      <c r="T2348" s="315">
        <f>_xlfn.MAXIFS('Raw Period DMR Data'!$O:$O,'Raw Period DMR Data'!$A:$A,'Raw Annual DMR Data_2021-2024'!#REF!,'Raw Period DMR Data'!$C:$C,X2348)/S2348</f>
        <v>0</v>
      </c>
      <c r="U2348" s="28" t="str">
        <f>+IF(COUNTIFS('Raw Period DMR Data'!$A:$A,B2348,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48" s="28" t="str" cm="1">
        <f t="array" ref="V2348">IFERROR(INDEX('Raw Period DMR Data'!N:N,MATCH(1,(B2348='Raw Period DMR Data'!$A:$A)*(U2348='Raw Period DMR Data'!M:M)*(X2348='Raw Period DMR Data'!C:C),0),1), "N/A")</f>
        <v>N/A</v>
      </c>
      <c r="W2348" s="28" t="s">
        <v>1463</v>
      </c>
      <c r="X2348" s="28" t="s">
        <v>7239</v>
      </c>
      <c r="Y2348" s="28" t="s">
        <v>2293</v>
      </c>
      <c r="Z2348" s="61"/>
      <c r="AA2348" s="60" t="s">
        <v>7355</v>
      </c>
      <c r="AB2348" s="28" t="s">
        <v>7355</v>
      </c>
      <c r="AC2348" s="28" t="s">
        <v>1466</v>
      </c>
    </row>
    <row r="2349" spans="1:29" x14ac:dyDescent="0.25">
      <c r="A2349" s="61">
        <v>110064418553</v>
      </c>
      <c r="B2349" s="28">
        <v>2021</v>
      </c>
      <c r="C2349" s="68">
        <f t="shared" si="37"/>
        <v>44197</v>
      </c>
      <c r="D2349" s="28" t="s">
        <v>1410</v>
      </c>
      <c r="E2349" s="28" t="s">
        <v>2331</v>
      </c>
      <c r="F2349" s="28" t="s">
        <v>657</v>
      </c>
      <c r="G2349" s="28" t="s">
        <v>418</v>
      </c>
      <c r="H2349" s="28">
        <v>89106</v>
      </c>
      <c r="I2349" s="28">
        <v>36.19997</v>
      </c>
      <c r="J2349" s="28">
        <v>-115.19658</v>
      </c>
      <c r="L2349" s="61">
        <v>110064418553</v>
      </c>
      <c r="M2349" s="28" t="s">
        <v>265</v>
      </c>
      <c r="N2349" s="28">
        <v>5541</v>
      </c>
      <c r="O2349" s="28" t="str">
        <f>IFERROR(VLOOKUP(N2349, 'SIC &amp; NAICS Codes'!A:B, 2, FALSE), "")</f>
        <v>Gasoline Service Station (gasoline station with convenience store)</v>
      </c>
      <c r="S2349" s="28">
        <v>4.9734899999999997E-3</v>
      </c>
      <c r="T2349" s="315">
        <f>_xlfn.MAXIFS('Raw Period DMR Data'!$O:$O,'Raw Period DMR Data'!$A:$A,'Raw Annual DMR Data_2021-2024'!#REF!,'Raw Period DMR Data'!$C:$C,X2349)/S2349</f>
        <v>0</v>
      </c>
      <c r="U2349" s="28" t="str">
        <f>+IF(COUNTIFS('Raw Period DMR Data'!$A:$A,B2349,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49" s="28" t="str" cm="1">
        <f t="array" ref="V2349">IFERROR(INDEX('Raw Period DMR Data'!N:N,MATCH(1,(B2349='Raw Period DMR Data'!$A:$A)*(U2349='Raw Period DMR Data'!M:M)*(X2349='Raw Period DMR Data'!C:C),0),1), "N/A")</f>
        <v>N/A</v>
      </c>
      <c r="W2349" s="28" t="s">
        <v>1463</v>
      </c>
      <c r="X2349" s="28" t="s">
        <v>2332</v>
      </c>
      <c r="Y2349" s="28" t="s">
        <v>1893</v>
      </c>
      <c r="Z2349" s="61">
        <v>15010015000124</v>
      </c>
      <c r="AA2349" s="28"/>
      <c r="AB2349" s="28" t="s">
        <v>7355</v>
      </c>
      <c r="AC2349" s="28" t="s">
        <v>1466</v>
      </c>
    </row>
    <row r="2350" spans="1:29" x14ac:dyDescent="0.25">
      <c r="A2350" s="61">
        <v>110070884632</v>
      </c>
      <c r="B2350" s="28">
        <v>2021</v>
      </c>
      <c r="C2350" s="68">
        <f t="shared" si="37"/>
        <v>44197</v>
      </c>
      <c r="D2350" s="28" t="s">
        <v>1411</v>
      </c>
      <c r="E2350" s="28" t="s">
        <v>2333</v>
      </c>
      <c r="F2350" s="28" t="s">
        <v>1403</v>
      </c>
      <c r="G2350" s="28" t="s">
        <v>294</v>
      </c>
      <c r="H2350" s="28">
        <v>23452</v>
      </c>
      <c r="I2350" s="28">
        <v>36.844686000000003</v>
      </c>
      <c r="J2350" s="28">
        <v>-76.072886999999994</v>
      </c>
      <c r="L2350" s="61">
        <v>110070884632</v>
      </c>
      <c r="M2350" s="28" t="s">
        <v>265</v>
      </c>
      <c r="N2350" s="28">
        <v>5541</v>
      </c>
      <c r="O2350" s="28" t="str">
        <f>IFERROR(VLOOKUP(N2350, 'SIC &amp; NAICS Codes'!A:B, 2, FALSE), "")</f>
        <v>Gasoline Service Station (gasoline station with convenience store)</v>
      </c>
      <c r="S2350" s="28">
        <v>3.2920416000000001E-2</v>
      </c>
      <c r="T2350" s="315">
        <f>_xlfn.MAXIFS('Raw Period DMR Data'!$O:$O,'Raw Period DMR Data'!$A:$A,'Raw Annual DMR Data_2021-2024'!#REF!,'Raw Period DMR Data'!$C:$C,X2350)/S2350</f>
        <v>0</v>
      </c>
      <c r="U2350" s="28" t="str">
        <f>+IF(COUNTIFS('Raw Period DMR Data'!$A:$A,B2350,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50" s="28" t="str" cm="1">
        <f t="array" ref="V2350">IFERROR(INDEX('Raw Period DMR Data'!N:N,MATCH(1,(B2350='Raw Period DMR Data'!$A:$A)*(U2350='Raw Period DMR Data'!M:M)*(X2350='Raw Period DMR Data'!C:C),0),1), "N/A")</f>
        <v>N/A</v>
      </c>
      <c r="W2350" s="28" t="s">
        <v>1463</v>
      </c>
      <c r="X2350" s="28" t="s">
        <v>2334</v>
      </c>
      <c r="Y2350" s="28" t="s">
        <v>2335</v>
      </c>
      <c r="Z2350" s="61"/>
      <c r="AA2350" s="28"/>
      <c r="AB2350" s="28" t="s">
        <v>7355</v>
      </c>
      <c r="AC2350" s="28" t="s">
        <v>1466</v>
      </c>
    </row>
    <row r="2351" spans="1:29" x14ac:dyDescent="0.25">
      <c r="A2351" s="61">
        <v>110071149439</v>
      </c>
      <c r="B2351" s="28">
        <v>2021</v>
      </c>
      <c r="C2351" s="68">
        <f t="shared" si="37"/>
        <v>44197</v>
      </c>
      <c r="D2351" s="28" t="s">
        <v>6854</v>
      </c>
      <c r="E2351" s="28" t="s">
        <v>7013</v>
      </c>
      <c r="F2351" s="28" t="s">
        <v>968</v>
      </c>
      <c r="G2351" s="28" t="s">
        <v>294</v>
      </c>
      <c r="H2351" s="28">
        <v>22305</v>
      </c>
      <c r="I2351" s="28">
        <v>38.837561999999998</v>
      </c>
      <c r="J2351" s="28">
        <v>-77.048931999999994</v>
      </c>
      <c r="L2351" s="61">
        <v>110071149439</v>
      </c>
      <c r="M2351" s="28" t="s">
        <v>265</v>
      </c>
      <c r="N2351" s="28">
        <v>1794</v>
      </c>
      <c r="O2351" s="28" t="str">
        <f>IFERROR(VLOOKUP(N2351, 'SIC &amp; NAICS Codes'!A:B, 2, FALSE), "")</f>
        <v>Excavation Work</v>
      </c>
      <c r="S2351" s="28">
        <v>0.2316201984</v>
      </c>
      <c r="T2351" s="315">
        <f>_xlfn.MAXIFS('Raw Period DMR Data'!$O:$O,'Raw Period DMR Data'!$A:$A,'Raw Annual DMR Data_2021-2024'!#REF!,'Raw Period DMR Data'!$C:$C,X2351)/S2351</f>
        <v>0</v>
      </c>
      <c r="U2351" s="28" t="str">
        <f>+IF(COUNTIFS('Raw Period DMR Data'!$A:$A,B2351,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51" s="28" t="str" cm="1">
        <f t="array" ref="V2351">IFERROR(INDEX('Raw Period DMR Data'!N:N,MATCH(1,(B2351='Raw Period DMR Data'!$A:$A)*(U2351='Raw Period DMR Data'!M:M)*(X2351='Raw Period DMR Data'!C:C),0),1), "N/A")</f>
        <v>N/A</v>
      </c>
      <c r="W2351" s="28" t="s">
        <v>1463</v>
      </c>
      <c r="X2351" s="28" t="s">
        <v>7185</v>
      </c>
      <c r="Y2351" s="28" t="s">
        <v>1475</v>
      </c>
      <c r="Z2351" s="61"/>
      <c r="AB2351" s="28" t="s">
        <v>7355</v>
      </c>
      <c r="AC2351" s="28" t="s">
        <v>1466</v>
      </c>
    </row>
    <row r="2352" spans="1:29" x14ac:dyDescent="0.25">
      <c r="A2352" s="61">
        <v>110071149439</v>
      </c>
      <c r="B2352" s="28">
        <v>2022</v>
      </c>
      <c r="C2352" s="68">
        <f t="shared" si="37"/>
        <v>44562</v>
      </c>
      <c r="D2352" s="28" t="s">
        <v>6854</v>
      </c>
      <c r="E2352" s="28" t="s">
        <v>7013</v>
      </c>
      <c r="F2352" s="28" t="s">
        <v>968</v>
      </c>
      <c r="G2352" s="28" t="s">
        <v>294</v>
      </c>
      <c r="H2352" s="28">
        <v>22305</v>
      </c>
      <c r="I2352" s="28">
        <v>38.837561999999998</v>
      </c>
      <c r="J2352" s="28">
        <v>-77.048931999999994</v>
      </c>
      <c r="L2352" s="61">
        <v>110071149439</v>
      </c>
      <c r="M2352" s="28" t="s">
        <v>265</v>
      </c>
      <c r="N2352" s="28">
        <v>1794</v>
      </c>
      <c r="O2352" s="28" t="str">
        <f>IFERROR(VLOOKUP(N2352, 'SIC &amp; NAICS Codes'!A:B, 2, FALSE), "")</f>
        <v>Excavation Work</v>
      </c>
      <c r="S2352" s="28">
        <v>7.4829409122000007E-2</v>
      </c>
      <c r="T2352" s="315">
        <f>_xlfn.MAXIFS('Raw Period DMR Data'!$O:$O,'Raw Period DMR Data'!$A:$A,'Raw Annual DMR Data_2021-2024'!#REF!,'Raw Period DMR Data'!$C:$C,X2352)/S2352</f>
        <v>0</v>
      </c>
      <c r="U2352" s="28" t="str">
        <f>+IF(COUNTIFS('Raw Period DMR Data'!$A:$A,B2352,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52" s="28" t="str" cm="1">
        <f t="array" ref="V2352">IFERROR(INDEX('Raw Period DMR Data'!N:N,MATCH(1,(B2352='Raw Period DMR Data'!$A:$A)*(U2352='Raw Period DMR Data'!M:M)*(X2352='Raw Period DMR Data'!C:C),0),1), "N/A")</f>
        <v>N/A</v>
      </c>
      <c r="W2352" s="28" t="s">
        <v>1463</v>
      </c>
      <c r="X2352" s="28" t="s">
        <v>7185</v>
      </c>
      <c r="Y2352" s="28" t="s">
        <v>1475</v>
      </c>
      <c r="Z2352" s="61"/>
      <c r="AB2352" s="28" t="s">
        <v>7355</v>
      </c>
      <c r="AC2352" s="28" t="s">
        <v>1466</v>
      </c>
    </row>
    <row r="2353" spans="1:29" x14ac:dyDescent="0.25">
      <c r="A2353" s="61">
        <v>110056966699</v>
      </c>
      <c r="B2353" s="28">
        <v>2024</v>
      </c>
      <c r="C2353" s="68">
        <f t="shared" si="37"/>
        <v>45292</v>
      </c>
      <c r="D2353" s="28" t="s">
        <v>1419</v>
      </c>
      <c r="E2353" s="28" t="s">
        <v>2346</v>
      </c>
      <c r="F2353" s="28" t="s">
        <v>1420</v>
      </c>
      <c r="G2353" s="28" t="s">
        <v>427</v>
      </c>
      <c r="H2353" s="28">
        <v>49221</v>
      </c>
      <c r="I2353" s="28">
        <v>41.948850999999998</v>
      </c>
      <c r="J2353" s="28">
        <v>-83.958619999999996</v>
      </c>
      <c r="K2353" s="28" t="s">
        <v>739</v>
      </c>
      <c r="L2353" s="61">
        <v>110056966699</v>
      </c>
      <c r="M2353" s="28" t="s">
        <v>265</v>
      </c>
      <c r="N2353" s="28">
        <v>2821</v>
      </c>
      <c r="O2353" s="28" t="str">
        <f>IFERROR(VLOOKUP(N2353, 'SIC &amp; NAICS Codes'!A:B, 2, FALSE), "")</f>
        <v>Plastics Materials, Synthetic and Resins, and Nonvulcanizable Elastomers</v>
      </c>
      <c r="S2353" s="28">
        <v>3.5829376099999999E-5</v>
      </c>
      <c r="T2353" s="315">
        <f>_xlfn.MAXIFS('Raw Period DMR Data'!$O:$O,'Raw Period DMR Data'!$A:$A,'Raw Annual DMR Data_2021-2024'!#REF!,'Raw Period DMR Data'!$C:$C,X2353)/S2353</f>
        <v>0</v>
      </c>
      <c r="U2353" s="28" t="str">
        <f>+IF(COUNTIFS('Raw Period DMR Data'!$A:$A,B2353,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53" s="28" t="str" cm="1">
        <f t="array" ref="V2353">IFERROR(INDEX('Raw Period DMR Data'!N:N,MATCH(1,(B2353='Raw Period DMR Data'!$A:$A)*(U2353='Raw Period DMR Data'!M:M)*(X2353='Raw Period DMR Data'!C:C),0),1), "N/A")</f>
        <v>N/A</v>
      </c>
      <c r="W2353" s="28" t="s">
        <v>1463</v>
      </c>
      <c r="X2353" s="28" t="s">
        <v>2347</v>
      </c>
      <c r="Y2353" s="28" t="s">
        <v>2348</v>
      </c>
      <c r="Z2353" s="61">
        <v>4100002000101</v>
      </c>
      <c r="AB2353" s="28" t="s">
        <v>7355</v>
      </c>
      <c r="AC2353" s="28" t="s">
        <v>1466</v>
      </c>
    </row>
    <row r="2354" spans="1:29" x14ac:dyDescent="0.25">
      <c r="A2354" s="61">
        <v>110056966699</v>
      </c>
      <c r="B2354" s="28">
        <v>2023</v>
      </c>
      <c r="C2354" s="68">
        <f t="shared" si="37"/>
        <v>44927</v>
      </c>
      <c r="D2354" s="28" t="s">
        <v>1419</v>
      </c>
      <c r="E2354" s="28" t="s">
        <v>2346</v>
      </c>
      <c r="F2354" s="28" t="s">
        <v>1420</v>
      </c>
      <c r="G2354" s="28" t="s">
        <v>427</v>
      </c>
      <c r="H2354" s="28">
        <v>49221</v>
      </c>
      <c r="I2354" s="28">
        <v>41.948850999999998</v>
      </c>
      <c r="J2354" s="28">
        <v>-83.958619999999996</v>
      </c>
      <c r="K2354" s="28" t="s">
        <v>739</v>
      </c>
      <c r="L2354" s="61">
        <v>110056966699</v>
      </c>
      <c r="M2354" s="28" t="s">
        <v>265</v>
      </c>
      <c r="N2354" s="28">
        <v>2821</v>
      </c>
      <c r="O2354" s="28" t="str">
        <f>IFERROR(VLOOKUP(N2354, 'SIC &amp; NAICS Codes'!A:B, 2, FALSE), "")</f>
        <v>Plastics Materials, Synthetic and Resins, and Nonvulcanizable Elastomers</v>
      </c>
      <c r="S2354" s="28">
        <v>4.4919108500000003E-6</v>
      </c>
      <c r="T2354" s="315">
        <f>_xlfn.MAXIFS('Raw Period DMR Data'!$O:$O,'Raw Period DMR Data'!$A:$A,'Raw Annual DMR Data_2021-2024'!#REF!,'Raw Period DMR Data'!$C:$C,X2354)/S2354</f>
        <v>0</v>
      </c>
      <c r="U2354" s="28" t="str">
        <f>+IF(COUNTIFS('Raw Period DMR Data'!$A:$A,B2354,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54" s="28" t="str" cm="1">
        <f t="array" ref="V2354">IFERROR(INDEX('Raw Period DMR Data'!N:N,MATCH(1,(B2354='Raw Period DMR Data'!$A:$A)*(U2354='Raw Period DMR Data'!M:M)*(X2354='Raw Period DMR Data'!C:C),0),1), "N/A")</f>
        <v>N/A</v>
      </c>
      <c r="W2354" s="28" t="s">
        <v>1463</v>
      </c>
      <c r="X2354" s="28" t="s">
        <v>2347</v>
      </c>
      <c r="Y2354" s="28" t="s">
        <v>2348</v>
      </c>
      <c r="Z2354" s="61" t="s">
        <v>2349</v>
      </c>
      <c r="AB2354" s="28" t="s">
        <v>7355</v>
      </c>
      <c r="AC2354" s="28" t="s">
        <v>1466</v>
      </c>
    </row>
    <row r="2355" spans="1:29" x14ac:dyDescent="0.25">
      <c r="A2355" s="61">
        <v>110056966699</v>
      </c>
      <c r="B2355" s="28">
        <v>2022</v>
      </c>
      <c r="C2355" s="68">
        <f t="shared" si="37"/>
        <v>44562</v>
      </c>
      <c r="D2355" s="28" t="s">
        <v>1419</v>
      </c>
      <c r="E2355" s="28" t="s">
        <v>2346</v>
      </c>
      <c r="F2355" s="28" t="s">
        <v>1420</v>
      </c>
      <c r="G2355" s="28" t="s">
        <v>427</v>
      </c>
      <c r="H2355" s="28">
        <v>49221</v>
      </c>
      <c r="I2355" s="28">
        <v>41.948850999999998</v>
      </c>
      <c r="J2355" s="28">
        <v>-83.958619999999996</v>
      </c>
      <c r="K2355" s="28" t="s">
        <v>739</v>
      </c>
      <c r="L2355" s="61">
        <v>110056966699</v>
      </c>
      <c r="M2355" s="28" t="s">
        <v>265</v>
      </c>
      <c r="N2355" s="28">
        <v>2821</v>
      </c>
      <c r="O2355" s="28" t="str">
        <f>IFERROR(VLOOKUP(N2355, 'SIC &amp; NAICS Codes'!A:B, 2, FALSE), "")</f>
        <v>Plastics Materials, Synthetic and Resins, and Nonvulcanizable Elastomers</v>
      </c>
      <c r="S2355" s="28">
        <v>3.2354700000000002E-6</v>
      </c>
      <c r="T2355" s="315">
        <f>_xlfn.MAXIFS('Raw Period DMR Data'!$O:$O,'Raw Period DMR Data'!$A:$A,'Raw Annual DMR Data_2021-2024'!#REF!,'Raw Period DMR Data'!$C:$C,X2355)/S2355</f>
        <v>0</v>
      </c>
      <c r="U2355" s="28" t="str">
        <f>+IF(COUNTIFS('Raw Period DMR Data'!$A:$A,B2355,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55" s="28" t="str" cm="1">
        <f t="array" ref="V2355">IFERROR(INDEX('Raw Period DMR Data'!N:N,MATCH(1,(B2355='Raw Period DMR Data'!$A:$A)*(U2355='Raw Period DMR Data'!M:M)*(X2355='Raw Period DMR Data'!C:C),0),1), "N/A")</f>
        <v>N/A</v>
      </c>
      <c r="W2355" s="28" t="s">
        <v>1463</v>
      </c>
      <c r="X2355" s="28" t="s">
        <v>2347</v>
      </c>
      <c r="Y2355" s="28" t="s">
        <v>2348</v>
      </c>
      <c r="Z2355" s="61">
        <v>4100002000101</v>
      </c>
      <c r="AB2355" s="28" t="s">
        <v>7355</v>
      </c>
      <c r="AC2355" s="28" t="s">
        <v>1466</v>
      </c>
    </row>
    <row r="2356" spans="1:29" x14ac:dyDescent="0.25">
      <c r="A2356" s="61">
        <v>110010731262</v>
      </c>
      <c r="B2356" s="28">
        <v>2022</v>
      </c>
      <c r="C2356" s="68">
        <f t="shared" si="37"/>
        <v>44562</v>
      </c>
      <c r="D2356" s="28" t="s">
        <v>1421</v>
      </c>
      <c r="E2356" s="28" t="s">
        <v>2350</v>
      </c>
      <c r="F2356" s="28" t="s">
        <v>1422</v>
      </c>
      <c r="G2356" s="28" t="s">
        <v>1171</v>
      </c>
      <c r="H2356" s="28">
        <v>96746</v>
      </c>
      <c r="I2356" s="28">
        <v>22.079093</v>
      </c>
      <c r="J2356" s="28">
        <v>-159.35138900000001</v>
      </c>
      <c r="L2356" s="61">
        <v>110010731262</v>
      </c>
      <c r="M2356" s="28" t="s">
        <v>263</v>
      </c>
      <c r="N2356" s="28">
        <v>4952</v>
      </c>
      <c r="O2356" s="28" t="str">
        <f>IFERROR(VLOOKUP(N2356, 'SIC &amp; NAICS Codes'!A:B, 2, FALSE), "")</f>
        <v>Sewerage Systems</v>
      </c>
      <c r="S2356" s="28">
        <v>0.26818163299999997</v>
      </c>
      <c r="T2356" s="315">
        <f>_xlfn.MAXIFS('Raw Period DMR Data'!$O:$O,'Raw Period DMR Data'!$A:$A,'Raw Annual DMR Data_2021-2024'!#REF!,'Raw Period DMR Data'!$C:$C,X2356)/S2356</f>
        <v>0</v>
      </c>
      <c r="U2356" s="28" t="str">
        <f>+IF(COUNTIFS('Raw Period DMR Data'!$A:$A,B2356,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56" s="28" t="str" cm="1">
        <f t="array" ref="V2356">IFERROR(INDEX('Raw Period DMR Data'!N:N,MATCH(1,(B2356='Raw Period DMR Data'!$A:$A)*(U2356='Raw Period DMR Data'!M:M)*(X2356='Raw Period DMR Data'!C:C),0),1), "N/A")</f>
        <v>N/A</v>
      </c>
      <c r="W2356" s="28" t="s">
        <v>1463</v>
      </c>
      <c r="X2356" s="28" t="s">
        <v>2351</v>
      </c>
      <c r="Y2356" s="28" t="s">
        <v>2352</v>
      </c>
      <c r="Z2356" s="61">
        <v>20070000000062</v>
      </c>
      <c r="AB2356" s="28" t="s">
        <v>7355</v>
      </c>
      <c r="AC2356" s="28" t="s">
        <v>263</v>
      </c>
    </row>
    <row r="2357" spans="1:29" x14ac:dyDescent="0.25">
      <c r="A2357" s="61">
        <v>110010731262</v>
      </c>
      <c r="B2357" s="28">
        <v>2021</v>
      </c>
      <c r="C2357" s="68">
        <f t="shared" si="37"/>
        <v>44197</v>
      </c>
      <c r="D2357" s="28" t="s">
        <v>1421</v>
      </c>
      <c r="E2357" s="28" t="s">
        <v>2350</v>
      </c>
      <c r="F2357" s="28" t="s">
        <v>1422</v>
      </c>
      <c r="G2357" s="28" t="s">
        <v>1171</v>
      </c>
      <c r="H2357" s="28">
        <v>96746</v>
      </c>
      <c r="I2357" s="28">
        <v>22.079093</v>
      </c>
      <c r="J2357" s="28">
        <v>-159.35138900000001</v>
      </c>
      <c r="L2357" s="61">
        <v>110010731262</v>
      </c>
      <c r="M2357" s="28" t="s">
        <v>263</v>
      </c>
      <c r="N2357" s="28">
        <v>4952</v>
      </c>
      <c r="O2357" s="28" t="str">
        <f>IFERROR(VLOOKUP(N2357, 'SIC &amp; NAICS Codes'!A:B, 2, FALSE), "")</f>
        <v>Sewerage Systems</v>
      </c>
      <c r="S2357" s="28">
        <v>0.16474685624999999</v>
      </c>
      <c r="T2357" s="315">
        <f>_xlfn.MAXIFS('Raw Period DMR Data'!$O:$O,'Raw Period DMR Data'!$A:$A,'Raw Annual DMR Data_2021-2024'!#REF!,'Raw Period DMR Data'!$C:$C,X2357)/S2357</f>
        <v>0</v>
      </c>
      <c r="U2357" s="28" t="str">
        <f>+IF(COUNTIFS('Raw Period DMR Data'!$A:$A,B2357,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57" s="28" t="str" cm="1">
        <f t="array" ref="V2357">IFERROR(INDEX('Raw Period DMR Data'!N:N,MATCH(1,(B2357='Raw Period DMR Data'!$A:$A)*(U2357='Raw Period DMR Data'!M:M)*(X2357='Raw Period DMR Data'!C:C),0),1), "N/A")</f>
        <v>N/A</v>
      </c>
      <c r="W2357" s="28" t="s">
        <v>1463</v>
      </c>
      <c r="X2357" s="28" t="s">
        <v>2351</v>
      </c>
      <c r="Y2357" s="28" t="s">
        <v>2352</v>
      </c>
      <c r="Z2357" s="61">
        <v>20070000000062</v>
      </c>
      <c r="AA2357" s="28"/>
      <c r="AB2357" s="28" t="s">
        <v>7355</v>
      </c>
      <c r="AC2357" s="28" t="s">
        <v>263</v>
      </c>
    </row>
    <row r="2358" spans="1:29" x14ac:dyDescent="0.25">
      <c r="A2358" s="61">
        <v>110010731262</v>
      </c>
      <c r="B2358" s="28">
        <v>2023</v>
      </c>
      <c r="C2358" s="68">
        <f t="shared" si="37"/>
        <v>44927</v>
      </c>
      <c r="D2358" s="28" t="s">
        <v>1421</v>
      </c>
      <c r="E2358" s="28" t="s">
        <v>2350</v>
      </c>
      <c r="F2358" s="28" t="s">
        <v>1422</v>
      </c>
      <c r="G2358" s="28" t="s">
        <v>1171</v>
      </c>
      <c r="H2358" s="28">
        <v>96746</v>
      </c>
      <c r="I2358" s="28">
        <v>22.079093</v>
      </c>
      <c r="J2358" s="28">
        <v>-159.35138900000001</v>
      </c>
      <c r="L2358" s="61">
        <v>110010731262</v>
      </c>
      <c r="M2358" s="28" t="s">
        <v>263</v>
      </c>
      <c r="N2358" s="28">
        <v>4952</v>
      </c>
      <c r="O2358" s="28" t="str">
        <f>IFERROR(VLOOKUP(N2358, 'SIC &amp; NAICS Codes'!A:B, 2, FALSE), "")</f>
        <v>Sewerage Systems</v>
      </c>
      <c r="S2358" s="28">
        <v>4.0575389250000003E-2</v>
      </c>
      <c r="T2358" s="315">
        <f>_xlfn.MAXIFS('Raw Period DMR Data'!$O:$O,'Raw Period DMR Data'!$A:$A,'Raw Annual DMR Data_2021-2024'!#REF!,'Raw Period DMR Data'!$C:$C,X2358)/S2358</f>
        <v>0</v>
      </c>
      <c r="U2358" s="28" t="str">
        <f>+IF(COUNTIFS('Raw Period DMR Data'!$A:$A,B2358,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58" s="28" t="str" cm="1">
        <f t="array" ref="V2358">IFERROR(INDEX('Raw Period DMR Data'!N:N,MATCH(1,(B2358='Raw Period DMR Data'!$A:$A)*(U2358='Raw Period DMR Data'!M:M)*(X2358='Raw Period DMR Data'!C:C),0),1), "N/A")</f>
        <v>N/A</v>
      </c>
      <c r="W2358" s="28" t="s">
        <v>1463</v>
      </c>
      <c r="X2358" s="28" t="s">
        <v>2351</v>
      </c>
      <c r="Y2358" s="28" t="s">
        <v>2352</v>
      </c>
      <c r="Z2358" s="61">
        <v>20070000000062</v>
      </c>
      <c r="AB2358" s="28" t="s">
        <v>7355</v>
      </c>
      <c r="AC2358" s="28" t="s">
        <v>263</v>
      </c>
    </row>
    <row r="2359" spans="1:29" x14ac:dyDescent="0.25">
      <c r="A2359" s="61">
        <v>110010731262</v>
      </c>
      <c r="B2359" s="28">
        <v>2024</v>
      </c>
      <c r="C2359" s="68">
        <f t="shared" si="37"/>
        <v>45292</v>
      </c>
      <c r="D2359" s="28" t="s">
        <v>1421</v>
      </c>
      <c r="E2359" s="28" t="s">
        <v>2350</v>
      </c>
      <c r="F2359" s="28" t="s">
        <v>1422</v>
      </c>
      <c r="G2359" s="28" t="s">
        <v>1171</v>
      </c>
      <c r="H2359" s="28">
        <v>96746</v>
      </c>
      <c r="I2359" s="28">
        <v>22.079093</v>
      </c>
      <c r="J2359" s="28">
        <v>-159.35138900000001</v>
      </c>
      <c r="L2359" s="61">
        <v>110010731262</v>
      </c>
      <c r="M2359" s="28" t="s">
        <v>263</v>
      </c>
      <c r="N2359" s="28">
        <v>4952</v>
      </c>
      <c r="O2359" s="28" t="str">
        <f>IFERROR(VLOOKUP(N2359, 'SIC &amp; NAICS Codes'!A:B, 2, FALSE), "")</f>
        <v>Sewerage Systems</v>
      </c>
      <c r="S2359" s="28">
        <v>3.5332501874999998E-2</v>
      </c>
      <c r="T2359" s="315">
        <f>_xlfn.MAXIFS('Raw Period DMR Data'!$O:$O,'Raw Period DMR Data'!$A:$A,'Raw Annual DMR Data_2021-2024'!#REF!,'Raw Period DMR Data'!$C:$C,X2359)/S2359</f>
        <v>0</v>
      </c>
      <c r="U2359" s="28" t="str">
        <f>+IF(COUNTIFS('Raw Period DMR Data'!$A:$A,B2359,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59" s="28" t="str" cm="1">
        <f t="array" ref="V2359">IFERROR(INDEX('Raw Period DMR Data'!N:N,MATCH(1,(B2359='Raw Period DMR Data'!$A:$A)*(U2359='Raw Period DMR Data'!M:M)*(X2359='Raw Period DMR Data'!C:C),0),1), "N/A")</f>
        <v>N/A</v>
      </c>
      <c r="W2359" s="28" t="s">
        <v>1463</v>
      </c>
      <c r="X2359" s="28" t="s">
        <v>2351</v>
      </c>
      <c r="Y2359" s="28" t="s">
        <v>2352</v>
      </c>
      <c r="Z2359" s="61">
        <v>20070000000062</v>
      </c>
      <c r="AB2359" s="28" t="s">
        <v>7355</v>
      </c>
      <c r="AC2359" s="28" t="s">
        <v>263</v>
      </c>
    </row>
    <row r="2360" spans="1:29" x14ac:dyDescent="0.25">
      <c r="A2360" s="61">
        <v>110054919406</v>
      </c>
      <c r="B2360" s="28">
        <v>2023</v>
      </c>
      <c r="C2360" s="68">
        <f t="shared" si="37"/>
        <v>44927</v>
      </c>
      <c r="D2360" s="28" t="s">
        <v>1423</v>
      </c>
      <c r="E2360" s="28" t="s">
        <v>2353</v>
      </c>
      <c r="F2360" s="28" t="s">
        <v>1424</v>
      </c>
      <c r="G2360" s="28" t="s">
        <v>294</v>
      </c>
      <c r="H2360" s="28">
        <v>22610</v>
      </c>
      <c r="I2360" s="28">
        <v>38.814979999999998</v>
      </c>
      <c r="J2360" s="28">
        <v>-78.2834</v>
      </c>
      <c r="L2360" s="61">
        <v>110054919406</v>
      </c>
      <c r="M2360" s="28" t="s">
        <v>6750</v>
      </c>
      <c r="N2360" s="28">
        <v>4953</v>
      </c>
      <c r="O2360" s="28" t="str">
        <f>IFERROR(VLOOKUP(N2360, 'SIC &amp; NAICS Codes'!A:B, 2, FALSE), "")</f>
        <v>Refuse Systems (hazardous waste treatment and disposal)</v>
      </c>
      <c r="S2360" s="28">
        <v>9.2350309624999998E-3</v>
      </c>
      <c r="T2360" s="315">
        <f>_xlfn.MAXIFS('Raw Period DMR Data'!$O:$O,'Raw Period DMR Data'!$A:$A,'Raw Annual DMR Data_2021-2024'!#REF!,'Raw Period DMR Data'!$C:$C,X2360)/S2360</f>
        <v>0</v>
      </c>
      <c r="U2360" s="28" t="str">
        <f>+IF(COUNTIFS('Raw Period DMR Data'!$A:$A,B2360,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60" s="28" t="str" cm="1">
        <f t="array" ref="V2360">IFERROR(INDEX('Raw Period DMR Data'!N:N,MATCH(1,(B2360='Raw Period DMR Data'!$A:$A)*(U2360='Raw Period DMR Data'!M:M)*(X2360='Raw Period DMR Data'!C:C),0),1), "N/A")</f>
        <v>N/A</v>
      </c>
      <c r="W2360" s="28" t="s">
        <v>1463</v>
      </c>
      <c r="X2360" s="28" t="s">
        <v>2354</v>
      </c>
      <c r="Y2360" s="28" t="s">
        <v>2355</v>
      </c>
      <c r="Z2360" s="61"/>
      <c r="AB2360" s="28" t="s">
        <v>7355</v>
      </c>
      <c r="AC2360" s="28" t="s">
        <v>1466</v>
      </c>
    </row>
    <row r="2361" spans="1:29" x14ac:dyDescent="0.25">
      <c r="A2361" s="61">
        <v>110054919406</v>
      </c>
      <c r="B2361" s="28">
        <v>2024</v>
      </c>
      <c r="C2361" s="68">
        <f t="shared" si="37"/>
        <v>45292</v>
      </c>
      <c r="D2361" s="28" t="s">
        <v>1423</v>
      </c>
      <c r="E2361" s="28" t="s">
        <v>2353</v>
      </c>
      <c r="F2361" s="28" t="s">
        <v>1424</v>
      </c>
      <c r="G2361" s="28" t="s">
        <v>294</v>
      </c>
      <c r="H2361" s="28">
        <v>22610</v>
      </c>
      <c r="I2361" s="28">
        <v>38.814979999999998</v>
      </c>
      <c r="J2361" s="28">
        <v>-78.2834</v>
      </c>
      <c r="L2361" s="61">
        <v>110054919406</v>
      </c>
      <c r="M2361" s="28" t="s">
        <v>6750</v>
      </c>
      <c r="N2361" s="28">
        <v>4953</v>
      </c>
      <c r="O2361" s="28" t="str">
        <f>IFERROR(VLOOKUP(N2361, 'SIC &amp; NAICS Codes'!A:B, 2, FALSE), "")</f>
        <v>Refuse Systems (hazardous waste treatment and disposal)</v>
      </c>
      <c r="S2361" s="28">
        <v>7.7539036875E-3</v>
      </c>
      <c r="T2361" s="315">
        <f>_xlfn.MAXIFS('Raw Period DMR Data'!$O:$O,'Raw Period DMR Data'!$A:$A,'Raw Annual DMR Data_2021-2024'!#REF!,'Raw Period DMR Data'!$C:$C,X2361)/S2361</f>
        <v>0</v>
      </c>
      <c r="U2361" s="28" t="str">
        <f>+IF(COUNTIFS('Raw Period DMR Data'!$A:$A,B2361,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61" s="28" t="str" cm="1">
        <f t="array" ref="V2361">IFERROR(INDEX('Raw Period DMR Data'!N:N,MATCH(1,(B2361='Raw Period DMR Data'!$A:$A)*(U2361='Raw Period DMR Data'!M:M)*(X2361='Raw Period DMR Data'!C:C),0),1), "N/A")</f>
        <v>N/A</v>
      </c>
      <c r="W2361" s="28" t="s">
        <v>1463</v>
      </c>
      <c r="X2361" s="28" t="s">
        <v>2354</v>
      </c>
      <c r="Y2361" s="28" t="s">
        <v>2355</v>
      </c>
      <c r="Z2361" s="61"/>
      <c r="AB2361" s="28" t="s">
        <v>7355</v>
      </c>
      <c r="AC2361" s="28" t="s">
        <v>1466</v>
      </c>
    </row>
    <row r="2362" spans="1:29" x14ac:dyDescent="0.25">
      <c r="A2362" s="61">
        <v>110054919406</v>
      </c>
      <c r="B2362" s="28">
        <v>2022</v>
      </c>
      <c r="C2362" s="68">
        <f t="shared" si="37"/>
        <v>44562</v>
      </c>
      <c r="D2362" s="28" t="s">
        <v>1423</v>
      </c>
      <c r="E2362" s="28" t="s">
        <v>2353</v>
      </c>
      <c r="F2362" s="28" t="s">
        <v>1424</v>
      </c>
      <c r="G2362" s="28" t="s">
        <v>294</v>
      </c>
      <c r="H2362" s="28">
        <v>22610</v>
      </c>
      <c r="I2362" s="28">
        <v>38.814979999999998</v>
      </c>
      <c r="J2362" s="28">
        <v>-78.2834</v>
      </c>
      <c r="L2362" s="61">
        <v>110054919406</v>
      </c>
      <c r="M2362" s="28" t="s">
        <v>6750</v>
      </c>
      <c r="N2362" s="28">
        <v>4953</v>
      </c>
      <c r="O2362" s="28" t="str">
        <f>IFERROR(VLOOKUP(N2362, 'SIC &amp; NAICS Codes'!A:B, 2, FALSE), "")</f>
        <v>Refuse Systems (hazardous waste treatment and disposal)</v>
      </c>
      <c r="S2362" s="28">
        <v>1.6190685068979999E-3</v>
      </c>
      <c r="T2362" s="315">
        <f>_xlfn.MAXIFS('Raw Period DMR Data'!$O:$O,'Raw Period DMR Data'!$A:$A,'Raw Annual DMR Data_2021-2024'!#REF!,'Raw Period DMR Data'!$C:$C,X2362)/S2362</f>
        <v>0</v>
      </c>
      <c r="U2362" s="28" t="str">
        <f>+IF(COUNTIFS('Raw Period DMR Data'!$A:$A,B2362,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62" s="28" t="str" cm="1">
        <f t="array" ref="V2362">IFERROR(INDEX('Raw Period DMR Data'!N:N,MATCH(1,(B2362='Raw Period DMR Data'!$A:$A)*(U2362='Raw Period DMR Data'!M:M)*(X2362='Raw Period DMR Data'!C:C),0),1), "N/A")</f>
        <v>N/A</v>
      </c>
      <c r="W2362" s="28" t="s">
        <v>1463</v>
      </c>
      <c r="X2362" s="28" t="s">
        <v>2354</v>
      </c>
      <c r="Y2362" s="28" t="s">
        <v>2355</v>
      </c>
      <c r="Z2362" s="61"/>
      <c r="AA2362" s="60" t="s">
        <v>7355</v>
      </c>
      <c r="AB2362" s="28" t="s">
        <v>7355</v>
      </c>
      <c r="AC2362" s="28" t="s">
        <v>1466</v>
      </c>
    </row>
    <row r="2363" spans="1:29" x14ac:dyDescent="0.25">
      <c r="A2363" s="61">
        <v>110054919406</v>
      </c>
      <c r="B2363" s="28">
        <v>2021</v>
      </c>
      <c r="C2363" s="68">
        <f t="shared" si="37"/>
        <v>44197</v>
      </c>
      <c r="D2363" s="28" t="s">
        <v>1423</v>
      </c>
      <c r="E2363" s="28" t="s">
        <v>2353</v>
      </c>
      <c r="F2363" s="28" t="s">
        <v>1424</v>
      </c>
      <c r="G2363" s="28" t="s">
        <v>294</v>
      </c>
      <c r="H2363" s="28">
        <v>22610</v>
      </c>
      <c r="I2363" s="28">
        <v>38.814979999999998</v>
      </c>
      <c r="J2363" s="28">
        <v>-78.2834</v>
      </c>
      <c r="L2363" s="61">
        <v>110054919406</v>
      </c>
      <c r="M2363" s="28" t="s">
        <v>6750</v>
      </c>
      <c r="N2363" s="28">
        <v>4953</v>
      </c>
      <c r="O2363" s="28" t="str">
        <f>IFERROR(VLOOKUP(N2363, 'SIC &amp; NAICS Codes'!A:B, 2, FALSE), "")</f>
        <v>Refuse Systems (hazardous waste treatment and disposal)</v>
      </c>
      <c r="S2363" s="28">
        <v>5.0356756575000003E-4</v>
      </c>
      <c r="T2363" s="315">
        <f>_xlfn.MAXIFS('Raw Period DMR Data'!$O:$O,'Raw Period DMR Data'!$A:$A,'Raw Annual DMR Data_2021-2024'!#REF!,'Raw Period DMR Data'!$C:$C,X2363)/S2363</f>
        <v>0</v>
      </c>
      <c r="U2363" s="28" t="str">
        <f>+IF(COUNTIFS('Raw Period DMR Data'!$A:$A,B2363,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63" s="28" t="str" cm="1">
        <f t="array" ref="V2363">IFERROR(INDEX('Raw Period DMR Data'!N:N,MATCH(1,(B2363='Raw Period DMR Data'!$A:$A)*(U2363='Raw Period DMR Data'!M:M)*(X2363='Raw Period DMR Data'!C:C),0),1), "N/A")</f>
        <v>N/A</v>
      </c>
      <c r="W2363" s="28" t="s">
        <v>1463</v>
      </c>
      <c r="X2363" s="28" t="s">
        <v>2354</v>
      </c>
      <c r="Y2363" s="28" t="s">
        <v>2355</v>
      </c>
      <c r="Z2363" s="61"/>
      <c r="AA2363" s="28"/>
      <c r="AB2363" s="28" t="s">
        <v>7355</v>
      </c>
      <c r="AC2363" s="28" t="s">
        <v>1466</v>
      </c>
    </row>
    <row r="2364" spans="1:29" x14ac:dyDescent="0.25">
      <c r="A2364" s="61">
        <v>110000817439</v>
      </c>
      <c r="B2364" s="28">
        <v>2021</v>
      </c>
      <c r="C2364" s="68">
        <f t="shared" si="37"/>
        <v>44197</v>
      </c>
      <c r="D2364" s="28" t="s">
        <v>6853</v>
      </c>
      <c r="E2364" s="28" t="s">
        <v>7012</v>
      </c>
      <c r="F2364" s="28" t="s">
        <v>1147</v>
      </c>
      <c r="G2364" s="28" t="s">
        <v>491</v>
      </c>
      <c r="H2364" s="28">
        <v>19067</v>
      </c>
      <c r="I2364" s="28">
        <v>40.159343999999997</v>
      </c>
      <c r="J2364" s="28">
        <v>-74.776695000000004</v>
      </c>
      <c r="L2364" s="61">
        <v>110000817439</v>
      </c>
      <c r="M2364" s="28" t="s">
        <v>6750</v>
      </c>
      <c r="N2364" s="28">
        <v>4953</v>
      </c>
      <c r="O2364" s="28" t="str">
        <f>IFERROR(VLOOKUP(N2364, 'SIC &amp; NAICS Codes'!A:B, 2, FALSE), "")</f>
        <v>Refuse Systems (hazardous waste treatment and disposal)</v>
      </c>
      <c r="S2364" s="28">
        <v>4.9889643101249999E-2</v>
      </c>
      <c r="T2364" s="315">
        <f>_xlfn.MAXIFS('Raw Period DMR Data'!$O:$O,'Raw Period DMR Data'!$A:$A,'Raw Annual DMR Data_2021-2024'!#REF!,'Raw Period DMR Data'!$C:$C,X2364)/S2364</f>
        <v>0</v>
      </c>
      <c r="U2364" s="28" t="str">
        <f>+IF(COUNTIFS('Raw Period DMR Data'!$A:$A,B2364,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64" s="28" t="str" cm="1">
        <f t="array" ref="V2364">IFERROR(INDEX('Raw Period DMR Data'!N:N,MATCH(1,(B2364='Raw Period DMR Data'!$A:$A)*(U2364='Raw Period DMR Data'!M:M)*(X2364='Raw Period DMR Data'!C:C),0),1), "N/A")</f>
        <v>N/A</v>
      </c>
      <c r="W2364" s="28" t="s">
        <v>1463</v>
      </c>
      <c r="X2364" s="28" t="s">
        <v>1828</v>
      </c>
      <c r="Y2364" s="28" t="s">
        <v>1829</v>
      </c>
      <c r="Z2364" s="61">
        <v>2040201000496</v>
      </c>
      <c r="AA2364" s="28"/>
      <c r="AB2364" s="28" t="s">
        <v>7355</v>
      </c>
      <c r="AC2364" s="28" t="s">
        <v>1466</v>
      </c>
    </row>
    <row r="2365" spans="1:29" x14ac:dyDescent="0.25">
      <c r="A2365" s="61">
        <v>110000817439</v>
      </c>
      <c r="B2365" s="28">
        <v>2022</v>
      </c>
      <c r="C2365" s="68">
        <f t="shared" si="37"/>
        <v>44562</v>
      </c>
      <c r="D2365" s="28" t="s">
        <v>6853</v>
      </c>
      <c r="E2365" s="28" t="s">
        <v>7068</v>
      </c>
      <c r="F2365" s="28" t="s">
        <v>1147</v>
      </c>
      <c r="G2365" s="28" t="s">
        <v>491</v>
      </c>
      <c r="H2365" s="28">
        <v>19067</v>
      </c>
      <c r="I2365" s="28">
        <v>40.159343999999997</v>
      </c>
      <c r="J2365" s="28">
        <v>-74.776695000000004</v>
      </c>
      <c r="L2365" s="61">
        <v>110000817439</v>
      </c>
      <c r="M2365" s="28" t="s">
        <v>6750</v>
      </c>
      <c r="N2365" s="28">
        <v>4953</v>
      </c>
      <c r="O2365" s="28" t="str">
        <f>IFERROR(VLOOKUP(N2365, 'SIC &amp; NAICS Codes'!A:B, 2, FALSE), "")</f>
        <v>Refuse Systems (hazardous waste treatment and disposal)</v>
      </c>
      <c r="S2365" s="28">
        <v>3.7568094146250001E-2</v>
      </c>
      <c r="T2365" s="315">
        <f>_xlfn.MAXIFS('Raw Period DMR Data'!$O:$O,'Raw Period DMR Data'!$A:$A,'Raw Annual DMR Data_2021-2024'!#REF!,'Raw Period DMR Data'!$C:$C,X2365)/S2365</f>
        <v>0</v>
      </c>
      <c r="U2365" s="28" t="str">
        <f>+IF(COUNTIFS('Raw Period DMR Data'!$A:$A,B2365,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65" s="28" t="str" cm="1">
        <f t="array" ref="V2365">IFERROR(INDEX('Raw Period DMR Data'!N:N,MATCH(1,(B2365='Raw Period DMR Data'!$A:$A)*(U2365='Raw Period DMR Data'!M:M)*(X2365='Raw Period DMR Data'!C:C),0),1), "N/A")</f>
        <v>N/A</v>
      </c>
      <c r="W2365" s="28" t="s">
        <v>1463</v>
      </c>
      <c r="X2365" s="28" t="s">
        <v>7215</v>
      </c>
      <c r="Y2365" s="28" t="s">
        <v>7312</v>
      </c>
      <c r="Z2365" s="61">
        <v>2040201000496</v>
      </c>
      <c r="AB2365" s="28" t="s">
        <v>7355</v>
      </c>
      <c r="AC2365" s="28" t="s">
        <v>1466</v>
      </c>
    </row>
    <row r="2366" spans="1:29" x14ac:dyDescent="0.25">
      <c r="A2366" s="61">
        <v>110000817439</v>
      </c>
      <c r="B2366" s="28">
        <v>2023</v>
      </c>
      <c r="C2366" s="68">
        <f t="shared" si="37"/>
        <v>44927</v>
      </c>
      <c r="D2366" s="28" t="s">
        <v>6853</v>
      </c>
      <c r="E2366" s="28" t="s">
        <v>7068</v>
      </c>
      <c r="F2366" s="28" t="s">
        <v>1147</v>
      </c>
      <c r="G2366" s="28" t="s">
        <v>491</v>
      </c>
      <c r="H2366" s="28">
        <v>19067</v>
      </c>
      <c r="I2366" s="28">
        <v>40.159343999999997</v>
      </c>
      <c r="J2366" s="28">
        <v>-74.776695000000004</v>
      </c>
      <c r="L2366" s="61">
        <v>110000817439</v>
      </c>
      <c r="M2366" s="28" t="s">
        <v>6750</v>
      </c>
      <c r="N2366" s="28">
        <v>4953</v>
      </c>
      <c r="O2366" s="28" t="str">
        <f>IFERROR(VLOOKUP(N2366, 'SIC &amp; NAICS Codes'!A:B, 2, FALSE), "")</f>
        <v>Refuse Systems (hazardous waste treatment and disposal)</v>
      </c>
      <c r="S2366" s="28">
        <v>3.4438608833750002E-2</v>
      </c>
      <c r="T2366" s="315">
        <f>_xlfn.MAXIFS('Raw Period DMR Data'!$O:$O,'Raw Period DMR Data'!$A:$A,'Raw Annual DMR Data_2021-2024'!#REF!,'Raw Period DMR Data'!$C:$C,X2366)/S2366</f>
        <v>0</v>
      </c>
      <c r="U2366" s="28" t="str">
        <f>+IF(COUNTIFS('Raw Period DMR Data'!$A:$A,B2366,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66" s="28" t="str" cm="1">
        <f t="array" ref="V2366">IFERROR(INDEX('Raw Period DMR Data'!N:N,MATCH(1,(B2366='Raw Period DMR Data'!$A:$A)*(U2366='Raw Period DMR Data'!M:M)*(X2366='Raw Period DMR Data'!C:C),0),1), "N/A")</f>
        <v>N/A</v>
      </c>
      <c r="W2366" s="28" t="s">
        <v>1463</v>
      </c>
      <c r="X2366" s="28" t="s">
        <v>7215</v>
      </c>
      <c r="Y2366" s="28" t="s">
        <v>7312</v>
      </c>
      <c r="Z2366" s="61" t="s">
        <v>1830</v>
      </c>
      <c r="AB2366" s="28" t="s">
        <v>7355</v>
      </c>
      <c r="AC2366" s="28" t="s">
        <v>1466</v>
      </c>
    </row>
    <row r="2367" spans="1:29" x14ac:dyDescent="0.25">
      <c r="A2367" s="61">
        <v>110000817439</v>
      </c>
      <c r="B2367" s="28">
        <v>2024</v>
      </c>
      <c r="C2367" s="68">
        <f t="shared" si="37"/>
        <v>45292</v>
      </c>
      <c r="D2367" s="28" t="s">
        <v>6853</v>
      </c>
      <c r="E2367" s="28" t="s">
        <v>7068</v>
      </c>
      <c r="F2367" s="28" t="s">
        <v>1147</v>
      </c>
      <c r="G2367" s="28" t="s">
        <v>491</v>
      </c>
      <c r="H2367" s="28">
        <v>19067</v>
      </c>
      <c r="I2367" s="28">
        <v>40.159343999999997</v>
      </c>
      <c r="J2367" s="28">
        <v>-74.776695000000004</v>
      </c>
      <c r="L2367" s="61">
        <v>110000817439</v>
      </c>
      <c r="M2367" s="28" t="s">
        <v>6750</v>
      </c>
      <c r="N2367" s="28">
        <v>4953</v>
      </c>
      <c r="O2367" s="28" t="str">
        <f>IFERROR(VLOOKUP(N2367, 'SIC &amp; NAICS Codes'!A:B, 2, FALSE), "")</f>
        <v>Refuse Systems (hazardous waste treatment and disposal)</v>
      </c>
      <c r="S2367" s="28">
        <v>2.9666648319999999E-2</v>
      </c>
      <c r="T2367" s="315">
        <f>_xlfn.MAXIFS('Raw Period DMR Data'!$O:$O,'Raw Period DMR Data'!$A:$A,'Raw Annual DMR Data_2021-2024'!#REF!,'Raw Period DMR Data'!$C:$C,X2367)/S2367</f>
        <v>0</v>
      </c>
      <c r="U2367" s="28" t="str">
        <f>+IF(COUNTIFS('Raw Period DMR Data'!$A:$A,B2367,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67" s="28" t="str" cm="1">
        <f t="array" ref="V2367">IFERROR(INDEX('Raw Period DMR Data'!N:N,MATCH(1,(B2367='Raw Period DMR Data'!$A:$A)*(U2367='Raw Period DMR Data'!M:M)*(X2367='Raw Period DMR Data'!C:C),0),1), "N/A")</f>
        <v>N/A</v>
      </c>
      <c r="W2367" s="28" t="s">
        <v>1463</v>
      </c>
      <c r="X2367" s="28" t="s">
        <v>7215</v>
      </c>
      <c r="Y2367" s="28" t="s">
        <v>7312</v>
      </c>
      <c r="Z2367" s="61">
        <v>2040201000496</v>
      </c>
      <c r="AB2367" s="28" t="s">
        <v>7355</v>
      </c>
      <c r="AC2367" s="28" t="s">
        <v>1466</v>
      </c>
    </row>
    <row r="2368" spans="1:29" x14ac:dyDescent="0.25">
      <c r="A2368" s="61">
        <v>110064252419</v>
      </c>
      <c r="B2368" s="28">
        <v>2022</v>
      </c>
      <c r="C2368" s="68">
        <f t="shared" si="37"/>
        <v>44562</v>
      </c>
      <c r="D2368" s="28" t="s">
        <v>1427</v>
      </c>
      <c r="E2368" s="28" t="s">
        <v>2359</v>
      </c>
      <c r="F2368" s="28" t="s">
        <v>1265</v>
      </c>
      <c r="G2368" s="28" t="s">
        <v>366</v>
      </c>
      <c r="H2368" s="28">
        <v>94806</v>
      </c>
      <c r="I2368" s="28">
        <v>37.977150000000002</v>
      </c>
      <c r="J2368" s="28">
        <v>-122.33269</v>
      </c>
      <c r="L2368" s="61">
        <v>110064252419</v>
      </c>
      <c r="M2368" s="28" t="s">
        <v>263</v>
      </c>
      <c r="N2368" s="28">
        <v>4952</v>
      </c>
      <c r="O2368" s="28" t="str">
        <f>IFERROR(VLOOKUP(N2368, 'SIC &amp; NAICS Codes'!A:B, 2, FALSE), "")</f>
        <v>Sewerage Systems</v>
      </c>
      <c r="S2368" s="28">
        <v>3.1705998750000002</v>
      </c>
      <c r="T2368" s="315">
        <f>_xlfn.MAXIFS('Raw Period DMR Data'!$O:$O,'Raw Period DMR Data'!$A:$A,'Raw Annual DMR Data_2021-2024'!#REF!,'Raw Period DMR Data'!$C:$C,X2368)/S2368</f>
        <v>0</v>
      </c>
      <c r="U2368" s="28" t="str">
        <f>+IF(COUNTIFS('Raw Period DMR Data'!$A:$A,B2368,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68" s="28" t="str" cm="1">
        <f t="array" ref="V2368">IFERROR(INDEX('Raw Period DMR Data'!N:N,MATCH(1,(B2368='Raw Period DMR Data'!$A:$A)*(U2368='Raw Period DMR Data'!M:M)*(X2368='Raw Period DMR Data'!C:C),0),1), "N/A")</f>
        <v>N/A</v>
      </c>
      <c r="W2368" s="28" t="s">
        <v>1463</v>
      </c>
      <c r="X2368" s="28" t="s">
        <v>2360</v>
      </c>
      <c r="Y2368" s="28" t="s">
        <v>2361</v>
      </c>
      <c r="Z2368" s="61">
        <v>18050002001022</v>
      </c>
      <c r="AB2368" s="28" t="s">
        <v>7355</v>
      </c>
      <c r="AC2368" s="28" t="s">
        <v>263</v>
      </c>
    </row>
    <row r="2369" spans="1:29" x14ac:dyDescent="0.25">
      <c r="A2369" s="61">
        <v>110010354810</v>
      </c>
      <c r="B2369" s="28">
        <v>2024</v>
      </c>
      <c r="C2369" s="68">
        <f t="shared" si="37"/>
        <v>45292</v>
      </c>
      <c r="D2369" s="28" t="s">
        <v>1428</v>
      </c>
      <c r="E2369" s="28" t="s">
        <v>2362</v>
      </c>
      <c r="F2369" s="28" t="s">
        <v>337</v>
      </c>
      <c r="G2369" s="28" t="s">
        <v>338</v>
      </c>
      <c r="H2369" s="28">
        <v>8066</v>
      </c>
      <c r="I2369" s="28">
        <v>39.837310000000002</v>
      </c>
      <c r="J2369" s="28">
        <v>-75.224580000000003</v>
      </c>
      <c r="L2369" s="61">
        <v>110010354810</v>
      </c>
      <c r="M2369" s="28" t="s">
        <v>265</v>
      </c>
      <c r="N2369" s="28">
        <v>4911</v>
      </c>
      <c r="O2369" s="28" t="str">
        <f>IFERROR(VLOOKUP(N2369, 'SIC &amp; NAICS Codes'!A:B, 2, FALSE), "")</f>
        <v>Electric Services (hydroelectric power generation)</v>
      </c>
      <c r="S2369" s="28">
        <v>0.13052345400000001</v>
      </c>
      <c r="T2369" s="315">
        <f>_xlfn.MAXIFS('Raw Period DMR Data'!$O:$O,'Raw Period DMR Data'!$A:$A,'Raw Annual DMR Data_2021-2024'!#REF!,'Raw Period DMR Data'!$C:$C,X2369)/S2369</f>
        <v>0</v>
      </c>
      <c r="U2369" s="28" t="str">
        <f>+IF(COUNTIFS('Raw Period DMR Data'!$A:$A,B2369,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69" s="28" t="str" cm="1">
        <f t="array" ref="V2369">IFERROR(INDEX('Raw Period DMR Data'!N:N,MATCH(1,(B2369='Raw Period DMR Data'!$A:$A)*(U2369='Raw Period DMR Data'!M:M)*(X2369='Raw Period DMR Data'!C:C),0),1), "N/A")</f>
        <v>N/A</v>
      </c>
      <c r="W2369" s="28" t="s">
        <v>1463</v>
      </c>
      <c r="X2369" s="28" t="s">
        <v>2363</v>
      </c>
      <c r="Y2369" s="28" t="s">
        <v>783</v>
      </c>
      <c r="Z2369" s="61">
        <v>2040202001766</v>
      </c>
      <c r="AB2369" s="28" t="s">
        <v>7355</v>
      </c>
      <c r="AC2369" s="28" t="s">
        <v>1466</v>
      </c>
    </row>
    <row r="2370" spans="1:29" x14ac:dyDescent="0.25">
      <c r="A2370" s="61">
        <v>110010354810</v>
      </c>
      <c r="B2370" s="28">
        <v>2023</v>
      </c>
      <c r="C2370" s="68">
        <f t="shared" si="37"/>
        <v>44927</v>
      </c>
      <c r="D2370" s="28" t="s">
        <v>1428</v>
      </c>
      <c r="E2370" s="28" t="s">
        <v>2362</v>
      </c>
      <c r="F2370" s="28" t="s">
        <v>337</v>
      </c>
      <c r="G2370" s="28" t="s">
        <v>338</v>
      </c>
      <c r="H2370" s="28" t="s">
        <v>1817</v>
      </c>
      <c r="I2370" s="28">
        <v>39.837310000000002</v>
      </c>
      <c r="J2370" s="28">
        <v>-75.224580000000003</v>
      </c>
      <c r="L2370" s="61">
        <v>110010354810</v>
      </c>
      <c r="M2370" s="28" t="s">
        <v>265</v>
      </c>
      <c r="N2370" s="28">
        <v>4911</v>
      </c>
      <c r="O2370" s="28" t="str">
        <f>IFERROR(VLOOKUP(N2370, 'SIC &amp; NAICS Codes'!A:B, 2, FALSE), "")</f>
        <v>Electric Services (hydroelectric power generation)</v>
      </c>
      <c r="S2370" s="28">
        <v>9.9005153400000004E-2</v>
      </c>
      <c r="T2370" s="315">
        <f>_xlfn.MAXIFS('Raw Period DMR Data'!$O:$O,'Raw Period DMR Data'!$A:$A,'Raw Annual DMR Data_2021-2024'!#REF!,'Raw Period DMR Data'!$C:$C,X2370)/S2370</f>
        <v>0</v>
      </c>
      <c r="U2370" s="28" t="str">
        <f>+IF(COUNTIFS('Raw Period DMR Data'!$A:$A,B2370,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70" s="28" t="str" cm="1">
        <f t="array" ref="V2370">IFERROR(INDEX('Raw Period DMR Data'!N:N,MATCH(1,(B2370='Raw Period DMR Data'!$A:$A)*(U2370='Raw Period DMR Data'!M:M)*(X2370='Raw Period DMR Data'!C:C),0),1), "N/A")</f>
        <v>N/A</v>
      </c>
      <c r="W2370" s="28" t="s">
        <v>1463</v>
      </c>
      <c r="X2370" s="28" t="s">
        <v>2363</v>
      </c>
      <c r="Y2370" s="28" t="s">
        <v>783</v>
      </c>
      <c r="Z2370" s="61" t="s">
        <v>2364</v>
      </c>
      <c r="AB2370" s="28" t="s">
        <v>7355</v>
      </c>
      <c r="AC2370" s="28" t="s">
        <v>1466</v>
      </c>
    </row>
    <row r="2371" spans="1:29" x14ac:dyDescent="0.25">
      <c r="A2371" s="61">
        <v>110010354810</v>
      </c>
      <c r="B2371" s="28">
        <v>2022</v>
      </c>
      <c r="C2371" s="68">
        <f t="shared" si="37"/>
        <v>44562</v>
      </c>
      <c r="D2371" s="28" t="s">
        <v>1428</v>
      </c>
      <c r="E2371" s="28" t="s">
        <v>2362</v>
      </c>
      <c r="F2371" s="28" t="s">
        <v>337</v>
      </c>
      <c r="G2371" s="28" t="s">
        <v>338</v>
      </c>
      <c r="H2371" s="28">
        <v>8066</v>
      </c>
      <c r="I2371" s="28">
        <v>39.837310000000002</v>
      </c>
      <c r="J2371" s="28">
        <v>-75.224580000000003</v>
      </c>
      <c r="L2371" s="61">
        <v>110010354810</v>
      </c>
      <c r="M2371" s="28" t="s">
        <v>265</v>
      </c>
      <c r="N2371" s="28">
        <v>4911</v>
      </c>
      <c r="O2371" s="28" t="str">
        <f>IFERROR(VLOOKUP(N2371, 'SIC &amp; NAICS Codes'!A:B, 2, FALSE), "")</f>
        <v>Electric Services (hydroelectric power generation)</v>
      </c>
      <c r="S2371" s="28">
        <v>2.44316451E-2</v>
      </c>
      <c r="T2371" s="315">
        <f>_xlfn.MAXIFS('Raw Period DMR Data'!$O:$O,'Raw Period DMR Data'!$A:$A,'Raw Annual DMR Data_2021-2024'!#REF!,'Raw Period DMR Data'!$C:$C,X2371)/S2371</f>
        <v>0</v>
      </c>
      <c r="U2371" s="28" t="str">
        <f>+IF(COUNTIFS('Raw Period DMR Data'!$A:$A,B2371,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71" s="28" t="str" cm="1">
        <f t="array" ref="V2371">IFERROR(INDEX('Raw Period DMR Data'!N:N,MATCH(1,(B2371='Raw Period DMR Data'!$A:$A)*(U2371='Raw Period DMR Data'!M:M)*(X2371='Raw Period DMR Data'!C:C),0),1), "N/A")</f>
        <v>N/A</v>
      </c>
      <c r="W2371" s="28" t="s">
        <v>1463</v>
      </c>
      <c r="X2371" s="28" t="s">
        <v>2363</v>
      </c>
      <c r="Y2371" s="28" t="s">
        <v>783</v>
      </c>
      <c r="Z2371" s="61">
        <v>2040202001766</v>
      </c>
      <c r="AB2371" s="28" t="s">
        <v>7355</v>
      </c>
      <c r="AC2371" s="28" t="s">
        <v>1466</v>
      </c>
    </row>
    <row r="2372" spans="1:29" x14ac:dyDescent="0.25">
      <c r="A2372" s="61">
        <v>110010354810</v>
      </c>
      <c r="B2372" s="28">
        <v>2021</v>
      </c>
      <c r="C2372" s="68">
        <f t="shared" si="37"/>
        <v>44197</v>
      </c>
      <c r="D2372" s="28" t="s">
        <v>1428</v>
      </c>
      <c r="E2372" s="28" t="s">
        <v>2362</v>
      </c>
      <c r="F2372" s="28" t="s">
        <v>337</v>
      </c>
      <c r="G2372" s="28" t="s">
        <v>338</v>
      </c>
      <c r="H2372" s="28">
        <v>8066</v>
      </c>
      <c r="I2372" s="28">
        <v>39.837310000000002</v>
      </c>
      <c r="J2372" s="28">
        <v>-75.224580000000003</v>
      </c>
      <c r="L2372" s="61">
        <v>110010354810</v>
      </c>
      <c r="M2372" s="28" t="s">
        <v>265</v>
      </c>
      <c r="N2372" s="28">
        <v>4911</v>
      </c>
      <c r="O2372" s="28" t="str">
        <f>IFERROR(VLOOKUP(N2372, 'SIC &amp; NAICS Codes'!A:B, 2, FALSE), "")</f>
        <v>Electric Services (hydroelectric power generation)</v>
      </c>
      <c r="S2372" s="28">
        <v>2.2057541699999999E-2</v>
      </c>
      <c r="T2372" s="315">
        <f>_xlfn.MAXIFS('Raw Period DMR Data'!$O:$O,'Raw Period DMR Data'!$A:$A,'Raw Annual DMR Data_2021-2024'!#REF!,'Raw Period DMR Data'!$C:$C,X2372)/S2372</f>
        <v>0</v>
      </c>
      <c r="U2372" s="28" t="str">
        <f>+IF(COUNTIFS('Raw Period DMR Data'!$A:$A,B2372,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72" s="28" t="str" cm="1">
        <f t="array" ref="V2372">IFERROR(INDEX('Raw Period DMR Data'!N:N,MATCH(1,(B2372='Raw Period DMR Data'!$A:$A)*(U2372='Raw Period DMR Data'!M:M)*(X2372='Raw Period DMR Data'!C:C),0),1), "N/A")</f>
        <v>N/A</v>
      </c>
      <c r="W2372" s="28" t="s">
        <v>1463</v>
      </c>
      <c r="X2372" s="28" t="s">
        <v>2363</v>
      </c>
      <c r="Y2372" s="28" t="s">
        <v>783</v>
      </c>
      <c r="Z2372" s="61">
        <v>2040202001766</v>
      </c>
      <c r="AA2372" s="28"/>
      <c r="AB2372" s="28" t="s">
        <v>7355</v>
      </c>
      <c r="AC2372" s="28" t="s">
        <v>1466</v>
      </c>
    </row>
    <row r="2373" spans="1:29" x14ac:dyDescent="0.25">
      <c r="A2373" s="61">
        <v>110000494894</v>
      </c>
      <c r="B2373" s="28">
        <v>2021</v>
      </c>
      <c r="C2373" s="68">
        <f t="shared" si="37"/>
        <v>44197</v>
      </c>
      <c r="D2373" s="28" t="s">
        <v>6772</v>
      </c>
      <c r="E2373" s="28" t="s">
        <v>445</v>
      </c>
      <c r="F2373" s="28" t="s">
        <v>446</v>
      </c>
      <c r="G2373" s="28" t="s">
        <v>303</v>
      </c>
      <c r="H2373" s="28">
        <v>70669</v>
      </c>
      <c r="I2373" s="28">
        <v>30.223500000000001</v>
      </c>
      <c r="J2373" s="28">
        <v>-93.286900000000003</v>
      </c>
      <c r="K2373" s="28" t="s">
        <v>447</v>
      </c>
      <c r="L2373" s="61">
        <v>110000494894</v>
      </c>
      <c r="M2373" s="28" t="s">
        <v>251</v>
      </c>
      <c r="N2373" s="28">
        <v>2869</v>
      </c>
      <c r="O2373" s="28" t="str">
        <f>IFERROR(VLOOKUP(N2373, 'SIC &amp; NAICS Codes'!A:B, 2, FALSE), "")</f>
        <v>Industrial Organic Chemicals, NEC (aliphatics)</v>
      </c>
      <c r="S2373" s="28">
        <v>8358.1712917999994</v>
      </c>
      <c r="T2373" s="315">
        <f>_xlfn.MAXIFS('Raw Period DMR Data'!$O:$O,'Raw Period DMR Data'!$A:$A,'Raw Annual DMR Data_2021-2024'!B2261,'Raw Period DMR Data'!$C:$C,X2373)/S2373</f>
        <v>0</v>
      </c>
      <c r="U2373" s="28" t="str">
        <f>+IF(COUNTIFS('Raw Period DMR Data'!$A:$A,B2373, 'Raw Period DMR Data'!C:C,'Raw Annual DMR Data_2021-2024'!X2261, 'Raw Period DMR Data'!M:M, "&gt;0")&gt;0,_xlfn.MAXIFS('Raw Period DMR Data'!M:M,'Raw Period DMR Data'!$A:$A,'Raw Annual DMR Data_2021-2024'!B2261,'Raw Period DMR Data'!C:C,'Raw Annual DMR Data_2021-2024'!X2261), "N/A - Period DMR Data Not Available")</f>
        <v>N/A - Period DMR Data Not Available</v>
      </c>
      <c r="V2373" s="28" t="str" cm="1">
        <f t="array" ref="V2373">IFERROR(INDEX('Raw Period DMR Data'!N:N,MATCH(1,(B2373='Raw Period DMR Data'!$A:$A)*(U2373='Raw Period DMR Data'!M:M)*(X2373='Raw Period DMR Data'!C:C),0),1), "N/A")</f>
        <v>N/A</v>
      </c>
      <c r="W2373" s="28" t="s">
        <v>1463</v>
      </c>
      <c r="X2373" s="28" t="s">
        <v>839</v>
      </c>
      <c r="Y2373" s="28" t="s">
        <v>840</v>
      </c>
      <c r="Z2373" s="61">
        <v>8080206001241</v>
      </c>
      <c r="AA2373" s="28"/>
      <c r="AC2373" s="28" t="s">
        <v>1466</v>
      </c>
    </row>
    <row r="2374" spans="1:29" x14ac:dyDescent="0.25">
      <c r="A2374" s="61">
        <v>110000494894</v>
      </c>
      <c r="B2374" s="28">
        <v>2022</v>
      </c>
      <c r="C2374" s="68">
        <f t="shared" si="37"/>
        <v>44562</v>
      </c>
      <c r="D2374" s="28" t="s">
        <v>6772</v>
      </c>
      <c r="E2374" s="28" t="s">
        <v>445</v>
      </c>
      <c r="F2374" s="28" t="s">
        <v>446</v>
      </c>
      <c r="G2374" s="28" t="s">
        <v>303</v>
      </c>
      <c r="H2374" s="28">
        <v>70669</v>
      </c>
      <c r="I2374" s="28">
        <v>30.223500000000001</v>
      </c>
      <c r="J2374" s="28">
        <v>-93.286900000000003</v>
      </c>
      <c r="K2374" s="28" t="s">
        <v>447</v>
      </c>
      <c r="L2374" s="61">
        <v>110000494894</v>
      </c>
      <c r="M2374" s="28" t="s">
        <v>251</v>
      </c>
      <c r="N2374" s="28">
        <v>2869</v>
      </c>
      <c r="O2374" s="28" t="str">
        <f>IFERROR(VLOOKUP(N2374, 'SIC &amp; NAICS Codes'!A:B, 2, FALSE), "")</f>
        <v>Industrial Organic Chemicals, NEC (aliphatics)</v>
      </c>
      <c r="S2374" s="28">
        <v>1238.7015071999999</v>
      </c>
      <c r="T2374" s="315">
        <f>_xlfn.MAXIFS('Raw Period DMR Data'!$O:$O,'Raw Period DMR Data'!$A:$A,'Raw Annual DMR Data_2021-2024'!B2263,'Raw Period DMR Data'!$C:$C,X2374)/S2374</f>
        <v>0</v>
      </c>
      <c r="U2374" s="28" t="str">
        <f>+IF(COUNTIFS('Raw Period DMR Data'!$A:$A,B2374, 'Raw Period DMR Data'!C:C,'Raw Annual DMR Data_2021-2024'!X2263, 'Raw Period DMR Data'!M:M, "&gt;0")&gt;0,_xlfn.MAXIFS('Raw Period DMR Data'!M:M,'Raw Period DMR Data'!$A:$A,'Raw Annual DMR Data_2021-2024'!B2263,'Raw Period DMR Data'!C:C,'Raw Annual DMR Data_2021-2024'!X2263), "N/A - Period DMR Data Not Available")</f>
        <v>N/A - Period DMR Data Not Available</v>
      </c>
      <c r="V2374" s="28" t="str" cm="1">
        <f t="array" ref="V2374">IFERROR(INDEX('Raw Period DMR Data'!N:N,MATCH(1,(B2374='Raw Period DMR Data'!$A:$A)*(U2374='Raw Period DMR Data'!M:M)*(X2374='Raw Period DMR Data'!C:C),0),1), "N/A")</f>
        <v>N/A</v>
      </c>
      <c r="W2374" s="28" t="s">
        <v>1463</v>
      </c>
      <c r="X2374" s="28" t="s">
        <v>839</v>
      </c>
      <c r="Y2374" s="28" t="s">
        <v>840</v>
      </c>
      <c r="Z2374" s="61">
        <v>8080206001241</v>
      </c>
      <c r="AC2374" s="28" t="s">
        <v>1466</v>
      </c>
    </row>
    <row r="2375" spans="1:29" x14ac:dyDescent="0.25">
      <c r="A2375" s="61">
        <v>110000494894</v>
      </c>
      <c r="B2375" s="28">
        <v>2024</v>
      </c>
      <c r="C2375" s="68">
        <f t="shared" ref="C2375:C2420" si="38">DATE(B2375, 1, 1)</f>
        <v>45292</v>
      </c>
      <c r="D2375" s="28" t="s">
        <v>6772</v>
      </c>
      <c r="E2375" s="28" t="s">
        <v>445</v>
      </c>
      <c r="F2375" s="28" t="s">
        <v>446</v>
      </c>
      <c r="G2375" s="28" t="s">
        <v>303</v>
      </c>
      <c r="H2375" s="28">
        <v>70669</v>
      </c>
      <c r="I2375" s="28">
        <v>30.223500000000001</v>
      </c>
      <c r="J2375" s="28">
        <v>-93.286900000000003</v>
      </c>
      <c r="K2375" s="28" t="s">
        <v>447</v>
      </c>
      <c r="L2375" s="61">
        <v>110000494894</v>
      </c>
      <c r="M2375" s="28" t="s">
        <v>251</v>
      </c>
      <c r="N2375" s="28">
        <v>2869</v>
      </c>
      <c r="O2375" s="28" t="str">
        <f>IFERROR(VLOOKUP(N2375, 'SIC &amp; NAICS Codes'!A:B, 2, FALSE), "")</f>
        <v>Industrial Organic Chemicals, NEC (aliphatics)</v>
      </c>
      <c r="S2375" s="28">
        <v>326.44869999999997</v>
      </c>
      <c r="T2375" s="315">
        <f>_xlfn.MAXIFS('Raw Period DMR Data'!$O:$O,'Raw Period DMR Data'!$A:$A,'Raw Annual DMR Data_2021-2024'!B2270,'Raw Period DMR Data'!$C:$C,X2375)/S2375</f>
        <v>0</v>
      </c>
      <c r="U2375" s="28" t="str">
        <f>+IF(COUNTIFS('Raw Period DMR Data'!$A:$A,B2375, 'Raw Period DMR Data'!C:C,'Raw Annual DMR Data_2021-2024'!X2270, 'Raw Period DMR Data'!M:M, "&gt;0")&gt;0,_xlfn.MAXIFS('Raw Period DMR Data'!M:M,'Raw Period DMR Data'!$A:$A,'Raw Annual DMR Data_2021-2024'!B2270,'Raw Period DMR Data'!C:C,'Raw Annual DMR Data_2021-2024'!X2270), "N/A - Period DMR Data Not Available")</f>
        <v>N/A - Period DMR Data Not Available</v>
      </c>
      <c r="V2375" s="28" t="str" cm="1">
        <f t="array" ref="V2375">IFERROR(INDEX('Raw Period DMR Data'!N:N,MATCH(1,(B2375='Raw Period DMR Data'!$A:$A)*(U2375='Raw Period DMR Data'!M:M)*(X2375='Raw Period DMR Data'!C:C),0),1), "N/A")</f>
        <v>N/A</v>
      </c>
      <c r="W2375" s="28" t="s">
        <v>1463</v>
      </c>
      <c r="X2375" s="28" t="s">
        <v>839</v>
      </c>
      <c r="Y2375" s="28" t="s">
        <v>840</v>
      </c>
      <c r="Z2375" s="61">
        <v>8080206001241</v>
      </c>
      <c r="AC2375" s="28" t="s">
        <v>1466</v>
      </c>
    </row>
    <row r="2376" spans="1:29" x14ac:dyDescent="0.25">
      <c r="A2376" s="61">
        <v>110000746328</v>
      </c>
      <c r="B2376" s="28">
        <v>2024</v>
      </c>
      <c r="C2376" s="68">
        <f t="shared" si="38"/>
        <v>45292</v>
      </c>
      <c r="D2376" s="28" t="s">
        <v>6771</v>
      </c>
      <c r="E2376" s="28" t="s">
        <v>665</v>
      </c>
      <c r="F2376" s="28" t="s">
        <v>516</v>
      </c>
      <c r="G2376" s="28" t="s">
        <v>303</v>
      </c>
      <c r="H2376" s="28">
        <v>70734</v>
      </c>
      <c r="I2376" s="28">
        <v>30.208604000000001</v>
      </c>
      <c r="J2376" s="28">
        <v>-91.011127999999999</v>
      </c>
      <c r="K2376" s="28" t="s">
        <v>666</v>
      </c>
      <c r="L2376" s="61">
        <v>110000746328</v>
      </c>
      <c r="M2376" s="28" t="s">
        <v>251</v>
      </c>
      <c r="N2376" s="28">
        <v>2869</v>
      </c>
      <c r="O2376" s="28" t="str">
        <f>IFERROR(VLOOKUP(N2376, 'SIC &amp; NAICS Codes'!A:B, 2, FALSE), "")</f>
        <v>Industrial Organic Chemicals, NEC (aliphatics)</v>
      </c>
      <c r="S2376" s="28">
        <v>31.184352000000001</v>
      </c>
      <c r="T2376" s="315">
        <f>_xlfn.MAXIFS('Raw Period DMR Data'!$O:$O,'Raw Period DMR Data'!$A:$A,'Raw Annual DMR Data_2021-2024'!B2308,'Raw Period DMR Data'!$C:$C,X2376)/S2376</f>
        <v>0</v>
      </c>
      <c r="U2376" s="28" t="str">
        <f>+IF(COUNTIFS('Raw Period DMR Data'!$A:$A,B2376, 'Raw Period DMR Data'!C:C,'Raw Annual DMR Data_2021-2024'!X2308, 'Raw Period DMR Data'!M:M, "&gt;0")&gt;0,_xlfn.MAXIFS('Raw Period DMR Data'!M:M,'Raw Period DMR Data'!$A:$A,'Raw Annual DMR Data_2021-2024'!B2308,'Raw Period DMR Data'!C:C,'Raw Annual DMR Data_2021-2024'!X2308), "N/A - Period DMR Data Not Available")</f>
        <v>N/A - Period DMR Data Not Available</v>
      </c>
      <c r="V2376" s="28" t="str" cm="1">
        <f t="array" ref="V2376">IFERROR(INDEX('Raw Period DMR Data'!N:N,MATCH(1,(B2376='Raw Period DMR Data'!$A:$A)*(U2376='Raw Period DMR Data'!M:M)*(X2376='Raw Period DMR Data'!C:C),0),1), "N/A")</f>
        <v>N/A</v>
      </c>
      <c r="W2376" s="28" t="s">
        <v>1463</v>
      </c>
      <c r="X2376" s="28" t="s">
        <v>956</v>
      </c>
      <c r="Y2376" s="28" t="s">
        <v>816</v>
      </c>
      <c r="Z2376" s="61">
        <v>8070204000982</v>
      </c>
      <c r="AC2376" s="28" t="s">
        <v>1466</v>
      </c>
    </row>
    <row r="2377" spans="1:29" x14ac:dyDescent="0.25">
      <c r="A2377" s="61">
        <v>110000746328</v>
      </c>
      <c r="B2377" s="28">
        <v>2021</v>
      </c>
      <c r="C2377" s="68">
        <f t="shared" si="38"/>
        <v>44197</v>
      </c>
      <c r="D2377" s="28" t="s">
        <v>6771</v>
      </c>
      <c r="E2377" s="28" t="s">
        <v>665</v>
      </c>
      <c r="F2377" s="28" t="s">
        <v>516</v>
      </c>
      <c r="G2377" s="28" t="s">
        <v>303</v>
      </c>
      <c r="H2377" s="28">
        <v>70734</v>
      </c>
      <c r="I2377" s="28">
        <v>30.208604000000001</v>
      </c>
      <c r="J2377" s="28">
        <v>-91.011127999999999</v>
      </c>
      <c r="K2377" s="28" t="s">
        <v>666</v>
      </c>
      <c r="L2377" s="61">
        <v>110000746328</v>
      </c>
      <c r="M2377" s="28" t="s">
        <v>251</v>
      </c>
      <c r="N2377" s="28">
        <v>2869</v>
      </c>
      <c r="O2377" s="28" t="str">
        <f>IFERROR(VLOOKUP(N2377, 'SIC &amp; NAICS Codes'!A:B, 2, FALSE), "")</f>
        <v>Industrial Organic Chemicals, NEC (aliphatics)</v>
      </c>
      <c r="S2377" s="28">
        <v>12.8028</v>
      </c>
      <c r="T2377" s="315">
        <f>_xlfn.MAXIFS('Raw Period DMR Data'!$O:$O,'Raw Period DMR Data'!$A:$A,'Raw Annual DMR Data_2021-2024'!B2346,'Raw Period DMR Data'!$C:$C,X2377)/S2377</f>
        <v>0</v>
      </c>
      <c r="U2377" s="28" t="str">
        <f>+IF(COUNTIFS('Raw Period DMR Data'!$A:$A,B2377, 'Raw Period DMR Data'!C:C,'Raw Annual DMR Data_2021-2024'!X2346, 'Raw Period DMR Data'!M:M, "&gt;0")&gt;0,_xlfn.MAXIFS('Raw Period DMR Data'!M:M,'Raw Period DMR Data'!$A:$A,'Raw Annual DMR Data_2021-2024'!B2346,'Raw Period DMR Data'!C:C,'Raw Annual DMR Data_2021-2024'!X2346), "N/A - Period DMR Data Not Available")</f>
        <v>N/A - Period DMR Data Not Available</v>
      </c>
      <c r="V2377" s="28" t="str" cm="1">
        <f t="array" ref="V2377">IFERROR(INDEX('Raw Period DMR Data'!N:N,MATCH(1,(B2377='Raw Period DMR Data'!$A:$A)*(U2377='Raw Period DMR Data'!M:M)*(X2377='Raw Period DMR Data'!C:C),0),1), "N/A")</f>
        <v>N/A</v>
      </c>
      <c r="W2377" s="28" t="s">
        <v>1463</v>
      </c>
      <c r="X2377" s="28" t="s">
        <v>956</v>
      </c>
      <c r="Y2377" s="28" t="s">
        <v>816</v>
      </c>
      <c r="Z2377" s="61">
        <v>8070204000982</v>
      </c>
      <c r="AC2377" s="28" t="s">
        <v>1466</v>
      </c>
    </row>
    <row r="2378" spans="1:29" x14ac:dyDescent="0.25">
      <c r="A2378" s="61">
        <v>110000746328</v>
      </c>
      <c r="B2378" s="28">
        <v>2022</v>
      </c>
      <c r="C2378" s="68">
        <f t="shared" si="38"/>
        <v>44562</v>
      </c>
      <c r="D2378" s="28" t="s">
        <v>6771</v>
      </c>
      <c r="E2378" s="28" t="s">
        <v>665</v>
      </c>
      <c r="F2378" s="28" t="s">
        <v>516</v>
      </c>
      <c r="G2378" s="28" t="s">
        <v>303</v>
      </c>
      <c r="H2378" s="28">
        <v>70734</v>
      </c>
      <c r="I2378" s="28">
        <v>30.208604000000001</v>
      </c>
      <c r="J2378" s="28">
        <v>-91.011127999999999</v>
      </c>
      <c r="K2378" s="28" t="s">
        <v>666</v>
      </c>
      <c r="L2378" s="61">
        <v>110000746328</v>
      </c>
      <c r="M2378" s="28" t="s">
        <v>251</v>
      </c>
      <c r="N2378" s="28">
        <v>2869</v>
      </c>
      <c r="O2378" s="28" t="str">
        <f>IFERROR(VLOOKUP(N2378, 'SIC &amp; NAICS Codes'!A:B, 2, FALSE), "")</f>
        <v>Industrial Organic Chemicals, NEC (aliphatics)</v>
      </c>
      <c r="S2378" s="28">
        <v>12.47592</v>
      </c>
      <c r="T2378" s="315">
        <f>_xlfn.MAXIFS('Raw Period DMR Data'!$O:$O,'Raw Period DMR Data'!$A:$A,'Raw Annual DMR Data_2021-2024'!B2347,'Raw Period DMR Data'!$C:$C,X2378)/S2378</f>
        <v>0</v>
      </c>
      <c r="U2378" s="28" t="str">
        <f>+IF(COUNTIFS('Raw Period DMR Data'!$A:$A,B2378, 'Raw Period DMR Data'!C:C,'Raw Annual DMR Data_2021-2024'!X2347, 'Raw Period DMR Data'!M:M, "&gt;0")&gt;0,_xlfn.MAXIFS('Raw Period DMR Data'!M:M,'Raw Period DMR Data'!$A:$A,'Raw Annual DMR Data_2021-2024'!B2347,'Raw Period DMR Data'!C:C,'Raw Annual DMR Data_2021-2024'!X2347), "N/A - Period DMR Data Not Available")</f>
        <v>N/A - Period DMR Data Not Available</v>
      </c>
      <c r="V2378" s="28" t="str" cm="1">
        <f t="array" ref="V2378">IFERROR(INDEX('Raw Period DMR Data'!N:N,MATCH(1,(B2378='Raw Period DMR Data'!$A:$A)*(U2378='Raw Period DMR Data'!M:M)*(X2378='Raw Period DMR Data'!C:C),0),1), "N/A")</f>
        <v>N/A</v>
      </c>
      <c r="W2378" s="28" t="s">
        <v>1463</v>
      </c>
      <c r="X2378" s="28" t="s">
        <v>956</v>
      </c>
      <c r="Y2378" s="28" t="s">
        <v>816</v>
      </c>
      <c r="Z2378" s="61">
        <v>8070204000982</v>
      </c>
      <c r="AC2378" s="28" t="s">
        <v>1466</v>
      </c>
    </row>
    <row r="2379" spans="1:29" x14ac:dyDescent="0.25">
      <c r="A2379" s="61">
        <v>110000746328</v>
      </c>
      <c r="B2379" s="28">
        <v>2023</v>
      </c>
      <c r="C2379" s="68">
        <f t="shared" si="38"/>
        <v>44927</v>
      </c>
      <c r="D2379" s="28" t="s">
        <v>6771</v>
      </c>
      <c r="E2379" s="28" t="s">
        <v>665</v>
      </c>
      <c r="F2379" s="28" t="s">
        <v>516</v>
      </c>
      <c r="G2379" s="28" t="s">
        <v>303</v>
      </c>
      <c r="H2379" s="28">
        <v>70734</v>
      </c>
      <c r="I2379" s="28">
        <v>30.208604000000001</v>
      </c>
      <c r="J2379" s="28">
        <v>-91.011127999999999</v>
      </c>
      <c r="K2379" s="28" t="s">
        <v>666</v>
      </c>
      <c r="L2379" s="61">
        <v>110000746328</v>
      </c>
      <c r="M2379" s="28" t="s">
        <v>251</v>
      </c>
      <c r="N2379" s="28">
        <v>2869</v>
      </c>
      <c r="O2379" s="28" t="str">
        <f>IFERROR(VLOOKUP(N2379, 'SIC &amp; NAICS Codes'!A:B, 2, FALSE), "")</f>
        <v>Industrial Organic Chemicals, NEC (aliphatics)</v>
      </c>
      <c r="S2379" s="28">
        <v>5.0666399999999996</v>
      </c>
      <c r="T2379" s="315">
        <f>_xlfn.MAXIFS('Raw Period DMR Data'!$O:$O,'Raw Period DMR Data'!$A:$A,'Raw Annual DMR Data_2021-2024'!B2394,'Raw Period DMR Data'!$C:$C,X2379)/S2379</f>
        <v>0</v>
      </c>
      <c r="U2379" s="28" t="str">
        <f>+IF(COUNTIFS('Raw Period DMR Data'!$A:$A,B2379, 'Raw Period DMR Data'!C:C,'Raw Annual DMR Data_2021-2024'!X2394, 'Raw Period DMR Data'!M:M, "&gt;0")&gt;0,_xlfn.MAXIFS('Raw Period DMR Data'!M:M,'Raw Period DMR Data'!$A:$A,'Raw Annual DMR Data_2021-2024'!B2394,'Raw Period DMR Data'!C:C,'Raw Annual DMR Data_2021-2024'!X2394), "N/A - Period DMR Data Not Available")</f>
        <v>N/A - Period DMR Data Not Available</v>
      </c>
      <c r="V2379" s="28" t="str" cm="1">
        <f t="array" ref="V2379">IFERROR(INDEX('Raw Period DMR Data'!N:N,MATCH(1,(B2379='Raw Period DMR Data'!$A:$A)*(U2379='Raw Period DMR Data'!M:M)*(X2379='Raw Period DMR Data'!C:C),0),1), "N/A")</f>
        <v>N/A</v>
      </c>
      <c r="W2379" s="28" t="s">
        <v>1463</v>
      </c>
      <c r="X2379" s="28" t="s">
        <v>956</v>
      </c>
      <c r="Y2379" s="28" t="s">
        <v>816</v>
      </c>
      <c r="Z2379" s="61" t="s">
        <v>7338</v>
      </c>
      <c r="AC2379" s="28" t="s">
        <v>1466</v>
      </c>
    </row>
    <row r="2380" spans="1:29" x14ac:dyDescent="0.25">
      <c r="A2380" s="61">
        <v>110027373072</v>
      </c>
      <c r="B2380" s="28">
        <v>2021</v>
      </c>
      <c r="C2380" s="68">
        <f t="shared" si="38"/>
        <v>44197</v>
      </c>
      <c r="D2380" s="28" t="s">
        <v>6792</v>
      </c>
      <c r="E2380" s="28" t="s">
        <v>667</v>
      </c>
      <c r="F2380" s="28" t="s">
        <v>323</v>
      </c>
      <c r="G2380" s="28" t="s">
        <v>324</v>
      </c>
      <c r="H2380" s="28">
        <v>42029</v>
      </c>
      <c r="I2380" s="28">
        <v>37.051110999999999</v>
      </c>
      <c r="J2380" s="28">
        <v>-88.334166999999994</v>
      </c>
      <c r="K2380" s="28" t="s">
        <v>668</v>
      </c>
      <c r="L2380" s="61">
        <v>110027373072</v>
      </c>
      <c r="M2380" s="28" t="s">
        <v>251</v>
      </c>
      <c r="N2380" s="28">
        <v>2812</v>
      </c>
      <c r="O2380" s="28" t="str">
        <f>IFERROR(VLOOKUP(N2380, 'SIC &amp; NAICS Codes'!A:B, 2, FALSE), "")</f>
        <v>Alkalies and Chlorine</v>
      </c>
      <c r="S2380" s="28">
        <v>755.87663932769999</v>
      </c>
      <c r="T2380" s="315">
        <f>_xlfn.MAXIFS('Raw Period DMR Data'!$O:$O,'Raw Period DMR Data'!$A:$A,'Raw Annual DMR Data_2021-2024'!B2264,'Raw Period DMR Data'!$C:$C,X2380)/S2380</f>
        <v>0</v>
      </c>
      <c r="U2380" s="28" t="str">
        <f>+IF(COUNTIFS('Raw Period DMR Data'!$A:$A,B2380, 'Raw Period DMR Data'!C:C,'Raw Annual DMR Data_2021-2024'!X2264, 'Raw Period DMR Data'!M:M, "&gt;0")&gt;0,_xlfn.MAXIFS('Raw Period DMR Data'!M:M,'Raw Period DMR Data'!$A:$A,'Raw Annual DMR Data_2021-2024'!B2264,'Raw Period DMR Data'!C:C,'Raw Annual DMR Data_2021-2024'!X2264), "N/A - Period DMR Data Not Available")</f>
        <v>N/A - Period DMR Data Not Available</v>
      </c>
      <c r="V2380" s="28" t="str" cm="1">
        <f t="array" ref="V2380">IFERROR(INDEX('Raw Period DMR Data'!N:N,MATCH(1,(B2380='Raw Period DMR Data'!$A:$A)*(U2380='Raw Period DMR Data'!M:M)*(X2380='Raw Period DMR Data'!C:C),0),1), "N/A")</f>
        <v>N/A</v>
      </c>
      <c r="W2380" s="28" t="s">
        <v>1463</v>
      </c>
      <c r="X2380" s="28" t="s">
        <v>957</v>
      </c>
      <c r="Y2380" s="28" t="s">
        <v>958</v>
      </c>
      <c r="Z2380" s="61">
        <v>6040006000172</v>
      </c>
      <c r="AA2380" s="28"/>
      <c r="AC2380" s="28" t="s">
        <v>1466</v>
      </c>
    </row>
    <row r="2381" spans="1:29" x14ac:dyDescent="0.25">
      <c r="A2381" s="61">
        <v>110027373072</v>
      </c>
      <c r="B2381" s="28">
        <v>2023</v>
      </c>
      <c r="C2381" s="68">
        <f t="shared" si="38"/>
        <v>44927</v>
      </c>
      <c r="D2381" s="28" t="s">
        <v>6792</v>
      </c>
      <c r="E2381" s="28" t="s">
        <v>667</v>
      </c>
      <c r="F2381" s="28" t="s">
        <v>323</v>
      </c>
      <c r="G2381" s="28" t="s">
        <v>324</v>
      </c>
      <c r="H2381" s="28">
        <v>42029</v>
      </c>
      <c r="I2381" s="28">
        <v>37.051110999999999</v>
      </c>
      <c r="J2381" s="28">
        <v>-88.334166999999994</v>
      </c>
      <c r="K2381" s="28" t="s">
        <v>668</v>
      </c>
      <c r="L2381" s="61">
        <v>110027373072</v>
      </c>
      <c r="M2381" s="28" t="s">
        <v>251</v>
      </c>
      <c r="N2381" s="28">
        <v>2812</v>
      </c>
      <c r="O2381" s="28" t="str">
        <f>IFERROR(VLOOKUP(N2381, 'SIC &amp; NAICS Codes'!A:B, 2, FALSE), "")</f>
        <v>Alkalies and Chlorine</v>
      </c>
      <c r="S2381" s="28">
        <v>356.52107899524998</v>
      </c>
      <c r="T2381" s="315">
        <f>_xlfn.MAXIFS('Raw Period DMR Data'!$O:$O,'Raw Period DMR Data'!$A:$A,'Raw Annual DMR Data_2021-2024'!B2269,'Raw Period DMR Data'!$C:$C,X2381)/S2381</f>
        <v>0</v>
      </c>
      <c r="U2381" s="28" t="str">
        <f>+IF(COUNTIFS('Raw Period DMR Data'!$A:$A,B2381, 'Raw Period DMR Data'!C:C,'Raw Annual DMR Data_2021-2024'!X2269, 'Raw Period DMR Data'!M:M, "&gt;0")&gt;0,_xlfn.MAXIFS('Raw Period DMR Data'!M:M,'Raw Period DMR Data'!$A:$A,'Raw Annual DMR Data_2021-2024'!B2269,'Raw Period DMR Data'!C:C,'Raw Annual DMR Data_2021-2024'!X2269), "N/A - Period DMR Data Not Available")</f>
        <v>N/A - Period DMR Data Not Available</v>
      </c>
      <c r="V2381" s="28" t="str" cm="1">
        <f t="array" ref="V2381">IFERROR(INDEX('Raw Period DMR Data'!N:N,MATCH(1,(B2381='Raw Period DMR Data'!$A:$A)*(U2381='Raw Period DMR Data'!M:M)*(X2381='Raw Period DMR Data'!C:C),0),1), "N/A")</f>
        <v>N/A</v>
      </c>
      <c r="W2381" s="28" t="s">
        <v>1463</v>
      </c>
      <c r="X2381" s="28" t="s">
        <v>957</v>
      </c>
      <c r="Y2381" s="28" t="s">
        <v>958</v>
      </c>
      <c r="Z2381" s="61">
        <v>6040006000172</v>
      </c>
      <c r="AC2381" s="28" t="s">
        <v>1466</v>
      </c>
    </row>
    <row r="2382" spans="1:29" x14ac:dyDescent="0.25">
      <c r="A2382" s="61">
        <v>110027373072</v>
      </c>
      <c r="B2382" s="28">
        <v>2022</v>
      </c>
      <c r="C2382" s="68">
        <f t="shared" si="38"/>
        <v>44562</v>
      </c>
      <c r="D2382" s="28" t="s">
        <v>6792</v>
      </c>
      <c r="E2382" s="28" t="s">
        <v>667</v>
      </c>
      <c r="F2382" s="28" t="s">
        <v>323</v>
      </c>
      <c r="G2382" s="28" t="s">
        <v>324</v>
      </c>
      <c r="H2382" s="28">
        <v>42029</v>
      </c>
      <c r="I2382" s="28">
        <v>37.051110999999999</v>
      </c>
      <c r="J2382" s="28">
        <v>-88.334166999999994</v>
      </c>
      <c r="K2382" s="28" t="s">
        <v>668</v>
      </c>
      <c r="L2382" s="61">
        <v>110027373072</v>
      </c>
      <c r="M2382" s="28" t="s">
        <v>251</v>
      </c>
      <c r="N2382" s="28">
        <v>2812</v>
      </c>
      <c r="O2382" s="28" t="str">
        <f>IFERROR(VLOOKUP(N2382, 'SIC &amp; NAICS Codes'!A:B, 2, FALSE), "")</f>
        <v>Alkalies and Chlorine</v>
      </c>
      <c r="S2382" s="28">
        <v>204.85973871190001</v>
      </c>
      <c r="T2382" s="315">
        <f>_xlfn.MAXIFS('Raw Period DMR Data'!$O:$O,'Raw Period DMR Data'!$A:$A,'Raw Annual DMR Data_2021-2024'!B2279,'Raw Period DMR Data'!$C:$C,X2382)/S2382</f>
        <v>0</v>
      </c>
      <c r="U2382" s="28" t="str">
        <f>+IF(COUNTIFS('Raw Period DMR Data'!$A:$A,B2382, 'Raw Period DMR Data'!C:C,'Raw Annual DMR Data_2021-2024'!X2279, 'Raw Period DMR Data'!M:M, "&gt;0")&gt;0,_xlfn.MAXIFS('Raw Period DMR Data'!M:M,'Raw Period DMR Data'!$A:$A,'Raw Annual DMR Data_2021-2024'!B2279,'Raw Period DMR Data'!C:C,'Raw Annual DMR Data_2021-2024'!X2279), "N/A - Period DMR Data Not Available")</f>
        <v>N/A - Period DMR Data Not Available</v>
      </c>
      <c r="V2382" s="28" t="str" cm="1">
        <f t="array" ref="V2382">IFERROR(INDEX('Raw Period DMR Data'!N:N,MATCH(1,(B2382='Raw Period DMR Data'!$A:$A)*(U2382='Raw Period DMR Data'!M:M)*(X2382='Raw Period DMR Data'!C:C),0),1), "N/A")</f>
        <v>N/A</v>
      </c>
      <c r="W2382" s="28" t="s">
        <v>1463</v>
      </c>
      <c r="X2382" s="28" t="s">
        <v>957</v>
      </c>
      <c r="Y2382" s="28" t="s">
        <v>958</v>
      </c>
      <c r="Z2382" s="61">
        <v>6040006000172</v>
      </c>
      <c r="AC2382" s="28" t="s">
        <v>1466</v>
      </c>
    </row>
    <row r="2383" spans="1:29" x14ac:dyDescent="0.25">
      <c r="A2383" s="61">
        <v>110027373072</v>
      </c>
      <c r="B2383" s="28">
        <v>2024</v>
      </c>
      <c r="C2383" s="68">
        <f t="shared" si="38"/>
        <v>45292</v>
      </c>
      <c r="D2383" s="28" t="s">
        <v>6792</v>
      </c>
      <c r="E2383" s="28" t="s">
        <v>667</v>
      </c>
      <c r="F2383" s="28" t="s">
        <v>323</v>
      </c>
      <c r="G2383" s="28" t="s">
        <v>324</v>
      </c>
      <c r="H2383" s="28">
        <v>42029</v>
      </c>
      <c r="I2383" s="28">
        <v>37.051110999999999</v>
      </c>
      <c r="J2383" s="28">
        <v>-88.334166999999994</v>
      </c>
      <c r="K2383" s="28" t="s">
        <v>668</v>
      </c>
      <c r="L2383" s="61">
        <v>110027373072</v>
      </c>
      <c r="M2383" s="28" t="s">
        <v>251</v>
      </c>
      <c r="N2383" s="28">
        <v>2812</v>
      </c>
      <c r="O2383" s="28" t="str">
        <f>IFERROR(VLOOKUP(N2383, 'SIC &amp; NAICS Codes'!A:B, 2, FALSE), "")</f>
        <v>Alkalies and Chlorine</v>
      </c>
      <c r="S2383" s="28">
        <v>79.424757600000007</v>
      </c>
      <c r="T2383" s="315">
        <f>_xlfn.MAXIFS('Raw Period DMR Data'!$O:$O,'Raw Period DMR Data'!$A:$A,'Raw Annual DMR Data_2021-2024'!B2290,'Raw Period DMR Data'!$C:$C,X2383)/S2383</f>
        <v>0</v>
      </c>
      <c r="U2383" s="28" t="str">
        <f>+IF(COUNTIFS('Raw Period DMR Data'!$A:$A,B2383, 'Raw Period DMR Data'!C:C,'Raw Annual DMR Data_2021-2024'!X2290, 'Raw Period DMR Data'!M:M, "&gt;0")&gt;0,_xlfn.MAXIFS('Raw Period DMR Data'!M:M,'Raw Period DMR Data'!$A:$A,'Raw Annual DMR Data_2021-2024'!B2290,'Raw Period DMR Data'!C:C,'Raw Annual DMR Data_2021-2024'!X2290), "N/A - Period DMR Data Not Available")</f>
        <v>N/A - Period DMR Data Not Available</v>
      </c>
      <c r="V2383" s="28" t="str" cm="1">
        <f t="array" ref="V2383">IFERROR(INDEX('Raw Period DMR Data'!N:N,MATCH(1,(B2383='Raw Period DMR Data'!$A:$A)*(U2383='Raw Period DMR Data'!M:M)*(X2383='Raw Period DMR Data'!C:C),0),1), "N/A")</f>
        <v>N/A</v>
      </c>
      <c r="W2383" s="28" t="s">
        <v>1463</v>
      </c>
      <c r="X2383" s="28" t="s">
        <v>957</v>
      </c>
      <c r="Y2383" s="28" t="s">
        <v>958</v>
      </c>
      <c r="Z2383" s="61">
        <v>6040006000172</v>
      </c>
      <c r="AC2383" s="28" t="s">
        <v>1466</v>
      </c>
    </row>
    <row r="2384" spans="1:29" x14ac:dyDescent="0.25">
      <c r="A2384" s="61">
        <v>110027373072</v>
      </c>
      <c r="B2384" s="28">
        <v>2024</v>
      </c>
      <c r="C2384" s="68">
        <f t="shared" si="38"/>
        <v>45292</v>
      </c>
      <c r="D2384" s="28" t="s">
        <v>6792</v>
      </c>
      <c r="E2384" s="28" t="s">
        <v>667</v>
      </c>
      <c r="F2384" s="28" t="s">
        <v>323</v>
      </c>
      <c r="G2384" s="28" t="s">
        <v>324</v>
      </c>
      <c r="H2384" s="28">
        <v>42029</v>
      </c>
      <c r="I2384" s="28">
        <v>37.051110999999999</v>
      </c>
      <c r="J2384" s="28">
        <v>-88.334166999999994</v>
      </c>
      <c r="K2384" s="28" t="s">
        <v>668</v>
      </c>
      <c r="L2384" s="61">
        <v>110027373072</v>
      </c>
      <c r="M2384" s="28" t="s">
        <v>251</v>
      </c>
      <c r="N2384" s="28">
        <v>2812</v>
      </c>
      <c r="O2384" s="28" t="str">
        <f>IFERROR(VLOOKUP(N2384, 'SIC &amp; NAICS Codes'!A:B, 2, FALSE), "")</f>
        <v>Alkalies and Chlorine</v>
      </c>
      <c r="S2384" s="28">
        <v>65.096079048799993</v>
      </c>
      <c r="T2384" s="315">
        <f>_xlfn.MAXIFS('Raw Period DMR Data'!$O:$O,'Raw Period DMR Data'!$A:$A,'Raw Annual DMR Data_2021-2024'!B2293,'Raw Period DMR Data'!$C:$C,X2384)/S2384</f>
        <v>0</v>
      </c>
      <c r="U2384" s="28" t="str">
        <f>+IF(COUNTIFS('Raw Period DMR Data'!$A:$A,B2384, 'Raw Period DMR Data'!C:C,'Raw Annual DMR Data_2021-2024'!X2293, 'Raw Period DMR Data'!M:M, "&gt;0")&gt;0,_xlfn.MAXIFS('Raw Period DMR Data'!M:M,'Raw Period DMR Data'!$A:$A,'Raw Annual DMR Data_2021-2024'!B2293,'Raw Period DMR Data'!C:C,'Raw Annual DMR Data_2021-2024'!X2293), "N/A - Period DMR Data Not Available")</f>
        <v>N/A - Period DMR Data Not Available</v>
      </c>
      <c r="V2384" s="28" t="str" cm="1">
        <f t="array" ref="V2384">IFERROR(INDEX('Raw Period DMR Data'!N:N,MATCH(1,(B2384='Raw Period DMR Data'!$A:$A)*(U2384='Raw Period DMR Data'!M:M)*(X2384='Raw Period DMR Data'!C:C),0),1), "N/A")</f>
        <v>N/A</v>
      </c>
      <c r="W2384" s="28" t="s">
        <v>1463</v>
      </c>
      <c r="X2384" s="28" t="s">
        <v>957</v>
      </c>
      <c r="Y2384" s="28" t="s">
        <v>958</v>
      </c>
      <c r="Z2384" s="61">
        <v>6040006000172</v>
      </c>
      <c r="AC2384" s="28" t="s">
        <v>1466</v>
      </c>
    </row>
    <row r="2385" spans="1:29" x14ac:dyDescent="0.25">
      <c r="A2385" s="61">
        <v>110027373072</v>
      </c>
      <c r="B2385" s="28">
        <v>2022</v>
      </c>
      <c r="C2385" s="68">
        <f t="shared" si="38"/>
        <v>44562</v>
      </c>
      <c r="D2385" s="28" t="s">
        <v>6792</v>
      </c>
      <c r="E2385" s="28" t="s">
        <v>667</v>
      </c>
      <c r="F2385" s="28" t="s">
        <v>323</v>
      </c>
      <c r="G2385" s="28" t="s">
        <v>324</v>
      </c>
      <c r="H2385" s="28">
        <v>42029</v>
      </c>
      <c r="I2385" s="28">
        <v>37.051110999999999</v>
      </c>
      <c r="J2385" s="28">
        <v>-88.334166999999994</v>
      </c>
      <c r="K2385" s="28" t="s">
        <v>668</v>
      </c>
      <c r="L2385" s="61">
        <v>110027373072</v>
      </c>
      <c r="M2385" s="28" t="s">
        <v>251</v>
      </c>
      <c r="N2385" s="28">
        <v>2812</v>
      </c>
      <c r="O2385" s="28" t="str">
        <f>IFERROR(VLOOKUP(N2385, 'SIC &amp; NAICS Codes'!A:B, 2, FALSE), "")</f>
        <v>Alkalies and Chlorine</v>
      </c>
      <c r="S2385" s="28">
        <v>63.616976999999999</v>
      </c>
      <c r="T2385" s="315">
        <f>_xlfn.MAXIFS('Raw Period DMR Data'!$O:$O,'Raw Period DMR Data'!$A:$A,'Raw Annual DMR Data_2021-2024'!B2294,'Raw Period DMR Data'!$C:$C,X2385)/S2385</f>
        <v>0</v>
      </c>
      <c r="U2385" s="28" t="str">
        <f>+IF(COUNTIFS('Raw Period DMR Data'!$A:$A,B2385, 'Raw Period DMR Data'!C:C,'Raw Annual DMR Data_2021-2024'!X2294, 'Raw Period DMR Data'!M:M, "&gt;0")&gt;0,_xlfn.MAXIFS('Raw Period DMR Data'!M:M,'Raw Period DMR Data'!$A:$A,'Raw Annual DMR Data_2021-2024'!B2294,'Raw Period DMR Data'!C:C,'Raw Annual DMR Data_2021-2024'!X2294), "N/A - Period DMR Data Not Available")</f>
        <v>N/A - Period DMR Data Not Available</v>
      </c>
      <c r="V2385" s="28" t="str" cm="1">
        <f t="array" ref="V2385">IFERROR(INDEX('Raw Period DMR Data'!N:N,MATCH(1,(B2385='Raw Period DMR Data'!$A:$A)*(U2385='Raw Period DMR Data'!M:M)*(X2385='Raw Period DMR Data'!C:C),0),1), "N/A")</f>
        <v>N/A</v>
      </c>
      <c r="W2385" s="28" t="s">
        <v>1463</v>
      </c>
      <c r="X2385" s="28" t="s">
        <v>957</v>
      </c>
      <c r="Y2385" s="28" t="s">
        <v>958</v>
      </c>
      <c r="Z2385" s="61">
        <v>6040006000172</v>
      </c>
      <c r="AA2385" s="60" t="s">
        <v>7355</v>
      </c>
      <c r="AC2385" s="28" t="s">
        <v>1466</v>
      </c>
    </row>
    <row r="2386" spans="1:29" x14ac:dyDescent="0.25">
      <c r="A2386" s="61">
        <v>110027373072</v>
      </c>
      <c r="B2386" s="28">
        <v>2021</v>
      </c>
      <c r="C2386" s="68">
        <f t="shared" si="38"/>
        <v>44197</v>
      </c>
      <c r="D2386" s="28" t="s">
        <v>6792</v>
      </c>
      <c r="E2386" s="28" t="s">
        <v>667</v>
      </c>
      <c r="F2386" s="28" t="s">
        <v>323</v>
      </c>
      <c r="G2386" s="28" t="s">
        <v>324</v>
      </c>
      <c r="H2386" s="28">
        <v>42029</v>
      </c>
      <c r="I2386" s="28">
        <v>37.051110999999999</v>
      </c>
      <c r="J2386" s="28">
        <v>-88.334166999999994</v>
      </c>
      <c r="K2386" s="28" t="s">
        <v>668</v>
      </c>
      <c r="L2386" s="61">
        <v>110027373072</v>
      </c>
      <c r="M2386" s="28" t="s">
        <v>251</v>
      </c>
      <c r="N2386" s="28">
        <v>2812</v>
      </c>
      <c r="O2386" s="28" t="str">
        <f>IFERROR(VLOOKUP(N2386, 'SIC &amp; NAICS Codes'!A:B, 2, FALSE), "")</f>
        <v>Alkalies and Chlorine</v>
      </c>
      <c r="S2386" s="28">
        <v>27.988419</v>
      </c>
      <c r="T2386" s="315">
        <f>_xlfn.MAXIFS('Raw Period DMR Data'!$O:$O,'Raw Period DMR Data'!$A:$A,'Raw Annual DMR Data_2021-2024'!B2310,'Raw Period DMR Data'!$C:$C,X2386)/S2386</f>
        <v>0</v>
      </c>
      <c r="U2386" s="28" t="str">
        <f>+IF(COUNTIFS('Raw Period DMR Data'!$A:$A,B2386, 'Raw Period DMR Data'!C:C,'Raw Annual DMR Data_2021-2024'!X2310, 'Raw Period DMR Data'!M:M, "&gt;0")&gt;0,_xlfn.MAXIFS('Raw Period DMR Data'!M:M,'Raw Period DMR Data'!$A:$A,'Raw Annual DMR Data_2021-2024'!B2310,'Raw Period DMR Data'!C:C,'Raw Annual DMR Data_2021-2024'!X2310), "N/A - Period DMR Data Not Available")</f>
        <v>N/A - Period DMR Data Not Available</v>
      </c>
      <c r="V2386" s="28" t="str" cm="1">
        <f t="array" ref="V2386">IFERROR(INDEX('Raw Period DMR Data'!N:N,MATCH(1,(B2386='Raw Period DMR Data'!$A:$A)*(U2386='Raw Period DMR Data'!M:M)*(X2386='Raw Period DMR Data'!C:C),0),1), "N/A")</f>
        <v>N/A</v>
      </c>
      <c r="W2386" s="28" t="s">
        <v>1463</v>
      </c>
      <c r="X2386" s="28" t="s">
        <v>957</v>
      </c>
      <c r="Y2386" s="28" t="s">
        <v>958</v>
      </c>
      <c r="Z2386" s="61">
        <v>6040006000172</v>
      </c>
      <c r="AA2386" s="28"/>
      <c r="AC2386" s="28" t="s">
        <v>1466</v>
      </c>
    </row>
    <row r="2387" spans="1:29" x14ac:dyDescent="0.25">
      <c r="A2387" s="61">
        <v>110027373072</v>
      </c>
      <c r="B2387" s="28">
        <v>2023</v>
      </c>
      <c r="C2387" s="68">
        <f t="shared" si="38"/>
        <v>44927</v>
      </c>
      <c r="D2387" s="28" t="s">
        <v>6792</v>
      </c>
      <c r="E2387" s="28" t="s">
        <v>667</v>
      </c>
      <c r="F2387" s="28" t="s">
        <v>323</v>
      </c>
      <c r="G2387" s="28" t="s">
        <v>324</v>
      </c>
      <c r="H2387" s="28">
        <v>42029</v>
      </c>
      <c r="I2387" s="28">
        <v>37.051110999999999</v>
      </c>
      <c r="J2387" s="28">
        <v>-88.334166999999994</v>
      </c>
      <c r="K2387" s="28" t="s">
        <v>668</v>
      </c>
      <c r="L2387" s="61">
        <v>110027373072</v>
      </c>
      <c r="M2387" s="28" t="s">
        <v>251</v>
      </c>
      <c r="N2387" s="28">
        <v>2812</v>
      </c>
      <c r="O2387" s="28" t="str">
        <f>IFERROR(VLOOKUP(N2387, 'SIC &amp; NAICS Codes'!A:B, 2, FALSE), "")</f>
        <v>Alkalies and Chlorine</v>
      </c>
      <c r="S2387" s="28">
        <v>24.038074200000001</v>
      </c>
      <c r="T2387" s="315">
        <f>_xlfn.MAXIFS('Raw Period DMR Data'!$O:$O,'Raw Period DMR Data'!$A:$A,'Raw Annual DMR Data_2021-2024'!B2315,'Raw Period DMR Data'!$C:$C,X2387)/S2387</f>
        <v>0</v>
      </c>
      <c r="U2387" s="28" t="str">
        <f>+IF(COUNTIFS('Raw Period DMR Data'!$A:$A,B2387, 'Raw Period DMR Data'!C:C,'Raw Annual DMR Data_2021-2024'!X2315, 'Raw Period DMR Data'!M:M, "&gt;0")&gt;0,_xlfn.MAXIFS('Raw Period DMR Data'!M:M,'Raw Period DMR Data'!$A:$A,'Raw Annual DMR Data_2021-2024'!B2315,'Raw Period DMR Data'!C:C,'Raw Annual DMR Data_2021-2024'!X2315), "N/A - Period DMR Data Not Available")</f>
        <v>N/A - Period DMR Data Not Available</v>
      </c>
      <c r="V2387" s="28" t="str" cm="1">
        <f t="array" ref="V2387">IFERROR(INDEX('Raw Period DMR Data'!N:N,MATCH(1,(B2387='Raw Period DMR Data'!$A:$A)*(U2387='Raw Period DMR Data'!M:M)*(X2387='Raw Period DMR Data'!C:C),0),1), "N/A")</f>
        <v>N/A</v>
      </c>
      <c r="W2387" s="28" t="s">
        <v>1463</v>
      </c>
      <c r="X2387" s="28" t="s">
        <v>957</v>
      </c>
      <c r="Y2387" s="28" t="s">
        <v>958</v>
      </c>
      <c r="Z2387" s="61">
        <v>6040006000172</v>
      </c>
      <c r="AC2387" s="28" t="s">
        <v>1466</v>
      </c>
    </row>
    <row r="2388" spans="1:29" x14ac:dyDescent="0.25">
      <c r="A2388" s="61">
        <v>110027373072</v>
      </c>
      <c r="B2388" s="28">
        <v>2024</v>
      </c>
      <c r="C2388" s="68">
        <f t="shared" si="38"/>
        <v>45292</v>
      </c>
      <c r="D2388" s="28" t="s">
        <v>6792</v>
      </c>
      <c r="E2388" s="28" t="s">
        <v>667</v>
      </c>
      <c r="F2388" s="28" t="s">
        <v>323</v>
      </c>
      <c r="G2388" s="28" t="s">
        <v>324</v>
      </c>
      <c r="H2388" s="28">
        <v>42029</v>
      </c>
      <c r="I2388" s="28">
        <v>37.051110999999999</v>
      </c>
      <c r="J2388" s="28">
        <v>-88.334166999999994</v>
      </c>
      <c r="K2388" s="28" t="s">
        <v>668</v>
      </c>
      <c r="L2388" s="61">
        <v>110027373072</v>
      </c>
      <c r="M2388" s="28" t="s">
        <v>251</v>
      </c>
      <c r="N2388" s="28">
        <v>2812</v>
      </c>
      <c r="O2388" s="28" t="str">
        <f>IFERROR(VLOOKUP(N2388, 'SIC &amp; NAICS Codes'!A:B, 2, FALSE), "")</f>
        <v>Alkalies and Chlorine</v>
      </c>
      <c r="S2388" s="28">
        <v>13.256482200000001</v>
      </c>
      <c r="T2388" s="315">
        <f>_xlfn.MAXIFS('Raw Period DMR Data'!$O:$O,'Raw Period DMR Data'!$A:$A,'Raw Annual DMR Data_2021-2024'!B2341,'Raw Period DMR Data'!$C:$C,X2388)/S2388</f>
        <v>0</v>
      </c>
      <c r="U2388" s="28" t="str">
        <f>+IF(COUNTIFS('Raw Period DMR Data'!$A:$A,B2388, 'Raw Period DMR Data'!C:C,'Raw Annual DMR Data_2021-2024'!X2341, 'Raw Period DMR Data'!M:M, "&gt;0")&gt;0,_xlfn.MAXIFS('Raw Period DMR Data'!M:M,'Raw Period DMR Data'!$A:$A,'Raw Annual DMR Data_2021-2024'!B2341,'Raw Period DMR Data'!C:C,'Raw Annual DMR Data_2021-2024'!X2341), "N/A - Period DMR Data Not Available")</f>
        <v>N/A - Period DMR Data Not Available</v>
      </c>
      <c r="V2388" s="28" t="str" cm="1">
        <f t="array" ref="V2388">IFERROR(INDEX('Raw Period DMR Data'!N:N,MATCH(1,(B2388='Raw Period DMR Data'!$A:$A)*(U2388='Raw Period DMR Data'!M:M)*(X2388='Raw Period DMR Data'!C:C),0),1), "N/A")</f>
        <v>N/A</v>
      </c>
      <c r="W2388" s="28" t="s">
        <v>1463</v>
      </c>
      <c r="X2388" s="28" t="s">
        <v>957</v>
      </c>
      <c r="Y2388" s="28" t="s">
        <v>958</v>
      </c>
      <c r="Z2388" s="61">
        <v>6040006000172</v>
      </c>
      <c r="AC2388" s="28" t="s">
        <v>1466</v>
      </c>
    </row>
    <row r="2389" spans="1:29" x14ac:dyDescent="0.25">
      <c r="A2389" s="61">
        <v>110027373072</v>
      </c>
      <c r="B2389" s="28">
        <v>2023</v>
      </c>
      <c r="C2389" s="68">
        <f t="shared" si="38"/>
        <v>44927</v>
      </c>
      <c r="D2389" s="28" t="s">
        <v>6792</v>
      </c>
      <c r="E2389" s="28" t="s">
        <v>667</v>
      </c>
      <c r="F2389" s="28" t="s">
        <v>323</v>
      </c>
      <c r="G2389" s="28" t="s">
        <v>324</v>
      </c>
      <c r="H2389" s="28">
        <v>42029</v>
      </c>
      <c r="I2389" s="28">
        <v>37.051110999999999</v>
      </c>
      <c r="J2389" s="28">
        <v>-88.334166999999994</v>
      </c>
      <c r="K2389" s="28" t="s">
        <v>668</v>
      </c>
      <c r="L2389" s="61">
        <v>110027373072</v>
      </c>
      <c r="M2389" s="28" t="s">
        <v>251</v>
      </c>
      <c r="N2389" s="28">
        <v>2812</v>
      </c>
      <c r="O2389" s="28" t="str">
        <f>IFERROR(VLOOKUP(N2389, 'SIC &amp; NAICS Codes'!A:B, 2, FALSE), "")</f>
        <v>Alkalies and Chlorine</v>
      </c>
      <c r="S2389" s="28">
        <v>5.4337444000000001</v>
      </c>
      <c r="T2389" s="315">
        <f>_xlfn.MAXIFS('Raw Period DMR Data'!$O:$O,'Raw Period DMR Data'!$A:$A,'Raw Annual DMR Data_2021-2024'!B2388,'Raw Period DMR Data'!$C:$C,X2389)/S2389</f>
        <v>0</v>
      </c>
      <c r="U2389" s="28" t="str">
        <f>+IF(COUNTIFS('Raw Period DMR Data'!$A:$A,B2389, 'Raw Period DMR Data'!C:C,'Raw Annual DMR Data_2021-2024'!X2388, 'Raw Period DMR Data'!M:M, "&gt;0")&gt;0,_xlfn.MAXIFS('Raw Period DMR Data'!M:M,'Raw Period DMR Data'!$A:$A,'Raw Annual DMR Data_2021-2024'!B2388,'Raw Period DMR Data'!C:C,'Raw Annual DMR Data_2021-2024'!X2388), "N/A - Period DMR Data Not Available")</f>
        <v>N/A - Period DMR Data Not Available</v>
      </c>
      <c r="V2389" s="28" t="str" cm="1">
        <f t="array" ref="V2389">IFERROR(INDEX('Raw Period DMR Data'!N:N,MATCH(1,(B2389='Raw Period DMR Data'!$A:$A)*(U2389='Raw Period DMR Data'!M:M)*(X2389='Raw Period DMR Data'!C:C),0),1), "N/A")</f>
        <v>N/A</v>
      </c>
      <c r="W2389" s="28" t="s">
        <v>1463</v>
      </c>
      <c r="X2389" s="28" t="s">
        <v>957</v>
      </c>
      <c r="Y2389" s="28" t="s">
        <v>958</v>
      </c>
      <c r="Z2389" s="61">
        <v>6040006000172</v>
      </c>
      <c r="AC2389" s="28" t="s">
        <v>1466</v>
      </c>
    </row>
    <row r="2390" spans="1:29" x14ac:dyDescent="0.25">
      <c r="A2390" s="61">
        <v>110027373072</v>
      </c>
      <c r="B2390" s="28">
        <v>2022</v>
      </c>
      <c r="C2390" s="68">
        <f t="shared" si="38"/>
        <v>44562</v>
      </c>
      <c r="D2390" s="28" t="s">
        <v>6792</v>
      </c>
      <c r="E2390" s="28" t="s">
        <v>667</v>
      </c>
      <c r="F2390" s="28" t="s">
        <v>323</v>
      </c>
      <c r="G2390" s="28" t="s">
        <v>324</v>
      </c>
      <c r="H2390" s="28">
        <v>42029</v>
      </c>
      <c r="I2390" s="28">
        <v>37.051110999999999</v>
      </c>
      <c r="J2390" s="28">
        <v>-88.334166999999994</v>
      </c>
      <c r="K2390" s="28" t="s">
        <v>668</v>
      </c>
      <c r="L2390" s="61">
        <v>110027373072</v>
      </c>
      <c r="M2390" s="28" t="s">
        <v>251</v>
      </c>
      <c r="N2390" s="28">
        <v>2812</v>
      </c>
      <c r="O2390" s="28" t="str">
        <f>IFERROR(VLOOKUP(N2390, 'SIC &amp; NAICS Codes'!A:B, 2, FALSE), "")</f>
        <v>Alkalies and Chlorine</v>
      </c>
      <c r="S2390" s="28">
        <v>4.62399</v>
      </c>
      <c r="T2390" s="315">
        <f>_xlfn.MAXIFS('Raw Period DMR Data'!$O:$O,'Raw Period DMR Data'!$A:$A,'Raw Annual DMR Data_2021-2024'!B2398,'Raw Period DMR Data'!$C:$C,X2390)/S2390</f>
        <v>0</v>
      </c>
      <c r="U2390" s="28" t="str">
        <f>+IF(COUNTIFS('Raw Period DMR Data'!$A:$A,B2390, 'Raw Period DMR Data'!C:C,'Raw Annual DMR Data_2021-2024'!X2398, 'Raw Period DMR Data'!M:M, "&gt;0")&gt;0,_xlfn.MAXIFS('Raw Period DMR Data'!M:M,'Raw Period DMR Data'!$A:$A,'Raw Annual DMR Data_2021-2024'!B2398,'Raw Period DMR Data'!C:C,'Raw Annual DMR Data_2021-2024'!X2398), "N/A - Period DMR Data Not Available")</f>
        <v>N/A - Period DMR Data Not Available</v>
      </c>
      <c r="V2390" s="28" t="str" cm="1">
        <f t="array" ref="V2390">IFERROR(INDEX('Raw Period DMR Data'!N:N,MATCH(1,(B2390='Raw Period DMR Data'!$A:$A)*(U2390='Raw Period DMR Data'!M:M)*(X2390='Raw Period DMR Data'!C:C),0),1), "N/A")</f>
        <v>N/A</v>
      </c>
      <c r="W2390" s="28" t="s">
        <v>1463</v>
      </c>
      <c r="X2390" s="28" t="s">
        <v>957</v>
      </c>
      <c r="Y2390" s="28" t="s">
        <v>958</v>
      </c>
      <c r="Z2390" s="61">
        <v>6040006000172</v>
      </c>
      <c r="AC2390" s="28" t="s">
        <v>1466</v>
      </c>
    </row>
    <row r="2391" spans="1:29" x14ac:dyDescent="0.25">
      <c r="A2391" s="61">
        <v>110027373072</v>
      </c>
      <c r="B2391" s="28">
        <v>2021</v>
      </c>
      <c r="C2391" s="68">
        <f t="shared" si="38"/>
        <v>44197</v>
      </c>
      <c r="D2391" s="28" t="s">
        <v>6792</v>
      </c>
      <c r="E2391" s="28" t="s">
        <v>667</v>
      </c>
      <c r="F2391" s="28" t="s">
        <v>323</v>
      </c>
      <c r="G2391" s="28" t="s">
        <v>324</v>
      </c>
      <c r="H2391" s="28">
        <v>42029</v>
      </c>
      <c r="I2391" s="28">
        <v>37.051110999999999</v>
      </c>
      <c r="J2391" s="28">
        <v>-88.334166999999994</v>
      </c>
      <c r="K2391" s="28" t="s">
        <v>668</v>
      </c>
      <c r="L2391" s="61">
        <v>110027373072</v>
      </c>
      <c r="M2391" s="28" t="s">
        <v>251</v>
      </c>
      <c r="N2391" s="28">
        <v>2812</v>
      </c>
      <c r="O2391" s="28" t="str">
        <f>IFERROR(VLOOKUP(N2391, 'SIC &amp; NAICS Codes'!A:B, 2, FALSE), "")</f>
        <v>Alkalies and Chlorine</v>
      </c>
      <c r="S2391" s="28">
        <v>1.3864251999999999</v>
      </c>
      <c r="T2391" s="315">
        <f>_xlfn.MAXIFS('Raw Period DMR Data'!$O:$O,'Raw Period DMR Data'!$A:$A,'Raw Annual DMR Data_2021-2024'!#REF!,'Raw Period DMR Data'!$C:$C,X2391)/S2391</f>
        <v>0</v>
      </c>
      <c r="U2391" s="28" t="str">
        <f>+IF(COUNTIFS('Raw Period DMR Data'!$A:$A,B2391,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91" s="28" t="str" cm="1">
        <f t="array" ref="V2391">IFERROR(INDEX('Raw Period DMR Data'!N:N,MATCH(1,(B2391='Raw Period DMR Data'!$A:$A)*(U2391='Raw Period DMR Data'!M:M)*(X2391='Raw Period DMR Data'!C:C),0),1), "N/A")</f>
        <v>N/A</v>
      </c>
      <c r="W2391" s="28" t="s">
        <v>1463</v>
      </c>
      <c r="X2391" s="28" t="s">
        <v>957</v>
      </c>
      <c r="Y2391" s="28" t="s">
        <v>958</v>
      </c>
      <c r="Z2391" s="61">
        <v>6040006000172</v>
      </c>
      <c r="AA2391" s="28"/>
      <c r="AC2391" s="28" t="s">
        <v>1466</v>
      </c>
    </row>
    <row r="2392" spans="1:29" x14ac:dyDescent="0.25">
      <c r="A2392" s="61">
        <v>110006751737</v>
      </c>
      <c r="B2392" s="28">
        <v>2021</v>
      </c>
      <c r="C2392" s="68">
        <f t="shared" si="38"/>
        <v>44197</v>
      </c>
      <c r="D2392" s="28" t="s">
        <v>1432</v>
      </c>
      <c r="E2392" s="28" t="s">
        <v>2371</v>
      </c>
      <c r="F2392" s="28" t="s">
        <v>1433</v>
      </c>
      <c r="G2392" s="28" t="s">
        <v>324</v>
      </c>
      <c r="H2392" s="28">
        <v>40769</v>
      </c>
      <c r="I2392" s="28">
        <v>36.747222000000001</v>
      </c>
      <c r="J2392" s="28">
        <v>-84.171943999999996</v>
      </c>
      <c r="L2392" s="61">
        <v>110006751737</v>
      </c>
      <c r="M2392" s="28" t="s">
        <v>263</v>
      </c>
      <c r="N2392" s="28">
        <v>4952</v>
      </c>
      <c r="O2392" s="28" t="str">
        <f>IFERROR(VLOOKUP(N2392, 'SIC &amp; NAICS Codes'!A:B, 2, FALSE), "")</f>
        <v>Sewerage Systems</v>
      </c>
      <c r="S2392" s="28">
        <v>4.3379884999999998</v>
      </c>
      <c r="T2392" s="315">
        <f>_xlfn.MAXIFS('Raw Period DMR Data'!$O:$O,'Raw Period DMR Data'!$A:$A,'Raw Annual DMR Data_2021-2024'!B2402,'Raw Period DMR Data'!$C:$C,X2392)/S2392</f>
        <v>0</v>
      </c>
      <c r="U2392" s="28" t="str">
        <f>+IF(COUNTIFS('Raw Period DMR Data'!$A:$A,B2392, 'Raw Period DMR Data'!C:C,'Raw Annual DMR Data_2021-2024'!X2402, 'Raw Period DMR Data'!M:M, "&gt;0")&gt;0,_xlfn.MAXIFS('Raw Period DMR Data'!M:M,'Raw Period DMR Data'!$A:$A,'Raw Annual DMR Data_2021-2024'!B2402,'Raw Period DMR Data'!C:C,'Raw Annual DMR Data_2021-2024'!X2402), "N/A - Period DMR Data Not Available")</f>
        <v>N/A - Period DMR Data Not Available</v>
      </c>
      <c r="V2392" s="28" t="str" cm="1">
        <f t="array" ref="V2392">IFERROR(INDEX('Raw Period DMR Data'!N:N,MATCH(1,(B2392='Raw Period DMR Data'!$A:$A)*(U2392='Raw Period DMR Data'!M:M)*(X2392='Raw Period DMR Data'!C:C),0),1), "N/A")</f>
        <v>N/A</v>
      </c>
      <c r="W2392" s="28" t="s">
        <v>1463</v>
      </c>
      <c r="X2392" s="28" t="s">
        <v>2372</v>
      </c>
      <c r="Y2392" s="28" t="s">
        <v>785</v>
      </c>
      <c r="Z2392" s="61">
        <v>5130101000083</v>
      </c>
      <c r="AA2392" s="28"/>
      <c r="AB2392" s="28" t="s">
        <v>7355</v>
      </c>
      <c r="AC2392" s="28" t="s">
        <v>263</v>
      </c>
    </row>
    <row r="2393" spans="1:29" x14ac:dyDescent="0.25">
      <c r="A2393" s="61">
        <v>110045091379</v>
      </c>
      <c r="B2393" s="28">
        <v>2021</v>
      </c>
      <c r="C2393" s="68">
        <f t="shared" si="38"/>
        <v>44197</v>
      </c>
      <c r="D2393" s="28" t="s">
        <v>1434</v>
      </c>
      <c r="E2393" s="28" t="s">
        <v>2374</v>
      </c>
      <c r="F2393" s="28" t="s">
        <v>1435</v>
      </c>
      <c r="G2393" s="28" t="s">
        <v>324</v>
      </c>
      <c r="H2393" s="28">
        <v>41097</v>
      </c>
      <c r="I2393" s="28">
        <v>38.631208000000001</v>
      </c>
      <c r="J2393" s="28">
        <v>-84.618809999999996</v>
      </c>
      <c r="L2393" s="61">
        <v>110045091379</v>
      </c>
      <c r="M2393" s="28" t="s">
        <v>263</v>
      </c>
      <c r="N2393" s="28">
        <v>4952</v>
      </c>
      <c r="O2393" s="28" t="str">
        <f>IFERROR(VLOOKUP(N2393, 'SIC &amp; NAICS Codes'!A:B, 2, FALSE), "")</f>
        <v>Sewerage Systems</v>
      </c>
      <c r="S2393" s="28">
        <v>2.2726086250000002</v>
      </c>
      <c r="T2393" s="315">
        <f>_xlfn.MAXIFS('Raw Period DMR Data'!$O:$O,'Raw Period DMR Data'!$A:$A,'Raw Annual DMR Data_2021-2024'!#REF!,'Raw Period DMR Data'!$C:$C,X2393)/S2393</f>
        <v>0</v>
      </c>
      <c r="U2393" s="28" t="str">
        <f>+IF(COUNTIFS('Raw Period DMR Data'!$A:$A,B2393,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93" s="28" t="str" cm="1">
        <f t="array" ref="V2393">IFERROR(INDEX('Raw Period DMR Data'!N:N,MATCH(1,(B2393='Raw Period DMR Data'!$A:$A)*(U2393='Raw Period DMR Data'!M:M)*(X2393='Raw Period DMR Data'!C:C),0),1), "N/A")</f>
        <v>N/A</v>
      </c>
      <c r="W2393" s="28" t="s">
        <v>1463</v>
      </c>
      <c r="X2393" s="28" t="s">
        <v>2375</v>
      </c>
      <c r="Y2393" s="28" t="s">
        <v>2376</v>
      </c>
      <c r="Z2393" s="61">
        <v>5100205000416</v>
      </c>
      <c r="AA2393" s="28"/>
      <c r="AB2393" s="28" t="s">
        <v>7355</v>
      </c>
      <c r="AC2393" s="28" t="s">
        <v>263</v>
      </c>
    </row>
    <row r="2394" spans="1:29" x14ac:dyDescent="0.25">
      <c r="A2394" s="61">
        <v>110000542896</v>
      </c>
      <c r="B2394" s="28">
        <v>2024</v>
      </c>
      <c r="C2394" s="68">
        <f t="shared" si="38"/>
        <v>45292</v>
      </c>
      <c r="D2394" s="28" t="s">
        <v>6810</v>
      </c>
      <c r="E2394" s="28" t="s">
        <v>6963</v>
      </c>
      <c r="F2394" s="28" t="s">
        <v>1437</v>
      </c>
      <c r="G2394" s="28" t="s">
        <v>324</v>
      </c>
      <c r="H2394" s="28" t="s">
        <v>6964</v>
      </c>
      <c r="I2394" s="28">
        <v>38.041639000000004</v>
      </c>
      <c r="J2394" s="28">
        <v>-84.208667000000005</v>
      </c>
      <c r="L2394" s="61">
        <v>110000542896</v>
      </c>
      <c r="M2394" s="28" t="s">
        <v>263</v>
      </c>
      <c r="N2394" s="28">
        <v>4952</v>
      </c>
      <c r="O2394" s="28" t="str">
        <f>IFERROR(VLOOKUP(N2394, 'SIC &amp; NAICS Codes'!A:B, 2, FALSE), "")</f>
        <v>Sewerage Systems</v>
      </c>
      <c r="S2394" s="28">
        <v>3.322567625</v>
      </c>
      <c r="T2394" s="315">
        <f>_xlfn.MAXIFS('Raw Period DMR Data'!$O:$O,'Raw Period DMR Data'!$A:$A,'Raw Annual DMR Data_2021-2024'!#REF!,'Raw Period DMR Data'!$C:$C,X2394)/S2394</f>
        <v>0</v>
      </c>
      <c r="U2394" s="28" t="str">
        <f>+IF(COUNTIFS('Raw Period DMR Data'!$A:$A,B2394,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94" s="28" t="str" cm="1">
        <f t="array" ref="V2394">IFERROR(INDEX('Raw Period DMR Data'!N:N,MATCH(1,(B2394='Raw Period DMR Data'!$A:$A)*(U2394='Raw Period DMR Data'!M:M)*(X2394='Raw Period DMR Data'!C:C),0),1), "N/A")</f>
        <v>N/A</v>
      </c>
      <c r="W2394" s="28" t="s">
        <v>1463</v>
      </c>
      <c r="X2394" s="28" t="s">
        <v>7158</v>
      </c>
      <c r="Y2394" s="28" t="s">
        <v>7270</v>
      </c>
      <c r="Z2394" s="61">
        <v>5100102000082</v>
      </c>
      <c r="AB2394" s="28" t="s">
        <v>7355</v>
      </c>
      <c r="AC2394" s="28" t="s">
        <v>263</v>
      </c>
    </row>
    <row r="2395" spans="1:29" x14ac:dyDescent="0.25">
      <c r="A2395" s="61">
        <v>110000542896</v>
      </c>
      <c r="B2395" s="28">
        <v>2023</v>
      </c>
      <c r="C2395" s="68">
        <f t="shared" si="38"/>
        <v>44927</v>
      </c>
      <c r="D2395" s="28" t="s">
        <v>6810</v>
      </c>
      <c r="E2395" s="28" t="s">
        <v>6963</v>
      </c>
      <c r="F2395" s="28" t="s">
        <v>1437</v>
      </c>
      <c r="G2395" s="28" t="s">
        <v>324</v>
      </c>
      <c r="H2395" s="28" t="s">
        <v>6964</v>
      </c>
      <c r="I2395" s="28">
        <v>38.041639000000004</v>
      </c>
      <c r="J2395" s="28">
        <v>-84.208667000000005</v>
      </c>
      <c r="L2395" s="61">
        <v>110000542896</v>
      </c>
      <c r="M2395" s="28" t="s">
        <v>263</v>
      </c>
      <c r="N2395" s="28">
        <v>4952</v>
      </c>
      <c r="O2395" s="28" t="str">
        <f>IFERROR(VLOOKUP(N2395, 'SIC &amp; NAICS Codes'!A:B, 2, FALSE), "")</f>
        <v>Sewerage Systems</v>
      </c>
      <c r="S2395" s="28">
        <v>0.53174897249999997</v>
      </c>
      <c r="T2395" s="315">
        <f>_xlfn.MAXIFS('Raw Period DMR Data'!$O:$O,'Raw Period DMR Data'!$A:$A,'Raw Annual DMR Data_2021-2024'!#REF!,'Raw Period DMR Data'!$C:$C,X2395)/S2395</f>
        <v>0</v>
      </c>
      <c r="U2395" s="28" t="str">
        <f>+IF(COUNTIFS('Raw Period DMR Data'!$A:$A,B2395,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95" s="28" t="str" cm="1">
        <f t="array" ref="V2395">IFERROR(INDEX('Raw Period DMR Data'!N:N,MATCH(1,(B2395='Raw Period DMR Data'!$A:$A)*(U2395='Raw Period DMR Data'!M:M)*(X2395='Raw Period DMR Data'!C:C),0),1), "N/A")</f>
        <v>N/A</v>
      </c>
      <c r="W2395" s="28" t="s">
        <v>1463</v>
      </c>
      <c r="X2395" s="28" t="s">
        <v>7158</v>
      </c>
      <c r="Y2395" s="28" t="s">
        <v>7270</v>
      </c>
      <c r="Z2395" s="61">
        <v>5100102000082</v>
      </c>
      <c r="AB2395" s="28" t="s">
        <v>7355</v>
      </c>
      <c r="AC2395" s="28" t="s">
        <v>263</v>
      </c>
    </row>
    <row r="2396" spans="1:29" x14ac:dyDescent="0.25">
      <c r="A2396" s="61">
        <v>110064596361</v>
      </c>
      <c r="B2396" s="28">
        <v>2024</v>
      </c>
      <c r="C2396" s="68">
        <f t="shared" si="38"/>
        <v>45292</v>
      </c>
      <c r="D2396" s="28" t="s">
        <v>1436</v>
      </c>
      <c r="E2396" s="28" t="s">
        <v>2377</v>
      </c>
      <c r="F2396" s="28" t="s">
        <v>1437</v>
      </c>
      <c r="G2396" s="28" t="s">
        <v>324</v>
      </c>
      <c r="H2396" s="28">
        <v>40392</v>
      </c>
      <c r="I2396" s="28">
        <v>37.915556000000002</v>
      </c>
      <c r="J2396" s="28">
        <v>-84.268332999999998</v>
      </c>
      <c r="L2396" s="61">
        <v>110064596361</v>
      </c>
      <c r="M2396" s="28" t="s">
        <v>263</v>
      </c>
      <c r="N2396" s="28">
        <v>4952</v>
      </c>
      <c r="O2396" s="28" t="str">
        <f>IFERROR(VLOOKUP(N2396, 'SIC &amp; NAICS Codes'!A:B, 2, FALSE), "")</f>
        <v>Sewerage Systems</v>
      </c>
      <c r="S2396" s="28">
        <v>1.0582481500000001</v>
      </c>
      <c r="T2396" s="315">
        <f>_xlfn.MAXIFS('Raw Period DMR Data'!$O:$O,'Raw Period DMR Data'!$A:$A,'Raw Annual DMR Data_2021-2024'!#REF!,'Raw Period DMR Data'!$C:$C,X2396)/S2396</f>
        <v>0</v>
      </c>
      <c r="U2396" s="28" t="str">
        <f>+IF(COUNTIFS('Raw Period DMR Data'!$A:$A,B2396,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96" s="28" t="str" cm="1">
        <f t="array" ref="V2396">IFERROR(INDEX('Raw Period DMR Data'!N:N,MATCH(1,(B2396='Raw Period DMR Data'!$A:$A)*(U2396='Raw Period DMR Data'!M:M)*(X2396='Raw Period DMR Data'!C:C),0),1), "N/A")</f>
        <v>N/A</v>
      </c>
      <c r="W2396" s="28" t="s">
        <v>1463</v>
      </c>
      <c r="X2396" s="28" t="s">
        <v>2378</v>
      </c>
      <c r="Y2396" s="28" t="s">
        <v>1592</v>
      </c>
      <c r="Z2396" s="61">
        <v>5100205000175</v>
      </c>
      <c r="AB2396" s="28" t="s">
        <v>7355</v>
      </c>
      <c r="AC2396" s="28" t="s">
        <v>263</v>
      </c>
    </row>
    <row r="2397" spans="1:29" x14ac:dyDescent="0.25">
      <c r="A2397" s="61">
        <v>110024409433</v>
      </c>
      <c r="B2397" s="28">
        <v>2022</v>
      </c>
      <c r="C2397" s="68">
        <f t="shared" si="38"/>
        <v>44562</v>
      </c>
      <c r="D2397" s="28" t="s">
        <v>1438</v>
      </c>
      <c r="E2397" s="28" t="s">
        <v>2380</v>
      </c>
      <c r="F2397" s="28" t="s">
        <v>1439</v>
      </c>
      <c r="G2397" s="28" t="s">
        <v>374</v>
      </c>
      <c r="H2397" s="28">
        <v>86504</v>
      </c>
      <c r="I2397" s="28">
        <v>35.639462000000002</v>
      </c>
      <c r="J2397" s="28">
        <v>-109.080927</v>
      </c>
      <c r="L2397" s="61">
        <v>110024409433</v>
      </c>
      <c r="M2397" s="28" t="s">
        <v>263</v>
      </c>
      <c r="N2397" s="28">
        <v>4952</v>
      </c>
      <c r="O2397" s="28" t="str">
        <f>IFERROR(VLOOKUP(N2397, 'SIC &amp; NAICS Codes'!A:B, 2, FALSE), "")</f>
        <v>Sewerage Systems</v>
      </c>
      <c r="S2397" s="28">
        <v>1.1604810000000001</v>
      </c>
      <c r="T2397" s="315">
        <f>_xlfn.MAXIFS('Raw Period DMR Data'!$O:$O,'Raw Period DMR Data'!$A:$A,'Raw Annual DMR Data_2021-2024'!#REF!,'Raw Period DMR Data'!$C:$C,X2397)/S2397</f>
        <v>0</v>
      </c>
      <c r="U2397" s="28" t="str">
        <f>+IF(COUNTIFS('Raw Period DMR Data'!$A:$A,B2397,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97" s="28" t="str" cm="1">
        <f t="array" ref="V2397">IFERROR(INDEX('Raw Period DMR Data'!N:N,MATCH(1,(B2397='Raw Period DMR Data'!$A:$A)*(U2397='Raw Period DMR Data'!M:M)*(X2397='Raw Period DMR Data'!C:C),0),1), "N/A")</f>
        <v>N/A</v>
      </c>
      <c r="W2397" s="28" t="s">
        <v>1463</v>
      </c>
      <c r="X2397" s="28" t="s">
        <v>2381</v>
      </c>
      <c r="Y2397" s="28" t="s">
        <v>2037</v>
      </c>
      <c r="Z2397" s="61">
        <v>14080204013964</v>
      </c>
      <c r="AB2397" s="28" t="s">
        <v>7355</v>
      </c>
      <c r="AC2397" s="28" t="s">
        <v>263</v>
      </c>
    </row>
    <row r="2398" spans="1:29" x14ac:dyDescent="0.25">
      <c r="A2398" s="61">
        <v>110024409433</v>
      </c>
      <c r="B2398" s="28">
        <v>2024</v>
      </c>
      <c r="C2398" s="68">
        <f t="shared" si="38"/>
        <v>45292</v>
      </c>
      <c r="D2398" s="28" t="s">
        <v>1438</v>
      </c>
      <c r="E2398" s="28" t="s">
        <v>2380</v>
      </c>
      <c r="F2398" s="28" t="s">
        <v>1439</v>
      </c>
      <c r="G2398" s="28" t="s">
        <v>374</v>
      </c>
      <c r="H2398" s="28">
        <v>86504</v>
      </c>
      <c r="I2398" s="28">
        <v>35.639462000000002</v>
      </c>
      <c r="J2398" s="28">
        <v>-109.080927</v>
      </c>
      <c r="L2398" s="61">
        <v>110024409433</v>
      </c>
      <c r="M2398" s="28" t="s">
        <v>263</v>
      </c>
      <c r="N2398" s="28">
        <v>4952</v>
      </c>
      <c r="O2398" s="28" t="str">
        <f>IFERROR(VLOOKUP(N2398, 'SIC &amp; NAICS Codes'!A:B, 2, FALSE), "")</f>
        <v>Sewerage Systems</v>
      </c>
      <c r="S2398" s="28">
        <v>0.91180649999999996</v>
      </c>
      <c r="T2398" s="315">
        <f>_xlfn.MAXIFS('Raw Period DMR Data'!$O:$O,'Raw Period DMR Data'!$A:$A,'Raw Annual DMR Data_2021-2024'!#REF!,'Raw Period DMR Data'!$C:$C,X2398)/S2398</f>
        <v>0</v>
      </c>
      <c r="U2398" s="28" t="str">
        <f>+IF(COUNTIFS('Raw Period DMR Data'!$A:$A,B2398,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98" s="28" t="str" cm="1">
        <f t="array" ref="V2398">IFERROR(INDEX('Raw Period DMR Data'!N:N,MATCH(1,(B2398='Raw Period DMR Data'!$A:$A)*(U2398='Raw Period DMR Data'!M:M)*(X2398='Raw Period DMR Data'!C:C),0),1), "N/A")</f>
        <v>N/A</v>
      </c>
      <c r="W2398" s="28" t="s">
        <v>1463</v>
      </c>
      <c r="X2398" s="28" t="s">
        <v>2381</v>
      </c>
      <c r="Y2398" s="28" t="s">
        <v>2037</v>
      </c>
      <c r="Z2398" s="61">
        <v>14080204013964</v>
      </c>
      <c r="AB2398" s="28" t="s">
        <v>7355</v>
      </c>
      <c r="AC2398" s="28" t="s">
        <v>263</v>
      </c>
    </row>
    <row r="2399" spans="1:29" x14ac:dyDescent="0.25">
      <c r="A2399" s="61">
        <v>110024409433</v>
      </c>
      <c r="B2399" s="28">
        <v>2023</v>
      </c>
      <c r="C2399" s="68">
        <f t="shared" si="38"/>
        <v>44927</v>
      </c>
      <c r="D2399" s="28" t="s">
        <v>1438</v>
      </c>
      <c r="E2399" s="28" t="s">
        <v>2380</v>
      </c>
      <c r="F2399" s="28" t="s">
        <v>1439</v>
      </c>
      <c r="G2399" s="28" t="s">
        <v>374</v>
      </c>
      <c r="H2399" s="28">
        <v>86504</v>
      </c>
      <c r="I2399" s="28">
        <v>35.639462000000002</v>
      </c>
      <c r="J2399" s="28">
        <v>-109.080927</v>
      </c>
      <c r="L2399" s="61">
        <v>110024409433</v>
      </c>
      <c r="M2399" s="28" t="s">
        <v>263</v>
      </c>
      <c r="N2399" s="28">
        <v>4952</v>
      </c>
      <c r="O2399" s="28" t="str">
        <f>IFERROR(VLOOKUP(N2399, 'SIC &amp; NAICS Codes'!A:B, 2, FALSE), "")</f>
        <v>Sewerage Systems</v>
      </c>
      <c r="S2399" s="28">
        <v>0.45590324999999998</v>
      </c>
      <c r="T2399" s="315">
        <f>_xlfn.MAXIFS('Raw Period DMR Data'!$O:$O,'Raw Period DMR Data'!$A:$A,'Raw Annual DMR Data_2021-2024'!#REF!,'Raw Period DMR Data'!$C:$C,X2399)/S2399</f>
        <v>0</v>
      </c>
      <c r="U2399" s="28" t="str">
        <f>+IF(COUNTIFS('Raw Period DMR Data'!$A:$A,B2399,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99" s="28" t="str" cm="1">
        <f t="array" ref="V2399">IFERROR(INDEX('Raw Period DMR Data'!N:N,MATCH(1,(B2399='Raw Period DMR Data'!$A:$A)*(U2399='Raw Period DMR Data'!M:M)*(X2399='Raw Period DMR Data'!C:C),0),1), "N/A")</f>
        <v>N/A</v>
      </c>
      <c r="W2399" s="28" t="s">
        <v>1463</v>
      </c>
      <c r="X2399" s="28" t="s">
        <v>2381</v>
      </c>
      <c r="Y2399" s="28" t="s">
        <v>2037</v>
      </c>
      <c r="Z2399" s="61">
        <v>14080204013964</v>
      </c>
      <c r="AB2399" s="28" t="s">
        <v>7355</v>
      </c>
      <c r="AC2399" s="28" t="s">
        <v>263</v>
      </c>
    </row>
    <row r="2400" spans="1:29" x14ac:dyDescent="0.25">
      <c r="A2400" s="61">
        <v>110039782349</v>
      </c>
      <c r="B2400" s="28">
        <v>2021</v>
      </c>
      <c r="C2400" s="68">
        <f t="shared" si="38"/>
        <v>44197</v>
      </c>
      <c r="D2400" s="28" t="s">
        <v>1440</v>
      </c>
      <c r="E2400" s="28" t="s">
        <v>2382</v>
      </c>
      <c r="F2400" s="28" t="s">
        <v>1441</v>
      </c>
      <c r="G2400" s="28" t="s">
        <v>366</v>
      </c>
      <c r="H2400" s="28">
        <v>95776</v>
      </c>
      <c r="I2400" s="28">
        <v>38.662149999999997</v>
      </c>
      <c r="J2400" s="28">
        <v>-121.71407000000001</v>
      </c>
      <c r="L2400" s="61">
        <v>110039782349</v>
      </c>
      <c r="M2400" s="28" t="s">
        <v>263</v>
      </c>
      <c r="N2400" s="28">
        <v>4952</v>
      </c>
      <c r="O2400" s="28" t="str">
        <f>IFERROR(VLOOKUP(N2400, 'SIC &amp; NAICS Codes'!A:B, 2, FALSE), "")</f>
        <v>Sewerage Systems</v>
      </c>
      <c r="S2400" s="28">
        <v>0.45825751999999997</v>
      </c>
      <c r="T2400" s="315">
        <f>_xlfn.MAXIFS('Raw Period DMR Data'!$O:$O,'Raw Period DMR Data'!$A:$A,'Raw Annual DMR Data_2021-2024'!#REF!,'Raw Period DMR Data'!$C:$C,X2400)/S2400</f>
        <v>0</v>
      </c>
      <c r="U2400" s="28" t="str">
        <f>+IF(COUNTIFS('Raw Period DMR Data'!$A:$A,B2400,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00" s="28" t="str" cm="1">
        <f t="array" ref="V2400">IFERROR(INDEX('Raw Period DMR Data'!N:N,MATCH(1,(B2400='Raw Period DMR Data'!$A:$A)*(U2400='Raw Period DMR Data'!M:M)*(X2400='Raw Period DMR Data'!C:C),0),1), "N/A")</f>
        <v>N/A</v>
      </c>
      <c r="W2400" s="28" t="s">
        <v>1463</v>
      </c>
      <c r="X2400" s="28" t="s">
        <v>2383</v>
      </c>
      <c r="Y2400" s="28" t="s">
        <v>2384</v>
      </c>
      <c r="Z2400" s="61">
        <v>18020163012338</v>
      </c>
      <c r="AA2400" s="28"/>
      <c r="AB2400" s="28" t="s">
        <v>7355</v>
      </c>
      <c r="AC2400" s="28" t="s">
        <v>263</v>
      </c>
    </row>
    <row r="2401" spans="1:29" x14ac:dyDescent="0.25">
      <c r="A2401" s="61">
        <v>110039782349</v>
      </c>
      <c r="B2401" s="28">
        <v>2022</v>
      </c>
      <c r="C2401" s="68">
        <f t="shared" si="38"/>
        <v>44562</v>
      </c>
      <c r="D2401" s="28" t="s">
        <v>1440</v>
      </c>
      <c r="E2401" s="28" t="s">
        <v>2382</v>
      </c>
      <c r="F2401" s="28" t="s">
        <v>1441</v>
      </c>
      <c r="G2401" s="28" t="s">
        <v>366</v>
      </c>
      <c r="H2401" s="28">
        <v>95776</v>
      </c>
      <c r="I2401" s="28">
        <v>38.662149999999997</v>
      </c>
      <c r="J2401" s="28">
        <v>-121.71407000000001</v>
      </c>
      <c r="L2401" s="61">
        <v>110039782349</v>
      </c>
      <c r="M2401" s="28" t="s">
        <v>263</v>
      </c>
      <c r="N2401" s="28">
        <v>4952</v>
      </c>
      <c r="O2401" s="28" t="str">
        <f>IFERROR(VLOOKUP(N2401, 'SIC &amp; NAICS Codes'!A:B, 2, FALSE), "")</f>
        <v>Sewerage Systems</v>
      </c>
      <c r="S2401" s="28">
        <v>0.28491966000000002</v>
      </c>
      <c r="T2401" s="315">
        <f>_xlfn.MAXIFS('Raw Period DMR Data'!$O:$O,'Raw Period DMR Data'!$A:$A,'Raw Annual DMR Data_2021-2024'!#REF!,'Raw Period DMR Data'!$C:$C,X2401)/S2401</f>
        <v>0</v>
      </c>
      <c r="U2401" s="28" t="str">
        <f>+IF(COUNTIFS('Raw Period DMR Data'!$A:$A,B2401,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01" s="28" t="str" cm="1">
        <f t="array" ref="V2401">IFERROR(INDEX('Raw Period DMR Data'!N:N,MATCH(1,(B2401='Raw Period DMR Data'!$A:$A)*(U2401='Raw Period DMR Data'!M:M)*(X2401='Raw Period DMR Data'!C:C),0),1), "N/A")</f>
        <v>N/A</v>
      </c>
      <c r="W2401" s="28" t="s">
        <v>1463</v>
      </c>
      <c r="X2401" s="28" t="s">
        <v>2383</v>
      </c>
      <c r="Y2401" s="28" t="s">
        <v>2384</v>
      </c>
      <c r="Z2401" s="61">
        <v>18020163012338</v>
      </c>
      <c r="AB2401" s="28" t="s">
        <v>7355</v>
      </c>
      <c r="AC2401" s="28" t="s">
        <v>263</v>
      </c>
    </row>
    <row r="2402" spans="1:29" x14ac:dyDescent="0.25">
      <c r="A2402" s="61">
        <v>110040330718</v>
      </c>
      <c r="B2402" s="28">
        <v>2021</v>
      </c>
      <c r="C2402" s="68">
        <f t="shared" si="38"/>
        <v>44197</v>
      </c>
      <c r="D2402" s="28" t="s">
        <v>6821</v>
      </c>
      <c r="E2402" s="28" t="s">
        <v>669</v>
      </c>
      <c r="F2402" s="28" t="s">
        <v>348</v>
      </c>
      <c r="G2402" s="28" t="s">
        <v>349</v>
      </c>
      <c r="H2402" s="28">
        <v>63461</v>
      </c>
      <c r="I2402" s="28">
        <v>39.828163000000004</v>
      </c>
      <c r="J2402" s="28">
        <v>-91.436942000000002</v>
      </c>
      <c r="L2402" s="61">
        <v>110040330718</v>
      </c>
      <c r="M2402" s="28" t="s">
        <v>265</v>
      </c>
      <c r="N2402" s="28">
        <v>9512</v>
      </c>
      <c r="O2402" s="28" t="str">
        <f>IFERROR(VLOOKUP(N2402, 'SIC &amp; NAICS Codes'!A:B, 2, FALSE), "")</f>
        <v>Land, Mineral, Wildlife, and Forest Conservation</v>
      </c>
      <c r="S2402" s="28">
        <v>0.58471834425000002</v>
      </c>
      <c r="T2402" s="315">
        <f>_xlfn.MAXIFS('Raw Period DMR Data'!$O:$O,'Raw Period DMR Data'!$A:$A,'Raw Annual DMR Data_2021-2024'!#REF!,'Raw Period DMR Data'!$C:$C,X2402)/S2402</f>
        <v>0</v>
      </c>
      <c r="U2402" s="28" t="str">
        <f>+IF(COUNTIFS('Raw Period DMR Data'!$A:$A,B2402,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02" s="28" t="str" cm="1">
        <f t="array" ref="V2402">IFERROR(INDEX('Raw Period DMR Data'!N:N,MATCH(1,(B2402='Raw Period DMR Data'!$A:$A)*(U2402='Raw Period DMR Data'!M:M)*(X2402='Raw Period DMR Data'!C:C),0),1), "N/A")</f>
        <v>N/A</v>
      </c>
      <c r="W2402" s="28" t="s">
        <v>1463</v>
      </c>
      <c r="X2402" s="28" t="s">
        <v>959</v>
      </c>
      <c r="Y2402" s="28" t="s">
        <v>816</v>
      </c>
      <c r="Z2402" s="61">
        <v>7110004001360</v>
      </c>
      <c r="AA2402" s="28"/>
      <c r="AB2402" s="28" t="s">
        <v>7355</v>
      </c>
      <c r="AC2402" s="28" t="s">
        <v>1466</v>
      </c>
    </row>
    <row r="2403" spans="1:29" x14ac:dyDescent="0.25">
      <c r="A2403" s="61">
        <v>110040330718</v>
      </c>
      <c r="B2403" s="28">
        <v>2024</v>
      </c>
      <c r="C2403" s="68">
        <f t="shared" si="38"/>
        <v>45292</v>
      </c>
      <c r="D2403" s="28" t="s">
        <v>6821</v>
      </c>
      <c r="E2403" s="28" t="s">
        <v>669</v>
      </c>
      <c r="F2403" s="28" t="s">
        <v>348</v>
      </c>
      <c r="G2403" s="28" t="s">
        <v>349</v>
      </c>
      <c r="H2403" s="28">
        <v>63461</v>
      </c>
      <c r="I2403" s="28">
        <v>39.828163000000004</v>
      </c>
      <c r="J2403" s="28">
        <v>-91.436942000000002</v>
      </c>
      <c r="L2403" s="61">
        <v>110040330718</v>
      </c>
      <c r="M2403" s="28" t="s">
        <v>265</v>
      </c>
      <c r="N2403" s="28">
        <v>9512</v>
      </c>
      <c r="O2403" s="28" t="str">
        <f>IFERROR(VLOOKUP(N2403, 'SIC &amp; NAICS Codes'!A:B, 2, FALSE), "")</f>
        <v>Land, Mineral, Wildlife, and Forest Conservation</v>
      </c>
      <c r="S2403" s="28">
        <v>0.26725045418181798</v>
      </c>
      <c r="T2403" s="315">
        <f>_xlfn.MAXIFS('Raw Period DMR Data'!$O:$O,'Raw Period DMR Data'!$A:$A,'Raw Annual DMR Data_2021-2024'!#REF!,'Raw Period DMR Data'!$C:$C,X2403)/S2403</f>
        <v>0</v>
      </c>
      <c r="U2403" s="28" t="str">
        <f>+IF(COUNTIFS('Raw Period DMR Data'!$A:$A,B2403,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03" s="28" t="str" cm="1">
        <f t="array" ref="V2403">IFERROR(INDEX('Raw Period DMR Data'!N:N,MATCH(1,(B2403='Raw Period DMR Data'!$A:$A)*(U2403='Raw Period DMR Data'!M:M)*(X2403='Raw Period DMR Data'!C:C),0),1), "N/A")</f>
        <v>N/A</v>
      </c>
      <c r="W2403" s="28" t="s">
        <v>1463</v>
      </c>
      <c r="X2403" s="28" t="s">
        <v>959</v>
      </c>
      <c r="Y2403" s="28" t="s">
        <v>816</v>
      </c>
      <c r="Z2403" s="61">
        <v>7110004001360</v>
      </c>
      <c r="AB2403" s="28" t="s">
        <v>7355</v>
      </c>
      <c r="AC2403" s="28" t="s">
        <v>1466</v>
      </c>
    </row>
    <row r="2404" spans="1:29" x14ac:dyDescent="0.25">
      <c r="A2404" s="61">
        <v>110040330718</v>
      </c>
      <c r="B2404" s="28">
        <v>2023</v>
      </c>
      <c r="C2404" s="68">
        <f t="shared" si="38"/>
        <v>44927</v>
      </c>
      <c r="D2404" s="28" t="s">
        <v>6821</v>
      </c>
      <c r="E2404" s="28" t="s">
        <v>669</v>
      </c>
      <c r="F2404" s="28" t="s">
        <v>348</v>
      </c>
      <c r="G2404" s="28" t="s">
        <v>349</v>
      </c>
      <c r="H2404" s="28">
        <v>63461</v>
      </c>
      <c r="I2404" s="28">
        <v>39.828163000000004</v>
      </c>
      <c r="J2404" s="28">
        <v>-91.436942000000002</v>
      </c>
      <c r="L2404" s="61">
        <v>110040330718</v>
      </c>
      <c r="M2404" s="28" t="s">
        <v>265</v>
      </c>
      <c r="N2404" s="28">
        <v>9512</v>
      </c>
      <c r="O2404" s="28" t="str">
        <f>IFERROR(VLOOKUP(N2404, 'SIC &amp; NAICS Codes'!A:B, 2, FALSE), "")</f>
        <v>Land, Mineral, Wildlife, and Forest Conservation</v>
      </c>
      <c r="S2404" s="28">
        <v>0.21726884099999999</v>
      </c>
      <c r="T2404" s="315">
        <f>_xlfn.MAXIFS('Raw Period DMR Data'!$O:$O,'Raw Period DMR Data'!$A:$A,'Raw Annual DMR Data_2021-2024'!#REF!,'Raw Period DMR Data'!$C:$C,X2404)/S2404</f>
        <v>0</v>
      </c>
      <c r="U2404" s="28" t="str">
        <f>+IF(COUNTIFS('Raw Period DMR Data'!$A:$A,B2404,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04" s="28" t="str" cm="1">
        <f t="array" ref="V2404">IFERROR(INDEX('Raw Period DMR Data'!N:N,MATCH(1,(B2404='Raw Period DMR Data'!$A:$A)*(U2404='Raw Period DMR Data'!M:M)*(X2404='Raw Period DMR Data'!C:C),0),1), "N/A")</f>
        <v>N/A</v>
      </c>
      <c r="W2404" s="28" t="s">
        <v>1463</v>
      </c>
      <c r="X2404" s="28" t="s">
        <v>959</v>
      </c>
      <c r="Y2404" s="28" t="s">
        <v>816</v>
      </c>
      <c r="Z2404" s="61" t="s">
        <v>2385</v>
      </c>
      <c r="AB2404" s="28" t="s">
        <v>7355</v>
      </c>
      <c r="AC2404" s="28" t="s">
        <v>1466</v>
      </c>
    </row>
    <row r="2405" spans="1:29" x14ac:dyDescent="0.25">
      <c r="A2405" s="61">
        <v>110040330718</v>
      </c>
      <c r="B2405" s="28">
        <v>2022</v>
      </c>
      <c r="C2405" s="68">
        <f t="shared" si="38"/>
        <v>44562</v>
      </c>
      <c r="D2405" s="28" t="s">
        <v>6821</v>
      </c>
      <c r="E2405" s="28" t="s">
        <v>669</v>
      </c>
      <c r="F2405" s="28" t="s">
        <v>348</v>
      </c>
      <c r="G2405" s="28" t="s">
        <v>349</v>
      </c>
      <c r="H2405" s="28">
        <v>63461</v>
      </c>
      <c r="I2405" s="28">
        <v>39.828163000000004</v>
      </c>
      <c r="J2405" s="28">
        <v>-91.436942000000002</v>
      </c>
      <c r="L2405" s="61">
        <v>110040330718</v>
      </c>
      <c r="M2405" s="28" t="s">
        <v>265</v>
      </c>
      <c r="N2405" s="28">
        <v>9512</v>
      </c>
      <c r="O2405" s="28" t="str">
        <f>IFERROR(VLOOKUP(N2405, 'SIC &amp; NAICS Codes'!A:B, 2, FALSE), "")</f>
        <v>Land, Mineral, Wildlife, and Forest Conservation</v>
      </c>
      <c r="S2405" s="28">
        <v>7.1313942000000005E-2</v>
      </c>
      <c r="T2405" s="315">
        <f>_xlfn.MAXIFS('Raw Period DMR Data'!$O:$O,'Raw Period DMR Data'!$A:$A,'Raw Annual DMR Data_2021-2024'!#REF!,'Raw Period DMR Data'!$C:$C,X2405)/S2405</f>
        <v>0</v>
      </c>
      <c r="U2405" s="28" t="str">
        <f>+IF(COUNTIFS('Raw Period DMR Data'!$A:$A,B2405,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05" s="28" t="str" cm="1">
        <f t="array" ref="V2405">IFERROR(INDEX('Raw Period DMR Data'!N:N,MATCH(1,(B2405='Raw Period DMR Data'!$A:$A)*(U2405='Raw Period DMR Data'!M:M)*(X2405='Raw Period DMR Data'!C:C),0),1), "N/A")</f>
        <v>N/A</v>
      </c>
      <c r="W2405" s="28" t="s">
        <v>1463</v>
      </c>
      <c r="X2405" s="28" t="s">
        <v>959</v>
      </c>
      <c r="Y2405" s="28" t="s">
        <v>816</v>
      </c>
      <c r="Z2405" s="61">
        <v>7110004001360</v>
      </c>
      <c r="AB2405" s="28" t="s">
        <v>7355</v>
      </c>
      <c r="AC2405" s="28" t="s">
        <v>1466</v>
      </c>
    </row>
    <row r="2406" spans="1:29" x14ac:dyDescent="0.25">
      <c r="A2406" s="61">
        <v>110000327799</v>
      </c>
      <c r="B2406" s="28">
        <v>2023</v>
      </c>
      <c r="C2406" s="68">
        <f t="shared" si="38"/>
        <v>44927</v>
      </c>
      <c r="D2406" s="28" t="s">
        <v>6773</v>
      </c>
      <c r="E2406" s="28" t="s">
        <v>2386</v>
      </c>
      <c r="F2406" s="28" t="s">
        <v>1443</v>
      </c>
      <c r="G2406" s="28" t="s">
        <v>450</v>
      </c>
      <c r="H2406" s="28">
        <v>14580</v>
      </c>
      <c r="I2406" s="28">
        <v>43.227834000000001</v>
      </c>
      <c r="J2406" s="28">
        <v>-77.411534000000003</v>
      </c>
      <c r="K2406" s="28" t="s">
        <v>740</v>
      </c>
      <c r="L2406" s="61">
        <v>110000327799</v>
      </c>
      <c r="M2406" s="28" t="s">
        <v>265</v>
      </c>
      <c r="N2406" s="28">
        <v>9511</v>
      </c>
      <c r="O2406" s="28" t="str">
        <f>IFERROR(VLOOKUP(N2406, 'SIC &amp; NAICS Codes'!A:B, 2, FALSE), "")</f>
        <v>Air and Water Resource and Solid Waste Management</v>
      </c>
      <c r="S2406" s="28">
        <v>0.20819999311199999</v>
      </c>
      <c r="T2406" s="315">
        <f>_xlfn.MAXIFS('Raw Period DMR Data'!$O:$O,'Raw Period DMR Data'!$A:$A,'Raw Annual DMR Data_2021-2024'!#REF!,'Raw Period DMR Data'!$C:$C,X2406)/S2406</f>
        <v>0</v>
      </c>
      <c r="U2406" s="28" t="str">
        <f>+IF(COUNTIFS('Raw Period DMR Data'!$A:$A,B2406,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06" s="28" t="str" cm="1">
        <f t="array" ref="V2406">IFERROR(INDEX('Raw Period DMR Data'!N:N,MATCH(1,(B2406='Raw Period DMR Data'!$A:$A)*(U2406='Raw Period DMR Data'!M:M)*(X2406='Raw Period DMR Data'!C:C),0),1), "N/A")</f>
        <v>N/A</v>
      </c>
      <c r="W2406" s="28" t="s">
        <v>1463</v>
      </c>
      <c r="X2406" s="28" t="s">
        <v>2387</v>
      </c>
      <c r="Y2406" s="28" t="s">
        <v>2388</v>
      </c>
      <c r="Z2406" s="61" t="s">
        <v>2389</v>
      </c>
      <c r="AB2406" s="28" t="s">
        <v>7355</v>
      </c>
      <c r="AC2406" s="28" t="s">
        <v>1466</v>
      </c>
    </row>
    <row r="2407" spans="1:29" x14ac:dyDescent="0.25">
      <c r="A2407" s="61">
        <v>110000327799</v>
      </c>
      <c r="B2407" s="28">
        <v>2022</v>
      </c>
      <c r="C2407" s="68">
        <f t="shared" si="38"/>
        <v>44562</v>
      </c>
      <c r="D2407" s="28" t="s">
        <v>6773</v>
      </c>
      <c r="E2407" s="28" t="s">
        <v>2386</v>
      </c>
      <c r="F2407" s="28" t="s">
        <v>1443</v>
      </c>
      <c r="G2407" s="28" t="s">
        <v>450</v>
      </c>
      <c r="H2407" s="28">
        <v>14580</v>
      </c>
      <c r="I2407" s="28">
        <v>43.227834000000001</v>
      </c>
      <c r="J2407" s="28">
        <v>-77.411534000000003</v>
      </c>
      <c r="K2407" s="28" t="s">
        <v>740</v>
      </c>
      <c r="L2407" s="61">
        <v>110000327799</v>
      </c>
      <c r="M2407" s="28" t="s">
        <v>265</v>
      </c>
      <c r="N2407" s="28">
        <v>9511</v>
      </c>
      <c r="O2407" s="28" t="str">
        <f>IFERROR(VLOOKUP(N2407, 'SIC &amp; NAICS Codes'!A:B, 2, FALSE), "")</f>
        <v>Air and Water Resource and Solid Waste Management</v>
      </c>
      <c r="S2407" s="28">
        <v>0.16440868012599999</v>
      </c>
      <c r="T2407" s="315">
        <f>_xlfn.MAXIFS('Raw Period DMR Data'!$O:$O,'Raw Period DMR Data'!$A:$A,'Raw Annual DMR Data_2021-2024'!#REF!,'Raw Period DMR Data'!$C:$C,X2407)/S2407</f>
        <v>0</v>
      </c>
      <c r="U2407" s="28" t="str">
        <f>+IF(COUNTIFS('Raw Period DMR Data'!$A:$A,B2407,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07" s="28" t="str" cm="1">
        <f t="array" ref="V2407">IFERROR(INDEX('Raw Period DMR Data'!N:N,MATCH(1,(B2407='Raw Period DMR Data'!$A:$A)*(U2407='Raw Period DMR Data'!M:M)*(X2407='Raw Period DMR Data'!C:C),0),1), "N/A")</f>
        <v>N/A</v>
      </c>
      <c r="W2407" s="28" t="s">
        <v>1463</v>
      </c>
      <c r="X2407" s="28" t="s">
        <v>2387</v>
      </c>
      <c r="Y2407" s="28" t="s">
        <v>2388</v>
      </c>
      <c r="Z2407" s="61">
        <v>4140101000567</v>
      </c>
      <c r="AB2407" s="28" t="s">
        <v>7355</v>
      </c>
      <c r="AC2407" s="28" t="s">
        <v>1466</v>
      </c>
    </row>
    <row r="2408" spans="1:29" x14ac:dyDescent="0.25">
      <c r="A2408" s="61">
        <v>110000327799</v>
      </c>
      <c r="B2408" s="28">
        <v>2021</v>
      </c>
      <c r="C2408" s="68">
        <f t="shared" si="38"/>
        <v>44197</v>
      </c>
      <c r="D2408" s="28" t="s">
        <v>6773</v>
      </c>
      <c r="E2408" s="28" t="s">
        <v>2386</v>
      </c>
      <c r="F2408" s="28" t="s">
        <v>1443</v>
      </c>
      <c r="G2408" s="28" t="s">
        <v>450</v>
      </c>
      <c r="H2408" s="28">
        <v>14580</v>
      </c>
      <c r="I2408" s="28">
        <v>43.227834000000001</v>
      </c>
      <c r="J2408" s="28">
        <v>-77.411534000000003</v>
      </c>
      <c r="K2408" s="28" t="s">
        <v>740</v>
      </c>
      <c r="L2408" s="61">
        <v>110000327799</v>
      </c>
      <c r="M2408" s="28" t="s">
        <v>265</v>
      </c>
      <c r="N2408" s="28">
        <v>9511</v>
      </c>
      <c r="O2408" s="28" t="str">
        <f>IFERROR(VLOOKUP(N2408, 'SIC &amp; NAICS Codes'!A:B, 2, FALSE), "")</f>
        <v>Air and Water Resource and Solid Waste Management</v>
      </c>
      <c r="S2408" s="28">
        <v>0.12870121419800001</v>
      </c>
      <c r="T2408" s="315">
        <f>_xlfn.MAXIFS('Raw Period DMR Data'!$O:$O,'Raw Period DMR Data'!$A:$A,'Raw Annual DMR Data_2021-2024'!#REF!,'Raw Period DMR Data'!$C:$C,X2408)/S2408</f>
        <v>0</v>
      </c>
      <c r="U2408" s="28" t="str">
        <f>+IF(COUNTIFS('Raw Period DMR Data'!$A:$A,B2408,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08" s="28" t="str" cm="1">
        <f t="array" ref="V2408">IFERROR(INDEX('Raw Period DMR Data'!N:N,MATCH(1,(B2408='Raw Period DMR Data'!$A:$A)*(U2408='Raw Period DMR Data'!M:M)*(X2408='Raw Period DMR Data'!C:C),0),1), "N/A")</f>
        <v>N/A</v>
      </c>
      <c r="W2408" s="28" t="s">
        <v>1463</v>
      </c>
      <c r="X2408" s="28" t="s">
        <v>2387</v>
      </c>
      <c r="Y2408" s="28" t="s">
        <v>2388</v>
      </c>
      <c r="Z2408" s="61">
        <v>4140101000567</v>
      </c>
      <c r="AA2408" s="28"/>
      <c r="AB2408" s="28" t="s">
        <v>7355</v>
      </c>
      <c r="AC2408" s="28" t="s">
        <v>1466</v>
      </c>
    </row>
    <row r="2409" spans="1:29" x14ac:dyDescent="0.25">
      <c r="A2409" s="61">
        <v>110000327799</v>
      </c>
      <c r="B2409" s="28">
        <v>2024</v>
      </c>
      <c r="C2409" s="68">
        <f t="shared" si="38"/>
        <v>45292</v>
      </c>
      <c r="D2409" s="28" t="s">
        <v>6773</v>
      </c>
      <c r="E2409" s="28" t="s">
        <v>2386</v>
      </c>
      <c r="F2409" s="28" t="s">
        <v>1443</v>
      </c>
      <c r="G2409" s="28" t="s">
        <v>450</v>
      </c>
      <c r="H2409" s="28">
        <v>14580</v>
      </c>
      <c r="I2409" s="28">
        <v>43.227834000000001</v>
      </c>
      <c r="J2409" s="28">
        <v>-77.411534000000003</v>
      </c>
      <c r="K2409" s="28" t="s">
        <v>740</v>
      </c>
      <c r="L2409" s="61">
        <v>110000327799</v>
      </c>
      <c r="M2409" s="28" t="s">
        <v>265</v>
      </c>
      <c r="N2409" s="28">
        <v>9511</v>
      </c>
      <c r="O2409" s="28" t="str">
        <f>IFERROR(VLOOKUP(N2409, 'SIC &amp; NAICS Codes'!A:B, 2, FALSE), "")</f>
        <v>Air and Water Resource and Solid Waste Management</v>
      </c>
      <c r="S2409" s="28">
        <v>0.116697415236</v>
      </c>
      <c r="T2409" s="315">
        <f>_xlfn.MAXIFS('Raw Period DMR Data'!$O:$O,'Raw Period DMR Data'!$A:$A,'Raw Annual DMR Data_2021-2024'!#REF!,'Raw Period DMR Data'!$C:$C,X2409)/S2409</f>
        <v>0</v>
      </c>
      <c r="U2409" s="28" t="str">
        <f>+IF(COUNTIFS('Raw Period DMR Data'!$A:$A,B2409,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09" s="28" t="str" cm="1">
        <f t="array" ref="V2409">IFERROR(INDEX('Raw Period DMR Data'!N:N,MATCH(1,(B2409='Raw Period DMR Data'!$A:$A)*(U2409='Raw Period DMR Data'!M:M)*(X2409='Raw Period DMR Data'!C:C),0),1), "N/A")</f>
        <v>N/A</v>
      </c>
      <c r="W2409" s="28" t="s">
        <v>1463</v>
      </c>
      <c r="X2409" s="28" t="s">
        <v>2387</v>
      </c>
      <c r="Y2409" s="28" t="s">
        <v>2388</v>
      </c>
      <c r="Z2409" s="61">
        <v>4140101000567</v>
      </c>
      <c r="AA2409" s="60" t="s">
        <v>7355</v>
      </c>
      <c r="AB2409" s="28" t="s">
        <v>7355</v>
      </c>
      <c r="AC2409" s="28" t="s">
        <v>1466</v>
      </c>
    </row>
    <row r="2410" spans="1:29" x14ac:dyDescent="0.25">
      <c r="A2410" s="61">
        <v>110000327799</v>
      </c>
      <c r="B2410" s="28">
        <v>2024</v>
      </c>
      <c r="C2410" s="68">
        <f t="shared" si="38"/>
        <v>45292</v>
      </c>
      <c r="D2410" s="28" t="s">
        <v>6773</v>
      </c>
      <c r="E2410" s="28" t="s">
        <v>2386</v>
      </c>
      <c r="F2410" s="28" t="s">
        <v>1443</v>
      </c>
      <c r="G2410" s="28" t="s">
        <v>450</v>
      </c>
      <c r="H2410" s="28">
        <v>14580</v>
      </c>
      <c r="I2410" s="28">
        <v>43.227834000000001</v>
      </c>
      <c r="J2410" s="28">
        <v>-77.411534000000003</v>
      </c>
      <c r="K2410" s="28" t="s">
        <v>740</v>
      </c>
      <c r="L2410" s="61">
        <v>110000327799</v>
      </c>
      <c r="M2410" s="28" t="s">
        <v>265</v>
      </c>
      <c r="N2410" s="28">
        <v>9511</v>
      </c>
      <c r="O2410" s="28" t="str">
        <f>IFERROR(VLOOKUP(N2410, 'SIC &amp; NAICS Codes'!A:B, 2, FALSE), "")</f>
        <v>Air and Water Resource and Solid Waste Management</v>
      </c>
      <c r="S2410" s="28">
        <v>0.11551776850999999</v>
      </c>
      <c r="T2410" s="315">
        <f>_xlfn.MAXIFS('Raw Period DMR Data'!$O:$O,'Raw Period DMR Data'!$A:$A,'Raw Annual DMR Data_2021-2024'!#REF!,'Raw Period DMR Data'!$C:$C,X2410)/S2410</f>
        <v>0</v>
      </c>
      <c r="U2410" s="28" t="str">
        <f>+IF(COUNTIFS('Raw Period DMR Data'!$A:$A,B2410,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10" s="28" t="str" cm="1">
        <f t="array" ref="V2410">IFERROR(INDEX('Raw Period DMR Data'!N:N,MATCH(1,(B2410='Raw Period DMR Data'!$A:$A)*(U2410='Raw Period DMR Data'!M:M)*(X2410='Raw Period DMR Data'!C:C),0),1), "N/A")</f>
        <v>N/A</v>
      </c>
      <c r="W2410" s="28" t="s">
        <v>1463</v>
      </c>
      <c r="X2410" s="28" t="s">
        <v>2387</v>
      </c>
      <c r="Y2410" s="28" t="s">
        <v>2388</v>
      </c>
      <c r="Z2410" s="61">
        <v>4140101000567</v>
      </c>
      <c r="AB2410" s="28" t="s">
        <v>7355</v>
      </c>
      <c r="AC2410" s="28" t="s">
        <v>1466</v>
      </c>
    </row>
    <row r="2411" spans="1:29" x14ac:dyDescent="0.25">
      <c r="A2411" s="61">
        <v>110000327799</v>
      </c>
      <c r="B2411" s="28">
        <v>2024</v>
      </c>
      <c r="C2411" s="68">
        <f t="shared" si="38"/>
        <v>45292</v>
      </c>
      <c r="D2411" s="28" t="s">
        <v>6773</v>
      </c>
      <c r="E2411" s="28" t="s">
        <v>2386</v>
      </c>
      <c r="F2411" s="28" t="s">
        <v>1443</v>
      </c>
      <c r="G2411" s="28" t="s">
        <v>450</v>
      </c>
      <c r="H2411" s="28">
        <v>14580</v>
      </c>
      <c r="I2411" s="28">
        <v>43.227834000000001</v>
      </c>
      <c r="J2411" s="28">
        <v>-77.411534000000003</v>
      </c>
      <c r="K2411" s="28" t="s">
        <v>740</v>
      </c>
      <c r="L2411" s="61">
        <v>110000327799</v>
      </c>
      <c r="M2411" s="28" t="s">
        <v>265</v>
      </c>
      <c r="N2411" s="28">
        <v>9511</v>
      </c>
      <c r="O2411" s="28" t="str">
        <f>IFERROR(VLOOKUP(N2411, 'SIC &amp; NAICS Codes'!A:B, 2, FALSE), "")</f>
        <v>Air and Water Resource and Solid Waste Management</v>
      </c>
      <c r="S2411" s="28">
        <v>0.10359773613999999</v>
      </c>
      <c r="T2411" s="315">
        <f>_xlfn.MAXIFS('Raw Period DMR Data'!$O:$O,'Raw Period DMR Data'!$A:$A,'Raw Annual DMR Data_2021-2024'!#REF!,'Raw Period DMR Data'!$C:$C,X2411)/S2411</f>
        <v>0</v>
      </c>
      <c r="U2411" s="28" t="str">
        <f>+IF(COUNTIFS('Raw Period DMR Data'!$A:$A,B2411,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11" s="28" t="str" cm="1">
        <f t="array" ref="V2411">IFERROR(INDEX('Raw Period DMR Data'!N:N,MATCH(1,(B2411='Raw Period DMR Data'!$A:$A)*(U2411='Raw Period DMR Data'!M:M)*(X2411='Raw Period DMR Data'!C:C),0),1), "N/A")</f>
        <v>N/A</v>
      </c>
      <c r="W2411" s="28" t="s">
        <v>1463</v>
      </c>
      <c r="X2411" s="28" t="s">
        <v>2387</v>
      </c>
      <c r="Y2411" s="28" t="s">
        <v>2388</v>
      </c>
      <c r="Z2411" s="61">
        <v>4140101000567</v>
      </c>
      <c r="AA2411" s="60" t="s">
        <v>7355</v>
      </c>
      <c r="AB2411" s="28" t="s">
        <v>7355</v>
      </c>
      <c r="AC2411" s="28" t="s">
        <v>1466</v>
      </c>
    </row>
    <row r="2412" spans="1:29" x14ac:dyDescent="0.25">
      <c r="A2412" s="61">
        <v>110000327799</v>
      </c>
      <c r="B2412" s="28">
        <v>2022</v>
      </c>
      <c r="C2412" s="68">
        <f t="shared" si="38"/>
        <v>44562</v>
      </c>
      <c r="D2412" s="28" t="s">
        <v>6773</v>
      </c>
      <c r="E2412" s="28" t="s">
        <v>2386</v>
      </c>
      <c r="F2412" s="28" t="s">
        <v>1443</v>
      </c>
      <c r="G2412" s="28" t="s">
        <v>450</v>
      </c>
      <c r="H2412" s="28">
        <v>14580</v>
      </c>
      <c r="I2412" s="28">
        <v>43.227834000000001</v>
      </c>
      <c r="J2412" s="28">
        <v>-77.411534000000003</v>
      </c>
      <c r="K2412" s="28" t="s">
        <v>740</v>
      </c>
      <c r="L2412" s="61">
        <v>110000327799</v>
      </c>
      <c r="M2412" s="28" t="s">
        <v>265</v>
      </c>
      <c r="N2412" s="28">
        <v>9511</v>
      </c>
      <c r="O2412" s="28" t="str">
        <f>IFERROR(VLOOKUP(N2412, 'SIC &amp; NAICS Codes'!A:B, 2, FALSE), "")</f>
        <v>Air and Water Resource and Solid Waste Management</v>
      </c>
      <c r="S2412" s="28">
        <v>0.103110467352</v>
      </c>
      <c r="T2412" s="315">
        <f>_xlfn.MAXIFS('Raw Period DMR Data'!$O:$O,'Raw Period DMR Data'!$A:$A,'Raw Annual DMR Data_2021-2024'!#REF!,'Raw Period DMR Data'!$C:$C,X2412)/S2412</f>
        <v>0</v>
      </c>
      <c r="U2412" s="28" t="str">
        <f>+IF(COUNTIFS('Raw Period DMR Data'!$A:$A,B2412,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12" s="28" t="str" cm="1">
        <f t="array" ref="V2412">IFERROR(INDEX('Raw Period DMR Data'!N:N,MATCH(1,(B2412='Raw Period DMR Data'!$A:$A)*(U2412='Raw Period DMR Data'!M:M)*(X2412='Raw Period DMR Data'!C:C),0),1), "N/A")</f>
        <v>N/A</v>
      </c>
      <c r="W2412" s="28" t="s">
        <v>1463</v>
      </c>
      <c r="X2412" s="28" t="s">
        <v>2387</v>
      </c>
      <c r="Y2412" s="28" t="s">
        <v>2388</v>
      </c>
      <c r="Z2412" s="61">
        <v>4140101000567</v>
      </c>
      <c r="AB2412" s="28" t="s">
        <v>7355</v>
      </c>
      <c r="AC2412" s="28" t="s">
        <v>1466</v>
      </c>
    </row>
    <row r="2413" spans="1:29" x14ac:dyDescent="0.25">
      <c r="A2413" s="61">
        <v>110000327799</v>
      </c>
      <c r="B2413" s="28">
        <v>2021</v>
      </c>
      <c r="C2413" s="68">
        <f t="shared" si="38"/>
        <v>44197</v>
      </c>
      <c r="D2413" s="28" t="s">
        <v>6773</v>
      </c>
      <c r="E2413" s="28" t="s">
        <v>2386</v>
      </c>
      <c r="F2413" s="28" t="s">
        <v>1443</v>
      </c>
      <c r="G2413" s="28" t="s">
        <v>450</v>
      </c>
      <c r="H2413" s="28">
        <v>14580</v>
      </c>
      <c r="I2413" s="28">
        <v>43.227834000000001</v>
      </c>
      <c r="J2413" s="28">
        <v>-77.411534000000003</v>
      </c>
      <c r="K2413" s="28" t="s">
        <v>740</v>
      </c>
      <c r="L2413" s="61">
        <v>110000327799</v>
      </c>
      <c r="M2413" s="28" t="s">
        <v>265</v>
      </c>
      <c r="N2413" s="28">
        <v>9511</v>
      </c>
      <c r="O2413" s="28" t="str">
        <f>IFERROR(VLOOKUP(N2413, 'SIC &amp; NAICS Codes'!A:B, 2, FALSE), "")</f>
        <v>Air and Water Resource and Solid Waste Management</v>
      </c>
      <c r="S2413" s="28">
        <v>0.1015059786</v>
      </c>
      <c r="T2413" s="315">
        <f>_xlfn.MAXIFS('Raw Period DMR Data'!$O:$O,'Raw Period DMR Data'!$A:$A,'Raw Annual DMR Data_2021-2024'!#REF!,'Raw Period DMR Data'!$C:$C,X2413)/S2413</f>
        <v>0</v>
      </c>
      <c r="U2413" s="28" t="str">
        <f>+IF(COUNTIFS('Raw Period DMR Data'!$A:$A,B2413,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13" s="28" t="str" cm="1">
        <f t="array" ref="V2413">IFERROR(INDEX('Raw Period DMR Data'!N:N,MATCH(1,(B2413='Raw Period DMR Data'!$A:$A)*(U2413='Raw Period DMR Data'!M:M)*(X2413='Raw Period DMR Data'!C:C),0),1), "N/A")</f>
        <v>N/A</v>
      </c>
      <c r="W2413" s="28" t="s">
        <v>1463</v>
      </c>
      <c r="X2413" s="28" t="s">
        <v>2387</v>
      </c>
      <c r="Y2413" s="28" t="s">
        <v>2388</v>
      </c>
      <c r="Z2413" s="61">
        <v>4140101000567</v>
      </c>
      <c r="AB2413" s="28" t="s">
        <v>7355</v>
      </c>
      <c r="AC2413" s="28" t="s">
        <v>1466</v>
      </c>
    </row>
    <row r="2414" spans="1:29" x14ac:dyDescent="0.25">
      <c r="A2414" s="61">
        <v>110000327799</v>
      </c>
      <c r="B2414" s="28">
        <v>2023</v>
      </c>
      <c r="C2414" s="68">
        <f t="shared" si="38"/>
        <v>44927</v>
      </c>
      <c r="D2414" s="28" t="s">
        <v>6773</v>
      </c>
      <c r="E2414" s="28" t="s">
        <v>2386</v>
      </c>
      <c r="F2414" s="28" t="s">
        <v>1443</v>
      </c>
      <c r="G2414" s="28" t="s">
        <v>450</v>
      </c>
      <c r="H2414" s="28">
        <v>14580</v>
      </c>
      <c r="I2414" s="28">
        <v>43.227834000000001</v>
      </c>
      <c r="J2414" s="28">
        <v>-77.411534000000003</v>
      </c>
      <c r="K2414" s="28" t="s">
        <v>740</v>
      </c>
      <c r="L2414" s="61">
        <v>110000327799</v>
      </c>
      <c r="M2414" s="28" t="s">
        <v>265</v>
      </c>
      <c r="N2414" s="28">
        <v>9511</v>
      </c>
      <c r="O2414" s="28" t="str">
        <f>IFERROR(VLOOKUP(N2414, 'SIC &amp; NAICS Codes'!A:B, 2, FALSE), "")</f>
        <v>Air and Water Resource and Solid Waste Management</v>
      </c>
      <c r="S2414" s="28">
        <v>9.4332797999999995E-2</v>
      </c>
      <c r="T2414" s="315">
        <f>_xlfn.MAXIFS('Raw Period DMR Data'!$O:$O,'Raw Period DMR Data'!$A:$A,'Raw Annual DMR Data_2021-2024'!#REF!,'Raw Period DMR Data'!$C:$C,X2414)/S2414</f>
        <v>0</v>
      </c>
      <c r="U2414" s="28" t="str">
        <f>+IF(COUNTIFS('Raw Period DMR Data'!$A:$A,B2414,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14" s="28" t="str" cm="1">
        <f t="array" ref="V2414">IFERROR(INDEX('Raw Period DMR Data'!N:N,MATCH(1,(B2414='Raw Period DMR Data'!$A:$A)*(U2414='Raw Period DMR Data'!M:M)*(X2414='Raw Period DMR Data'!C:C),0),1), "N/A")</f>
        <v>N/A</v>
      </c>
      <c r="W2414" s="28" t="s">
        <v>1463</v>
      </c>
      <c r="X2414" s="28" t="s">
        <v>2387</v>
      </c>
      <c r="Y2414" s="28" t="s">
        <v>2388</v>
      </c>
      <c r="Z2414" s="61" t="s">
        <v>2389</v>
      </c>
      <c r="AA2414" s="60" t="s">
        <v>7355</v>
      </c>
      <c r="AB2414" s="28" t="s">
        <v>7355</v>
      </c>
      <c r="AC2414" s="28" t="s">
        <v>1466</v>
      </c>
    </row>
    <row r="2415" spans="1:29" x14ac:dyDescent="0.25">
      <c r="A2415" s="61">
        <v>110000327799</v>
      </c>
      <c r="B2415" s="28">
        <v>2023</v>
      </c>
      <c r="C2415" s="68">
        <f t="shared" si="38"/>
        <v>44927</v>
      </c>
      <c r="D2415" s="28" t="s">
        <v>6773</v>
      </c>
      <c r="E2415" s="28" t="s">
        <v>2386</v>
      </c>
      <c r="F2415" s="28" t="s">
        <v>1443</v>
      </c>
      <c r="G2415" s="28" t="s">
        <v>450</v>
      </c>
      <c r="H2415" s="28">
        <v>14580</v>
      </c>
      <c r="I2415" s="28">
        <v>43.227834000000001</v>
      </c>
      <c r="J2415" s="28">
        <v>-77.411534000000003</v>
      </c>
      <c r="K2415" s="28" t="s">
        <v>740</v>
      </c>
      <c r="L2415" s="61">
        <v>110000327799</v>
      </c>
      <c r="M2415" s="28" t="s">
        <v>265</v>
      </c>
      <c r="N2415" s="28">
        <v>9511</v>
      </c>
      <c r="O2415" s="28" t="str">
        <f>IFERROR(VLOOKUP(N2415, 'SIC &amp; NAICS Codes'!A:B, 2, FALSE), "")</f>
        <v>Air and Water Resource and Solid Waste Management</v>
      </c>
      <c r="S2415" s="28">
        <v>7.0190422144363607E-2</v>
      </c>
      <c r="T2415" s="315">
        <f>_xlfn.MAXIFS('Raw Period DMR Data'!$O:$O,'Raw Period DMR Data'!$A:$A,'Raw Annual DMR Data_2021-2024'!#REF!,'Raw Period DMR Data'!$C:$C,X2415)/S2415</f>
        <v>0</v>
      </c>
      <c r="U2415" s="28" t="str">
        <f>+IF(COUNTIFS('Raw Period DMR Data'!$A:$A,B2415,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15" s="28" t="str" cm="1">
        <f t="array" ref="V2415">IFERROR(INDEX('Raw Period DMR Data'!N:N,MATCH(1,(B2415='Raw Period DMR Data'!$A:$A)*(U2415='Raw Period DMR Data'!M:M)*(X2415='Raw Period DMR Data'!C:C),0),1), "N/A")</f>
        <v>N/A</v>
      </c>
      <c r="W2415" s="28" t="s">
        <v>1463</v>
      </c>
      <c r="X2415" s="28" t="s">
        <v>2387</v>
      </c>
      <c r="Y2415" s="28" t="s">
        <v>2388</v>
      </c>
      <c r="Z2415" s="61" t="s">
        <v>2389</v>
      </c>
      <c r="AB2415" s="28" t="s">
        <v>7355</v>
      </c>
      <c r="AC2415" s="28" t="s">
        <v>1466</v>
      </c>
    </row>
    <row r="2416" spans="1:29" x14ac:dyDescent="0.25">
      <c r="A2416" s="61">
        <v>110000327799</v>
      </c>
      <c r="B2416" s="28">
        <v>2022</v>
      </c>
      <c r="C2416" s="68">
        <f t="shared" si="38"/>
        <v>44562</v>
      </c>
      <c r="D2416" s="28" t="s">
        <v>6773</v>
      </c>
      <c r="E2416" s="28" t="s">
        <v>2386</v>
      </c>
      <c r="F2416" s="28" t="s">
        <v>1443</v>
      </c>
      <c r="G2416" s="28" t="s">
        <v>450</v>
      </c>
      <c r="H2416" s="28">
        <v>14580</v>
      </c>
      <c r="I2416" s="28">
        <v>43.227834000000001</v>
      </c>
      <c r="J2416" s="28">
        <v>-77.411534000000003</v>
      </c>
      <c r="K2416" s="28" t="s">
        <v>740</v>
      </c>
      <c r="L2416" s="61">
        <v>110000327799</v>
      </c>
      <c r="M2416" s="28" t="s">
        <v>265</v>
      </c>
      <c r="N2416" s="28">
        <v>9511</v>
      </c>
      <c r="O2416" s="28" t="str">
        <f>IFERROR(VLOOKUP(N2416, 'SIC &amp; NAICS Codes'!A:B, 2, FALSE), "")</f>
        <v>Air and Water Resource and Solid Waste Management</v>
      </c>
      <c r="S2416" s="28">
        <v>6.4679162509999999E-2</v>
      </c>
      <c r="T2416" s="315">
        <f>_xlfn.MAXIFS('Raw Period DMR Data'!$O:$O,'Raw Period DMR Data'!$A:$A,'Raw Annual DMR Data_2021-2024'!#REF!,'Raw Period DMR Data'!$C:$C,X2416)/S2416</f>
        <v>0</v>
      </c>
      <c r="U2416" s="28" t="str">
        <f>+IF(COUNTIFS('Raw Period DMR Data'!$A:$A,B2416,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16" s="28" t="str" cm="1">
        <f t="array" ref="V2416">IFERROR(INDEX('Raw Period DMR Data'!N:N,MATCH(1,(B2416='Raw Period DMR Data'!$A:$A)*(U2416='Raw Period DMR Data'!M:M)*(X2416='Raw Period DMR Data'!C:C),0),1), "N/A")</f>
        <v>N/A</v>
      </c>
      <c r="W2416" s="28" t="s">
        <v>1463</v>
      </c>
      <c r="X2416" s="28" t="s">
        <v>2387</v>
      </c>
      <c r="Y2416" s="28" t="s">
        <v>2388</v>
      </c>
      <c r="Z2416" s="61">
        <v>4140101000567</v>
      </c>
      <c r="AB2416" s="28" t="s">
        <v>7355</v>
      </c>
      <c r="AC2416" s="28" t="s">
        <v>1466</v>
      </c>
    </row>
    <row r="2417" spans="1:29" x14ac:dyDescent="0.25">
      <c r="A2417" s="61">
        <v>110000327799</v>
      </c>
      <c r="B2417" s="28">
        <v>2021</v>
      </c>
      <c r="C2417" s="68">
        <f t="shared" si="38"/>
        <v>44197</v>
      </c>
      <c r="D2417" s="28" t="s">
        <v>6773</v>
      </c>
      <c r="E2417" s="28" t="s">
        <v>2386</v>
      </c>
      <c r="F2417" s="28" t="s">
        <v>1443</v>
      </c>
      <c r="G2417" s="28" t="s">
        <v>450</v>
      </c>
      <c r="H2417" s="28">
        <v>14580</v>
      </c>
      <c r="I2417" s="28">
        <v>43.227834000000001</v>
      </c>
      <c r="J2417" s="28">
        <v>-77.411534000000003</v>
      </c>
      <c r="K2417" s="28" t="s">
        <v>740</v>
      </c>
      <c r="L2417" s="61">
        <v>110000327799</v>
      </c>
      <c r="M2417" s="28" t="s">
        <v>265</v>
      </c>
      <c r="N2417" s="28">
        <v>9511</v>
      </c>
      <c r="O2417" s="28" t="str">
        <f>IFERROR(VLOOKUP(N2417, 'SIC &amp; NAICS Codes'!A:B, 2, FALSE), "")</f>
        <v>Air and Water Resource and Solid Waste Management</v>
      </c>
      <c r="S2417" s="28">
        <v>4.2280278912000001E-2</v>
      </c>
      <c r="T2417" s="315">
        <f>_xlfn.MAXIFS('Raw Period DMR Data'!$O:$O,'Raw Period DMR Data'!$A:$A,'Raw Annual DMR Data_2021-2024'!#REF!,'Raw Period DMR Data'!$C:$C,X2417)/S2417</f>
        <v>0</v>
      </c>
      <c r="U2417" s="28" t="str">
        <f>+IF(COUNTIFS('Raw Period DMR Data'!$A:$A,B2417,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17" s="28" t="str" cm="1">
        <f t="array" ref="V2417">IFERROR(INDEX('Raw Period DMR Data'!N:N,MATCH(1,(B2417='Raw Period DMR Data'!$A:$A)*(U2417='Raw Period DMR Data'!M:M)*(X2417='Raw Period DMR Data'!C:C),0),1), "N/A")</f>
        <v>N/A</v>
      </c>
      <c r="W2417" s="28" t="s">
        <v>1463</v>
      </c>
      <c r="X2417" s="28" t="s">
        <v>2387</v>
      </c>
      <c r="Y2417" s="28" t="s">
        <v>2388</v>
      </c>
      <c r="Z2417" s="61">
        <v>4140101000567</v>
      </c>
      <c r="AA2417" s="28"/>
      <c r="AB2417" s="28" t="s">
        <v>7355</v>
      </c>
      <c r="AC2417" s="28" t="s">
        <v>1466</v>
      </c>
    </row>
    <row r="2418" spans="1:29" x14ac:dyDescent="0.25">
      <c r="A2418" s="61">
        <v>110004143524</v>
      </c>
      <c r="B2418" s="28">
        <v>2023</v>
      </c>
      <c r="C2418" s="68">
        <f t="shared" si="38"/>
        <v>44927</v>
      </c>
      <c r="D2418" s="28" t="s">
        <v>6879</v>
      </c>
      <c r="E2418" s="28" t="s">
        <v>7054</v>
      </c>
      <c r="F2418" s="28" t="s">
        <v>7055</v>
      </c>
      <c r="G2418" s="28" t="s">
        <v>338</v>
      </c>
      <c r="H2418" s="28" t="s">
        <v>7099</v>
      </c>
      <c r="I2418" s="28">
        <v>40.823860000000003</v>
      </c>
      <c r="J2418" s="28">
        <v>-73.989034000000004</v>
      </c>
      <c r="L2418" s="61">
        <v>110004143524</v>
      </c>
      <c r="M2418" s="28" t="s">
        <v>265</v>
      </c>
      <c r="N2418" s="28">
        <v>5812</v>
      </c>
      <c r="O2418" s="28" t="str">
        <f>IFERROR(VLOOKUP(N2418, 'SIC &amp; NAICS Codes'!A:B, 2, FALSE), "")</f>
        <v>Eating Places (dinner theaters)</v>
      </c>
      <c r="S2418" s="28">
        <v>1.086210216E-3</v>
      </c>
      <c r="T2418" s="315">
        <f>_xlfn.MAXIFS('Raw Period DMR Data'!$O:$O,'Raw Period DMR Data'!$A:$A,'Raw Annual DMR Data_2021-2024'!#REF!,'Raw Period DMR Data'!$C:$C,X2418)/S2418</f>
        <v>0</v>
      </c>
      <c r="U2418" s="28" t="str">
        <f>+IF(COUNTIFS('Raw Period DMR Data'!$A:$A,B2418,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18" s="28" t="str" cm="1">
        <f t="array" ref="V2418">IFERROR(INDEX('Raw Period DMR Data'!N:N,MATCH(1,(B2418='Raw Period DMR Data'!$A:$A)*(U2418='Raw Period DMR Data'!M:M)*(X2418='Raw Period DMR Data'!C:C),0),1), "N/A")</f>
        <v>N/A</v>
      </c>
      <c r="W2418" s="28" t="s">
        <v>1463</v>
      </c>
      <c r="X2418" s="28" t="s">
        <v>7207</v>
      </c>
      <c r="Y2418" s="28" t="s">
        <v>803</v>
      </c>
      <c r="Z2418" s="61"/>
      <c r="AC2418" s="28" t="s">
        <v>1466</v>
      </c>
    </row>
    <row r="2419" spans="1:29" x14ac:dyDescent="0.25">
      <c r="A2419" s="61">
        <v>110004143524</v>
      </c>
      <c r="B2419" s="28">
        <v>2024</v>
      </c>
      <c r="C2419" s="68">
        <f t="shared" si="38"/>
        <v>45292</v>
      </c>
      <c r="D2419" s="28" t="s">
        <v>6879</v>
      </c>
      <c r="E2419" s="28" t="s">
        <v>7054</v>
      </c>
      <c r="F2419" s="28" t="s">
        <v>7055</v>
      </c>
      <c r="G2419" s="28" t="s">
        <v>338</v>
      </c>
      <c r="H2419" s="28">
        <v>7010</v>
      </c>
      <c r="I2419" s="28">
        <v>40.823860000000003</v>
      </c>
      <c r="J2419" s="28">
        <v>-73.989034000000004</v>
      </c>
      <c r="L2419" s="61">
        <v>110004143524</v>
      </c>
      <c r="M2419" s="28" t="s">
        <v>265</v>
      </c>
      <c r="N2419" s="28">
        <v>5812</v>
      </c>
      <c r="O2419" s="28" t="str">
        <f>IFERROR(VLOOKUP(N2419, 'SIC &amp; NAICS Codes'!A:B, 2, FALSE), "")</f>
        <v>Eating Places (dinner theaters)</v>
      </c>
      <c r="S2419" s="28">
        <v>6.3089470079999996E-4</v>
      </c>
      <c r="T2419" s="315">
        <f>_xlfn.MAXIFS('Raw Period DMR Data'!$O:$O,'Raw Period DMR Data'!$A:$A,'Raw Annual DMR Data_2021-2024'!#REF!,'Raw Period DMR Data'!$C:$C,X2419)/S2419</f>
        <v>0</v>
      </c>
      <c r="U2419" s="28" t="str">
        <f>+IF(COUNTIFS('Raw Period DMR Data'!$A:$A,B2419,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19" s="28" t="str" cm="1">
        <f t="array" ref="V2419">IFERROR(INDEX('Raw Period DMR Data'!N:N,MATCH(1,(B2419='Raw Period DMR Data'!$A:$A)*(U2419='Raw Period DMR Data'!M:M)*(X2419='Raw Period DMR Data'!C:C),0),1), "N/A")</f>
        <v>N/A</v>
      </c>
      <c r="W2419" s="28" t="s">
        <v>1463</v>
      </c>
      <c r="X2419" s="28" t="s">
        <v>7207</v>
      </c>
      <c r="Y2419" s="28" t="s">
        <v>803</v>
      </c>
      <c r="Z2419" s="61"/>
      <c r="AC2419" s="28" t="s">
        <v>1466</v>
      </c>
    </row>
    <row r="2420" spans="1:29" x14ac:dyDescent="0.25">
      <c r="A2420" s="61">
        <v>110004143524</v>
      </c>
      <c r="B2420" s="28">
        <v>2022</v>
      </c>
      <c r="C2420" s="68">
        <f t="shared" si="38"/>
        <v>44562</v>
      </c>
      <c r="D2420" s="28" t="s">
        <v>6879</v>
      </c>
      <c r="E2420" s="28" t="s">
        <v>7054</v>
      </c>
      <c r="F2420" s="28" t="s">
        <v>7055</v>
      </c>
      <c r="G2420" s="28" t="s">
        <v>338</v>
      </c>
      <c r="H2420" s="28">
        <v>7010</v>
      </c>
      <c r="I2420" s="28">
        <v>40.823860000000003</v>
      </c>
      <c r="J2420" s="28">
        <v>-73.989034000000004</v>
      </c>
      <c r="L2420" s="61">
        <v>110004143524</v>
      </c>
      <c r="M2420" s="28" t="s">
        <v>265</v>
      </c>
      <c r="N2420" s="28">
        <v>5812</v>
      </c>
      <c r="O2420" s="28" t="str">
        <f>IFERROR(VLOOKUP(N2420, 'SIC &amp; NAICS Codes'!A:B, 2, FALSE), "")</f>
        <v>Eating Places (dinner theaters)</v>
      </c>
      <c r="S2420" s="28">
        <v>5.4756898559999996E-4</v>
      </c>
      <c r="T2420" s="315">
        <f>_xlfn.MAXIFS('Raw Period DMR Data'!$O:$O,'Raw Period DMR Data'!$A:$A,'Raw Annual DMR Data_2021-2024'!#REF!,'Raw Period DMR Data'!$C:$C,X2420)/S2420</f>
        <v>0</v>
      </c>
      <c r="U2420" s="28" t="str">
        <f>+IF(COUNTIFS('Raw Period DMR Data'!$A:$A,B2420,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20" s="28" t="str" cm="1">
        <f t="array" ref="V2420">IFERROR(INDEX('Raw Period DMR Data'!N:N,MATCH(1,(B2420='Raw Period DMR Data'!$A:$A)*(U2420='Raw Period DMR Data'!M:M)*(X2420='Raw Period DMR Data'!C:C),0),1), "N/A")</f>
        <v>N/A</v>
      </c>
      <c r="W2420" s="28" t="s">
        <v>1463</v>
      </c>
      <c r="X2420" s="28" t="s">
        <v>7207</v>
      </c>
      <c r="Y2420" s="28" t="s">
        <v>803</v>
      </c>
      <c r="Z2420" s="61"/>
      <c r="AC2420" s="28" t="s">
        <v>1466</v>
      </c>
    </row>
  </sheetData>
  <sheetProtection sheet="1" objects="1" scenarios="1" formatCells="0" formatColumns="0" formatRows="0"/>
  <autoFilter ref="A1:AC2420" xr:uid="{B0F3129B-FC47-4DA9-9E9B-585494C3FF9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BFE3F-2D10-4E05-BDB6-2406E50C3631}">
  <sheetPr>
    <tabColor rgb="FF7030A0"/>
  </sheetPr>
  <dimension ref="A1:AC1007"/>
  <sheetViews>
    <sheetView workbookViewId="0">
      <pane ySplit="1" topLeftCell="A2" activePane="bottomLeft" state="frozen"/>
      <selection pane="bottomLeft" activeCell="D10" sqref="D10"/>
    </sheetView>
  </sheetViews>
  <sheetFormatPr defaultColWidth="8.5703125" defaultRowHeight="15" x14ac:dyDescent="0.25"/>
  <cols>
    <col min="1" max="1" width="18.85546875" customWidth="1"/>
    <col min="2" max="2" width="7.42578125" customWidth="1"/>
    <col min="3" max="3" width="17.5703125" bestFit="1" customWidth="1"/>
    <col min="4" max="4" width="62.5703125" customWidth="1"/>
    <col min="5" max="5" width="53.5703125" customWidth="1"/>
    <col min="6" max="6" width="29.140625" customWidth="1"/>
    <col min="7" max="7" width="16.5703125" customWidth="1"/>
    <col min="8" max="8" width="16.42578125" customWidth="1"/>
    <col min="9" max="10" width="29.85546875" customWidth="1"/>
    <col min="11" max="11" width="19.42578125" customWidth="1"/>
    <col min="12" max="12" width="16.42578125" customWidth="1"/>
    <col min="13" max="13" width="52.140625" customWidth="1"/>
    <col min="14" max="14" width="18.5703125" customWidth="1"/>
    <col min="15" max="15" width="147.5703125" customWidth="1"/>
    <col min="16" max="18" width="39.42578125" customWidth="1"/>
    <col min="19" max="19" width="29.85546875" bestFit="1" customWidth="1"/>
    <col min="20" max="20" width="29.85546875" customWidth="1"/>
    <col min="21" max="21" width="38.42578125" customWidth="1"/>
    <col min="22" max="23" width="29.85546875" customWidth="1"/>
    <col min="24" max="24" width="17.5703125" bestFit="1" customWidth="1"/>
    <col min="25" max="25" width="86.140625" bestFit="1" customWidth="1"/>
    <col min="26" max="26" width="17" bestFit="1" customWidth="1"/>
    <col min="27" max="27" width="20.85546875" bestFit="1" customWidth="1"/>
    <col min="28" max="28" width="13.140625" bestFit="1" customWidth="1"/>
    <col min="29" max="30" width="22.85546875" bestFit="1" customWidth="1"/>
    <col min="31" max="31" width="27.140625" bestFit="1" customWidth="1"/>
    <col min="32" max="32" width="23.42578125" bestFit="1" customWidth="1"/>
    <col min="33" max="33" width="25.5703125" bestFit="1" customWidth="1"/>
    <col min="34" max="34" width="14.140625" bestFit="1" customWidth="1"/>
    <col min="35" max="35" width="24.42578125" bestFit="1" customWidth="1"/>
    <col min="36" max="36" width="22.85546875" bestFit="1" customWidth="1"/>
    <col min="37" max="38" width="22.42578125" bestFit="1" customWidth="1"/>
    <col min="39" max="39" width="43.42578125" bestFit="1" customWidth="1"/>
    <col min="40" max="40" width="22.5703125" bestFit="1" customWidth="1"/>
    <col min="41" max="41" width="18.5703125" bestFit="1" customWidth="1"/>
    <col min="42" max="42" width="27.5703125" bestFit="1" customWidth="1"/>
    <col min="43" max="43" width="31.5703125" bestFit="1" customWidth="1"/>
    <col min="44" max="44" width="22.5703125" bestFit="1" customWidth="1"/>
    <col min="45" max="45" width="17.42578125" bestFit="1" customWidth="1"/>
    <col min="46" max="46" width="26.5703125" bestFit="1" customWidth="1"/>
    <col min="47" max="47" width="24.140625" bestFit="1" customWidth="1"/>
    <col min="48" max="48" width="40" bestFit="1" customWidth="1"/>
    <col min="49" max="49" width="17.85546875" bestFit="1" customWidth="1"/>
    <col min="50" max="50" width="28.42578125" bestFit="1" customWidth="1"/>
    <col min="51" max="51" width="22.5703125" bestFit="1" customWidth="1"/>
    <col min="52" max="52" width="18.5703125" bestFit="1" customWidth="1"/>
    <col min="53" max="53" width="24.5703125" bestFit="1" customWidth="1"/>
    <col min="54" max="54" width="30.140625" bestFit="1" customWidth="1"/>
    <col min="55" max="55" width="30.5703125" bestFit="1" customWidth="1"/>
    <col min="56" max="57" width="33.5703125" bestFit="1" customWidth="1"/>
    <col min="58" max="58" width="34" bestFit="1" customWidth="1"/>
    <col min="59" max="59" width="26.42578125" bestFit="1" customWidth="1"/>
    <col min="60" max="60" width="17.5703125" bestFit="1" customWidth="1"/>
    <col min="61" max="61" width="23.42578125" bestFit="1" customWidth="1"/>
    <col min="62" max="63" width="33.5703125" bestFit="1" customWidth="1"/>
    <col min="64" max="64" width="29.5703125" bestFit="1" customWidth="1"/>
    <col min="65" max="65" width="30" bestFit="1" customWidth="1"/>
    <col min="66" max="66" width="30.5703125" bestFit="1" customWidth="1"/>
    <col min="67" max="67" width="33.5703125" bestFit="1" customWidth="1"/>
    <col min="68" max="68" width="33.42578125" bestFit="1" customWidth="1"/>
    <col min="69" max="69" width="34" bestFit="1" customWidth="1"/>
    <col min="70" max="70" width="22.5703125" bestFit="1" customWidth="1"/>
    <col min="71" max="71" width="20" bestFit="1" customWidth="1"/>
    <col min="72" max="72" width="20.140625" bestFit="1" customWidth="1"/>
    <col min="73" max="73" width="28.140625" bestFit="1" customWidth="1"/>
    <col min="74" max="75" width="33.5703125" bestFit="1" customWidth="1"/>
    <col min="76" max="76" width="28.5703125" bestFit="1" customWidth="1"/>
    <col min="77" max="77" width="28.42578125" bestFit="1" customWidth="1"/>
    <col min="78" max="78" width="30.42578125" bestFit="1" customWidth="1"/>
    <col min="79" max="79" width="27" bestFit="1" customWidth="1"/>
    <col min="80" max="80" width="34.5703125" bestFit="1" customWidth="1"/>
    <col min="81" max="81" width="25.140625" bestFit="1" customWidth="1"/>
    <col min="82" max="82" width="23.5703125" bestFit="1" customWidth="1"/>
    <col min="83" max="83" width="19.42578125" bestFit="1" customWidth="1"/>
    <col min="84" max="84" width="20.5703125" bestFit="1" customWidth="1"/>
    <col min="85" max="85" width="25.5703125" bestFit="1" customWidth="1"/>
    <col min="86" max="86" width="27.42578125" bestFit="1" customWidth="1"/>
    <col min="87" max="87" width="18.5703125" bestFit="1" customWidth="1"/>
    <col min="88" max="88" width="25.140625" bestFit="1" customWidth="1"/>
    <col min="89" max="89" width="23.5703125" bestFit="1" customWidth="1"/>
    <col min="90" max="90" width="19.42578125" bestFit="1" customWidth="1"/>
    <col min="91" max="91" width="20.5703125" bestFit="1" customWidth="1"/>
    <col min="92" max="92" width="25.5703125" bestFit="1" customWidth="1"/>
    <col min="93" max="93" width="27.42578125" bestFit="1" customWidth="1"/>
    <col min="94" max="94" width="18.5703125" bestFit="1" customWidth="1"/>
  </cols>
  <sheetData>
    <row r="1" spans="1:29" s="189" customFormat="1" ht="45" x14ac:dyDescent="0.25">
      <c r="A1" s="186" t="s">
        <v>284</v>
      </c>
      <c r="B1" s="166" t="s">
        <v>1447</v>
      </c>
      <c r="C1" s="166" t="s">
        <v>1448</v>
      </c>
      <c r="D1" s="166" t="s">
        <v>276</v>
      </c>
      <c r="E1" s="166" t="s">
        <v>277</v>
      </c>
      <c r="F1" s="166" t="s">
        <v>278</v>
      </c>
      <c r="G1" s="166" t="s">
        <v>279</v>
      </c>
      <c r="H1" s="166" t="s">
        <v>280</v>
      </c>
      <c r="I1" s="166" t="s">
        <v>281</v>
      </c>
      <c r="J1" s="166" t="s">
        <v>282</v>
      </c>
      <c r="K1" s="166" t="s">
        <v>283</v>
      </c>
      <c r="L1" s="186" t="s">
        <v>284</v>
      </c>
      <c r="M1" s="166" t="s">
        <v>285</v>
      </c>
      <c r="N1" s="166" t="s">
        <v>1449</v>
      </c>
      <c r="O1" s="166" t="s">
        <v>1450</v>
      </c>
      <c r="P1" s="166" t="s">
        <v>288</v>
      </c>
      <c r="Q1" s="166" t="s">
        <v>1451</v>
      </c>
      <c r="R1" s="166" t="s">
        <v>291</v>
      </c>
      <c r="S1" s="166" t="s">
        <v>1452</v>
      </c>
      <c r="T1" s="166" t="s">
        <v>1453</v>
      </c>
      <c r="U1" s="166" t="s">
        <v>1454</v>
      </c>
      <c r="V1" s="166" t="s">
        <v>1455</v>
      </c>
      <c r="W1" s="166" t="s">
        <v>1456</v>
      </c>
      <c r="X1" s="166" t="s">
        <v>1457</v>
      </c>
      <c r="Y1" s="166" t="s">
        <v>1458</v>
      </c>
      <c r="Z1" s="186" t="s">
        <v>746</v>
      </c>
      <c r="AA1" s="194" t="s">
        <v>1459</v>
      </c>
      <c r="AB1" s="166" t="s">
        <v>1460</v>
      </c>
      <c r="AC1" s="300" t="s">
        <v>1461</v>
      </c>
    </row>
    <row r="2" spans="1:29" s="28" customFormat="1" x14ac:dyDescent="0.25">
      <c r="A2" s="61">
        <v>110001545070</v>
      </c>
      <c r="B2" s="28">
        <v>2021</v>
      </c>
      <c r="C2" s="68">
        <f t="shared" ref="C2:C65" si="0">DATE(B2, 1, 1)</f>
        <v>44197</v>
      </c>
      <c r="D2" s="28" t="s">
        <v>117</v>
      </c>
      <c r="E2" s="28" t="s">
        <v>375</v>
      </c>
      <c r="F2" s="28" t="s">
        <v>376</v>
      </c>
      <c r="G2" s="28" t="s">
        <v>338</v>
      </c>
      <c r="H2" s="28">
        <v>7305</v>
      </c>
      <c r="I2" s="28">
        <v>40.724868000000001</v>
      </c>
      <c r="J2" s="28">
        <v>-74.045564999999996</v>
      </c>
      <c r="L2" s="61">
        <v>110001545070</v>
      </c>
      <c r="M2" s="28" t="s">
        <v>259</v>
      </c>
      <c r="N2" s="28">
        <v>7216</v>
      </c>
      <c r="O2" s="28" t="str">
        <f>IFERROR(VLOOKUP(N2, 'SIC &amp; NAICS Codes'!A:B, 2, FALSE), "")</f>
        <v>Drycleaning Plants, Except Rug Cleaning</v>
      </c>
      <c r="S2" s="28">
        <v>2.1315859595E-5</v>
      </c>
      <c r="T2" s="315">
        <f>_xlfn.MAXIFS('Raw Period DMR Data'!$O:$O,'Raw Period DMR Data'!$A:$A,'Raw Annual DMR Data_2021-2024'!#REF!,'Raw Period DMR Data'!$C:$C,X2)/S2</f>
        <v>0</v>
      </c>
      <c r="U2" s="28" t="str">
        <f>+IF(COUNTIFS('Raw Period DMR Data'!$A:$A,B2,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 s="28" t="str" cm="1">
        <f t="array" ref="V2">IFERROR(INDEX('Raw Period DMR Data'!N:N,MATCH(1,(B2='Raw Period DMR Data'!$A:$A)*(U2='Raw Period DMR Data'!M:M)*(X2='Raw Period DMR Data'!C:C),0),1), "N/A")</f>
        <v>N/A</v>
      </c>
      <c r="W2" s="28" t="s">
        <v>1463</v>
      </c>
      <c r="X2" s="28" t="s">
        <v>802</v>
      </c>
      <c r="Y2" s="28" t="s">
        <v>803</v>
      </c>
      <c r="Z2" s="61"/>
      <c r="AA2" s="60"/>
      <c r="AC2" s="28" t="s">
        <v>1466</v>
      </c>
    </row>
    <row r="3" spans="1:29" s="28" customFormat="1" x14ac:dyDescent="0.25">
      <c r="A3" s="61">
        <v>110002468669</v>
      </c>
      <c r="B3" s="28">
        <v>2021</v>
      </c>
      <c r="C3" s="68">
        <f t="shared" si="0"/>
        <v>44197</v>
      </c>
      <c r="D3" s="28" t="s">
        <v>167</v>
      </c>
      <c r="E3" s="28" t="s">
        <v>543</v>
      </c>
      <c r="F3" s="28" t="s">
        <v>544</v>
      </c>
      <c r="G3" s="28" t="s">
        <v>338</v>
      </c>
      <c r="H3" s="28">
        <v>7036</v>
      </c>
      <c r="I3" s="28">
        <v>40.610097000000003</v>
      </c>
      <c r="J3" s="28">
        <v>-74.204927999999995</v>
      </c>
      <c r="L3" s="61">
        <v>110002468669</v>
      </c>
      <c r="M3" s="28" t="s">
        <v>259</v>
      </c>
      <c r="N3" s="28">
        <v>2841</v>
      </c>
      <c r="O3" s="28" t="str">
        <f>IFERROR(VLOOKUP(N3, 'SIC &amp; NAICS Codes'!A:B, 2, FALSE), "")</f>
        <v>Soaps and Other Detergents, Except Specialty Cleaners</v>
      </c>
      <c r="S3" s="28">
        <v>2.0382225E-2</v>
      </c>
      <c r="T3" s="315">
        <f>_xlfn.MAXIFS('Raw Period DMR Data'!$O:$O,'Raw Period DMR Data'!$A:$A,'Raw Annual DMR Data_2021-2024'!#REF!,'Raw Period DMR Data'!$C:$C,X3)/S3</f>
        <v>0</v>
      </c>
      <c r="U3" s="28" t="str">
        <f>+IF(COUNTIFS('Raw Period DMR Data'!$A:$A,B3,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 s="28" t="str" cm="1">
        <f t="array" ref="V3">IFERROR(INDEX('Raw Period DMR Data'!N:N,MATCH(1,(B3='Raw Period DMR Data'!$A:$A)*(U3='Raw Period DMR Data'!M:M)*(X3='Raw Period DMR Data'!C:C),0),1), "N/A")</f>
        <v>N/A</v>
      </c>
      <c r="W3" s="28" t="s">
        <v>1463</v>
      </c>
      <c r="X3" s="28" t="s">
        <v>892</v>
      </c>
      <c r="Y3" s="28" t="s">
        <v>893</v>
      </c>
      <c r="Z3" s="61">
        <v>2030104000564</v>
      </c>
      <c r="AB3" s="28" t="s">
        <v>7355</v>
      </c>
      <c r="AC3" s="28" t="s">
        <v>1466</v>
      </c>
    </row>
    <row r="4" spans="1:29" s="28" customFormat="1" x14ac:dyDescent="0.25">
      <c r="A4" s="61">
        <v>110017422733</v>
      </c>
      <c r="B4" s="28">
        <v>2024</v>
      </c>
      <c r="C4" s="68">
        <f t="shared" si="0"/>
        <v>45292</v>
      </c>
      <c r="D4" s="28" t="s">
        <v>153</v>
      </c>
      <c r="E4" s="28" t="s">
        <v>1811</v>
      </c>
      <c r="F4" s="28" t="s">
        <v>495</v>
      </c>
      <c r="G4" s="28" t="s">
        <v>427</v>
      </c>
      <c r="H4" s="28">
        <v>48380</v>
      </c>
      <c r="I4" s="28">
        <v>42.569099999999999</v>
      </c>
      <c r="J4" s="28">
        <v>-83.674499999999995</v>
      </c>
      <c r="L4" s="61">
        <v>110017422733</v>
      </c>
      <c r="M4" s="28" t="s">
        <v>261</v>
      </c>
      <c r="N4" s="28">
        <v>8734</v>
      </c>
      <c r="O4" s="28" t="str">
        <f>IFERROR(VLOOKUP(N4, 'SIC &amp; NAICS Codes'!A:B, 2, FALSE), "")</f>
        <v>Testing Laboratories (except veterinary testing laboratories)</v>
      </c>
      <c r="S4" s="28">
        <v>1.1544250000000001E-2</v>
      </c>
      <c r="T4" s="315">
        <f>_xlfn.MAXIFS('Raw Period DMR Data'!$O:$O,'Raw Period DMR Data'!$A:$A,'Raw Annual DMR Data_2021-2024'!#REF!,'Raw Period DMR Data'!$C:$C,X4)/S4</f>
        <v>0</v>
      </c>
      <c r="U4" s="28" t="str">
        <f>+IF(COUNTIFS('Raw Period DMR Data'!$A:$A,B4,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 s="28" t="str" cm="1">
        <f t="array" ref="V4">IFERROR(INDEX('Raw Period DMR Data'!N:N,MATCH(1,(B4='Raw Period DMR Data'!$A:$A)*(U4='Raw Period DMR Data'!M:M)*(X4='Raw Period DMR Data'!C:C),0),1), "N/A")</f>
        <v>N/A</v>
      </c>
      <c r="W4" s="28" t="s">
        <v>1463</v>
      </c>
      <c r="X4" s="28" t="s">
        <v>868</v>
      </c>
      <c r="Y4" s="28" t="s">
        <v>869</v>
      </c>
      <c r="Z4" s="61">
        <v>4090005002033</v>
      </c>
      <c r="AA4" s="60"/>
      <c r="AB4" s="28" t="s">
        <v>7355</v>
      </c>
      <c r="AC4" s="28" t="s">
        <v>1466</v>
      </c>
    </row>
    <row r="5" spans="1:29" s="28" customFormat="1" x14ac:dyDescent="0.25">
      <c r="A5" s="61">
        <v>110017422733</v>
      </c>
      <c r="B5" s="28">
        <v>2021</v>
      </c>
      <c r="C5" s="68">
        <f t="shared" si="0"/>
        <v>44197</v>
      </c>
      <c r="D5" s="28" t="s">
        <v>153</v>
      </c>
      <c r="E5" s="28" t="s">
        <v>1811</v>
      </c>
      <c r="F5" s="28" t="s">
        <v>495</v>
      </c>
      <c r="G5" s="28" t="s">
        <v>427</v>
      </c>
      <c r="H5" s="28">
        <v>48380</v>
      </c>
      <c r="I5" s="28">
        <v>42.569099999999999</v>
      </c>
      <c r="J5" s="28">
        <v>-83.674499999999995</v>
      </c>
      <c r="L5" s="61">
        <v>110017422733</v>
      </c>
      <c r="M5" s="28" t="s">
        <v>261</v>
      </c>
      <c r="N5" s="28">
        <v>8734</v>
      </c>
      <c r="O5" s="28" t="str">
        <f>IFERROR(VLOOKUP(N5, 'SIC &amp; NAICS Codes'!A:B, 2, FALSE), "")</f>
        <v>Testing Laboratories (except veterinary testing laboratories)</v>
      </c>
      <c r="S5" s="28">
        <v>1.0550687499999999E-2</v>
      </c>
      <c r="T5" s="315">
        <f>_xlfn.MAXIFS('Raw Period DMR Data'!$O:$O,'Raw Period DMR Data'!$A:$A,'Raw Annual DMR Data_2021-2024'!#REF!,'Raw Period DMR Data'!$C:$C,X5)/S5</f>
        <v>0</v>
      </c>
      <c r="U5" s="28" t="str">
        <f>+IF(COUNTIFS('Raw Period DMR Data'!$A:$A,B5,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 s="28" t="str" cm="1">
        <f t="array" ref="V5">IFERROR(INDEX('Raw Period DMR Data'!N:N,MATCH(1,(B5='Raw Period DMR Data'!$A:$A)*(U5='Raw Period DMR Data'!M:M)*(X5='Raw Period DMR Data'!C:C),0),1), "N/A")</f>
        <v>N/A</v>
      </c>
      <c r="W5" s="28" t="s">
        <v>1463</v>
      </c>
      <c r="X5" s="28" t="s">
        <v>868</v>
      </c>
      <c r="Y5" s="28" t="s">
        <v>869</v>
      </c>
      <c r="Z5" s="61">
        <v>4090005002033</v>
      </c>
      <c r="AB5" s="28" t="s">
        <v>7355</v>
      </c>
      <c r="AC5" s="28" t="s">
        <v>1466</v>
      </c>
    </row>
    <row r="6" spans="1:29" s="28" customFormat="1" x14ac:dyDescent="0.25">
      <c r="A6" s="61">
        <v>110017422733</v>
      </c>
      <c r="B6" s="28">
        <v>2023</v>
      </c>
      <c r="C6" s="68">
        <f t="shared" si="0"/>
        <v>44927</v>
      </c>
      <c r="D6" s="28" t="s">
        <v>153</v>
      </c>
      <c r="E6" s="28" t="s">
        <v>1811</v>
      </c>
      <c r="F6" s="28" t="s">
        <v>495</v>
      </c>
      <c r="G6" s="28" t="s">
        <v>427</v>
      </c>
      <c r="H6" s="28">
        <v>48380</v>
      </c>
      <c r="I6" s="28">
        <v>42.569099999999999</v>
      </c>
      <c r="J6" s="28">
        <v>-83.674499999999995</v>
      </c>
      <c r="L6" s="61">
        <v>110017422733</v>
      </c>
      <c r="M6" s="28" t="s">
        <v>261</v>
      </c>
      <c r="N6" s="28">
        <v>8734</v>
      </c>
      <c r="O6" s="28" t="str">
        <f>IFERROR(VLOOKUP(N6, 'SIC &amp; NAICS Codes'!A:B, 2, FALSE), "")</f>
        <v>Testing Laboratories (except veterinary testing laboratories)</v>
      </c>
      <c r="S6" s="28">
        <v>8.0961149999999992E-3</v>
      </c>
      <c r="T6" s="315">
        <f>_xlfn.MAXIFS('Raw Period DMR Data'!$O:$O,'Raw Period DMR Data'!$A:$A,'Raw Annual DMR Data_2021-2024'!#REF!,'Raw Period DMR Data'!$C:$C,X6)/S6</f>
        <v>0</v>
      </c>
      <c r="U6" s="28" t="str">
        <f>+IF(COUNTIFS('Raw Period DMR Data'!$A:$A,B6,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 s="28" t="str" cm="1">
        <f t="array" ref="V6">IFERROR(INDEX('Raw Period DMR Data'!N:N,MATCH(1,(B6='Raw Period DMR Data'!$A:$A)*(U6='Raw Period DMR Data'!M:M)*(X6='Raw Period DMR Data'!C:C),0),1), "N/A")</f>
        <v>N/A</v>
      </c>
      <c r="W6" s="28" t="s">
        <v>1463</v>
      </c>
      <c r="X6" s="28" t="s">
        <v>868</v>
      </c>
      <c r="Y6" s="28" t="s">
        <v>869</v>
      </c>
      <c r="Z6" s="61" t="s">
        <v>1812</v>
      </c>
      <c r="AA6" s="60"/>
      <c r="AB6" s="28" t="s">
        <v>7355</v>
      </c>
      <c r="AC6" s="28" t="s">
        <v>1466</v>
      </c>
    </row>
    <row r="7" spans="1:29" s="28" customFormat="1" x14ac:dyDescent="0.25">
      <c r="A7" s="61">
        <v>110070596765</v>
      </c>
      <c r="B7" s="28">
        <v>2021</v>
      </c>
      <c r="C7" s="68">
        <f t="shared" si="0"/>
        <v>44197</v>
      </c>
      <c r="D7" s="28" t="s">
        <v>1392</v>
      </c>
      <c r="E7" s="28" t="s">
        <v>2302</v>
      </c>
      <c r="F7" s="28" t="s">
        <v>1393</v>
      </c>
      <c r="G7" s="28" t="s">
        <v>294</v>
      </c>
      <c r="H7" s="28">
        <v>22060</v>
      </c>
      <c r="I7" s="28">
        <v>38.711596</v>
      </c>
      <c r="J7" s="28">
        <v>-77.147887999999995</v>
      </c>
      <c r="L7" s="61">
        <v>110070596765</v>
      </c>
      <c r="M7" s="28" t="s">
        <v>261</v>
      </c>
      <c r="N7" s="28">
        <v>3825</v>
      </c>
      <c r="O7" s="28" t="str">
        <f>IFERROR(VLOOKUP(N7, 'SIC &amp; NAICS Codes'!A:B, 2, FALSE), "")</f>
        <v>Instruments for Measuring and Testing of Electricity and Electrical Signals (automotive ammeters and voltmeters)</v>
      </c>
      <c r="S7" s="28">
        <v>3.4780554249999999E-3</v>
      </c>
      <c r="T7" s="315">
        <f>_xlfn.MAXIFS('Raw Period DMR Data'!$O:$O,'Raw Period DMR Data'!$A:$A,'Raw Annual DMR Data_2021-2024'!#REF!,'Raw Period DMR Data'!$C:$C,X7)/S7</f>
        <v>0</v>
      </c>
      <c r="U7" s="28" t="str">
        <f>+IF(COUNTIFS('Raw Period DMR Data'!$A:$A,B7,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 s="28" t="str" cm="1">
        <f t="array" ref="V7">IFERROR(INDEX('Raw Period DMR Data'!N:N,MATCH(1,(B7='Raw Period DMR Data'!$A:$A)*(U7='Raw Period DMR Data'!M:M)*(X7='Raw Period DMR Data'!C:C),0),1), "N/A")</f>
        <v>N/A</v>
      </c>
      <c r="W7" s="28" t="s">
        <v>1463</v>
      </c>
      <c r="X7" s="28" t="s">
        <v>2303</v>
      </c>
      <c r="Y7" s="28" t="s">
        <v>877</v>
      </c>
      <c r="Z7" s="61"/>
      <c r="AB7" s="28" t="s">
        <v>7355</v>
      </c>
      <c r="AC7" s="28" t="s">
        <v>7356</v>
      </c>
    </row>
    <row r="8" spans="1:29" s="28" customFormat="1" x14ac:dyDescent="0.25">
      <c r="A8" s="61">
        <v>110070596765</v>
      </c>
      <c r="B8" s="28">
        <v>2022</v>
      </c>
      <c r="C8" s="68">
        <f t="shared" si="0"/>
        <v>44562</v>
      </c>
      <c r="D8" s="28" t="s">
        <v>1392</v>
      </c>
      <c r="E8" s="28" t="s">
        <v>2302</v>
      </c>
      <c r="F8" s="28" t="s">
        <v>1393</v>
      </c>
      <c r="G8" s="28" t="s">
        <v>294</v>
      </c>
      <c r="H8" s="28">
        <v>22060</v>
      </c>
      <c r="I8" s="28">
        <v>38.711596</v>
      </c>
      <c r="J8" s="28">
        <v>-77.147887999999995</v>
      </c>
      <c r="L8" s="61">
        <v>110070596765</v>
      </c>
      <c r="M8" s="28" t="s">
        <v>261</v>
      </c>
      <c r="N8" s="28">
        <v>3825</v>
      </c>
      <c r="O8" s="28" t="str">
        <f>IFERROR(VLOOKUP(N8, 'SIC &amp; NAICS Codes'!A:B, 2, FALSE), "")</f>
        <v>Instruments for Measuring and Testing of Electricity and Electrical Signals (automotive ammeters and voltmeters)</v>
      </c>
      <c r="S8" s="28">
        <v>4.4959176249999999E-4</v>
      </c>
      <c r="T8" s="315">
        <f>_xlfn.MAXIFS('Raw Period DMR Data'!$O:$O,'Raw Period DMR Data'!$A:$A,'Raw Annual DMR Data_2021-2024'!#REF!,'Raw Period DMR Data'!$C:$C,X8)/S8</f>
        <v>0</v>
      </c>
      <c r="U8" s="28" t="str">
        <f>+IF(COUNTIFS('Raw Period DMR Data'!$A:$A,B8,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 s="28" t="str" cm="1">
        <f t="array" ref="V8">IFERROR(INDEX('Raw Period DMR Data'!N:N,MATCH(1,(B8='Raw Period DMR Data'!$A:$A)*(U8='Raw Period DMR Data'!M:M)*(X8='Raw Period DMR Data'!C:C),0),1), "N/A")</f>
        <v>N/A</v>
      </c>
      <c r="W8" s="28" t="s">
        <v>1463</v>
      </c>
      <c r="X8" s="28" t="s">
        <v>2303</v>
      </c>
      <c r="Y8" s="28" t="s">
        <v>877</v>
      </c>
      <c r="Z8" s="61"/>
      <c r="AA8" s="60"/>
      <c r="AB8" s="28" t="s">
        <v>7355</v>
      </c>
      <c r="AC8" s="28" t="s">
        <v>7356</v>
      </c>
    </row>
    <row r="9" spans="1:29" s="28" customFormat="1" x14ac:dyDescent="0.25">
      <c r="A9" s="61">
        <v>110001905163</v>
      </c>
      <c r="B9" s="28">
        <v>2024</v>
      </c>
      <c r="C9" s="68">
        <f t="shared" si="0"/>
        <v>45292</v>
      </c>
      <c r="D9" s="28" t="s">
        <v>6798</v>
      </c>
      <c r="E9" s="28" t="s">
        <v>6948</v>
      </c>
      <c r="F9" s="28" t="s">
        <v>6949</v>
      </c>
      <c r="G9" s="28" t="s">
        <v>294</v>
      </c>
      <c r="H9" s="28">
        <v>231500000</v>
      </c>
      <c r="I9" s="28">
        <v>37.497348000000002</v>
      </c>
      <c r="J9" s="28">
        <v>-77.244916000000003</v>
      </c>
      <c r="L9" s="61">
        <v>110001905163</v>
      </c>
      <c r="M9" s="28" t="s">
        <v>261</v>
      </c>
      <c r="N9" s="28">
        <v>8734</v>
      </c>
      <c r="O9" s="28" t="str">
        <f>IFERROR(VLOOKUP(N9, 'SIC &amp; NAICS Codes'!A:B, 2, FALSE), "")</f>
        <v>Testing Laboratories (except veterinary testing laboratories)</v>
      </c>
      <c r="S9" s="28">
        <v>8.3816788234724997E-4</v>
      </c>
      <c r="T9" s="315">
        <f>_xlfn.MAXIFS('Raw Period DMR Data'!$O:$O,'Raw Period DMR Data'!$A:$A,'Raw Annual DMR Data_2021-2024'!#REF!,'Raw Period DMR Data'!$C:$C,X9)/S9</f>
        <v>0</v>
      </c>
      <c r="U9" s="28" t="str">
        <f>+IF(COUNTIFS('Raw Period DMR Data'!$A:$A,B9,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 s="28" t="str" cm="1">
        <f t="array" ref="V9">IFERROR(INDEX('Raw Period DMR Data'!N:N,MATCH(1,(B9='Raw Period DMR Data'!$A:$A)*(U9='Raw Period DMR Data'!M:M)*(X9='Raw Period DMR Data'!C:C),0),1), "N/A")</f>
        <v>N/A</v>
      </c>
      <c r="W9" s="28" t="s">
        <v>1463</v>
      </c>
      <c r="X9" s="28" t="s">
        <v>7152</v>
      </c>
      <c r="Y9" s="28" t="s">
        <v>7264</v>
      </c>
      <c r="Z9" s="61"/>
      <c r="AA9" s="60"/>
      <c r="AB9" s="28" t="s">
        <v>7355</v>
      </c>
      <c r="AC9" s="28" t="s">
        <v>1466</v>
      </c>
    </row>
    <row r="10" spans="1:29" s="28" customFormat="1" x14ac:dyDescent="0.25">
      <c r="A10" s="61">
        <v>110000501519</v>
      </c>
      <c r="B10" s="28">
        <v>2023</v>
      </c>
      <c r="C10" s="68">
        <f t="shared" si="0"/>
        <v>44927</v>
      </c>
      <c r="D10" s="28" t="s">
        <v>6769</v>
      </c>
      <c r="E10" s="28" t="s">
        <v>614</v>
      </c>
      <c r="F10" s="28" t="s">
        <v>615</v>
      </c>
      <c r="G10" s="28" t="s">
        <v>362</v>
      </c>
      <c r="H10" s="28">
        <v>77520</v>
      </c>
      <c r="I10" s="28">
        <v>29.771018000000002</v>
      </c>
      <c r="J10" s="28">
        <v>-95.018456</v>
      </c>
      <c r="K10" s="28" t="s">
        <v>616</v>
      </c>
      <c r="L10" s="61">
        <v>110000501519</v>
      </c>
      <c r="M10" s="28" t="s">
        <v>251</v>
      </c>
      <c r="N10" s="28">
        <v>2869</v>
      </c>
      <c r="O10" s="28" t="str">
        <f>IFERROR(VLOOKUP(N10, 'SIC &amp; NAICS Codes'!A:B, 2, FALSE), "")</f>
        <v>Industrial Organic Chemicals, NEC (aliphatics)</v>
      </c>
      <c r="S10" s="28">
        <v>3.8544547499999998E-3</v>
      </c>
      <c r="T10" s="315">
        <f>_xlfn.MAXIFS('Raw Period DMR Data'!$O:$O,'Raw Period DMR Data'!$A:$A,'Raw Annual DMR Data_2021-2024'!#REF!,'Raw Period DMR Data'!$C:$C,X10)/S10</f>
        <v>0</v>
      </c>
      <c r="U10" s="28" t="str">
        <f>+IF(COUNTIFS('Raw Period DMR Data'!$A:$A,B10,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0" s="28" t="str" cm="1">
        <f t="array" ref="V10">IFERROR(INDEX('Raw Period DMR Data'!N:N,MATCH(1,(B10='Raw Period DMR Data'!$A:$A)*(U10='Raw Period DMR Data'!M:M)*(X10='Raw Period DMR Data'!C:C),0),1), "N/A")</f>
        <v>N/A</v>
      </c>
      <c r="W10" s="28" t="s">
        <v>1463</v>
      </c>
      <c r="X10" s="28" t="s">
        <v>929</v>
      </c>
      <c r="Y10" s="28" t="s">
        <v>7246</v>
      </c>
      <c r="Z10" s="61">
        <v>12040104015035</v>
      </c>
      <c r="AA10" s="60"/>
      <c r="AC10" s="28" t="s">
        <v>1466</v>
      </c>
    </row>
    <row r="11" spans="1:29" s="28" customFormat="1" x14ac:dyDescent="0.25">
      <c r="A11" s="61">
        <v>110000501519</v>
      </c>
      <c r="B11" s="28">
        <v>2022</v>
      </c>
      <c r="C11" s="68">
        <f t="shared" si="0"/>
        <v>44562</v>
      </c>
      <c r="D11" s="28" t="s">
        <v>6769</v>
      </c>
      <c r="E11" s="28" t="s">
        <v>614</v>
      </c>
      <c r="F11" s="28" t="s">
        <v>615</v>
      </c>
      <c r="G11" s="28" t="s">
        <v>362</v>
      </c>
      <c r="H11" s="28">
        <v>77520</v>
      </c>
      <c r="I11" s="28">
        <v>29.771018000000002</v>
      </c>
      <c r="J11" s="28">
        <v>-95.018456</v>
      </c>
      <c r="K11" s="28" t="s">
        <v>616</v>
      </c>
      <c r="L11" s="61">
        <v>110000501519</v>
      </c>
      <c r="M11" s="28" t="s">
        <v>251</v>
      </c>
      <c r="N11" s="28">
        <v>2869</v>
      </c>
      <c r="O11" s="28" t="str">
        <f>IFERROR(VLOOKUP(N11, 'SIC &amp; NAICS Codes'!A:B, 2, FALSE), "")</f>
        <v>Industrial Organic Chemicals, NEC (aliphatics)</v>
      </c>
      <c r="S11" s="28">
        <v>6.5207980000000002E-4</v>
      </c>
      <c r="T11" s="315">
        <f>_xlfn.MAXIFS('Raw Period DMR Data'!$O:$O,'Raw Period DMR Data'!$A:$A,'Raw Annual DMR Data_2021-2024'!#REF!,'Raw Period DMR Data'!$C:$C,X11)/S11</f>
        <v>0</v>
      </c>
      <c r="U11" s="28" t="str">
        <f>+IF(COUNTIFS('Raw Period DMR Data'!$A:$A,B11,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1" s="28" t="str" cm="1">
        <f t="array" ref="V11">IFERROR(INDEX('Raw Period DMR Data'!N:N,MATCH(1,(B11='Raw Period DMR Data'!$A:$A)*(U11='Raw Period DMR Data'!M:M)*(X11='Raw Period DMR Data'!C:C),0),1), "N/A")</f>
        <v>N/A</v>
      </c>
      <c r="W11" s="28" t="s">
        <v>1463</v>
      </c>
      <c r="X11" s="28" t="s">
        <v>929</v>
      </c>
      <c r="Y11" s="28" t="s">
        <v>7246</v>
      </c>
      <c r="Z11" s="61">
        <v>12040104015035</v>
      </c>
      <c r="AA11" s="60"/>
      <c r="AB11" s="28" t="s">
        <v>7355</v>
      </c>
      <c r="AC11" s="28" t="s">
        <v>1466</v>
      </c>
    </row>
    <row r="12" spans="1:29" s="28" customFormat="1" x14ac:dyDescent="0.25">
      <c r="A12" s="61">
        <v>110000501519</v>
      </c>
      <c r="B12" s="28">
        <v>2021</v>
      </c>
      <c r="C12" s="68">
        <f t="shared" si="0"/>
        <v>44197</v>
      </c>
      <c r="D12" s="28" t="s">
        <v>6769</v>
      </c>
      <c r="E12" s="28" t="s">
        <v>614</v>
      </c>
      <c r="F12" s="28" t="s">
        <v>615</v>
      </c>
      <c r="G12" s="28" t="s">
        <v>362</v>
      </c>
      <c r="H12" s="28">
        <v>77520</v>
      </c>
      <c r="I12" s="28">
        <v>29.771018000000002</v>
      </c>
      <c r="J12" s="28">
        <v>-95.018456</v>
      </c>
      <c r="K12" s="28" t="s">
        <v>616</v>
      </c>
      <c r="L12" s="61">
        <v>110000501519</v>
      </c>
      <c r="M12" s="28" t="s">
        <v>251</v>
      </c>
      <c r="N12" s="28">
        <v>2869</v>
      </c>
      <c r="O12" s="28" t="str">
        <f>IFERROR(VLOOKUP(N12, 'SIC &amp; NAICS Codes'!A:B, 2, FALSE), "")</f>
        <v>Industrial Organic Chemicals, NEC (aliphatics)</v>
      </c>
      <c r="S12" s="28">
        <v>8.5101939999999995E-5</v>
      </c>
      <c r="T12" s="315">
        <f>_xlfn.MAXIFS('Raw Period DMR Data'!$O:$O,'Raw Period DMR Data'!$A:$A,'Raw Annual DMR Data_2021-2024'!#REF!,'Raw Period DMR Data'!$C:$C,X12)/S12</f>
        <v>0</v>
      </c>
      <c r="U12" s="28" t="str">
        <f>+IF(COUNTIFS('Raw Period DMR Data'!$A:$A,B12,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2" s="28" t="str" cm="1">
        <f t="array" ref="V12">IFERROR(INDEX('Raw Period DMR Data'!N:N,MATCH(1,(B12='Raw Period DMR Data'!$A:$A)*(U12='Raw Period DMR Data'!M:M)*(X12='Raw Period DMR Data'!C:C),0),1), "N/A")</f>
        <v>N/A</v>
      </c>
      <c r="W12" s="28" t="s">
        <v>1463</v>
      </c>
      <c r="X12" s="28" t="s">
        <v>929</v>
      </c>
      <c r="Y12" s="28" t="s">
        <v>7246</v>
      </c>
      <c r="Z12" s="61">
        <v>12040104015035</v>
      </c>
      <c r="AC12" s="28" t="s">
        <v>1466</v>
      </c>
    </row>
    <row r="13" spans="1:29" s="28" customFormat="1" x14ac:dyDescent="0.25">
      <c r="A13" s="61">
        <v>110017980443</v>
      </c>
      <c r="B13" s="28">
        <v>2023</v>
      </c>
      <c r="C13" s="68">
        <f t="shared" si="0"/>
        <v>44927</v>
      </c>
      <c r="D13" s="28" t="s">
        <v>6791</v>
      </c>
      <c r="E13" s="28" t="s">
        <v>367</v>
      </c>
      <c r="F13" s="28" t="s">
        <v>368</v>
      </c>
      <c r="G13" s="28" t="s">
        <v>349</v>
      </c>
      <c r="H13" s="28">
        <v>63630</v>
      </c>
      <c r="I13" s="28">
        <v>37.984251999999998</v>
      </c>
      <c r="J13" s="28">
        <v>-90.686081000000001</v>
      </c>
      <c r="K13" s="28" t="s">
        <v>369</v>
      </c>
      <c r="L13" s="61">
        <v>110017980443</v>
      </c>
      <c r="M13" s="28" t="s">
        <v>251</v>
      </c>
      <c r="N13" s="28">
        <v>2899</v>
      </c>
      <c r="O13" s="28" t="str">
        <f>IFERROR(VLOOKUP(N13, 'SIC &amp; NAICS Codes'!A:B, 2, FALSE), "")</f>
        <v>Chemicals and Chemical Preparations, NEC (table salt)</v>
      </c>
      <c r="S13" s="28">
        <v>1.62889674892466</v>
      </c>
      <c r="T13" s="315">
        <f>_xlfn.MAXIFS('Raw Period DMR Data'!$O:$O,'Raw Period DMR Data'!$A:$A,'Raw Annual DMR Data_2021-2024'!#REF!,'Raw Period DMR Data'!$C:$C,X13)/S13</f>
        <v>0</v>
      </c>
      <c r="U13" s="28" t="str">
        <f>+IF(COUNTIFS('Raw Period DMR Data'!$A:$A,B13,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3" s="28" t="str" cm="1">
        <f t="array" ref="V13">IFERROR(INDEX('Raw Period DMR Data'!N:N,MATCH(1,(B13='Raw Period DMR Data'!$A:$A)*(U13='Raw Period DMR Data'!M:M)*(X13='Raw Period DMR Data'!C:C),0),1), "N/A")</f>
        <v>N/A</v>
      </c>
      <c r="W13" s="28" t="s">
        <v>1463</v>
      </c>
      <c r="X13" s="28" t="s">
        <v>796</v>
      </c>
      <c r="Y13" s="28" t="s">
        <v>1564</v>
      </c>
      <c r="Z13" s="61" t="s">
        <v>1565</v>
      </c>
      <c r="AA13" s="60"/>
      <c r="AC13" s="28" t="s">
        <v>1466</v>
      </c>
    </row>
    <row r="14" spans="1:29" s="28" customFormat="1" x14ac:dyDescent="0.25">
      <c r="A14" s="61">
        <v>110017980443</v>
      </c>
      <c r="B14" s="28">
        <v>2021</v>
      </c>
      <c r="C14" s="68">
        <f t="shared" si="0"/>
        <v>44197</v>
      </c>
      <c r="D14" s="28" t="s">
        <v>6791</v>
      </c>
      <c r="E14" s="28" t="s">
        <v>367</v>
      </c>
      <c r="F14" s="28" t="s">
        <v>368</v>
      </c>
      <c r="G14" s="28" t="s">
        <v>349</v>
      </c>
      <c r="H14" s="28">
        <v>63630</v>
      </c>
      <c r="I14" s="28">
        <v>37.984251999999998</v>
      </c>
      <c r="J14" s="28">
        <v>-90.686081000000001</v>
      </c>
      <c r="K14" s="28" t="s">
        <v>369</v>
      </c>
      <c r="L14" s="61">
        <v>110017980443</v>
      </c>
      <c r="M14" s="28" t="s">
        <v>251</v>
      </c>
      <c r="N14" s="28">
        <v>2899</v>
      </c>
      <c r="O14" s="28" t="str">
        <f>IFERROR(VLOOKUP(N14, 'SIC &amp; NAICS Codes'!A:B, 2, FALSE), "")</f>
        <v>Chemicals and Chemical Preparations, NEC (table salt)</v>
      </c>
      <c r="S14" s="28">
        <v>3.10034066867E-2</v>
      </c>
      <c r="T14" s="315">
        <f>_xlfn.MAXIFS('Raw Period DMR Data'!$O:$O,'Raw Period DMR Data'!$A:$A,'Raw Annual DMR Data_2021-2024'!#REF!,'Raw Period DMR Data'!$C:$C,X14)/S14</f>
        <v>0</v>
      </c>
      <c r="U14" s="28" t="str">
        <f>+IF(COUNTIFS('Raw Period DMR Data'!$A:$A,B14,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 s="28" t="str" cm="1">
        <f t="array" ref="V14">IFERROR(INDEX('Raw Period DMR Data'!N:N,MATCH(1,(B14='Raw Period DMR Data'!$A:$A)*(U14='Raw Period DMR Data'!M:M)*(X14='Raw Period DMR Data'!C:C),0),1), "N/A")</f>
        <v>N/A</v>
      </c>
      <c r="W14" s="28" t="s">
        <v>1463</v>
      </c>
      <c r="X14" s="28" t="s">
        <v>796</v>
      </c>
      <c r="Y14" s="28" t="s">
        <v>1564</v>
      </c>
      <c r="Z14" s="61">
        <v>7140104001615</v>
      </c>
      <c r="AB14" s="28" t="s">
        <v>7355</v>
      </c>
      <c r="AC14" s="28" t="s">
        <v>1466</v>
      </c>
    </row>
    <row r="15" spans="1:29" s="28" customFormat="1" x14ac:dyDescent="0.25">
      <c r="A15" s="61">
        <v>110017980443</v>
      </c>
      <c r="B15" s="28">
        <v>2022</v>
      </c>
      <c r="C15" s="68">
        <f t="shared" si="0"/>
        <v>44562</v>
      </c>
      <c r="D15" s="28" t="s">
        <v>6791</v>
      </c>
      <c r="E15" s="28" t="s">
        <v>367</v>
      </c>
      <c r="F15" s="28" t="s">
        <v>368</v>
      </c>
      <c r="G15" s="28" t="s">
        <v>349</v>
      </c>
      <c r="H15" s="28">
        <v>63630</v>
      </c>
      <c r="I15" s="28">
        <v>37.984251999999998</v>
      </c>
      <c r="J15" s="28">
        <v>-90.686081000000001</v>
      </c>
      <c r="K15" s="28" t="s">
        <v>369</v>
      </c>
      <c r="L15" s="61">
        <v>110017980443</v>
      </c>
      <c r="M15" s="28" t="s">
        <v>251</v>
      </c>
      <c r="N15" s="28">
        <v>2899</v>
      </c>
      <c r="O15" s="28" t="str">
        <f>IFERROR(VLOOKUP(N15, 'SIC &amp; NAICS Codes'!A:B, 2, FALSE), "")</f>
        <v>Chemicals and Chemical Preparations, NEC (table salt)</v>
      </c>
      <c r="S15" s="28">
        <v>1.6556337991700001E-2</v>
      </c>
      <c r="T15" s="315">
        <f>_xlfn.MAXIFS('Raw Period DMR Data'!$O:$O,'Raw Period DMR Data'!$A:$A,'Raw Annual DMR Data_2021-2024'!#REF!,'Raw Period DMR Data'!$C:$C,X15)/S15</f>
        <v>0</v>
      </c>
      <c r="U15" s="28" t="str">
        <f>+IF(COUNTIFS('Raw Period DMR Data'!$A:$A,B15,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 s="28" t="str" cm="1">
        <f t="array" ref="V15">IFERROR(INDEX('Raw Period DMR Data'!N:N,MATCH(1,(B15='Raw Period DMR Data'!$A:$A)*(U15='Raw Period DMR Data'!M:M)*(X15='Raw Period DMR Data'!C:C),0),1), "N/A")</f>
        <v>N/A</v>
      </c>
      <c r="W15" s="28" t="s">
        <v>1463</v>
      </c>
      <c r="X15" s="28" t="s">
        <v>796</v>
      </c>
      <c r="Y15" s="28" t="s">
        <v>1564</v>
      </c>
      <c r="Z15" s="61">
        <v>7140104001615</v>
      </c>
      <c r="AA15" s="60"/>
      <c r="AB15" s="28" t="s">
        <v>7355</v>
      </c>
      <c r="AC15" s="28" t="s">
        <v>1466</v>
      </c>
    </row>
    <row r="16" spans="1:29" s="28" customFormat="1" x14ac:dyDescent="0.25">
      <c r="A16" s="61">
        <v>110017980443</v>
      </c>
      <c r="B16" s="28">
        <v>2021</v>
      </c>
      <c r="C16" s="68">
        <f t="shared" si="0"/>
        <v>44197</v>
      </c>
      <c r="D16" s="28" t="s">
        <v>6791</v>
      </c>
      <c r="E16" s="28" t="s">
        <v>367</v>
      </c>
      <c r="F16" s="28" t="s">
        <v>368</v>
      </c>
      <c r="G16" s="28" t="s">
        <v>349</v>
      </c>
      <c r="H16" s="28">
        <v>63630</v>
      </c>
      <c r="I16" s="28">
        <v>37.984251999999998</v>
      </c>
      <c r="J16" s="28">
        <v>-90.686081000000001</v>
      </c>
      <c r="K16" s="28" t="s">
        <v>369</v>
      </c>
      <c r="L16" s="61">
        <v>110017980443</v>
      </c>
      <c r="M16" s="28" t="s">
        <v>251</v>
      </c>
      <c r="N16" s="28">
        <v>2899</v>
      </c>
      <c r="O16" s="28" t="str">
        <f>IFERROR(VLOOKUP(N16, 'SIC &amp; NAICS Codes'!A:B, 2, FALSE), "")</f>
        <v>Chemicals and Chemical Preparations, NEC (table salt)</v>
      </c>
      <c r="S16" s="28">
        <v>1.0866138048725001E-2</v>
      </c>
      <c r="T16" s="315">
        <f>_xlfn.MAXIFS('Raw Period DMR Data'!$O:$O,'Raw Period DMR Data'!$A:$A,'Raw Annual DMR Data_2021-2024'!#REF!,'Raw Period DMR Data'!$C:$C,X16)/S16</f>
        <v>0</v>
      </c>
      <c r="U16" s="28" t="str">
        <f>+IF(COUNTIFS('Raw Period DMR Data'!$A:$A,B16,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6" s="28" t="str" cm="1">
        <f t="array" ref="V16">IFERROR(INDEX('Raw Period DMR Data'!N:N,MATCH(1,(B16='Raw Period DMR Data'!$A:$A)*(U16='Raw Period DMR Data'!M:M)*(X16='Raw Period DMR Data'!C:C),0),1), "N/A")</f>
        <v>N/A</v>
      </c>
      <c r="W16" s="28" t="s">
        <v>1463</v>
      </c>
      <c r="X16" s="28" t="s">
        <v>796</v>
      </c>
      <c r="Y16" s="28" t="s">
        <v>1564</v>
      </c>
      <c r="Z16" s="61">
        <v>7140104001615</v>
      </c>
      <c r="AB16" s="28" t="s">
        <v>7355</v>
      </c>
      <c r="AC16" s="28" t="s">
        <v>1466</v>
      </c>
    </row>
    <row r="17" spans="1:29" s="28" customFormat="1" x14ac:dyDescent="0.25">
      <c r="A17" s="61">
        <v>110017980443</v>
      </c>
      <c r="B17" s="28">
        <v>2024</v>
      </c>
      <c r="C17" s="68">
        <f t="shared" si="0"/>
        <v>45292</v>
      </c>
      <c r="D17" s="28" t="s">
        <v>6791</v>
      </c>
      <c r="E17" s="28" t="s">
        <v>367</v>
      </c>
      <c r="F17" s="28" t="s">
        <v>368</v>
      </c>
      <c r="G17" s="28" t="s">
        <v>349</v>
      </c>
      <c r="H17" s="28">
        <v>63630</v>
      </c>
      <c r="I17" s="28">
        <v>37.984251999999998</v>
      </c>
      <c r="J17" s="28">
        <v>-90.686081000000001</v>
      </c>
      <c r="K17" s="28" t="s">
        <v>369</v>
      </c>
      <c r="L17" s="61">
        <v>110017980443</v>
      </c>
      <c r="M17" s="28" t="s">
        <v>251</v>
      </c>
      <c r="N17" s="28">
        <v>2899</v>
      </c>
      <c r="O17" s="28" t="str">
        <f>IFERROR(VLOOKUP(N17, 'SIC &amp; NAICS Codes'!A:B, 2, FALSE), "")</f>
        <v>Chemicals and Chemical Preparations, NEC (table salt)</v>
      </c>
      <c r="S17" s="28">
        <v>9.0135990000000006E-3</v>
      </c>
      <c r="T17" s="315">
        <f>_xlfn.MAXIFS('Raw Period DMR Data'!$O:$O,'Raw Period DMR Data'!$A:$A,'Raw Annual DMR Data_2021-2024'!#REF!,'Raw Period DMR Data'!$C:$C,X17)/S17</f>
        <v>0</v>
      </c>
      <c r="U17" s="28" t="str">
        <f>+IF(COUNTIFS('Raw Period DMR Data'!$A:$A,B17,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 s="28" t="str" cm="1">
        <f t="array" ref="V17">IFERROR(INDEX('Raw Period DMR Data'!N:N,MATCH(1,(B17='Raw Period DMR Data'!$A:$A)*(U17='Raw Period DMR Data'!M:M)*(X17='Raw Period DMR Data'!C:C),0),1), "N/A")</f>
        <v>N/A</v>
      </c>
      <c r="W17" s="28" t="s">
        <v>1463</v>
      </c>
      <c r="X17" s="28" t="s">
        <v>796</v>
      </c>
      <c r="Y17" s="28" t="s">
        <v>1564</v>
      </c>
      <c r="Z17" s="61">
        <v>7140104001615</v>
      </c>
      <c r="AA17" s="60"/>
      <c r="AB17" s="28" t="s">
        <v>7355</v>
      </c>
      <c r="AC17" s="28" t="s">
        <v>1466</v>
      </c>
    </row>
    <row r="18" spans="1:29" s="28" customFormat="1" x14ac:dyDescent="0.25">
      <c r="A18" s="61">
        <v>110017980443</v>
      </c>
      <c r="B18" s="28">
        <v>2022</v>
      </c>
      <c r="C18" s="68">
        <f t="shared" si="0"/>
        <v>44562</v>
      </c>
      <c r="D18" s="28" t="s">
        <v>6791</v>
      </c>
      <c r="E18" s="28" t="s">
        <v>367</v>
      </c>
      <c r="F18" s="28" t="s">
        <v>368</v>
      </c>
      <c r="G18" s="28" t="s">
        <v>349</v>
      </c>
      <c r="H18" s="28">
        <v>63630</v>
      </c>
      <c r="I18" s="28">
        <v>37.984251999999998</v>
      </c>
      <c r="J18" s="28">
        <v>-90.686081000000001</v>
      </c>
      <c r="K18" s="28" t="s">
        <v>369</v>
      </c>
      <c r="L18" s="61">
        <v>110017980443</v>
      </c>
      <c r="M18" s="28" t="s">
        <v>251</v>
      </c>
      <c r="N18" s="28">
        <v>2899</v>
      </c>
      <c r="O18" s="28" t="str">
        <f>IFERROR(VLOOKUP(N18, 'SIC &amp; NAICS Codes'!A:B, 2, FALSE), "")</f>
        <v>Chemicals and Chemical Preparations, NEC (table salt)</v>
      </c>
      <c r="S18" s="28">
        <v>1.7254023938E-3</v>
      </c>
      <c r="T18" s="315">
        <f>_xlfn.MAXIFS('Raw Period DMR Data'!$O:$O,'Raw Period DMR Data'!$A:$A,'Raw Annual DMR Data_2021-2024'!#REF!,'Raw Period DMR Data'!$C:$C,X18)/S18</f>
        <v>0</v>
      </c>
      <c r="U18" s="28" t="str">
        <f>+IF(COUNTIFS('Raw Period DMR Data'!$A:$A,B18,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 s="28" t="str" cm="1">
        <f t="array" ref="V18">IFERROR(INDEX('Raw Period DMR Data'!N:N,MATCH(1,(B18='Raw Period DMR Data'!$A:$A)*(U18='Raw Period DMR Data'!M:M)*(X18='Raw Period DMR Data'!C:C),0),1), "N/A")</f>
        <v>N/A</v>
      </c>
      <c r="W18" s="28" t="s">
        <v>1463</v>
      </c>
      <c r="X18" s="28" t="s">
        <v>796</v>
      </c>
      <c r="Y18" s="28" t="s">
        <v>1564</v>
      </c>
      <c r="Z18" s="61">
        <v>7140104001615</v>
      </c>
      <c r="AA18" s="60"/>
      <c r="AB18" s="28" t="s">
        <v>7355</v>
      </c>
      <c r="AC18" s="28" t="s">
        <v>1466</v>
      </c>
    </row>
    <row r="19" spans="1:29" s="28" customFormat="1" x14ac:dyDescent="0.25">
      <c r="A19" s="61">
        <v>110007970142</v>
      </c>
      <c r="B19" s="28">
        <v>2022</v>
      </c>
      <c r="C19" s="68">
        <f t="shared" si="0"/>
        <v>44562</v>
      </c>
      <c r="D19" s="28" t="s">
        <v>123</v>
      </c>
      <c r="E19" s="28" t="s">
        <v>394</v>
      </c>
      <c r="F19" s="28" t="s">
        <v>6944</v>
      </c>
      <c r="G19" s="28" t="s">
        <v>338</v>
      </c>
      <c r="H19" s="28">
        <v>8069</v>
      </c>
      <c r="I19" s="28">
        <v>39.698279999999997</v>
      </c>
      <c r="J19" s="28">
        <v>-75.503974999999997</v>
      </c>
      <c r="K19" s="28" t="s">
        <v>396</v>
      </c>
      <c r="L19" s="61">
        <v>110007970142</v>
      </c>
      <c r="M19" s="28" t="s">
        <v>251</v>
      </c>
      <c r="N19" s="28">
        <v>2869</v>
      </c>
      <c r="O19" s="28" t="str">
        <f>IFERROR(VLOOKUP(N19, 'SIC &amp; NAICS Codes'!A:B, 2, FALSE), "")</f>
        <v>Industrial Organic Chemicals, NEC (aliphatics)</v>
      </c>
      <c r="S19" s="28">
        <v>11.24</v>
      </c>
      <c r="T19" s="315">
        <f>_xlfn.MAXIFS('Raw Period DMR Data'!$O:$O,'Raw Period DMR Data'!$A:$A,'Raw Annual DMR Data_2021-2024'!B943,'Raw Period DMR Data'!$C:$C,X19)/S19</f>
        <v>0</v>
      </c>
      <c r="U19" s="28" t="str">
        <f>+IF(COUNTIFS('Raw Period DMR Data'!$A:$A,B19, 'Raw Period DMR Data'!C:C,'Raw Annual DMR Data_2021-2024'!X943, 'Raw Period DMR Data'!M:M, "&gt;0")&gt;0,_xlfn.MAXIFS('Raw Period DMR Data'!M:M,'Raw Period DMR Data'!$A:$A,'Raw Annual DMR Data_2021-2024'!B943,'Raw Period DMR Data'!C:C,'Raw Annual DMR Data_2021-2024'!X943), "N/A - Period DMR Data Not Available")</f>
        <v>N/A - Period DMR Data Not Available</v>
      </c>
      <c r="V19" s="28" t="str" cm="1">
        <f t="array" ref="V19">IFERROR(INDEX('Raw Period DMR Data'!N:N,MATCH(1,(B19='Raw Period DMR Data'!$A:$A)*(U19='Raw Period DMR Data'!M:M)*(X19='Raw Period DMR Data'!C:C),0),1), "N/A")</f>
        <v>N/A</v>
      </c>
      <c r="W19" s="28" t="s">
        <v>1463</v>
      </c>
      <c r="X19" s="28" t="s">
        <v>814</v>
      </c>
      <c r="Y19" s="28" t="s">
        <v>783</v>
      </c>
      <c r="Z19" s="61">
        <v>2040206002333</v>
      </c>
      <c r="AA19" s="60"/>
      <c r="AC19" s="28" t="s">
        <v>1466</v>
      </c>
    </row>
    <row r="20" spans="1:29" s="28" customFormat="1" x14ac:dyDescent="0.25">
      <c r="A20" s="61">
        <v>110007970142</v>
      </c>
      <c r="B20" s="28">
        <v>2021</v>
      </c>
      <c r="C20" s="68">
        <f t="shared" si="0"/>
        <v>44197</v>
      </c>
      <c r="D20" s="28" t="s">
        <v>123</v>
      </c>
      <c r="E20" s="28" t="s">
        <v>394</v>
      </c>
      <c r="F20" s="28" t="s">
        <v>6944</v>
      </c>
      <c r="G20" s="28" t="s">
        <v>338</v>
      </c>
      <c r="H20" s="28">
        <v>8069</v>
      </c>
      <c r="I20" s="28">
        <v>39.698279999999997</v>
      </c>
      <c r="J20" s="28">
        <v>-75.503974999999997</v>
      </c>
      <c r="K20" s="28" t="s">
        <v>396</v>
      </c>
      <c r="L20" s="61">
        <v>110007970142</v>
      </c>
      <c r="M20" s="28" t="s">
        <v>251</v>
      </c>
      <c r="N20" s="28">
        <v>2869</v>
      </c>
      <c r="O20" s="28" t="str">
        <f>IFERROR(VLOOKUP(N20, 'SIC &amp; NAICS Codes'!A:B, 2, FALSE), "")</f>
        <v>Industrial Organic Chemicals, NEC (aliphatics)</v>
      </c>
      <c r="S20" s="28">
        <v>9.7825000000000006</v>
      </c>
      <c r="T20" s="315">
        <f>_xlfn.MAXIFS('Raw Period DMR Data'!$O:$O,'Raw Period DMR Data'!$A:$A,'Raw Annual DMR Data_2021-2024'!B950,'Raw Period DMR Data'!$C:$C,X20)/S20</f>
        <v>0</v>
      </c>
      <c r="U20" s="28" t="str">
        <f>+IF(COUNTIFS('Raw Period DMR Data'!$A:$A,B20, 'Raw Period DMR Data'!C:C,'Raw Annual DMR Data_2021-2024'!X950, 'Raw Period DMR Data'!M:M, "&gt;0")&gt;0,_xlfn.MAXIFS('Raw Period DMR Data'!M:M,'Raw Period DMR Data'!$A:$A,'Raw Annual DMR Data_2021-2024'!B950,'Raw Period DMR Data'!C:C,'Raw Annual DMR Data_2021-2024'!X950), "N/A - Period DMR Data Not Available")</f>
        <v>N/A - Period DMR Data Not Available</v>
      </c>
      <c r="V20" s="28" t="str" cm="1">
        <f t="array" ref="V20">IFERROR(INDEX('Raw Period DMR Data'!N:N,MATCH(1,(B20='Raw Period DMR Data'!$A:$A)*(U20='Raw Period DMR Data'!M:M)*(X20='Raw Period DMR Data'!C:C),0),1), "N/A")</f>
        <v>N/A</v>
      </c>
      <c r="W20" s="28" t="s">
        <v>1463</v>
      </c>
      <c r="X20" s="28" t="s">
        <v>814</v>
      </c>
      <c r="Y20" s="28" t="s">
        <v>783</v>
      </c>
      <c r="Z20" s="61">
        <v>2040206002333</v>
      </c>
      <c r="AB20" s="28" t="s">
        <v>7355</v>
      </c>
      <c r="AC20" s="28" t="s">
        <v>1466</v>
      </c>
    </row>
    <row r="21" spans="1:29" s="28" customFormat="1" x14ac:dyDescent="0.25">
      <c r="A21" s="61">
        <v>110007970142</v>
      </c>
      <c r="B21" s="28">
        <v>2024</v>
      </c>
      <c r="C21" s="68">
        <f t="shared" si="0"/>
        <v>45292</v>
      </c>
      <c r="D21" s="28" t="s">
        <v>123</v>
      </c>
      <c r="E21" s="28" t="s">
        <v>394</v>
      </c>
      <c r="F21" s="28" t="s">
        <v>6944</v>
      </c>
      <c r="G21" s="28" t="s">
        <v>338</v>
      </c>
      <c r="H21" s="28">
        <v>8069</v>
      </c>
      <c r="I21" s="28">
        <v>39.698279999999997</v>
      </c>
      <c r="J21" s="28">
        <v>-75.503974999999997</v>
      </c>
      <c r="K21" s="28" t="s">
        <v>396</v>
      </c>
      <c r="L21" s="61">
        <v>110007970142</v>
      </c>
      <c r="M21" s="28" t="s">
        <v>251</v>
      </c>
      <c r="N21" s="28">
        <v>2869</v>
      </c>
      <c r="O21" s="28" t="str">
        <f>IFERROR(VLOOKUP(N21, 'SIC &amp; NAICS Codes'!A:B, 2, FALSE), "")</f>
        <v>Industrial Organic Chemicals, NEC (aliphatics)</v>
      </c>
      <c r="S21" s="28">
        <v>9.5350000000000001</v>
      </c>
      <c r="T21" s="315">
        <f>_xlfn.MAXIFS('Raw Period DMR Data'!$O:$O,'Raw Period DMR Data'!$A:$A,'Raw Annual DMR Data_2021-2024'!B952,'Raw Period DMR Data'!$C:$C,X21)/S21</f>
        <v>0</v>
      </c>
      <c r="U21" s="28" t="str">
        <f>+IF(COUNTIFS('Raw Period DMR Data'!$A:$A,B21, 'Raw Period DMR Data'!C:C,'Raw Annual DMR Data_2021-2024'!X952, 'Raw Period DMR Data'!M:M, "&gt;0")&gt;0,_xlfn.MAXIFS('Raw Period DMR Data'!M:M,'Raw Period DMR Data'!$A:$A,'Raw Annual DMR Data_2021-2024'!B952,'Raw Period DMR Data'!C:C,'Raw Annual DMR Data_2021-2024'!X952), "N/A - Period DMR Data Not Available")</f>
        <v>N/A - Period DMR Data Not Available</v>
      </c>
      <c r="V21" s="28" t="str" cm="1">
        <f t="array" ref="V21">IFERROR(INDEX('Raw Period DMR Data'!N:N,MATCH(1,(B21='Raw Period DMR Data'!$A:$A)*(U21='Raw Period DMR Data'!M:M)*(X21='Raw Period DMR Data'!C:C),0),1), "N/A")</f>
        <v>N/A</v>
      </c>
      <c r="W21" s="28" t="s">
        <v>1463</v>
      </c>
      <c r="X21" s="28" t="s">
        <v>814</v>
      </c>
      <c r="Y21" s="28" t="s">
        <v>783</v>
      </c>
      <c r="Z21" s="61">
        <v>2040206002333</v>
      </c>
      <c r="AA21" s="60"/>
      <c r="AC21" s="28" t="s">
        <v>1466</v>
      </c>
    </row>
    <row r="22" spans="1:29" s="28" customFormat="1" x14ac:dyDescent="0.25">
      <c r="A22" s="61">
        <v>110007970142</v>
      </c>
      <c r="B22" s="28">
        <v>2023</v>
      </c>
      <c r="C22" s="68">
        <f t="shared" si="0"/>
        <v>44927</v>
      </c>
      <c r="D22" s="28" t="s">
        <v>123</v>
      </c>
      <c r="E22" s="28" t="s">
        <v>394</v>
      </c>
      <c r="F22" s="28" t="s">
        <v>6944</v>
      </c>
      <c r="G22" s="28" t="s">
        <v>338</v>
      </c>
      <c r="H22" s="28" t="s">
        <v>7087</v>
      </c>
      <c r="I22" s="28">
        <v>39.698279999999997</v>
      </c>
      <c r="J22" s="28">
        <v>-75.503974999999997</v>
      </c>
      <c r="K22" s="28" t="s">
        <v>396</v>
      </c>
      <c r="L22" s="61">
        <v>110007970142</v>
      </c>
      <c r="M22" s="28" t="s">
        <v>251</v>
      </c>
      <c r="N22" s="28">
        <v>2869</v>
      </c>
      <c r="O22" s="28" t="str">
        <f>IFERROR(VLOOKUP(N22, 'SIC &amp; NAICS Codes'!A:B, 2, FALSE), "")</f>
        <v>Industrial Organic Chemicals, NEC (aliphatics)</v>
      </c>
      <c r="S22" s="28">
        <v>8.5820000000000007</v>
      </c>
      <c r="T22" s="315">
        <f>_xlfn.MAXIFS('Raw Period DMR Data'!$O:$O,'Raw Period DMR Data'!$A:$A,'Raw Annual DMR Data_2021-2024'!B955,'Raw Period DMR Data'!$C:$C,X22)/S22</f>
        <v>0</v>
      </c>
      <c r="U22" s="28" t="str">
        <f>+IF(COUNTIFS('Raw Period DMR Data'!$A:$A,B22, 'Raw Period DMR Data'!C:C,'Raw Annual DMR Data_2021-2024'!X955, 'Raw Period DMR Data'!M:M, "&gt;0")&gt;0,_xlfn.MAXIFS('Raw Period DMR Data'!M:M,'Raw Period DMR Data'!$A:$A,'Raw Annual DMR Data_2021-2024'!B955,'Raw Period DMR Data'!C:C,'Raw Annual DMR Data_2021-2024'!X955), "N/A - Period DMR Data Not Available")</f>
        <v>N/A - Period DMR Data Not Available</v>
      </c>
      <c r="V22" s="28" t="str" cm="1">
        <f t="array" ref="V22">IFERROR(INDEX('Raw Period DMR Data'!N:N,MATCH(1,(B22='Raw Period DMR Data'!$A:$A)*(U22='Raw Period DMR Data'!M:M)*(X22='Raw Period DMR Data'!C:C),0),1), "N/A")</f>
        <v>N/A</v>
      </c>
      <c r="W22" s="28" t="s">
        <v>1463</v>
      </c>
      <c r="X22" s="28" t="s">
        <v>814</v>
      </c>
      <c r="Y22" s="28" t="s">
        <v>783</v>
      </c>
      <c r="Z22" s="61">
        <v>2040206002333</v>
      </c>
      <c r="AA22" s="60"/>
      <c r="AB22" s="28" t="s">
        <v>7355</v>
      </c>
      <c r="AC22" s="28" t="s">
        <v>1466</v>
      </c>
    </row>
    <row r="23" spans="1:29" s="28" customFormat="1" x14ac:dyDescent="0.25">
      <c r="A23" s="61">
        <v>110027360629</v>
      </c>
      <c r="B23" s="28">
        <v>2022</v>
      </c>
      <c r="C23" s="68">
        <f t="shared" si="0"/>
        <v>44562</v>
      </c>
      <c r="D23" s="28" t="s">
        <v>135</v>
      </c>
      <c r="E23" s="28" t="s">
        <v>439</v>
      </c>
      <c r="F23" s="28" t="s">
        <v>426</v>
      </c>
      <c r="G23" s="28" t="s">
        <v>427</v>
      </c>
      <c r="H23" s="28">
        <v>48640</v>
      </c>
      <c r="I23" s="28">
        <v>43.590555999999999</v>
      </c>
      <c r="J23" s="28">
        <v>-84.206943999999993</v>
      </c>
      <c r="L23" s="61">
        <v>110027360629</v>
      </c>
      <c r="M23" s="28" t="s">
        <v>251</v>
      </c>
      <c r="N23" s="28">
        <v>2819</v>
      </c>
      <c r="O23" s="28" t="str">
        <f>IFERROR(VLOOKUP(N23, 'SIC &amp; NAICS Codes'!A:B, 2, FALSE), "")</f>
        <v>Industrial Inorganic Chemicals, NEC (recovering sulfur from natural gas)</v>
      </c>
      <c r="S23" s="28">
        <v>62.107199999999999</v>
      </c>
      <c r="T23" s="315">
        <f>_xlfn.MAXIFS('Raw Period DMR Data'!$O:$O,'Raw Period DMR Data'!$A:$A,'Raw Annual DMR Data_2021-2024'!B882,'Raw Period DMR Data'!$C:$C,X23)/S23</f>
        <v>0</v>
      </c>
      <c r="U23" s="28" t="str">
        <f>+IF(COUNTIFS('Raw Period DMR Data'!$A:$A,B23, 'Raw Period DMR Data'!C:C,'Raw Annual DMR Data_2021-2024'!X882, 'Raw Period DMR Data'!M:M, "&gt;0")&gt;0,_xlfn.MAXIFS('Raw Period DMR Data'!M:M,'Raw Period DMR Data'!$A:$A,'Raw Annual DMR Data_2021-2024'!B882,'Raw Period DMR Data'!C:C,'Raw Annual DMR Data_2021-2024'!X882), "N/A - Period DMR Data Not Available")</f>
        <v>N/A - Period DMR Data Not Available</v>
      </c>
      <c r="V23" s="28" t="str" cm="1">
        <f t="array" ref="V23">IFERROR(INDEX('Raw Period DMR Data'!N:N,MATCH(1,(B23='Raw Period DMR Data'!$A:$A)*(U23='Raw Period DMR Data'!M:M)*(X23='Raw Period DMR Data'!C:C),0),1), "N/A")</f>
        <v>N/A</v>
      </c>
      <c r="W23" s="28" t="s">
        <v>1463</v>
      </c>
      <c r="X23" s="28" t="s">
        <v>835</v>
      </c>
      <c r="Y23" s="28" t="s">
        <v>836</v>
      </c>
      <c r="Z23" s="61">
        <v>4080201000005</v>
      </c>
      <c r="AA23" s="60"/>
      <c r="AC23" s="28" t="s">
        <v>1466</v>
      </c>
    </row>
    <row r="24" spans="1:29" s="28" customFormat="1" x14ac:dyDescent="0.25">
      <c r="A24" s="61">
        <v>110027360629</v>
      </c>
      <c r="B24" s="28">
        <v>2021</v>
      </c>
      <c r="C24" s="68">
        <f t="shared" si="0"/>
        <v>44197</v>
      </c>
      <c r="D24" s="28" t="s">
        <v>135</v>
      </c>
      <c r="E24" s="28" t="s">
        <v>439</v>
      </c>
      <c r="F24" s="28" t="s">
        <v>426</v>
      </c>
      <c r="G24" s="28" t="s">
        <v>427</v>
      </c>
      <c r="H24" s="28">
        <v>48640</v>
      </c>
      <c r="I24" s="28">
        <v>43.590555999999999</v>
      </c>
      <c r="J24" s="28">
        <v>-84.206943999999993</v>
      </c>
      <c r="L24" s="61">
        <v>110027360629</v>
      </c>
      <c r="M24" s="28" t="s">
        <v>251</v>
      </c>
      <c r="N24" s="28">
        <v>2819</v>
      </c>
      <c r="O24" s="28" t="str">
        <f>IFERROR(VLOOKUP(N24, 'SIC &amp; NAICS Codes'!A:B, 2, FALSE), "")</f>
        <v>Industrial Inorganic Chemicals, NEC (recovering sulfur from natural gas)</v>
      </c>
      <c r="S24" s="28">
        <v>43.148159999999997</v>
      </c>
      <c r="T24" s="315">
        <f>_xlfn.MAXIFS('Raw Period DMR Data'!$O:$O,'Raw Period DMR Data'!$A:$A,'Raw Annual DMR Data_2021-2024'!B889,'Raw Period DMR Data'!$C:$C,X24)/S24</f>
        <v>0</v>
      </c>
      <c r="U24" s="28" t="str">
        <f>+IF(COUNTIFS('Raw Period DMR Data'!$A:$A,B24, 'Raw Period DMR Data'!C:C,'Raw Annual DMR Data_2021-2024'!X889, 'Raw Period DMR Data'!M:M, "&gt;0")&gt;0,_xlfn.MAXIFS('Raw Period DMR Data'!M:M,'Raw Period DMR Data'!$A:$A,'Raw Annual DMR Data_2021-2024'!B889,'Raw Period DMR Data'!C:C,'Raw Annual DMR Data_2021-2024'!X889), "N/A - Period DMR Data Not Available")</f>
        <v>N/A - Period DMR Data Not Available</v>
      </c>
      <c r="V24" s="28" t="str" cm="1">
        <f t="array" ref="V24">IFERROR(INDEX('Raw Period DMR Data'!N:N,MATCH(1,(B24='Raw Period DMR Data'!$A:$A)*(U24='Raw Period DMR Data'!M:M)*(X24='Raw Period DMR Data'!C:C),0),1), "N/A")</f>
        <v>N/A</v>
      </c>
      <c r="W24" s="28" t="s">
        <v>1463</v>
      </c>
      <c r="X24" s="28" t="s">
        <v>835</v>
      </c>
      <c r="Y24" s="28" t="s">
        <v>836</v>
      </c>
      <c r="Z24" s="61">
        <v>4080201000005</v>
      </c>
      <c r="AC24" s="28" t="s">
        <v>1466</v>
      </c>
    </row>
    <row r="25" spans="1:29" s="28" customFormat="1" x14ac:dyDescent="0.25">
      <c r="A25" s="61">
        <v>110018925957</v>
      </c>
      <c r="B25" s="28">
        <v>2021</v>
      </c>
      <c r="C25" s="68">
        <f t="shared" si="0"/>
        <v>44197</v>
      </c>
      <c r="D25" s="28" t="s">
        <v>149</v>
      </c>
      <c r="E25" s="28" t="s">
        <v>479</v>
      </c>
      <c r="F25" s="28" t="s">
        <v>480</v>
      </c>
      <c r="G25" s="28" t="s">
        <v>362</v>
      </c>
      <c r="H25" s="28">
        <v>77978</v>
      </c>
      <c r="I25" s="28">
        <v>28.697590000000002</v>
      </c>
      <c r="J25" s="28">
        <v>-96.542101000000002</v>
      </c>
      <c r="K25" s="28" t="s">
        <v>481</v>
      </c>
      <c r="L25" s="61">
        <v>110018925957</v>
      </c>
      <c r="M25" s="28" t="s">
        <v>251</v>
      </c>
      <c r="N25" s="28">
        <v>2821</v>
      </c>
      <c r="O25" s="28" t="str">
        <f>IFERROR(VLOOKUP(N25, 'SIC &amp; NAICS Codes'!A:B, 2, FALSE), "")</f>
        <v>Plastics Materials, Synthetic and Resins, and Nonvulcanizable Elastomers</v>
      </c>
      <c r="S25" s="28">
        <v>147.84209999999999</v>
      </c>
      <c r="T25" s="315">
        <f>_xlfn.MAXIFS('Raw Period DMR Data'!$O:$O,'Raw Period DMR Data'!$A:$A,'Raw Annual DMR Data_2021-2024'!B869,'Raw Period DMR Data'!$C:$C,X25)/S25</f>
        <v>0</v>
      </c>
      <c r="U25" s="28" t="str">
        <f>+IF(COUNTIFS('Raw Period DMR Data'!$A:$A,B25, 'Raw Period DMR Data'!C:C,'Raw Annual DMR Data_2021-2024'!X869, 'Raw Period DMR Data'!M:M, "&gt;0")&gt;0,_xlfn.MAXIFS('Raw Period DMR Data'!M:M,'Raw Period DMR Data'!$A:$A,'Raw Annual DMR Data_2021-2024'!B869,'Raw Period DMR Data'!C:C,'Raw Annual DMR Data_2021-2024'!X869), "N/A - Period DMR Data Not Available")</f>
        <v>N/A - Period DMR Data Not Available</v>
      </c>
      <c r="V25" s="28" t="str" cm="1">
        <f t="array" ref="V25">IFERROR(INDEX('Raw Period DMR Data'!N:N,MATCH(1,(B25='Raw Period DMR Data'!$A:$A)*(U25='Raw Period DMR Data'!M:M)*(X25='Raw Period DMR Data'!C:C),0),1), "N/A")</f>
        <v>N/A</v>
      </c>
      <c r="W25" s="28" t="s">
        <v>1463</v>
      </c>
      <c r="X25" s="28" t="s">
        <v>860</v>
      </c>
      <c r="Y25" s="28" t="s">
        <v>7256</v>
      </c>
      <c r="Z25" s="61">
        <v>12100401000758</v>
      </c>
      <c r="AC25" s="28" t="s">
        <v>1466</v>
      </c>
    </row>
    <row r="26" spans="1:29" s="28" customFormat="1" x14ac:dyDescent="0.25">
      <c r="A26" s="61">
        <v>110018925957</v>
      </c>
      <c r="B26" s="28">
        <v>2021</v>
      </c>
      <c r="C26" s="68">
        <f t="shared" si="0"/>
        <v>44197</v>
      </c>
      <c r="D26" s="28" t="s">
        <v>149</v>
      </c>
      <c r="E26" s="28" t="s">
        <v>479</v>
      </c>
      <c r="F26" s="28" t="s">
        <v>480</v>
      </c>
      <c r="G26" s="28" t="s">
        <v>362</v>
      </c>
      <c r="H26" s="28">
        <v>77978</v>
      </c>
      <c r="I26" s="28">
        <v>28.697590000000002</v>
      </c>
      <c r="J26" s="28">
        <v>-96.542101000000002</v>
      </c>
      <c r="K26" s="28" t="s">
        <v>481</v>
      </c>
      <c r="L26" s="61">
        <v>110018925957</v>
      </c>
      <c r="M26" s="28" t="s">
        <v>251</v>
      </c>
      <c r="N26" s="28">
        <v>2821</v>
      </c>
      <c r="O26" s="28" t="str">
        <f>IFERROR(VLOOKUP(N26, 'SIC &amp; NAICS Codes'!A:B, 2, FALSE), "")</f>
        <v>Plastics Materials, Synthetic and Resins, and Nonvulcanizable Elastomers</v>
      </c>
      <c r="S26" s="28">
        <v>67.0702</v>
      </c>
      <c r="T26" s="315">
        <f>_xlfn.MAXIFS('Raw Period DMR Data'!$O:$O,'Raw Period DMR Data'!$A:$A,'Raw Annual DMR Data_2021-2024'!B879,'Raw Period DMR Data'!$C:$C,X26)/S26</f>
        <v>0</v>
      </c>
      <c r="U26" s="28" t="str">
        <f>+IF(COUNTIFS('Raw Period DMR Data'!$A:$A,B26, 'Raw Period DMR Data'!C:C,'Raw Annual DMR Data_2021-2024'!X879, 'Raw Period DMR Data'!M:M, "&gt;0")&gt;0,_xlfn.MAXIFS('Raw Period DMR Data'!M:M,'Raw Period DMR Data'!$A:$A,'Raw Annual DMR Data_2021-2024'!B879,'Raw Period DMR Data'!C:C,'Raw Annual DMR Data_2021-2024'!X879), "N/A - Period DMR Data Not Available")</f>
        <v>N/A - Period DMR Data Not Available</v>
      </c>
      <c r="V26" s="28" t="str" cm="1">
        <f t="array" ref="V26">IFERROR(INDEX('Raw Period DMR Data'!N:N,MATCH(1,(B26='Raw Period DMR Data'!$A:$A)*(U26='Raw Period DMR Data'!M:M)*(X26='Raw Period DMR Data'!C:C),0),1), "N/A")</f>
        <v>N/A</v>
      </c>
      <c r="W26" s="28" t="s">
        <v>1463</v>
      </c>
      <c r="X26" s="28" t="s">
        <v>860</v>
      </c>
      <c r="Y26" s="28" t="s">
        <v>7256</v>
      </c>
      <c r="Z26" s="61">
        <v>12100401000758</v>
      </c>
      <c r="AA26" s="60"/>
      <c r="AC26" s="28" t="s">
        <v>1466</v>
      </c>
    </row>
    <row r="27" spans="1:29" s="28" customFormat="1" x14ac:dyDescent="0.25">
      <c r="A27" s="61">
        <v>110018925957</v>
      </c>
      <c r="B27" s="28">
        <v>2021</v>
      </c>
      <c r="C27" s="68">
        <f t="shared" si="0"/>
        <v>44197</v>
      </c>
      <c r="D27" s="28" t="s">
        <v>149</v>
      </c>
      <c r="E27" s="28" t="s">
        <v>479</v>
      </c>
      <c r="F27" s="28" t="s">
        <v>480</v>
      </c>
      <c r="G27" s="28" t="s">
        <v>362</v>
      </c>
      <c r="H27" s="28">
        <v>77978</v>
      </c>
      <c r="I27" s="28">
        <v>28.697590000000002</v>
      </c>
      <c r="J27" s="28">
        <v>-96.542101000000002</v>
      </c>
      <c r="K27" s="28" t="s">
        <v>481</v>
      </c>
      <c r="L27" s="61">
        <v>110018925957</v>
      </c>
      <c r="M27" s="28" t="s">
        <v>251</v>
      </c>
      <c r="N27" s="28">
        <v>2821</v>
      </c>
      <c r="O27" s="28" t="str">
        <f>IFERROR(VLOOKUP(N27, 'SIC &amp; NAICS Codes'!A:B, 2, FALSE), "")</f>
        <v>Plastics Materials, Synthetic and Resins, and Nonvulcanizable Elastomers</v>
      </c>
      <c r="S27" s="28">
        <v>40.676133333333297</v>
      </c>
      <c r="T27" s="315">
        <f>_xlfn.MAXIFS('Raw Period DMR Data'!$O:$O,'Raw Period DMR Data'!$A:$A,'Raw Annual DMR Data_2021-2024'!B890,'Raw Period DMR Data'!$C:$C,X27)/S27</f>
        <v>0</v>
      </c>
      <c r="U27" s="28" t="str">
        <f>+IF(COUNTIFS('Raw Period DMR Data'!$A:$A,B27, 'Raw Period DMR Data'!C:C,'Raw Annual DMR Data_2021-2024'!X890, 'Raw Period DMR Data'!M:M, "&gt;0")&gt;0,_xlfn.MAXIFS('Raw Period DMR Data'!M:M,'Raw Period DMR Data'!$A:$A,'Raw Annual DMR Data_2021-2024'!B890,'Raw Period DMR Data'!C:C,'Raw Annual DMR Data_2021-2024'!X890), "N/A - Period DMR Data Not Available")</f>
        <v>N/A - Period DMR Data Not Available</v>
      </c>
      <c r="V27" s="28" t="str" cm="1">
        <f t="array" ref="V27">IFERROR(INDEX('Raw Period DMR Data'!N:N,MATCH(1,(B27='Raw Period DMR Data'!$A:$A)*(U27='Raw Period DMR Data'!M:M)*(X27='Raw Period DMR Data'!C:C),0),1), "N/A")</f>
        <v>N/A</v>
      </c>
      <c r="W27" s="28" t="s">
        <v>1463</v>
      </c>
      <c r="X27" s="28" t="s">
        <v>860</v>
      </c>
      <c r="Y27" s="28" t="s">
        <v>7256</v>
      </c>
      <c r="Z27" s="61">
        <v>12100401000758</v>
      </c>
      <c r="AC27" s="28" t="s">
        <v>1466</v>
      </c>
    </row>
    <row r="28" spans="1:29" s="28" customFormat="1" x14ac:dyDescent="0.25">
      <c r="A28" s="61">
        <v>110018925957</v>
      </c>
      <c r="B28" s="28">
        <v>2021</v>
      </c>
      <c r="C28" s="68">
        <f t="shared" si="0"/>
        <v>44197</v>
      </c>
      <c r="D28" s="28" t="s">
        <v>149</v>
      </c>
      <c r="E28" s="28" t="s">
        <v>479</v>
      </c>
      <c r="F28" s="28" t="s">
        <v>480</v>
      </c>
      <c r="G28" s="28" t="s">
        <v>362</v>
      </c>
      <c r="H28" s="28">
        <v>77978</v>
      </c>
      <c r="I28" s="28">
        <v>28.697590000000002</v>
      </c>
      <c r="J28" s="28">
        <v>-96.542101000000002</v>
      </c>
      <c r="K28" s="28" t="s">
        <v>481</v>
      </c>
      <c r="L28" s="61">
        <v>110018925957</v>
      </c>
      <c r="M28" s="28" t="s">
        <v>251</v>
      </c>
      <c r="N28" s="28">
        <v>2821</v>
      </c>
      <c r="O28" s="28" t="str">
        <f>IFERROR(VLOOKUP(N28, 'SIC &amp; NAICS Codes'!A:B, 2, FALSE), "")</f>
        <v>Plastics Materials, Synthetic and Resins, and Nonvulcanizable Elastomers</v>
      </c>
      <c r="S28" s="28">
        <v>37.06456</v>
      </c>
      <c r="T28" s="315">
        <f>_xlfn.MAXIFS('Raw Period DMR Data'!$O:$O,'Raw Period DMR Data'!$A:$A,'Raw Annual DMR Data_2021-2024'!B892,'Raw Period DMR Data'!$C:$C,X28)/S28</f>
        <v>0</v>
      </c>
      <c r="U28" s="28" t="str">
        <f>+IF(COUNTIFS('Raw Period DMR Data'!$A:$A,B28, 'Raw Period DMR Data'!C:C,'Raw Annual DMR Data_2021-2024'!X892, 'Raw Period DMR Data'!M:M, "&gt;0")&gt;0,_xlfn.MAXIFS('Raw Period DMR Data'!M:M,'Raw Period DMR Data'!$A:$A,'Raw Annual DMR Data_2021-2024'!B892,'Raw Period DMR Data'!C:C,'Raw Annual DMR Data_2021-2024'!X892), "N/A - Period DMR Data Not Available")</f>
        <v>N/A - Period DMR Data Not Available</v>
      </c>
      <c r="V28" s="28" t="str" cm="1">
        <f t="array" ref="V28">IFERROR(INDEX('Raw Period DMR Data'!N:N,MATCH(1,(B28='Raw Period DMR Data'!$A:$A)*(U28='Raw Period DMR Data'!M:M)*(X28='Raw Period DMR Data'!C:C),0),1), "N/A")</f>
        <v>N/A</v>
      </c>
      <c r="W28" s="28" t="s">
        <v>1463</v>
      </c>
      <c r="X28" s="28" t="s">
        <v>860</v>
      </c>
      <c r="Y28" s="28" t="s">
        <v>7256</v>
      </c>
      <c r="Z28" s="61">
        <v>12100401000758</v>
      </c>
      <c r="AC28" s="28" t="s">
        <v>1466</v>
      </c>
    </row>
    <row r="29" spans="1:29" s="28" customFormat="1" x14ac:dyDescent="0.25">
      <c r="A29" s="61">
        <v>110018925957</v>
      </c>
      <c r="B29" s="28">
        <v>2021</v>
      </c>
      <c r="C29" s="68">
        <f t="shared" si="0"/>
        <v>44197</v>
      </c>
      <c r="D29" s="28" t="s">
        <v>149</v>
      </c>
      <c r="E29" s="28" t="s">
        <v>479</v>
      </c>
      <c r="F29" s="28" t="s">
        <v>480</v>
      </c>
      <c r="G29" s="28" t="s">
        <v>362</v>
      </c>
      <c r="H29" s="28">
        <v>77978</v>
      </c>
      <c r="I29" s="28">
        <v>28.697590000000002</v>
      </c>
      <c r="J29" s="28">
        <v>-96.542101000000002</v>
      </c>
      <c r="K29" s="28" t="s">
        <v>481</v>
      </c>
      <c r="L29" s="61">
        <v>110018925957</v>
      </c>
      <c r="M29" s="28" t="s">
        <v>251</v>
      </c>
      <c r="N29" s="28">
        <v>2821</v>
      </c>
      <c r="O29" s="28" t="str">
        <f>IFERROR(VLOOKUP(N29, 'SIC &amp; NAICS Codes'!A:B, 2, FALSE), "")</f>
        <v>Plastics Materials, Synthetic and Resins, and Nonvulcanizable Elastomers</v>
      </c>
      <c r="S29" s="28">
        <v>26.752379999999999</v>
      </c>
      <c r="T29" s="315">
        <f>_xlfn.MAXIFS('Raw Period DMR Data'!$O:$O,'Raw Period DMR Data'!$A:$A,'Raw Annual DMR Data_2021-2024'!B900,'Raw Period DMR Data'!$C:$C,X29)/S29</f>
        <v>0</v>
      </c>
      <c r="U29" s="28" t="str">
        <f>+IF(COUNTIFS('Raw Period DMR Data'!$A:$A,B29, 'Raw Period DMR Data'!C:C,'Raw Annual DMR Data_2021-2024'!X900, 'Raw Period DMR Data'!M:M, "&gt;0")&gt;0,_xlfn.MAXIFS('Raw Period DMR Data'!M:M,'Raw Period DMR Data'!$A:$A,'Raw Annual DMR Data_2021-2024'!B900,'Raw Period DMR Data'!C:C,'Raw Annual DMR Data_2021-2024'!X900), "N/A - Period DMR Data Not Available")</f>
        <v>N/A - Period DMR Data Not Available</v>
      </c>
      <c r="V29" s="28" t="str" cm="1">
        <f t="array" ref="V29">IFERROR(INDEX('Raw Period DMR Data'!N:N,MATCH(1,(B29='Raw Period DMR Data'!$A:$A)*(U29='Raw Period DMR Data'!M:M)*(X29='Raw Period DMR Data'!C:C),0),1), "N/A")</f>
        <v>N/A</v>
      </c>
      <c r="W29" s="28" t="s">
        <v>1463</v>
      </c>
      <c r="X29" s="28" t="s">
        <v>860</v>
      </c>
      <c r="Y29" s="28" t="s">
        <v>7256</v>
      </c>
      <c r="Z29" s="61">
        <v>12100401000758</v>
      </c>
      <c r="AC29" s="28" t="s">
        <v>1466</v>
      </c>
    </row>
    <row r="30" spans="1:29" s="28" customFormat="1" x14ac:dyDescent="0.25">
      <c r="A30" s="61">
        <v>110018925957</v>
      </c>
      <c r="B30" s="28">
        <v>2022</v>
      </c>
      <c r="C30" s="68">
        <f t="shared" si="0"/>
        <v>44562</v>
      </c>
      <c r="D30" s="28" t="s">
        <v>149</v>
      </c>
      <c r="E30" s="28" t="s">
        <v>479</v>
      </c>
      <c r="F30" s="28" t="s">
        <v>480</v>
      </c>
      <c r="G30" s="28" t="s">
        <v>362</v>
      </c>
      <c r="H30" s="28">
        <v>77978</v>
      </c>
      <c r="I30" s="28">
        <v>28.697590000000002</v>
      </c>
      <c r="J30" s="28">
        <v>-96.542101000000002</v>
      </c>
      <c r="K30" s="28" t="s">
        <v>481</v>
      </c>
      <c r="L30" s="61">
        <v>110018925957</v>
      </c>
      <c r="M30" s="28" t="s">
        <v>251</v>
      </c>
      <c r="N30" s="28">
        <v>2821</v>
      </c>
      <c r="O30" s="28" t="str">
        <f>IFERROR(VLOOKUP(N30, 'SIC &amp; NAICS Codes'!A:B, 2, FALSE), "")</f>
        <v>Plastics Materials, Synthetic and Resins, and Nonvulcanizable Elastomers</v>
      </c>
      <c r="S30" s="28">
        <v>15.744719999999999</v>
      </c>
      <c r="T30" s="315">
        <f>_xlfn.MAXIFS('Raw Period DMR Data'!$O:$O,'Raw Period DMR Data'!$A:$A,'Raw Annual DMR Data_2021-2024'!B917,'Raw Period DMR Data'!$C:$C,X30)/S30</f>
        <v>0</v>
      </c>
      <c r="U30" s="28" t="str">
        <f>+IF(COUNTIFS('Raw Period DMR Data'!$A:$A,B30, 'Raw Period DMR Data'!C:C,'Raw Annual DMR Data_2021-2024'!X917, 'Raw Period DMR Data'!M:M, "&gt;0")&gt;0,_xlfn.MAXIFS('Raw Period DMR Data'!M:M,'Raw Period DMR Data'!$A:$A,'Raw Annual DMR Data_2021-2024'!B917,'Raw Period DMR Data'!C:C,'Raw Annual DMR Data_2021-2024'!X917), "N/A - Period DMR Data Not Available")</f>
        <v>N/A - Period DMR Data Not Available</v>
      </c>
      <c r="V30" s="28" t="str" cm="1">
        <f t="array" ref="V30">IFERROR(INDEX('Raw Period DMR Data'!N:N,MATCH(1,(B30='Raw Period DMR Data'!$A:$A)*(U30='Raw Period DMR Data'!M:M)*(X30='Raw Period DMR Data'!C:C),0),1), "N/A")</f>
        <v>N/A</v>
      </c>
      <c r="W30" s="28" t="s">
        <v>1463</v>
      </c>
      <c r="X30" s="28" t="s">
        <v>860</v>
      </c>
      <c r="Y30" s="28" t="s">
        <v>7256</v>
      </c>
      <c r="Z30" s="61">
        <v>12100401000758</v>
      </c>
      <c r="AA30" s="60"/>
      <c r="AC30" s="28" t="s">
        <v>1466</v>
      </c>
    </row>
    <row r="31" spans="1:29" s="28" customFormat="1" x14ac:dyDescent="0.25">
      <c r="A31" s="61">
        <v>110018925957</v>
      </c>
      <c r="B31" s="28">
        <v>2023</v>
      </c>
      <c r="C31" s="68">
        <f t="shared" si="0"/>
        <v>44927</v>
      </c>
      <c r="D31" s="28" t="s">
        <v>149</v>
      </c>
      <c r="E31" s="28" t="s">
        <v>479</v>
      </c>
      <c r="F31" s="28" t="s">
        <v>480</v>
      </c>
      <c r="G31" s="28" t="s">
        <v>362</v>
      </c>
      <c r="H31" s="28">
        <v>77978</v>
      </c>
      <c r="I31" s="28">
        <v>28.697590000000002</v>
      </c>
      <c r="J31" s="28">
        <v>-96.542101000000002</v>
      </c>
      <c r="K31" s="28" t="s">
        <v>481</v>
      </c>
      <c r="L31" s="61">
        <v>110018925957</v>
      </c>
      <c r="M31" s="28" t="s">
        <v>251</v>
      </c>
      <c r="N31" s="28">
        <v>2821</v>
      </c>
      <c r="O31" s="28" t="str">
        <f>IFERROR(VLOOKUP(N31, 'SIC &amp; NAICS Codes'!A:B, 2, FALSE), "")</f>
        <v>Plastics Materials, Synthetic and Resins, and Nonvulcanizable Elastomers</v>
      </c>
      <c r="S31" s="28">
        <v>15.199920000000001</v>
      </c>
      <c r="T31" s="315">
        <f>_xlfn.MAXIFS('Raw Period DMR Data'!$O:$O,'Raw Period DMR Data'!$A:$A,'Raw Annual DMR Data_2021-2024'!B920,'Raw Period DMR Data'!$C:$C,X31)/S31</f>
        <v>0</v>
      </c>
      <c r="U31" s="28" t="str">
        <f>+IF(COUNTIFS('Raw Period DMR Data'!$A:$A,B31, 'Raw Period DMR Data'!C:C,'Raw Annual DMR Data_2021-2024'!X920, 'Raw Period DMR Data'!M:M, "&gt;0")&gt;0,_xlfn.MAXIFS('Raw Period DMR Data'!M:M,'Raw Period DMR Data'!$A:$A,'Raw Annual DMR Data_2021-2024'!B920,'Raw Period DMR Data'!C:C,'Raw Annual DMR Data_2021-2024'!X920), "N/A - Period DMR Data Not Available")</f>
        <v>N/A - Period DMR Data Not Available</v>
      </c>
      <c r="V31" s="28" t="str" cm="1">
        <f t="array" ref="V31">IFERROR(INDEX('Raw Period DMR Data'!N:N,MATCH(1,(B31='Raw Period DMR Data'!$A:$A)*(U31='Raw Period DMR Data'!M:M)*(X31='Raw Period DMR Data'!C:C),0),1), "N/A")</f>
        <v>N/A</v>
      </c>
      <c r="W31" s="28" t="s">
        <v>1463</v>
      </c>
      <c r="X31" s="28" t="s">
        <v>860</v>
      </c>
      <c r="Y31" s="28" t="s">
        <v>7256</v>
      </c>
      <c r="Z31" s="61">
        <v>12100401000758</v>
      </c>
      <c r="AA31" s="60"/>
      <c r="AC31" s="28" t="s">
        <v>1466</v>
      </c>
    </row>
    <row r="32" spans="1:29" s="28" customFormat="1" x14ac:dyDescent="0.25">
      <c r="A32" s="61">
        <v>110018925957</v>
      </c>
      <c r="B32" s="28">
        <v>2024</v>
      </c>
      <c r="C32" s="68">
        <f t="shared" si="0"/>
        <v>45292</v>
      </c>
      <c r="D32" s="28" t="s">
        <v>149</v>
      </c>
      <c r="E32" s="28" t="s">
        <v>479</v>
      </c>
      <c r="F32" s="28" t="s">
        <v>480</v>
      </c>
      <c r="G32" s="28" t="s">
        <v>362</v>
      </c>
      <c r="H32" s="28">
        <v>77978</v>
      </c>
      <c r="I32" s="28">
        <v>28.697590000000002</v>
      </c>
      <c r="J32" s="28">
        <v>-96.542101000000002</v>
      </c>
      <c r="K32" s="28" t="s">
        <v>481</v>
      </c>
      <c r="L32" s="61">
        <v>110018925957</v>
      </c>
      <c r="M32" s="28" t="s">
        <v>251</v>
      </c>
      <c r="N32" s="28">
        <v>2821</v>
      </c>
      <c r="O32" s="28" t="str">
        <f>IFERROR(VLOOKUP(N32, 'SIC &amp; NAICS Codes'!A:B, 2, FALSE), "")</f>
        <v>Plastics Materials, Synthetic and Resins, and Nonvulcanizable Elastomers</v>
      </c>
      <c r="S32" s="28">
        <v>11.02312</v>
      </c>
      <c r="T32" s="315">
        <f>_xlfn.MAXIFS('Raw Period DMR Data'!$O:$O,'Raw Period DMR Data'!$A:$A,'Raw Annual DMR Data_2021-2024'!B945,'Raw Period DMR Data'!$C:$C,X32)/S32</f>
        <v>0</v>
      </c>
      <c r="U32" s="28" t="str">
        <f>+IF(COUNTIFS('Raw Period DMR Data'!$A:$A,B32, 'Raw Period DMR Data'!C:C,'Raw Annual DMR Data_2021-2024'!X945, 'Raw Period DMR Data'!M:M, "&gt;0")&gt;0,_xlfn.MAXIFS('Raw Period DMR Data'!M:M,'Raw Period DMR Data'!$A:$A,'Raw Annual DMR Data_2021-2024'!B945,'Raw Period DMR Data'!C:C,'Raw Annual DMR Data_2021-2024'!X945), "N/A - Period DMR Data Not Available")</f>
        <v>N/A - Period DMR Data Not Available</v>
      </c>
      <c r="V32" s="28" t="str" cm="1">
        <f t="array" ref="V32">IFERROR(INDEX('Raw Period DMR Data'!N:N,MATCH(1,(B32='Raw Period DMR Data'!$A:$A)*(U32='Raw Period DMR Data'!M:M)*(X32='Raw Period DMR Data'!C:C),0),1), "N/A")</f>
        <v>N/A</v>
      </c>
      <c r="W32" s="28" t="s">
        <v>1463</v>
      </c>
      <c r="X32" s="28" t="s">
        <v>860</v>
      </c>
      <c r="Y32" s="28" t="s">
        <v>7256</v>
      </c>
      <c r="Z32" s="61">
        <v>12100401000758</v>
      </c>
      <c r="AA32" s="60"/>
      <c r="AC32" s="28" t="s">
        <v>1466</v>
      </c>
    </row>
    <row r="33" spans="1:29" s="28" customFormat="1" x14ac:dyDescent="0.25">
      <c r="A33" s="61">
        <v>110018925957</v>
      </c>
      <c r="B33" s="28">
        <v>2023</v>
      </c>
      <c r="C33" s="68">
        <f t="shared" si="0"/>
        <v>44927</v>
      </c>
      <c r="D33" s="28" t="s">
        <v>149</v>
      </c>
      <c r="E33" s="28" t="s">
        <v>479</v>
      </c>
      <c r="F33" s="28" t="s">
        <v>480</v>
      </c>
      <c r="G33" s="28" t="s">
        <v>362</v>
      </c>
      <c r="H33" s="28">
        <v>77978</v>
      </c>
      <c r="I33" s="28">
        <v>28.697590000000002</v>
      </c>
      <c r="J33" s="28">
        <v>-96.542101000000002</v>
      </c>
      <c r="K33" s="28" t="s">
        <v>481</v>
      </c>
      <c r="L33" s="61">
        <v>110018925957</v>
      </c>
      <c r="M33" s="28" t="s">
        <v>251</v>
      </c>
      <c r="N33" s="28">
        <v>2821</v>
      </c>
      <c r="O33" s="28" t="str">
        <f>IFERROR(VLOOKUP(N33, 'SIC &amp; NAICS Codes'!A:B, 2, FALSE), "")</f>
        <v>Plastics Materials, Synthetic and Resins, and Nonvulcanizable Elastomers</v>
      </c>
      <c r="S33" s="28">
        <v>3.5200499999999999</v>
      </c>
      <c r="T33" s="315">
        <f>_xlfn.MAXIFS('Raw Period DMR Data'!$O:$O,'Raw Period DMR Data'!$A:$A,'Raw Annual DMR Data_2021-2024'!B1007,'Raw Period DMR Data'!$C:$C,X33)/S33</f>
        <v>0</v>
      </c>
      <c r="U33" s="28" t="str">
        <f>+IF(COUNTIFS('Raw Period DMR Data'!$A:$A,B33, 'Raw Period DMR Data'!C:C,'Raw Annual DMR Data_2021-2024'!X1007, 'Raw Period DMR Data'!M:M, "&gt;0")&gt;0,_xlfn.MAXIFS('Raw Period DMR Data'!M:M,'Raw Period DMR Data'!$A:$A,'Raw Annual DMR Data_2021-2024'!B1007,'Raw Period DMR Data'!C:C,'Raw Annual DMR Data_2021-2024'!X1007), "N/A - Period DMR Data Not Available")</f>
        <v>N/A - Period DMR Data Not Available</v>
      </c>
      <c r="V33" s="28" t="str" cm="1">
        <f t="array" ref="V33">IFERROR(INDEX('Raw Period DMR Data'!N:N,MATCH(1,(B33='Raw Period DMR Data'!$A:$A)*(U33='Raw Period DMR Data'!M:M)*(X33='Raw Period DMR Data'!C:C),0),1), "N/A")</f>
        <v>N/A</v>
      </c>
      <c r="W33" s="28" t="s">
        <v>1463</v>
      </c>
      <c r="X33" s="28" t="s">
        <v>860</v>
      </c>
      <c r="Y33" s="28" t="s">
        <v>7256</v>
      </c>
      <c r="Z33" s="61">
        <v>12100401000758</v>
      </c>
      <c r="AA33" s="60"/>
      <c r="AC33" s="28" t="s">
        <v>1466</v>
      </c>
    </row>
    <row r="34" spans="1:29" s="28" customFormat="1" x14ac:dyDescent="0.25">
      <c r="A34" s="61">
        <v>110000597444</v>
      </c>
      <c r="B34" s="28">
        <v>2024</v>
      </c>
      <c r="C34" s="68">
        <f t="shared" si="0"/>
        <v>45292</v>
      </c>
      <c r="D34" s="28" t="s">
        <v>150</v>
      </c>
      <c r="E34" s="28" t="s">
        <v>482</v>
      </c>
      <c r="F34" s="28" t="s">
        <v>302</v>
      </c>
      <c r="G34" s="28" t="s">
        <v>303</v>
      </c>
      <c r="H34" s="28">
        <v>70805</v>
      </c>
      <c r="I34" s="28">
        <v>30.503836</v>
      </c>
      <c r="J34" s="28">
        <v>-91.186507000000006</v>
      </c>
      <c r="K34" s="28" t="s">
        <v>483</v>
      </c>
      <c r="L34" s="61">
        <v>110000597444</v>
      </c>
      <c r="M34" s="28" t="s">
        <v>251</v>
      </c>
      <c r="N34" s="28">
        <v>2821</v>
      </c>
      <c r="O34" s="28" t="str">
        <f>IFERROR(VLOOKUP(N34, 'SIC &amp; NAICS Codes'!A:B, 2, FALSE), "")</f>
        <v>Plastics Materials, Synthetic and Resins, and Nonvulcanizable Elastomers</v>
      </c>
      <c r="S34" s="28">
        <v>52.269019999999998</v>
      </c>
      <c r="T34" s="315">
        <f>_xlfn.MAXIFS('Raw Period DMR Data'!$O:$O,'Raw Period DMR Data'!$A:$A,'Raw Annual DMR Data_2021-2024'!B886,'Raw Period DMR Data'!$C:$C,X34)/S34</f>
        <v>0</v>
      </c>
      <c r="U34" s="28" t="str">
        <f>+IF(COUNTIFS('Raw Period DMR Data'!$A:$A,B34, 'Raw Period DMR Data'!C:C,'Raw Annual DMR Data_2021-2024'!X886, 'Raw Period DMR Data'!M:M, "&gt;0")&gt;0,_xlfn.MAXIFS('Raw Period DMR Data'!M:M,'Raw Period DMR Data'!$A:$A,'Raw Annual DMR Data_2021-2024'!B886,'Raw Period DMR Data'!C:C,'Raw Annual DMR Data_2021-2024'!X886), "N/A - Period DMR Data Not Available")</f>
        <v>N/A - Period DMR Data Not Available</v>
      </c>
      <c r="V34" s="28" t="str" cm="1">
        <f t="array" ref="V34">IFERROR(INDEX('Raw Period DMR Data'!N:N,MATCH(1,(B34='Raw Period DMR Data'!$A:$A)*(U34='Raw Period DMR Data'!M:M)*(X34='Raw Period DMR Data'!C:C),0),1), "N/A")</f>
        <v>N/A</v>
      </c>
      <c r="W34" s="28" t="s">
        <v>1463</v>
      </c>
      <c r="X34" s="28" t="s">
        <v>862</v>
      </c>
      <c r="Y34" s="28" t="s">
        <v>863</v>
      </c>
      <c r="Z34" s="61">
        <v>8070201006480</v>
      </c>
      <c r="AA34" s="60"/>
      <c r="AC34" s="28" t="s">
        <v>1466</v>
      </c>
    </row>
    <row r="35" spans="1:29" s="28" customFormat="1" x14ac:dyDescent="0.25">
      <c r="A35" s="61">
        <v>110000597444</v>
      </c>
      <c r="B35" s="28">
        <v>2021</v>
      </c>
      <c r="C35" s="68">
        <f t="shared" si="0"/>
        <v>44197</v>
      </c>
      <c r="D35" s="28" t="s">
        <v>150</v>
      </c>
      <c r="E35" s="28" t="s">
        <v>482</v>
      </c>
      <c r="F35" s="28" t="s">
        <v>302</v>
      </c>
      <c r="G35" s="28" t="s">
        <v>303</v>
      </c>
      <c r="H35" s="28">
        <v>70805</v>
      </c>
      <c r="I35" s="28">
        <v>30.503836</v>
      </c>
      <c r="J35" s="28">
        <v>-91.186507000000006</v>
      </c>
      <c r="K35" s="28" t="s">
        <v>483</v>
      </c>
      <c r="L35" s="61">
        <v>110000597444</v>
      </c>
      <c r="M35" s="28" t="s">
        <v>251</v>
      </c>
      <c r="N35" s="28">
        <v>2821</v>
      </c>
      <c r="O35" s="28" t="str">
        <f>IFERROR(VLOOKUP(N35, 'SIC &amp; NAICS Codes'!A:B, 2, FALSE), "")</f>
        <v>Plastics Materials, Synthetic and Resins, and Nonvulcanizable Elastomers</v>
      </c>
      <c r="S35" s="28">
        <v>49.576799999999999</v>
      </c>
      <c r="T35" s="315">
        <f>_xlfn.MAXIFS('Raw Period DMR Data'!$O:$O,'Raw Period DMR Data'!$A:$A,'Raw Annual DMR Data_2021-2024'!B887,'Raw Period DMR Data'!$C:$C,X35)/S35</f>
        <v>0</v>
      </c>
      <c r="U35" s="28" t="str">
        <f>+IF(COUNTIFS('Raw Period DMR Data'!$A:$A,B35, 'Raw Period DMR Data'!C:C,'Raw Annual DMR Data_2021-2024'!X887, 'Raw Period DMR Data'!M:M, "&gt;0")&gt;0,_xlfn.MAXIFS('Raw Period DMR Data'!M:M,'Raw Period DMR Data'!$A:$A,'Raw Annual DMR Data_2021-2024'!B887,'Raw Period DMR Data'!C:C,'Raw Annual DMR Data_2021-2024'!X887), "N/A - Period DMR Data Not Available")</f>
        <v>N/A - Period DMR Data Not Available</v>
      </c>
      <c r="V35" s="28" t="str" cm="1">
        <f t="array" ref="V35">IFERROR(INDEX('Raw Period DMR Data'!N:N,MATCH(1,(B35='Raw Period DMR Data'!$A:$A)*(U35='Raw Period DMR Data'!M:M)*(X35='Raw Period DMR Data'!C:C),0),1), "N/A")</f>
        <v>N/A</v>
      </c>
      <c r="W35" s="28" t="s">
        <v>1463</v>
      </c>
      <c r="X35" s="28" t="s">
        <v>862</v>
      </c>
      <c r="Y35" s="28" t="s">
        <v>863</v>
      </c>
      <c r="Z35" s="61">
        <v>8070201006480</v>
      </c>
      <c r="AA35" s="60"/>
      <c r="AC35" s="28" t="s">
        <v>1466</v>
      </c>
    </row>
    <row r="36" spans="1:29" s="28" customFormat="1" x14ac:dyDescent="0.25">
      <c r="A36" s="61">
        <v>110000597444</v>
      </c>
      <c r="B36" s="28">
        <v>2023</v>
      </c>
      <c r="C36" s="68">
        <f t="shared" si="0"/>
        <v>44927</v>
      </c>
      <c r="D36" s="28" t="s">
        <v>150</v>
      </c>
      <c r="E36" s="28" t="s">
        <v>482</v>
      </c>
      <c r="F36" s="28" t="s">
        <v>302</v>
      </c>
      <c r="G36" s="28" t="s">
        <v>303</v>
      </c>
      <c r="H36" s="28">
        <v>70805</v>
      </c>
      <c r="I36" s="28">
        <v>30.503836</v>
      </c>
      <c r="J36" s="28">
        <v>-91.186507000000006</v>
      </c>
      <c r="K36" s="28" t="s">
        <v>483</v>
      </c>
      <c r="L36" s="61">
        <v>110000597444</v>
      </c>
      <c r="M36" s="28" t="s">
        <v>251</v>
      </c>
      <c r="N36" s="28">
        <v>2821</v>
      </c>
      <c r="O36" s="28" t="str">
        <f>IFERROR(VLOOKUP(N36, 'SIC &amp; NAICS Codes'!A:B, 2, FALSE), "")</f>
        <v>Plastics Materials, Synthetic and Resins, and Nonvulcanizable Elastomers</v>
      </c>
      <c r="S36" s="28">
        <v>15.708399999999999</v>
      </c>
      <c r="T36" s="315">
        <f>_xlfn.MAXIFS('Raw Period DMR Data'!$O:$O,'Raw Period DMR Data'!$A:$A,'Raw Annual DMR Data_2021-2024'!B918,'Raw Period DMR Data'!$C:$C,X36)/S36</f>
        <v>0</v>
      </c>
      <c r="U36" s="28" t="str">
        <f>+IF(COUNTIFS('Raw Period DMR Data'!$A:$A,B36, 'Raw Period DMR Data'!C:C,'Raw Annual DMR Data_2021-2024'!X918, 'Raw Period DMR Data'!M:M, "&gt;0")&gt;0,_xlfn.MAXIFS('Raw Period DMR Data'!M:M,'Raw Period DMR Data'!$A:$A,'Raw Annual DMR Data_2021-2024'!B918,'Raw Period DMR Data'!C:C,'Raw Annual DMR Data_2021-2024'!X918), "N/A - Period DMR Data Not Available")</f>
        <v>N/A - Period DMR Data Not Available</v>
      </c>
      <c r="V36" s="28" t="str" cm="1">
        <f t="array" ref="V36">IFERROR(INDEX('Raw Period DMR Data'!N:N,MATCH(1,(B36='Raw Period DMR Data'!$A:$A)*(U36='Raw Period DMR Data'!M:M)*(X36='Raw Period DMR Data'!C:C),0),1), "N/A")</f>
        <v>N/A</v>
      </c>
      <c r="W36" s="28" t="s">
        <v>1463</v>
      </c>
      <c r="X36" s="28" t="s">
        <v>862</v>
      </c>
      <c r="Y36" s="28" t="s">
        <v>863</v>
      </c>
      <c r="Z36" s="61">
        <v>8070201006480</v>
      </c>
      <c r="AA36" s="60"/>
      <c r="AC36" s="28" t="s">
        <v>1466</v>
      </c>
    </row>
    <row r="37" spans="1:29" s="28" customFormat="1" x14ac:dyDescent="0.25">
      <c r="A37" s="61">
        <v>110000597444</v>
      </c>
      <c r="B37" s="28">
        <v>2022</v>
      </c>
      <c r="C37" s="68">
        <f t="shared" si="0"/>
        <v>44562</v>
      </c>
      <c r="D37" s="28" t="s">
        <v>150</v>
      </c>
      <c r="E37" s="28" t="s">
        <v>482</v>
      </c>
      <c r="F37" s="28" t="s">
        <v>302</v>
      </c>
      <c r="G37" s="28" t="s">
        <v>303</v>
      </c>
      <c r="H37" s="28">
        <v>70805</v>
      </c>
      <c r="I37" s="28">
        <v>30.503836</v>
      </c>
      <c r="J37" s="28">
        <v>-91.186507000000006</v>
      </c>
      <c r="K37" s="28" t="s">
        <v>483</v>
      </c>
      <c r="L37" s="61">
        <v>110000597444</v>
      </c>
      <c r="M37" s="28" t="s">
        <v>251</v>
      </c>
      <c r="N37" s="28">
        <v>2821</v>
      </c>
      <c r="O37" s="28" t="str">
        <f>IFERROR(VLOOKUP(N37, 'SIC &amp; NAICS Codes'!A:B, 2, FALSE), "")</f>
        <v>Plastics Materials, Synthetic and Resins, and Nonvulcanizable Elastomers</v>
      </c>
      <c r="S37" s="28">
        <v>13.36576</v>
      </c>
      <c r="T37" s="315">
        <f>_xlfn.MAXIFS('Raw Period DMR Data'!$O:$O,'Raw Period DMR Data'!$A:$A,'Raw Annual DMR Data_2021-2024'!B927,'Raw Period DMR Data'!$C:$C,X37)/S37</f>
        <v>0</v>
      </c>
      <c r="U37" s="28" t="str">
        <f>+IF(COUNTIFS('Raw Period DMR Data'!$A:$A,B37, 'Raw Period DMR Data'!C:C,'Raw Annual DMR Data_2021-2024'!X927, 'Raw Period DMR Data'!M:M, "&gt;0")&gt;0,_xlfn.MAXIFS('Raw Period DMR Data'!M:M,'Raw Period DMR Data'!$A:$A,'Raw Annual DMR Data_2021-2024'!B927,'Raw Period DMR Data'!C:C,'Raw Annual DMR Data_2021-2024'!X927), "N/A - Period DMR Data Not Available")</f>
        <v>N/A - Period DMR Data Not Available</v>
      </c>
      <c r="V37" s="28" t="str" cm="1">
        <f t="array" ref="V37">IFERROR(INDEX('Raw Period DMR Data'!N:N,MATCH(1,(B37='Raw Period DMR Data'!$A:$A)*(U37='Raw Period DMR Data'!M:M)*(X37='Raw Period DMR Data'!C:C),0),1), "N/A")</f>
        <v>N/A</v>
      </c>
      <c r="W37" s="28" t="s">
        <v>1463</v>
      </c>
      <c r="X37" s="28" t="s">
        <v>862</v>
      </c>
      <c r="Y37" s="28" t="s">
        <v>863</v>
      </c>
      <c r="Z37" s="61">
        <v>8070201006480</v>
      </c>
      <c r="AA37" s="60"/>
      <c r="AC37" s="28" t="s">
        <v>1466</v>
      </c>
    </row>
    <row r="38" spans="1:29" s="28" customFormat="1" x14ac:dyDescent="0.25">
      <c r="A38" s="61">
        <v>110033659878</v>
      </c>
      <c r="B38" s="28">
        <v>2021</v>
      </c>
      <c r="C38" s="68">
        <f t="shared" si="0"/>
        <v>44197</v>
      </c>
      <c r="D38" s="28" t="s">
        <v>160</v>
      </c>
      <c r="E38" s="28" t="s">
        <v>515</v>
      </c>
      <c r="F38" s="28" t="s">
        <v>516</v>
      </c>
      <c r="G38" s="28" t="s">
        <v>303</v>
      </c>
      <c r="H38" s="28" t="s">
        <v>517</v>
      </c>
      <c r="I38" s="28">
        <v>30.221900000000002</v>
      </c>
      <c r="J38" s="28">
        <v>-91.051500000000004</v>
      </c>
      <c r="K38" s="28" t="s">
        <v>518</v>
      </c>
      <c r="L38" s="61">
        <v>110033659878</v>
      </c>
      <c r="M38" s="28" t="s">
        <v>251</v>
      </c>
      <c r="N38" s="28">
        <v>2869</v>
      </c>
      <c r="O38" s="28" t="str">
        <f>IFERROR(VLOOKUP(N38, 'SIC &amp; NAICS Codes'!A:B, 2, FALSE), "")</f>
        <v>Industrial Organic Chemicals, NEC (aliphatics)</v>
      </c>
      <c r="S38" s="28">
        <v>3.9770400000000001</v>
      </c>
      <c r="T38" s="315">
        <f>_xlfn.MAXIFS('Raw Period DMR Data'!$O:$O,'Raw Period DMR Data'!$A:$A,'Raw Annual DMR Data_2021-2024'!B998,'Raw Period DMR Data'!$C:$C,X38)/S38</f>
        <v>0</v>
      </c>
      <c r="U38" s="28" t="str">
        <f>+IF(COUNTIFS('Raw Period DMR Data'!$A:$A,B38, 'Raw Period DMR Data'!C:C,'Raw Annual DMR Data_2021-2024'!X998, 'Raw Period DMR Data'!M:M, "&gt;0")&gt;0,_xlfn.MAXIFS('Raw Period DMR Data'!M:M,'Raw Period DMR Data'!$A:$A,'Raw Annual DMR Data_2021-2024'!B998,'Raw Period DMR Data'!C:C,'Raw Annual DMR Data_2021-2024'!X998), "N/A - Period DMR Data Not Available")</f>
        <v>N/A - Period DMR Data Not Available</v>
      </c>
      <c r="V38" s="28" t="str" cm="1">
        <f t="array" ref="V38">IFERROR(INDEX('Raw Period DMR Data'!N:N,MATCH(1,(B38='Raw Period DMR Data'!$A:$A)*(U38='Raw Period DMR Data'!M:M)*(X38='Raw Period DMR Data'!C:C),0),1), "N/A")</f>
        <v>N/A</v>
      </c>
      <c r="W38" s="28" t="s">
        <v>1463</v>
      </c>
      <c r="X38" s="28" t="s">
        <v>879</v>
      </c>
      <c r="Y38" s="28" t="s">
        <v>880</v>
      </c>
      <c r="Z38" s="61">
        <v>8070202002309</v>
      </c>
      <c r="AA38" s="60"/>
      <c r="AC38" s="28" t="s">
        <v>1466</v>
      </c>
    </row>
    <row r="39" spans="1:29" s="28" customFormat="1" x14ac:dyDescent="0.25">
      <c r="A39" s="61">
        <v>110033659878</v>
      </c>
      <c r="B39" s="28">
        <v>2023</v>
      </c>
      <c r="C39" s="68">
        <f t="shared" si="0"/>
        <v>44927</v>
      </c>
      <c r="D39" s="28" t="s">
        <v>160</v>
      </c>
      <c r="E39" s="28" t="s">
        <v>515</v>
      </c>
      <c r="F39" s="28" t="s">
        <v>516</v>
      </c>
      <c r="G39" s="28" t="s">
        <v>303</v>
      </c>
      <c r="H39" s="28" t="s">
        <v>517</v>
      </c>
      <c r="I39" s="28">
        <v>30.221900000000002</v>
      </c>
      <c r="J39" s="28">
        <v>-91.051500000000004</v>
      </c>
      <c r="K39" s="28" t="s">
        <v>518</v>
      </c>
      <c r="L39" s="61">
        <v>110033659878</v>
      </c>
      <c r="M39" s="28" t="s">
        <v>251</v>
      </c>
      <c r="N39" s="28">
        <v>2869</v>
      </c>
      <c r="O39" s="28" t="str">
        <f>IFERROR(VLOOKUP(N39, 'SIC &amp; NAICS Codes'!A:B, 2, FALSE), "")</f>
        <v>Industrial Organic Chemicals, NEC (aliphatics)</v>
      </c>
      <c r="S39" s="28">
        <v>3.8113299999999999</v>
      </c>
      <c r="T39" s="315">
        <f>_xlfn.MAXIFS('Raw Period DMR Data'!$O:$O,'Raw Period DMR Data'!$A:$A,'Raw Annual DMR Data_2021-2024'!B1000,'Raw Period DMR Data'!$C:$C,X39)/S39</f>
        <v>0</v>
      </c>
      <c r="U39" s="28" t="str">
        <f>+IF(COUNTIFS('Raw Period DMR Data'!$A:$A,B39, 'Raw Period DMR Data'!C:C,'Raw Annual DMR Data_2021-2024'!X1000, 'Raw Period DMR Data'!M:M, "&gt;0")&gt;0,_xlfn.MAXIFS('Raw Period DMR Data'!M:M,'Raw Period DMR Data'!$A:$A,'Raw Annual DMR Data_2021-2024'!B1000,'Raw Period DMR Data'!C:C,'Raw Annual DMR Data_2021-2024'!X1000), "N/A - Period DMR Data Not Available")</f>
        <v>N/A - Period DMR Data Not Available</v>
      </c>
      <c r="V39" s="28" t="str" cm="1">
        <f t="array" ref="V39">IFERROR(INDEX('Raw Period DMR Data'!N:N,MATCH(1,(B39='Raw Period DMR Data'!$A:$A)*(U39='Raw Period DMR Data'!M:M)*(X39='Raw Period DMR Data'!C:C),0),1), "N/A")</f>
        <v>N/A</v>
      </c>
      <c r="W39" s="28" t="s">
        <v>1463</v>
      </c>
      <c r="X39" s="28" t="s">
        <v>879</v>
      </c>
      <c r="Y39" s="28" t="s">
        <v>880</v>
      </c>
      <c r="Z39" s="61" t="s">
        <v>7339</v>
      </c>
      <c r="AA39" s="60"/>
      <c r="AC39" s="28" t="s">
        <v>1466</v>
      </c>
    </row>
    <row r="40" spans="1:29" s="28" customFormat="1" x14ac:dyDescent="0.25">
      <c r="A40" s="61">
        <v>110033659878</v>
      </c>
      <c r="B40" s="28">
        <v>2024</v>
      </c>
      <c r="C40" s="68">
        <f t="shared" si="0"/>
        <v>45292</v>
      </c>
      <c r="D40" s="28" t="s">
        <v>160</v>
      </c>
      <c r="E40" s="28" t="s">
        <v>515</v>
      </c>
      <c r="F40" s="28" t="s">
        <v>516</v>
      </c>
      <c r="G40" s="28" t="s">
        <v>303</v>
      </c>
      <c r="H40" s="28" t="s">
        <v>517</v>
      </c>
      <c r="I40" s="28">
        <v>30.221900000000002</v>
      </c>
      <c r="J40" s="28">
        <v>-91.051500000000004</v>
      </c>
      <c r="K40" s="28" t="s">
        <v>518</v>
      </c>
      <c r="L40" s="61">
        <v>110033659878</v>
      </c>
      <c r="M40" s="28" t="s">
        <v>251</v>
      </c>
      <c r="N40" s="28">
        <v>2869</v>
      </c>
      <c r="O40" s="28" t="str">
        <f>IFERROR(VLOOKUP(N40, 'SIC &amp; NAICS Codes'!A:B, 2, FALSE), "")</f>
        <v>Industrial Organic Chemicals, NEC (aliphatics)</v>
      </c>
      <c r="S40" s="28">
        <v>0.82855000000000001</v>
      </c>
      <c r="T40" s="315">
        <f>_xlfn.MAXIFS('Raw Period DMR Data'!$O:$O,'Raw Period DMR Data'!$A:$A,'Raw Annual DMR Data_2021-2024'!#REF!,'Raw Period DMR Data'!$C:$C,X40)/S40</f>
        <v>0</v>
      </c>
      <c r="U40" s="28" t="str">
        <f>+IF(COUNTIFS('Raw Period DMR Data'!$A:$A,B40,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0" s="28" t="str" cm="1">
        <f t="array" ref="V40">IFERROR(INDEX('Raw Period DMR Data'!N:N,MATCH(1,(B40='Raw Period DMR Data'!$A:$A)*(U40='Raw Period DMR Data'!M:M)*(X40='Raw Period DMR Data'!C:C),0),1), "N/A")</f>
        <v>N/A</v>
      </c>
      <c r="W40" s="28" t="s">
        <v>1463</v>
      </c>
      <c r="X40" s="28" t="s">
        <v>879</v>
      </c>
      <c r="Y40" s="28" t="s">
        <v>880</v>
      </c>
      <c r="Z40" s="61">
        <v>8070202002309</v>
      </c>
      <c r="AA40" s="60"/>
      <c r="AC40" s="28" t="s">
        <v>1466</v>
      </c>
    </row>
    <row r="41" spans="1:29" s="28" customFormat="1" x14ac:dyDescent="0.25">
      <c r="A41" s="61">
        <v>110000748095</v>
      </c>
      <c r="B41" s="28">
        <v>2021</v>
      </c>
      <c r="C41" s="68">
        <f t="shared" si="0"/>
        <v>44197</v>
      </c>
      <c r="D41" s="28" t="s">
        <v>162</v>
      </c>
      <c r="E41" s="28" t="s">
        <v>525</v>
      </c>
      <c r="F41" s="28" t="s">
        <v>526</v>
      </c>
      <c r="G41" s="28" t="s">
        <v>362</v>
      </c>
      <c r="H41" s="28">
        <v>77301</v>
      </c>
      <c r="I41" s="28">
        <v>30.316129</v>
      </c>
      <c r="J41" s="28">
        <v>-95.387682999999996</v>
      </c>
      <c r="K41" s="28" t="s">
        <v>527</v>
      </c>
      <c r="L41" s="61">
        <v>110000748095</v>
      </c>
      <c r="M41" s="28" t="s">
        <v>251</v>
      </c>
      <c r="N41" s="28">
        <v>2869</v>
      </c>
      <c r="O41" s="28" t="str">
        <f>IFERROR(VLOOKUP(N41, 'SIC &amp; NAICS Codes'!A:B, 2, FALSE), "")</f>
        <v>Industrial Organic Chemicals, NEC (aliphatics)</v>
      </c>
      <c r="S41" s="28">
        <v>4.0184674999999999</v>
      </c>
      <c r="T41" s="315">
        <f>_xlfn.MAXIFS('Raw Period DMR Data'!$O:$O,'Raw Period DMR Data'!$A:$A,'Raw Annual DMR Data_2021-2024'!B996,'Raw Period DMR Data'!$C:$C,X41)/S41</f>
        <v>0</v>
      </c>
      <c r="U41" s="28" t="str">
        <f>+IF(COUNTIFS('Raw Period DMR Data'!$A:$A,B41, 'Raw Period DMR Data'!C:C,'Raw Annual DMR Data_2021-2024'!X996, 'Raw Period DMR Data'!M:M, "&gt;0")&gt;0,_xlfn.MAXIFS('Raw Period DMR Data'!M:M,'Raw Period DMR Data'!$A:$A,'Raw Annual DMR Data_2021-2024'!B996,'Raw Period DMR Data'!C:C,'Raw Annual DMR Data_2021-2024'!X996), "N/A - Period DMR Data Not Available")</f>
        <v>N/A - Period DMR Data Not Available</v>
      </c>
      <c r="V41" s="28" t="str" cm="1">
        <f t="array" ref="V41">IFERROR(INDEX('Raw Period DMR Data'!N:N,MATCH(1,(B41='Raw Period DMR Data'!$A:$A)*(U41='Raw Period DMR Data'!M:M)*(X41='Raw Period DMR Data'!C:C),0),1), "N/A")</f>
        <v>N/A</v>
      </c>
      <c r="W41" s="28" t="s">
        <v>1463</v>
      </c>
      <c r="X41" s="28" t="s">
        <v>883</v>
      </c>
      <c r="Y41" s="28" t="s">
        <v>7282</v>
      </c>
      <c r="Z41" s="61">
        <v>12040101000196</v>
      </c>
      <c r="AB41" s="28" t="s">
        <v>7355</v>
      </c>
      <c r="AC41" s="28" t="s">
        <v>1466</v>
      </c>
    </row>
    <row r="42" spans="1:29" s="28" customFormat="1" x14ac:dyDescent="0.25">
      <c r="A42" s="61">
        <v>110000748095</v>
      </c>
      <c r="B42" s="28">
        <v>2021</v>
      </c>
      <c r="C42" s="68">
        <f t="shared" si="0"/>
        <v>44197</v>
      </c>
      <c r="D42" s="28" t="s">
        <v>162</v>
      </c>
      <c r="E42" s="28" t="s">
        <v>525</v>
      </c>
      <c r="F42" s="28" t="s">
        <v>526</v>
      </c>
      <c r="G42" s="28" t="s">
        <v>362</v>
      </c>
      <c r="H42" s="28">
        <v>77301</v>
      </c>
      <c r="I42" s="28">
        <v>30.316129</v>
      </c>
      <c r="J42" s="28">
        <v>-95.387682999999996</v>
      </c>
      <c r="K42" s="28" t="s">
        <v>527</v>
      </c>
      <c r="L42" s="61">
        <v>110000748095</v>
      </c>
      <c r="M42" s="28" t="s">
        <v>251</v>
      </c>
      <c r="N42" s="28">
        <v>2869</v>
      </c>
      <c r="O42" s="28" t="str">
        <f>IFERROR(VLOOKUP(N42, 'SIC &amp; NAICS Codes'!A:B, 2, FALSE), "")</f>
        <v>Industrial Organic Chemicals, NEC (aliphatics)</v>
      </c>
      <c r="S42" s="28">
        <v>1.3836785</v>
      </c>
      <c r="T42" s="315">
        <f>_xlfn.MAXIFS('Raw Period DMR Data'!$O:$O,'Raw Period DMR Data'!$A:$A,'Raw Annual DMR Data_2021-2024'!#REF!,'Raw Period DMR Data'!$C:$C,X42)/S42</f>
        <v>0</v>
      </c>
      <c r="U42" s="28" t="str">
        <f>+IF(COUNTIFS('Raw Period DMR Data'!$A:$A,B42,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2" s="28" t="str" cm="1">
        <f t="array" ref="V42">IFERROR(INDEX('Raw Period DMR Data'!N:N,MATCH(1,(B42='Raw Period DMR Data'!$A:$A)*(U42='Raw Period DMR Data'!M:M)*(X42='Raw Period DMR Data'!C:C),0),1), "N/A")</f>
        <v>N/A</v>
      </c>
      <c r="W42" s="28" t="s">
        <v>1463</v>
      </c>
      <c r="X42" s="28" t="s">
        <v>883</v>
      </c>
      <c r="Y42" s="28" t="s">
        <v>7282</v>
      </c>
      <c r="Z42" s="61">
        <v>12040101000196</v>
      </c>
      <c r="AB42" s="28" t="s">
        <v>7355</v>
      </c>
      <c r="AC42" s="28" t="s">
        <v>1466</v>
      </c>
    </row>
    <row r="43" spans="1:29" s="28" customFormat="1" x14ac:dyDescent="0.25">
      <c r="A43" s="61">
        <v>110000748095</v>
      </c>
      <c r="B43" s="28">
        <v>2022</v>
      </c>
      <c r="C43" s="68">
        <f t="shared" si="0"/>
        <v>44562</v>
      </c>
      <c r="D43" s="28" t="s">
        <v>162</v>
      </c>
      <c r="E43" s="28" t="s">
        <v>525</v>
      </c>
      <c r="F43" s="28" t="s">
        <v>526</v>
      </c>
      <c r="G43" s="28" t="s">
        <v>362</v>
      </c>
      <c r="H43" s="28">
        <v>77301</v>
      </c>
      <c r="I43" s="28">
        <v>30.316129</v>
      </c>
      <c r="J43" s="28">
        <v>-95.387682999999996</v>
      </c>
      <c r="K43" s="28" t="s">
        <v>527</v>
      </c>
      <c r="L43" s="61">
        <v>110000748095</v>
      </c>
      <c r="M43" s="28" t="s">
        <v>251</v>
      </c>
      <c r="N43" s="28">
        <v>2869</v>
      </c>
      <c r="O43" s="28" t="str">
        <f>IFERROR(VLOOKUP(N43, 'SIC &amp; NAICS Codes'!A:B, 2, FALSE), "")</f>
        <v>Industrial Organic Chemicals, NEC (aliphatics)</v>
      </c>
      <c r="S43" s="28">
        <v>0.2071375</v>
      </c>
      <c r="T43" s="315">
        <f>_xlfn.MAXIFS('Raw Period DMR Data'!$O:$O,'Raw Period DMR Data'!$A:$A,'Raw Annual DMR Data_2021-2024'!#REF!,'Raw Period DMR Data'!$C:$C,X43)/S43</f>
        <v>0</v>
      </c>
      <c r="U43" s="28" t="str">
        <f>+IF(COUNTIFS('Raw Period DMR Data'!$A:$A,B43,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3" s="28" t="str" cm="1">
        <f t="array" ref="V43">IFERROR(INDEX('Raw Period DMR Data'!N:N,MATCH(1,(B43='Raw Period DMR Data'!$A:$A)*(U43='Raw Period DMR Data'!M:M)*(X43='Raw Period DMR Data'!C:C),0),1), "N/A")</f>
        <v>N/A</v>
      </c>
      <c r="W43" s="28" t="s">
        <v>1463</v>
      </c>
      <c r="X43" s="28" t="s">
        <v>883</v>
      </c>
      <c r="Y43" s="28" t="s">
        <v>7282</v>
      </c>
      <c r="Z43" s="61">
        <v>12040101000196</v>
      </c>
      <c r="AA43" s="60"/>
      <c r="AB43" s="28" t="s">
        <v>7355</v>
      </c>
      <c r="AC43" s="28" t="s">
        <v>1466</v>
      </c>
    </row>
    <row r="44" spans="1:29" s="28" customFormat="1" x14ac:dyDescent="0.25">
      <c r="A44" s="61">
        <v>110000748095</v>
      </c>
      <c r="B44" s="28">
        <v>2024</v>
      </c>
      <c r="C44" s="68">
        <f t="shared" si="0"/>
        <v>45292</v>
      </c>
      <c r="D44" s="28" t="s">
        <v>162</v>
      </c>
      <c r="E44" s="28" t="s">
        <v>525</v>
      </c>
      <c r="F44" s="28" t="s">
        <v>526</v>
      </c>
      <c r="G44" s="28" t="s">
        <v>362</v>
      </c>
      <c r="H44" s="28">
        <v>77301</v>
      </c>
      <c r="I44" s="28">
        <v>30.316129</v>
      </c>
      <c r="J44" s="28">
        <v>-95.387682999999996</v>
      </c>
      <c r="K44" s="28" t="s">
        <v>527</v>
      </c>
      <c r="L44" s="61">
        <v>110000748095</v>
      </c>
      <c r="M44" s="28" t="s">
        <v>251</v>
      </c>
      <c r="N44" s="28">
        <v>2869</v>
      </c>
      <c r="O44" s="28" t="str">
        <f>IFERROR(VLOOKUP(N44, 'SIC &amp; NAICS Codes'!A:B, 2, FALSE), "")</f>
        <v>Industrial Organic Chemicals, NEC (aliphatics)</v>
      </c>
      <c r="S44" s="28">
        <v>0.126685295</v>
      </c>
      <c r="T44" s="315">
        <f>_xlfn.MAXIFS('Raw Period DMR Data'!$O:$O,'Raw Period DMR Data'!$A:$A,'Raw Annual DMR Data_2021-2024'!#REF!,'Raw Period DMR Data'!$C:$C,X44)/S44</f>
        <v>0</v>
      </c>
      <c r="U44" s="28" t="str">
        <f>+IF(COUNTIFS('Raw Period DMR Data'!$A:$A,B44,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4" s="28" t="str" cm="1">
        <f t="array" ref="V44">IFERROR(INDEX('Raw Period DMR Data'!N:N,MATCH(1,(B44='Raw Period DMR Data'!$A:$A)*(U44='Raw Period DMR Data'!M:M)*(X44='Raw Period DMR Data'!C:C),0),1), "N/A")</f>
        <v>N/A</v>
      </c>
      <c r="W44" s="28" t="s">
        <v>1463</v>
      </c>
      <c r="X44" s="28" t="s">
        <v>883</v>
      </c>
      <c r="Y44" s="28" t="s">
        <v>7282</v>
      </c>
      <c r="Z44" s="61">
        <v>12040101000196</v>
      </c>
      <c r="AA44" s="60"/>
      <c r="AB44" s="28" t="s">
        <v>7355</v>
      </c>
      <c r="AC44" s="28" t="s">
        <v>1466</v>
      </c>
    </row>
    <row r="45" spans="1:29" s="28" customFormat="1" x14ac:dyDescent="0.25">
      <c r="A45" s="61">
        <v>110000607772</v>
      </c>
      <c r="B45" s="28">
        <v>2022</v>
      </c>
      <c r="C45" s="68">
        <f t="shared" si="0"/>
        <v>44562</v>
      </c>
      <c r="D45" s="28" t="s">
        <v>6836</v>
      </c>
      <c r="E45" s="28" t="s">
        <v>528</v>
      </c>
      <c r="F45" s="28" t="s">
        <v>529</v>
      </c>
      <c r="G45" s="28" t="s">
        <v>311</v>
      </c>
      <c r="H45" s="28">
        <v>25515</v>
      </c>
      <c r="I45" s="28">
        <v>38.772219999999997</v>
      </c>
      <c r="J45" s="28">
        <v>-82.205560000000006</v>
      </c>
      <c r="K45" s="28" t="s">
        <v>531</v>
      </c>
      <c r="L45" s="61">
        <v>110000607772</v>
      </c>
      <c r="M45" s="28" t="s">
        <v>251</v>
      </c>
      <c r="N45" s="28">
        <v>2869</v>
      </c>
      <c r="O45" s="28" t="str">
        <f>IFERROR(VLOOKUP(N45, 'SIC &amp; NAICS Codes'!A:B, 2, FALSE), "")</f>
        <v>Industrial Organic Chemicals, NEC (aliphatics)</v>
      </c>
      <c r="S45" s="28">
        <v>0.41716114285714201</v>
      </c>
      <c r="T45" s="315">
        <f>_xlfn.MAXIFS('Raw Period DMR Data'!$O:$O,'Raw Period DMR Data'!$A:$A,'Raw Annual DMR Data_2021-2024'!#REF!,'Raw Period DMR Data'!$C:$C,X45)/S45</f>
        <v>0</v>
      </c>
      <c r="U45" s="28" t="str">
        <f>+IF(COUNTIFS('Raw Period DMR Data'!$A:$A,B45,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5" s="28" t="str" cm="1">
        <f t="array" ref="V45">IFERROR(INDEX('Raw Period DMR Data'!N:N,MATCH(1,(B45='Raw Period DMR Data'!$A:$A)*(U45='Raw Period DMR Data'!M:M)*(X45='Raw Period DMR Data'!C:C),0),1), "N/A")</f>
        <v>N/A</v>
      </c>
      <c r="W45" s="28" t="s">
        <v>1463</v>
      </c>
      <c r="X45" s="28" t="s">
        <v>885</v>
      </c>
      <c r="Y45" s="28" t="s">
        <v>830</v>
      </c>
      <c r="Z45" s="61">
        <v>5090101001861</v>
      </c>
      <c r="AA45" s="60"/>
      <c r="AC45" s="28" t="s">
        <v>1466</v>
      </c>
    </row>
    <row r="46" spans="1:29" s="28" customFormat="1" x14ac:dyDescent="0.25">
      <c r="A46" s="61">
        <v>110000607772</v>
      </c>
      <c r="B46" s="28">
        <v>2021</v>
      </c>
      <c r="C46" s="68">
        <f t="shared" si="0"/>
        <v>44197</v>
      </c>
      <c r="D46" s="28" t="s">
        <v>6836</v>
      </c>
      <c r="E46" s="28" t="s">
        <v>528</v>
      </c>
      <c r="F46" s="28" t="s">
        <v>529</v>
      </c>
      <c r="G46" s="28" t="s">
        <v>311</v>
      </c>
      <c r="H46" s="28">
        <v>25515</v>
      </c>
      <c r="I46" s="28">
        <v>38.772219999999997</v>
      </c>
      <c r="J46" s="28">
        <v>-82.205560000000006</v>
      </c>
      <c r="K46" s="28" t="s">
        <v>531</v>
      </c>
      <c r="L46" s="61">
        <v>110000607772</v>
      </c>
      <c r="M46" s="28" t="s">
        <v>251</v>
      </c>
      <c r="N46" s="28">
        <v>2869</v>
      </c>
      <c r="O46" s="28" t="str">
        <f>IFERROR(VLOOKUP(N46, 'SIC &amp; NAICS Codes'!A:B, 2, FALSE), "")</f>
        <v>Industrial Organic Chemicals, NEC (aliphatics)</v>
      </c>
      <c r="S46" s="28">
        <v>0.17068130000000001</v>
      </c>
      <c r="T46" s="315">
        <f>_xlfn.MAXIFS('Raw Period DMR Data'!$O:$O,'Raw Period DMR Data'!$A:$A,'Raw Annual DMR Data_2021-2024'!#REF!,'Raw Period DMR Data'!$C:$C,X46)/S46</f>
        <v>0</v>
      </c>
      <c r="U46" s="28" t="str">
        <f>+IF(COUNTIFS('Raw Period DMR Data'!$A:$A,B46,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6" s="28" t="str" cm="1">
        <f t="array" ref="V46">IFERROR(INDEX('Raw Period DMR Data'!N:N,MATCH(1,(B46='Raw Period DMR Data'!$A:$A)*(U46='Raw Period DMR Data'!M:M)*(X46='Raw Period DMR Data'!C:C),0),1), "N/A")</f>
        <v>N/A</v>
      </c>
      <c r="W46" s="28" t="s">
        <v>1463</v>
      </c>
      <c r="X46" s="28" t="s">
        <v>885</v>
      </c>
      <c r="Y46" s="28" t="s">
        <v>830</v>
      </c>
      <c r="Z46" s="61">
        <v>5090101001861</v>
      </c>
      <c r="AC46" s="28" t="s">
        <v>1466</v>
      </c>
    </row>
    <row r="47" spans="1:29" s="28" customFormat="1" x14ac:dyDescent="0.25">
      <c r="A47" s="61">
        <v>110000599479</v>
      </c>
      <c r="B47" s="28">
        <v>2021</v>
      </c>
      <c r="C47" s="68">
        <f t="shared" si="0"/>
        <v>44197</v>
      </c>
      <c r="D47" s="28" t="s">
        <v>166</v>
      </c>
      <c r="E47" s="28" t="s">
        <v>537</v>
      </c>
      <c r="F47" s="28" t="s">
        <v>538</v>
      </c>
      <c r="G47" s="28" t="s">
        <v>362</v>
      </c>
      <c r="H47" s="28">
        <v>77578</v>
      </c>
      <c r="I47" s="28">
        <v>29.458400000000001</v>
      </c>
      <c r="J47" s="28">
        <v>-95.330399999999997</v>
      </c>
      <c r="K47" s="28" t="s">
        <v>539</v>
      </c>
      <c r="L47" s="61">
        <v>110000599479</v>
      </c>
      <c r="M47" s="28" t="s">
        <v>251</v>
      </c>
      <c r="N47" s="28">
        <v>2869</v>
      </c>
      <c r="O47" s="28" t="str">
        <f>IFERROR(VLOOKUP(N47, 'SIC &amp; NAICS Codes'!A:B, 2, FALSE), "")</f>
        <v>Industrial Organic Chemicals, NEC (aliphatics)</v>
      </c>
      <c r="S47" s="28">
        <v>1.4913900000000001E-2</v>
      </c>
      <c r="T47" s="315">
        <f>_xlfn.MAXIFS('Raw Period DMR Data'!$O:$O,'Raw Period DMR Data'!$A:$A,'Raw Annual DMR Data_2021-2024'!#REF!,'Raw Period DMR Data'!$C:$C,X47)/S47</f>
        <v>0</v>
      </c>
      <c r="U47" s="28" t="str">
        <f>+IF(COUNTIFS('Raw Period DMR Data'!$A:$A,B47,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7" s="28" t="str" cm="1">
        <f t="array" ref="V47">IFERROR(INDEX('Raw Period DMR Data'!N:N,MATCH(1,(B47='Raw Period DMR Data'!$A:$A)*(U47='Raw Period DMR Data'!M:M)*(X47='Raw Period DMR Data'!C:C),0),1), "N/A")</f>
        <v>N/A</v>
      </c>
      <c r="W47" s="28" t="s">
        <v>1463</v>
      </c>
      <c r="X47" s="28" t="s">
        <v>890</v>
      </c>
      <c r="Y47" s="28" t="s">
        <v>891</v>
      </c>
      <c r="Z47" s="61">
        <v>12040204000953</v>
      </c>
      <c r="AC47" s="28" t="s">
        <v>1466</v>
      </c>
    </row>
    <row r="48" spans="1:29" s="28" customFormat="1" x14ac:dyDescent="0.25">
      <c r="A48" s="61">
        <v>110000599479</v>
      </c>
      <c r="B48" s="28">
        <v>2021</v>
      </c>
      <c r="C48" s="68">
        <f t="shared" si="0"/>
        <v>44197</v>
      </c>
      <c r="D48" s="28" t="s">
        <v>166</v>
      </c>
      <c r="E48" s="28" t="s">
        <v>537</v>
      </c>
      <c r="F48" s="28" t="s">
        <v>538</v>
      </c>
      <c r="G48" s="28" t="s">
        <v>362</v>
      </c>
      <c r="H48" s="28">
        <v>77578</v>
      </c>
      <c r="I48" s="28">
        <v>29.458400000000001</v>
      </c>
      <c r="J48" s="28">
        <v>-95.330399999999997</v>
      </c>
      <c r="K48" s="28" t="s">
        <v>539</v>
      </c>
      <c r="L48" s="61">
        <v>110000599479</v>
      </c>
      <c r="M48" s="28" t="s">
        <v>251</v>
      </c>
      <c r="N48" s="28">
        <v>2869</v>
      </c>
      <c r="O48" s="28" t="str">
        <f>IFERROR(VLOOKUP(N48, 'SIC &amp; NAICS Codes'!A:B, 2, FALSE), "")</f>
        <v>Industrial Organic Chemicals, NEC (aliphatics)</v>
      </c>
      <c r="S48" s="28">
        <v>1.4913900000000001E-2</v>
      </c>
      <c r="T48" s="315">
        <f>_xlfn.MAXIFS('Raw Period DMR Data'!$O:$O,'Raw Period DMR Data'!$A:$A,'Raw Annual DMR Data_2021-2024'!#REF!,'Raw Period DMR Data'!$C:$C,X48)/S48</f>
        <v>0</v>
      </c>
      <c r="U48" s="28" t="str">
        <f>+IF(COUNTIFS('Raw Period DMR Data'!$A:$A,B48,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8" s="28" t="str" cm="1">
        <f t="array" ref="V48">IFERROR(INDEX('Raw Period DMR Data'!N:N,MATCH(1,(B48='Raw Period DMR Data'!$A:$A)*(U48='Raw Period DMR Data'!M:M)*(X48='Raw Period DMR Data'!C:C),0),1), "N/A")</f>
        <v>N/A</v>
      </c>
      <c r="W48" s="28" t="s">
        <v>1463</v>
      </c>
      <c r="X48" s="28" t="s">
        <v>890</v>
      </c>
      <c r="Y48" s="28" t="s">
        <v>891</v>
      </c>
      <c r="Z48" s="61">
        <v>12040204000953</v>
      </c>
      <c r="AC48" s="28" t="s">
        <v>1466</v>
      </c>
    </row>
    <row r="49" spans="1:29" s="28" customFormat="1" x14ac:dyDescent="0.25">
      <c r="A49" s="61">
        <v>110000599479</v>
      </c>
      <c r="B49" s="28">
        <v>2022</v>
      </c>
      <c r="C49" s="68">
        <f t="shared" si="0"/>
        <v>44562</v>
      </c>
      <c r="D49" s="28" t="s">
        <v>166</v>
      </c>
      <c r="E49" s="28" t="s">
        <v>537</v>
      </c>
      <c r="F49" s="28" t="s">
        <v>538</v>
      </c>
      <c r="G49" s="28" t="s">
        <v>362</v>
      </c>
      <c r="H49" s="28">
        <v>77578</v>
      </c>
      <c r="I49" s="28">
        <v>29.458400000000001</v>
      </c>
      <c r="J49" s="28">
        <v>-95.330399999999997</v>
      </c>
      <c r="K49" s="28" t="s">
        <v>539</v>
      </c>
      <c r="L49" s="61">
        <v>110000599479</v>
      </c>
      <c r="M49" s="28" t="s">
        <v>251</v>
      </c>
      <c r="N49" s="28">
        <v>2869</v>
      </c>
      <c r="O49" s="28" t="str">
        <f>IFERROR(VLOOKUP(N49, 'SIC &amp; NAICS Codes'!A:B, 2, FALSE), "")</f>
        <v>Industrial Organic Chemicals, NEC (aliphatics)</v>
      </c>
      <c r="S49" s="28">
        <v>1.4913900000000001E-2</v>
      </c>
      <c r="T49" s="315">
        <f>_xlfn.MAXIFS('Raw Period DMR Data'!$O:$O,'Raw Period DMR Data'!$A:$A,'Raw Annual DMR Data_2021-2024'!#REF!,'Raw Period DMR Data'!$C:$C,X49)/S49</f>
        <v>0</v>
      </c>
      <c r="U49" s="28" t="str">
        <f>+IF(COUNTIFS('Raw Period DMR Data'!$A:$A,B49,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9" s="28" t="str" cm="1">
        <f t="array" ref="V49">IFERROR(INDEX('Raw Period DMR Data'!N:N,MATCH(1,(B49='Raw Period DMR Data'!$A:$A)*(U49='Raw Period DMR Data'!M:M)*(X49='Raw Period DMR Data'!C:C),0),1), "N/A")</f>
        <v>N/A</v>
      </c>
      <c r="W49" s="28" t="s">
        <v>1463</v>
      </c>
      <c r="X49" s="28" t="s">
        <v>890</v>
      </c>
      <c r="Y49" s="28" t="s">
        <v>891</v>
      </c>
      <c r="Z49" s="61">
        <v>12040204000953</v>
      </c>
      <c r="AA49" s="60"/>
      <c r="AC49" s="28" t="s">
        <v>1466</v>
      </c>
    </row>
    <row r="50" spans="1:29" s="28" customFormat="1" x14ac:dyDescent="0.25">
      <c r="A50" s="61">
        <v>110000599479</v>
      </c>
      <c r="B50" s="28">
        <v>2022</v>
      </c>
      <c r="C50" s="68">
        <f t="shared" si="0"/>
        <v>44562</v>
      </c>
      <c r="D50" s="28" t="s">
        <v>166</v>
      </c>
      <c r="E50" s="28" t="s">
        <v>537</v>
      </c>
      <c r="F50" s="28" t="s">
        <v>538</v>
      </c>
      <c r="G50" s="28" t="s">
        <v>362</v>
      </c>
      <c r="H50" s="28">
        <v>77578</v>
      </c>
      <c r="I50" s="28">
        <v>29.458400000000001</v>
      </c>
      <c r="J50" s="28">
        <v>-95.330399999999997</v>
      </c>
      <c r="K50" s="28" t="s">
        <v>539</v>
      </c>
      <c r="L50" s="61">
        <v>110000599479</v>
      </c>
      <c r="M50" s="28" t="s">
        <v>251</v>
      </c>
      <c r="N50" s="28">
        <v>2869</v>
      </c>
      <c r="O50" s="28" t="str">
        <f>IFERROR(VLOOKUP(N50, 'SIC &amp; NAICS Codes'!A:B, 2, FALSE), "")</f>
        <v>Industrial Organic Chemicals, NEC (aliphatics)</v>
      </c>
      <c r="S50" s="28">
        <v>1.4913900000000001E-2</v>
      </c>
      <c r="T50" s="315">
        <f>_xlfn.MAXIFS('Raw Period DMR Data'!$O:$O,'Raw Period DMR Data'!$A:$A,'Raw Annual DMR Data_2021-2024'!#REF!,'Raw Period DMR Data'!$C:$C,X50)/S50</f>
        <v>0</v>
      </c>
      <c r="U50" s="28" t="str">
        <f>+IF(COUNTIFS('Raw Period DMR Data'!$A:$A,B50,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0" s="28" t="str" cm="1">
        <f t="array" ref="V50">IFERROR(INDEX('Raw Period DMR Data'!N:N,MATCH(1,(B50='Raw Period DMR Data'!$A:$A)*(U50='Raw Period DMR Data'!M:M)*(X50='Raw Period DMR Data'!C:C),0),1), "N/A")</f>
        <v>N/A</v>
      </c>
      <c r="W50" s="28" t="s">
        <v>1463</v>
      </c>
      <c r="X50" s="28" t="s">
        <v>890</v>
      </c>
      <c r="Y50" s="28" t="s">
        <v>891</v>
      </c>
      <c r="Z50" s="61">
        <v>12040204000953</v>
      </c>
      <c r="AA50" s="60"/>
      <c r="AC50" s="28" t="s">
        <v>1466</v>
      </c>
    </row>
    <row r="51" spans="1:29" s="28" customFormat="1" x14ac:dyDescent="0.25">
      <c r="A51" s="61">
        <v>110000599479</v>
      </c>
      <c r="B51" s="28">
        <v>2023</v>
      </c>
      <c r="C51" s="68">
        <f t="shared" si="0"/>
        <v>44927</v>
      </c>
      <c r="D51" s="28" t="s">
        <v>166</v>
      </c>
      <c r="E51" s="28" t="s">
        <v>537</v>
      </c>
      <c r="F51" s="28" t="s">
        <v>538</v>
      </c>
      <c r="G51" s="28" t="s">
        <v>362</v>
      </c>
      <c r="H51" s="28">
        <v>77578</v>
      </c>
      <c r="I51" s="28">
        <v>29.458400000000001</v>
      </c>
      <c r="J51" s="28">
        <v>-95.330399999999997</v>
      </c>
      <c r="K51" s="28" t="s">
        <v>539</v>
      </c>
      <c r="L51" s="61">
        <v>110000599479</v>
      </c>
      <c r="M51" s="28" t="s">
        <v>251</v>
      </c>
      <c r="N51" s="28">
        <v>2869</v>
      </c>
      <c r="O51" s="28" t="str">
        <f>IFERROR(VLOOKUP(N51, 'SIC &amp; NAICS Codes'!A:B, 2, FALSE), "")</f>
        <v>Industrial Organic Chemicals, NEC (aliphatics)</v>
      </c>
      <c r="S51" s="28">
        <v>1.4913900000000001E-2</v>
      </c>
      <c r="T51" s="315">
        <f>_xlfn.MAXIFS('Raw Period DMR Data'!$O:$O,'Raw Period DMR Data'!$A:$A,'Raw Annual DMR Data_2021-2024'!#REF!,'Raw Period DMR Data'!$C:$C,X51)/S51</f>
        <v>0</v>
      </c>
      <c r="U51" s="28" t="str">
        <f>+IF(COUNTIFS('Raw Period DMR Data'!$A:$A,B51,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1" s="28" t="str" cm="1">
        <f t="array" ref="V51">IFERROR(INDEX('Raw Period DMR Data'!N:N,MATCH(1,(B51='Raw Period DMR Data'!$A:$A)*(U51='Raw Period DMR Data'!M:M)*(X51='Raw Period DMR Data'!C:C),0),1), "N/A")</f>
        <v>N/A</v>
      </c>
      <c r="W51" s="28" t="s">
        <v>1463</v>
      </c>
      <c r="X51" s="28" t="s">
        <v>890</v>
      </c>
      <c r="Y51" s="28" t="s">
        <v>891</v>
      </c>
      <c r="Z51" s="61">
        <v>12040204000953</v>
      </c>
      <c r="AA51" s="60"/>
      <c r="AC51" s="28" t="s">
        <v>1466</v>
      </c>
    </row>
    <row r="52" spans="1:29" s="28" customFormat="1" x14ac:dyDescent="0.25">
      <c r="A52" s="61">
        <v>110000599479</v>
      </c>
      <c r="B52" s="28">
        <v>2023</v>
      </c>
      <c r="C52" s="68">
        <f t="shared" si="0"/>
        <v>44927</v>
      </c>
      <c r="D52" s="28" t="s">
        <v>166</v>
      </c>
      <c r="E52" s="28" t="s">
        <v>537</v>
      </c>
      <c r="F52" s="28" t="s">
        <v>538</v>
      </c>
      <c r="G52" s="28" t="s">
        <v>362</v>
      </c>
      <c r="H52" s="28">
        <v>77578</v>
      </c>
      <c r="I52" s="28">
        <v>29.458400000000001</v>
      </c>
      <c r="J52" s="28">
        <v>-95.330399999999997</v>
      </c>
      <c r="K52" s="28" t="s">
        <v>539</v>
      </c>
      <c r="L52" s="61">
        <v>110000599479</v>
      </c>
      <c r="M52" s="28" t="s">
        <v>251</v>
      </c>
      <c r="N52" s="28">
        <v>2869</v>
      </c>
      <c r="O52" s="28" t="str">
        <f>IFERROR(VLOOKUP(N52, 'SIC &amp; NAICS Codes'!A:B, 2, FALSE), "")</f>
        <v>Industrial Organic Chemicals, NEC (aliphatics)</v>
      </c>
      <c r="S52" s="28">
        <v>1.4913900000000001E-2</v>
      </c>
      <c r="T52" s="315">
        <f>_xlfn.MAXIFS('Raw Period DMR Data'!$O:$O,'Raw Period DMR Data'!$A:$A,'Raw Annual DMR Data_2021-2024'!#REF!,'Raw Period DMR Data'!$C:$C,X52)/S52</f>
        <v>0</v>
      </c>
      <c r="U52" s="28" t="str">
        <f>+IF(COUNTIFS('Raw Period DMR Data'!$A:$A,B52,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2" s="28" t="str" cm="1">
        <f t="array" ref="V52">IFERROR(INDEX('Raw Period DMR Data'!N:N,MATCH(1,(B52='Raw Period DMR Data'!$A:$A)*(U52='Raw Period DMR Data'!M:M)*(X52='Raw Period DMR Data'!C:C),0),1), "N/A")</f>
        <v>N/A</v>
      </c>
      <c r="W52" s="28" t="s">
        <v>1463</v>
      </c>
      <c r="X52" s="28" t="s">
        <v>890</v>
      </c>
      <c r="Y52" s="28" t="s">
        <v>891</v>
      </c>
      <c r="Z52" s="61">
        <v>12040204000953</v>
      </c>
      <c r="AA52" s="60"/>
      <c r="AC52" s="28" t="s">
        <v>1466</v>
      </c>
    </row>
    <row r="53" spans="1:29" s="28" customFormat="1" x14ac:dyDescent="0.25">
      <c r="A53" s="61">
        <v>110000599479</v>
      </c>
      <c r="B53" s="28">
        <v>2024</v>
      </c>
      <c r="C53" s="68">
        <f t="shared" si="0"/>
        <v>45292</v>
      </c>
      <c r="D53" s="28" t="s">
        <v>166</v>
      </c>
      <c r="E53" s="28" t="s">
        <v>537</v>
      </c>
      <c r="F53" s="28" t="s">
        <v>538</v>
      </c>
      <c r="G53" s="28" t="s">
        <v>362</v>
      </c>
      <c r="H53" s="28">
        <v>77578</v>
      </c>
      <c r="I53" s="28">
        <v>29.458400000000001</v>
      </c>
      <c r="J53" s="28">
        <v>-95.330399999999997</v>
      </c>
      <c r="K53" s="28" t="s">
        <v>539</v>
      </c>
      <c r="L53" s="61">
        <v>110000599479</v>
      </c>
      <c r="M53" s="28" t="s">
        <v>251</v>
      </c>
      <c r="N53" s="28">
        <v>2869</v>
      </c>
      <c r="O53" s="28" t="str">
        <f>IFERROR(VLOOKUP(N53, 'SIC &amp; NAICS Codes'!A:B, 2, FALSE), "")</f>
        <v>Industrial Organic Chemicals, NEC (aliphatics)</v>
      </c>
      <c r="S53" s="28">
        <v>1.4913900000000001E-2</v>
      </c>
      <c r="T53" s="315">
        <f>_xlfn.MAXIFS('Raw Period DMR Data'!$O:$O,'Raw Period DMR Data'!$A:$A,'Raw Annual DMR Data_2021-2024'!#REF!,'Raw Period DMR Data'!$C:$C,X53)/S53</f>
        <v>0</v>
      </c>
      <c r="U53" s="28" t="str">
        <f>+IF(COUNTIFS('Raw Period DMR Data'!$A:$A,B53,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3" s="28" t="str" cm="1">
        <f t="array" ref="V53">IFERROR(INDEX('Raw Period DMR Data'!N:N,MATCH(1,(B53='Raw Period DMR Data'!$A:$A)*(U53='Raw Period DMR Data'!M:M)*(X53='Raw Period DMR Data'!C:C),0),1), "N/A")</f>
        <v>N/A</v>
      </c>
      <c r="W53" s="28" t="s">
        <v>1463</v>
      </c>
      <c r="X53" s="28" t="s">
        <v>890</v>
      </c>
      <c r="Y53" s="28" t="s">
        <v>891</v>
      </c>
      <c r="Z53" s="61">
        <v>12040204000953</v>
      </c>
      <c r="AA53" s="60"/>
      <c r="AC53" s="28" t="s">
        <v>1466</v>
      </c>
    </row>
    <row r="54" spans="1:29" s="28" customFormat="1" x14ac:dyDescent="0.25">
      <c r="A54" s="61">
        <v>110000599479</v>
      </c>
      <c r="B54" s="28">
        <v>2024</v>
      </c>
      <c r="C54" s="68">
        <f t="shared" si="0"/>
        <v>45292</v>
      </c>
      <c r="D54" s="28" t="s">
        <v>166</v>
      </c>
      <c r="E54" s="28" t="s">
        <v>537</v>
      </c>
      <c r="F54" s="28" t="s">
        <v>538</v>
      </c>
      <c r="G54" s="28" t="s">
        <v>362</v>
      </c>
      <c r="H54" s="28">
        <v>77578</v>
      </c>
      <c r="I54" s="28">
        <v>29.458400000000001</v>
      </c>
      <c r="J54" s="28">
        <v>-95.330399999999997</v>
      </c>
      <c r="K54" s="28" t="s">
        <v>539</v>
      </c>
      <c r="L54" s="61">
        <v>110000599479</v>
      </c>
      <c r="M54" s="28" t="s">
        <v>251</v>
      </c>
      <c r="N54" s="28">
        <v>2869</v>
      </c>
      <c r="O54" s="28" t="str">
        <f>IFERROR(VLOOKUP(N54, 'SIC &amp; NAICS Codes'!A:B, 2, FALSE), "")</f>
        <v>Industrial Organic Chemicals, NEC (aliphatics)</v>
      </c>
      <c r="S54" s="28">
        <v>1.4913900000000001E-2</v>
      </c>
      <c r="T54" s="315">
        <f>_xlfn.MAXIFS('Raw Period DMR Data'!$O:$O,'Raw Period DMR Data'!$A:$A,'Raw Annual DMR Data_2021-2024'!#REF!,'Raw Period DMR Data'!$C:$C,X54)/S54</f>
        <v>0</v>
      </c>
      <c r="U54" s="28" t="str">
        <f>+IF(COUNTIFS('Raw Period DMR Data'!$A:$A,B54,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4" s="28" t="str" cm="1">
        <f t="array" ref="V54">IFERROR(INDEX('Raw Period DMR Data'!N:N,MATCH(1,(B54='Raw Period DMR Data'!$A:$A)*(U54='Raw Period DMR Data'!M:M)*(X54='Raw Period DMR Data'!C:C),0),1), "N/A")</f>
        <v>N/A</v>
      </c>
      <c r="W54" s="28" t="s">
        <v>1463</v>
      </c>
      <c r="X54" s="28" t="s">
        <v>890</v>
      </c>
      <c r="Y54" s="28" t="s">
        <v>891</v>
      </c>
      <c r="Z54" s="61">
        <v>12040204000953</v>
      </c>
      <c r="AA54" s="60"/>
      <c r="AC54" s="28" t="s">
        <v>1466</v>
      </c>
    </row>
    <row r="55" spans="1:29" s="28" customFormat="1" x14ac:dyDescent="0.25">
      <c r="A55" s="61">
        <v>110000496981</v>
      </c>
      <c r="B55" s="28">
        <v>2023</v>
      </c>
      <c r="C55" s="68">
        <f t="shared" si="0"/>
        <v>44927</v>
      </c>
      <c r="D55" s="28" t="s">
        <v>6875</v>
      </c>
      <c r="E55" s="28" t="s">
        <v>7045</v>
      </c>
      <c r="F55" s="28" t="s">
        <v>318</v>
      </c>
      <c r="G55" s="28" t="s">
        <v>319</v>
      </c>
      <c r="H55" s="28">
        <v>44622</v>
      </c>
      <c r="I55" s="28">
        <v>40.506320000000002</v>
      </c>
      <c r="J55" s="28">
        <v>-81.474299999999999</v>
      </c>
      <c r="K55" s="28" t="s">
        <v>321</v>
      </c>
      <c r="L55" s="61">
        <v>110000496981</v>
      </c>
      <c r="M55" s="28" t="s">
        <v>251</v>
      </c>
      <c r="N55" s="28">
        <v>2869</v>
      </c>
      <c r="O55" s="28" t="str">
        <f>IFERROR(VLOOKUP(N55, 'SIC &amp; NAICS Codes'!A:B, 2, FALSE), "")</f>
        <v>Industrial Organic Chemicals, NEC (aliphatics)</v>
      </c>
      <c r="S55" s="28">
        <v>1.1681999999999999</v>
      </c>
      <c r="T55" s="315">
        <f>_xlfn.MAXIFS('Raw Period DMR Data'!$O:$O,'Raw Period DMR Data'!$A:$A,'Raw Annual DMR Data_2021-2024'!#REF!,'Raw Period DMR Data'!$C:$C,X55)/S55</f>
        <v>0</v>
      </c>
      <c r="U55" s="28" t="str">
        <f>+IF(COUNTIFS('Raw Period DMR Data'!$A:$A,B55,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5" s="28" t="str" cm="1">
        <f t="array" ref="V55">IFERROR(INDEX('Raw Period DMR Data'!N:N,MATCH(1,(B55='Raw Period DMR Data'!$A:$A)*(U55='Raw Period DMR Data'!M:M)*(X55='Raw Period DMR Data'!C:C),0),1), "N/A")</f>
        <v>N/A</v>
      </c>
      <c r="W55" s="28" t="s">
        <v>1463</v>
      </c>
      <c r="X55" s="28" t="s">
        <v>774</v>
      </c>
      <c r="Z55" s="61" t="s">
        <v>7343</v>
      </c>
      <c r="AA55" s="60"/>
      <c r="AC55" s="28" t="s">
        <v>1466</v>
      </c>
    </row>
    <row r="56" spans="1:29" s="28" customFormat="1" x14ac:dyDescent="0.25">
      <c r="A56" s="61">
        <v>110000460983</v>
      </c>
      <c r="B56" s="28">
        <v>2021</v>
      </c>
      <c r="C56" s="68">
        <f t="shared" si="0"/>
        <v>44197</v>
      </c>
      <c r="D56" s="28" t="s">
        <v>6837</v>
      </c>
      <c r="E56" s="28" t="s">
        <v>566</v>
      </c>
      <c r="F56" s="28" t="s">
        <v>520</v>
      </c>
      <c r="G56" s="28" t="s">
        <v>362</v>
      </c>
      <c r="H56" s="28">
        <v>770156544</v>
      </c>
      <c r="I56" s="28">
        <v>29.75487</v>
      </c>
      <c r="J56" s="28">
        <v>-95.103269999999995</v>
      </c>
      <c r="K56" s="28" t="s">
        <v>567</v>
      </c>
      <c r="L56" s="61">
        <v>110000460983</v>
      </c>
      <c r="M56" s="28" t="s">
        <v>251</v>
      </c>
      <c r="N56" s="28">
        <v>2869</v>
      </c>
      <c r="O56" s="28" t="str">
        <f>IFERROR(VLOOKUP(N56, 'SIC &amp; NAICS Codes'!A:B, 2, FALSE), "")</f>
        <v>Industrial Organic Chemicals, NEC (aliphatics)</v>
      </c>
      <c r="S56" s="28">
        <v>0.37450460000000002</v>
      </c>
      <c r="T56" s="315">
        <f>_xlfn.MAXIFS('Raw Period DMR Data'!$O:$O,'Raw Period DMR Data'!$A:$A,'Raw Annual DMR Data_2021-2024'!#REF!,'Raw Period DMR Data'!$C:$C,X56)/S56</f>
        <v>0</v>
      </c>
      <c r="U56" s="28" t="str">
        <f>+IF(COUNTIFS('Raw Period DMR Data'!$A:$A,B56,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6" s="28" t="str" cm="1">
        <f t="array" ref="V56">IFERROR(INDEX('Raw Period DMR Data'!N:N,MATCH(1,(B56='Raw Period DMR Data'!$A:$A)*(U56='Raw Period DMR Data'!M:M)*(X56='Raw Period DMR Data'!C:C),0),1), "N/A")</f>
        <v>N/A</v>
      </c>
      <c r="W56" s="28" t="s">
        <v>1463</v>
      </c>
      <c r="X56" s="28" t="s">
        <v>903</v>
      </c>
      <c r="Y56" s="28" t="s">
        <v>7286</v>
      </c>
      <c r="Z56" s="61">
        <v>12040104000012</v>
      </c>
      <c r="AB56" s="28" t="s">
        <v>7355</v>
      </c>
      <c r="AC56" s="28" t="s">
        <v>1466</v>
      </c>
    </row>
    <row r="57" spans="1:29" s="28" customFormat="1" x14ac:dyDescent="0.25">
      <c r="A57" s="61">
        <v>110000460983</v>
      </c>
      <c r="B57" s="28">
        <v>2023</v>
      </c>
      <c r="C57" s="68">
        <f t="shared" si="0"/>
        <v>44927</v>
      </c>
      <c r="D57" s="28" t="s">
        <v>6837</v>
      </c>
      <c r="E57" s="28" t="s">
        <v>566</v>
      </c>
      <c r="F57" s="28" t="s">
        <v>520</v>
      </c>
      <c r="G57" s="28" t="s">
        <v>362</v>
      </c>
      <c r="H57" s="28">
        <v>770156544</v>
      </c>
      <c r="I57" s="28">
        <v>29.75487</v>
      </c>
      <c r="J57" s="28">
        <v>-95.103269999999995</v>
      </c>
      <c r="K57" s="28" t="s">
        <v>567</v>
      </c>
      <c r="L57" s="61">
        <v>110000460983</v>
      </c>
      <c r="M57" s="28" t="s">
        <v>251</v>
      </c>
      <c r="N57" s="28">
        <v>2869</v>
      </c>
      <c r="O57" s="28" t="str">
        <f>IFERROR(VLOOKUP(N57, 'SIC &amp; NAICS Codes'!A:B, 2, FALSE), "")</f>
        <v>Industrial Organic Chemicals, NEC (aliphatics)</v>
      </c>
      <c r="S57" s="28">
        <v>0.198852</v>
      </c>
      <c r="T57" s="315">
        <f>_xlfn.MAXIFS('Raw Period DMR Data'!$O:$O,'Raw Period DMR Data'!$A:$A,'Raw Annual DMR Data_2021-2024'!#REF!,'Raw Period DMR Data'!$C:$C,X57)/S57</f>
        <v>0</v>
      </c>
      <c r="U57" s="28" t="str">
        <f>+IF(COUNTIFS('Raw Period DMR Data'!$A:$A,B57,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7" s="28" t="str" cm="1">
        <f t="array" ref="V57">IFERROR(INDEX('Raw Period DMR Data'!N:N,MATCH(1,(B57='Raw Period DMR Data'!$A:$A)*(U57='Raw Period DMR Data'!M:M)*(X57='Raw Period DMR Data'!C:C),0),1), "N/A")</f>
        <v>N/A</v>
      </c>
      <c r="W57" s="28" t="s">
        <v>1463</v>
      </c>
      <c r="X57" s="28" t="s">
        <v>903</v>
      </c>
      <c r="Y57" s="28" t="s">
        <v>7286</v>
      </c>
      <c r="Z57" s="61">
        <v>12040104000012</v>
      </c>
      <c r="AA57" s="60"/>
      <c r="AC57" s="28" t="s">
        <v>1466</v>
      </c>
    </row>
    <row r="58" spans="1:29" s="28" customFormat="1" x14ac:dyDescent="0.25">
      <c r="A58" s="61">
        <v>110000460983</v>
      </c>
      <c r="B58" s="28">
        <v>2022</v>
      </c>
      <c r="C58" s="68">
        <f t="shared" si="0"/>
        <v>44562</v>
      </c>
      <c r="D58" s="28" t="s">
        <v>6837</v>
      </c>
      <c r="E58" s="28" t="s">
        <v>566</v>
      </c>
      <c r="F58" s="28" t="s">
        <v>520</v>
      </c>
      <c r="G58" s="28" t="s">
        <v>362</v>
      </c>
      <c r="H58" s="28">
        <v>770156544</v>
      </c>
      <c r="I58" s="28">
        <v>29.75487</v>
      </c>
      <c r="J58" s="28">
        <v>-95.103269999999995</v>
      </c>
      <c r="K58" s="28" t="s">
        <v>567</v>
      </c>
      <c r="L58" s="61">
        <v>110000460983</v>
      </c>
      <c r="M58" s="28" t="s">
        <v>251</v>
      </c>
      <c r="N58" s="28">
        <v>2869</v>
      </c>
      <c r="O58" s="28" t="str">
        <f>IFERROR(VLOOKUP(N58, 'SIC &amp; NAICS Codes'!A:B, 2, FALSE), "")</f>
        <v>Industrial Organic Chemicals, NEC (aliphatics)</v>
      </c>
      <c r="S58" s="28">
        <v>0.16571</v>
      </c>
      <c r="T58" s="315">
        <f>_xlfn.MAXIFS('Raw Period DMR Data'!$O:$O,'Raw Period DMR Data'!$A:$A,'Raw Annual DMR Data_2021-2024'!#REF!,'Raw Period DMR Data'!$C:$C,X58)/S58</f>
        <v>0</v>
      </c>
      <c r="U58" s="28" t="str">
        <f>+IF(COUNTIFS('Raw Period DMR Data'!$A:$A,B58,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8" s="28" t="str" cm="1">
        <f t="array" ref="V58">IFERROR(INDEX('Raw Period DMR Data'!N:N,MATCH(1,(B58='Raw Period DMR Data'!$A:$A)*(U58='Raw Period DMR Data'!M:M)*(X58='Raw Period DMR Data'!C:C),0),1), "N/A")</f>
        <v>N/A</v>
      </c>
      <c r="W58" s="28" t="s">
        <v>1463</v>
      </c>
      <c r="X58" s="28" t="s">
        <v>903</v>
      </c>
      <c r="Y58" s="28" t="s">
        <v>7286</v>
      </c>
      <c r="Z58" s="61">
        <v>12040104000012</v>
      </c>
      <c r="AA58" s="60"/>
      <c r="AB58" s="28" t="s">
        <v>7355</v>
      </c>
      <c r="AC58" s="28" t="s">
        <v>1466</v>
      </c>
    </row>
    <row r="59" spans="1:29" s="28" customFormat="1" x14ac:dyDescent="0.25">
      <c r="A59" s="61">
        <v>110000344814</v>
      </c>
      <c r="B59" s="28">
        <v>2023</v>
      </c>
      <c r="C59" s="68">
        <f t="shared" si="0"/>
        <v>44927</v>
      </c>
      <c r="D59" s="28" t="s">
        <v>174</v>
      </c>
      <c r="E59" s="28" t="s">
        <v>568</v>
      </c>
      <c r="F59" s="28" t="s">
        <v>569</v>
      </c>
      <c r="G59" s="28" t="s">
        <v>311</v>
      </c>
      <c r="H59" s="28">
        <v>26146</v>
      </c>
      <c r="I59" s="28">
        <v>39.484572</v>
      </c>
      <c r="J59" s="28">
        <v>-81.093402999999995</v>
      </c>
      <c r="K59" s="28" t="s">
        <v>570</v>
      </c>
      <c r="L59" s="61">
        <v>110000344814</v>
      </c>
      <c r="M59" s="28" t="s">
        <v>251</v>
      </c>
      <c r="N59" s="28">
        <v>2869</v>
      </c>
      <c r="O59" s="28" t="str">
        <f>IFERROR(VLOOKUP(N59, 'SIC &amp; NAICS Codes'!A:B, 2, FALSE), "")</f>
        <v>Industrial Organic Chemicals, NEC (aliphatics)</v>
      </c>
      <c r="S59" s="28">
        <v>1.8613999999999999</v>
      </c>
      <c r="T59" s="315">
        <f>_xlfn.MAXIFS('Raw Period DMR Data'!$O:$O,'Raw Period DMR Data'!$A:$A,'Raw Annual DMR Data_2021-2024'!#REF!,'Raw Period DMR Data'!$C:$C,X59)/S59</f>
        <v>0</v>
      </c>
      <c r="U59" s="28" t="str">
        <f>+IF(COUNTIFS('Raw Period DMR Data'!$A:$A,B59,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9" s="28" t="str" cm="1">
        <f t="array" ref="V59">IFERROR(INDEX('Raw Period DMR Data'!N:N,MATCH(1,(B59='Raw Period DMR Data'!$A:$A)*(U59='Raw Period DMR Data'!M:M)*(X59='Raw Period DMR Data'!C:C),0),1), "N/A")</f>
        <v>N/A</v>
      </c>
      <c r="W59" s="28" t="s">
        <v>1463</v>
      </c>
      <c r="X59" s="28" t="s">
        <v>905</v>
      </c>
      <c r="Y59" s="28" t="s">
        <v>906</v>
      </c>
      <c r="Z59" s="61" t="s">
        <v>7333</v>
      </c>
      <c r="AA59" s="60"/>
      <c r="AC59" s="28" t="s">
        <v>1466</v>
      </c>
    </row>
    <row r="60" spans="1:29" s="28" customFormat="1" x14ac:dyDescent="0.25">
      <c r="A60" s="61">
        <v>110000344814</v>
      </c>
      <c r="B60" s="28">
        <v>2024</v>
      </c>
      <c r="C60" s="68">
        <f t="shared" si="0"/>
        <v>45292</v>
      </c>
      <c r="D60" s="28" t="s">
        <v>174</v>
      </c>
      <c r="E60" s="28" t="s">
        <v>568</v>
      </c>
      <c r="F60" s="28" t="s">
        <v>569</v>
      </c>
      <c r="G60" s="28" t="s">
        <v>311</v>
      </c>
      <c r="H60" s="28">
        <v>26146</v>
      </c>
      <c r="I60" s="28">
        <v>39.484572</v>
      </c>
      <c r="J60" s="28">
        <v>-81.093402999999995</v>
      </c>
      <c r="K60" s="28" t="s">
        <v>570</v>
      </c>
      <c r="L60" s="61">
        <v>110000344814</v>
      </c>
      <c r="M60" s="28" t="s">
        <v>251</v>
      </c>
      <c r="N60" s="28">
        <v>2869</v>
      </c>
      <c r="O60" s="28" t="str">
        <f>IFERROR(VLOOKUP(N60, 'SIC &amp; NAICS Codes'!A:B, 2, FALSE), "")</f>
        <v>Industrial Organic Chemicals, NEC (aliphatics)</v>
      </c>
      <c r="S60" s="28">
        <v>1.03512</v>
      </c>
      <c r="T60" s="315">
        <f>_xlfn.MAXIFS('Raw Period DMR Data'!$O:$O,'Raw Period DMR Data'!$A:$A,'Raw Annual DMR Data_2021-2024'!#REF!,'Raw Period DMR Data'!$C:$C,X60)/S60</f>
        <v>0</v>
      </c>
      <c r="U60" s="28" t="str">
        <f>+IF(COUNTIFS('Raw Period DMR Data'!$A:$A,B60,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0" s="28" t="str" cm="1">
        <f t="array" ref="V60">IFERROR(INDEX('Raw Period DMR Data'!N:N,MATCH(1,(B60='Raw Period DMR Data'!$A:$A)*(U60='Raw Period DMR Data'!M:M)*(X60='Raw Period DMR Data'!C:C),0),1), "N/A")</f>
        <v>N/A</v>
      </c>
      <c r="W60" s="28" t="s">
        <v>1463</v>
      </c>
      <c r="X60" s="28" t="s">
        <v>905</v>
      </c>
      <c r="Y60" s="28" t="s">
        <v>906</v>
      </c>
      <c r="Z60" s="61">
        <v>5030201001622</v>
      </c>
      <c r="AA60" s="60"/>
      <c r="AC60" s="28" t="s">
        <v>1466</v>
      </c>
    </row>
    <row r="61" spans="1:29" s="28" customFormat="1" x14ac:dyDescent="0.25">
      <c r="A61" s="61">
        <v>110000344814</v>
      </c>
      <c r="B61" s="28">
        <v>2021</v>
      </c>
      <c r="C61" s="68">
        <f t="shared" si="0"/>
        <v>44197</v>
      </c>
      <c r="D61" s="28" t="s">
        <v>174</v>
      </c>
      <c r="E61" s="28" t="s">
        <v>568</v>
      </c>
      <c r="F61" s="28" t="s">
        <v>569</v>
      </c>
      <c r="G61" s="28" t="s">
        <v>311</v>
      </c>
      <c r="H61" s="28">
        <v>26146</v>
      </c>
      <c r="I61" s="28">
        <v>39.484572</v>
      </c>
      <c r="J61" s="28">
        <v>-81.093402999999995</v>
      </c>
      <c r="K61" s="28" t="s">
        <v>570</v>
      </c>
      <c r="L61" s="61">
        <v>110000344814</v>
      </c>
      <c r="M61" s="28" t="s">
        <v>251</v>
      </c>
      <c r="N61" s="28">
        <v>2869</v>
      </c>
      <c r="O61" s="28" t="str">
        <f>IFERROR(VLOOKUP(N61, 'SIC &amp; NAICS Codes'!A:B, 2, FALSE), "")</f>
        <v>Industrial Organic Chemicals, NEC (aliphatics)</v>
      </c>
      <c r="S61" s="28">
        <v>1.013101</v>
      </c>
      <c r="T61" s="315">
        <f>_xlfn.MAXIFS('Raw Period DMR Data'!$O:$O,'Raw Period DMR Data'!$A:$A,'Raw Annual DMR Data_2021-2024'!#REF!,'Raw Period DMR Data'!$C:$C,X61)/S61</f>
        <v>0</v>
      </c>
      <c r="U61" s="28" t="str">
        <f>+IF(COUNTIFS('Raw Period DMR Data'!$A:$A,B61,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1" s="28" t="str" cm="1">
        <f t="array" ref="V61">IFERROR(INDEX('Raw Period DMR Data'!N:N,MATCH(1,(B61='Raw Period DMR Data'!$A:$A)*(U61='Raw Period DMR Data'!M:M)*(X61='Raw Period DMR Data'!C:C),0),1), "N/A")</f>
        <v>N/A</v>
      </c>
      <c r="W61" s="28" t="s">
        <v>1463</v>
      </c>
      <c r="X61" s="28" t="s">
        <v>905</v>
      </c>
      <c r="Y61" s="28" t="s">
        <v>906</v>
      </c>
      <c r="Z61" s="61">
        <v>5030201001622</v>
      </c>
      <c r="AC61" s="28" t="s">
        <v>1466</v>
      </c>
    </row>
    <row r="62" spans="1:29" s="28" customFormat="1" x14ac:dyDescent="0.25">
      <c r="A62" s="61">
        <v>110000344814</v>
      </c>
      <c r="B62" s="28">
        <v>2022</v>
      </c>
      <c r="C62" s="68">
        <f t="shared" si="0"/>
        <v>44562</v>
      </c>
      <c r="D62" s="28" t="s">
        <v>174</v>
      </c>
      <c r="E62" s="28" t="s">
        <v>568</v>
      </c>
      <c r="F62" s="28" t="s">
        <v>569</v>
      </c>
      <c r="G62" s="28" t="s">
        <v>311</v>
      </c>
      <c r="H62" s="28">
        <v>26146</v>
      </c>
      <c r="I62" s="28">
        <v>39.484572</v>
      </c>
      <c r="J62" s="28">
        <v>-81.093402999999995</v>
      </c>
      <c r="K62" s="28" t="s">
        <v>570</v>
      </c>
      <c r="L62" s="61">
        <v>110000344814</v>
      </c>
      <c r="M62" s="28" t="s">
        <v>251</v>
      </c>
      <c r="N62" s="28">
        <v>2869</v>
      </c>
      <c r="O62" s="28" t="str">
        <f>IFERROR(VLOOKUP(N62, 'SIC &amp; NAICS Codes'!A:B, 2, FALSE), "")</f>
        <v>Industrial Organic Chemicals, NEC (aliphatics)</v>
      </c>
      <c r="S62" s="28">
        <v>0.82855000000000001</v>
      </c>
      <c r="T62" s="315">
        <f>_xlfn.MAXIFS('Raw Period DMR Data'!$O:$O,'Raw Period DMR Data'!$A:$A,'Raw Annual DMR Data_2021-2024'!#REF!,'Raw Period DMR Data'!$C:$C,X62)/S62</f>
        <v>0</v>
      </c>
      <c r="U62" s="28" t="str">
        <f>+IF(COUNTIFS('Raw Period DMR Data'!$A:$A,B62,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2" s="28" t="str" cm="1">
        <f t="array" ref="V62">IFERROR(INDEX('Raw Period DMR Data'!N:N,MATCH(1,(B62='Raw Period DMR Data'!$A:$A)*(U62='Raw Period DMR Data'!M:M)*(X62='Raw Period DMR Data'!C:C),0),1), "N/A")</f>
        <v>N/A</v>
      </c>
      <c r="W62" s="28" t="s">
        <v>1463</v>
      </c>
      <c r="X62" s="28" t="s">
        <v>905</v>
      </c>
      <c r="Y62" s="28" t="s">
        <v>906</v>
      </c>
      <c r="Z62" s="61">
        <v>5030201001622</v>
      </c>
      <c r="AA62" s="60"/>
      <c r="AC62" s="28" t="s">
        <v>1466</v>
      </c>
    </row>
    <row r="63" spans="1:29" s="28" customFormat="1" x14ac:dyDescent="0.25">
      <c r="A63" s="61">
        <v>110000449774</v>
      </c>
      <c r="B63" s="28">
        <v>2022</v>
      </c>
      <c r="C63" s="68">
        <f t="shared" si="0"/>
        <v>44562</v>
      </c>
      <c r="D63" s="28" t="s">
        <v>6822</v>
      </c>
      <c r="E63" s="28" t="s">
        <v>584</v>
      </c>
      <c r="F63" s="28" t="s">
        <v>516</v>
      </c>
      <c r="G63" s="28" t="s">
        <v>303</v>
      </c>
      <c r="H63" s="28">
        <v>707340227</v>
      </c>
      <c r="I63" s="28">
        <v>30.185099999999998</v>
      </c>
      <c r="J63" s="28">
        <v>-90.980400000000003</v>
      </c>
      <c r="K63" s="28" t="s">
        <v>585</v>
      </c>
      <c r="L63" s="61">
        <v>110000449774</v>
      </c>
      <c r="M63" s="28" t="s">
        <v>251</v>
      </c>
      <c r="N63" s="28">
        <v>2812</v>
      </c>
      <c r="O63" s="28" t="str">
        <f>IFERROR(VLOOKUP(N63, 'SIC &amp; NAICS Codes'!A:B, 2, FALSE), "")</f>
        <v>Alkalies and Chlorine</v>
      </c>
      <c r="S63" s="28">
        <v>92.016720000000007</v>
      </c>
      <c r="T63" s="315">
        <f>_xlfn.MAXIFS('Raw Period DMR Data'!$O:$O,'Raw Period DMR Data'!$A:$A,'Raw Annual DMR Data_2021-2024'!B875,'Raw Period DMR Data'!$C:$C,X63)/S63</f>
        <v>0</v>
      </c>
      <c r="U63" s="28" t="str">
        <f>+IF(COUNTIFS('Raw Period DMR Data'!$A:$A,B63, 'Raw Period DMR Data'!C:C,'Raw Annual DMR Data_2021-2024'!X875, 'Raw Period DMR Data'!M:M, "&gt;0")&gt;0,_xlfn.MAXIFS('Raw Period DMR Data'!M:M,'Raw Period DMR Data'!$A:$A,'Raw Annual DMR Data_2021-2024'!B875,'Raw Period DMR Data'!C:C,'Raw Annual DMR Data_2021-2024'!X875), "N/A - Period DMR Data Not Available")</f>
        <v>N/A - Period DMR Data Not Available</v>
      </c>
      <c r="V63" s="28" t="str" cm="1">
        <f t="array" ref="V63">IFERROR(INDEX('Raw Period DMR Data'!N:N,MATCH(1,(B63='Raw Period DMR Data'!$A:$A)*(U63='Raw Period DMR Data'!M:M)*(X63='Raw Period DMR Data'!C:C),0),1), "N/A")</f>
        <v>N/A</v>
      </c>
      <c r="W63" s="28" t="s">
        <v>1463</v>
      </c>
      <c r="X63" s="28" t="s">
        <v>912</v>
      </c>
      <c r="Y63" s="28">
        <v>701</v>
      </c>
      <c r="Z63" s="61">
        <v>8090302006735</v>
      </c>
      <c r="AA63" s="60"/>
      <c r="AC63" s="28" t="s">
        <v>1466</v>
      </c>
    </row>
    <row r="64" spans="1:29" s="28" customFormat="1" x14ac:dyDescent="0.25">
      <c r="A64" s="61">
        <v>110060340162</v>
      </c>
      <c r="B64" s="28">
        <v>2021</v>
      </c>
      <c r="C64" s="68">
        <f t="shared" si="0"/>
        <v>44197</v>
      </c>
      <c r="D64" s="28" t="s">
        <v>6850</v>
      </c>
      <c r="E64" s="28" t="s">
        <v>462</v>
      </c>
      <c r="F64" s="28" t="s">
        <v>463</v>
      </c>
      <c r="G64" s="28" t="s">
        <v>362</v>
      </c>
      <c r="H64" s="28">
        <v>77503</v>
      </c>
      <c r="I64" s="28">
        <v>29.738610999999999</v>
      </c>
      <c r="J64" s="28">
        <v>-95.166944000000001</v>
      </c>
      <c r="K64" s="28" t="s">
        <v>7130</v>
      </c>
      <c r="L64" s="61">
        <v>110060340162</v>
      </c>
      <c r="M64" s="28" t="s">
        <v>251</v>
      </c>
      <c r="N64" s="28">
        <v>2869</v>
      </c>
      <c r="O64" s="28" t="str">
        <f>IFERROR(VLOOKUP(N64, 'SIC &amp; NAICS Codes'!A:B, 2, FALSE), "")</f>
        <v>Industrial Organic Chemicals, NEC (aliphatics)</v>
      </c>
      <c r="S64" s="28">
        <v>0.71839299999999995</v>
      </c>
      <c r="T64" s="315">
        <f>_xlfn.MAXIFS('Raw Period DMR Data'!$O:$O,'Raw Period DMR Data'!$A:$A,'Raw Annual DMR Data_2021-2024'!#REF!,'Raw Period DMR Data'!$C:$C,X64)/S64</f>
        <v>0</v>
      </c>
      <c r="U64" s="28" t="str">
        <f>+IF(COUNTIFS('Raw Period DMR Data'!$A:$A,B64,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4" s="28" t="str" cm="1">
        <f t="array" ref="V64">IFERROR(INDEX('Raw Period DMR Data'!N:N,MATCH(1,(B64='Raw Period DMR Data'!$A:$A)*(U64='Raw Period DMR Data'!M:M)*(X64='Raw Period DMR Data'!C:C),0),1), "N/A")</f>
        <v>N/A</v>
      </c>
      <c r="W64" s="28" t="s">
        <v>1463</v>
      </c>
      <c r="X64" s="28" t="s">
        <v>848</v>
      </c>
      <c r="Y64" s="28" t="s">
        <v>7273</v>
      </c>
      <c r="Z64" s="61">
        <v>12040104000620</v>
      </c>
      <c r="AB64" s="28" t="s">
        <v>7355</v>
      </c>
      <c r="AC64" s="28" t="s">
        <v>1466</v>
      </c>
    </row>
    <row r="65" spans="1:29" s="28" customFormat="1" x14ac:dyDescent="0.25">
      <c r="A65" s="61">
        <v>110060340162</v>
      </c>
      <c r="B65" s="28">
        <v>2022</v>
      </c>
      <c r="C65" s="68">
        <f t="shared" si="0"/>
        <v>44562</v>
      </c>
      <c r="D65" s="28" t="s">
        <v>6850</v>
      </c>
      <c r="E65" s="28" t="s">
        <v>462</v>
      </c>
      <c r="F65" s="28" t="s">
        <v>463</v>
      </c>
      <c r="G65" s="28" t="s">
        <v>362</v>
      </c>
      <c r="H65" s="28">
        <v>77503</v>
      </c>
      <c r="I65" s="28">
        <v>29.738610999999999</v>
      </c>
      <c r="J65" s="28">
        <v>-95.166944000000001</v>
      </c>
      <c r="K65" s="28" t="s">
        <v>7130</v>
      </c>
      <c r="L65" s="61">
        <v>110060340162</v>
      </c>
      <c r="M65" s="28" t="s">
        <v>251</v>
      </c>
      <c r="N65" s="28">
        <v>2869</v>
      </c>
      <c r="O65" s="28" t="str">
        <f>IFERROR(VLOOKUP(N65, 'SIC &amp; NAICS Codes'!A:B, 2, FALSE), "")</f>
        <v>Industrial Organic Chemicals, NEC (aliphatics)</v>
      </c>
      <c r="S65" s="28">
        <v>0.56642524999999999</v>
      </c>
      <c r="T65" s="315">
        <f>_xlfn.MAXIFS('Raw Period DMR Data'!$O:$O,'Raw Period DMR Data'!$A:$A,'Raw Annual DMR Data_2021-2024'!#REF!,'Raw Period DMR Data'!$C:$C,X65)/S65</f>
        <v>0</v>
      </c>
      <c r="U65" s="28" t="str">
        <f>+IF(COUNTIFS('Raw Period DMR Data'!$A:$A,B65,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5" s="28" t="str" cm="1">
        <f t="array" ref="V65">IFERROR(INDEX('Raw Period DMR Data'!N:N,MATCH(1,(B65='Raw Period DMR Data'!$A:$A)*(U65='Raw Period DMR Data'!M:M)*(X65='Raw Period DMR Data'!C:C),0),1), "N/A")</f>
        <v>N/A</v>
      </c>
      <c r="W65" s="28" t="s">
        <v>1463</v>
      </c>
      <c r="X65" s="28" t="s">
        <v>848</v>
      </c>
      <c r="Y65" s="28" t="s">
        <v>7273</v>
      </c>
      <c r="Z65" s="61">
        <v>12040104000620</v>
      </c>
      <c r="AA65" s="60"/>
      <c r="AB65" s="28" t="s">
        <v>7355</v>
      </c>
      <c r="AC65" s="28" t="s">
        <v>1466</v>
      </c>
    </row>
    <row r="66" spans="1:29" s="28" customFormat="1" x14ac:dyDescent="0.25">
      <c r="A66" s="61">
        <v>110060340162</v>
      </c>
      <c r="B66" s="28">
        <v>2023</v>
      </c>
      <c r="C66" s="68">
        <f t="shared" ref="C66:C129" si="1">DATE(B66, 1, 1)</f>
        <v>44927</v>
      </c>
      <c r="D66" s="28" t="s">
        <v>6850</v>
      </c>
      <c r="E66" s="28" t="s">
        <v>462</v>
      </c>
      <c r="F66" s="28" t="s">
        <v>463</v>
      </c>
      <c r="G66" s="28" t="s">
        <v>362</v>
      </c>
      <c r="H66" s="28">
        <v>77503</v>
      </c>
      <c r="I66" s="28">
        <v>29.738610999999999</v>
      </c>
      <c r="J66" s="28">
        <v>-95.166944000000001</v>
      </c>
      <c r="K66" s="28" t="s">
        <v>7130</v>
      </c>
      <c r="L66" s="61">
        <v>110060340162</v>
      </c>
      <c r="M66" s="28" t="s">
        <v>251</v>
      </c>
      <c r="N66" s="28">
        <v>2869</v>
      </c>
      <c r="O66" s="28" t="str">
        <f>IFERROR(VLOOKUP(N66, 'SIC &amp; NAICS Codes'!A:B, 2, FALSE), "")</f>
        <v>Industrial Organic Chemicals, NEC (aliphatics)</v>
      </c>
      <c r="S66" s="28">
        <v>6.4240912499999997E-2</v>
      </c>
      <c r="T66" s="315">
        <f>_xlfn.MAXIFS('Raw Period DMR Data'!$O:$O,'Raw Period DMR Data'!$A:$A,'Raw Annual DMR Data_2021-2024'!#REF!,'Raw Period DMR Data'!$C:$C,X66)/S66</f>
        <v>0</v>
      </c>
      <c r="U66" s="28" t="str">
        <f>+IF(COUNTIFS('Raw Period DMR Data'!$A:$A,B66,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6" s="28" t="str" cm="1">
        <f t="array" ref="V66">IFERROR(INDEX('Raw Period DMR Data'!N:N,MATCH(1,(B66='Raw Period DMR Data'!$A:$A)*(U66='Raw Period DMR Data'!M:M)*(X66='Raw Period DMR Data'!C:C),0),1), "N/A")</f>
        <v>N/A</v>
      </c>
      <c r="W66" s="28" t="s">
        <v>1463</v>
      </c>
      <c r="X66" s="28" t="s">
        <v>848</v>
      </c>
      <c r="Y66" s="28" t="s">
        <v>7273</v>
      </c>
      <c r="Z66" s="61">
        <v>12040104000620</v>
      </c>
      <c r="AA66" s="60"/>
      <c r="AB66" s="28" t="s">
        <v>7355</v>
      </c>
      <c r="AC66" s="28" t="s">
        <v>1466</v>
      </c>
    </row>
    <row r="67" spans="1:29" s="28" customFormat="1" x14ac:dyDescent="0.25">
      <c r="A67" s="61">
        <v>110000572782</v>
      </c>
      <c r="B67" s="28">
        <v>2021</v>
      </c>
      <c r="C67" s="68">
        <f t="shared" si="1"/>
        <v>44197</v>
      </c>
      <c r="D67" s="28" t="s">
        <v>6779</v>
      </c>
      <c r="E67" s="28" t="s">
        <v>617</v>
      </c>
      <c r="F67" s="28" t="s">
        <v>618</v>
      </c>
      <c r="G67" s="28" t="s">
        <v>311</v>
      </c>
      <c r="H67" s="28">
        <v>26501</v>
      </c>
      <c r="I67" s="28">
        <v>39.599829999999997</v>
      </c>
      <c r="J67" s="28">
        <v>-79.97148</v>
      </c>
      <c r="K67" s="28" t="s">
        <v>619</v>
      </c>
      <c r="L67" s="61">
        <v>110000572782</v>
      </c>
      <c r="M67" s="28" t="s">
        <v>251</v>
      </c>
      <c r="N67" s="28">
        <v>2869</v>
      </c>
      <c r="O67" s="28" t="str">
        <f>IFERROR(VLOOKUP(N67, 'SIC &amp; NAICS Codes'!A:B, 2, FALSE), "")</f>
        <v>Industrial Organic Chemicals, NEC (aliphatics)</v>
      </c>
      <c r="S67" s="28">
        <v>0.32747888130000002</v>
      </c>
      <c r="T67" s="315">
        <f>_xlfn.MAXIFS('Raw Period DMR Data'!$O:$O,'Raw Period DMR Data'!$A:$A,'Raw Annual DMR Data_2021-2024'!#REF!,'Raw Period DMR Data'!$C:$C,X67)/S67</f>
        <v>0</v>
      </c>
      <c r="U67" s="28" t="str">
        <f>+IF(COUNTIFS('Raw Period DMR Data'!$A:$A,B67,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7" s="28" t="str" cm="1">
        <f t="array" ref="V67">IFERROR(INDEX('Raw Period DMR Data'!N:N,MATCH(1,(B67='Raw Period DMR Data'!$A:$A)*(U67='Raw Period DMR Data'!M:M)*(X67='Raw Period DMR Data'!C:C),0),1), "N/A")</f>
        <v>N/A</v>
      </c>
      <c r="W67" s="28" t="s">
        <v>1463</v>
      </c>
      <c r="X67" s="28" t="s">
        <v>931</v>
      </c>
      <c r="Y67" s="28" t="s">
        <v>7250</v>
      </c>
      <c r="Z67" s="61">
        <v>5020003000026</v>
      </c>
      <c r="AC67" s="28" t="s">
        <v>1466</v>
      </c>
    </row>
    <row r="68" spans="1:29" s="28" customFormat="1" x14ac:dyDescent="0.25">
      <c r="A68" s="61">
        <v>110000572782</v>
      </c>
      <c r="B68" s="28">
        <v>2021</v>
      </c>
      <c r="C68" s="68">
        <f t="shared" si="1"/>
        <v>44197</v>
      </c>
      <c r="D68" s="28" t="s">
        <v>6779</v>
      </c>
      <c r="E68" s="28" t="s">
        <v>617</v>
      </c>
      <c r="F68" s="28" t="s">
        <v>618</v>
      </c>
      <c r="G68" s="28" t="s">
        <v>311</v>
      </c>
      <c r="H68" s="28">
        <v>26501</v>
      </c>
      <c r="I68" s="28">
        <v>39.599829999999997</v>
      </c>
      <c r="J68" s="28">
        <v>-79.97148</v>
      </c>
      <c r="K68" s="28" t="s">
        <v>619</v>
      </c>
      <c r="L68" s="61">
        <v>110000572782</v>
      </c>
      <c r="M68" s="28" t="s">
        <v>251</v>
      </c>
      <c r="N68" s="28">
        <v>2869</v>
      </c>
      <c r="O68" s="28" t="str">
        <f>IFERROR(VLOOKUP(N68, 'SIC &amp; NAICS Codes'!A:B, 2, FALSE), "")</f>
        <v>Industrial Organic Chemicals, NEC (aliphatics)</v>
      </c>
      <c r="S68" s="28">
        <v>0.16921942000000001</v>
      </c>
      <c r="T68" s="315">
        <f>_xlfn.MAXIFS('Raw Period DMR Data'!$O:$O,'Raw Period DMR Data'!$A:$A,'Raw Annual DMR Data_2021-2024'!#REF!,'Raw Period DMR Data'!$C:$C,X68)/S68</f>
        <v>0</v>
      </c>
      <c r="U68" s="28" t="str">
        <f>+IF(COUNTIFS('Raw Period DMR Data'!$A:$A,B68,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8" s="28" t="str" cm="1">
        <f t="array" ref="V68">IFERROR(INDEX('Raw Period DMR Data'!N:N,MATCH(1,(B68='Raw Period DMR Data'!$A:$A)*(U68='Raw Period DMR Data'!M:M)*(X68='Raw Period DMR Data'!C:C),0),1), "N/A")</f>
        <v>N/A</v>
      </c>
      <c r="W68" s="28" t="s">
        <v>1463</v>
      </c>
      <c r="X68" s="28" t="s">
        <v>931</v>
      </c>
      <c r="Y68" s="28" t="s">
        <v>7250</v>
      </c>
      <c r="Z68" s="61">
        <v>5020003000026</v>
      </c>
      <c r="AA68" s="60"/>
      <c r="AC68" s="28" t="s">
        <v>1466</v>
      </c>
    </row>
    <row r="69" spans="1:29" s="28" customFormat="1" x14ac:dyDescent="0.25">
      <c r="A69" s="61">
        <v>110000572782</v>
      </c>
      <c r="B69" s="28">
        <v>2023</v>
      </c>
      <c r="C69" s="68">
        <f t="shared" si="1"/>
        <v>44927</v>
      </c>
      <c r="D69" s="28" t="s">
        <v>6779</v>
      </c>
      <c r="E69" s="28" t="s">
        <v>617</v>
      </c>
      <c r="F69" s="28" t="s">
        <v>618</v>
      </c>
      <c r="G69" s="28" t="s">
        <v>311</v>
      </c>
      <c r="H69" s="28">
        <v>26501</v>
      </c>
      <c r="I69" s="28">
        <v>39.599829999999997</v>
      </c>
      <c r="J69" s="28">
        <v>-79.97148</v>
      </c>
      <c r="K69" s="28" t="s">
        <v>619</v>
      </c>
      <c r="L69" s="61">
        <v>110000572782</v>
      </c>
      <c r="M69" s="28" t="s">
        <v>251</v>
      </c>
      <c r="N69" s="28">
        <v>2869</v>
      </c>
      <c r="O69" s="28" t="str">
        <f>IFERROR(VLOOKUP(N69, 'SIC &amp; NAICS Codes'!A:B, 2, FALSE), "")</f>
        <v>Industrial Organic Chemicals, NEC (aliphatics)</v>
      </c>
      <c r="S69" s="28">
        <v>7.8517030000000002E-2</v>
      </c>
      <c r="T69" s="315">
        <f>_xlfn.MAXIFS('Raw Period DMR Data'!$O:$O,'Raw Period DMR Data'!$A:$A,'Raw Annual DMR Data_2021-2024'!#REF!,'Raw Period DMR Data'!$C:$C,X69)/S69</f>
        <v>0</v>
      </c>
      <c r="U69" s="28" t="str">
        <f>+IF(COUNTIFS('Raw Period DMR Data'!$A:$A,B69,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9" s="28" t="str" cm="1">
        <f t="array" ref="V69">IFERROR(INDEX('Raw Period DMR Data'!N:N,MATCH(1,(B69='Raw Period DMR Data'!$A:$A)*(U69='Raw Period DMR Data'!M:M)*(X69='Raw Period DMR Data'!C:C),0),1), "N/A")</f>
        <v>N/A</v>
      </c>
      <c r="W69" s="28" t="s">
        <v>1463</v>
      </c>
      <c r="X69" s="28" t="s">
        <v>931</v>
      </c>
      <c r="Y69" s="28" t="s">
        <v>7250</v>
      </c>
      <c r="Z69" s="61" t="s">
        <v>7323</v>
      </c>
      <c r="AA69" s="60"/>
      <c r="AC69" s="28" t="s">
        <v>1466</v>
      </c>
    </row>
    <row r="70" spans="1:29" s="28" customFormat="1" x14ac:dyDescent="0.25">
      <c r="A70" s="61">
        <v>110000572782</v>
      </c>
      <c r="B70" s="28">
        <v>2024</v>
      </c>
      <c r="C70" s="68">
        <f t="shared" si="1"/>
        <v>45292</v>
      </c>
      <c r="D70" s="28" t="s">
        <v>6779</v>
      </c>
      <c r="E70" s="28" t="s">
        <v>617</v>
      </c>
      <c r="F70" s="28" t="s">
        <v>618</v>
      </c>
      <c r="G70" s="28" t="s">
        <v>311</v>
      </c>
      <c r="H70" s="28">
        <v>26501</v>
      </c>
      <c r="I70" s="28">
        <v>39.599829999999997</v>
      </c>
      <c r="J70" s="28">
        <v>-79.97148</v>
      </c>
      <c r="K70" s="28" t="s">
        <v>619</v>
      </c>
      <c r="L70" s="61">
        <v>110000572782</v>
      </c>
      <c r="M70" s="28" t="s">
        <v>251</v>
      </c>
      <c r="N70" s="28">
        <v>2869</v>
      </c>
      <c r="O70" s="28" t="str">
        <f>IFERROR(VLOOKUP(N70, 'SIC &amp; NAICS Codes'!A:B, 2, FALSE), "")</f>
        <v>Industrial Organic Chemicals, NEC (aliphatics)</v>
      </c>
      <c r="S70" s="28">
        <v>5.8644562900000002E-2</v>
      </c>
      <c r="T70" s="315">
        <f>_xlfn.MAXIFS('Raw Period DMR Data'!$O:$O,'Raw Period DMR Data'!$A:$A,'Raw Annual DMR Data_2021-2024'!#REF!,'Raw Period DMR Data'!$C:$C,X70)/S70</f>
        <v>0</v>
      </c>
      <c r="U70" s="28" t="str">
        <f>+IF(COUNTIFS('Raw Period DMR Data'!$A:$A,B70,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0" s="28" t="str" cm="1">
        <f t="array" ref="V70">IFERROR(INDEX('Raw Period DMR Data'!N:N,MATCH(1,(B70='Raw Period DMR Data'!$A:$A)*(U70='Raw Period DMR Data'!M:M)*(X70='Raw Period DMR Data'!C:C),0),1), "N/A")</f>
        <v>N/A</v>
      </c>
      <c r="W70" s="28" t="s">
        <v>1463</v>
      </c>
      <c r="X70" s="28" t="s">
        <v>931</v>
      </c>
      <c r="Y70" s="28" t="s">
        <v>7250</v>
      </c>
      <c r="Z70" s="61">
        <v>5020003000026</v>
      </c>
      <c r="AA70" s="60"/>
      <c r="AC70" s="28" t="s">
        <v>1466</v>
      </c>
    </row>
    <row r="71" spans="1:29" s="28" customFormat="1" x14ac:dyDescent="0.25">
      <c r="A71" s="61">
        <v>110000572782</v>
      </c>
      <c r="B71" s="28">
        <v>2023</v>
      </c>
      <c r="C71" s="68">
        <f t="shared" si="1"/>
        <v>44927</v>
      </c>
      <c r="D71" s="28" t="s">
        <v>6779</v>
      </c>
      <c r="E71" s="28" t="s">
        <v>617</v>
      </c>
      <c r="F71" s="28" t="s">
        <v>618</v>
      </c>
      <c r="G71" s="28" t="s">
        <v>311</v>
      </c>
      <c r="H71" s="28">
        <v>26501</v>
      </c>
      <c r="I71" s="28">
        <v>39.599829999999997</v>
      </c>
      <c r="J71" s="28">
        <v>-79.97148</v>
      </c>
      <c r="K71" s="28" t="s">
        <v>619</v>
      </c>
      <c r="L71" s="61">
        <v>110000572782</v>
      </c>
      <c r="M71" s="28" t="s">
        <v>251</v>
      </c>
      <c r="N71" s="28">
        <v>2869</v>
      </c>
      <c r="O71" s="28" t="str">
        <f>IFERROR(VLOOKUP(N71, 'SIC &amp; NAICS Codes'!A:B, 2, FALSE), "")</f>
        <v>Industrial Organic Chemicals, NEC (aliphatics)</v>
      </c>
      <c r="S71" s="28">
        <v>5.4896580200000003E-2</v>
      </c>
      <c r="T71" s="315">
        <f>_xlfn.MAXIFS('Raw Period DMR Data'!$O:$O,'Raw Period DMR Data'!$A:$A,'Raw Annual DMR Data_2021-2024'!#REF!,'Raw Period DMR Data'!$C:$C,X71)/S71</f>
        <v>0</v>
      </c>
      <c r="U71" s="28" t="str">
        <f>+IF(COUNTIFS('Raw Period DMR Data'!$A:$A,B71,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1" s="28" t="str" cm="1">
        <f t="array" ref="V71">IFERROR(INDEX('Raw Period DMR Data'!N:N,MATCH(1,(B71='Raw Period DMR Data'!$A:$A)*(U71='Raw Period DMR Data'!M:M)*(X71='Raw Period DMR Data'!C:C),0),1), "N/A")</f>
        <v>N/A</v>
      </c>
      <c r="W71" s="28" t="s">
        <v>1463</v>
      </c>
      <c r="X71" s="28" t="s">
        <v>931</v>
      </c>
      <c r="Y71" s="28" t="s">
        <v>7250</v>
      </c>
      <c r="Z71" s="61" t="s">
        <v>7323</v>
      </c>
      <c r="AA71" s="60"/>
      <c r="AC71" s="28" t="s">
        <v>1466</v>
      </c>
    </row>
    <row r="72" spans="1:29" s="28" customFormat="1" x14ac:dyDescent="0.25">
      <c r="A72" s="61">
        <v>110000572782</v>
      </c>
      <c r="B72" s="28">
        <v>2022</v>
      </c>
      <c r="C72" s="68">
        <f t="shared" si="1"/>
        <v>44562</v>
      </c>
      <c r="D72" s="28" t="s">
        <v>6779</v>
      </c>
      <c r="E72" s="28" t="s">
        <v>617</v>
      </c>
      <c r="F72" s="28" t="s">
        <v>618</v>
      </c>
      <c r="G72" s="28" t="s">
        <v>311</v>
      </c>
      <c r="H72" s="28">
        <v>26501</v>
      </c>
      <c r="I72" s="28">
        <v>39.599829999999997</v>
      </c>
      <c r="J72" s="28">
        <v>-79.97148</v>
      </c>
      <c r="K72" s="28" t="s">
        <v>619</v>
      </c>
      <c r="L72" s="61">
        <v>110000572782</v>
      </c>
      <c r="M72" s="28" t="s">
        <v>251</v>
      </c>
      <c r="N72" s="28">
        <v>2869</v>
      </c>
      <c r="O72" s="28" t="str">
        <f>IFERROR(VLOOKUP(N72, 'SIC &amp; NAICS Codes'!A:B, 2, FALSE), "")</f>
        <v>Industrial Organic Chemicals, NEC (aliphatics)</v>
      </c>
      <c r="S72" s="28">
        <v>5.4361381200000003E-2</v>
      </c>
      <c r="T72" s="315">
        <f>_xlfn.MAXIFS('Raw Period DMR Data'!$O:$O,'Raw Period DMR Data'!$A:$A,'Raw Annual DMR Data_2021-2024'!#REF!,'Raw Period DMR Data'!$C:$C,X72)/S72</f>
        <v>0</v>
      </c>
      <c r="U72" s="28" t="str">
        <f>+IF(COUNTIFS('Raw Period DMR Data'!$A:$A,B72,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2" s="28" t="str" cm="1">
        <f t="array" ref="V72">IFERROR(INDEX('Raw Period DMR Data'!N:N,MATCH(1,(B72='Raw Period DMR Data'!$A:$A)*(U72='Raw Period DMR Data'!M:M)*(X72='Raw Period DMR Data'!C:C),0),1), "N/A")</f>
        <v>N/A</v>
      </c>
      <c r="W72" s="28" t="s">
        <v>1463</v>
      </c>
      <c r="X72" s="28" t="s">
        <v>931</v>
      </c>
      <c r="Y72" s="28" t="s">
        <v>7250</v>
      </c>
      <c r="Z72" s="61">
        <v>5020003000026</v>
      </c>
      <c r="AA72" s="60"/>
      <c r="AC72" s="28" t="s">
        <v>1466</v>
      </c>
    </row>
    <row r="73" spans="1:29" s="28" customFormat="1" x14ac:dyDescent="0.25">
      <c r="A73" s="61">
        <v>110000572782</v>
      </c>
      <c r="B73" s="28">
        <v>2024</v>
      </c>
      <c r="C73" s="68">
        <f t="shared" si="1"/>
        <v>45292</v>
      </c>
      <c r="D73" s="28" t="s">
        <v>6779</v>
      </c>
      <c r="E73" s="28" t="s">
        <v>617</v>
      </c>
      <c r="F73" s="28" t="s">
        <v>618</v>
      </c>
      <c r="G73" s="28" t="s">
        <v>311</v>
      </c>
      <c r="H73" s="28">
        <v>26501</v>
      </c>
      <c r="I73" s="28">
        <v>39.599829999999997</v>
      </c>
      <c r="J73" s="28">
        <v>-79.97148</v>
      </c>
      <c r="K73" s="28" t="s">
        <v>619</v>
      </c>
      <c r="L73" s="61">
        <v>110000572782</v>
      </c>
      <c r="M73" s="28" t="s">
        <v>251</v>
      </c>
      <c r="N73" s="28">
        <v>2869</v>
      </c>
      <c r="O73" s="28" t="str">
        <f>IFERROR(VLOOKUP(N73, 'SIC &amp; NAICS Codes'!A:B, 2, FALSE), "")</f>
        <v>Industrial Organic Chemicals, NEC (aliphatics)</v>
      </c>
      <c r="S73" s="28">
        <v>3.5761580000000001E-2</v>
      </c>
      <c r="T73" s="315">
        <f>_xlfn.MAXIFS('Raw Period DMR Data'!$O:$O,'Raw Period DMR Data'!$A:$A,'Raw Annual DMR Data_2021-2024'!#REF!,'Raw Period DMR Data'!$C:$C,X73)/S73</f>
        <v>0</v>
      </c>
      <c r="U73" s="28" t="str">
        <f>+IF(COUNTIFS('Raw Period DMR Data'!$A:$A,B73,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3" s="28" t="str" cm="1">
        <f t="array" ref="V73">IFERROR(INDEX('Raw Period DMR Data'!N:N,MATCH(1,(B73='Raw Period DMR Data'!$A:$A)*(U73='Raw Period DMR Data'!M:M)*(X73='Raw Period DMR Data'!C:C),0),1), "N/A")</f>
        <v>N/A</v>
      </c>
      <c r="W73" s="28" t="s">
        <v>1463</v>
      </c>
      <c r="X73" s="28" t="s">
        <v>931</v>
      </c>
      <c r="Y73" s="28" t="s">
        <v>7250</v>
      </c>
      <c r="Z73" s="61">
        <v>5020003000026</v>
      </c>
      <c r="AA73" s="60"/>
      <c r="AC73" s="28" t="s">
        <v>1466</v>
      </c>
    </row>
    <row r="74" spans="1:29" s="28" customFormat="1" x14ac:dyDescent="0.25">
      <c r="A74" s="61">
        <v>110000572782</v>
      </c>
      <c r="B74" s="28">
        <v>2022</v>
      </c>
      <c r="C74" s="68">
        <f t="shared" si="1"/>
        <v>44562</v>
      </c>
      <c r="D74" s="28" t="s">
        <v>6779</v>
      </c>
      <c r="E74" s="28" t="s">
        <v>617</v>
      </c>
      <c r="F74" s="28" t="s">
        <v>618</v>
      </c>
      <c r="G74" s="28" t="s">
        <v>311</v>
      </c>
      <c r="H74" s="28">
        <v>26501</v>
      </c>
      <c r="I74" s="28">
        <v>39.599829999999997</v>
      </c>
      <c r="J74" s="28">
        <v>-79.97148</v>
      </c>
      <c r="K74" s="28" t="s">
        <v>619</v>
      </c>
      <c r="L74" s="61">
        <v>110000572782</v>
      </c>
      <c r="M74" s="28" t="s">
        <v>251</v>
      </c>
      <c r="N74" s="28">
        <v>2869</v>
      </c>
      <c r="O74" s="28" t="str">
        <f>IFERROR(VLOOKUP(N74, 'SIC &amp; NAICS Codes'!A:B, 2, FALSE), "")</f>
        <v>Industrial Organic Chemicals, NEC (aliphatics)</v>
      </c>
      <c r="S74" s="28">
        <v>2.768265E-2</v>
      </c>
      <c r="T74" s="315">
        <f>_xlfn.MAXIFS('Raw Period DMR Data'!$O:$O,'Raw Period DMR Data'!$A:$A,'Raw Annual DMR Data_2021-2024'!#REF!,'Raw Period DMR Data'!$C:$C,X74)/S74</f>
        <v>0</v>
      </c>
      <c r="U74" s="28" t="str">
        <f>+IF(COUNTIFS('Raw Period DMR Data'!$A:$A,B74,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4" s="28" t="str" cm="1">
        <f t="array" ref="V74">IFERROR(INDEX('Raw Period DMR Data'!N:N,MATCH(1,(B74='Raw Period DMR Data'!$A:$A)*(U74='Raw Period DMR Data'!M:M)*(X74='Raw Period DMR Data'!C:C),0),1), "N/A")</f>
        <v>N/A</v>
      </c>
      <c r="W74" s="28" t="s">
        <v>1463</v>
      </c>
      <c r="X74" s="28" t="s">
        <v>931</v>
      </c>
      <c r="Y74" s="28" t="s">
        <v>7250</v>
      </c>
      <c r="Z74" s="61">
        <v>5020003000026</v>
      </c>
      <c r="AA74" s="60"/>
      <c r="AC74" s="28" t="s">
        <v>1466</v>
      </c>
    </row>
    <row r="75" spans="1:29" s="28" customFormat="1" x14ac:dyDescent="0.25">
      <c r="A75" s="61">
        <v>110000494894</v>
      </c>
      <c r="B75" s="28">
        <v>2021</v>
      </c>
      <c r="C75" s="68">
        <f t="shared" si="1"/>
        <v>44197</v>
      </c>
      <c r="D75" s="28" t="s">
        <v>6772</v>
      </c>
      <c r="E75" s="28" t="s">
        <v>445</v>
      </c>
      <c r="F75" s="28" t="s">
        <v>446</v>
      </c>
      <c r="G75" s="28" t="s">
        <v>303</v>
      </c>
      <c r="H75" s="28">
        <v>70669</v>
      </c>
      <c r="I75" s="28">
        <v>30.223500000000001</v>
      </c>
      <c r="J75" s="28">
        <v>-93.286900000000003</v>
      </c>
      <c r="K75" s="28" t="s">
        <v>447</v>
      </c>
      <c r="L75" s="61">
        <v>110000494894</v>
      </c>
      <c r="M75" s="28" t="s">
        <v>251</v>
      </c>
      <c r="N75" s="28">
        <v>2869</v>
      </c>
      <c r="O75" s="28" t="str">
        <f>IFERROR(VLOOKUP(N75, 'SIC &amp; NAICS Codes'!A:B, 2, FALSE), "")</f>
        <v>Industrial Organic Chemicals, NEC (aliphatics)</v>
      </c>
      <c r="S75" s="28">
        <v>8358.1712917999994</v>
      </c>
      <c r="T75" s="315">
        <f>_xlfn.MAXIFS('Raw Period DMR Data'!$O:$O,'Raw Period DMR Data'!$A:$A,'Raw Annual DMR Data_2021-2024'!B848,'Raw Period DMR Data'!$C:$C,X75)/S75</f>
        <v>0</v>
      </c>
      <c r="U75" s="28" t="str">
        <f>+IF(COUNTIFS('Raw Period DMR Data'!$A:$A,B75, 'Raw Period DMR Data'!C:C,'Raw Annual DMR Data_2021-2024'!X848, 'Raw Period DMR Data'!M:M, "&gt;0")&gt;0,_xlfn.MAXIFS('Raw Period DMR Data'!M:M,'Raw Period DMR Data'!$A:$A,'Raw Annual DMR Data_2021-2024'!B848,'Raw Period DMR Data'!C:C,'Raw Annual DMR Data_2021-2024'!X848), "N/A - Period DMR Data Not Available")</f>
        <v>N/A - Period DMR Data Not Available</v>
      </c>
      <c r="V75" s="28" t="str" cm="1">
        <f t="array" ref="V75">IFERROR(INDEX('Raw Period DMR Data'!N:N,MATCH(1,(B75='Raw Period DMR Data'!$A:$A)*(U75='Raw Period DMR Data'!M:M)*(X75='Raw Period DMR Data'!C:C),0),1), "N/A")</f>
        <v>N/A</v>
      </c>
      <c r="W75" s="28" t="s">
        <v>1463</v>
      </c>
      <c r="X75" s="28" t="s">
        <v>839</v>
      </c>
      <c r="Y75" s="28" t="s">
        <v>840</v>
      </c>
      <c r="Z75" s="61">
        <v>8080206001241</v>
      </c>
      <c r="AC75" s="28" t="s">
        <v>1466</v>
      </c>
    </row>
    <row r="76" spans="1:29" s="28" customFormat="1" x14ac:dyDescent="0.25">
      <c r="A76" s="61">
        <v>110000494894</v>
      </c>
      <c r="B76" s="28">
        <v>2022</v>
      </c>
      <c r="C76" s="68">
        <f t="shared" si="1"/>
        <v>44562</v>
      </c>
      <c r="D76" s="28" t="s">
        <v>6772</v>
      </c>
      <c r="E76" s="28" t="s">
        <v>445</v>
      </c>
      <c r="F76" s="28" t="s">
        <v>446</v>
      </c>
      <c r="G76" s="28" t="s">
        <v>303</v>
      </c>
      <c r="H76" s="28">
        <v>70669</v>
      </c>
      <c r="I76" s="28">
        <v>30.223500000000001</v>
      </c>
      <c r="J76" s="28">
        <v>-93.286900000000003</v>
      </c>
      <c r="K76" s="28" t="s">
        <v>447</v>
      </c>
      <c r="L76" s="61">
        <v>110000494894</v>
      </c>
      <c r="M76" s="28" t="s">
        <v>251</v>
      </c>
      <c r="N76" s="28">
        <v>2869</v>
      </c>
      <c r="O76" s="28" t="str">
        <f>IFERROR(VLOOKUP(N76, 'SIC &amp; NAICS Codes'!A:B, 2, FALSE), "")</f>
        <v>Industrial Organic Chemicals, NEC (aliphatics)</v>
      </c>
      <c r="S76" s="28">
        <v>1238.7015071999999</v>
      </c>
      <c r="T76" s="315">
        <f>_xlfn.MAXIFS('Raw Period DMR Data'!$O:$O,'Raw Period DMR Data'!$A:$A,'Raw Annual DMR Data_2021-2024'!B850,'Raw Period DMR Data'!$C:$C,X76)/S76</f>
        <v>0</v>
      </c>
      <c r="U76" s="28" t="str">
        <f>+IF(COUNTIFS('Raw Period DMR Data'!$A:$A,B76, 'Raw Period DMR Data'!C:C,'Raw Annual DMR Data_2021-2024'!X850, 'Raw Period DMR Data'!M:M, "&gt;0")&gt;0,_xlfn.MAXIFS('Raw Period DMR Data'!M:M,'Raw Period DMR Data'!$A:$A,'Raw Annual DMR Data_2021-2024'!B850,'Raw Period DMR Data'!C:C,'Raw Annual DMR Data_2021-2024'!X850), "N/A - Period DMR Data Not Available")</f>
        <v>N/A - Period DMR Data Not Available</v>
      </c>
      <c r="V76" s="28" t="str" cm="1">
        <f t="array" ref="V76">IFERROR(INDEX('Raw Period DMR Data'!N:N,MATCH(1,(B76='Raw Period DMR Data'!$A:$A)*(U76='Raw Period DMR Data'!M:M)*(X76='Raw Period DMR Data'!C:C),0),1), "N/A")</f>
        <v>N/A</v>
      </c>
      <c r="W76" s="28" t="s">
        <v>1463</v>
      </c>
      <c r="X76" s="28" t="s">
        <v>839</v>
      </c>
      <c r="Y76" s="28" t="s">
        <v>840</v>
      </c>
      <c r="Z76" s="61">
        <v>8080206001241</v>
      </c>
      <c r="AA76" s="60"/>
      <c r="AC76" s="28" t="s">
        <v>1466</v>
      </c>
    </row>
    <row r="77" spans="1:29" s="28" customFormat="1" x14ac:dyDescent="0.25">
      <c r="A77" s="61">
        <v>110000494894</v>
      </c>
      <c r="B77" s="28">
        <v>2024</v>
      </c>
      <c r="C77" s="68">
        <f t="shared" si="1"/>
        <v>45292</v>
      </c>
      <c r="D77" s="28" t="s">
        <v>6772</v>
      </c>
      <c r="E77" s="28" t="s">
        <v>445</v>
      </c>
      <c r="F77" s="28" t="s">
        <v>446</v>
      </c>
      <c r="G77" s="28" t="s">
        <v>303</v>
      </c>
      <c r="H77" s="28">
        <v>70669</v>
      </c>
      <c r="I77" s="28">
        <v>30.223500000000001</v>
      </c>
      <c r="J77" s="28">
        <v>-93.286900000000003</v>
      </c>
      <c r="K77" s="28" t="s">
        <v>447</v>
      </c>
      <c r="L77" s="61">
        <v>110000494894</v>
      </c>
      <c r="M77" s="28" t="s">
        <v>251</v>
      </c>
      <c r="N77" s="28">
        <v>2869</v>
      </c>
      <c r="O77" s="28" t="str">
        <f>IFERROR(VLOOKUP(N77, 'SIC &amp; NAICS Codes'!A:B, 2, FALSE), "")</f>
        <v>Industrial Organic Chemicals, NEC (aliphatics)</v>
      </c>
      <c r="S77" s="28">
        <v>326.44869999999997</v>
      </c>
      <c r="T77" s="315">
        <f>_xlfn.MAXIFS('Raw Period DMR Data'!$O:$O,'Raw Period DMR Data'!$A:$A,'Raw Annual DMR Data_2021-2024'!B857,'Raw Period DMR Data'!$C:$C,X77)/S77</f>
        <v>0</v>
      </c>
      <c r="U77" s="28" t="str">
        <f>+IF(COUNTIFS('Raw Period DMR Data'!$A:$A,B77, 'Raw Period DMR Data'!C:C,'Raw Annual DMR Data_2021-2024'!X857, 'Raw Period DMR Data'!M:M, "&gt;0")&gt;0,_xlfn.MAXIFS('Raw Period DMR Data'!M:M,'Raw Period DMR Data'!$A:$A,'Raw Annual DMR Data_2021-2024'!B857,'Raw Period DMR Data'!C:C,'Raw Annual DMR Data_2021-2024'!X857), "N/A - Period DMR Data Not Available")</f>
        <v>N/A - Period DMR Data Not Available</v>
      </c>
      <c r="V77" s="28" t="str" cm="1">
        <f t="array" ref="V77">IFERROR(INDEX('Raw Period DMR Data'!N:N,MATCH(1,(B77='Raw Period DMR Data'!$A:$A)*(U77='Raw Period DMR Data'!M:M)*(X77='Raw Period DMR Data'!C:C),0),1), "N/A")</f>
        <v>N/A</v>
      </c>
      <c r="W77" s="28" t="s">
        <v>1463</v>
      </c>
      <c r="X77" s="28" t="s">
        <v>839</v>
      </c>
      <c r="Y77" s="28" t="s">
        <v>840</v>
      </c>
      <c r="Z77" s="61">
        <v>8080206001241</v>
      </c>
      <c r="AA77" s="60"/>
      <c r="AC77" s="28" t="s">
        <v>1466</v>
      </c>
    </row>
    <row r="78" spans="1:29" s="28" customFormat="1" x14ac:dyDescent="0.25">
      <c r="A78" s="61">
        <v>110000746328</v>
      </c>
      <c r="B78" s="28">
        <v>2024</v>
      </c>
      <c r="C78" s="68">
        <f t="shared" si="1"/>
        <v>45292</v>
      </c>
      <c r="D78" s="28" t="s">
        <v>6771</v>
      </c>
      <c r="E78" s="28" t="s">
        <v>665</v>
      </c>
      <c r="F78" s="28" t="s">
        <v>516</v>
      </c>
      <c r="G78" s="28" t="s">
        <v>303</v>
      </c>
      <c r="H78" s="28">
        <v>70734</v>
      </c>
      <c r="I78" s="28">
        <v>30.208604000000001</v>
      </c>
      <c r="J78" s="28">
        <v>-91.011127999999999</v>
      </c>
      <c r="K78" s="28" t="s">
        <v>666</v>
      </c>
      <c r="L78" s="61">
        <v>110000746328</v>
      </c>
      <c r="M78" s="28" t="s">
        <v>251</v>
      </c>
      <c r="N78" s="28">
        <v>2869</v>
      </c>
      <c r="O78" s="28" t="str">
        <f>IFERROR(VLOOKUP(N78, 'SIC &amp; NAICS Codes'!A:B, 2, FALSE), "")</f>
        <v>Industrial Organic Chemicals, NEC (aliphatics)</v>
      </c>
      <c r="S78" s="28">
        <v>31.184352000000001</v>
      </c>
      <c r="T78" s="315">
        <f>_xlfn.MAXIFS('Raw Period DMR Data'!$O:$O,'Raw Period DMR Data'!$A:$A,'Raw Annual DMR Data_2021-2024'!B895,'Raw Period DMR Data'!$C:$C,X78)/S78</f>
        <v>0</v>
      </c>
      <c r="U78" s="28" t="str">
        <f>+IF(COUNTIFS('Raw Period DMR Data'!$A:$A,B78, 'Raw Period DMR Data'!C:C,'Raw Annual DMR Data_2021-2024'!X895, 'Raw Period DMR Data'!M:M, "&gt;0")&gt;0,_xlfn.MAXIFS('Raw Period DMR Data'!M:M,'Raw Period DMR Data'!$A:$A,'Raw Annual DMR Data_2021-2024'!B895,'Raw Period DMR Data'!C:C,'Raw Annual DMR Data_2021-2024'!X895), "N/A - Period DMR Data Not Available")</f>
        <v>N/A - Period DMR Data Not Available</v>
      </c>
      <c r="V78" s="28" t="str" cm="1">
        <f t="array" ref="V78">IFERROR(INDEX('Raw Period DMR Data'!N:N,MATCH(1,(B78='Raw Period DMR Data'!$A:$A)*(U78='Raw Period DMR Data'!M:M)*(X78='Raw Period DMR Data'!C:C),0),1), "N/A")</f>
        <v>N/A</v>
      </c>
      <c r="W78" s="28" t="s">
        <v>1463</v>
      </c>
      <c r="X78" s="28" t="s">
        <v>956</v>
      </c>
      <c r="Y78" s="28" t="s">
        <v>816</v>
      </c>
      <c r="Z78" s="61">
        <v>8070204000982</v>
      </c>
      <c r="AA78" s="60"/>
      <c r="AC78" s="28" t="s">
        <v>1466</v>
      </c>
    </row>
    <row r="79" spans="1:29" s="28" customFormat="1" x14ac:dyDescent="0.25">
      <c r="A79" s="61">
        <v>110000746328</v>
      </c>
      <c r="B79" s="28">
        <v>2021</v>
      </c>
      <c r="C79" s="68">
        <f t="shared" si="1"/>
        <v>44197</v>
      </c>
      <c r="D79" s="28" t="s">
        <v>6771</v>
      </c>
      <c r="E79" s="28" t="s">
        <v>665</v>
      </c>
      <c r="F79" s="28" t="s">
        <v>516</v>
      </c>
      <c r="G79" s="28" t="s">
        <v>303</v>
      </c>
      <c r="H79" s="28">
        <v>70734</v>
      </c>
      <c r="I79" s="28">
        <v>30.208604000000001</v>
      </c>
      <c r="J79" s="28">
        <v>-91.011127999999999</v>
      </c>
      <c r="K79" s="28" t="s">
        <v>666</v>
      </c>
      <c r="L79" s="61">
        <v>110000746328</v>
      </c>
      <c r="M79" s="28" t="s">
        <v>251</v>
      </c>
      <c r="N79" s="28">
        <v>2869</v>
      </c>
      <c r="O79" s="28" t="str">
        <f>IFERROR(VLOOKUP(N79, 'SIC &amp; NAICS Codes'!A:B, 2, FALSE), "")</f>
        <v>Industrial Organic Chemicals, NEC (aliphatics)</v>
      </c>
      <c r="S79" s="28">
        <v>12.8028</v>
      </c>
      <c r="T79" s="315">
        <f>_xlfn.MAXIFS('Raw Period DMR Data'!$O:$O,'Raw Period DMR Data'!$A:$A,'Raw Annual DMR Data_2021-2024'!B933,'Raw Period DMR Data'!$C:$C,X79)/S79</f>
        <v>0</v>
      </c>
      <c r="U79" s="28" t="str">
        <f>+IF(COUNTIFS('Raw Period DMR Data'!$A:$A,B79, 'Raw Period DMR Data'!C:C,'Raw Annual DMR Data_2021-2024'!X933, 'Raw Period DMR Data'!M:M, "&gt;0")&gt;0,_xlfn.MAXIFS('Raw Period DMR Data'!M:M,'Raw Period DMR Data'!$A:$A,'Raw Annual DMR Data_2021-2024'!B933,'Raw Period DMR Data'!C:C,'Raw Annual DMR Data_2021-2024'!X933), "N/A - Period DMR Data Not Available")</f>
        <v>N/A - Period DMR Data Not Available</v>
      </c>
      <c r="V79" s="28" t="str" cm="1">
        <f t="array" ref="V79">IFERROR(INDEX('Raw Period DMR Data'!N:N,MATCH(1,(B79='Raw Period DMR Data'!$A:$A)*(U79='Raw Period DMR Data'!M:M)*(X79='Raw Period DMR Data'!C:C),0),1), "N/A")</f>
        <v>N/A</v>
      </c>
      <c r="W79" s="28" t="s">
        <v>1463</v>
      </c>
      <c r="X79" s="28" t="s">
        <v>956</v>
      </c>
      <c r="Y79" s="28" t="s">
        <v>816</v>
      </c>
      <c r="Z79" s="61">
        <v>8070204000982</v>
      </c>
      <c r="AA79" s="60"/>
      <c r="AC79" s="28" t="s">
        <v>1466</v>
      </c>
    </row>
    <row r="80" spans="1:29" s="28" customFormat="1" x14ac:dyDescent="0.25">
      <c r="A80" s="61">
        <v>110000746328</v>
      </c>
      <c r="B80" s="28">
        <v>2022</v>
      </c>
      <c r="C80" s="68">
        <f t="shared" si="1"/>
        <v>44562</v>
      </c>
      <c r="D80" s="28" t="s">
        <v>6771</v>
      </c>
      <c r="E80" s="28" t="s">
        <v>665</v>
      </c>
      <c r="F80" s="28" t="s">
        <v>516</v>
      </c>
      <c r="G80" s="28" t="s">
        <v>303</v>
      </c>
      <c r="H80" s="28">
        <v>70734</v>
      </c>
      <c r="I80" s="28">
        <v>30.208604000000001</v>
      </c>
      <c r="J80" s="28">
        <v>-91.011127999999999</v>
      </c>
      <c r="K80" s="28" t="s">
        <v>666</v>
      </c>
      <c r="L80" s="61">
        <v>110000746328</v>
      </c>
      <c r="M80" s="28" t="s">
        <v>251</v>
      </c>
      <c r="N80" s="28">
        <v>2869</v>
      </c>
      <c r="O80" s="28" t="str">
        <f>IFERROR(VLOOKUP(N80, 'SIC &amp; NAICS Codes'!A:B, 2, FALSE), "")</f>
        <v>Industrial Organic Chemicals, NEC (aliphatics)</v>
      </c>
      <c r="S80" s="28">
        <v>12.47592</v>
      </c>
      <c r="T80" s="315">
        <f>_xlfn.MAXIFS('Raw Period DMR Data'!$O:$O,'Raw Period DMR Data'!$A:$A,'Raw Annual DMR Data_2021-2024'!B934,'Raw Period DMR Data'!$C:$C,X80)/S80</f>
        <v>0</v>
      </c>
      <c r="U80" s="28" t="str">
        <f>+IF(COUNTIFS('Raw Period DMR Data'!$A:$A,B80, 'Raw Period DMR Data'!C:C,'Raw Annual DMR Data_2021-2024'!X934, 'Raw Period DMR Data'!M:M, "&gt;0")&gt;0,_xlfn.MAXIFS('Raw Period DMR Data'!M:M,'Raw Period DMR Data'!$A:$A,'Raw Annual DMR Data_2021-2024'!B934,'Raw Period DMR Data'!C:C,'Raw Annual DMR Data_2021-2024'!X934), "N/A - Period DMR Data Not Available")</f>
        <v>N/A - Period DMR Data Not Available</v>
      </c>
      <c r="V80" s="28" t="str" cm="1">
        <f t="array" ref="V80">IFERROR(INDEX('Raw Period DMR Data'!N:N,MATCH(1,(B80='Raw Period DMR Data'!$A:$A)*(U80='Raw Period DMR Data'!M:M)*(X80='Raw Period DMR Data'!C:C),0),1), "N/A")</f>
        <v>N/A</v>
      </c>
      <c r="W80" s="28" t="s">
        <v>1463</v>
      </c>
      <c r="X80" s="28" t="s">
        <v>956</v>
      </c>
      <c r="Y80" s="28" t="s">
        <v>816</v>
      </c>
      <c r="Z80" s="61">
        <v>8070204000982</v>
      </c>
      <c r="AA80" s="60"/>
      <c r="AC80" s="28" t="s">
        <v>1466</v>
      </c>
    </row>
    <row r="81" spans="1:29" s="28" customFormat="1" x14ac:dyDescent="0.25">
      <c r="A81" s="61">
        <v>110000746328</v>
      </c>
      <c r="B81" s="28">
        <v>2023</v>
      </c>
      <c r="C81" s="68">
        <f t="shared" si="1"/>
        <v>44927</v>
      </c>
      <c r="D81" s="28" t="s">
        <v>6771</v>
      </c>
      <c r="E81" s="28" t="s">
        <v>665</v>
      </c>
      <c r="F81" s="28" t="s">
        <v>516</v>
      </c>
      <c r="G81" s="28" t="s">
        <v>303</v>
      </c>
      <c r="H81" s="28">
        <v>70734</v>
      </c>
      <c r="I81" s="28">
        <v>30.208604000000001</v>
      </c>
      <c r="J81" s="28">
        <v>-91.011127999999999</v>
      </c>
      <c r="K81" s="28" t="s">
        <v>666</v>
      </c>
      <c r="L81" s="61">
        <v>110000746328</v>
      </c>
      <c r="M81" s="28" t="s">
        <v>251</v>
      </c>
      <c r="N81" s="28">
        <v>2869</v>
      </c>
      <c r="O81" s="28" t="str">
        <f>IFERROR(VLOOKUP(N81, 'SIC &amp; NAICS Codes'!A:B, 2, FALSE), "")</f>
        <v>Industrial Organic Chemicals, NEC (aliphatics)</v>
      </c>
      <c r="S81" s="28">
        <v>5.0666399999999996</v>
      </c>
      <c r="T81" s="315">
        <f>_xlfn.MAXIFS('Raw Period DMR Data'!$O:$O,'Raw Period DMR Data'!$A:$A,'Raw Annual DMR Data_2021-2024'!B981,'Raw Period DMR Data'!$C:$C,X81)/S81</f>
        <v>0</v>
      </c>
      <c r="U81" s="28" t="str">
        <f>+IF(COUNTIFS('Raw Period DMR Data'!$A:$A,B81, 'Raw Period DMR Data'!C:C,'Raw Annual DMR Data_2021-2024'!X981, 'Raw Period DMR Data'!M:M, "&gt;0")&gt;0,_xlfn.MAXIFS('Raw Period DMR Data'!M:M,'Raw Period DMR Data'!$A:$A,'Raw Annual DMR Data_2021-2024'!B981,'Raw Period DMR Data'!C:C,'Raw Annual DMR Data_2021-2024'!X981), "N/A - Period DMR Data Not Available")</f>
        <v>N/A - Period DMR Data Not Available</v>
      </c>
      <c r="V81" s="28" t="str" cm="1">
        <f t="array" ref="V81">IFERROR(INDEX('Raw Period DMR Data'!N:N,MATCH(1,(B81='Raw Period DMR Data'!$A:$A)*(U81='Raw Period DMR Data'!M:M)*(X81='Raw Period DMR Data'!C:C),0),1), "N/A")</f>
        <v>N/A</v>
      </c>
      <c r="W81" s="28" t="s">
        <v>1463</v>
      </c>
      <c r="X81" s="28" t="s">
        <v>956</v>
      </c>
      <c r="Y81" s="28" t="s">
        <v>816</v>
      </c>
      <c r="Z81" s="61" t="s">
        <v>7338</v>
      </c>
      <c r="AA81" s="60"/>
      <c r="AC81" s="28" t="s">
        <v>1466</v>
      </c>
    </row>
    <row r="82" spans="1:29" s="28" customFormat="1" x14ac:dyDescent="0.25">
      <c r="A82" s="61">
        <v>110027373072</v>
      </c>
      <c r="B82" s="28">
        <v>2021</v>
      </c>
      <c r="C82" s="68">
        <f t="shared" si="1"/>
        <v>44197</v>
      </c>
      <c r="D82" s="28" t="s">
        <v>6792</v>
      </c>
      <c r="E82" s="28" t="s">
        <v>667</v>
      </c>
      <c r="F82" s="28" t="s">
        <v>323</v>
      </c>
      <c r="G82" s="28" t="s">
        <v>324</v>
      </c>
      <c r="H82" s="28">
        <v>42029</v>
      </c>
      <c r="I82" s="28">
        <v>37.051110999999999</v>
      </c>
      <c r="J82" s="28">
        <v>-88.334166999999994</v>
      </c>
      <c r="K82" s="28" t="s">
        <v>668</v>
      </c>
      <c r="L82" s="61">
        <v>110027373072</v>
      </c>
      <c r="M82" s="28" t="s">
        <v>251</v>
      </c>
      <c r="N82" s="28">
        <v>2812</v>
      </c>
      <c r="O82" s="28" t="str">
        <f>IFERROR(VLOOKUP(N82, 'SIC &amp; NAICS Codes'!A:B, 2, FALSE), "")</f>
        <v>Alkalies and Chlorine</v>
      </c>
      <c r="S82" s="28">
        <v>755.87663932769999</v>
      </c>
      <c r="T82" s="315">
        <f>_xlfn.MAXIFS('Raw Period DMR Data'!$O:$O,'Raw Period DMR Data'!$A:$A,'Raw Annual DMR Data_2021-2024'!B851,'Raw Period DMR Data'!$C:$C,X82)/S82</f>
        <v>0</v>
      </c>
      <c r="U82" s="28" t="str">
        <f>+IF(COUNTIFS('Raw Period DMR Data'!$A:$A,B82, 'Raw Period DMR Data'!C:C,'Raw Annual DMR Data_2021-2024'!X851, 'Raw Period DMR Data'!M:M, "&gt;0")&gt;0,_xlfn.MAXIFS('Raw Period DMR Data'!M:M,'Raw Period DMR Data'!$A:$A,'Raw Annual DMR Data_2021-2024'!B851,'Raw Period DMR Data'!C:C,'Raw Annual DMR Data_2021-2024'!X851), "N/A - Period DMR Data Not Available")</f>
        <v>N/A - Period DMR Data Not Available</v>
      </c>
      <c r="V82" s="28" t="str" cm="1">
        <f t="array" ref="V82">IFERROR(INDEX('Raw Period DMR Data'!N:N,MATCH(1,(B82='Raw Period DMR Data'!$A:$A)*(U82='Raw Period DMR Data'!M:M)*(X82='Raw Period DMR Data'!C:C),0),1), "N/A")</f>
        <v>N/A</v>
      </c>
      <c r="W82" s="28" t="s">
        <v>1463</v>
      </c>
      <c r="X82" s="28" t="s">
        <v>957</v>
      </c>
      <c r="Y82" s="28" t="s">
        <v>958</v>
      </c>
      <c r="Z82" s="61">
        <v>6040006000172</v>
      </c>
      <c r="AC82" s="28" t="s">
        <v>1466</v>
      </c>
    </row>
    <row r="83" spans="1:29" s="28" customFormat="1" x14ac:dyDescent="0.25">
      <c r="A83" s="61">
        <v>110027373072</v>
      </c>
      <c r="B83" s="28">
        <v>2023</v>
      </c>
      <c r="C83" s="68">
        <f t="shared" si="1"/>
        <v>44927</v>
      </c>
      <c r="D83" s="28" t="s">
        <v>6792</v>
      </c>
      <c r="E83" s="28" t="s">
        <v>667</v>
      </c>
      <c r="F83" s="28" t="s">
        <v>323</v>
      </c>
      <c r="G83" s="28" t="s">
        <v>324</v>
      </c>
      <c r="H83" s="28">
        <v>42029</v>
      </c>
      <c r="I83" s="28">
        <v>37.051110999999999</v>
      </c>
      <c r="J83" s="28">
        <v>-88.334166999999994</v>
      </c>
      <c r="K83" s="28" t="s">
        <v>668</v>
      </c>
      <c r="L83" s="61">
        <v>110027373072</v>
      </c>
      <c r="M83" s="28" t="s">
        <v>251</v>
      </c>
      <c r="N83" s="28">
        <v>2812</v>
      </c>
      <c r="O83" s="28" t="str">
        <f>IFERROR(VLOOKUP(N83, 'SIC &amp; NAICS Codes'!A:B, 2, FALSE), "")</f>
        <v>Alkalies and Chlorine</v>
      </c>
      <c r="S83" s="28">
        <v>356.52107899524998</v>
      </c>
      <c r="T83" s="315">
        <f>_xlfn.MAXIFS('Raw Period DMR Data'!$O:$O,'Raw Period DMR Data'!$A:$A,'Raw Annual DMR Data_2021-2024'!B856,'Raw Period DMR Data'!$C:$C,X83)/S83</f>
        <v>0</v>
      </c>
      <c r="U83" s="28" t="str">
        <f>+IF(COUNTIFS('Raw Period DMR Data'!$A:$A,B83, 'Raw Period DMR Data'!C:C,'Raw Annual DMR Data_2021-2024'!X856, 'Raw Period DMR Data'!M:M, "&gt;0")&gt;0,_xlfn.MAXIFS('Raw Period DMR Data'!M:M,'Raw Period DMR Data'!$A:$A,'Raw Annual DMR Data_2021-2024'!B856,'Raw Period DMR Data'!C:C,'Raw Annual DMR Data_2021-2024'!X856), "N/A - Period DMR Data Not Available")</f>
        <v>N/A - Period DMR Data Not Available</v>
      </c>
      <c r="V83" s="28" t="str" cm="1">
        <f t="array" ref="V83">IFERROR(INDEX('Raw Period DMR Data'!N:N,MATCH(1,(B83='Raw Period DMR Data'!$A:$A)*(U83='Raw Period DMR Data'!M:M)*(X83='Raw Period DMR Data'!C:C),0),1), "N/A")</f>
        <v>N/A</v>
      </c>
      <c r="W83" s="28" t="s">
        <v>1463</v>
      </c>
      <c r="X83" s="28" t="s">
        <v>957</v>
      </c>
      <c r="Y83" s="28" t="s">
        <v>958</v>
      </c>
      <c r="Z83" s="61">
        <v>6040006000172</v>
      </c>
      <c r="AA83" s="60"/>
      <c r="AC83" s="28" t="s">
        <v>1466</v>
      </c>
    </row>
    <row r="84" spans="1:29" s="28" customFormat="1" x14ac:dyDescent="0.25">
      <c r="A84" s="61">
        <v>110027373072</v>
      </c>
      <c r="B84" s="28">
        <v>2022</v>
      </c>
      <c r="C84" s="68">
        <f t="shared" si="1"/>
        <v>44562</v>
      </c>
      <c r="D84" s="28" t="s">
        <v>6792</v>
      </c>
      <c r="E84" s="28" t="s">
        <v>667</v>
      </c>
      <c r="F84" s="28" t="s">
        <v>323</v>
      </c>
      <c r="G84" s="28" t="s">
        <v>324</v>
      </c>
      <c r="H84" s="28">
        <v>42029</v>
      </c>
      <c r="I84" s="28">
        <v>37.051110999999999</v>
      </c>
      <c r="J84" s="28">
        <v>-88.334166999999994</v>
      </c>
      <c r="K84" s="28" t="s">
        <v>668</v>
      </c>
      <c r="L84" s="61">
        <v>110027373072</v>
      </c>
      <c r="M84" s="28" t="s">
        <v>251</v>
      </c>
      <c r="N84" s="28">
        <v>2812</v>
      </c>
      <c r="O84" s="28" t="str">
        <f>IFERROR(VLOOKUP(N84, 'SIC &amp; NAICS Codes'!A:B, 2, FALSE), "")</f>
        <v>Alkalies and Chlorine</v>
      </c>
      <c r="S84" s="28">
        <v>204.85973871190001</v>
      </c>
      <c r="T84" s="315">
        <f>_xlfn.MAXIFS('Raw Period DMR Data'!$O:$O,'Raw Period DMR Data'!$A:$A,'Raw Annual DMR Data_2021-2024'!B866,'Raw Period DMR Data'!$C:$C,X84)/S84</f>
        <v>0</v>
      </c>
      <c r="U84" s="28" t="str">
        <f>+IF(COUNTIFS('Raw Period DMR Data'!$A:$A,B84, 'Raw Period DMR Data'!C:C,'Raw Annual DMR Data_2021-2024'!X866, 'Raw Period DMR Data'!M:M, "&gt;0")&gt;0,_xlfn.MAXIFS('Raw Period DMR Data'!M:M,'Raw Period DMR Data'!$A:$A,'Raw Annual DMR Data_2021-2024'!B866,'Raw Period DMR Data'!C:C,'Raw Annual DMR Data_2021-2024'!X866), "N/A - Period DMR Data Not Available")</f>
        <v>N/A - Period DMR Data Not Available</v>
      </c>
      <c r="V84" s="28" t="str" cm="1">
        <f t="array" ref="V84">IFERROR(INDEX('Raw Period DMR Data'!N:N,MATCH(1,(B84='Raw Period DMR Data'!$A:$A)*(U84='Raw Period DMR Data'!M:M)*(X84='Raw Period DMR Data'!C:C),0),1), "N/A")</f>
        <v>N/A</v>
      </c>
      <c r="W84" s="28" t="s">
        <v>1463</v>
      </c>
      <c r="X84" s="28" t="s">
        <v>957</v>
      </c>
      <c r="Y84" s="28" t="s">
        <v>958</v>
      </c>
      <c r="Z84" s="61">
        <v>6040006000172</v>
      </c>
      <c r="AA84" s="60"/>
      <c r="AC84" s="28" t="s">
        <v>1466</v>
      </c>
    </row>
    <row r="85" spans="1:29" s="28" customFormat="1" x14ac:dyDescent="0.25">
      <c r="A85" s="61">
        <v>110027373072</v>
      </c>
      <c r="B85" s="28">
        <v>2024</v>
      </c>
      <c r="C85" s="68">
        <f t="shared" si="1"/>
        <v>45292</v>
      </c>
      <c r="D85" s="28" t="s">
        <v>6792</v>
      </c>
      <c r="E85" s="28" t="s">
        <v>667</v>
      </c>
      <c r="F85" s="28" t="s">
        <v>323</v>
      </c>
      <c r="G85" s="28" t="s">
        <v>324</v>
      </c>
      <c r="H85" s="28">
        <v>42029</v>
      </c>
      <c r="I85" s="28">
        <v>37.051110999999999</v>
      </c>
      <c r="J85" s="28">
        <v>-88.334166999999994</v>
      </c>
      <c r="K85" s="28" t="s">
        <v>668</v>
      </c>
      <c r="L85" s="61">
        <v>110027373072</v>
      </c>
      <c r="M85" s="28" t="s">
        <v>251</v>
      </c>
      <c r="N85" s="28">
        <v>2812</v>
      </c>
      <c r="O85" s="28" t="str">
        <f>IFERROR(VLOOKUP(N85, 'SIC &amp; NAICS Codes'!A:B, 2, FALSE), "")</f>
        <v>Alkalies and Chlorine</v>
      </c>
      <c r="S85" s="28">
        <v>79.424757600000007</v>
      </c>
      <c r="T85" s="315">
        <f>_xlfn.MAXIFS('Raw Period DMR Data'!$O:$O,'Raw Period DMR Data'!$A:$A,'Raw Annual DMR Data_2021-2024'!B877,'Raw Period DMR Data'!$C:$C,X85)/S85</f>
        <v>0</v>
      </c>
      <c r="U85" s="28" t="str">
        <f>+IF(COUNTIFS('Raw Period DMR Data'!$A:$A,B85, 'Raw Period DMR Data'!C:C,'Raw Annual DMR Data_2021-2024'!X877, 'Raw Period DMR Data'!M:M, "&gt;0")&gt;0,_xlfn.MAXIFS('Raw Period DMR Data'!M:M,'Raw Period DMR Data'!$A:$A,'Raw Annual DMR Data_2021-2024'!B877,'Raw Period DMR Data'!C:C,'Raw Annual DMR Data_2021-2024'!X877), "N/A - Period DMR Data Not Available")</f>
        <v>N/A - Period DMR Data Not Available</v>
      </c>
      <c r="V85" s="28" t="str" cm="1">
        <f t="array" ref="V85">IFERROR(INDEX('Raw Period DMR Data'!N:N,MATCH(1,(B85='Raw Period DMR Data'!$A:$A)*(U85='Raw Period DMR Data'!M:M)*(X85='Raw Period DMR Data'!C:C),0),1), "N/A")</f>
        <v>N/A</v>
      </c>
      <c r="W85" s="28" t="s">
        <v>1463</v>
      </c>
      <c r="X85" s="28" t="s">
        <v>957</v>
      </c>
      <c r="Y85" s="28" t="s">
        <v>958</v>
      </c>
      <c r="Z85" s="61">
        <v>6040006000172</v>
      </c>
      <c r="AA85" s="60"/>
      <c r="AC85" s="28" t="s">
        <v>1466</v>
      </c>
    </row>
    <row r="86" spans="1:29" s="28" customFormat="1" x14ac:dyDescent="0.25">
      <c r="A86" s="61">
        <v>110027373072</v>
      </c>
      <c r="B86" s="28">
        <v>2024</v>
      </c>
      <c r="C86" s="68">
        <f t="shared" si="1"/>
        <v>45292</v>
      </c>
      <c r="D86" s="28" t="s">
        <v>6792</v>
      </c>
      <c r="E86" s="28" t="s">
        <v>667</v>
      </c>
      <c r="F86" s="28" t="s">
        <v>323</v>
      </c>
      <c r="G86" s="28" t="s">
        <v>324</v>
      </c>
      <c r="H86" s="28">
        <v>42029</v>
      </c>
      <c r="I86" s="28">
        <v>37.051110999999999</v>
      </c>
      <c r="J86" s="28">
        <v>-88.334166999999994</v>
      </c>
      <c r="K86" s="28" t="s">
        <v>668</v>
      </c>
      <c r="L86" s="61">
        <v>110027373072</v>
      </c>
      <c r="M86" s="28" t="s">
        <v>251</v>
      </c>
      <c r="N86" s="28">
        <v>2812</v>
      </c>
      <c r="O86" s="28" t="str">
        <f>IFERROR(VLOOKUP(N86, 'SIC &amp; NAICS Codes'!A:B, 2, FALSE), "")</f>
        <v>Alkalies and Chlorine</v>
      </c>
      <c r="S86" s="28">
        <v>65.096079048799993</v>
      </c>
      <c r="T86" s="315">
        <f>_xlfn.MAXIFS('Raw Period DMR Data'!$O:$O,'Raw Period DMR Data'!$A:$A,'Raw Annual DMR Data_2021-2024'!B880,'Raw Period DMR Data'!$C:$C,X86)/S86</f>
        <v>0</v>
      </c>
      <c r="U86" s="28" t="str">
        <f>+IF(COUNTIFS('Raw Period DMR Data'!$A:$A,B86, 'Raw Period DMR Data'!C:C,'Raw Annual DMR Data_2021-2024'!X880, 'Raw Period DMR Data'!M:M, "&gt;0")&gt;0,_xlfn.MAXIFS('Raw Period DMR Data'!M:M,'Raw Period DMR Data'!$A:$A,'Raw Annual DMR Data_2021-2024'!B880,'Raw Period DMR Data'!C:C,'Raw Annual DMR Data_2021-2024'!X880), "N/A - Period DMR Data Not Available")</f>
        <v>N/A - Period DMR Data Not Available</v>
      </c>
      <c r="V86" s="28" t="str" cm="1">
        <f t="array" ref="V86">IFERROR(INDEX('Raw Period DMR Data'!N:N,MATCH(1,(B86='Raw Period DMR Data'!$A:$A)*(U86='Raw Period DMR Data'!M:M)*(X86='Raw Period DMR Data'!C:C),0),1), "N/A")</f>
        <v>N/A</v>
      </c>
      <c r="W86" s="28" t="s">
        <v>1463</v>
      </c>
      <c r="X86" s="28" t="s">
        <v>957</v>
      </c>
      <c r="Y86" s="28" t="s">
        <v>958</v>
      </c>
      <c r="Z86" s="61">
        <v>6040006000172</v>
      </c>
      <c r="AA86" s="60"/>
      <c r="AC86" s="28" t="s">
        <v>1466</v>
      </c>
    </row>
    <row r="87" spans="1:29" s="28" customFormat="1" x14ac:dyDescent="0.25">
      <c r="A87" s="61">
        <v>110027373072</v>
      </c>
      <c r="B87" s="28">
        <v>2022</v>
      </c>
      <c r="C87" s="68">
        <f t="shared" si="1"/>
        <v>44562</v>
      </c>
      <c r="D87" s="28" t="s">
        <v>6792</v>
      </c>
      <c r="E87" s="28" t="s">
        <v>667</v>
      </c>
      <c r="F87" s="28" t="s">
        <v>323</v>
      </c>
      <c r="G87" s="28" t="s">
        <v>324</v>
      </c>
      <c r="H87" s="28">
        <v>42029</v>
      </c>
      <c r="I87" s="28">
        <v>37.051110999999999</v>
      </c>
      <c r="J87" s="28">
        <v>-88.334166999999994</v>
      </c>
      <c r="K87" s="28" t="s">
        <v>668</v>
      </c>
      <c r="L87" s="61">
        <v>110027373072</v>
      </c>
      <c r="M87" s="28" t="s">
        <v>251</v>
      </c>
      <c r="N87" s="28">
        <v>2812</v>
      </c>
      <c r="O87" s="28" t="str">
        <f>IFERROR(VLOOKUP(N87, 'SIC &amp; NAICS Codes'!A:B, 2, FALSE), "")</f>
        <v>Alkalies and Chlorine</v>
      </c>
      <c r="S87" s="28">
        <v>63.616976999999999</v>
      </c>
      <c r="T87" s="315">
        <f>_xlfn.MAXIFS('Raw Period DMR Data'!$O:$O,'Raw Period DMR Data'!$A:$A,'Raw Annual DMR Data_2021-2024'!B881,'Raw Period DMR Data'!$C:$C,X87)/S87</f>
        <v>0</v>
      </c>
      <c r="U87" s="28" t="str">
        <f>+IF(COUNTIFS('Raw Period DMR Data'!$A:$A,B87, 'Raw Period DMR Data'!C:C,'Raw Annual DMR Data_2021-2024'!X881, 'Raw Period DMR Data'!M:M, "&gt;0")&gt;0,_xlfn.MAXIFS('Raw Period DMR Data'!M:M,'Raw Period DMR Data'!$A:$A,'Raw Annual DMR Data_2021-2024'!B881,'Raw Period DMR Data'!C:C,'Raw Annual DMR Data_2021-2024'!X881), "N/A - Period DMR Data Not Available")</f>
        <v>N/A - Period DMR Data Not Available</v>
      </c>
      <c r="V87" s="28" t="str" cm="1">
        <f t="array" ref="V87">IFERROR(INDEX('Raw Period DMR Data'!N:N,MATCH(1,(B87='Raw Period DMR Data'!$A:$A)*(U87='Raw Period DMR Data'!M:M)*(X87='Raw Period DMR Data'!C:C),0),1), "N/A")</f>
        <v>N/A</v>
      </c>
      <c r="W87" s="28" t="s">
        <v>1463</v>
      </c>
      <c r="X87" s="28" t="s">
        <v>957</v>
      </c>
      <c r="Y87" s="28" t="s">
        <v>958</v>
      </c>
      <c r="Z87" s="61">
        <v>6040006000172</v>
      </c>
      <c r="AA87" s="60" t="s">
        <v>7355</v>
      </c>
      <c r="AC87" s="28" t="s">
        <v>1466</v>
      </c>
    </row>
    <row r="88" spans="1:29" s="28" customFormat="1" x14ac:dyDescent="0.25">
      <c r="A88" s="61">
        <v>110027373072</v>
      </c>
      <c r="B88" s="28">
        <v>2021</v>
      </c>
      <c r="C88" s="68">
        <f t="shared" si="1"/>
        <v>44197</v>
      </c>
      <c r="D88" s="28" t="s">
        <v>6792</v>
      </c>
      <c r="E88" s="28" t="s">
        <v>667</v>
      </c>
      <c r="F88" s="28" t="s">
        <v>323</v>
      </c>
      <c r="G88" s="28" t="s">
        <v>324</v>
      </c>
      <c r="H88" s="28">
        <v>42029</v>
      </c>
      <c r="I88" s="28">
        <v>37.051110999999999</v>
      </c>
      <c r="J88" s="28">
        <v>-88.334166999999994</v>
      </c>
      <c r="K88" s="28" t="s">
        <v>668</v>
      </c>
      <c r="L88" s="61">
        <v>110027373072</v>
      </c>
      <c r="M88" s="28" t="s">
        <v>251</v>
      </c>
      <c r="N88" s="28">
        <v>2812</v>
      </c>
      <c r="O88" s="28" t="str">
        <f>IFERROR(VLOOKUP(N88, 'SIC &amp; NAICS Codes'!A:B, 2, FALSE), "")</f>
        <v>Alkalies and Chlorine</v>
      </c>
      <c r="S88" s="28">
        <v>27.988419</v>
      </c>
      <c r="T88" s="315">
        <f>_xlfn.MAXIFS('Raw Period DMR Data'!$O:$O,'Raw Period DMR Data'!$A:$A,'Raw Annual DMR Data_2021-2024'!B897,'Raw Period DMR Data'!$C:$C,X88)/S88</f>
        <v>0</v>
      </c>
      <c r="U88" s="28" t="str">
        <f>+IF(COUNTIFS('Raw Period DMR Data'!$A:$A,B88, 'Raw Period DMR Data'!C:C,'Raw Annual DMR Data_2021-2024'!X897, 'Raw Period DMR Data'!M:M, "&gt;0")&gt;0,_xlfn.MAXIFS('Raw Period DMR Data'!M:M,'Raw Period DMR Data'!$A:$A,'Raw Annual DMR Data_2021-2024'!B897,'Raw Period DMR Data'!C:C,'Raw Annual DMR Data_2021-2024'!X897), "N/A - Period DMR Data Not Available")</f>
        <v>N/A - Period DMR Data Not Available</v>
      </c>
      <c r="V88" s="28" t="str" cm="1">
        <f t="array" ref="V88">IFERROR(INDEX('Raw Period DMR Data'!N:N,MATCH(1,(B88='Raw Period DMR Data'!$A:$A)*(U88='Raw Period DMR Data'!M:M)*(X88='Raw Period DMR Data'!C:C),0),1), "N/A")</f>
        <v>N/A</v>
      </c>
      <c r="W88" s="28" t="s">
        <v>1463</v>
      </c>
      <c r="X88" s="28" t="s">
        <v>957</v>
      </c>
      <c r="Y88" s="28" t="s">
        <v>958</v>
      </c>
      <c r="Z88" s="61">
        <v>6040006000172</v>
      </c>
      <c r="AC88" s="28" t="s">
        <v>1466</v>
      </c>
    </row>
    <row r="89" spans="1:29" s="28" customFormat="1" x14ac:dyDescent="0.25">
      <c r="A89" s="61">
        <v>110027373072</v>
      </c>
      <c r="B89" s="28">
        <v>2023</v>
      </c>
      <c r="C89" s="68">
        <f t="shared" si="1"/>
        <v>44927</v>
      </c>
      <c r="D89" s="28" t="s">
        <v>6792</v>
      </c>
      <c r="E89" s="28" t="s">
        <v>667</v>
      </c>
      <c r="F89" s="28" t="s">
        <v>323</v>
      </c>
      <c r="G89" s="28" t="s">
        <v>324</v>
      </c>
      <c r="H89" s="28">
        <v>42029</v>
      </c>
      <c r="I89" s="28">
        <v>37.051110999999999</v>
      </c>
      <c r="J89" s="28">
        <v>-88.334166999999994</v>
      </c>
      <c r="K89" s="28" t="s">
        <v>668</v>
      </c>
      <c r="L89" s="61">
        <v>110027373072</v>
      </c>
      <c r="M89" s="28" t="s">
        <v>251</v>
      </c>
      <c r="N89" s="28">
        <v>2812</v>
      </c>
      <c r="O89" s="28" t="str">
        <f>IFERROR(VLOOKUP(N89, 'SIC &amp; NAICS Codes'!A:B, 2, FALSE), "")</f>
        <v>Alkalies and Chlorine</v>
      </c>
      <c r="S89" s="28">
        <v>24.038074200000001</v>
      </c>
      <c r="T89" s="315">
        <f>_xlfn.MAXIFS('Raw Period DMR Data'!$O:$O,'Raw Period DMR Data'!$A:$A,'Raw Annual DMR Data_2021-2024'!B902,'Raw Period DMR Data'!$C:$C,X89)/S89</f>
        <v>0</v>
      </c>
      <c r="U89" s="28" t="str">
        <f>+IF(COUNTIFS('Raw Period DMR Data'!$A:$A,B89, 'Raw Period DMR Data'!C:C,'Raw Annual DMR Data_2021-2024'!X902, 'Raw Period DMR Data'!M:M, "&gt;0")&gt;0,_xlfn.MAXIFS('Raw Period DMR Data'!M:M,'Raw Period DMR Data'!$A:$A,'Raw Annual DMR Data_2021-2024'!B902,'Raw Period DMR Data'!C:C,'Raw Annual DMR Data_2021-2024'!X902), "N/A - Period DMR Data Not Available")</f>
        <v>N/A - Period DMR Data Not Available</v>
      </c>
      <c r="V89" s="28" t="str" cm="1">
        <f t="array" ref="V89">IFERROR(INDEX('Raw Period DMR Data'!N:N,MATCH(1,(B89='Raw Period DMR Data'!$A:$A)*(U89='Raw Period DMR Data'!M:M)*(X89='Raw Period DMR Data'!C:C),0),1), "N/A")</f>
        <v>N/A</v>
      </c>
      <c r="W89" s="28" t="s">
        <v>1463</v>
      </c>
      <c r="X89" s="28" t="s">
        <v>957</v>
      </c>
      <c r="Y89" s="28" t="s">
        <v>958</v>
      </c>
      <c r="Z89" s="61">
        <v>6040006000172</v>
      </c>
      <c r="AA89" s="60"/>
      <c r="AC89" s="28" t="s">
        <v>1466</v>
      </c>
    </row>
    <row r="90" spans="1:29" s="28" customFormat="1" x14ac:dyDescent="0.25">
      <c r="A90" s="61">
        <v>110027373072</v>
      </c>
      <c r="B90" s="28">
        <v>2024</v>
      </c>
      <c r="C90" s="68">
        <f t="shared" si="1"/>
        <v>45292</v>
      </c>
      <c r="D90" s="28" t="s">
        <v>6792</v>
      </c>
      <c r="E90" s="28" t="s">
        <v>667</v>
      </c>
      <c r="F90" s="28" t="s">
        <v>323</v>
      </c>
      <c r="G90" s="28" t="s">
        <v>324</v>
      </c>
      <c r="H90" s="28">
        <v>42029</v>
      </c>
      <c r="I90" s="28">
        <v>37.051110999999999</v>
      </c>
      <c r="J90" s="28">
        <v>-88.334166999999994</v>
      </c>
      <c r="K90" s="28" t="s">
        <v>668</v>
      </c>
      <c r="L90" s="61">
        <v>110027373072</v>
      </c>
      <c r="M90" s="28" t="s">
        <v>251</v>
      </c>
      <c r="N90" s="28">
        <v>2812</v>
      </c>
      <c r="O90" s="28" t="str">
        <f>IFERROR(VLOOKUP(N90, 'SIC &amp; NAICS Codes'!A:B, 2, FALSE), "")</f>
        <v>Alkalies and Chlorine</v>
      </c>
      <c r="S90" s="28">
        <v>13.256482200000001</v>
      </c>
      <c r="T90" s="315">
        <f>_xlfn.MAXIFS('Raw Period DMR Data'!$O:$O,'Raw Period DMR Data'!$A:$A,'Raw Annual DMR Data_2021-2024'!B928,'Raw Period DMR Data'!$C:$C,X90)/S90</f>
        <v>0</v>
      </c>
      <c r="U90" s="28" t="str">
        <f>+IF(COUNTIFS('Raw Period DMR Data'!$A:$A,B90, 'Raw Period DMR Data'!C:C,'Raw Annual DMR Data_2021-2024'!X928, 'Raw Period DMR Data'!M:M, "&gt;0")&gt;0,_xlfn.MAXIFS('Raw Period DMR Data'!M:M,'Raw Period DMR Data'!$A:$A,'Raw Annual DMR Data_2021-2024'!B928,'Raw Period DMR Data'!C:C,'Raw Annual DMR Data_2021-2024'!X928), "N/A - Period DMR Data Not Available")</f>
        <v>N/A - Period DMR Data Not Available</v>
      </c>
      <c r="V90" s="28" t="str" cm="1">
        <f t="array" ref="V90">IFERROR(INDEX('Raw Period DMR Data'!N:N,MATCH(1,(B90='Raw Period DMR Data'!$A:$A)*(U90='Raw Period DMR Data'!M:M)*(X90='Raw Period DMR Data'!C:C),0),1), "N/A")</f>
        <v>N/A</v>
      </c>
      <c r="W90" s="28" t="s">
        <v>1463</v>
      </c>
      <c r="X90" s="28" t="s">
        <v>957</v>
      </c>
      <c r="Y90" s="28" t="s">
        <v>958</v>
      </c>
      <c r="Z90" s="61">
        <v>6040006000172</v>
      </c>
      <c r="AA90" s="60"/>
      <c r="AC90" s="28" t="s">
        <v>1466</v>
      </c>
    </row>
    <row r="91" spans="1:29" s="28" customFormat="1" x14ac:dyDescent="0.25">
      <c r="A91" s="61">
        <v>110027373072</v>
      </c>
      <c r="B91" s="28">
        <v>2023</v>
      </c>
      <c r="C91" s="68">
        <f t="shared" si="1"/>
        <v>44927</v>
      </c>
      <c r="D91" s="28" t="s">
        <v>6792</v>
      </c>
      <c r="E91" s="28" t="s">
        <v>667</v>
      </c>
      <c r="F91" s="28" t="s">
        <v>323</v>
      </c>
      <c r="G91" s="28" t="s">
        <v>324</v>
      </c>
      <c r="H91" s="28">
        <v>42029</v>
      </c>
      <c r="I91" s="28">
        <v>37.051110999999999</v>
      </c>
      <c r="J91" s="28">
        <v>-88.334166999999994</v>
      </c>
      <c r="K91" s="28" t="s">
        <v>668</v>
      </c>
      <c r="L91" s="61">
        <v>110027373072</v>
      </c>
      <c r="M91" s="28" t="s">
        <v>251</v>
      </c>
      <c r="N91" s="28">
        <v>2812</v>
      </c>
      <c r="O91" s="28" t="str">
        <f>IFERROR(VLOOKUP(N91, 'SIC &amp; NAICS Codes'!A:B, 2, FALSE), "")</f>
        <v>Alkalies and Chlorine</v>
      </c>
      <c r="S91" s="28">
        <v>5.4337444000000001</v>
      </c>
      <c r="T91" s="315">
        <f>_xlfn.MAXIFS('Raw Period DMR Data'!$O:$O,'Raw Period DMR Data'!$A:$A,'Raw Annual DMR Data_2021-2024'!B975,'Raw Period DMR Data'!$C:$C,X91)/S91</f>
        <v>0</v>
      </c>
      <c r="U91" s="28" t="str">
        <f>+IF(COUNTIFS('Raw Period DMR Data'!$A:$A,B91, 'Raw Period DMR Data'!C:C,'Raw Annual DMR Data_2021-2024'!X975, 'Raw Period DMR Data'!M:M, "&gt;0")&gt;0,_xlfn.MAXIFS('Raw Period DMR Data'!M:M,'Raw Period DMR Data'!$A:$A,'Raw Annual DMR Data_2021-2024'!B975,'Raw Period DMR Data'!C:C,'Raw Annual DMR Data_2021-2024'!X975), "N/A - Period DMR Data Not Available")</f>
        <v>N/A - Period DMR Data Not Available</v>
      </c>
      <c r="V91" s="28" t="str" cm="1">
        <f t="array" ref="V91">IFERROR(INDEX('Raw Period DMR Data'!N:N,MATCH(1,(B91='Raw Period DMR Data'!$A:$A)*(U91='Raw Period DMR Data'!M:M)*(X91='Raw Period DMR Data'!C:C),0),1), "N/A")</f>
        <v>N/A</v>
      </c>
      <c r="W91" s="28" t="s">
        <v>1463</v>
      </c>
      <c r="X91" s="28" t="s">
        <v>957</v>
      </c>
      <c r="Y91" s="28" t="s">
        <v>958</v>
      </c>
      <c r="Z91" s="61">
        <v>6040006000172</v>
      </c>
      <c r="AA91" s="60"/>
      <c r="AC91" s="28" t="s">
        <v>1466</v>
      </c>
    </row>
    <row r="92" spans="1:29" s="28" customFormat="1" x14ac:dyDescent="0.25">
      <c r="A92" s="61">
        <v>110027373072</v>
      </c>
      <c r="B92" s="28">
        <v>2022</v>
      </c>
      <c r="C92" s="68">
        <f t="shared" si="1"/>
        <v>44562</v>
      </c>
      <c r="D92" s="28" t="s">
        <v>6792</v>
      </c>
      <c r="E92" s="28" t="s">
        <v>667</v>
      </c>
      <c r="F92" s="28" t="s">
        <v>323</v>
      </c>
      <c r="G92" s="28" t="s">
        <v>324</v>
      </c>
      <c r="H92" s="28">
        <v>42029</v>
      </c>
      <c r="I92" s="28">
        <v>37.051110999999999</v>
      </c>
      <c r="J92" s="28">
        <v>-88.334166999999994</v>
      </c>
      <c r="K92" s="28" t="s">
        <v>668</v>
      </c>
      <c r="L92" s="61">
        <v>110027373072</v>
      </c>
      <c r="M92" s="28" t="s">
        <v>251</v>
      </c>
      <c r="N92" s="28">
        <v>2812</v>
      </c>
      <c r="O92" s="28" t="str">
        <f>IFERROR(VLOOKUP(N92, 'SIC &amp; NAICS Codes'!A:B, 2, FALSE), "")</f>
        <v>Alkalies and Chlorine</v>
      </c>
      <c r="S92" s="28">
        <v>4.62399</v>
      </c>
      <c r="T92" s="315">
        <f>_xlfn.MAXIFS('Raw Period DMR Data'!$O:$O,'Raw Period DMR Data'!$A:$A,'Raw Annual DMR Data_2021-2024'!B985,'Raw Period DMR Data'!$C:$C,X92)/S92</f>
        <v>0</v>
      </c>
      <c r="U92" s="28" t="str">
        <f>+IF(COUNTIFS('Raw Period DMR Data'!$A:$A,B92, 'Raw Period DMR Data'!C:C,'Raw Annual DMR Data_2021-2024'!X985, 'Raw Period DMR Data'!M:M, "&gt;0")&gt;0,_xlfn.MAXIFS('Raw Period DMR Data'!M:M,'Raw Period DMR Data'!$A:$A,'Raw Annual DMR Data_2021-2024'!B985,'Raw Period DMR Data'!C:C,'Raw Annual DMR Data_2021-2024'!X985), "N/A - Period DMR Data Not Available")</f>
        <v>N/A - Period DMR Data Not Available</v>
      </c>
      <c r="V92" s="28" t="str" cm="1">
        <f t="array" ref="V92">IFERROR(INDEX('Raw Period DMR Data'!N:N,MATCH(1,(B92='Raw Period DMR Data'!$A:$A)*(U92='Raw Period DMR Data'!M:M)*(X92='Raw Period DMR Data'!C:C),0),1), "N/A")</f>
        <v>N/A</v>
      </c>
      <c r="W92" s="28" t="s">
        <v>1463</v>
      </c>
      <c r="X92" s="28" t="s">
        <v>957</v>
      </c>
      <c r="Y92" s="28" t="s">
        <v>958</v>
      </c>
      <c r="Z92" s="61">
        <v>6040006000172</v>
      </c>
      <c r="AA92" s="60"/>
      <c r="AC92" s="28" t="s">
        <v>1466</v>
      </c>
    </row>
    <row r="93" spans="1:29" s="28" customFormat="1" x14ac:dyDescent="0.25">
      <c r="A93" s="61">
        <v>110027373072</v>
      </c>
      <c r="B93" s="28">
        <v>2021</v>
      </c>
      <c r="C93" s="68">
        <f t="shared" si="1"/>
        <v>44197</v>
      </c>
      <c r="D93" s="28" t="s">
        <v>6792</v>
      </c>
      <c r="E93" s="28" t="s">
        <v>667</v>
      </c>
      <c r="F93" s="28" t="s">
        <v>323</v>
      </c>
      <c r="G93" s="28" t="s">
        <v>324</v>
      </c>
      <c r="H93" s="28">
        <v>42029</v>
      </c>
      <c r="I93" s="28">
        <v>37.051110999999999</v>
      </c>
      <c r="J93" s="28">
        <v>-88.334166999999994</v>
      </c>
      <c r="K93" s="28" t="s">
        <v>668</v>
      </c>
      <c r="L93" s="61">
        <v>110027373072</v>
      </c>
      <c r="M93" s="28" t="s">
        <v>251</v>
      </c>
      <c r="N93" s="28">
        <v>2812</v>
      </c>
      <c r="O93" s="28" t="str">
        <f>IFERROR(VLOOKUP(N93, 'SIC &amp; NAICS Codes'!A:B, 2, FALSE), "")</f>
        <v>Alkalies and Chlorine</v>
      </c>
      <c r="S93" s="28">
        <v>1.3864251999999999</v>
      </c>
      <c r="T93" s="315">
        <f>_xlfn.MAXIFS('Raw Period DMR Data'!$O:$O,'Raw Period DMR Data'!$A:$A,'Raw Annual DMR Data_2021-2024'!#REF!,'Raw Period DMR Data'!$C:$C,X93)/S93</f>
        <v>0</v>
      </c>
      <c r="U93" s="28" t="str">
        <f>+IF(COUNTIFS('Raw Period DMR Data'!$A:$A,B93,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3" s="28" t="str" cm="1">
        <f t="array" ref="V93">IFERROR(INDEX('Raw Period DMR Data'!N:N,MATCH(1,(B93='Raw Period DMR Data'!$A:$A)*(U93='Raw Period DMR Data'!M:M)*(X93='Raw Period DMR Data'!C:C),0),1), "N/A")</f>
        <v>N/A</v>
      </c>
      <c r="W93" s="28" t="s">
        <v>1463</v>
      </c>
      <c r="X93" s="28" t="s">
        <v>957</v>
      </c>
      <c r="Y93" s="28" t="s">
        <v>958</v>
      </c>
      <c r="Z93" s="61">
        <v>6040006000172</v>
      </c>
      <c r="AC93" s="28" t="s">
        <v>1466</v>
      </c>
    </row>
    <row r="94" spans="1:29" s="28" customFormat="1" x14ac:dyDescent="0.25">
      <c r="A94" s="61">
        <v>110055992993</v>
      </c>
      <c r="B94" s="28">
        <v>2023</v>
      </c>
      <c r="C94" s="68">
        <f t="shared" si="1"/>
        <v>44927</v>
      </c>
      <c r="D94" s="28" t="s">
        <v>996</v>
      </c>
      <c r="E94" s="28" t="s">
        <v>1527</v>
      </c>
      <c r="F94" s="28" t="s">
        <v>388</v>
      </c>
      <c r="G94" s="28" t="s">
        <v>366</v>
      </c>
      <c r="H94" s="28">
        <v>92223</v>
      </c>
      <c r="I94" s="28">
        <v>33.926245999999999</v>
      </c>
      <c r="J94" s="28">
        <v>-116.992552</v>
      </c>
      <c r="L94" s="61">
        <v>110055992993</v>
      </c>
      <c r="M94" s="28" t="s">
        <v>263</v>
      </c>
      <c r="N94" s="28">
        <v>4952</v>
      </c>
      <c r="O94" s="28" t="str">
        <f>IFERROR(VLOOKUP(N94, 'SIC &amp; NAICS Codes'!A:B, 2, FALSE), "")</f>
        <v>Sewerage Systems</v>
      </c>
      <c r="S94" s="28">
        <v>1.178440825</v>
      </c>
      <c r="T94" s="315">
        <f>_xlfn.MAXIFS('Raw Period DMR Data'!$O:$O,'Raw Period DMR Data'!$A:$A,'Raw Annual DMR Data_2021-2024'!#REF!,'Raw Period DMR Data'!$C:$C,X94)/S94</f>
        <v>0</v>
      </c>
      <c r="U94" s="28" t="str">
        <f>+IF(COUNTIFS('Raw Period DMR Data'!$A:$A,B94,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4" s="28" t="str" cm="1">
        <f t="array" ref="V94">IFERROR(INDEX('Raw Period DMR Data'!N:N,MATCH(1,(B94='Raw Period DMR Data'!$A:$A)*(U94='Raw Period DMR Data'!M:M)*(X94='Raw Period DMR Data'!C:C),0),1), "N/A")</f>
        <v>N/A</v>
      </c>
      <c r="W94" s="28" t="s">
        <v>1463</v>
      </c>
      <c r="X94" s="28" t="s">
        <v>1528</v>
      </c>
      <c r="Y94" s="28" t="s">
        <v>1529</v>
      </c>
      <c r="Z94" s="61">
        <v>18070203002360</v>
      </c>
      <c r="AA94" s="60"/>
      <c r="AB94" s="28" t="s">
        <v>7355</v>
      </c>
      <c r="AC94" s="28" t="s">
        <v>263</v>
      </c>
    </row>
    <row r="95" spans="1:29" s="28" customFormat="1" x14ac:dyDescent="0.25">
      <c r="A95" s="61">
        <v>110055992993</v>
      </c>
      <c r="B95" s="28">
        <v>2021</v>
      </c>
      <c r="C95" s="68">
        <f t="shared" si="1"/>
        <v>44197</v>
      </c>
      <c r="D95" s="28" t="s">
        <v>996</v>
      </c>
      <c r="E95" s="28" t="s">
        <v>1527</v>
      </c>
      <c r="F95" s="28" t="s">
        <v>388</v>
      </c>
      <c r="G95" s="28" t="s">
        <v>366</v>
      </c>
      <c r="H95" s="28">
        <v>92223</v>
      </c>
      <c r="I95" s="28">
        <v>33.926245999999999</v>
      </c>
      <c r="J95" s="28">
        <v>-116.992552</v>
      </c>
      <c r="L95" s="61">
        <v>110055992993</v>
      </c>
      <c r="M95" s="28" t="s">
        <v>263</v>
      </c>
      <c r="N95" s="28">
        <v>4952</v>
      </c>
      <c r="O95" s="28" t="str">
        <f>IFERROR(VLOOKUP(N95, 'SIC &amp; NAICS Codes'!A:B, 2, FALSE), "")</f>
        <v>Sewerage Systems</v>
      </c>
      <c r="S95" s="28">
        <v>0.165872799125</v>
      </c>
      <c r="T95" s="315">
        <f>_xlfn.MAXIFS('Raw Period DMR Data'!$O:$O,'Raw Period DMR Data'!$A:$A,'Raw Annual DMR Data_2021-2024'!#REF!,'Raw Period DMR Data'!$C:$C,X95)/S95</f>
        <v>0</v>
      </c>
      <c r="U95" s="28" t="str">
        <f>+IF(COUNTIFS('Raw Period DMR Data'!$A:$A,B95,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5" s="28" t="str" cm="1">
        <f t="array" ref="V95">IFERROR(INDEX('Raw Period DMR Data'!N:N,MATCH(1,(B95='Raw Period DMR Data'!$A:$A)*(U95='Raw Period DMR Data'!M:M)*(X95='Raw Period DMR Data'!C:C),0),1), "N/A")</f>
        <v>N/A</v>
      </c>
      <c r="W95" s="28" t="s">
        <v>1463</v>
      </c>
      <c r="X95" s="28" t="s">
        <v>1528</v>
      </c>
      <c r="Y95" s="28" t="s">
        <v>1529</v>
      </c>
      <c r="Z95" s="61">
        <v>18070203002360</v>
      </c>
      <c r="AB95" s="28" t="s">
        <v>7355</v>
      </c>
      <c r="AC95" s="28" t="s">
        <v>263</v>
      </c>
    </row>
    <row r="96" spans="1:29" s="28" customFormat="1" x14ac:dyDescent="0.25">
      <c r="A96" s="61">
        <v>110055992993</v>
      </c>
      <c r="B96" s="28">
        <v>2024</v>
      </c>
      <c r="C96" s="68">
        <f t="shared" si="1"/>
        <v>45292</v>
      </c>
      <c r="D96" s="28" t="s">
        <v>996</v>
      </c>
      <c r="E96" s="28" t="s">
        <v>1527</v>
      </c>
      <c r="F96" s="28" t="s">
        <v>388</v>
      </c>
      <c r="G96" s="28" t="s">
        <v>366</v>
      </c>
      <c r="H96" s="28">
        <v>92223</v>
      </c>
      <c r="I96" s="28">
        <v>33.926245999999999</v>
      </c>
      <c r="J96" s="28">
        <v>-116.992552</v>
      </c>
      <c r="L96" s="61">
        <v>110055992993</v>
      </c>
      <c r="M96" s="28" t="s">
        <v>263</v>
      </c>
      <c r="N96" s="28">
        <v>4952</v>
      </c>
      <c r="O96" s="28" t="str">
        <f>IFERROR(VLOOKUP(N96, 'SIC &amp; NAICS Codes'!A:B, 2, FALSE), "")</f>
        <v>Sewerage Systems</v>
      </c>
      <c r="S96" s="28">
        <v>0.14895602550000001</v>
      </c>
      <c r="T96" s="315">
        <f>_xlfn.MAXIFS('Raw Period DMR Data'!$O:$O,'Raw Period DMR Data'!$A:$A,'Raw Annual DMR Data_2021-2024'!#REF!,'Raw Period DMR Data'!$C:$C,X96)/S96</f>
        <v>0</v>
      </c>
      <c r="U96" s="28" t="str">
        <f>+IF(COUNTIFS('Raw Period DMR Data'!$A:$A,B96,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6" s="28" t="str" cm="1">
        <f t="array" ref="V96">IFERROR(INDEX('Raw Period DMR Data'!N:N,MATCH(1,(B96='Raw Period DMR Data'!$A:$A)*(U96='Raw Period DMR Data'!M:M)*(X96='Raw Period DMR Data'!C:C),0),1), "N/A")</f>
        <v>N/A</v>
      </c>
      <c r="W96" s="28" t="s">
        <v>1463</v>
      </c>
      <c r="X96" s="28" t="s">
        <v>1528</v>
      </c>
      <c r="Y96" s="28" t="s">
        <v>1529</v>
      </c>
      <c r="Z96" s="61">
        <v>18070203002360</v>
      </c>
      <c r="AA96" s="60"/>
      <c r="AB96" s="28" t="s">
        <v>7355</v>
      </c>
      <c r="AC96" s="28" t="s">
        <v>263</v>
      </c>
    </row>
    <row r="97" spans="1:29" s="28" customFormat="1" x14ac:dyDescent="0.25">
      <c r="A97" s="61">
        <v>110001855635</v>
      </c>
      <c r="B97" s="28">
        <v>2021</v>
      </c>
      <c r="C97" s="68">
        <f t="shared" si="1"/>
        <v>44197</v>
      </c>
      <c r="D97" s="28" t="s">
        <v>1000</v>
      </c>
      <c r="E97" s="28" t="s">
        <v>1534</v>
      </c>
      <c r="F97" s="28" t="s">
        <v>1001</v>
      </c>
      <c r="G97" s="28" t="s">
        <v>324</v>
      </c>
      <c r="H97" s="28">
        <v>42025</v>
      </c>
      <c r="I97" s="28">
        <v>36.866140000000001</v>
      </c>
      <c r="J97" s="28">
        <v>-88.342470000000006</v>
      </c>
      <c r="L97" s="61">
        <v>110001855635</v>
      </c>
      <c r="M97" s="28" t="s">
        <v>263</v>
      </c>
      <c r="N97" s="28">
        <v>4952</v>
      </c>
      <c r="O97" s="28" t="str">
        <f>IFERROR(VLOOKUP(N97, 'SIC &amp; NAICS Codes'!A:B, 2, FALSE), "")</f>
        <v>Sewerage Systems</v>
      </c>
      <c r="S97" s="28">
        <v>4.0568481624999997</v>
      </c>
      <c r="T97" s="315">
        <f>_xlfn.MAXIFS('Raw Period DMR Data'!$O:$O,'Raw Period DMR Data'!$A:$A,'Raw Annual DMR Data_2021-2024'!B994,'Raw Period DMR Data'!$C:$C,X97)/S97</f>
        <v>0</v>
      </c>
      <c r="U97" s="28" t="str">
        <f>+IF(COUNTIFS('Raw Period DMR Data'!$A:$A,B97, 'Raw Period DMR Data'!C:C,'Raw Annual DMR Data_2021-2024'!X994, 'Raw Period DMR Data'!M:M, "&gt;0")&gt;0,_xlfn.MAXIFS('Raw Period DMR Data'!M:M,'Raw Period DMR Data'!$A:$A,'Raw Annual DMR Data_2021-2024'!B994,'Raw Period DMR Data'!C:C,'Raw Annual DMR Data_2021-2024'!X994), "N/A - Period DMR Data Not Available")</f>
        <v>N/A - Period DMR Data Not Available</v>
      </c>
      <c r="V97" s="28" t="str" cm="1">
        <f t="array" ref="V97">IFERROR(INDEX('Raw Period DMR Data'!N:N,MATCH(1,(B97='Raw Period DMR Data'!$A:$A)*(U97='Raw Period DMR Data'!M:M)*(X97='Raw Period DMR Data'!C:C),0),1), "N/A")</f>
        <v>N/A</v>
      </c>
      <c r="W97" s="28" t="s">
        <v>1463</v>
      </c>
      <c r="X97" s="28" t="s">
        <v>1535</v>
      </c>
      <c r="Y97" s="28" t="s">
        <v>1536</v>
      </c>
      <c r="Z97" s="61">
        <v>6040006000045</v>
      </c>
      <c r="AB97" s="28" t="s">
        <v>7355</v>
      </c>
      <c r="AC97" s="28" t="s">
        <v>263</v>
      </c>
    </row>
    <row r="98" spans="1:29" s="28" customFormat="1" x14ac:dyDescent="0.25">
      <c r="A98" s="61">
        <v>110001855635</v>
      </c>
      <c r="B98" s="28">
        <v>2022</v>
      </c>
      <c r="C98" s="68">
        <f t="shared" si="1"/>
        <v>44562</v>
      </c>
      <c r="D98" s="28" t="s">
        <v>1000</v>
      </c>
      <c r="E98" s="28" t="s">
        <v>1534</v>
      </c>
      <c r="F98" s="28" t="s">
        <v>1001</v>
      </c>
      <c r="G98" s="28" t="s">
        <v>324</v>
      </c>
      <c r="H98" s="28">
        <v>42025</v>
      </c>
      <c r="I98" s="28">
        <v>36.866140000000001</v>
      </c>
      <c r="J98" s="28">
        <v>-88.342470000000006</v>
      </c>
      <c r="L98" s="61">
        <v>110001855635</v>
      </c>
      <c r="M98" s="28" t="s">
        <v>263</v>
      </c>
      <c r="N98" s="28">
        <v>4952</v>
      </c>
      <c r="O98" s="28" t="str">
        <f>IFERROR(VLOOKUP(N98, 'SIC &amp; NAICS Codes'!A:B, 2, FALSE), "")</f>
        <v>Sewerage Systems</v>
      </c>
      <c r="S98" s="28">
        <v>3.4641739375</v>
      </c>
      <c r="T98" s="315">
        <f>_xlfn.MAXIFS('Raw Period DMR Data'!$O:$O,'Raw Period DMR Data'!$A:$A,'Raw Annual DMR Data_2021-2024'!#REF!,'Raw Period DMR Data'!$C:$C,X98)/S98</f>
        <v>0</v>
      </c>
      <c r="U98" s="28" t="str">
        <f>+IF(COUNTIFS('Raw Period DMR Data'!$A:$A,B98,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8" s="28" t="str" cm="1">
        <f t="array" ref="V98">IFERROR(INDEX('Raw Period DMR Data'!N:N,MATCH(1,(B98='Raw Period DMR Data'!$A:$A)*(U98='Raw Period DMR Data'!M:M)*(X98='Raw Period DMR Data'!C:C),0),1), "N/A")</f>
        <v>N/A</v>
      </c>
      <c r="W98" s="28" t="s">
        <v>1463</v>
      </c>
      <c r="X98" s="28" t="s">
        <v>1535</v>
      </c>
      <c r="Y98" s="28" t="s">
        <v>1536</v>
      </c>
      <c r="Z98" s="61">
        <v>6040006000045</v>
      </c>
      <c r="AA98" s="60"/>
      <c r="AB98" s="28" t="s">
        <v>7355</v>
      </c>
      <c r="AC98" s="28" t="s">
        <v>263</v>
      </c>
    </row>
    <row r="99" spans="1:29" s="28" customFormat="1" x14ac:dyDescent="0.25">
      <c r="A99" s="61">
        <v>110040000398</v>
      </c>
      <c r="B99" s="28">
        <v>2021</v>
      </c>
      <c r="C99" s="68">
        <f t="shared" si="1"/>
        <v>44197</v>
      </c>
      <c r="D99" s="28" t="s">
        <v>1004</v>
      </c>
      <c r="E99" s="28" t="s">
        <v>1540</v>
      </c>
      <c r="F99" s="28" t="s">
        <v>608</v>
      </c>
      <c r="G99" s="28" t="s">
        <v>324</v>
      </c>
      <c r="H99" s="28">
        <v>40403</v>
      </c>
      <c r="I99" s="28">
        <v>37.608496000000002</v>
      </c>
      <c r="J99" s="28">
        <v>-84.287074000000004</v>
      </c>
      <c r="L99" s="61">
        <v>110040000398</v>
      </c>
      <c r="M99" s="28" t="s">
        <v>263</v>
      </c>
      <c r="N99" s="28">
        <v>4952</v>
      </c>
      <c r="O99" s="28" t="str">
        <f>IFERROR(VLOOKUP(N99, 'SIC &amp; NAICS Codes'!A:B, 2, FALSE), "")</f>
        <v>Sewerage Systems</v>
      </c>
      <c r="S99" s="28">
        <v>2.7554516124999999</v>
      </c>
      <c r="T99" s="315">
        <f>_xlfn.MAXIFS('Raw Period DMR Data'!$O:$O,'Raw Period DMR Data'!$A:$A,'Raw Annual DMR Data_2021-2024'!#REF!,'Raw Period DMR Data'!$C:$C,X99)/S99</f>
        <v>0</v>
      </c>
      <c r="U99" s="28" t="str">
        <f>+IF(COUNTIFS('Raw Period DMR Data'!$A:$A,B99,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9" s="28" t="str" cm="1">
        <f t="array" ref="V99">IFERROR(INDEX('Raw Period DMR Data'!N:N,MATCH(1,(B99='Raw Period DMR Data'!$A:$A)*(U99='Raw Period DMR Data'!M:M)*(X99='Raw Period DMR Data'!C:C),0),1), "N/A")</f>
        <v>N/A</v>
      </c>
      <c r="W99" s="28" t="s">
        <v>1463</v>
      </c>
      <c r="X99" s="28" t="s">
        <v>1541</v>
      </c>
      <c r="Y99" s="28" t="s">
        <v>1542</v>
      </c>
      <c r="Z99" s="61">
        <v>5100205000154</v>
      </c>
      <c r="AB99" s="28" t="s">
        <v>7355</v>
      </c>
      <c r="AC99" s="28" t="s">
        <v>263</v>
      </c>
    </row>
    <row r="100" spans="1:29" s="28" customFormat="1" x14ac:dyDescent="0.25">
      <c r="A100" s="61">
        <v>110029593731</v>
      </c>
      <c r="B100" s="28">
        <v>2023</v>
      </c>
      <c r="C100" s="68">
        <f t="shared" si="1"/>
        <v>44927</v>
      </c>
      <c r="D100" s="28" t="s">
        <v>111</v>
      </c>
      <c r="E100" s="28" t="s">
        <v>355</v>
      </c>
      <c r="F100" s="28" t="s">
        <v>356</v>
      </c>
      <c r="G100" s="28" t="s">
        <v>338</v>
      </c>
      <c r="H100" s="28" t="s">
        <v>1543</v>
      </c>
      <c r="I100" s="28">
        <v>40.067799999999998</v>
      </c>
      <c r="J100" s="28">
        <v>-74.923670000000001</v>
      </c>
      <c r="L100" s="61">
        <v>110029593731</v>
      </c>
      <c r="M100" s="28" t="s">
        <v>263</v>
      </c>
      <c r="N100" s="28">
        <v>4952</v>
      </c>
      <c r="O100" s="28" t="str">
        <f>IFERROR(VLOOKUP(N100, 'SIC &amp; NAICS Codes'!A:B, 2, FALSE), "")</f>
        <v>Sewerage Systems</v>
      </c>
      <c r="S100" s="28">
        <v>0.350956555</v>
      </c>
      <c r="T100" s="315">
        <f>_xlfn.MAXIFS('Raw Period DMR Data'!$O:$O,'Raw Period DMR Data'!$A:$A,'Raw Annual DMR Data_2021-2024'!#REF!,'Raw Period DMR Data'!$C:$C,X100)/S100</f>
        <v>0</v>
      </c>
      <c r="U100" s="28" t="str">
        <f>+IF(COUNTIFS('Raw Period DMR Data'!$A:$A,B100,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00" s="28" t="str" cm="1">
        <f t="array" ref="V100">IFERROR(INDEX('Raw Period DMR Data'!N:N,MATCH(1,(B100='Raw Period DMR Data'!$A:$A)*(U100='Raw Period DMR Data'!M:M)*(X100='Raw Period DMR Data'!C:C),0),1), "N/A")</f>
        <v>N/A</v>
      </c>
      <c r="W100" s="28" t="s">
        <v>1463</v>
      </c>
      <c r="X100" s="28" t="s">
        <v>788</v>
      </c>
      <c r="Y100" s="28" t="s">
        <v>789</v>
      </c>
      <c r="Z100" s="61">
        <v>2040202001996</v>
      </c>
      <c r="AA100" s="60"/>
      <c r="AC100" s="28" t="s">
        <v>263</v>
      </c>
    </row>
    <row r="101" spans="1:29" s="28" customFormat="1" x14ac:dyDescent="0.25">
      <c r="A101" s="61">
        <v>110029593731</v>
      </c>
      <c r="B101" s="28">
        <v>2022</v>
      </c>
      <c r="C101" s="68">
        <f t="shared" si="1"/>
        <v>44562</v>
      </c>
      <c r="D101" s="28" t="s">
        <v>111</v>
      </c>
      <c r="E101" s="28" t="s">
        <v>355</v>
      </c>
      <c r="F101" s="28" t="s">
        <v>356</v>
      </c>
      <c r="G101" s="28" t="s">
        <v>338</v>
      </c>
      <c r="H101" s="28">
        <v>8010</v>
      </c>
      <c r="I101" s="28">
        <v>40.067799999999998</v>
      </c>
      <c r="J101" s="28">
        <v>-74.923670000000001</v>
      </c>
      <c r="L101" s="61">
        <v>110029593731</v>
      </c>
      <c r="M101" s="28" t="s">
        <v>263</v>
      </c>
      <c r="N101" s="28">
        <v>4952</v>
      </c>
      <c r="O101" s="28" t="str">
        <f>IFERROR(VLOOKUP(N101, 'SIC &amp; NAICS Codes'!A:B, 2, FALSE), "")</f>
        <v>Sewerage Systems</v>
      </c>
      <c r="S101" s="28">
        <v>0.31054978750000001</v>
      </c>
      <c r="T101" s="315">
        <f>_xlfn.MAXIFS('Raw Period DMR Data'!$O:$O,'Raw Period DMR Data'!$A:$A,'Raw Annual DMR Data_2021-2024'!#REF!,'Raw Period DMR Data'!$C:$C,X101)/S101</f>
        <v>0</v>
      </c>
      <c r="U101" s="28" t="str">
        <f>+IF(COUNTIFS('Raw Period DMR Data'!$A:$A,B101,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01" s="28" t="str" cm="1">
        <f t="array" ref="V101">IFERROR(INDEX('Raw Period DMR Data'!N:N,MATCH(1,(B101='Raw Period DMR Data'!$A:$A)*(U101='Raw Period DMR Data'!M:M)*(X101='Raw Period DMR Data'!C:C),0),1), "N/A")</f>
        <v>N/A</v>
      </c>
      <c r="W101" s="28" t="s">
        <v>1463</v>
      </c>
      <c r="X101" s="28" t="s">
        <v>788</v>
      </c>
      <c r="Y101" s="28" t="s">
        <v>789</v>
      </c>
      <c r="Z101" s="61">
        <v>2040202001996</v>
      </c>
      <c r="AA101" s="60"/>
      <c r="AC101" s="28" t="s">
        <v>263</v>
      </c>
    </row>
    <row r="102" spans="1:29" s="28" customFormat="1" x14ac:dyDescent="0.25">
      <c r="A102" s="61">
        <v>110029593731</v>
      </c>
      <c r="B102" s="28">
        <v>2021</v>
      </c>
      <c r="C102" s="68">
        <f t="shared" si="1"/>
        <v>44197</v>
      </c>
      <c r="D102" s="28" t="s">
        <v>111</v>
      </c>
      <c r="E102" s="28" t="s">
        <v>355</v>
      </c>
      <c r="F102" s="28" t="s">
        <v>356</v>
      </c>
      <c r="G102" s="28" t="s">
        <v>338</v>
      </c>
      <c r="H102" s="28">
        <v>8010</v>
      </c>
      <c r="I102" s="28">
        <v>40.067799999999998</v>
      </c>
      <c r="J102" s="28">
        <v>-74.923670000000001</v>
      </c>
      <c r="L102" s="61">
        <v>110029593731</v>
      </c>
      <c r="M102" s="28" t="s">
        <v>263</v>
      </c>
      <c r="N102" s="28">
        <v>4952</v>
      </c>
      <c r="O102" s="28" t="str">
        <f>IFERROR(VLOOKUP(N102, 'SIC &amp; NAICS Codes'!A:B, 2, FALSE), "")</f>
        <v>Sewerage Systems</v>
      </c>
      <c r="S102" s="28">
        <v>0.26678761750000002</v>
      </c>
      <c r="T102" s="315">
        <f>_xlfn.MAXIFS('Raw Period DMR Data'!$O:$O,'Raw Period DMR Data'!$A:$A,'Raw Annual DMR Data_2021-2024'!#REF!,'Raw Period DMR Data'!$C:$C,X102)/S102</f>
        <v>0</v>
      </c>
      <c r="U102" s="28" t="str">
        <f>+IF(COUNTIFS('Raw Period DMR Data'!$A:$A,B102,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02" s="28" t="str" cm="1">
        <f t="array" ref="V102">IFERROR(INDEX('Raw Period DMR Data'!N:N,MATCH(1,(B102='Raw Period DMR Data'!$A:$A)*(U102='Raw Period DMR Data'!M:M)*(X102='Raw Period DMR Data'!C:C),0),1), "N/A")</f>
        <v>N/A</v>
      </c>
      <c r="W102" s="28" t="s">
        <v>1463</v>
      </c>
      <c r="X102" s="28" t="s">
        <v>788</v>
      </c>
      <c r="Y102" s="28" t="s">
        <v>789</v>
      </c>
      <c r="Z102" s="61">
        <v>2040202001996</v>
      </c>
      <c r="AC102" s="28" t="s">
        <v>263</v>
      </c>
    </row>
    <row r="103" spans="1:29" s="28" customFormat="1" x14ac:dyDescent="0.25">
      <c r="A103" s="61">
        <v>110000730825</v>
      </c>
      <c r="B103" s="28">
        <v>2024</v>
      </c>
      <c r="C103" s="68">
        <f t="shared" si="1"/>
        <v>45292</v>
      </c>
      <c r="D103" s="28" t="s">
        <v>1022</v>
      </c>
      <c r="E103" s="28" t="s">
        <v>1574</v>
      </c>
      <c r="F103" s="28" t="s">
        <v>1023</v>
      </c>
      <c r="G103" s="28" t="s">
        <v>366</v>
      </c>
      <c r="H103" s="28">
        <v>92231</v>
      </c>
      <c r="I103" s="28">
        <v>32.664450000000002</v>
      </c>
      <c r="J103" s="28">
        <v>-115.55970499999999</v>
      </c>
      <c r="L103" s="61">
        <v>110000730825</v>
      </c>
      <c r="M103" s="28" t="s">
        <v>263</v>
      </c>
      <c r="N103" s="28">
        <v>4952</v>
      </c>
      <c r="O103" s="28" t="str">
        <f>IFERROR(VLOOKUP(N103, 'SIC &amp; NAICS Codes'!A:B, 2, FALSE), "")</f>
        <v>Sewerage Systems</v>
      </c>
      <c r="S103" s="28">
        <v>0.173471186625</v>
      </c>
      <c r="T103" s="315">
        <f>_xlfn.MAXIFS('Raw Period DMR Data'!$O:$O,'Raw Period DMR Data'!$A:$A,'Raw Annual DMR Data_2021-2024'!#REF!,'Raw Period DMR Data'!$C:$C,X103)/S103</f>
        <v>0</v>
      </c>
      <c r="U103" s="28" t="str">
        <f>+IF(COUNTIFS('Raw Period DMR Data'!$A:$A,B103,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03" s="28" t="str" cm="1">
        <f t="array" ref="V103">IFERROR(INDEX('Raw Period DMR Data'!N:N,MATCH(1,(B103='Raw Period DMR Data'!$A:$A)*(U103='Raw Period DMR Data'!M:M)*(X103='Raw Period DMR Data'!C:C),0),1), "N/A")</f>
        <v>N/A</v>
      </c>
      <c r="W103" s="28" t="s">
        <v>1463</v>
      </c>
      <c r="X103" s="28" t="s">
        <v>1575</v>
      </c>
      <c r="Y103" s="28" t="s">
        <v>795</v>
      </c>
      <c r="Z103" s="61">
        <v>18100204012549</v>
      </c>
      <c r="AA103" s="60"/>
      <c r="AB103" s="28" t="s">
        <v>7355</v>
      </c>
      <c r="AC103" s="28" t="s">
        <v>263</v>
      </c>
    </row>
    <row r="104" spans="1:29" s="28" customFormat="1" x14ac:dyDescent="0.25">
      <c r="A104" s="61">
        <v>110000730825</v>
      </c>
      <c r="B104" s="28">
        <v>2023</v>
      </c>
      <c r="C104" s="68">
        <f t="shared" si="1"/>
        <v>44927</v>
      </c>
      <c r="D104" s="28" t="s">
        <v>1022</v>
      </c>
      <c r="E104" s="28" t="s">
        <v>1574</v>
      </c>
      <c r="F104" s="28" t="s">
        <v>1023</v>
      </c>
      <c r="G104" s="28" t="s">
        <v>366</v>
      </c>
      <c r="H104" s="28">
        <v>92231</v>
      </c>
      <c r="I104" s="28">
        <v>32.664450000000002</v>
      </c>
      <c r="J104" s="28">
        <v>-115.55970499999999</v>
      </c>
      <c r="L104" s="61">
        <v>110000730825</v>
      </c>
      <c r="M104" s="28" t="s">
        <v>263</v>
      </c>
      <c r="N104" s="28">
        <v>4952</v>
      </c>
      <c r="O104" s="28" t="str">
        <f>IFERROR(VLOOKUP(N104, 'SIC &amp; NAICS Codes'!A:B, 2, FALSE), "")</f>
        <v>Sewerage Systems</v>
      </c>
      <c r="S104" s="28">
        <v>0.16944404125000001</v>
      </c>
      <c r="T104" s="315">
        <f>_xlfn.MAXIFS('Raw Period DMR Data'!$O:$O,'Raw Period DMR Data'!$A:$A,'Raw Annual DMR Data_2021-2024'!#REF!,'Raw Period DMR Data'!$C:$C,X104)/S104</f>
        <v>0</v>
      </c>
      <c r="U104" s="28" t="str">
        <f>+IF(COUNTIFS('Raw Period DMR Data'!$A:$A,B104,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04" s="28" t="str" cm="1">
        <f t="array" ref="V104">IFERROR(INDEX('Raw Period DMR Data'!N:N,MATCH(1,(B104='Raw Period DMR Data'!$A:$A)*(U104='Raw Period DMR Data'!M:M)*(X104='Raw Period DMR Data'!C:C),0),1), "N/A")</f>
        <v>N/A</v>
      </c>
      <c r="W104" s="28" t="s">
        <v>1463</v>
      </c>
      <c r="X104" s="28" t="s">
        <v>1575</v>
      </c>
      <c r="Y104" s="28" t="s">
        <v>795</v>
      </c>
      <c r="Z104" s="61">
        <v>18100204012549</v>
      </c>
      <c r="AA104" s="60"/>
      <c r="AB104" s="28" t="s">
        <v>7355</v>
      </c>
      <c r="AC104" s="28" t="s">
        <v>263</v>
      </c>
    </row>
    <row r="105" spans="1:29" s="28" customFormat="1" x14ac:dyDescent="0.25">
      <c r="A105" s="61">
        <v>110000730825</v>
      </c>
      <c r="B105" s="28">
        <v>2021</v>
      </c>
      <c r="C105" s="68">
        <f t="shared" si="1"/>
        <v>44197</v>
      </c>
      <c r="D105" s="28" t="s">
        <v>1022</v>
      </c>
      <c r="E105" s="28" t="s">
        <v>1574</v>
      </c>
      <c r="F105" s="28" t="s">
        <v>1023</v>
      </c>
      <c r="G105" s="28" t="s">
        <v>366</v>
      </c>
      <c r="H105" s="28">
        <v>92231</v>
      </c>
      <c r="I105" s="28">
        <v>32.664450000000002</v>
      </c>
      <c r="J105" s="28">
        <v>-115.55970499999999</v>
      </c>
      <c r="L105" s="61">
        <v>110000730825</v>
      </c>
      <c r="M105" s="28" t="s">
        <v>263</v>
      </c>
      <c r="N105" s="28">
        <v>4952</v>
      </c>
      <c r="O105" s="28" t="str">
        <f>IFERROR(VLOOKUP(N105, 'SIC &amp; NAICS Codes'!A:B, 2, FALSE), "")</f>
        <v>Sewerage Systems</v>
      </c>
      <c r="S105" s="28">
        <v>0.142801331625</v>
      </c>
      <c r="T105" s="315">
        <f>_xlfn.MAXIFS('Raw Period DMR Data'!$O:$O,'Raw Period DMR Data'!$A:$A,'Raw Annual DMR Data_2021-2024'!#REF!,'Raw Period DMR Data'!$C:$C,X105)/S105</f>
        <v>0</v>
      </c>
      <c r="U105" s="28" t="str">
        <f>+IF(COUNTIFS('Raw Period DMR Data'!$A:$A,B105,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05" s="28" t="str" cm="1">
        <f t="array" ref="V105">IFERROR(INDEX('Raw Period DMR Data'!N:N,MATCH(1,(B105='Raw Period DMR Data'!$A:$A)*(U105='Raw Period DMR Data'!M:M)*(X105='Raw Period DMR Data'!C:C),0),1), "N/A")</f>
        <v>N/A</v>
      </c>
      <c r="W105" s="28" t="s">
        <v>1463</v>
      </c>
      <c r="X105" s="28" t="s">
        <v>1575</v>
      </c>
      <c r="Y105" s="28" t="s">
        <v>795</v>
      </c>
      <c r="Z105" s="61">
        <v>18100204012549</v>
      </c>
      <c r="AB105" s="28" t="s">
        <v>7355</v>
      </c>
      <c r="AC105" s="28" t="s">
        <v>263</v>
      </c>
    </row>
    <row r="106" spans="1:29" s="28" customFormat="1" x14ac:dyDescent="0.25">
      <c r="A106" s="61">
        <v>110000730825</v>
      </c>
      <c r="B106" s="28">
        <v>2022</v>
      </c>
      <c r="C106" s="68">
        <f t="shared" si="1"/>
        <v>44562</v>
      </c>
      <c r="D106" s="28" t="s">
        <v>1022</v>
      </c>
      <c r="E106" s="28" t="s">
        <v>1574</v>
      </c>
      <c r="F106" s="28" t="s">
        <v>1023</v>
      </c>
      <c r="G106" s="28" t="s">
        <v>366</v>
      </c>
      <c r="H106" s="28">
        <v>92231</v>
      </c>
      <c r="I106" s="28">
        <v>32.664450000000002</v>
      </c>
      <c r="J106" s="28">
        <v>-115.55970499999999</v>
      </c>
      <c r="L106" s="61">
        <v>110000730825</v>
      </c>
      <c r="M106" s="28" t="s">
        <v>263</v>
      </c>
      <c r="N106" s="28">
        <v>4952</v>
      </c>
      <c r="O106" s="28" t="str">
        <f>IFERROR(VLOOKUP(N106, 'SIC &amp; NAICS Codes'!A:B, 2, FALSE), "")</f>
        <v>Sewerage Systems</v>
      </c>
      <c r="S106" s="28">
        <v>0.13739266124999999</v>
      </c>
      <c r="T106" s="315">
        <f>_xlfn.MAXIFS('Raw Period DMR Data'!$O:$O,'Raw Period DMR Data'!$A:$A,'Raw Annual DMR Data_2021-2024'!#REF!,'Raw Period DMR Data'!$C:$C,X106)/S106</f>
        <v>0</v>
      </c>
      <c r="U106" s="28" t="str">
        <f>+IF(COUNTIFS('Raw Period DMR Data'!$A:$A,B106,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06" s="28" t="str" cm="1">
        <f t="array" ref="V106">IFERROR(INDEX('Raw Period DMR Data'!N:N,MATCH(1,(B106='Raw Period DMR Data'!$A:$A)*(U106='Raw Period DMR Data'!M:M)*(X106='Raw Period DMR Data'!C:C),0),1), "N/A")</f>
        <v>N/A</v>
      </c>
      <c r="W106" s="28" t="s">
        <v>1463</v>
      </c>
      <c r="X106" s="28" t="s">
        <v>1575</v>
      </c>
      <c r="Y106" s="28" t="s">
        <v>795</v>
      </c>
      <c r="Z106" s="61">
        <v>18100204012549</v>
      </c>
      <c r="AA106" s="60"/>
      <c r="AB106" s="28" t="s">
        <v>7355</v>
      </c>
      <c r="AC106" s="28" t="s">
        <v>263</v>
      </c>
    </row>
    <row r="107" spans="1:29" s="28" customFormat="1" x14ac:dyDescent="0.25">
      <c r="A107" s="61">
        <v>110002043217</v>
      </c>
      <c r="B107" s="28">
        <v>2021</v>
      </c>
      <c r="C107" s="68">
        <f t="shared" si="1"/>
        <v>44197</v>
      </c>
      <c r="D107" s="28" t="s">
        <v>1024</v>
      </c>
      <c r="E107" s="28" t="s">
        <v>1576</v>
      </c>
      <c r="F107" s="28" t="s">
        <v>1025</v>
      </c>
      <c r="G107" s="28" t="s">
        <v>366</v>
      </c>
      <c r="H107" s="28">
        <v>92233</v>
      </c>
      <c r="I107" s="28">
        <v>33.147531999999998</v>
      </c>
      <c r="J107" s="28">
        <v>-115.54533000000001</v>
      </c>
      <c r="L107" s="61">
        <v>110002043217</v>
      </c>
      <c r="M107" s="28" t="s">
        <v>263</v>
      </c>
      <c r="N107" s="28">
        <v>4952</v>
      </c>
      <c r="O107" s="28" t="str">
        <f>IFERROR(VLOOKUP(N107, 'SIC &amp; NAICS Codes'!A:B, 2, FALSE), "")</f>
        <v>Sewerage Systems</v>
      </c>
      <c r="S107" s="28">
        <v>3.8959005000000001E-3</v>
      </c>
      <c r="T107" s="315">
        <f>_xlfn.MAXIFS('Raw Period DMR Data'!$O:$O,'Raw Period DMR Data'!$A:$A,'Raw Annual DMR Data_2021-2024'!#REF!,'Raw Period DMR Data'!$C:$C,X107)/S107</f>
        <v>0</v>
      </c>
      <c r="U107" s="28" t="str">
        <f>+IF(COUNTIFS('Raw Period DMR Data'!$A:$A,B107,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07" s="28" t="str" cm="1">
        <f t="array" ref="V107">IFERROR(INDEX('Raw Period DMR Data'!N:N,MATCH(1,(B107='Raw Period DMR Data'!$A:$A)*(U107='Raw Period DMR Data'!M:M)*(X107='Raw Period DMR Data'!C:C),0),1), "N/A")</f>
        <v>N/A</v>
      </c>
      <c r="W107" s="28" t="s">
        <v>1463</v>
      </c>
      <c r="X107" s="28" t="s">
        <v>1577</v>
      </c>
      <c r="Y107" s="28" t="s">
        <v>1578</v>
      </c>
      <c r="Z107" s="61">
        <v>18100204011103</v>
      </c>
      <c r="AB107" s="28" t="s">
        <v>7355</v>
      </c>
      <c r="AC107" s="28" t="s">
        <v>263</v>
      </c>
    </row>
    <row r="108" spans="1:29" s="28" customFormat="1" x14ac:dyDescent="0.25">
      <c r="A108" s="61">
        <v>110002043217</v>
      </c>
      <c r="B108" s="28">
        <v>2023</v>
      </c>
      <c r="C108" s="68">
        <f t="shared" si="1"/>
        <v>44927</v>
      </c>
      <c r="D108" s="28" t="s">
        <v>1024</v>
      </c>
      <c r="E108" s="28" t="s">
        <v>1576</v>
      </c>
      <c r="F108" s="28" t="s">
        <v>1025</v>
      </c>
      <c r="G108" s="28" t="s">
        <v>366</v>
      </c>
      <c r="H108" s="28">
        <v>92233</v>
      </c>
      <c r="I108" s="28">
        <v>33.147531999999998</v>
      </c>
      <c r="J108" s="28">
        <v>-115.54533000000001</v>
      </c>
      <c r="L108" s="61">
        <v>110002043217</v>
      </c>
      <c r="M108" s="28" t="s">
        <v>263</v>
      </c>
      <c r="N108" s="28">
        <v>4952</v>
      </c>
      <c r="O108" s="28" t="str">
        <f>IFERROR(VLOOKUP(N108, 'SIC &amp; NAICS Codes'!A:B, 2, FALSE), "")</f>
        <v>Sewerage Systems</v>
      </c>
      <c r="S108" s="28">
        <v>3.813009E-3</v>
      </c>
      <c r="T108" s="315">
        <f>_xlfn.MAXIFS('Raw Period DMR Data'!$O:$O,'Raw Period DMR Data'!$A:$A,'Raw Annual DMR Data_2021-2024'!#REF!,'Raw Period DMR Data'!$C:$C,X108)/S108</f>
        <v>0</v>
      </c>
      <c r="U108" s="28" t="str">
        <f>+IF(COUNTIFS('Raw Period DMR Data'!$A:$A,B108,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08" s="28" t="str" cm="1">
        <f t="array" ref="V108">IFERROR(INDEX('Raw Period DMR Data'!N:N,MATCH(1,(B108='Raw Period DMR Data'!$A:$A)*(U108='Raw Period DMR Data'!M:M)*(X108='Raw Period DMR Data'!C:C),0),1), "N/A")</f>
        <v>N/A</v>
      </c>
      <c r="W108" s="28" t="s">
        <v>1463</v>
      </c>
      <c r="X108" s="28" t="s">
        <v>1577</v>
      </c>
      <c r="Y108" s="28" t="s">
        <v>1578</v>
      </c>
      <c r="Z108" s="61">
        <v>18100204011103</v>
      </c>
      <c r="AA108" s="60"/>
      <c r="AB108" s="28" t="s">
        <v>7355</v>
      </c>
      <c r="AC108" s="28" t="s">
        <v>263</v>
      </c>
    </row>
    <row r="109" spans="1:29" s="28" customFormat="1" x14ac:dyDescent="0.25">
      <c r="A109" s="61">
        <v>110002043217</v>
      </c>
      <c r="B109" s="28">
        <v>2022</v>
      </c>
      <c r="C109" s="68">
        <f t="shared" si="1"/>
        <v>44562</v>
      </c>
      <c r="D109" s="28" t="s">
        <v>1024</v>
      </c>
      <c r="E109" s="28" t="s">
        <v>1576</v>
      </c>
      <c r="F109" s="28" t="s">
        <v>1025</v>
      </c>
      <c r="G109" s="28" t="s">
        <v>366</v>
      </c>
      <c r="H109" s="28">
        <v>92233</v>
      </c>
      <c r="I109" s="28">
        <v>33.147531999999998</v>
      </c>
      <c r="J109" s="28">
        <v>-115.54533000000001</v>
      </c>
      <c r="L109" s="61">
        <v>110002043217</v>
      </c>
      <c r="M109" s="28" t="s">
        <v>263</v>
      </c>
      <c r="N109" s="28">
        <v>4952</v>
      </c>
      <c r="O109" s="28" t="str">
        <f>IFERROR(VLOOKUP(N109, 'SIC &amp; NAICS Codes'!A:B, 2, FALSE), "")</f>
        <v>Sewerage Systems</v>
      </c>
      <c r="S109" s="28">
        <v>3.757748E-3</v>
      </c>
      <c r="T109" s="315">
        <f>_xlfn.MAXIFS('Raw Period DMR Data'!$O:$O,'Raw Period DMR Data'!$A:$A,'Raw Annual DMR Data_2021-2024'!#REF!,'Raw Period DMR Data'!$C:$C,X109)/S109</f>
        <v>0</v>
      </c>
      <c r="U109" s="28" t="str">
        <f>+IF(COUNTIFS('Raw Period DMR Data'!$A:$A,B109,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09" s="28" t="str" cm="1">
        <f t="array" ref="V109">IFERROR(INDEX('Raw Period DMR Data'!N:N,MATCH(1,(B109='Raw Period DMR Data'!$A:$A)*(U109='Raw Period DMR Data'!M:M)*(X109='Raw Period DMR Data'!C:C),0),1), "N/A")</f>
        <v>N/A</v>
      </c>
      <c r="W109" s="28" t="s">
        <v>1463</v>
      </c>
      <c r="X109" s="28" t="s">
        <v>1577</v>
      </c>
      <c r="Y109" s="28" t="s">
        <v>1578</v>
      </c>
      <c r="Z109" s="61">
        <v>18100204011103</v>
      </c>
      <c r="AA109" s="60"/>
      <c r="AB109" s="28" t="s">
        <v>7355</v>
      </c>
      <c r="AC109" s="28" t="s">
        <v>263</v>
      </c>
    </row>
    <row r="110" spans="1:29" s="28" customFormat="1" x14ac:dyDescent="0.25">
      <c r="A110" s="61">
        <v>110002043217</v>
      </c>
      <c r="B110" s="28">
        <v>2024</v>
      </c>
      <c r="C110" s="68">
        <f t="shared" si="1"/>
        <v>45292</v>
      </c>
      <c r="D110" s="28" t="s">
        <v>1024</v>
      </c>
      <c r="E110" s="28" t="s">
        <v>1576</v>
      </c>
      <c r="F110" s="28" t="s">
        <v>1025</v>
      </c>
      <c r="G110" s="28" t="s">
        <v>366</v>
      </c>
      <c r="H110" s="28">
        <v>92233</v>
      </c>
      <c r="I110" s="28">
        <v>33.147531999999998</v>
      </c>
      <c r="J110" s="28">
        <v>-115.54533000000001</v>
      </c>
      <c r="L110" s="61">
        <v>110002043217</v>
      </c>
      <c r="M110" s="28" t="s">
        <v>263</v>
      </c>
      <c r="N110" s="28">
        <v>4952</v>
      </c>
      <c r="O110" s="28" t="str">
        <f>IFERROR(VLOOKUP(N110, 'SIC &amp; NAICS Codes'!A:B, 2, FALSE), "")</f>
        <v>Sewerage Systems</v>
      </c>
      <c r="S110" s="28">
        <v>3.598872625E-3</v>
      </c>
      <c r="T110" s="315">
        <f>_xlfn.MAXIFS('Raw Period DMR Data'!$O:$O,'Raw Period DMR Data'!$A:$A,'Raw Annual DMR Data_2021-2024'!#REF!,'Raw Period DMR Data'!$C:$C,X110)/S110</f>
        <v>0</v>
      </c>
      <c r="U110" s="28" t="str">
        <f>+IF(COUNTIFS('Raw Period DMR Data'!$A:$A,B110,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10" s="28" t="str" cm="1">
        <f t="array" ref="V110">IFERROR(INDEX('Raw Period DMR Data'!N:N,MATCH(1,(B110='Raw Period DMR Data'!$A:$A)*(U110='Raw Period DMR Data'!M:M)*(X110='Raw Period DMR Data'!C:C),0),1), "N/A")</f>
        <v>N/A</v>
      </c>
      <c r="W110" s="28" t="s">
        <v>1463</v>
      </c>
      <c r="X110" s="28" t="s">
        <v>1577</v>
      </c>
      <c r="Y110" s="28" t="s">
        <v>1578</v>
      </c>
      <c r="Z110" s="61">
        <v>18100204011103</v>
      </c>
      <c r="AA110" s="60"/>
      <c r="AB110" s="28" t="s">
        <v>7355</v>
      </c>
      <c r="AC110" s="28" t="s">
        <v>263</v>
      </c>
    </row>
    <row r="111" spans="1:29" s="28" customFormat="1" x14ac:dyDescent="0.25">
      <c r="A111" s="61">
        <v>110015632216</v>
      </c>
      <c r="B111" s="28">
        <v>2024</v>
      </c>
      <c r="C111" s="68">
        <f t="shared" si="1"/>
        <v>45292</v>
      </c>
      <c r="D111" s="28" t="s">
        <v>1032</v>
      </c>
      <c r="E111" s="28" t="s">
        <v>1590</v>
      </c>
      <c r="F111" s="28" t="s">
        <v>1033</v>
      </c>
      <c r="G111" s="28" t="s">
        <v>324</v>
      </c>
      <c r="H111" s="28">
        <v>41008</v>
      </c>
      <c r="I111" s="28">
        <v>38.627777999999999</v>
      </c>
      <c r="J111" s="28">
        <v>-85.115832999999995</v>
      </c>
      <c r="L111" s="61">
        <v>110015632216</v>
      </c>
      <c r="M111" s="28" t="s">
        <v>263</v>
      </c>
      <c r="N111" s="28">
        <v>4952</v>
      </c>
      <c r="O111" s="28" t="str">
        <f>IFERROR(VLOOKUP(N111, 'SIC &amp; NAICS Codes'!A:B, 2, FALSE), "")</f>
        <v>Sewerage Systems</v>
      </c>
      <c r="S111" s="28">
        <v>5.3188712499999999</v>
      </c>
      <c r="T111" s="315">
        <f>_xlfn.MAXIFS('Raw Period DMR Data'!$O:$O,'Raw Period DMR Data'!$A:$A,'Raw Annual DMR Data_2021-2024'!B977,'Raw Period DMR Data'!$C:$C,X111)/S111</f>
        <v>0</v>
      </c>
      <c r="U111" s="28" t="str">
        <f>+IF(COUNTIFS('Raw Period DMR Data'!$A:$A,B111, 'Raw Period DMR Data'!C:C,'Raw Annual DMR Data_2021-2024'!X977, 'Raw Period DMR Data'!M:M, "&gt;0")&gt;0,_xlfn.MAXIFS('Raw Period DMR Data'!M:M,'Raw Period DMR Data'!$A:$A,'Raw Annual DMR Data_2021-2024'!B977,'Raw Period DMR Data'!C:C,'Raw Annual DMR Data_2021-2024'!X977), "N/A - Period DMR Data Not Available")</f>
        <v>N/A - Period DMR Data Not Available</v>
      </c>
      <c r="V111" s="28" t="str" cm="1">
        <f t="array" ref="V111">IFERROR(INDEX('Raw Period DMR Data'!N:N,MATCH(1,(B111='Raw Period DMR Data'!$A:$A)*(U111='Raw Period DMR Data'!M:M)*(X111='Raw Period DMR Data'!C:C),0),1), "N/A")</f>
        <v>N/A</v>
      </c>
      <c r="W111" s="28" t="s">
        <v>1463</v>
      </c>
      <c r="X111" s="28" t="s">
        <v>1591</v>
      </c>
      <c r="Y111" s="28" t="s">
        <v>1592</v>
      </c>
      <c r="Z111" s="61">
        <v>5100205000002</v>
      </c>
      <c r="AA111" s="60"/>
      <c r="AB111" s="28" t="s">
        <v>7355</v>
      </c>
      <c r="AC111" s="28" t="s">
        <v>263</v>
      </c>
    </row>
    <row r="112" spans="1:29" s="28" customFormat="1" x14ac:dyDescent="0.25">
      <c r="A112" s="61">
        <v>110015632216</v>
      </c>
      <c r="B112" s="28">
        <v>2023</v>
      </c>
      <c r="C112" s="68">
        <f t="shared" si="1"/>
        <v>44927</v>
      </c>
      <c r="D112" s="28" t="s">
        <v>1032</v>
      </c>
      <c r="E112" s="28" t="s">
        <v>1590</v>
      </c>
      <c r="F112" s="28" t="s">
        <v>1033</v>
      </c>
      <c r="G112" s="28" t="s">
        <v>324</v>
      </c>
      <c r="H112" s="28">
        <v>41008</v>
      </c>
      <c r="I112" s="28">
        <v>38.627777999999999</v>
      </c>
      <c r="J112" s="28">
        <v>-85.115832999999995</v>
      </c>
      <c r="L112" s="61">
        <v>110015632216</v>
      </c>
      <c r="M112" s="28" t="s">
        <v>263</v>
      </c>
      <c r="N112" s="28">
        <v>4952</v>
      </c>
      <c r="O112" s="28" t="str">
        <f>IFERROR(VLOOKUP(N112, 'SIC &amp; NAICS Codes'!A:B, 2, FALSE), "")</f>
        <v>Sewerage Systems</v>
      </c>
      <c r="S112" s="28">
        <v>2.7043351874999999</v>
      </c>
      <c r="T112" s="315">
        <f>_xlfn.MAXIFS('Raw Period DMR Data'!$O:$O,'Raw Period DMR Data'!$A:$A,'Raw Annual DMR Data_2021-2024'!#REF!,'Raw Period DMR Data'!$C:$C,X112)/S112</f>
        <v>0</v>
      </c>
      <c r="U112" s="28" t="str">
        <f>+IF(COUNTIFS('Raw Period DMR Data'!$A:$A,B112,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12" s="28" t="str" cm="1">
        <f t="array" ref="V112">IFERROR(INDEX('Raw Period DMR Data'!N:N,MATCH(1,(B112='Raw Period DMR Data'!$A:$A)*(U112='Raw Period DMR Data'!M:M)*(X112='Raw Period DMR Data'!C:C),0),1), "N/A")</f>
        <v>N/A</v>
      </c>
      <c r="W112" s="28" t="s">
        <v>1463</v>
      </c>
      <c r="X112" s="28" t="s">
        <v>1591</v>
      </c>
      <c r="Y112" s="28" t="s">
        <v>1592</v>
      </c>
      <c r="Z112" s="61" t="s">
        <v>1593</v>
      </c>
      <c r="AA112" s="60"/>
      <c r="AB112" s="28" t="s">
        <v>7355</v>
      </c>
      <c r="AC112" s="28" t="s">
        <v>263</v>
      </c>
    </row>
    <row r="113" spans="1:29" s="28" customFormat="1" x14ac:dyDescent="0.25">
      <c r="A113" s="61">
        <v>110006656083</v>
      </c>
      <c r="B113" s="28">
        <v>2024</v>
      </c>
      <c r="C113" s="68">
        <f t="shared" si="1"/>
        <v>45292</v>
      </c>
      <c r="D113" s="28" t="s">
        <v>6884</v>
      </c>
      <c r="E113" s="28" t="s">
        <v>7058</v>
      </c>
      <c r="F113" s="28" t="s">
        <v>7059</v>
      </c>
      <c r="G113" s="28" t="s">
        <v>324</v>
      </c>
      <c r="H113" s="28">
        <v>42749</v>
      </c>
      <c r="I113" s="28">
        <v>37.17</v>
      </c>
      <c r="J113" s="28">
        <v>-85.916111000000001</v>
      </c>
      <c r="L113" s="61">
        <v>110006656083</v>
      </c>
      <c r="M113" s="28" t="s">
        <v>263</v>
      </c>
      <c r="N113" s="28">
        <v>4952</v>
      </c>
      <c r="O113" s="28" t="str">
        <f>IFERROR(VLOOKUP(N113, 'SIC &amp; NAICS Codes'!A:B, 2, FALSE), "")</f>
        <v>Sewerage Systems</v>
      </c>
      <c r="S113" s="28">
        <v>0.50287510000000002</v>
      </c>
      <c r="T113" s="315">
        <f>_xlfn.MAXIFS('Raw Period DMR Data'!$O:$O,'Raw Period DMR Data'!$A:$A,'Raw Annual DMR Data_2021-2024'!#REF!,'Raw Period DMR Data'!$C:$C,X113)/S113</f>
        <v>0</v>
      </c>
      <c r="U113" s="28" t="str">
        <f>+IF(COUNTIFS('Raw Period DMR Data'!$A:$A,B113,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13" s="28" t="str" cm="1">
        <f t="array" ref="V113">IFERROR(INDEX('Raw Period DMR Data'!N:N,MATCH(1,(B113='Raw Period DMR Data'!$A:$A)*(U113='Raw Period DMR Data'!M:M)*(X113='Raw Period DMR Data'!C:C),0),1), "N/A")</f>
        <v>N/A</v>
      </c>
      <c r="W113" s="28" t="s">
        <v>1463</v>
      </c>
      <c r="X113" s="28" t="s">
        <v>7210</v>
      </c>
      <c r="Y113" s="28" t="s">
        <v>7308</v>
      </c>
      <c r="Z113" s="61">
        <v>5110002018560</v>
      </c>
      <c r="AA113" s="60"/>
      <c r="AB113" s="28" t="s">
        <v>7355</v>
      </c>
      <c r="AC113" s="28" t="s">
        <v>263</v>
      </c>
    </row>
    <row r="114" spans="1:29" s="28" customFormat="1" x14ac:dyDescent="0.25">
      <c r="A114" s="61">
        <v>110070838708</v>
      </c>
      <c r="B114" s="28">
        <v>2022</v>
      </c>
      <c r="C114" s="68">
        <f t="shared" si="1"/>
        <v>44562</v>
      </c>
      <c r="D114" s="28" t="s">
        <v>6859</v>
      </c>
      <c r="E114" s="28" t="s">
        <v>7020</v>
      </c>
      <c r="F114" s="28" t="s">
        <v>6939</v>
      </c>
      <c r="G114" s="28" t="s">
        <v>366</v>
      </c>
      <c r="H114" s="28">
        <v>93443</v>
      </c>
      <c r="I114" s="28">
        <v>35.378917000000001</v>
      </c>
      <c r="J114" s="28">
        <v>-120.886111</v>
      </c>
      <c r="L114" s="61">
        <v>110070838708</v>
      </c>
      <c r="M114" s="28" t="s">
        <v>263</v>
      </c>
      <c r="N114" s="28">
        <v>4952</v>
      </c>
      <c r="O114" s="28" t="str">
        <f>IFERROR(VLOOKUP(N114, 'SIC &amp; NAICS Codes'!A:B, 2, FALSE), "")</f>
        <v>Sewerage Systems</v>
      </c>
      <c r="S114" s="28">
        <v>4.1102302884999997E-2</v>
      </c>
      <c r="T114" s="315">
        <f>_xlfn.MAXIFS('Raw Period DMR Data'!$O:$O,'Raw Period DMR Data'!$A:$A,'Raw Annual DMR Data_2021-2024'!#REF!,'Raw Period DMR Data'!$C:$C,X114)/S114</f>
        <v>0</v>
      </c>
      <c r="U114" s="28" t="str">
        <f>+IF(COUNTIFS('Raw Period DMR Data'!$A:$A,B114,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14" s="28" t="str" cm="1">
        <f t="array" ref="V114">IFERROR(INDEX('Raw Period DMR Data'!N:N,MATCH(1,(B114='Raw Period DMR Data'!$A:$A)*(U114='Raw Period DMR Data'!M:M)*(X114='Raw Period DMR Data'!C:C),0),1), "N/A")</f>
        <v>N/A</v>
      </c>
      <c r="W114" s="28" t="s">
        <v>1463</v>
      </c>
      <c r="X114" s="28" t="s">
        <v>7189</v>
      </c>
      <c r="Y114" s="28" t="s">
        <v>926</v>
      </c>
      <c r="Z114" s="61"/>
      <c r="AA114" s="60"/>
      <c r="AB114" s="28" t="s">
        <v>7355</v>
      </c>
      <c r="AC114" s="28" t="s">
        <v>263</v>
      </c>
    </row>
    <row r="115" spans="1:29" s="28" customFormat="1" x14ac:dyDescent="0.25">
      <c r="A115" s="61">
        <v>110070838708</v>
      </c>
      <c r="B115" s="28">
        <v>2021</v>
      </c>
      <c r="C115" s="68">
        <f t="shared" si="1"/>
        <v>44197</v>
      </c>
      <c r="D115" s="28" t="s">
        <v>6859</v>
      </c>
      <c r="E115" s="28" t="s">
        <v>7020</v>
      </c>
      <c r="F115" s="28" t="s">
        <v>6939</v>
      </c>
      <c r="G115" s="28" t="s">
        <v>366</v>
      </c>
      <c r="H115" s="28">
        <v>93443</v>
      </c>
      <c r="I115" s="28">
        <v>35.378917000000001</v>
      </c>
      <c r="J115" s="28">
        <v>-120.886111</v>
      </c>
      <c r="L115" s="61">
        <v>110070838708</v>
      </c>
      <c r="M115" s="28" t="s">
        <v>263</v>
      </c>
      <c r="N115" s="28">
        <v>4952</v>
      </c>
      <c r="O115" s="28" t="str">
        <f>IFERROR(VLOOKUP(N115, 'SIC &amp; NAICS Codes'!A:B, 2, FALSE), "")</f>
        <v>Sewerage Systems</v>
      </c>
      <c r="S115" s="28">
        <v>4.0449256017499997E-2</v>
      </c>
      <c r="T115" s="315">
        <f>_xlfn.MAXIFS('Raw Period DMR Data'!$O:$O,'Raw Period DMR Data'!$A:$A,'Raw Annual DMR Data_2021-2024'!#REF!,'Raw Period DMR Data'!$C:$C,X115)/S115</f>
        <v>0</v>
      </c>
      <c r="U115" s="28" t="str">
        <f>+IF(COUNTIFS('Raw Period DMR Data'!$A:$A,B115,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15" s="28" t="str" cm="1">
        <f t="array" ref="V115">IFERROR(INDEX('Raw Period DMR Data'!N:N,MATCH(1,(B115='Raw Period DMR Data'!$A:$A)*(U115='Raw Period DMR Data'!M:M)*(X115='Raw Period DMR Data'!C:C),0),1), "N/A")</f>
        <v>N/A</v>
      </c>
      <c r="W115" s="28" t="s">
        <v>1463</v>
      </c>
      <c r="X115" s="28" t="s">
        <v>7189</v>
      </c>
      <c r="Y115" s="28" t="s">
        <v>926</v>
      </c>
      <c r="Z115" s="61"/>
      <c r="AB115" s="28" t="s">
        <v>7355</v>
      </c>
      <c r="AC115" s="28" t="s">
        <v>263</v>
      </c>
    </row>
    <row r="116" spans="1:29" s="28" customFormat="1" x14ac:dyDescent="0.25">
      <c r="A116" s="61">
        <v>110070838708</v>
      </c>
      <c r="B116" s="28">
        <v>2023</v>
      </c>
      <c r="C116" s="68">
        <f t="shared" si="1"/>
        <v>44927</v>
      </c>
      <c r="D116" s="28" t="s">
        <v>6859</v>
      </c>
      <c r="E116" s="28" t="s">
        <v>7020</v>
      </c>
      <c r="F116" s="28" t="s">
        <v>6939</v>
      </c>
      <c r="G116" s="28" t="s">
        <v>366</v>
      </c>
      <c r="H116" s="28">
        <v>93443</v>
      </c>
      <c r="I116" s="28">
        <v>35.378917000000001</v>
      </c>
      <c r="J116" s="28">
        <v>-120.886111</v>
      </c>
      <c r="L116" s="61">
        <v>110070838708</v>
      </c>
      <c r="M116" s="28" t="s">
        <v>263</v>
      </c>
      <c r="N116" s="28">
        <v>4952</v>
      </c>
      <c r="O116" s="28" t="str">
        <f>IFERROR(VLOOKUP(N116, 'SIC &amp; NAICS Codes'!A:B, 2, FALSE), "")</f>
        <v>Sewerage Systems</v>
      </c>
      <c r="S116" s="28">
        <v>3.3518835854999998E-2</v>
      </c>
      <c r="T116" s="315">
        <f>_xlfn.MAXIFS('Raw Period DMR Data'!$O:$O,'Raw Period DMR Data'!$A:$A,'Raw Annual DMR Data_2021-2024'!#REF!,'Raw Period DMR Data'!$C:$C,X116)/S116</f>
        <v>0</v>
      </c>
      <c r="U116" s="28" t="str">
        <f>+IF(COUNTIFS('Raw Period DMR Data'!$A:$A,B116,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16" s="28" t="str" cm="1">
        <f t="array" ref="V116">IFERROR(INDEX('Raw Period DMR Data'!N:N,MATCH(1,(B116='Raw Period DMR Data'!$A:$A)*(U116='Raw Period DMR Data'!M:M)*(X116='Raw Period DMR Data'!C:C),0),1), "N/A")</f>
        <v>N/A</v>
      </c>
      <c r="W116" s="28" t="s">
        <v>1463</v>
      </c>
      <c r="X116" s="28" t="s">
        <v>7189</v>
      </c>
      <c r="Y116" s="28" t="s">
        <v>926</v>
      </c>
      <c r="Z116" s="61"/>
      <c r="AA116" s="60"/>
      <c r="AB116" s="28" t="s">
        <v>7355</v>
      </c>
      <c r="AC116" s="28" t="s">
        <v>263</v>
      </c>
    </row>
    <row r="117" spans="1:29" s="28" customFormat="1" x14ac:dyDescent="0.25">
      <c r="A117" s="61">
        <v>110070838708</v>
      </c>
      <c r="B117" s="28">
        <v>2024</v>
      </c>
      <c r="C117" s="68">
        <f t="shared" si="1"/>
        <v>45292</v>
      </c>
      <c r="D117" s="28" t="s">
        <v>6859</v>
      </c>
      <c r="E117" s="28" t="s">
        <v>7020</v>
      </c>
      <c r="F117" s="28" t="s">
        <v>6939</v>
      </c>
      <c r="G117" s="28" t="s">
        <v>366</v>
      </c>
      <c r="H117" s="28">
        <v>93443</v>
      </c>
      <c r="I117" s="28">
        <v>35.378917000000001</v>
      </c>
      <c r="J117" s="28">
        <v>-120.886111</v>
      </c>
      <c r="L117" s="61">
        <v>110070838708</v>
      </c>
      <c r="M117" s="28" t="s">
        <v>263</v>
      </c>
      <c r="N117" s="28">
        <v>4952</v>
      </c>
      <c r="O117" s="28" t="str">
        <f>IFERROR(VLOOKUP(N117, 'SIC &amp; NAICS Codes'!A:B, 2, FALSE), "")</f>
        <v>Sewerage Systems</v>
      </c>
      <c r="S117" s="28">
        <v>2.7116572700000001E-2</v>
      </c>
      <c r="T117" s="315">
        <f>_xlfn.MAXIFS('Raw Period DMR Data'!$O:$O,'Raw Period DMR Data'!$A:$A,'Raw Annual DMR Data_2021-2024'!#REF!,'Raw Period DMR Data'!$C:$C,X117)/S117</f>
        <v>0</v>
      </c>
      <c r="U117" s="28" t="str">
        <f>+IF(COUNTIFS('Raw Period DMR Data'!$A:$A,B117,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17" s="28" t="str" cm="1">
        <f t="array" ref="V117">IFERROR(INDEX('Raw Period DMR Data'!N:N,MATCH(1,(B117='Raw Period DMR Data'!$A:$A)*(U117='Raw Period DMR Data'!M:M)*(X117='Raw Period DMR Data'!C:C),0),1), "N/A")</f>
        <v>N/A</v>
      </c>
      <c r="W117" s="28" t="s">
        <v>1463</v>
      </c>
      <c r="X117" s="28" t="s">
        <v>7189</v>
      </c>
      <c r="Y117" s="28" t="s">
        <v>926</v>
      </c>
      <c r="Z117" s="61"/>
      <c r="AA117" s="60"/>
      <c r="AB117" s="28" t="s">
        <v>7355</v>
      </c>
      <c r="AC117" s="28" t="s">
        <v>263</v>
      </c>
    </row>
    <row r="118" spans="1:29" s="28" customFormat="1" x14ac:dyDescent="0.25">
      <c r="A118" s="61">
        <v>110043485421</v>
      </c>
      <c r="B118" s="28">
        <v>2024</v>
      </c>
      <c r="C118" s="68">
        <f t="shared" si="1"/>
        <v>45292</v>
      </c>
      <c r="D118" s="28" t="s">
        <v>1037</v>
      </c>
      <c r="E118" s="28" t="s">
        <v>1601</v>
      </c>
      <c r="F118" s="28" t="s">
        <v>987</v>
      </c>
      <c r="G118" s="28" t="s">
        <v>324</v>
      </c>
      <c r="H118" s="28">
        <v>40291</v>
      </c>
      <c r="I118" s="28">
        <v>38.122354000000001</v>
      </c>
      <c r="J118" s="28">
        <v>-85.587648000000002</v>
      </c>
      <c r="L118" s="61">
        <v>110043485421</v>
      </c>
      <c r="M118" s="28" t="s">
        <v>263</v>
      </c>
      <c r="N118" s="28">
        <v>4952</v>
      </c>
      <c r="O118" s="28" t="str">
        <f>IFERROR(VLOOKUP(N118, 'SIC &amp; NAICS Codes'!A:B, 2, FALSE), "")</f>
        <v>Sewerage Systems</v>
      </c>
      <c r="S118" s="28">
        <v>23.8831134375</v>
      </c>
      <c r="T118" s="315">
        <f>_xlfn.MAXIFS('Raw Period DMR Data'!$O:$O,'Raw Period DMR Data'!$A:$A,'Raw Annual DMR Data_2021-2024'!B903,'Raw Period DMR Data'!$C:$C,X118)/S118</f>
        <v>0</v>
      </c>
      <c r="U118" s="28" t="str">
        <f>+IF(COUNTIFS('Raw Period DMR Data'!$A:$A,B118, 'Raw Period DMR Data'!C:C,'Raw Annual DMR Data_2021-2024'!X903, 'Raw Period DMR Data'!M:M, "&gt;0")&gt;0,_xlfn.MAXIFS('Raw Period DMR Data'!M:M,'Raw Period DMR Data'!$A:$A,'Raw Annual DMR Data_2021-2024'!B903,'Raw Period DMR Data'!C:C,'Raw Annual DMR Data_2021-2024'!X903), "N/A - Period DMR Data Not Available")</f>
        <v>N/A - Period DMR Data Not Available</v>
      </c>
      <c r="V118" s="28" t="str" cm="1">
        <f t="array" ref="V118">IFERROR(INDEX('Raw Period DMR Data'!N:N,MATCH(1,(B118='Raw Period DMR Data'!$A:$A)*(U118='Raw Period DMR Data'!M:M)*(X118='Raw Period DMR Data'!C:C),0),1), "N/A")</f>
        <v>N/A</v>
      </c>
      <c r="W118" s="28" t="s">
        <v>1463</v>
      </c>
      <c r="X118" s="28" t="s">
        <v>1602</v>
      </c>
      <c r="Y118" s="28" t="s">
        <v>1603</v>
      </c>
      <c r="Z118" s="61">
        <v>5140102000566</v>
      </c>
      <c r="AA118" s="60"/>
      <c r="AB118" s="28" t="s">
        <v>7355</v>
      </c>
      <c r="AC118" s="28" t="s">
        <v>263</v>
      </c>
    </row>
    <row r="119" spans="1:29" s="28" customFormat="1" x14ac:dyDescent="0.25">
      <c r="A119" s="61">
        <v>110043485421</v>
      </c>
      <c r="B119" s="28">
        <v>2021</v>
      </c>
      <c r="C119" s="68">
        <f t="shared" si="1"/>
        <v>44197</v>
      </c>
      <c r="D119" s="28" t="s">
        <v>1037</v>
      </c>
      <c r="E119" s="28" t="s">
        <v>1601</v>
      </c>
      <c r="F119" s="28" t="s">
        <v>987</v>
      </c>
      <c r="G119" s="28" t="s">
        <v>324</v>
      </c>
      <c r="H119" s="28">
        <v>40291</v>
      </c>
      <c r="I119" s="28">
        <v>38.122354000000001</v>
      </c>
      <c r="J119" s="28">
        <v>-85.587648000000002</v>
      </c>
      <c r="L119" s="61">
        <v>110043485421</v>
      </c>
      <c r="M119" s="28" t="s">
        <v>263</v>
      </c>
      <c r="N119" s="28">
        <v>4952</v>
      </c>
      <c r="O119" s="28" t="str">
        <f>IFERROR(VLOOKUP(N119, 'SIC &amp; NAICS Codes'!A:B, 2, FALSE), "")</f>
        <v>Sewerage Systems</v>
      </c>
      <c r="S119" s="28">
        <v>21.130424874999999</v>
      </c>
      <c r="T119" s="315">
        <f>_xlfn.MAXIFS('Raw Period DMR Data'!$O:$O,'Raw Period DMR Data'!$A:$A,'Raw Annual DMR Data_2021-2024'!B906,'Raw Period DMR Data'!$C:$C,X119)/S119</f>
        <v>0</v>
      </c>
      <c r="U119" s="28" t="str">
        <f>+IF(COUNTIFS('Raw Period DMR Data'!$A:$A,B119, 'Raw Period DMR Data'!C:C,'Raw Annual DMR Data_2021-2024'!X906, 'Raw Period DMR Data'!M:M, "&gt;0")&gt;0,_xlfn.MAXIFS('Raw Period DMR Data'!M:M,'Raw Period DMR Data'!$A:$A,'Raw Annual DMR Data_2021-2024'!B906,'Raw Period DMR Data'!C:C,'Raw Annual DMR Data_2021-2024'!X906), "N/A - Period DMR Data Not Available")</f>
        <v>N/A - Period DMR Data Not Available</v>
      </c>
      <c r="V119" s="28" t="str" cm="1">
        <f t="array" ref="V119">IFERROR(INDEX('Raw Period DMR Data'!N:N,MATCH(1,(B119='Raw Period DMR Data'!$A:$A)*(U119='Raw Period DMR Data'!M:M)*(X119='Raw Period DMR Data'!C:C),0),1), "N/A")</f>
        <v>N/A</v>
      </c>
      <c r="W119" s="28" t="s">
        <v>1463</v>
      </c>
      <c r="X119" s="28" t="s">
        <v>1602</v>
      </c>
      <c r="Y119" s="28" t="s">
        <v>1603</v>
      </c>
      <c r="Z119" s="61">
        <v>5140102000566</v>
      </c>
      <c r="AB119" s="28" t="s">
        <v>7355</v>
      </c>
      <c r="AC119" s="28" t="s">
        <v>263</v>
      </c>
    </row>
    <row r="120" spans="1:29" s="28" customFormat="1" x14ac:dyDescent="0.25">
      <c r="A120" s="61">
        <v>110043485421</v>
      </c>
      <c r="B120" s="28">
        <v>2022</v>
      </c>
      <c r="C120" s="68">
        <f t="shared" si="1"/>
        <v>44562</v>
      </c>
      <c r="D120" s="28" t="s">
        <v>1037</v>
      </c>
      <c r="E120" s="28" t="s">
        <v>1601</v>
      </c>
      <c r="F120" s="28" t="s">
        <v>987</v>
      </c>
      <c r="G120" s="28" t="s">
        <v>324</v>
      </c>
      <c r="H120" s="28">
        <v>40291</v>
      </c>
      <c r="I120" s="28">
        <v>38.122354000000001</v>
      </c>
      <c r="J120" s="28">
        <v>-85.587648000000002</v>
      </c>
      <c r="L120" s="61">
        <v>110043485421</v>
      </c>
      <c r="M120" s="28" t="s">
        <v>263</v>
      </c>
      <c r="N120" s="28">
        <v>4952</v>
      </c>
      <c r="O120" s="28" t="str">
        <f>IFERROR(VLOOKUP(N120, 'SIC &amp; NAICS Codes'!A:B, 2, FALSE), "")</f>
        <v>Sewerage Systems</v>
      </c>
      <c r="S120" s="28">
        <v>20.066650625000001</v>
      </c>
      <c r="T120" s="315">
        <f>_xlfn.MAXIFS('Raw Period DMR Data'!$O:$O,'Raw Period DMR Data'!$A:$A,'Raw Annual DMR Data_2021-2024'!B909,'Raw Period DMR Data'!$C:$C,X120)/S120</f>
        <v>0</v>
      </c>
      <c r="U120" s="28" t="str">
        <f>+IF(COUNTIFS('Raw Period DMR Data'!$A:$A,B120, 'Raw Period DMR Data'!C:C,'Raw Annual DMR Data_2021-2024'!X909, 'Raw Period DMR Data'!M:M, "&gt;0")&gt;0,_xlfn.MAXIFS('Raw Period DMR Data'!M:M,'Raw Period DMR Data'!$A:$A,'Raw Annual DMR Data_2021-2024'!B909,'Raw Period DMR Data'!C:C,'Raw Annual DMR Data_2021-2024'!X909), "N/A - Period DMR Data Not Available")</f>
        <v>N/A - Period DMR Data Not Available</v>
      </c>
      <c r="V120" s="28" t="str" cm="1">
        <f t="array" ref="V120">IFERROR(INDEX('Raw Period DMR Data'!N:N,MATCH(1,(B120='Raw Period DMR Data'!$A:$A)*(U120='Raw Period DMR Data'!M:M)*(X120='Raw Period DMR Data'!C:C),0),1), "N/A")</f>
        <v>N/A</v>
      </c>
      <c r="W120" s="28" t="s">
        <v>1463</v>
      </c>
      <c r="X120" s="28" t="s">
        <v>1602</v>
      </c>
      <c r="Y120" s="28" t="s">
        <v>1603</v>
      </c>
      <c r="Z120" s="61">
        <v>5140102000566</v>
      </c>
      <c r="AA120" s="60"/>
      <c r="AB120" s="28" t="s">
        <v>7355</v>
      </c>
      <c r="AC120" s="28" t="s">
        <v>263</v>
      </c>
    </row>
    <row r="121" spans="1:29" s="28" customFormat="1" x14ac:dyDescent="0.25">
      <c r="A121" s="61">
        <v>110043485421</v>
      </c>
      <c r="B121" s="28">
        <v>2023</v>
      </c>
      <c r="C121" s="68">
        <f t="shared" si="1"/>
        <v>44927</v>
      </c>
      <c r="D121" s="28" t="s">
        <v>1037</v>
      </c>
      <c r="E121" s="28" t="s">
        <v>1601</v>
      </c>
      <c r="F121" s="28" t="s">
        <v>987</v>
      </c>
      <c r="G121" s="28" t="s">
        <v>324</v>
      </c>
      <c r="H121" s="28">
        <v>40291</v>
      </c>
      <c r="I121" s="28">
        <v>38.122354000000001</v>
      </c>
      <c r="J121" s="28">
        <v>-85.587648000000002</v>
      </c>
      <c r="L121" s="61">
        <v>110043485421</v>
      </c>
      <c r="M121" s="28" t="s">
        <v>263</v>
      </c>
      <c r="N121" s="28">
        <v>4952</v>
      </c>
      <c r="O121" s="28" t="str">
        <f>IFERROR(VLOOKUP(N121, 'SIC &amp; NAICS Codes'!A:B, 2, FALSE), "")</f>
        <v>Sewerage Systems</v>
      </c>
      <c r="S121" s="28">
        <v>16.3192640625</v>
      </c>
      <c r="T121" s="315">
        <f>_xlfn.MAXIFS('Raw Period DMR Data'!$O:$O,'Raw Period DMR Data'!$A:$A,'Raw Annual DMR Data_2021-2024'!B915,'Raw Period DMR Data'!$C:$C,X121)/S121</f>
        <v>0</v>
      </c>
      <c r="U121" s="28" t="str">
        <f>+IF(COUNTIFS('Raw Period DMR Data'!$A:$A,B121, 'Raw Period DMR Data'!C:C,'Raw Annual DMR Data_2021-2024'!X915, 'Raw Period DMR Data'!M:M, "&gt;0")&gt;0,_xlfn.MAXIFS('Raw Period DMR Data'!M:M,'Raw Period DMR Data'!$A:$A,'Raw Annual DMR Data_2021-2024'!B915,'Raw Period DMR Data'!C:C,'Raw Annual DMR Data_2021-2024'!X915), "N/A - Period DMR Data Not Available")</f>
        <v>N/A - Period DMR Data Not Available</v>
      </c>
      <c r="V121" s="28" t="str" cm="1">
        <f t="array" ref="V121">IFERROR(INDEX('Raw Period DMR Data'!N:N,MATCH(1,(B121='Raw Period DMR Data'!$A:$A)*(U121='Raw Period DMR Data'!M:M)*(X121='Raw Period DMR Data'!C:C),0),1), "N/A")</f>
        <v>N/A</v>
      </c>
      <c r="W121" s="28" t="s">
        <v>1463</v>
      </c>
      <c r="X121" s="28" t="s">
        <v>1602</v>
      </c>
      <c r="Y121" s="28" t="s">
        <v>1603</v>
      </c>
      <c r="Z121" s="61">
        <v>5140102000566</v>
      </c>
      <c r="AA121" s="60"/>
      <c r="AB121" s="28" t="s">
        <v>7355</v>
      </c>
      <c r="AC121" s="28" t="s">
        <v>263</v>
      </c>
    </row>
    <row r="122" spans="1:29" s="28" customFormat="1" x14ac:dyDescent="0.25">
      <c r="A122" s="61">
        <v>110064265496</v>
      </c>
      <c r="B122" s="28">
        <v>2021</v>
      </c>
      <c r="C122" s="68">
        <f t="shared" si="1"/>
        <v>44197</v>
      </c>
      <c r="D122" s="28" t="s">
        <v>1038</v>
      </c>
      <c r="E122" s="28" t="s">
        <v>1605</v>
      </c>
      <c r="F122" s="28" t="s">
        <v>1039</v>
      </c>
      <c r="G122" s="28" t="s">
        <v>324</v>
      </c>
      <c r="H122" s="28">
        <v>42330</v>
      </c>
      <c r="I122" s="28">
        <v>37.326943999999997</v>
      </c>
      <c r="J122" s="28">
        <v>-87.123889000000005</v>
      </c>
      <c r="L122" s="61">
        <v>110064265496</v>
      </c>
      <c r="M122" s="28" t="s">
        <v>263</v>
      </c>
      <c r="N122" s="28">
        <v>4952</v>
      </c>
      <c r="O122" s="28" t="str">
        <f>IFERROR(VLOOKUP(N122, 'SIC &amp; NAICS Codes'!A:B, 2, FALSE), "")</f>
        <v>Sewerage Systems</v>
      </c>
      <c r="S122" s="28">
        <v>2.2311628749999999</v>
      </c>
      <c r="T122" s="315">
        <f>_xlfn.MAXIFS('Raw Period DMR Data'!$O:$O,'Raw Period DMR Data'!$A:$A,'Raw Annual DMR Data_2021-2024'!#REF!,'Raw Period DMR Data'!$C:$C,X122)/S122</f>
        <v>0</v>
      </c>
      <c r="U122" s="28" t="str">
        <f>+IF(COUNTIFS('Raw Period DMR Data'!$A:$A,B122,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22" s="28" t="str" cm="1">
        <f t="array" ref="V122">IFERROR(INDEX('Raw Period DMR Data'!N:N,MATCH(1,(B122='Raw Period DMR Data'!$A:$A)*(U122='Raw Period DMR Data'!M:M)*(X122='Raw Period DMR Data'!C:C),0),1), "N/A")</f>
        <v>N/A</v>
      </c>
      <c r="W122" s="28" t="s">
        <v>1463</v>
      </c>
      <c r="X122" s="28" t="s">
        <v>1606</v>
      </c>
      <c r="Y122" s="28" t="s">
        <v>1607</v>
      </c>
      <c r="Z122" s="61">
        <v>5110003001454</v>
      </c>
      <c r="AB122" s="28" t="s">
        <v>7355</v>
      </c>
      <c r="AC122" s="28" t="s">
        <v>263</v>
      </c>
    </row>
    <row r="123" spans="1:29" s="28" customFormat="1" x14ac:dyDescent="0.25">
      <c r="A123" s="61">
        <v>110064265496</v>
      </c>
      <c r="B123" s="28">
        <v>2023</v>
      </c>
      <c r="C123" s="68">
        <f t="shared" si="1"/>
        <v>44927</v>
      </c>
      <c r="D123" s="28" t="s">
        <v>1038</v>
      </c>
      <c r="E123" s="28" t="s">
        <v>1605</v>
      </c>
      <c r="F123" s="28" t="s">
        <v>1039</v>
      </c>
      <c r="G123" s="28" t="s">
        <v>324</v>
      </c>
      <c r="H123" s="28">
        <v>42330</v>
      </c>
      <c r="I123" s="28">
        <v>37.326943999999997</v>
      </c>
      <c r="J123" s="28">
        <v>-87.123889000000005</v>
      </c>
      <c r="L123" s="61">
        <v>110064265496</v>
      </c>
      <c r="M123" s="28" t="s">
        <v>263</v>
      </c>
      <c r="N123" s="28">
        <v>4952</v>
      </c>
      <c r="O123" s="28" t="str">
        <f>IFERROR(VLOOKUP(N123, 'SIC &amp; NAICS Codes'!A:B, 2, FALSE), "")</f>
        <v>Sewerage Systems</v>
      </c>
      <c r="S123" s="28">
        <v>5.9681879999999999E-4</v>
      </c>
      <c r="T123" s="315">
        <f>_xlfn.MAXIFS('Raw Period DMR Data'!$O:$O,'Raw Period DMR Data'!$A:$A,'Raw Annual DMR Data_2021-2024'!#REF!,'Raw Period DMR Data'!$C:$C,X123)/S123</f>
        <v>0</v>
      </c>
      <c r="U123" s="28" t="str">
        <f>+IF(COUNTIFS('Raw Period DMR Data'!$A:$A,B123,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23" s="28" t="str" cm="1">
        <f t="array" ref="V123">IFERROR(INDEX('Raw Period DMR Data'!N:N,MATCH(1,(B123='Raw Period DMR Data'!$A:$A)*(U123='Raw Period DMR Data'!M:M)*(X123='Raw Period DMR Data'!C:C),0),1), "N/A")</f>
        <v>N/A</v>
      </c>
      <c r="W123" s="28" t="s">
        <v>1463</v>
      </c>
      <c r="X123" s="28" t="s">
        <v>1606</v>
      </c>
      <c r="Y123" s="28" t="s">
        <v>1607</v>
      </c>
      <c r="Z123" s="61" t="s">
        <v>7340</v>
      </c>
      <c r="AA123" s="60"/>
      <c r="AC123" s="28" t="s">
        <v>263</v>
      </c>
    </row>
    <row r="124" spans="1:29" s="28" customFormat="1" x14ac:dyDescent="0.25">
      <c r="A124" s="61">
        <v>110030437524</v>
      </c>
      <c r="B124" s="28">
        <v>2024</v>
      </c>
      <c r="C124" s="68">
        <f t="shared" si="1"/>
        <v>45292</v>
      </c>
      <c r="D124" s="28" t="s">
        <v>6823</v>
      </c>
      <c r="E124" s="28" t="s">
        <v>6977</v>
      </c>
      <c r="F124" s="28" t="s">
        <v>6978</v>
      </c>
      <c r="G124" s="28" t="s">
        <v>366</v>
      </c>
      <c r="H124" s="28">
        <v>95222</v>
      </c>
      <c r="I124" s="28">
        <v>38.060360000000003</v>
      </c>
      <c r="J124" s="28">
        <v>-120.53995999999999</v>
      </c>
      <c r="L124" s="61">
        <v>110030437524</v>
      </c>
      <c r="M124" s="28" t="s">
        <v>263</v>
      </c>
      <c r="N124" s="28">
        <v>4952</v>
      </c>
      <c r="O124" s="28" t="str">
        <f>IFERROR(VLOOKUP(N124, 'SIC &amp; NAICS Codes'!A:B, 2, FALSE), "")</f>
        <v>Sewerage Systems</v>
      </c>
      <c r="S124" s="28">
        <v>5.2331410000000002E-2</v>
      </c>
      <c r="T124" s="315">
        <f>_xlfn.MAXIFS('Raw Period DMR Data'!$O:$O,'Raw Period DMR Data'!$A:$A,'Raw Annual DMR Data_2021-2024'!#REF!,'Raw Period DMR Data'!$C:$C,X124)/S124</f>
        <v>0</v>
      </c>
      <c r="U124" s="28" t="str">
        <f>+IF(COUNTIFS('Raw Period DMR Data'!$A:$A,B124,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24" s="28" t="str" cm="1">
        <f t="array" ref="V124">IFERROR(INDEX('Raw Period DMR Data'!N:N,MATCH(1,(B124='Raw Period DMR Data'!$A:$A)*(U124='Raw Period DMR Data'!M:M)*(X124='Raw Period DMR Data'!C:C),0),1), "N/A")</f>
        <v>N/A</v>
      </c>
      <c r="W124" s="28" t="s">
        <v>1463</v>
      </c>
      <c r="X124" s="28" t="s">
        <v>7164</v>
      </c>
      <c r="Y124" s="28" t="s">
        <v>7278</v>
      </c>
      <c r="Z124" s="61">
        <v>18040010000629</v>
      </c>
      <c r="AA124" s="60"/>
      <c r="AB124" s="28" t="s">
        <v>7355</v>
      </c>
      <c r="AC124" s="28" t="s">
        <v>263</v>
      </c>
    </row>
    <row r="125" spans="1:29" s="28" customFormat="1" x14ac:dyDescent="0.25">
      <c r="A125" s="61">
        <v>110030437524</v>
      </c>
      <c r="B125" s="28">
        <v>2021</v>
      </c>
      <c r="C125" s="68">
        <f t="shared" si="1"/>
        <v>44197</v>
      </c>
      <c r="D125" s="28" t="s">
        <v>6823</v>
      </c>
      <c r="E125" s="28" t="s">
        <v>6977</v>
      </c>
      <c r="F125" s="28" t="s">
        <v>6978</v>
      </c>
      <c r="G125" s="28" t="s">
        <v>366</v>
      </c>
      <c r="H125" s="28">
        <v>95222</v>
      </c>
      <c r="I125" s="28">
        <v>38.060360000000003</v>
      </c>
      <c r="J125" s="28">
        <v>-120.53995999999999</v>
      </c>
      <c r="L125" s="61">
        <v>110030437524</v>
      </c>
      <c r="M125" s="28" t="s">
        <v>263</v>
      </c>
      <c r="N125" s="28">
        <v>4952</v>
      </c>
      <c r="O125" s="28" t="str">
        <f>IFERROR(VLOOKUP(N125, 'SIC &amp; NAICS Codes'!A:B, 2, FALSE), "")</f>
        <v>Sewerage Systems</v>
      </c>
      <c r="S125" s="28">
        <v>3.3018447499999999E-2</v>
      </c>
      <c r="T125" s="315">
        <f>_xlfn.MAXIFS('Raw Period DMR Data'!$O:$O,'Raw Period DMR Data'!$A:$A,'Raw Annual DMR Data_2021-2024'!#REF!,'Raw Period DMR Data'!$C:$C,X125)/S125</f>
        <v>0</v>
      </c>
      <c r="U125" s="28" t="str">
        <f>+IF(COUNTIFS('Raw Period DMR Data'!$A:$A,B125,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25" s="28" t="str" cm="1">
        <f t="array" ref="V125">IFERROR(INDEX('Raw Period DMR Data'!N:N,MATCH(1,(B125='Raw Period DMR Data'!$A:$A)*(U125='Raw Period DMR Data'!M:M)*(X125='Raw Period DMR Data'!C:C),0),1), "N/A")</f>
        <v>N/A</v>
      </c>
      <c r="W125" s="28" t="s">
        <v>1463</v>
      </c>
      <c r="X125" s="28" t="s">
        <v>7164</v>
      </c>
      <c r="Y125" s="28" t="s">
        <v>7278</v>
      </c>
      <c r="Z125" s="61">
        <v>18040010000629</v>
      </c>
      <c r="AB125" s="28" t="s">
        <v>7355</v>
      </c>
      <c r="AC125" s="28" t="s">
        <v>263</v>
      </c>
    </row>
    <row r="126" spans="1:29" s="28" customFormat="1" x14ac:dyDescent="0.25">
      <c r="A126" s="61">
        <v>110000730745</v>
      </c>
      <c r="B126" s="28">
        <v>2021</v>
      </c>
      <c r="C126" s="68">
        <f t="shared" si="1"/>
        <v>44197</v>
      </c>
      <c r="D126" s="28" t="s">
        <v>125</v>
      </c>
      <c r="E126" s="28" t="s">
        <v>403</v>
      </c>
      <c r="F126" s="28" t="s">
        <v>404</v>
      </c>
      <c r="G126" s="28" t="s">
        <v>366</v>
      </c>
      <c r="H126" s="28" t="s">
        <v>405</v>
      </c>
      <c r="I126" s="28">
        <v>40.162660000000002</v>
      </c>
      <c r="J126" s="28">
        <v>-122.22068</v>
      </c>
      <c r="L126" s="61">
        <v>110000730745</v>
      </c>
      <c r="M126" s="28" t="s">
        <v>263</v>
      </c>
      <c r="N126" s="28">
        <v>4952</v>
      </c>
      <c r="O126" s="28" t="str">
        <f>IFERROR(VLOOKUP(N126, 'SIC &amp; NAICS Codes'!A:B, 2, FALSE), "")</f>
        <v>Sewerage Systems</v>
      </c>
      <c r="S126" s="28">
        <v>7.5336640000000002E-4</v>
      </c>
      <c r="T126" s="315">
        <f>_xlfn.MAXIFS('Raw Period DMR Data'!$O:$O,'Raw Period DMR Data'!$A:$A,'Raw Annual DMR Data_2021-2024'!#REF!,'Raw Period DMR Data'!$C:$C,X126)/S126</f>
        <v>0</v>
      </c>
      <c r="U126" s="28" t="str">
        <f>+IF(COUNTIFS('Raw Period DMR Data'!$A:$A,B126,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26" s="28" t="str" cm="1">
        <f t="array" ref="V126">IFERROR(INDEX('Raw Period DMR Data'!N:N,MATCH(1,(B126='Raw Period DMR Data'!$A:$A)*(U126='Raw Period DMR Data'!M:M)*(X126='Raw Period DMR Data'!C:C),0),1), "N/A")</f>
        <v>N/A</v>
      </c>
      <c r="W126" s="28" t="s">
        <v>1463</v>
      </c>
      <c r="X126" s="28" t="s">
        <v>817</v>
      </c>
      <c r="Y126" s="28" t="s">
        <v>818</v>
      </c>
      <c r="Z126" s="61">
        <v>18020155005966</v>
      </c>
      <c r="AB126" s="28" t="s">
        <v>7355</v>
      </c>
      <c r="AC126" s="28" t="s">
        <v>263</v>
      </c>
    </row>
    <row r="127" spans="1:29" s="28" customFormat="1" x14ac:dyDescent="0.25">
      <c r="A127" s="61">
        <v>110027363252</v>
      </c>
      <c r="B127" s="28">
        <v>2023</v>
      </c>
      <c r="C127" s="68">
        <f t="shared" si="1"/>
        <v>44927</v>
      </c>
      <c r="D127" s="28" t="s">
        <v>1061</v>
      </c>
      <c r="E127" s="28" t="s">
        <v>1643</v>
      </c>
      <c r="F127" s="28" t="s">
        <v>1062</v>
      </c>
      <c r="G127" s="28" t="s">
        <v>366</v>
      </c>
      <c r="H127" s="28">
        <v>92008</v>
      </c>
      <c r="I127" s="28">
        <v>33.139895000000003</v>
      </c>
      <c r="J127" s="28">
        <v>-117.339645</v>
      </c>
      <c r="L127" s="61">
        <v>110027363252</v>
      </c>
      <c r="M127" s="28" t="s">
        <v>263</v>
      </c>
      <c r="N127" s="28">
        <v>4941</v>
      </c>
      <c r="O127" s="28" t="str">
        <f>IFERROR(VLOOKUP(N127, 'SIC &amp; NAICS Codes'!A:B, 2, FALSE), "")</f>
        <v>Water Supply</v>
      </c>
      <c r="S127" s="28">
        <v>0.67094918491935396</v>
      </c>
      <c r="T127" s="315">
        <f>_xlfn.MAXIFS('Raw Period DMR Data'!$O:$O,'Raw Period DMR Data'!$A:$A,'Raw Annual DMR Data_2021-2024'!#REF!,'Raw Period DMR Data'!$C:$C,X127)/S127</f>
        <v>0</v>
      </c>
      <c r="U127" s="28" t="str">
        <f>+IF(COUNTIFS('Raw Period DMR Data'!$A:$A,B127,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27" s="28" t="str" cm="1">
        <f t="array" ref="V127">IFERROR(INDEX('Raw Period DMR Data'!N:N,MATCH(1,(B127='Raw Period DMR Data'!$A:$A)*(U127='Raw Period DMR Data'!M:M)*(X127='Raw Period DMR Data'!C:C),0),1), "N/A")</f>
        <v>N/A</v>
      </c>
      <c r="W127" s="28" t="s">
        <v>1463</v>
      </c>
      <c r="X127" s="28" t="s">
        <v>1644</v>
      </c>
      <c r="Y127" s="28" t="s">
        <v>926</v>
      </c>
      <c r="Z127" s="61">
        <v>18070303000019</v>
      </c>
      <c r="AA127" s="60"/>
      <c r="AB127" s="28" t="s">
        <v>7355</v>
      </c>
      <c r="AC127" s="28" t="s">
        <v>1466</v>
      </c>
    </row>
    <row r="128" spans="1:29" s="28" customFormat="1" x14ac:dyDescent="0.25">
      <c r="A128" s="61">
        <v>110027363252</v>
      </c>
      <c r="B128" s="28">
        <v>2022</v>
      </c>
      <c r="C128" s="68">
        <f t="shared" si="1"/>
        <v>44562</v>
      </c>
      <c r="D128" s="28" t="s">
        <v>1061</v>
      </c>
      <c r="E128" s="28" t="s">
        <v>1643</v>
      </c>
      <c r="F128" s="28" t="s">
        <v>1062</v>
      </c>
      <c r="G128" s="28" t="s">
        <v>366</v>
      </c>
      <c r="H128" s="28">
        <v>92008</v>
      </c>
      <c r="I128" s="28">
        <v>33.139895000000003</v>
      </c>
      <c r="J128" s="28">
        <v>-117.339645</v>
      </c>
      <c r="L128" s="61">
        <v>110027363252</v>
      </c>
      <c r="M128" s="28" t="s">
        <v>263</v>
      </c>
      <c r="N128" s="28">
        <v>4941</v>
      </c>
      <c r="O128" s="28" t="str">
        <f>IFERROR(VLOOKUP(N128, 'SIC &amp; NAICS Codes'!A:B, 2, FALSE), "")</f>
        <v>Water Supply</v>
      </c>
      <c r="S128" s="28">
        <v>0.48009019851290302</v>
      </c>
      <c r="T128" s="315">
        <f>_xlfn.MAXIFS('Raw Period DMR Data'!$O:$O,'Raw Period DMR Data'!$A:$A,'Raw Annual DMR Data_2021-2024'!#REF!,'Raw Period DMR Data'!$C:$C,X128)/S128</f>
        <v>0</v>
      </c>
      <c r="U128" s="28" t="str">
        <f>+IF(COUNTIFS('Raw Period DMR Data'!$A:$A,B128,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28" s="28" t="str" cm="1">
        <f t="array" ref="V128">IFERROR(INDEX('Raw Period DMR Data'!N:N,MATCH(1,(B128='Raw Period DMR Data'!$A:$A)*(U128='Raw Period DMR Data'!M:M)*(X128='Raw Period DMR Data'!C:C),0),1), "N/A")</f>
        <v>N/A</v>
      </c>
      <c r="W128" s="28" t="s">
        <v>1463</v>
      </c>
      <c r="X128" s="28" t="s">
        <v>1644</v>
      </c>
      <c r="Y128" s="28" t="s">
        <v>926</v>
      </c>
      <c r="Z128" s="61">
        <v>18070303000019</v>
      </c>
      <c r="AA128" s="60"/>
      <c r="AB128" s="28" t="s">
        <v>7355</v>
      </c>
      <c r="AC128" s="28" t="s">
        <v>1466</v>
      </c>
    </row>
    <row r="129" spans="1:29" s="28" customFormat="1" x14ac:dyDescent="0.25">
      <c r="A129" s="61">
        <v>110027363252</v>
      </c>
      <c r="B129" s="28">
        <v>2024</v>
      </c>
      <c r="C129" s="68">
        <f t="shared" si="1"/>
        <v>45292</v>
      </c>
      <c r="D129" s="28" t="s">
        <v>1061</v>
      </c>
      <c r="E129" s="28" t="s">
        <v>1643</v>
      </c>
      <c r="F129" s="28" t="s">
        <v>1062</v>
      </c>
      <c r="G129" s="28" t="s">
        <v>366</v>
      </c>
      <c r="H129" s="28">
        <v>92008</v>
      </c>
      <c r="I129" s="28">
        <v>33.139895000000003</v>
      </c>
      <c r="J129" s="28">
        <v>-117.339645</v>
      </c>
      <c r="L129" s="61">
        <v>110027363252</v>
      </c>
      <c r="M129" s="28" t="s">
        <v>263</v>
      </c>
      <c r="N129" s="28">
        <v>4941</v>
      </c>
      <c r="O129" s="28" t="str">
        <f>IFERROR(VLOOKUP(N129, 'SIC &amp; NAICS Codes'!A:B, 2, FALSE), "")</f>
        <v>Water Supply</v>
      </c>
      <c r="S129" s="28">
        <v>0.27324589421881701</v>
      </c>
      <c r="T129" s="315">
        <f>_xlfn.MAXIFS('Raw Period DMR Data'!$O:$O,'Raw Period DMR Data'!$A:$A,'Raw Annual DMR Data_2021-2024'!#REF!,'Raw Period DMR Data'!$C:$C,X129)/S129</f>
        <v>0</v>
      </c>
      <c r="U129" s="28" t="str">
        <f>+IF(COUNTIFS('Raw Period DMR Data'!$A:$A,B129,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29" s="28" t="str" cm="1">
        <f t="array" ref="V129">IFERROR(INDEX('Raw Period DMR Data'!N:N,MATCH(1,(B129='Raw Period DMR Data'!$A:$A)*(U129='Raw Period DMR Data'!M:M)*(X129='Raw Period DMR Data'!C:C),0),1), "N/A")</f>
        <v>N/A</v>
      </c>
      <c r="W129" s="28" t="s">
        <v>1463</v>
      </c>
      <c r="X129" s="28" t="s">
        <v>1644</v>
      </c>
      <c r="Y129" s="28" t="s">
        <v>926</v>
      </c>
      <c r="Z129" s="61">
        <v>18070303000019</v>
      </c>
      <c r="AA129" s="60"/>
      <c r="AB129" s="28" t="s">
        <v>7355</v>
      </c>
      <c r="AC129" s="28" t="s">
        <v>1466</v>
      </c>
    </row>
    <row r="130" spans="1:29" s="28" customFormat="1" x14ac:dyDescent="0.25">
      <c r="A130" s="61">
        <v>110027363252</v>
      </c>
      <c r="B130" s="28">
        <v>2021</v>
      </c>
      <c r="C130" s="68">
        <f t="shared" ref="C130:C193" si="2">DATE(B130, 1, 1)</f>
        <v>44197</v>
      </c>
      <c r="D130" s="28" t="s">
        <v>1061</v>
      </c>
      <c r="E130" s="28" t="s">
        <v>1643</v>
      </c>
      <c r="F130" s="28" t="s">
        <v>1062</v>
      </c>
      <c r="G130" s="28" t="s">
        <v>366</v>
      </c>
      <c r="H130" s="28">
        <v>92008</v>
      </c>
      <c r="I130" s="28">
        <v>33.139895000000003</v>
      </c>
      <c r="J130" s="28">
        <v>-117.339645</v>
      </c>
      <c r="L130" s="61">
        <v>110027363252</v>
      </c>
      <c r="M130" s="28" t="s">
        <v>263</v>
      </c>
      <c r="N130" s="28">
        <v>4941</v>
      </c>
      <c r="O130" s="28" t="str">
        <f>IFERROR(VLOOKUP(N130, 'SIC &amp; NAICS Codes'!A:B, 2, FALSE), "")</f>
        <v>Water Supply</v>
      </c>
      <c r="S130" s="28">
        <v>0.221482860982258</v>
      </c>
      <c r="T130" s="315">
        <f>_xlfn.MAXIFS('Raw Period DMR Data'!$O:$O,'Raw Period DMR Data'!$A:$A,'Raw Annual DMR Data_2021-2024'!#REF!,'Raw Period DMR Data'!$C:$C,X130)/S130</f>
        <v>0</v>
      </c>
      <c r="U130" s="28" t="str">
        <f>+IF(COUNTIFS('Raw Period DMR Data'!$A:$A,B130,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30" s="28" t="str" cm="1">
        <f t="array" ref="V130">IFERROR(INDEX('Raw Period DMR Data'!N:N,MATCH(1,(B130='Raw Period DMR Data'!$A:$A)*(U130='Raw Period DMR Data'!M:M)*(X130='Raw Period DMR Data'!C:C),0),1), "N/A")</f>
        <v>N/A</v>
      </c>
      <c r="W130" s="28" t="s">
        <v>1463</v>
      </c>
      <c r="X130" s="28" t="s">
        <v>1644</v>
      </c>
      <c r="Y130" s="28" t="s">
        <v>926</v>
      </c>
      <c r="Z130" s="61">
        <v>18070303000019</v>
      </c>
      <c r="AB130" s="28" t="s">
        <v>7355</v>
      </c>
      <c r="AC130" s="28" t="s">
        <v>1466</v>
      </c>
    </row>
    <row r="131" spans="1:29" s="28" customFormat="1" x14ac:dyDescent="0.25">
      <c r="A131" s="61">
        <v>110009696356</v>
      </c>
      <c r="B131" s="28">
        <v>2022</v>
      </c>
      <c r="C131" s="68">
        <f t="shared" si="2"/>
        <v>44562</v>
      </c>
      <c r="D131" s="28" t="s">
        <v>1065</v>
      </c>
      <c r="E131" s="28" t="s">
        <v>1648</v>
      </c>
      <c r="F131" s="28" t="s">
        <v>1066</v>
      </c>
      <c r="G131" s="28" t="s">
        <v>324</v>
      </c>
      <c r="H131" s="28">
        <v>42728</v>
      </c>
      <c r="I131" s="28">
        <v>37.108094000000001</v>
      </c>
      <c r="J131" s="28">
        <v>-85.303033999999997</v>
      </c>
      <c r="L131" s="61">
        <v>110009696356</v>
      </c>
      <c r="M131" s="28" t="s">
        <v>263</v>
      </c>
      <c r="N131" s="28">
        <v>4952</v>
      </c>
      <c r="O131" s="28" t="str">
        <f>IFERROR(VLOOKUP(N131, 'SIC &amp; NAICS Codes'!A:B, 2, FALSE), "")</f>
        <v>Sewerage Systems</v>
      </c>
      <c r="S131" s="28">
        <v>2.4763835625000001</v>
      </c>
      <c r="T131" s="315">
        <f>_xlfn.MAXIFS('Raw Period DMR Data'!$O:$O,'Raw Period DMR Data'!$A:$A,'Raw Annual DMR Data_2021-2024'!#REF!,'Raw Period DMR Data'!$C:$C,X131)/S131</f>
        <v>0</v>
      </c>
      <c r="U131" s="28" t="str">
        <f>+IF(COUNTIFS('Raw Period DMR Data'!$A:$A,B131,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31" s="28" t="str" cm="1">
        <f t="array" ref="V131">IFERROR(INDEX('Raw Period DMR Data'!N:N,MATCH(1,(B131='Raw Period DMR Data'!$A:$A)*(U131='Raw Period DMR Data'!M:M)*(X131='Raw Period DMR Data'!C:C),0),1), "N/A")</f>
        <v>N/A</v>
      </c>
      <c r="W131" s="28" t="s">
        <v>1463</v>
      </c>
      <c r="X131" s="28" t="s">
        <v>1649</v>
      </c>
      <c r="Y131" s="28" t="s">
        <v>1650</v>
      </c>
      <c r="Z131" s="61">
        <v>5110001000213</v>
      </c>
      <c r="AA131" s="60"/>
      <c r="AB131" s="28" t="s">
        <v>7355</v>
      </c>
      <c r="AC131" s="28" t="s">
        <v>263</v>
      </c>
    </row>
    <row r="132" spans="1:29" s="28" customFormat="1" x14ac:dyDescent="0.25">
      <c r="A132" s="61">
        <v>110009696356</v>
      </c>
      <c r="B132" s="28">
        <v>2023</v>
      </c>
      <c r="C132" s="68">
        <f t="shared" si="2"/>
        <v>44927</v>
      </c>
      <c r="D132" s="28" t="s">
        <v>1065</v>
      </c>
      <c r="E132" s="28" t="s">
        <v>1648</v>
      </c>
      <c r="F132" s="28" t="s">
        <v>1066</v>
      </c>
      <c r="G132" s="28" t="s">
        <v>324</v>
      </c>
      <c r="H132" s="28">
        <v>42728</v>
      </c>
      <c r="I132" s="28">
        <v>37.108094000000001</v>
      </c>
      <c r="J132" s="28">
        <v>-85.303033999999997</v>
      </c>
      <c r="L132" s="61">
        <v>110009696356</v>
      </c>
      <c r="M132" s="28" t="s">
        <v>263</v>
      </c>
      <c r="N132" s="28">
        <v>4952</v>
      </c>
      <c r="O132" s="28" t="str">
        <f>IFERROR(VLOOKUP(N132, 'SIC &amp; NAICS Codes'!A:B, 2, FALSE), "")</f>
        <v>Sewerage Systems</v>
      </c>
      <c r="S132" s="28">
        <v>1.90477759375</v>
      </c>
      <c r="T132" s="315">
        <f>_xlfn.MAXIFS('Raw Period DMR Data'!$O:$O,'Raw Period DMR Data'!$A:$A,'Raw Annual DMR Data_2021-2024'!#REF!,'Raw Period DMR Data'!$C:$C,X132)/S132</f>
        <v>0</v>
      </c>
      <c r="U132" s="28" t="str">
        <f>+IF(COUNTIFS('Raw Period DMR Data'!$A:$A,B132,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32" s="28" t="str" cm="1">
        <f t="array" ref="V132">IFERROR(INDEX('Raw Period DMR Data'!N:N,MATCH(1,(B132='Raw Period DMR Data'!$A:$A)*(U132='Raw Period DMR Data'!M:M)*(X132='Raw Period DMR Data'!C:C),0),1), "N/A")</f>
        <v>N/A</v>
      </c>
      <c r="W132" s="28" t="s">
        <v>1463</v>
      </c>
      <c r="X132" s="28" t="s">
        <v>1649</v>
      </c>
      <c r="Y132" s="28" t="s">
        <v>1650</v>
      </c>
      <c r="Z132" s="61" t="s">
        <v>1651</v>
      </c>
      <c r="AA132" s="60"/>
      <c r="AB132" s="28" t="s">
        <v>7355</v>
      </c>
      <c r="AC132" s="28" t="s">
        <v>263</v>
      </c>
    </row>
    <row r="133" spans="1:29" s="28" customFormat="1" x14ac:dyDescent="0.25">
      <c r="A133" s="61">
        <v>110027858432</v>
      </c>
      <c r="B133" s="28">
        <v>2021</v>
      </c>
      <c r="C133" s="68">
        <f t="shared" si="2"/>
        <v>44197</v>
      </c>
      <c r="D133" s="28" t="s">
        <v>6869</v>
      </c>
      <c r="E133" s="28" t="s">
        <v>7037</v>
      </c>
      <c r="F133" s="28" t="s">
        <v>7038</v>
      </c>
      <c r="G133" s="28" t="s">
        <v>366</v>
      </c>
      <c r="H133" s="28">
        <v>95228</v>
      </c>
      <c r="I133" s="28">
        <v>37.908380000000001</v>
      </c>
      <c r="J133" s="28">
        <v>-120.61605</v>
      </c>
      <c r="L133" s="61">
        <v>110027858432</v>
      </c>
      <c r="M133" s="28" t="s">
        <v>263</v>
      </c>
      <c r="N133" s="28">
        <v>4952</v>
      </c>
      <c r="O133" s="28" t="str">
        <f>IFERROR(VLOOKUP(N133, 'SIC &amp; NAICS Codes'!A:B, 2, FALSE), "")</f>
        <v>Sewerage Systems</v>
      </c>
      <c r="S133" s="28">
        <v>0.16820066875</v>
      </c>
      <c r="T133" s="315">
        <f>_xlfn.MAXIFS('Raw Period DMR Data'!$O:$O,'Raw Period DMR Data'!$A:$A,'Raw Annual DMR Data_2021-2024'!#REF!,'Raw Period DMR Data'!$C:$C,X133)/S133</f>
        <v>0</v>
      </c>
      <c r="U133" s="28" t="str">
        <f>+IF(COUNTIFS('Raw Period DMR Data'!$A:$A,B133,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33" s="28" t="str" cm="1">
        <f t="array" ref="V133">IFERROR(INDEX('Raw Period DMR Data'!N:N,MATCH(1,(B133='Raw Period DMR Data'!$A:$A)*(U133='Raw Period DMR Data'!M:M)*(X133='Raw Period DMR Data'!C:C),0),1), "N/A")</f>
        <v>N/A</v>
      </c>
      <c r="W133" s="28" t="s">
        <v>1463</v>
      </c>
      <c r="X133" s="28" t="s">
        <v>7198</v>
      </c>
      <c r="Y133" s="28" t="s">
        <v>7301</v>
      </c>
      <c r="Z133" s="61">
        <v>18040051003613</v>
      </c>
      <c r="AB133" s="28" t="s">
        <v>7355</v>
      </c>
      <c r="AC133" s="28" t="s">
        <v>263</v>
      </c>
    </row>
    <row r="134" spans="1:29" s="28" customFormat="1" x14ac:dyDescent="0.25">
      <c r="A134" s="61">
        <v>110000730451</v>
      </c>
      <c r="B134" s="28">
        <v>2023</v>
      </c>
      <c r="C134" s="68">
        <f t="shared" si="2"/>
        <v>44927</v>
      </c>
      <c r="D134" s="28" t="s">
        <v>1071</v>
      </c>
      <c r="E134" s="28" t="s">
        <v>1661</v>
      </c>
      <c r="F134" s="28" t="s">
        <v>1072</v>
      </c>
      <c r="G134" s="28" t="s">
        <v>366</v>
      </c>
      <c r="H134" s="28">
        <v>96021</v>
      </c>
      <c r="I134" s="28">
        <v>39.913755999999999</v>
      </c>
      <c r="J134" s="28">
        <v>-122.09274000000001</v>
      </c>
      <c r="L134" s="61">
        <v>110000730451</v>
      </c>
      <c r="M134" s="28" t="s">
        <v>263</v>
      </c>
      <c r="N134" s="28">
        <v>4952</v>
      </c>
      <c r="O134" s="28" t="str">
        <f>IFERROR(VLOOKUP(N134, 'SIC &amp; NAICS Codes'!A:B, 2, FALSE), "")</f>
        <v>Sewerage Systems</v>
      </c>
      <c r="S134" s="28">
        <v>1.9907141893333299E-2</v>
      </c>
      <c r="T134" s="315">
        <f>_xlfn.MAXIFS('Raw Period DMR Data'!$O:$O,'Raw Period DMR Data'!$A:$A,'Raw Annual DMR Data_2021-2024'!#REF!,'Raw Period DMR Data'!$C:$C,X134)/S134</f>
        <v>0</v>
      </c>
      <c r="U134" s="28" t="str">
        <f>+IF(COUNTIFS('Raw Period DMR Data'!$A:$A,B134,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34" s="28" t="str" cm="1">
        <f t="array" ref="V134">IFERROR(INDEX('Raw Period DMR Data'!N:N,MATCH(1,(B134='Raw Period DMR Data'!$A:$A)*(U134='Raw Period DMR Data'!M:M)*(X134='Raw Period DMR Data'!C:C),0),1), "N/A")</f>
        <v>N/A</v>
      </c>
      <c r="W134" s="28" t="s">
        <v>1463</v>
      </c>
      <c r="X134" s="28" t="s">
        <v>1662</v>
      </c>
      <c r="Y134" s="28" t="s">
        <v>818</v>
      </c>
      <c r="Z134" s="61">
        <v>18020157005020</v>
      </c>
      <c r="AA134" s="60"/>
      <c r="AB134" s="28" t="s">
        <v>7355</v>
      </c>
      <c r="AC134" s="28" t="s">
        <v>263</v>
      </c>
    </row>
    <row r="135" spans="1:29" s="28" customFormat="1" x14ac:dyDescent="0.25">
      <c r="A135" s="61">
        <v>110020737540</v>
      </c>
      <c r="B135" s="28">
        <v>2023</v>
      </c>
      <c r="C135" s="68">
        <f t="shared" si="2"/>
        <v>44927</v>
      </c>
      <c r="D135" s="28" t="s">
        <v>6860</v>
      </c>
      <c r="E135" s="28" t="s">
        <v>7021</v>
      </c>
      <c r="F135" s="28" t="s">
        <v>7022</v>
      </c>
      <c r="G135" s="28" t="s">
        <v>324</v>
      </c>
      <c r="H135" s="28">
        <v>41031</v>
      </c>
      <c r="I135" s="28">
        <v>38.394444</v>
      </c>
      <c r="J135" s="28">
        <v>-84.284999999999997</v>
      </c>
      <c r="L135" s="61">
        <v>110020737540</v>
      </c>
      <c r="M135" s="28" t="s">
        <v>263</v>
      </c>
      <c r="N135" s="28">
        <v>4952</v>
      </c>
      <c r="O135" s="28" t="str">
        <f>IFERROR(VLOOKUP(N135, 'SIC &amp; NAICS Codes'!A:B, 2, FALSE), "")</f>
        <v>Sewerage Systems</v>
      </c>
      <c r="S135" s="28">
        <v>2.9322868125000001</v>
      </c>
      <c r="T135" s="315">
        <f>_xlfn.MAXIFS('Raw Period DMR Data'!$O:$O,'Raw Period DMR Data'!$A:$A,'Raw Annual DMR Data_2021-2024'!#REF!,'Raw Period DMR Data'!$C:$C,X135)/S135</f>
        <v>0</v>
      </c>
      <c r="U135" s="28" t="str">
        <f>+IF(COUNTIFS('Raw Period DMR Data'!$A:$A,B135,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35" s="28" t="str" cm="1">
        <f t="array" ref="V135">IFERROR(INDEX('Raw Period DMR Data'!N:N,MATCH(1,(B135='Raw Period DMR Data'!$A:$A)*(U135='Raw Period DMR Data'!M:M)*(X135='Raw Period DMR Data'!C:C),0),1), "N/A")</f>
        <v>N/A</v>
      </c>
      <c r="W135" s="28" t="s">
        <v>1463</v>
      </c>
      <c r="X135" s="28" t="s">
        <v>7190</v>
      </c>
      <c r="Y135" s="28" t="s">
        <v>7295</v>
      </c>
      <c r="Z135" s="61" t="s">
        <v>7337</v>
      </c>
      <c r="AA135" s="60"/>
      <c r="AB135" s="28" t="s">
        <v>7355</v>
      </c>
      <c r="AC135" s="28" t="s">
        <v>263</v>
      </c>
    </row>
    <row r="136" spans="1:29" s="28" customFormat="1" x14ac:dyDescent="0.25">
      <c r="A136" s="61">
        <v>110020737540</v>
      </c>
      <c r="B136" s="28">
        <v>2021</v>
      </c>
      <c r="C136" s="68">
        <f t="shared" si="2"/>
        <v>44197</v>
      </c>
      <c r="D136" s="28" t="s">
        <v>6860</v>
      </c>
      <c r="E136" s="28" t="s">
        <v>7021</v>
      </c>
      <c r="F136" s="28" t="s">
        <v>7022</v>
      </c>
      <c r="G136" s="28" t="s">
        <v>324</v>
      </c>
      <c r="H136" s="28">
        <v>41031</v>
      </c>
      <c r="I136" s="28">
        <v>38.394444</v>
      </c>
      <c r="J136" s="28">
        <v>-84.284999999999997</v>
      </c>
      <c r="L136" s="61">
        <v>110020737540</v>
      </c>
      <c r="M136" s="28" t="s">
        <v>263</v>
      </c>
      <c r="N136" s="28">
        <v>4952</v>
      </c>
      <c r="O136" s="28" t="str">
        <f>IFERROR(VLOOKUP(N136, 'SIC &amp; NAICS Codes'!A:B, 2, FALSE), "")</f>
        <v>Sewerage Systems</v>
      </c>
      <c r="S136" s="28">
        <v>2.9222707562500001</v>
      </c>
      <c r="T136" s="315">
        <f>_xlfn.MAXIFS('Raw Period DMR Data'!$O:$O,'Raw Period DMR Data'!$A:$A,'Raw Annual DMR Data_2021-2024'!#REF!,'Raw Period DMR Data'!$C:$C,X136)/S136</f>
        <v>0</v>
      </c>
      <c r="U136" s="28" t="str">
        <f>+IF(COUNTIFS('Raw Period DMR Data'!$A:$A,B136,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36" s="28" t="str" cm="1">
        <f t="array" ref="V136">IFERROR(INDEX('Raw Period DMR Data'!N:N,MATCH(1,(B136='Raw Period DMR Data'!$A:$A)*(U136='Raw Period DMR Data'!M:M)*(X136='Raw Period DMR Data'!C:C),0),1), "N/A")</f>
        <v>N/A</v>
      </c>
      <c r="W136" s="28" t="s">
        <v>1463</v>
      </c>
      <c r="X136" s="28" t="s">
        <v>7190</v>
      </c>
      <c r="Y136" s="28" t="s">
        <v>7295</v>
      </c>
      <c r="Z136" s="61">
        <v>5100102000325</v>
      </c>
      <c r="AA136" s="60"/>
      <c r="AB136" s="28" t="s">
        <v>7355</v>
      </c>
      <c r="AC136" s="28" t="s">
        <v>263</v>
      </c>
    </row>
    <row r="137" spans="1:29" s="28" customFormat="1" x14ac:dyDescent="0.25">
      <c r="A137" s="61">
        <v>110020737540</v>
      </c>
      <c r="B137" s="28">
        <v>2022</v>
      </c>
      <c r="C137" s="68">
        <f t="shared" si="2"/>
        <v>44562</v>
      </c>
      <c r="D137" s="28" t="s">
        <v>6860</v>
      </c>
      <c r="E137" s="28" t="s">
        <v>7021</v>
      </c>
      <c r="F137" s="28" t="s">
        <v>7022</v>
      </c>
      <c r="G137" s="28" t="s">
        <v>324</v>
      </c>
      <c r="H137" s="28">
        <v>41031</v>
      </c>
      <c r="I137" s="28">
        <v>38.394444</v>
      </c>
      <c r="J137" s="28">
        <v>-84.284999999999997</v>
      </c>
      <c r="L137" s="61">
        <v>110020737540</v>
      </c>
      <c r="M137" s="28" t="s">
        <v>263</v>
      </c>
      <c r="N137" s="28">
        <v>4952</v>
      </c>
      <c r="O137" s="28" t="str">
        <f>IFERROR(VLOOKUP(N137, 'SIC &amp; NAICS Codes'!A:B, 2, FALSE), "")</f>
        <v>Sewerage Systems</v>
      </c>
      <c r="S137" s="28">
        <v>2.7457809375000002</v>
      </c>
      <c r="T137" s="315">
        <f>_xlfn.MAXIFS('Raw Period DMR Data'!$O:$O,'Raw Period DMR Data'!$A:$A,'Raw Annual DMR Data_2021-2024'!#REF!,'Raw Period DMR Data'!$C:$C,X137)/S137</f>
        <v>0</v>
      </c>
      <c r="U137" s="28" t="str">
        <f>+IF(COUNTIFS('Raw Period DMR Data'!$A:$A,B137,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37" s="28" t="str" cm="1">
        <f t="array" ref="V137">IFERROR(INDEX('Raw Period DMR Data'!N:N,MATCH(1,(B137='Raw Period DMR Data'!$A:$A)*(U137='Raw Period DMR Data'!M:M)*(X137='Raw Period DMR Data'!C:C),0),1), "N/A")</f>
        <v>N/A</v>
      </c>
      <c r="W137" s="28" t="s">
        <v>1463</v>
      </c>
      <c r="X137" s="28" t="s">
        <v>7190</v>
      </c>
      <c r="Y137" s="28" t="s">
        <v>7295</v>
      </c>
      <c r="Z137" s="61">
        <v>5100102000325</v>
      </c>
      <c r="AA137" s="60"/>
      <c r="AB137" s="28" t="s">
        <v>7355</v>
      </c>
      <c r="AC137" s="28" t="s">
        <v>263</v>
      </c>
    </row>
    <row r="138" spans="1:29" s="28" customFormat="1" x14ac:dyDescent="0.25">
      <c r="A138" s="61">
        <v>110020737540</v>
      </c>
      <c r="B138" s="28">
        <v>2024</v>
      </c>
      <c r="C138" s="68">
        <f t="shared" si="2"/>
        <v>45292</v>
      </c>
      <c r="D138" s="28" t="s">
        <v>6860</v>
      </c>
      <c r="E138" s="28" t="s">
        <v>7021</v>
      </c>
      <c r="F138" s="28" t="s">
        <v>7022</v>
      </c>
      <c r="G138" s="28" t="s">
        <v>324</v>
      </c>
      <c r="H138" s="28">
        <v>41031</v>
      </c>
      <c r="I138" s="28">
        <v>38.394444</v>
      </c>
      <c r="J138" s="28">
        <v>-84.284999999999997</v>
      </c>
      <c r="L138" s="61">
        <v>110020737540</v>
      </c>
      <c r="M138" s="28" t="s">
        <v>263</v>
      </c>
      <c r="N138" s="28">
        <v>4952</v>
      </c>
      <c r="O138" s="28" t="str">
        <f>IFERROR(VLOOKUP(N138, 'SIC &amp; NAICS Codes'!A:B, 2, FALSE), "")</f>
        <v>Sewerage Systems</v>
      </c>
      <c r="S138" s="28">
        <v>3.2465837499999999E-4</v>
      </c>
      <c r="T138" s="315">
        <f>_xlfn.MAXIFS('Raw Period DMR Data'!$O:$O,'Raw Period DMR Data'!$A:$A,'Raw Annual DMR Data_2021-2024'!#REF!,'Raw Period DMR Data'!$C:$C,X138)/S138</f>
        <v>0</v>
      </c>
      <c r="U138" s="28" t="str">
        <f>+IF(COUNTIFS('Raw Period DMR Data'!$A:$A,B138,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38" s="28" t="str" cm="1">
        <f t="array" ref="V138">IFERROR(INDEX('Raw Period DMR Data'!N:N,MATCH(1,(B138='Raw Period DMR Data'!$A:$A)*(U138='Raw Period DMR Data'!M:M)*(X138='Raw Period DMR Data'!C:C),0),1), "N/A")</f>
        <v>N/A</v>
      </c>
      <c r="W138" s="28" t="s">
        <v>1463</v>
      </c>
      <c r="X138" s="28" t="s">
        <v>7190</v>
      </c>
      <c r="Y138" s="28" t="s">
        <v>7295</v>
      </c>
      <c r="Z138" s="61">
        <v>5100102000325</v>
      </c>
      <c r="AA138" s="60"/>
      <c r="AB138" s="28" t="s">
        <v>7355</v>
      </c>
      <c r="AC138" s="28" t="s">
        <v>263</v>
      </c>
    </row>
    <row r="139" spans="1:29" s="28" customFormat="1" x14ac:dyDescent="0.25">
      <c r="A139" s="61">
        <v>110000732351</v>
      </c>
      <c r="B139" s="28">
        <v>2021</v>
      </c>
      <c r="C139" s="68">
        <f t="shared" si="2"/>
        <v>44197</v>
      </c>
      <c r="D139" s="28" t="s">
        <v>6786</v>
      </c>
      <c r="E139" s="28" t="s">
        <v>6936</v>
      </c>
      <c r="F139" s="28" t="s">
        <v>6937</v>
      </c>
      <c r="G139" s="28" t="s">
        <v>324</v>
      </c>
      <c r="H139" s="28">
        <v>40422</v>
      </c>
      <c r="I139" s="28">
        <v>37.621431000000001</v>
      </c>
      <c r="J139" s="28">
        <v>-84.733756</v>
      </c>
      <c r="L139" s="61">
        <v>110000732351</v>
      </c>
      <c r="M139" s="28" t="s">
        <v>263</v>
      </c>
      <c r="N139" s="28">
        <v>4952</v>
      </c>
      <c r="O139" s="28" t="str">
        <f>IFERROR(VLOOKUP(N139, 'SIC &amp; NAICS Codes'!A:B, 2, FALSE), "")</f>
        <v>Sewerage Systems</v>
      </c>
      <c r="S139" s="28">
        <v>25.316445625</v>
      </c>
      <c r="T139" s="315">
        <f>_xlfn.MAXIFS('Raw Period DMR Data'!$O:$O,'Raw Period DMR Data'!$A:$A,'Raw Annual DMR Data_2021-2024'!B901,'Raw Period DMR Data'!$C:$C,X139)/S139</f>
        <v>0</v>
      </c>
      <c r="U139" s="28" t="str">
        <f>+IF(COUNTIFS('Raw Period DMR Data'!$A:$A,B139, 'Raw Period DMR Data'!C:C,'Raw Annual DMR Data_2021-2024'!X901, 'Raw Period DMR Data'!M:M, "&gt;0")&gt;0,_xlfn.MAXIFS('Raw Period DMR Data'!M:M,'Raw Period DMR Data'!$A:$A,'Raw Annual DMR Data_2021-2024'!B901,'Raw Period DMR Data'!C:C,'Raw Annual DMR Data_2021-2024'!X901), "N/A - Period DMR Data Not Available")</f>
        <v>N/A - Period DMR Data Not Available</v>
      </c>
      <c r="V139" s="28" t="str" cm="1">
        <f t="array" ref="V139">IFERROR(INDEX('Raw Period DMR Data'!N:N,MATCH(1,(B139='Raw Period DMR Data'!$A:$A)*(U139='Raw Period DMR Data'!M:M)*(X139='Raw Period DMR Data'!C:C),0),1), "N/A")</f>
        <v>N/A</v>
      </c>
      <c r="W139" s="28" t="s">
        <v>1463</v>
      </c>
      <c r="X139" s="28" t="s">
        <v>7146</v>
      </c>
      <c r="Y139" s="28" t="s">
        <v>7258</v>
      </c>
      <c r="Z139" s="61">
        <v>5100205001070</v>
      </c>
      <c r="AB139" s="28" t="s">
        <v>7355</v>
      </c>
      <c r="AC139" s="28" t="s">
        <v>263</v>
      </c>
    </row>
    <row r="140" spans="1:29" s="28" customFormat="1" x14ac:dyDescent="0.25">
      <c r="A140" s="61">
        <v>110000732351</v>
      </c>
      <c r="B140" s="28">
        <v>2022</v>
      </c>
      <c r="C140" s="68">
        <f t="shared" si="2"/>
        <v>44562</v>
      </c>
      <c r="D140" s="28" t="s">
        <v>6786</v>
      </c>
      <c r="E140" s="28" t="s">
        <v>6936</v>
      </c>
      <c r="F140" s="28" t="s">
        <v>6937</v>
      </c>
      <c r="G140" s="28" t="s">
        <v>324</v>
      </c>
      <c r="H140" s="28">
        <v>40422</v>
      </c>
      <c r="I140" s="28">
        <v>37.621431000000001</v>
      </c>
      <c r="J140" s="28">
        <v>-84.733756</v>
      </c>
      <c r="L140" s="61">
        <v>110000732351</v>
      </c>
      <c r="M140" s="28" t="s">
        <v>263</v>
      </c>
      <c r="N140" s="28">
        <v>4952</v>
      </c>
      <c r="O140" s="28" t="str">
        <f>IFERROR(VLOOKUP(N140, 'SIC &amp; NAICS Codes'!A:B, 2, FALSE), "")</f>
        <v>Sewerage Systems</v>
      </c>
      <c r="S140" s="28">
        <v>20.412031875</v>
      </c>
      <c r="T140" s="315">
        <f>_xlfn.MAXIFS('Raw Period DMR Data'!$O:$O,'Raw Period DMR Data'!$A:$A,'Raw Annual DMR Data_2021-2024'!B908,'Raw Period DMR Data'!$C:$C,X140)/S140</f>
        <v>0</v>
      </c>
      <c r="U140" s="28" t="str">
        <f>+IF(COUNTIFS('Raw Period DMR Data'!$A:$A,B140, 'Raw Period DMR Data'!C:C,'Raw Annual DMR Data_2021-2024'!X908, 'Raw Period DMR Data'!M:M, "&gt;0")&gt;0,_xlfn.MAXIFS('Raw Period DMR Data'!M:M,'Raw Period DMR Data'!$A:$A,'Raw Annual DMR Data_2021-2024'!B908,'Raw Period DMR Data'!C:C,'Raw Annual DMR Data_2021-2024'!X908), "N/A - Period DMR Data Not Available")</f>
        <v>N/A - Period DMR Data Not Available</v>
      </c>
      <c r="V140" s="28" t="str" cm="1">
        <f t="array" ref="V140">IFERROR(INDEX('Raw Period DMR Data'!N:N,MATCH(1,(B140='Raw Period DMR Data'!$A:$A)*(U140='Raw Period DMR Data'!M:M)*(X140='Raw Period DMR Data'!C:C),0),1), "N/A")</f>
        <v>N/A</v>
      </c>
      <c r="W140" s="28" t="s">
        <v>1463</v>
      </c>
      <c r="X140" s="28" t="s">
        <v>7146</v>
      </c>
      <c r="Y140" s="28" t="s">
        <v>7258</v>
      </c>
      <c r="Z140" s="61">
        <v>5100205001070</v>
      </c>
      <c r="AA140" s="60"/>
      <c r="AB140" s="28" t="s">
        <v>7355</v>
      </c>
      <c r="AC140" s="28" t="s">
        <v>263</v>
      </c>
    </row>
    <row r="141" spans="1:29" s="28" customFormat="1" x14ac:dyDescent="0.25">
      <c r="A141" s="61">
        <v>110000732351</v>
      </c>
      <c r="B141" s="28">
        <v>2023</v>
      </c>
      <c r="C141" s="68">
        <f t="shared" si="2"/>
        <v>44927</v>
      </c>
      <c r="D141" s="28" t="s">
        <v>6786</v>
      </c>
      <c r="E141" s="28" t="s">
        <v>6936</v>
      </c>
      <c r="F141" s="28" t="s">
        <v>6937</v>
      </c>
      <c r="G141" s="28" t="s">
        <v>324</v>
      </c>
      <c r="H141" s="28">
        <v>40422</v>
      </c>
      <c r="I141" s="28">
        <v>37.621431000000001</v>
      </c>
      <c r="J141" s="28">
        <v>-84.733756</v>
      </c>
      <c r="L141" s="61">
        <v>110000732351</v>
      </c>
      <c r="M141" s="28" t="s">
        <v>263</v>
      </c>
      <c r="N141" s="28">
        <v>4952</v>
      </c>
      <c r="O141" s="28" t="str">
        <f>IFERROR(VLOOKUP(N141, 'SIC &amp; NAICS Codes'!A:B, 2, FALSE), "")</f>
        <v>Sewerage Systems</v>
      </c>
      <c r="S141" s="28">
        <v>15.404003749999999</v>
      </c>
      <c r="T141" s="315">
        <f>_xlfn.MAXIFS('Raw Period DMR Data'!$O:$O,'Raw Period DMR Data'!$A:$A,'Raw Annual DMR Data_2021-2024'!B919,'Raw Period DMR Data'!$C:$C,X141)/S141</f>
        <v>0</v>
      </c>
      <c r="U141" s="28" t="str">
        <f>+IF(COUNTIFS('Raw Period DMR Data'!$A:$A,B141, 'Raw Period DMR Data'!C:C,'Raw Annual DMR Data_2021-2024'!X919, 'Raw Period DMR Data'!M:M, "&gt;0")&gt;0,_xlfn.MAXIFS('Raw Period DMR Data'!M:M,'Raw Period DMR Data'!$A:$A,'Raw Annual DMR Data_2021-2024'!B919,'Raw Period DMR Data'!C:C,'Raw Annual DMR Data_2021-2024'!X919), "N/A - Period DMR Data Not Available")</f>
        <v>N/A - Period DMR Data Not Available</v>
      </c>
      <c r="V141" s="28" t="str" cm="1">
        <f t="array" ref="V141">IFERROR(INDEX('Raw Period DMR Data'!N:N,MATCH(1,(B141='Raw Period DMR Data'!$A:$A)*(U141='Raw Period DMR Data'!M:M)*(X141='Raw Period DMR Data'!C:C),0),1), "N/A")</f>
        <v>N/A</v>
      </c>
      <c r="W141" s="28" t="s">
        <v>1463</v>
      </c>
      <c r="X141" s="28" t="s">
        <v>7146</v>
      </c>
      <c r="Y141" s="28" t="s">
        <v>7258</v>
      </c>
      <c r="Z141" s="61">
        <v>5100205001070</v>
      </c>
      <c r="AA141" s="60"/>
      <c r="AB141" s="28" t="s">
        <v>7355</v>
      </c>
      <c r="AC141" s="28" t="s">
        <v>263</v>
      </c>
    </row>
    <row r="142" spans="1:29" s="28" customFormat="1" x14ac:dyDescent="0.25">
      <c r="A142" s="61">
        <v>110070619860</v>
      </c>
      <c r="B142" s="28">
        <v>2021</v>
      </c>
      <c r="C142" s="68">
        <f t="shared" si="2"/>
        <v>44197</v>
      </c>
      <c r="D142" s="28" t="s">
        <v>1077</v>
      </c>
      <c r="E142" s="28" t="s">
        <v>1670</v>
      </c>
      <c r="F142" s="28" t="s">
        <v>1078</v>
      </c>
      <c r="G142" s="28" t="s">
        <v>366</v>
      </c>
      <c r="H142" s="28">
        <v>95682</v>
      </c>
      <c r="I142" s="28">
        <v>38.627777999999999</v>
      </c>
      <c r="J142" s="28">
        <v>-120.984167</v>
      </c>
      <c r="L142" s="61">
        <v>110070619860</v>
      </c>
      <c r="M142" s="28" t="s">
        <v>263</v>
      </c>
      <c r="N142" s="28">
        <v>4952</v>
      </c>
      <c r="O142" s="28" t="str">
        <f>IFERROR(VLOOKUP(N142, 'SIC &amp; NAICS Codes'!A:B, 2, FALSE), "")</f>
        <v>Sewerage Systems</v>
      </c>
      <c r="S142" s="28">
        <v>6.9649298999999998E-2</v>
      </c>
      <c r="T142" s="315">
        <f>_xlfn.MAXIFS('Raw Period DMR Data'!$O:$O,'Raw Period DMR Data'!$A:$A,'Raw Annual DMR Data_2021-2024'!#REF!,'Raw Period DMR Data'!$C:$C,X142)/S142</f>
        <v>0</v>
      </c>
      <c r="U142" s="28" t="str">
        <f>+IF(COUNTIFS('Raw Period DMR Data'!$A:$A,B142,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2" s="28" t="str" cm="1">
        <f t="array" ref="V142">IFERROR(INDEX('Raw Period DMR Data'!N:N,MATCH(1,(B142='Raw Period DMR Data'!$A:$A)*(U142='Raw Period DMR Data'!M:M)*(X142='Raw Period DMR Data'!C:C),0),1), "N/A")</f>
        <v>N/A</v>
      </c>
      <c r="W142" s="28" t="s">
        <v>1463</v>
      </c>
      <c r="X142" s="28" t="s">
        <v>1671</v>
      </c>
      <c r="Y142" s="28" t="s">
        <v>1672</v>
      </c>
      <c r="Z142" s="61"/>
      <c r="AB142" s="28" t="s">
        <v>7355</v>
      </c>
      <c r="AC142" s="28" t="s">
        <v>263</v>
      </c>
    </row>
    <row r="143" spans="1:29" s="28" customFormat="1" x14ac:dyDescent="0.25">
      <c r="A143" s="61">
        <v>110006620095</v>
      </c>
      <c r="B143" s="28">
        <v>2022</v>
      </c>
      <c r="C143" s="68">
        <f t="shared" si="2"/>
        <v>44562</v>
      </c>
      <c r="D143" s="28" t="s">
        <v>1080</v>
      </c>
      <c r="E143" s="28" t="s">
        <v>1677</v>
      </c>
      <c r="F143" s="28" t="s">
        <v>1081</v>
      </c>
      <c r="G143" s="28" t="s">
        <v>338</v>
      </c>
      <c r="H143" s="28">
        <v>8075</v>
      </c>
      <c r="I143" s="28">
        <v>40.038871999999998</v>
      </c>
      <c r="J143" s="28">
        <v>-74.975640999999996</v>
      </c>
      <c r="L143" s="61">
        <v>110006620095</v>
      </c>
      <c r="M143" s="28" t="s">
        <v>263</v>
      </c>
      <c r="N143" s="28">
        <v>4952</v>
      </c>
      <c r="O143" s="28" t="str">
        <f>IFERROR(VLOOKUP(N143, 'SIC &amp; NAICS Codes'!A:B, 2, FALSE), "")</f>
        <v>Sewerage Systems</v>
      </c>
      <c r="S143" s="28">
        <v>0.17970990749999999</v>
      </c>
      <c r="T143" s="315">
        <f>_xlfn.MAXIFS('Raw Period DMR Data'!$O:$O,'Raw Period DMR Data'!$A:$A,'Raw Annual DMR Data_2021-2024'!#REF!,'Raw Period DMR Data'!$C:$C,X143)/S143</f>
        <v>0</v>
      </c>
      <c r="U143" s="28" t="str">
        <f>+IF(COUNTIFS('Raw Period DMR Data'!$A:$A,B143,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3" s="28" t="str" cm="1">
        <f t="array" ref="V143">IFERROR(INDEX('Raw Period DMR Data'!N:N,MATCH(1,(B143='Raw Period DMR Data'!$A:$A)*(U143='Raw Period DMR Data'!M:M)*(X143='Raw Period DMR Data'!C:C),0),1), "N/A")</f>
        <v>N/A</v>
      </c>
      <c r="W143" s="28" t="s">
        <v>1463</v>
      </c>
      <c r="X143" s="28" t="s">
        <v>1679</v>
      </c>
      <c r="Y143" s="28" t="s">
        <v>1680</v>
      </c>
      <c r="Z143" s="61">
        <v>2040202001995</v>
      </c>
      <c r="AA143" s="60"/>
      <c r="AB143" s="28" t="s">
        <v>7355</v>
      </c>
      <c r="AC143" s="28" t="s">
        <v>263</v>
      </c>
    </row>
    <row r="144" spans="1:29" s="28" customFormat="1" x14ac:dyDescent="0.25">
      <c r="A144" s="61">
        <v>110006620095</v>
      </c>
      <c r="B144" s="28">
        <v>2023</v>
      </c>
      <c r="C144" s="68">
        <f t="shared" si="2"/>
        <v>44927</v>
      </c>
      <c r="D144" s="28" t="s">
        <v>1080</v>
      </c>
      <c r="E144" s="28" t="s">
        <v>1677</v>
      </c>
      <c r="F144" s="28" t="s">
        <v>1081</v>
      </c>
      <c r="G144" s="28" t="s">
        <v>338</v>
      </c>
      <c r="H144" s="28" t="s">
        <v>1678</v>
      </c>
      <c r="I144" s="28">
        <v>40.038871999999998</v>
      </c>
      <c r="J144" s="28">
        <v>-74.975640999999996</v>
      </c>
      <c r="L144" s="61">
        <v>110006620095</v>
      </c>
      <c r="M144" s="28" t="s">
        <v>263</v>
      </c>
      <c r="N144" s="28">
        <v>4952</v>
      </c>
      <c r="O144" s="28" t="str">
        <f>IFERROR(VLOOKUP(N144, 'SIC &amp; NAICS Codes'!A:B, 2, FALSE), "")</f>
        <v>Sewerage Systems</v>
      </c>
      <c r="S144" s="28">
        <v>0.14531372000000001</v>
      </c>
      <c r="T144" s="315">
        <f>_xlfn.MAXIFS('Raw Period DMR Data'!$O:$O,'Raw Period DMR Data'!$A:$A,'Raw Annual DMR Data_2021-2024'!#REF!,'Raw Period DMR Data'!$C:$C,X144)/S144</f>
        <v>0</v>
      </c>
      <c r="U144" s="28" t="str">
        <f>+IF(COUNTIFS('Raw Period DMR Data'!$A:$A,B144,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4" s="28" t="str" cm="1">
        <f t="array" ref="V144">IFERROR(INDEX('Raw Period DMR Data'!N:N,MATCH(1,(B144='Raw Period DMR Data'!$A:$A)*(U144='Raw Period DMR Data'!M:M)*(X144='Raw Period DMR Data'!C:C),0),1), "N/A")</f>
        <v>N/A</v>
      </c>
      <c r="W144" s="28" t="s">
        <v>1463</v>
      </c>
      <c r="X144" s="28" t="s">
        <v>1679</v>
      </c>
      <c r="Y144" s="28" t="s">
        <v>1680</v>
      </c>
      <c r="Z144" s="61" t="s">
        <v>1681</v>
      </c>
      <c r="AA144" s="60"/>
      <c r="AB144" s="28" t="s">
        <v>7355</v>
      </c>
      <c r="AC144" s="28" t="s">
        <v>263</v>
      </c>
    </row>
    <row r="145" spans="1:29" s="28" customFormat="1" x14ac:dyDescent="0.25">
      <c r="A145" s="61">
        <v>110006620095</v>
      </c>
      <c r="B145" s="28">
        <v>2021</v>
      </c>
      <c r="C145" s="68">
        <f t="shared" si="2"/>
        <v>44197</v>
      </c>
      <c r="D145" s="28" t="s">
        <v>1080</v>
      </c>
      <c r="E145" s="28" t="s">
        <v>1677</v>
      </c>
      <c r="F145" s="28" t="s">
        <v>1081</v>
      </c>
      <c r="G145" s="28" t="s">
        <v>338</v>
      </c>
      <c r="H145" s="28">
        <v>8075</v>
      </c>
      <c r="I145" s="28">
        <v>40.038871999999998</v>
      </c>
      <c r="J145" s="28">
        <v>-74.975640999999996</v>
      </c>
      <c r="L145" s="61">
        <v>110006620095</v>
      </c>
      <c r="M145" s="28" t="s">
        <v>263</v>
      </c>
      <c r="N145" s="28">
        <v>4952</v>
      </c>
      <c r="O145" s="28" t="str">
        <f>IFERROR(VLOOKUP(N145, 'SIC &amp; NAICS Codes'!A:B, 2, FALSE), "")</f>
        <v>Sewerage Systems</v>
      </c>
      <c r="S145" s="28">
        <v>0.14292538499999999</v>
      </c>
      <c r="T145" s="315">
        <f>_xlfn.MAXIFS('Raw Period DMR Data'!$O:$O,'Raw Period DMR Data'!$A:$A,'Raw Annual DMR Data_2021-2024'!#REF!,'Raw Period DMR Data'!$C:$C,X145)/S145</f>
        <v>0</v>
      </c>
      <c r="U145" s="28" t="str">
        <f>+IF(COUNTIFS('Raw Period DMR Data'!$A:$A,B145,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45" s="28" t="str" cm="1">
        <f t="array" ref="V145">IFERROR(INDEX('Raw Period DMR Data'!N:N,MATCH(1,(B145='Raw Period DMR Data'!$A:$A)*(U145='Raw Period DMR Data'!M:M)*(X145='Raw Period DMR Data'!C:C),0),1), "N/A")</f>
        <v>N/A</v>
      </c>
      <c r="W145" s="28" t="s">
        <v>1463</v>
      </c>
      <c r="X145" s="28" t="s">
        <v>1679</v>
      </c>
      <c r="Y145" s="28" t="s">
        <v>1680</v>
      </c>
      <c r="Z145" s="61">
        <v>2040202001995</v>
      </c>
      <c r="AB145" s="28" t="s">
        <v>7355</v>
      </c>
      <c r="AC145" s="28" t="s">
        <v>263</v>
      </c>
    </row>
    <row r="146" spans="1:29" s="28" customFormat="1" x14ac:dyDescent="0.25">
      <c r="A146" s="61">
        <v>110000732379</v>
      </c>
      <c r="B146" s="28">
        <v>2024</v>
      </c>
      <c r="C146" s="68">
        <f t="shared" si="2"/>
        <v>45292</v>
      </c>
      <c r="D146" s="28" t="s">
        <v>1082</v>
      </c>
      <c r="E146" s="28" t="s">
        <v>1684</v>
      </c>
      <c r="F146" s="28" t="s">
        <v>987</v>
      </c>
      <c r="G146" s="28" t="s">
        <v>324</v>
      </c>
      <c r="H146" s="28">
        <v>40272</v>
      </c>
      <c r="I146" s="28">
        <v>38.08614</v>
      </c>
      <c r="J146" s="28">
        <v>-85.898780000000002</v>
      </c>
      <c r="L146" s="61">
        <v>110000732379</v>
      </c>
      <c r="M146" s="28" t="s">
        <v>263</v>
      </c>
      <c r="N146" s="28">
        <v>4952</v>
      </c>
      <c r="O146" s="28" t="str">
        <f>IFERROR(VLOOKUP(N146, 'SIC &amp; NAICS Codes'!A:B, 2, FALSE), "")</f>
        <v>Sewerage Systems</v>
      </c>
      <c r="S146" s="28">
        <v>201.08441756249999</v>
      </c>
      <c r="T146" s="315">
        <f>_xlfn.MAXIFS('Raw Period DMR Data'!$O:$O,'Raw Period DMR Data'!$A:$A,'Raw Annual DMR Data_2021-2024'!B867,'Raw Period DMR Data'!$C:$C,X146)/S146</f>
        <v>0</v>
      </c>
      <c r="U146" s="28" t="str">
        <f>+IF(COUNTIFS('Raw Period DMR Data'!$A:$A,B146, 'Raw Period DMR Data'!C:C,'Raw Annual DMR Data_2021-2024'!X867, 'Raw Period DMR Data'!M:M, "&gt;0")&gt;0,_xlfn.MAXIFS('Raw Period DMR Data'!M:M,'Raw Period DMR Data'!$A:$A,'Raw Annual DMR Data_2021-2024'!B867,'Raw Period DMR Data'!C:C,'Raw Annual DMR Data_2021-2024'!X867), "N/A - Period DMR Data Not Available")</f>
        <v>N/A - Period DMR Data Not Available</v>
      </c>
      <c r="V146" s="28" t="str" cm="1">
        <f t="array" ref="V146">IFERROR(INDEX('Raw Period DMR Data'!N:N,MATCH(1,(B146='Raw Period DMR Data'!$A:$A)*(U146='Raw Period DMR Data'!M:M)*(X146='Raw Period DMR Data'!C:C),0),1), "N/A")</f>
        <v>N/A</v>
      </c>
      <c r="W146" s="28" t="s">
        <v>1463</v>
      </c>
      <c r="X146" s="28" t="s">
        <v>1685</v>
      </c>
      <c r="Y146" s="28" t="s">
        <v>830</v>
      </c>
      <c r="Z146" s="61">
        <v>5140101000005</v>
      </c>
      <c r="AA146" s="60"/>
      <c r="AB146" s="28" t="s">
        <v>7355</v>
      </c>
      <c r="AC146" s="28" t="s">
        <v>263</v>
      </c>
    </row>
    <row r="147" spans="1:29" s="28" customFormat="1" x14ac:dyDescent="0.25">
      <c r="A147" s="61">
        <v>110000732379</v>
      </c>
      <c r="B147" s="28">
        <v>2021</v>
      </c>
      <c r="C147" s="68">
        <f t="shared" si="2"/>
        <v>44197</v>
      </c>
      <c r="D147" s="28" t="s">
        <v>1082</v>
      </c>
      <c r="E147" s="28" t="s">
        <v>1684</v>
      </c>
      <c r="F147" s="28" t="s">
        <v>987</v>
      </c>
      <c r="G147" s="28" t="s">
        <v>324</v>
      </c>
      <c r="H147" s="28">
        <v>40272</v>
      </c>
      <c r="I147" s="28">
        <v>38.08614</v>
      </c>
      <c r="J147" s="28">
        <v>-85.898780000000002</v>
      </c>
      <c r="L147" s="61">
        <v>110000732379</v>
      </c>
      <c r="M147" s="28" t="s">
        <v>263</v>
      </c>
      <c r="N147" s="28">
        <v>4952</v>
      </c>
      <c r="O147" s="28" t="str">
        <f>IFERROR(VLOOKUP(N147, 'SIC &amp; NAICS Codes'!A:B, 2, FALSE), "")</f>
        <v>Sewerage Systems</v>
      </c>
      <c r="S147" s="28">
        <v>123.61194937499999</v>
      </c>
      <c r="T147" s="315">
        <f>_xlfn.MAXIFS('Raw Period DMR Data'!$O:$O,'Raw Period DMR Data'!$A:$A,'Raw Annual DMR Data_2021-2024'!B872,'Raw Period DMR Data'!$C:$C,X147)/S147</f>
        <v>0</v>
      </c>
      <c r="U147" s="28" t="str">
        <f>+IF(COUNTIFS('Raw Period DMR Data'!$A:$A,B147, 'Raw Period DMR Data'!C:C,'Raw Annual DMR Data_2021-2024'!X872, 'Raw Period DMR Data'!M:M, "&gt;0")&gt;0,_xlfn.MAXIFS('Raw Period DMR Data'!M:M,'Raw Period DMR Data'!$A:$A,'Raw Annual DMR Data_2021-2024'!B872,'Raw Period DMR Data'!C:C,'Raw Annual DMR Data_2021-2024'!X872), "N/A - Period DMR Data Not Available")</f>
        <v>N/A - Period DMR Data Not Available</v>
      </c>
      <c r="V147" s="28" t="str" cm="1">
        <f t="array" ref="V147">IFERROR(INDEX('Raw Period DMR Data'!N:N,MATCH(1,(B147='Raw Period DMR Data'!$A:$A)*(U147='Raw Period DMR Data'!M:M)*(X147='Raw Period DMR Data'!C:C),0),1), "N/A")</f>
        <v>N/A</v>
      </c>
      <c r="W147" s="28" t="s">
        <v>1463</v>
      </c>
      <c r="X147" s="28" t="s">
        <v>1685</v>
      </c>
      <c r="Y147" s="28" t="s">
        <v>830</v>
      </c>
      <c r="Z147" s="61">
        <v>5140101000005</v>
      </c>
      <c r="AB147" s="28" t="s">
        <v>7355</v>
      </c>
      <c r="AC147" s="28" t="s">
        <v>263</v>
      </c>
    </row>
    <row r="148" spans="1:29" s="28" customFormat="1" x14ac:dyDescent="0.25">
      <c r="A148" s="61">
        <v>110000732379</v>
      </c>
      <c r="B148" s="28">
        <v>2022</v>
      </c>
      <c r="C148" s="68">
        <f t="shared" si="2"/>
        <v>44562</v>
      </c>
      <c r="D148" s="28" t="s">
        <v>1082</v>
      </c>
      <c r="E148" s="28" t="s">
        <v>1684</v>
      </c>
      <c r="F148" s="28" t="s">
        <v>987</v>
      </c>
      <c r="G148" s="28" t="s">
        <v>324</v>
      </c>
      <c r="H148" s="28">
        <v>40272</v>
      </c>
      <c r="I148" s="28">
        <v>38.08614</v>
      </c>
      <c r="J148" s="28">
        <v>-85.898780000000002</v>
      </c>
      <c r="L148" s="61">
        <v>110000732379</v>
      </c>
      <c r="M148" s="28" t="s">
        <v>263</v>
      </c>
      <c r="N148" s="28">
        <v>4952</v>
      </c>
      <c r="O148" s="28" t="str">
        <f>IFERROR(VLOOKUP(N148, 'SIC &amp; NAICS Codes'!A:B, 2, FALSE), "")</f>
        <v>Sewerage Systems</v>
      </c>
      <c r="S148" s="28">
        <v>107.309954375</v>
      </c>
      <c r="T148" s="315">
        <f>_xlfn.MAXIFS('Raw Period DMR Data'!$O:$O,'Raw Period DMR Data'!$A:$A,'Raw Annual DMR Data_2021-2024'!B874,'Raw Period DMR Data'!$C:$C,X148)/S148</f>
        <v>0</v>
      </c>
      <c r="U148" s="28" t="str">
        <f>+IF(COUNTIFS('Raw Period DMR Data'!$A:$A,B148, 'Raw Period DMR Data'!C:C,'Raw Annual DMR Data_2021-2024'!X874, 'Raw Period DMR Data'!M:M, "&gt;0")&gt;0,_xlfn.MAXIFS('Raw Period DMR Data'!M:M,'Raw Period DMR Data'!$A:$A,'Raw Annual DMR Data_2021-2024'!B874,'Raw Period DMR Data'!C:C,'Raw Annual DMR Data_2021-2024'!X874), "N/A - Period DMR Data Not Available")</f>
        <v>N/A - Period DMR Data Not Available</v>
      </c>
      <c r="V148" s="28" t="str" cm="1">
        <f t="array" ref="V148">IFERROR(INDEX('Raw Period DMR Data'!N:N,MATCH(1,(B148='Raw Period DMR Data'!$A:$A)*(U148='Raw Period DMR Data'!M:M)*(X148='Raw Period DMR Data'!C:C),0),1), "N/A")</f>
        <v>N/A</v>
      </c>
      <c r="W148" s="28" t="s">
        <v>1463</v>
      </c>
      <c r="X148" s="28" t="s">
        <v>1685</v>
      </c>
      <c r="Y148" s="28" t="s">
        <v>830</v>
      </c>
      <c r="Z148" s="61">
        <v>5140101000005</v>
      </c>
      <c r="AA148" s="60"/>
      <c r="AB148" s="28" t="s">
        <v>7355</v>
      </c>
      <c r="AC148" s="28" t="s">
        <v>263</v>
      </c>
    </row>
    <row r="149" spans="1:29" s="28" customFormat="1" x14ac:dyDescent="0.25">
      <c r="A149" s="61">
        <v>110000732379</v>
      </c>
      <c r="B149" s="28">
        <v>2023</v>
      </c>
      <c r="C149" s="68">
        <f t="shared" si="2"/>
        <v>44927</v>
      </c>
      <c r="D149" s="28" t="s">
        <v>1082</v>
      </c>
      <c r="E149" s="28" t="s">
        <v>1684</v>
      </c>
      <c r="F149" s="28" t="s">
        <v>987</v>
      </c>
      <c r="G149" s="28" t="s">
        <v>324</v>
      </c>
      <c r="H149" s="28">
        <v>40272</v>
      </c>
      <c r="I149" s="28">
        <v>38.08614</v>
      </c>
      <c r="J149" s="28">
        <v>-85.898780000000002</v>
      </c>
      <c r="L149" s="61">
        <v>110000732379</v>
      </c>
      <c r="M149" s="28" t="s">
        <v>263</v>
      </c>
      <c r="N149" s="28">
        <v>4952</v>
      </c>
      <c r="O149" s="28" t="str">
        <f>IFERROR(VLOOKUP(N149, 'SIC &amp; NAICS Codes'!A:B, 2, FALSE), "")</f>
        <v>Sewerage Systems</v>
      </c>
      <c r="S149" s="28">
        <v>87.896074312500005</v>
      </c>
      <c r="T149" s="315">
        <f>_xlfn.MAXIFS('Raw Period DMR Data'!$O:$O,'Raw Period DMR Data'!$A:$A,'Raw Annual DMR Data_2021-2024'!B876,'Raw Period DMR Data'!$C:$C,X149)/S149</f>
        <v>0</v>
      </c>
      <c r="U149" s="28" t="str">
        <f>+IF(COUNTIFS('Raw Period DMR Data'!$A:$A,B149, 'Raw Period DMR Data'!C:C,'Raw Annual DMR Data_2021-2024'!X876, 'Raw Period DMR Data'!M:M, "&gt;0")&gt;0,_xlfn.MAXIFS('Raw Period DMR Data'!M:M,'Raw Period DMR Data'!$A:$A,'Raw Annual DMR Data_2021-2024'!B876,'Raw Period DMR Data'!C:C,'Raw Annual DMR Data_2021-2024'!X876), "N/A - Period DMR Data Not Available")</f>
        <v>N/A - Period DMR Data Not Available</v>
      </c>
      <c r="V149" s="28" t="str" cm="1">
        <f t="array" ref="V149">IFERROR(INDEX('Raw Period DMR Data'!N:N,MATCH(1,(B149='Raw Period DMR Data'!$A:$A)*(U149='Raw Period DMR Data'!M:M)*(X149='Raw Period DMR Data'!C:C),0),1), "N/A")</f>
        <v>N/A</v>
      </c>
      <c r="W149" s="28" t="s">
        <v>1463</v>
      </c>
      <c r="X149" s="28" t="s">
        <v>1685</v>
      </c>
      <c r="Y149" s="28" t="s">
        <v>830</v>
      </c>
      <c r="Z149" s="61">
        <v>5140101000005</v>
      </c>
      <c r="AA149" s="60"/>
      <c r="AB149" s="28" t="s">
        <v>7355</v>
      </c>
      <c r="AC149" s="28" t="s">
        <v>263</v>
      </c>
    </row>
    <row r="150" spans="1:29" s="28" customFormat="1" x14ac:dyDescent="0.25">
      <c r="A150" s="61">
        <v>110001103911</v>
      </c>
      <c r="B150" s="28">
        <v>2021</v>
      </c>
      <c r="C150" s="68">
        <f t="shared" si="2"/>
        <v>44197</v>
      </c>
      <c r="D150" s="28" t="s">
        <v>6876</v>
      </c>
      <c r="E150" s="28" t="s">
        <v>7048</v>
      </c>
      <c r="F150" s="28" t="s">
        <v>7049</v>
      </c>
      <c r="G150" s="28" t="s">
        <v>366</v>
      </c>
      <c r="H150" s="28">
        <v>94514</v>
      </c>
      <c r="I150" s="28">
        <v>37.894722000000002</v>
      </c>
      <c r="J150" s="28">
        <v>-121.587222</v>
      </c>
      <c r="L150" s="61">
        <v>110001103911</v>
      </c>
      <c r="M150" s="28" t="s">
        <v>263</v>
      </c>
      <c r="N150" s="28">
        <v>4952</v>
      </c>
      <c r="O150" s="28" t="str">
        <f>IFERROR(VLOOKUP(N150, 'SIC &amp; NAICS Codes'!A:B, 2, FALSE), "")</f>
        <v>Sewerage Systems</v>
      </c>
      <c r="S150" s="28">
        <v>6.8223262399999998E-2</v>
      </c>
      <c r="T150" s="315">
        <f>_xlfn.MAXIFS('Raw Period DMR Data'!$O:$O,'Raw Period DMR Data'!$A:$A,'Raw Annual DMR Data_2021-2024'!#REF!,'Raw Period DMR Data'!$C:$C,X150)/S150</f>
        <v>0</v>
      </c>
      <c r="U150" s="28" t="str">
        <f>+IF(COUNTIFS('Raw Period DMR Data'!$A:$A,B150,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0" s="28" t="str" cm="1">
        <f t="array" ref="V150">IFERROR(INDEX('Raw Period DMR Data'!N:N,MATCH(1,(B150='Raw Period DMR Data'!$A:$A)*(U150='Raw Period DMR Data'!M:M)*(X150='Raw Period DMR Data'!C:C),0),1), "N/A")</f>
        <v>N/A</v>
      </c>
      <c r="W150" s="28" t="s">
        <v>1463</v>
      </c>
      <c r="X150" s="28" t="s">
        <v>7204</v>
      </c>
      <c r="Y150" s="28" t="s">
        <v>2032</v>
      </c>
      <c r="Z150" s="61">
        <v>18040003005705</v>
      </c>
      <c r="AB150" s="28" t="s">
        <v>7355</v>
      </c>
      <c r="AC150" s="28" t="s">
        <v>263</v>
      </c>
    </row>
    <row r="151" spans="1:29" s="28" customFormat="1" x14ac:dyDescent="0.25">
      <c r="A151" s="61">
        <v>110039639736</v>
      </c>
      <c r="B151" s="28">
        <v>2021</v>
      </c>
      <c r="C151" s="68">
        <f t="shared" si="2"/>
        <v>44197</v>
      </c>
      <c r="D151" s="28" t="s">
        <v>6788</v>
      </c>
      <c r="E151" s="28" t="s">
        <v>2058</v>
      </c>
      <c r="F151" s="28" t="s">
        <v>1263</v>
      </c>
      <c r="G151" s="28" t="s">
        <v>324</v>
      </c>
      <c r="H151" s="28">
        <v>41018</v>
      </c>
      <c r="I151" s="28">
        <v>39.058610999999999</v>
      </c>
      <c r="J151" s="28">
        <v>-84.618055999999996</v>
      </c>
      <c r="L151" s="61">
        <v>110039639736</v>
      </c>
      <c r="M151" s="28" t="s">
        <v>263</v>
      </c>
      <c r="N151" s="28">
        <v>4952</v>
      </c>
      <c r="O151" s="28" t="str">
        <f>IFERROR(VLOOKUP(N151, 'SIC &amp; NAICS Codes'!A:B, 2, FALSE), "")</f>
        <v>Sewerage Systems</v>
      </c>
      <c r="S151" s="28">
        <v>22.366889749999999</v>
      </c>
      <c r="T151" s="315">
        <f>_xlfn.MAXIFS('Raw Period DMR Data'!$O:$O,'Raw Period DMR Data'!$A:$A,'Raw Annual DMR Data_2021-2024'!B905,'Raw Period DMR Data'!$C:$C,X151)/S151</f>
        <v>0</v>
      </c>
      <c r="U151" s="28" t="str">
        <f>+IF(COUNTIFS('Raw Period DMR Data'!$A:$A,B151, 'Raw Period DMR Data'!C:C,'Raw Annual DMR Data_2021-2024'!X905, 'Raw Period DMR Data'!M:M, "&gt;0")&gt;0,_xlfn.MAXIFS('Raw Period DMR Data'!M:M,'Raw Period DMR Data'!$A:$A,'Raw Annual DMR Data_2021-2024'!B905,'Raw Period DMR Data'!C:C,'Raw Annual DMR Data_2021-2024'!X905), "N/A - Period DMR Data Not Available")</f>
        <v>N/A - Period DMR Data Not Available</v>
      </c>
      <c r="V151" s="28" t="str" cm="1">
        <f t="array" ref="V151">IFERROR(INDEX('Raw Period DMR Data'!N:N,MATCH(1,(B151='Raw Period DMR Data'!$A:$A)*(U151='Raw Period DMR Data'!M:M)*(X151='Raw Period DMR Data'!C:C),0),1), "N/A")</f>
        <v>N/A</v>
      </c>
      <c r="W151" s="28" t="s">
        <v>1463</v>
      </c>
      <c r="X151" s="28" t="s">
        <v>2059</v>
      </c>
      <c r="Y151" s="28" t="s">
        <v>2060</v>
      </c>
      <c r="Z151" s="61">
        <v>5100101002662</v>
      </c>
      <c r="AA151" s="60"/>
      <c r="AB151" s="28" t="s">
        <v>7355</v>
      </c>
      <c r="AC151" s="28" t="s">
        <v>263</v>
      </c>
    </row>
    <row r="152" spans="1:29" s="28" customFormat="1" x14ac:dyDescent="0.25">
      <c r="A152" s="61">
        <v>110009938719</v>
      </c>
      <c r="B152" s="28">
        <v>2024</v>
      </c>
      <c r="C152" s="68">
        <f t="shared" si="2"/>
        <v>45292</v>
      </c>
      <c r="D152" s="28" t="s">
        <v>1089</v>
      </c>
      <c r="E152" s="28" t="s">
        <v>1703</v>
      </c>
      <c r="F152" s="28" t="s">
        <v>1090</v>
      </c>
      <c r="G152" s="28" t="s">
        <v>324</v>
      </c>
      <c r="H152" s="28">
        <v>42038</v>
      </c>
      <c r="I152" s="28">
        <v>37.075277999999997</v>
      </c>
      <c r="J152" s="28">
        <v>-88.09</v>
      </c>
      <c r="L152" s="61">
        <v>110009938719</v>
      </c>
      <c r="M152" s="28" t="s">
        <v>263</v>
      </c>
      <c r="N152" s="28">
        <v>4952</v>
      </c>
      <c r="O152" s="28" t="str">
        <f>IFERROR(VLOOKUP(N152, 'SIC &amp; NAICS Codes'!A:B, 2, FALSE), "")</f>
        <v>Sewerage Systems</v>
      </c>
      <c r="S152" s="28">
        <v>0.39649767499999999</v>
      </c>
      <c r="T152" s="315">
        <f>_xlfn.MAXIFS('Raw Period DMR Data'!$O:$O,'Raw Period DMR Data'!$A:$A,'Raw Annual DMR Data_2021-2024'!#REF!,'Raw Period DMR Data'!$C:$C,X152)/S152</f>
        <v>0</v>
      </c>
      <c r="U152" s="28" t="str">
        <f>+IF(COUNTIFS('Raw Period DMR Data'!$A:$A,B152,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2" s="28" t="str" cm="1">
        <f t="array" ref="V152">IFERROR(INDEX('Raw Period DMR Data'!N:N,MATCH(1,(B152='Raw Period DMR Data'!$A:$A)*(U152='Raw Period DMR Data'!M:M)*(X152='Raw Period DMR Data'!C:C),0),1), "N/A")</f>
        <v>N/A</v>
      </c>
      <c r="W152" s="28" t="s">
        <v>1463</v>
      </c>
      <c r="X152" s="28" t="s">
        <v>1704</v>
      </c>
      <c r="Y152" s="28" t="s">
        <v>1705</v>
      </c>
      <c r="Z152" s="61">
        <v>5130205000794</v>
      </c>
      <c r="AA152" s="60"/>
      <c r="AB152" s="28" t="s">
        <v>7355</v>
      </c>
      <c r="AC152" s="28" t="s">
        <v>263</v>
      </c>
    </row>
    <row r="153" spans="1:29" s="28" customFormat="1" x14ac:dyDescent="0.25">
      <c r="A153" s="61">
        <v>110064268260</v>
      </c>
      <c r="B153" s="28">
        <v>2021</v>
      </c>
      <c r="C153" s="68">
        <f t="shared" si="2"/>
        <v>44197</v>
      </c>
      <c r="D153" s="28" t="s">
        <v>6867</v>
      </c>
      <c r="E153" s="28" t="s">
        <v>7034</v>
      </c>
      <c r="F153" s="28" t="s">
        <v>7035</v>
      </c>
      <c r="G153" s="28" t="s">
        <v>324</v>
      </c>
      <c r="H153" s="28">
        <v>40019</v>
      </c>
      <c r="I153" s="28">
        <v>38.369734999999999</v>
      </c>
      <c r="J153" s="28">
        <v>-85.180234999999996</v>
      </c>
      <c r="L153" s="61">
        <v>110064268260</v>
      </c>
      <c r="M153" s="28" t="s">
        <v>263</v>
      </c>
      <c r="N153" s="28">
        <v>4952</v>
      </c>
      <c r="O153" s="28" t="str">
        <f>IFERROR(VLOOKUP(N153, 'SIC &amp; NAICS Codes'!A:B, 2, FALSE), "")</f>
        <v>Sewerage Systems</v>
      </c>
      <c r="S153" s="28">
        <v>2.3520463125000002</v>
      </c>
      <c r="T153" s="315">
        <f>_xlfn.MAXIFS('Raw Period DMR Data'!$O:$O,'Raw Period DMR Data'!$A:$A,'Raw Annual DMR Data_2021-2024'!#REF!,'Raw Period DMR Data'!$C:$C,X153)/S153</f>
        <v>0</v>
      </c>
      <c r="U153" s="28" t="str">
        <f>+IF(COUNTIFS('Raw Period DMR Data'!$A:$A,B153,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3" s="28" t="str" cm="1">
        <f t="array" ref="V153">IFERROR(INDEX('Raw Period DMR Data'!N:N,MATCH(1,(B153='Raw Period DMR Data'!$A:$A)*(U153='Raw Period DMR Data'!M:M)*(X153='Raw Period DMR Data'!C:C),0),1), "N/A")</f>
        <v>N/A</v>
      </c>
      <c r="W153" s="28" t="s">
        <v>1463</v>
      </c>
      <c r="X153" s="28" t="s">
        <v>7196</v>
      </c>
      <c r="Y153" s="28" t="s">
        <v>1592</v>
      </c>
      <c r="Z153" s="61">
        <v>5100205000020</v>
      </c>
      <c r="AB153" s="28" t="s">
        <v>7355</v>
      </c>
      <c r="AC153" s="28" t="s">
        <v>263</v>
      </c>
    </row>
    <row r="154" spans="1:29" s="28" customFormat="1" x14ac:dyDescent="0.25">
      <c r="A154" s="61">
        <v>110064268260</v>
      </c>
      <c r="B154" s="28">
        <v>2022</v>
      </c>
      <c r="C154" s="68">
        <f t="shared" si="2"/>
        <v>44562</v>
      </c>
      <c r="D154" s="28" t="s">
        <v>6867</v>
      </c>
      <c r="E154" s="28" t="s">
        <v>7034</v>
      </c>
      <c r="F154" s="28" t="s">
        <v>7035</v>
      </c>
      <c r="G154" s="28" t="s">
        <v>324</v>
      </c>
      <c r="H154" s="28">
        <v>40019</v>
      </c>
      <c r="I154" s="28">
        <v>38.369734999999999</v>
      </c>
      <c r="J154" s="28">
        <v>-85.180234999999996</v>
      </c>
      <c r="L154" s="61">
        <v>110064268260</v>
      </c>
      <c r="M154" s="28" t="s">
        <v>263</v>
      </c>
      <c r="N154" s="28">
        <v>4952</v>
      </c>
      <c r="O154" s="28" t="str">
        <f>IFERROR(VLOOKUP(N154, 'SIC &amp; NAICS Codes'!A:B, 2, FALSE), "")</f>
        <v>Sewerage Systems</v>
      </c>
      <c r="S154" s="28">
        <v>1.3746173749999999</v>
      </c>
      <c r="T154" s="315">
        <f>_xlfn.MAXIFS('Raw Period DMR Data'!$O:$O,'Raw Period DMR Data'!$A:$A,'Raw Annual DMR Data_2021-2024'!#REF!,'Raw Period DMR Data'!$C:$C,X154)/S154</f>
        <v>0</v>
      </c>
      <c r="U154" s="28" t="str">
        <f>+IF(COUNTIFS('Raw Period DMR Data'!$A:$A,B154,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4" s="28" t="str" cm="1">
        <f t="array" ref="V154">IFERROR(INDEX('Raw Period DMR Data'!N:N,MATCH(1,(B154='Raw Period DMR Data'!$A:$A)*(U154='Raw Period DMR Data'!M:M)*(X154='Raw Period DMR Data'!C:C),0),1), "N/A")</f>
        <v>N/A</v>
      </c>
      <c r="W154" s="28" t="s">
        <v>1463</v>
      </c>
      <c r="X154" s="28" t="s">
        <v>7196</v>
      </c>
      <c r="Y154" s="28" t="s">
        <v>1592</v>
      </c>
      <c r="Z154" s="61">
        <v>5100205000020</v>
      </c>
      <c r="AA154" s="60"/>
      <c r="AB154" s="28" t="s">
        <v>7355</v>
      </c>
      <c r="AC154" s="28" t="s">
        <v>263</v>
      </c>
    </row>
    <row r="155" spans="1:29" s="28" customFormat="1" x14ac:dyDescent="0.25">
      <c r="A155" s="61">
        <v>110064268260</v>
      </c>
      <c r="B155" s="28">
        <v>2023</v>
      </c>
      <c r="C155" s="68">
        <f t="shared" si="2"/>
        <v>44927</v>
      </c>
      <c r="D155" s="28" t="s">
        <v>6867</v>
      </c>
      <c r="E155" s="28" t="s">
        <v>7034</v>
      </c>
      <c r="F155" s="28" t="s">
        <v>7035</v>
      </c>
      <c r="G155" s="28" t="s">
        <v>324</v>
      </c>
      <c r="H155" s="28">
        <v>40019</v>
      </c>
      <c r="I155" s="28">
        <v>38.369734999999999</v>
      </c>
      <c r="J155" s="28">
        <v>-85.180234999999996</v>
      </c>
      <c r="L155" s="61">
        <v>110064268260</v>
      </c>
      <c r="M155" s="28" t="s">
        <v>263</v>
      </c>
      <c r="N155" s="28">
        <v>4952</v>
      </c>
      <c r="O155" s="28" t="str">
        <f>IFERROR(VLOOKUP(N155, 'SIC &amp; NAICS Codes'!A:B, 2, FALSE), "")</f>
        <v>Sewerage Systems</v>
      </c>
      <c r="S155" s="28">
        <v>0.79783068749999997</v>
      </c>
      <c r="T155" s="315">
        <f>_xlfn.MAXIFS('Raw Period DMR Data'!$O:$O,'Raw Period DMR Data'!$A:$A,'Raw Annual DMR Data_2021-2024'!#REF!,'Raw Period DMR Data'!$C:$C,X155)/S155</f>
        <v>0</v>
      </c>
      <c r="U155" s="28" t="str">
        <f>+IF(COUNTIFS('Raw Period DMR Data'!$A:$A,B155,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5" s="28" t="str" cm="1">
        <f t="array" ref="V155">IFERROR(INDEX('Raw Period DMR Data'!N:N,MATCH(1,(B155='Raw Period DMR Data'!$A:$A)*(U155='Raw Period DMR Data'!M:M)*(X155='Raw Period DMR Data'!C:C),0),1), "N/A")</f>
        <v>N/A</v>
      </c>
      <c r="W155" s="28" t="s">
        <v>1463</v>
      </c>
      <c r="X155" s="28" t="s">
        <v>7196</v>
      </c>
      <c r="Y155" s="28" t="s">
        <v>1592</v>
      </c>
      <c r="Z155" s="61" t="s">
        <v>7354</v>
      </c>
      <c r="AA155" s="60"/>
      <c r="AB155" s="28" t="s">
        <v>7355</v>
      </c>
      <c r="AC155" s="28" t="s">
        <v>263</v>
      </c>
    </row>
    <row r="156" spans="1:29" s="28" customFormat="1" x14ac:dyDescent="0.25">
      <c r="A156" s="61">
        <v>110000734616</v>
      </c>
      <c r="B156" s="28">
        <v>2021</v>
      </c>
      <c r="C156" s="68">
        <f t="shared" si="2"/>
        <v>44197</v>
      </c>
      <c r="D156" s="28" t="s">
        <v>6845</v>
      </c>
      <c r="E156" s="28" t="s">
        <v>6999</v>
      </c>
      <c r="F156" s="28" t="s">
        <v>6927</v>
      </c>
      <c r="G156" s="28" t="s">
        <v>418</v>
      </c>
      <c r="H156" s="28">
        <v>89406</v>
      </c>
      <c r="I156" s="28">
        <v>39.463894000000003</v>
      </c>
      <c r="J156" s="28">
        <v>-118.75532800000001</v>
      </c>
      <c r="L156" s="61">
        <v>110000734616</v>
      </c>
      <c r="M156" s="28" t="s">
        <v>263</v>
      </c>
      <c r="N156" s="28">
        <v>4952</v>
      </c>
      <c r="O156" s="28" t="str">
        <f>IFERROR(VLOOKUP(N156, 'SIC &amp; NAICS Codes'!A:B, 2, FALSE), "")</f>
        <v>Sewerage Systems</v>
      </c>
      <c r="S156" s="28">
        <v>3.5919650000000001</v>
      </c>
      <c r="T156" s="315">
        <f>_xlfn.MAXIFS('Raw Period DMR Data'!$O:$O,'Raw Period DMR Data'!$A:$A,'Raw Annual DMR Data_2021-2024'!B1005,'Raw Period DMR Data'!$C:$C,X156)/S156</f>
        <v>0</v>
      </c>
      <c r="U156" s="28" t="str">
        <f>+IF(COUNTIFS('Raw Period DMR Data'!$A:$A,B156, 'Raw Period DMR Data'!C:C,'Raw Annual DMR Data_2021-2024'!X1005, 'Raw Period DMR Data'!M:M, "&gt;0")&gt;0,_xlfn.MAXIFS('Raw Period DMR Data'!M:M,'Raw Period DMR Data'!$A:$A,'Raw Annual DMR Data_2021-2024'!B1005,'Raw Period DMR Data'!C:C,'Raw Annual DMR Data_2021-2024'!X1005), "N/A - Period DMR Data Not Available")</f>
        <v>N/A - Period DMR Data Not Available</v>
      </c>
      <c r="V156" s="28" t="str" cm="1">
        <f t="array" ref="V156">IFERROR(INDEX('Raw Period DMR Data'!N:N,MATCH(1,(B156='Raw Period DMR Data'!$A:$A)*(U156='Raw Period DMR Data'!M:M)*(X156='Raw Period DMR Data'!C:C),0),1), "N/A")</f>
        <v>N/A</v>
      </c>
      <c r="W156" s="28" t="s">
        <v>1463</v>
      </c>
      <c r="X156" s="28" t="s">
        <v>7178</v>
      </c>
      <c r="Y156" s="28" t="s">
        <v>7288</v>
      </c>
      <c r="Z156" s="61">
        <v>16050203000527</v>
      </c>
      <c r="AB156" s="28" t="s">
        <v>7355</v>
      </c>
      <c r="AC156" s="28" t="s">
        <v>263</v>
      </c>
    </row>
    <row r="157" spans="1:29" s="28" customFormat="1" x14ac:dyDescent="0.25">
      <c r="A157" s="61">
        <v>110023140420</v>
      </c>
      <c r="B157" s="28">
        <v>2023</v>
      </c>
      <c r="C157" s="68">
        <f t="shared" si="2"/>
        <v>44927</v>
      </c>
      <c r="D157" s="28" t="s">
        <v>6775</v>
      </c>
      <c r="E157" s="28" t="s">
        <v>6918</v>
      </c>
      <c r="F157" s="28" t="s">
        <v>6919</v>
      </c>
      <c r="G157" s="28" t="s">
        <v>324</v>
      </c>
      <c r="H157" s="28">
        <v>41040</v>
      </c>
      <c r="I157" s="28">
        <v>38.691943999999999</v>
      </c>
      <c r="J157" s="28">
        <v>-84.325000000000003</v>
      </c>
      <c r="L157" s="61">
        <v>110023140420</v>
      </c>
      <c r="M157" s="28" t="s">
        <v>263</v>
      </c>
      <c r="N157" s="28">
        <v>4952</v>
      </c>
      <c r="O157" s="28" t="str">
        <f>IFERROR(VLOOKUP(N157, 'SIC &amp; NAICS Codes'!A:B, 2, FALSE), "")</f>
        <v>Sewerage Systems</v>
      </c>
      <c r="S157" s="28">
        <v>1.4194029616874999</v>
      </c>
      <c r="T157" s="315">
        <f>_xlfn.MAXIFS('Raw Period DMR Data'!$O:$O,'Raw Period DMR Data'!$A:$A,'Raw Annual DMR Data_2021-2024'!#REF!,'Raw Period DMR Data'!$C:$C,X157)/S157</f>
        <v>0</v>
      </c>
      <c r="U157" s="28" t="str">
        <f>+IF(COUNTIFS('Raw Period DMR Data'!$A:$A,B157,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7" s="28" t="str" cm="1">
        <f t="array" ref="V157">IFERROR(INDEX('Raw Period DMR Data'!N:N,MATCH(1,(B157='Raw Period DMR Data'!$A:$A)*(U157='Raw Period DMR Data'!M:M)*(X157='Raw Period DMR Data'!C:C),0),1), "N/A")</f>
        <v>N/A</v>
      </c>
      <c r="W157" s="28" t="s">
        <v>1463</v>
      </c>
      <c r="X157" s="28" t="s">
        <v>7139</v>
      </c>
      <c r="Y157" s="28" t="s">
        <v>2018</v>
      </c>
      <c r="Z157" s="61" t="s">
        <v>7352</v>
      </c>
      <c r="AA157" s="60"/>
      <c r="AB157" s="28" t="s">
        <v>7355</v>
      </c>
      <c r="AC157" s="28" t="s">
        <v>263</v>
      </c>
    </row>
    <row r="158" spans="1:29" s="28" customFormat="1" x14ac:dyDescent="0.25">
      <c r="A158" s="61">
        <v>110003251427</v>
      </c>
      <c r="B158" s="28">
        <v>2021</v>
      </c>
      <c r="C158" s="68">
        <f t="shared" si="2"/>
        <v>44197</v>
      </c>
      <c r="D158" s="28" t="s">
        <v>1113</v>
      </c>
      <c r="E158" s="28" t="s">
        <v>1758</v>
      </c>
      <c r="F158" s="28" t="s">
        <v>1114</v>
      </c>
      <c r="G158" s="28" t="s">
        <v>324</v>
      </c>
      <c r="H158" s="28">
        <v>41041</v>
      </c>
      <c r="I158" s="28">
        <v>38.421495999999998</v>
      </c>
      <c r="J158" s="28">
        <v>-83.734424000000004</v>
      </c>
      <c r="L158" s="61">
        <v>110003251427</v>
      </c>
      <c r="M158" s="28" t="s">
        <v>263</v>
      </c>
      <c r="N158" s="28">
        <v>4952</v>
      </c>
      <c r="O158" s="28" t="str">
        <f>IFERROR(VLOOKUP(N158, 'SIC &amp; NAICS Codes'!A:B, 2, FALSE), "")</f>
        <v>Sewerage Systems</v>
      </c>
      <c r="S158" s="28">
        <v>0.29150177500000002</v>
      </c>
      <c r="T158" s="315">
        <f>_xlfn.MAXIFS('Raw Period DMR Data'!$O:$O,'Raw Period DMR Data'!$A:$A,'Raw Annual DMR Data_2021-2024'!#REF!,'Raw Period DMR Data'!$C:$C,X158)/S158</f>
        <v>0</v>
      </c>
      <c r="U158" s="28" t="str">
        <f>+IF(COUNTIFS('Raw Period DMR Data'!$A:$A,B158,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58" s="28" t="str" cm="1">
        <f t="array" ref="V158">IFERROR(INDEX('Raw Period DMR Data'!N:N,MATCH(1,(B158='Raw Period DMR Data'!$A:$A)*(U158='Raw Period DMR Data'!M:M)*(X158='Raw Period DMR Data'!C:C),0),1), "N/A")</f>
        <v>N/A</v>
      </c>
      <c r="W158" s="28" t="s">
        <v>1463</v>
      </c>
      <c r="X158" s="28" t="s">
        <v>1759</v>
      </c>
      <c r="Y158" s="28" t="s">
        <v>1760</v>
      </c>
      <c r="Z158" s="61">
        <v>5100101000962</v>
      </c>
      <c r="AB158" s="28" t="s">
        <v>7355</v>
      </c>
      <c r="AC158" s="28" t="s">
        <v>263</v>
      </c>
    </row>
    <row r="159" spans="1:29" s="28" customFormat="1" x14ac:dyDescent="0.25">
      <c r="A159" s="61">
        <v>110043486457</v>
      </c>
      <c r="B159" s="28">
        <v>2024</v>
      </c>
      <c r="C159" s="68">
        <f t="shared" si="2"/>
        <v>45292</v>
      </c>
      <c r="D159" s="28" t="s">
        <v>1115</v>
      </c>
      <c r="E159" s="28" t="s">
        <v>1762</v>
      </c>
      <c r="F159" s="28" t="s">
        <v>987</v>
      </c>
      <c r="G159" s="28" t="s">
        <v>324</v>
      </c>
      <c r="H159" s="28">
        <v>40245</v>
      </c>
      <c r="I159" s="28">
        <v>38.236699999999999</v>
      </c>
      <c r="J159" s="28">
        <v>-85.466710000000006</v>
      </c>
      <c r="L159" s="61">
        <v>110043486457</v>
      </c>
      <c r="M159" s="28" t="s">
        <v>263</v>
      </c>
      <c r="N159" s="28">
        <v>4952</v>
      </c>
      <c r="O159" s="28" t="str">
        <f>IFERROR(VLOOKUP(N159, 'SIC &amp; NAICS Codes'!A:B, 2, FALSE), "")</f>
        <v>Sewerage Systems</v>
      </c>
      <c r="S159" s="28">
        <v>16.080950999999999</v>
      </c>
      <c r="T159" s="315">
        <f>_xlfn.MAXIFS('Raw Period DMR Data'!$O:$O,'Raw Period DMR Data'!$A:$A,'Raw Annual DMR Data_2021-2024'!B916,'Raw Period DMR Data'!$C:$C,X159)/S159</f>
        <v>0</v>
      </c>
      <c r="U159" s="28" t="str">
        <f>+IF(COUNTIFS('Raw Period DMR Data'!$A:$A,B159, 'Raw Period DMR Data'!C:C,'Raw Annual DMR Data_2021-2024'!X916, 'Raw Period DMR Data'!M:M, "&gt;0")&gt;0,_xlfn.MAXIFS('Raw Period DMR Data'!M:M,'Raw Period DMR Data'!$A:$A,'Raw Annual DMR Data_2021-2024'!B916,'Raw Period DMR Data'!C:C,'Raw Annual DMR Data_2021-2024'!X916), "N/A - Period DMR Data Not Available")</f>
        <v>N/A - Period DMR Data Not Available</v>
      </c>
      <c r="V159" s="28" t="str" cm="1">
        <f t="array" ref="V159">IFERROR(INDEX('Raw Period DMR Data'!N:N,MATCH(1,(B159='Raw Period DMR Data'!$A:$A)*(U159='Raw Period DMR Data'!M:M)*(X159='Raw Period DMR Data'!C:C),0),1), "N/A")</f>
        <v>N/A</v>
      </c>
      <c r="W159" s="28" t="s">
        <v>1463</v>
      </c>
      <c r="X159" s="28" t="s">
        <v>1763</v>
      </c>
      <c r="Y159" s="28" t="s">
        <v>1764</v>
      </c>
      <c r="Z159" s="61">
        <v>5140102000235</v>
      </c>
      <c r="AA159" s="60"/>
      <c r="AB159" s="28" t="s">
        <v>7355</v>
      </c>
      <c r="AC159" s="28" t="s">
        <v>263</v>
      </c>
    </row>
    <row r="160" spans="1:29" s="28" customFormat="1" x14ac:dyDescent="0.25">
      <c r="A160" s="61">
        <v>110043486457</v>
      </c>
      <c r="B160" s="28">
        <v>2022</v>
      </c>
      <c r="C160" s="68">
        <f t="shared" si="2"/>
        <v>44562</v>
      </c>
      <c r="D160" s="28" t="s">
        <v>1115</v>
      </c>
      <c r="E160" s="28" t="s">
        <v>1762</v>
      </c>
      <c r="F160" s="28" t="s">
        <v>987</v>
      </c>
      <c r="G160" s="28" t="s">
        <v>324</v>
      </c>
      <c r="H160" s="28">
        <v>40245</v>
      </c>
      <c r="I160" s="28">
        <v>38.236699999999999</v>
      </c>
      <c r="J160" s="28">
        <v>-85.466710000000006</v>
      </c>
      <c r="L160" s="61">
        <v>110043486457</v>
      </c>
      <c r="M160" s="28" t="s">
        <v>263</v>
      </c>
      <c r="N160" s="28">
        <v>4952</v>
      </c>
      <c r="O160" s="28" t="str">
        <f>IFERROR(VLOOKUP(N160, 'SIC &amp; NAICS Codes'!A:B, 2, FALSE), "")</f>
        <v>Sewerage Systems</v>
      </c>
      <c r="S160" s="28">
        <v>14.457659124999999</v>
      </c>
      <c r="T160" s="315">
        <f>_xlfn.MAXIFS('Raw Period DMR Data'!$O:$O,'Raw Period DMR Data'!$A:$A,'Raw Annual DMR Data_2021-2024'!B922,'Raw Period DMR Data'!$C:$C,X160)/S160</f>
        <v>0</v>
      </c>
      <c r="U160" s="28" t="str">
        <f>+IF(COUNTIFS('Raw Period DMR Data'!$A:$A,B160, 'Raw Period DMR Data'!C:C,'Raw Annual DMR Data_2021-2024'!X922, 'Raw Period DMR Data'!M:M, "&gt;0")&gt;0,_xlfn.MAXIFS('Raw Period DMR Data'!M:M,'Raw Period DMR Data'!$A:$A,'Raw Annual DMR Data_2021-2024'!B922,'Raw Period DMR Data'!C:C,'Raw Annual DMR Data_2021-2024'!X922), "N/A - Period DMR Data Not Available")</f>
        <v>N/A - Period DMR Data Not Available</v>
      </c>
      <c r="V160" s="28" t="str" cm="1">
        <f t="array" ref="V160">IFERROR(INDEX('Raw Period DMR Data'!N:N,MATCH(1,(B160='Raw Period DMR Data'!$A:$A)*(U160='Raw Period DMR Data'!M:M)*(X160='Raw Period DMR Data'!C:C),0),1), "N/A")</f>
        <v>N/A</v>
      </c>
      <c r="W160" s="28" t="s">
        <v>1463</v>
      </c>
      <c r="X160" s="28" t="s">
        <v>1763</v>
      </c>
      <c r="Y160" s="28" t="s">
        <v>1764</v>
      </c>
      <c r="Z160" s="61">
        <v>5140102000235</v>
      </c>
      <c r="AA160" s="60"/>
      <c r="AB160" s="28" t="s">
        <v>7355</v>
      </c>
      <c r="AC160" s="28" t="s">
        <v>263</v>
      </c>
    </row>
    <row r="161" spans="1:29" s="28" customFormat="1" x14ac:dyDescent="0.25">
      <c r="A161" s="61">
        <v>110043486457</v>
      </c>
      <c r="B161" s="28">
        <v>2021</v>
      </c>
      <c r="C161" s="68">
        <f t="shared" si="2"/>
        <v>44197</v>
      </c>
      <c r="D161" s="28" t="s">
        <v>1115</v>
      </c>
      <c r="E161" s="28" t="s">
        <v>1762</v>
      </c>
      <c r="F161" s="28" t="s">
        <v>987</v>
      </c>
      <c r="G161" s="28" t="s">
        <v>324</v>
      </c>
      <c r="H161" s="28">
        <v>40245</v>
      </c>
      <c r="I161" s="28">
        <v>38.236699999999999</v>
      </c>
      <c r="J161" s="28">
        <v>-85.466710000000006</v>
      </c>
      <c r="L161" s="61">
        <v>110043486457</v>
      </c>
      <c r="M161" s="28" t="s">
        <v>263</v>
      </c>
      <c r="N161" s="28">
        <v>4952</v>
      </c>
      <c r="O161" s="28" t="str">
        <f>IFERROR(VLOOKUP(N161, 'SIC &amp; NAICS Codes'!A:B, 2, FALSE), "")</f>
        <v>Sewerage Systems</v>
      </c>
      <c r="S161" s="28">
        <v>12.817098187499999</v>
      </c>
      <c r="T161" s="315">
        <f>_xlfn.MAXIFS('Raw Period DMR Data'!$O:$O,'Raw Period DMR Data'!$A:$A,'Raw Annual DMR Data_2021-2024'!B932,'Raw Period DMR Data'!$C:$C,X161)/S161</f>
        <v>0</v>
      </c>
      <c r="U161" s="28" t="str">
        <f>+IF(COUNTIFS('Raw Period DMR Data'!$A:$A,B161, 'Raw Period DMR Data'!C:C,'Raw Annual DMR Data_2021-2024'!X932, 'Raw Period DMR Data'!M:M, "&gt;0")&gt;0,_xlfn.MAXIFS('Raw Period DMR Data'!M:M,'Raw Period DMR Data'!$A:$A,'Raw Annual DMR Data_2021-2024'!B932,'Raw Period DMR Data'!C:C,'Raw Annual DMR Data_2021-2024'!X932), "N/A - Period DMR Data Not Available")</f>
        <v>N/A - Period DMR Data Not Available</v>
      </c>
      <c r="V161" s="28" t="str" cm="1">
        <f t="array" ref="V161">IFERROR(INDEX('Raw Period DMR Data'!N:N,MATCH(1,(B161='Raw Period DMR Data'!$A:$A)*(U161='Raw Period DMR Data'!M:M)*(X161='Raw Period DMR Data'!C:C),0),1), "N/A")</f>
        <v>N/A</v>
      </c>
      <c r="W161" s="28" t="s">
        <v>1463</v>
      </c>
      <c r="X161" s="28" t="s">
        <v>1763</v>
      </c>
      <c r="Y161" s="28" t="s">
        <v>1764</v>
      </c>
      <c r="Z161" s="61">
        <v>5140102000235</v>
      </c>
      <c r="AA161" s="60"/>
      <c r="AB161" s="28" t="s">
        <v>7355</v>
      </c>
      <c r="AC161" s="28" t="s">
        <v>263</v>
      </c>
    </row>
    <row r="162" spans="1:29" s="28" customFormat="1" x14ac:dyDescent="0.25">
      <c r="A162" s="61">
        <v>110043486457</v>
      </c>
      <c r="B162" s="28">
        <v>2023</v>
      </c>
      <c r="C162" s="68">
        <f t="shared" si="2"/>
        <v>44927</v>
      </c>
      <c r="D162" s="28" t="s">
        <v>1115</v>
      </c>
      <c r="E162" s="28" t="s">
        <v>1762</v>
      </c>
      <c r="F162" s="28" t="s">
        <v>987</v>
      </c>
      <c r="G162" s="28" t="s">
        <v>324</v>
      </c>
      <c r="H162" s="28">
        <v>40245</v>
      </c>
      <c r="I162" s="28">
        <v>38.236699999999999</v>
      </c>
      <c r="J162" s="28">
        <v>-85.466710000000006</v>
      </c>
      <c r="L162" s="61">
        <v>110043486457</v>
      </c>
      <c r="M162" s="28" t="s">
        <v>263</v>
      </c>
      <c r="N162" s="28">
        <v>4952</v>
      </c>
      <c r="O162" s="28" t="str">
        <f>IFERROR(VLOOKUP(N162, 'SIC &amp; NAICS Codes'!A:B, 2, FALSE), "")</f>
        <v>Sewerage Systems</v>
      </c>
      <c r="S162" s="28">
        <v>11.722239625</v>
      </c>
      <c r="T162" s="315">
        <f>_xlfn.MAXIFS('Raw Period DMR Data'!$O:$O,'Raw Period DMR Data'!$A:$A,'Raw Annual DMR Data_2021-2024'!B939,'Raw Period DMR Data'!$C:$C,X162)/S162</f>
        <v>0</v>
      </c>
      <c r="U162" s="28" t="str">
        <f>+IF(COUNTIFS('Raw Period DMR Data'!$A:$A,B162, 'Raw Period DMR Data'!C:C,'Raw Annual DMR Data_2021-2024'!X939, 'Raw Period DMR Data'!M:M, "&gt;0")&gt;0,_xlfn.MAXIFS('Raw Period DMR Data'!M:M,'Raw Period DMR Data'!$A:$A,'Raw Annual DMR Data_2021-2024'!B939,'Raw Period DMR Data'!C:C,'Raw Annual DMR Data_2021-2024'!X939), "N/A - Period DMR Data Not Available")</f>
        <v>N/A - Period DMR Data Not Available</v>
      </c>
      <c r="V162" s="28" t="str" cm="1">
        <f t="array" ref="V162">IFERROR(INDEX('Raw Period DMR Data'!N:N,MATCH(1,(B162='Raw Period DMR Data'!$A:$A)*(U162='Raw Period DMR Data'!M:M)*(X162='Raw Period DMR Data'!C:C),0),1), "N/A")</f>
        <v>N/A</v>
      </c>
      <c r="W162" s="28" t="s">
        <v>1463</v>
      </c>
      <c r="X162" s="28" t="s">
        <v>1763</v>
      </c>
      <c r="Y162" s="28" t="s">
        <v>1764</v>
      </c>
      <c r="Z162" s="61">
        <v>5140102000235</v>
      </c>
      <c r="AA162" s="60"/>
      <c r="AB162" s="28" t="s">
        <v>7355</v>
      </c>
      <c r="AC162" s="28" t="s">
        <v>263</v>
      </c>
    </row>
    <row r="163" spans="1:29" s="28" customFormat="1" x14ac:dyDescent="0.25">
      <c r="A163" s="61">
        <v>110000732299</v>
      </c>
      <c r="B163" s="28">
        <v>2024</v>
      </c>
      <c r="C163" s="68">
        <f t="shared" si="2"/>
        <v>45292</v>
      </c>
      <c r="D163" s="28" t="s">
        <v>6887</v>
      </c>
      <c r="E163" s="28" t="s">
        <v>7065</v>
      </c>
      <c r="F163" s="28" t="s">
        <v>7066</v>
      </c>
      <c r="G163" s="28" t="s">
        <v>324</v>
      </c>
      <c r="H163" s="28">
        <v>40601</v>
      </c>
      <c r="I163" s="28">
        <v>38.194721999999999</v>
      </c>
      <c r="J163" s="28">
        <v>-84.869444000000001</v>
      </c>
      <c r="L163" s="61">
        <v>110000732299</v>
      </c>
      <c r="M163" s="28" t="s">
        <v>263</v>
      </c>
      <c r="N163" s="28">
        <v>4952</v>
      </c>
      <c r="O163" s="28" t="str">
        <f>IFERROR(VLOOKUP(N163, 'SIC &amp; NAICS Codes'!A:B, 2, FALSE), "")</f>
        <v>Sewerage Systems</v>
      </c>
      <c r="S163" s="28">
        <v>21.068256250000001</v>
      </c>
      <c r="T163" s="315">
        <f>_xlfn.MAXIFS('Raw Period DMR Data'!$O:$O,'Raw Period DMR Data'!$A:$A,'Raw Annual DMR Data_2021-2024'!B907,'Raw Period DMR Data'!$C:$C,X163)/S163</f>
        <v>0</v>
      </c>
      <c r="U163" s="28" t="str">
        <f>+IF(COUNTIFS('Raw Period DMR Data'!$A:$A,B163, 'Raw Period DMR Data'!C:C,'Raw Annual DMR Data_2021-2024'!X907, 'Raw Period DMR Data'!M:M, "&gt;0")&gt;0,_xlfn.MAXIFS('Raw Period DMR Data'!M:M,'Raw Period DMR Data'!$A:$A,'Raw Annual DMR Data_2021-2024'!B907,'Raw Period DMR Data'!C:C,'Raw Annual DMR Data_2021-2024'!X907), "N/A - Period DMR Data Not Available")</f>
        <v>N/A - Period DMR Data Not Available</v>
      </c>
      <c r="V163" s="28" t="str" cm="1">
        <f t="array" ref="V163">IFERROR(INDEX('Raw Period DMR Data'!N:N,MATCH(1,(B163='Raw Period DMR Data'!$A:$A)*(U163='Raw Period DMR Data'!M:M)*(X163='Raw Period DMR Data'!C:C),0),1), "N/A")</f>
        <v>N/A</v>
      </c>
      <c r="W163" s="28" t="s">
        <v>1463</v>
      </c>
      <c r="X163" s="28" t="s">
        <v>7213</v>
      </c>
      <c r="Y163" s="28" t="s">
        <v>7311</v>
      </c>
      <c r="Z163" s="61">
        <v>5100205000053</v>
      </c>
      <c r="AA163" s="60"/>
      <c r="AB163" s="28" t="s">
        <v>7355</v>
      </c>
      <c r="AC163" s="28" t="s">
        <v>263</v>
      </c>
    </row>
    <row r="164" spans="1:29" s="28" customFormat="1" x14ac:dyDescent="0.25">
      <c r="A164" s="61">
        <v>110000732299</v>
      </c>
      <c r="B164" s="28">
        <v>2023</v>
      </c>
      <c r="C164" s="68">
        <f t="shared" si="2"/>
        <v>44927</v>
      </c>
      <c r="D164" s="28" t="s">
        <v>6887</v>
      </c>
      <c r="E164" s="28" t="s">
        <v>7065</v>
      </c>
      <c r="F164" s="28" t="s">
        <v>7066</v>
      </c>
      <c r="G164" s="28" t="s">
        <v>324</v>
      </c>
      <c r="H164" s="28">
        <v>40601</v>
      </c>
      <c r="I164" s="28">
        <v>38.194721999999999</v>
      </c>
      <c r="J164" s="28">
        <v>-84.869444000000001</v>
      </c>
      <c r="L164" s="61">
        <v>110000732299</v>
      </c>
      <c r="M164" s="28" t="s">
        <v>263</v>
      </c>
      <c r="N164" s="28">
        <v>4952</v>
      </c>
      <c r="O164" s="28" t="str">
        <f>IFERROR(VLOOKUP(N164, 'SIC &amp; NAICS Codes'!A:B, 2, FALSE), "")</f>
        <v>Sewerage Systems</v>
      </c>
      <c r="S164" s="28">
        <v>13.4007925</v>
      </c>
      <c r="T164" s="315">
        <f>_xlfn.MAXIFS('Raw Period DMR Data'!$O:$O,'Raw Period DMR Data'!$A:$A,'Raw Annual DMR Data_2021-2024'!B926,'Raw Period DMR Data'!$C:$C,X164)/S164</f>
        <v>0</v>
      </c>
      <c r="U164" s="28" t="str">
        <f>+IF(COUNTIFS('Raw Period DMR Data'!$A:$A,B164, 'Raw Period DMR Data'!C:C,'Raw Annual DMR Data_2021-2024'!X926, 'Raw Period DMR Data'!M:M, "&gt;0")&gt;0,_xlfn.MAXIFS('Raw Period DMR Data'!M:M,'Raw Period DMR Data'!$A:$A,'Raw Annual DMR Data_2021-2024'!B926,'Raw Period DMR Data'!C:C,'Raw Annual DMR Data_2021-2024'!X926), "N/A - Period DMR Data Not Available")</f>
        <v>N/A - Period DMR Data Not Available</v>
      </c>
      <c r="V164" s="28" t="str" cm="1">
        <f t="array" ref="V164">IFERROR(INDEX('Raw Period DMR Data'!N:N,MATCH(1,(B164='Raw Period DMR Data'!$A:$A)*(U164='Raw Period DMR Data'!M:M)*(X164='Raw Period DMR Data'!C:C),0),1), "N/A")</f>
        <v>N/A</v>
      </c>
      <c r="W164" s="28" t="s">
        <v>1463</v>
      </c>
      <c r="X164" s="28" t="s">
        <v>7213</v>
      </c>
      <c r="Y164" s="28" t="s">
        <v>7311</v>
      </c>
      <c r="Z164" s="61">
        <v>5100205000053</v>
      </c>
      <c r="AA164" s="60"/>
      <c r="AB164" s="28" t="s">
        <v>7355</v>
      </c>
      <c r="AC164" s="28" t="s">
        <v>263</v>
      </c>
    </row>
    <row r="165" spans="1:29" s="28" customFormat="1" x14ac:dyDescent="0.25">
      <c r="A165" s="61">
        <v>110000732208</v>
      </c>
      <c r="B165" s="28">
        <v>2024</v>
      </c>
      <c r="C165" s="68">
        <f t="shared" si="2"/>
        <v>45292</v>
      </c>
      <c r="D165" s="28" t="s">
        <v>6883</v>
      </c>
      <c r="E165" s="28" t="s">
        <v>7057</v>
      </c>
      <c r="F165" s="28" t="s">
        <v>6982</v>
      </c>
      <c r="G165" s="28" t="s">
        <v>324</v>
      </c>
      <c r="H165" s="28">
        <v>40324</v>
      </c>
      <c r="I165" s="28">
        <v>38.217222</v>
      </c>
      <c r="J165" s="28">
        <v>-84.564166999999998</v>
      </c>
      <c r="L165" s="61">
        <v>110000732208</v>
      </c>
      <c r="M165" s="28" t="s">
        <v>263</v>
      </c>
      <c r="N165" s="28">
        <v>4952</v>
      </c>
      <c r="O165" s="28" t="str">
        <f>IFERROR(VLOOKUP(N165, 'SIC &amp; NAICS Codes'!A:B, 2, FALSE), "")</f>
        <v>Sewerage Systems</v>
      </c>
      <c r="S165" s="28">
        <v>11.64521960625</v>
      </c>
      <c r="T165" s="315">
        <f>_xlfn.MAXIFS('Raw Period DMR Data'!$O:$O,'Raw Period DMR Data'!$A:$A,'Raw Annual DMR Data_2021-2024'!B940,'Raw Period DMR Data'!$C:$C,X165)/S165</f>
        <v>0</v>
      </c>
      <c r="U165" s="28" t="str">
        <f>+IF(COUNTIFS('Raw Period DMR Data'!$A:$A,B165, 'Raw Period DMR Data'!C:C,'Raw Annual DMR Data_2021-2024'!X940, 'Raw Period DMR Data'!M:M, "&gt;0")&gt;0,_xlfn.MAXIFS('Raw Period DMR Data'!M:M,'Raw Period DMR Data'!$A:$A,'Raw Annual DMR Data_2021-2024'!B940,'Raw Period DMR Data'!C:C,'Raw Annual DMR Data_2021-2024'!X940), "N/A - Period DMR Data Not Available")</f>
        <v>N/A - Period DMR Data Not Available</v>
      </c>
      <c r="V165" s="28" t="str" cm="1">
        <f t="array" ref="V165">IFERROR(INDEX('Raw Period DMR Data'!N:N,MATCH(1,(B165='Raw Period DMR Data'!$A:$A)*(U165='Raw Period DMR Data'!M:M)*(X165='Raw Period DMR Data'!C:C),0),1), "N/A")</f>
        <v>N/A</v>
      </c>
      <c r="W165" s="28" t="s">
        <v>1463</v>
      </c>
      <c r="X165" s="28" t="s">
        <v>7209</v>
      </c>
      <c r="Y165" s="28" t="s">
        <v>7307</v>
      </c>
      <c r="Z165" s="61">
        <v>5100205000277</v>
      </c>
      <c r="AA165" s="60"/>
      <c r="AB165" s="28" t="s">
        <v>7355</v>
      </c>
      <c r="AC165" s="28" t="s">
        <v>263</v>
      </c>
    </row>
    <row r="166" spans="1:29" s="28" customFormat="1" x14ac:dyDescent="0.25">
      <c r="A166" s="61">
        <v>110000732208</v>
      </c>
      <c r="B166" s="28">
        <v>2022</v>
      </c>
      <c r="C166" s="68">
        <f t="shared" si="2"/>
        <v>44562</v>
      </c>
      <c r="D166" s="28" t="s">
        <v>6883</v>
      </c>
      <c r="E166" s="28" t="s">
        <v>7057</v>
      </c>
      <c r="F166" s="28" t="s">
        <v>6982</v>
      </c>
      <c r="G166" s="28" t="s">
        <v>324</v>
      </c>
      <c r="H166" s="28">
        <v>40324</v>
      </c>
      <c r="I166" s="28">
        <v>38.217222</v>
      </c>
      <c r="J166" s="28">
        <v>-84.564166999999998</v>
      </c>
      <c r="L166" s="61">
        <v>110000732208</v>
      </c>
      <c r="M166" s="28" t="s">
        <v>263</v>
      </c>
      <c r="N166" s="28">
        <v>4952</v>
      </c>
      <c r="O166" s="28" t="str">
        <f>IFERROR(VLOOKUP(N166, 'SIC &amp; NAICS Codes'!A:B, 2, FALSE), "")</f>
        <v>Sewerage Systems</v>
      </c>
      <c r="S166" s="28">
        <v>8.7726837500000006</v>
      </c>
      <c r="T166" s="315">
        <f>_xlfn.MAXIFS('Raw Period DMR Data'!$O:$O,'Raw Period DMR Data'!$A:$A,'Raw Annual DMR Data_2021-2024'!B954,'Raw Period DMR Data'!$C:$C,X166)/S166</f>
        <v>0</v>
      </c>
      <c r="U166" s="28" t="str">
        <f>+IF(COUNTIFS('Raw Period DMR Data'!$A:$A,B166, 'Raw Period DMR Data'!C:C,'Raw Annual DMR Data_2021-2024'!X954, 'Raw Period DMR Data'!M:M, "&gt;0")&gt;0,_xlfn.MAXIFS('Raw Period DMR Data'!M:M,'Raw Period DMR Data'!$A:$A,'Raw Annual DMR Data_2021-2024'!B954,'Raw Period DMR Data'!C:C,'Raw Annual DMR Data_2021-2024'!X954), "N/A - Period DMR Data Not Available")</f>
        <v>N/A - Period DMR Data Not Available</v>
      </c>
      <c r="V166" s="28" t="str" cm="1">
        <f t="array" ref="V166">IFERROR(INDEX('Raw Period DMR Data'!N:N,MATCH(1,(B166='Raw Period DMR Data'!$A:$A)*(U166='Raw Period DMR Data'!M:M)*(X166='Raw Period DMR Data'!C:C),0),1), "N/A")</f>
        <v>N/A</v>
      </c>
      <c r="W166" s="28" t="s">
        <v>1463</v>
      </c>
      <c r="X166" s="28" t="s">
        <v>7209</v>
      </c>
      <c r="Y166" s="28" t="s">
        <v>7307</v>
      </c>
      <c r="Z166" s="61">
        <v>5100205000277</v>
      </c>
      <c r="AA166" s="60"/>
      <c r="AB166" s="28" t="s">
        <v>7355</v>
      </c>
      <c r="AC166" s="28" t="s">
        <v>263</v>
      </c>
    </row>
    <row r="167" spans="1:29" s="28" customFormat="1" x14ac:dyDescent="0.25">
      <c r="A167" s="61">
        <v>110000732208</v>
      </c>
      <c r="B167" s="28">
        <v>2023</v>
      </c>
      <c r="C167" s="68">
        <f t="shared" si="2"/>
        <v>44927</v>
      </c>
      <c r="D167" s="28" t="s">
        <v>6883</v>
      </c>
      <c r="E167" s="28" t="s">
        <v>7057</v>
      </c>
      <c r="F167" s="28" t="s">
        <v>6982</v>
      </c>
      <c r="G167" s="28" t="s">
        <v>324</v>
      </c>
      <c r="H167" s="28">
        <v>40324</v>
      </c>
      <c r="I167" s="28">
        <v>38.217222</v>
      </c>
      <c r="J167" s="28">
        <v>-84.564166999999998</v>
      </c>
      <c r="L167" s="61">
        <v>110000732208</v>
      </c>
      <c r="M167" s="28" t="s">
        <v>263</v>
      </c>
      <c r="N167" s="28">
        <v>4952</v>
      </c>
      <c r="O167" s="28" t="str">
        <f>IFERROR(VLOOKUP(N167, 'SIC &amp; NAICS Codes'!A:B, 2, FALSE), "")</f>
        <v>Sewerage Systems</v>
      </c>
      <c r="S167" s="28">
        <v>8.4618406250000007</v>
      </c>
      <c r="T167" s="315">
        <f>_xlfn.MAXIFS('Raw Period DMR Data'!$O:$O,'Raw Period DMR Data'!$A:$A,'Raw Annual DMR Data_2021-2024'!B957,'Raw Period DMR Data'!$C:$C,X167)/S167</f>
        <v>0</v>
      </c>
      <c r="U167" s="28" t="str">
        <f>+IF(COUNTIFS('Raw Period DMR Data'!$A:$A,B167, 'Raw Period DMR Data'!C:C,'Raw Annual DMR Data_2021-2024'!X957, 'Raw Period DMR Data'!M:M, "&gt;0")&gt;0,_xlfn.MAXIFS('Raw Period DMR Data'!M:M,'Raw Period DMR Data'!$A:$A,'Raw Annual DMR Data_2021-2024'!B957,'Raw Period DMR Data'!C:C,'Raw Annual DMR Data_2021-2024'!X957), "N/A - Period DMR Data Not Available")</f>
        <v>N/A - Period DMR Data Not Available</v>
      </c>
      <c r="V167" s="28" t="str" cm="1">
        <f t="array" ref="V167">IFERROR(INDEX('Raw Period DMR Data'!N:N,MATCH(1,(B167='Raw Period DMR Data'!$A:$A)*(U167='Raw Period DMR Data'!M:M)*(X167='Raw Period DMR Data'!C:C),0),1), "N/A")</f>
        <v>N/A</v>
      </c>
      <c r="W167" s="28" t="s">
        <v>1463</v>
      </c>
      <c r="X167" s="28" t="s">
        <v>7209</v>
      </c>
      <c r="Y167" s="28" t="s">
        <v>7307</v>
      </c>
      <c r="Z167" s="61">
        <v>5100205000277</v>
      </c>
      <c r="AA167" s="60"/>
      <c r="AB167" s="28" t="s">
        <v>7355</v>
      </c>
      <c r="AC167" s="28" t="s">
        <v>263</v>
      </c>
    </row>
    <row r="168" spans="1:29" s="28" customFormat="1" x14ac:dyDescent="0.25">
      <c r="A168" s="61">
        <v>110000759741</v>
      </c>
      <c r="B168" s="28">
        <v>2021</v>
      </c>
      <c r="C168" s="68">
        <f t="shared" si="2"/>
        <v>44197</v>
      </c>
      <c r="D168" s="28" t="s">
        <v>6828</v>
      </c>
      <c r="E168" s="28" t="s">
        <v>6981</v>
      </c>
      <c r="F168" s="28" t="s">
        <v>6982</v>
      </c>
      <c r="G168" s="28" t="s">
        <v>324</v>
      </c>
      <c r="H168" s="28">
        <v>40324</v>
      </c>
      <c r="I168" s="28">
        <v>38.267437999999999</v>
      </c>
      <c r="J168" s="28">
        <v>-84.527996000000002</v>
      </c>
      <c r="L168" s="61">
        <v>110000759741</v>
      </c>
      <c r="M168" s="28" t="s">
        <v>263</v>
      </c>
      <c r="N168" s="28">
        <v>4952</v>
      </c>
      <c r="O168" s="28" t="str">
        <f>IFERROR(VLOOKUP(N168, 'SIC &amp; NAICS Codes'!A:B, 2, FALSE), "")</f>
        <v>Sewerage Systems</v>
      </c>
      <c r="S168" s="28">
        <v>4.5728477500000002</v>
      </c>
      <c r="T168" s="315">
        <f>_xlfn.MAXIFS('Raw Period DMR Data'!$O:$O,'Raw Period DMR Data'!$A:$A,'Raw Annual DMR Data_2021-2024'!B986,'Raw Period DMR Data'!$C:$C,X168)/S168</f>
        <v>0</v>
      </c>
      <c r="U168" s="28" t="str">
        <f>+IF(COUNTIFS('Raw Period DMR Data'!$A:$A,B168, 'Raw Period DMR Data'!C:C,'Raw Annual DMR Data_2021-2024'!X986, 'Raw Period DMR Data'!M:M, "&gt;0")&gt;0,_xlfn.MAXIFS('Raw Period DMR Data'!M:M,'Raw Period DMR Data'!$A:$A,'Raw Annual DMR Data_2021-2024'!B986,'Raw Period DMR Data'!C:C,'Raw Annual DMR Data_2021-2024'!X986), "N/A - Period DMR Data Not Available")</f>
        <v>N/A - Period DMR Data Not Available</v>
      </c>
      <c r="V168" s="28" t="str" cm="1">
        <f t="array" ref="V168">IFERROR(INDEX('Raw Period DMR Data'!N:N,MATCH(1,(B168='Raw Period DMR Data'!$A:$A)*(U168='Raw Period DMR Data'!M:M)*(X168='Raw Period DMR Data'!C:C),0),1), "N/A")</f>
        <v>N/A</v>
      </c>
      <c r="W168" s="28" t="s">
        <v>1463</v>
      </c>
      <c r="X168" s="28" t="s">
        <v>7167</v>
      </c>
      <c r="Y168" s="28" t="s">
        <v>7280</v>
      </c>
      <c r="Z168" s="61">
        <v>5100205000511</v>
      </c>
      <c r="AB168" s="28" t="s">
        <v>7355</v>
      </c>
      <c r="AC168" s="28" t="s">
        <v>263</v>
      </c>
    </row>
    <row r="169" spans="1:29" s="28" customFormat="1" x14ac:dyDescent="0.25">
      <c r="A169" s="61">
        <v>110000759741</v>
      </c>
      <c r="B169" s="28">
        <v>2024</v>
      </c>
      <c r="C169" s="68">
        <f t="shared" si="2"/>
        <v>45292</v>
      </c>
      <c r="D169" s="28" t="s">
        <v>6828</v>
      </c>
      <c r="E169" s="28" t="s">
        <v>6981</v>
      </c>
      <c r="F169" s="28" t="s">
        <v>6982</v>
      </c>
      <c r="G169" s="28" t="s">
        <v>324</v>
      </c>
      <c r="H169" s="28">
        <v>40324</v>
      </c>
      <c r="I169" s="28">
        <v>38.267437999999999</v>
      </c>
      <c r="J169" s="28">
        <v>-84.527996000000002</v>
      </c>
      <c r="L169" s="61">
        <v>110000759741</v>
      </c>
      <c r="M169" s="28" t="s">
        <v>263</v>
      </c>
      <c r="N169" s="28">
        <v>4952</v>
      </c>
      <c r="O169" s="28" t="str">
        <f>IFERROR(VLOOKUP(N169, 'SIC &amp; NAICS Codes'!A:B, 2, FALSE), "")</f>
        <v>Sewerage Systems</v>
      </c>
      <c r="S169" s="28">
        <v>4.5417634375000002</v>
      </c>
      <c r="T169" s="315">
        <f>_xlfn.MAXIFS('Raw Period DMR Data'!$O:$O,'Raw Period DMR Data'!$A:$A,'Raw Annual DMR Data_2021-2024'!B988,'Raw Period DMR Data'!$C:$C,X169)/S169</f>
        <v>0</v>
      </c>
      <c r="U169" s="28" t="str">
        <f>+IF(COUNTIFS('Raw Period DMR Data'!$A:$A,B169, 'Raw Period DMR Data'!C:C,'Raw Annual DMR Data_2021-2024'!X988, 'Raw Period DMR Data'!M:M, "&gt;0")&gt;0,_xlfn.MAXIFS('Raw Period DMR Data'!M:M,'Raw Period DMR Data'!$A:$A,'Raw Annual DMR Data_2021-2024'!B988,'Raw Period DMR Data'!C:C,'Raw Annual DMR Data_2021-2024'!X988), "N/A - Period DMR Data Not Available")</f>
        <v>N/A - Period DMR Data Not Available</v>
      </c>
      <c r="V169" s="28" t="str" cm="1">
        <f t="array" ref="V169">IFERROR(INDEX('Raw Period DMR Data'!N:N,MATCH(1,(B169='Raw Period DMR Data'!$A:$A)*(U169='Raw Period DMR Data'!M:M)*(X169='Raw Period DMR Data'!C:C),0),1), "N/A")</f>
        <v>N/A</v>
      </c>
      <c r="W169" s="28" t="s">
        <v>1463</v>
      </c>
      <c r="X169" s="28" t="s">
        <v>7167</v>
      </c>
      <c r="Y169" s="28" t="s">
        <v>7280</v>
      </c>
      <c r="Z169" s="61">
        <v>5100205000511</v>
      </c>
      <c r="AA169" s="60"/>
      <c r="AB169" s="28" t="s">
        <v>7355</v>
      </c>
      <c r="AC169" s="28" t="s">
        <v>263</v>
      </c>
    </row>
    <row r="170" spans="1:29" s="28" customFormat="1" x14ac:dyDescent="0.25">
      <c r="A170" s="61">
        <v>110000759741</v>
      </c>
      <c r="B170" s="28">
        <v>2023</v>
      </c>
      <c r="C170" s="68">
        <f t="shared" si="2"/>
        <v>44927</v>
      </c>
      <c r="D170" s="28" t="s">
        <v>6828</v>
      </c>
      <c r="E170" s="28" t="s">
        <v>6981</v>
      </c>
      <c r="F170" s="28" t="s">
        <v>6982</v>
      </c>
      <c r="G170" s="28" t="s">
        <v>324</v>
      </c>
      <c r="H170" s="28">
        <v>40324</v>
      </c>
      <c r="I170" s="28">
        <v>38.267437999999999</v>
      </c>
      <c r="J170" s="28">
        <v>-84.527996000000002</v>
      </c>
      <c r="L170" s="61">
        <v>110000759741</v>
      </c>
      <c r="M170" s="28" t="s">
        <v>263</v>
      </c>
      <c r="N170" s="28">
        <v>4952</v>
      </c>
      <c r="O170" s="28" t="str">
        <f>IFERROR(VLOOKUP(N170, 'SIC &amp; NAICS Codes'!A:B, 2, FALSE), "")</f>
        <v>Sewerage Systems</v>
      </c>
      <c r="S170" s="28">
        <v>4.0789525624999996</v>
      </c>
      <c r="T170" s="315">
        <f>_xlfn.MAXIFS('Raw Period DMR Data'!$O:$O,'Raw Period DMR Data'!$A:$A,'Raw Annual DMR Data_2021-2024'!B992,'Raw Period DMR Data'!$C:$C,X170)/S170</f>
        <v>0</v>
      </c>
      <c r="U170" s="28" t="str">
        <f>+IF(COUNTIFS('Raw Period DMR Data'!$A:$A,B170, 'Raw Period DMR Data'!C:C,'Raw Annual DMR Data_2021-2024'!X992, 'Raw Period DMR Data'!M:M, "&gt;0")&gt;0,_xlfn.MAXIFS('Raw Period DMR Data'!M:M,'Raw Period DMR Data'!$A:$A,'Raw Annual DMR Data_2021-2024'!B992,'Raw Period DMR Data'!C:C,'Raw Annual DMR Data_2021-2024'!X992), "N/A - Period DMR Data Not Available")</f>
        <v>N/A - Period DMR Data Not Available</v>
      </c>
      <c r="V170" s="28" t="str" cm="1">
        <f t="array" ref="V170">IFERROR(INDEX('Raw Period DMR Data'!N:N,MATCH(1,(B170='Raw Period DMR Data'!$A:$A)*(U170='Raw Period DMR Data'!M:M)*(X170='Raw Period DMR Data'!C:C),0),1), "N/A")</f>
        <v>N/A</v>
      </c>
      <c r="W170" s="28" t="s">
        <v>1463</v>
      </c>
      <c r="X170" s="28" t="s">
        <v>7167</v>
      </c>
      <c r="Y170" s="28" t="s">
        <v>7280</v>
      </c>
      <c r="Z170" s="61" t="s">
        <v>7328</v>
      </c>
      <c r="AA170" s="60"/>
      <c r="AB170" s="28" t="s">
        <v>7355</v>
      </c>
      <c r="AC170" s="28" t="s">
        <v>263</v>
      </c>
    </row>
    <row r="171" spans="1:29" s="28" customFormat="1" x14ac:dyDescent="0.25">
      <c r="A171" s="61">
        <v>110001123276</v>
      </c>
      <c r="B171" s="28">
        <v>2021</v>
      </c>
      <c r="C171" s="68">
        <f t="shared" si="2"/>
        <v>44197</v>
      </c>
      <c r="D171" s="28" t="s">
        <v>6814</v>
      </c>
      <c r="E171" s="28" t="s">
        <v>1813</v>
      </c>
      <c r="F171" s="28" t="s">
        <v>1139</v>
      </c>
      <c r="G171" s="28" t="s">
        <v>324</v>
      </c>
      <c r="H171" s="28">
        <v>42141</v>
      </c>
      <c r="I171" s="28">
        <v>36.983809999999998</v>
      </c>
      <c r="J171" s="28">
        <v>-85.957089999999994</v>
      </c>
      <c r="L171" s="61">
        <v>110001123276</v>
      </c>
      <c r="M171" s="28" t="s">
        <v>263</v>
      </c>
      <c r="N171" s="28">
        <v>4952</v>
      </c>
      <c r="O171" s="28" t="str">
        <f>IFERROR(VLOOKUP(N171, 'SIC &amp; NAICS Codes'!A:B, 2, FALSE), "")</f>
        <v>Sewerage Systems</v>
      </c>
      <c r="S171" s="28">
        <v>3.6251215999999999</v>
      </c>
      <c r="T171" s="315">
        <f>_xlfn.MAXIFS('Raw Period DMR Data'!$O:$O,'Raw Period DMR Data'!$A:$A,'Raw Annual DMR Data_2021-2024'!B1004,'Raw Period DMR Data'!$C:$C,X171)/S171</f>
        <v>0</v>
      </c>
      <c r="U171" s="28" t="str">
        <f>+IF(COUNTIFS('Raw Period DMR Data'!$A:$A,B171, 'Raw Period DMR Data'!C:C,'Raw Annual DMR Data_2021-2024'!X1004, 'Raw Period DMR Data'!M:M, "&gt;0")&gt;0,_xlfn.MAXIFS('Raw Period DMR Data'!M:M,'Raw Period DMR Data'!$A:$A,'Raw Annual DMR Data_2021-2024'!B1004,'Raw Period DMR Data'!C:C,'Raw Annual DMR Data_2021-2024'!X1004), "N/A - Period DMR Data Not Available")</f>
        <v>N/A - Period DMR Data Not Available</v>
      </c>
      <c r="V171" s="28" t="str" cm="1">
        <f t="array" ref="V171">IFERROR(INDEX('Raw Period DMR Data'!N:N,MATCH(1,(B171='Raw Period DMR Data'!$A:$A)*(U171='Raw Period DMR Data'!M:M)*(X171='Raw Period DMR Data'!C:C),0),1), "N/A")</f>
        <v>N/A</v>
      </c>
      <c r="W171" s="28" t="s">
        <v>1463</v>
      </c>
      <c r="X171" s="28" t="s">
        <v>1814</v>
      </c>
      <c r="Y171" s="28" t="s">
        <v>1815</v>
      </c>
      <c r="Z171" s="61">
        <v>5110002001123</v>
      </c>
      <c r="AB171" s="28" t="s">
        <v>7355</v>
      </c>
      <c r="AC171" s="28" t="s">
        <v>263</v>
      </c>
    </row>
    <row r="172" spans="1:29" s="28" customFormat="1" x14ac:dyDescent="0.25">
      <c r="A172" s="61">
        <v>110064625730</v>
      </c>
      <c r="B172" s="28">
        <v>2023</v>
      </c>
      <c r="C172" s="68">
        <f t="shared" si="2"/>
        <v>44927</v>
      </c>
      <c r="D172" s="28" t="s">
        <v>1816</v>
      </c>
      <c r="E172" s="28" t="s">
        <v>497</v>
      </c>
      <c r="F172" s="28" t="s">
        <v>498</v>
      </c>
      <c r="G172" s="28" t="s">
        <v>338</v>
      </c>
      <c r="H172" s="28" t="s">
        <v>1817</v>
      </c>
      <c r="I172" s="28">
        <v>39.852891</v>
      </c>
      <c r="J172" s="28">
        <v>-75.225210000000004</v>
      </c>
      <c r="L172" s="61">
        <v>110064625730</v>
      </c>
      <c r="M172" s="28" t="s">
        <v>263</v>
      </c>
      <c r="N172" s="28">
        <v>4952</v>
      </c>
      <c r="O172" s="28" t="str">
        <f>IFERROR(VLOOKUP(N172, 'SIC &amp; NAICS Codes'!A:B, 2, FALSE), "")</f>
        <v>Sewerage Systems</v>
      </c>
      <c r="S172" s="28">
        <v>17.557500000000001</v>
      </c>
      <c r="T172" s="315">
        <f>_xlfn.MAXIFS('Raw Period DMR Data'!$O:$O,'Raw Period DMR Data'!$A:$A,'Raw Annual DMR Data_2021-2024'!B914,'Raw Period DMR Data'!$C:$C,X172)/S172</f>
        <v>0</v>
      </c>
      <c r="U172" s="28" t="str">
        <f>+IF(COUNTIFS('Raw Period DMR Data'!$A:$A,B172, 'Raw Period DMR Data'!C:C,'Raw Annual DMR Data_2021-2024'!X914, 'Raw Period DMR Data'!M:M, "&gt;0")&gt;0,_xlfn.MAXIFS('Raw Period DMR Data'!M:M,'Raw Period DMR Data'!$A:$A,'Raw Annual DMR Data_2021-2024'!B914,'Raw Period DMR Data'!C:C,'Raw Annual DMR Data_2021-2024'!X914), "N/A - Period DMR Data Not Available")</f>
        <v>N/A - Period DMR Data Not Available</v>
      </c>
      <c r="V172" s="28" t="str" cm="1">
        <f t="array" ref="V172">IFERROR(INDEX('Raw Period DMR Data'!N:N,MATCH(1,(B172='Raw Period DMR Data'!$A:$A)*(U172='Raw Period DMR Data'!M:M)*(X172='Raw Period DMR Data'!C:C),0),1), "N/A")</f>
        <v>N/A</v>
      </c>
      <c r="W172" s="28" t="s">
        <v>1463</v>
      </c>
      <c r="X172" s="28" t="s">
        <v>870</v>
      </c>
      <c r="Y172" s="28" t="s">
        <v>871</v>
      </c>
      <c r="Z172" s="61">
        <v>2040202000030</v>
      </c>
      <c r="AA172" s="60"/>
      <c r="AC172" s="28" t="s">
        <v>263</v>
      </c>
    </row>
    <row r="173" spans="1:29" s="28" customFormat="1" x14ac:dyDescent="0.25">
      <c r="A173" s="61">
        <v>110064625730</v>
      </c>
      <c r="B173" s="28">
        <v>2024</v>
      </c>
      <c r="C173" s="68">
        <f t="shared" si="2"/>
        <v>45292</v>
      </c>
      <c r="D173" s="28" t="s">
        <v>1816</v>
      </c>
      <c r="E173" s="28" t="s">
        <v>497</v>
      </c>
      <c r="F173" s="28" t="s">
        <v>498</v>
      </c>
      <c r="G173" s="28" t="s">
        <v>338</v>
      </c>
      <c r="H173" s="28">
        <v>8066</v>
      </c>
      <c r="I173" s="28">
        <v>39.852891</v>
      </c>
      <c r="J173" s="28">
        <v>-75.225210000000004</v>
      </c>
      <c r="L173" s="61">
        <v>110064625730</v>
      </c>
      <c r="M173" s="28" t="s">
        <v>263</v>
      </c>
      <c r="N173" s="28">
        <v>4952</v>
      </c>
      <c r="O173" s="28" t="str">
        <f>IFERROR(VLOOKUP(N173, 'SIC &amp; NAICS Codes'!A:B, 2, FALSE), "")</f>
        <v>Sewerage Systems</v>
      </c>
      <c r="S173" s="28">
        <v>14.4475</v>
      </c>
      <c r="T173" s="315">
        <f>_xlfn.MAXIFS('Raw Period DMR Data'!$O:$O,'Raw Period DMR Data'!$A:$A,'Raw Annual DMR Data_2021-2024'!B923,'Raw Period DMR Data'!$C:$C,X173)/S173</f>
        <v>0</v>
      </c>
      <c r="U173" s="28" t="str">
        <f>+IF(COUNTIFS('Raw Period DMR Data'!$A:$A,B173, 'Raw Period DMR Data'!C:C,'Raw Annual DMR Data_2021-2024'!X923, 'Raw Period DMR Data'!M:M, "&gt;0")&gt;0,_xlfn.MAXIFS('Raw Period DMR Data'!M:M,'Raw Period DMR Data'!$A:$A,'Raw Annual DMR Data_2021-2024'!B923,'Raw Period DMR Data'!C:C,'Raw Annual DMR Data_2021-2024'!X923), "N/A - Period DMR Data Not Available")</f>
        <v>N/A - Period DMR Data Not Available</v>
      </c>
      <c r="V173" s="28" t="str" cm="1">
        <f t="array" ref="V173">IFERROR(INDEX('Raw Period DMR Data'!N:N,MATCH(1,(B173='Raw Period DMR Data'!$A:$A)*(U173='Raw Period DMR Data'!M:M)*(X173='Raw Period DMR Data'!C:C),0),1), "N/A")</f>
        <v>N/A</v>
      </c>
      <c r="W173" s="28" t="s">
        <v>1463</v>
      </c>
      <c r="X173" s="28" t="s">
        <v>870</v>
      </c>
      <c r="Y173" s="28" t="s">
        <v>871</v>
      </c>
      <c r="Z173" s="61">
        <v>2040202000030</v>
      </c>
      <c r="AA173" s="60"/>
      <c r="AB173" s="28" t="s">
        <v>7355</v>
      </c>
      <c r="AC173" s="28" t="s">
        <v>263</v>
      </c>
    </row>
    <row r="174" spans="1:29" s="28" customFormat="1" x14ac:dyDescent="0.25">
      <c r="A174" s="61">
        <v>110064625730</v>
      </c>
      <c r="B174" s="28">
        <v>2021</v>
      </c>
      <c r="C174" s="68">
        <f t="shared" si="2"/>
        <v>44197</v>
      </c>
      <c r="D174" s="28" t="s">
        <v>1816</v>
      </c>
      <c r="E174" s="28" t="s">
        <v>497</v>
      </c>
      <c r="F174" s="28" t="s">
        <v>498</v>
      </c>
      <c r="G174" s="28" t="s">
        <v>338</v>
      </c>
      <c r="H174" s="28">
        <v>8066</v>
      </c>
      <c r="I174" s="28">
        <v>39.852891</v>
      </c>
      <c r="J174" s="28">
        <v>-75.225210000000004</v>
      </c>
      <c r="L174" s="61">
        <v>110064625730</v>
      </c>
      <c r="M174" s="28" t="s">
        <v>263</v>
      </c>
      <c r="N174" s="28">
        <v>4952</v>
      </c>
      <c r="O174" s="28" t="str">
        <f>IFERROR(VLOOKUP(N174, 'SIC &amp; NAICS Codes'!A:B, 2, FALSE), "")</f>
        <v>Sewerage Systems</v>
      </c>
      <c r="S174" s="28">
        <v>3.6537999999999999</v>
      </c>
      <c r="T174" s="315">
        <f>_xlfn.MAXIFS('Raw Period DMR Data'!$O:$O,'Raw Period DMR Data'!$A:$A,'Raw Annual DMR Data_2021-2024'!B1003,'Raw Period DMR Data'!$C:$C,X174)/S174</f>
        <v>0</v>
      </c>
      <c r="U174" s="28" t="str">
        <f>+IF(COUNTIFS('Raw Period DMR Data'!$A:$A,B174, 'Raw Period DMR Data'!C:C,'Raw Annual DMR Data_2021-2024'!X1003, 'Raw Period DMR Data'!M:M, "&gt;0")&gt;0,_xlfn.MAXIFS('Raw Period DMR Data'!M:M,'Raw Period DMR Data'!$A:$A,'Raw Annual DMR Data_2021-2024'!B1003,'Raw Period DMR Data'!C:C,'Raw Annual DMR Data_2021-2024'!X1003), "N/A - Period DMR Data Not Available")</f>
        <v>N/A - Period DMR Data Not Available</v>
      </c>
      <c r="V174" s="28" t="str" cm="1">
        <f t="array" ref="V174">IFERROR(INDEX('Raw Period DMR Data'!N:N,MATCH(1,(B174='Raw Period DMR Data'!$A:$A)*(U174='Raw Period DMR Data'!M:M)*(X174='Raw Period DMR Data'!C:C),0),1), "N/A")</f>
        <v>N/A</v>
      </c>
      <c r="W174" s="28" t="s">
        <v>1463</v>
      </c>
      <c r="X174" s="28" t="s">
        <v>870</v>
      </c>
      <c r="Y174" s="28" t="s">
        <v>871</v>
      </c>
      <c r="Z174" s="61">
        <v>2040202000030</v>
      </c>
      <c r="AA174" s="60"/>
      <c r="AB174" s="28" t="s">
        <v>7355</v>
      </c>
      <c r="AC174" s="28" t="s">
        <v>263</v>
      </c>
    </row>
    <row r="175" spans="1:29" s="28" customFormat="1" x14ac:dyDescent="0.25">
      <c r="A175" s="61">
        <v>110064625730</v>
      </c>
      <c r="B175" s="28">
        <v>2022</v>
      </c>
      <c r="C175" s="68">
        <f t="shared" si="2"/>
        <v>44562</v>
      </c>
      <c r="D175" s="28" t="s">
        <v>1816</v>
      </c>
      <c r="E175" s="28" t="s">
        <v>497</v>
      </c>
      <c r="F175" s="28" t="s">
        <v>498</v>
      </c>
      <c r="G175" s="28" t="s">
        <v>338</v>
      </c>
      <c r="H175" s="28">
        <v>8066</v>
      </c>
      <c r="I175" s="28">
        <v>39.852891</v>
      </c>
      <c r="J175" s="28">
        <v>-75.225210000000004</v>
      </c>
      <c r="L175" s="61">
        <v>110064625730</v>
      </c>
      <c r="M175" s="28" t="s">
        <v>263</v>
      </c>
      <c r="N175" s="28">
        <v>4952</v>
      </c>
      <c r="O175" s="28" t="str">
        <f>IFERROR(VLOOKUP(N175, 'SIC &amp; NAICS Codes'!A:B, 2, FALSE), "")</f>
        <v>Sewerage Systems</v>
      </c>
      <c r="S175" s="28">
        <v>2.1838500000000001</v>
      </c>
      <c r="T175" s="315">
        <f>_xlfn.MAXIFS('Raw Period DMR Data'!$O:$O,'Raw Period DMR Data'!$A:$A,'Raw Annual DMR Data_2021-2024'!#REF!,'Raw Period DMR Data'!$C:$C,X175)/S175</f>
        <v>0</v>
      </c>
      <c r="U175" s="28" t="str">
        <f>+IF(COUNTIFS('Raw Period DMR Data'!$A:$A,B175,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5" s="28" t="str" cm="1">
        <f t="array" ref="V175">IFERROR(INDEX('Raw Period DMR Data'!N:N,MATCH(1,(B175='Raw Period DMR Data'!$A:$A)*(U175='Raw Period DMR Data'!M:M)*(X175='Raw Period DMR Data'!C:C),0),1), "N/A")</f>
        <v>N/A</v>
      </c>
      <c r="W175" s="28" t="s">
        <v>1463</v>
      </c>
      <c r="X175" s="28" t="s">
        <v>870</v>
      </c>
      <c r="Y175" s="28" t="s">
        <v>871</v>
      </c>
      <c r="Z175" s="61">
        <v>2040202000030</v>
      </c>
      <c r="AA175" s="60"/>
      <c r="AB175" s="28" t="s">
        <v>7355</v>
      </c>
      <c r="AC175" s="28" t="s">
        <v>263</v>
      </c>
    </row>
    <row r="176" spans="1:29" s="28" customFormat="1" x14ac:dyDescent="0.25">
      <c r="A176" s="61">
        <v>110000759723</v>
      </c>
      <c r="B176" s="28">
        <v>2021</v>
      </c>
      <c r="C176" s="68">
        <f t="shared" si="2"/>
        <v>44197</v>
      </c>
      <c r="D176" s="28" t="s">
        <v>1144</v>
      </c>
      <c r="E176" s="28" t="s">
        <v>1825</v>
      </c>
      <c r="F176" s="28" t="s">
        <v>1145</v>
      </c>
      <c r="G176" s="28" t="s">
        <v>324</v>
      </c>
      <c r="H176" s="28">
        <v>41144</v>
      </c>
      <c r="I176" s="28">
        <v>38.551630000000003</v>
      </c>
      <c r="J176" s="28">
        <v>-82.778199999999998</v>
      </c>
      <c r="L176" s="61">
        <v>110000759723</v>
      </c>
      <c r="M176" s="28" t="s">
        <v>263</v>
      </c>
      <c r="N176" s="28">
        <v>4952</v>
      </c>
      <c r="O176" s="28" t="str">
        <f>IFERROR(VLOOKUP(N176, 'SIC &amp; NAICS Codes'!A:B, 2, FALSE), "")</f>
        <v>Sewerage Systems</v>
      </c>
      <c r="S176" s="28">
        <v>1.0050594374999999</v>
      </c>
      <c r="T176" s="315">
        <f>_xlfn.MAXIFS('Raw Period DMR Data'!$O:$O,'Raw Period DMR Data'!$A:$A,'Raw Annual DMR Data_2021-2024'!#REF!,'Raw Period DMR Data'!$C:$C,X176)/S176</f>
        <v>0</v>
      </c>
      <c r="U176" s="28" t="str">
        <f>+IF(COUNTIFS('Raw Period DMR Data'!$A:$A,B176,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6" s="28" t="str" cm="1">
        <f t="array" ref="V176">IFERROR(INDEX('Raw Period DMR Data'!N:N,MATCH(1,(B176='Raw Period DMR Data'!$A:$A)*(U176='Raw Period DMR Data'!M:M)*(X176='Raw Period DMR Data'!C:C),0),1), "N/A")</f>
        <v>N/A</v>
      </c>
      <c r="W176" s="28" t="s">
        <v>1463</v>
      </c>
      <c r="X176" s="28" t="s">
        <v>1826</v>
      </c>
      <c r="Y176" s="28" t="s">
        <v>830</v>
      </c>
      <c r="Z176" s="61">
        <v>5090103000913</v>
      </c>
      <c r="AB176" s="28" t="s">
        <v>7355</v>
      </c>
      <c r="AC176" s="28" t="s">
        <v>263</v>
      </c>
    </row>
    <row r="177" spans="1:29" s="28" customFormat="1" x14ac:dyDescent="0.25">
      <c r="A177" s="61">
        <v>110056977080</v>
      </c>
      <c r="B177" s="28">
        <v>2022</v>
      </c>
      <c r="C177" s="68">
        <f t="shared" si="2"/>
        <v>44562</v>
      </c>
      <c r="D177" s="28" t="s">
        <v>1150</v>
      </c>
      <c r="E177" s="28" t="s">
        <v>1835</v>
      </c>
      <c r="F177" s="28" t="s">
        <v>1151</v>
      </c>
      <c r="G177" s="28" t="s">
        <v>338</v>
      </c>
      <c r="H177" s="28">
        <v>8610</v>
      </c>
      <c r="I177" s="28">
        <v>40.183062999999997</v>
      </c>
      <c r="J177" s="28">
        <v>-74.710695000000001</v>
      </c>
      <c r="L177" s="61">
        <v>110056977080</v>
      </c>
      <c r="M177" s="28" t="s">
        <v>263</v>
      </c>
      <c r="N177" s="28">
        <v>4952</v>
      </c>
      <c r="O177" s="28" t="str">
        <f>IFERROR(VLOOKUP(N177, 'SIC &amp; NAICS Codes'!A:B, 2, FALSE), "")</f>
        <v>Sewerage Systems</v>
      </c>
      <c r="S177" s="28">
        <v>1.8486318500000001</v>
      </c>
      <c r="T177" s="315">
        <f>_xlfn.MAXIFS('Raw Period DMR Data'!$O:$O,'Raw Period DMR Data'!$A:$A,'Raw Annual DMR Data_2021-2024'!#REF!,'Raw Period DMR Data'!$C:$C,X177)/S177</f>
        <v>0</v>
      </c>
      <c r="U177" s="28" t="str">
        <f>+IF(COUNTIFS('Raw Period DMR Data'!$A:$A,B177,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7" s="28" t="str" cm="1">
        <f t="array" ref="V177">IFERROR(INDEX('Raw Period DMR Data'!N:N,MATCH(1,(B177='Raw Period DMR Data'!$A:$A)*(U177='Raw Period DMR Data'!M:M)*(X177='Raw Period DMR Data'!C:C),0),1), "N/A")</f>
        <v>N/A</v>
      </c>
      <c r="W177" s="28" t="s">
        <v>1463</v>
      </c>
      <c r="X177" s="28" t="s">
        <v>1836</v>
      </c>
      <c r="Y177" s="28" t="s">
        <v>1837</v>
      </c>
      <c r="Z177" s="61">
        <v>2040201000021</v>
      </c>
      <c r="AA177" s="60"/>
      <c r="AB177" s="28" t="s">
        <v>7355</v>
      </c>
      <c r="AC177" s="28" t="s">
        <v>263</v>
      </c>
    </row>
    <row r="178" spans="1:29" s="28" customFormat="1" x14ac:dyDescent="0.25">
      <c r="A178" s="61">
        <v>110056977080</v>
      </c>
      <c r="B178" s="28">
        <v>2023</v>
      </c>
      <c r="C178" s="68">
        <f t="shared" si="2"/>
        <v>44927</v>
      </c>
      <c r="D178" s="28" t="s">
        <v>1150</v>
      </c>
      <c r="E178" s="28" t="s">
        <v>1835</v>
      </c>
      <c r="F178" s="28" t="s">
        <v>1151</v>
      </c>
      <c r="G178" s="28" t="s">
        <v>338</v>
      </c>
      <c r="H178" s="28" t="s">
        <v>1838</v>
      </c>
      <c r="I178" s="28">
        <v>40.183062999999997</v>
      </c>
      <c r="J178" s="28">
        <v>-74.710695000000001</v>
      </c>
      <c r="L178" s="61">
        <v>110056977080</v>
      </c>
      <c r="M178" s="28" t="s">
        <v>263</v>
      </c>
      <c r="N178" s="28">
        <v>4952</v>
      </c>
      <c r="O178" s="28" t="str">
        <f>IFERROR(VLOOKUP(N178, 'SIC &amp; NAICS Codes'!A:B, 2, FALSE), "")</f>
        <v>Sewerage Systems</v>
      </c>
      <c r="S178" s="28">
        <v>1.7689424600000001</v>
      </c>
      <c r="T178" s="315">
        <f>_xlfn.MAXIFS('Raw Period DMR Data'!$O:$O,'Raw Period DMR Data'!$A:$A,'Raw Annual DMR Data_2021-2024'!#REF!,'Raw Period DMR Data'!$C:$C,X178)/S178</f>
        <v>0</v>
      </c>
      <c r="U178" s="28" t="str">
        <f>+IF(COUNTIFS('Raw Period DMR Data'!$A:$A,B178,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8" s="28" t="str" cm="1">
        <f t="array" ref="V178">IFERROR(INDEX('Raw Period DMR Data'!N:N,MATCH(1,(B178='Raw Period DMR Data'!$A:$A)*(U178='Raw Period DMR Data'!M:M)*(X178='Raw Period DMR Data'!C:C),0),1), "N/A")</f>
        <v>N/A</v>
      </c>
      <c r="W178" s="28" t="s">
        <v>1463</v>
      </c>
      <c r="X178" s="28" t="s">
        <v>1836</v>
      </c>
      <c r="Y178" s="28" t="s">
        <v>1837</v>
      </c>
      <c r="Z178" s="61" t="s">
        <v>1839</v>
      </c>
      <c r="AA178" s="60"/>
      <c r="AB178" s="28" t="s">
        <v>7355</v>
      </c>
      <c r="AC178" s="28" t="s">
        <v>263</v>
      </c>
    </row>
    <row r="179" spans="1:29" s="28" customFormat="1" x14ac:dyDescent="0.25">
      <c r="A179" s="61">
        <v>110056977080</v>
      </c>
      <c r="B179" s="28">
        <v>2021</v>
      </c>
      <c r="C179" s="68">
        <f t="shared" si="2"/>
        <v>44197</v>
      </c>
      <c r="D179" s="28" t="s">
        <v>1150</v>
      </c>
      <c r="E179" s="28" t="s">
        <v>1835</v>
      </c>
      <c r="F179" s="28" t="s">
        <v>1151</v>
      </c>
      <c r="G179" s="28" t="s">
        <v>338</v>
      </c>
      <c r="H179" s="28">
        <v>8610</v>
      </c>
      <c r="I179" s="28">
        <v>40.183062999999997</v>
      </c>
      <c r="J179" s="28">
        <v>-74.710695000000001</v>
      </c>
      <c r="L179" s="61">
        <v>110056977080</v>
      </c>
      <c r="M179" s="28" t="s">
        <v>263</v>
      </c>
      <c r="N179" s="28">
        <v>4952</v>
      </c>
      <c r="O179" s="28" t="str">
        <f>IFERROR(VLOOKUP(N179, 'SIC &amp; NAICS Codes'!A:B, 2, FALSE), "")</f>
        <v>Sewerage Systems</v>
      </c>
      <c r="S179" s="28">
        <v>1.2067829050000001</v>
      </c>
      <c r="T179" s="315">
        <f>_xlfn.MAXIFS('Raw Period DMR Data'!$O:$O,'Raw Period DMR Data'!$A:$A,'Raw Annual DMR Data_2021-2024'!#REF!,'Raw Period DMR Data'!$C:$C,X179)/S179</f>
        <v>0</v>
      </c>
      <c r="U179" s="28" t="str">
        <f>+IF(COUNTIFS('Raw Period DMR Data'!$A:$A,B179,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79" s="28" t="str" cm="1">
        <f t="array" ref="V179">IFERROR(INDEX('Raw Period DMR Data'!N:N,MATCH(1,(B179='Raw Period DMR Data'!$A:$A)*(U179='Raw Period DMR Data'!M:M)*(X179='Raw Period DMR Data'!C:C),0),1), "N/A")</f>
        <v>N/A</v>
      </c>
      <c r="W179" s="28" t="s">
        <v>1463</v>
      </c>
      <c r="X179" s="28" t="s">
        <v>1836</v>
      </c>
      <c r="Y179" s="28" t="s">
        <v>1837</v>
      </c>
      <c r="Z179" s="61">
        <v>2040201000021</v>
      </c>
      <c r="AB179" s="28" t="s">
        <v>7355</v>
      </c>
      <c r="AC179" s="28" t="s">
        <v>263</v>
      </c>
    </row>
    <row r="180" spans="1:29" s="28" customFormat="1" x14ac:dyDescent="0.25">
      <c r="A180" s="61">
        <v>110039757992</v>
      </c>
      <c r="B180" s="28">
        <v>2021</v>
      </c>
      <c r="C180" s="68">
        <f t="shared" si="2"/>
        <v>44197</v>
      </c>
      <c r="D180" s="28" t="s">
        <v>1154</v>
      </c>
      <c r="E180" s="28" t="s">
        <v>7009</v>
      </c>
      <c r="F180" s="28" t="s">
        <v>1155</v>
      </c>
      <c r="G180" s="28" t="s">
        <v>366</v>
      </c>
      <c r="H180" s="28" t="s">
        <v>1846</v>
      </c>
      <c r="I180" s="28">
        <v>38.730832999999997</v>
      </c>
      <c r="J180" s="28">
        <v>-120.846667</v>
      </c>
      <c r="L180" s="61">
        <v>110039757992</v>
      </c>
      <c r="M180" s="28" t="s">
        <v>263</v>
      </c>
      <c r="N180" s="28">
        <v>4952</v>
      </c>
      <c r="O180" s="28" t="str">
        <f>IFERROR(VLOOKUP(N180, 'SIC &amp; NAICS Codes'!A:B, 2, FALSE), "")</f>
        <v>Sewerage Systems</v>
      </c>
      <c r="S180" s="28">
        <v>6.5186783999999998E-2</v>
      </c>
      <c r="T180" s="315">
        <f>_xlfn.MAXIFS('Raw Period DMR Data'!$O:$O,'Raw Period DMR Data'!$A:$A,'Raw Annual DMR Data_2021-2024'!#REF!,'Raw Period DMR Data'!$C:$C,X180)/S180</f>
        <v>0</v>
      </c>
      <c r="U180" s="28" t="str">
        <f>+IF(COUNTIFS('Raw Period DMR Data'!$A:$A,B180,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0" s="28" t="str" cm="1">
        <f t="array" ref="V180">IFERROR(INDEX('Raw Period DMR Data'!N:N,MATCH(1,(B180='Raw Period DMR Data'!$A:$A)*(U180='Raw Period DMR Data'!M:M)*(X180='Raw Period DMR Data'!C:C),0),1), "N/A")</f>
        <v>N/A</v>
      </c>
      <c r="W180" s="28" t="s">
        <v>1463</v>
      </c>
      <c r="X180" s="28" t="s">
        <v>7183</v>
      </c>
      <c r="Y180" s="28" t="s">
        <v>1848</v>
      </c>
      <c r="Z180" s="61"/>
      <c r="AB180" s="28" t="s">
        <v>7355</v>
      </c>
      <c r="AC180" s="28" t="s">
        <v>263</v>
      </c>
    </row>
    <row r="181" spans="1:29" s="28" customFormat="1" x14ac:dyDescent="0.25">
      <c r="A181" s="61">
        <v>110039757992</v>
      </c>
      <c r="B181" s="28">
        <v>2022</v>
      </c>
      <c r="C181" s="68">
        <f t="shared" si="2"/>
        <v>44562</v>
      </c>
      <c r="D181" s="28" t="s">
        <v>1154</v>
      </c>
      <c r="E181" s="28" t="s">
        <v>7009</v>
      </c>
      <c r="F181" s="28" t="s">
        <v>1155</v>
      </c>
      <c r="G181" s="28" t="s">
        <v>366</v>
      </c>
      <c r="H181" s="28" t="s">
        <v>1846</v>
      </c>
      <c r="I181" s="28">
        <v>38.730832999999997</v>
      </c>
      <c r="J181" s="28">
        <v>-120.846667</v>
      </c>
      <c r="L181" s="61">
        <v>110039757992</v>
      </c>
      <c r="M181" s="28" t="s">
        <v>263</v>
      </c>
      <c r="N181" s="28">
        <v>4952</v>
      </c>
      <c r="O181" s="28" t="str">
        <f>IFERROR(VLOOKUP(N181, 'SIC &amp; NAICS Codes'!A:B, 2, FALSE), "")</f>
        <v>Sewerage Systems</v>
      </c>
      <c r="S181" s="28">
        <v>2.6440117499999999E-2</v>
      </c>
      <c r="T181" s="315">
        <f>_xlfn.MAXIFS('Raw Period DMR Data'!$O:$O,'Raw Period DMR Data'!$A:$A,'Raw Annual DMR Data_2021-2024'!#REF!,'Raw Period DMR Data'!$C:$C,X181)/S181</f>
        <v>0</v>
      </c>
      <c r="U181" s="28" t="str">
        <f>+IF(COUNTIFS('Raw Period DMR Data'!$A:$A,B181,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1" s="28" t="str" cm="1">
        <f t="array" ref="V181">IFERROR(INDEX('Raw Period DMR Data'!N:N,MATCH(1,(B181='Raw Period DMR Data'!$A:$A)*(U181='Raw Period DMR Data'!M:M)*(X181='Raw Period DMR Data'!C:C),0),1), "N/A")</f>
        <v>N/A</v>
      </c>
      <c r="W181" s="28" t="s">
        <v>1463</v>
      </c>
      <c r="X181" s="28" t="s">
        <v>7183</v>
      </c>
      <c r="Y181" s="28" t="s">
        <v>1848</v>
      </c>
      <c r="Z181" s="61"/>
      <c r="AA181" s="60"/>
      <c r="AB181" s="28" t="s">
        <v>7355</v>
      </c>
      <c r="AC181" s="28" t="s">
        <v>263</v>
      </c>
    </row>
    <row r="182" spans="1:29" s="28" customFormat="1" x14ac:dyDescent="0.25">
      <c r="A182" s="61">
        <v>110013786698</v>
      </c>
      <c r="B182" s="28">
        <v>2022</v>
      </c>
      <c r="C182" s="68">
        <f t="shared" si="2"/>
        <v>44562</v>
      </c>
      <c r="D182" s="28" t="s">
        <v>6778</v>
      </c>
      <c r="E182" s="28" t="s">
        <v>6922</v>
      </c>
      <c r="F182" s="28" t="s">
        <v>6923</v>
      </c>
      <c r="G182" s="28" t="s">
        <v>1171</v>
      </c>
      <c r="H182" s="28">
        <v>96720</v>
      </c>
      <c r="I182" s="28">
        <v>19.713750000000001</v>
      </c>
      <c r="J182" s="28">
        <v>-155.01927800000001</v>
      </c>
      <c r="L182" s="61">
        <v>110013786698</v>
      </c>
      <c r="M182" s="28" t="s">
        <v>263</v>
      </c>
      <c r="N182" s="28">
        <v>4952</v>
      </c>
      <c r="O182" s="28" t="str">
        <f>IFERROR(VLOOKUP(N182, 'SIC &amp; NAICS Codes'!A:B, 2, FALSE), "")</f>
        <v>Sewerage Systems</v>
      </c>
      <c r="S182" s="28">
        <v>4.0064225000000002</v>
      </c>
      <c r="T182" s="315">
        <f>_xlfn.MAXIFS('Raw Period DMR Data'!$O:$O,'Raw Period DMR Data'!$A:$A,'Raw Annual DMR Data_2021-2024'!B997,'Raw Period DMR Data'!$C:$C,X182)/S182</f>
        <v>0</v>
      </c>
      <c r="U182" s="28" t="str">
        <f>+IF(COUNTIFS('Raw Period DMR Data'!$A:$A,B182, 'Raw Period DMR Data'!C:C,'Raw Annual DMR Data_2021-2024'!X997, 'Raw Period DMR Data'!M:M, "&gt;0")&gt;0,_xlfn.MAXIFS('Raw Period DMR Data'!M:M,'Raw Period DMR Data'!$A:$A,'Raw Annual DMR Data_2021-2024'!B997,'Raw Period DMR Data'!C:C,'Raw Annual DMR Data_2021-2024'!X997), "N/A - Period DMR Data Not Available")</f>
        <v>N/A - Period DMR Data Not Available</v>
      </c>
      <c r="V182" s="28" t="str" cm="1">
        <f t="array" ref="V182">IFERROR(INDEX('Raw Period DMR Data'!N:N,MATCH(1,(B182='Raw Period DMR Data'!$A:$A)*(U182='Raw Period DMR Data'!M:M)*(X182='Raw Period DMR Data'!C:C),0),1), "N/A")</f>
        <v>N/A</v>
      </c>
      <c r="W182" s="28" t="s">
        <v>1463</v>
      </c>
      <c r="X182" s="28" t="s">
        <v>7140</v>
      </c>
      <c r="Y182" s="28" t="s">
        <v>7249</v>
      </c>
      <c r="Z182" s="61">
        <v>20010000000216</v>
      </c>
      <c r="AA182" s="60"/>
      <c r="AC182" s="28" t="s">
        <v>263</v>
      </c>
    </row>
    <row r="183" spans="1:29" s="28" customFormat="1" x14ac:dyDescent="0.25">
      <c r="A183" s="61">
        <v>110013786698</v>
      </c>
      <c r="B183" s="28">
        <v>2024</v>
      </c>
      <c r="C183" s="68">
        <f t="shared" si="2"/>
        <v>45292</v>
      </c>
      <c r="D183" s="28" t="s">
        <v>6778</v>
      </c>
      <c r="E183" s="28" t="s">
        <v>6922</v>
      </c>
      <c r="F183" s="28" t="s">
        <v>6923</v>
      </c>
      <c r="G183" s="28" t="s">
        <v>1171</v>
      </c>
      <c r="H183" s="28">
        <v>96720</v>
      </c>
      <c r="I183" s="28">
        <v>19.713750000000001</v>
      </c>
      <c r="J183" s="28">
        <v>-155.01927800000001</v>
      </c>
      <c r="L183" s="61">
        <v>110013786698</v>
      </c>
      <c r="M183" s="28" t="s">
        <v>263</v>
      </c>
      <c r="N183" s="28">
        <v>4952</v>
      </c>
      <c r="O183" s="28" t="str">
        <f>IFERROR(VLOOKUP(N183, 'SIC &amp; NAICS Codes'!A:B, 2, FALSE), "")</f>
        <v>Sewerage Systems</v>
      </c>
      <c r="S183" s="28">
        <v>2.4024719750000001</v>
      </c>
      <c r="T183" s="315">
        <f>_xlfn.MAXIFS('Raw Period DMR Data'!$O:$O,'Raw Period DMR Data'!$A:$A,'Raw Annual DMR Data_2021-2024'!#REF!,'Raw Period DMR Data'!$C:$C,X183)/S183</f>
        <v>0</v>
      </c>
      <c r="U183" s="28" t="str">
        <f>+IF(COUNTIFS('Raw Period DMR Data'!$A:$A,B183,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3" s="28" t="str" cm="1">
        <f t="array" ref="V183">IFERROR(INDEX('Raw Period DMR Data'!N:N,MATCH(1,(B183='Raw Period DMR Data'!$A:$A)*(U183='Raw Period DMR Data'!M:M)*(X183='Raw Period DMR Data'!C:C),0),1), "N/A")</f>
        <v>N/A</v>
      </c>
      <c r="W183" s="28" t="s">
        <v>1463</v>
      </c>
      <c r="X183" s="28" t="s">
        <v>7140</v>
      </c>
      <c r="Y183" s="28" t="s">
        <v>7249</v>
      </c>
      <c r="Z183" s="61">
        <v>20010000000216</v>
      </c>
      <c r="AA183" s="60"/>
      <c r="AB183" s="28" t="s">
        <v>7355</v>
      </c>
      <c r="AC183" s="28" t="s">
        <v>263</v>
      </c>
    </row>
    <row r="184" spans="1:29" s="28" customFormat="1" x14ac:dyDescent="0.25">
      <c r="A184" s="61">
        <v>110013786698</v>
      </c>
      <c r="B184" s="28">
        <v>2021</v>
      </c>
      <c r="C184" s="68">
        <f t="shared" si="2"/>
        <v>44197</v>
      </c>
      <c r="D184" s="28" t="s">
        <v>6778</v>
      </c>
      <c r="E184" s="28" t="s">
        <v>6922</v>
      </c>
      <c r="F184" s="28" t="s">
        <v>6923</v>
      </c>
      <c r="G184" s="28" t="s">
        <v>1171</v>
      </c>
      <c r="H184" s="28">
        <v>96720</v>
      </c>
      <c r="I184" s="28">
        <v>19.713750000000001</v>
      </c>
      <c r="J184" s="28">
        <v>-155.01927800000001</v>
      </c>
      <c r="L184" s="61">
        <v>110013786698</v>
      </c>
      <c r="M184" s="28" t="s">
        <v>263</v>
      </c>
      <c r="N184" s="28">
        <v>4952</v>
      </c>
      <c r="O184" s="28" t="str">
        <f>IFERROR(VLOOKUP(N184, 'SIC &amp; NAICS Codes'!A:B, 2, FALSE), "")</f>
        <v>Sewerage Systems</v>
      </c>
      <c r="S184" s="28">
        <v>2.305765225</v>
      </c>
      <c r="T184" s="315">
        <f>_xlfn.MAXIFS('Raw Period DMR Data'!$O:$O,'Raw Period DMR Data'!$A:$A,'Raw Annual DMR Data_2021-2024'!#REF!,'Raw Period DMR Data'!$C:$C,X184)/S184</f>
        <v>0</v>
      </c>
      <c r="U184" s="28" t="str">
        <f>+IF(COUNTIFS('Raw Period DMR Data'!$A:$A,B184,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4" s="28" t="str" cm="1">
        <f t="array" ref="V184">IFERROR(INDEX('Raw Period DMR Data'!N:N,MATCH(1,(B184='Raw Period DMR Data'!$A:$A)*(U184='Raw Period DMR Data'!M:M)*(X184='Raw Period DMR Data'!C:C),0),1), "N/A")</f>
        <v>N/A</v>
      </c>
      <c r="W184" s="28" t="s">
        <v>1463</v>
      </c>
      <c r="X184" s="28" t="s">
        <v>7140</v>
      </c>
      <c r="Y184" s="28" t="s">
        <v>7249</v>
      </c>
      <c r="Z184" s="61">
        <v>20010000000216</v>
      </c>
      <c r="AB184" s="28" t="s">
        <v>7355</v>
      </c>
      <c r="AC184" s="28" t="s">
        <v>263</v>
      </c>
    </row>
    <row r="185" spans="1:29" s="28" customFormat="1" x14ac:dyDescent="0.25">
      <c r="A185" s="61">
        <v>110013786698</v>
      </c>
      <c r="B185" s="28">
        <v>2023</v>
      </c>
      <c r="C185" s="68">
        <f t="shared" si="2"/>
        <v>44927</v>
      </c>
      <c r="D185" s="28" t="s">
        <v>6778</v>
      </c>
      <c r="E185" s="28" t="s">
        <v>6922</v>
      </c>
      <c r="F185" s="28" t="s">
        <v>6923</v>
      </c>
      <c r="G185" s="28" t="s">
        <v>1171</v>
      </c>
      <c r="H185" s="28">
        <v>96720</v>
      </c>
      <c r="I185" s="28">
        <v>19.713750000000001</v>
      </c>
      <c r="J185" s="28">
        <v>-155.01927800000001</v>
      </c>
      <c r="L185" s="61">
        <v>110013786698</v>
      </c>
      <c r="M185" s="28" t="s">
        <v>263</v>
      </c>
      <c r="N185" s="28">
        <v>4952</v>
      </c>
      <c r="O185" s="28" t="str">
        <f>IFERROR(VLOOKUP(N185, 'SIC &amp; NAICS Codes'!A:B, 2, FALSE), "")</f>
        <v>Sewerage Systems</v>
      </c>
      <c r="S185" s="28">
        <v>2.2691548125000001</v>
      </c>
      <c r="T185" s="315">
        <f>_xlfn.MAXIFS('Raw Period DMR Data'!$O:$O,'Raw Period DMR Data'!$A:$A,'Raw Annual DMR Data_2021-2024'!#REF!,'Raw Period DMR Data'!$C:$C,X185)/S185</f>
        <v>0</v>
      </c>
      <c r="U185" s="28" t="str">
        <f>+IF(COUNTIFS('Raw Period DMR Data'!$A:$A,B185,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5" s="28" t="str" cm="1">
        <f t="array" ref="V185">IFERROR(INDEX('Raw Period DMR Data'!N:N,MATCH(1,(B185='Raw Period DMR Data'!$A:$A)*(U185='Raw Period DMR Data'!M:M)*(X185='Raw Period DMR Data'!C:C),0),1), "N/A")</f>
        <v>N/A</v>
      </c>
      <c r="W185" s="28" t="s">
        <v>1463</v>
      </c>
      <c r="X185" s="28" t="s">
        <v>7140</v>
      </c>
      <c r="Y185" s="28" t="s">
        <v>7249</v>
      </c>
      <c r="Z185" s="61">
        <v>20010000000216</v>
      </c>
      <c r="AA185" s="60"/>
      <c r="AB185" s="28" t="s">
        <v>7355</v>
      </c>
      <c r="AC185" s="28" t="s">
        <v>263</v>
      </c>
    </row>
    <row r="186" spans="1:29" s="28" customFormat="1" x14ac:dyDescent="0.25">
      <c r="A186" s="61">
        <v>110000732271</v>
      </c>
      <c r="B186" s="28">
        <v>2024</v>
      </c>
      <c r="C186" s="68">
        <f t="shared" si="2"/>
        <v>45292</v>
      </c>
      <c r="D186" s="28" t="s">
        <v>1163</v>
      </c>
      <c r="E186" s="28" t="s">
        <v>1865</v>
      </c>
      <c r="F186" s="28" t="s">
        <v>987</v>
      </c>
      <c r="G186" s="28" t="s">
        <v>324</v>
      </c>
      <c r="H186" s="28" t="s">
        <v>1866</v>
      </c>
      <c r="I186" s="28">
        <v>38.322221999999996</v>
      </c>
      <c r="J186" s="28">
        <v>-85.555000000000007</v>
      </c>
      <c r="L186" s="61">
        <v>110000732271</v>
      </c>
      <c r="M186" s="28" t="s">
        <v>263</v>
      </c>
      <c r="N186" s="28">
        <v>4952</v>
      </c>
      <c r="O186" s="28" t="str">
        <f>IFERROR(VLOOKUP(N186, 'SIC &amp; NAICS Codes'!A:B, 2, FALSE), "")</f>
        <v>Sewerage Systems</v>
      </c>
      <c r="S186" s="28">
        <v>19.444964375000001</v>
      </c>
      <c r="T186" s="315">
        <f>_xlfn.MAXIFS('Raw Period DMR Data'!$O:$O,'Raw Period DMR Data'!$A:$A,'Raw Annual DMR Data_2021-2024'!B912,'Raw Period DMR Data'!$C:$C,X186)/S186</f>
        <v>0</v>
      </c>
      <c r="U186" s="28" t="str">
        <f>+IF(COUNTIFS('Raw Period DMR Data'!$A:$A,B186, 'Raw Period DMR Data'!C:C,'Raw Annual DMR Data_2021-2024'!X912, 'Raw Period DMR Data'!M:M, "&gt;0")&gt;0,_xlfn.MAXIFS('Raw Period DMR Data'!M:M,'Raw Period DMR Data'!$A:$A,'Raw Annual DMR Data_2021-2024'!B912,'Raw Period DMR Data'!C:C,'Raw Annual DMR Data_2021-2024'!X912), "N/A - Period DMR Data Not Available")</f>
        <v>N/A - Period DMR Data Not Available</v>
      </c>
      <c r="V186" s="28" t="str" cm="1">
        <f t="array" ref="V186">IFERROR(INDEX('Raw Period DMR Data'!N:N,MATCH(1,(B186='Raw Period DMR Data'!$A:$A)*(U186='Raw Period DMR Data'!M:M)*(X186='Raw Period DMR Data'!C:C),0),1), "N/A")</f>
        <v>N/A</v>
      </c>
      <c r="W186" s="28" t="s">
        <v>1463</v>
      </c>
      <c r="X186" s="28" t="s">
        <v>1867</v>
      </c>
      <c r="Y186" s="28" t="s">
        <v>1868</v>
      </c>
      <c r="Z186" s="61">
        <v>5140101000441</v>
      </c>
      <c r="AA186" s="60"/>
      <c r="AB186" s="28" t="s">
        <v>7355</v>
      </c>
      <c r="AC186" s="28" t="s">
        <v>263</v>
      </c>
    </row>
    <row r="187" spans="1:29" s="28" customFormat="1" x14ac:dyDescent="0.25">
      <c r="A187" s="61">
        <v>110000732271</v>
      </c>
      <c r="B187" s="28">
        <v>2021</v>
      </c>
      <c r="C187" s="68">
        <f t="shared" si="2"/>
        <v>44197</v>
      </c>
      <c r="D187" s="28" t="s">
        <v>1163</v>
      </c>
      <c r="E187" s="28" t="s">
        <v>1865</v>
      </c>
      <c r="F187" s="28" t="s">
        <v>987</v>
      </c>
      <c r="G187" s="28" t="s">
        <v>324</v>
      </c>
      <c r="H187" s="28" t="s">
        <v>1866</v>
      </c>
      <c r="I187" s="28">
        <v>38.322221999999996</v>
      </c>
      <c r="J187" s="28">
        <v>-85.555000000000007</v>
      </c>
      <c r="L187" s="61">
        <v>110000732271</v>
      </c>
      <c r="M187" s="28" t="s">
        <v>263</v>
      </c>
      <c r="N187" s="28">
        <v>4952</v>
      </c>
      <c r="O187" s="28" t="str">
        <f>IFERROR(VLOOKUP(N187, 'SIC &amp; NAICS Codes'!A:B, 2, FALSE), "")</f>
        <v>Sewerage Systems</v>
      </c>
      <c r="S187" s="28">
        <v>14.702879812500001</v>
      </c>
      <c r="T187" s="315">
        <f>_xlfn.MAXIFS('Raw Period DMR Data'!$O:$O,'Raw Period DMR Data'!$A:$A,'Raw Annual DMR Data_2021-2024'!B921,'Raw Period DMR Data'!$C:$C,X187)/S187</f>
        <v>0</v>
      </c>
      <c r="U187" s="28" t="str">
        <f>+IF(COUNTIFS('Raw Period DMR Data'!$A:$A,B187, 'Raw Period DMR Data'!C:C,'Raw Annual DMR Data_2021-2024'!X921, 'Raw Period DMR Data'!M:M, "&gt;0")&gt;0,_xlfn.MAXIFS('Raw Period DMR Data'!M:M,'Raw Period DMR Data'!$A:$A,'Raw Annual DMR Data_2021-2024'!B921,'Raw Period DMR Data'!C:C,'Raw Annual DMR Data_2021-2024'!X921), "N/A - Period DMR Data Not Available")</f>
        <v>N/A - Period DMR Data Not Available</v>
      </c>
      <c r="V187" s="28" t="str" cm="1">
        <f t="array" ref="V187">IFERROR(INDEX('Raw Period DMR Data'!N:N,MATCH(1,(B187='Raw Period DMR Data'!$A:$A)*(U187='Raw Period DMR Data'!M:M)*(X187='Raw Period DMR Data'!C:C),0),1), "N/A")</f>
        <v>N/A</v>
      </c>
      <c r="W187" s="28" t="s">
        <v>1463</v>
      </c>
      <c r="X187" s="28" t="s">
        <v>1867</v>
      </c>
      <c r="Y187" s="28" t="s">
        <v>1868</v>
      </c>
      <c r="Z187" s="61">
        <v>5140101000441</v>
      </c>
      <c r="AB187" s="28" t="s">
        <v>7355</v>
      </c>
      <c r="AC187" s="28" t="s">
        <v>263</v>
      </c>
    </row>
    <row r="188" spans="1:29" s="28" customFormat="1" x14ac:dyDescent="0.25">
      <c r="A188" s="61">
        <v>110000732271</v>
      </c>
      <c r="B188" s="28">
        <v>2022</v>
      </c>
      <c r="C188" s="68">
        <f t="shared" si="2"/>
        <v>44562</v>
      </c>
      <c r="D188" s="28" t="s">
        <v>1163</v>
      </c>
      <c r="E188" s="28" t="s">
        <v>1865</v>
      </c>
      <c r="F188" s="28" t="s">
        <v>987</v>
      </c>
      <c r="G188" s="28" t="s">
        <v>324</v>
      </c>
      <c r="H188" s="28" t="s">
        <v>1866</v>
      </c>
      <c r="I188" s="28">
        <v>38.322221999999996</v>
      </c>
      <c r="J188" s="28">
        <v>-85.555000000000007</v>
      </c>
      <c r="L188" s="61">
        <v>110000732271</v>
      </c>
      <c r="M188" s="28" t="s">
        <v>263</v>
      </c>
      <c r="N188" s="28">
        <v>4952</v>
      </c>
      <c r="O188" s="28" t="str">
        <f>IFERROR(VLOOKUP(N188, 'SIC &amp; NAICS Codes'!A:B, 2, FALSE), "")</f>
        <v>Sewerage Systems</v>
      </c>
      <c r="S188" s="28">
        <v>0.14243522750000001</v>
      </c>
      <c r="T188" s="315">
        <f>_xlfn.MAXIFS('Raw Period DMR Data'!$O:$O,'Raw Period DMR Data'!$A:$A,'Raw Annual DMR Data_2021-2024'!#REF!,'Raw Period DMR Data'!$C:$C,X188)/S188</f>
        <v>0</v>
      </c>
      <c r="U188" s="28" t="str">
        <f>+IF(COUNTIFS('Raw Period DMR Data'!$A:$A,B188,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88" s="28" t="str" cm="1">
        <f t="array" ref="V188">IFERROR(INDEX('Raw Period DMR Data'!N:N,MATCH(1,(B188='Raw Period DMR Data'!$A:$A)*(U188='Raw Period DMR Data'!M:M)*(X188='Raw Period DMR Data'!C:C),0),1), "N/A")</f>
        <v>N/A</v>
      </c>
      <c r="W188" s="28" t="s">
        <v>1463</v>
      </c>
      <c r="X188" s="28" t="s">
        <v>1867</v>
      </c>
      <c r="Y188" s="28" t="s">
        <v>1868</v>
      </c>
      <c r="Z188" s="61">
        <v>5140101000441</v>
      </c>
      <c r="AA188" s="60"/>
      <c r="AB188" s="28" t="s">
        <v>7355</v>
      </c>
      <c r="AC188" s="28" t="s">
        <v>263</v>
      </c>
    </row>
    <row r="189" spans="1:29" s="28" customFormat="1" x14ac:dyDescent="0.25">
      <c r="A189" s="61">
        <v>110039994897</v>
      </c>
      <c r="B189" s="28">
        <v>2021</v>
      </c>
      <c r="C189" s="68">
        <f t="shared" si="2"/>
        <v>44197</v>
      </c>
      <c r="D189" s="28" t="s">
        <v>1172</v>
      </c>
      <c r="E189" s="28" t="s">
        <v>1884</v>
      </c>
      <c r="F189" s="28" t="s">
        <v>1173</v>
      </c>
      <c r="G189" s="28" t="s">
        <v>324</v>
      </c>
      <c r="H189" s="28">
        <v>42240</v>
      </c>
      <c r="I189" s="28">
        <v>36.803610999999997</v>
      </c>
      <c r="J189" s="28">
        <v>-87.516389000000004</v>
      </c>
      <c r="L189" s="61">
        <v>110039994897</v>
      </c>
      <c r="M189" s="28" t="s">
        <v>263</v>
      </c>
      <c r="N189" s="28">
        <v>4952</v>
      </c>
      <c r="O189" s="28" t="str">
        <f>IFERROR(VLOOKUP(N189, 'SIC &amp; NAICS Codes'!A:B, 2, FALSE), "")</f>
        <v>Sewerage Systems</v>
      </c>
      <c r="S189" s="28">
        <v>5.2207829749999997</v>
      </c>
      <c r="T189" s="315">
        <f>_xlfn.MAXIFS('Raw Period DMR Data'!$O:$O,'Raw Period DMR Data'!$A:$A,'Raw Annual DMR Data_2021-2024'!B978,'Raw Period DMR Data'!$C:$C,X189)/S189</f>
        <v>0</v>
      </c>
      <c r="U189" s="28" t="str">
        <f>+IF(COUNTIFS('Raw Period DMR Data'!$A:$A,B189, 'Raw Period DMR Data'!C:C,'Raw Annual DMR Data_2021-2024'!X978, 'Raw Period DMR Data'!M:M, "&gt;0")&gt;0,_xlfn.MAXIFS('Raw Period DMR Data'!M:M,'Raw Period DMR Data'!$A:$A,'Raw Annual DMR Data_2021-2024'!B978,'Raw Period DMR Data'!C:C,'Raw Annual DMR Data_2021-2024'!X978), "N/A - Period DMR Data Not Available")</f>
        <v>N/A - Period DMR Data Not Available</v>
      </c>
      <c r="V189" s="28" t="str" cm="1">
        <f t="array" ref="V189">IFERROR(INDEX('Raw Period DMR Data'!N:N,MATCH(1,(B189='Raw Period DMR Data'!$A:$A)*(U189='Raw Period DMR Data'!M:M)*(X189='Raw Period DMR Data'!C:C),0),1), "N/A")</f>
        <v>N/A</v>
      </c>
      <c r="W189" s="28" t="s">
        <v>1463</v>
      </c>
      <c r="X189" s="28" t="s">
        <v>1885</v>
      </c>
      <c r="Y189" s="28" t="s">
        <v>1886</v>
      </c>
      <c r="Z189" s="61">
        <v>5130205000237</v>
      </c>
      <c r="AB189" s="28" t="s">
        <v>7355</v>
      </c>
      <c r="AC189" s="28" t="s">
        <v>263</v>
      </c>
    </row>
    <row r="190" spans="1:29" s="28" customFormat="1" x14ac:dyDescent="0.25">
      <c r="A190" s="61">
        <v>110039994897</v>
      </c>
      <c r="B190" s="28">
        <v>2024</v>
      </c>
      <c r="C190" s="68">
        <f t="shared" si="2"/>
        <v>45292</v>
      </c>
      <c r="D190" s="28" t="s">
        <v>1172</v>
      </c>
      <c r="E190" s="28" t="s">
        <v>1884</v>
      </c>
      <c r="F190" s="28" t="s">
        <v>1173</v>
      </c>
      <c r="G190" s="28" t="s">
        <v>324</v>
      </c>
      <c r="H190" s="28">
        <v>42240</v>
      </c>
      <c r="I190" s="28">
        <v>36.803610999999997</v>
      </c>
      <c r="J190" s="28">
        <v>-87.516389000000004</v>
      </c>
      <c r="L190" s="61">
        <v>110039994897</v>
      </c>
      <c r="M190" s="28" t="s">
        <v>263</v>
      </c>
      <c r="N190" s="28">
        <v>4952</v>
      </c>
      <c r="O190" s="28" t="str">
        <f>IFERROR(VLOOKUP(N190, 'SIC &amp; NAICS Codes'!A:B, 2, FALSE), "")</f>
        <v>Sewerage Systems</v>
      </c>
      <c r="S190" s="28">
        <v>4.1321412750000004</v>
      </c>
      <c r="T190" s="315">
        <f>_xlfn.MAXIFS('Raw Period DMR Data'!$O:$O,'Raw Period DMR Data'!$A:$A,'Raw Annual DMR Data_2021-2024'!B991,'Raw Period DMR Data'!$C:$C,X190)/S190</f>
        <v>0</v>
      </c>
      <c r="U190" s="28" t="str">
        <f>+IF(COUNTIFS('Raw Period DMR Data'!$A:$A,B190, 'Raw Period DMR Data'!C:C,'Raw Annual DMR Data_2021-2024'!X991, 'Raw Period DMR Data'!M:M, "&gt;0")&gt;0,_xlfn.MAXIFS('Raw Period DMR Data'!M:M,'Raw Period DMR Data'!$A:$A,'Raw Annual DMR Data_2021-2024'!B991,'Raw Period DMR Data'!C:C,'Raw Annual DMR Data_2021-2024'!X991), "N/A - Period DMR Data Not Available")</f>
        <v>N/A - Period DMR Data Not Available</v>
      </c>
      <c r="V190" s="28" t="str" cm="1">
        <f t="array" ref="V190">IFERROR(INDEX('Raw Period DMR Data'!N:N,MATCH(1,(B190='Raw Period DMR Data'!$A:$A)*(U190='Raw Period DMR Data'!M:M)*(X190='Raw Period DMR Data'!C:C),0),1), "N/A")</f>
        <v>N/A</v>
      </c>
      <c r="W190" s="28" t="s">
        <v>1463</v>
      </c>
      <c r="X190" s="28" t="s">
        <v>1885</v>
      </c>
      <c r="Y190" s="28" t="s">
        <v>1886</v>
      </c>
      <c r="Z190" s="61">
        <v>5130205000237</v>
      </c>
      <c r="AA190" s="60"/>
      <c r="AB190" s="28" t="s">
        <v>7355</v>
      </c>
      <c r="AC190" s="28" t="s">
        <v>263</v>
      </c>
    </row>
    <row r="191" spans="1:29" s="28" customFormat="1" x14ac:dyDescent="0.25">
      <c r="A191" s="61">
        <v>110006749162</v>
      </c>
      <c r="B191" s="28">
        <v>2021</v>
      </c>
      <c r="C191" s="68">
        <f t="shared" si="2"/>
        <v>44197</v>
      </c>
      <c r="D191" s="28" t="s">
        <v>1188</v>
      </c>
      <c r="E191" s="28" t="s">
        <v>1917</v>
      </c>
      <c r="F191" s="28" t="s">
        <v>1189</v>
      </c>
      <c r="G191" s="28" t="s">
        <v>324</v>
      </c>
      <c r="H191" s="28">
        <v>40336</v>
      </c>
      <c r="I191" s="28">
        <v>37.700833000000003</v>
      </c>
      <c r="J191" s="28">
        <v>-83.984443999999996</v>
      </c>
      <c r="L191" s="61">
        <v>110006749162</v>
      </c>
      <c r="M191" s="28" t="s">
        <v>263</v>
      </c>
      <c r="N191" s="28">
        <v>8711</v>
      </c>
      <c r="O191" s="28" t="str">
        <f>IFERROR(VLOOKUP(N191, 'SIC &amp; NAICS Codes'!A:B, 2, FALSE), "")</f>
        <v>Engineering Services</v>
      </c>
      <c r="S191" s="28">
        <v>0.58231278750000004</v>
      </c>
      <c r="T191" s="315">
        <f>_xlfn.MAXIFS('Raw Period DMR Data'!$O:$O,'Raw Period DMR Data'!$A:$A,'Raw Annual DMR Data_2021-2024'!#REF!,'Raw Period DMR Data'!$C:$C,X191)/S191</f>
        <v>0</v>
      </c>
      <c r="U191" s="28" t="str">
        <f>+IF(COUNTIFS('Raw Period DMR Data'!$A:$A,B191,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1" s="28" t="str" cm="1">
        <f t="array" ref="V191">IFERROR(INDEX('Raw Period DMR Data'!N:N,MATCH(1,(B191='Raw Period DMR Data'!$A:$A)*(U191='Raw Period DMR Data'!M:M)*(X191='Raw Period DMR Data'!C:C),0),1), "N/A")</f>
        <v>N/A</v>
      </c>
      <c r="W191" s="28" t="s">
        <v>1463</v>
      </c>
      <c r="X191" s="28" t="s">
        <v>1918</v>
      </c>
      <c r="Y191" s="28" t="s">
        <v>1592</v>
      </c>
      <c r="Z191" s="61">
        <v>5100204000012</v>
      </c>
      <c r="AB191" s="28" t="s">
        <v>7355</v>
      </c>
      <c r="AC191" s="28" t="s">
        <v>263</v>
      </c>
    </row>
    <row r="192" spans="1:29" s="28" customFormat="1" x14ac:dyDescent="0.25">
      <c r="A192" s="61">
        <v>110011373637</v>
      </c>
      <c r="B192" s="28">
        <v>2021</v>
      </c>
      <c r="C192" s="68">
        <f t="shared" si="2"/>
        <v>44197</v>
      </c>
      <c r="D192" s="28" t="s">
        <v>6877</v>
      </c>
      <c r="E192" s="28" t="s">
        <v>7051</v>
      </c>
      <c r="F192" s="28" t="s">
        <v>7052</v>
      </c>
      <c r="G192" s="28" t="s">
        <v>366</v>
      </c>
      <c r="H192" s="28">
        <v>95642</v>
      </c>
      <c r="I192" s="28">
        <v>38.333300000000001</v>
      </c>
      <c r="J192" s="28">
        <v>-120.7833</v>
      </c>
      <c r="L192" s="61">
        <v>110011373637</v>
      </c>
      <c r="M192" s="28" t="s">
        <v>263</v>
      </c>
      <c r="N192" s="28">
        <v>4952</v>
      </c>
      <c r="O192" s="28" t="str">
        <f>IFERROR(VLOOKUP(N192, 'SIC &amp; NAICS Codes'!A:B, 2, FALSE), "")</f>
        <v>Sewerage Systems</v>
      </c>
      <c r="S192" s="28">
        <v>9.1007751200000001E-2</v>
      </c>
      <c r="T192" s="315">
        <f>_xlfn.MAXIFS('Raw Period DMR Data'!$O:$O,'Raw Period DMR Data'!$A:$A,'Raw Annual DMR Data_2021-2024'!#REF!,'Raw Period DMR Data'!$C:$C,X192)/S192</f>
        <v>0</v>
      </c>
      <c r="U192" s="28" t="str">
        <f>+IF(COUNTIFS('Raw Period DMR Data'!$A:$A,B192,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2" s="28" t="str" cm="1">
        <f t="array" ref="V192">IFERROR(INDEX('Raw Period DMR Data'!N:N,MATCH(1,(B192='Raw Period DMR Data'!$A:$A)*(U192='Raw Period DMR Data'!M:M)*(X192='Raw Period DMR Data'!C:C),0),1), "N/A")</f>
        <v>N/A</v>
      </c>
      <c r="W192" s="28" t="s">
        <v>1463</v>
      </c>
      <c r="X192" s="28" t="s">
        <v>7205</v>
      </c>
      <c r="Y192" s="28" t="s">
        <v>7305</v>
      </c>
      <c r="Z192" s="61">
        <v>18040012000981</v>
      </c>
      <c r="AA192" s="60"/>
      <c r="AB192" s="28" t="s">
        <v>7355</v>
      </c>
      <c r="AC192" s="28" t="s">
        <v>263</v>
      </c>
    </row>
    <row r="193" spans="1:29" s="28" customFormat="1" x14ac:dyDescent="0.25">
      <c r="A193" s="61">
        <v>110009933402</v>
      </c>
      <c r="B193" s="28">
        <v>2021</v>
      </c>
      <c r="C193" s="68">
        <f t="shared" si="2"/>
        <v>44197</v>
      </c>
      <c r="D193" s="28" t="s">
        <v>1194</v>
      </c>
      <c r="E193" s="28" t="s">
        <v>1929</v>
      </c>
      <c r="F193" s="28" t="s">
        <v>1195</v>
      </c>
      <c r="G193" s="28" t="s">
        <v>324</v>
      </c>
      <c r="H193" s="28">
        <v>40004</v>
      </c>
      <c r="I193" s="28">
        <v>37.780760000000001</v>
      </c>
      <c r="J193" s="28">
        <v>-85.510740999999996</v>
      </c>
      <c r="L193" s="61">
        <v>110009933402</v>
      </c>
      <c r="M193" s="28" t="s">
        <v>263</v>
      </c>
      <c r="N193" s="28">
        <v>4952</v>
      </c>
      <c r="O193" s="28" t="str">
        <f>IFERROR(VLOOKUP(N193, 'SIC &amp; NAICS Codes'!A:B, 2, FALSE), "")</f>
        <v>Sewerage Systems</v>
      </c>
      <c r="S193" s="28">
        <v>1.6219103500000001</v>
      </c>
      <c r="T193" s="315">
        <f>_xlfn.MAXIFS('Raw Period DMR Data'!$O:$O,'Raw Period DMR Data'!$A:$A,'Raw Annual DMR Data_2021-2024'!#REF!,'Raw Period DMR Data'!$C:$C,X193)/S193</f>
        <v>0</v>
      </c>
      <c r="U193" s="28" t="str">
        <f>+IF(COUNTIFS('Raw Period DMR Data'!$A:$A,B193,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3" s="28" t="str" cm="1">
        <f t="array" ref="V193">IFERROR(INDEX('Raw Period DMR Data'!N:N,MATCH(1,(B193='Raw Period DMR Data'!$A:$A)*(U193='Raw Period DMR Data'!M:M)*(X193='Raw Period DMR Data'!C:C),0),1), "N/A")</f>
        <v>N/A</v>
      </c>
      <c r="W193" s="28" t="s">
        <v>1463</v>
      </c>
      <c r="X193" s="28" t="s">
        <v>1930</v>
      </c>
      <c r="Y193" s="28" t="s">
        <v>1931</v>
      </c>
      <c r="Z193" s="61">
        <v>5140103000201</v>
      </c>
      <c r="AB193" s="28" t="s">
        <v>7355</v>
      </c>
      <c r="AC193" s="28" t="s">
        <v>263</v>
      </c>
    </row>
    <row r="194" spans="1:29" s="28" customFormat="1" x14ac:dyDescent="0.25">
      <c r="A194" s="61">
        <v>110002108059</v>
      </c>
      <c r="B194" s="28">
        <v>2024</v>
      </c>
      <c r="C194" s="68">
        <f t="shared" ref="C194:C257" si="3">DATE(B194, 1, 1)</f>
        <v>45292</v>
      </c>
      <c r="D194" s="28" t="s">
        <v>1206</v>
      </c>
      <c r="E194" s="28" t="s">
        <v>1947</v>
      </c>
      <c r="F194" s="28" t="s">
        <v>1207</v>
      </c>
      <c r="G194" s="28" t="s">
        <v>324</v>
      </c>
      <c r="H194" s="28">
        <v>40031</v>
      </c>
      <c r="I194" s="28">
        <v>38.391995999999999</v>
      </c>
      <c r="J194" s="28">
        <v>-85.416021999999998</v>
      </c>
      <c r="L194" s="61">
        <v>110002108059</v>
      </c>
      <c r="M194" s="28" t="s">
        <v>263</v>
      </c>
      <c r="N194" s="28">
        <v>9223</v>
      </c>
      <c r="O194" s="28" t="str">
        <f>IFERROR(VLOOKUP(N194, 'SIC &amp; NAICS Codes'!A:B, 2, FALSE), "")</f>
        <v>Correctional Institutions</v>
      </c>
      <c r="S194" s="28">
        <v>2.4625683125000002</v>
      </c>
      <c r="T194" s="315">
        <f>_xlfn.MAXIFS('Raw Period DMR Data'!$O:$O,'Raw Period DMR Data'!$A:$A,'Raw Annual DMR Data_2021-2024'!#REF!,'Raw Period DMR Data'!$C:$C,X194)/S194</f>
        <v>0</v>
      </c>
      <c r="U194" s="28" t="str">
        <f>+IF(COUNTIFS('Raw Period DMR Data'!$A:$A,B194,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4" s="28" t="str" cm="1">
        <f t="array" ref="V194">IFERROR(INDEX('Raw Period DMR Data'!N:N,MATCH(1,(B194='Raw Period DMR Data'!$A:$A)*(U194='Raw Period DMR Data'!M:M)*(X194='Raw Period DMR Data'!C:C),0),1), "N/A")</f>
        <v>N/A</v>
      </c>
      <c r="W194" s="28" t="s">
        <v>1463</v>
      </c>
      <c r="X194" s="28" t="s">
        <v>1948</v>
      </c>
      <c r="Y194" s="28" t="s">
        <v>1949</v>
      </c>
      <c r="Z194" s="61">
        <v>5140101000459</v>
      </c>
      <c r="AA194" s="60"/>
      <c r="AB194" s="28" t="s">
        <v>7355</v>
      </c>
      <c r="AC194" s="28" t="s">
        <v>263</v>
      </c>
    </row>
    <row r="195" spans="1:29" s="28" customFormat="1" x14ac:dyDescent="0.25">
      <c r="A195" s="61">
        <v>110002108059</v>
      </c>
      <c r="B195" s="28">
        <v>2023</v>
      </c>
      <c r="C195" s="68">
        <f t="shared" si="3"/>
        <v>44927</v>
      </c>
      <c r="D195" s="28" t="s">
        <v>1206</v>
      </c>
      <c r="E195" s="28" t="s">
        <v>1947</v>
      </c>
      <c r="F195" s="28" t="s">
        <v>1207</v>
      </c>
      <c r="G195" s="28" t="s">
        <v>324</v>
      </c>
      <c r="H195" s="28">
        <v>40031</v>
      </c>
      <c r="I195" s="28">
        <v>38.391995999999999</v>
      </c>
      <c r="J195" s="28">
        <v>-85.416021999999998</v>
      </c>
      <c r="L195" s="61">
        <v>110002108059</v>
      </c>
      <c r="M195" s="28" t="s">
        <v>263</v>
      </c>
      <c r="N195" s="28">
        <v>9223</v>
      </c>
      <c r="O195" s="28" t="str">
        <f>IFERROR(VLOOKUP(N195, 'SIC &amp; NAICS Codes'!A:B, 2, FALSE), "")</f>
        <v>Correctional Institutions</v>
      </c>
      <c r="S195" s="28">
        <v>1.7752596249999999</v>
      </c>
      <c r="T195" s="315">
        <f>_xlfn.MAXIFS('Raw Period DMR Data'!$O:$O,'Raw Period DMR Data'!$A:$A,'Raw Annual DMR Data_2021-2024'!#REF!,'Raw Period DMR Data'!$C:$C,X195)/S195</f>
        <v>0</v>
      </c>
      <c r="U195" s="28" t="str">
        <f>+IF(COUNTIFS('Raw Period DMR Data'!$A:$A,B195,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5" s="28" t="str" cm="1">
        <f t="array" ref="V195">IFERROR(INDEX('Raw Period DMR Data'!N:N,MATCH(1,(B195='Raw Period DMR Data'!$A:$A)*(U195='Raw Period DMR Data'!M:M)*(X195='Raw Period DMR Data'!C:C),0),1), "N/A")</f>
        <v>N/A</v>
      </c>
      <c r="W195" s="28" t="s">
        <v>1463</v>
      </c>
      <c r="X195" s="28" t="s">
        <v>1948</v>
      </c>
      <c r="Y195" s="28" t="s">
        <v>1949</v>
      </c>
      <c r="Z195" s="61" t="s">
        <v>1950</v>
      </c>
      <c r="AA195" s="60"/>
      <c r="AB195" s="28" t="s">
        <v>7355</v>
      </c>
      <c r="AC195" s="28" t="s">
        <v>263</v>
      </c>
    </row>
    <row r="196" spans="1:29" s="28" customFormat="1" x14ac:dyDescent="0.25">
      <c r="A196" s="61">
        <v>110039705049</v>
      </c>
      <c r="B196" s="28">
        <v>2021</v>
      </c>
      <c r="C196" s="68">
        <f t="shared" si="3"/>
        <v>44197</v>
      </c>
      <c r="D196" s="28" t="s">
        <v>6856</v>
      </c>
      <c r="E196" s="28" t="s">
        <v>7016</v>
      </c>
      <c r="F196" s="28" t="s">
        <v>7017</v>
      </c>
      <c r="G196" s="28" t="s">
        <v>324</v>
      </c>
      <c r="H196" s="28">
        <v>40444</v>
      </c>
      <c r="I196" s="28">
        <v>37.616959999999999</v>
      </c>
      <c r="J196" s="28">
        <v>-84.585099999999997</v>
      </c>
      <c r="L196" s="61">
        <v>110039705049</v>
      </c>
      <c r="M196" s="28" t="s">
        <v>263</v>
      </c>
      <c r="N196" s="28">
        <v>4952</v>
      </c>
      <c r="O196" s="28" t="str">
        <f>IFERROR(VLOOKUP(N196, 'SIC &amp; NAICS Codes'!A:B, 2, FALSE), "")</f>
        <v>Sewerage Systems</v>
      </c>
      <c r="S196" s="28">
        <v>3.2700696749999998</v>
      </c>
      <c r="T196" s="315">
        <f>_xlfn.MAXIFS('Raw Period DMR Data'!$O:$O,'Raw Period DMR Data'!$A:$A,'Raw Annual DMR Data_2021-2024'!#REF!,'Raw Period DMR Data'!$C:$C,X196)/S196</f>
        <v>0</v>
      </c>
      <c r="U196" s="28" t="str">
        <f>+IF(COUNTIFS('Raw Period DMR Data'!$A:$A,B196,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6" s="28" t="str" cm="1">
        <f t="array" ref="V196">IFERROR(INDEX('Raw Period DMR Data'!N:N,MATCH(1,(B196='Raw Period DMR Data'!$A:$A)*(U196='Raw Period DMR Data'!M:M)*(X196='Raw Period DMR Data'!C:C),0),1), "N/A")</f>
        <v>N/A</v>
      </c>
      <c r="W196" s="28" t="s">
        <v>1463</v>
      </c>
      <c r="X196" s="28" t="s">
        <v>7187</v>
      </c>
      <c r="Y196" s="28" t="s">
        <v>7294</v>
      </c>
      <c r="Z196" s="61">
        <v>5100205001067</v>
      </c>
      <c r="AA196" s="60"/>
      <c r="AB196" s="28" t="s">
        <v>7355</v>
      </c>
      <c r="AC196" s="28" t="s">
        <v>263</v>
      </c>
    </row>
    <row r="197" spans="1:29" s="28" customFormat="1" x14ac:dyDescent="0.25">
      <c r="A197" s="61">
        <v>110010059649</v>
      </c>
      <c r="B197" s="28">
        <v>2024</v>
      </c>
      <c r="C197" s="68">
        <f t="shared" si="3"/>
        <v>45292</v>
      </c>
      <c r="D197" s="28" t="s">
        <v>6815</v>
      </c>
      <c r="E197" s="28" t="s">
        <v>6968</v>
      </c>
      <c r="F197" s="28" t="s">
        <v>6969</v>
      </c>
      <c r="G197" s="28" t="s">
        <v>366</v>
      </c>
      <c r="H197" s="28">
        <v>95551</v>
      </c>
      <c r="I197" s="28">
        <v>40.638300000000001</v>
      </c>
      <c r="J197" s="28">
        <v>-124.22553000000001</v>
      </c>
      <c r="L197" s="61">
        <v>110010059649</v>
      </c>
      <c r="M197" s="28" t="s">
        <v>263</v>
      </c>
      <c r="N197" s="28">
        <v>4952</v>
      </c>
      <c r="O197" s="28" t="str">
        <f>IFERROR(VLOOKUP(N197, 'SIC &amp; NAICS Codes'!A:B, 2, FALSE), "")</f>
        <v>Sewerage Systems</v>
      </c>
      <c r="S197" s="28">
        <v>6.2753010075000004</v>
      </c>
      <c r="T197" s="315">
        <f>_xlfn.MAXIFS('Raw Period DMR Data'!$O:$O,'Raw Period DMR Data'!$A:$A,'Raw Annual DMR Data_2021-2024'!B970,'Raw Period DMR Data'!$C:$C,X197)/S197</f>
        <v>0</v>
      </c>
      <c r="U197" s="28" t="str">
        <f>+IF(COUNTIFS('Raw Period DMR Data'!$A:$A,B197, 'Raw Period DMR Data'!C:C,'Raw Annual DMR Data_2021-2024'!X970, 'Raw Period DMR Data'!M:M, "&gt;0")&gt;0,_xlfn.MAXIFS('Raw Period DMR Data'!M:M,'Raw Period DMR Data'!$A:$A,'Raw Annual DMR Data_2021-2024'!B970,'Raw Period DMR Data'!C:C,'Raw Annual DMR Data_2021-2024'!X970), "N/A - Period DMR Data Not Available")</f>
        <v>N/A - Period DMR Data Not Available</v>
      </c>
      <c r="V197" s="28" t="str" cm="1">
        <f t="array" ref="V197">IFERROR(INDEX('Raw Period DMR Data'!N:N,MATCH(1,(B197='Raw Period DMR Data'!$A:$A)*(U197='Raw Period DMR Data'!M:M)*(X197='Raw Period DMR Data'!C:C),0),1), "N/A")</f>
        <v>N/A</v>
      </c>
      <c r="W197" s="28" t="s">
        <v>1463</v>
      </c>
      <c r="X197" s="28" t="s">
        <v>7161</v>
      </c>
      <c r="Y197" s="28" t="s">
        <v>7272</v>
      </c>
      <c r="Z197" s="61">
        <v>18010105000712</v>
      </c>
      <c r="AA197" s="60"/>
      <c r="AC197" s="28" t="s">
        <v>263</v>
      </c>
    </row>
    <row r="198" spans="1:29" s="28" customFormat="1" x14ac:dyDescent="0.25">
      <c r="A198" s="61">
        <v>110010059649</v>
      </c>
      <c r="B198" s="28">
        <v>2022</v>
      </c>
      <c r="C198" s="68">
        <f t="shared" si="3"/>
        <v>44562</v>
      </c>
      <c r="D198" s="28" t="s">
        <v>6815</v>
      </c>
      <c r="E198" s="28" t="s">
        <v>6968</v>
      </c>
      <c r="F198" s="28" t="s">
        <v>6969</v>
      </c>
      <c r="G198" s="28" t="s">
        <v>366</v>
      </c>
      <c r="H198" s="28">
        <v>95551</v>
      </c>
      <c r="I198" s="28">
        <v>40.638300000000001</v>
      </c>
      <c r="J198" s="28">
        <v>-124.22553000000001</v>
      </c>
      <c r="L198" s="61">
        <v>110010059649</v>
      </c>
      <c r="M198" s="28" t="s">
        <v>263</v>
      </c>
      <c r="N198" s="28">
        <v>4952</v>
      </c>
      <c r="O198" s="28" t="str">
        <f>IFERROR(VLOOKUP(N198, 'SIC &amp; NAICS Codes'!A:B, 2, FALSE), "")</f>
        <v>Sewerage Systems</v>
      </c>
      <c r="S198" s="28">
        <v>6.8385487499999995E-2</v>
      </c>
      <c r="T198" s="315">
        <f>_xlfn.MAXIFS('Raw Period DMR Data'!$O:$O,'Raw Period DMR Data'!$A:$A,'Raw Annual DMR Data_2021-2024'!#REF!,'Raw Period DMR Data'!$C:$C,X198)/S198</f>
        <v>0</v>
      </c>
      <c r="U198" s="28" t="str">
        <f>+IF(COUNTIFS('Raw Period DMR Data'!$A:$A,B198,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8" s="28" t="str" cm="1">
        <f t="array" ref="V198">IFERROR(INDEX('Raw Period DMR Data'!N:N,MATCH(1,(B198='Raw Period DMR Data'!$A:$A)*(U198='Raw Period DMR Data'!M:M)*(X198='Raw Period DMR Data'!C:C),0),1), "N/A")</f>
        <v>N/A</v>
      </c>
      <c r="W198" s="28" t="s">
        <v>1463</v>
      </c>
      <c r="X198" s="28" t="s">
        <v>7161</v>
      </c>
      <c r="Y198" s="28" t="s">
        <v>7272</v>
      </c>
      <c r="Z198" s="61">
        <v>18010105000712</v>
      </c>
      <c r="AA198" s="60"/>
      <c r="AB198" s="28" t="s">
        <v>7355</v>
      </c>
      <c r="AC198" s="28" t="s">
        <v>263</v>
      </c>
    </row>
    <row r="199" spans="1:29" s="28" customFormat="1" x14ac:dyDescent="0.25">
      <c r="A199" s="61">
        <v>110010059649</v>
      </c>
      <c r="B199" s="28">
        <v>2023</v>
      </c>
      <c r="C199" s="68">
        <f t="shared" si="3"/>
        <v>44927</v>
      </c>
      <c r="D199" s="28" t="s">
        <v>6815</v>
      </c>
      <c r="E199" s="28" t="s">
        <v>6968</v>
      </c>
      <c r="F199" s="28" t="s">
        <v>6969</v>
      </c>
      <c r="G199" s="28" t="s">
        <v>366</v>
      </c>
      <c r="H199" s="28">
        <v>95551</v>
      </c>
      <c r="I199" s="28">
        <v>40.638300000000001</v>
      </c>
      <c r="J199" s="28">
        <v>-124.22553000000001</v>
      </c>
      <c r="L199" s="61">
        <v>110010059649</v>
      </c>
      <c r="M199" s="28" t="s">
        <v>263</v>
      </c>
      <c r="N199" s="28">
        <v>4952</v>
      </c>
      <c r="O199" s="28" t="str">
        <f>IFERROR(VLOOKUP(N199, 'SIC &amp; NAICS Codes'!A:B, 2, FALSE), "")</f>
        <v>Sewerage Systems</v>
      </c>
      <c r="S199" s="28">
        <v>2.363789275E-2</v>
      </c>
      <c r="T199" s="315">
        <f>_xlfn.MAXIFS('Raw Period DMR Data'!$O:$O,'Raw Period DMR Data'!$A:$A,'Raw Annual DMR Data_2021-2024'!#REF!,'Raw Period DMR Data'!$C:$C,X199)/S199</f>
        <v>0</v>
      </c>
      <c r="U199" s="28" t="str">
        <f>+IF(COUNTIFS('Raw Period DMR Data'!$A:$A,B199,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99" s="28" t="str" cm="1">
        <f t="array" ref="V199">IFERROR(INDEX('Raw Period DMR Data'!N:N,MATCH(1,(B199='Raw Period DMR Data'!$A:$A)*(U199='Raw Period DMR Data'!M:M)*(X199='Raw Period DMR Data'!C:C),0),1), "N/A")</f>
        <v>N/A</v>
      </c>
      <c r="W199" s="28" t="s">
        <v>1463</v>
      </c>
      <c r="X199" s="28" t="s">
        <v>7161</v>
      </c>
      <c r="Y199" s="28" t="s">
        <v>7272</v>
      </c>
      <c r="Z199" s="61">
        <v>18010105000712</v>
      </c>
      <c r="AA199" s="60"/>
      <c r="AB199" s="28" t="s">
        <v>7355</v>
      </c>
      <c r="AC199" s="28" t="s">
        <v>263</v>
      </c>
    </row>
    <row r="200" spans="1:29" s="28" customFormat="1" x14ac:dyDescent="0.25">
      <c r="A200" s="61">
        <v>110000557013</v>
      </c>
      <c r="B200" s="28">
        <v>2021</v>
      </c>
      <c r="C200" s="68">
        <f t="shared" si="3"/>
        <v>44197</v>
      </c>
      <c r="D200" s="28" t="s">
        <v>6800</v>
      </c>
      <c r="E200" s="28" t="s">
        <v>1966</v>
      </c>
      <c r="F200" s="28" t="s">
        <v>1215</v>
      </c>
      <c r="G200" s="28" t="s">
        <v>324</v>
      </c>
      <c r="H200" s="28" t="s">
        <v>1967</v>
      </c>
      <c r="I200" s="28">
        <v>37.106380000000001</v>
      </c>
      <c r="J200" s="28">
        <v>-84.066829999999996</v>
      </c>
      <c r="L200" s="61">
        <v>110000557013</v>
      </c>
      <c r="M200" s="28" t="s">
        <v>263</v>
      </c>
      <c r="N200" s="28">
        <v>4952</v>
      </c>
      <c r="O200" s="28" t="str">
        <f>IFERROR(VLOOKUP(N200, 'SIC &amp; NAICS Codes'!A:B, 2, FALSE), "")</f>
        <v>Sewerage Systems</v>
      </c>
      <c r="S200" s="28">
        <v>2.1586328125000001</v>
      </c>
      <c r="T200" s="315">
        <f>_xlfn.MAXIFS('Raw Period DMR Data'!$O:$O,'Raw Period DMR Data'!$A:$A,'Raw Annual DMR Data_2021-2024'!#REF!,'Raw Period DMR Data'!$C:$C,X200)/S200</f>
        <v>0</v>
      </c>
      <c r="U200" s="28" t="str">
        <f>+IF(COUNTIFS('Raw Period DMR Data'!$A:$A,B200,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0" s="28" t="str" cm="1">
        <f t="array" ref="V200">IFERROR(INDEX('Raw Period DMR Data'!N:N,MATCH(1,(B200='Raw Period DMR Data'!$A:$A)*(U200='Raw Period DMR Data'!M:M)*(X200='Raw Period DMR Data'!C:C),0),1), "N/A")</f>
        <v>N/A</v>
      </c>
      <c r="W200" s="28" t="s">
        <v>1463</v>
      </c>
      <c r="X200" s="28" t="s">
        <v>1968</v>
      </c>
      <c r="Y200" s="28" t="s">
        <v>1969</v>
      </c>
      <c r="Z200" s="61">
        <v>5130101001074</v>
      </c>
      <c r="AB200" s="28" t="s">
        <v>7355</v>
      </c>
      <c r="AC200" s="28" t="s">
        <v>263</v>
      </c>
    </row>
    <row r="201" spans="1:29" s="28" customFormat="1" x14ac:dyDescent="0.25">
      <c r="A201" s="61">
        <v>110002041380</v>
      </c>
      <c r="B201" s="28">
        <v>2021</v>
      </c>
      <c r="C201" s="68">
        <f t="shared" si="3"/>
        <v>44197</v>
      </c>
      <c r="D201" s="28" t="s">
        <v>1218</v>
      </c>
      <c r="E201" s="28" t="s">
        <v>1975</v>
      </c>
      <c r="F201" s="28" t="s">
        <v>1219</v>
      </c>
      <c r="G201" s="28" t="s">
        <v>324</v>
      </c>
      <c r="H201" s="28">
        <v>42431</v>
      </c>
      <c r="I201" s="28">
        <v>37.318492999999997</v>
      </c>
      <c r="J201" s="28">
        <v>-87.549857000000003</v>
      </c>
      <c r="L201" s="61">
        <v>110002041380</v>
      </c>
      <c r="M201" s="28" t="s">
        <v>263</v>
      </c>
      <c r="N201" s="28">
        <v>4952</v>
      </c>
      <c r="O201" s="28" t="str">
        <f>IFERROR(VLOOKUP(N201, 'SIC &amp; NAICS Codes'!A:B, 2, FALSE), "")</f>
        <v>Sewerage Systems</v>
      </c>
      <c r="S201" s="28">
        <v>19.372434312500001</v>
      </c>
      <c r="T201" s="315">
        <f>_xlfn.MAXIFS('Raw Period DMR Data'!$O:$O,'Raw Period DMR Data'!$A:$A,'Raw Annual DMR Data_2021-2024'!B913,'Raw Period DMR Data'!$C:$C,X201)/S201</f>
        <v>0</v>
      </c>
      <c r="U201" s="28" t="str">
        <f>+IF(COUNTIFS('Raw Period DMR Data'!$A:$A,B201, 'Raw Period DMR Data'!C:C,'Raw Annual DMR Data_2021-2024'!X913, 'Raw Period DMR Data'!M:M, "&gt;0")&gt;0,_xlfn.MAXIFS('Raw Period DMR Data'!M:M,'Raw Period DMR Data'!$A:$A,'Raw Annual DMR Data_2021-2024'!B913,'Raw Period DMR Data'!C:C,'Raw Annual DMR Data_2021-2024'!X913), "N/A - Period DMR Data Not Available")</f>
        <v>N/A - Period DMR Data Not Available</v>
      </c>
      <c r="V201" s="28" t="str" cm="1">
        <f t="array" ref="V201">IFERROR(INDEX('Raw Period DMR Data'!N:N,MATCH(1,(B201='Raw Period DMR Data'!$A:$A)*(U201='Raw Period DMR Data'!M:M)*(X201='Raw Period DMR Data'!C:C),0),1), "N/A")</f>
        <v>N/A</v>
      </c>
      <c r="W201" s="28" t="s">
        <v>1463</v>
      </c>
      <c r="X201" s="28" t="s">
        <v>1976</v>
      </c>
      <c r="Y201" s="28" t="s">
        <v>1977</v>
      </c>
      <c r="Z201" s="61">
        <v>5140205000228</v>
      </c>
      <c r="AB201" s="28" t="s">
        <v>7355</v>
      </c>
      <c r="AC201" s="28" t="s">
        <v>263</v>
      </c>
    </row>
    <row r="202" spans="1:29" s="28" customFormat="1" x14ac:dyDescent="0.25">
      <c r="A202" s="61">
        <v>110002041380</v>
      </c>
      <c r="B202" s="28">
        <v>2022</v>
      </c>
      <c r="C202" s="68">
        <f t="shared" si="3"/>
        <v>44562</v>
      </c>
      <c r="D202" s="28" t="s">
        <v>1218</v>
      </c>
      <c r="E202" s="28" t="s">
        <v>1975</v>
      </c>
      <c r="F202" s="28" t="s">
        <v>1219</v>
      </c>
      <c r="G202" s="28" t="s">
        <v>324</v>
      </c>
      <c r="H202" s="28">
        <v>42431</v>
      </c>
      <c r="I202" s="28">
        <v>37.318492999999997</v>
      </c>
      <c r="J202" s="28">
        <v>-87.549857000000003</v>
      </c>
      <c r="L202" s="61">
        <v>110002041380</v>
      </c>
      <c r="M202" s="28" t="s">
        <v>263</v>
      </c>
      <c r="N202" s="28">
        <v>4952</v>
      </c>
      <c r="O202" s="28" t="str">
        <f>IFERROR(VLOOKUP(N202, 'SIC &amp; NAICS Codes'!A:B, 2, FALSE), "")</f>
        <v>Sewerage Systems</v>
      </c>
      <c r="S202" s="28">
        <v>6.4088944750000003</v>
      </c>
      <c r="T202" s="315">
        <f>_xlfn.MAXIFS('Raw Period DMR Data'!$O:$O,'Raw Period DMR Data'!$A:$A,'Raw Annual DMR Data_2021-2024'!B969,'Raw Period DMR Data'!$C:$C,X202)/S202</f>
        <v>0</v>
      </c>
      <c r="U202" s="28" t="str">
        <f>+IF(COUNTIFS('Raw Period DMR Data'!$A:$A,B202, 'Raw Period DMR Data'!C:C,'Raw Annual DMR Data_2021-2024'!X969, 'Raw Period DMR Data'!M:M, "&gt;0")&gt;0,_xlfn.MAXIFS('Raw Period DMR Data'!M:M,'Raw Period DMR Data'!$A:$A,'Raw Annual DMR Data_2021-2024'!B969,'Raw Period DMR Data'!C:C,'Raw Annual DMR Data_2021-2024'!X969), "N/A - Period DMR Data Not Available")</f>
        <v>N/A - Period DMR Data Not Available</v>
      </c>
      <c r="V202" s="28" t="str" cm="1">
        <f t="array" ref="V202">IFERROR(INDEX('Raw Period DMR Data'!N:N,MATCH(1,(B202='Raw Period DMR Data'!$A:$A)*(U202='Raw Period DMR Data'!M:M)*(X202='Raw Period DMR Data'!C:C),0),1), "N/A")</f>
        <v>N/A</v>
      </c>
      <c r="W202" s="28" t="s">
        <v>1463</v>
      </c>
      <c r="X202" s="28" t="s">
        <v>1976</v>
      </c>
      <c r="Y202" s="28" t="s">
        <v>1977</v>
      </c>
      <c r="Z202" s="61">
        <v>5140205000228</v>
      </c>
      <c r="AA202" s="60"/>
      <c r="AB202" s="28" t="s">
        <v>7355</v>
      </c>
      <c r="AC202" s="28" t="s">
        <v>263</v>
      </c>
    </row>
    <row r="203" spans="1:29" s="28" customFormat="1" x14ac:dyDescent="0.25">
      <c r="A203" s="61">
        <v>110009938808</v>
      </c>
      <c r="B203" s="28">
        <v>2021</v>
      </c>
      <c r="C203" s="68">
        <f t="shared" si="3"/>
        <v>44197</v>
      </c>
      <c r="D203" s="28" t="s">
        <v>1222</v>
      </c>
      <c r="E203" s="28" t="s">
        <v>1983</v>
      </c>
      <c r="F203" s="28" t="s">
        <v>1223</v>
      </c>
      <c r="G203" s="28" t="s">
        <v>324</v>
      </c>
      <c r="H203" s="28">
        <v>40962</v>
      </c>
      <c r="I203" s="28">
        <v>37.177222</v>
      </c>
      <c r="J203" s="28">
        <v>-83.761388999999994</v>
      </c>
      <c r="L203" s="61">
        <v>110009938808</v>
      </c>
      <c r="M203" s="28" t="s">
        <v>263</v>
      </c>
      <c r="N203" s="28">
        <v>4952</v>
      </c>
      <c r="O203" s="28" t="str">
        <f>IFERROR(VLOOKUP(N203, 'SIC &amp; NAICS Codes'!A:B, 2, FALSE), "")</f>
        <v>Sewerage Systems</v>
      </c>
      <c r="S203" s="28">
        <v>2.8563029375000002</v>
      </c>
      <c r="T203" s="315">
        <f>_xlfn.MAXIFS('Raw Period DMR Data'!$O:$O,'Raw Period DMR Data'!$A:$A,'Raw Annual DMR Data_2021-2024'!#REF!,'Raw Period DMR Data'!$C:$C,X203)/S203</f>
        <v>0</v>
      </c>
      <c r="U203" s="28" t="str">
        <f>+IF(COUNTIFS('Raw Period DMR Data'!$A:$A,B203,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3" s="28" t="str" cm="1">
        <f t="array" ref="V203">IFERROR(INDEX('Raw Period DMR Data'!N:N,MATCH(1,(B203='Raw Period DMR Data'!$A:$A)*(U203='Raw Period DMR Data'!M:M)*(X203='Raw Period DMR Data'!C:C),0),1), "N/A")</f>
        <v>N/A</v>
      </c>
      <c r="W203" s="28" t="s">
        <v>1463</v>
      </c>
      <c r="X203" s="28" t="s">
        <v>1984</v>
      </c>
      <c r="Y203" s="28" t="s">
        <v>1721</v>
      </c>
      <c r="Z203" s="61">
        <v>5100203000072</v>
      </c>
      <c r="AA203" s="60"/>
      <c r="AB203" s="28" t="s">
        <v>7355</v>
      </c>
      <c r="AC203" s="28" t="s">
        <v>263</v>
      </c>
    </row>
    <row r="204" spans="1:29" s="28" customFormat="1" x14ac:dyDescent="0.25">
      <c r="A204" s="61">
        <v>110039801462</v>
      </c>
      <c r="B204" s="28">
        <v>2022</v>
      </c>
      <c r="C204" s="68">
        <f t="shared" si="3"/>
        <v>44562</v>
      </c>
      <c r="D204" s="28" t="s">
        <v>6864</v>
      </c>
      <c r="E204" s="28" t="s">
        <v>7028</v>
      </c>
      <c r="F204" s="28" t="s">
        <v>7029</v>
      </c>
      <c r="G204" s="28" t="s">
        <v>366</v>
      </c>
      <c r="H204" s="28">
        <v>95337</v>
      </c>
      <c r="I204" s="28">
        <v>37.795589999999997</v>
      </c>
      <c r="J204" s="28">
        <v>-121.26000999999999</v>
      </c>
      <c r="L204" s="61">
        <v>110039801462</v>
      </c>
      <c r="M204" s="28" t="s">
        <v>263</v>
      </c>
      <c r="N204" s="28">
        <v>4952</v>
      </c>
      <c r="O204" s="28" t="str">
        <f>IFERROR(VLOOKUP(N204, 'SIC &amp; NAICS Codes'!A:B, 2, FALSE), "")</f>
        <v>Sewerage Systems</v>
      </c>
      <c r="S204" s="28">
        <v>0.27096562666666602</v>
      </c>
      <c r="T204" s="315">
        <f>_xlfn.MAXIFS('Raw Period DMR Data'!$O:$O,'Raw Period DMR Data'!$A:$A,'Raw Annual DMR Data_2021-2024'!#REF!,'Raw Period DMR Data'!$C:$C,X204)/S204</f>
        <v>0</v>
      </c>
      <c r="U204" s="28" t="str">
        <f>+IF(COUNTIFS('Raw Period DMR Data'!$A:$A,B204,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4" s="28" t="str" cm="1">
        <f t="array" ref="V204">IFERROR(INDEX('Raw Period DMR Data'!N:N,MATCH(1,(B204='Raw Period DMR Data'!$A:$A)*(U204='Raw Period DMR Data'!M:M)*(X204='Raw Period DMR Data'!C:C),0),1), "N/A")</f>
        <v>N/A</v>
      </c>
      <c r="W204" s="28" t="s">
        <v>1463</v>
      </c>
      <c r="X204" s="28" t="s">
        <v>7194</v>
      </c>
      <c r="Y204" s="28" t="s">
        <v>7277</v>
      </c>
      <c r="Z204" s="61">
        <v>18040003005695</v>
      </c>
      <c r="AA204" s="60"/>
      <c r="AB204" s="28" t="s">
        <v>7355</v>
      </c>
      <c r="AC204" s="28" t="s">
        <v>263</v>
      </c>
    </row>
    <row r="205" spans="1:29" s="28" customFormat="1" x14ac:dyDescent="0.25">
      <c r="A205" s="61">
        <v>110064612557</v>
      </c>
      <c r="B205" s="28">
        <v>2021</v>
      </c>
      <c r="C205" s="68">
        <f t="shared" si="3"/>
        <v>44197</v>
      </c>
      <c r="D205" s="28" t="s">
        <v>1239</v>
      </c>
      <c r="E205" s="28" t="s">
        <v>2020</v>
      </c>
      <c r="F205" s="28" t="s">
        <v>1240</v>
      </c>
      <c r="G205" s="28" t="s">
        <v>324</v>
      </c>
      <c r="H205" s="28">
        <v>42437</v>
      </c>
      <c r="I205" s="28">
        <v>37.671391</v>
      </c>
      <c r="J205" s="28">
        <v>-87.828888000000006</v>
      </c>
      <c r="L205" s="61">
        <v>110064612557</v>
      </c>
      <c r="M205" s="28" t="s">
        <v>263</v>
      </c>
      <c r="N205" s="28">
        <v>4952</v>
      </c>
      <c r="O205" s="28" t="str">
        <f>IFERROR(VLOOKUP(N205, 'SIC &amp; NAICS Codes'!A:B, 2, FALSE), "")</f>
        <v>Sewerage Systems</v>
      </c>
      <c r="S205" s="28">
        <v>5.9543727500000001</v>
      </c>
      <c r="T205" s="315">
        <f>_xlfn.MAXIFS('Raw Period DMR Data'!$O:$O,'Raw Period DMR Data'!$A:$A,'Raw Annual DMR Data_2021-2024'!B971,'Raw Period DMR Data'!$C:$C,X205)/S205</f>
        <v>0</v>
      </c>
      <c r="U205" s="28" t="str">
        <f>+IF(COUNTIFS('Raw Period DMR Data'!$A:$A,B205, 'Raw Period DMR Data'!C:C,'Raw Annual DMR Data_2021-2024'!X971, 'Raw Period DMR Data'!M:M, "&gt;0")&gt;0,_xlfn.MAXIFS('Raw Period DMR Data'!M:M,'Raw Period DMR Data'!$A:$A,'Raw Annual DMR Data_2021-2024'!B971,'Raw Period DMR Data'!C:C,'Raw Annual DMR Data_2021-2024'!X971), "N/A - Period DMR Data Not Available")</f>
        <v>N/A - Period DMR Data Not Available</v>
      </c>
      <c r="V205" s="28" t="str" cm="1">
        <f t="array" ref="V205">IFERROR(INDEX('Raw Period DMR Data'!N:N,MATCH(1,(B205='Raw Period DMR Data'!$A:$A)*(U205='Raw Period DMR Data'!M:M)*(X205='Raw Period DMR Data'!C:C),0),1), "N/A")</f>
        <v>N/A</v>
      </c>
      <c r="W205" s="28" t="s">
        <v>1463</v>
      </c>
      <c r="X205" s="28" t="s">
        <v>2021</v>
      </c>
      <c r="Y205" s="28" t="s">
        <v>2022</v>
      </c>
      <c r="Z205" s="61">
        <v>5140203000958</v>
      </c>
      <c r="AB205" s="28" t="s">
        <v>7355</v>
      </c>
      <c r="AC205" s="28" t="s">
        <v>263</v>
      </c>
    </row>
    <row r="206" spans="1:29" s="28" customFormat="1" x14ac:dyDescent="0.25">
      <c r="A206" s="61">
        <v>110064612557</v>
      </c>
      <c r="B206" s="28">
        <v>2022</v>
      </c>
      <c r="C206" s="68">
        <f t="shared" si="3"/>
        <v>44562</v>
      </c>
      <c r="D206" s="28" t="s">
        <v>1239</v>
      </c>
      <c r="E206" s="28" t="s">
        <v>2020</v>
      </c>
      <c r="F206" s="28" t="s">
        <v>1240</v>
      </c>
      <c r="G206" s="28" t="s">
        <v>324</v>
      </c>
      <c r="H206" s="28">
        <v>42437</v>
      </c>
      <c r="I206" s="28">
        <v>37.671391</v>
      </c>
      <c r="J206" s="28">
        <v>-87.828888000000006</v>
      </c>
      <c r="L206" s="61">
        <v>110064612557</v>
      </c>
      <c r="M206" s="28" t="s">
        <v>263</v>
      </c>
      <c r="N206" s="28">
        <v>4952</v>
      </c>
      <c r="O206" s="28" t="str">
        <f>IFERROR(VLOOKUP(N206, 'SIC &amp; NAICS Codes'!A:B, 2, FALSE), "")</f>
        <v>Sewerage Systems</v>
      </c>
      <c r="S206" s="28">
        <v>3.5712421249999999</v>
      </c>
      <c r="T206" s="315">
        <f>_xlfn.MAXIFS('Raw Period DMR Data'!$O:$O,'Raw Period DMR Data'!$A:$A,'Raw Annual DMR Data_2021-2024'!B1006,'Raw Period DMR Data'!$C:$C,X206)/S206</f>
        <v>0</v>
      </c>
      <c r="U206" s="28" t="str">
        <f>+IF(COUNTIFS('Raw Period DMR Data'!$A:$A,B206, 'Raw Period DMR Data'!C:C,'Raw Annual DMR Data_2021-2024'!X1006, 'Raw Period DMR Data'!M:M, "&gt;0")&gt;0,_xlfn.MAXIFS('Raw Period DMR Data'!M:M,'Raw Period DMR Data'!$A:$A,'Raw Annual DMR Data_2021-2024'!B1006,'Raw Period DMR Data'!C:C,'Raw Annual DMR Data_2021-2024'!X1006), "N/A - Period DMR Data Not Available")</f>
        <v>N/A - Period DMR Data Not Available</v>
      </c>
      <c r="V206" s="28" t="str" cm="1">
        <f t="array" ref="V206">IFERROR(INDEX('Raw Period DMR Data'!N:N,MATCH(1,(B206='Raw Period DMR Data'!$A:$A)*(U206='Raw Period DMR Data'!M:M)*(X206='Raw Period DMR Data'!C:C),0),1), "N/A")</f>
        <v>N/A</v>
      </c>
      <c r="W206" s="28" t="s">
        <v>1463</v>
      </c>
      <c r="X206" s="28" t="s">
        <v>2021</v>
      </c>
      <c r="Y206" s="28" t="s">
        <v>2022</v>
      </c>
      <c r="Z206" s="61">
        <v>5140203000958</v>
      </c>
      <c r="AA206" s="60"/>
      <c r="AB206" s="28" t="s">
        <v>7355</v>
      </c>
      <c r="AC206" s="28" t="s">
        <v>263</v>
      </c>
    </row>
    <row r="207" spans="1:29" s="28" customFormat="1" x14ac:dyDescent="0.25">
      <c r="A207" s="61">
        <v>110039705361</v>
      </c>
      <c r="B207" s="28">
        <v>2021</v>
      </c>
      <c r="C207" s="68">
        <f t="shared" si="3"/>
        <v>44197</v>
      </c>
      <c r="D207" s="28" t="s">
        <v>1243</v>
      </c>
      <c r="E207" s="28" t="s">
        <v>2027</v>
      </c>
      <c r="F207" s="28" t="s">
        <v>1244</v>
      </c>
      <c r="G207" s="28" t="s">
        <v>324</v>
      </c>
      <c r="H207" s="28">
        <v>40353</v>
      </c>
      <c r="I207" s="28">
        <v>38.101582000000001</v>
      </c>
      <c r="J207" s="28">
        <v>-83.919770999999997</v>
      </c>
      <c r="L207" s="61">
        <v>110039705361</v>
      </c>
      <c r="M207" s="28" t="s">
        <v>263</v>
      </c>
      <c r="N207" s="28">
        <v>4952</v>
      </c>
      <c r="O207" s="28" t="str">
        <f>IFERROR(VLOOKUP(N207, 'SIC &amp; NAICS Codes'!A:B, 2, FALSE), "")</f>
        <v>Sewerage Systems</v>
      </c>
      <c r="S207" s="28">
        <v>7.4256968749999999</v>
      </c>
      <c r="T207" s="315">
        <f>_xlfn.MAXIFS('Raw Period DMR Data'!$O:$O,'Raw Period DMR Data'!$A:$A,'Raw Annual DMR Data_2021-2024'!B965,'Raw Period DMR Data'!$C:$C,X207)/S207</f>
        <v>0</v>
      </c>
      <c r="U207" s="28" t="str">
        <f>+IF(COUNTIFS('Raw Period DMR Data'!$A:$A,B207, 'Raw Period DMR Data'!C:C,'Raw Annual DMR Data_2021-2024'!X965, 'Raw Period DMR Data'!M:M, "&gt;0")&gt;0,_xlfn.MAXIFS('Raw Period DMR Data'!M:M,'Raw Period DMR Data'!$A:$A,'Raw Annual DMR Data_2021-2024'!B965,'Raw Period DMR Data'!C:C,'Raw Annual DMR Data_2021-2024'!X965), "N/A - Period DMR Data Not Available")</f>
        <v>N/A - Period DMR Data Not Available</v>
      </c>
      <c r="V207" s="28" t="str" cm="1">
        <f t="array" ref="V207">IFERROR(INDEX('Raw Period DMR Data'!N:N,MATCH(1,(B207='Raw Period DMR Data'!$A:$A)*(U207='Raw Period DMR Data'!M:M)*(X207='Raw Period DMR Data'!C:C),0),1), "N/A")</f>
        <v>N/A</v>
      </c>
      <c r="W207" s="28" t="s">
        <v>1463</v>
      </c>
      <c r="X207" s="28" t="s">
        <v>2028</v>
      </c>
      <c r="Y207" s="28" t="s">
        <v>2029</v>
      </c>
      <c r="Z207" s="61">
        <v>5100102000126</v>
      </c>
      <c r="AA207" s="60"/>
      <c r="AB207" s="28" t="s">
        <v>7355</v>
      </c>
      <c r="AC207" s="28" t="s">
        <v>263</v>
      </c>
    </row>
    <row r="208" spans="1:29" s="28" customFormat="1" x14ac:dyDescent="0.25">
      <c r="A208" s="61">
        <v>110071169347</v>
      </c>
      <c r="B208" s="28">
        <v>2021</v>
      </c>
      <c r="C208" s="68">
        <f t="shared" si="3"/>
        <v>44197</v>
      </c>
      <c r="D208" s="28" t="s">
        <v>1250</v>
      </c>
      <c r="E208" s="28" t="s">
        <v>2038</v>
      </c>
      <c r="F208" s="28" t="s">
        <v>1463</v>
      </c>
      <c r="G208" s="28" t="s">
        <v>366</v>
      </c>
      <c r="H208" s="28" t="s">
        <v>1463</v>
      </c>
      <c r="I208" s="28">
        <v>33.022727000000003</v>
      </c>
      <c r="J208" s="28">
        <v>-118.58829299999999</v>
      </c>
      <c r="K208" s="28" t="s">
        <v>726</v>
      </c>
      <c r="L208" s="61">
        <v>110071169347</v>
      </c>
      <c r="M208" s="28" t="s">
        <v>263</v>
      </c>
      <c r="N208" s="28">
        <v>4952</v>
      </c>
      <c r="O208" s="28" t="str">
        <f>IFERROR(VLOOKUP(N208, 'SIC &amp; NAICS Codes'!A:B, 2, FALSE), "")</f>
        <v>Sewerage Systems</v>
      </c>
      <c r="S208" s="28">
        <v>8.3927984399999999E-3</v>
      </c>
      <c r="T208" s="315">
        <f>_xlfn.MAXIFS('Raw Period DMR Data'!$O:$O,'Raw Period DMR Data'!$A:$A,'Raw Annual DMR Data_2021-2024'!#REF!,'Raw Period DMR Data'!$C:$C,X208)/S208</f>
        <v>0</v>
      </c>
      <c r="U208" s="28" t="str">
        <f>+IF(COUNTIFS('Raw Period DMR Data'!$A:$A,B208,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8" s="28" t="str" cm="1">
        <f t="array" ref="V208">IFERROR(INDEX('Raw Period DMR Data'!N:N,MATCH(1,(B208='Raw Period DMR Data'!$A:$A)*(U208='Raw Period DMR Data'!M:M)*(X208='Raw Period DMR Data'!C:C),0),1), "N/A")</f>
        <v>N/A</v>
      </c>
      <c r="W208" s="28" t="s">
        <v>1463</v>
      </c>
      <c r="X208" s="28" t="s">
        <v>2039</v>
      </c>
      <c r="Y208" s="28" t="s">
        <v>926</v>
      </c>
      <c r="Z208" s="61">
        <v>18070107000163</v>
      </c>
      <c r="AB208" s="28" t="s">
        <v>7355</v>
      </c>
      <c r="AC208" s="28" t="s">
        <v>7356</v>
      </c>
    </row>
    <row r="209" spans="1:29" s="28" customFormat="1" x14ac:dyDescent="0.25">
      <c r="A209" s="61">
        <v>110000519920</v>
      </c>
      <c r="B209" s="28">
        <v>2023</v>
      </c>
      <c r="C209" s="68">
        <f t="shared" si="3"/>
        <v>44927</v>
      </c>
      <c r="D209" s="28" t="s">
        <v>1256</v>
      </c>
      <c r="E209" s="28" t="s">
        <v>2046</v>
      </c>
      <c r="F209" s="28" t="s">
        <v>549</v>
      </c>
      <c r="G209" s="28" t="s">
        <v>366</v>
      </c>
      <c r="H209" s="28">
        <v>95959</v>
      </c>
      <c r="I209" s="28">
        <v>39.259293999999997</v>
      </c>
      <c r="J209" s="28">
        <v>-121.03256</v>
      </c>
      <c r="L209" s="61">
        <v>110000519920</v>
      </c>
      <c r="M209" s="28" t="s">
        <v>263</v>
      </c>
      <c r="N209" s="28">
        <v>4952</v>
      </c>
      <c r="O209" s="28" t="str">
        <f>IFERROR(VLOOKUP(N209, 'SIC &amp; NAICS Codes'!A:B, 2, FALSE), "")</f>
        <v>Sewerage Systems</v>
      </c>
      <c r="S209" s="28">
        <v>3.4912537200000003E-2</v>
      </c>
      <c r="T209" s="315">
        <f>_xlfn.MAXIFS('Raw Period DMR Data'!$O:$O,'Raw Period DMR Data'!$A:$A,'Raw Annual DMR Data_2021-2024'!#REF!,'Raw Period DMR Data'!$C:$C,X209)/S209</f>
        <v>0</v>
      </c>
      <c r="U209" s="28" t="str">
        <f>+IF(COUNTIFS('Raw Period DMR Data'!$A:$A,B209,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09" s="28" t="str" cm="1">
        <f t="array" ref="V209">IFERROR(INDEX('Raw Period DMR Data'!N:N,MATCH(1,(B209='Raw Period DMR Data'!$A:$A)*(U209='Raw Period DMR Data'!M:M)*(X209='Raw Period DMR Data'!C:C),0),1), "N/A")</f>
        <v>N/A</v>
      </c>
      <c r="W209" s="28" t="s">
        <v>1463</v>
      </c>
      <c r="X209" s="28" t="s">
        <v>2047</v>
      </c>
      <c r="Y209" s="28" t="s">
        <v>1672</v>
      </c>
      <c r="Z209" s="61">
        <v>18020125000668</v>
      </c>
      <c r="AA209" s="60"/>
      <c r="AB209" s="28" t="s">
        <v>7355</v>
      </c>
      <c r="AC209" s="28" t="s">
        <v>263</v>
      </c>
    </row>
    <row r="210" spans="1:29" s="28" customFormat="1" x14ac:dyDescent="0.25">
      <c r="A210" s="61">
        <v>110001076978</v>
      </c>
      <c r="B210" s="28">
        <v>2024</v>
      </c>
      <c r="C210" s="68">
        <f t="shared" si="3"/>
        <v>45292</v>
      </c>
      <c r="D210" s="28" t="s">
        <v>1261</v>
      </c>
      <c r="E210" s="28" t="s">
        <v>2053</v>
      </c>
      <c r="F210" s="28" t="s">
        <v>966</v>
      </c>
      <c r="G210" s="28" t="s">
        <v>491</v>
      </c>
      <c r="H210" s="28" t="s">
        <v>2054</v>
      </c>
      <c r="I210" s="28">
        <v>39.991410000000002</v>
      </c>
      <c r="J210" s="28">
        <v>-75.085030000000003</v>
      </c>
      <c r="L210" s="61">
        <v>110001076978</v>
      </c>
      <c r="M210" s="28" t="s">
        <v>263</v>
      </c>
      <c r="N210" s="28">
        <v>4952</v>
      </c>
      <c r="O210" s="28" t="str">
        <f>IFERROR(VLOOKUP(N210, 'SIC &amp; NAICS Codes'!A:B, 2, FALSE), "")</f>
        <v>Sewerage Systems</v>
      </c>
      <c r="S210" s="28">
        <v>289.76540625000001</v>
      </c>
      <c r="T210" s="315">
        <f>_xlfn.MAXIFS('Raw Period DMR Data'!$O:$O,'Raw Period DMR Data'!$A:$A,'Raw Annual DMR Data_2021-2024'!B860,'Raw Period DMR Data'!$C:$C,X210)/S210</f>
        <v>0</v>
      </c>
      <c r="U210" s="28" t="str">
        <f>+IF(COUNTIFS('Raw Period DMR Data'!$A:$A,B210, 'Raw Period DMR Data'!C:C,'Raw Annual DMR Data_2021-2024'!X860, 'Raw Period DMR Data'!M:M, "&gt;0")&gt;0,_xlfn.MAXIFS('Raw Period DMR Data'!M:M,'Raw Period DMR Data'!$A:$A,'Raw Annual DMR Data_2021-2024'!B860,'Raw Period DMR Data'!C:C,'Raw Annual DMR Data_2021-2024'!X860), "N/A - Period DMR Data Not Available")</f>
        <v>N/A - Period DMR Data Not Available</v>
      </c>
      <c r="V210" s="28" t="str" cm="1">
        <f t="array" ref="V210">IFERROR(INDEX('Raw Period DMR Data'!N:N,MATCH(1,(B210='Raw Period DMR Data'!$A:$A)*(U210='Raw Period DMR Data'!M:M)*(X210='Raw Period DMR Data'!C:C),0),1), "N/A")</f>
        <v>N/A</v>
      </c>
      <c r="W210" s="28" t="s">
        <v>1463</v>
      </c>
      <c r="X210" s="28" t="s">
        <v>2055</v>
      </c>
      <c r="Y210" s="28" t="s">
        <v>2056</v>
      </c>
      <c r="Z210" s="61">
        <v>2040202001980</v>
      </c>
      <c r="AA210" s="60"/>
      <c r="AB210" s="28" t="s">
        <v>7355</v>
      </c>
      <c r="AC210" s="28" t="s">
        <v>263</v>
      </c>
    </row>
    <row r="211" spans="1:29" s="28" customFormat="1" x14ac:dyDescent="0.25">
      <c r="A211" s="61">
        <v>110001076978</v>
      </c>
      <c r="B211" s="28">
        <v>2022</v>
      </c>
      <c r="C211" s="68">
        <f t="shared" si="3"/>
        <v>44562</v>
      </c>
      <c r="D211" s="28" t="s">
        <v>1261</v>
      </c>
      <c r="E211" s="28" t="s">
        <v>2053</v>
      </c>
      <c r="F211" s="28" t="s">
        <v>966</v>
      </c>
      <c r="G211" s="28" t="s">
        <v>491</v>
      </c>
      <c r="H211" s="28" t="s">
        <v>2054</v>
      </c>
      <c r="I211" s="28">
        <v>39.991410000000002</v>
      </c>
      <c r="J211" s="28">
        <v>-75.085030000000003</v>
      </c>
      <c r="L211" s="61">
        <v>110001076978</v>
      </c>
      <c r="M211" s="28" t="s">
        <v>263</v>
      </c>
      <c r="N211" s="28">
        <v>4952</v>
      </c>
      <c r="O211" s="28" t="str">
        <f>IFERROR(VLOOKUP(N211, 'SIC &amp; NAICS Codes'!A:B, 2, FALSE), "")</f>
        <v>Sewerage Systems</v>
      </c>
      <c r="S211" s="28">
        <v>284.18726249999997</v>
      </c>
      <c r="T211" s="315">
        <f>_xlfn.MAXIFS('Raw Period DMR Data'!$O:$O,'Raw Period DMR Data'!$A:$A,'Raw Annual DMR Data_2021-2024'!B861,'Raw Period DMR Data'!$C:$C,X211)/S211</f>
        <v>0</v>
      </c>
      <c r="U211" s="28" t="str">
        <f>+IF(COUNTIFS('Raw Period DMR Data'!$A:$A,B211, 'Raw Period DMR Data'!C:C,'Raw Annual DMR Data_2021-2024'!X861, 'Raw Period DMR Data'!M:M, "&gt;0")&gt;0,_xlfn.MAXIFS('Raw Period DMR Data'!M:M,'Raw Period DMR Data'!$A:$A,'Raw Annual DMR Data_2021-2024'!B861,'Raw Period DMR Data'!C:C,'Raw Annual DMR Data_2021-2024'!X861), "N/A - Period DMR Data Not Available")</f>
        <v>N/A - Period DMR Data Not Available</v>
      </c>
      <c r="V211" s="28" t="str" cm="1">
        <f t="array" ref="V211">IFERROR(INDEX('Raw Period DMR Data'!N:N,MATCH(1,(B211='Raw Period DMR Data'!$A:$A)*(U211='Raw Period DMR Data'!M:M)*(X211='Raw Period DMR Data'!C:C),0),1), "N/A")</f>
        <v>N/A</v>
      </c>
      <c r="W211" s="28" t="s">
        <v>1463</v>
      </c>
      <c r="X211" s="28" t="s">
        <v>2055</v>
      </c>
      <c r="Y211" s="28" t="s">
        <v>2056</v>
      </c>
      <c r="Z211" s="61">
        <v>2040202001980</v>
      </c>
      <c r="AA211" s="60"/>
      <c r="AB211" s="28" t="s">
        <v>7355</v>
      </c>
      <c r="AC211" s="28" t="s">
        <v>263</v>
      </c>
    </row>
    <row r="212" spans="1:29" s="28" customFormat="1" x14ac:dyDescent="0.25">
      <c r="A212" s="61">
        <v>110001076978</v>
      </c>
      <c r="B212" s="28">
        <v>2021</v>
      </c>
      <c r="C212" s="68">
        <f t="shared" si="3"/>
        <v>44197</v>
      </c>
      <c r="D212" s="28" t="s">
        <v>1261</v>
      </c>
      <c r="E212" s="28" t="s">
        <v>2053</v>
      </c>
      <c r="F212" s="28" t="s">
        <v>966</v>
      </c>
      <c r="G212" s="28" t="s">
        <v>491</v>
      </c>
      <c r="H212" s="28" t="s">
        <v>2054</v>
      </c>
      <c r="I212" s="28">
        <v>39.991410000000002</v>
      </c>
      <c r="J212" s="28">
        <v>-75.085030000000003</v>
      </c>
      <c r="L212" s="61">
        <v>110001076978</v>
      </c>
      <c r="M212" s="28" t="s">
        <v>263</v>
      </c>
      <c r="N212" s="28">
        <v>4952</v>
      </c>
      <c r="O212" s="28" t="str">
        <f>IFERROR(VLOOKUP(N212, 'SIC &amp; NAICS Codes'!A:B, 2, FALSE), "")</f>
        <v>Sewerage Systems</v>
      </c>
      <c r="S212" s="28">
        <v>282.30990250000002</v>
      </c>
      <c r="T212" s="315">
        <f>_xlfn.MAXIFS('Raw Period DMR Data'!$O:$O,'Raw Period DMR Data'!$A:$A,'Raw Annual DMR Data_2021-2024'!B862,'Raw Period DMR Data'!$C:$C,X212)/S212</f>
        <v>0</v>
      </c>
      <c r="U212" s="28" t="str">
        <f>+IF(COUNTIFS('Raw Period DMR Data'!$A:$A,B212, 'Raw Period DMR Data'!C:C,'Raw Annual DMR Data_2021-2024'!X862, 'Raw Period DMR Data'!M:M, "&gt;0")&gt;0,_xlfn.MAXIFS('Raw Period DMR Data'!M:M,'Raw Period DMR Data'!$A:$A,'Raw Annual DMR Data_2021-2024'!B862,'Raw Period DMR Data'!C:C,'Raw Annual DMR Data_2021-2024'!X862), "N/A - Period DMR Data Not Available")</f>
        <v>N/A - Period DMR Data Not Available</v>
      </c>
      <c r="V212" s="28" t="str" cm="1">
        <f t="array" ref="V212">IFERROR(INDEX('Raw Period DMR Data'!N:N,MATCH(1,(B212='Raw Period DMR Data'!$A:$A)*(U212='Raw Period DMR Data'!M:M)*(X212='Raw Period DMR Data'!C:C),0),1), "N/A")</f>
        <v>N/A</v>
      </c>
      <c r="W212" s="28" t="s">
        <v>1463</v>
      </c>
      <c r="X212" s="28" t="s">
        <v>2055</v>
      </c>
      <c r="Y212" s="28" t="s">
        <v>2056</v>
      </c>
      <c r="Z212" s="61">
        <v>2040202001980</v>
      </c>
      <c r="AA212" s="60"/>
      <c r="AB212" s="28" t="s">
        <v>7355</v>
      </c>
      <c r="AC212" s="28" t="s">
        <v>263</v>
      </c>
    </row>
    <row r="213" spans="1:29" s="28" customFormat="1" x14ac:dyDescent="0.25">
      <c r="A213" s="61">
        <v>110001076978</v>
      </c>
      <c r="B213" s="28">
        <v>2023</v>
      </c>
      <c r="C213" s="68">
        <f t="shared" si="3"/>
        <v>44927</v>
      </c>
      <c r="D213" s="28" t="s">
        <v>1261</v>
      </c>
      <c r="E213" s="28" t="s">
        <v>2053</v>
      </c>
      <c r="F213" s="28" t="s">
        <v>966</v>
      </c>
      <c r="G213" s="28" t="s">
        <v>491</v>
      </c>
      <c r="H213" s="28" t="s">
        <v>2054</v>
      </c>
      <c r="I213" s="28">
        <v>39.991410000000002</v>
      </c>
      <c r="J213" s="28">
        <v>-75.085030000000003</v>
      </c>
      <c r="L213" s="61">
        <v>110001076978</v>
      </c>
      <c r="M213" s="28" t="s">
        <v>263</v>
      </c>
      <c r="N213" s="28">
        <v>4952</v>
      </c>
      <c r="O213" s="28" t="str">
        <f>IFERROR(VLOOKUP(N213, 'SIC &amp; NAICS Codes'!A:B, 2, FALSE), "")</f>
        <v>Sewerage Systems</v>
      </c>
      <c r="S213" s="28">
        <v>273.60818749999999</v>
      </c>
      <c r="T213" s="315">
        <f>_xlfn.MAXIFS('Raw Period DMR Data'!$O:$O,'Raw Period DMR Data'!$A:$A,'Raw Annual DMR Data_2021-2024'!B864,'Raw Period DMR Data'!$C:$C,X213)/S213</f>
        <v>0</v>
      </c>
      <c r="U213" s="28" t="str">
        <f>+IF(COUNTIFS('Raw Period DMR Data'!$A:$A,B213, 'Raw Period DMR Data'!C:C,'Raw Annual DMR Data_2021-2024'!X864, 'Raw Period DMR Data'!M:M, "&gt;0")&gt;0,_xlfn.MAXIFS('Raw Period DMR Data'!M:M,'Raw Period DMR Data'!$A:$A,'Raw Annual DMR Data_2021-2024'!B864,'Raw Period DMR Data'!C:C,'Raw Annual DMR Data_2021-2024'!X864), "N/A - Period DMR Data Not Available")</f>
        <v>N/A - Period DMR Data Not Available</v>
      </c>
      <c r="V213" s="28" t="str" cm="1">
        <f t="array" ref="V213">IFERROR(INDEX('Raw Period DMR Data'!N:N,MATCH(1,(B213='Raw Period DMR Data'!$A:$A)*(U213='Raw Period DMR Data'!M:M)*(X213='Raw Period DMR Data'!C:C),0),1), "N/A")</f>
        <v>N/A</v>
      </c>
      <c r="W213" s="28" t="s">
        <v>1463</v>
      </c>
      <c r="X213" s="28" t="s">
        <v>2055</v>
      </c>
      <c r="Y213" s="28" t="s">
        <v>2056</v>
      </c>
      <c r="Z213" s="61">
        <v>2040202001980</v>
      </c>
      <c r="AA213" s="60"/>
      <c r="AB213" s="28" t="s">
        <v>7355</v>
      </c>
      <c r="AC213" s="28" t="s">
        <v>263</v>
      </c>
    </row>
    <row r="214" spans="1:29" s="28" customFormat="1" x14ac:dyDescent="0.25">
      <c r="A214" s="61">
        <v>110064631457</v>
      </c>
      <c r="B214" s="28">
        <v>2021</v>
      </c>
      <c r="C214" s="68">
        <f t="shared" si="3"/>
        <v>44197</v>
      </c>
      <c r="D214" s="28" t="s">
        <v>6872</v>
      </c>
      <c r="E214" s="28" t="s">
        <v>7041</v>
      </c>
      <c r="F214" s="28" t="s">
        <v>6942</v>
      </c>
      <c r="G214" s="28" t="s">
        <v>1249</v>
      </c>
      <c r="H214" s="28">
        <v>87416</v>
      </c>
      <c r="I214" s="28">
        <v>36.716268999999997</v>
      </c>
      <c r="J214" s="28">
        <v>-108.255737</v>
      </c>
      <c r="L214" s="61">
        <v>110064631457</v>
      </c>
      <c r="M214" s="28" t="s">
        <v>263</v>
      </c>
      <c r="N214" s="28">
        <v>4952</v>
      </c>
      <c r="O214" s="28" t="str">
        <f>IFERROR(VLOOKUP(N214, 'SIC &amp; NAICS Codes'!A:B, 2, FALSE), "")</f>
        <v>Sewerage Systems</v>
      </c>
      <c r="S214" s="28">
        <v>0.1114304</v>
      </c>
      <c r="T214" s="315">
        <f>_xlfn.MAXIFS('Raw Period DMR Data'!$O:$O,'Raw Period DMR Data'!$A:$A,'Raw Annual DMR Data_2021-2024'!#REF!,'Raw Period DMR Data'!$C:$C,X214)/S214</f>
        <v>0</v>
      </c>
      <c r="U214" s="28" t="str">
        <f>+IF(COUNTIFS('Raw Period DMR Data'!$A:$A,B214,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4" s="28" t="str" cm="1">
        <f t="array" ref="V214">IFERROR(INDEX('Raw Period DMR Data'!N:N,MATCH(1,(B214='Raw Period DMR Data'!$A:$A)*(U214='Raw Period DMR Data'!M:M)*(X214='Raw Period DMR Data'!C:C),0),1), "N/A")</f>
        <v>N/A</v>
      </c>
      <c r="W214" s="28" t="s">
        <v>1463</v>
      </c>
      <c r="X214" s="28" t="s">
        <v>7200</v>
      </c>
      <c r="Y214" s="28" t="s">
        <v>7303</v>
      </c>
      <c r="Z214" s="61">
        <v>14080105001832</v>
      </c>
      <c r="AC214" s="28" t="s">
        <v>263</v>
      </c>
    </row>
    <row r="215" spans="1:29" s="28" customFormat="1" x14ac:dyDescent="0.25">
      <c r="A215" s="61">
        <v>110064631457</v>
      </c>
      <c r="B215" s="28">
        <v>2024</v>
      </c>
      <c r="C215" s="68">
        <f t="shared" si="3"/>
        <v>45292</v>
      </c>
      <c r="D215" s="28" t="s">
        <v>6872</v>
      </c>
      <c r="E215" s="28" t="s">
        <v>7041</v>
      </c>
      <c r="F215" s="28" t="s">
        <v>6942</v>
      </c>
      <c r="G215" s="28" t="s">
        <v>1249</v>
      </c>
      <c r="H215" s="28">
        <v>87416</v>
      </c>
      <c r="I215" s="28">
        <v>36.716268999999997</v>
      </c>
      <c r="J215" s="28">
        <v>-108.255737</v>
      </c>
      <c r="L215" s="61">
        <v>110064631457</v>
      </c>
      <c r="M215" s="28" t="s">
        <v>263</v>
      </c>
      <c r="N215" s="28">
        <v>4952</v>
      </c>
      <c r="O215" s="28" t="str">
        <f>IFERROR(VLOOKUP(N215, 'SIC &amp; NAICS Codes'!A:B, 2, FALSE), "")</f>
        <v>Sewerage Systems</v>
      </c>
      <c r="S215" s="28">
        <v>1.7959824999999999E-2</v>
      </c>
      <c r="T215" s="315">
        <f>_xlfn.MAXIFS('Raw Period DMR Data'!$O:$O,'Raw Period DMR Data'!$A:$A,'Raw Annual DMR Data_2021-2024'!#REF!,'Raw Period DMR Data'!$C:$C,X215)/S215</f>
        <v>0</v>
      </c>
      <c r="U215" s="28" t="str">
        <f>+IF(COUNTIFS('Raw Period DMR Data'!$A:$A,B215,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5" s="28" t="str" cm="1">
        <f t="array" ref="V215">IFERROR(INDEX('Raw Period DMR Data'!N:N,MATCH(1,(B215='Raw Period DMR Data'!$A:$A)*(U215='Raw Period DMR Data'!M:M)*(X215='Raw Period DMR Data'!C:C),0),1), "N/A")</f>
        <v>N/A</v>
      </c>
      <c r="W215" s="28" t="s">
        <v>1463</v>
      </c>
      <c r="X215" s="28" t="s">
        <v>7200</v>
      </c>
      <c r="Y215" s="28" t="s">
        <v>7303</v>
      </c>
      <c r="Z215" s="61">
        <v>14080105001832</v>
      </c>
      <c r="AA215" s="60"/>
      <c r="AB215" s="28" t="s">
        <v>7355</v>
      </c>
      <c r="AC215" s="28" t="s">
        <v>263</v>
      </c>
    </row>
    <row r="216" spans="1:29" s="28" customFormat="1" x14ac:dyDescent="0.25">
      <c r="A216" s="61">
        <v>110016759444</v>
      </c>
      <c r="B216" s="28">
        <v>2021</v>
      </c>
      <c r="C216" s="68">
        <f t="shared" si="3"/>
        <v>44197</v>
      </c>
      <c r="D216" s="28" t="s">
        <v>1264</v>
      </c>
      <c r="E216" s="28" t="s">
        <v>2061</v>
      </c>
      <c r="F216" s="28" t="s">
        <v>1265</v>
      </c>
      <c r="G216" s="28" t="s">
        <v>324</v>
      </c>
      <c r="H216" s="28">
        <v>40475</v>
      </c>
      <c r="I216" s="28">
        <v>37.852220000000003</v>
      </c>
      <c r="J216" s="28">
        <v>-84.363079999999997</v>
      </c>
      <c r="L216" s="61">
        <v>110016759444</v>
      </c>
      <c r="M216" s="28" t="s">
        <v>263</v>
      </c>
      <c r="N216" s="28">
        <v>4952</v>
      </c>
      <c r="O216" s="28" t="str">
        <f>IFERROR(VLOOKUP(N216, 'SIC &amp; NAICS Codes'!A:B, 2, FALSE), "")</f>
        <v>Sewerage Systems</v>
      </c>
      <c r="S216" s="28">
        <v>0.69352555000000005</v>
      </c>
      <c r="T216" s="315">
        <f>_xlfn.MAXIFS('Raw Period DMR Data'!$O:$O,'Raw Period DMR Data'!$A:$A,'Raw Annual DMR Data_2021-2024'!#REF!,'Raw Period DMR Data'!$C:$C,X216)/S216</f>
        <v>0</v>
      </c>
      <c r="U216" s="28" t="str">
        <f>+IF(COUNTIFS('Raw Period DMR Data'!$A:$A,B216,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6" s="28" t="str" cm="1">
        <f t="array" ref="V216">IFERROR(INDEX('Raw Period DMR Data'!N:N,MATCH(1,(B216='Raw Period DMR Data'!$A:$A)*(U216='Raw Period DMR Data'!M:M)*(X216='Raw Period DMR Data'!C:C),0),1), "N/A")</f>
        <v>N/A</v>
      </c>
      <c r="W216" s="28" t="s">
        <v>1463</v>
      </c>
      <c r="X216" s="28" t="s">
        <v>2062</v>
      </c>
      <c r="Y216" s="28" t="s">
        <v>2063</v>
      </c>
      <c r="Z216" s="61">
        <v>5100205000171</v>
      </c>
      <c r="AC216" s="28" t="s">
        <v>263</v>
      </c>
    </row>
    <row r="217" spans="1:29" s="28" customFormat="1" x14ac:dyDescent="0.25">
      <c r="A217" s="61">
        <v>110016759444</v>
      </c>
      <c r="B217" s="28">
        <v>2024</v>
      </c>
      <c r="C217" s="68">
        <f t="shared" si="3"/>
        <v>45292</v>
      </c>
      <c r="D217" s="28" t="s">
        <v>1264</v>
      </c>
      <c r="E217" s="28" t="s">
        <v>2061</v>
      </c>
      <c r="F217" s="28" t="s">
        <v>1265</v>
      </c>
      <c r="G217" s="28" t="s">
        <v>324</v>
      </c>
      <c r="H217" s="28">
        <v>40475</v>
      </c>
      <c r="I217" s="28">
        <v>37.852220000000003</v>
      </c>
      <c r="J217" s="28">
        <v>-84.363079999999997</v>
      </c>
      <c r="L217" s="61">
        <v>110016759444</v>
      </c>
      <c r="M217" s="28" t="s">
        <v>263</v>
      </c>
      <c r="N217" s="28">
        <v>4952</v>
      </c>
      <c r="O217" s="28" t="str">
        <f>IFERROR(VLOOKUP(N217, 'SIC &amp; NAICS Codes'!A:B, 2, FALSE), "")</f>
        <v>Sewerage Systems</v>
      </c>
      <c r="S217" s="28">
        <v>0.36195955000000002</v>
      </c>
      <c r="T217" s="315">
        <f>_xlfn.MAXIFS('Raw Period DMR Data'!$O:$O,'Raw Period DMR Data'!$A:$A,'Raw Annual DMR Data_2021-2024'!#REF!,'Raw Period DMR Data'!$C:$C,X217)/S217</f>
        <v>0</v>
      </c>
      <c r="U217" s="28" t="str">
        <f>+IF(COUNTIFS('Raw Period DMR Data'!$A:$A,B217,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7" s="28" t="str" cm="1">
        <f t="array" ref="V217">IFERROR(INDEX('Raw Period DMR Data'!N:N,MATCH(1,(B217='Raw Period DMR Data'!$A:$A)*(U217='Raw Period DMR Data'!M:M)*(X217='Raw Period DMR Data'!C:C),0),1), "N/A")</f>
        <v>N/A</v>
      </c>
      <c r="W217" s="28" t="s">
        <v>1463</v>
      </c>
      <c r="X217" s="28" t="s">
        <v>2062</v>
      </c>
      <c r="Y217" s="28" t="s">
        <v>2063</v>
      </c>
      <c r="Z217" s="61">
        <v>5100205000171</v>
      </c>
      <c r="AA217" s="60"/>
      <c r="AC217" s="28" t="s">
        <v>263</v>
      </c>
    </row>
    <row r="218" spans="1:29" s="28" customFormat="1" x14ac:dyDescent="0.25">
      <c r="A218" s="61">
        <v>110022905588</v>
      </c>
      <c r="B218" s="28">
        <v>2022</v>
      </c>
      <c r="C218" s="68">
        <f t="shared" si="3"/>
        <v>44562</v>
      </c>
      <c r="D218" s="28" t="s">
        <v>1268</v>
      </c>
      <c r="E218" s="28" t="s">
        <v>2074</v>
      </c>
      <c r="F218" s="28" t="s">
        <v>1269</v>
      </c>
      <c r="G218" s="28" t="s">
        <v>324</v>
      </c>
      <c r="H218" s="28">
        <v>40026</v>
      </c>
      <c r="I218" s="28">
        <v>38.417499999999997</v>
      </c>
      <c r="J218" s="28">
        <v>-85.611109999999996</v>
      </c>
      <c r="L218" s="61">
        <v>110022905588</v>
      </c>
      <c r="M218" s="28" t="s">
        <v>263</v>
      </c>
      <c r="N218" s="28">
        <v>4952</v>
      </c>
      <c r="O218" s="28" t="str">
        <f>IFERROR(VLOOKUP(N218, 'SIC &amp; NAICS Codes'!A:B, 2, FALSE), "")</f>
        <v>Sewerage Systems</v>
      </c>
      <c r="S218" s="28">
        <v>2.756142375</v>
      </c>
      <c r="T218" s="315">
        <f>_xlfn.MAXIFS('Raw Period DMR Data'!$O:$O,'Raw Period DMR Data'!$A:$A,'Raw Annual DMR Data_2021-2024'!#REF!,'Raw Period DMR Data'!$C:$C,X218)/S218</f>
        <v>0</v>
      </c>
      <c r="U218" s="28" t="str">
        <f>+IF(COUNTIFS('Raw Period DMR Data'!$A:$A,B218,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8" s="28" t="str" cm="1">
        <f t="array" ref="V218">IFERROR(INDEX('Raw Period DMR Data'!N:N,MATCH(1,(B218='Raw Period DMR Data'!$A:$A)*(U218='Raw Period DMR Data'!M:M)*(X218='Raw Period DMR Data'!C:C),0),1), "N/A")</f>
        <v>N/A</v>
      </c>
      <c r="W218" s="28" t="s">
        <v>1463</v>
      </c>
      <c r="X218" s="28" t="s">
        <v>2075</v>
      </c>
      <c r="Y218" s="28" t="s">
        <v>830</v>
      </c>
      <c r="Z218" s="61">
        <v>5140101000032</v>
      </c>
      <c r="AA218" s="60"/>
      <c r="AB218" s="28" t="s">
        <v>7355</v>
      </c>
      <c r="AC218" s="28" t="s">
        <v>263</v>
      </c>
    </row>
    <row r="219" spans="1:29" s="28" customFormat="1" x14ac:dyDescent="0.25">
      <c r="A219" s="61">
        <v>110022905588</v>
      </c>
      <c r="B219" s="28">
        <v>2024</v>
      </c>
      <c r="C219" s="68">
        <f t="shared" si="3"/>
        <v>45292</v>
      </c>
      <c r="D219" s="28" t="s">
        <v>1268</v>
      </c>
      <c r="E219" s="28" t="s">
        <v>2074</v>
      </c>
      <c r="F219" s="28" t="s">
        <v>1269</v>
      </c>
      <c r="G219" s="28" t="s">
        <v>324</v>
      </c>
      <c r="H219" s="28">
        <v>40026</v>
      </c>
      <c r="I219" s="28">
        <v>38.417499999999997</v>
      </c>
      <c r="J219" s="28">
        <v>-85.611109999999996</v>
      </c>
      <c r="L219" s="61">
        <v>110022905588</v>
      </c>
      <c r="M219" s="28" t="s">
        <v>263</v>
      </c>
      <c r="N219" s="28">
        <v>4952</v>
      </c>
      <c r="O219" s="28" t="str">
        <f>IFERROR(VLOOKUP(N219, 'SIC &amp; NAICS Codes'!A:B, 2, FALSE), "")</f>
        <v>Sewerage Systems</v>
      </c>
      <c r="S219" s="28">
        <v>2.3371949187499999</v>
      </c>
      <c r="T219" s="315">
        <f>_xlfn.MAXIFS('Raw Period DMR Data'!$O:$O,'Raw Period DMR Data'!$A:$A,'Raw Annual DMR Data_2021-2024'!#REF!,'Raw Period DMR Data'!$C:$C,X219)/S219</f>
        <v>0</v>
      </c>
      <c r="U219" s="28" t="str">
        <f>+IF(COUNTIFS('Raw Period DMR Data'!$A:$A,B219,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19" s="28" t="str" cm="1">
        <f t="array" ref="V219">IFERROR(INDEX('Raw Period DMR Data'!N:N,MATCH(1,(B219='Raw Period DMR Data'!$A:$A)*(U219='Raw Period DMR Data'!M:M)*(X219='Raw Period DMR Data'!C:C),0),1), "N/A")</f>
        <v>N/A</v>
      </c>
      <c r="W219" s="28" t="s">
        <v>1463</v>
      </c>
      <c r="X219" s="28" t="s">
        <v>2075</v>
      </c>
      <c r="Y219" s="28" t="s">
        <v>830</v>
      </c>
      <c r="Z219" s="61">
        <v>5140101000032</v>
      </c>
      <c r="AA219" s="60"/>
      <c r="AB219" s="28" t="s">
        <v>7355</v>
      </c>
      <c r="AC219" s="28" t="s">
        <v>263</v>
      </c>
    </row>
    <row r="220" spans="1:29" s="28" customFormat="1" x14ac:dyDescent="0.25">
      <c r="A220" s="61">
        <v>110022905588</v>
      </c>
      <c r="B220" s="28">
        <v>2021</v>
      </c>
      <c r="C220" s="68">
        <f t="shared" si="3"/>
        <v>44197</v>
      </c>
      <c r="D220" s="28" t="s">
        <v>1268</v>
      </c>
      <c r="E220" s="28" t="s">
        <v>2074</v>
      </c>
      <c r="F220" s="28" t="s">
        <v>1269</v>
      </c>
      <c r="G220" s="28" t="s">
        <v>324</v>
      </c>
      <c r="H220" s="28">
        <v>40026</v>
      </c>
      <c r="I220" s="28">
        <v>38.417499999999997</v>
      </c>
      <c r="J220" s="28">
        <v>-85.611109999999996</v>
      </c>
      <c r="L220" s="61">
        <v>110022905588</v>
      </c>
      <c r="M220" s="28" t="s">
        <v>263</v>
      </c>
      <c r="N220" s="28">
        <v>4952</v>
      </c>
      <c r="O220" s="28" t="str">
        <f>IFERROR(VLOOKUP(N220, 'SIC &amp; NAICS Codes'!A:B, 2, FALSE), "")</f>
        <v>Sewerage Systems</v>
      </c>
      <c r="S220" s="28">
        <v>1.982488375</v>
      </c>
      <c r="T220" s="315">
        <f>_xlfn.MAXIFS('Raw Period DMR Data'!$O:$O,'Raw Period DMR Data'!$A:$A,'Raw Annual DMR Data_2021-2024'!#REF!,'Raw Period DMR Data'!$C:$C,X220)/S220</f>
        <v>0</v>
      </c>
      <c r="U220" s="28" t="str">
        <f>+IF(COUNTIFS('Raw Period DMR Data'!$A:$A,B220,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0" s="28" t="str" cm="1">
        <f t="array" ref="V220">IFERROR(INDEX('Raw Period DMR Data'!N:N,MATCH(1,(B220='Raw Period DMR Data'!$A:$A)*(U220='Raw Period DMR Data'!M:M)*(X220='Raw Period DMR Data'!C:C),0),1), "N/A")</f>
        <v>N/A</v>
      </c>
      <c r="W220" s="28" t="s">
        <v>1463</v>
      </c>
      <c r="X220" s="28" t="s">
        <v>2075</v>
      </c>
      <c r="Y220" s="28" t="s">
        <v>830</v>
      </c>
      <c r="Z220" s="61">
        <v>5140101000032</v>
      </c>
      <c r="AB220" s="28" t="s">
        <v>7355</v>
      </c>
      <c r="AC220" s="28" t="s">
        <v>263</v>
      </c>
    </row>
    <row r="221" spans="1:29" s="28" customFormat="1" x14ac:dyDescent="0.25">
      <c r="A221" s="61">
        <v>110064615590</v>
      </c>
      <c r="B221" s="28">
        <v>2024</v>
      </c>
      <c r="C221" s="68">
        <f t="shared" si="3"/>
        <v>45292</v>
      </c>
      <c r="D221" s="28" t="s">
        <v>6818</v>
      </c>
      <c r="E221" s="28" t="s">
        <v>6974</v>
      </c>
      <c r="F221" s="28" t="s">
        <v>6975</v>
      </c>
      <c r="G221" s="28" t="s">
        <v>324</v>
      </c>
      <c r="H221" s="28">
        <v>40014</v>
      </c>
      <c r="I221" s="28">
        <v>38.32978</v>
      </c>
      <c r="J221" s="28">
        <v>-85.540719999999993</v>
      </c>
      <c r="L221" s="61">
        <v>110064615590</v>
      </c>
      <c r="M221" s="28" t="s">
        <v>263</v>
      </c>
      <c r="N221" s="28">
        <v>4952</v>
      </c>
      <c r="O221" s="28" t="str">
        <f>IFERROR(VLOOKUP(N221, 'SIC &amp; NAICS Codes'!A:B, 2, FALSE), "")</f>
        <v>Sewerage Systems</v>
      </c>
      <c r="S221" s="28">
        <v>1.3159025625</v>
      </c>
      <c r="T221" s="315">
        <f>_xlfn.MAXIFS('Raw Period DMR Data'!$O:$O,'Raw Period DMR Data'!$A:$A,'Raw Annual DMR Data_2021-2024'!#REF!,'Raw Period DMR Data'!$C:$C,X221)/S221</f>
        <v>0</v>
      </c>
      <c r="U221" s="28" t="str">
        <f>+IF(COUNTIFS('Raw Period DMR Data'!$A:$A,B221,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1" s="28" t="str" cm="1">
        <f t="array" ref="V221">IFERROR(INDEX('Raw Period DMR Data'!N:N,MATCH(1,(B221='Raw Period DMR Data'!$A:$A)*(U221='Raw Period DMR Data'!M:M)*(X221='Raw Period DMR Data'!C:C),0),1), "N/A")</f>
        <v>N/A</v>
      </c>
      <c r="W221" s="28" t="s">
        <v>1463</v>
      </c>
      <c r="X221" s="28" t="s">
        <v>7163</v>
      </c>
      <c r="Y221" s="28" t="s">
        <v>7275</v>
      </c>
      <c r="Z221" s="61">
        <v>5140101000441</v>
      </c>
      <c r="AA221" s="60"/>
      <c r="AB221" s="28" t="s">
        <v>7355</v>
      </c>
      <c r="AC221" s="28" t="s">
        <v>263</v>
      </c>
    </row>
    <row r="222" spans="1:29" s="28" customFormat="1" x14ac:dyDescent="0.25">
      <c r="A222" s="61">
        <v>110064615590</v>
      </c>
      <c r="B222" s="28">
        <v>2021</v>
      </c>
      <c r="C222" s="68">
        <f t="shared" si="3"/>
        <v>44197</v>
      </c>
      <c r="D222" s="28" t="s">
        <v>6818</v>
      </c>
      <c r="E222" s="28" t="s">
        <v>6974</v>
      </c>
      <c r="F222" s="28" t="s">
        <v>6975</v>
      </c>
      <c r="G222" s="28" t="s">
        <v>324</v>
      </c>
      <c r="H222" s="28">
        <v>40014</v>
      </c>
      <c r="I222" s="28">
        <v>38.32978</v>
      </c>
      <c r="J222" s="28">
        <v>-85.540719999999993</v>
      </c>
      <c r="L222" s="61">
        <v>110064615590</v>
      </c>
      <c r="M222" s="28" t="s">
        <v>263</v>
      </c>
      <c r="N222" s="28">
        <v>4952</v>
      </c>
      <c r="O222" s="28" t="str">
        <f>IFERROR(VLOOKUP(N222, 'SIC &amp; NAICS Codes'!A:B, 2, FALSE), "")</f>
        <v>Sewerage Systems</v>
      </c>
      <c r="S222" s="28">
        <v>1.1846576874999999</v>
      </c>
      <c r="T222" s="315">
        <f>_xlfn.MAXIFS('Raw Period DMR Data'!$O:$O,'Raw Period DMR Data'!$A:$A,'Raw Annual DMR Data_2021-2024'!#REF!,'Raw Period DMR Data'!$C:$C,X222)/S222</f>
        <v>0</v>
      </c>
      <c r="U222" s="28" t="str">
        <f>+IF(COUNTIFS('Raw Period DMR Data'!$A:$A,B222,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2" s="28" t="str" cm="1">
        <f t="array" ref="V222">IFERROR(INDEX('Raw Period DMR Data'!N:N,MATCH(1,(B222='Raw Period DMR Data'!$A:$A)*(U222='Raw Period DMR Data'!M:M)*(X222='Raw Period DMR Data'!C:C),0),1), "N/A")</f>
        <v>N/A</v>
      </c>
      <c r="W222" s="28" t="s">
        <v>1463</v>
      </c>
      <c r="X222" s="28" t="s">
        <v>7163</v>
      </c>
      <c r="Y222" s="28" t="s">
        <v>7275</v>
      </c>
      <c r="Z222" s="61">
        <v>5140101000441</v>
      </c>
      <c r="AB222" s="28" t="s">
        <v>7355</v>
      </c>
      <c r="AC222" s="28" t="s">
        <v>263</v>
      </c>
    </row>
    <row r="223" spans="1:29" s="28" customFormat="1" x14ac:dyDescent="0.25">
      <c r="A223" s="61">
        <v>110064615590</v>
      </c>
      <c r="B223" s="28">
        <v>2022</v>
      </c>
      <c r="C223" s="68">
        <f t="shared" si="3"/>
        <v>44562</v>
      </c>
      <c r="D223" s="28" t="s">
        <v>6818</v>
      </c>
      <c r="E223" s="28" t="s">
        <v>6974</v>
      </c>
      <c r="F223" s="28" t="s">
        <v>6975</v>
      </c>
      <c r="G223" s="28" t="s">
        <v>324</v>
      </c>
      <c r="H223" s="28">
        <v>40014</v>
      </c>
      <c r="I223" s="28">
        <v>38.32978</v>
      </c>
      <c r="J223" s="28">
        <v>-85.540719999999993</v>
      </c>
      <c r="L223" s="61">
        <v>110064615590</v>
      </c>
      <c r="M223" s="28" t="s">
        <v>263</v>
      </c>
      <c r="N223" s="28">
        <v>4952</v>
      </c>
      <c r="O223" s="28" t="str">
        <f>IFERROR(VLOOKUP(N223, 'SIC &amp; NAICS Codes'!A:B, 2, FALSE), "")</f>
        <v>Sewerage Systems</v>
      </c>
      <c r="S223" s="28">
        <v>0.97397512500000005</v>
      </c>
      <c r="T223" s="315">
        <f>_xlfn.MAXIFS('Raw Period DMR Data'!$O:$O,'Raw Period DMR Data'!$A:$A,'Raw Annual DMR Data_2021-2024'!#REF!,'Raw Period DMR Data'!$C:$C,X223)/S223</f>
        <v>0</v>
      </c>
      <c r="U223" s="28" t="str">
        <f>+IF(COUNTIFS('Raw Period DMR Data'!$A:$A,B223,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3" s="28" t="str" cm="1">
        <f t="array" ref="V223">IFERROR(INDEX('Raw Period DMR Data'!N:N,MATCH(1,(B223='Raw Period DMR Data'!$A:$A)*(U223='Raw Period DMR Data'!M:M)*(X223='Raw Period DMR Data'!C:C),0),1), "N/A")</f>
        <v>N/A</v>
      </c>
      <c r="W223" s="28" t="s">
        <v>1463</v>
      </c>
      <c r="X223" s="28" t="s">
        <v>7163</v>
      </c>
      <c r="Y223" s="28" t="s">
        <v>7275</v>
      </c>
      <c r="Z223" s="61">
        <v>5140101000441</v>
      </c>
      <c r="AA223" s="60"/>
      <c r="AB223" s="28" t="s">
        <v>7355</v>
      </c>
      <c r="AC223" s="28" t="s">
        <v>263</v>
      </c>
    </row>
    <row r="224" spans="1:29" s="28" customFormat="1" x14ac:dyDescent="0.25">
      <c r="A224" s="61">
        <v>110064615590</v>
      </c>
      <c r="B224" s="28">
        <v>2023</v>
      </c>
      <c r="C224" s="68">
        <f t="shared" si="3"/>
        <v>44927</v>
      </c>
      <c r="D224" s="28" t="s">
        <v>6818</v>
      </c>
      <c r="E224" s="28" t="s">
        <v>6974</v>
      </c>
      <c r="F224" s="28" t="s">
        <v>6975</v>
      </c>
      <c r="G224" s="28" t="s">
        <v>324</v>
      </c>
      <c r="H224" s="28">
        <v>40014</v>
      </c>
      <c r="I224" s="28">
        <v>38.32978</v>
      </c>
      <c r="J224" s="28">
        <v>-85.540719999999993</v>
      </c>
      <c r="L224" s="61">
        <v>110064615590</v>
      </c>
      <c r="M224" s="28" t="s">
        <v>263</v>
      </c>
      <c r="N224" s="28">
        <v>4952</v>
      </c>
      <c r="O224" s="28" t="str">
        <f>IFERROR(VLOOKUP(N224, 'SIC &amp; NAICS Codes'!A:B, 2, FALSE), "")</f>
        <v>Sewerage Systems</v>
      </c>
      <c r="S224" s="28">
        <v>0.74256968749999996</v>
      </c>
      <c r="T224" s="315">
        <f>_xlfn.MAXIFS('Raw Period DMR Data'!$O:$O,'Raw Period DMR Data'!$A:$A,'Raw Annual DMR Data_2021-2024'!#REF!,'Raw Period DMR Data'!$C:$C,X224)/S224</f>
        <v>0</v>
      </c>
      <c r="U224" s="28" t="str">
        <f>+IF(COUNTIFS('Raw Period DMR Data'!$A:$A,B224,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4" s="28" t="str" cm="1">
        <f t="array" ref="V224">IFERROR(INDEX('Raw Period DMR Data'!N:N,MATCH(1,(B224='Raw Period DMR Data'!$A:$A)*(U224='Raw Period DMR Data'!M:M)*(X224='Raw Period DMR Data'!C:C),0),1), "N/A")</f>
        <v>N/A</v>
      </c>
      <c r="W224" s="28" t="s">
        <v>1463</v>
      </c>
      <c r="X224" s="28" t="s">
        <v>7163</v>
      </c>
      <c r="Y224" s="28" t="s">
        <v>7275</v>
      </c>
      <c r="Z224" s="61" t="s">
        <v>7334</v>
      </c>
      <c r="AA224" s="60"/>
      <c r="AB224" s="28" t="s">
        <v>7355</v>
      </c>
      <c r="AC224" s="28" t="s">
        <v>263</v>
      </c>
    </row>
    <row r="225" spans="1:29" s="28" customFormat="1" x14ac:dyDescent="0.25">
      <c r="A225" s="61">
        <v>110043734983</v>
      </c>
      <c r="B225" s="28">
        <v>2021</v>
      </c>
      <c r="C225" s="68">
        <f t="shared" si="3"/>
        <v>44197</v>
      </c>
      <c r="D225" s="28" t="s">
        <v>1272</v>
      </c>
      <c r="E225" s="28" t="s">
        <v>2080</v>
      </c>
      <c r="F225" s="28" t="s">
        <v>1273</v>
      </c>
      <c r="G225" s="28" t="s">
        <v>324</v>
      </c>
      <c r="H225" s="28">
        <v>42303</v>
      </c>
      <c r="I225" s="28">
        <v>37.770769999999999</v>
      </c>
      <c r="J225" s="28">
        <v>-87.065669999999997</v>
      </c>
      <c r="L225" s="61">
        <v>110043734983</v>
      </c>
      <c r="M225" s="28" t="s">
        <v>263</v>
      </c>
      <c r="N225" s="28">
        <v>4952</v>
      </c>
      <c r="O225" s="28" t="str">
        <f>IFERROR(VLOOKUP(N225, 'SIC &amp; NAICS Codes'!A:B, 2, FALSE), "")</f>
        <v>Sewerage Systems</v>
      </c>
      <c r="S225" s="28">
        <v>14.333321874999999</v>
      </c>
      <c r="T225" s="315">
        <f>_xlfn.MAXIFS('Raw Period DMR Data'!$O:$O,'Raw Period DMR Data'!$A:$A,'Raw Annual DMR Data_2021-2024'!B924,'Raw Period DMR Data'!$C:$C,X225)/S225</f>
        <v>0</v>
      </c>
      <c r="U225" s="28" t="str">
        <f>+IF(COUNTIFS('Raw Period DMR Data'!$A:$A,B225, 'Raw Period DMR Data'!C:C,'Raw Annual DMR Data_2021-2024'!X924, 'Raw Period DMR Data'!M:M, "&gt;0")&gt;0,_xlfn.MAXIFS('Raw Period DMR Data'!M:M,'Raw Period DMR Data'!$A:$A,'Raw Annual DMR Data_2021-2024'!B924,'Raw Period DMR Data'!C:C,'Raw Annual DMR Data_2021-2024'!X924), "N/A - Period DMR Data Not Available")</f>
        <v>N/A - Period DMR Data Not Available</v>
      </c>
      <c r="V225" s="28" t="str" cm="1">
        <f t="array" ref="V225">IFERROR(INDEX('Raw Period DMR Data'!N:N,MATCH(1,(B225='Raw Period DMR Data'!$A:$A)*(U225='Raw Period DMR Data'!M:M)*(X225='Raw Period DMR Data'!C:C),0),1), "N/A")</f>
        <v>N/A</v>
      </c>
      <c r="W225" s="28" t="s">
        <v>1463</v>
      </c>
      <c r="X225" s="28" t="s">
        <v>2081</v>
      </c>
      <c r="Y225" s="28" t="s">
        <v>830</v>
      </c>
      <c r="Z225" s="61">
        <v>5140201000008</v>
      </c>
      <c r="AB225" s="28" t="s">
        <v>7355</v>
      </c>
      <c r="AC225" s="28" t="s">
        <v>263</v>
      </c>
    </row>
    <row r="226" spans="1:29" s="28" customFormat="1" x14ac:dyDescent="0.25">
      <c r="A226" s="61">
        <v>110043734983</v>
      </c>
      <c r="B226" s="28">
        <v>2023</v>
      </c>
      <c r="C226" s="68">
        <f t="shared" si="3"/>
        <v>44927</v>
      </c>
      <c r="D226" s="28" t="s">
        <v>1272</v>
      </c>
      <c r="E226" s="28" t="s">
        <v>2080</v>
      </c>
      <c r="F226" s="28" t="s">
        <v>1273</v>
      </c>
      <c r="G226" s="28" t="s">
        <v>324</v>
      </c>
      <c r="H226" s="28">
        <v>42303</v>
      </c>
      <c r="I226" s="28">
        <v>37.770769999999999</v>
      </c>
      <c r="J226" s="28">
        <v>-87.065669999999997</v>
      </c>
      <c r="L226" s="61">
        <v>110043734983</v>
      </c>
      <c r="M226" s="28" t="s">
        <v>263</v>
      </c>
      <c r="N226" s="28">
        <v>4952</v>
      </c>
      <c r="O226" s="28" t="str">
        <f>IFERROR(VLOOKUP(N226, 'SIC &amp; NAICS Codes'!A:B, 2, FALSE), "")</f>
        <v>Sewerage Systems</v>
      </c>
      <c r="S226" s="28">
        <v>4.7248155000000001</v>
      </c>
      <c r="T226" s="315">
        <f>_xlfn.MAXIFS('Raw Period DMR Data'!$O:$O,'Raw Period DMR Data'!$A:$A,'Raw Annual DMR Data_2021-2024'!B984,'Raw Period DMR Data'!$C:$C,X226)/S226</f>
        <v>0</v>
      </c>
      <c r="U226" s="28" t="str">
        <f>+IF(COUNTIFS('Raw Period DMR Data'!$A:$A,B226, 'Raw Period DMR Data'!C:C,'Raw Annual DMR Data_2021-2024'!X984, 'Raw Period DMR Data'!M:M, "&gt;0")&gt;0,_xlfn.MAXIFS('Raw Period DMR Data'!M:M,'Raw Period DMR Data'!$A:$A,'Raw Annual DMR Data_2021-2024'!B984,'Raw Period DMR Data'!C:C,'Raw Annual DMR Data_2021-2024'!X984), "N/A - Period DMR Data Not Available")</f>
        <v>N/A - Period DMR Data Not Available</v>
      </c>
      <c r="V226" s="28" t="str" cm="1">
        <f t="array" ref="V226">IFERROR(INDEX('Raw Period DMR Data'!N:N,MATCH(1,(B226='Raw Period DMR Data'!$A:$A)*(U226='Raw Period DMR Data'!M:M)*(X226='Raw Period DMR Data'!C:C),0),1), "N/A")</f>
        <v>N/A</v>
      </c>
      <c r="W226" s="28" t="s">
        <v>1463</v>
      </c>
      <c r="X226" s="28" t="s">
        <v>2081</v>
      </c>
      <c r="Y226" s="28" t="s">
        <v>830</v>
      </c>
      <c r="Z226" s="61" t="s">
        <v>2082</v>
      </c>
      <c r="AA226" s="60"/>
      <c r="AB226" s="28" t="s">
        <v>7355</v>
      </c>
      <c r="AC226" s="28" t="s">
        <v>263</v>
      </c>
    </row>
    <row r="227" spans="1:29" s="28" customFormat="1" x14ac:dyDescent="0.25">
      <c r="A227" s="61">
        <v>110043734983</v>
      </c>
      <c r="B227" s="28">
        <v>2024</v>
      </c>
      <c r="C227" s="68">
        <f t="shared" si="3"/>
        <v>45292</v>
      </c>
      <c r="D227" s="28" t="s">
        <v>1272</v>
      </c>
      <c r="E227" s="28" t="s">
        <v>2080</v>
      </c>
      <c r="F227" s="28" t="s">
        <v>1273</v>
      </c>
      <c r="G227" s="28" t="s">
        <v>324</v>
      </c>
      <c r="H227" s="28">
        <v>42303</v>
      </c>
      <c r="I227" s="28">
        <v>37.770769999999999</v>
      </c>
      <c r="J227" s="28">
        <v>-87.065669999999997</v>
      </c>
      <c r="L227" s="61">
        <v>110043734983</v>
      </c>
      <c r="M227" s="28" t="s">
        <v>263</v>
      </c>
      <c r="N227" s="28">
        <v>4952</v>
      </c>
      <c r="O227" s="28" t="str">
        <f>IFERROR(VLOOKUP(N227, 'SIC &amp; NAICS Codes'!A:B, 2, FALSE), "")</f>
        <v>Sewerage Systems</v>
      </c>
      <c r="S227" s="28">
        <v>2.9219253749999998</v>
      </c>
      <c r="T227" s="315">
        <f>_xlfn.MAXIFS('Raw Period DMR Data'!$O:$O,'Raw Period DMR Data'!$A:$A,'Raw Annual DMR Data_2021-2024'!#REF!,'Raw Period DMR Data'!$C:$C,X227)/S227</f>
        <v>0</v>
      </c>
      <c r="U227" s="28" t="str">
        <f>+IF(COUNTIFS('Raw Period DMR Data'!$A:$A,B227,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7" s="28" t="str" cm="1">
        <f t="array" ref="V227">IFERROR(INDEX('Raw Period DMR Data'!N:N,MATCH(1,(B227='Raw Period DMR Data'!$A:$A)*(U227='Raw Period DMR Data'!M:M)*(X227='Raw Period DMR Data'!C:C),0),1), "N/A")</f>
        <v>N/A</v>
      </c>
      <c r="W227" s="28" t="s">
        <v>1463</v>
      </c>
      <c r="X227" s="28" t="s">
        <v>2081</v>
      </c>
      <c r="Y227" s="28" t="s">
        <v>830</v>
      </c>
      <c r="Z227" s="61">
        <v>5140201000008</v>
      </c>
      <c r="AA227" s="60"/>
      <c r="AB227" s="28" t="s">
        <v>7355</v>
      </c>
      <c r="AC227" s="28" t="s">
        <v>263</v>
      </c>
    </row>
    <row r="228" spans="1:29" s="28" customFormat="1" x14ac:dyDescent="0.25">
      <c r="A228" s="61">
        <v>110043734983</v>
      </c>
      <c r="B228" s="28">
        <v>2022</v>
      </c>
      <c r="C228" s="68">
        <f t="shared" si="3"/>
        <v>44562</v>
      </c>
      <c r="D228" s="28" t="s">
        <v>1272</v>
      </c>
      <c r="E228" s="28" t="s">
        <v>2080</v>
      </c>
      <c r="F228" s="28" t="s">
        <v>1273</v>
      </c>
      <c r="G228" s="28" t="s">
        <v>324</v>
      </c>
      <c r="H228" s="28">
        <v>42303</v>
      </c>
      <c r="I228" s="28">
        <v>37.770769999999999</v>
      </c>
      <c r="J228" s="28">
        <v>-87.065669999999997</v>
      </c>
      <c r="L228" s="61">
        <v>110043734983</v>
      </c>
      <c r="M228" s="28" t="s">
        <v>263</v>
      </c>
      <c r="N228" s="28">
        <v>4952</v>
      </c>
      <c r="O228" s="28" t="str">
        <f>IFERROR(VLOOKUP(N228, 'SIC &amp; NAICS Codes'!A:B, 2, FALSE), "")</f>
        <v>Sewerage Systems</v>
      </c>
      <c r="S228" s="28">
        <v>0.93446351000000005</v>
      </c>
      <c r="T228" s="315">
        <f>_xlfn.MAXIFS('Raw Period DMR Data'!$O:$O,'Raw Period DMR Data'!$A:$A,'Raw Annual DMR Data_2021-2024'!#REF!,'Raw Period DMR Data'!$C:$C,X228)/S228</f>
        <v>0</v>
      </c>
      <c r="U228" s="28" t="str">
        <f>+IF(COUNTIFS('Raw Period DMR Data'!$A:$A,B228,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28" s="28" t="str" cm="1">
        <f t="array" ref="V228">IFERROR(INDEX('Raw Period DMR Data'!N:N,MATCH(1,(B228='Raw Period DMR Data'!$A:$A)*(U228='Raw Period DMR Data'!M:M)*(X228='Raw Period DMR Data'!C:C),0),1), "N/A")</f>
        <v>N/A</v>
      </c>
      <c r="W228" s="28" t="s">
        <v>1463</v>
      </c>
      <c r="X228" s="28" t="s">
        <v>2081</v>
      </c>
      <c r="Y228" s="28" t="s">
        <v>830</v>
      </c>
      <c r="Z228" s="61">
        <v>5140201000008</v>
      </c>
      <c r="AA228" s="60"/>
      <c r="AB228" s="28" t="s">
        <v>7355</v>
      </c>
      <c r="AC228" s="28" t="s">
        <v>263</v>
      </c>
    </row>
    <row r="229" spans="1:29" s="28" customFormat="1" x14ac:dyDescent="0.25">
      <c r="A229" s="61">
        <v>110070097306</v>
      </c>
      <c r="B229" s="28">
        <v>2024</v>
      </c>
      <c r="C229" s="68">
        <f t="shared" si="3"/>
        <v>45292</v>
      </c>
      <c r="D229" s="28" t="s">
        <v>1275</v>
      </c>
      <c r="E229" s="28" t="s">
        <v>2087</v>
      </c>
      <c r="F229" s="28" t="s">
        <v>1276</v>
      </c>
      <c r="G229" s="28" t="s">
        <v>366</v>
      </c>
      <c r="H229" s="28">
        <v>93033</v>
      </c>
      <c r="I229" s="28">
        <v>34.141618999999999</v>
      </c>
      <c r="J229" s="28">
        <v>-119.184014</v>
      </c>
      <c r="L229" s="61">
        <v>110070097306</v>
      </c>
      <c r="M229" s="28" t="s">
        <v>263</v>
      </c>
      <c r="N229" s="28">
        <v>4952</v>
      </c>
      <c r="O229" s="28" t="str">
        <f>IFERROR(VLOOKUP(N229, 'SIC &amp; NAICS Codes'!A:B, 2, FALSE), "")</f>
        <v>Sewerage Systems</v>
      </c>
      <c r="S229" s="28">
        <v>5.6519512499999998</v>
      </c>
      <c r="T229" s="315">
        <f>_xlfn.MAXIFS('Raw Period DMR Data'!$O:$O,'Raw Period DMR Data'!$A:$A,'Raw Annual DMR Data_2021-2024'!B973,'Raw Period DMR Data'!$C:$C,X229)/S229</f>
        <v>0</v>
      </c>
      <c r="U229" s="28" t="str">
        <f>+IF(COUNTIFS('Raw Period DMR Data'!$A:$A,B229, 'Raw Period DMR Data'!C:C,'Raw Annual DMR Data_2021-2024'!X973, 'Raw Period DMR Data'!M:M, "&gt;0")&gt;0,_xlfn.MAXIFS('Raw Period DMR Data'!M:M,'Raw Period DMR Data'!$A:$A,'Raw Annual DMR Data_2021-2024'!B973,'Raw Period DMR Data'!C:C,'Raw Annual DMR Data_2021-2024'!X973), "N/A - Period DMR Data Not Available")</f>
        <v>N/A - Period DMR Data Not Available</v>
      </c>
      <c r="V229" s="28" t="str" cm="1">
        <f t="array" ref="V229">IFERROR(INDEX('Raw Period DMR Data'!N:N,MATCH(1,(B229='Raw Period DMR Data'!$A:$A)*(U229='Raw Period DMR Data'!M:M)*(X229='Raw Period DMR Data'!C:C),0),1), "N/A")</f>
        <v>N/A</v>
      </c>
      <c r="W229" s="28" t="s">
        <v>1463</v>
      </c>
      <c r="X229" s="28" t="s">
        <v>2088</v>
      </c>
      <c r="Y229" s="28" t="s">
        <v>926</v>
      </c>
      <c r="Z229" s="61">
        <v>18070103000060</v>
      </c>
      <c r="AA229" s="60"/>
      <c r="AB229" s="28" t="s">
        <v>7355</v>
      </c>
      <c r="AC229" s="28" t="s">
        <v>263</v>
      </c>
    </row>
    <row r="230" spans="1:29" s="28" customFormat="1" x14ac:dyDescent="0.25">
      <c r="A230" s="61">
        <v>110070097306</v>
      </c>
      <c r="B230" s="28">
        <v>2023</v>
      </c>
      <c r="C230" s="68">
        <f t="shared" si="3"/>
        <v>44927</v>
      </c>
      <c r="D230" s="28" t="s">
        <v>1275</v>
      </c>
      <c r="E230" s="28" t="s">
        <v>2087</v>
      </c>
      <c r="F230" s="28" t="s">
        <v>1276</v>
      </c>
      <c r="G230" s="28" t="s">
        <v>366</v>
      </c>
      <c r="H230" s="28">
        <v>93033</v>
      </c>
      <c r="I230" s="28">
        <v>34.141618999999999</v>
      </c>
      <c r="J230" s="28">
        <v>-119.184014</v>
      </c>
      <c r="L230" s="61">
        <v>110070097306</v>
      </c>
      <c r="M230" s="28" t="s">
        <v>263</v>
      </c>
      <c r="N230" s="28">
        <v>4952</v>
      </c>
      <c r="O230" s="28" t="str">
        <f>IFERROR(VLOOKUP(N230, 'SIC &amp; NAICS Codes'!A:B, 2, FALSE), "")</f>
        <v>Sewerage Systems</v>
      </c>
      <c r="S230" s="28">
        <v>5.4631895149999998</v>
      </c>
      <c r="T230" s="315">
        <f>_xlfn.MAXIFS('Raw Period DMR Data'!$O:$O,'Raw Period DMR Data'!$A:$A,'Raw Annual DMR Data_2021-2024'!B974,'Raw Period DMR Data'!$C:$C,X230)/S230</f>
        <v>0</v>
      </c>
      <c r="U230" s="28" t="str">
        <f>+IF(COUNTIFS('Raw Period DMR Data'!$A:$A,B230, 'Raw Period DMR Data'!C:C,'Raw Annual DMR Data_2021-2024'!X974, 'Raw Period DMR Data'!M:M, "&gt;0")&gt;0,_xlfn.MAXIFS('Raw Period DMR Data'!M:M,'Raw Period DMR Data'!$A:$A,'Raw Annual DMR Data_2021-2024'!B974,'Raw Period DMR Data'!C:C,'Raw Annual DMR Data_2021-2024'!X974), "N/A - Period DMR Data Not Available")</f>
        <v>N/A - Period DMR Data Not Available</v>
      </c>
      <c r="V230" s="28" t="str" cm="1">
        <f t="array" ref="V230">IFERROR(INDEX('Raw Period DMR Data'!N:N,MATCH(1,(B230='Raw Period DMR Data'!$A:$A)*(U230='Raw Period DMR Data'!M:M)*(X230='Raw Period DMR Data'!C:C),0),1), "N/A")</f>
        <v>N/A</v>
      </c>
      <c r="W230" s="28" t="s">
        <v>1463</v>
      </c>
      <c r="X230" s="28" t="s">
        <v>2088</v>
      </c>
      <c r="Y230" s="28" t="s">
        <v>926</v>
      </c>
      <c r="Z230" s="61">
        <v>18070103000060</v>
      </c>
      <c r="AA230" s="60"/>
      <c r="AB230" s="28" t="s">
        <v>7355</v>
      </c>
      <c r="AC230" s="28" t="s">
        <v>263</v>
      </c>
    </row>
    <row r="231" spans="1:29" s="28" customFormat="1" x14ac:dyDescent="0.25">
      <c r="A231" s="61">
        <v>110070097306</v>
      </c>
      <c r="B231" s="28">
        <v>2021</v>
      </c>
      <c r="C231" s="68">
        <f t="shared" si="3"/>
        <v>44197</v>
      </c>
      <c r="D231" s="28" t="s">
        <v>1275</v>
      </c>
      <c r="E231" s="28" t="s">
        <v>2087</v>
      </c>
      <c r="F231" s="28" t="s">
        <v>1276</v>
      </c>
      <c r="G231" s="28" t="s">
        <v>366</v>
      </c>
      <c r="H231" s="28">
        <v>93033</v>
      </c>
      <c r="I231" s="28">
        <v>34.141618999999999</v>
      </c>
      <c r="J231" s="28">
        <v>-119.184014</v>
      </c>
      <c r="L231" s="61">
        <v>110070097306</v>
      </c>
      <c r="M231" s="28" t="s">
        <v>263</v>
      </c>
      <c r="N231" s="28">
        <v>4952</v>
      </c>
      <c r="O231" s="28" t="str">
        <f>IFERROR(VLOOKUP(N231, 'SIC &amp; NAICS Codes'!A:B, 2, FALSE), "")</f>
        <v>Sewerage Systems</v>
      </c>
      <c r="S231" s="28">
        <v>0.94100966750000004</v>
      </c>
      <c r="T231" s="315">
        <f>_xlfn.MAXIFS('Raw Period DMR Data'!$O:$O,'Raw Period DMR Data'!$A:$A,'Raw Annual DMR Data_2021-2024'!#REF!,'Raw Period DMR Data'!$C:$C,X231)/S231</f>
        <v>0</v>
      </c>
      <c r="U231" s="28" t="str">
        <f>+IF(COUNTIFS('Raw Period DMR Data'!$A:$A,B231,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1" s="28" t="str" cm="1">
        <f t="array" ref="V231">IFERROR(INDEX('Raw Period DMR Data'!N:N,MATCH(1,(B231='Raw Period DMR Data'!$A:$A)*(U231='Raw Period DMR Data'!M:M)*(X231='Raw Period DMR Data'!C:C),0),1), "N/A")</f>
        <v>N/A</v>
      </c>
      <c r="W231" s="28" t="s">
        <v>1463</v>
      </c>
      <c r="X231" s="28" t="s">
        <v>2088</v>
      </c>
      <c r="Y231" s="28" t="s">
        <v>926</v>
      </c>
      <c r="Z231" s="61">
        <v>18070103000060</v>
      </c>
      <c r="AB231" s="28" t="s">
        <v>7355</v>
      </c>
      <c r="AC231" s="28" t="s">
        <v>263</v>
      </c>
    </row>
    <row r="232" spans="1:29" s="28" customFormat="1" x14ac:dyDescent="0.25">
      <c r="A232" s="61">
        <v>110070097306</v>
      </c>
      <c r="B232" s="28">
        <v>2022</v>
      </c>
      <c r="C232" s="68">
        <f t="shared" si="3"/>
        <v>44562</v>
      </c>
      <c r="D232" s="28" t="s">
        <v>1275</v>
      </c>
      <c r="E232" s="28" t="s">
        <v>2087</v>
      </c>
      <c r="F232" s="28" t="s">
        <v>1276</v>
      </c>
      <c r="G232" s="28" t="s">
        <v>366</v>
      </c>
      <c r="H232" s="28">
        <v>93033</v>
      </c>
      <c r="I232" s="28">
        <v>34.141618999999999</v>
      </c>
      <c r="J232" s="28">
        <v>-119.184014</v>
      </c>
      <c r="L232" s="61">
        <v>110070097306</v>
      </c>
      <c r="M232" s="28" t="s">
        <v>263</v>
      </c>
      <c r="N232" s="28">
        <v>4952</v>
      </c>
      <c r="O232" s="28" t="str">
        <f>IFERROR(VLOOKUP(N232, 'SIC &amp; NAICS Codes'!A:B, 2, FALSE), "")</f>
        <v>Sewerage Systems</v>
      </c>
      <c r="S232" s="28">
        <v>0.74887284799999998</v>
      </c>
      <c r="T232" s="315">
        <f>_xlfn.MAXIFS('Raw Period DMR Data'!$O:$O,'Raw Period DMR Data'!$A:$A,'Raw Annual DMR Data_2021-2024'!#REF!,'Raw Period DMR Data'!$C:$C,X232)/S232</f>
        <v>0</v>
      </c>
      <c r="U232" s="28" t="str">
        <f>+IF(COUNTIFS('Raw Period DMR Data'!$A:$A,B232,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2" s="28" t="str" cm="1">
        <f t="array" ref="V232">IFERROR(INDEX('Raw Period DMR Data'!N:N,MATCH(1,(B232='Raw Period DMR Data'!$A:$A)*(U232='Raw Period DMR Data'!M:M)*(X232='Raw Period DMR Data'!C:C),0),1), "N/A")</f>
        <v>N/A</v>
      </c>
      <c r="W232" s="28" t="s">
        <v>1463</v>
      </c>
      <c r="X232" s="28" t="s">
        <v>2088</v>
      </c>
      <c r="Y232" s="28" t="s">
        <v>926</v>
      </c>
      <c r="Z232" s="61">
        <v>18070103000060</v>
      </c>
      <c r="AA232" s="60"/>
      <c r="AB232" s="28" t="s">
        <v>7355</v>
      </c>
      <c r="AC232" s="28" t="s">
        <v>263</v>
      </c>
    </row>
    <row r="233" spans="1:29" s="28" customFormat="1" x14ac:dyDescent="0.25">
      <c r="A233" s="61">
        <v>110006367136</v>
      </c>
      <c r="B233" s="28">
        <v>2021</v>
      </c>
      <c r="C233" s="68">
        <f t="shared" si="3"/>
        <v>44197</v>
      </c>
      <c r="D233" s="28" t="s">
        <v>1277</v>
      </c>
      <c r="E233" s="28" t="s">
        <v>2089</v>
      </c>
      <c r="F233" s="28" t="s">
        <v>1278</v>
      </c>
      <c r="G233" s="28" t="s">
        <v>324</v>
      </c>
      <c r="H233" s="28">
        <v>42001</v>
      </c>
      <c r="I233" s="28">
        <v>37.021974</v>
      </c>
      <c r="J233" s="28">
        <v>-88.512833000000001</v>
      </c>
      <c r="L233" s="61">
        <v>110006367136</v>
      </c>
      <c r="M233" s="28" t="s">
        <v>263</v>
      </c>
      <c r="N233" s="28">
        <v>4952</v>
      </c>
      <c r="O233" s="28" t="str">
        <f>IFERROR(VLOOKUP(N233, 'SIC &amp; NAICS Codes'!A:B, 2, FALSE), "")</f>
        <v>Sewerage Systems</v>
      </c>
      <c r="S233" s="28">
        <v>1.9859421875000001</v>
      </c>
      <c r="T233" s="315">
        <f>_xlfn.MAXIFS('Raw Period DMR Data'!$O:$O,'Raw Period DMR Data'!$A:$A,'Raw Annual DMR Data_2021-2024'!#REF!,'Raw Period DMR Data'!$C:$C,X233)/S233</f>
        <v>0</v>
      </c>
      <c r="U233" s="28" t="str">
        <f>+IF(COUNTIFS('Raw Period DMR Data'!$A:$A,B233,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3" s="28" t="str" cm="1">
        <f t="array" ref="V233">IFERROR(INDEX('Raw Period DMR Data'!N:N,MATCH(1,(B233='Raw Period DMR Data'!$A:$A)*(U233='Raw Period DMR Data'!M:M)*(X233='Raw Period DMR Data'!C:C),0),1), "N/A")</f>
        <v>N/A</v>
      </c>
      <c r="W233" s="28" t="s">
        <v>1463</v>
      </c>
      <c r="X233" s="28" t="s">
        <v>2090</v>
      </c>
      <c r="Y233" s="28" t="s">
        <v>2091</v>
      </c>
      <c r="Z233" s="61">
        <v>6040006000343</v>
      </c>
      <c r="AB233" s="28" t="s">
        <v>7355</v>
      </c>
      <c r="AC233" s="28" t="s">
        <v>263</v>
      </c>
    </row>
    <row r="234" spans="1:29" s="28" customFormat="1" x14ac:dyDescent="0.25">
      <c r="A234" s="61">
        <v>110006367136</v>
      </c>
      <c r="B234" s="28">
        <v>2024</v>
      </c>
      <c r="C234" s="68">
        <f t="shared" si="3"/>
        <v>45292</v>
      </c>
      <c r="D234" s="28" t="s">
        <v>1277</v>
      </c>
      <c r="E234" s="28" t="s">
        <v>2089</v>
      </c>
      <c r="F234" s="28" t="s">
        <v>1278</v>
      </c>
      <c r="G234" s="28" t="s">
        <v>324</v>
      </c>
      <c r="H234" s="28">
        <v>42001</v>
      </c>
      <c r="I234" s="28">
        <v>37.021974</v>
      </c>
      <c r="J234" s="28">
        <v>-88.512833000000001</v>
      </c>
      <c r="L234" s="61">
        <v>110006367136</v>
      </c>
      <c r="M234" s="28" t="s">
        <v>263</v>
      </c>
      <c r="N234" s="28">
        <v>4952</v>
      </c>
      <c r="O234" s="28" t="str">
        <f>IFERROR(VLOOKUP(N234, 'SIC &amp; NAICS Codes'!A:B, 2, FALSE), "")</f>
        <v>Sewerage Systems</v>
      </c>
      <c r="S234" s="28">
        <v>1.19640065</v>
      </c>
      <c r="T234" s="315">
        <f>_xlfn.MAXIFS('Raw Period DMR Data'!$O:$O,'Raw Period DMR Data'!$A:$A,'Raw Annual DMR Data_2021-2024'!#REF!,'Raw Period DMR Data'!$C:$C,X234)/S234</f>
        <v>0</v>
      </c>
      <c r="U234" s="28" t="str">
        <f>+IF(COUNTIFS('Raw Period DMR Data'!$A:$A,B234,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4" s="28" t="str" cm="1">
        <f t="array" ref="V234">IFERROR(INDEX('Raw Period DMR Data'!N:N,MATCH(1,(B234='Raw Period DMR Data'!$A:$A)*(U234='Raw Period DMR Data'!M:M)*(X234='Raw Period DMR Data'!C:C),0),1), "N/A")</f>
        <v>N/A</v>
      </c>
      <c r="W234" s="28" t="s">
        <v>1463</v>
      </c>
      <c r="X234" s="28" t="s">
        <v>2090</v>
      </c>
      <c r="Y234" s="28" t="s">
        <v>2091</v>
      </c>
      <c r="Z234" s="61">
        <v>6040006000343</v>
      </c>
      <c r="AA234" s="60"/>
      <c r="AC234" s="28" t="s">
        <v>263</v>
      </c>
    </row>
    <row r="235" spans="1:29" s="28" customFormat="1" x14ac:dyDescent="0.25">
      <c r="A235" s="61">
        <v>110006367136</v>
      </c>
      <c r="B235" s="28">
        <v>2022</v>
      </c>
      <c r="C235" s="68">
        <f t="shared" si="3"/>
        <v>44562</v>
      </c>
      <c r="D235" s="28" t="s">
        <v>1277</v>
      </c>
      <c r="E235" s="28" t="s">
        <v>2089</v>
      </c>
      <c r="F235" s="28" t="s">
        <v>1278</v>
      </c>
      <c r="G235" s="28" t="s">
        <v>324</v>
      </c>
      <c r="H235" s="28">
        <v>42001</v>
      </c>
      <c r="I235" s="28">
        <v>37.021974</v>
      </c>
      <c r="J235" s="28">
        <v>-88.512833000000001</v>
      </c>
      <c r="L235" s="61">
        <v>110006367136</v>
      </c>
      <c r="M235" s="28" t="s">
        <v>263</v>
      </c>
      <c r="N235" s="28">
        <v>4952</v>
      </c>
      <c r="O235" s="28" t="str">
        <f>IFERROR(VLOOKUP(N235, 'SIC &amp; NAICS Codes'!A:B, 2, FALSE), "")</f>
        <v>Sewerage Systems</v>
      </c>
      <c r="S235" s="28">
        <v>0.66589505000000004</v>
      </c>
      <c r="T235" s="315">
        <f>_xlfn.MAXIFS('Raw Period DMR Data'!$O:$O,'Raw Period DMR Data'!$A:$A,'Raw Annual DMR Data_2021-2024'!#REF!,'Raw Period DMR Data'!$C:$C,X235)/S235</f>
        <v>0</v>
      </c>
      <c r="U235" s="28" t="str">
        <f>+IF(COUNTIFS('Raw Period DMR Data'!$A:$A,B235,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5" s="28" t="str" cm="1">
        <f t="array" ref="V235">IFERROR(INDEX('Raw Period DMR Data'!N:N,MATCH(1,(B235='Raw Period DMR Data'!$A:$A)*(U235='Raw Period DMR Data'!M:M)*(X235='Raw Period DMR Data'!C:C),0),1), "N/A")</f>
        <v>N/A</v>
      </c>
      <c r="W235" s="28" t="s">
        <v>1463</v>
      </c>
      <c r="X235" s="28" t="s">
        <v>2090</v>
      </c>
      <c r="Y235" s="28" t="s">
        <v>2091</v>
      </c>
      <c r="Z235" s="61">
        <v>6040006000343</v>
      </c>
      <c r="AA235" s="60"/>
      <c r="AB235" s="28" t="s">
        <v>7355</v>
      </c>
      <c r="AC235" s="28" t="s">
        <v>263</v>
      </c>
    </row>
    <row r="236" spans="1:29" s="28" customFormat="1" x14ac:dyDescent="0.25">
      <c r="A236" s="61">
        <v>110006367136</v>
      </c>
      <c r="B236" s="28">
        <v>2023</v>
      </c>
      <c r="C236" s="68">
        <f t="shared" si="3"/>
        <v>44927</v>
      </c>
      <c r="D236" s="28" t="s">
        <v>1277</v>
      </c>
      <c r="E236" s="28" t="s">
        <v>2089</v>
      </c>
      <c r="F236" s="28" t="s">
        <v>1278</v>
      </c>
      <c r="G236" s="28" t="s">
        <v>324</v>
      </c>
      <c r="H236" s="28">
        <v>42001</v>
      </c>
      <c r="I236" s="28">
        <v>37.021974</v>
      </c>
      <c r="J236" s="28">
        <v>-88.512833000000001</v>
      </c>
      <c r="L236" s="61">
        <v>110006367136</v>
      </c>
      <c r="M236" s="28" t="s">
        <v>263</v>
      </c>
      <c r="N236" s="28">
        <v>4952</v>
      </c>
      <c r="O236" s="28" t="str">
        <f>IFERROR(VLOOKUP(N236, 'SIC &amp; NAICS Codes'!A:B, 2, FALSE), "")</f>
        <v>Sewerage Systems</v>
      </c>
      <c r="S236" s="28">
        <v>8.1786279999999999E-4</v>
      </c>
      <c r="T236" s="315">
        <f>_xlfn.MAXIFS('Raw Period DMR Data'!$O:$O,'Raw Period DMR Data'!$A:$A,'Raw Annual DMR Data_2021-2024'!#REF!,'Raw Period DMR Data'!$C:$C,X236)/S236</f>
        <v>0</v>
      </c>
      <c r="U236" s="28" t="str">
        <f>+IF(COUNTIFS('Raw Period DMR Data'!$A:$A,B236,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6" s="28" t="str" cm="1">
        <f t="array" ref="V236">IFERROR(INDEX('Raw Period DMR Data'!N:N,MATCH(1,(B236='Raw Period DMR Data'!$A:$A)*(U236='Raw Period DMR Data'!M:M)*(X236='Raw Period DMR Data'!C:C),0),1), "N/A")</f>
        <v>N/A</v>
      </c>
      <c r="W236" s="28" t="s">
        <v>1463</v>
      </c>
      <c r="X236" s="28" t="s">
        <v>2090</v>
      </c>
      <c r="Y236" s="28" t="s">
        <v>2091</v>
      </c>
      <c r="Z236" s="61" t="s">
        <v>7324</v>
      </c>
      <c r="AA236" s="60"/>
      <c r="AC236" s="28" t="s">
        <v>263</v>
      </c>
    </row>
    <row r="237" spans="1:29" s="28" customFormat="1" x14ac:dyDescent="0.25">
      <c r="A237" s="61">
        <v>110000551082</v>
      </c>
      <c r="B237" s="28">
        <v>2021</v>
      </c>
      <c r="C237" s="68">
        <f t="shared" si="3"/>
        <v>44197</v>
      </c>
      <c r="D237" s="28" t="s">
        <v>6826</v>
      </c>
      <c r="E237" s="28" t="s">
        <v>2096</v>
      </c>
      <c r="F237" s="28" t="s">
        <v>1284</v>
      </c>
      <c r="G237" s="28" t="s">
        <v>324</v>
      </c>
      <c r="H237" s="28" t="s">
        <v>2097</v>
      </c>
      <c r="I237" s="28">
        <v>38.223610999999998</v>
      </c>
      <c r="J237" s="28">
        <v>-84.253332999999998</v>
      </c>
      <c r="L237" s="61">
        <v>110000551082</v>
      </c>
      <c r="M237" s="28" t="s">
        <v>263</v>
      </c>
      <c r="N237" s="28">
        <v>4952</v>
      </c>
      <c r="O237" s="28" t="str">
        <f>IFERROR(VLOOKUP(N237, 'SIC &amp; NAICS Codes'!A:B, 2, FALSE), "")</f>
        <v>Sewerage Systems</v>
      </c>
      <c r="S237" s="28">
        <v>6.2824849375E-3</v>
      </c>
      <c r="T237" s="315">
        <f>_xlfn.MAXIFS('Raw Period DMR Data'!$O:$O,'Raw Period DMR Data'!$A:$A,'Raw Annual DMR Data_2021-2024'!#REF!,'Raw Period DMR Data'!$C:$C,X237)/S237</f>
        <v>0</v>
      </c>
      <c r="U237" s="28" t="str">
        <f>+IF(COUNTIFS('Raw Period DMR Data'!$A:$A,B237,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37" s="28" t="str" cm="1">
        <f t="array" ref="V237">IFERROR(INDEX('Raw Period DMR Data'!N:N,MATCH(1,(B237='Raw Period DMR Data'!$A:$A)*(U237='Raw Period DMR Data'!M:M)*(X237='Raw Period DMR Data'!C:C),0),1), "N/A")</f>
        <v>N/A</v>
      </c>
      <c r="W237" s="28" t="s">
        <v>1463</v>
      </c>
      <c r="X237" s="28" t="s">
        <v>2098</v>
      </c>
      <c r="Y237" s="28" t="s">
        <v>2099</v>
      </c>
      <c r="Z237" s="61">
        <v>5100102000062</v>
      </c>
      <c r="AB237" s="28" t="s">
        <v>7355</v>
      </c>
      <c r="AC237" s="28" t="s">
        <v>263</v>
      </c>
    </row>
    <row r="238" spans="1:29" s="28" customFormat="1" x14ac:dyDescent="0.25">
      <c r="A238" s="61">
        <v>110000542119</v>
      </c>
      <c r="B238" s="28">
        <v>2022</v>
      </c>
      <c r="C238" s="68">
        <f t="shared" si="3"/>
        <v>44562</v>
      </c>
      <c r="D238" s="28" t="s">
        <v>1289</v>
      </c>
      <c r="E238" s="28" t="s">
        <v>2111</v>
      </c>
      <c r="F238" s="28" t="s">
        <v>966</v>
      </c>
      <c r="G238" s="28" t="s">
        <v>491</v>
      </c>
      <c r="H238" s="28">
        <v>19153</v>
      </c>
      <c r="I238" s="28">
        <v>39.886130000000001</v>
      </c>
      <c r="J238" s="28">
        <v>-75.218249999999998</v>
      </c>
      <c r="L238" s="61">
        <v>110000542119</v>
      </c>
      <c r="M238" s="28" t="s">
        <v>263</v>
      </c>
      <c r="N238" s="28">
        <v>4952</v>
      </c>
      <c r="O238" s="28" t="str">
        <f>IFERROR(VLOOKUP(N238, 'SIC &amp; NAICS Codes'!A:B, 2, FALSE), "")</f>
        <v>Sewerage Systems</v>
      </c>
      <c r="S238" s="28">
        <v>391.34345124999999</v>
      </c>
      <c r="T238" s="315">
        <f>_xlfn.MAXIFS('Raw Period DMR Data'!$O:$O,'Raw Period DMR Data'!$A:$A,'Raw Annual DMR Data_2021-2024'!B855,'Raw Period DMR Data'!$C:$C,X238)/S238</f>
        <v>0</v>
      </c>
      <c r="U238" s="28" t="str">
        <f>+IF(COUNTIFS('Raw Period DMR Data'!$A:$A,B238, 'Raw Period DMR Data'!C:C,'Raw Annual DMR Data_2021-2024'!X855, 'Raw Period DMR Data'!M:M, "&gt;0")&gt;0,_xlfn.MAXIFS('Raw Period DMR Data'!M:M,'Raw Period DMR Data'!$A:$A,'Raw Annual DMR Data_2021-2024'!B855,'Raw Period DMR Data'!C:C,'Raw Annual DMR Data_2021-2024'!X855), "N/A - Period DMR Data Not Available")</f>
        <v>N/A - Period DMR Data Not Available</v>
      </c>
      <c r="V238" s="28" t="str" cm="1">
        <f t="array" ref="V238">IFERROR(INDEX('Raw Period DMR Data'!N:N,MATCH(1,(B238='Raw Period DMR Data'!$A:$A)*(U238='Raw Period DMR Data'!M:M)*(X238='Raw Period DMR Data'!C:C),0),1), "N/A")</f>
        <v>N/A</v>
      </c>
      <c r="W238" s="28" t="s">
        <v>1463</v>
      </c>
      <c r="X238" s="28" t="s">
        <v>2112</v>
      </c>
      <c r="Y238" s="28" t="s">
        <v>7251</v>
      </c>
      <c r="Z238" s="61">
        <v>2040203009681</v>
      </c>
      <c r="AA238" s="60"/>
      <c r="AB238" s="28" t="s">
        <v>7355</v>
      </c>
      <c r="AC238" s="28" t="s">
        <v>263</v>
      </c>
    </row>
    <row r="239" spans="1:29" s="28" customFormat="1" x14ac:dyDescent="0.25">
      <c r="A239" s="61">
        <v>110000542119</v>
      </c>
      <c r="B239" s="28">
        <v>2021</v>
      </c>
      <c r="C239" s="68">
        <f t="shared" si="3"/>
        <v>44197</v>
      </c>
      <c r="D239" s="28" t="s">
        <v>1289</v>
      </c>
      <c r="E239" s="28" t="s">
        <v>2111</v>
      </c>
      <c r="F239" s="28" t="s">
        <v>966</v>
      </c>
      <c r="G239" s="28" t="s">
        <v>491</v>
      </c>
      <c r="H239" s="28">
        <v>19153</v>
      </c>
      <c r="I239" s="28">
        <v>39.886130000000001</v>
      </c>
      <c r="J239" s="28">
        <v>-75.218249999999998</v>
      </c>
      <c r="L239" s="61">
        <v>110000542119</v>
      </c>
      <c r="M239" s="28" t="s">
        <v>263</v>
      </c>
      <c r="N239" s="28">
        <v>4952</v>
      </c>
      <c r="O239" s="28" t="str">
        <f>IFERROR(VLOOKUP(N239, 'SIC &amp; NAICS Codes'!A:B, 2, FALSE), "")</f>
        <v>Sewerage Systems</v>
      </c>
      <c r="S239" s="28">
        <v>307.49434624999998</v>
      </c>
      <c r="T239" s="315">
        <f>_xlfn.MAXIFS('Raw Period DMR Data'!$O:$O,'Raw Period DMR Data'!$A:$A,'Raw Annual DMR Data_2021-2024'!B858,'Raw Period DMR Data'!$C:$C,X239)/S239</f>
        <v>0</v>
      </c>
      <c r="U239" s="28" t="str">
        <f>+IF(COUNTIFS('Raw Period DMR Data'!$A:$A,B239, 'Raw Period DMR Data'!C:C,'Raw Annual DMR Data_2021-2024'!X858, 'Raw Period DMR Data'!M:M, "&gt;0")&gt;0,_xlfn.MAXIFS('Raw Period DMR Data'!M:M,'Raw Period DMR Data'!$A:$A,'Raw Annual DMR Data_2021-2024'!B858,'Raw Period DMR Data'!C:C,'Raw Annual DMR Data_2021-2024'!X858), "N/A - Period DMR Data Not Available")</f>
        <v>N/A - Period DMR Data Not Available</v>
      </c>
      <c r="V239" s="28" t="str" cm="1">
        <f t="array" ref="V239">IFERROR(INDEX('Raw Period DMR Data'!N:N,MATCH(1,(B239='Raw Period DMR Data'!$A:$A)*(U239='Raw Period DMR Data'!M:M)*(X239='Raw Period DMR Data'!C:C),0),1), "N/A")</f>
        <v>N/A</v>
      </c>
      <c r="W239" s="28" t="s">
        <v>1463</v>
      </c>
      <c r="X239" s="28" t="s">
        <v>2112</v>
      </c>
      <c r="Y239" s="28" t="s">
        <v>7251</v>
      </c>
      <c r="Z239" s="61">
        <v>2040203009681</v>
      </c>
      <c r="AB239" s="28" t="s">
        <v>7355</v>
      </c>
      <c r="AC239" s="28" t="s">
        <v>263</v>
      </c>
    </row>
    <row r="240" spans="1:29" s="28" customFormat="1" x14ac:dyDescent="0.25">
      <c r="A240" s="61">
        <v>110000542119</v>
      </c>
      <c r="B240" s="28">
        <v>2024</v>
      </c>
      <c r="C240" s="68">
        <f t="shared" si="3"/>
        <v>45292</v>
      </c>
      <c r="D240" s="28" t="s">
        <v>1289</v>
      </c>
      <c r="E240" s="28" t="s">
        <v>2111</v>
      </c>
      <c r="F240" s="28" t="s">
        <v>966</v>
      </c>
      <c r="G240" s="28" t="s">
        <v>491</v>
      </c>
      <c r="H240" s="28">
        <v>19153</v>
      </c>
      <c r="I240" s="28">
        <v>39.886130000000001</v>
      </c>
      <c r="J240" s="28">
        <v>-75.218249999999998</v>
      </c>
      <c r="L240" s="61">
        <v>110000542119</v>
      </c>
      <c r="M240" s="28" t="s">
        <v>263</v>
      </c>
      <c r="N240" s="28">
        <v>4952</v>
      </c>
      <c r="O240" s="28" t="str">
        <f>IFERROR(VLOOKUP(N240, 'SIC &amp; NAICS Codes'!A:B, 2, FALSE), "")</f>
        <v>Sewerage Systems</v>
      </c>
      <c r="S240" s="28">
        <v>299.59694374999998</v>
      </c>
      <c r="T240" s="315">
        <f>_xlfn.MAXIFS('Raw Period DMR Data'!$O:$O,'Raw Period DMR Data'!$A:$A,'Raw Annual DMR Data_2021-2024'!B859,'Raw Period DMR Data'!$C:$C,X240)/S240</f>
        <v>0</v>
      </c>
      <c r="U240" s="28" t="str">
        <f>+IF(COUNTIFS('Raw Period DMR Data'!$A:$A,B240, 'Raw Period DMR Data'!C:C,'Raw Annual DMR Data_2021-2024'!X859, 'Raw Period DMR Data'!M:M, "&gt;0")&gt;0,_xlfn.MAXIFS('Raw Period DMR Data'!M:M,'Raw Period DMR Data'!$A:$A,'Raw Annual DMR Data_2021-2024'!B859,'Raw Period DMR Data'!C:C,'Raw Annual DMR Data_2021-2024'!X859), "N/A - Period DMR Data Not Available")</f>
        <v>N/A - Period DMR Data Not Available</v>
      </c>
      <c r="V240" s="28" t="str" cm="1">
        <f t="array" ref="V240">IFERROR(INDEX('Raw Period DMR Data'!N:N,MATCH(1,(B240='Raw Period DMR Data'!$A:$A)*(U240='Raw Period DMR Data'!M:M)*(X240='Raw Period DMR Data'!C:C),0),1), "N/A")</f>
        <v>N/A</v>
      </c>
      <c r="W240" s="28" t="s">
        <v>1463</v>
      </c>
      <c r="X240" s="28" t="s">
        <v>2112</v>
      </c>
      <c r="Y240" s="28" t="s">
        <v>7251</v>
      </c>
      <c r="Z240" s="61">
        <v>2040203009681</v>
      </c>
      <c r="AA240" s="60"/>
      <c r="AB240" s="28" t="s">
        <v>7355</v>
      </c>
      <c r="AC240" s="28" t="s">
        <v>263</v>
      </c>
    </row>
    <row r="241" spans="1:29" s="28" customFormat="1" x14ac:dyDescent="0.25">
      <c r="A241" s="61">
        <v>110000542119</v>
      </c>
      <c r="B241" s="28">
        <v>2023</v>
      </c>
      <c r="C241" s="68">
        <f t="shared" si="3"/>
        <v>44927</v>
      </c>
      <c r="D241" s="28" t="s">
        <v>1289</v>
      </c>
      <c r="E241" s="28" t="s">
        <v>2111</v>
      </c>
      <c r="F241" s="28" t="s">
        <v>966</v>
      </c>
      <c r="G241" s="28" t="s">
        <v>491</v>
      </c>
      <c r="H241" s="28">
        <v>19153</v>
      </c>
      <c r="I241" s="28">
        <v>39.886130000000001</v>
      </c>
      <c r="J241" s="28">
        <v>-75.218249999999998</v>
      </c>
      <c r="L241" s="61">
        <v>110000542119</v>
      </c>
      <c r="M241" s="28" t="s">
        <v>263</v>
      </c>
      <c r="N241" s="28">
        <v>4952</v>
      </c>
      <c r="O241" s="28" t="str">
        <f>IFERROR(VLOOKUP(N241, 'SIC &amp; NAICS Codes'!A:B, 2, FALSE), "")</f>
        <v>Sewerage Systems</v>
      </c>
      <c r="S241" s="28">
        <v>279.84984175</v>
      </c>
      <c r="T241" s="315">
        <f>_xlfn.MAXIFS('Raw Period DMR Data'!$O:$O,'Raw Period DMR Data'!$A:$A,'Raw Annual DMR Data_2021-2024'!B863,'Raw Period DMR Data'!$C:$C,X241)/S241</f>
        <v>0</v>
      </c>
      <c r="U241" s="28" t="str">
        <f>+IF(COUNTIFS('Raw Period DMR Data'!$A:$A,B241, 'Raw Period DMR Data'!C:C,'Raw Annual DMR Data_2021-2024'!X863, 'Raw Period DMR Data'!M:M, "&gt;0")&gt;0,_xlfn.MAXIFS('Raw Period DMR Data'!M:M,'Raw Period DMR Data'!$A:$A,'Raw Annual DMR Data_2021-2024'!B863,'Raw Period DMR Data'!C:C,'Raw Annual DMR Data_2021-2024'!X863), "N/A - Period DMR Data Not Available")</f>
        <v>N/A - Period DMR Data Not Available</v>
      </c>
      <c r="V241" s="28" t="str" cm="1">
        <f t="array" ref="V241">IFERROR(INDEX('Raw Period DMR Data'!N:N,MATCH(1,(B241='Raw Period DMR Data'!$A:$A)*(U241='Raw Period DMR Data'!M:M)*(X241='Raw Period DMR Data'!C:C),0),1), "N/A")</f>
        <v>N/A</v>
      </c>
      <c r="W241" s="28" t="s">
        <v>1463</v>
      </c>
      <c r="X241" s="28" t="s">
        <v>2112</v>
      </c>
      <c r="Y241" s="28" t="s">
        <v>7251</v>
      </c>
      <c r="Z241" s="61">
        <v>2040203009681</v>
      </c>
      <c r="AA241" s="60"/>
      <c r="AB241" s="28" t="s">
        <v>7355</v>
      </c>
      <c r="AC241" s="28" t="s">
        <v>263</v>
      </c>
    </row>
    <row r="242" spans="1:29" s="28" customFormat="1" x14ac:dyDescent="0.25">
      <c r="A242" s="61">
        <v>110006644872</v>
      </c>
      <c r="B242" s="28">
        <v>2024</v>
      </c>
      <c r="C242" s="68">
        <f t="shared" si="3"/>
        <v>45292</v>
      </c>
      <c r="D242" s="28" t="s">
        <v>1293</v>
      </c>
      <c r="E242" s="28" t="s">
        <v>2122</v>
      </c>
      <c r="F242" s="28" t="s">
        <v>1294</v>
      </c>
      <c r="G242" s="28" t="s">
        <v>324</v>
      </c>
      <c r="H242" s="28">
        <v>41501</v>
      </c>
      <c r="I242" s="28">
        <v>37.491857000000003</v>
      </c>
      <c r="J242" s="28">
        <v>-82.539703000000003</v>
      </c>
      <c r="L242" s="61">
        <v>110006644872</v>
      </c>
      <c r="M242" s="28" t="s">
        <v>263</v>
      </c>
      <c r="N242" s="28">
        <v>4952</v>
      </c>
      <c r="O242" s="28" t="str">
        <f>IFERROR(VLOOKUP(N242, 'SIC &amp; NAICS Codes'!A:B, 2, FALSE), "")</f>
        <v>Sewerage Systems</v>
      </c>
      <c r="S242" s="28">
        <v>1.38428805E-3</v>
      </c>
      <c r="T242" s="315">
        <f>_xlfn.MAXIFS('Raw Period DMR Data'!$O:$O,'Raw Period DMR Data'!$A:$A,'Raw Annual DMR Data_2021-2024'!#REF!,'Raw Period DMR Data'!$C:$C,X242)/S242</f>
        <v>0</v>
      </c>
      <c r="U242" s="28" t="str">
        <f>+IF(COUNTIFS('Raw Period DMR Data'!$A:$A,B242,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2" s="28" t="str" cm="1">
        <f t="array" ref="V242">IFERROR(INDEX('Raw Period DMR Data'!N:N,MATCH(1,(B242='Raw Period DMR Data'!$A:$A)*(U242='Raw Period DMR Data'!M:M)*(X242='Raw Period DMR Data'!C:C),0),1), "N/A")</f>
        <v>N/A</v>
      </c>
      <c r="W242" s="28" t="s">
        <v>1463</v>
      </c>
      <c r="X242" s="28" t="s">
        <v>2123</v>
      </c>
      <c r="Y242" s="28" t="s">
        <v>2124</v>
      </c>
      <c r="Z242" s="61">
        <v>5070203000244</v>
      </c>
      <c r="AA242" s="60"/>
      <c r="AB242" s="28" t="s">
        <v>7355</v>
      </c>
      <c r="AC242" s="28" t="s">
        <v>263</v>
      </c>
    </row>
    <row r="243" spans="1:29" s="28" customFormat="1" x14ac:dyDescent="0.25">
      <c r="A243" s="61">
        <v>110006644872</v>
      </c>
      <c r="B243" s="28">
        <v>2023</v>
      </c>
      <c r="C243" s="68">
        <f t="shared" si="3"/>
        <v>44927</v>
      </c>
      <c r="D243" s="28" t="s">
        <v>1293</v>
      </c>
      <c r="E243" s="28" t="s">
        <v>2122</v>
      </c>
      <c r="F243" s="28" t="s">
        <v>1294</v>
      </c>
      <c r="G243" s="28" t="s">
        <v>324</v>
      </c>
      <c r="H243" s="28">
        <v>41501</v>
      </c>
      <c r="I243" s="28">
        <v>37.491857000000003</v>
      </c>
      <c r="J243" s="28">
        <v>-82.539703000000003</v>
      </c>
      <c r="L243" s="61">
        <v>110006644872</v>
      </c>
      <c r="M243" s="28" t="s">
        <v>263</v>
      </c>
      <c r="N243" s="28">
        <v>4952</v>
      </c>
      <c r="O243" s="28" t="str">
        <f>IFERROR(VLOOKUP(N243, 'SIC &amp; NAICS Codes'!A:B, 2, FALSE), "")</f>
        <v>Sewerage Systems</v>
      </c>
      <c r="S243" s="28">
        <v>1.2218897862500001E-3</v>
      </c>
      <c r="T243" s="315">
        <f>_xlfn.MAXIFS('Raw Period DMR Data'!$O:$O,'Raw Period DMR Data'!$A:$A,'Raw Annual DMR Data_2021-2024'!#REF!,'Raw Period DMR Data'!$C:$C,X243)/S243</f>
        <v>0</v>
      </c>
      <c r="U243" s="28" t="str">
        <f>+IF(COUNTIFS('Raw Period DMR Data'!$A:$A,B243,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3" s="28" t="str" cm="1">
        <f t="array" ref="V243">IFERROR(INDEX('Raw Period DMR Data'!N:N,MATCH(1,(B243='Raw Period DMR Data'!$A:$A)*(U243='Raw Period DMR Data'!M:M)*(X243='Raw Period DMR Data'!C:C),0),1), "N/A")</f>
        <v>N/A</v>
      </c>
      <c r="W243" s="28" t="s">
        <v>1463</v>
      </c>
      <c r="X243" s="28" t="s">
        <v>2123</v>
      </c>
      <c r="Y243" s="28" t="s">
        <v>2124</v>
      </c>
      <c r="Z243" s="61" t="s">
        <v>2125</v>
      </c>
      <c r="AA243" s="60"/>
      <c r="AB243" s="28" t="s">
        <v>7355</v>
      </c>
      <c r="AC243" s="28" t="s">
        <v>263</v>
      </c>
    </row>
    <row r="244" spans="1:29" s="28" customFormat="1" x14ac:dyDescent="0.25">
      <c r="A244" s="61">
        <v>110070214056</v>
      </c>
      <c r="B244" s="28">
        <v>2024</v>
      </c>
      <c r="C244" s="68">
        <f t="shared" si="3"/>
        <v>45292</v>
      </c>
      <c r="D244" s="28" t="s">
        <v>6832</v>
      </c>
      <c r="E244" s="28" t="s">
        <v>6985</v>
      </c>
      <c r="F244" s="28" t="s">
        <v>6986</v>
      </c>
      <c r="G244" s="28" t="s">
        <v>338</v>
      </c>
      <c r="H244" s="28">
        <v>8533</v>
      </c>
      <c r="I244" s="28">
        <v>40.085931000000002</v>
      </c>
      <c r="J244" s="28">
        <v>-74.536839999999998</v>
      </c>
      <c r="L244" s="61">
        <v>110070214056</v>
      </c>
      <c r="M244" s="28" t="s">
        <v>263</v>
      </c>
      <c r="O244" s="28" t="str">
        <f>IFERROR(VLOOKUP(N244, 'SIC &amp; NAICS Codes'!A:B, 2, FALSE), "")</f>
        <v/>
      </c>
      <c r="S244" s="28">
        <v>2.7302187207499998E-2</v>
      </c>
      <c r="T244" s="315">
        <f>_xlfn.MAXIFS('Raw Period DMR Data'!$O:$O,'Raw Period DMR Data'!$A:$A,'Raw Annual DMR Data_2021-2024'!#REF!,'Raw Period DMR Data'!$C:$C,X244)/S244</f>
        <v>0</v>
      </c>
      <c r="U244" s="28" t="str">
        <f>+IF(COUNTIFS('Raw Period DMR Data'!$A:$A,B244,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4" s="28" t="str" cm="1">
        <f t="array" ref="V244">IFERROR(INDEX('Raw Period DMR Data'!N:N,MATCH(1,(B244='Raw Period DMR Data'!$A:$A)*(U244='Raw Period DMR Data'!M:M)*(X244='Raw Period DMR Data'!C:C),0),1), "N/A")</f>
        <v>N/A</v>
      </c>
      <c r="W244" s="28" t="s">
        <v>1463</v>
      </c>
      <c r="X244" s="28" t="s">
        <v>7170</v>
      </c>
      <c r="Y244" s="28" t="s">
        <v>1837</v>
      </c>
      <c r="Z244" s="61"/>
      <c r="AA244" s="60"/>
      <c r="AB244" s="28" t="s">
        <v>7355</v>
      </c>
      <c r="AC244" s="28" t="s">
        <v>263</v>
      </c>
    </row>
    <row r="245" spans="1:29" s="28" customFormat="1" x14ac:dyDescent="0.25">
      <c r="A245" s="61">
        <v>110070214056</v>
      </c>
      <c r="B245" s="28">
        <v>2023</v>
      </c>
      <c r="C245" s="68">
        <f t="shared" si="3"/>
        <v>44927</v>
      </c>
      <c r="D245" s="28" t="s">
        <v>6832</v>
      </c>
      <c r="E245" s="28" t="s">
        <v>6985</v>
      </c>
      <c r="F245" s="28" t="s">
        <v>6986</v>
      </c>
      <c r="G245" s="28" t="s">
        <v>338</v>
      </c>
      <c r="H245" s="28" t="s">
        <v>7104</v>
      </c>
      <c r="I245" s="28">
        <v>40.085931000000002</v>
      </c>
      <c r="J245" s="28">
        <v>-74.536839999999998</v>
      </c>
      <c r="L245" s="61">
        <v>110070214056</v>
      </c>
      <c r="M245" s="28" t="s">
        <v>263</v>
      </c>
      <c r="O245" s="28" t="str">
        <f>IFERROR(VLOOKUP(N245, 'SIC &amp; NAICS Codes'!A:B, 2, FALSE), "")</f>
        <v/>
      </c>
      <c r="S245" s="28">
        <v>9.9227730325000003E-3</v>
      </c>
      <c r="T245" s="315">
        <f>_xlfn.MAXIFS('Raw Period DMR Data'!$O:$O,'Raw Period DMR Data'!$A:$A,'Raw Annual DMR Data_2021-2024'!#REF!,'Raw Period DMR Data'!$C:$C,X245)/S245</f>
        <v>0</v>
      </c>
      <c r="U245" s="28" t="str">
        <f>+IF(COUNTIFS('Raw Period DMR Data'!$A:$A,B245,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5" s="28" t="str" cm="1">
        <f t="array" ref="V245">IFERROR(INDEX('Raw Period DMR Data'!N:N,MATCH(1,(B245='Raw Period DMR Data'!$A:$A)*(U245='Raw Period DMR Data'!M:M)*(X245='Raw Period DMR Data'!C:C),0),1), "N/A")</f>
        <v>N/A</v>
      </c>
      <c r="W245" s="28" t="s">
        <v>1463</v>
      </c>
      <c r="X245" s="28" t="s">
        <v>7170</v>
      </c>
      <c r="Y245" s="28" t="s">
        <v>1837</v>
      </c>
      <c r="Z245" s="61"/>
      <c r="AA245" s="60"/>
      <c r="AB245" s="28" t="s">
        <v>7355</v>
      </c>
      <c r="AC245" s="28" t="s">
        <v>263</v>
      </c>
    </row>
    <row r="246" spans="1:29" s="28" customFormat="1" x14ac:dyDescent="0.25">
      <c r="A246" s="61">
        <v>110070214056</v>
      </c>
      <c r="B246" s="28">
        <v>2022</v>
      </c>
      <c r="C246" s="68">
        <f t="shared" si="3"/>
        <v>44562</v>
      </c>
      <c r="D246" s="28" t="s">
        <v>6832</v>
      </c>
      <c r="E246" s="28" t="s">
        <v>6985</v>
      </c>
      <c r="F246" s="28" t="s">
        <v>6986</v>
      </c>
      <c r="G246" s="28" t="s">
        <v>338</v>
      </c>
      <c r="H246" s="28">
        <v>8533</v>
      </c>
      <c r="I246" s="28">
        <v>40.085931000000002</v>
      </c>
      <c r="J246" s="28">
        <v>-74.536839999999998</v>
      </c>
      <c r="L246" s="61">
        <v>110070214056</v>
      </c>
      <c r="M246" s="28" t="s">
        <v>263</v>
      </c>
      <c r="O246" s="28" t="str">
        <f>IFERROR(VLOOKUP(N246, 'SIC &amp; NAICS Codes'!A:B, 2, FALSE), "")</f>
        <v/>
      </c>
      <c r="S246" s="28">
        <v>2.2527733325000002E-3</v>
      </c>
      <c r="T246" s="315">
        <f>_xlfn.MAXIFS('Raw Period DMR Data'!$O:$O,'Raw Period DMR Data'!$A:$A,'Raw Annual DMR Data_2021-2024'!#REF!,'Raw Period DMR Data'!$C:$C,X246)/S246</f>
        <v>0</v>
      </c>
      <c r="U246" s="28" t="str">
        <f>+IF(COUNTIFS('Raw Period DMR Data'!$A:$A,B246,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6" s="28" t="str" cm="1">
        <f t="array" ref="V246">IFERROR(INDEX('Raw Period DMR Data'!N:N,MATCH(1,(B246='Raw Period DMR Data'!$A:$A)*(U246='Raw Period DMR Data'!M:M)*(X246='Raw Period DMR Data'!C:C),0),1), "N/A")</f>
        <v>N/A</v>
      </c>
      <c r="W246" s="28" t="s">
        <v>1463</v>
      </c>
      <c r="X246" s="28" t="s">
        <v>7170</v>
      </c>
      <c r="Y246" s="28" t="s">
        <v>1837</v>
      </c>
      <c r="Z246" s="61"/>
      <c r="AA246" s="60"/>
      <c r="AB246" s="28" t="s">
        <v>7355</v>
      </c>
      <c r="AC246" s="28" t="s">
        <v>263</v>
      </c>
    </row>
    <row r="247" spans="1:29" s="28" customFormat="1" x14ac:dyDescent="0.25">
      <c r="A247" s="61">
        <v>110010059293</v>
      </c>
      <c r="B247" s="28">
        <v>2024</v>
      </c>
      <c r="C247" s="68">
        <f t="shared" si="3"/>
        <v>45292</v>
      </c>
      <c r="D247" s="28" t="s">
        <v>6857</v>
      </c>
      <c r="E247" s="28" t="s">
        <v>7018</v>
      </c>
      <c r="F247" s="28" t="s">
        <v>7019</v>
      </c>
      <c r="G247" s="28" t="s">
        <v>366</v>
      </c>
      <c r="H247" s="28">
        <v>94569</v>
      </c>
      <c r="I247" s="28">
        <v>38.045079999999999</v>
      </c>
      <c r="J247" s="28">
        <v>-122.18787</v>
      </c>
      <c r="L247" s="61">
        <v>110010059293</v>
      </c>
      <c r="M247" s="28" t="s">
        <v>263</v>
      </c>
      <c r="N247" s="28">
        <v>4952</v>
      </c>
      <c r="O247" s="28" t="str">
        <f>IFERROR(VLOOKUP(N247, 'SIC &amp; NAICS Codes'!A:B, 2, FALSE), "")</f>
        <v>Sewerage Systems</v>
      </c>
      <c r="S247" s="28">
        <v>6.0787099999999995E-4</v>
      </c>
      <c r="T247" s="315">
        <f>_xlfn.MAXIFS('Raw Period DMR Data'!$O:$O,'Raw Period DMR Data'!$A:$A,'Raw Annual DMR Data_2021-2024'!#REF!,'Raw Period DMR Data'!$C:$C,X247)/S247</f>
        <v>0</v>
      </c>
      <c r="U247" s="28" t="str">
        <f>+IF(COUNTIFS('Raw Period DMR Data'!$A:$A,B247,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47" s="28" t="str" cm="1">
        <f t="array" ref="V247">IFERROR(INDEX('Raw Period DMR Data'!N:N,MATCH(1,(B247='Raw Period DMR Data'!$A:$A)*(U247='Raw Period DMR Data'!M:M)*(X247='Raw Period DMR Data'!C:C),0),1), "N/A")</f>
        <v>N/A</v>
      </c>
      <c r="W247" s="28" t="s">
        <v>1463</v>
      </c>
      <c r="X247" s="28" t="s">
        <v>7188</v>
      </c>
      <c r="Y247" s="28" t="s">
        <v>7252</v>
      </c>
      <c r="Z247" s="61">
        <v>18050001001573</v>
      </c>
      <c r="AA247" s="60"/>
      <c r="AC247" s="28" t="s">
        <v>263</v>
      </c>
    </row>
    <row r="248" spans="1:29" s="28" customFormat="1" x14ac:dyDescent="0.25">
      <c r="A248" s="61">
        <v>110000732253</v>
      </c>
      <c r="B248" s="28">
        <v>2021</v>
      </c>
      <c r="C248" s="68">
        <f t="shared" si="3"/>
        <v>44197</v>
      </c>
      <c r="D248" s="28" t="s">
        <v>1306</v>
      </c>
      <c r="E248" s="28" t="s">
        <v>2146</v>
      </c>
      <c r="F248" s="28" t="s">
        <v>1307</v>
      </c>
      <c r="G248" s="28" t="s">
        <v>324</v>
      </c>
      <c r="H248" s="28">
        <v>40160</v>
      </c>
      <c r="I248" s="28">
        <v>37.845027999999999</v>
      </c>
      <c r="J248" s="28">
        <v>-85.940962999999996</v>
      </c>
      <c r="L248" s="61">
        <v>110000732253</v>
      </c>
      <c r="M248" s="28" t="s">
        <v>263</v>
      </c>
      <c r="N248" s="28">
        <v>4952</v>
      </c>
      <c r="O248" s="28" t="str">
        <f>IFERROR(VLOOKUP(N248, 'SIC &amp; NAICS Codes'!A:B, 2, FALSE), "")</f>
        <v>Sewerage Systems</v>
      </c>
      <c r="S248" s="28">
        <v>8.8935671875000004</v>
      </c>
      <c r="T248" s="315">
        <f>_xlfn.MAXIFS('Raw Period DMR Data'!$O:$O,'Raw Period DMR Data'!$A:$A,'Raw Annual DMR Data_2021-2024'!B953,'Raw Period DMR Data'!$C:$C,X248)/S248</f>
        <v>0</v>
      </c>
      <c r="U248" s="28" t="str">
        <f>+IF(COUNTIFS('Raw Period DMR Data'!$A:$A,B248, 'Raw Period DMR Data'!C:C,'Raw Annual DMR Data_2021-2024'!X953, 'Raw Period DMR Data'!M:M, "&gt;0")&gt;0,_xlfn.MAXIFS('Raw Period DMR Data'!M:M,'Raw Period DMR Data'!$A:$A,'Raw Annual DMR Data_2021-2024'!B953,'Raw Period DMR Data'!C:C,'Raw Annual DMR Data_2021-2024'!X953), "N/A - Period DMR Data Not Available")</f>
        <v>N/A - Period DMR Data Not Available</v>
      </c>
      <c r="V248" s="28" t="str" cm="1">
        <f t="array" ref="V248">IFERROR(INDEX('Raw Period DMR Data'!N:N,MATCH(1,(B248='Raw Period DMR Data'!$A:$A)*(U248='Raw Period DMR Data'!M:M)*(X248='Raw Period DMR Data'!C:C),0),1), "N/A")</f>
        <v>N/A</v>
      </c>
      <c r="W248" s="28" t="s">
        <v>1463</v>
      </c>
      <c r="X248" s="28" t="s">
        <v>2147</v>
      </c>
      <c r="Y248" s="28" t="s">
        <v>2148</v>
      </c>
      <c r="Z248" s="61">
        <v>5140102000422</v>
      </c>
      <c r="AB248" s="28" t="s">
        <v>7355</v>
      </c>
      <c r="AC248" s="28" t="s">
        <v>263</v>
      </c>
    </row>
    <row r="249" spans="1:29" s="28" customFormat="1" x14ac:dyDescent="0.25">
      <c r="A249" s="61">
        <v>110009938470</v>
      </c>
      <c r="B249" s="28">
        <v>2021</v>
      </c>
      <c r="C249" s="68">
        <f t="shared" si="3"/>
        <v>44197</v>
      </c>
      <c r="D249" s="28" t="s">
        <v>6866</v>
      </c>
      <c r="E249" s="28" t="s">
        <v>7032</v>
      </c>
      <c r="F249" s="28" t="s">
        <v>7033</v>
      </c>
      <c r="G249" s="28" t="s">
        <v>324</v>
      </c>
      <c r="H249" s="28">
        <v>40380</v>
      </c>
      <c r="I249" s="28">
        <v>37.857500000000002</v>
      </c>
      <c r="J249" s="28">
        <v>-83.865278000000004</v>
      </c>
      <c r="L249" s="61">
        <v>110009938470</v>
      </c>
      <c r="M249" s="28" t="s">
        <v>263</v>
      </c>
      <c r="N249" s="28">
        <v>4952</v>
      </c>
      <c r="O249" s="28" t="str">
        <f>IFERROR(VLOOKUP(N249, 'SIC &amp; NAICS Codes'!A:B, 2, FALSE), "")</f>
        <v>Sewerage Systems</v>
      </c>
      <c r="S249" s="28">
        <v>3.9718843750000001</v>
      </c>
      <c r="T249" s="315">
        <f>_xlfn.MAXIFS('Raw Period DMR Data'!$O:$O,'Raw Period DMR Data'!$A:$A,'Raw Annual DMR Data_2021-2024'!B999,'Raw Period DMR Data'!$C:$C,X249)/S249</f>
        <v>0</v>
      </c>
      <c r="U249" s="28" t="str">
        <f>+IF(COUNTIFS('Raw Period DMR Data'!$A:$A,B249, 'Raw Period DMR Data'!C:C,'Raw Annual DMR Data_2021-2024'!X999, 'Raw Period DMR Data'!M:M, "&gt;0")&gt;0,_xlfn.MAXIFS('Raw Period DMR Data'!M:M,'Raw Period DMR Data'!$A:$A,'Raw Annual DMR Data_2021-2024'!B999,'Raw Period DMR Data'!C:C,'Raw Annual DMR Data_2021-2024'!X999), "N/A - Period DMR Data Not Available")</f>
        <v>N/A - Period DMR Data Not Available</v>
      </c>
      <c r="V249" s="28" t="str" cm="1">
        <f t="array" ref="V249">IFERROR(INDEX('Raw Period DMR Data'!N:N,MATCH(1,(B249='Raw Period DMR Data'!$A:$A)*(U249='Raw Period DMR Data'!M:M)*(X249='Raw Period DMR Data'!C:C),0),1), "N/A")</f>
        <v>N/A</v>
      </c>
      <c r="W249" s="28" t="s">
        <v>1463</v>
      </c>
      <c r="X249" s="28" t="s">
        <v>7195</v>
      </c>
      <c r="Y249" s="28" t="s">
        <v>7299</v>
      </c>
      <c r="Z249" s="61">
        <v>5100204000462</v>
      </c>
      <c r="AB249" s="28" t="s">
        <v>7355</v>
      </c>
      <c r="AC249" s="28" t="s">
        <v>263</v>
      </c>
    </row>
    <row r="250" spans="1:29" s="28" customFormat="1" x14ac:dyDescent="0.25">
      <c r="A250" s="61">
        <v>110000525842</v>
      </c>
      <c r="B250" s="28">
        <v>2023</v>
      </c>
      <c r="C250" s="68">
        <f t="shared" si="3"/>
        <v>44927</v>
      </c>
      <c r="D250" s="28" t="s">
        <v>1309</v>
      </c>
      <c r="E250" s="28" t="s">
        <v>2152</v>
      </c>
      <c r="F250" s="28" t="s">
        <v>1310</v>
      </c>
      <c r="G250" s="28" t="s">
        <v>366</v>
      </c>
      <c r="H250" s="28">
        <v>92316</v>
      </c>
      <c r="I250" s="28">
        <v>34.055900000000001</v>
      </c>
      <c r="J250" s="28">
        <v>-117.36134</v>
      </c>
      <c r="L250" s="61">
        <v>110000525842</v>
      </c>
      <c r="M250" s="28" t="s">
        <v>263</v>
      </c>
      <c r="N250" s="28">
        <v>4952</v>
      </c>
      <c r="O250" s="28" t="str">
        <f>IFERROR(VLOOKUP(N250, 'SIC &amp; NAICS Codes'!A:B, 2, FALSE), "")</f>
        <v>Sewerage Systems</v>
      </c>
      <c r="S250" s="28">
        <v>7.9446847199999997</v>
      </c>
      <c r="T250" s="315">
        <f>_xlfn.MAXIFS('Raw Period DMR Data'!$O:$O,'Raw Period DMR Data'!$A:$A,'Raw Annual DMR Data_2021-2024'!B963,'Raw Period DMR Data'!$C:$C,X250)/S250</f>
        <v>0</v>
      </c>
      <c r="U250" s="28" t="str">
        <f>+IF(COUNTIFS('Raw Period DMR Data'!$A:$A,B250, 'Raw Period DMR Data'!C:C,'Raw Annual DMR Data_2021-2024'!X963, 'Raw Period DMR Data'!M:M, "&gt;0")&gt;0,_xlfn.MAXIFS('Raw Period DMR Data'!M:M,'Raw Period DMR Data'!$A:$A,'Raw Annual DMR Data_2021-2024'!B963,'Raw Period DMR Data'!C:C,'Raw Annual DMR Data_2021-2024'!X963), "N/A - Period DMR Data Not Available")</f>
        <v>N/A - Period DMR Data Not Available</v>
      </c>
      <c r="V250" s="28" t="str" cm="1">
        <f t="array" ref="V250">IFERROR(INDEX('Raw Period DMR Data'!N:N,MATCH(1,(B250='Raw Period DMR Data'!$A:$A)*(U250='Raw Period DMR Data'!M:M)*(X250='Raw Period DMR Data'!C:C),0),1), "N/A")</f>
        <v>N/A</v>
      </c>
      <c r="W250" s="28" t="s">
        <v>1463</v>
      </c>
      <c r="X250" s="28" t="s">
        <v>2153</v>
      </c>
      <c r="Y250" s="28" t="s">
        <v>2154</v>
      </c>
      <c r="Z250" s="61">
        <v>18070203002243</v>
      </c>
      <c r="AA250" s="60"/>
      <c r="AB250" s="28" t="s">
        <v>7355</v>
      </c>
      <c r="AC250" s="28" t="s">
        <v>263</v>
      </c>
    </row>
    <row r="251" spans="1:29" s="28" customFormat="1" x14ac:dyDescent="0.25">
      <c r="A251" s="61">
        <v>110000525842</v>
      </c>
      <c r="B251" s="28">
        <v>2021</v>
      </c>
      <c r="C251" s="68">
        <f t="shared" si="3"/>
        <v>44197</v>
      </c>
      <c r="D251" s="28" t="s">
        <v>1309</v>
      </c>
      <c r="E251" s="28" t="s">
        <v>2152</v>
      </c>
      <c r="F251" s="28" t="s">
        <v>1310</v>
      </c>
      <c r="G251" s="28" t="s">
        <v>366</v>
      </c>
      <c r="H251" s="28">
        <v>92316</v>
      </c>
      <c r="I251" s="28">
        <v>34.055900000000001</v>
      </c>
      <c r="J251" s="28">
        <v>-117.36134</v>
      </c>
      <c r="L251" s="61">
        <v>110000525842</v>
      </c>
      <c r="M251" s="28" t="s">
        <v>263</v>
      </c>
      <c r="N251" s="28">
        <v>4952</v>
      </c>
      <c r="O251" s="28" t="str">
        <f>IFERROR(VLOOKUP(N251, 'SIC &amp; NAICS Codes'!A:B, 2, FALSE), "")</f>
        <v>Sewerage Systems</v>
      </c>
      <c r="S251" s="28">
        <v>2.4102596125</v>
      </c>
      <c r="T251" s="315">
        <f>_xlfn.MAXIFS('Raw Period DMR Data'!$O:$O,'Raw Period DMR Data'!$A:$A,'Raw Annual DMR Data_2021-2024'!#REF!,'Raw Period DMR Data'!$C:$C,X251)/S251</f>
        <v>0</v>
      </c>
      <c r="U251" s="28" t="str">
        <f>+IF(COUNTIFS('Raw Period DMR Data'!$A:$A,B251,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51" s="28" t="str" cm="1">
        <f t="array" ref="V251">IFERROR(INDEX('Raw Period DMR Data'!N:N,MATCH(1,(B251='Raw Period DMR Data'!$A:$A)*(U251='Raw Period DMR Data'!M:M)*(X251='Raw Period DMR Data'!C:C),0),1), "N/A")</f>
        <v>N/A</v>
      </c>
      <c r="W251" s="28" t="s">
        <v>1463</v>
      </c>
      <c r="X251" s="28" t="s">
        <v>2153</v>
      </c>
      <c r="Y251" s="28" t="s">
        <v>2154</v>
      </c>
      <c r="Z251" s="61">
        <v>18070203002243</v>
      </c>
      <c r="AB251" s="28" t="s">
        <v>7355</v>
      </c>
      <c r="AC251" s="28" t="s">
        <v>263</v>
      </c>
    </row>
    <row r="252" spans="1:29" s="28" customFormat="1" x14ac:dyDescent="0.25">
      <c r="A252" s="61">
        <v>110000525842</v>
      </c>
      <c r="B252" s="28">
        <v>2022</v>
      </c>
      <c r="C252" s="68">
        <f t="shared" si="3"/>
        <v>44562</v>
      </c>
      <c r="D252" s="28" t="s">
        <v>1309</v>
      </c>
      <c r="E252" s="28" t="s">
        <v>2152</v>
      </c>
      <c r="F252" s="28" t="s">
        <v>1310</v>
      </c>
      <c r="G252" s="28" t="s">
        <v>366</v>
      </c>
      <c r="H252" s="28">
        <v>92316</v>
      </c>
      <c r="I252" s="28">
        <v>34.055900000000001</v>
      </c>
      <c r="J252" s="28">
        <v>-117.36134</v>
      </c>
      <c r="L252" s="61">
        <v>110000525842</v>
      </c>
      <c r="M252" s="28" t="s">
        <v>263</v>
      </c>
      <c r="N252" s="28">
        <v>4952</v>
      </c>
      <c r="O252" s="28" t="str">
        <f>IFERROR(VLOOKUP(N252, 'SIC &amp; NAICS Codes'!A:B, 2, FALSE), "")</f>
        <v>Sewerage Systems</v>
      </c>
      <c r="S252" s="28">
        <v>2.3969326275</v>
      </c>
      <c r="T252" s="315">
        <f>_xlfn.MAXIFS('Raw Period DMR Data'!$O:$O,'Raw Period DMR Data'!$A:$A,'Raw Annual DMR Data_2021-2024'!#REF!,'Raw Period DMR Data'!$C:$C,X252)/S252</f>
        <v>0</v>
      </c>
      <c r="U252" s="28" t="str">
        <f>+IF(COUNTIFS('Raw Period DMR Data'!$A:$A,B252,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52" s="28" t="str" cm="1">
        <f t="array" ref="V252">IFERROR(INDEX('Raw Period DMR Data'!N:N,MATCH(1,(B252='Raw Period DMR Data'!$A:$A)*(U252='Raw Period DMR Data'!M:M)*(X252='Raw Period DMR Data'!C:C),0),1), "N/A")</f>
        <v>N/A</v>
      </c>
      <c r="W252" s="28" t="s">
        <v>1463</v>
      </c>
      <c r="X252" s="28" t="s">
        <v>2153</v>
      </c>
      <c r="Y252" s="28" t="s">
        <v>2154</v>
      </c>
      <c r="Z252" s="61">
        <v>18070203002243</v>
      </c>
      <c r="AA252" s="60"/>
      <c r="AB252" s="28" t="s">
        <v>7355</v>
      </c>
      <c r="AC252" s="28" t="s">
        <v>263</v>
      </c>
    </row>
    <row r="253" spans="1:29" s="28" customFormat="1" x14ac:dyDescent="0.25">
      <c r="A253" s="61">
        <v>110000525842</v>
      </c>
      <c r="B253" s="28">
        <v>2024</v>
      </c>
      <c r="C253" s="68">
        <f t="shared" si="3"/>
        <v>45292</v>
      </c>
      <c r="D253" s="28" t="s">
        <v>1309</v>
      </c>
      <c r="E253" s="28" t="s">
        <v>2152</v>
      </c>
      <c r="F253" s="28" t="s">
        <v>1310</v>
      </c>
      <c r="G253" s="28" t="s">
        <v>366</v>
      </c>
      <c r="H253" s="28">
        <v>92316</v>
      </c>
      <c r="I253" s="28">
        <v>34.055900000000001</v>
      </c>
      <c r="J253" s="28">
        <v>-117.36134</v>
      </c>
      <c r="L253" s="61">
        <v>110000525842</v>
      </c>
      <c r="M253" s="28" t="s">
        <v>263</v>
      </c>
      <c r="N253" s="28">
        <v>4952</v>
      </c>
      <c r="O253" s="28" t="str">
        <f>IFERROR(VLOOKUP(N253, 'SIC &amp; NAICS Codes'!A:B, 2, FALSE), "")</f>
        <v>Sewerage Systems</v>
      </c>
      <c r="S253" s="28">
        <v>1.9628232561000001</v>
      </c>
      <c r="T253" s="315">
        <f>_xlfn.MAXIFS('Raw Period DMR Data'!$O:$O,'Raw Period DMR Data'!$A:$A,'Raw Annual DMR Data_2021-2024'!#REF!,'Raw Period DMR Data'!$C:$C,X253)/S253</f>
        <v>0</v>
      </c>
      <c r="U253" s="28" t="str">
        <f>+IF(COUNTIFS('Raw Period DMR Data'!$A:$A,B253,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53" s="28" t="str" cm="1">
        <f t="array" ref="V253">IFERROR(INDEX('Raw Period DMR Data'!N:N,MATCH(1,(B253='Raw Period DMR Data'!$A:$A)*(U253='Raw Period DMR Data'!M:M)*(X253='Raw Period DMR Data'!C:C),0),1), "N/A")</f>
        <v>N/A</v>
      </c>
      <c r="W253" s="28" t="s">
        <v>1463</v>
      </c>
      <c r="X253" s="28" t="s">
        <v>2153</v>
      </c>
      <c r="Y253" s="28" t="s">
        <v>2154</v>
      </c>
      <c r="Z253" s="61">
        <v>18070203002243</v>
      </c>
      <c r="AA253" s="60"/>
      <c r="AB253" s="28" t="s">
        <v>7355</v>
      </c>
      <c r="AC253" s="28" t="s">
        <v>263</v>
      </c>
    </row>
    <row r="254" spans="1:29" s="28" customFormat="1" x14ac:dyDescent="0.25">
      <c r="A254" s="61">
        <v>110031112659</v>
      </c>
      <c r="B254" s="28">
        <v>2022</v>
      </c>
      <c r="C254" s="68">
        <f t="shared" si="3"/>
        <v>44562</v>
      </c>
      <c r="D254" s="28" t="s">
        <v>6868</v>
      </c>
      <c r="E254" s="28" t="s">
        <v>7036</v>
      </c>
      <c r="F254" s="28" t="s">
        <v>1265</v>
      </c>
      <c r="G254" s="28" t="s">
        <v>324</v>
      </c>
      <c r="H254" s="28">
        <v>40475</v>
      </c>
      <c r="I254" s="28">
        <v>37.801943999999999</v>
      </c>
      <c r="J254" s="28">
        <v>-84.261111</v>
      </c>
      <c r="L254" s="61">
        <v>110031112659</v>
      </c>
      <c r="M254" s="28" t="s">
        <v>263</v>
      </c>
      <c r="N254" s="28">
        <v>4952</v>
      </c>
      <c r="O254" s="28" t="str">
        <f>IFERROR(VLOOKUP(N254, 'SIC &amp; NAICS Codes'!A:B, 2, FALSE), "")</f>
        <v>Sewerage Systems</v>
      </c>
      <c r="S254" s="28">
        <v>34.448325875000002</v>
      </c>
      <c r="T254" s="315">
        <f>_xlfn.MAXIFS('Raw Period DMR Data'!$O:$O,'Raw Period DMR Data'!$A:$A,'Raw Annual DMR Data_2021-2024'!B894,'Raw Period DMR Data'!$C:$C,X254)/S254</f>
        <v>0</v>
      </c>
      <c r="U254" s="28" t="str">
        <f>+IF(COUNTIFS('Raw Period DMR Data'!$A:$A,B254, 'Raw Period DMR Data'!C:C,'Raw Annual DMR Data_2021-2024'!X894, 'Raw Period DMR Data'!M:M, "&gt;0")&gt;0,_xlfn.MAXIFS('Raw Period DMR Data'!M:M,'Raw Period DMR Data'!$A:$A,'Raw Annual DMR Data_2021-2024'!B894,'Raw Period DMR Data'!C:C,'Raw Annual DMR Data_2021-2024'!X894), "N/A - Period DMR Data Not Available")</f>
        <v>N/A - Period DMR Data Not Available</v>
      </c>
      <c r="V254" s="28" t="str" cm="1">
        <f t="array" ref="V254">IFERROR(INDEX('Raw Period DMR Data'!N:N,MATCH(1,(B254='Raw Period DMR Data'!$A:$A)*(U254='Raw Period DMR Data'!M:M)*(X254='Raw Period DMR Data'!C:C),0),1), "N/A")</f>
        <v>N/A</v>
      </c>
      <c r="W254" s="28" t="s">
        <v>1463</v>
      </c>
      <c r="X254" s="28" t="s">
        <v>7197</v>
      </c>
      <c r="Y254" s="28" t="s">
        <v>7300</v>
      </c>
      <c r="Z254" s="61">
        <v>5100205000179</v>
      </c>
      <c r="AA254" s="60"/>
      <c r="AC254" s="28" t="s">
        <v>263</v>
      </c>
    </row>
    <row r="255" spans="1:29" s="28" customFormat="1" x14ac:dyDescent="0.25">
      <c r="A255" s="61">
        <v>110031112659</v>
      </c>
      <c r="B255" s="28">
        <v>2023</v>
      </c>
      <c r="C255" s="68">
        <f t="shared" si="3"/>
        <v>44927</v>
      </c>
      <c r="D255" s="28" t="s">
        <v>6868</v>
      </c>
      <c r="E255" s="28" t="s">
        <v>7036</v>
      </c>
      <c r="F255" s="28" t="s">
        <v>1265</v>
      </c>
      <c r="G255" s="28" t="s">
        <v>324</v>
      </c>
      <c r="H255" s="28">
        <v>40475</v>
      </c>
      <c r="I255" s="28">
        <v>37.801943999999999</v>
      </c>
      <c r="J255" s="28">
        <v>-84.261111</v>
      </c>
      <c r="L255" s="61">
        <v>110031112659</v>
      </c>
      <c r="M255" s="28" t="s">
        <v>263</v>
      </c>
      <c r="N255" s="28">
        <v>4952</v>
      </c>
      <c r="O255" s="28" t="str">
        <f>IFERROR(VLOOKUP(N255, 'SIC &amp; NAICS Codes'!A:B, 2, FALSE), "")</f>
        <v>Sewerage Systems</v>
      </c>
      <c r="S255" s="28">
        <v>27.865359250000001</v>
      </c>
      <c r="T255" s="315">
        <f>_xlfn.MAXIFS('Raw Period DMR Data'!$O:$O,'Raw Period DMR Data'!$A:$A,'Raw Annual DMR Data_2021-2024'!B898,'Raw Period DMR Data'!$C:$C,X255)/S255</f>
        <v>0</v>
      </c>
      <c r="U255" s="28" t="str">
        <f>+IF(COUNTIFS('Raw Period DMR Data'!$A:$A,B255, 'Raw Period DMR Data'!C:C,'Raw Annual DMR Data_2021-2024'!X898, 'Raw Period DMR Data'!M:M, "&gt;0")&gt;0,_xlfn.MAXIFS('Raw Period DMR Data'!M:M,'Raw Period DMR Data'!$A:$A,'Raw Annual DMR Data_2021-2024'!B898,'Raw Period DMR Data'!C:C,'Raw Annual DMR Data_2021-2024'!X898), "N/A - Period DMR Data Not Available")</f>
        <v>N/A - Period DMR Data Not Available</v>
      </c>
      <c r="V255" s="28" t="str" cm="1">
        <f t="array" ref="V255">IFERROR(INDEX('Raw Period DMR Data'!N:N,MATCH(1,(B255='Raw Period DMR Data'!$A:$A)*(U255='Raw Period DMR Data'!M:M)*(X255='Raw Period DMR Data'!C:C),0),1), "N/A")</f>
        <v>N/A</v>
      </c>
      <c r="W255" s="28" t="s">
        <v>1463</v>
      </c>
      <c r="X255" s="28" t="s">
        <v>7197</v>
      </c>
      <c r="Y255" s="28" t="s">
        <v>7300</v>
      </c>
      <c r="Z255" s="61">
        <v>5100205000179</v>
      </c>
      <c r="AA255" s="60"/>
      <c r="AC255" s="28" t="s">
        <v>263</v>
      </c>
    </row>
    <row r="256" spans="1:29" s="28" customFormat="1" x14ac:dyDescent="0.25">
      <c r="A256" s="61">
        <v>110031112659</v>
      </c>
      <c r="B256" s="28">
        <v>2024</v>
      </c>
      <c r="C256" s="68">
        <f t="shared" si="3"/>
        <v>45292</v>
      </c>
      <c r="D256" s="28" t="s">
        <v>6868</v>
      </c>
      <c r="E256" s="28" t="s">
        <v>7036</v>
      </c>
      <c r="F256" s="28" t="s">
        <v>1265</v>
      </c>
      <c r="G256" s="28" t="s">
        <v>324</v>
      </c>
      <c r="H256" s="28">
        <v>40475</v>
      </c>
      <c r="I256" s="28">
        <v>37.801943999999999</v>
      </c>
      <c r="J256" s="28">
        <v>-84.261111</v>
      </c>
      <c r="L256" s="61">
        <v>110031112659</v>
      </c>
      <c r="M256" s="28" t="s">
        <v>263</v>
      </c>
      <c r="N256" s="28">
        <v>4952</v>
      </c>
      <c r="O256" s="28" t="str">
        <f>IFERROR(VLOOKUP(N256, 'SIC &amp; NAICS Codes'!A:B, 2, FALSE), "")</f>
        <v>Sewerage Systems</v>
      </c>
      <c r="S256" s="28">
        <v>7.4187892499999997</v>
      </c>
      <c r="T256" s="315">
        <f>_xlfn.MAXIFS('Raw Period DMR Data'!$O:$O,'Raw Period DMR Data'!$A:$A,'Raw Annual DMR Data_2021-2024'!B966,'Raw Period DMR Data'!$C:$C,X256)/S256</f>
        <v>0</v>
      </c>
      <c r="U256" s="28" t="str">
        <f>+IF(COUNTIFS('Raw Period DMR Data'!$A:$A,B256, 'Raw Period DMR Data'!C:C,'Raw Annual DMR Data_2021-2024'!X966, 'Raw Period DMR Data'!M:M, "&gt;0")&gt;0,_xlfn.MAXIFS('Raw Period DMR Data'!M:M,'Raw Period DMR Data'!$A:$A,'Raw Annual DMR Data_2021-2024'!B966,'Raw Period DMR Data'!C:C,'Raw Annual DMR Data_2021-2024'!X966), "N/A - Period DMR Data Not Available")</f>
        <v>N/A - Period DMR Data Not Available</v>
      </c>
      <c r="V256" s="28" t="str" cm="1">
        <f t="array" ref="V256">IFERROR(INDEX('Raw Period DMR Data'!N:N,MATCH(1,(B256='Raw Period DMR Data'!$A:$A)*(U256='Raw Period DMR Data'!M:M)*(X256='Raw Period DMR Data'!C:C),0),1), "N/A")</f>
        <v>N/A</v>
      </c>
      <c r="W256" s="28" t="s">
        <v>1463</v>
      </c>
      <c r="X256" s="28" t="s">
        <v>7197</v>
      </c>
      <c r="Y256" s="28" t="s">
        <v>7300</v>
      </c>
      <c r="Z256" s="61">
        <v>5100205000179</v>
      </c>
      <c r="AA256" s="60"/>
      <c r="AC256" s="28" t="s">
        <v>263</v>
      </c>
    </row>
    <row r="257" spans="1:29" s="28" customFormat="1" x14ac:dyDescent="0.25">
      <c r="A257" s="61">
        <v>110000719045</v>
      </c>
      <c r="B257" s="28">
        <v>2021</v>
      </c>
      <c r="C257" s="68">
        <f t="shared" si="3"/>
        <v>44197</v>
      </c>
      <c r="D257" s="28" t="s">
        <v>1319</v>
      </c>
      <c r="E257" s="28" t="s">
        <v>2167</v>
      </c>
      <c r="F257" s="28" t="s">
        <v>1320</v>
      </c>
      <c r="G257" s="28" t="s">
        <v>324</v>
      </c>
      <c r="H257" s="28">
        <v>42629</v>
      </c>
      <c r="I257" s="28">
        <v>36.946111000000002</v>
      </c>
      <c r="J257" s="28">
        <v>-85.020832999999996</v>
      </c>
      <c r="L257" s="61">
        <v>110000719045</v>
      </c>
      <c r="M257" s="28" t="s">
        <v>263</v>
      </c>
      <c r="N257" s="28">
        <v>4952</v>
      </c>
      <c r="O257" s="28" t="str">
        <f>IFERROR(VLOOKUP(N257, 'SIC &amp; NAICS Codes'!A:B, 2, FALSE), "")</f>
        <v>Sewerage Systems</v>
      </c>
      <c r="S257" s="28">
        <v>0.43172656250000002</v>
      </c>
      <c r="T257" s="315">
        <f>_xlfn.MAXIFS('Raw Period DMR Data'!$O:$O,'Raw Period DMR Data'!$A:$A,'Raw Annual DMR Data_2021-2024'!#REF!,'Raw Period DMR Data'!$C:$C,X257)/S257</f>
        <v>0</v>
      </c>
      <c r="U257" s="28" t="str">
        <f>+IF(COUNTIFS('Raw Period DMR Data'!$A:$A,B257,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57" s="28" t="str" cm="1">
        <f t="array" ref="V257">IFERROR(INDEX('Raw Period DMR Data'!N:N,MATCH(1,(B257='Raw Period DMR Data'!$A:$A)*(U257='Raw Period DMR Data'!M:M)*(X257='Raw Period DMR Data'!C:C),0),1), "N/A")</f>
        <v>N/A</v>
      </c>
      <c r="W257" s="28" t="s">
        <v>1463</v>
      </c>
      <c r="X257" s="28" t="s">
        <v>2168</v>
      </c>
      <c r="Y257" s="28" t="s">
        <v>2169</v>
      </c>
      <c r="Z257" s="61">
        <v>5130103010237</v>
      </c>
      <c r="AB257" s="28" t="s">
        <v>7355</v>
      </c>
      <c r="AC257" s="28" t="s">
        <v>263</v>
      </c>
    </row>
    <row r="258" spans="1:29" s="28" customFormat="1" x14ac:dyDescent="0.25">
      <c r="A258" s="61">
        <v>110000736730</v>
      </c>
      <c r="B258" s="28">
        <v>2022</v>
      </c>
      <c r="C258" s="68">
        <f t="shared" ref="C258:C321" si="4">DATE(B258, 1, 1)</f>
        <v>44562</v>
      </c>
      <c r="D258" s="28" t="s">
        <v>1321</v>
      </c>
      <c r="E258" s="28" t="s">
        <v>2171</v>
      </c>
      <c r="F258" s="28" t="s">
        <v>626</v>
      </c>
      <c r="G258" s="28" t="s">
        <v>324</v>
      </c>
      <c r="H258" s="28">
        <v>42276</v>
      </c>
      <c r="I258" s="28">
        <v>36.856732000000001</v>
      </c>
      <c r="J258" s="28">
        <v>-86.889048000000003</v>
      </c>
      <c r="L258" s="61">
        <v>110000736730</v>
      </c>
      <c r="M258" s="28" t="s">
        <v>263</v>
      </c>
      <c r="N258" s="28">
        <v>4952</v>
      </c>
      <c r="O258" s="28" t="str">
        <f>IFERROR(VLOOKUP(N258, 'SIC &amp; NAICS Codes'!A:B, 2, FALSE), "")</f>
        <v>Sewerage Systems</v>
      </c>
      <c r="S258" s="28">
        <v>3.8199166250000001E-3</v>
      </c>
      <c r="T258" s="315">
        <f>_xlfn.MAXIFS('Raw Period DMR Data'!$O:$O,'Raw Period DMR Data'!$A:$A,'Raw Annual DMR Data_2021-2024'!#REF!,'Raw Period DMR Data'!$C:$C,X258)/S258</f>
        <v>0</v>
      </c>
      <c r="U258" s="28" t="str">
        <f>+IF(COUNTIFS('Raw Period DMR Data'!$A:$A,B258,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58" s="28" t="str" cm="1">
        <f t="array" ref="V258">IFERROR(INDEX('Raw Period DMR Data'!N:N,MATCH(1,(B258='Raw Period DMR Data'!$A:$A)*(U258='Raw Period DMR Data'!M:M)*(X258='Raw Period DMR Data'!C:C),0),1), "N/A")</f>
        <v>N/A</v>
      </c>
      <c r="W258" s="28" t="s">
        <v>1463</v>
      </c>
      <c r="X258" s="28" t="s">
        <v>2172</v>
      </c>
      <c r="Y258" s="28" t="s">
        <v>1760</v>
      </c>
      <c r="Z258" s="61">
        <v>5110003000994</v>
      </c>
      <c r="AA258" s="60"/>
      <c r="AB258" s="28" t="s">
        <v>7355</v>
      </c>
      <c r="AC258" s="28" t="s">
        <v>263</v>
      </c>
    </row>
    <row r="259" spans="1:29" s="28" customFormat="1" x14ac:dyDescent="0.25">
      <c r="A259" s="61">
        <v>110000736730</v>
      </c>
      <c r="B259" s="28">
        <v>2024</v>
      </c>
      <c r="C259" s="68">
        <f t="shared" si="4"/>
        <v>45292</v>
      </c>
      <c r="D259" s="28" t="s">
        <v>1321</v>
      </c>
      <c r="E259" s="28" t="s">
        <v>2171</v>
      </c>
      <c r="F259" s="28" t="s">
        <v>626</v>
      </c>
      <c r="G259" s="28" t="s">
        <v>324</v>
      </c>
      <c r="H259" s="28">
        <v>42276</v>
      </c>
      <c r="I259" s="28">
        <v>36.856732000000001</v>
      </c>
      <c r="J259" s="28">
        <v>-86.889048000000003</v>
      </c>
      <c r="L259" s="61">
        <v>110000736730</v>
      </c>
      <c r="M259" s="28" t="s">
        <v>263</v>
      </c>
      <c r="N259" s="28">
        <v>4952</v>
      </c>
      <c r="O259" s="28" t="str">
        <f>IFERROR(VLOOKUP(N259, 'SIC &amp; NAICS Codes'!A:B, 2, FALSE), "")</f>
        <v>Sewerage Systems</v>
      </c>
      <c r="S259" s="28">
        <v>1.2178142874999999E-3</v>
      </c>
      <c r="T259" s="315">
        <f>_xlfn.MAXIFS('Raw Period DMR Data'!$O:$O,'Raw Period DMR Data'!$A:$A,'Raw Annual DMR Data_2021-2024'!#REF!,'Raw Period DMR Data'!$C:$C,X259)/S259</f>
        <v>0</v>
      </c>
      <c r="U259" s="28" t="str">
        <f>+IF(COUNTIFS('Raw Period DMR Data'!$A:$A,B259,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59" s="28" t="str" cm="1">
        <f t="array" ref="V259">IFERROR(INDEX('Raw Period DMR Data'!N:N,MATCH(1,(B259='Raw Period DMR Data'!$A:$A)*(U259='Raw Period DMR Data'!M:M)*(X259='Raw Period DMR Data'!C:C),0),1), "N/A")</f>
        <v>N/A</v>
      </c>
      <c r="W259" s="28" t="s">
        <v>1463</v>
      </c>
      <c r="X259" s="28" t="s">
        <v>2172</v>
      </c>
      <c r="Y259" s="28" t="s">
        <v>1760</v>
      </c>
      <c r="Z259" s="61">
        <v>5110003000994</v>
      </c>
      <c r="AA259" s="60"/>
      <c r="AB259" s="28" t="s">
        <v>7355</v>
      </c>
      <c r="AC259" s="28" t="s">
        <v>263</v>
      </c>
    </row>
    <row r="260" spans="1:29" s="28" customFormat="1" x14ac:dyDescent="0.25">
      <c r="A260" s="61">
        <v>110000736730</v>
      </c>
      <c r="B260" s="28">
        <v>2021</v>
      </c>
      <c r="C260" s="68">
        <f t="shared" si="4"/>
        <v>44197</v>
      </c>
      <c r="D260" s="28" t="s">
        <v>1321</v>
      </c>
      <c r="E260" s="28" t="s">
        <v>2171</v>
      </c>
      <c r="F260" s="28" t="s">
        <v>626</v>
      </c>
      <c r="G260" s="28" t="s">
        <v>324</v>
      </c>
      <c r="H260" s="28">
        <v>42276</v>
      </c>
      <c r="I260" s="28">
        <v>36.856732000000001</v>
      </c>
      <c r="J260" s="28">
        <v>-86.889048000000003</v>
      </c>
      <c r="L260" s="61">
        <v>110000736730</v>
      </c>
      <c r="M260" s="28" t="s">
        <v>263</v>
      </c>
      <c r="N260" s="28">
        <v>4952</v>
      </c>
      <c r="O260" s="28" t="str">
        <f>IFERROR(VLOOKUP(N260, 'SIC &amp; NAICS Codes'!A:B, 2, FALSE), "")</f>
        <v>Sewerage Systems</v>
      </c>
      <c r="S260" s="28">
        <v>8.0819212500000005E-4</v>
      </c>
      <c r="T260" s="315">
        <f>_xlfn.MAXIFS('Raw Period DMR Data'!$O:$O,'Raw Period DMR Data'!$A:$A,'Raw Annual DMR Data_2021-2024'!#REF!,'Raw Period DMR Data'!$C:$C,X260)/S260</f>
        <v>0</v>
      </c>
      <c r="U260" s="28" t="str">
        <f>+IF(COUNTIFS('Raw Period DMR Data'!$A:$A,B260,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60" s="28" t="str" cm="1">
        <f t="array" ref="V260">IFERROR(INDEX('Raw Period DMR Data'!N:N,MATCH(1,(B260='Raw Period DMR Data'!$A:$A)*(U260='Raw Period DMR Data'!M:M)*(X260='Raw Period DMR Data'!C:C),0),1), "N/A")</f>
        <v>N/A</v>
      </c>
      <c r="W260" s="28" t="s">
        <v>1463</v>
      </c>
      <c r="X260" s="28" t="s">
        <v>2172</v>
      </c>
      <c r="Y260" s="28" t="s">
        <v>1760</v>
      </c>
      <c r="Z260" s="61">
        <v>5110003000994</v>
      </c>
      <c r="AB260" s="28" t="s">
        <v>7355</v>
      </c>
      <c r="AC260" s="28" t="s">
        <v>263</v>
      </c>
    </row>
    <row r="261" spans="1:29" s="28" customFormat="1" x14ac:dyDescent="0.25">
      <c r="A261" s="61">
        <v>110000736730</v>
      </c>
      <c r="B261" s="28">
        <v>2023</v>
      </c>
      <c r="C261" s="68">
        <f t="shared" si="4"/>
        <v>44927</v>
      </c>
      <c r="D261" s="28" t="s">
        <v>1321</v>
      </c>
      <c r="E261" s="28" t="s">
        <v>2171</v>
      </c>
      <c r="F261" s="28" t="s">
        <v>626</v>
      </c>
      <c r="G261" s="28" t="s">
        <v>324</v>
      </c>
      <c r="H261" s="28">
        <v>42276</v>
      </c>
      <c r="I261" s="28">
        <v>36.856732000000001</v>
      </c>
      <c r="J261" s="28">
        <v>-86.889048000000003</v>
      </c>
      <c r="L261" s="61">
        <v>110000736730</v>
      </c>
      <c r="M261" s="28" t="s">
        <v>263</v>
      </c>
      <c r="N261" s="28">
        <v>4952</v>
      </c>
      <c r="O261" s="28" t="str">
        <f>IFERROR(VLOOKUP(N261, 'SIC &amp; NAICS Codes'!A:B, 2, FALSE), "")</f>
        <v>Sewerage Systems</v>
      </c>
      <c r="S261" s="28">
        <v>4.6557392499999999E-4</v>
      </c>
      <c r="T261" s="315">
        <f>_xlfn.MAXIFS('Raw Period DMR Data'!$O:$O,'Raw Period DMR Data'!$A:$A,'Raw Annual DMR Data_2021-2024'!#REF!,'Raw Period DMR Data'!$C:$C,X261)/S261</f>
        <v>0</v>
      </c>
      <c r="U261" s="28" t="str">
        <f>+IF(COUNTIFS('Raw Period DMR Data'!$A:$A,B261,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61" s="28" t="str" cm="1">
        <f t="array" ref="V261">IFERROR(INDEX('Raw Period DMR Data'!N:N,MATCH(1,(B261='Raw Period DMR Data'!$A:$A)*(U261='Raw Period DMR Data'!M:M)*(X261='Raw Period DMR Data'!C:C),0),1), "N/A")</f>
        <v>N/A</v>
      </c>
      <c r="W261" s="28" t="s">
        <v>1463</v>
      </c>
      <c r="X261" s="28" t="s">
        <v>2172</v>
      </c>
      <c r="Y261" s="28" t="s">
        <v>1760</v>
      </c>
      <c r="Z261" s="61" t="s">
        <v>7350</v>
      </c>
      <c r="AA261" s="60"/>
      <c r="AB261" s="28" t="s">
        <v>7355</v>
      </c>
      <c r="AC261" s="28" t="s">
        <v>263</v>
      </c>
    </row>
    <row r="262" spans="1:29" s="28" customFormat="1" x14ac:dyDescent="0.25">
      <c r="A262" s="61">
        <v>110039998214</v>
      </c>
      <c r="B262" s="28">
        <v>2021</v>
      </c>
      <c r="C262" s="68">
        <f t="shared" si="4"/>
        <v>44197</v>
      </c>
      <c r="D262" s="28" t="s">
        <v>1322</v>
      </c>
      <c r="E262" s="28" t="s">
        <v>2173</v>
      </c>
      <c r="F262" s="28" t="s">
        <v>1273</v>
      </c>
      <c r="G262" s="28" t="s">
        <v>324</v>
      </c>
      <c r="H262" s="28">
        <v>42301</v>
      </c>
      <c r="I262" s="28">
        <v>37.790278000000001</v>
      </c>
      <c r="J262" s="28">
        <v>-87.140277999999995</v>
      </c>
      <c r="L262" s="61">
        <v>110039998214</v>
      </c>
      <c r="M262" s="28" t="s">
        <v>263</v>
      </c>
      <c r="N262" s="28">
        <v>4952</v>
      </c>
      <c r="O262" s="28" t="str">
        <f>IFERROR(VLOOKUP(N262, 'SIC &amp; NAICS Codes'!A:B, 2, FALSE), "")</f>
        <v>Sewerage Systems</v>
      </c>
      <c r="S262" s="28">
        <v>29.688972249999999</v>
      </c>
      <c r="T262" s="315">
        <f>_xlfn.MAXIFS('Raw Period DMR Data'!$O:$O,'Raw Period DMR Data'!$A:$A,'Raw Annual DMR Data_2021-2024'!B896,'Raw Period DMR Data'!$C:$C,X262)/S262</f>
        <v>0</v>
      </c>
      <c r="U262" s="28" t="str">
        <f>+IF(COUNTIFS('Raw Period DMR Data'!$A:$A,B262, 'Raw Period DMR Data'!C:C,'Raw Annual DMR Data_2021-2024'!X896, 'Raw Period DMR Data'!M:M, "&gt;0")&gt;0,_xlfn.MAXIFS('Raw Period DMR Data'!M:M,'Raw Period DMR Data'!$A:$A,'Raw Annual DMR Data_2021-2024'!B896,'Raw Period DMR Data'!C:C,'Raw Annual DMR Data_2021-2024'!X896), "N/A - Period DMR Data Not Available")</f>
        <v>N/A - Period DMR Data Not Available</v>
      </c>
      <c r="V262" s="28" t="str" cm="1">
        <f t="array" ref="V262">IFERROR(INDEX('Raw Period DMR Data'!N:N,MATCH(1,(B262='Raw Period DMR Data'!$A:$A)*(U262='Raw Period DMR Data'!M:M)*(X262='Raw Period DMR Data'!C:C),0),1), "N/A")</f>
        <v>N/A</v>
      </c>
      <c r="W262" s="28" t="s">
        <v>1463</v>
      </c>
      <c r="X262" s="28" t="s">
        <v>2174</v>
      </c>
      <c r="Y262" s="28" t="s">
        <v>830</v>
      </c>
      <c r="Z262" s="61">
        <v>5140201000008</v>
      </c>
      <c r="AB262" s="28" t="s">
        <v>7355</v>
      </c>
      <c r="AC262" s="28" t="s">
        <v>263</v>
      </c>
    </row>
    <row r="263" spans="1:29" s="28" customFormat="1" x14ac:dyDescent="0.25">
      <c r="A263" s="61">
        <v>110039998214</v>
      </c>
      <c r="B263" s="28">
        <v>2023</v>
      </c>
      <c r="C263" s="68">
        <f t="shared" si="4"/>
        <v>44927</v>
      </c>
      <c r="D263" s="28" t="s">
        <v>1322</v>
      </c>
      <c r="E263" s="28" t="s">
        <v>2173</v>
      </c>
      <c r="F263" s="28" t="s">
        <v>1273</v>
      </c>
      <c r="G263" s="28" t="s">
        <v>324</v>
      </c>
      <c r="H263" s="28">
        <v>42301</v>
      </c>
      <c r="I263" s="28">
        <v>37.790278000000001</v>
      </c>
      <c r="J263" s="28">
        <v>-87.140277999999995</v>
      </c>
      <c r="L263" s="61">
        <v>110039998214</v>
      </c>
      <c r="M263" s="28" t="s">
        <v>263</v>
      </c>
      <c r="N263" s="28">
        <v>4952</v>
      </c>
      <c r="O263" s="28" t="str">
        <f>IFERROR(VLOOKUP(N263, 'SIC &amp; NAICS Codes'!A:B, 2, FALSE), "")</f>
        <v>Sewerage Systems</v>
      </c>
      <c r="S263" s="28">
        <v>9.6015987500000008</v>
      </c>
      <c r="T263" s="315">
        <f>_xlfn.MAXIFS('Raw Period DMR Data'!$O:$O,'Raw Period DMR Data'!$A:$A,'Raw Annual DMR Data_2021-2024'!B951,'Raw Period DMR Data'!$C:$C,X263)/S263</f>
        <v>0</v>
      </c>
      <c r="U263" s="28" t="str">
        <f>+IF(COUNTIFS('Raw Period DMR Data'!$A:$A,B263, 'Raw Period DMR Data'!C:C,'Raw Annual DMR Data_2021-2024'!X951, 'Raw Period DMR Data'!M:M, "&gt;0")&gt;0,_xlfn.MAXIFS('Raw Period DMR Data'!M:M,'Raw Period DMR Data'!$A:$A,'Raw Annual DMR Data_2021-2024'!B951,'Raw Period DMR Data'!C:C,'Raw Annual DMR Data_2021-2024'!X951), "N/A - Period DMR Data Not Available")</f>
        <v>N/A - Period DMR Data Not Available</v>
      </c>
      <c r="V263" s="28" t="str" cm="1">
        <f t="array" ref="V263">IFERROR(INDEX('Raw Period DMR Data'!N:N,MATCH(1,(B263='Raw Period DMR Data'!$A:$A)*(U263='Raw Period DMR Data'!M:M)*(X263='Raw Period DMR Data'!C:C),0),1), "N/A")</f>
        <v>N/A</v>
      </c>
      <c r="W263" s="28" t="s">
        <v>1463</v>
      </c>
      <c r="X263" s="28" t="s">
        <v>2174</v>
      </c>
      <c r="Y263" s="28" t="s">
        <v>830</v>
      </c>
      <c r="Z263" s="61">
        <v>5140201000008</v>
      </c>
      <c r="AA263" s="60"/>
      <c r="AB263" s="28" t="s">
        <v>7355</v>
      </c>
      <c r="AC263" s="28" t="s">
        <v>263</v>
      </c>
    </row>
    <row r="264" spans="1:29" s="28" customFormat="1" x14ac:dyDescent="0.25">
      <c r="A264" s="61">
        <v>110039998214</v>
      </c>
      <c r="B264" s="28">
        <v>2024</v>
      </c>
      <c r="C264" s="68">
        <f t="shared" si="4"/>
        <v>45292</v>
      </c>
      <c r="D264" s="28" t="s">
        <v>1322</v>
      </c>
      <c r="E264" s="28" t="s">
        <v>2173</v>
      </c>
      <c r="F264" s="28" t="s">
        <v>1273</v>
      </c>
      <c r="G264" s="28" t="s">
        <v>324</v>
      </c>
      <c r="H264" s="28">
        <v>42301</v>
      </c>
      <c r="I264" s="28">
        <v>37.790278000000001</v>
      </c>
      <c r="J264" s="28">
        <v>-87.140277999999995</v>
      </c>
      <c r="L264" s="61">
        <v>110039998214</v>
      </c>
      <c r="M264" s="28" t="s">
        <v>263</v>
      </c>
      <c r="N264" s="28">
        <v>4952</v>
      </c>
      <c r="O264" s="28" t="str">
        <f>IFERROR(VLOOKUP(N264, 'SIC &amp; NAICS Codes'!A:B, 2, FALSE), "")</f>
        <v>Sewerage Systems</v>
      </c>
      <c r="S264" s="28">
        <v>5.6849753749999996</v>
      </c>
      <c r="T264" s="315">
        <f>_xlfn.MAXIFS('Raw Period DMR Data'!$O:$O,'Raw Period DMR Data'!$A:$A,'Raw Annual DMR Data_2021-2024'!B972,'Raw Period DMR Data'!$C:$C,X264)/S264</f>
        <v>0</v>
      </c>
      <c r="U264" s="28" t="str">
        <f>+IF(COUNTIFS('Raw Period DMR Data'!$A:$A,B264, 'Raw Period DMR Data'!C:C,'Raw Annual DMR Data_2021-2024'!X972, 'Raw Period DMR Data'!M:M, "&gt;0")&gt;0,_xlfn.MAXIFS('Raw Period DMR Data'!M:M,'Raw Period DMR Data'!$A:$A,'Raw Annual DMR Data_2021-2024'!B972,'Raw Period DMR Data'!C:C,'Raw Annual DMR Data_2021-2024'!X972), "N/A - Period DMR Data Not Available")</f>
        <v>N/A - Period DMR Data Not Available</v>
      </c>
      <c r="V264" s="28" t="str" cm="1">
        <f t="array" ref="V264">IFERROR(INDEX('Raw Period DMR Data'!N:N,MATCH(1,(B264='Raw Period DMR Data'!$A:$A)*(U264='Raw Period DMR Data'!M:M)*(X264='Raw Period DMR Data'!C:C),0),1), "N/A")</f>
        <v>N/A</v>
      </c>
      <c r="W264" s="28" t="s">
        <v>1463</v>
      </c>
      <c r="X264" s="28" t="s">
        <v>2174</v>
      </c>
      <c r="Y264" s="28" t="s">
        <v>830</v>
      </c>
      <c r="Z264" s="61">
        <v>5140201000008</v>
      </c>
      <c r="AA264" s="60"/>
      <c r="AB264" s="28" t="s">
        <v>7355</v>
      </c>
      <c r="AC264" s="28" t="s">
        <v>263</v>
      </c>
    </row>
    <row r="265" spans="1:29" s="28" customFormat="1" x14ac:dyDescent="0.25">
      <c r="A265" s="61">
        <v>110039998214</v>
      </c>
      <c r="B265" s="28">
        <v>2022</v>
      </c>
      <c r="C265" s="68">
        <f t="shared" si="4"/>
        <v>44562</v>
      </c>
      <c r="D265" s="28" t="s">
        <v>1322</v>
      </c>
      <c r="E265" s="28" t="s">
        <v>2173</v>
      </c>
      <c r="F265" s="28" t="s">
        <v>1273</v>
      </c>
      <c r="G265" s="28" t="s">
        <v>324</v>
      </c>
      <c r="H265" s="28">
        <v>42301</v>
      </c>
      <c r="I265" s="28">
        <v>37.790278000000001</v>
      </c>
      <c r="J265" s="28">
        <v>-87.140277999999995</v>
      </c>
      <c r="L265" s="61">
        <v>110039998214</v>
      </c>
      <c r="M265" s="28" t="s">
        <v>263</v>
      </c>
      <c r="N265" s="28">
        <v>4952</v>
      </c>
      <c r="O265" s="28" t="str">
        <f>IFERROR(VLOOKUP(N265, 'SIC &amp; NAICS Codes'!A:B, 2, FALSE), "")</f>
        <v>Sewerage Systems</v>
      </c>
      <c r="S265" s="28">
        <v>2.1427038292499998</v>
      </c>
      <c r="T265" s="315">
        <f>_xlfn.MAXIFS('Raw Period DMR Data'!$O:$O,'Raw Period DMR Data'!$A:$A,'Raw Annual DMR Data_2021-2024'!#REF!,'Raw Period DMR Data'!$C:$C,X265)/S265</f>
        <v>0</v>
      </c>
      <c r="U265" s="28" t="str">
        <f>+IF(COUNTIFS('Raw Period DMR Data'!$A:$A,B265,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65" s="28" t="str" cm="1">
        <f t="array" ref="V265">IFERROR(INDEX('Raw Period DMR Data'!N:N,MATCH(1,(B265='Raw Period DMR Data'!$A:$A)*(U265='Raw Period DMR Data'!M:M)*(X265='Raw Period DMR Data'!C:C),0),1), "N/A")</f>
        <v>N/A</v>
      </c>
      <c r="W265" s="28" t="s">
        <v>1463</v>
      </c>
      <c r="X265" s="28" t="s">
        <v>2174</v>
      </c>
      <c r="Y265" s="28" t="s">
        <v>830</v>
      </c>
      <c r="Z265" s="61">
        <v>5140201000008</v>
      </c>
      <c r="AA265" s="60"/>
      <c r="AB265" s="28" t="s">
        <v>7355</v>
      </c>
      <c r="AC265" s="28" t="s">
        <v>263</v>
      </c>
    </row>
    <row r="266" spans="1:29" s="28" customFormat="1" x14ac:dyDescent="0.25">
      <c r="A266" s="61">
        <v>110000734484</v>
      </c>
      <c r="B266" s="28">
        <v>2024</v>
      </c>
      <c r="C266" s="68">
        <f t="shared" si="4"/>
        <v>45292</v>
      </c>
      <c r="D266" s="28" t="s">
        <v>6912</v>
      </c>
      <c r="E266" s="28" t="s">
        <v>7114</v>
      </c>
      <c r="F266" s="28" t="s">
        <v>7115</v>
      </c>
      <c r="G266" s="28" t="s">
        <v>338</v>
      </c>
      <c r="H266" s="28" t="s">
        <v>7116</v>
      </c>
      <c r="I266" s="28">
        <v>39.573918999999997</v>
      </c>
      <c r="J266" s="28">
        <v>-75.479337000000001</v>
      </c>
      <c r="L266" s="61">
        <v>110000734484</v>
      </c>
      <c r="M266" s="28" t="s">
        <v>263</v>
      </c>
      <c r="N266" s="28">
        <v>4952</v>
      </c>
      <c r="O266" s="28" t="str">
        <f>IFERROR(VLOOKUP(N266, 'SIC &amp; NAICS Codes'!A:B, 2, FALSE), "")</f>
        <v>Sewerage Systems</v>
      </c>
      <c r="S266" s="28">
        <v>36.58</v>
      </c>
      <c r="T266" s="315">
        <f>_xlfn.MAXIFS('Raw Period DMR Data'!$O:$O,'Raw Period DMR Data'!$A:$A,'Raw Annual DMR Data_2021-2024'!B893,'Raw Period DMR Data'!$C:$C,X266)/S266</f>
        <v>0</v>
      </c>
      <c r="U266" s="28" t="str">
        <f>+IF(COUNTIFS('Raw Period DMR Data'!$A:$A,B266, 'Raw Period DMR Data'!C:C,'Raw Annual DMR Data_2021-2024'!X893, 'Raw Period DMR Data'!M:M, "&gt;0")&gt;0,_xlfn.MAXIFS('Raw Period DMR Data'!M:M,'Raw Period DMR Data'!$A:$A,'Raw Annual DMR Data_2021-2024'!B893,'Raw Period DMR Data'!C:C,'Raw Annual DMR Data_2021-2024'!X893), "N/A - Period DMR Data Not Available")</f>
        <v>N/A - Period DMR Data Not Available</v>
      </c>
      <c r="V266" s="28" t="str" cm="1">
        <f t="array" ref="V266">IFERROR(INDEX('Raw Period DMR Data'!N:N,MATCH(1,(B266='Raw Period DMR Data'!$A:$A)*(U266='Raw Period DMR Data'!M:M)*(X266='Raw Period DMR Data'!C:C),0),1), "N/A")</f>
        <v>N/A</v>
      </c>
      <c r="W266" s="28" t="s">
        <v>1463</v>
      </c>
      <c r="X266" s="28" t="s">
        <v>7244</v>
      </c>
      <c r="Y266" s="28" t="s">
        <v>7322</v>
      </c>
      <c r="Z266" s="61">
        <v>2040206002345</v>
      </c>
      <c r="AA266" s="60"/>
      <c r="AB266" s="28" t="s">
        <v>7355</v>
      </c>
      <c r="AC266" s="28" t="s">
        <v>263</v>
      </c>
    </row>
    <row r="267" spans="1:29" s="28" customFormat="1" x14ac:dyDescent="0.25">
      <c r="A267" s="61">
        <v>110013848453</v>
      </c>
      <c r="B267" s="28">
        <v>2023</v>
      </c>
      <c r="C267" s="68">
        <f t="shared" si="4"/>
        <v>44927</v>
      </c>
      <c r="D267" s="28" t="s">
        <v>1334</v>
      </c>
      <c r="E267" s="28" t="s">
        <v>2193</v>
      </c>
      <c r="F267" s="28" t="s">
        <v>1335</v>
      </c>
      <c r="G267" s="28" t="s">
        <v>366</v>
      </c>
      <c r="H267" s="28" t="s">
        <v>2194</v>
      </c>
      <c r="I267" s="28">
        <v>36.963245999999998</v>
      </c>
      <c r="J267" s="28">
        <v>-122.034009</v>
      </c>
      <c r="L267" s="61">
        <v>110013848453</v>
      </c>
      <c r="M267" s="28" t="s">
        <v>263</v>
      </c>
      <c r="N267" s="28">
        <v>4952</v>
      </c>
      <c r="O267" s="28" t="str">
        <f>IFERROR(VLOOKUP(N267, 'SIC &amp; NAICS Codes'!A:B, 2, FALSE), "")</f>
        <v>Sewerage Systems</v>
      </c>
      <c r="S267" s="28">
        <v>0.1037379174</v>
      </c>
      <c r="T267" s="315">
        <f>_xlfn.MAXIFS('Raw Period DMR Data'!$O:$O,'Raw Period DMR Data'!$A:$A,'Raw Annual DMR Data_2021-2024'!#REF!,'Raw Period DMR Data'!$C:$C,X267)/S267</f>
        <v>0</v>
      </c>
      <c r="U267" s="28" t="str">
        <f>+IF(COUNTIFS('Raw Period DMR Data'!$A:$A,B267,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67" s="28" t="str" cm="1">
        <f t="array" ref="V267">IFERROR(INDEX('Raw Period DMR Data'!N:N,MATCH(1,(B267='Raw Period DMR Data'!$A:$A)*(U267='Raw Period DMR Data'!M:M)*(X267='Raw Period DMR Data'!C:C),0),1), "N/A")</f>
        <v>N/A</v>
      </c>
      <c r="W267" s="28" t="s">
        <v>1463</v>
      </c>
      <c r="X267" s="28" t="s">
        <v>2195</v>
      </c>
      <c r="Y267" s="28" t="s">
        <v>2196</v>
      </c>
      <c r="Z267" s="61">
        <v>18060015000054</v>
      </c>
      <c r="AA267" s="60"/>
      <c r="AB267" s="28" t="s">
        <v>7355</v>
      </c>
      <c r="AC267" s="28" t="s">
        <v>263</v>
      </c>
    </row>
    <row r="268" spans="1:29" s="28" customFormat="1" x14ac:dyDescent="0.25">
      <c r="A268" s="61">
        <v>110013848453</v>
      </c>
      <c r="B268" s="28">
        <v>2021</v>
      </c>
      <c r="C268" s="68">
        <f t="shared" si="4"/>
        <v>44197</v>
      </c>
      <c r="D268" s="28" t="s">
        <v>1334</v>
      </c>
      <c r="E268" s="28" t="s">
        <v>2193</v>
      </c>
      <c r="F268" s="28" t="s">
        <v>1335</v>
      </c>
      <c r="G268" s="28" t="s">
        <v>366</v>
      </c>
      <c r="H268" s="28" t="s">
        <v>2194</v>
      </c>
      <c r="I268" s="28">
        <v>36.963245999999998</v>
      </c>
      <c r="J268" s="28">
        <v>-122.034009</v>
      </c>
      <c r="L268" s="61">
        <v>110013848453</v>
      </c>
      <c r="M268" s="28" t="s">
        <v>263</v>
      </c>
      <c r="N268" s="28">
        <v>4952</v>
      </c>
      <c r="O268" s="28" t="str">
        <f>IFERROR(VLOOKUP(N268, 'SIC &amp; NAICS Codes'!A:B, 2, FALSE), "")</f>
        <v>Sewerage Systems</v>
      </c>
      <c r="S268" s="28">
        <v>9.8133498180000001E-2</v>
      </c>
      <c r="T268" s="315">
        <f>_xlfn.MAXIFS('Raw Period DMR Data'!$O:$O,'Raw Period DMR Data'!$A:$A,'Raw Annual DMR Data_2021-2024'!#REF!,'Raw Period DMR Data'!$C:$C,X268)/S268</f>
        <v>0</v>
      </c>
      <c r="U268" s="28" t="str">
        <f>+IF(COUNTIFS('Raw Period DMR Data'!$A:$A,B268,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68" s="28" t="str" cm="1">
        <f t="array" ref="V268">IFERROR(INDEX('Raw Period DMR Data'!N:N,MATCH(1,(B268='Raw Period DMR Data'!$A:$A)*(U268='Raw Period DMR Data'!M:M)*(X268='Raw Period DMR Data'!C:C),0),1), "N/A")</f>
        <v>N/A</v>
      </c>
      <c r="W268" s="28" t="s">
        <v>1463</v>
      </c>
      <c r="X268" s="28" t="s">
        <v>2195</v>
      </c>
      <c r="Y268" s="28" t="s">
        <v>2196</v>
      </c>
      <c r="Z268" s="61">
        <v>18060015000054</v>
      </c>
      <c r="AB268" s="28" t="s">
        <v>7355</v>
      </c>
      <c r="AC268" s="28" t="s">
        <v>263</v>
      </c>
    </row>
    <row r="269" spans="1:29" s="28" customFormat="1" x14ac:dyDescent="0.25">
      <c r="A269" s="61">
        <v>110013848453</v>
      </c>
      <c r="B269" s="28">
        <v>2024</v>
      </c>
      <c r="C269" s="68">
        <f t="shared" si="4"/>
        <v>45292</v>
      </c>
      <c r="D269" s="28" t="s">
        <v>1334</v>
      </c>
      <c r="E269" s="28" t="s">
        <v>2193</v>
      </c>
      <c r="F269" s="28" t="s">
        <v>1335</v>
      </c>
      <c r="G269" s="28" t="s">
        <v>366</v>
      </c>
      <c r="H269" s="28" t="s">
        <v>2194</v>
      </c>
      <c r="I269" s="28">
        <v>36.963245999999998</v>
      </c>
      <c r="J269" s="28">
        <v>-122.034009</v>
      </c>
      <c r="L269" s="61">
        <v>110013848453</v>
      </c>
      <c r="M269" s="28" t="s">
        <v>263</v>
      </c>
      <c r="N269" s="28">
        <v>4952</v>
      </c>
      <c r="O269" s="28" t="str">
        <f>IFERROR(VLOOKUP(N269, 'SIC &amp; NAICS Codes'!A:B, 2, FALSE), "")</f>
        <v>Sewerage Systems</v>
      </c>
      <c r="S269" s="28">
        <v>8.7358216350000004E-2</v>
      </c>
      <c r="T269" s="315">
        <f>_xlfn.MAXIFS('Raw Period DMR Data'!$O:$O,'Raw Period DMR Data'!$A:$A,'Raw Annual DMR Data_2021-2024'!#REF!,'Raw Period DMR Data'!$C:$C,X269)/S269</f>
        <v>0</v>
      </c>
      <c r="U269" s="28" t="str">
        <f>+IF(COUNTIFS('Raw Period DMR Data'!$A:$A,B269,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69" s="28" t="str" cm="1">
        <f t="array" ref="V269">IFERROR(INDEX('Raw Period DMR Data'!N:N,MATCH(1,(B269='Raw Period DMR Data'!$A:$A)*(U269='Raw Period DMR Data'!M:M)*(X269='Raw Period DMR Data'!C:C),0),1), "N/A")</f>
        <v>N/A</v>
      </c>
      <c r="W269" s="28" t="s">
        <v>1463</v>
      </c>
      <c r="X269" s="28" t="s">
        <v>2195</v>
      </c>
      <c r="Y269" s="28" t="s">
        <v>2196</v>
      </c>
      <c r="Z269" s="61">
        <v>18060015000054</v>
      </c>
      <c r="AA269" s="60"/>
      <c r="AB269" s="28" t="s">
        <v>7355</v>
      </c>
      <c r="AC269" s="28" t="s">
        <v>263</v>
      </c>
    </row>
    <row r="270" spans="1:29" s="28" customFormat="1" x14ac:dyDescent="0.25">
      <c r="A270" s="61">
        <v>110006657554</v>
      </c>
      <c r="B270" s="28">
        <v>2024</v>
      </c>
      <c r="C270" s="68">
        <f t="shared" si="4"/>
        <v>45292</v>
      </c>
      <c r="D270" s="28" t="s">
        <v>6873</v>
      </c>
      <c r="E270" s="28" t="s">
        <v>7042</v>
      </c>
      <c r="F270" s="28" t="s">
        <v>7043</v>
      </c>
      <c r="G270" s="28" t="s">
        <v>366</v>
      </c>
      <c r="H270" s="28">
        <v>92273</v>
      </c>
      <c r="I270" s="28">
        <v>32.7958</v>
      </c>
      <c r="J270" s="28">
        <v>-115.6957</v>
      </c>
      <c r="L270" s="61">
        <v>110006657554</v>
      </c>
      <c r="M270" s="28" t="s">
        <v>263</v>
      </c>
      <c r="N270" s="28">
        <v>4952</v>
      </c>
      <c r="O270" s="28" t="str">
        <f>IFERROR(VLOOKUP(N270, 'SIC &amp; NAICS Codes'!A:B, 2, FALSE), "")</f>
        <v>Sewerage Systems</v>
      </c>
      <c r="S270" s="28">
        <v>1.0865694125E-2</v>
      </c>
      <c r="T270" s="315">
        <f>_xlfn.MAXIFS('Raw Period DMR Data'!$O:$O,'Raw Period DMR Data'!$A:$A,'Raw Annual DMR Data_2021-2024'!#REF!,'Raw Period DMR Data'!$C:$C,X270)/S270</f>
        <v>0</v>
      </c>
      <c r="U270" s="28" t="str">
        <f>+IF(COUNTIFS('Raw Period DMR Data'!$A:$A,B270,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70" s="28" t="str" cm="1">
        <f t="array" ref="V270">IFERROR(INDEX('Raw Period DMR Data'!N:N,MATCH(1,(B270='Raw Period DMR Data'!$A:$A)*(U270='Raw Period DMR Data'!M:M)*(X270='Raw Period DMR Data'!C:C),0),1), "N/A")</f>
        <v>N/A</v>
      </c>
      <c r="W270" s="28" t="s">
        <v>1463</v>
      </c>
      <c r="X270" s="28" t="s">
        <v>7201</v>
      </c>
      <c r="Y270" s="28" t="s">
        <v>795</v>
      </c>
      <c r="Z270" s="61">
        <v>18100204010975</v>
      </c>
      <c r="AA270" s="60"/>
      <c r="AB270" s="28" t="s">
        <v>7355</v>
      </c>
      <c r="AC270" s="28" t="s">
        <v>263</v>
      </c>
    </row>
    <row r="271" spans="1:29" s="28" customFormat="1" x14ac:dyDescent="0.25">
      <c r="A271" s="61">
        <v>110000732217</v>
      </c>
      <c r="B271" s="28">
        <v>2024</v>
      </c>
      <c r="C271" s="68">
        <f t="shared" si="4"/>
        <v>45292</v>
      </c>
      <c r="D271" s="28" t="s">
        <v>6885</v>
      </c>
      <c r="E271" s="28" t="s">
        <v>7060</v>
      </c>
      <c r="F271" s="28" t="s">
        <v>7061</v>
      </c>
      <c r="G271" s="28" t="s">
        <v>324</v>
      </c>
      <c r="H271" s="28">
        <v>40065</v>
      </c>
      <c r="I271" s="28">
        <v>38.198332999999998</v>
      </c>
      <c r="J271" s="28">
        <v>-85.224999999999994</v>
      </c>
      <c r="L271" s="61">
        <v>110000732217</v>
      </c>
      <c r="M271" s="28" t="s">
        <v>263</v>
      </c>
      <c r="N271" s="28">
        <v>4952</v>
      </c>
      <c r="O271" s="28" t="str">
        <f>IFERROR(VLOOKUP(N271, 'SIC &amp; NAICS Codes'!A:B, 2, FALSE), "")</f>
        <v>Sewerage Systems</v>
      </c>
      <c r="S271" s="28">
        <v>10.907139875</v>
      </c>
      <c r="T271" s="315">
        <f>_xlfn.MAXIFS('Raw Period DMR Data'!$O:$O,'Raw Period DMR Data'!$A:$A,'Raw Annual DMR Data_2021-2024'!B946,'Raw Period DMR Data'!$C:$C,X271)/S271</f>
        <v>0</v>
      </c>
      <c r="U271" s="28" t="str">
        <f>+IF(COUNTIFS('Raw Period DMR Data'!$A:$A,B271, 'Raw Period DMR Data'!C:C,'Raw Annual DMR Data_2021-2024'!X946, 'Raw Period DMR Data'!M:M, "&gt;0")&gt;0,_xlfn.MAXIFS('Raw Period DMR Data'!M:M,'Raw Period DMR Data'!$A:$A,'Raw Annual DMR Data_2021-2024'!B946,'Raw Period DMR Data'!C:C,'Raw Annual DMR Data_2021-2024'!X946), "N/A - Period DMR Data Not Available")</f>
        <v>N/A - Period DMR Data Not Available</v>
      </c>
      <c r="V271" s="28" t="str" cm="1">
        <f t="array" ref="V271">IFERROR(INDEX('Raw Period DMR Data'!N:N,MATCH(1,(B271='Raw Period DMR Data'!$A:$A)*(U271='Raw Period DMR Data'!M:M)*(X271='Raw Period DMR Data'!C:C),0),1), "N/A")</f>
        <v>N/A</v>
      </c>
      <c r="W271" s="28" t="s">
        <v>1463</v>
      </c>
      <c r="X271" s="28" t="s">
        <v>7211</v>
      </c>
      <c r="Y271" s="28" t="s">
        <v>7309</v>
      </c>
      <c r="Z271" s="61">
        <v>5140102000191</v>
      </c>
      <c r="AA271" s="60"/>
      <c r="AB271" s="28" t="s">
        <v>7355</v>
      </c>
      <c r="AC271" s="28" t="s">
        <v>263</v>
      </c>
    </row>
    <row r="272" spans="1:29" s="28" customFormat="1" x14ac:dyDescent="0.25">
      <c r="A272" s="61">
        <v>110020941383</v>
      </c>
      <c r="B272" s="28">
        <v>2021</v>
      </c>
      <c r="C272" s="68">
        <f t="shared" si="4"/>
        <v>44197</v>
      </c>
      <c r="D272" s="28" t="s">
        <v>1346</v>
      </c>
      <c r="E272" s="28" t="s">
        <v>2213</v>
      </c>
      <c r="F272" s="28" t="s">
        <v>1347</v>
      </c>
      <c r="G272" s="28" t="s">
        <v>324</v>
      </c>
      <c r="H272" s="28">
        <v>40165</v>
      </c>
      <c r="I272" s="28">
        <v>37.987499999999997</v>
      </c>
      <c r="J272" s="28">
        <v>-85.720832999999999</v>
      </c>
      <c r="L272" s="61">
        <v>110020941383</v>
      </c>
      <c r="M272" s="28" t="s">
        <v>263</v>
      </c>
      <c r="N272" s="28">
        <v>4952</v>
      </c>
      <c r="O272" s="28" t="str">
        <f>IFERROR(VLOOKUP(N272, 'SIC &amp; NAICS Codes'!A:B, 2, FALSE), "")</f>
        <v>Sewerage Systems</v>
      </c>
      <c r="S272" s="28">
        <v>2.1828094999999998</v>
      </c>
      <c r="T272" s="315">
        <f>_xlfn.MAXIFS('Raw Period DMR Data'!$O:$O,'Raw Period DMR Data'!$A:$A,'Raw Annual DMR Data_2021-2024'!#REF!,'Raw Period DMR Data'!$C:$C,X272)/S272</f>
        <v>0</v>
      </c>
      <c r="U272" s="28" t="str">
        <f>+IF(COUNTIFS('Raw Period DMR Data'!$A:$A,B272,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72" s="28" t="str" cm="1">
        <f t="array" ref="V272">IFERROR(INDEX('Raw Period DMR Data'!N:N,MATCH(1,(B272='Raw Period DMR Data'!$A:$A)*(U272='Raw Period DMR Data'!M:M)*(X272='Raw Period DMR Data'!C:C),0),1), "N/A")</f>
        <v>N/A</v>
      </c>
      <c r="W272" s="28" t="s">
        <v>1463</v>
      </c>
      <c r="X272" s="28" t="s">
        <v>2214</v>
      </c>
      <c r="Y272" s="28" t="s">
        <v>2215</v>
      </c>
      <c r="Z272" s="61">
        <v>5140102000052</v>
      </c>
      <c r="AB272" s="28" t="s">
        <v>7355</v>
      </c>
      <c r="AC272" s="28" t="s">
        <v>263</v>
      </c>
    </row>
    <row r="273" spans="1:29" s="28" customFormat="1" x14ac:dyDescent="0.25">
      <c r="A273" s="61">
        <v>110024409362</v>
      </c>
      <c r="B273" s="28">
        <v>2023</v>
      </c>
      <c r="C273" s="68">
        <f t="shared" si="4"/>
        <v>44927</v>
      </c>
      <c r="D273" s="28" t="s">
        <v>1348</v>
      </c>
      <c r="E273" s="28" t="s">
        <v>2217</v>
      </c>
      <c r="F273" s="28" t="s">
        <v>1349</v>
      </c>
      <c r="G273" s="28" t="s">
        <v>1249</v>
      </c>
      <c r="H273" s="28">
        <v>87420</v>
      </c>
      <c r="I273" s="28">
        <v>36.786963999999998</v>
      </c>
      <c r="J273" s="28">
        <v>-108.711493</v>
      </c>
      <c r="L273" s="61">
        <v>110024409362</v>
      </c>
      <c r="M273" s="28" t="s">
        <v>263</v>
      </c>
      <c r="N273" s="28">
        <v>4952</v>
      </c>
      <c r="O273" s="28" t="str">
        <f>IFERROR(VLOOKUP(N273, 'SIC &amp; NAICS Codes'!A:B, 2, FALSE), "")</f>
        <v>Sewerage Systems</v>
      </c>
      <c r="S273" s="28">
        <v>0.80347979999999997</v>
      </c>
      <c r="T273" s="315">
        <f>_xlfn.MAXIFS('Raw Period DMR Data'!$O:$O,'Raw Period DMR Data'!$A:$A,'Raw Annual DMR Data_2021-2024'!#REF!,'Raw Period DMR Data'!$C:$C,X273)/S273</f>
        <v>0</v>
      </c>
      <c r="U273" s="28" t="str">
        <f>+IF(COUNTIFS('Raw Period DMR Data'!$A:$A,B273,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73" s="28" t="str" cm="1">
        <f t="array" ref="V273">IFERROR(INDEX('Raw Period DMR Data'!N:N,MATCH(1,(B273='Raw Period DMR Data'!$A:$A)*(U273='Raw Period DMR Data'!M:M)*(X273='Raw Period DMR Data'!C:C),0),1), "N/A")</f>
        <v>N/A</v>
      </c>
      <c r="W273" s="28" t="s">
        <v>1463</v>
      </c>
      <c r="X273" s="28" t="s">
        <v>2218</v>
      </c>
      <c r="Y273" s="28" t="s">
        <v>2219</v>
      </c>
      <c r="Z273" s="61">
        <v>14080105001216</v>
      </c>
      <c r="AA273" s="60"/>
      <c r="AB273" s="28" t="s">
        <v>7355</v>
      </c>
      <c r="AC273" s="28" t="s">
        <v>263</v>
      </c>
    </row>
    <row r="274" spans="1:29" s="28" customFormat="1" x14ac:dyDescent="0.25">
      <c r="A274" s="61">
        <v>110024409362</v>
      </c>
      <c r="B274" s="28">
        <v>2024</v>
      </c>
      <c r="C274" s="68">
        <f t="shared" si="4"/>
        <v>45292</v>
      </c>
      <c r="D274" s="28" t="s">
        <v>1348</v>
      </c>
      <c r="E274" s="28" t="s">
        <v>2217</v>
      </c>
      <c r="F274" s="28" t="s">
        <v>1349</v>
      </c>
      <c r="G274" s="28" t="s">
        <v>1249</v>
      </c>
      <c r="H274" s="28">
        <v>87420</v>
      </c>
      <c r="I274" s="28">
        <v>36.786963999999998</v>
      </c>
      <c r="J274" s="28">
        <v>-108.711493</v>
      </c>
      <c r="L274" s="61">
        <v>110024409362</v>
      </c>
      <c r="M274" s="28" t="s">
        <v>263</v>
      </c>
      <c r="N274" s="28">
        <v>4952</v>
      </c>
      <c r="O274" s="28" t="str">
        <f>IFERROR(VLOOKUP(N274, 'SIC &amp; NAICS Codes'!A:B, 2, FALSE), "")</f>
        <v>Sewerage Systems</v>
      </c>
      <c r="S274" s="28">
        <v>0.74602349999999995</v>
      </c>
      <c r="T274" s="315">
        <f>_xlfn.MAXIFS('Raw Period DMR Data'!$O:$O,'Raw Period DMR Data'!$A:$A,'Raw Annual DMR Data_2021-2024'!#REF!,'Raw Period DMR Data'!$C:$C,X274)/S274</f>
        <v>0</v>
      </c>
      <c r="U274" s="28" t="str">
        <f>+IF(COUNTIFS('Raw Period DMR Data'!$A:$A,B274,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74" s="28" t="str" cm="1">
        <f t="array" ref="V274">IFERROR(INDEX('Raw Period DMR Data'!N:N,MATCH(1,(B274='Raw Period DMR Data'!$A:$A)*(U274='Raw Period DMR Data'!M:M)*(X274='Raw Period DMR Data'!C:C),0),1), "N/A")</f>
        <v>N/A</v>
      </c>
      <c r="W274" s="28" t="s">
        <v>1463</v>
      </c>
      <c r="X274" s="28" t="s">
        <v>2218</v>
      </c>
      <c r="Y274" s="28" t="s">
        <v>2219</v>
      </c>
      <c r="Z274" s="61">
        <v>14080105001216</v>
      </c>
      <c r="AA274" s="60"/>
      <c r="AB274" s="28" t="s">
        <v>7355</v>
      </c>
      <c r="AC274" s="28" t="s">
        <v>263</v>
      </c>
    </row>
    <row r="275" spans="1:29" s="28" customFormat="1" x14ac:dyDescent="0.25">
      <c r="A275" s="61">
        <v>110002912750</v>
      </c>
      <c r="B275" s="28">
        <v>2021</v>
      </c>
      <c r="C275" s="68">
        <f t="shared" si="4"/>
        <v>44197</v>
      </c>
      <c r="D275" s="28" t="s">
        <v>1353</v>
      </c>
      <c r="E275" s="28" t="s">
        <v>2225</v>
      </c>
      <c r="F275" s="28" t="s">
        <v>612</v>
      </c>
      <c r="G275" s="28" t="s">
        <v>366</v>
      </c>
      <c r="H275" s="28" t="s">
        <v>2226</v>
      </c>
      <c r="I275" s="28">
        <v>32.544722</v>
      </c>
      <c r="J275" s="28">
        <v>-117.068056</v>
      </c>
      <c r="L275" s="61">
        <v>110002912750</v>
      </c>
      <c r="M275" s="28" t="s">
        <v>263</v>
      </c>
      <c r="N275" s="28">
        <v>4952</v>
      </c>
      <c r="O275" s="28" t="str">
        <f>IFERROR(VLOOKUP(N275, 'SIC &amp; NAICS Codes'!A:B, 2, FALSE), "")</f>
        <v>Sewerage Systems</v>
      </c>
      <c r="S275" s="28">
        <v>2.8919800000000002</v>
      </c>
      <c r="T275" s="315">
        <f>_xlfn.MAXIFS('Raw Period DMR Data'!$O:$O,'Raw Period DMR Data'!$A:$A,'Raw Annual DMR Data_2021-2024'!#REF!,'Raw Period DMR Data'!$C:$C,X275)/S275</f>
        <v>0</v>
      </c>
      <c r="U275" s="28" t="str">
        <f>+IF(COUNTIFS('Raw Period DMR Data'!$A:$A,B275,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75" s="28" t="str" cm="1">
        <f t="array" ref="V275">IFERROR(INDEX('Raw Period DMR Data'!N:N,MATCH(1,(B275='Raw Period DMR Data'!$A:$A)*(U275='Raw Period DMR Data'!M:M)*(X275='Raw Period DMR Data'!C:C),0),1), "N/A")</f>
        <v>N/A</v>
      </c>
      <c r="W275" s="28" t="s">
        <v>1463</v>
      </c>
      <c r="X275" s="28" t="s">
        <v>2227</v>
      </c>
      <c r="Y275" s="28" t="s">
        <v>926</v>
      </c>
      <c r="Z275" s="61">
        <v>18070304005658</v>
      </c>
      <c r="AA275" s="60"/>
      <c r="AB275" s="28" t="s">
        <v>7355</v>
      </c>
      <c r="AC275" s="28" t="s">
        <v>7356</v>
      </c>
    </row>
    <row r="276" spans="1:29" s="28" customFormat="1" x14ac:dyDescent="0.25">
      <c r="A276" s="61">
        <v>110000730629</v>
      </c>
      <c r="B276" s="28">
        <v>2021</v>
      </c>
      <c r="C276" s="68">
        <f t="shared" si="4"/>
        <v>44197</v>
      </c>
      <c r="D276" s="28" t="s">
        <v>1354</v>
      </c>
      <c r="E276" s="28" t="s">
        <v>2228</v>
      </c>
      <c r="F276" s="28" t="s">
        <v>1355</v>
      </c>
      <c r="G276" s="28" t="s">
        <v>366</v>
      </c>
      <c r="H276" s="28" t="s">
        <v>2229</v>
      </c>
      <c r="I276" s="28">
        <v>35.102089999999997</v>
      </c>
      <c r="J276" s="28">
        <v>-120.62509</v>
      </c>
      <c r="L276" s="61">
        <v>110000730629</v>
      </c>
      <c r="M276" s="28" t="s">
        <v>263</v>
      </c>
      <c r="N276" s="28">
        <v>4952</v>
      </c>
      <c r="O276" s="28" t="str">
        <f>IFERROR(VLOOKUP(N276, 'SIC &amp; NAICS Codes'!A:B, 2, FALSE), "")</f>
        <v>Sewerage Systems</v>
      </c>
      <c r="S276" s="28">
        <v>0.78712249999999995</v>
      </c>
      <c r="T276" s="315">
        <f>_xlfn.MAXIFS('Raw Period DMR Data'!$O:$O,'Raw Period DMR Data'!$A:$A,'Raw Annual DMR Data_2021-2024'!#REF!,'Raw Period DMR Data'!$C:$C,X276)/S276</f>
        <v>0</v>
      </c>
      <c r="U276" s="28" t="str">
        <f>+IF(COUNTIFS('Raw Period DMR Data'!$A:$A,B276,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76" s="28" t="str" cm="1">
        <f t="array" ref="V276">IFERROR(INDEX('Raw Period DMR Data'!N:N,MATCH(1,(B276='Raw Period DMR Data'!$A:$A)*(U276='Raw Period DMR Data'!M:M)*(X276='Raw Period DMR Data'!C:C),0),1), "N/A")</f>
        <v>N/A</v>
      </c>
      <c r="W276" s="28" t="s">
        <v>1463</v>
      </c>
      <c r="X276" s="28" t="s">
        <v>2230</v>
      </c>
      <c r="Y276" s="28" t="s">
        <v>926</v>
      </c>
      <c r="Z276" s="61">
        <v>18060006000024</v>
      </c>
      <c r="AB276" s="28" t="s">
        <v>7355</v>
      </c>
      <c r="AC276" s="28" t="s">
        <v>263</v>
      </c>
    </row>
    <row r="277" spans="1:29" s="28" customFormat="1" x14ac:dyDescent="0.25">
      <c r="A277" s="61">
        <v>110000540610</v>
      </c>
      <c r="B277" s="28">
        <v>2024</v>
      </c>
      <c r="C277" s="68">
        <f t="shared" si="4"/>
        <v>45292</v>
      </c>
      <c r="D277" s="28" t="s">
        <v>6811</v>
      </c>
      <c r="E277" s="28" t="s">
        <v>2107</v>
      </c>
      <c r="F277" s="28" t="s">
        <v>966</v>
      </c>
      <c r="G277" s="28" t="s">
        <v>491</v>
      </c>
      <c r="H277" s="28" t="s">
        <v>2108</v>
      </c>
      <c r="I277" s="28">
        <v>39.901820000000001</v>
      </c>
      <c r="J277" s="28">
        <v>-75.144549999999995</v>
      </c>
      <c r="L277" s="61">
        <v>110000540610</v>
      </c>
      <c r="M277" s="28" t="s">
        <v>263</v>
      </c>
      <c r="N277" s="28">
        <v>4952</v>
      </c>
      <c r="O277" s="28" t="str">
        <f>IFERROR(VLOOKUP(N277, 'SIC &amp; NAICS Codes'!A:B, 2, FALSE), "")</f>
        <v>Sewerage Systems</v>
      </c>
      <c r="S277" s="28">
        <v>149.26147499999999</v>
      </c>
      <c r="T277" s="315">
        <f>_xlfn.MAXIFS('Raw Period DMR Data'!$O:$O,'Raw Period DMR Data'!$A:$A,'Raw Annual DMR Data_2021-2024'!B868,'Raw Period DMR Data'!$C:$C,X277)/S277</f>
        <v>0</v>
      </c>
      <c r="U277" s="28" t="str">
        <f>+IF(COUNTIFS('Raw Period DMR Data'!$A:$A,B277, 'Raw Period DMR Data'!C:C,'Raw Annual DMR Data_2021-2024'!X868, 'Raw Period DMR Data'!M:M, "&gt;0")&gt;0,_xlfn.MAXIFS('Raw Period DMR Data'!M:M,'Raw Period DMR Data'!$A:$A,'Raw Annual DMR Data_2021-2024'!B868,'Raw Period DMR Data'!C:C,'Raw Annual DMR Data_2021-2024'!X868), "N/A - Period DMR Data Not Available")</f>
        <v>N/A - Period DMR Data Not Available</v>
      </c>
      <c r="V277" s="28" t="str" cm="1">
        <f t="array" ref="V277">IFERROR(INDEX('Raw Period DMR Data'!N:N,MATCH(1,(B277='Raw Period DMR Data'!$A:$A)*(U277='Raw Period DMR Data'!M:M)*(X277='Raw Period DMR Data'!C:C),0),1), "N/A")</f>
        <v>N/A</v>
      </c>
      <c r="W277" s="28" t="s">
        <v>1463</v>
      </c>
      <c r="X277" s="28" t="s">
        <v>2109</v>
      </c>
      <c r="Y277" s="28" t="s">
        <v>783</v>
      </c>
      <c r="Z277" s="61">
        <v>2040202000077</v>
      </c>
      <c r="AA277" s="60"/>
      <c r="AB277" s="28" t="s">
        <v>7355</v>
      </c>
      <c r="AC277" s="28" t="s">
        <v>263</v>
      </c>
    </row>
    <row r="278" spans="1:29" s="28" customFormat="1" x14ac:dyDescent="0.25">
      <c r="A278" s="61">
        <v>110000540610</v>
      </c>
      <c r="B278" s="28">
        <v>2023</v>
      </c>
      <c r="C278" s="68">
        <f t="shared" si="4"/>
        <v>44927</v>
      </c>
      <c r="D278" s="28" t="s">
        <v>6811</v>
      </c>
      <c r="E278" s="28" t="s">
        <v>2107</v>
      </c>
      <c r="F278" s="28" t="s">
        <v>966</v>
      </c>
      <c r="G278" s="28" t="s">
        <v>491</v>
      </c>
      <c r="H278" s="28" t="s">
        <v>2108</v>
      </c>
      <c r="I278" s="28">
        <v>39.901820000000001</v>
      </c>
      <c r="J278" s="28">
        <v>-75.144549999999995</v>
      </c>
      <c r="L278" s="61">
        <v>110000540610</v>
      </c>
      <c r="M278" s="28" t="s">
        <v>263</v>
      </c>
      <c r="N278" s="28">
        <v>4952</v>
      </c>
      <c r="O278" s="28" t="str">
        <f>IFERROR(VLOOKUP(N278, 'SIC &amp; NAICS Codes'!A:B, 2, FALSE), "")</f>
        <v>Sewerage Systems</v>
      </c>
      <c r="S278" s="28">
        <v>134.4459252</v>
      </c>
      <c r="T278" s="315">
        <f>_xlfn.MAXIFS('Raw Period DMR Data'!$O:$O,'Raw Period DMR Data'!$A:$A,'Raw Annual DMR Data_2021-2024'!B870,'Raw Period DMR Data'!$C:$C,X278)/S278</f>
        <v>0</v>
      </c>
      <c r="U278" s="28" t="str">
        <f>+IF(COUNTIFS('Raw Period DMR Data'!$A:$A,B278, 'Raw Period DMR Data'!C:C,'Raw Annual DMR Data_2021-2024'!X870, 'Raw Period DMR Data'!M:M, "&gt;0")&gt;0,_xlfn.MAXIFS('Raw Period DMR Data'!M:M,'Raw Period DMR Data'!$A:$A,'Raw Annual DMR Data_2021-2024'!B870,'Raw Period DMR Data'!C:C,'Raw Annual DMR Data_2021-2024'!X870), "N/A - Period DMR Data Not Available")</f>
        <v>N/A - Period DMR Data Not Available</v>
      </c>
      <c r="V278" s="28" t="str" cm="1">
        <f t="array" ref="V278">IFERROR(INDEX('Raw Period DMR Data'!N:N,MATCH(1,(B278='Raw Period DMR Data'!$A:$A)*(U278='Raw Period DMR Data'!M:M)*(X278='Raw Period DMR Data'!C:C),0),1), "N/A")</f>
        <v>N/A</v>
      </c>
      <c r="W278" s="28" t="s">
        <v>1463</v>
      </c>
      <c r="X278" s="28" t="s">
        <v>2109</v>
      </c>
      <c r="Y278" s="28" t="s">
        <v>783</v>
      </c>
      <c r="Z278" s="61">
        <v>2040202000077</v>
      </c>
      <c r="AA278" s="60"/>
      <c r="AB278" s="28" t="s">
        <v>7355</v>
      </c>
      <c r="AC278" s="28" t="s">
        <v>263</v>
      </c>
    </row>
    <row r="279" spans="1:29" s="28" customFormat="1" x14ac:dyDescent="0.25">
      <c r="A279" s="61">
        <v>110000540610</v>
      </c>
      <c r="B279" s="28">
        <v>2022</v>
      </c>
      <c r="C279" s="68">
        <f t="shared" si="4"/>
        <v>44562</v>
      </c>
      <c r="D279" s="28" t="s">
        <v>6811</v>
      </c>
      <c r="E279" s="28" t="s">
        <v>2107</v>
      </c>
      <c r="F279" s="28" t="s">
        <v>966</v>
      </c>
      <c r="G279" s="28" t="s">
        <v>491</v>
      </c>
      <c r="H279" s="28" t="s">
        <v>2108</v>
      </c>
      <c r="I279" s="28">
        <v>39.901820000000001</v>
      </c>
      <c r="J279" s="28">
        <v>-75.144549999999995</v>
      </c>
      <c r="L279" s="61">
        <v>110000540610</v>
      </c>
      <c r="M279" s="28" t="s">
        <v>263</v>
      </c>
      <c r="N279" s="28">
        <v>4952</v>
      </c>
      <c r="O279" s="28" t="str">
        <f>IFERROR(VLOOKUP(N279, 'SIC &amp; NAICS Codes'!A:B, 2, FALSE), "")</f>
        <v>Sewerage Systems</v>
      </c>
      <c r="S279" s="28">
        <v>133.87545</v>
      </c>
      <c r="T279" s="315">
        <f>_xlfn.MAXIFS('Raw Period DMR Data'!$O:$O,'Raw Period DMR Data'!$A:$A,'Raw Annual DMR Data_2021-2024'!B871,'Raw Period DMR Data'!$C:$C,X279)/S279</f>
        <v>0</v>
      </c>
      <c r="U279" s="28" t="str">
        <f>+IF(COUNTIFS('Raw Period DMR Data'!$A:$A,B279, 'Raw Period DMR Data'!C:C,'Raw Annual DMR Data_2021-2024'!X871, 'Raw Period DMR Data'!M:M, "&gt;0")&gt;0,_xlfn.MAXIFS('Raw Period DMR Data'!M:M,'Raw Period DMR Data'!$A:$A,'Raw Annual DMR Data_2021-2024'!B871,'Raw Period DMR Data'!C:C,'Raw Annual DMR Data_2021-2024'!X871), "N/A - Period DMR Data Not Available")</f>
        <v>N/A - Period DMR Data Not Available</v>
      </c>
      <c r="V279" s="28" t="str" cm="1">
        <f t="array" ref="V279">IFERROR(INDEX('Raw Period DMR Data'!N:N,MATCH(1,(B279='Raw Period DMR Data'!$A:$A)*(U279='Raw Period DMR Data'!M:M)*(X279='Raw Period DMR Data'!C:C),0),1), "N/A")</f>
        <v>N/A</v>
      </c>
      <c r="W279" s="28" t="s">
        <v>1463</v>
      </c>
      <c r="X279" s="28" t="s">
        <v>2109</v>
      </c>
      <c r="Y279" s="28" t="s">
        <v>783</v>
      </c>
      <c r="Z279" s="61">
        <v>2040202000077</v>
      </c>
      <c r="AA279" s="60"/>
      <c r="AB279" s="28" t="s">
        <v>7355</v>
      </c>
      <c r="AC279" s="28" t="s">
        <v>263</v>
      </c>
    </row>
    <row r="280" spans="1:29" s="28" customFormat="1" x14ac:dyDescent="0.25">
      <c r="A280" s="61">
        <v>110000540610</v>
      </c>
      <c r="B280" s="28">
        <v>2021</v>
      </c>
      <c r="C280" s="68">
        <f t="shared" si="4"/>
        <v>44197</v>
      </c>
      <c r="D280" s="28" t="s">
        <v>6811</v>
      </c>
      <c r="E280" s="28" t="s">
        <v>2107</v>
      </c>
      <c r="F280" s="28" t="s">
        <v>966</v>
      </c>
      <c r="G280" s="28" t="s">
        <v>491</v>
      </c>
      <c r="H280" s="28" t="s">
        <v>2108</v>
      </c>
      <c r="I280" s="28">
        <v>39.901820000000001</v>
      </c>
      <c r="J280" s="28">
        <v>-75.144549999999995</v>
      </c>
      <c r="L280" s="61">
        <v>110000540610</v>
      </c>
      <c r="M280" s="28" t="s">
        <v>263</v>
      </c>
      <c r="N280" s="28">
        <v>4952</v>
      </c>
      <c r="O280" s="28" t="str">
        <f>IFERROR(VLOOKUP(N280, 'SIC &amp; NAICS Codes'!A:B, 2, FALSE), "")</f>
        <v>Sewerage Systems</v>
      </c>
      <c r="S280" s="28">
        <v>119.02575950000001</v>
      </c>
      <c r="T280" s="315">
        <f>_xlfn.MAXIFS('Raw Period DMR Data'!$O:$O,'Raw Period DMR Data'!$A:$A,'Raw Annual DMR Data_2021-2024'!B873,'Raw Period DMR Data'!$C:$C,X280)/S280</f>
        <v>0</v>
      </c>
      <c r="U280" s="28" t="str">
        <f>+IF(COUNTIFS('Raw Period DMR Data'!$A:$A,B280, 'Raw Period DMR Data'!C:C,'Raw Annual DMR Data_2021-2024'!X873, 'Raw Period DMR Data'!M:M, "&gt;0")&gt;0,_xlfn.MAXIFS('Raw Period DMR Data'!M:M,'Raw Period DMR Data'!$A:$A,'Raw Annual DMR Data_2021-2024'!B873,'Raw Period DMR Data'!C:C,'Raw Annual DMR Data_2021-2024'!X873), "N/A - Period DMR Data Not Available")</f>
        <v>N/A - Period DMR Data Not Available</v>
      </c>
      <c r="V280" s="28" t="str" cm="1">
        <f t="array" ref="V280">IFERROR(INDEX('Raw Period DMR Data'!N:N,MATCH(1,(B280='Raw Period DMR Data'!$A:$A)*(U280='Raw Period DMR Data'!M:M)*(X280='Raw Period DMR Data'!C:C),0),1), "N/A")</f>
        <v>N/A</v>
      </c>
      <c r="W280" s="28" t="s">
        <v>1463</v>
      </c>
      <c r="X280" s="28" t="s">
        <v>2109</v>
      </c>
      <c r="Y280" s="28" t="s">
        <v>783</v>
      </c>
      <c r="Z280" s="61">
        <v>2040202000077</v>
      </c>
      <c r="AB280" s="28" t="s">
        <v>7355</v>
      </c>
      <c r="AC280" s="28" t="s">
        <v>263</v>
      </c>
    </row>
    <row r="281" spans="1:29" s="28" customFormat="1" x14ac:dyDescent="0.25">
      <c r="A281" s="61">
        <v>110024409344</v>
      </c>
      <c r="B281" s="28">
        <v>2022</v>
      </c>
      <c r="C281" s="68">
        <f t="shared" si="4"/>
        <v>44562</v>
      </c>
      <c r="D281" s="28" t="s">
        <v>1384</v>
      </c>
      <c r="E281" s="28" t="s">
        <v>2285</v>
      </c>
      <c r="F281" s="28" t="s">
        <v>1385</v>
      </c>
      <c r="G281" s="28" t="s">
        <v>374</v>
      </c>
      <c r="H281" s="28">
        <v>86045</v>
      </c>
      <c r="I281" s="28">
        <v>36.091380999999998</v>
      </c>
      <c r="J281" s="28">
        <v>-111.289585</v>
      </c>
      <c r="L281" s="61">
        <v>110024409344</v>
      </c>
      <c r="M281" s="28" t="s">
        <v>263</v>
      </c>
      <c r="N281" s="28">
        <v>4952</v>
      </c>
      <c r="O281" s="28" t="str">
        <f>IFERROR(VLOOKUP(N281, 'SIC &amp; NAICS Codes'!A:B, 2, FALSE), "")</f>
        <v>Sewerage Systems</v>
      </c>
      <c r="S281" s="28">
        <v>1.9834611200000001</v>
      </c>
      <c r="T281" s="315">
        <f>_xlfn.MAXIFS('Raw Period DMR Data'!$O:$O,'Raw Period DMR Data'!$A:$A,'Raw Annual DMR Data_2021-2024'!#REF!,'Raw Period DMR Data'!$C:$C,X281)/S281</f>
        <v>0</v>
      </c>
      <c r="U281" s="28" t="str">
        <f>+IF(COUNTIFS('Raw Period DMR Data'!$A:$A,B281,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81" s="28" t="str" cm="1">
        <f t="array" ref="V281">IFERROR(INDEX('Raw Period DMR Data'!N:N,MATCH(1,(B281='Raw Period DMR Data'!$A:$A)*(U281='Raw Period DMR Data'!M:M)*(X281='Raw Period DMR Data'!C:C),0),1), "N/A")</f>
        <v>N/A</v>
      </c>
      <c r="W281" s="28" t="s">
        <v>1463</v>
      </c>
      <c r="X281" s="28" t="s">
        <v>2286</v>
      </c>
      <c r="Y281" s="28" t="s">
        <v>2287</v>
      </c>
      <c r="Z281" s="61">
        <v>14080204013964</v>
      </c>
      <c r="AA281" s="60"/>
      <c r="AC281" s="28" t="s">
        <v>263</v>
      </c>
    </row>
    <row r="282" spans="1:29" s="28" customFormat="1" x14ac:dyDescent="0.25">
      <c r="A282" s="61">
        <v>110024409344</v>
      </c>
      <c r="B282" s="28">
        <v>2024</v>
      </c>
      <c r="C282" s="68">
        <f t="shared" si="4"/>
        <v>45292</v>
      </c>
      <c r="D282" s="28" t="s">
        <v>1384</v>
      </c>
      <c r="E282" s="28" t="s">
        <v>2285</v>
      </c>
      <c r="F282" s="28" t="s">
        <v>1385</v>
      </c>
      <c r="G282" s="28" t="s">
        <v>374</v>
      </c>
      <c r="H282" s="28">
        <v>86045</v>
      </c>
      <c r="I282" s="28">
        <v>36.091380999999998</v>
      </c>
      <c r="J282" s="28">
        <v>-111.289585</v>
      </c>
      <c r="L282" s="61">
        <v>110024409344</v>
      </c>
      <c r="M282" s="28" t="s">
        <v>263</v>
      </c>
      <c r="N282" s="28">
        <v>4952</v>
      </c>
      <c r="O282" s="28" t="str">
        <f>IFERROR(VLOOKUP(N282, 'SIC &amp; NAICS Codes'!A:B, 2, FALSE), "")</f>
        <v>Sewerage Systems</v>
      </c>
      <c r="S282" s="28">
        <v>1.8037795999999999</v>
      </c>
      <c r="T282" s="315">
        <f>_xlfn.MAXIFS('Raw Period DMR Data'!$O:$O,'Raw Period DMR Data'!$A:$A,'Raw Annual DMR Data_2021-2024'!#REF!,'Raw Period DMR Data'!$C:$C,X282)/S282</f>
        <v>0</v>
      </c>
      <c r="U282" s="28" t="str">
        <f>+IF(COUNTIFS('Raw Period DMR Data'!$A:$A,B282,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82" s="28" t="str" cm="1">
        <f t="array" ref="V282">IFERROR(INDEX('Raw Period DMR Data'!N:N,MATCH(1,(B282='Raw Period DMR Data'!$A:$A)*(U282='Raw Period DMR Data'!M:M)*(X282='Raw Period DMR Data'!C:C),0),1), "N/A")</f>
        <v>N/A</v>
      </c>
      <c r="W282" s="28" t="s">
        <v>1463</v>
      </c>
      <c r="X282" s="28" t="s">
        <v>2286</v>
      </c>
      <c r="Y282" s="28" t="s">
        <v>2287</v>
      </c>
      <c r="Z282" s="61">
        <v>14080204013964</v>
      </c>
      <c r="AA282" s="60"/>
      <c r="AB282" s="28" t="s">
        <v>7355</v>
      </c>
      <c r="AC282" s="28" t="s">
        <v>263</v>
      </c>
    </row>
    <row r="283" spans="1:29" s="28" customFormat="1" x14ac:dyDescent="0.25">
      <c r="A283" s="61">
        <v>110024409344</v>
      </c>
      <c r="B283" s="28">
        <v>2023</v>
      </c>
      <c r="C283" s="68">
        <f t="shared" si="4"/>
        <v>44927</v>
      </c>
      <c r="D283" s="28" t="s">
        <v>1384</v>
      </c>
      <c r="E283" s="28" t="s">
        <v>2285</v>
      </c>
      <c r="F283" s="28" t="s">
        <v>1385</v>
      </c>
      <c r="G283" s="28" t="s">
        <v>374</v>
      </c>
      <c r="H283" s="28">
        <v>86045</v>
      </c>
      <c r="I283" s="28">
        <v>36.091380999999998</v>
      </c>
      <c r="J283" s="28">
        <v>-111.289585</v>
      </c>
      <c r="L283" s="61">
        <v>110024409344</v>
      </c>
      <c r="M283" s="28" t="s">
        <v>263</v>
      </c>
      <c r="N283" s="28">
        <v>4952</v>
      </c>
      <c r="O283" s="28" t="str">
        <f>IFERROR(VLOOKUP(N283, 'SIC &amp; NAICS Codes'!A:B, 2, FALSE), "")</f>
        <v>Sewerage Systems</v>
      </c>
      <c r="S283" s="28">
        <v>1.2317904</v>
      </c>
      <c r="T283" s="315">
        <f>_xlfn.MAXIFS('Raw Period DMR Data'!$O:$O,'Raw Period DMR Data'!$A:$A,'Raw Annual DMR Data_2021-2024'!#REF!,'Raw Period DMR Data'!$C:$C,X283)/S283</f>
        <v>0</v>
      </c>
      <c r="U283" s="28" t="str">
        <f>+IF(COUNTIFS('Raw Period DMR Data'!$A:$A,B283,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83" s="28" t="str" cm="1">
        <f t="array" ref="V283">IFERROR(INDEX('Raw Period DMR Data'!N:N,MATCH(1,(B283='Raw Period DMR Data'!$A:$A)*(U283='Raw Period DMR Data'!M:M)*(X283='Raw Period DMR Data'!C:C),0),1), "N/A")</f>
        <v>N/A</v>
      </c>
      <c r="W283" s="28" t="s">
        <v>1463</v>
      </c>
      <c r="X283" s="28" t="s">
        <v>2286</v>
      </c>
      <c r="Y283" s="28" t="s">
        <v>2287</v>
      </c>
      <c r="Z283" s="61">
        <v>14080204013964</v>
      </c>
      <c r="AA283" s="60"/>
      <c r="AB283" s="28" t="s">
        <v>7355</v>
      </c>
      <c r="AC283" s="28" t="s">
        <v>263</v>
      </c>
    </row>
    <row r="284" spans="1:29" s="28" customFormat="1" x14ac:dyDescent="0.25">
      <c r="A284" s="61">
        <v>110041973460</v>
      </c>
      <c r="B284" s="28">
        <v>2021</v>
      </c>
      <c r="C284" s="68">
        <f t="shared" si="4"/>
        <v>44197</v>
      </c>
      <c r="D284" s="28" t="s">
        <v>1398</v>
      </c>
      <c r="E284" s="28" t="s">
        <v>2311</v>
      </c>
      <c r="F284" s="28" t="s">
        <v>1399</v>
      </c>
      <c r="G284" s="28" t="s">
        <v>1171</v>
      </c>
      <c r="H284" s="28">
        <v>968633062</v>
      </c>
      <c r="I284" s="28">
        <v>21.438638999999998</v>
      </c>
      <c r="J284" s="28">
        <v>-157.75847200000001</v>
      </c>
      <c r="L284" s="61">
        <v>110041973460</v>
      </c>
      <c r="M284" s="28" t="s">
        <v>263</v>
      </c>
      <c r="N284" s="28">
        <v>4952</v>
      </c>
      <c r="O284" s="28" t="str">
        <f>IFERROR(VLOOKUP(N284, 'SIC &amp; NAICS Codes'!A:B, 2, FALSE), "")</f>
        <v>Sewerage Systems</v>
      </c>
      <c r="S284" s="28">
        <v>1.747629125</v>
      </c>
      <c r="T284" s="315">
        <f>_xlfn.MAXIFS('Raw Period DMR Data'!$O:$O,'Raw Period DMR Data'!$A:$A,'Raw Annual DMR Data_2021-2024'!#REF!,'Raw Period DMR Data'!$C:$C,X284)/S284</f>
        <v>0</v>
      </c>
      <c r="U284" s="28" t="str">
        <f>+IF(COUNTIFS('Raw Period DMR Data'!$A:$A,B284,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84" s="28" t="str" cm="1">
        <f t="array" ref="V284">IFERROR(INDEX('Raw Period DMR Data'!N:N,MATCH(1,(B284='Raw Period DMR Data'!$A:$A)*(U284='Raw Period DMR Data'!M:M)*(X284='Raw Period DMR Data'!C:C),0),1), "N/A")</f>
        <v>N/A</v>
      </c>
      <c r="W284" s="28" t="s">
        <v>1463</v>
      </c>
      <c r="X284" s="28" t="s">
        <v>2312</v>
      </c>
      <c r="Y284" s="28" t="s">
        <v>926</v>
      </c>
      <c r="Z284" s="61">
        <v>20060000000122</v>
      </c>
      <c r="AB284" s="28" t="s">
        <v>7355</v>
      </c>
      <c r="AC284" s="28" t="s">
        <v>7356</v>
      </c>
    </row>
    <row r="285" spans="1:29" s="28" customFormat="1" x14ac:dyDescent="0.25">
      <c r="A285" s="61">
        <v>110041973460</v>
      </c>
      <c r="B285" s="28">
        <v>2023</v>
      </c>
      <c r="C285" s="68">
        <f t="shared" si="4"/>
        <v>44927</v>
      </c>
      <c r="D285" s="28" t="s">
        <v>1398</v>
      </c>
      <c r="E285" s="28" t="s">
        <v>2311</v>
      </c>
      <c r="F285" s="28" t="s">
        <v>1399</v>
      </c>
      <c r="G285" s="28" t="s">
        <v>1171</v>
      </c>
      <c r="H285" s="28">
        <v>968633062</v>
      </c>
      <c r="I285" s="28">
        <v>21.438638999999998</v>
      </c>
      <c r="J285" s="28">
        <v>-157.75847200000001</v>
      </c>
      <c r="L285" s="61">
        <v>110041973460</v>
      </c>
      <c r="M285" s="28" t="s">
        <v>263</v>
      </c>
      <c r="N285" s="28">
        <v>4952</v>
      </c>
      <c r="O285" s="28" t="str">
        <f>IFERROR(VLOOKUP(N285, 'SIC &amp; NAICS Codes'!A:B, 2, FALSE), "")</f>
        <v>Sewerage Systems</v>
      </c>
      <c r="S285" s="28">
        <v>1.6523038999999999</v>
      </c>
      <c r="T285" s="315">
        <f>_xlfn.MAXIFS('Raw Period DMR Data'!$O:$O,'Raw Period DMR Data'!$A:$A,'Raw Annual DMR Data_2021-2024'!#REF!,'Raw Period DMR Data'!$C:$C,X285)/S285</f>
        <v>0</v>
      </c>
      <c r="U285" s="28" t="str">
        <f>+IF(COUNTIFS('Raw Period DMR Data'!$A:$A,B285,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85" s="28" t="str" cm="1">
        <f t="array" ref="V285">IFERROR(INDEX('Raw Period DMR Data'!N:N,MATCH(1,(B285='Raw Period DMR Data'!$A:$A)*(U285='Raw Period DMR Data'!M:M)*(X285='Raw Period DMR Data'!C:C),0),1), "N/A")</f>
        <v>N/A</v>
      </c>
      <c r="W285" s="28" t="s">
        <v>1463</v>
      </c>
      <c r="X285" s="28" t="s">
        <v>2312</v>
      </c>
      <c r="Y285" s="28" t="s">
        <v>926</v>
      </c>
      <c r="Z285" s="61">
        <v>20060000000122</v>
      </c>
      <c r="AA285" s="60"/>
      <c r="AB285" s="28" t="s">
        <v>7355</v>
      </c>
      <c r="AC285" s="28" t="s">
        <v>7356</v>
      </c>
    </row>
    <row r="286" spans="1:29" s="28" customFormat="1" x14ac:dyDescent="0.25">
      <c r="A286" s="61">
        <v>110041973460</v>
      </c>
      <c r="B286" s="28">
        <v>2022</v>
      </c>
      <c r="C286" s="68">
        <f t="shared" si="4"/>
        <v>44562</v>
      </c>
      <c r="D286" s="28" t="s">
        <v>1398</v>
      </c>
      <c r="E286" s="28" t="s">
        <v>2311</v>
      </c>
      <c r="F286" s="28" t="s">
        <v>1399</v>
      </c>
      <c r="G286" s="28" t="s">
        <v>1171</v>
      </c>
      <c r="H286" s="28">
        <v>968633062</v>
      </c>
      <c r="I286" s="28">
        <v>21.438638999999998</v>
      </c>
      <c r="J286" s="28">
        <v>-157.75847200000001</v>
      </c>
      <c r="L286" s="61">
        <v>110041973460</v>
      </c>
      <c r="M286" s="28" t="s">
        <v>263</v>
      </c>
      <c r="N286" s="28">
        <v>4952</v>
      </c>
      <c r="O286" s="28" t="str">
        <f>IFERROR(VLOOKUP(N286, 'SIC &amp; NAICS Codes'!A:B, 2, FALSE), "")</f>
        <v>Sewerage Systems</v>
      </c>
      <c r="S286" s="28">
        <v>1.2924166374999999</v>
      </c>
      <c r="T286" s="315">
        <f>_xlfn.MAXIFS('Raw Period DMR Data'!$O:$O,'Raw Period DMR Data'!$A:$A,'Raw Annual DMR Data_2021-2024'!#REF!,'Raw Period DMR Data'!$C:$C,X286)/S286</f>
        <v>0</v>
      </c>
      <c r="U286" s="28" t="str">
        <f>+IF(COUNTIFS('Raw Period DMR Data'!$A:$A,B286,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86" s="28" t="str" cm="1">
        <f t="array" ref="V286">IFERROR(INDEX('Raw Period DMR Data'!N:N,MATCH(1,(B286='Raw Period DMR Data'!$A:$A)*(U286='Raw Period DMR Data'!M:M)*(X286='Raw Period DMR Data'!C:C),0),1), "N/A")</f>
        <v>N/A</v>
      </c>
      <c r="W286" s="28" t="s">
        <v>1463</v>
      </c>
      <c r="X286" s="28" t="s">
        <v>2312</v>
      </c>
      <c r="Y286" s="28" t="s">
        <v>926</v>
      </c>
      <c r="Z286" s="61">
        <v>20060000000122</v>
      </c>
      <c r="AA286" s="60"/>
      <c r="AB286" s="28" t="s">
        <v>7355</v>
      </c>
      <c r="AC286" s="28" t="s">
        <v>7356</v>
      </c>
    </row>
    <row r="287" spans="1:29" s="28" customFormat="1" x14ac:dyDescent="0.25">
      <c r="A287" s="61">
        <v>110000571373</v>
      </c>
      <c r="B287" s="28">
        <v>2024</v>
      </c>
      <c r="C287" s="68">
        <f t="shared" si="4"/>
        <v>45292</v>
      </c>
      <c r="D287" s="28" t="s">
        <v>1400</v>
      </c>
      <c r="E287" s="28" t="s">
        <v>2313</v>
      </c>
      <c r="F287" s="28" t="s">
        <v>1401</v>
      </c>
      <c r="G287" s="28" t="s">
        <v>324</v>
      </c>
      <c r="H287" s="28" t="s">
        <v>2314</v>
      </c>
      <c r="I287" s="28">
        <v>37.642310000000002</v>
      </c>
      <c r="J287" s="28">
        <v>-85.903570000000002</v>
      </c>
      <c r="L287" s="61">
        <v>110000571373</v>
      </c>
      <c r="M287" s="28" t="s">
        <v>263</v>
      </c>
      <c r="N287" s="28">
        <v>4952</v>
      </c>
      <c r="O287" s="28" t="str">
        <f>IFERROR(VLOOKUP(N287, 'SIC &amp; NAICS Codes'!A:B, 2, FALSE), "")</f>
        <v>Sewerage Systems</v>
      </c>
      <c r="S287" s="28">
        <v>27.630500000000001</v>
      </c>
      <c r="T287" s="315">
        <f>_xlfn.MAXIFS('Raw Period DMR Data'!$O:$O,'Raw Period DMR Data'!$A:$A,'Raw Annual DMR Data_2021-2024'!B899,'Raw Period DMR Data'!$C:$C,X287)/S287</f>
        <v>0</v>
      </c>
      <c r="U287" s="28" t="str">
        <f>+IF(COUNTIFS('Raw Period DMR Data'!$A:$A,B287, 'Raw Period DMR Data'!C:C,'Raw Annual DMR Data_2021-2024'!X899, 'Raw Period DMR Data'!M:M, "&gt;0")&gt;0,_xlfn.MAXIFS('Raw Period DMR Data'!M:M,'Raw Period DMR Data'!$A:$A,'Raw Annual DMR Data_2021-2024'!B899,'Raw Period DMR Data'!C:C,'Raw Annual DMR Data_2021-2024'!X899), "N/A - Period DMR Data Not Available")</f>
        <v>N/A - Period DMR Data Not Available</v>
      </c>
      <c r="V287" s="28" t="str" cm="1">
        <f t="array" ref="V287">IFERROR(INDEX('Raw Period DMR Data'!N:N,MATCH(1,(B287='Raw Period DMR Data'!$A:$A)*(U287='Raw Period DMR Data'!M:M)*(X287='Raw Period DMR Data'!C:C),0),1), "N/A")</f>
        <v>N/A</v>
      </c>
      <c r="W287" s="28" t="s">
        <v>1463</v>
      </c>
      <c r="X287" s="28" t="s">
        <v>2315</v>
      </c>
      <c r="Y287" s="28" t="s">
        <v>2316</v>
      </c>
      <c r="Z287" s="61">
        <v>5110001000593</v>
      </c>
      <c r="AA287" s="60"/>
      <c r="AB287" s="28" t="s">
        <v>7355</v>
      </c>
      <c r="AC287" s="28" t="s">
        <v>263</v>
      </c>
    </row>
    <row r="288" spans="1:29" s="28" customFormat="1" x14ac:dyDescent="0.25">
      <c r="A288" s="61">
        <v>110000571373</v>
      </c>
      <c r="B288" s="28">
        <v>2021</v>
      </c>
      <c r="C288" s="68">
        <f t="shared" si="4"/>
        <v>44197</v>
      </c>
      <c r="D288" s="28" t="s">
        <v>1400</v>
      </c>
      <c r="E288" s="28" t="s">
        <v>2313</v>
      </c>
      <c r="F288" s="28" t="s">
        <v>1401</v>
      </c>
      <c r="G288" s="28" t="s">
        <v>324</v>
      </c>
      <c r="H288" s="28" t="s">
        <v>2314</v>
      </c>
      <c r="I288" s="28">
        <v>37.642310000000002</v>
      </c>
      <c r="J288" s="28">
        <v>-85.903570000000002</v>
      </c>
      <c r="L288" s="61">
        <v>110000571373</v>
      </c>
      <c r="M288" s="28" t="s">
        <v>263</v>
      </c>
      <c r="N288" s="28">
        <v>4952</v>
      </c>
      <c r="O288" s="28" t="str">
        <f>IFERROR(VLOOKUP(N288, 'SIC &amp; NAICS Codes'!A:B, 2, FALSE), "")</f>
        <v>Sewerage Systems</v>
      </c>
      <c r="S288" s="28">
        <v>22.7951625</v>
      </c>
      <c r="T288" s="315">
        <f>_xlfn.MAXIFS('Raw Period DMR Data'!$O:$O,'Raw Period DMR Data'!$A:$A,'Raw Annual DMR Data_2021-2024'!B904,'Raw Period DMR Data'!$C:$C,X288)/S288</f>
        <v>0</v>
      </c>
      <c r="U288" s="28" t="str">
        <f>+IF(COUNTIFS('Raw Period DMR Data'!$A:$A,B288, 'Raw Period DMR Data'!C:C,'Raw Annual DMR Data_2021-2024'!X904, 'Raw Period DMR Data'!M:M, "&gt;0")&gt;0,_xlfn.MAXIFS('Raw Period DMR Data'!M:M,'Raw Period DMR Data'!$A:$A,'Raw Annual DMR Data_2021-2024'!B904,'Raw Period DMR Data'!C:C,'Raw Annual DMR Data_2021-2024'!X904), "N/A - Period DMR Data Not Available")</f>
        <v>N/A - Period DMR Data Not Available</v>
      </c>
      <c r="V288" s="28" t="str" cm="1">
        <f t="array" ref="V288">IFERROR(INDEX('Raw Period DMR Data'!N:N,MATCH(1,(B288='Raw Period DMR Data'!$A:$A)*(U288='Raw Period DMR Data'!M:M)*(X288='Raw Period DMR Data'!C:C),0),1), "N/A")</f>
        <v>N/A</v>
      </c>
      <c r="W288" s="28" t="s">
        <v>1463</v>
      </c>
      <c r="X288" s="28" t="s">
        <v>2315</v>
      </c>
      <c r="Y288" s="28" t="s">
        <v>2316</v>
      </c>
      <c r="Z288" s="61">
        <v>5110001000593</v>
      </c>
      <c r="AB288" s="28" t="s">
        <v>7355</v>
      </c>
      <c r="AC288" s="28" t="s">
        <v>263</v>
      </c>
    </row>
    <row r="289" spans="1:29" s="28" customFormat="1" x14ac:dyDescent="0.25">
      <c r="A289" s="61">
        <v>110000571373</v>
      </c>
      <c r="B289" s="28">
        <v>2022</v>
      </c>
      <c r="C289" s="68">
        <f t="shared" si="4"/>
        <v>44562</v>
      </c>
      <c r="D289" s="28" t="s">
        <v>1400</v>
      </c>
      <c r="E289" s="28" t="s">
        <v>2313</v>
      </c>
      <c r="F289" s="28" t="s">
        <v>1401</v>
      </c>
      <c r="G289" s="28" t="s">
        <v>324</v>
      </c>
      <c r="H289" s="28" t="s">
        <v>2314</v>
      </c>
      <c r="I289" s="28">
        <v>37.642310000000002</v>
      </c>
      <c r="J289" s="28">
        <v>-85.903570000000002</v>
      </c>
      <c r="L289" s="61">
        <v>110000571373</v>
      </c>
      <c r="M289" s="28" t="s">
        <v>263</v>
      </c>
      <c r="N289" s="28">
        <v>4952</v>
      </c>
      <c r="O289" s="28" t="str">
        <f>IFERROR(VLOOKUP(N289, 'SIC &amp; NAICS Codes'!A:B, 2, FALSE), "")</f>
        <v>Sewerage Systems</v>
      </c>
      <c r="S289" s="28">
        <v>20.0321125</v>
      </c>
      <c r="T289" s="315">
        <f>_xlfn.MAXIFS('Raw Period DMR Data'!$O:$O,'Raw Period DMR Data'!$A:$A,'Raw Annual DMR Data_2021-2024'!B910,'Raw Period DMR Data'!$C:$C,X289)/S289</f>
        <v>0</v>
      </c>
      <c r="U289" s="28" t="str">
        <f>+IF(COUNTIFS('Raw Period DMR Data'!$A:$A,B289, 'Raw Period DMR Data'!C:C,'Raw Annual DMR Data_2021-2024'!X910, 'Raw Period DMR Data'!M:M, "&gt;0")&gt;0,_xlfn.MAXIFS('Raw Period DMR Data'!M:M,'Raw Period DMR Data'!$A:$A,'Raw Annual DMR Data_2021-2024'!B910,'Raw Period DMR Data'!C:C,'Raw Annual DMR Data_2021-2024'!X910), "N/A - Period DMR Data Not Available")</f>
        <v>N/A - Period DMR Data Not Available</v>
      </c>
      <c r="V289" s="28" t="str" cm="1">
        <f t="array" ref="V289">IFERROR(INDEX('Raw Period DMR Data'!N:N,MATCH(1,(B289='Raw Period DMR Data'!$A:$A)*(U289='Raw Period DMR Data'!M:M)*(X289='Raw Period DMR Data'!C:C),0),1), "N/A")</f>
        <v>N/A</v>
      </c>
      <c r="W289" s="28" t="s">
        <v>1463</v>
      </c>
      <c r="X289" s="28" t="s">
        <v>2315</v>
      </c>
      <c r="Y289" s="28" t="s">
        <v>2316</v>
      </c>
      <c r="Z289" s="61">
        <v>5110001000593</v>
      </c>
      <c r="AA289" s="60"/>
      <c r="AB289" s="28" t="s">
        <v>7355</v>
      </c>
      <c r="AC289" s="28" t="s">
        <v>263</v>
      </c>
    </row>
    <row r="290" spans="1:29" s="28" customFormat="1" x14ac:dyDescent="0.25">
      <c r="A290" s="61">
        <v>110000571373</v>
      </c>
      <c r="B290" s="28">
        <v>2023</v>
      </c>
      <c r="C290" s="68">
        <f t="shared" si="4"/>
        <v>44927</v>
      </c>
      <c r="D290" s="28" t="s">
        <v>1400</v>
      </c>
      <c r="E290" s="28" t="s">
        <v>2313</v>
      </c>
      <c r="F290" s="28" t="s">
        <v>1401</v>
      </c>
      <c r="G290" s="28" t="s">
        <v>324</v>
      </c>
      <c r="H290" s="28" t="s">
        <v>2314</v>
      </c>
      <c r="I290" s="28">
        <v>37.642310000000002</v>
      </c>
      <c r="J290" s="28">
        <v>-85.903570000000002</v>
      </c>
      <c r="L290" s="61">
        <v>110000571373</v>
      </c>
      <c r="M290" s="28" t="s">
        <v>263</v>
      </c>
      <c r="N290" s="28">
        <v>4952</v>
      </c>
      <c r="O290" s="28" t="str">
        <f>IFERROR(VLOOKUP(N290, 'SIC &amp; NAICS Codes'!A:B, 2, FALSE), "")</f>
        <v>Sewerage Systems</v>
      </c>
      <c r="S290" s="28">
        <v>3.3156599999999998</v>
      </c>
      <c r="T290" s="315">
        <f>_xlfn.MAXIFS('Raw Period DMR Data'!$O:$O,'Raw Period DMR Data'!$A:$A,'Raw Annual DMR Data_2021-2024'!#REF!,'Raw Period DMR Data'!$C:$C,X290)/S290</f>
        <v>0</v>
      </c>
      <c r="U290" s="28" t="str">
        <f>+IF(COUNTIFS('Raw Period DMR Data'!$A:$A,B290,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90" s="28" t="str" cm="1">
        <f t="array" ref="V290">IFERROR(INDEX('Raw Period DMR Data'!N:N,MATCH(1,(B290='Raw Period DMR Data'!$A:$A)*(U290='Raw Period DMR Data'!M:M)*(X290='Raw Period DMR Data'!C:C),0),1), "N/A")</f>
        <v>N/A</v>
      </c>
      <c r="W290" s="28" t="s">
        <v>1463</v>
      </c>
      <c r="X290" s="28" t="s">
        <v>2315</v>
      </c>
      <c r="Y290" s="28" t="s">
        <v>2316</v>
      </c>
      <c r="Z290" s="61" t="s">
        <v>7335</v>
      </c>
      <c r="AA290" s="60"/>
      <c r="AB290" s="28" t="s">
        <v>7355</v>
      </c>
      <c r="AC290" s="28" t="s">
        <v>263</v>
      </c>
    </row>
    <row r="291" spans="1:29" s="28" customFormat="1" x14ac:dyDescent="0.25">
      <c r="A291" s="61">
        <v>110010731262</v>
      </c>
      <c r="B291" s="28">
        <v>2022</v>
      </c>
      <c r="C291" s="68">
        <f t="shared" si="4"/>
        <v>44562</v>
      </c>
      <c r="D291" s="28" t="s">
        <v>1421</v>
      </c>
      <c r="E291" s="28" t="s">
        <v>2350</v>
      </c>
      <c r="F291" s="28" t="s">
        <v>1422</v>
      </c>
      <c r="G291" s="28" t="s">
        <v>1171</v>
      </c>
      <c r="H291" s="28">
        <v>96746</v>
      </c>
      <c r="I291" s="28">
        <v>22.079093</v>
      </c>
      <c r="J291" s="28">
        <v>-159.35138900000001</v>
      </c>
      <c r="L291" s="61">
        <v>110010731262</v>
      </c>
      <c r="M291" s="28" t="s">
        <v>263</v>
      </c>
      <c r="N291" s="28">
        <v>4952</v>
      </c>
      <c r="O291" s="28" t="str">
        <f>IFERROR(VLOOKUP(N291, 'SIC &amp; NAICS Codes'!A:B, 2, FALSE), "")</f>
        <v>Sewerage Systems</v>
      </c>
      <c r="S291" s="28">
        <v>0.26818163299999997</v>
      </c>
      <c r="T291" s="315">
        <f>_xlfn.MAXIFS('Raw Period DMR Data'!$O:$O,'Raw Period DMR Data'!$A:$A,'Raw Annual DMR Data_2021-2024'!#REF!,'Raw Period DMR Data'!$C:$C,X291)/S291</f>
        <v>0</v>
      </c>
      <c r="U291" s="28" t="str">
        <f>+IF(COUNTIFS('Raw Period DMR Data'!$A:$A,B291,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91" s="28" t="str" cm="1">
        <f t="array" ref="V291">IFERROR(INDEX('Raw Period DMR Data'!N:N,MATCH(1,(B291='Raw Period DMR Data'!$A:$A)*(U291='Raw Period DMR Data'!M:M)*(X291='Raw Period DMR Data'!C:C),0),1), "N/A")</f>
        <v>N/A</v>
      </c>
      <c r="W291" s="28" t="s">
        <v>1463</v>
      </c>
      <c r="X291" s="28" t="s">
        <v>2351</v>
      </c>
      <c r="Y291" s="28" t="s">
        <v>2352</v>
      </c>
      <c r="Z291" s="61">
        <v>20070000000062</v>
      </c>
      <c r="AA291" s="60"/>
      <c r="AB291" s="28" t="s">
        <v>7355</v>
      </c>
      <c r="AC291" s="28" t="s">
        <v>263</v>
      </c>
    </row>
    <row r="292" spans="1:29" s="28" customFormat="1" x14ac:dyDescent="0.25">
      <c r="A292" s="61">
        <v>110010731262</v>
      </c>
      <c r="B292" s="28">
        <v>2021</v>
      </c>
      <c r="C292" s="68">
        <f t="shared" si="4"/>
        <v>44197</v>
      </c>
      <c r="D292" s="28" t="s">
        <v>1421</v>
      </c>
      <c r="E292" s="28" t="s">
        <v>2350</v>
      </c>
      <c r="F292" s="28" t="s">
        <v>1422</v>
      </c>
      <c r="G292" s="28" t="s">
        <v>1171</v>
      </c>
      <c r="H292" s="28">
        <v>96746</v>
      </c>
      <c r="I292" s="28">
        <v>22.079093</v>
      </c>
      <c r="J292" s="28">
        <v>-159.35138900000001</v>
      </c>
      <c r="L292" s="61">
        <v>110010731262</v>
      </c>
      <c r="M292" s="28" t="s">
        <v>263</v>
      </c>
      <c r="N292" s="28">
        <v>4952</v>
      </c>
      <c r="O292" s="28" t="str">
        <f>IFERROR(VLOOKUP(N292, 'SIC &amp; NAICS Codes'!A:B, 2, FALSE), "")</f>
        <v>Sewerage Systems</v>
      </c>
      <c r="S292" s="28">
        <v>0.16474685624999999</v>
      </c>
      <c r="T292" s="315">
        <f>_xlfn.MAXIFS('Raw Period DMR Data'!$O:$O,'Raw Period DMR Data'!$A:$A,'Raw Annual DMR Data_2021-2024'!#REF!,'Raw Period DMR Data'!$C:$C,X292)/S292</f>
        <v>0</v>
      </c>
      <c r="U292" s="28" t="str">
        <f>+IF(COUNTIFS('Raw Period DMR Data'!$A:$A,B292,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92" s="28" t="str" cm="1">
        <f t="array" ref="V292">IFERROR(INDEX('Raw Period DMR Data'!N:N,MATCH(1,(B292='Raw Period DMR Data'!$A:$A)*(U292='Raw Period DMR Data'!M:M)*(X292='Raw Period DMR Data'!C:C),0),1), "N/A")</f>
        <v>N/A</v>
      </c>
      <c r="W292" s="28" t="s">
        <v>1463</v>
      </c>
      <c r="X292" s="28" t="s">
        <v>2351</v>
      </c>
      <c r="Y292" s="28" t="s">
        <v>2352</v>
      </c>
      <c r="Z292" s="61">
        <v>20070000000062</v>
      </c>
      <c r="AB292" s="28" t="s">
        <v>7355</v>
      </c>
      <c r="AC292" s="28" t="s">
        <v>263</v>
      </c>
    </row>
    <row r="293" spans="1:29" s="28" customFormat="1" x14ac:dyDescent="0.25">
      <c r="A293" s="61">
        <v>110010731262</v>
      </c>
      <c r="B293" s="28">
        <v>2023</v>
      </c>
      <c r="C293" s="68">
        <f t="shared" si="4"/>
        <v>44927</v>
      </c>
      <c r="D293" s="28" t="s">
        <v>1421</v>
      </c>
      <c r="E293" s="28" t="s">
        <v>2350</v>
      </c>
      <c r="F293" s="28" t="s">
        <v>1422</v>
      </c>
      <c r="G293" s="28" t="s">
        <v>1171</v>
      </c>
      <c r="H293" s="28">
        <v>96746</v>
      </c>
      <c r="I293" s="28">
        <v>22.079093</v>
      </c>
      <c r="J293" s="28">
        <v>-159.35138900000001</v>
      </c>
      <c r="L293" s="61">
        <v>110010731262</v>
      </c>
      <c r="M293" s="28" t="s">
        <v>263</v>
      </c>
      <c r="N293" s="28">
        <v>4952</v>
      </c>
      <c r="O293" s="28" t="str">
        <f>IFERROR(VLOOKUP(N293, 'SIC &amp; NAICS Codes'!A:B, 2, FALSE), "")</f>
        <v>Sewerage Systems</v>
      </c>
      <c r="S293" s="28">
        <v>4.0575389250000003E-2</v>
      </c>
      <c r="T293" s="315">
        <f>_xlfn.MAXIFS('Raw Period DMR Data'!$O:$O,'Raw Period DMR Data'!$A:$A,'Raw Annual DMR Data_2021-2024'!#REF!,'Raw Period DMR Data'!$C:$C,X293)/S293</f>
        <v>0</v>
      </c>
      <c r="U293" s="28" t="str">
        <f>+IF(COUNTIFS('Raw Period DMR Data'!$A:$A,B293,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93" s="28" t="str" cm="1">
        <f t="array" ref="V293">IFERROR(INDEX('Raw Period DMR Data'!N:N,MATCH(1,(B293='Raw Period DMR Data'!$A:$A)*(U293='Raw Period DMR Data'!M:M)*(X293='Raw Period DMR Data'!C:C),0),1), "N/A")</f>
        <v>N/A</v>
      </c>
      <c r="W293" s="28" t="s">
        <v>1463</v>
      </c>
      <c r="X293" s="28" t="s">
        <v>2351</v>
      </c>
      <c r="Y293" s="28" t="s">
        <v>2352</v>
      </c>
      <c r="Z293" s="61">
        <v>20070000000062</v>
      </c>
      <c r="AA293" s="60"/>
      <c r="AB293" s="28" t="s">
        <v>7355</v>
      </c>
      <c r="AC293" s="28" t="s">
        <v>263</v>
      </c>
    </row>
    <row r="294" spans="1:29" s="28" customFormat="1" x14ac:dyDescent="0.25">
      <c r="A294" s="61">
        <v>110010731262</v>
      </c>
      <c r="B294" s="28">
        <v>2024</v>
      </c>
      <c r="C294" s="68">
        <f t="shared" si="4"/>
        <v>45292</v>
      </c>
      <c r="D294" s="28" t="s">
        <v>1421</v>
      </c>
      <c r="E294" s="28" t="s">
        <v>2350</v>
      </c>
      <c r="F294" s="28" t="s">
        <v>1422</v>
      </c>
      <c r="G294" s="28" t="s">
        <v>1171</v>
      </c>
      <c r="H294" s="28">
        <v>96746</v>
      </c>
      <c r="I294" s="28">
        <v>22.079093</v>
      </c>
      <c r="J294" s="28">
        <v>-159.35138900000001</v>
      </c>
      <c r="L294" s="61">
        <v>110010731262</v>
      </c>
      <c r="M294" s="28" t="s">
        <v>263</v>
      </c>
      <c r="N294" s="28">
        <v>4952</v>
      </c>
      <c r="O294" s="28" t="str">
        <f>IFERROR(VLOOKUP(N294, 'SIC &amp; NAICS Codes'!A:B, 2, FALSE), "")</f>
        <v>Sewerage Systems</v>
      </c>
      <c r="S294" s="28">
        <v>3.5332501874999998E-2</v>
      </c>
      <c r="T294" s="315">
        <f>_xlfn.MAXIFS('Raw Period DMR Data'!$O:$O,'Raw Period DMR Data'!$A:$A,'Raw Annual DMR Data_2021-2024'!#REF!,'Raw Period DMR Data'!$C:$C,X294)/S294</f>
        <v>0</v>
      </c>
      <c r="U294" s="28" t="str">
        <f>+IF(COUNTIFS('Raw Period DMR Data'!$A:$A,B294,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94" s="28" t="str" cm="1">
        <f t="array" ref="V294">IFERROR(INDEX('Raw Period DMR Data'!N:N,MATCH(1,(B294='Raw Period DMR Data'!$A:$A)*(U294='Raw Period DMR Data'!M:M)*(X294='Raw Period DMR Data'!C:C),0),1), "N/A")</f>
        <v>N/A</v>
      </c>
      <c r="W294" s="28" t="s">
        <v>1463</v>
      </c>
      <c r="X294" s="28" t="s">
        <v>2351</v>
      </c>
      <c r="Y294" s="28" t="s">
        <v>2352</v>
      </c>
      <c r="Z294" s="61">
        <v>20070000000062</v>
      </c>
      <c r="AA294" s="60"/>
      <c r="AB294" s="28" t="s">
        <v>7355</v>
      </c>
      <c r="AC294" s="28" t="s">
        <v>263</v>
      </c>
    </row>
    <row r="295" spans="1:29" s="28" customFormat="1" x14ac:dyDescent="0.25">
      <c r="A295" s="61">
        <v>110064252419</v>
      </c>
      <c r="B295" s="28">
        <v>2022</v>
      </c>
      <c r="C295" s="68">
        <f t="shared" si="4"/>
        <v>44562</v>
      </c>
      <c r="D295" s="28" t="s">
        <v>1427</v>
      </c>
      <c r="E295" s="28" t="s">
        <v>2359</v>
      </c>
      <c r="F295" s="28" t="s">
        <v>1265</v>
      </c>
      <c r="G295" s="28" t="s">
        <v>366</v>
      </c>
      <c r="H295" s="28">
        <v>94806</v>
      </c>
      <c r="I295" s="28">
        <v>37.977150000000002</v>
      </c>
      <c r="J295" s="28">
        <v>-122.33269</v>
      </c>
      <c r="L295" s="61">
        <v>110064252419</v>
      </c>
      <c r="M295" s="28" t="s">
        <v>263</v>
      </c>
      <c r="N295" s="28">
        <v>4952</v>
      </c>
      <c r="O295" s="28" t="str">
        <f>IFERROR(VLOOKUP(N295, 'SIC &amp; NAICS Codes'!A:B, 2, FALSE), "")</f>
        <v>Sewerage Systems</v>
      </c>
      <c r="S295" s="28">
        <v>3.1705998750000002</v>
      </c>
      <c r="T295" s="315">
        <f>_xlfn.MAXIFS('Raw Period DMR Data'!$O:$O,'Raw Period DMR Data'!$A:$A,'Raw Annual DMR Data_2021-2024'!#REF!,'Raw Period DMR Data'!$C:$C,X295)/S295</f>
        <v>0</v>
      </c>
      <c r="U295" s="28" t="str">
        <f>+IF(COUNTIFS('Raw Period DMR Data'!$A:$A,B295,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95" s="28" t="str" cm="1">
        <f t="array" ref="V295">IFERROR(INDEX('Raw Period DMR Data'!N:N,MATCH(1,(B295='Raw Period DMR Data'!$A:$A)*(U295='Raw Period DMR Data'!M:M)*(X295='Raw Period DMR Data'!C:C),0),1), "N/A")</f>
        <v>N/A</v>
      </c>
      <c r="W295" s="28" t="s">
        <v>1463</v>
      </c>
      <c r="X295" s="28" t="s">
        <v>2360</v>
      </c>
      <c r="Y295" s="28" t="s">
        <v>2361</v>
      </c>
      <c r="Z295" s="61">
        <v>18050002001022</v>
      </c>
      <c r="AA295" s="60"/>
      <c r="AB295" s="28" t="s">
        <v>7355</v>
      </c>
      <c r="AC295" s="28" t="s">
        <v>263</v>
      </c>
    </row>
    <row r="296" spans="1:29" s="28" customFormat="1" x14ac:dyDescent="0.25">
      <c r="A296" s="61">
        <v>110006751737</v>
      </c>
      <c r="B296" s="28">
        <v>2021</v>
      </c>
      <c r="C296" s="68">
        <f t="shared" si="4"/>
        <v>44197</v>
      </c>
      <c r="D296" s="28" t="s">
        <v>1432</v>
      </c>
      <c r="E296" s="28" t="s">
        <v>2371</v>
      </c>
      <c r="F296" s="28" t="s">
        <v>1433</v>
      </c>
      <c r="G296" s="28" t="s">
        <v>324</v>
      </c>
      <c r="H296" s="28">
        <v>40769</v>
      </c>
      <c r="I296" s="28">
        <v>36.747222000000001</v>
      </c>
      <c r="J296" s="28">
        <v>-84.171943999999996</v>
      </c>
      <c r="L296" s="61">
        <v>110006751737</v>
      </c>
      <c r="M296" s="28" t="s">
        <v>263</v>
      </c>
      <c r="N296" s="28">
        <v>4952</v>
      </c>
      <c r="O296" s="28" t="str">
        <f>IFERROR(VLOOKUP(N296, 'SIC &amp; NAICS Codes'!A:B, 2, FALSE), "")</f>
        <v>Sewerage Systems</v>
      </c>
      <c r="S296" s="28">
        <v>4.3379884999999998</v>
      </c>
      <c r="T296" s="315">
        <f>_xlfn.MAXIFS('Raw Period DMR Data'!$O:$O,'Raw Period DMR Data'!$A:$A,'Raw Annual DMR Data_2021-2024'!B989,'Raw Period DMR Data'!$C:$C,X296)/S296</f>
        <v>0</v>
      </c>
      <c r="U296" s="28" t="str">
        <f>+IF(COUNTIFS('Raw Period DMR Data'!$A:$A,B296, 'Raw Period DMR Data'!C:C,'Raw Annual DMR Data_2021-2024'!X989, 'Raw Period DMR Data'!M:M, "&gt;0")&gt;0,_xlfn.MAXIFS('Raw Period DMR Data'!M:M,'Raw Period DMR Data'!$A:$A,'Raw Annual DMR Data_2021-2024'!B989,'Raw Period DMR Data'!C:C,'Raw Annual DMR Data_2021-2024'!X989), "N/A - Period DMR Data Not Available")</f>
        <v>N/A - Period DMR Data Not Available</v>
      </c>
      <c r="V296" s="28" t="str" cm="1">
        <f t="array" ref="V296">IFERROR(INDEX('Raw Period DMR Data'!N:N,MATCH(1,(B296='Raw Period DMR Data'!$A:$A)*(U296='Raw Period DMR Data'!M:M)*(X296='Raw Period DMR Data'!C:C),0),1), "N/A")</f>
        <v>N/A</v>
      </c>
      <c r="W296" s="28" t="s">
        <v>1463</v>
      </c>
      <c r="X296" s="28" t="s">
        <v>2372</v>
      </c>
      <c r="Y296" s="28" t="s">
        <v>785</v>
      </c>
      <c r="Z296" s="61">
        <v>5130101000083</v>
      </c>
      <c r="AB296" s="28" t="s">
        <v>7355</v>
      </c>
      <c r="AC296" s="28" t="s">
        <v>263</v>
      </c>
    </row>
    <row r="297" spans="1:29" s="28" customFormat="1" x14ac:dyDescent="0.25">
      <c r="A297" s="61">
        <v>110045091379</v>
      </c>
      <c r="B297" s="28">
        <v>2021</v>
      </c>
      <c r="C297" s="68">
        <f t="shared" si="4"/>
        <v>44197</v>
      </c>
      <c r="D297" s="28" t="s">
        <v>1434</v>
      </c>
      <c r="E297" s="28" t="s">
        <v>2374</v>
      </c>
      <c r="F297" s="28" t="s">
        <v>1435</v>
      </c>
      <c r="G297" s="28" t="s">
        <v>324</v>
      </c>
      <c r="H297" s="28">
        <v>41097</v>
      </c>
      <c r="I297" s="28">
        <v>38.631208000000001</v>
      </c>
      <c r="J297" s="28">
        <v>-84.618809999999996</v>
      </c>
      <c r="L297" s="61">
        <v>110045091379</v>
      </c>
      <c r="M297" s="28" t="s">
        <v>263</v>
      </c>
      <c r="N297" s="28">
        <v>4952</v>
      </c>
      <c r="O297" s="28" t="str">
        <f>IFERROR(VLOOKUP(N297, 'SIC &amp; NAICS Codes'!A:B, 2, FALSE), "")</f>
        <v>Sewerage Systems</v>
      </c>
      <c r="S297" s="28">
        <v>2.2726086250000002</v>
      </c>
      <c r="T297" s="315">
        <f>_xlfn.MAXIFS('Raw Period DMR Data'!$O:$O,'Raw Period DMR Data'!$A:$A,'Raw Annual DMR Data_2021-2024'!#REF!,'Raw Period DMR Data'!$C:$C,X297)/S297</f>
        <v>0</v>
      </c>
      <c r="U297" s="28" t="str">
        <f>+IF(COUNTIFS('Raw Period DMR Data'!$A:$A,B297,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97" s="28" t="str" cm="1">
        <f t="array" ref="V297">IFERROR(INDEX('Raw Period DMR Data'!N:N,MATCH(1,(B297='Raw Period DMR Data'!$A:$A)*(U297='Raw Period DMR Data'!M:M)*(X297='Raw Period DMR Data'!C:C),0),1), "N/A")</f>
        <v>N/A</v>
      </c>
      <c r="W297" s="28" t="s">
        <v>1463</v>
      </c>
      <c r="X297" s="28" t="s">
        <v>2375</v>
      </c>
      <c r="Y297" s="28" t="s">
        <v>2376</v>
      </c>
      <c r="Z297" s="61">
        <v>5100205000416</v>
      </c>
      <c r="AB297" s="28" t="s">
        <v>7355</v>
      </c>
      <c r="AC297" s="28" t="s">
        <v>263</v>
      </c>
    </row>
    <row r="298" spans="1:29" s="28" customFormat="1" x14ac:dyDescent="0.25">
      <c r="A298" s="61">
        <v>110000542896</v>
      </c>
      <c r="B298" s="28">
        <v>2024</v>
      </c>
      <c r="C298" s="68">
        <f t="shared" si="4"/>
        <v>45292</v>
      </c>
      <c r="D298" s="28" t="s">
        <v>6810</v>
      </c>
      <c r="E298" s="28" t="s">
        <v>6963</v>
      </c>
      <c r="F298" s="28" t="s">
        <v>1437</v>
      </c>
      <c r="G298" s="28" t="s">
        <v>324</v>
      </c>
      <c r="H298" s="28" t="s">
        <v>6964</v>
      </c>
      <c r="I298" s="28">
        <v>38.041639000000004</v>
      </c>
      <c r="J298" s="28">
        <v>-84.208667000000005</v>
      </c>
      <c r="L298" s="61">
        <v>110000542896</v>
      </c>
      <c r="M298" s="28" t="s">
        <v>263</v>
      </c>
      <c r="N298" s="28">
        <v>4952</v>
      </c>
      <c r="O298" s="28" t="str">
        <f>IFERROR(VLOOKUP(N298, 'SIC &amp; NAICS Codes'!A:B, 2, FALSE), "")</f>
        <v>Sewerage Systems</v>
      </c>
      <c r="S298" s="28">
        <v>3.322567625</v>
      </c>
      <c r="T298" s="315">
        <f>_xlfn.MAXIFS('Raw Period DMR Data'!$O:$O,'Raw Period DMR Data'!$A:$A,'Raw Annual DMR Data_2021-2024'!#REF!,'Raw Period DMR Data'!$C:$C,X298)/S298</f>
        <v>0</v>
      </c>
      <c r="U298" s="28" t="str">
        <f>+IF(COUNTIFS('Raw Period DMR Data'!$A:$A,B298,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98" s="28" t="str" cm="1">
        <f t="array" ref="V298">IFERROR(INDEX('Raw Period DMR Data'!N:N,MATCH(1,(B298='Raw Period DMR Data'!$A:$A)*(U298='Raw Period DMR Data'!M:M)*(X298='Raw Period DMR Data'!C:C),0),1), "N/A")</f>
        <v>N/A</v>
      </c>
      <c r="W298" s="28" t="s">
        <v>1463</v>
      </c>
      <c r="X298" s="28" t="s">
        <v>7158</v>
      </c>
      <c r="Y298" s="28" t="s">
        <v>7270</v>
      </c>
      <c r="Z298" s="61">
        <v>5100102000082</v>
      </c>
      <c r="AA298" s="60"/>
      <c r="AB298" s="28" t="s">
        <v>7355</v>
      </c>
      <c r="AC298" s="28" t="s">
        <v>263</v>
      </c>
    </row>
    <row r="299" spans="1:29" s="28" customFormat="1" x14ac:dyDescent="0.25">
      <c r="A299" s="61">
        <v>110000542896</v>
      </c>
      <c r="B299" s="28">
        <v>2023</v>
      </c>
      <c r="C299" s="68">
        <f t="shared" si="4"/>
        <v>44927</v>
      </c>
      <c r="D299" s="28" t="s">
        <v>6810</v>
      </c>
      <c r="E299" s="28" t="s">
        <v>6963</v>
      </c>
      <c r="F299" s="28" t="s">
        <v>1437</v>
      </c>
      <c r="G299" s="28" t="s">
        <v>324</v>
      </c>
      <c r="H299" s="28" t="s">
        <v>6964</v>
      </c>
      <c r="I299" s="28">
        <v>38.041639000000004</v>
      </c>
      <c r="J299" s="28">
        <v>-84.208667000000005</v>
      </c>
      <c r="L299" s="61">
        <v>110000542896</v>
      </c>
      <c r="M299" s="28" t="s">
        <v>263</v>
      </c>
      <c r="N299" s="28">
        <v>4952</v>
      </c>
      <c r="O299" s="28" t="str">
        <f>IFERROR(VLOOKUP(N299, 'SIC &amp; NAICS Codes'!A:B, 2, FALSE), "")</f>
        <v>Sewerage Systems</v>
      </c>
      <c r="S299" s="28">
        <v>0.53174897249999997</v>
      </c>
      <c r="T299" s="315">
        <f>_xlfn.MAXIFS('Raw Period DMR Data'!$O:$O,'Raw Period DMR Data'!$A:$A,'Raw Annual DMR Data_2021-2024'!#REF!,'Raw Period DMR Data'!$C:$C,X299)/S299</f>
        <v>0</v>
      </c>
      <c r="U299" s="28" t="str">
        <f>+IF(COUNTIFS('Raw Period DMR Data'!$A:$A,B299,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299" s="28" t="str" cm="1">
        <f t="array" ref="V299">IFERROR(INDEX('Raw Period DMR Data'!N:N,MATCH(1,(B299='Raw Period DMR Data'!$A:$A)*(U299='Raw Period DMR Data'!M:M)*(X299='Raw Period DMR Data'!C:C),0),1), "N/A")</f>
        <v>N/A</v>
      </c>
      <c r="W299" s="28" t="s">
        <v>1463</v>
      </c>
      <c r="X299" s="28" t="s">
        <v>7158</v>
      </c>
      <c r="Y299" s="28" t="s">
        <v>7270</v>
      </c>
      <c r="Z299" s="61">
        <v>5100102000082</v>
      </c>
      <c r="AA299" s="60"/>
      <c r="AB299" s="28" t="s">
        <v>7355</v>
      </c>
      <c r="AC299" s="28" t="s">
        <v>263</v>
      </c>
    </row>
    <row r="300" spans="1:29" s="28" customFormat="1" x14ac:dyDescent="0.25">
      <c r="A300" s="61">
        <v>110064596361</v>
      </c>
      <c r="B300" s="28">
        <v>2024</v>
      </c>
      <c r="C300" s="68">
        <f t="shared" si="4"/>
        <v>45292</v>
      </c>
      <c r="D300" s="28" t="s">
        <v>1436</v>
      </c>
      <c r="E300" s="28" t="s">
        <v>2377</v>
      </c>
      <c r="F300" s="28" t="s">
        <v>1437</v>
      </c>
      <c r="G300" s="28" t="s">
        <v>324</v>
      </c>
      <c r="H300" s="28">
        <v>40392</v>
      </c>
      <c r="I300" s="28">
        <v>37.915556000000002</v>
      </c>
      <c r="J300" s="28">
        <v>-84.268332999999998</v>
      </c>
      <c r="L300" s="61">
        <v>110064596361</v>
      </c>
      <c r="M300" s="28" t="s">
        <v>263</v>
      </c>
      <c r="N300" s="28">
        <v>4952</v>
      </c>
      <c r="O300" s="28" t="str">
        <f>IFERROR(VLOOKUP(N300, 'SIC &amp; NAICS Codes'!A:B, 2, FALSE), "")</f>
        <v>Sewerage Systems</v>
      </c>
      <c r="S300" s="28">
        <v>1.0582481500000001</v>
      </c>
      <c r="T300" s="315">
        <f>_xlfn.MAXIFS('Raw Period DMR Data'!$O:$O,'Raw Period DMR Data'!$A:$A,'Raw Annual DMR Data_2021-2024'!#REF!,'Raw Period DMR Data'!$C:$C,X300)/S300</f>
        <v>0</v>
      </c>
      <c r="U300" s="28" t="str">
        <f>+IF(COUNTIFS('Raw Period DMR Data'!$A:$A,B300,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00" s="28" t="str" cm="1">
        <f t="array" ref="V300">IFERROR(INDEX('Raw Period DMR Data'!N:N,MATCH(1,(B300='Raw Period DMR Data'!$A:$A)*(U300='Raw Period DMR Data'!M:M)*(X300='Raw Period DMR Data'!C:C),0),1), "N/A")</f>
        <v>N/A</v>
      </c>
      <c r="W300" s="28" t="s">
        <v>1463</v>
      </c>
      <c r="X300" s="28" t="s">
        <v>2378</v>
      </c>
      <c r="Y300" s="28" t="s">
        <v>1592</v>
      </c>
      <c r="Z300" s="61">
        <v>5100205000175</v>
      </c>
      <c r="AA300" s="60"/>
      <c r="AB300" s="28" t="s">
        <v>7355</v>
      </c>
      <c r="AC300" s="28" t="s">
        <v>263</v>
      </c>
    </row>
    <row r="301" spans="1:29" s="28" customFormat="1" x14ac:dyDescent="0.25">
      <c r="A301" s="61">
        <v>110024409433</v>
      </c>
      <c r="B301" s="28">
        <v>2022</v>
      </c>
      <c r="C301" s="68">
        <f t="shared" si="4"/>
        <v>44562</v>
      </c>
      <c r="D301" s="28" t="s">
        <v>1438</v>
      </c>
      <c r="E301" s="28" t="s">
        <v>2380</v>
      </c>
      <c r="F301" s="28" t="s">
        <v>1439</v>
      </c>
      <c r="G301" s="28" t="s">
        <v>374</v>
      </c>
      <c r="H301" s="28">
        <v>86504</v>
      </c>
      <c r="I301" s="28">
        <v>35.639462000000002</v>
      </c>
      <c r="J301" s="28">
        <v>-109.080927</v>
      </c>
      <c r="L301" s="61">
        <v>110024409433</v>
      </c>
      <c r="M301" s="28" t="s">
        <v>263</v>
      </c>
      <c r="N301" s="28">
        <v>4952</v>
      </c>
      <c r="O301" s="28" t="str">
        <f>IFERROR(VLOOKUP(N301, 'SIC &amp; NAICS Codes'!A:B, 2, FALSE), "")</f>
        <v>Sewerage Systems</v>
      </c>
      <c r="S301" s="28">
        <v>1.1604810000000001</v>
      </c>
      <c r="T301" s="315">
        <f>_xlfn.MAXIFS('Raw Period DMR Data'!$O:$O,'Raw Period DMR Data'!$A:$A,'Raw Annual DMR Data_2021-2024'!#REF!,'Raw Period DMR Data'!$C:$C,X301)/S301</f>
        <v>0</v>
      </c>
      <c r="U301" s="28" t="str">
        <f>+IF(COUNTIFS('Raw Period DMR Data'!$A:$A,B301,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01" s="28" t="str" cm="1">
        <f t="array" ref="V301">IFERROR(INDEX('Raw Period DMR Data'!N:N,MATCH(1,(B301='Raw Period DMR Data'!$A:$A)*(U301='Raw Period DMR Data'!M:M)*(X301='Raw Period DMR Data'!C:C),0),1), "N/A")</f>
        <v>N/A</v>
      </c>
      <c r="W301" s="28" t="s">
        <v>1463</v>
      </c>
      <c r="X301" s="28" t="s">
        <v>2381</v>
      </c>
      <c r="Y301" s="28" t="s">
        <v>2037</v>
      </c>
      <c r="Z301" s="61">
        <v>14080204013964</v>
      </c>
      <c r="AA301" s="60"/>
      <c r="AB301" s="28" t="s">
        <v>7355</v>
      </c>
      <c r="AC301" s="28" t="s">
        <v>263</v>
      </c>
    </row>
    <row r="302" spans="1:29" s="28" customFormat="1" x14ac:dyDescent="0.25">
      <c r="A302" s="61">
        <v>110024409433</v>
      </c>
      <c r="B302" s="28">
        <v>2024</v>
      </c>
      <c r="C302" s="68">
        <f t="shared" si="4"/>
        <v>45292</v>
      </c>
      <c r="D302" s="28" t="s">
        <v>1438</v>
      </c>
      <c r="E302" s="28" t="s">
        <v>2380</v>
      </c>
      <c r="F302" s="28" t="s">
        <v>1439</v>
      </c>
      <c r="G302" s="28" t="s">
        <v>374</v>
      </c>
      <c r="H302" s="28">
        <v>86504</v>
      </c>
      <c r="I302" s="28">
        <v>35.639462000000002</v>
      </c>
      <c r="J302" s="28">
        <v>-109.080927</v>
      </c>
      <c r="L302" s="61">
        <v>110024409433</v>
      </c>
      <c r="M302" s="28" t="s">
        <v>263</v>
      </c>
      <c r="N302" s="28">
        <v>4952</v>
      </c>
      <c r="O302" s="28" t="str">
        <f>IFERROR(VLOOKUP(N302, 'SIC &amp; NAICS Codes'!A:B, 2, FALSE), "")</f>
        <v>Sewerage Systems</v>
      </c>
      <c r="S302" s="28">
        <v>0.91180649999999996</v>
      </c>
      <c r="T302" s="315">
        <f>_xlfn.MAXIFS('Raw Period DMR Data'!$O:$O,'Raw Period DMR Data'!$A:$A,'Raw Annual DMR Data_2021-2024'!#REF!,'Raw Period DMR Data'!$C:$C,X302)/S302</f>
        <v>0</v>
      </c>
      <c r="U302" s="28" t="str">
        <f>+IF(COUNTIFS('Raw Period DMR Data'!$A:$A,B302,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02" s="28" t="str" cm="1">
        <f t="array" ref="V302">IFERROR(INDEX('Raw Period DMR Data'!N:N,MATCH(1,(B302='Raw Period DMR Data'!$A:$A)*(U302='Raw Period DMR Data'!M:M)*(X302='Raw Period DMR Data'!C:C),0),1), "N/A")</f>
        <v>N/A</v>
      </c>
      <c r="W302" s="28" t="s">
        <v>1463</v>
      </c>
      <c r="X302" s="28" t="s">
        <v>2381</v>
      </c>
      <c r="Y302" s="28" t="s">
        <v>2037</v>
      </c>
      <c r="Z302" s="61">
        <v>14080204013964</v>
      </c>
      <c r="AA302" s="60"/>
      <c r="AB302" s="28" t="s">
        <v>7355</v>
      </c>
      <c r="AC302" s="28" t="s">
        <v>263</v>
      </c>
    </row>
    <row r="303" spans="1:29" s="28" customFormat="1" x14ac:dyDescent="0.25">
      <c r="A303" s="61">
        <v>110024409433</v>
      </c>
      <c r="B303" s="28">
        <v>2023</v>
      </c>
      <c r="C303" s="68">
        <f t="shared" si="4"/>
        <v>44927</v>
      </c>
      <c r="D303" s="28" t="s">
        <v>1438</v>
      </c>
      <c r="E303" s="28" t="s">
        <v>2380</v>
      </c>
      <c r="F303" s="28" t="s">
        <v>1439</v>
      </c>
      <c r="G303" s="28" t="s">
        <v>374</v>
      </c>
      <c r="H303" s="28">
        <v>86504</v>
      </c>
      <c r="I303" s="28">
        <v>35.639462000000002</v>
      </c>
      <c r="J303" s="28">
        <v>-109.080927</v>
      </c>
      <c r="L303" s="61">
        <v>110024409433</v>
      </c>
      <c r="M303" s="28" t="s">
        <v>263</v>
      </c>
      <c r="N303" s="28">
        <v>4952</v>
      </c>
      <c r="O303" s="28" t="str">
        <f>IFERROR(VLOOKUP(N303, 'SIC &amp; NAICS Codes'!A:B, 2, FALSE), "")</f>
        <v>Sewerage Systems</v>
      </c>
      <c r="S303" s="28">
        <v>0.45590324999999998</v>
      </c>
      <c r="T303" s="315">
        <f>_xlfn.MAXIFS('Raw Period DMR Data'!$O:$O,'Raw Period DMR Data'!$A:$A,'Raw Annual DMR Data_2021-2024'!#REF!,'Raw Period DMR Data'!$C:$C,X303)/S303</f>
        <v>0</v>
      </c>
      <c r="U303" s="28" t="str">
        <f>+IF(COUNTIFS('Raw Period DMR Data'!$A:$A,B303,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03" s="28" t="str" cm="1">
        <f t="array" ref="V303">IFERROR(INDEX('Raw Period DMR Data'!N:N,MATCH(1,(B303='Raw Period DMR Data'!$A:$A)*(U303='Raw Period DMR Data'!M:M)*(X303='Raw Period DMR Data'!C:C),0),1), "N/A")</f>
        <v>N/A</v>
      </c>
      <c r="W303" s="28" t="s">
        <v>1463</v>
      </c>
      <c r="X303" s="28" t="s">
        <v>2381</v>
      </c>
      <c r="Y303" s="28" t="s">
        <v>2037</v>
      </c>
      <c r="Z303" s="61">
        <v>14080204013964</v>
      </c>
      <c r="AA303" s="60"/>
      <c r="AB303" s="28" t="s">
        <v>7355</v>
      </c>
      <c r="AC303" s="28" t="s">
        <v>263</v>
      </c>
    </row>
    <row r="304" spans="1:29" s="28" customFormat="1" x14ac:dyDescent="0.25">
      <c r="A304" s="61">
        <v>110039782349</v>
      </c>
      <c r="B304" s="28">
        <v>2021</v>
      </c>
      <c r="C304" s="68">
        <f t="shared" si="4"/>
        <v>44197</v>
      </c>
      <c r="D304" s="28" t="s">
        <v>1440</v>
      </c>
      <c r="E304" s="28" t="s">
        <v>2382</v>
      </c>
      <c r="F304" s="28" t="s">
        <v>1441</v>
      </c>
      <c r="G304" s="28" t="s">
        <v>366</v>
      </c>
      <c r="H304" s="28">
        <v>95776</v>
      </c>
      <c r="I304" s="28">
        <v>38.662149999999997</v>
      </c>
      <c r="J304" s="28">
        <v>-121.71407000000001</v>
      </c>
      <c r="L304" s="61">
        <v>110039782349</v>
      </c>
      <c r="M304" s="28" t="s">
        <v>263</v>
      </c>
      <c r="N304" s="28">
        <v>4952</v>
      </c>
      <c r="O304" s="28" t="str">
        <f>IFERROR(VLOOKUP(N304, 'SIC &amp; NAICS Codes'!A:B, 2, FALSE), "")</f>
        <v>Sewerage Systems</v>
      </c>
      <c r="S304" s="28">
        <v>0.45825751999999997</v>
      </c>
      <c r="T304" s="315">
        <f>_xlfn.MAXIFS('Raw Period DMR Data'!$O:$O,'Raw Period DMR Data'!$A:$A,'Raw Annual DMR Data_2021-2024'!#REF!,'Raw Period DMR Data'!$C:$C,X304)/S304</f>
        <v>0</v>
      </c>
      <c r="U304" s="28" t="str">
        <f>+IF(COUNTIFS('Raw Period DMR Data'!$A:$A,B304,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04" s="28" t="str" cm="1">
        <f t="array" ref="V304">IFERROR(INDEX('Raw Period DMR Data'!N:N,MATCH(1,(B304='Raw Period DMR Data'!$A:$A)*(U304='Raw Period DMR Data'!M:M)*(X304='Raw Period DMR Data'!C:C),0),1), "N/A")</f>
        <v>N/A</v>
      </c>
      <c r="W304" s="28" t="s">
        <v>1463</v>
      </c>
      <c r="X304" s="28" t="s">
        <v>2383</v>
      </c>
      <c r="Y304" s="28" t="s">
        <v>2384</v>
      </c>
      <c r="Z304" s="61">
        <v>18020163012338</v>
      </c>
      <c r="AB304" s="28" t="s">
        <v>7355</v>
      </c>
      <c r="AC304" s="28" t="s">
        <v>263</v>
      </c>
    </row>
    <row r="305" spans="1:29" s="28" customFormat="1" x14ac:dyDescent="0.25">
      <c r="A305" s="61">
        <v>110039782349</v>
      </c>
      <c r="B305" s="28">
        <v>2022</v>
      </c>
      <c r="C305" s="68">
        <f t="shared" si="4"/>
        <v>44562</v>
      </c>
      <c r="D305" s="28" t="s">
        <v>1440</v>
      </c>
      <c r="E305" s="28" t="s">
        <v>2382</v>
      </c>
      <c r="F305" s="28" t="s">
        <v>1441</v>
      </c>
      <c r="G305" s="28" t="s">
        <v>366</v>
      </c>
      <c r="H305" s="28">
        <v>95776</v>
      </c>
      <c r="I305" s="28">
        <v>38.662149999999997</v>
      </c>
      <c r="J305" s="28">
        <v>-121.71407000000001</v>
      </c>
      <c r="L305" s="61">
        <v>110039782349</v>
      </c>
      <c r="M305" s="28" t="s">
        <v>263</v>
      </c>
      <c r="N305" s="28">
        <v>4952</v>
      </c>
      <c r="O305" s="28" t="str">
        <f>IFERROR(VLOOKUP(N305, 'SIC &amp; NAICS Codes'!A:B, 2, FALSE), "")</f>
        <v>Sewerage Systems</v>
      </c>
      <c r="S305" s="28">
        <v>0.28491966000000002</v>
      </c>
      <c r="T305" s="315">
        <f>_xlfn.MAXIFS('Raw Period DMR Data'!$O:$O,'Raw Period DMR Data'!$A:$A,'Raw Annual DMR Data_2021-2024'!#REF!,'Raw Period DMR Data'!$C:$C,X305)/S305</f>
        <v>0</v>
      </c>
      <c r="U305" s="28" t="str">
        <f>+IF(COUNTIFS('Raw Period DMR Data'!$A:$A,B305,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05" s="28" t="str" cm="1">
        <f t="array" ref="V305">IFERROR(INDEX('Raw Period DMR Data'!N:N,MATCH(1,(B305='Raw Period DMR Data'!$A:$A)*(U305='Raw Period DMR Data'!M:M)*(X305='Raw Period DMR Data'!C:C),0),1), "N/A")</f>
        <v>N/A</v>
      </c>
      <c r="W305" s="28" t="s">
        <v>1463</v>
      </c>
      <c r="X305" s="28" t="s">
        <v>2383</v>
      </c>
      <c r="Y305" s="28" t="s">
        <v>2384</v>
      </c>
      <c r="Z305" s="61">
        <v>18020163012338</v>
      </c>
      <c r="AA305" s="60"/>
      <c r="AB305" s="28" t="s">
        <v>7355</v>
      </c>
      <c r="AC305" s="28" t="s">
        <v>263</v>
      </c>
    </row>
    <row r="306" spans="1:29" s="28" customFormat="1" x14ac:dyDescent="0.25">
      <c r="A306" s="61">
        <v>110000846602</v>
      </c>
      <c r="B306" s="28">
        <v>2022</v>
      </c>
      <c r="C306" s="68">
        <f t="shared" si="4"/>
        <v>44562</v>
      </c>
      <c r="D306" s="28" t="s">
        <v>103</v>
      </c>
      <c r="E306" s="28" t="s">
        <v>313</v>
      </c>
      <c r="F306" s="28" t="s">
        <v>314</v>
      </c>
      <c r="G306" s="28" t="s">
        <v>303</v>
      </c>
      <c r="H306" s="28" t="s">
        <v>315</v>
      </c>
      <c r="I306" s="28">
        <v>30.27083</v>
      </c>
      <c r="J306" s="28">
        <v>-92.037279999999996</v>
      </c>
      <c r="K306" s="28" t="s">
        <v>7123</v>
      </c>
      <c r="L306" s="61">
        <v>110000846602</v>
      </c>
      <c r="M306" s="28" t="s">
        <v>253</v>
      </c>
      <c r="N306" s="28">
        <v>2821</v>
      </c>
      <c r="O306" s="28" t="str">
        <f>IFERROR(VLOOKUP(N306, 'SIC &amp; NAICS Codes'!A:B, 2, FALSE), "")</f>
        <v>Plastics Materials, Synthetic and Resins, and Nonvulcanizable Elastomers</v>
      </c>
      <c r="S306" s="28">
        <v>1.2698088325000001E-2</v>
      </c>
      <c r="T306" s="315">
        <f>_xlfn.MAXIFS('Raw Period DMR Data'!$O:$O,'Raw Period DMR Data'!$A:$A,'Raw Annual DMR Data_2021-2024'!#REF!,'Raw Period DMR Data'!$C:$C,X306)/S306</f>
        <v>0</v>
      </c>
      <c r="U306" s="28" t="str">
        <f>+IF(COUNTIFS('Raw Period DMR Data'!$A:$A,B306,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06" s="28" t="str" cm="1">
        <f t="array" ref="V306">IFERROR(INDEX('Raw Period DMR Data'!N:N,MATCH(1,(B306='Raw Period DMR Data'!$A:$A)*(U306='Raw Period DMR Data'!M:M)*(X306='Raw Period DMR Data'!C:C),0),1), "N/A")</f>
        <v>N/A</v>
      </c>
      <c r="W306" s="28" t="s">
        <v>1463</v>
      </c>
      <c r="X306" s="28" t="s">
        <v>772</v>
      </c>
      <c r="Y306" s="28" t="s">
        <v>773</v>
      </c>
      <c r="Z306" s="61">
        <v>8080103002791</v>
      </c>
      <c r="AA306" s="60"/>
      <c r="AB306" s="28" t="s">
        <v>7355</v>
      </c>
      <c r="AC306" s="28" t="s">
        <v>1466</v>
      </c>
    </row>
    <row r="307" spans="1:29" s="28" customFormat="1" x14ac:dyDescent="0.25">
      <c r="A307" s="61">
        <v>110000846602</v>
      </c>
      <c r="B307" s="28">
        <v>2024</v>
      </c>
      <c r="C307" s="68">
        <f t="shared" si="4"/>
        <v>45292</v>
      </c>
      <c r="D307" s="28" t="s">
        <v>103</v>
      </c>
      <c r="E307" s="28" t="s">
        <v>313</v>
      </c>
      <c r="F307" s="28" t="s">
        <v>314</v>
      </c>
      <c r="G307" s="28" t="s">
        <v>303</v>
      </c>
      <c r="H307" s="28" t="s">
        <v>315</v>
      </c>
      <c r="I307" s="28">
        <v>30.27083</v>
      </c>
      <c r="J307" s="28">
        <v>-92.037279999999996</v>
      </c>
      <c r="K307" s="28" t="s">
        <v>7123</v>
      </c>
      <c r="L307" s="61">
        <v>110000846602</v>
      </c>
      <c r="M307" s="28" t="s">
        <v>253</v>
      </c>
      <c r="N307" s="28">
        <v>2821</v>
      </c>
      <c r="O307" s="28" t="str">
        <f>IFERROR(VLOOKUP(N307, 'SIC &amp; NAICS Codes'!A:B, 2, FALSE), "")</f>
        <v>Plastics Materials, Synthetic and Resins, and Nonvulcanizable Elastomers</v>
      </c>
      <c r="S307" s="28">
        <v>8.2445134949999995E-3</v>
      </c>
      <c r="T307" s="315">
        <f>_xlfn.MAXIFS('Raw Period DMR Data'!$O:$O,'Raw Period DMR Data'!$A:$A,'Raw Annual DMR Data_2021-2024'!#REF!,'Raw Period DMR Data'!$C:$C,X307)/S307</f>
        <v>0</v>
      </c>
      <c r="U307" s="28" t="str">
        <f>+IF(COUNTIFS('Raw Period DMR Data'!$A:$A,B307,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07" s="28" t="str" cm="1">
        <f t="array" ref="V307">IFERROR(INDEX('Raw Period DMR Data'!N:N,MATCH(1,(B307='Raw Period DMR Data'!$A:$A)*(U307='Raw Period DMR Data'!M:M)*(X307='Raw Period DMR Data'!C:C),0),1), "N/A")</f>
        <v>N/A</v>
      </c>
      <c r="W307" s="28" t="s">
        <v>1463</v>
      </c>
      <c r="X307" s="28" t="s">
        <v>772</v>
      </c>
      <c r="Y307" s="28" t="s">
        <v>773</v>
      </c>
      <c r="Z307" s="61">
        <v>8080103002791</v>
      </c>
      <c r="AA307" s="60"/>
      <c r="AB307" s="28" t="s">
        <v>7355</v>
      </c>
      <c r="AC307" s="28" t="s">
        <v>1466</v>
      </c>
    </row>
    <row r="308" spans="1:29" s="28" customFormat="1" x14ac:dyDescent="0.25">
      <c r="A308" s="61">
        <v>110000846602</v>
      </c>
      <c r="B308" s="28">
        <v>2021</v>
      </c>
      <c r="C308" s="68">
        <f t="shared" si="4"/>
        <v>44197</v>
      </c>
      <c r="D308" s="28" t="s">
        <v>103</v>
      </c>
      <c r="E308" s="28" t="s">
        <v>313</v>
      </c>
      <c r="F308" s="28" t="s">
        <v>314</v>
      </c>
      <c r="G308" s="28" t="s">
        <v>303</v>
      </c>
      <c r="H308" s="28" t="s">
        <v>315</v>
      </c>
      <c r="I308" s="28">
        <v>30.27083</v>
      </c>
      <c r="J308" s="28">
        <v>-92.037279999999996</v>
      </c>
      <c r="K308" s="28" t="s">
        <v>7123</v>
      </c>
      <c r="L308" s="61">
        <v>110000846602</v>
      </c>
      <c r="M308" s="28" t="s">
        <v>253</v>
      </c>
      <c r="N308" s="28">
        <v>2821</v>
      </c>
      <c r="O308" s="28" t="str">
        <f>IFERROR(VLOOKUP(N308, 'SIC &amp; NAICS Codes'!A:B, 2, FALSE), "")</f>
        <v>Plastics Materials, Synthetic and Resins, and Nonvulcanizable Elastomers</v>
      </c>
      <c r="S308" s="28">
        <v>7.8836156375000008E-3</v>
      </c>
      <c r="T308" s="315">
        <f>_xlfn.MAXIFS('Raw Period DMR Data'!$O:$O,'Raw Period DMR Data'!$A:$A,'Raw Annual DMR Data_2021-2024'!#REF!,'Raw Period DMR Data'!$C:$C,X308)/S308</f>
        <v>0</v>
      </c>
      <c r="U308" s="28" t="str">
        <f>+IF(COUNTIFS('Raw Period DMR Data'!$A:$A,B308,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08" s="28" t="str" cm="1">
        <f t="array" ref="V308">IFERROR(INDEX('Raw Period DMR Data'!N:N,MATCH(1,(B308='Raw Period DMR Data'!$A:$A)*(U308='Raw Period DMR Data'!M:M)*(X308='Raw Period DMR Data'!C:C),0),1), "N/A")</f>
        <v>N/A</v>
      </c>
      <c r="W308" s="28" t="s">
        <v>1463</v>
      </c>
      <c r="X308" s="28" t="s">
        <v>772</v>
      </c>
      <c r="Y308" s="28" t="s">
        <v>773</v>
      </c>
      <c r="Z308" s="61">
        <v>8080103002791</v>
      </c>
      <c r="AA308" s="60"/>
      <c r="AB308" s="28" t="s">
        <v>7355</v>
      </c>
      <c r="AC308" s="28" t="s">
        <v>1466</v>
      </c>
    </row>
    <row r="309" spans="1:29" s="28" customFormat="1" x14ac:dyDescent="0.25">
      <c r="A309" s="61">
        <v>110000846602</v>
      </c>
      <c r="B309" s="28">
        <v>2023</v>
      </c>
      <c r="C309" s="68">
        <f t="shared" si="4"/>
        <v>44927</v>
      </c>
      <c r="D309" s="28" t="s">
        <v>103</v>
      </c>
      <c r="E309" s="28" t="s">
        <v>313</v>
      </c>
      <c r="F309" s="28" t="s">
        <v>314</v>
      </c>
      <c r="G309" s="28" t="s">
        <v>303</v>
      </c>
      <c r="H309" s="28" t="s">
        <v>315</v>
      </c>
      <c r="I309" s="28">
        <v>30.27083</v>
      </c>
      <c r="J309" s="28">
        <v>-92.037279999999996</v>
      </c>
      <c r="K309" s="28" t="s">
        <v>7123</v>
      </c>
      <c r="L309" s="61">
        <v>110000846602</v>
      </c>
      <c r="M309" s="28" t="s">
        <v>253</v>
      </c>
      <c r="N309" s="28">
        <v>2821</v>
      </c>
      <c r="O309" s="28" t="str">
        <f>IFERROR(VLOOKUP(N309, 'SIC &amp; NAICS Codes'!A:B, 2, FALSE), "")</f>
        <v>Plastics Materials, Synthetic and Resins, and Nonvulcanizable Elastomers</v>
      </c>
      <c r="S309" s="28">
        <v>4.6861555099999997E-3</v>
      </c>
      <c r="T309" s="315">
        <f>_xlfn.MAXIFS('Raw Period DMR Data'!$O:$O,'Raw Period DMR Data'!$A:$A,'Raw Annual DMR Data_2021-2024'!#REF!,'Raw Period DMR Data'!$C:$C,X309)/S309</f>
        <v>0</v>
      </c>
      <c r="U309" s="28" t="str">
        <f>+IF(COUNTIFS('Raw Period DMR Data'!$A:$A,B309,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09" s="28" t="str" cm="1">
        <f t="array" ref="V309">IFERROR(INDEX('Raw Period DMR Data'!N:N,MATCH(1,(B309='Raw Period DMR Data'!$A:$A)*(U309='Raw Period DMR Data'!M:M)*(X309='Raw Period DMR Data'!C:C),0),1), "N/A")</f>
        <v>N/A</v>
      </c>
      <c r="W309" s="28" t="s">
        <v>1463</v>
      </c>
      <c r="X309" s="28" t="s">
        <v>772</v>
      </c>
      <c r="Y309" s="28" t="s">
        <v>773</v>
      </c>
      <c r="Z309" s="61" t="s">
        <v>1476</v>
      </c>
      <c r="AA309" s="60"/>
      <c r="AB309" s="28" t="s">
        <v>7355</v>
      </c>
      <c r="AC309" s="28" t="s">
        <v>1466</v>
      </c>
    </row>
    <row r="310" spans="1:29" s="28" customFormat="1" x14ac:dyDescent="0.25">
      <c r="A310" s="61">
        <v>110000380061</v>
      </c>
      <c r="B310" s="28">
        <v>2022</v>
      </c>
      <c r="C310" s="68">
        <f t="shared" si="4"/>
        <v>44562</v>
      </c>
      <c r="D310" s="28" t="s">
        <v>6806</v>
      </c>
      <c r="E310" s="28" t="s">
        <v>322</v>
      </c>
      <c r="F310" s="28" t="s">
        <v>323</v>
      </c>
      <c r="G310" s="28" t="s">
        <v>324</v>
      </c>
      <c r="H310" s="28">
        <v>420290187</v>
      </c>
      <c r="I310" s="28">
        <v>37.056699000000002</v>
      </c>
      <c r="J310" s="28">
        <v>-88.365727000000007</v>
      </c>
      <c r="K310" s="28" t="s">
        <v>325</v>
      </c>
      <c r="L310" s="61">
        <v>110000380061</v>
      </c>
      <c r="M310" s="28" t="s">
        <v>253</v>
      </c>
      <c r="N310" s="28">
        <v>2819</v>
      </c>
      <c r="O310" s="28" t="str">
        <f>IFERROR(VLOOKUP(N310, 'SIC &amp; NAICS Codes'!A:B, 2, FALSE), "")</f>
        <v>Industrial Inorganic Chemicals, NEC (recovering sulfur from natural gas)</v>
      </c>
      <c r="S310" s="28">
        <v>56.127111999999997</v>
      </c>
      <c r="T310" s="315">
        <f>_xlfn.MAXIFS('Raw Period DMR Data'!$O:$O,'Raw Period DMR Data'!$A:$A,'Raw Annual DMR Data_2021-2024'!B883,'Raw Period DMR Data'!$C:$C,X310)/S310</f>
        <v>0</v>
      </c>
      <c r="U310" s="28" t="str">
        <f>+IF(COUNTIFS('Raw Period DMR Data'!$A:$A,B310, 'Raw Period DMR Data'!C:C,'Raw Annual DMR Data_2021-2024'!X883, 'Raw Period DMR Data'!M:M, "&gt;0")&gt;0,_xlfn.MAXIFS('Raw Period DMR Data'!M:M,'Raw Period DMR Data'!$A:$A,'Raw Annual DMR Data_2021-2024'!B883,'Raw Period DMR Data'!C:C,'Raw Annual DMR Data_2021-2024'!X883), "N/A - Period DMR Data Not Available")</f>
        <v>N/A - Period DMR Data Not Available</v>
      </c>
      <c r="V310" s="28" t="str" cm="1">
        <f t="array" ref="V310">IFERROR(INDEX('Raw Period DMR Data'!N:N,MATCH(1,(B310='Raw Period DMR Data'!$A:$A)*(U310='Raw Period DMR Data'!M:M)*(X310='Raw Period DMR Data'!C:C),0),1), "N/A")</f>
        <v>N/A</v>
      </c>
      <c r="W310" s="28" t="s">
        <v>1463</v>
      </c>
      <c r="X310" s="28" t="s">
        <v>776</v>
      </c>
      <c r="Y310" s="28" t="s">
        <v>777</v>
      </c>
      <c r="Z310" s="61">
        <v>6040006000329</v>
      </c>
      <c r="AA310" s="60"/>
      <c r="AC310" s="28" t="s">
        <v>1466</v>
      </c>
    </row>
    <row r="311" spans="1:29" s="28" customFormat="1" x14ac:dyDescent="0.25">
      <c r="A311" s="61">
        <v>110000380061</v>
      </c>
      <c r="B311" s="28">
        <v>2021</v>
      </c>
      <c r="C311" s="68">
        <f t="shared" si="4"/>
        <v>44197</v>
      </c>
      <c r="D311" s="28" t="s">
        <v>6806</v>
      </c>
      <c r="E311" s="28" t="s">
        <v>322</v>
      </c>
      <c r="F311" s="28" t="s">
        <v>323</v>
      </c>
      <c r="G311" s="28" t="s">
        <v>324</v>
      </c>
      <c r="H311" s="28">
        <v>420290187</v>
      </c>
      <c r="I311" s="28">
        <v>37.056699000000002</v>
      </c>
      <c r="J311" s="28">
        <v>-88.365727000000007</v>
      </c>
      <c r="K311" s="28" t="s">
        <v>325</v>
      </c>
      <c r="L311" s="61">
        <v>110000380061</v>
      </c>
      <c r="M311" s="28" t="s">
        <v>253</v>
      </c>
      <c r="N311" s="28">
        <v>2819</v>
      </c>
      <c r="O311" s="28" t="str">
        <f>IFERROR(VLOOKUP(N311, 'SIC &amp; NAICS Codes'!A:B, 2, FALSE), "")</f>
        <v>Industrial Inorganic Chemicals, NEC (recovering sulfur from natural gas)</v>
      </c>
      <c r="S311" s="28">
        <v>8.478904</v>
      </c>
      <c r="T311" s="315">
        <f>_xlfn.MAXIFS('Raw Period DMR Data'!$O:$O,'Raw Period DMR Data'!$A:$A,'Raw Annual DMR Data_2021-2024'!B956,'Raw Period DMR Data'!$C:$C,X311)/S311</f>
        <v>0</v>
      </c>
      <c r="U311" s="28" t="str">
        <f>+IF(COUNTIFS('Raw Period DMR Data'!$A:$A,B311, 'Raw Period DMR Data'!C:C,'Raw Annual DMR Data_2021-2024'!X956, 'Raw Period DMR Data'!M:M, "&gt;0")&gt;0,_xlfn.MAXIFS('Raw Period DMR Data'!M:M,'Raw Period DMR Data'!$A:$A,'Raw Annual DMR Data_2021-2024'!B956,'Raw Period DMR Data'!C:C,'Raw Annual DMR Data_2021-2024'!X956), "N/A - Period DMR Data Not Available")</f>
        <v>N/A - Period DMR Data Not Available</v>
      </c>
      <c r="V311" s="28" t="str" cm="1">
        <f t="array" ref="V311">IFERROR(INDEX('Raw Period DMR Data'!N:N,MATCH(1,(B311='Raw Period DMR Data'!$A:$A)*(U311='Raw Period DMR Data'!M:M)*(X311='Raw Period DMR Data'!C:C),0),1), "N/A")</f>
        <v>N/A</v>
      </c>
      <c r="W311" s="28" t="s">
        <v>1463</v>
      </c>
      <c r="X311" s="28" t="s">
        <v>776</v>
      </c>
      <c r="Y311" s="28" t="s">
        <v>777</v>
      </c>
      <c r="Z311" s="61">
        <v>6040006000329</v>
      </c>
      <c r="AC311" s="28" t="s">
        <v>1466</v>
      </c>
    </row>
    <row r="312" spans="1:29" s="28" customFormat="1" x14ac:dyDescent="0.25">
      <c r="A312" s="61">
        <v>110000380061</v>
      </c>
      <c r="B312" s="28">
        <v>2023</v>
      </c>
      <c r="C312" s="68">
        <f t="shared" si="4"/>
        <v>44927</v>
      </c>
      <c r="D312" s="28" t="s">
        <v>6806</v>
      </c>
      <c r="E312" s="28" t="s">
        <v>322</v>
      </c>
      <c r="F312" s="28" t="s">
        <v>323</v>
      </c>
      <c r="G312" s="28" t="s">
        <v>324</v>
      </c>
      <c r="H312" s="28">
        <v>420290187</v>
      </c>
      <c r="I312" s="28">
        <v>37.056699000000002</v>
      </c>
      <c r="J312" s="28">
        <v>-88.365727000000007</v>
      </c>
      <c r="K312" s="28" t="s">
        <v>325</v>
      </c>
      <c r="L312" s="61">
        <v>110000380061</v>
      </c>
      <c r="M312" s="28" t="s">
        <v>253</v>
      </c>
      <c r="N312" s="28">
        <v>2819</v>
      </c>
      <c r="O312" s="28" t="str">
        <f>IFERROR(VLOOKUP(N312, 'SIC &amp; NAICS Codes'!A:B, 2, FALSE), "")</f>
        <v>Industrial Inorganic Chemicals, NEC (recovering sulfur from natural gas)</v>
      </c>
      <c r="S312" s="28">
        <v>2.4225439999999998</v>
      </c>
      <c r="T312" s="315">
        <f>_xlfn.MAXIFS('Raw Period DMR Data'!$O:$O,'Raw Period DMR Data'!$A:$A,'Raw Annual DMR Data_2021-2024'!#REF!,'Raw Period DMR Data'!$C:$C,X312)/S312</f>
        <v>0</v>
      </c>
      <c r="U312" s="28" t="str">
        <f>+IF(COUNTIFS('Raw Period DMR Data'!$A:$A,B312,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12" s="28" t="str" cm="1">
        <f t="array" ref="V312">IFERROR(INDEX('Raw Period DMR Data'!N:N,MATCH(1,(B312='Raw Period DMR Data'!$A:$A)*(U312='Raw Period DMR Data'!M:M)*(X312='Raw Period DMR Data'!C:C),0),1), "N/A")</f>
        <v>N/A</v>
      </c>
      <c r="W312" s="28" t="s">
        <v>1463</v>
      </c>
      <c r="X312" s="28" t="s">
        <v>776</v>
      </c>
      <c r="Y312" s="28" t="s">
        <v>777</v>
      </c>
      <c r="Z312" s="61" t="s">
        <v>1492</v>
      </c>
      <c r="AA312" s="60"/>
      <c r="AC312" s="28" t="s">
        <v>1466</v>
      </c>
    </row>
    <row r="313" spans="1:29" s="28" customFormat="1" x14ac:dyDescent="0.25">
      <c r="A313" s="61">
        <v>110000494019</v>
      </c>
      <c r="B313" s="28">
        <v>2024</v>
      </c>
      <c r="C313" s="68">
        <f t="shared" si="4"/>
        <v>45292</v>
      </c>
      <c r="D313" s="28" t="s">
        <v>205</v>
      </c>
      <c r="E313" s="28" t="s">
        <v>7046</v>
      </c>
      <c r="F313" s="28" t="s">
        <v>7047</v>
      </c>
      <c r="G313" s="28" t="s">
        <v>427</v>
      </c>
      <c r="H313" s="28">
        <v>48192</v>
      </c>
      <c r="I313" s="28">
        <v>42.219194999999999</v>
      </c>
      <c r="J313" s="28">
        <v>-83.146739999999994</v>
      </c>
      <c r="K313" s="28" t="s">
        <v>7131</v>
      </c>
      <c r="L313" s="61">
        <v>110000494019</v>
      </c>
      <c r="M313" s="28" t="s">
        <v>253</v>
      </c>
      <c r="N313" s="28">
        <v>2821</v>
      </c>
      <c r="O313" s="28" t="str">
        <f>IFERROR(VLOOKUP(N313, 'SIC &amp; NAICS Codes'!A:B, 2, FALSE), "")</f>
        <v>Plastics Materials, Synthetic and Resins, and Nonvulcanizable Elastomers</v>
      </c>
      <c r="S313" s="28">
        <v>1.2017460000000001E-2</v>
      </c>
      <c r="T313" s="315">
        <f>_xlfn.MAXIFS('Raw Period DMR Data'!$O:$O,'Raw Period DMR Data'!$A:$A,'Raw Annual DMR Data_2021-2024'!#REF!,'Raw Period DMR Data'!$C:$C,X313)/S313</f>
        <v>0</v>
      </c>
      <c r="U313" s="28" t="str">
        <f>+IF(COUNTIFS('Raw Period DMR Data'!$A:$A,B313,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13" s="28" t="str" cm="1">
        <f t="array" ref="V313">IFERROR(INDEX('Raw Period DMR Data'!N:N,MATCH(1,(B313='Raw Period DMR Data'!$A:$A)*(U313='Raw Period DMR Data'!M:M)*(X313='Raw Period DMR Data'!C:C),0),1), "N/A")</f>
        <v>N/A</v>
      </c>
      <c r="W313" s="28" t="s">
        <v>1463</v>
      </c>
      <c r="X313" s="28" t="s">
        <v>7203</v>
      </c>
      <c r="Y313" s="28" t="s">
        <v>7304</v>
      </c>
      <c r="Z313" s="61">
        <v>4090004000006</v>
      </c>
      <c r="AA313" s="60"/>
      <c r="AB313" s="28" t="s">
        <v>7355</v>
      </c>
      <c r="AC313" s="28" t="s">
        <v>1466</v>
      </c>
    </row>
    <row r="314" spans="1:29" s="28" customFormat="1" x14ac:dyDescent="0.25">
      <c r="A314" s="61">
        <v>110071367964</v>
      </c>
      <c r="B314" s="28">
        <v>2024</v>
      </c>
      <c r="C314" s="68">
        <f t="shared" si="4"/>
        <v>45292</v>
      </c>
      <c r="D314" s="28" t="s">
        <v>122</v>
      </c>
      <c r="E314" s="28" t="s">
        <v>391</v>
      </c>
      <c r="F314" s="28" t="s">
        <v>392</v>
      </c>
      <c r="G314" s="28" t="s">
        <v>311</v>
      </c>
      <c r="H314" s="28">
        <v>26181</v>
      </c>
      <c r="I314" s="28">
        <v>39.271943999999998</v>
      </c>
      <c r="J314" s="28">
        <v>-81.661666999999994</v>
      </c>
      <c r="K314" s="28" t="s">
        <v>7136</v>
      </c>
      <c r="L314" s="61">
        <v>110071367964</v>
      </c>
      <c r="M314" s="28" t="s">
        <v>253</v>
      </c>
      <c r="N314" s="28">
        <v>2821</v>
      </c>
      <c r="O314" s="28" t="str">
        <f>IFERROR(VLOOKUP(N314, 'SIC &amp; NAICS Codes'!A:B, 2, FALSE), "")</f>
        <v>Plastics Materials, Synthetic and Resins, and Nonvulcanizable Elastomers</v>
      </c>
      <c r="S314" s="28">
        <v>3.5071500000000001E-3</v>
      </c>
      <c r="T314" s="315">
        <f>_xlfn.MAXIFS('Raw Period DMR Data'!$O:$O,'Raw Period DMR Data'!$A:$A,'Raw Annual DMR Data_2021-2024'!#REF!,'Raw Period DMR Data'!$C:$C,X314)/S314</f>
        <v>0</v>
      </c>
      <c r="U314" s="28" t="str">
        <f>+IF(COUNTIFS('Raw Period DMR Data'!$A:$A,B314,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14" s="28" t="str" cm="1">
        <f t="array" ref="V314">IFERROR(INDEX('Raw Period DMR Data'!N:N,MATCH(1,(B314='Raw Period DMR Data'!$A:$A)*(U314='Raw Period DMR Data'!M:M)*(X314='Raw Period DMR Data'!C:C),0),1), "N/A")</f>
        <v>N/A</v>
      </c>
      <c r="W314" s="28" t="s">
        <v>1463</v>
      </c>
      <c r="X314" s="28" t="s">
        <v>7242</v>
      </c>
      <c r="Y314" s="28" t="s">
        <v>830</v>
      </c>
      <c r="Z314" s="61"/>
      <c r="AA314" s="60"/>
      <c r="AC314" s="28" t="s">
        <v>1466</v>
      </c>
    </row>
    <row r="315" spans="1:29" s="28" customFormat="1" x14ac:dyDescent="0.25">
      <c r="A315" s="61">
        <v>110000339027</v>
      </c>
      <c r="B315" s="28">
        <v>2024</v>
      </c>
      <c r="C315" s="68">
        <f t="shared" si="4"/>
        <v>45292</v>
      </c>
      <c r="D315" s="28" t="s">
        <v>6841</v>
      </c>
      <c r="E315" s="28" t="s">
        <v>1913</v>
      </c>
      <c r="F315" s="28" t="s">
        <v>1187</v>
      </c>
      <c r="G315" s="28" t="s">
        <v>478</v>
      </c>
      <c r="H315" s="28" t="s">
        <v>6997</v>
      </c>
      <c r="I315" s="28">
        <v>38.631867</v>
      </c>
      <c r="J315" s="28">
        <v>-75.628372999999996</v>
      </c>
      <c r="L315" s="61">
        <v>110000339027</v>
      </c>
      <c r="M315" s="28" t="s">
        <v>253</v>
      </c>
      <c r="N315" s="28">
        <v>2821</v>
      </c>
      <c r="O315" s="28" t="str">
        <f>IFERROR(VLOOKUP(N315, 'SIC &amp; NAICS Codes'!A:B, 2, FALSE), "")</f>
        <v>Plastics Materials, Synthetic and Resins, and Nonvulcanizable Elastomers</v>
      </c>
      <c r="S315" s="28">
        <v>7.0370000000000003E-4</v>
      </c>
      <c r="T315" s="315">
        <f>_xlfn.MAXIFS('Raw Period DMR Data'!$O:$O,'Raw Period DMR Data'!$A:$A,'Raw Annual DMR Data_2021-2024'!#REF!,'Raw Period DMR Data'!$C:$C,X315)/S315</f>
        <v>0</v>
      </c>
      <c r="U315" s="28" t="str">
        <f>+IF(COUNTIFS('Raw Period DMR Data'!$A:$A,B315,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15" s="28" t="str" cm="1">
        <f t="array" ref="V315">IFERROR(INDEX('Raw Period DMR Data'!N:N,MATCH(1,(B315='Raw Period DMR Data'!$A:$A)*(U315='Raw Period DMR Data'!M:M)*(X315='Raw Period DMR Data'!C:C),0),1), "N/A")</f>
        <v>N/A</v>
      </c>
      <c r="W315" s="28" t="s">
        <v>1463</v>
      </c>
      <c r="X315" s="28" t="s">
        <v>1914</v>
      </c>
      <c r="Y315" s="28" t="s">
        <v>1915</v>
      </c>
      <c r="Z315" s="61">
        <v>2080109011489</v>
      </c>
      <c r="AA315" s="60"/>
      <c r="AC315" s="28" t="s">
        <v>1466</v>
      </c>
    </row>
    <row r="316" spans="1:29" s="28" customFormat="1" x14ac:dyDescent="0.25">
      <c r="A316" s="61">
        <v>110000339027</v>
      </c>
      <c r="B316" s="28">
        <v>2021</v>
      </c>
      <c r="C316" s="68">
        <f t="shared" si="4"/>
        <v>44197</v>
      </c>
      <c r="D316" s="28" t="s">
        <v>6841</v>
      </c>
      <c r="E316" s="28" t="s">
        <v>1913</v>
      </c>
      <c r="F316" s="28" t="s">
        <v>1187</v>
      </c>
      <c r="G316" s="28" t="s">
        <v>478</v>
      </c>
      <c r="H316" s="28" t="s">
        <v>6997</v>
      </c>
      <c r="I316" s="28">
        <v>38.631867</v>
      </c>
      <c r="J316" s="28">
        <v>-75.628372999999996</v>
      </c>
      <c r="L316" s="61">
        <v>110000339027</v>
      </c>
      <c r="M316" s="28" t="s">
        <v>253</v>
      </c>
      <c r="N316" s="28">
        <v>2821</v>
      </c>
      <c r="O316" s="28" t="str">
        <f>IFERROR(VLOOKUP(N316, 'SIC &amp; NAICS Codes'!A:B, 2, FALSE), "")</f>
        <v>Plastics Materials, Synthetic and Resins, and Nonvulcanizable Elastomers</v>
      </c>
      <c r="S316" s="28">
        <v>3.5185000000000001E-4</v>
      </c>
      <c r="T316" s="315">
        <f>_xlfn.MAXIFS('Raw Period DMR Data'!$O:$O,'Raw Period DMR Data'!$A:$A,'Raw Annual DMR Data_2021-2024'!#REF!,'Raw Period DMR Data'!$C:$C,X316)/S316</f>
        <v>0</v>
      </c>
      <c r="U316" s="28" t="str">
        <f>+IF(COUNTIFS('Raw Period DMR Data'!$A:$A,B316,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16" s="28" t="str" cm="1">
        <f t="array" ref="V316">IFERROR(INDEX('Raw Period DMR Data'!N:N,MATCH(1,(B316='Raw Period DMR Data'!$A:$A)*(U316='Raw Period DMR Data'!M:M)*(X316='Raw Period DMR Data'!C:C),0),1), "N/A")</f>
        <v>N/A</v>
      </c>
      <c r="W316" s="28" t="s">
        <v>1463</v>
      </c>
      <c r="X316" s="28" t="s">
        <v>1914</v>
      </c>
      <c r="Y316" s="28" t="s">
        <v>1915</v>
      </c>
      <c r="Z316" s="61">
        <v>2080109011489</v>
      </c>
      <c r="AB316" s="28" t="s">
        <v>7355</v>
      </c>
      <c r="AC316" s="28" t="s">
        <v>1466</v>
      </c>
    </row>
    <row r="317" spans="1:29" s="28" customFormat="1" x14ac:dyDescent="0.25">
      <c r="A317" s="61">
        <v>110000339027</v>
      </c>
      <c r="B317" s="28">
        <v>2023</v>
      </c>
      <c r="C317" s="68">
        <f t="shared" si="4"/>
        <v>44927</v>
      </c>
      <c r="D317" s="28" t="s">
        <v>6841</v>
      </c>
      <c r="E317" s="28" t="s">
        <v>1913</v>
      </c>
      <c r="F317" s="28" t="s">
        <v>1187</v>
      </c>
      <c r="G317" s="28" t="s">
        <v>478</v>
      </c>
      <c r="H317" s="28" t="s">
        <v>6997</v>
      </c>
      <c r="I317" s="28">
        <v>38.631867</v>
      </c>
      <c r="J317" s="28">
        <v>-75.628372999999996</v>
      </c>
      <c r="L317" s="61">
        <v>110000339027</v>
      </c>
      <c r="M317" s="28" t="s">
        <v>253</v>
      </c>
      <c r="N317" s="28">
        <v>2821</v>
      </c>
      <c r="O317" s="28" t="str">
        <f>IFERROR(VLOOKUP(N317, 'SIC &amp; NAICS Codes'!A:B, 2, FALSE), "")</f>
        <v>Plastics Materials, Synthetic and Resins, and Nonvulcanizable Elastomers</v>
      </c>
      <c r="S317" s="28">
        <v>5.6295999999999998E-5</v>
      </c>
      <c r="T317" s="315">
        <f>_xlfn.MAXIFS('Raw Period DMR Data'!$O:$O,'Raw Period DMR Data'!$A:$A,'Raw Annual DMR Data_2021-2024'!#REF!,'Raw Period DMR Data'!$C:$C,X317)/S317</f>
        <v>0</v>
      </c>
      <c r="U317" s="28" t="str">
        <f>+IF(COUNTIFS('Raw Period DMR Data'!$A:$A,B317,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17" s="28" t="str" cm="1">
        <f t="array" ref="V317">IFERROR(INDEX('Raw Period DMR Data'!N:N,MATCH(1,(B317='Raw Period DMR Data'!$A:$A)*(U317='Raw Period DMR Data'!M:M)*(X317='Raw Period DMR Data'!C:C),0),1), "N/A")</f>
        <v>N/A</v>
      </c>
      <c r="W317" s="28" t="s">
        <v>1463</v>
      </c>
      <c r="X317" s="28" t="s">
        <v>1914</v>
      </c>
      <c r="Y317" s="28" t="s">
        <v>1915</v>
      </c>
      <c r="Z317" s="61" t="s">
        <v>1916</v>
      </c>
      <c r="AA317" s="60"/>
      <c r="AB317" s="28" t="s">
        <v>7355</v>
      </c>
      <c r="AC317" s="28" t="s">
        <v>1466</v>
      </c>
    </row>
    <row r="318" spans="1:29" s="28" customFormat="1" x14ac:dyDescent="0.25">
      <c r="A318" s="61">
        <v>110000339027</v>
      </c>
      <c r="B318" s="28">
        <v>2022</v>
      </c>
      <c r="C318" s="68">
        <f t="shared" si="4"/>
        <v>44562</v>
      </c>
      <c r="D318" s="28" t="s">
        <v>6841</v>
      </c>
      <c r="E318" s="28" t="s">
        <v>1913</v>
      </c>
      <c r="F318" s="28" t="s">
        <v>1187</v>
      </c>
      <c r="G318" s="28" t="s">
        <v>478</v>
      </c>
      <c r="H318" s="28" t="s">
        <v>6997</v>
      </c>
      <c r="I318" s="28">
        <v>38.631867</v>
      </c>
      <c r="J318" s="28">
        <v>-75.628372999999996</v>
      </c>
      <c r="L318" s="61">
        <v>110000339027</v>
      </c>
      <c r="M318" s="28" t="s">
        <v>253</v>
      </c>
      <c r="N318" s="28">
        <v>2821</v>
      </c>
      <c r="O318" s="28" t="str">
        <f>IFERROR(VLOOKUP(N318, 'SIC &amp; NAICS Codes'!A:B, 2, FALSE), "")</f>
        <v>Plastics Materials, Synthetic and Resins, and Nonvulcanizable Elastomers</v>
      </c>
      <c r="S318" s="28">
        <v>1.4073999999999999E-5</v>
      </c>
      <c r="T318" s="315">
        <f>_xlfn.MAXIFS('Raw Period DMR Data'!$O:$O,'Raw Period DMR Data'!$A:$A,'Raw Annual DMR Data_2021-2024'!#REF!,'Raw Period DMR Data'!$C:$C,X318)/S318</f>
        <v>0</v>
      </c>
      <c r="U318" s="28" t="str">
        <f>+IF(COUNTIFS('Raw Period DMR Data'!$A:$A,B318,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18" s="28" t="str" cm="1">
        <f t="array" ref="V318">IFERROR(INDEX('Raw Period DMR Data'!N:N,MATCH(1,(B318='Raw Period DMR Data'!$A:$A)*(U318='Raw Period DMR Data'!M:M)*(X318='Raw Period DMR Data'!C:C),0),1), "N/A")</f>
        <v>N/A</v>
      </c>
      <c r="W318" s="28" t="s">
        <v>1463</v>
      </c>
      <c r="X318" s="28" t="s">
        <v>1914</v>
      </c>
      <c r="Y318" s="28" t="s">
        <v>1915</v>
      </c>
      <c r="Z318" s="61">
        <v>2080109011489</v>
      </c>
      <c r="AA318" s="60"/>
      <c r="AB318" s="28" t="s">
        <v>7355</v>
      </c>
      <c r="AC318" s="28" t="s">
        <v>1466</v>
      </c>
    </row>
    <row r="319" spans="1:29" s="28" customFormat="1" x14ac:dyDescent="0.25">
      <c r="A319" s="61">
        <v>110000611703</v>
      </c>
      <c r="B319" s="28">
        <v>2021</v>
      </c>
      <c r="C319" s="68">
        <f t="shared" si="4"/>
        <v>44197</v>
      </c>
      <c r="D319" s="28" t="s">
        <v>208</v>
      </c>
      <c r="E319" s="28" t="s">
        <v>647</v>
      </c>
      <c r="F319" s="28" t="s">
        <v>648</v>
      </c>
      <c r="G319" s="28" t="s">
        <v>328</v>
      </c>
      <c r="H319" s="28">
        <v>30721</v>
      </c>
      <c r="I319" s="28">
        <v>34.632592000000002</v>
      </c>
      <c r="J319" s="28">
        <v>-84.927667999999997</v>
      </c>
      <c r="K319" s="28" t="s">
        <v>649</v>
      </c>
      <c r="L319" s="61">
        <v>110000611703</v>
      </c>
      <c r="M319" s="28" t="s">
        <v>253</v>
      </c>
      <c r="N319" s="28">
        <v>2821</v>
      </c>
      <c r="O319" s="28" t="str">
        <f>IFERROR(VLOOKUP(N319, 'SIC &amp; NAICS Codes'!A:B, 2, FALSE), "")</f>
        <v>Plastics Materials, Synthetic and Resins, and Nonvulcanizable Elastomers</v>
      </c>
      <c r="S319" s="28">
        <v>7.0369999999999999E-3</v>
      </c>
      <c r="T319" s="315">
        <f>_xlfn.MAXIFS('Raw Period DMR Data'!$O:$O,'Raw Period DMR Data'!$A:$A,'Raw Annual DMR Data_2021-2024'!#REF!,'Raw Period DMR Data'!$C:$C,X319)/S319</f>
        <v>0</v>
      </c>
      <c r="U319" s="28" t="str">
        <f>+IF(COUNTIFS('Raw Period DMR Data'!$A:$A,B319,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19" s="28" t="str" cm="1">
        <f t="array" ref="V319">IFERROR(INDEX('Raw Period DMR Data'!N:N,MATCH(1,(B319='Raw Period DMR Data'!$A:$A)*(U319='Raw Period DMR Data'!M:M)*(X319='Raw Period DMR Data'!C:C),0),1), "N/A")</f>
        <v>N/A</v>
      </c>
      <c r="W319" s="28" t="s">
        <v>1463</v>
      </c>
      <c r="X319" s="28" t="s">
        <v>945</v>
      </c>
      <c r="Y319" s="28" t="s">
        <v>946</v>
      </c>
      <c r="Z319" s="61">
        <v>3150101000005</v>
      </c>
      <c r="AB319" s="28" t="s">
        <v>7355</v>
      </c>
      <c r="AC319" s="28" t="s">
        <v>1466</v>
      </c>
    </row>
    <row r="320" spans="1:29" s="28" customFormat="1" x14ac:dyDescent="0.25">
      <c r="A320" s="61">
        <v>110000746211</v>
      </c>
      <c r="B320" s="28">
        <v>2021</v>
      </c>
      <c r="C320" s="68">
        <f t="shared" si="4"/>
        <v>44197</v>
      </c>
      <c r="D320" s="28" t="s">
        <v>1105</v>
      </c>
      <c r="E320" s="28" t="s">
        <v>7006</v>
      </c>
      <c r="F320" s="28" t="s">
        <v>1106</v>
      </c>
      <c r="G320" s="28" t="s">
        <v>345</v>
      </c>
      <c r="H320" s="28">
        <v>61953</v>
      </c>
      <c r="I320" s="28">
        <v>39.795811999999998</v>
      </c>
      <c r="J320" s="28">
        <v>-88.347945999999993</v>
      </c>
      <c r="K320" s="28" t="s">
        <v>714</v>
      </c>
      <c r="L320" s="61">
        <v>110000746211</v>
      </c>
      <c r="M320" s="28" t="s">
        <v>253</v>
      </c>
      <c r="N320" s="28">
        <v>2869</v>
      </c>
      <c r="O320" s="28" t="str">
        <f>IFERROR(VLOOKUP(N320, 'SIC &amp; NAICS Codes'!A:B, 2, FALSE), "")</f>
        <v>Industrial Organic Chemicals, NEC (aliphatics)</v>
      </c>
      <c r="S320" s="28">
        <v>5.1074999999999999</v>
      </c>
      <c r="T320" s="315">
        <f>_xlfn.MAXIFS('Raw Period DMR Data'!$O:$O,'Raw Period DMR Data'!$A:$A,'Raw Annual DMR Data_2021-2024'!B980,'Raw Period DMR Data'!$C:$C,X320)/S320</f>
        <v>0</v>
      </c>
      <c r="U320" s="28" t="str">
        <f>+IF(COUNTIFS('Raw Period DMR Data'!$A:$A,B320, 'Raw Period DMR Data'!C:C,'Raw Annual DMR Data_2021-2024'!X980, 'Raw Period DMR Data'!M:M, "&gt;0")&gt;0,_xlfn.MAXIFS('Raw Period DMR Data'!M:M,'Raw Period DMR Data'!$A:$A,'Raw Annual DMR Data_2021-2024'!B980,'Raw Period DMR Data'!C:C,'Raw Annual DMR Data_2021-2024'!X980), "N/A - Period DMR Data Not Available")</f>
        <v>N/A - Period DMR Data Not Available</v>
      </c>
      <c r="V320" s="28" t="str" cm="1">
        <f t="array" ref="V320">IFERROR(INDEX('Raw Period DMR Data'!N:N,MATCH(1,(B320='Raw Period DMR Data'!$A:$A)*(U320='Raw Period DMR Data'!M:M)*(X320='Raw Period DMR Data'!C:C),0),1), "N/A")</f>
        <v>N/A</v>
      </c>
      <c r="W320" s="28" t="s">
        <v>1463</v>
      </c>
      <c r="X320" s="28" t="s">
        <v>1736</v>
      </c>
      <c r="Y320" s="28" t="s">
        <v>7291</v>
      </c>
      <c r="Z320" s="61">
        <v>7140201000696</v>
      </c>
      <c r="AB320" s="28" t="s">
        <v>7355</v>
      </c>
      <c r="AC320" s="28" t="s">
        <v>1466</v>
      </c>
    </row>
    <row r="321" spans="1:29" s="28" customFormat="1" x14ac:dyDescent="0.25">
      <c r="A321" s="61">
        <v>110000746211</v>
      </c>
      <c r="B321" s="28">
        <v>2022</v>
      </c>
      <c r="C321" s="68">
        <f t="shared" si="4"/>
        <v>44562</v>
      </c>
      <c r="D321" s="28" t="s">
        <v>1105</v>
      </c>
      <c r="E321" s="28" t="s">
        <v>7006</v>
      </c>
      <c r="F321" s="28" t="s">
        <v>1106</v>
      </c>
      <c r="G321" s="28" t="s">
        <v>345</v>
      </c>
      <c r="H321" s="28">
        <v>61953</v>
      </c>
      <c r="I321" s="28">
        <v>39.795811999999998</v>
      </c>
      <c r="J321" s="28">
        <v>-88.347945999999993</v>
      </c>
      <c r="K321" s="28" t="s">
        <v>714</v>
      </c>
      <c r="L321" s="61">
        <v>110000746211</v>
      </c>
      <c r="M321" s="28" t="s">
        <v>253</v>
      </c>
      <c r="N321" s="28">
        <v>2869</v>
      </c>
      <c r="O321" s="28" t="str">
        <f>IFERROR(VLOOKUP(N321, 'SIC &amp; NAICS Codes'!A:B, 2, FALSE), "")</f>
        <v>Industrial Organic Chemicals, NEC (aliphatics)</v>
      </c>
      <c r="S321" s="28">
        <v>4.9631280000000002</v>
      </c>
      <c r="T321" s="315">
        <f>_xlfn.MAXIFS('Raw Period DMR Data'!$O:$O,'Raw Period DMR Data'!$A:$A,'Raw Annual DMR Data_2021-2024'!B982,'Raw Period DMR Data'!$C:$C,X321)/S321</f>
        <v>0</v>
      </c>
      <c r="U321" s="28" t="str">
        <f>+IF(COUNTIFS('Raw Period DMR Data'!$A:$A,B321, 'Raw Period DMR Data'!C:C,'Raw Annual DMR Data_2021-2024'!X982, 'Raw Period DMR Data'!M:M, "&gt;0")&gt;0,_xlfn.MAXIFS('Raw Period DMR Data'!M:M,'Raw Period DMR Data'!$A:$A,'Raw Annual DMR Data_2021-2024'!B982,'Raw Period DMR Data'!C:C,'Raw Annual DMR Data_2021-2024'!X982), "N/A - Period DMR Data Not Available")</f>
        <v>N/A - Period DMR Data Not Available</v>
      </c>
      <c r="V321" s="28" t="str" cm="1">
        <f t="array" ref="V321">IFERROR(INDEX('Raw Period DMR Data'!N:N,MATCH(1,(B321='Raw Period DMR Data'!$A:$A)*(U321='Raw Period DMR Data'!M:M)*(X321='Raw Period DMR Data'!C:C),0),1), "N/A")</f>
        <v>N/A</v>
      </c>
      <c r="W321" s="28" t="s">
        <v>1463</v>
      </c>
      <c r="X321" s="28" t="s">
        <v>1736</v>
      </c>
      <c r="Y321" s="28" t="s">
        <v>7291</v>
      </c>
      <c r="Z321" s="61">
        <v>7140201000696</v>
      </c>
      <c r="AA321" s="60"/>
      <c r="AB321" s="28" t="s">
        <v>7355</v>
      </c>
      <c r="AC321" s="28" t="s">
        <v>1466</v>
      </c>
    </row>
    <row r="322" spans="1:29" s="28" customFormat="1" x14ac:dyDescent="0.25">
      <c r="A322" s="61">
        <v>110000746211</v>
      </c>
      <c r="B322" s="28">
        <v>2024</v>
      </c>
      <c r="C322" s="68">
        <f t="shared" ref="C322:C385" si="5">DATE(B322, 1, 1)</f>
        <v>45292</v>
      </c>
      <c r="D322" s="28" t="s">
        <v>1105</v>
      </c>
      <c r="E322" s="28" t="s">
        <v>7006</v>
      </c>
      <c r="F322" s="28" t="s">
        <v>1106</v>
      </c>
      <c r="G322" s="28" t="s">
        <v>345</v>
      </c>
      <c r="H322" s="28">
        <v>61953</v>
      </c>
      <c r="I322" s="28">
        <v>39.795811999999998</v>
      </c>
      <c r="J322" s="28">
        <v>-88.347945999999993</v>
      </c>
      <c r="K322" s="28" t="s">
        <v>714</v>
      </c>
      <c r="L322" s="61">
        <v>110000746211</v>
      </c>
      <c r="M322" s="28" t="s">
        <v>253</v>
      </c>
      <c r="N322" s="28">
        <v>2869</v>
      </c>
      <c r="O322" s="28" t="str">
        <f>IFERROR(VLOOKUP(N322, 'SIC &amp; NAICS Codes'!A:B, 2, FALSE), "")</f>
        <v>Industrial Organic Chemicals, NEC (aliphatics)</v>
      </c>
      <c r="S322" s="28">
        <v>2.8710960000000001</v>
      </c>
      <c r="T322" s="315">
        <f>_xlfn.MAXIFS('Raw Period DMR Data'!$O:$O,'Raw Period DMR Data'!$A:$A,'Raw Annual DMR Data_2021-2024'!#REF!,'Raw Period DMR Data'!$C:$C,X322)/S322</f>
        <v>0</v>
      </c>
      <c r="U322" s="28" t="str">
        <f>+IF(COUNTIFS('Raw Period DMR Data'!$A:$A,B322,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22" s="28" t="str" cm="1">
        <f t="array" ref="V322">IFERROR(INDEX('Raw Period DMR Data'!N:N,MATCH(1,(B322='Raw Period DMR Data'!$A:$A)*(U322='Raw Period DMR Data'!M:M)*(X322='Raw Period DMR Data'!C:C),0),1), "N/A")</f>
        <v>N/A</v>
      </c>
      <c r="W322" s="28" t="s">
        <v>1463</v>
      </c>
      <c r="X322" s="28" t="s">
        <v>1736</v>
      </c>
      <c r="Y322" s="28" t="s">
        <v>7291</v>
      </c>
      <c r="Z322" s="61">
        <v>7140201000696</v>
      </c>
      <c r="AA322" s="60"/>
      <c r="AB322" s="28" t="s">
        <v>7355</v>
      </c>
      <c r="AC322" s="28" t="s">
        <v>1466</v>
      </c>
    </row>
    <row r="323" spans="1:29" s="28" customFormat="1" x14ac:dyDescent="0.25">
      <c r="A323" s="61">
        <v>110041022274</v>
      </c>
      <c r="B323" s="28">
        <v>2023</v>
      </c>
      <c r="C323" s="68">
        <f t="shared" si="5"/>
        <v>44927</v>
      </c>
      <c r="D323" s="28" t="s">
        <v>172</v>
      </c>
      <c r="E323" s="28" t="s">
        <v>558</v>
      </c>
      <c r="F323" s="28" t="s">
        <v>559</v>
      </c>
      <c r="G323" s="28" t="s">
        <v>338</v>
      </c>
      <c r="H323" s="28" t="s">
        <v>560</v>
      </c>
      <c r="I323" s="28">
        <v>39.766944000000002</v>
      </c>
      <c r="J323" s="28">
        <v>-75.421361000000005</v>
      </c>
      <c r="K323" s="28" t="s">
        <v>561</v>
      </c>
      <c r="L323" s="61">
        <v>110041022274</v>
      </c>
      <c r="M323" s="28" t="s">
        <v>253</v>
      </c>
      <c r="N323" s="28">
        <v>2821</v>
      </c>
      <c r="O323" s="28" t="str">
        <f>IFERROR(VLOOKUP(N323, 'SIC &amp; NAICS Codes'!A:B, 2, FALSE), "")</f>
        <v>Plastics Materials, Synthetic and Resins, and Nonvulcanizable Elastomers</v>
      </c>
      <c r="S323" s="28">
        <v>3.96E-5</v>
      </c>
      <c r="T323" s="315">
        <f>_xlfn.MAXIFS('Raw Period DMR Data'!$O:$O,'Raw Period DMR Data'!$A:$A,'Raw Annual DMR Data_2021-2024'!#REF!,'Raw Period DMR Data'!$C:$C,X323)/S323</f>
        <v>0</v>
      </c>
      <c r="U323" s="28" t="str">
        <f>+IF(COUNTIFS('Raw Period DMR Data'!$A:$A,B323,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23" s="28" t="str" cm="1">
        <f t="array" ref="V323">IFERROR(INDEX('Raw Period DMR Data'!N:N,MATCH(1,(B323='Raw Period DMR Data'!$A:$A)*(U323='Raw Period DMR Data'!M:M)*(X323='Raw Period DMR Data'!C:C),0),1), "N/A")</f>
        <v>N/A</v>
      </c>
      <c r="W323" s="28" t="s">
        <v>1463</v>
      </c>
      <c r="X323" s="28" t="s">
        <v>902</v>
      </c>
      <c r="Y323" s="28" t="s">
        <v>783</v>
      </c>
      <c r="Z323" s="61" t="s">
        <v>2011</v>
      </c>
      <c r="AA323" s="60"/>
      <c r="AB323" s="28" t="s">
        <v>7355</v>
      </c>
      <c r="AC323" s="28" t="s">
        <v>1466</v>
      </c>
    </row>
    <row r="324" spans="1:29" s="28" customFormat="1" x14ac:dyDescent="0.25">
      <c r="A324" s="61">
        <v>110041022274</v>
      </c>
      <c r="B324" s="28">
        <v>2024</v>
      </c>
      <c r="C324" s="68">
        <f t="shared" si="5"/>
        <v>45292</v>
      </c>
      <c r="D324" s="28" t="s">
        <v>172</v>
      </c>
      <c r="E324" s="28" t="s">
        <v>558</v>
      </c>
      <c r="F324" s="28" t="s">
        <v>559</v>
      </c>
      <c r="G324" s="28" t="s">
        <v>338</v>
      </c>
      <c r="H324" s="28" t="s">
        <v>560</v>
      </c>
      <c r="I324" s="28">
        <v>39.766944000000002</v>
      </c>
      <c r="J324" s="28">
        <v>-75.421361000000005</v>
      </c>
      <c r="K324" s="28" t="s">
        <v>561</v>
      </c>
      <c r="L324" s="61">
        <v>110041022274</v>
      </c>
      <c r="M324" s="28" t="s">
        <v>253</v>
      </c>
      <c r="N324" s="28">
        <v>2821</v>
      </c>
      <c r="O324" s="28" t="str">
        <f>IFERROR(VLOOKUP(N324, 'SIC &amp; NAICS Codes'!A:B, 2, FALSE), "")</f>
        <v>Plastics Materials, Synthetic and Resins, and Nonvulcanizable Elastomers</v>
      </c>
      <c r="S324" s="28">
        <v>3.15E-5</v>
      </c>
      <c r="T324" s="315">
        <f>_xlfn.MAXIFS('Raw Period DMR Data'!$O:$O,'Raw Period DMR Data'!$A:$A,'Raw Annual DMR Data_2021-2024'!#REF!,'Raw Period DMR Data'!$C:$C,X324)/S324</f>
        <v>0</v>
      </c>
      <c r="U324" s="28" t="str">
        <f>+IF(COUNTIFS('Raw Period DMR Data'!$A:$A,B324,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24" s="28" t="str" cm="1">
        <f t="array" ref="V324">IFERROR(INDEX('Raw Period DMR Data'!N:N,MATCH(1,(B324='Raw Period DMR Data'!$A:$A)*(U324='Raw Period DMR Data'!M:M)*(X324='Raw Period DMR Data'!C:C),0),1), "N/A")</f>
        <v>N/A</v>
      </c>
      <c r="W324" s="28" t="s">
        <v>1463</v>
      </c>
      <c r="X324" s="28" t="s">
        <v>902</v>
      </c>
      <c r="Y324" s="28" t="s">
        <v>783</v>
      </c>
      <c r="Z324" s="61">
        <v>2040206001666</v>
      </c>
      <c r="AA324" s="60"/>
      <c r="AB324" s="28" t="s">
        <v>7355</v>
      </c>
      <c r="AC324" s="28" t="s">
        <v>1466</v>
      </c>
    </row>
    <row r="325" spans="1:29" s="28" customFormat="1" x14ac:dyDescent="0.25">
      <c r="A325" s="61">
        <v>110041022274</v>
      </c>
      <c r="B325" s="28">
        <v>2022</v>
      </c>
      <c r="C325" s="68">
        <f t="shared" si="5"/>
        <v>44562</v>
      </c>
      <c r="D325" s="28" t="s">
        <v>172</v>
      </c>
      <c r="E325" s="28" t="s">
        <v>558</v>
      </c>
      <c r="F325" s="28" t="s">
        <v>559</v>
      </c>
      <c r="G325" s="28" t="s">
        <v>338</v>
      </c>
      <c r="H325" s="28" t="s">
        <v>560</v>
      </c>
      <c r="I325" s="28">
        <v>39.766944000000002</v>
      </c>
      <c r="J325" s="28">
        <v>-75.421361000000005</v>
      </c>
      <c r="K325" s="28" t="s">
        <v>561</v>
      </c>
      <c r="L325" s="61">
        <v>110041022274</v>
      </c>
      <c r="M325" s="28" t="s">
        <v>253</v>
      </c>
      <c r="N325" s="28">
        <v>2821</v>
      </c>
      <c r="O325" s="28" t="str">
        <f>IFERROR(VLOOKUP(N325, 'SIC &amp; NAICS Codes'!A:B, 2, FALSE), "")</f>
        <v>Plastics Materials, Synthetic and Resins, and Nonvulcanizable Elastomers</v>
      </c>
      <c r="S325" s="28">
        <v>2.0400000000000001E-5</v>
      </c>
      <c r="T325" s="315">
        <f>_xlfn.MAXIFS('Raw Period DMR Data'!$O:$O,'Raw Period DMR Data'!$A:$A,'Raw Annual DMR Data_2021-2024'!#REF!,'Raw Period DMR Data'!$C:$C,X325)/S325</f>
        <v>0</v>
      </c>
      <c r="U325" s="28" t="str">
        <f>+IF(COUNTIFS('Raw Period DMR Data'!$A:$A,B325,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25" s="28" t="str" cm="1">
        <f t="array" ref="V325">IFERROR(INDEX('Raw Period DMR Data'!N:N,MATCH(1,(B325='Raw Period DMR Data'!$A:$A)*(U325='Raw Period DMR Data'!M:M)*(X325='Raw Period DMR Data'!C:C),0),1), "N/A")</f>
        <v>N/A</v>
      </c>
      <c r="W325" s="28" t="s">
        <v>1463</v>
      </c>
      <c r="X325" s="28" t="s">
        <v>902</v>
      </c>
      <c r="Y325" s="28" t="s">
        <v>783</v>
      </c>
      <c r="Z325" s="61">
        <v>2040206001666</v>
      </c>
      <c r="AA325" s="60"/>
      <c r="AB325" s="28" t="s">
        <v>7355</v>
      </c>
      <c r="AC325" s="28" t="s">
        <v>1466</v>
      </c>
    </row>
    <row r="326" spans="1:29" s="28" customFormat="1" x14ac:dyDescent="0.25">
      <c r="A326" s="61">
        <v>110041022274</v>
      </c>
      <c r="B326" s="28">
        <v>2021</v>
      </c>
      <c r="C326" s="68">
        <f t="shared" si="5"/>
        <v>44197</v>
      </c>
      <c r="D326" s="28" t="s">
        <v>172</v>
      </c>
      <c r="E326" s="28" t="s">
        <v>558</v>
      </c>
      <c r="F326" s="28" t="s">
        <v>559</v>
      </c>
      <c r="G326" s="28" t="s">
        <v>338</v>
      </c>
      <c r="H326" s="28" t="s">
        <v>560</v>
      </c>
      <c r="I326" s="28">
        <v>39.766944000000002</v>
      </c>
      <c r="J326" s="28">
        <v>-75.421361000000005</v>
      </c>
      <c r="K326" s="28" t="s">
        <v>561</v>
      </c>
      <c r="L326" s="61">
        <v>110041022274</v>
      </c>
      <c r="M326" s="28" t="s">
        <v>253</v>
      </c>
      <c r="N326" s="28">
        <v>2821</v>
      </c>
      <c r="O326" s="28" t="str">
        <f>IFERROR(VLOOKUP(N326, 'SIC &amp; NAICS Codes'!A:B, 2, FALSE), "")</f>
        <v>Plastics Materials, Synthetic and Resins, and Nonvulcanizable Elastomers</v>
      </c>
      <c r="S326" s="28">
        <v>1.2E-5</v>
      </c>
      <c r="T326" s="315">
        <f>_xlfn.MAXIFS('Raw Period DMR Data'!$O:$O,'Raw Period DMR Data'!$A:$A,'Raw Annual DMR Data_2021-2024'!#REF!,'Raw Period DMR Data'!$C:$C,X326)/S326</f>
        <v>0</v>
      </c>
      <c r="U326" s="28" t="str">
        <f>+IF(COUNTIFS('Raw Period DMR Data'!$A:$A,B326,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26" s="28" t="str" cm="1">
        <f t="array" ref="V326">IFERROR(INDEX('Raw Period DMR Data'!N:N,MATCH(1,(B326='Raw Period DMR Data'!$A:$A)*(U326='Raw Period DMR Data'!M:M)*(X326='Raw Period DMR Data'!C:C),0),1), "N/A")</f>
        <v>N/A</v>
      </c>
      <c r="W326" s="28" t="s">
        <v>1463</v>
      </c>
      <c r="X326" s="28" t="s">
        <v>902</v>
      </c>
      <c r="Y326" s="28" t="s">
        <v>783</v>
      </c>
      <c r="Z326" s="61">
        <v>2040206001666</v>
      </c>
      <c r="AB326" s="28" t="s">
        <v>7355</v>
      </c>
      <c r="AC326" s="28" t="s">
        <v>1466</v>
      </c>
    </row>
    <row r="327" spans="1:29" s="28" customFormat="1" x14ac:dyDescent="0.25">
      <c r="A327" s="61">
        <v>110000547196</v>
      </c>
      <c r="B327" s="28">
        <v>2024</v>
      </c>
      <c r="C327" s="68">
        <f t="shared" si="5"/>
        <v>45292</v>
      </c>
      <c r="D327" s="28" t="s">
        <v>215</v>
      </c>
      <c r="E327" s="28" t="s">
        <v>2065</v>
      </c>
      <c r="F327" s="28" t="s">
        <v>1103</v>
      </c>
      <c r="G327" s="28" t="s">
        <v>345</v>
      </c>
      <c r="H327" s="28">
        <v>60450</v>
      </c>
      <c r="I327" s="28">
        <v>41.405655000000003</v>
      </c>
      <c r="J327" s="28">
        <v>-88.335212999999996</v>
      </c>
      <c r="K327" s="28" t="s">
        <v>727</v>
      </c>
      <c r="L327" s="61">
        <v>110000547196</v>
      </c>
      <c r="M327" s="28" t="s">
        <v>253</v>
      </c>
      <c r="N327" s="28">
        <v>2869</v>
      </c>
      <c r="O327" s="28" t="str">
        <f>IFERROR(VLOOKUP(N327, 'SIC &amp; NAICS Codes'!A:B, 2, FALSE), "")</f>
        <v>Industrial Organic Chemicals, NEC (aliphatics)</v>
      </c>
      <c r="S327" s="28">
        <v>0.53617400000000004</v>
      </c>
      <c r="T327" s="315">
        <f>_xlfn.MAXIFS('Raw Period DMR Data'!$O:$O,'Raw Period DMR Data'!$A:$A,'Raw Annual DMR Data_2021-2024'!#REF!,'Raw Period DMR Data'!$C:$C,X327)/S327</f>
        <v>0</v>
      </c>
      <c r="U327" s="28" t="str">
        <f>+IF(COUNTIFS('Raw Period DMR Data'!$A:$A,B327,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27" s="28" t="str" cm="1">
        <f t="array" ref="V327">IFERROR(INDEX('Raw Period DMR Data'!N:N,MATCH(1,(B327='Raw Period DMR Data'!$A:$A)*(U327='Raw Period DMR Data'!M:M)*(X327='Raw Period DMR Data'!C:C),0),1), "N/A")</f>
        <v>N/A</v>
      </c>
      <c r="W327" s="28" t="s">
        <v>1463</v>
      </c>
      <c r="X327" s="28" t="s">
        <v>2067</v>
      </c>
      <c r="Y327" s="28" t="s">
        <v>2068</v>
      </c>
      <c r="Z327" s="61">
        <v>7120005000849</v>
      </c>
      <c r="AA327" s="60"/>
      <c r="AB327" s="28" t="s">
        <v>7355</v>
      </c>
      <c r="AC327" s="28" t="s">
        <v>1466</v>
      </c>
    </row>
    <row r="328" spans="1:29" s="28" customFormat="1" x14ac:dyDescent="0.25">
      <c r="A328" s="61">
        <v>110000547196</v>
      </c>
      <c r="B328" s="28">
        <v>2022</v>
      </c>
      <c r="C328" s="68">
        <f t="shared" si="5"/>
        <v>44562</v>
      </c>
      <c r="D328" s="28" t="s">
        <v>215</v>
      </c>
      <c r="E328" s="28" t="s">
        <v>2065</v>
      </c>
      <c r="F328" s="28" t="s">
        <v>1103</v>
      </c>
      <c r="G328" s="28" t="s">
        <v>345</v>
      </c>
      <c r="H328" s="28">
        <v>60450</v>
      </c>
      <c r="I328" s="28">
        <v>41.405655000000003</v>
      </c>
      <c r="J328" s="28">
        <v>-88.335212999999996</v>
      </c>
      <c r="K328" s="28" t="s">
        <v>727</v>
      </c>
      <c r="L328" s="61">
        <v>110000547196</v>
      </c>
      <c r="M328" s="28" t="s">
        <v>253</v>
      </c>
      <c r="N328" s="28">
        <v>2869</v>
      </c>
      <c r="O328" s="28" t="str">
        <f>IFERROR(VLOOKUP(N328, 'SIC &amp; NAICS Codes'!A:B, 2, FALSE), "")</f>
        <v>Industrial Organic Chemicals, NEC (aliphatics)</v>
      </c>
      <c r="S328" s="28">
        <v>8.6459759999999997E-2</v>
      </c>
      <c r="T328" s="315">
        <f>_xlfn.MAXIFS('Raw Period DMR Data'!$O:$O,'Raw Period DMR Data'!$A:$A,'Raw Annual DMR Data_2021-2024'!#REF!,'Raw Period DMR Data'!$C:$C,X328)/S328</f>
        <v>0</v>
      </c>
      <c r="U328" s="28" t="str">
        <f>+IF(COUNTIFS('Raw Period DMR Data'!$A:$A,B328,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28" s="28" t="str" cm="1">
        <f t="array" ref="V328">IFERROR(INDEX('Raw Period DMR Data'!N:N,MATCH(1,(B328='Raw Period DMR Data'!$A:$A)*(U328='Raw Period DMR Data'!M:M)*(X328='Raw Period DMR Data'!C:C),0),1), "N/A")</f>
        <v>N/A</v>
      </c>
      <c r="W328" s="28" t="s">
        <v>1463</v>
      </c>
      <c r="X328" s="28" t="s">
        <v>2067</v>
      </c>
      <c r="Y328" s="28" t="s">
        <v>2068</v>
      </c>
      <c r="Z328" s="61">
        <v>7120005000849</v>
      </c>
      <c r="AA328" s="60"/>
      <c r="AB328" s="28" t="s">
        <v>7355</v>
      </c>
      <c r="AC328" s="28" t="s">
        <v>1466</v>
      </c>
    </row>
    <row r="329" spans="1:29" s="28" customFormat="1" x14ac:dyDescent="0.25">
      <c r="A329" s="61">
        <v>110000547196</v>
      </c>
      <c r="B329" s="28">
        <v>2021</v>
      </c>
      <c r="C329" s="68">
        <f t="shared" si="5"/>
        <v>44197</v>
      </c>
      <c r="D329" s="28" t="s">
        <v>215</v>
      </c>
      <c r="E329" s="28" t="s">
        <v>2065</v>
      </c>
      <c r="F329" s="28" t="s">
        <v>1103</v>
      </c>
      <c r="G329" s="28" t="s">
        <v>345</v>
      </c>
      <c r="H329" s="28">
        <v>60450</v>
      </c>
      <c r="I329" s="28">
        <v>41.405655000000003</v>
      </c>
      <c r="J329" s="28">
        <v>-88.335212999999996</v>
      </c>
      <c r="K329" s="28" t="s">
        <v>727</v>
      </c>
      <c r="L329" s="61">
        <v>110000547196</v>
      </c>
      <c r="M329" s="28" t="s">
        <v>253</v>
      </c>
      <c r="N329" s="28">
        <v>2869</v>
      </c>
      <c r="O329" s="28" t="str">
        <f>IFERROR(VLOOKUP(N329, 'SIC &amp; NAICS Codes'!A:B, 2, FALSE), "")</f>
        <v>Industrial Organic Chemicals, NEC (aliphatics)</v>
      </c>
      <c r="S329" s="28">
        <v>5.977818E-2</v>
      </c>
      <c r="T329" s="315">
        <f>_xlfn.MAXIFS('Raw Period DMR Data'!$O:$O,'Raw Period DMR Data'!$A:$A,'Raw Annual DMR Data_2021-2024'!#REF!,'Raw Period DMR Data'!$C:$C,X329)/S329</f>
        <v>0</v>
      </c>
      <c r="U329" s="28" t="str">
        <f>+IF(COUNTIFS('Raw Period DMR Data'!$A:$A,B329,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29" s="28" t="str" cm="1">
        <f t="array" ref="V329">IFERROR(INDEX('Raw Period DMR Data'!N:N,MATCH(1,(B329='Raw Period DMR Data'!$A:$A)*(U329='Raw Period DMR Data'!M:M)*(X329='Raw Period DMR Data'!C:C),0),1), "N/A")</f>
        <v>N/A</v>
      </c>
      <c r="W329" s="28" t="s">
        <v>1463</v>
      </c>
      <c r="X329" s="28" t="s">
        <v>2067</v>
      </c>
      <c r="Y329" s="28" t="s">
        <v>2068</v>
      </c>
      <c r="Z329" s="61">
        <v>7120005000849</v>
      </c>
      <c r="AB329" s="28" t="s">
        <v>7355</v>
      </c>
      <c r="AC329" s="28" t="s">
        <v>1466</v>
      </c>
    </row>
    <row r="330" spans="1:29" s="28" customFormat="1" x14ac:dyDescent="0.25">
      <c r="A330" s="61">
        <v>110000547196</v>
      </c>
      <c r="B330" s="28">
        <v>2023</v>
      </c>
      <c r="C330" s="68">
        <f t="shared" si="5"/>
        <v>44927</v>
      </c>
      <c r="D330" s="28" t="s">
        <v>215</v>
      </c>
      <c r="E330" s="28" t="s">
        <v>2065</v>
      </c>
      <c r="F330" s="28" t="s">
        <v>1103</v>
      </c>
      <c r="G330" s="28" t="s">
        <v>345</v>
      </c>
      <c r="H330" s="28">
        <v>60450</v>
      </c>
      <c r="I330" s="28">
        <v>41.405655000000003</v>
      </c>
      <c r="J330" s="28">
        <v>-88.335212999999996</v>
      </c>
      <c r="K330" s="28" t="s">
        <v>727</v>
      </c>
      <c r="L330" s="61">
        <v>110000547196</v>
      </c>
      <c r="M330" s="28" t="s">
        <v>253</v>
      </c>
      <c r="N330" s="28">
        <v>2869</v>
      </c>
      <c r="O330" s="28" t="str">
        <f>IFERROR(VLOOKUP(N330, 'SIC &amp; NAICS Codes'!A:B, 2, FALSE), "")</f>
        <v>Industrial Organic Chemicals, NEC (aliphatics)</v>
      </c>
      <c r="S330" s="28">
        <v>5.7698859999999998E-2</v>
      </c>
      <c r="T330" s="315">
        <f>_xlfn.MAXIFS('Raw Period DMR Data'!$O:$O,'Raw Period DMR Data'!$A:$A,'Raw Annual DMR Data_2021-2024'!#REF!,'Raw Period DMR Data'!$C:$C,X330)/S330</f>
        <v>0</v>
      </c>
      <c r="U330" s="28" t="str">
        <f>+IF(COUNTIFS('Raw Period DMR Data'!$A:$A,B330,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30" s="28" t="str" cm="1">
        <f t="array" ref="V330">IFERROR(INDEX('Raw Period DMR Data'!N:N,MATCH(1,(B330='Raw Period DMR Data'!$A:$A)*(U330='Raw Period DMR Data'!M:M)*(X330='Raw Period DMR Data'!C:C),0),1), "N/A")</f>
        <v>N/A</v>
      </c>
      <c r="W330" s="28" t="s">
        <v>1463</v>
      </c>
      <c r="X330" s="28" t="s">
        <v>2067</v>
      </c>
      <c r="Y330" s="28" t="s">
        <v>2068</v>
      </c>
      <c r="Z330" s="61" t="s">
        <v>2069</v>
      </c>
      <c r="AA330" s="60"/>
      <c r="AB330" s="28" t="s">
        <v>7355</v>
      </c>
      <c r="AC330" s="28" t="s">
        <v>1466</v>
      </c>
    </row>
    <row r="331" spans="1:29" s="28" customFormat="1" x14ac:dyDescent="0.25">
      <c r="A331" s="61">
        <v>110043782788</v>
      </c>
      <c r="B331" s="28">
        <v>2021</v>
      </c>
      <c r="C331" s="68">
        <f t="shared" si="5"/>
        <v>44197</v>
      </c>
      <c r="D331" s="28" t="s">
        <v>179</v>
      </c>
      <c r="E331" s="28" t="s">
        <v>6970</v>
      </c>
      <c r="F331" s="28" t="s">
        <v>590</v>
      </c>
      <c r="G331" s="28" t="s">
        <v>362</v>
      </c>
      <c r="H331" s="28">
        <v>77536</v>
      </c>
      <c r="I331" s="28">
        <v>29.726130000000001</v>
      </c>
      <c r="J331" s="28">
        <v>-95.108019999999996</v>
      </c>
      <c r="K331" s="28" t="s">
        <v>591</v>
      </c>
      <c r="L331" s="61">
        <v>110043782788</v>
      </c>
      <c r="M331" s="28" t="s">
        <v>253</v>
      </c>
      <c r="N331" s="28">
        <v>2869</v>
      </c>
      <c r="O331" s="28" t="str">
        <f>IFERROR(VLOOKUP(N331, 'SIC &amp; NAICS Codes'!A:B, 2, FALSE), "")</f>
        <v>Industrial Organic Chemicals, NEC (aliphatics)</v>
      </c>
      <c r="S331" s="28">
        <v>53.641776999999998</v>
      </c>
      <c r="T331" s="315">
        <f>_xlfn.MAXIFS('Raw Period DMR Data'!$O:$O,'Raw Period DMR Data'!$A:$A,'Raw Annual DMR Data_2021-2024'!B884,'Raw Period DMR Data'!$C:$C,X331)/S331</f>
        <v>0</v>
      </c>
      <c r="U331" s="28" t="str">
        <f>+IF(COUNTIFS('Raw Period DMR Data'!$A:$A,B331, 'Raw Period DMR Data'!C:C,'Raw Annual DMR Data_2021-2024'!X884, 'Raw Period DMR Data'!M:M, "&gt;0")&gt;0,_xlfn.MAXIFS('Raw Period DMR Data'!M:M,'Raw Period DMR Data'!$A:$A,'Raw Annual DMR Data_2021-2024'!B884,'Raw Period DMR Data'!C:C,'Raw Annual DMR Data_2021-2024'!X884), "N/A - Period DMR Data Not Available")</f>
        <v>N/A - Period DMR Data Not Available</v>
      </c>
      <c r="V331" s="28" t="str" cm="1">
        <f t="array" ref="V331">IFERROR(INDEX('Raw Period DMR Data'!N:N,MATCH(1,(B331='Raw Period DMR Data'!$A:$A)*(U331='Raw Period DMR Data'!M:M)*(X331='Raw Period DMR Data'!C:C),0),1), "N/A")</f>
        <v>N/A</v>
      </c>
      <c r="W331" s="28" t="s">
        <v>1463</v>
      </c>
      <c r="X331" s="28" t="s">
        <v>913</v>
      </c>
      <c r="Y331" s="28" t="s">
        <v>7273</v>
      </c>
      <c r="Z331" s="61">
        <v>12040104000662</v>
      </c>
      <c r="AC331" s="28" t="s">
        <v>1466</v>
      </c>
    </row>
    <row r="332" spans="1:29" s="28" customFormat="1" x14ac:dyDescent="0.25">
      <c r="A332" s="61">
        <v>110043782788</v>
      </c>
      <c r="B332" s="28">
        <v>2024</v>
      </c>
      <c r="C332" s="68">
        <f t="shared" si="5"/>
        <v>45292</v>
      </c>
      <c r="D332" s="28" t="s">
        <v>179</v>
      </c>
      <c r="E332" s="28" t="s">
        <v>6970</v>
      </c>
      <c r="F332" s="28" t="s">
        <v>590</v>
      </c>
      <c r="G332" s="28" t="s">
        <v>362</v>
      </c>
      <c r="H332" s="28">
        <v>77536</v>
      </c>
      <c r="I332" s="28">
        <v>29.726130000000001</v>
      </c>
      <c r="J332" s="28">
        <v>-95.108019999999996</v>
      </c>
      <c r="K332" s="28" t="s">
        <v>591</v>
      </c>
      <c r="L332" s="61">
        <v>110043782788</v>
      </c>
      <c r="M332" s="28" t="s">
        <v>253</v>
      </c>
      <c r="N332" s="28">
        <v>2869</v>
      </c>
      <c r="O332" s="28" t="str">
        <f>IFERROR(VLOOKUP(N332, 'SIC &amp; NAICS Codes'!A:B, 2, FALSE), "")</f>
        <v>Industrial Organic Chemicals, NEC (aliphatics)</v>
      </c>
      <c r="S332" s="28">
        <v>53.214072000000002</v>
      </c>
      <c r="T332" s="315">
        <f>_xlfn.MAXIFS('Raw Period DMR Data'!$O:$O,'Raw Period DMR Data'!$A:$A,'Raw Annual DMR Data_2021-2024'!B885,'Raw Period DMR Data'!$C:$C,X332)/S332</f>
        <v>0</v>
      </c>
      <c r="U332" s="28" t="str">
        <f>+IF(COUNTIFS('Raw Period DMR Data'!$A:$A,B332, 'Raw Period DMR Data'!C:C,'Raw Annual DMR Data_2021-2024'!X885, 'Raw Period DMR Data'!M:M, "&gt;0")&gt;0,_xlfn.MAXIFS('Raw Period DMR Data'!M:M,'Raw Period DMR Data'!$A:$A,'Raw Annual DMR Data_2021-2024'!B885,'Raw Period DMR Data'!C:C,'Raw Annual DMR Data_2021-2024'!X885), "N/A - Period DMR Data Not Available")</f>
        <v>N/A - Period DMR Data Not Available</v>
      </c>
      <c r="V332" s="28" t="str" cm="1">
        <f t="array" ref="V332">IFERROR(INDEX('Raw Period DMR Data'!N:N,MATCH(1,(B332='Raw Period DMR Data'!$A:$A)*(U332='Raw Period DMR Data'!M:M)*(X332='Raw Period DMR Data'!C:C),0),1), "N/A")</f>
        <v>N/A</v>
      </c>
      <c r="W332" s="28" t="s">
        <v>1463</v>
      </c>
      <c r="X332" s="28" t="s">
        <v>913</v>
      </c>
      <c r="Y332" s="28" t="s">
        <v>7273</v>
      </c>
      <c r="Z332" s="61">
        <v>12040104000662</v>
      </c>
      <c r="AA332" s="60"/>
      <c r="AC332" s="28" t="s">
        <v>1466</v>
      </c>
    </row>
    <row r="333" spans="1:29" s="28" customFormat="1" x14ac:dyDescent="0.25">
      <c r="A333" s="61">
        <v>110043782788</v>
      </c>
      <c r="B333" s="28">
        <v>2023</v>
      </c>
      <c r="C333" s="68">
        <f t="shared" si="5"/>
        <v>44927</v>
      </c>
      <c r="D333" s="28" t="s">
        <v>179</v>
      </c>
      <c r="E333" s="28" t="s">
        <v>6970</v>
      </c>
      <c r="F333" s="28" t="s">
        <v>590</v>
      </c>
      <c r="G333" s="28" t="s">
        <v>362</v>
      </c>
      <c r="H333" s="28">
        <v>77536</v>
      </c>
      <c r="I333" s="28">
        <v>29.726130000000001</v>
      </c>
      <c r="J333" s="28">
        <v>-95.108019999999996</v>
      </c>
      <c r="K333" s="28" t="s">
        <v>591</v>
      </c>
      <c r="L333" s="61">
        <v>110043782788</v>
      </c>
      <c r="M333" s="28" t="s">
        <v>253</v>
      </c>
      <c r="N333" s="28">
        <v>2869</v>
      </c>
      <c r="O333" s="28" t="str">
        <f>IFERROR(VLOOKUP(N333, 'SIC &amp; NAICS Codes'!A:B, 2, FALSE), "")</f>
        <v>Industrial Organic Chemicals, NEC (aliphatics)</v>
      </c>
      <c r="S333" s="28">
        <v>39.070284000000001</v>
      </c>
      <c r="T333" s="315">
        <f>_xlfn.MAXIFS('Raw Period DMR Data'!$O:$O,'Raw Period DMR Data'!$A:$A,'Raw Annual DMR Data_2021-2024'!B891,'Raw Period DMR Data'!$C:$C,X333)/S333</f>
        <v>0</v>
      </c>
      <c r="U333" s="28" t="str">
        <f>+IF(COUNTIFS('Raw Period DMR Data'!$A:$A,B333, 'Raw Period DMR Data'!C:C,'Raw Annual DMR Data_2021-2024'!X891, 'Raw Period DMR Data'!M:M, "&gt;0")&gt;0,_xlfn.MAXIFS('Raw Period DMR Data'!M:M,'Raw Period DMR Data'!$A:$A,'Raw Annual DMR Data_2021-2024'!B891,'Raw Period DMR Data'!C:C,'Raw Annual DMR Data_2021-2024'!X891), "N/A - Period DMR Data Not Available")</f>
        <v>N/A - Period DMR Data Not Available</v>
      </c>
      <c r="V333" s="28" t="str" cm="1">
        <f t="array" ref="V333">IFERROR(INDEX('Raw Period DMR Data'!N:N,MATCH(1,(B333='Raw Period DMR Data'!$A:$A)*(U333='Raw Period DMR Data'!M:M)*(X333='Raw Period DMR Data'!C:C),0),1), "N/A")</f>
        <v>N/A</v>
      </c>
      <c r="W333" s="28" t="s">
        <v>1463</v>
      </c>
      <c r="X333" s="28" t="s">
        <v>913</v>
      </c>
      <c r="Y333" s="28" t="s">
        <v>7273</v>
      </c>
      <c r="Z333" s="61">
        <v>12040104000662</v>
      </c>
      <c r="AA333" s="60"/>
      <c r="AC333" s="28" t="s">
        <v>1466</v>
      </c>
    </row>
    <row r="334" spans="1:29" s="28" customFormat="1" x14ac:dyDescent="0.25">
      <c r="A334" s="61">
        <v>110000403670</v>
      </c>
      <c r="B334" s="28">
        <v>2021</v>
      </c>
      <c r="C334" s="68">
        <f t="shared" si="5"/>
        <v>44197</v>
      </c>
      <c r="D334" s="28" t="s">
        <v>1325</v>
      </c>
      <c r="E334" s="28" t="s">
        <v>2179</v>
      </c>
      <c r="F334" s="28" t="s">
        <v>1326</v>
      </c>
      <c r="G334" s="28" t="s">
        <v>469</v>
      </c>
      <c r="H334" s="28">
        <v>47620</v>
      </c>
      <c r="I334" s="28">
        <v>37.907200000000003</v>
      </c>
      <c r="J334" s="28">
        <v>-87.927099999999996</v>
      </c>
      <c r="K334" s="28" t="s">
        <v>732</v>
      </c>
      <c r="L334" s="61">
        <v>110000403670</v>
      </c>
      <c r="M334" s="28" t="s">
        <v>253</v>
      </c>
      <c r="N334" s="28">
        <v>2821</v>
      </c>
      <c r="O334" s="28" t="str">
        <f>IFERROR(VLOOKUP(N334, 'SIC &amp; NAICS Codes'!A:B, 2, FALSE), "")</f>
        <v>Plastics Materials, Synthetic and Resins, and Nonvulcanizable Elastomers</v>
      </c>
      <c r="S334" s="28">
        <v>8.3536000000000001</v>
      </c>
      <c r="T334" s="315">
        <f>_xlfn.MAXIFS('Raw Period DMR Data'!$O:$O,'Raw Period DMR Data'!$A:$A,'Raw Annual DMR Data_2021-2024'!B958,'Raw Period DMR Data'!$C:$C,X334)/S334</f>
        <v>0</v>
      </c>
      <c r="U334" s="28" t="str">
        <f>+IF(COUNTIFS('Raw Period DMR Data'!$A:$A,B334, 'Raw Period DMR Data'!C:C,'Raw Annual DMR Data_2021-2024'!X958, 'Raw Period DMR Data'!M:M, "&gt;0")&gt;0,_xlfn.MAXIFS('Raw Period DMR Data'!M:M,'Raw Period DMR Data'!$A:$A,'Raw Annual DMR Data_2021-2024'!B958,'Raw Period DMR Data'!C:C,'Raw Annual DMR Data_2021-2024'!X958), "N/A - Period DMR Data Not Available")</f>
        <v>N/A - Period DMR Data Not Available</v>
      </c>
      <c r="V334" s="28" t="str" cm="1">
        <f t="array" ref="V334">IFERROR(INDEX('Raw Period DMR Data'!N:N,MATCH(1,(B334='Raw Period DMR Data'!$A:$A)*(U334='Raw Period DMR Data'!M:M)*(X334='Raw Period DMR Data'!C:C),0),1), "N/A")</f>
        <v>N/A</v>
      </c>
      <c r="W334" s="28" t="s">
        <v>1463</v>
      </c>
      <c r="X334" s="28" t="s">
        <v>2180</v>
      </c>
      <c r="Y334" s="28" t="s">
        <v>830</v>
      </c>
      <c r="Z334" s="61">
        <v>5140202000333</v>
      </c>
      <c r="AA334" s="60"/>
      <c r="AB334" s="28" t="s">
        <v>7355</v>
      </c>
      <c r="AC334" s="28" t="s">
        <v>1466</v>
      </c>
    </row>
    <row r="335" spans="1:29" s="28" customFormat="1" x14ac:dyDescent="0.25">
      <c r="A335" s="61">
        <v>110000403670</v>
      </c>
      <c r="B335" s="28">
        <v>2022</v>
      </c>
      <c r="C335" s="68">
        <f t="shared" si="5"/>
        <v>44562</v>
      </c>
      <c r="D335" s="28" t="s">
        <v>1325</v>
      </c>
      <c r="E335" s="28" t="s">
        <v>2179</v>
      </c>
      <c r="F335" s="28" t="s">
        <v>1326</v>
      </c>
      <c r="G335" s="28" t="s">
        <v>469</v>
      </c>
      <c r="H335" s="28">
        <v>47620</v>
      </c>
      <c r="I335" s="28">
        <v>37.907200000000003</v>
      </c>
      <c r="J335" s="28">
        <v>-87.927099999999996</v>
      </c>
      <c r="K335" s="28" t="s">
        <v>732</v>
      </c>
      <c r="L335" s="61">
        <v>110000403670</v>
      </c>
      <c r="M335" s="28" t="s">
        <v>253</v>
      </c>
      <c r="N335" s="28">
        <v>2821</v>
      </c>
      <c r="O335" s="28" t="str">
        <f>IFERROR(VLOOKUP(N335, 'SIC &amp; NAICS Codes'!A:B, 2, FALSE), "")</f>
        <v>Plastics Materials, Synthetic and Resins, and Nonvulcanizable Elastomers</v>
      </c>
      <c r="S335" s="28">
        <v>6.6828799999999999</v>
      </c>
      <c r="T335" s="315">
        <f>_xlfn.MAXIFS('Raw Period DMR Data'!$O:$O,'Raw Period DMR Data'!$A:$A,'Raw Annual DMR Data_2021-2024'!B968,'Raw Period DMR Data'!$C:$C,X335)/S335</f>
        <v>0</v>
      </c>
      <c r="U335" s="28" t="str">
        <f>+IF(COUNTIFS('Raw Period DMR Data'!$A:$A,B335, 'Raw Period DMR Data'!C:C,'Raw Annual DMR Data_2021-2024'!X968, 'Raw Period DMR Data'!M:M, "&gt;0")&gt;0,_xlfn.MAXIFS('Raw Period DMR Data'!M:M,'Raw Period DMR Data'!$A:$A,'Raw Annual DMR Data_2021-2024'!B968,'Raw Period DMR Data'!C:C,'Raw Annual DMR Data_2021-2024'!X968), "N/A - Period DMR Data Not Available")</f>
        <v>N/A - Period DMR Data Not Available</v>
      </c>
      <c r="V335" s="28" t="str" cm="1">
        <f t="array" ref="V335">IFERROR(INDEX('Raw Period DMR Data'!N:N,MATCH(1,(B335='Raw Period DMR Data'!$A:$A)*(U335='Raw Period DMR Data'!M:M)*(X335='Raw Period DMR Data'!C:C),0),1), "N/A")</f>
        <v>N/A</v>
      </c>
      <c r="W335" s="28" t="s">
        <v>1463</v>
      </c>
      <c r="X335" s="28" t="s">
        <v>2180</v>
      </c>
      <c r="Y335" s="28" t="s">
        <v>830</v>
      </c>
      <c r="Z335" s="61">
        <v>5140202000333</v>
      </c>
      <c r="AA335" s="60"/>
      <c r="AB335" s="28" t="s">
        <v>7355</v>
      </c>
      <c r="AC335" s="28" t="s">
        <v>1466</v>
      </c>
    </row>
    <row r="336" spans="1:29" s="28" customFormat="1" x14ac:dyDescent="0.25">
      <c r="A336" s="61">
        <v>110000403670</v>
      </c>
      <c r="B336" s="28">
        <v>2024</v>
      </c>
      <c r="C336" s="68">
        <f t="shared" si="5"/>
        <v>45292</v>
      </c>
      <c r="D336" s="28" t="s">
        <v>1325</v>
      </c>
      <c r="E336" s="28" t="s">
        <v>2179</v>
      </c>
      <c r="F336" s="28" t="s">
        <v>1326</v>
      </c>
      <c r="G336" s="28" t="s">
        <v>469</v>
      </c>
      <c r="H336" s="28">
        <v>47620</v>
      </c>
      <c r="I336" s="28">
        <v>37.907200000000003</v>
      </c>
      <c r="J336" s="28">
        <v>-87.927099999999996</v>
      </c>
      <c r="K336" s="28" t="s">
        <v>732</v>
      </c>
      <c r="L336" s="61">
        <v>110000403670</v>
      </c>
      <c r="M336" s="28" t="s">
        <v>253</v>
      </c>
      <c r="N336" s="28">
        <v>2821</v>
      </c>
      <c r="O336" s="28" t="str">
        <f>IFERROR(VLOOKUP(N336, 'SIC &amp; NAICS Codes'!A:B, 2, FALSE), "")</f>
        <v>Plastics Materials, Synthetic and Resins, and Nonvulcanizable Elastomers</v>
      </c>
      <c r="S336" s="28">
        <v>4.1427500000000004</v>
      </c>
      <c r="T336" s="315">
        <f>_xlfn.MAXIFS('Raw Period DMR Data'!$O:$O,'Raw Period DMR Data'!$A:$A,'Raw Annual DMR Data_2021-2024'!B990,'Raw Period DMR Data'!$C:$C,X336)/S336</f>
        <v>0</v>
      </c>
      <c r="U336" s="28" t="str">
        <f>+IF(COUNTIFS('Raw Period DMR Data'!$A:$A,B336, 'Raw Period DMR Data'!C:C,'Raw Annual DMR Data_2021-2024'!X990, 'Raw Period DMR Data'!M:M, "&gt;0")&gt;0,_xlfn.MAXIFS('Raw Period DMR Data'!M:M,'Raw Period DMR Data'!$A:$A,'Raw Annual DMR Data_2021-2024'!B990,'Raw Period DMR Data'!C:C,'Raw Annual DMR Data_2021-2024'!X990), "N/A - Period DMR Data Not Available")</f>
        <v>N/A - Period DMR Data Not Available</v>
      </c>
      <c r="V336" s="28" t="str" cm="1">
        <f t="array" ref="V336">IFERROR(INDEX('Raw Period DMR Data'!N:N,MATCH(1,(B336='Raw Period DMR Data'!$A:$A)*(U336='Raw Period DMR Data'!M:M)*(X336='Raw Period DMR Data'!C:C),0),1), "N/A")</f>
        <v>N/A</v>
      </c>
      <c r="W336" s="28" t="s">
        <v>1463</v>
      </c>
      <c r="X336" s="28" t="s">
        <v>2180</v>
      </c>
      <c r="Y336" s="28" t="s">
        <v>830</v>
      </c>
      <c r="Z336" s="61">
        <v>5140202000333</v>
      </c>
      <c r="AA336" s="60"/>
      <c r="AB336" s="28" t="s">
        <v>7355</v>
      </c>
      <c r="AC336" s="28" t="s">
        <v>1466</v>
      </c>
    </row>
    <row r="337" spans="1:29" s="28" customFormat="1" x14ac:dyDescent="0.25">
      <c r="A337" s="61">
        <v>110000403670</v>
      </c>
      <c r="B337" s="28">
        <v>2023</v>
      </c>
      <c r="C337" s="68">
        <f t="shared" si="5"/>
        <v>44927</v>
      </c>
      <c r="D337" s="28" t="s">
        <v>1325</v>
      </c>
      <c r="E337" s="28" t="s">
        <v>2179</v>
      </c>
      <c r="F337" s="28" t="s">
        <v>1326</v>
      </c>
      <c r="G337" s="28" t="s">
        <v>469</v>
      </c>
      <c r="H337" s="28">
        <v>47620</v>
      </c>
      <c r="I337" s="28">
        <v>37.907200000000003</v>
      </c>
      <c r="J337" s="28">
        <v>-87.927099999999996</v>
      </c>
      <c r="K337" s="28" t="s">
        <v>732</v>
      </c>
      <c r="L337" s="61">
        <v>110000403670</v>
      </c>
      <c r="M337" s="28" t="s">
        <v>253</v>
      </c>
      <c r="N337" s="28">
        <v>2821</v>
      </c>
      <c r="O337" s="28" t="str">
        <f>IFERROR(VLOOKUP(N337, 'SIC &amp; NAICS Codes'!A:B, 2, FALSE), "")</f>
        <v>Plastics Materials, Synthetic and Resins, and Nonvulcanizable Elastomers</v>
      </c>
      <c r="S337" s="28">
        <v>3.34144</v>
      </c>
      <c r="T337" s="315">
        <f>_xlfn.MAXIFS('Raw Period DMR Data'!$O:$O,'Raw Period DMR Data'!$A:$A,'Raw Annual DMR Data_2021-2024'!#REF!,'Raw Period DMR Data'!$C:$C,X337)/S337</f>
        <v>0</v>
      </c>
      <c r="U337" s="28" t="str">
        <f>+IF(COUNTIFS('Raw Period DMR Data'!$A:$A,B337,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37" s="28" t="str" cm="1">
        <f t="array" ref="V337">IFERROR(INDEX('Raw Period DMR Data'!N:N,MATCH(1,(B337='Raw Period DMR Data'!$A:$A)*(U337='Raw Period DMR Data'!M:M)*(X337='Raw Period DMR Data'!C:C),0),1), "N/A")</f>
        <v>N/A</v>
      </c>
      <c r="W337" s="28" t="s">
        <v>1463</v>
      </c>
      <c r="X337" s="28" t="s">
        <v>2180</v>
      </c>
      <c r="Y337" s="28" t="s">
        <v>830</v>
      </c>
      <c r="Z337" s="61" t="s">
        <v>2181</v>
      </c>
      <c r="AA337" s="60"/>
      <c r="AB337" s="28" t="s">
        <v>7355</v>
      </c>
      <c r="AC337" s="28" t="s">
        <v>1466</v>
      </c>
    </row>
    <row r="338" spans="1:29" s="28" customFormat="1" x14ac:dyDescent="0.25">
      <c r="A338" s="61">
        <v>110013317614</v>
      </c>
      <c r="B338" s="28">
        <v>2024</v>
      </c>
      <c r="C338" s="68">
        <f t="shared" si="5"/>
        <v>45292</v>
      </c>
      <c r="D338" s="28" t="s">
        <v>190</v>
      </c>
      <c r="E338" s="28" t="s">
        <v>622</v>
      </c>
      <c r="F338" s="28" t="s">
        <v>623</v>
      </c>
      <c r="G338" s="28" t="s">
        <v>338</v>
      </c>
      <c r="H338" s="28">
        <v>8086</v>
      </c>
      <c r="I338" s="28">
        <v>39.845474000000003</v>
      </c>
      <c r="J338" s="28">
        <v>-75.209485999999998</v>
      </c>
      <c r="K338" s="28" t="s">
        <v>624</v>
      </c>
      <c r="L338" s="61">
        <v>110013317614</v>
      </c>
      <c r="M338" s="28" t="s">
        <v>253</v>
      </c>
      <c r="N338" s="28">
        <v>2821</v>
      </c>
      <c r="O338" s="28" t="str">
        <f>IFERROR(VLOOKUP(N338, 'SIC &amp; NAICS Codes'!A:B, 2, FALSE), "")</f>
        <v>Plastics Materials, Synthetic and Resins, and Nonvulcanizable Elastomers</v>
      </c>
      <c r="S338" s="28">
        <v>7.7108850000000007E-2</v>
      </c>
      <c r="T338" s="315">
        <f>_xlfn.MAXIFS('Raw Period DMR Data'!$O:$O,'Raw Period DMR Data'!$A:$A,'Raw Annual DMR Data_2021-2024'!#REF!,'Raw Period DMR Data'!$C:$C,X338)/S338</f>
        <v>0</v>
      </c>
      <c r="U338" s="28" t="str">
        <f>+IF(COUNTIFS('Raw Period DMR Data'!$A:$A,B338,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38" s="28" t="str" cm="1">
        <f t="array" ref="V338">IFERROR(INDEX('Raw Period DMR Data'!N:N,MATCH(1,(B338='Raw Period DMR Data'!$A:$A)*(U338='Raw Period DMR Data'!M:M)*(X338='Raw Period DMR Data'!C:C),0),1), "N/A")</f>
        <v>N/A</v>
      </c>
      <c r="W338" s="28" t="s">
        <v>1463</v>
      </c>
      <c r="X338" s="28" t="s">
        <v>934</v>
      </c>
      <c r="Y338" s="28" t="s">
        <v>935</v>
      </c>
      <c r="Z338" s="61">
        <v>2040202001763</v>
      </c>
      <c r="AA338" s="60"/>
      <c r="AB338" s="28" t="s">
        <v>7355</v>
      </c>
      <c r="AC338" s="28" t="s">
        <v>1466</v>
      </c>
    </row>
    <row r="339" spans="1:29" s="28" customFormat="1" x14ac:dyDescent="0.25">
      <c r="A339" s="61">
        <v>110013317614</v>
      </c>
      <c r="B339" s="28">
        <v>2023</v>
      </c>
      <c r="C339" s="68">
        <f t="shared" si="5"/>
        <v>44927</v>
      </c>
      <c r="D339" s="28" t="s">
        <v>190</v>
      </c>
      <c r="E339" s="28" t="s">
        <v>622</v>
      </c>
      <c r="F339" s="28" t="s">
        <v>623</v>
      </c>
      <c r="G339" s="28" t="s">
        <v>338</v>
      </c>
      <c r="H339" s="28" t="s">
        <v>2223</v>
      </c>
      <c r="I339" s="28">
        <v>39.845474000000003</v>
      </c>
      <c r="J339" s="28">
        <v>-75.209485999999998</v>
      </c>
      <c r="K339" s="28" t="s">
        <v>624</v>
      </c>
      <c r="L339" s="61">
        <v>110013317614</v>
      </c>
      <c r="M339" s="28" t="s">
        <v>253</v>
      </c>
      <c r="N339" s="28">
        <v>2821</v>
      </c>
      <c r="O339" s="28" t="str">
        <f>IFERROR(VLOOKUP(N339, 'SIC &amp; NAICS Codes'!A:B, 2, FALSE), "")</f>
        <v>Plastics Materials, Synthetic and Resins, and Nonvulcanizable Elastomers</v>
      </c>
      <c r="S339" s="28">
        <v>3.6082599999999999E-2</v>
      </c>
      <c r="T339" s="315">
        <f>_xlfn.MAXIFS('Raw Period DMR Data'!$O:$O,'Raw Period DMR Data'!$A:$A,'Raw Annual DMR Data_2021-2024'!#REF!,'Raw Period DMR Data'!$C:$C,X339)/S339</f>
        <v>0</v>
      </c>
      <c r="U339" s="28" t="str">
        <f>+IF(COUNTIFS('Raw Period DMR Data'!$A:$A,B339,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39" s="28" t="str" cm="1">
        <f t="array" ref="V339">IFERROR(INDEX('Raw Period DMR Data'!N:N,MATCH(1,(B339='Raw Period DMR Data'!$A:$A)*(U339='Raw Period DMR Data'!M:M)*(X339='Raw Period DMR Data'!C:C),0),1), "N/A")</f>
        <v>N/A</v>
      </c>
      <c r="W339" s="28" t="s">
        <v>1463</v>
      </c>
      <c r="X339" s="28" t="s">
        <v>934</v>
      </c>
      <c r="Y339" s="28" t="s">
        <v>935</v>
      </c>
      <c r="Z339" s="61" t="s">
        <v>2224</v>
      </c>
      <c r="AA339" s="60"/>
      <c r="AB339" s="28" t="s">
        <v>7355</v>
      </c>
      <c r="AC339" s="28" t="s">
        <v>1466</v>
      </c>
    </row>
    <row r="340" spans="1:29" s="28" customFormat="1" x14ac:dyDescent="0.25">
      <c r="A340" s="61">
        <v>110013317614</v>
      </c>
      <c r="B340" s="28">
        <v>2021</v>
      </c>
      <c r="C340" s="68">
        <f t="shared" si="5"/>
        <v>44197</v>
      </c>
      <c r="D340" s="28" t="s">
        <v>190</v>
      </c>
      <c r="E340" s="28" t="s">
        <v>622</v>
      </c>
      <c r="F340" s="28" t="s">
        <v>623</v>
      </c>
      <c r="G340" s="28" t="s">
        <v>338</v>
      </c>
      <c r="H340" s="28">
        <v>8086</v>
      </c>
      <c r="I340" s="28">
        <v>39.845474000000003</v>
      </c>
      <c r="J340" s="28">
        <v>-75.209485999999998</v>
      </c>
      <c r="K340" s="28" t="s">
        <v>624</v>
      </c>
      <c r="L340" s="61">
        <v>110013317614</v>
      </c>
      <c r="M340" s="28" t="s">
        <v>253</v>
      </c>
      <c r="N340" s="28">
        <v>2821</v>
      </c>
      <c r="O340" s="28" t="str">
        <f>IFERROR(VLOOKUP(N340, 'SIC &amp; NAICS Codes'!A:B, 2, FALSE), "")</f>
        <v>Plastics Materials, Synthetic and Resins, and Nonvulcanizable Elastomers</v>
      </c>
      <c r="S340" s="28">
        <v>2.7546600000000001E-2</v>
      </c>
      <c r="T340" s="315">
        <f>_xlfn.MAXIFS('Raw Period DMR Data'!$O:$O,'Raw Period DMR Data'!$A:$A,'Raw Annual DMR Data_2021-2024'!#REF!,'Raw Period DMR Data'!$C:$C,X340)/S340</f>
        <v>0</v>
      </c>
      <c r="U340" s="28" t="str">
        <f>+IF(COUNTIFS('Raw Period DMR Data'!$A:$A,B340,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40" s="28" t="str" cm="1">
        <f t="array" ref="V340">IFERROR(INDEX('Raw Period DMR Data'!N:N,MATCH(1,(B340='Raw Period DMR Data'!$A:$A)*(U340='Raw Period DMR Data'!M:M)*(X340='Raw Period DMR Data'!C:C),0),1), "N/A")</f>
        <v>N/A</v>
      </c>
      <c r="W340" s="28" t="s">
        <v>1463</v>
      </c>
      <c r="X340" s="28" t="s">
        <v>934</v>
      </c>
      <c r="Y340" s="28" t="s">
        <v>935</v>
      </c>
      <c r="Z340" s="61">
        <v>2040202001763</v>
      </c>
      <c r="AB340" s="28" t="s">
        <v>7355</v>
      </c>
      <c r="AC340" s="28" t="s">
        <v>1466</v>
      </c>
    </row>
    <row r="341" spans="1:29" s="28" customFormat="1" x14ac:dyDescent="0.25">
      <c r="A341" s="61">
        <v>110013317614</v>
      </c>
      <c r="B341" s="28">
        <v>2022</v>
      </c>
      <c r="C341" s="68">
        <f t="shared" si="5"/>
        <v>44562</v>
      </c>
      <c r="D341" s="28" t="s">
        <v>190</v>
      </c>
      <c r="E341" s="28" t="s">
        <v>622</v>
      </c>
      <c r="F341" s="28" t="s">
        <v>623</v>
      </c>
      <c r="G341" s="28" t="s">
        <v>338</v>
      </c>
      <c r="H341" s="28">
        <v>8086</v>
      </c>
      <c r="I341" s="28">
        <v>39.845474000000003</v>
      </c>
      <c r="J341" s="28">
        <v>-75.209485999999998</v>
      </c>
      <c r="K341" s="28" t="s">
        <v>624</v>
      </c>
      <c r="L341" s="61">
        <v>110013317614</v>
      </c>
      <c r="M341" s="28" t="s">
        <v>253</v>
      </c>
      <c r="N341" s="28">
        <v>2821</v>
      </c>
      <c r="O341" s="28" t="str">
        <f>IFERROR(VLOOKUP(N341, 'SIC &amp; NAICS Codes'!A:B, 2, FALSE), "")</f>
        <v>Plastics Materials, Synthetic and Resins, and Nonvulcanizable Elastomers</v>
      </c>
      <c r="S341" s="28">
        <v>2.6297299999999999E-2</v>
      </c>
      <c r="T341" s="315">
        <f>_xlfn.MAXIFS('Raw Period DMR Data'!$O:$O,'Raw Period DMR Data'!$A:$A,'Raw Annual DMR Data_2021-2024'!#REF!,'Raw Period DMR Data'!$C:$C,X341)/S341</f>
        <v>0</v>
      </c>
      <c r="U341" s="28" t="str">
        <f>+IF(COUNTIFS('Raw Period DMR Data'!$A:$A,B341,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41" s="28" t="str" cm="1">
        <f t="array" ref="V341">IFERROR(INDEX('Raw Period DMR Data'!N:N,MATCH(1,(B341='Raw Period DMR Data'!$A:$A)*(U341='Raw Period DMR Data'!M:M)*(X341='Raw Period DMR Data'!C:C),0),1), "N/A")</f>
        <v>N/A</v>
      </c>
      <c r="W341" s="28" t="s">
        <v>1463</v>
      </c>
      <c r="X341" s="28" t="s">
        <v>934</v>
      </c>
      <c r="Y341" s="28" t="s">
        <v>935</v>
      </c>
      <c r="Z341" s="61">
        <v>2040202001763</v>
      </c>
      <c r="AA341" s="60"/>
      <c r="AB341" s="28" t="s">
        <v>7355</v>
      </c>
      <c r="AC341" s="28" t="s">
        <v>1466</v>
      </c>
    </row>
    <row r="342" spans="1:29" s="28" customFormat="1" x14ac:dyDescent="0.25">
      <c r="A342" s="61">
        <v>110000452082</v>
      </c>
      <c r="B342" s="28">
        <v>2021</v>
      </c>
      <c r="C342" s="68">
        <f t="shared" si="5"/>
        <v>44197</v>
      </c>
      <c r="D342" s="28" t="s">
        <v>991</v>
      </c>
      <c r="E342" s="28" t="s">
        <v>1517</v>
      </c>
      <c r="F342" s="28" t="s">
        <v>992</v>
      </c>
      <c r="G342" s="28" t="s">
        <v>299</v>
      </c>
      <c r="H342" s="28">
        <v>723016413</v>
      </c>
      <c r="I342" s="28">
        <v>35.136057000000001</v>
      </c>
      <c r="J342" s="28">
        <v>-90.096892999999994</v>
      </c>
      <c r="K342" s="28" t="s">
        <v>704</v>
      </c>
      <c r="L342" s="61">
        <v>110000452082</v>
      </c>
      <c r="M342" s="28" t="s">
        <v>254</v>
      </c>
      <c r="N342" s="28">
        <v>2869</v>
      </c>
      <c r="O342" s="28" t="str">
        <f>IFERROR(VLOOKUP(N342, 'SIC &amp; NAICS Codes'!A:B, 2, FALSE), "")</f>
        <v>Industrial Organic Chemicals, NEC (aliphatics)</v>
      </c>
      <c r="S342" s="28">
        <v>5.9301479999999997E-2</v>
      </c>
      <c r="T342" s="315">
        <f>_xlfn.MAXIFS('Raw Period DMR Data'!$O:$O,'Raw Period DMR Data'!$A:$A,'Raw Annual DMR Data_2021-2024'!#REF!,'Raw Period DMR Data'!$C:$C,X342)/S342</f>
        <v>0</v>
      </c>
      <c r="U342" s="28" t="str">
        <f>+IF(COUNTIFS('Raw Period DMR Data'!$A:$A,B342,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42" s="28" t="str" cm="1">
        <f t="array" ref="V342">IFERROR(INDEX('Raw Period DMR Data'!N:N,MATCH(1,(B342='Raw Period DMR Data'!$A:$A)*(U342='Raw Period DMR Data'!M:M)*(X342='Raw Period DMR Data'!C:C),0),1), "N/A")</f>
        <v>N/A</v>
      </c>
      <c r="W342" s="28" t="s">
        <v>1463</v>
      </c>
      <c r="X342" s="28" t="s">
        <v>1518</v>
      </c>
      <c r="Y342" s="28" t="s">
        <v>1519</v>
      </c>
      <c r="Z342" s="61">
        <v>8010100000818</v>
      </c>
      <c r="AB342" s="28" t="s">
        <v>7355</v>
      </c>
      <c r="AC342" s="28" t="s">
        <v>1466</v>
      </c>
    </row>
    <row r="343" spans="1:29" s="28" customFormat="1" x14ac:dyDescent="0.25">
      <c r="A343" s="61">
        <v>110000452082</v>
      </c>
      <c r="B343" s="28">
        <v>2022</v>
      </c>
      <c r="C343" s="68">
        <f t="shared" si="5"/>
        <v>44562</v>
      </c>
      <c r="D343" s="28" t="s">
        <v>991</v>
      </c>
      <c r="E343" s="28" t="s">
        <v>1517</v>
      </c>
      <c r="F343" s="28" t="s">
        <v>992</v>
      </c>
      <c r="G343" s="28" t="s">
        <v>299</v>
      </c>
      <c r="H343" s="28">
        <v>723016413</v>
      </c>
      <c r="I343" s="28">
        <v>35.136057000000001</v>
      </c>
      <c r="J343" s="28">
        <v>-90.096892999999994</v>
      </c>
      <c r="K343" s="28" t="s">
        <v>704</v>
      </c>
      <c r="L343" s="61">
        <v>110000452082</v>
      </c>
      <c r="M343" s="28" t="s">
        <v>254</v>
      </c>
      <c r="N343" s="28">
        <v>2869</v>
      </c>
      <c r="O343" s="28" t="str">
        <f>IFERROR(VLOOKUP(N343, 'SIC &amp; NAICS Codes'!A:B, 2, FALSE), "")</f>
        <v>Industrial Organic Chemicals, NEC (aliphatics)</v>
      </c>
      <c r="S343" s="28">
        <v>1.2053700000000001E-2</v>
      </c>
      <c r="T343" s="315">
        <f>_xlfn.MAXIFS('Raw Period DMR Data'!$O:$O,'Raw Period DMR Data'!$A:$A,'Raw Annual DMR Data_2021-2024'!#REF!,'Raw Period DMR Data'!$C:$C,X343)/S343</f>
        <v>0</v>
      </c>
      <c r="U343" s="28" t="str">
        <f>+IF(COUNTIFS('Raw Period DMR Data'!$A:$A,B343,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43" s="28" t="str" cm="1">
        <f t="array" ref="V343">IFERROR(INDEX('Raw Period DMR Data'!N:N,MATCH(1,(B343='Raw Period DMR Data'!$A:$A)*(U343='Raw Period DMR Data'!M:M)*(X343='Raw Period DMR Data'!C:C),0),1), "N/A")</f>
        <v>N/A</v>
      </c>
      <c r="W343" s="28" t="s">
        <v>1463</v>
      </c>
      <c r="X343" s="28" t="s">
        <v>1518</v>
      </c>
      <c r="Y343" s="28" t="s">
        <v>1519</v>
      </c>
      <c r="Z343" s="61">
        <v>8010100000818</v>
      </c>
      <c r="AA343" s="60"/>
      <c r="AB343" s="28" t="s">
        <v>7355</v>
      </c>
      <c r="AC343" s="28" t="s">
        <v>1466</v>
      </c>
    </row>
    <row r="344" spans="1:29" s="28" customFormat="1" x14ac:dyDescent="0.25">
      <c r="A344" s="61">
        <v>110000443226</v>
      </c>
      <c r="B344" s="28">
        <v>2023</v>
      </c>
      <c r="C344" s="68">
        <f t="shared" si="5"/>
        <v>44927</v>
      </c>
      <c r="D344" s="28" t="s">
        <v>6827</v>
      </c>
      <c r="E344" s="28" t="s">
        <v>351</v>
      </c>
      <c r="F344" s="28" t="s">
        <v>352</v>
      </c>
      <c r="G344" s="28" t="s">
        <v>349</v>
      </c>
      <c r="H344" s="28">
        <v>641200013</v>
      </c>
      <c r="I344" s="28">
        <v>38.969749999999998</v>
      </c>
      <c r="J344" s="28">
        <v>-94.465860000000006</v>
      </c>
      <c r="K344" s="28" t="s">
        <v>353</v>
      </c>
      <c r="L344" s="61">
        <v>110000443226</v>
      </c>
      <c r="M344" s="28" t="s">
        <v>254</v>
      </c>
      <c r="N344" s="28">
        <v>2879</v>
      </c>
      <c r="O344" s="28" t="str">
        <f>IFERROR(VLOOKUP(N344, 'SIC &amp; NAICS Codes'!A:B, 2, FALSE), "")</f>
        <v>Pesticides and Agricultural Chemicals, NEC</v>
      </c>
      <c r="S344" s="28">
        <v>19.885200000000001</v>
      </c>
      <c r="T344" s="315">
        <f>_xlfn.MAXIFS('Raw Period DMR Data'!$O:$O,'Raw Period DMR Data'!$A:$A,'Raw Annual DMR Data_2021-2024'!B911,'Raw Period DMR Data'!$C:$C,X344)/S344</f>
        <v>0</v>
      </c>
      <c r="U344" s="28" t="str">
        <f>+IF(COUNTIFS('Raw Period DMR Data'!$A:$A,B344, 'Raw Period DMR Data'!C:C,'Raw Annual DMR Data_2021-2024'!X911, 'Raw Period DMR Data'!M:M, "&gt;0")&gt;0,_xlfn.MAXIFS('Raw Period DMR Data'!M:M,'Raw Period DMR Data'!$A:$A,'Raw Annual DMR Data_2021-2024'!B911,'Raw Period DMR Data'!C:C,'Raw Annual DMR Data_2021-2024'!X911), "N/A - Period DMR Data Not Available")</f>
        <v>N/A - Period DMR Data Not Available</v>
      </c>
      <c r="V344" s="28" t="str" cm="1">
        <f t="array" ref="V344">IFERROR(INDEX('Raw Period DMR Data'!N:N,MATCH(1,(B344='Raw Period DMR Data'!$A:$A)*(U344='Raw Period DMR Data'!M:M)*(X344='Raw Period DMR Data'!C:C),0),1), "N/A")</f>
        <v>N/A</v>
      </c>
      <c r="W344" s="28" t="s">
        <v>1463</v>
      </c>
      <c r="X344" s="28" t="s">
        <v>786</v>
      </c>
      <c r="Y344" s="28" t="s">
        <v>787</v>
      </c>
      <c r="Z344" s="61">
        <v>10300101003208</v>
      </c>
      <c r="AA344" s="60"/>
      <c r="AC344" s="28" t="s">
        <v>1466</v>
      </c>
    </row>
    <row r="345" spans="1:29" s="28" customFormat="1" x14ac:dyDescent="0.25">
      <c r="A345" s="61">
        <v>110000443226</v>
      </c>
      <c r="B345" s="28">
        <v>2021</v>
      </c>
      <c r="C345" s="68">
        <f t="shared" si="5"/>
        <v>44197</v>
      </c>
      <c r="D345" s="28" t="s">
        <v>6827</v>
      </c>
      <c r="E345" s="28" t="s">
        <v>351</v>
      </c>
      <c r="F345" s="28" t="s">
        <v>352</v>
      </c>
      <c r="G345" s="28" t="s">
        <v>349</v>
      </c>
      <c r="H345" s="28">
        <v>641200013</v>
      </c>
      <c r="I345" s="28">
        <v>38.969749999999998</v>
      </c>
      <c r="J345" s="28">
        <v>-94.465860000000006</v>
      </c>
      <c r="K345" s="28" t="s">
        <v>353</v>
      </c>
      <c r="L345" s="61">
        <v>110000443226</v>
      </c>
      <c r="M345" s="28" t="s">
        <v>254</v>
      </c>
      <c r="N345" s="28">
        <v>2879</v>
      </c>
      <c r="O345" s="28" t="str">
        <f>IFERROR(VLOOKUP(N345, 'SIC &amp; NAICS Codes'!A:B, 2, FALSE), "")</f>
        <v>Pesticides and Agricultural Chemicals, NEC</v>
      </c>
      <c r="S345" s="28">
        <v>9.9426000000000005</v>
      </c>
      <c r="T345" s="315">
        <f>_xlfn.MAXIFS('Raw Period DMR Data'!$O:$O,'Raw Period DMR Data'!$A:$A,'Raw Annual DMR Data_2021-2024'!B949,'Raw Period DMR Data'!$C:$C,X345)/S345</f>
        <v>0</v>
      </c>
      <c r="U345" s="28" t="str">
        <f>+IF(COUNTIFS('Raw Period DMR Data'!$A:$A,B345, 'Raw Period DMR Data'!C:C,'Raw Annual DMR Data_2021-2024'!X949, 'Raw Period DMR Data'!M:M, "&gt;0")&gt;0,_xlfn.MAXIFS('Raw Period DMR Data'!M:M,'Raw Period DMR Data'!$A:$A,'Raw Annual DMR Data_2021-2024'!B949,'Raw Period DMR Data'!C:C,'Raw Annual DMR Data_2021-2024'!X949), "N/A - Period DMR Data Not Available")</f>
        <v>N/A - Period DMR Data Not Available</v>
      </c>
      <c r="V345" s="28" t="str" cm="1">
        <f t="array" ref="V345">IFERROR(INDEX('Raw Period DMR Data'!N:N,MATCH(1,(B345='Raw Period DMR Data'!$A:$A)*(U345='Raw Period DMR Data'!M:M)*(X345='Raw Period DMR Data'!C:C),0),1), "N/A")</f>
        <v>N/A</v>
      </c>
      <c r="W345" s="28" t="s">
        <v>1463</v>
      </c>
      <c r="X345" s="28" t="s">
        <v>786</v>
      </c>
      <c r="Y345" s="28" t="s">
        <v>787</v>
      </c>
      <c r="Z345" s="61">
        <v>10300101003208</v>
      </c>
      <c r="AC345" s="28" t="s">
        <v>1466</v>
      </c>
    </row>
    <row r="346" spans="1:29" s="28" customFormat="1" x14ac:dyDescent="0.25">
      <c r="A346" s="61">
        <v>110000443226</v>
      </c>
      <c r="B346" s="28">
        <v>2024</v>
      </c>
      <c r="C346" s="68">
        <f t="shared" si="5"/>
        <v>45292</v>
      </c>
      <c r="D346" s="28" t="s">
        <v>6827</v>
      </c>
      <c r="E346" s="28" t="s">
        <v>351</v>
      </c>
      <c r="F346" s="28" t="s">
        <v>352</v>
      </c>
      <c r="G346" s="28" t="s">
        <v>349</v>
      </c>
      <c r="H346" s="28">
        <v>641200013</v>
      </c>
      <c r="I346" s="28">
        <v>38.969749999999998</v>
      </c>
      <c r="J346" s="28">
        <v>-94.465860000000006</v>
      </c>
      <c r="K346" s="28" t="s">
        <v>353</v>
      </c>
      <c r="L346" s="61">
        <v>110000443226</v>
      </c>
      <c r="M346" s="28" t="s">
        <v>254</v>
      </c>
      <c r="N346" s="28">
        <v>2879</v>
      </c>
      <c r="O346" s="28" t="str">
        <f>IFERROR(VLOOKUP(N346, 'SIC &amp; NAICS Codes'!A:B, 2, FALSE), "")</f>
        <v>Pesticides and Agricultural Chemicals, NEC</v>
      </c>
      <c r="S346" s="28">
        <v>8.2855000000000008</v>
      </c>
      <c r="T346" s="315">
        <f>_xlfn.MAXIFS('Raw Period DMR Data'!$O:$O,'Raw Period DMR Data'!$A:$A,'Raw Annual DMR Data_2021-2024'!B959,'Raw Period DMR Data'!$C:$C,X346)/S346</f>
        <v>0</v>
      </c>
      <c r="U346" s="28" t="str">
        <f>+IF(COUNTIFS('Raw Period DMR Data'!$A:$A,B346, 'Raw Period DMR Data'!C:C,'Raw Annual DMR Data_2021-2024'!X959, 'Raw Period DMR Data'!M:M, "&gt;0")&gt;0,_xlfn.MAXIFS('Raw Period DMR Data'!M:M,'Raw Period DMR Data'!$A:$A,'Raw Annual DMR Data_2021-2024'!B959,'Raw Period DMR Data'!C:C,'Raw Annual DMR Data_2021-2024'!X959), "N/A - Period DMR Data Not Available")</f>
        <v>N/A - Period DMR Data Not Available</v>
      </c>
      <c r="V346" s="28" t="str" cm="1">
        <f t="array" ref="V346">IFERROR(INDEX('Raw Period DMR Data'!N:N,MATCH(1,(B346='Raw Period DMR Data'!$A:$A)*(U346='Raw Period DMR Data'!M:M)*(X346='Raw Period DMR Data'!C:C),0),1), "N/A")</f>
        <v>N/A</v>
      </c>
      <c r="W346" s="28" t="s">
        <v>1463</v>
      </c>
      <c r="X346" s="28" t="s">
        <v>786</v>
      </c>
      <c r="Y346" s="28" t="s">
        <v>787</v>
      </c>
      <c r="Z346" s="61">
        <v>10300101003208</v>
      </c>
      <c r="AA346" s="60"/>
      <c r="AC346" s="28" t="s">
        <v>1466</v>
      </c>
    </row>
    <row r="347" spans="1:29" s="28" customFormat="1" x14ac:dyDescent="0.25">
      <c r="A347" s="61">
        <v>110000443226</v>
      </c>
      <c r="B347" s="28">
        <v>2022</v>
      </c>
      <c r="C347" s="68">
        <f t="shared" si="5"/>
        <v>44562</v>
      </c>
      <c r="D347" s="28" t="s">
        <v>6827</v>
      </c>
      <c r="E347" s="28" t="s">
        <v>351</v>
      </c>
      <c r="F347" s="28" t="s">
        <v>352</v>
      </c>
      <c r="G347" s="28" t="s">
        <v>349</v>
      </c>
      <c r="H347" s="28">
        <v>641200013</v>
      </c>
      <c r="I347" s="28">
        <v>38.969749999999998</v>
      </c>
      <c r="J347" s="28">
        <v>-94.465860000000006</v>
      </c>
      <c r="K347" s="28" t="s">
        <v>353</v>
      </c>
      <c r="L347" s="61">
        <v>110000443226</v>
      </c>
      <c r="M347" s="28" t="s">
        <v>254</v>
      </c>
      <c r="N347" s="28">
        <v>2879</v>
      </c>
      <c r="O347" s="28" t="str">
        <f>IFERROR(VLOOKUP(N347, 'SIC &amp; NAICS Codes'!A:B, 2, FALSE), "")</f>
        <v>Pesticides and Agricultural Chemicals, NEC</v>
      </c>
      <c r="S347" s="28">
        <v>1.6571</v>
      </c>
      <c r="T347" s="315">
        <f>_xlfn.MAXIFS('Raw Period DMR Data'!$O:$O,'Raw Period DMR Data'!$A:$A,'Raw Annual DMR Data_2021-2024'!#REF!,'Raw Period DMR Data'!$C:$C,X347)/S347</f>
        <v>0</v>
      </c>
      <c r="U347" s="28" t="str">
        <f>+IF(COUNTIFS('Raw Period DMR Data'!$A:$A,B347,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47" s="28" t="str" cm="1">
        <f t="array" ref="V347">IFERROR(INDEX('Raw Period DMR Data'!N:N,MATCH(1,(B347='Raw Period DMR Data'!$A:$A)*(U347='Raw Period DMR Data'!M:M)*(X347='Raw Period DMR Data'!C:C),0),1), "N/A")</f>
        <v>N/A</v>
      </c>
      <c r="W347" s="28" t="s">
        <v>1463</v>
      </c>
      <c r="X347" s="28" t="s">
        <v>786</v>
      </c>
      <c r="Y347" s="28" t="s">
        <v>787</v>
      </c>
      <c r="Z347" s="61">
        <v>10300101003208</v>
      </c>
      <c r="AA347" s="60"/>
      <c r="AC347" s="28" t="s">
        <v>1466</v>
      </c>
    </row>
    <row r="348" spans="1:29" s="28" customFormat="1" x14ac:dyDescent="0.25">
      <c r="A348" s="61">
        <v>110040963286</v>
      </c>
      <c r="B348" s="28">
        <v>2024</v>
      </c>
      <c r="C348" s="68">
        <f t="shared" si="5"/>
        <v>45292</v>
      </c>
      <c r="D348" s="28" t="s">
        <v>136</v>
      </c>
      <c r="E348" s="28" t="s">
        <v>440</v>
      </c>
      <c r="F348" s="28" t="s">
        <v>441</v>
      </c>
      <c r="G348" s="28" t="s">
        <v>338</v>
      </c>
      <c r="H348" s="28" t="s">
        <v>442</v>
      </c>
      <c r="I348" s="28">
        <v>40.843611000000003</v>
      </c>
      <c r="J348" s="28">
        <v>-75.066389000000001</v>
      </c>
      <c r="K348" s="28" t="s">
        <v>443</v>
      </c>
      <c r="L348" s="61">
        <v>110040963286</v>
      </c>
      <c r="M348" s="28" t="s">
        <v>254</v>
      </c>
      <c r="N348" s="28">
        <v>2833</v>
      </c>
      <c r="O348" s="28" t="str">
        <f>IFERROR(VLOOKUP(N348, 'SIC &amp; NAICS Codes'!A:B, 2, FALSE), "")</f>
        <v>Medicinal Chemicals and Botanical Products</v>
      </c>
      <c r="S348" s="28">
        <v>0.24269230750000001</v>
      </c>
      <c r="T348" s="315">
        <f>_xlfn.MAXIFS('Raw Period DMR Data'!$O:$O,'Raw Period DMR Data'!$A:$A,'Raw Annual DMR Data_2021-2024'!#REF!,'Raw Period DMR Data'!$C:$C,X348)/S348</f>
        <v>0</v>
      </c>
      <c r="U348" s="28" t="str">
        <f>+IF(COUNTIFS('Raw Period DMR Data'!$A:$A,B348,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48" s="28" t="str" cm="1">
        <f t="array" ref="V348">IFERROR(INDEX('Raw Period DMR Data'!N:N,MATCH(1,(B348='Raw Period DMR Data'!$A:$A)*(U348='Raw Period DMR Data'!M:M)*(X348='Raw Period DMR Data'!C:C),0),1), "N/A")</f>
        <v>N/A</v>
      </c>
      <c r="W348" s="28" t="s">
        <v>1463</v>
      </c>
      <c r="X348" s="28" t="s">
        <v>837</v>
      </c>
      <c r="Y348" s="28" t="s">
        <v>838</v>
      </c>
      <c r="Z348" s="61">
        <v>2040105000142</v>
      </c>
      <c r="AA348" s="60"/>
      <c r="AB348" s="28" t="s">
        <v>7355</v>
      </c>
      <c r="AC348" s="28" t="s">
        <v>1466</v>
      </c>
    </row>
    <row r="349" spans="1:29" s="28" customFormat="1" x14ac:dyDescent="0.25">
      <c r="A349" s="61">
        <v>110040963286</v>
      </c>
      <c r="B349" s="28">
        <v>2021</v>
      </c>
      <c r="C349" s="68">
        <f t="shared" si="5"/>
        <v>44197</v>
      </c>
      <c r="D349" s="28" t="s">
        <v>136</v>
      </c>
      <c r="E349" s="28" t="s">
        <v>440</v>
      </c>
      <c r="F349" s="28" t="s">
        <v>441</v>
      </c>
      <c r="G349" s="28" t="s">
        <v>338</v>
      </c>
      <c r="H349" s="28" t="s">
        <v>442</v>
      </c>
      <c r="I349" s="28">
        <v>40.843611000000003</v>
      </c>
      <c r="J349" s="28">
        <v>-75.066389000000001</v>
      </c>
      <c r="K349" s="28" t="s">
        <v>443</v>
      </c>
      <c r="L349" s="61">
        <v>110040963286</v>
      </c>
      <c r="M349" s="28" t="s">
        <v>254</v>
      </c>
      <c r="N349" s="28">
        <v>2833</v>
      </c>
      <c r="O349" s="28" t="str">
        <f>IFERROR(VLOOKUP(N349, 'SIC &amp; NAICS Codes'!A:B, 2, FALSE), "")</f>
        <v>Medicinal Chemicals and Botanical Products</v>
      </c>
      <c r="S349" s="28">
        <v>0.101939039375</v>
      </c>
      <c r="T349" s="315">
        <f>_xlfn.MAXIFS('Raw Period DMR Data'!$O:$O,'Raw Period DMR Data'!$A:$A,'Raw Annual DMR Data_2021-2024'!#REF!,'Raw Period DMR Data'!$C:$C,X349)/S349</f>
        <v>0</v>
      </c>
      <c r="U349" s="28" t="str">
        <f>+IF(COUNTIFS('Raw Period DMR Data'!$A:$A,B349,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49" s="28" t="str" cm="1">
        <f t="array" ref="V349">IFERROR(INDEX('Raw Period DMR Data'!N:N,MATCH(1,(B349='Raw Period DMR Data'!$A:$A)*(U349='Raw Period DMR Data'!M:M)*(X349='Raw Period DMR Data'!C:C),0),1), "N/A")</f>
        <v>N/A</v>
      </c>
      <c r="W349" s="28" t="s">
        <v>1463</v>
      </c>
      <c r="X349" s="28" t="s">
        <v>837</v>
      </c>
      <c r="Y349" s="28" t="s">
        <v>838</v>
      </c>
      <c r="Z349" s="61">
        <v>2040105000142</v>
      </c>
      <c r="AA349" s="60"/>
      <c r="AB349" s="28" t="s">
        <v>7355</v>
      </c>
      <c r="AC349" s="28" t="s">
        <v>1466</v>
      </c>
    </row>
    <row r="350" spans="1:29" s="28" customFormat="1" x14ac:dyDescent="0.25">
      <c r="A350" s="61">
        <v>110040963286</v>
      </c>
      <c r="B350" s="28">
        <v>2022</v>
      </c>
      <c r="C350" s="68">
        <f t="shared" si="5"/>
        <v>44562</v>
      </c>
      <c r="D350" s="28" t="s">
        <v>136</v>
      </c>
      <c r="E350" s="28" t="s">
        <v>440</v>
      </c>
      <c r="F350" s="28" t="s">
        <v>441</v>
      </c>
      <c r="G350" s="28" t="s">
        <v>338</v>
      </c>
      <c r="H350" s="28" t="s">
        <v>442</v>
      </c>
      <c r="I350" s="28">
        <v>40.843611000000003</v>
      </c>
      <c r="J350" s="28">
        <v>-75.066389000000001</v>
      </c>
      <c r="K350" s="28" t="s">
        <v>443</v>
      </c>
      <c r="L350" s="61">
        <v>110040963286</v>
      </c>
      <c r="M350" s="28" t="s">
        <v>254</v>
      </c>
      <c r="N350" s="28">
        <v>2833</v>
      </c>
      <c r="O350" s="28" t="str">
        <f>IFERROR(VLOOKUP(N350, 'SIC &amp; NAICS Codes'!A:B, 2, FALSE), "")</f>
        <v>Medicinal Chemicals and Botanical Products</v>
      </c>
      <c r="S350" s="28">
        <v>9.1739032124999995E-2</v>
      </c>
      <c r="T350" s="315">
        <f>_xlfn.MAXIFS('Raw Period DMR Data'!$O:$O,'Raw Period DMR Data'!$A:$A,'Raw Annual DMR Data_2021-2024'!#REF!,'Raw Period DMR Data'!$C:$C,X350)/S350</f>
        <v>0</v>
      </c>
      <c r="U350" s="28" t="str">
        <f>+IF(COUNTIFS('Raw Period DMR Data'!$A:$A,B350,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50" s="28" t="str" cm="1">
        <f t="array" ref="V350">IFERROR(INDEX('Raw Period DMR Data'!N:N,MATCH(1,(B350='Raw Period DMR Data'!$A:$A)*(U350='Raw Period DMR Data'!M:M)*(X350='Raw Period DMR Data'!C:C),0),1), "N/A")</f>
        <v>N/A</v>
      </c>
      <c r="W350" s="28" t="s">
        <v>1463</v>
      </c>
      <c r="X350" s="28" t="s">
        <v>837</v>
      </c>
      <c r="Y350" s="28" t="s">
        <v>838</v>
      </c>
      <c r="Z350" s="61">
        <v>2040105000142</v>
      </c>
      <c r="AA350" s="60"/>
      <c r="AB350" s="28" t="s">
        <v>7355</v>
      </c>
      <c r="AC350" s="28" t="s">
        <v>1466</v>
      </c>
    </row>
    <row r="351" spans="1:29" s="28" customFormat="1" x14ac:dyDescent="0.25">
      <c r="A351" s="61">
        <v>110040963286</v>
      </c>
      <c r="B351" s="28">
        <v>2023</v>
      </c>
      <c r="C351" s="68">
        <f t="shared" si="5"/>
        <v>44927</v>
      </c>
      <c r="D351" s="28" t="s">
        <v>136</v>
      </c>
      <c r="E351" s="28" t="s">
        <v>440</v>
      </c>
      <c r="F351" s="28" t="s">
        <v>441</v>
      </c>
      <c r="G351" s="28" t="s">
        <v>338</v>
      </c>
      <c r="H351" s="28" t="s">
        <v>442</v>
      </c>
      <c r="I351" s="28">
        <v>40.843611000000003</v>
      </c>
      <c r="J351" s="28">
        <v>-75.066389000000001</v>
      </c>
      <c r="K351" s="28" t="s">
        <v>443</v>
      </c>
      <c r="L351" s="61">
        <v>110040963286</v>
      </c>
      <c r="M351" s="28" t="s">
        <v>254</v>
      </c>
      <c r="N351" s="28">
        <v>2833</v>
      </c>
      <c r="O351" s="28" t="str">
        <f>IFERROR(VLOOKUP(N351, 'SIC &amp; NAICS Codes'!A:B, 2, FALSE), "")</f>
        <v>Medicinal Chemicals and Botanical Products</v>
      </c>
      <c r="S351" s="28">
        <v>5.0457386477499998E-2</v>
      </c>
      <c r="T351" s="315">
        <f>_xlfn.MAXIFS('Raw Period DMR Data'!$O:$O,'Raw Period DMR Data'!$A:$A,'Raw Annual DMR Data_2021-2024'!#REF!,'Raw Period DMR Data'!$C:$C,X351)/S351</f>
        <v>0</v>
      </c>
      <c r="U351" s="28" t="str">
        <f>+IF(COUNTIFS('Raw Period DMR Data'!$A:$A,B351,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51" s="28" t="str" cm="1">
        <f t="array" ref="V351">IFERROR(INDEX('Raw Period DMR Data'!N:N,MATCH(1,(B351='Raw Period DMR Data'!$A:$A)*(U351='Raw Period DMR Data'!M:M)*(X351='Raw Period DMR Data'!C:C),0),1), "N/A")</f>
        <v>N/A</v>
      </c>
      <c r="W351" s="28" t="s">
        <v>1463</v>
      </c>
      <c r="X351" s="28" t="s">
        <v>837</v>
      </c>
      <c r="Y351" s="28" t="s">
        <v>838</v>
      </c>
      <c r="Z351" s="61" t="s">
        <v>1693</v>
      </c>
      <c r="AA351" s="60"/>
      <c r="AB351" s="28" t="s">
        <v>7355</v>
      </c>
      <c r="AC351" s="28" t="s">
        <v>1466</v>
      </c>
    </row>
    <row r="352" spans="1:29" s="28" customFormat="1" x14ac:dyDescent="0.25">
      <c r="A352" s="61">
        <v>110000460901</v>
      </c>
      <c r="B352" s="28">
        <v>2021</v>
      </c>
      <c r="C352" s="68">
        <f t="shared" si="5"/>
        <v>44197</v>
      </c>
      <c r="D352" s="28" t="s">
        <v>6817</v>
      </c>
      <c r="E352" s="28" t="s">
        <v>519</v>
      </c>
      <c r="F352" s="28" t="s">
        <v>520</v>
      </c>
      <c r="G352" s="28" t="s">
        <v>362</v>
      </c>
      <c r="H352" s="28">
        <v>77012</v>
      </c>
      <c r="I352" s="28">
        <v>29.718139000000001</v>
      </c>
      <c r="J352" s="28">
        <v>-95.268749999999997</v>
      </c>
      <c r="K352" s="28" t="s">
        <v>521</v>
      </c>
      <c r="L352" s="61">
        <v>110000460901</v>
      </c>
      <c r="M352" s="28" t="s">
        <v>254</v>
      </c>
      <c r="N352" s="28">
        <v>2819</v>
      </c>
      <c r="O352" s="28" t="str">
        <f>IFERROR(VLOOKUP(N352, 'SIC &amp; NAICS Codes'!A:B, 2, FALSE), "")</f>
        <v>Industrial Inorganic Chemicals, NEC (recovering sulfur from natural gas)</v>
      </c>
      <c r="S352" s="28">
        <v>14.064920000000001</v>
      </c>
      <c r="T352" s="315">
        <f>_xlfn.MAXIFS('Raw Period DMR Data'!$O:$O,'Raw Period DMR Data'!$A:$A,'Raw Annual DMR Data_2021-2024'!B925,'Raw Period DMR Data'!$C:$C,X352)/S352</f>
        <v>0</v>
      </c>
      <c r="U352" s="28" t="str">
        <f>+IF(COUNTIFS('Raw Period DMR Data'!$A:$A,B352, 'Raw Period DMR Data'!C:C,'Raw Annual DMR Data_2021-2024'!X925, 'Raw Period DMR Data'!M:M, "&gt;0")&gt;0,_xlfn.MAXIFS('Raw Period DMR Data'!M:M,'Raw Period DMR Data'!$A:$A,'Raw Annual DMR Data_2021-2024'!B925,'Raw Period DMR Data'!C:C,'Raw Annual DMR Data_2021-2024'!X925), "N/A - Period DMR Data Not Available")</f>
        <v>N/A - Period DMR Data Not Available</v>
      </c>
      <c r="V352" s="28" t="str" cm="1">
        <f t="array" ref="V352">IFERROR(INDEX('Raw Period DMR Data'!N:N,MATCH(1,(B352='Raw Period DMR Data'!$A:$A)*(U352='Raw Period DMR Data'!M:M)*(X352='Raw Period DMR Data'!C:C),0),1), "N/A")</f>
        <v>N/A</v>
      </c>
      <c r="W352" s="28" t="s">
        <v>1463</v>
      </c>
      <c r="X352" s="28" t="s">
        <v>881</v>
      </c>
      <c r="Y352" s="28" t="s">
        <v>7248</v>
      </c>
      <c r="Z352" s="61">
        <v>12040104000084</v>
      </c>
      <c r="AA352" s="60"/>
      <c r="AC352" s="28" t="s">
        <v>1466</v>
      </c>
    </row>
    <row r="353" spans="1:29" s="28" customFormat="1" x14ac:dyDescent="0.25">
      <c r="A353" s="61">
        <v>110000460901</v>
      </c>
      <c r="B353" s="28">
        <v>2024</v>
      </c>
      <c r="C353" s="68">
        <f t="shared" si="5"/>
        <v>45292</v>
      </c>
      <c r="D353" s="28" t="s">
        <v>6817</v>
      </c>
      <c r="E353" s="28" t="s">
        <v>519</v>
      </c>
      <c r="F353" s="28" t="s">
        <v>520</v>
      </c>
      <c r="G353" s="28" t="s">
        <v>362</v>
      </c>
      <c r="H353" s="28">
        <v>77012</v>
      </c>
      <c r="I353" s="28">
        <v>29.718139000000001</v>
      </c>
      <c r="J353" s="28">
        <v>-95.268749999999997</v>
      </c>
      <c r="K353" s="28" t="s">
        <v>521</v>
      </c>
      <c r="L353" s="61">
        <v>110000460901</v>
      </c>
      <c r="M353" s="28" t="s">
        <v>254</v>
      </c>
      <c r="N353" s="28">
        <v>2819</v>
      </c>
      <c r="O353" s="28" t="str">
        <f>IFERROR(VLOOKUP(N353, 'SIC &amp; NAICS Codes'!A:B, 2, FALSE), "")</f>
        <v>Industrial Inorganic Chemicals, NEC (recovering sulfur from natural gas)</v>
      </c>
      <c r="S353" s="28">
        <v>13.243180000000001</v>
      </c>
      <c r="T353" s="315">
        <f>_xlfn.MAXIFS('Raw Period DMR Data'!$O:$O,'Raw Period DMR Data'!$A:$A,'Raw Annual DMR Data_2021-2024'!B929,'Raw Period DMR Data'!$C:$C,X353)/S353</f>
        <v>0</v>
      </c>
      <c r="U353" s="28" t="str">
        <f>+IF(COUNTIFS('Raw Period DMR Data'!$A:$A,B353, 'Raw Period DMR Data'!C:C,'Raw Annual DMR Data_2021-2024'!X929, 'Raw Period DMR Data'!M:M, "&gt;0")&gt;0,_xlfn.MAXIFS('Raw Period DMR Data'!M:M,'Raw Period DMR Data'!$A:$A,'Raw Annual DMR Data_2021-2024'!B929,'Raw Period DMR Data'!C:C,'Raw Annual DMR Data_2021-2024'!X929), "N/A - Period DMR Data Not Available")</f>
        <v>N/A - Period DMR Data Not Available</v>
      </c>
      <c r="V353" s="28" t="str" cm="1">
        <f t="array" ref="V353">IFERROR(INDEX('Raw Period DMR Data'!N:N,MATCH(1,(B353='Raw Period DMR Data'!$A:$A)*(U353='Raw Period DMR Data'!M:M)*(X353='Raw Period DMR Data'!C:C),0),1), "N/A")</f>
        <v>N/A</v>
      </c>
      <c r="W353" s="28" t="s">
        <v>1463</v>
      </c>
      <c r="X353" s="28" t="s">
        <v>881</v>
      </c>
      <c r="Y353" s="28" t="s">
        <v>7248</v>
      </c>
      <c r="Z353" s="61">
        <v>12040104000084</v>
      </c>
      <c r="AA353" s="60"/>
      <c r="AC353" s="28" t="s">
        <v>1466</v>
      </c>
    </row>
    <row r="354" spans="1:29" s="28" customFormat="1" x14ac:dyDescent="0.25">
      <c r="A354" s="61">
        <v>110000460901</v>
      </c>
      <c r="B354" s="28">
        <v>2024</v>
      </c>
      <c r="C354" s="68">
        <f t="shared" si="5"/>
        <v>45292</v>
      </c>
      <c r="D354" s="28" t="s">
        <v>6817</v>
      </c>
      <c r="E354" s="28" t="s">
        <v>519</v>
      </c>
      <c r="F354" s="28" t="s">
        <v>520</v>
      </c>
      <c r="G354" s="28" t="s">
        <v>362</v>
      </c>
      <c r="H354" s="28">
        <v>77012</v>
      </c>
      <c r="I354" s="28">
        <v>29.718139000000001</v>
      </c>
      <c r="J354" s="28">
        <v>-95.268749999999997</v>
      </c>
      <c r="K354" s="28" t="s">
        <v>521</v>
      </c>
      <c r="L354" s="61">
        <v>110000460901</v>
      </c>
      <c r="M354" s="28" t="s">
        <v>254</v>
      </c>
      <c r="N354" s="28">
        <v>2819</v>
      </c>
      <c r="O354" s="28" t="str">
        <f>IFERROR(VLOOKUP(N354, 'SIC &amp; NAICS Codes'!A:B, 2, FALSE), "")</f>
        <v>Industrial Inorganic Chemicals, NEC (recovering sulfur from natural gas)</v>
      </c>
      <c r="S354" s="28">
        <v>13.243180000000001</v>
      </c>
      <c r="T354" s="315">
        <f>_xlfn.MAXIFS('Raw Period DMR Data'!$O:$O,'Raw Period DMR Data'!$A:$A,'Raw Annual DMR Data_2021-2024'!B930,'Raw Period DMR Data'!$C:$C,X354)/S354</f>
        <v>0</v>
      </c>
      <c r="U354" s="28" t="str">
        <f>+IF(COUNTIFS('Raw Period DMR Data'!$A:$A,B354, 'Raw Period DMR Data'!C:C,'Raw Annual DMR Data_2021-2024'!X930, 'Raw Period DMR Data'!M:M, "&gt;0")&gt;0,_xlfn.MAXIFS('Raw Period DMR Data'!M:M,'Raw Period DMR Data'!$A:$A,'Raw Annual DMR Data_2021-2024'!B930,'Raw Period DMR Data'!C:C,'Raw Annual DMR Data_2021-2024'!X930), "N/A - Period DMR Data Not Available")</f>
        <v>N/A - Period DMR Data Not Available</v>
      </c>
      <c r="V354" s="28" t="str" cm="1">
        <f t="array" ref="V354">IFERROR(INDEX('Raw Period DMR Data'!N:N,MATCH(1,(B354='Raw Period DMR Data'!$A:$A)*(U354='Raw Period DMR Data'!M:M)*(X354='Raw Period DMR Data'!C:C),0),1), "N/A")</f>
        <v>N/A</v>
      </c>
      <c r="W354" s="28" t="s">
        <v>1463</v>
      </c>
      <c r="X354" s="28" t="s">
        <v>881</v>
      </c>
      <c r="Y354" s="28" t="s">
        <v>7248</v>
      </c>
      <c r="Z354" s="61">
        <v>12040104000084</v>
      </c>
      <c r="AA354" s="60"/>
      <c r="AC354" s="28" t="s">
        <v>1466</v>
      </c>
    </row>
    <row r="355" spans="1:29" s="28" customFormat="1" x14ac:dyDescent="0.25">
      <c r="A355" s="61">
        <v>110000460901</v>
      </c>
      <c r="B355" s="28">
        <v>2022</v>
      </c>
      <c r="C355" s="68">
        <f t="shared" si="5"/>
        <v>44562</v>
      </c>
      <c r="D355" s="28" t="s">
        <v>6817</v>
      </c>
      <c r="E355" s="28" t="s">
        <v>519</v>
      </c>
      <c r="F355" s="28" t="s">
        <v>520</v>
      </c>
      <c r="G355" s="28" t="s">
        <v>362</v>
      </c>
      <c r="H355" s="28">
        <v>77012</v>
      </c>
      <c r="I355" s="28">
        <v>29.718139000000001</v>
      </c>
      <c r="J355" s="28">
        <v>-95.268749999999997</v>
      </c>
      <c r="K355" s="28" t="s">
        <v>521</v>
      </c>
      <c r="L355" s="61">
        <v>110000460901</v>
      </c>
      <c r="M355" s="28" t="s">
        <v>254</v>
      </c>
      <c r="N355" s="28">
        <v>2819</v>
      </c>
      <c r="O355" s="28" t="str">
        <f>IFERROR(VLOOKUP(N355, 'SIC &amp; NAICS Codes'!A:B, 2, FALSE), "")</f>
        <v>Industrial Inorganic Chemicals, NEC (recovering sulfur from natural gas)</v>
      </c>
      <c r="S355" s="28">
        <v>12.43506</v>
      </c>
      <c r="T355" s="315">
        <f>_xlfn.MAXIFS('Raw Period DMR Data'!$O:$O,'Raw Period DMR Data'!$A:$A,'Raw Annual DMR Data_2021-2024'!B935,'Raw Period DMR Data'!$C:$C,X355)/S355</f>
        <v>0</v>
      </c>
      <c r="U355" s="28" t="str">
        <f>+IF(COUNTIFS('Raw Period DMR Data'!$A:$A,B355, 'Raw Period DMR Data'!C:C,'Raw Annual DMR Data_2021-2024'!X935, 'Raw Period DMR Data'!M:M, "&gt;0")&gt;0,_xlfn.MAXIFS('Raw Period DMR Data'!M:M,'Raw Period DMR Data'!$A:$A,'Raw Annual DMR Data_2021-2024'!B935,'Raw Period DMR Data'!C:C,'Raw Annual DMR Data_2021-2024'!X935), "N/A - Period DMR Data Not Available")</f>
        <v>N/A - Period DMR Data Not Available</v>
      </c>
      <c r="V355" s="28" t="str" cm="1">
        <f t="array" ref="V355">IFERROR(INDEX('Raw Period DMR Data'!N:N,MATCH(1,(B355='Raw Period DMR Data'!$A:$A)*(U355='Raw Period DMR Data'!M:M)*(X355='Raw Period DMR Data'!C:C),0),1), "N/A")</f>
        <v>N/A</v>
      </c>
      <c r="W355" s="28" t="s">
        <v>1463</v>
      </c>
      <c r="X355" s="28" t="s">
        <v>881</v>
      </c>
      <c r="Y355" s="28" t="s">
        <v>7248</v>
      </c>
      <c r="Z355" s="61">
        <v>12040104000084</v>
      </c>
      <c r="AA355" s="60"/>
      <c r="AC355" s="28" t="s">
        <v>1466</v>
      </c>
    </row>
    <row r="356" spans="1:29" s="28" customFormat="1" x14ac:dyDescent="0.25">
      <c r="A356" s="61">
        <v>110000460901</v>
      </c>
      <c r="B356" s="28">
        <v>2023</v>
      </c>
      <c r="C356" s="68">
        <f t="shared" si="5"/>
        <v>44927</v>
      </c>
      <c r="D356" s="28" t="s">
        <v>6817</v>
      </c>
      <c r="E356" s="28" t="s">
        <v>519</v>
      </c>
      <c r="F356" s="28" t="s">
        <v>520</v>
      </c>
      <c r="G356" s="28" t="s">
        <v>362</v>
      </c>
      <c r="H356" s="28">
        <v>77012</v>
      </c>
      <c r="I356" s="28">
        <v>29.718139000000001</v>
      </c>
      <c r="J356" s="28">
        <v>-95.268749999999997</v>
      </c>
      <c r="K356" s="28" t="s">
        <v>521</v>
      </c>
      <c r="L356" s="61">
        <v>110000460901</v>
      </c>
      <c r="M356" s="28" t="s">
        <v>254</v>
      </c>
      <c r="N356" s="28">
        <v>2819</v>
      </c>
      <c r="O356" s="28" t="str">
        <f>IFERROR(VLOOKUP(N356, 'SIC &amp; NAICS Codes'!A:B, 2, FALSE), "")</f>
        <v>Industrial Inorganic Chemicals, NEC (recovering sulfur from natural gas)</v>
      </c>
      <c r="S356" s="28">
        <v>12.42144</v>
      </c>
      <c r="T356" s="315">
        <f>_xlfn.MAXIFS('Raw Period DMR Data'!$O:$O,'Raw Period DMR Data'!$A:$A,'Raw Annual DMR Data_2021-2024'!B936,'Raw Period DMR Data'!$C:$C,X356)/S356</f>
        <v>0</v>
      </c>
      <c r="U356" s="28" t="str">
        <f>+IF(COUNTIFS('Raw Period DMR Data'!$A:$A,B356, 'Raw Period DMR Data'!C:C,'Raw Annual DMR Data_2021-2024'!X936, 'Raw Period DMR Data'!M:M, "&gt;0")&gt;0,_xlfn.MAXIFS('Raw Period DMR Data'!M:M,'Raw Period DMR Data'!$A:$A,'Raw Annual DMR Data_2021-2024'!B936,'Raw Period DMR Data'!C:C,'Raw Annual DMR Data_2021-2024'!X936), "N/A - Period DMR Data Not Available")</f>
        <v>N/A - Period DMR Data Not Available</v>
      </c>
      <c r="V356" s="28" t="str" cm="1">
        <f t="array" ref="V356">IFERROR(INDEX('Raw Period DMR Data'!N:N,MATCH(1,(B356='Raw Period DMR Data'!$A:$A)*(U356='Raw Period DMR Data'!M:M)*(X356='Raw Period DMR Data'!C:C),0),1), "N/A")</f>
        <v>N/A</v>
      </c>
      <c r="W356" s="28" t="s">
        <v>1463</v>
      </c>
      <c r="X356" s="28" t="s">
        <v>881</v>
      </c>
      <c r="Y356" s="28" t="s">
        <v>7248</v>
      </c>
      <c r="Z356" s="61">
        <v>12040104000084</v>
      </c>
      <c r="AA356" s="60"/>
      <c r="AC356" s="28" t="s">
        <v>1466</v>
      </c>
    </row>
    <row r="357" spans="1:29" s="28" customFormat="1" x14ac:dyDescent="0.25">
      <c r="A357" s="61">
        <v>110000460901</v>
      </c>
      <c r="B357" s="28">
        <v>2023</v>
      </c>
      <c r="C357" s="68">
        <f t="shared" si="5"/>
        <v>44927</v>
      </c>
      <c r="D357" s="28" t="s">
        <v>6817</v>
      </c>
      <c r="E357" s="28" t="s">
        <v>519</v>
      </c>
      <c r="F357" s="28" t="s">
        <v>520</v>
      </c>
      <c r="G357" s="28" t="s">
        <v>362</v>
      </c>
      <c r="H357" s="28">
        <v>77012</v>
      </c>
      <c r="I357" s="28">
        <v>29.718139000000001</v>
      </c>
      <c r="J357" s="28">
        <v>-95.268749999999997</v>
      </c>
      <c r="K357" s="28" t="s">
        <v>521</v>
      </c>
      <c r="L357" s="61">
        <v>110000460901</v>
      </c>
      <c r="M357" s="28" t="s">
        <v>254</v>
      </c>
      <c r="N357" s="28">
        <v>2819</v>
      </c>
      <c r="O357" s="28" t="str">
        <f>IFERROR(VLOOKUP(N357, 'SIC &amp; NAICS Codes'!A:B, 2, FALSE), "")</f>
        <v>Industrial Inorganic Chemicals, NEC (recovering sulfur from natural gas)</v>
      </c>
      <c r="S357" s="28">
        <v>12.42144</v>
      </c>
      <c r="T357" s="315">
        <f>_xlfn.MAXIFS('Raw Period DMR Data'!$O:$O,'Raw Period DMR Data'!$A:$A,'Raw Annual DMR Data_2021-2024'!B937,'Raw Period DMR Data'!$C:$C,X357)/S357</f>
        <v>0</v>
      </c>
      <c r="U357" s="28" t="str">
        <f>+IF(COUNTIFS('Raw Period DMR Data'!$A:$A,B357, 'Raw Period DMR Data'!C:C,'Raw Annual DMR Data_2021-2024'!X937, 'Raw Period DMR Data'!M:M, "&gt;0")&gt;0,_xlfn.MAXIFS('Raw Period DMR Data'!M:M,'Raw Period DMR Data'!$A:$A,'Raw Annual DMR Data_2021-2024'!B937,'Raw Period DMR Data'!C:C,'Raw Annual DMR Data_2021-2024'!X937), "N/A - Period DMR Data Not Available")</f>
        <v>N/A - Period DMR Data Not Available</v>
      </c>
      <c r="V357" s="28" t="str" cm="1">
        <f t="array" ref="V357">IFERROR(INDEX('Raw Period DMR Data'!N:N,MATCH(1,(B357='Raw Period DMR Data'!$A:$A)*(U357='Raw Period DMR Data'!M:M)*(X357='Raw Period DMR Data'!C:C),0),1), "N/A")</f>
        <v>N/A</v>
      </c>
      <c r="W357" s="28" t="s">
        <v>1463</v>
      </c>
      <c r="X357" s="28" t="s">
        <v>881</v>
      </c>
      <c r="Y357" s="28" t="s">
        <v>7248</v>
      </c>
      <c r="Z357" s="61">
        <v>12040104000084</v>
      </c>
      <c r="AA357" s="60"/>
      <c r="AC357" s="28" t="s">
        <v>1466</v>
      </c>
    </row>
    <row r="358" spans="1:29" s="28" customFormat="1" x14ac:dyDescent="0.25">
      <c r="A358" s="61">
        <v>110000460901</v>
      </c>
      <c r="B358" s="28">
        <v>2022</v>
      </c>
      <c r="C358" s="68">
        <f t="shared" si="5"/>
        <v>44562</v>
      </c>
      <c r="D358" s="28" t="s">
        <v>6817</v>
      </c>
      <c r="E358" s="28" t="s">
        <v>519</v>
      </c>
      <c r="F358" s="28" t="s">
        <v>520</v>
      </c>
      <c r="G358" s="28" t="s">
        <v>362</v>
      </c>
      <c r="H358" s="28">
        <v>77012</v>
      </c>
      <c r="I358" s="28">
        <v>29.718139000000001</v>
      </c>
      <c r="J358" s="28">
        <v>-95.268749999999997</v>
      </c>
      <c r="K358" s="28" t="s">
        <v>521</v>
      </c>
      <c r="L358" s="61">
        <v>110000460901</v>
      </c>
      <c r="M358" s="28" t="s">
        <v>254</v>
      </c>
      <c r="N358" s="28">
        <v>2819</v>
      </c>
      <c r="O358" s="28" t="str">
        <f>IFERROR(VLOOKUP(N358, 'SIC &amp; NAICS Codes'!A:B, 2, FALSE), "")</f>
        <v>Industrial Inorganic Chemicals, NEC (recovering sulfur from natural gas)</v>
      </c>
      <c r="S358" s="28">
        <v>11.50436</v>
      </c>
      <c r="T358" s="315">
        <f>_xlfn.MAXIFS('Raw Period DMR Data'!$O:$O,'Raw Period DMR Data'!$A:$A,'Raw Annual DMR Data_2021-2024'!B941,'Raw Period DMR Data'!$C:$C,X358)/S358</f>
        <v>0</v>
      </c>
      <c r="U358" s="28" t="str">
        <f>+IF(COUNTIFS('Raw Period DMR Data'!$A:$A,B358, 'Raw Period DMR Data'!C:C,'Raw Annual DMR Data_2021-2024'!X941, 'Raw Period DMR Data'!M:M, "&gt;0")&gt;0,_xlfn.MAXIFS('Raw Period DMR Data'!M:M,'Raw Period DMR Data'!$A:$A,'Raw Annual DMR Data_2021-2024'!B941,'Raw Period DMR Data'!C:C,'Raw Annual DMR Data_2021-2024'!X941), "N/A - Period DMR Data Not Available")</f>
        <v>N/A - Period DMR Data Not Available</v>
      </c>
      <c r="V358" s="28" t="str" cm="1">
        <f t="array" ref="V358">IFERROR(INDEX('Raw Period DMR Data'!N:N,MATCH(1,(B358='Raw Period DMR Data'!$A:$A)*(U358='Raw Period DMR Data'!M:M)*(X358='Raw Period DMR Data'!C:C),0),1), "N/A")</f>
        <v>N/A</v>
      </c>
      <c r="W358" s="28" t="s">
        <v>1463</v>
      </c>
      <c r="X358" s="28" t="s">
        <v>881</v>
      </c>
      <c r="Y358" s="28" t="s">
        <v>7248</v>
      </c>
      <c r="Z358" s="61">
        <v>12040104000084</v>
      </c>
      <c r="AA358" s="60"/>
      <c r="AC358" s="28" t="s">
        <v>1466</v>
      </c>
    </row>
    <row r="359" spans="1:29" s="28" customFormat="1" x14ac:dyDescent="0.25">
      <c r="A359" s="61">
        <v>110000460901</v>
      </c>
      <c r="B359" s="28">
        <v>2022</v>
      </c>
      <c r="C359" s="68">
        <f t="shared" si="5"/>
        <v>44562</v>
      </c>
      <c r="D359" s="28" t="s">
        <v>6817</v>
      </c>
      <c r="E359" s="28" t="s">
        <v>519</v>
      </c>
      <c r="F359" s="28" t="s">
        <v>520</v>
      </c>
      <c r="G359" s="28" t="s">
        <v>362</v>
      </c>
      <c r="H359" s="28">
        <v>77012</v>
      </c>
      <c r="I359" s="28">
        <v>29.718139000000001</v>
      </c>
      <c r="J359" s="28">
        <v>-95.268749999999997</v>
      </c>
      <c r="K359" s="28" t="s">
        <v>521</v>
      </c>
      <c r="L359" s="61">
        <v>110000460901</v>
      </c>
      <c r="M359" s="28" t="s">
        <v>254</v>
      </c>
      <c r="N359" s="28">
        <v>2819</v>
      </c>
      <c r="O359" s="28" t="str">
        <f>IFERROR(VLOOKUP(N359, 'SIC &amp; NAICS Codes'!A:B, 2, FALSE), "")</f>
        <v>Industrial Inorganic Chemicals, NEC (recovering sulfur from natural gas)</v>
      </c>
      <c r="S359" s="28">
        <v>11.50436</v>
      </c>
      <c r="T359" s="315">
        <f>_xlfn.MAXIFS('Raw Period DMR Data'!$O:$O,'Raw Period DMR Data'!$A:$A,'Raw Annual DMR Data_2021-2024'!B942,'Raw Period DMR Data'!$C:$C,X359)/S359</f>
        <v>0</v>
      </c>
      <c r="U359" s="28" t="str">
        <f>+IF(COUNTIFS('Raw Period DMR Data'!$A:$A,B359, 'Raw Period DMR Data'!C:C,'Raw Annual DMR Data_2021-2024'!X942, 'Raw Period DMR Data'!M:M, "&gt;0")&gt;0,_xlfn.MAXIFS('Raw Period DMR Data'!M:M,'Raw Period DMR Data'!$A:$A,'Raw Annual DMR Data_2021-2024'!B942,'Raw Period DMR Data'!C:C,'Raw Annual DMR Data_2021-2024'!X942), "N/A - Period DMR Data Not Available")</f>
        <v>N/A - Period DMR Data Not Available</v>
      </c>
      <c r="V359" s="28" t="str" cm="1">
        <f t="array" ref="V359">IFERROR(INDEX('Raw Period DMR Data'!N:N,MATCH(1,(B359='Raw Period DMR Data'!$A:$A)*(U359='Raw Period DMR Data'!M:M)*(X359='Raw Period DMR Data'!C:C),0),1), "N/A")</f>
        <v>N/A</v>
      </c>
      <c r="W359" s="28" t="s">
        <v>1463</v>
      </c>
      <c r="X359" s="28" t="s">
        <v>881</v>
      </c>
      <c r="Y359" s="28" t="s">
        <v>7248</v>
      </c>
      <c r="Z359" s="61">
        <v>12040104000084</v>
      </c>
      <c r="AA359" s="60"/>
      <c r="AC359" s="28" t="s">
        <v>1466</v>
      </c>
    </row>
    <row r="360" spans="1:29" s="28" customFormat="1" x14ac:dyDescent="0.25">
      <c r="A360" s="61">
        <v>110001143584</v>
      </c>
      <c r="B360" s="28">
        <v>2022</v>
      </c>
      <c r="C360" s="68">
        <f t="shared" si="5"/>
        <v>44562</v>
      </c>
      <c r="D360" s="28" t="s">
        <v>144</v>
      </c>
      <c r="E360" s="28" t="s">
        <v>467</v>
      </c>
      <c r="F360" s="28" t="s">
        <v>302</v>
      </c>
      <c r="G360" s="28" t="s">
        <v>303</v>
      </c>
      <c r="H360" s="28">
        <v>70805</v>
      </c>
      <c r="I360" s="28">
        <v>30.483523000000002</v>
      </c>
      <c r="J360" s="28">
        <v>-91.183440000000004</v>
      </c>
      <c r="L360" s="61">
        <v>110001143584</v>
      </c>
      <c r="M360" s="28" t="s">
        <v>254</v>
      </c>
      <c r="N360" s="28">
        <v>2869</v>
      </c>
      <c r="O360" s="28" t="str">
        <f>IFERROR(VLOOKUP(N360, 'SIC &amp; NAICS Codes'!A:B, 2, FALSE), "")</f>
        <v>Industrial Organic Chemicals, NEC (aliphatics)</v>
      </c>
      <c r="S360" s="28">
        <v>7.8759831849999999</v>
      </c>
      <c r="T360" s="315">
        <f>_xlfn.MAXIFS('Raw Period DMR Data'!$O:$O,'Raw Period DMR Data'!$A:$A,'Raw Annual DMR Data_2021-2024'!B964,'Raw Period DMR Data'!$C:$C,X360)/S360</f>
        <v>0</v>
      </c>
      <c r="U360" s="28" t="str">
        <f>+IF(COUNTIFS('Raw Period DMR Data'!$A:$A,B360, 'Raw Period DMR Data'!C:C,'Raw Annual DMR Data_2021-2024'!X964, 'Raw Period DMR Data'!M:M, "&gt;0")&gt;0,_xlfn.MAXIFS('Raw Period DMR Data'!M:M,'Raw Period DMR Data'!$A:$A,'Raw Annual DMR Data_2021-2024'!B964,'Raw Period DMR Data'!C:C,'Raw Annual DMR Data_2021-2024'!X964), "N/A - Period DMR Data Not Available")</f>
        <v>N/A - Period DMR Data Not Available</v>
      </c>
      <c r="V360" s="28" t="str" cm="1">
        <f t="array" ref="V360">IFERROR(INDEX('Raw Period DMR Data'!N:N,MATCH(1,(B360='Raw Period DMR Data'!$A:$A)*(U360='Raw Period DMR Data'!M:M)*(X360='Raw Period DMR Data'!C:C),0),1), "N/A")</f>
        <v>N/A</v>
      </c>
      <c r="W360" s="28" t="s">
        <v>1463</v>
      </c>
      <c r="X360" s="28" t="s">
        <v>852</v>
      </c>
      <c r="Y360" s="28">
        <v>701</v>
      </c>
      <c r="Z360" s="61">
        <v>8070201006480</v>
      </c>
      <c r="AA360" s="60"/>
      <c r="AB360" s="28" t="s">
        <v>7355</v>
      </c>
      <c r="AC360" s="28" t="s">
        <v>1466</v>
      </c>
    </row>
    <row r="361" spans="1:29" s="28" customFormat="1" x14ac:dyDescent="0.25">
      <c r="A361" s="61">
        <v>110001143584</v>
      </c>
      <c r="B361" s="28">
        <v>2021</v>
      </c>
      <c r="C361" s="68">
        <f t="shared" si="5"/>
        <v>44197</v>
      </c>
      <c r="D361" s="28" t="s">
        <v>144</v>
      </c>
      <c r="E361" s="28" t="s">
        <v>467</v>
      </c>
      <c r="F361" s="28" t="s">
        <v>302</v>
      </c>
      <c r="G361" s="28" t="s">
        <v>303</v>
      </c>
      <c r="H361" s="28">
        <v>70805</v>
      </c>
      <c r="I361" s="28">
        <v>30.483523000000002</v>
      </c>
      <c r="J361" s="28">
        <v>-91.183440000000004</v>
      </c>
      <c r="L361" s="61">
        <v>110001143584</v>
      </c>
      <c r="M361" s="28" t="s">
        <v>254</v>
      </c>
      <c r="N361" s="28">
        <v>2869</v>
      </c>
      <c r="O361" s="28" t="str">
        <f>IFERROR(VLOOKUP(N361, 'SIC &amp; NAICS Codes'!A:B, 2, FALSE), "")</f>
        <v>Industrial Organic Chemicals, NEC (aliphatics)</v>
      </c>
      <c r="S361" s="28">
        <v>3.2217617199999999</v>
      </c>
      <c r="T361" s="315">
        <f>_xlfn.MAXIFS('Raw Period DMR Data'!$O:$O,'Raw Period DMR Data'!$A:$A,'Raw Annual DMR Data_2021-2024'!#REF!,'Raw Period DMR Data'!$C:$C,X361)/S361</f>
        <v>0</v>
      </c>
      <c r="U361" s="28" t="str">
        <f>+IF(COUNTIFS('Raw Period DMR Data'!$A:$A,B361,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61" s="28" t="str" cm="1">
        <f t="array" ref="V361">IFERROR(INDEX('Raw Period DMR Data'!N:N,MATCH(1,(B361='Raw Period DMR Data'!$A:$A)*(U361='Raw Period DMR Data'!M:M)*(X361='Raw Period DMR Data'!C:C),0),1), "N/A")</f>
        <v>N/A</v>
      </c>
      <c r="W361" s="28" t="s">
        <v>1463</v>
      </c>
      <c r="X361" s="28" t="s">
        <v>852</v>
      </c>
      <c r="Y361" s="28">
        <v>701</v>
      </c>
      <c r="Z361" s="61">
        <v>8070201006480</v>
      </c>
      <c r="AB361" s="28" t="s">
        <v>7355</v>
      </c>
      <c r="AC361" s="28" t="s">
        <v>1466</v>
      </c>
    </row>
    <row r="362" spans="1:29" s="28" customFormat="1" x14ac:dyDescent="0.25">
      <c r="A362" s="61">
        <v>110001143584</v>
      </c>
      <c r="B362" s="28">
        <v>2023</v>
      </c>
      <c r="C362" s="68">
        <f t="shared" si="5"/>
        <v>44927</v>
      </c>
      <c r="D362" s="28" t="s">
        <v>144</v>
      </c>
      <c r="E362" s="28" t="s">
        <v>467</v>
      </c>
      <c r="F362" s="28" t="s">
        <v>302</v>
      </c>
      <c r="G362" s="28" t="s">
        <v>303</v>
      </c>
      <c r="H362" s="28">
        <v>70805</v>
      </c>
      <c r="I362" s="28">
        <v>30.483523000000002</v>
      </c>
      <c r="J362" s="28">
        <v>-91.183440000000004</v>
      </c>
      <c r="L362" s="61">
        <v>110001143584</v>
      </c>
      <c r="M362" s="28" t="s">
        <v>254</v>
      </c>
      <c r="N362" s="28">
        <v>2869</v>
      </c>
      <c r="O362" s="28" t="str">
        <f>IFERROR(VLOOKUP(N362, 'SIC &amp; NAICS Codes'!A:B, 2, FALSE), "")</f>
        <v>Industrial Organic Chemicals, NEC (aliphatics)</v>
      </c>
      <c r="S362" s="28">
        <v>1.3619161791900001</v>
      </c>
      <c r="T362" s="315">
        <f>_xlfn.MAXIFS('Raw Period DMR Data'!$O:$O,'Raw Period DMR Data'!$A:$A,'Raw Annual DMR Data_2021-2024'!#REF!,'Raw Period DMR Data'!$C:$C,X362)/S362</f>
        <v>0</v>
      </c>
      <c r="U362" s="28" t="str">
        <f>+IF(COUNTIFS('Raw Period DMR Data'!$A:$A,B362,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62" s="28" t="str" cm="1">
        <f t="array" ref="V362">IFERROR(INDEX('Raw Period DMR Data'!N:N,MATCH(1,(B362='Raw Period DMR Data'!$A:$A)*(U362='Raw Period DMR Data'!M:M)*(X362='Raw Period DMR Data'!C:C),0),1), "N/A")</f>
        <v>N/A</v>
      </c>
      <c r="W362" s="28" t="s">
        <v>1463</v>
      </c>
      <c r="X362" s="28" t="s">
        <v>852</v>
      </c>
      <c r="Y362" s="28" t="s">
        <v>1739</v>
      </c>
      <c r="Z362" s="61" t="s">
        <v>1740</v>
      </c>
      <c r="AA362" s="60"/>
      <c r="AB362" s="28" t="s">
        <v>7355</v>
      </c>
      <c r="AC362" s="28" t="s">
        <v>1466</v>
      </c>
    </row>
    <row r="363" spans="1:29" s="28" customFormat="1" x14ac:dyDescent="0.25">
      <c r="A363" s="61">
        <v>110001143584</v>
      </c>
      <c r="B363" s="28">
        <v>2024</v>
      </c>
      <c r="C363" s="68">
        <f t="shared" si="5"/>
        <v>45292</v>
      </c>
      <c r="D363" s="28" t="s">
        <v>144</v>
      </c>
      <c r="E363" s="28" t="s">
        <v>467</v>
      </c>
      <c r="F363" s="28" t="s">
        <v>302</v>
      </c>
      <c r="G363" s="28" t="s">
        <v>303</v>
      </c>
      <c r="H363" s="28">
        <v>70805</v>
      </c>
      <c r="I363" s="28">
        <v>30.483523000000002</v>
      </c>
      <c r="J363" s="28">
        <v>-91.183440000000004</v>
      </c>
      <c r="L363" s="61">
        <v>110001143584</v>
      </c>
      <c r="M363" s="28" t="s">
        <v>254</v>
      </c>
      <c r="N363" s="28">
        <v>2869</v>
      </c>
      <c r="O363" s="28" t="str">
        <f>IFERROR(VLOOKUP(N363, 'SIC &amp; NAICS Codes'!A:B, 2, FALSE), "")</f>
        <v>Industrial Organic Chemicals, NEC (aliphatics)</v>
      </c>
      <c r="S363" s="28">
        <v>0.76223468111649995</v>
      </c>
      <c r="T363" s="315">
        <f>_xlfn.MAXIFS('Raw Period DMR Data'!$O:$O,'Raw Period DMR Data'!$A:$A,'Raw Annual DMR Data_2021-2024'!#REF!,'Raw Period DMR Data'!$C:$C,X363)/S363</f>
        <v>0</v>
      </c>
      <c r="U363" s="28" t="str">
        <f>+IF(COUNTIFS('Raw Period DMR Data'!$A:$A,B363,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63" s="28" t="str" cm="1">
        <f t="array" ref="V363">IFERROR(INDEX('Raw Period DMR Data'!N:N,MATCH(1,(B363='Raw Period DMR Data'!$A:$A)*(U363='Raw Period DMR Data'!M:M)*(X363='Raw Period DMR Data'!C:C),0),1), "N/A")</f>
        <v>N/A</v>
      </c>
      <c r="W363" s="28" t="s">
        <v>1463</v>
      </c>
      <c r="X363" s="28" t="s">
        <v>852</v>
      </c>
      <c r="Y363" s="28">
        <v>701</v>
      </c>
      <c r="Z363" s="61">
        <v>8070201006480</v>
      </c>
      <c r="AA363" s="60"/>
      <c r="AB363" s="28" t="s">
        <v>7355</v>
      </c>
      <c r="AC363" s="28" t="s">
        <v>1466</v>
      </c>
    </row>
    <row r="364" spans="1:29" s="28" customFormat="1" x14ac:dyDescent="0.25">
      <c r="A364" s="61">
        <v>110001143584</v>
      </c>
      <c r="B364" s="28">
        <v>2024</v>
      </c>
      <c r="C364" s="68">
        <f t="shared" si="5"/>
        <v>45292</v>
      </c>
      <c r="D364" s="28" t="s">
        <v>144</v>
      </c>
      <c r="E364" s="28" t="s">
        <v>467</v>
      </c>
      <c r="F364" s="28" t="s">
        <v>302</v>
      </c>
      <c r="G364" s="28" t="s">
        <v>303</v>
      </c>
      <c r="H364" s="28">
        <v>70805</v>
      </c>
      <c r="I364" s="28">
        <v>30.483523000000002</v>
      </c>
      <c r="J364" s="28">
        <v>-91.183440000000004</v>
      </c>
      <c r="L364" s="61">
        <v>110001143584</v>
      </c>
      <c r="M364" s="28" t="s">
        <v>254</v>
      </c>
      <c r="N364" s="28">
        <v>2869</v>
      </c>
      <c r="O364" s="28" t="str">
        <f>IFERROR(VLOOKUP(N364, 'SIC &amp; NAICS Codes'!A:B, 2, FALSE), "")</f>
        <v>Industrial Organic Chemicals, NEC (aliphatics)</v>
      </c>
      <c r="S364" s="28">
        <v>7.0504103400000004E-3</v>
      </c>
      <c r="T364" s="315">
        <f>_xlfn.MAXIFS('Raw Period DMR Data'!$O:$O,'Raw Period DMR Data'!$A:$A,'Raw Annual DMR Data_2021-2024'!#REF!,'Raw Period DMR Data'!$C:$C,X364)/S364</f>
        <v>0</v>
      </c>
      <c r="U364" s="28" t="str">
        <f>+IF(COUNTIFS('Raw Period DMR Data'!$A:$A,B364,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64" s="28" t="str" cm="1">
        <f t="array" ref="V364">IFERROR(INDEX('Raw Period DMR Data'!N:N,MATCH(1,(B364='Raw Period DMR Data'!$A:$A)*(U364='Raw Period DMR Data'!M:M)*(X364='Raw Period DMR Data'!C:C),0),1), "N/A")</f>
        <v>N/A</v>
      </c>
      <c r="W364" s="28" t="s">
        <v>1463</v>
      </c>
      <c r="X364" s="28" t="s">
        <v>852</v>
      </c>
      <c r="Y364" s="28">
        <v>701</v>
      </c>
      <c r="Z364" s="61">
        <v>8070201006480</v>
      </c>
      <c r="AA364" s="60"/>
      <c r="AB364" s="28" t="s">
        <v>7355</v>
      </c>
      <c r="AC364" s="28" t="s">
        <v>1466</v>
      </c>
    </row>
    <row r="365" spans="1:29" s="28" customFormat="1" x14ac:dyDescent="0.25">
      <c r="A365" s="61">
        <v>110001143584</v>
      </c>
      <c r="B365" s="28">
        <v>2023</v>
      </c>
      <c r="C365" s="68">
        <f t="shared" si="5"/>
        <v>44927</v>
      </c>
      <c r="D365" s="28" t="s">
        <v>144</v>
      </c>
      <c r="E365" s="28" t="s">
        <v>467</v>
      </c>
      <c r="F365" s="28" t="s">
        <v>302</v>
      </c>
      <c r="G365" s="28" t="s">
        <v>303</v>
      </c>
      <c r="H365" s="28">
        <v>70805</v>
      </c>
      <c r="I365" s="28">
        <v>30.483523000000002</v>
      </c>
      <c r="J365" s="28">
        <v>-91.183440000000004</v>
      </c>
      <c r="L365" s="61">
        <v>110001143584</v>
      </c>
      <c r="M365" s="28" t="s">
        <v>254</v>
      </c>
      <c r="N365" s="28">
        <v>2869</v>
      </c>
      <c r="O365" s="28" t="str">
        <f>IFERROR(VLOOKUP(N365, 'SIC &amp; NAICS Codes'!A:B, 2, FALSE), "")</f>
        <v>Industrial Organic Chemicals, NEC (aliphatics)</v>
      </c>
      <c r="S365" s="28">
        <v>4.04370475E-3</v>
      </c>
      <c r="T365" s="315">
        <f>_xlfn.MAXIFS('Raw Period DMR Data'!$O:$O,'Raw Period DMR Data'!$A:$A,'Raw Annual DMR Data_2021-2024'!#REF!,'Raw Period DMR Data'!$C:$C,X365)/S365</f>
        <v>0</v>
      </c>
      <c r="U365" s="28" t="str">
        <f>+IF(COUNTIFS('Raw Period DMR Data'!$A:$A,B365,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65" s="28" t="str" cm="1">
        <f t="array" ref="V365">IFERROR(INDEX('Raw Period DMR Data'!N:N,MATCH(1,(B365='Raw Period DMR Data'!$A:$A)*(U365='Raw Period DMR Data'!M:M)*(X365='Raw Period DMR Data'!C:C),0),1), "N/A")</f>
        <v>N/A</v>
      </c>
      <c r="W365" s="28" t="s">
        <v>1463</v>
      </c>
      <c r="X365" s="28" t="s">
        <v>852</v>
      </c>
      <c r="Y365" s="28" t="s">
        <v>1739</v>
      </c>
      <c r="Z365" s="61" t="s">
        <v>1740</v>
      </c>
      <c r="AA365" s="60"/>
      <c r="AB365" s="28" t="s">
        <v>7355</v>
      </c>
      <c r="AC365" s="28" t="s">
        <v>1466</v>
      </c>
    </row>
    <row r="366" spans="1:29" s="28" customFormat="1" x14ac:dyDescent="0.25">
      <c r="A366" s="61">
        <v>110000404296</v>
      </c>
      <c r="B366" s="28">
        <v>2021</v>
      </c>
      <c r="C366" s="68">
        <f t="shared" si="5"/>
        <v>44197</v>
      </c>
      <c r="D366" s="28" t="s">
        <v>145</v>
      </c>
      <c r="E366" s="28" t="s">
        <v>468</v>
      </c>
      <c r="F366" s="28" t="s">
        <v>314</v>
      </c>
      <c r="G366" s="28" t="s">
        <v>469</v>
      </c>
      <c r="H366" s="28">
        <v>479099201</v>
      </c>
      <c r="I366" s="28">
        <v>40.390543999999998</v>
      </c>
      <c r="J366" s="28">
        <v>-86.936173999999994</v>
      </c>
      <c r="K366" s="28" t="s">
        <v>470</v>
      </c>
      <c r="L366" s="61">
        <v>110000404296</v>
      </c>
      <c r="M366" s="28" t="s">
        <v>254</v>
      </c>
      <c r="N366" s="28">
        <v>2833</v>
      </c>
      <c r="O366" s="28" t="str">
        <f>IFERROR(VLOOKUP(N366, 'SIC &amp; NAICS Codes'!A:B, 2, FALSE), "")</f>
        <v>Medicinal Chemicals and Botanical Products</v>
      </c>
      <c r="S366" s="28">
        <v>0.42922068000000002</v>
      </c>
      <c r="T366" s="315">
        <f>_xlfn.MAXIFS('Raw Period DMR Data'!$O:$O,'Raw Period DMR Data'!$A:$A,'Raw Annual DMR Data_2021-2024'!#REF!,'Raw Period DMR Data'!$C:$C,X366)/S366</f>
        <v>0</v>
      </c>
      <c r="U366" s="28" t="str">
        <f>+IF(COUNTIFS('Raw Period DMR Data'!$A:$A,B366,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66" s="28" t="str" cm="1">
        <f t="array" ref="V366">IFERROR(INDEX('Raw Period DMR Data'!N:N,MATCH(1,(B366='Raw Period DMR Data'!$A:$A)*(U366='Raw Period DMR Data'!M:M)*(X366='Raw Period DMR Data'!C:C),0),1), "N/A")</f>
        <v>N/A</v>
      </c>
      <c r="W366" s="28" t="s">
        <v>1463</v>
      </c>
      <c r="X366" s="28" t="s">
        <v>853</v>
      </c>
      <c r="Y366" s="28" t="s">
        <v>854</v>
      </c>
      <c r="Z366" s="61">
        <v>5120108000208</v>
      </c>
      <c r="AB366" s="28" t="s">
        <v>7355</v>
      </c>
      <c r="AC366" s="28" t="s">
        <v>1466</v>
      </c>
    </row>
    <row r="367" spans="1:29" s="28" customFormat="1" x14ac:dyDescent="0.25">
      <c r="A367" s="61">
        <v>110000404296</v>
      </c>
      <c r="B367" s="28">
        <v>2023</v>
      </c>
      <c r="C367" s="68">
        <f t="shared" si="5"/>
        <v>44927</v>
      </c>
      <c r="D367" s="28" t="s">
        <v>145</v>
      </c>
      <c r="E367" s="28" t="s">
        <v>468</v>
      </c>
      <c r="F367" s="28" t="s">
        <v>314</v>
      </c>
      <c r="G367" s="28" t="s">
        <v>469</v>
      </c>
      <c r="H367" s="28">
        <v>479099201</v>
      </c>
      <c r="I367" s="28">
        <v>40.390543999999998</v>
      </c>
      <c r="J367" s="28">
        <v>-86.936173999999994</v>
      </c>
      <c r="K367" s="28" t="s">
        <v>470</v>
      </c>
      <c r="L367" s="61">
        <v>110000404296</v>
      </c>
      <c r="M367" s="28" t="s">
        <v>254</v>
      </c>
      <c r="N367" s="28">
        <v>2833</v>
      </c>
      <c r="O367" s="28" t="str">
        <f>IFERROR(VLOOKUP(N367, 'SIC &amp; NAICS Codes'!A:B, 2, FALSE), "")</f>
        <v>Medicinal Chemicals and Botanical Products</v>
      </c>
      <c r="S367" s="28">
        <v>0.20727370000000001</v>
      </c>
      <c r="T367" s="315">
        <f>_xlfn.MAXIFS('Raw Period DMR Data'!$O:$O,'Raw Period DMR Data'!$A:$A,'Raw Annual DMR Data_2021-2024'!#REF!,'Raw Period DMR Data'!$C:$C,X367)/S367</f>
        <v>0</v>
      </c>
      <c r="U367" s="28" t="str">
        <f>+IF(COUNTIFS('Raw Period DMR Data'!$A:$A,B367,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67" s="28" t="str" cm="1">
        <f t="array" ref="V367">IFERROR(INDEX('Raw Period DMR Data'!N:N,MATCH(1,(B367='Raw Period DMR Data'!$A:$A)*(U367='Raw Period DMR Data'!M:M)*(X367='Raw Period DMR Data'!C:C),0),1), "N/A")</f>
        <v>N/A</v>
      </c>
      <c r="W367" s="28" t="s">
        <v>1463</v>
      </c>
      <c r="X367" s="28" t="s">
        <v>853</v>
      </c>
      <c r="Y367" s="28" t="s">
        <v>854</v>
      </c>
      <c r="Z367" s="61" t="s">
        <v>1746</v>
      </c>
      <c r="AA367" s="60"/>
      <c r="AB367" s="28" t="s">
        <v>7355</v>
      </c>
      <c r="AC367" s="28" t="s">
        <v>1466</v>
      </c>
    </row>
    <row r="368" spans="1:29" s="28" customFormat="1" x14ac:dyDescent="0.25">
      <c r="A368" s="61">
        <v>110000404296</v>
      </c>
      <c r="B368" s="28">
        <v>2024</v>
      </c>
      <c r="C368" s="68">
        <f t="shared" si="5"/>
        <v>45292</v>
      </c>
      <c r="D368" s="28" t="s">
        <v>145</v>
      </c>
      <c r="E368" s="28" t="s">
        <v>468</v>
      </c>
      <c r="F368" s="28" t="s">
        <v>314</v>
      </c>
      <c r="G368" s="28" t="s">
        <v>469</v>
      </c>
      <c r="H368" s="28">
        <v>479099201</v>
      </c>
      <c r="I368" s="28">
        <v>40.390543999999998</v>
      </c>
      <c r="J368" s="28">
        <v>-86.936173999999994</v>
      </c>
      <c r="K368" s="28" t="s">
        <v>470</v>
      </c>
      <c r="L368" s="61">
        <v>110000404296</v>
      </c>
      <c r="M368" s="28" t="s">
        <v>254</v>
      </c>
      <c r="N368" s="28">
        <v>2833</v>
      </c>
      <c r="O368" s="28" t="str">
        <f>IFERROR(VLOOKUP(N368, 'SIC &amp; NAICS Codes'!A:B, 2, FALSE), "")</f>
        <v>Medicinal Chemicals and Botanical Products</v>
      </c>
      <c r="S368" s="28">
        <v>0.19222359999999999</v>
      </c>
      <c r="T368" s="315">
        <f>_xlfn.MAXIFS('Raw Period DMR Data'!$O:$O,'Raw Period DMR Data'!$A:$A,'Raw Annual DMR Data_2021-2024'!#REF!,'Raw Period DMR Data'!$C:$C,X368)/S368</f>
        <v>0</v>
      </c>
      <c r="U368" s="28" t="str">
        <f>+IF(COUNTIFS('Raw Period DMR Data'!$A:$A,B368,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68" s="28" t="str" cm="1">
        <f t="array" ref="V368">IFERROR(INDEX('Raw Period DMR Data'!N:N,MATCH(1,(B368='Raw Period DMR Data'!$A:$A)*(U368='Raw Period DMR Data'!M:M)*(X368='Raw Period DMR Data'!C:C),0),1), "N/A")</f>
        <v>N/A</v>
      </c>
      <c r="W368" s="28" t="s">
        <v>1463</v>
      </c>
      <c r="X368" s="28" t="s">
        <v>853</v>
      </c>
      <c r="Y368" s="28" t="s">
        <v>854</v>
      </c>
      <c r="Z368" s="61">
        <v>5120108000208</v>
      </c>
      <c r="AA368" s="60"/>
      <c r="AB368" s="28" t="s">
        <v>7355</v>
      </c>
      <c r="AC368" s="28" t="s">
        <v>1466</v>
      </c>
    </row>
    <row r="369" spans="1:29" s="28" customFormat="1" x14ac:dyDescent="0.25">
      <c r="A369" s="61">
        <v>110000404296</v>
      </c>
      <c r="B369" s="28">
        <v>2022</v>
      </c>
      <c r="C369" s="68">
        <f t="shared" si="5"/>
        <v>44562</v>
      </c>
      <c r="D369" s="28" t="s">
        <v>145</v>
      </c>
      <c r="E369" s="28" t="s">
        <v>468</v>
      </c>
      <c r="F369" s="28" t="s">
        <v>314</v>
      </c>
      <c r="G369" s="28" t="s">
        <v>469</v>
      </c>
      <c r="H369" s="28">
        <v>479099201</v>
      </c>
      <c r="I369" s="28">
        <v>40.390543999999998</v>
      </c>
      <c r="J369" s="28">
        <v>-86.936173999999994</v>
      </c>
      <c r="K369" s="28" t="s">
        <v>470</v>
      </c>
      <c r="L369" s="61">
        <v>110000404296</v>
      </c>
      <c r="M369" s="28" t="s">
        <v>254</v>
      </c>
      <c r="N369" s="28">
        <v>2833</v>
      </c>
      <c r="O369" s="28" t="str">
        <f>IFERROR(VLOOKUP(N369, 'SIC &amp; NAICS Codes'!A:B, 2, FALSE), "")</f>
        <v>Medicinal Chemicals and Botanical Products</v>
      </c>
      <c r="S369" s="28">
        <v>0.18007909999999999</v>
      </c>
      <c r="T369" s="315">
        <f>_xlfn.MAXIFS('Raw Period DMR Data'!$O:$O,'Raw Period DMR Data'!$A:$A,'Raw Annual DMR Data_2021-2024'!#REF!,'Raw Period DMR Data'!$C:$C,X369)/S369</f>
        <v>0</v>
      </c>
      <c r="U369" s="28" t="str">
        <f>+IF(COUNTIFS('Raw Period DMR Data'!$A:$A,B369,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69" s="28" t="str" cm="1">
        <f t="array" ref="V369">IFERROR(INDEX('Raw Period DMR Data'!N:N,MATCH(1,(B369='Raw Period DMR Data'!$A:$A)*(U369='Raw Period DMR Data'!M:M)*(X369='Raw Period DMR Data'!C:C),0),1), "N/A")</f>
        <v>N/A</v>
      </c>
      <c r="W369" s="28" t="s">
        <v>1463</v>
      </c>
      <c r="X369" s="28" t="s">
        <v>853</v>
      </c>
      <c r="Y369" s="28" t="s">
        <v>854</v>
      </c>
      <c r="Z369" s="61">
        <v>5120108000208</v>
      </c>
      <c r="AA369" s="60"/>
      <c r="AB369" s="28" t="s">
        <v>7355</v>
      </c>
      <c r="AC369" s="28" t="s">
        <v>1466</v>
      </c>
    </row>
    <row r="370" spans="1:29" s="28" customFormat="1" x14ac:dyDescent="0.25">
      <c r="A370" s="61">
        <v>110070212650</v>
      </c>
      <c r="B370" s="28">
        <v>2024</v>
      </c>
      <c r="C370" s="68">
        <f t="shared" si="5"/>
        <v>45292</v>
      </c>
      <c r="D370" s="28" t="s">
        <v>1167</v>
      </c>
      <c r="E370" s="28" t="s">
        <v>1875</v>
      </c>
      <c r="F370" s="28" t="s">
        <v>1168</v>
      </c>
      <c r="G370" s="28" t="s">
        <v>338</v>
      </c>
      <c r="H370" s="28">
        <v>79621057</v>
      </c>
      <c r="I370" s="28">
        <v>40.792712999999999</v>
      </c>
      <c r="J370" s="28">
        <v>-74.434799999999996</v>
      </c>
      <c r="L370" s="61">
        <v>110070212650</v>
      </c>
      <c r="M370" s="28" t="s">
        <v>254</v>
      </c>
      <c r="N370" s="28">
        <v>8731</v>
      </c>
      <c r="O370" s="28" t="str">
        <f>IFERROR(VLOOKUP(N370, 'SIC &amp; NAICS Codes'!A:B, 2, FALSE), "")</f>
        <v>Commercial Physical and Biological Research</v>
      </c>
      <c r="S370" s="28">
        <v>3.8610745257500002E-2</v>
      </c>
      <c r="T370" s="315">
        <f>_xlfn.MAXIFS('Raw Period DMR Data'!$O:$O,'Raw Period DMR Data'!$A:$A,'Raw Annual DMR Data_2021-2024'!#REF!,'Raw Period DMR Data'!$C:$C,X370)/S370</f>
        <v>0</v>
      </c>
      <c r="U370" s="28" t="str">
        <f>+IF(COUNTIFS('Raw Period DMR Data'!$A:$A,B370,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70" s="28" t="str" cm="1">
        <f t="array" ref="V370">IFERROR(INDEX('Raw Period DMR Data'!N:N,MATCH(1,(B370='Raw Period DMR Data'!$A:$A)*(U370='Raw Period DMR Data'!M:M)*(X370='Raw Period DMR Data'!C:C),0),1), "N/A")</f>
        <v>N/A</v>
      </c>
      <c r="W370" s="28" t="s">
        <v>1463</v>
      </c>
      <c r="X370" s="28" t="s">
        <v>1876</v>
      </c>
      <c r="Y370" s="28" t="s">
        <v>1877</v>
      </c>
      <c r="Z370" s="61">
        <v>2030103000384</v>
      </c>
      <c r="AA370" s="60"/>
      <c r="AB370" s="28" t="s">
        <v>7355</v>
      </c>
      <c r="AC370" s="28" t="s">
        <v>1466</v>
      </c>
    </row>
    <row r="371" spans="1:29" s="28" customFormat="1" x14ac:dyDescent="0.25">
      <c r="A371" s="61">
        <v>110070212650</v>
      </c>
      <c r="B371" s="28">
        <v>2022</v>
      </c>
      <c r="C371" s="68">
        <f t="shared" si="5"/>
        <v>44562</v>
      </c>
      <c r="D371" s="28" t="s">
        <v>1167</v>
      </c>
      <c r="E371" s="28" t="s">
        <v>1875</v>
      </c>
      <c r="F371" s="28" t="s">
        <v>1168</v>
      </c>
      <c r="G371" s="28" t="s">
        <v>338</v>
      </c>
      <c r="H371" s="28">
        <v>79621057</v>
      </c>
      <c r="I371" s="28">
        <v>40.792712999999999</v>
      </c>
      <c r="J371" s="28">
        <v>-74.434799999999996</v>
      </c>
      <c r="L371" s="61">
        <v>110070212650</v>
      </c>
      <c r="M371" s="28" t="s">
        <v>254</v>
      </c>
      <c r="N371" s="28">
        <v>8731</v>
      </c>
      <c r="O371" s="28" t="str">
        <f>IFERROR(VLOOKUP(N371, 'SIC &amp; NAICS Codes'!A:B, 2, FALSE), "")</f>
        <v>Commercial Physical and Biological Research</v>
      </c>
      <c r="S371" s="28">
        <v>2.8983807824999999E-2</v>
      </c>
      <c r="T371" s="315">
        <f>_xlfn.MAXIFS('Raw Period DMR Data'!$O:$O,'Raw Period DMR Data'!$A:$A,'Raw Annual DMR Data_2021-2024'!#REF!,'Raw Period DMR Data'!$C:$C,X371)/S371</f>
        <v>0</v>
      </c>
      <c r="U371" s="28" t="str">
        <f>+IF(COUNTIFS('Raw Period DMR Data'!$A:$A,B371,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71" s="28" t="str" cm="1">
        <f t="array" ref="V371">IFERROR(INDEX('Raw Period DMR Data'!N:N,MATCH(1,(B371='Raw Period DMR Data'!$A:$A)*(U371='Raw Period DMR Data'!M:M)*(X371='Raw Period DMR Data'!C:C),0),1), "N/A")</f>
        <v>N/A</v>
      </c>
      <c r="W371" s="28" t="s">
        <v>1463</v>
      </c>
      <c r="X371" s="28" t="s">
        <v>1876</v>
      </c>
      <c r="Y371" s="28" t="s">
        <v>1877</v>
      </c>
      <c r="Z371" s="61">
        <v>2030103000384</v>
      </c>
      <c r="AA371" s="60"/>
      <c r="AB371" s="28" t="s">
        <v>7355</v>
      </c>
      <c r="AC371" s="28" t="s">
        <v>1466</v>
      </c>
    </row>
    <row r="372" spans="1:29" s="28" customFormat="1" x14ac:dyDescent="0.25">
      <c r="A372" s="61">
        <v>110070212650</v>
      </c>
      <c r="B372" s="28">
        <v>2021</v>
      </c>
      <c r="C372" s="68">
        <f t="shared" si="5"/>
        <v>44197</v>
      </c>
      <c r="D372" s="28" t="s">
        <v>1167</v>
      </c>
      <c r="E372" s="28" t="s">
        <v>1875</v>
      </c>
      <c r="F372" s="28" t="s">
        <v>1168</v>
      </c>
      <c r="G372" s="28" t="s">
        <v>338</v>
      </c>
      <c r="H372" s="28">
        <v>79621057</v>
      </c>
      <c r="I372" s="28">
        <v>40.792712999999999</v>
      </c>
      <c r="J372" s="28">
        <v>-74.434799999999996</v>
      </c>
      <c r="L372" s="61">
        <v>110070212650</v>
      </c>
      <c r="M372" s="28" t="s">
        <v>254</v>
      </c>
      <c r="N372" s="28">
        <v>8731</v>
      </c>
      <c r="O372" s="28" t="str">
        <f>IFERROR(VLOOKUP(N372, 'SIC &amp; NAICS Codes'!A:B, 2, FALSE), "")</f>
        <v>Commercial Physical and Biological Research</v>
      </c>
      <c r="S372" s="28">
        <v>2.7436514964999999E-2</v>
      </c>
      <c r="T372" s="315">
        <f>_xlfn.MAXIFS('Raw Period DMR Data'!$O:$O,'Raw Period DMR Data'!$A:$A,'Raw Annual DMR Data_2021-2024'!#REF!,'Raw Period DMR Data'!$C:$C,X372)/S372</f>
        <v>0</v>
      </c>
      <c r="U372" s="28" t="str">
        <f>+IF(COUNTIFS('Raw Period DMR Data'!$A:$A,B372,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72" s="28" t="str" cm="1">
        <f t="array" ref="V372">IFERROR(INDEX('Raw Period DMR Data'!N:N,MATCH(1,(B372='Raw Period DMR Data'!$A:$A)*(U372='Raw Period DMR Data'!M:M)*(X372='Raw Period DMR Data'!C:C),0),1), "N/A")</f>
        <v>N/A</v>
      </c>
      <c r="W372" s="28" t="s">
        <v>1463</v>
      </c>
      <c r="X372" s="28" t="s">
        <v>1876</v>
      </c>
      <c r="Y372" s="28" t="s">
        <v>1877</v>
      </c>
      <c r="Z372" s="61">
        <v>2030103000384</v>
      </c>
      <c r="AB372" s="28" t="s">
        <v>7355</v>
      </c>
      <c r="AC372" s="28" t="s">
        <v>1466</v>
      </c>
    </row>
    <row r="373" spans="1:29" s="28" customFormat="1" x14ac:dyDescent="0.25">
      <c r="A373" s="61">
        <v>110070212650</v>
      </c>
      <c r="B373" s="28">
        <v>2023</v>
      </c>
      <c r="C373" s="68">
        <f t="shared" si="5"/>
        <v>44927</v>
      </c>
      <c r="D373" s="28" t="s">
        <v>1167</v>
      </c>
      <c r="E373" s="28" t="s">
        <v>1875</v>
      </c>
      <c r="F373" s="28" t="s">
        <v>1168</v>
      </c>
      <c r="G373" s="28" t="s">
        <v>338</v>
      </c>
      <c r="H373" s="28" t="s">
        <v>1878</v>
      </c>
      <c r="I373" s="28">
        <v>40.792712999999999</v>
      </c>
      <c r="J373" s="28">
        <v>-74.434799999999996</v>
      </c>
      <c r="L373" s="61">
        <v>110070212650</v>
      </c>
      <c r="M373" s="28" t="s">
        <v>254</v>
      </c>
      <c r="N373" s="28">
        <v>8731</v>
      </c>
      <c r="O373" s="28" t="str">
        <f>IFERROR(VLOOKUP(N373, 'SIC &amp; NAICS Codes'!A:B, 2, FALSE), "")</f>
        <v>Commercial Physical and Biological Research</v>
      </c>
      <c r="S373" s="28">
        <v>1.8109529320000001E-2</v>
      </c>
      <c r="T373" s="315">
        <f>_xlfn.MAXIFS('Raw Period DMR Data'!$O:$O,'Raw Period DMR Data'!$A:$A,'Raw Annual DMR Data_2021-2024'!#REF!,'Raw Period DMR Data'!$C:$C,X373)/S373</f>
        <v>0</v>
      </c>
      <c r="U373" s="28" t="str">
        <f>+IF(COUNTIFS('Raw Period DMR Data'!$A:$A,B373,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73" s="28" t="str" cm="1">
        <f t="array" ref="V373">IFERROR(INDEX('Raw Period DMR Data'!N:N,MATCH(1,(B373='Raw Period DMR Data'!$A:$A)*(U373='Raw Period DMR Data'!M:M)*(X373='Raw Period DMR Data'!C:C),0),1), "N/A")</f>
        <v>N/A</v>
      </c>
      <c r="W373" s="28" t="s">
        <v>1463</v>
      </c>
      <c r="X373" s="28" t="s">
        <v>1876</v>
      </c>
      <c r="Y373" s="28" t="s">
        <v>1877</v>
      </c>
      <c r="Z373" s="61" t="s">
        <v>1879</v>
      </c>
      <c r="AA373" s="60"/>
      <c r="AB373" s="28" t="s">
        <v>7355</v>
      </c>
      <c r="AC373" s="28" t="s">
        <v>1466</v>
      </c>
    </row>
    <row r="374" spans="1:29" s="28" customFormat="1" x14ac:dyDescent="0.25">
      <c r="A374" s="61">
        <v>110000492020</v>
      </c>
      <c r="B374" s="28">
        <v>2024</v>
      </c>
      <c r="C374" s="68">
        <f t="shared" si="5"/>
        <v>45292</v>
      </c>
      <c r="D374" s="28" t="s">
        <v>171</v>
      </c>
      <c r="E374" s="28" t="s">
        <v>555</v>
      </c>
      <c r="F374" s="28" t="s">
        <v>556</v>
      </c>
      <c r="G374" s="28" t="s">
        <v>338</v>
      </c>
      <c r="H374" s="28">
        <v>7065</v>
      </c>
      <c r="I374" s="28">
        <v>40.612743000000002</v>
      </c>
      <c r="J374" s="28">
        <v>-74.260920999999996</v>
      </c>
      <c r="K374" s="28" t="s">
        <v>557</v>
      </c>
      <c r="L374" s="61">
        <v>110000492020</v>
      </c>
      <c r="M374" s="28" t="s">
        <v>254</v>
      </c>
      <c r="N374" s="28">
        <v>2833</v>
      </c>
      <c r="O374" s="28" t="str">
        <f>IFERROR(VLOOKUP(N374, 'SIC &amp; NAICS Codes'!A:B, 2, FALSE), "")</f>
        <v>Medicinal Chemicals and Botanical Products</v>
      </c>
      <c r="S374" s="28">
        <v>69.489797964499999</v>
      </c>
      <c r="T374" s="315">
        <f>_xlfn.MAXIFS('Raw Period DMR Data'!$O:$O,'Raw Period DMR Data'!$A:$A,'Raw Annual DMR Data_2021-2024'!B878,'Raw Period DMR Data'!$C:$C,X374)/S374</f>
        <v>0</v>
      </c>
      <c r="U374" s="28" t="str">
        <f>+IF(COUNTIFS('Raw Period DMR Data'!$A:$A,B374, 'Raw Period DMR Data'!C:C,'Raw Annual DMR Data_2021-2024'!X878, 'Raw Period DMR Data'!M:M, "&gt;0")&gt;0,_xlfn.MAXIFS('Raw Period DMR Data'!M:M,'Raw Period DMR Data'!$A:$A,'Raw Annual DMR Data_2021-2024'!B878,'Raw Period DMR Data'!C:C,'Raw Annual DMR Data_2021-2024'!X878), "N/A - Period DMR Data Not Available")</f>
        <v>N/A - Period DMR Data Not Available</v>
      </c>
      <c r="V374" s="28" t="str" cm="1">
        <f t="array" ref="V374">IFERROR(INDEX('Raw Period DMR Data'!N:N,MATCH(1,(B374='Raw Period DMR Data'!$A:$A)*(U374='Raw Period DMR Data'!M:M)*(X374='Raw Period DMR Data'!C:C),0),1), "N/A")</f>
        <v>N/A</v>
      </c>
      <c r="W374" s="28" t="s">
        <v>1463</v>
      </c>
      <c r="X374" s="28" t="s">
        <v>900</v>
      </c>
      <c r="Y374" s="28" t="s">
        <v>901</v>
      </c>
      <c r="Z374" s="61">
        <v>2030104000565</v>
      </c>
      <c r="AA374" s="60" t="s">
        <v>7355</v>
      </c>
      <c r="AB374" s="28" t="s">
        <v>7355</v>
      </c>
      <c r="AC374" s="28" t="s">
        <v>1466</v>
      </c>
    </row>
    <row r="375" spans="1:29" s="28" customFormat="1" x14ac:dyDescent="0.25">
      <c r="A375" s="61">
        <v>110000492020</v>
      </c>
      <c r="B375" s="28">
        <v>2021</v>
      </c>
      <c r="C375" s="68">
        <f t="shared" si="5"/>
        <v>44197</v>
      </c>
      <c r="D375" s="28" t="s">
        <v>171</v>
      </c>
      <c r="E375" s="28" t="s">
        <v>555</v>
      </c>
      <c r="F375" s="28" t="s">
        <v>556</v>
      </c>
      <c r="G375" s="28" t="s">
        <v>338</v>
      </c>
      <c r="H375" s="28">
        <v>7065</v>
      </c>
      <c r="I375" s="28">
        <v>40.612743000000002</v>
      </c>
      <c r="J375" s="28">
        <v>-74.260920999999996</v>
      </c>
      <c r="K375" s="28" t="s">
        <v>557</v>
      </c>
      <c r="L375" s="61">
        <v>110000492020</v>
      </c>
      <c r="M375" s="28" t="s">
        <v>254</v>
      </c>
      <c r="N375" s="28">
        <v>2833</v>
      </c>
      <c r="O375" s="28" t="str">
        <f>IFERROR(VLOOKUP(N375, 'SIC &amp; NAICS Codes'!A:B, 2, FALSE), "")</f>
        <v>Medicinal Chemicals and Botanical Products</v>
      </c>
      <c r="S375" s="28">
        <v>4.0298216727999998</v>
      </c>
      <c r="T375" s="315">
        <f>_xlfn.MAXIFS('Raw Period DMR Data'!$O:$O,'Raw Period DMR Data'!$A:$A,'Raw Annual DMR Data_2021-2024'!B995,'Raw Period DMR Data'!$C:$C,X375)/S375</f>
        <v>0</v>
      </c>
      <c r="U375" s="28" t="str">
        <f>+IF(COUNTIFS('Raw Period DMR Data'!$A:$A,B375, 'Raw Period DMR Data'!C:C,'Raw Annual DMR Data_2021-2024'!X995, 'Raw Period DMR Data'!M:M, "&gt;0")&gt;0,_xlfn.MAXIFS('Raw Period DMR Data'!M:M,'Raw Period DMR Data'!$A:$A,'Raw Annual DMR Data_2021-2024'!B995,'Raw Period DMR Data'!C:C,'Raw Annual DMR Data_2021-2024'!X995), "N/A - Period DMR Data Not Available")</f>
        <v>N/A - Period DMR Data Not Available</v>
      </c>
      <c r="V375" s="28" t="str" cm="1">
        <f t="array" ref="V375">IFERROR(INDEX('Raw Period DMR Data'!N:N,MATCH(1,(B375='Raw Period DMR Data'!$A:$A)*(U375='Raw Period DMR Data'!M:M)*(X375='Raw Period DMR Data'!C:C),0),1), "N/A")</f>
        <v>N/A</v>
      </c>
      <c r="W375" s="28" t="s">
        <v>1463</v>
      </c>
      <c r="X375" s="28" t="s">
        <v>900</v>
      </c>
      <c r="Y375" s="28" t="s">
        <v>901</v>
      </c>
      <c r="Z375" s="61">
        <v>2030104000565</v>
      </c>
      <c r="AB375" s="28" t="s">
        <v>7355</v>
      </c>
      <c r="AC375" s="28" t="s">
        <v>1466</v>
      </c>
    </row>
    <row r="376" spans="1:29" s="28" customFormat="1" x14ac:dyDescent="0.25">
      <c r="A376" s="61">
        <v>110000492020</v>
      </c>
      <c r="B376" s="28">
        <v>2023</v>
      </c>
      <c r="C376" s="68">
        <f t="shared" si="5"/>
        <v>44927</v>
      </c>
      <c r="D376" s="28" t="s">
        <v>171</v>
      </c>
      <c r="E376" s="28" t="s">
        <v>555</v>
      </c>
      <c r="F376" s="28" t="s">
        <v>556</v>
      </c>
      <c r="G376" s="28" t="s">
        <v>338</v>
      </c>
      <c r="H376" s="28" t="s">
        <v>2002</v>
      </c>
      <c r="I376" s="28">
        <v>40.612743000000002</v>
      </c>
      <c r="J376" s="28">
        <v>-74.260920999999996</v>
      </c>
      <c r="K376" s="28" t="s">
        <v>557</v>
      </c>
      <c r="L376" s="61">
        <v>110000492020</v>
      </c>
      <c r="M376" s="28" t="s">
        <v>254</v>
      </c>
      <c r="N376" s="28">
        <v>2833</v>
      </c>
      <c r="O376" s="28" t="str">
        <f>IFERROR(VLOOKUP(N376, 'SIC &amp; NAICS Codes'!A:B, 2, FALSE), "")</f>
        <v>Medicinal Chemicals and Botanical Products</v>
      </c>
      <c r="S376" s="28">
        <v>0.53613881549999998</v>
      </c>
      <c r="T376" s="315">
        <f>_xlfn.MAXIFS('Raw Period DMR Data'!$O:$O,'Raw Period DMR Data'!$A:$A,'Raw Annual DMR Data_2021-2024'!#REF!,'Raw Period DMR Data'!$C:$C,X376)/S376</f>
        <v>0</v>
      </c>
      <c r="U376" s="28" t="str">
        <f>+IF(COUNTIFS('Raw Period DMR Data'!$A:$A,B376,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76" s="28" t="str" cm="1">
        <f t="array" ref="V376">IFERROR(INDEX('Raw Period DMR Data'!N:N,MATCH(1,(B376='Raw Period DMR Data'!$A:$A)*(U376='Raw Period DMR Data'!M:M)*(X376='Raw Period DMR Data'!C:C),0),1), "N/A")</f>
        <v>N/A</v>
      </c>
      <c r="W376" s="28" t="s">
        <v>1463</v>
      </c>
      <c r="X376" s="28" t="s">
        <v>900</v>
      </c>
      <c r="Y376" s="28" t="s">
        <v>901</v>
      </c>
      <c r="Z376" s="61">
        <v>2030104000565</v>
      </c>
      <c r="AA376" s="60"/>
      <c r="AB376" s="28" t="s">
        <v>7355</v>
      </c>
      <c r="AC376" s="28" t="s">
        <v>1466</v>
      </c>
    </row>
    <row r="377" spans="1:29" s="28" customFormat="1" x14ac:dyDescent="0.25">
      <c r="A377" s="61">
        <v>110070217974</v>
      </c>
      <c r="B377" s="28">
        <v>2023</v>
      </c>
      <c r="C377" s="68">
        <f t="shared" si="5"/>
        <v>44927</v>
      </c>
      <c r="D377" s="28" t="s">
        <v>180</v>
      </c>
      <c r="E377" s="28" t="s">
        <v>596</v>
      </c>
      <c r="F377" s="28" t="s">
        <v>597</v>
      </c>
      <c r="G377" s="28" t="s">
        <v>338</v>
      </c>
      <c r="H377" s="28" t="s">
        <v>7093</v>
      </c>
      <c r="I377" s="28">
        <v>40.52516</v>
      </c>
      <c r="J377" s="28">
        <v>-74.601039999999998</v>
      </c>
      <c r="L377" s="61">
        <v>110070217974</v>
      </c>
      <c r="M377" s="28" t="s">
        <v>254</v>
      </c>
      <c r="N377" s="28">
        <v>2851</v>
      </c>
      <c r="O377" s="28" t="str">
        <f>IFERROR(VLOOKUP(N377, 'SIC &amp; NAICS Codes'!A:B, 2, FALSE), "")</f>
        <v>Paints, Varnishes, Lacquers, Enamels and Allied Products</v>
      </c>
      <c r="S377" s="28">
        <v>1.55568328146E-3</v>
      </c>
      <c r="T377" s="315">
        <f>_xlfn.MAXIFS('Raw Period DMR Data'!$O:$O,'Raw Period DMR Data'!$A:$A,'Raw Annual DMR Data_2021-2024'!#REF!,'Raw Period DMR Data'!$C:$C,X377)/S377</f>
        <v>0</v>
      </c>
      <c r="U377" s="28" t="str">
        <f>+IF(COUNTIFS('Raw Period DMR Data'!$A:$A,B377,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77" s="28" t="str" cm="1">
        <f t="array" ref="V377">IFERROR(INDEX('Raw Period DMR Data'!N:N,MATCH(1,(B377='Raw Period DMR Data'!$A:$A)*(U377='Raw Period DMR Data'!M:M)*(X377='Raw Period DMR Data'!C:C),0),1), "N/A")</f>
        <v>N/A</v>
      </c>
      <c r="W377" s="28" t="s">
        <v>1463</v>
      </c>
      <c r="X377" s="28" t="s">
        <v>915</v>
      </c>
      <c r="Y377" s="28" t="s">
        <v>916</v>
      </c>
      <c r="Z377" s="61" t="s">
        <v>7341</v>
      </c>
      <c r="AA377" s="60"/>
      <c r="AB377" s="28" t="s">
        <v>7355</v>
      </c>
      <c r="AC377" s="28" t="s">
        <v>1466</v>
      </c>
    </row>
    <row r="378" spans="1:29" s="28" customFormat="1" x14ac:dyDescent="0.25">
      <c r="A378" s="61">
        <v>110070217974</v>
      </c>
      <c r="B378" s="28">
        <v>2022</v>
      </c>
      <c r="C378" s="68">
        <f t="shared" si="5"/>
        <v>44562</v>
      </c>
      <c r="D378" s="28" t="s">
        <v>180</v>
      </c>
      <c r="E378" s="28" t="s">
        <v>596</v>
      </c>
      <c r="F378" s="28" t="s">
        <v>597</v>
      </c>
      <c r="G378" s="28" t="s">
        <v>338</v>
      </c>
      <c r="H378" s="28">
        <v>8844</v>
      </c>
      <c r="I378" s="28">
        <v>40.52516</v>
      </c>
      <c r="J378" s="28">
        <v>-74.601039999999998</v>
      </c>
      <c r="L378" s="61">
        <v>110070217974</v>
      </c>
      <c r="M378" s="28" t="s">
        <v>254</v>
      </c>
      <c r="N378" s="28">
        <v>2851</v>
      </c>
      <c r="O378" s="28" t="str">
        <f>IFERROR(VLOOKUP(N378, 'SIC &amp; NAICS Codes'!A:B, 2, FALSE), "")</f>
        <v>Paints, Varnishes, Lacquers, Enamels and Allied Products</v>
      </c>
      <c r="S378" s="28">
        <v>1.2749013739975E-3</v>
      </c>
      <c r="T378" s="315">
        <f>_xlfn.MAXIFS('Raw Period DMR Data'!$O:$O,'Raw Period DMR Data'!$A:$A,'Raw Annual DMR Data_2021-2024'!#REF!,'Raw Period DMR Data'!$C:$C,X378)/S378</f>
        <v>0</v>
      </c>
      <c r="U378" s="28" t="str">
        <f>+IF(COUNTIFS('Raw Period DMR Data'!$A:$A,B378,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78" s="28" t="str" cm="1">
        <f t="array" ref="V378">IFERROR(INDEX('Raw Period DMR Data'!N:N,MATCH(1,(B378='Raw Period DMR Data'!$A:$A)*(U378='Raw Period DMR Data'!M:M)*(X378='Raw Period DMR Data'!C:C),0),1), "N/A")</f>
        <v>N/A</v>
      </c>
      <c r="W378" s="28" t="s">
        <v>1463</v>
      </c>
      <c r="X378" s="28" t="s">
        <v>915</v>
      </c>
      <c r="Y378" s="28" t="s">
        <v>916</v>
      </c>
      <c r="Z378" s="61">
        <v>2030105000369</v>
      </c>
      <c r="AA378" s="60"/>
      <c r="AB378" s="28" t="s">
        <v>7355</v>
      </c>
      <c r="AC378" s="28" t="s">
        <v>1466</v>
      </c>
    </row>
    <row r="379" spans="1:29" s="28" customFormat="1" x14ac:dyDescent="0.25">
      <c r="A379" s="61">
        <v>110070217974</v>
      </c>
      <c r="B379" s="28">
        <v>2024</v>
      </c>
      <c r="C379" s="68">
        <f t="shared" si="5"/>
        <v>45292</v>
      </c>
      <c r="D379" s="28" t="s">
        <v>180</v>
      </c>
      <c r="E379" s="28" t="s">
        <v>596</v>
      </c>
      <c r="F379" s="28" t="s">
        <v>597</v>
      </c>
      <c r="G379" s="28" t="s">
        <v>338</v>
      </c>
      <c r="H379" s="28">
        <v>8844</v>
      </c>
      <c r="I379" s="28">
        <v>40.52516</v>
      </c>
      <c r="J379" s="28">
        <v>-74.601039999999998</v>
      </c>
      <c r="L379" s="61">
        <v>110070217974</v>
      </c>
      <c r="M379" s="28" t="s">
        <v>254</v>
      </c>
      <c r="N379" s="28">
        <v>2851</v>
      </c>
      <c r="O379" s="28" t="str">
        <f>IFERROR(VLOOKUP(N379, 'SIC &amp; NAICS Codes'!A:B, 2, FALSE), "")</f>
        <v>Paints, Varnishes, Lacquers, Enamels and Allied Products</v>
      </c>
      <c r="S379" s="28">
        <v>7.02871294105E-4</v>
      </c>
      <c r="T379" s="315">
        <f>_xlfn.MAXIFS('Raw Period DMR Data'!$O:$O,'Raw Period DMR Data'!$A:$A,'Raw Annual DMR Data_2021-2024'!#REF!,'Raw Period DMR Data'!$C:$C,X379)/S379</f>
        <v>0</v>
      </c>
      <c r="U379" s="28" t="str">
        <f>+IF(COUNTIFS('Raw Period DMR Data'!$A:$A,B379,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79" s="28" t="str" cm="1">
        <f t="array" ref="V379">IFERROR(INDEX('Raw Period DMR Data'!N:N,MATCH(1,(B379='Raw Period DMR Data'!$A:$A)*(U379='Raw Period DMR Data'!M:M)*(X379='Raw Period DMR Data'!C:C),0),1), "N/A")</f>
        <v>N/A</v>
      </c>
      <c r="W379" s="28" t="s">
        <v>1463</v>
      </c>
      <c r="X379" s="28" t="s">
        <v>915</v>
      </c>
      <c r="Y379" s="28" t="s">
        <v>916</v>
      </c>
      <c r="Z379" s="61">
        <v>2030105000369</v>
      </c>
      <c r="AA379" s="60"/>
      <c r="AB379" s="28" t="s">
        <v>7355</v>
      </c>
      <c r="AC379" s="28" t="s">
        <v>1466</v>
      </c>
    </row>
    <row r="380" spans="1:29" s="28" customFormat="1" x14ac:dyDescent="0.25">
      <c r="A380" s="61">
        <v>110070217974</v>
      </c>
      <c r="B380" s="28">
        <v>2021</v>
      </c>
      <c r="C380" s="68">
        <f t="shared" si="5"/>
        <v>44197</v>
      </c>
      <c r="D380" s="28" t="s">
        <v>180</v>
      </c>
      <c r="E380" s="28" t="s">
        <v>596</v>
      </c>
      <c r="F380" s="28" t="s">
        <v>597</v>
      </c>
      <c r="G380" s="28" t="s">
        <v>338</v>
      </c>
      <c r="H380" s="28">
        <v>8844</v>
      </c>
      <c r="I380" s="28">
        <v>40.52516</v>
      </c>
      <c r="J380" s="28">
        <v>-74.601039999999998</v>
      </c>
      <c r="L380" s="61">
        <v>110070217974</v>
      </c>
      <c r="M380" s="28" t="s">
        <v>254</v>
      </c>
      <c r="N380" s="28">
        <v>2851</v>
      </c>
      <c r="O380" s="28" t="str">
        <f>IFERROR(VLOOKUP(N380, 'SIC &amp; NAICS Codes'!A:B, 2, FALSE), "")</f>
        <v>Paints, Varnishes, Lacquers, Enamels and Allied Products</v>
      </c>
      <c r="S380" s="28">
        <v>6.5636964330000001E-5</v>
      </c>
      <c r="T380" s="315">
        <f>_xlfn.MAXIFS('Raw Period DMR Data'!$O:$O,'Raw Period DMR Data'!$A:$A,'Raw Annual DMR Data_2021-2024'!#REF!,'Raw Period DMR Data'!$C:$C,X380)/S380</f>
        <v>0</v>
      </c>
      <c r="U380" s="28" t="str">
        <f>+IF(COUNTIFS('Raw Period DMR Data'!$A:$A,B380,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80" s="28" t="str" cm="1">
        <f t="array" ref="V380">IFERROR(INDEX('Raw Period DMR Data'!N:N,MATCH(1,(B380='Raw Period DMR Data'!$A:$A)*(U380='Raw Period DMR Data'!M:M)*(X380='Raw Period DMR Data'!C:C),0),1), "N/A")</f>
        <v>N/A</v>
      </c>
      <c r="W380" s="28" t="s">
        <v>1463</v>
      </c>
      <c r="X380" s="28" t="s">
        <v>915</v>
      </c>
      <c r="Y380" s="28" t="s">
        <v>916</v>
      </c>
      <c r="Z380" s="61">
        <v>2030105000369</v>
      </c>
      <c r="AA380" s="60"/>
      <c r="AB380" s="28" t="s">
        <v>7355</v>
      </c>
      <c r="AC380" s="28" t="s">
        <v>1466</v>
      </c>
    </row>
    <row r="381" spans="1:29" s="28" customFormat="1" x14ac:dyDescent="0.25">
      <c r="A381" s="61">
        <v>110000432504</v>
      </c>
      <c r="B381" s="28">
        <v>2022</v>
      </c>
      <c r="C381" s="68">
        <f t="shared" si="5"/>
        <v>44562</v>
      </c>
      <c r="D381" s="28" t="s">
        <v>6830</v>
      </c>
      <c r="E381" s="28" t="s">
        <v>628</v>
      </c>
      <c r="F381" s="28" t="s">
        <v>629</v>
      </c>
      <c r="G381" s="28" t="s">
        <v>345</v>
      </c>
      <c r="H381" s="28">
        <v>604219646</v>
      </c>
      <c r="I381" s="28">
        <v>41.441667000000002</v>
      </c>
      <c r="J381" s="28">
        <v>-88.159719999999993</v>
      </c>
      <c r="K381" s="28" t="s">
        <v>631</v>
      </c>
      <c r="L381" s="61">
        <v>110000432504</v>
      </c>
      <c r="M381" s="28" t="s">
        <v>254</v>
      </c>
      <c r="N381" s="28">
        <v>2843</v>
      </c>
      <c r="O381" s="28" t="str">
        <f>IFERROR(VLOOKUP(N381, 'SIC &amp; NAICS Codes'!A:B, 2, FALSE), "")</f>
        <v>Surface Active Agents, Finishing Agents, Sulfonated Oils, and Assistants</v>
      </c>
      <c r="S381" s="28">
        <v>0.58066600000000002</v>
      </c>
      <c r="T381" s="315">
        <f>_xlfn.MAXIFS('Raw Period DMR Data'!$O:$O,'Raw Period DMR Data'!$A:$A,'Raw Annual DMR Data_2021-2024'!#REF!,'Raw Period DMR Data'!$C:$C,X381)/S381</f>
        <v>0</v>
      </c>
      <c r="U381" s="28" t="str">
        <f>+IF(COUNTIFS('Raw Period DMR Data'!$A:$A,B381,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81" s="28" t="str" cm="1">
        <f t="array" ref="V381">IFERROR(INDEX('Raw Period DMR Data'!N:N,MATCH(1,(B381='Raw Period DMR Data'!$A:$A)*(U381='Raw Period DMR Data'!M:M)*(X381='Raw Period DMR Data'!C:C),0),1), "N/A")</f>
        <v>N/A</v>
      </c>
      <c r="W381" s="28" t="s">
        <v>1463</v>
      </c>
      <c r="X381" s="28" t="s">
        <v>938</v>
      </c>
      <c r="Y381" s="28" t="s">
        <v>939</v>
      </c>
      <c r="Z381" s="61">
        <v>7120004000886</v>
      </c>
      <c r="AA381" s="60"/>
      <c r="AC381" s="28" t="s">
        <v>1466</v>
      </c>
    </row>
    <row r="382" spans="1:29" s="28" customFormat="1" x14ac:dyDescent="0.25">
      <c r="A382" s="61">
        <v>110000432504</v>
      </c>
      <c r="B382" s="28">
        <v>2023</v>
      </c>
      <c r="C382" s="68">
        <f t="shared" si="5"/>
        <v>44927</v>
      </c>
      <c r="D382" s="28" t="s">
        <v>6830</v>
      </c>
      <c r="E382" s="28" t="s">
        <v>628</v>
      </c>
      <c r="F382" s="28" t="s">
        <v>629</v>
      </c>
      <c r="G382" s="28" t="s">
        <v>345</v>
      </c>
      <c r="H382" s="28">
        <v>604219646</v>
      </c>
      <c r="I382" s="28">
        <v>41.441667000000002</v>
      </c>
      <c r="J382" s="28">
        <v>-88.159719999999993</v>
      </c>
      <c r="K382" s="28" t="s">
        <v>631</v>
      </c>
      <c r="L382" s="61">
        <v>110000432504</v>
      </c>
      <c r="M382" s="28" t="s">
        <v>254</v>
      </c>
      <c r="N382" s="28">
        <v>2843</v>
      </c>
      <c r="O382" s="28" t="str">
        <f>IFERROR(VLOOKUP(N382, 'SIC &amp; NAICS Codes'!A:B, 2, FALSE), "")</f>
        <v>Surface Active Agents, Finishing Agents, Sulfonated Oils, and Assistants</v>
      </c>
      <c r="S382" s="28">
        <v>0.49713000000000002</v>
      </c>
      <c r="T382" s="315">
        <f>_xlfn.MAXIFS('Raw Period DMR Data'!$O:$O,'Raw Period DMR Data'!$A:$A,'Raw Annual DMR Data_2021-2024'!#REF!,'Raw Period DMR Data'!$C:$C,X382)/S382</f>
        <v>0</v>
      </c>
      <c r="U382" s="28" t="str">
        <f>+IF(COUNTIFS('Raw Period DMR Data'!$A:$A,B382,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82" s="28" t="str" cm="1">
        <f t="array" ref="V382">IFERROR(INDEX('Raw Period DMR Data'!N:N,MATCH(1,(B382='Raw Period DMR Data'!$A:$A)*(U382='Raw Period DMR Data'!M:M)*(X382='Raw Period DMR Data'!C:C),0),1), "N/A")</f>
        <v>N/A</v>
      </c>
      <c r="W382" s="28" t="s">
        <v>1463</v>
      </c>
      <c r="X382" s="28" t="s">
        <v>938</v>
      </c>
      <c r="Y382" s="28" t="s">
        <v>939</v>
      </c>
      <c r="Z382" s="61">
        <v>7120004000886</v>
      </c>
      <c r="AA382" s="60"/>
      <c r="AC382" s="28" t="s">
        <v>1466</v>
      </c>
    </row>
    <row r="383" spans="1:29" s="28" customFormat="1" x14ac:dyDescent="0.25">
      <c r="A383" s="61">
        <v>110000432504</v>
      </c>
      <c r="B383" s="28">
        <v>2024</v>
      </c>
      <c r="C383" s="68">
        <f t="shared" si="5"/>
        <v>45292</v>
      </c>
      <c r="D383" s="28" t="s">
        <v>6830</v>
      </c>
      <c r="E383" s="28" t="s">
        <v>628</v>
      </c>
      <c r="F383" s="28" t="s">
        <v>629</v>
      </c>
      <c r="G383" s="28" t="s">
        <v>345</v>
      </c>
      <c r="H383" s="28">
        <v>604219646</v>
      </c>
      <c r="I383" s="28">
        <v>41.441667000000002</v>
      </c>
      <c r="J383" s="28">
        <v>-88.159719999999993</v>
      </c>
      <c r="K383" s="28" t="s">
        <v>631</v>
      </c>
      <c r="L383" s="61">
        <v>110000432504</v>
      </c>
      <c r="M383" s="28" t="s">
        <v>254</v>
      </c>
      <c r="N383" s="28">
        <v>2843</v>
      </c>
      <c r="O383" s="28" t="str">
        <f>IFERROR(VLOOKUP(N383, 'SIC &amp; NAICS Codes'!A:B, 2, FALSE), "")</f>
        <v>Surface Active Agents, Finishing Agents, Sulfonated Oils, and Assistants</v>
      </c>
      <c r="S383" s="28">
        <v>0.41359400000000002</v>
      </c>
      <c r="T383" s="315">
        <f>_xlfn.MAXIFS('Raw Period DMR Data'!$O:$O,'Raw Period DMR Data'!$A:$A,'Raw Annual DMR Data_2021-2024'!#REF!,'Raw Period DMR Data'!$C:$C,X383)/S383</f>
        <v>0</v>
      </c>
      <c r="U383" s="28" t="str">
        <f>+IF(COUNTIFS('Raw Period DMR Data'!$A:$A,B383,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83" s="28" t="str" cm="1">
        <f t="array" ref="V383">IFERROR(INDEX('Raw Period DMR Data'!N:N,MATCH(1,(B383='Raw Period DMR Data'!$A:$A)*(U383='Raw Period DMR Data'!M:M)*(X383='Raw Period DMR Data'!C:C),0),1), "N/A")</f>
        <v>N/A</v>
      </c>
      <c r="W383" s="28" t="s">
        <v>1463</v>
      </c>
      <c r="X383" s="28" t="s">
        <v>938</v>
      </c>
      <c r="Y383" s="28" t="s">
        <v>939</v>
      </c>
      <c r="Z383" s="61">
        <v>7120004000886</v>
      </c>
      <c r="AA383" s="60"/>
      <c r="AC383" s="28" t="s">
        <v>1466</v>
      </c>
    </row>
    <row r="384" spans="1:29" s="28" customFormat="1" x14ac:dyDescent="0.25">
      <c r="A384" s="61">
        <v>110000432504</v>
      </c>
      <c r="B384" s="28">
        <v>2021</v>
      </c>
      <c r="C384" s="68">
        <f t="shared" si="5"/>
        <v>44197</v>
      </c>
      <c r="D384" s="28" t="s">
        <v>6830</v>
      </c>
      <c r="E384" s="28" t="s">
        <v>628</v>
      </c>
      <c r="F384" s="28" t="s">
        <v>629</v>
      </c>
      <c r="G384" s="28" t="s">
        <v>345</v>
      </c>
      <c r="H384" s="28">
        <v>604219646</v>
      </c>
      <c r="I384" s="28">
        <v>41.441667000000002</v>
      </c>
      <c r="J384" s="28">
        <v>-88.159719999999993</v>
      </c>
      <c r="K384" s="28" t="s">
        <v>631</v>
      </c>
      <c r="L384" s="61">
        <v>110000432504</v>
      </c>
      <c r="M384" s="28" t="s">
        <v>254</v>
      </c>
      <c r="N384" s="28">
        <v>2843</v>
      </c>
      <c r="O384" s="28" t="str">
        <f>IFERROR(VLOOKUP(N384, 'SIC &amp; NAICS Codes'!A:B, 2, FALSE), "")</f>
        <v>Surface Active Agents, Finishing Agents, Sulfonated Oils, and Assistants</v>
      </c>
      <c r="S384" s="28">
        <v>0.33005800000000002</v>
      </c>
      <c r="T384" s="315">
        <f>_xlfn.MAXIFS('Raw Period DMR Data'!$O:$O,'Raw Period DMR Data'!$A:$A,'Raw Annual DMR Data_2021-2024'!#REF!,'Raw Period DMR Data'!$C:$C,X384)/S384</f>
        <v>0</v>
      </c>
      <c r="U384" s="28" t="str">
        <f>+IF(COUNTIFS('Raw Period DMR Data'!$A:$A,B384,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84" s="28" t="str" cm="1">
        <f t="array" ref="V384">IFERROR(INDEX('Raw Period DMR Data'!N:N,MATCH(1,(B384='Raw Period DMR Data'!$A:$A)*(U384='Raw Period DMR Data'!M:M)*(X384='Raw Period DMR Data'!C:C),0),1), "N/A")</f>
        <v>N/A</v>
      </c>
      <c r="W384" s="28" t="s">
        <v>1463</v>
      </c>
      <c r="X384" s="28" t="s">
        <v>938</v>
      </c>
      <c r="Y384" s="28" t="s">
        <v>939</v>
      </c>
      <c r="Z384" s="61">
        <v>7120004000886</v>
      </c>
      <c r="AC384" s="28" t="s">
        <v>1466</v>
      </c>
    </row>
    <row r="385" spans="1:29" s="28" customFormat="1" x14ac:dyDescent="0.25">
      <c r="A385" s="61">
        <v>110000760310</v>
      </c>
      <c r="B385" s="28">
        <v>2023</v>
      </c>
      <c r="C385" s="68">
        <f t="shared" si="5"/>
        <v>44927</v>
      </c>
      <c r="D385" s="28" t="s">
        <v>108</v>
      </c>
      <c r="E385" s="28" t="s">
        <v>336</v>
      </c>
      <c r="F385" s="28" t="s">
        <v>337</v>
      </c>
      <c r="G385" s="28" t="s">
        <v>338</v>
      </c>
      <c r="H385" s="28" t="s">
        <v>339</v>
      </c>
      <c r="I385" s="28">
        <v>39.852224</v>
      </c>
      <c r="J385" s="28">
        <v>-75.234432999999996</v>
      </c>
      <c r="L385" s="61">
        <v>110000760310</v>
      </c>
      <c r="M385" s="28" t="s">
        <v>264</v>
      </c>
      <c r="N385" s="28">
        <v>5171</v>
      </c>
      <c r="O385" s="28" t="str">
        <f>IFERROR(VLOOKUP(N385, 'SIC &amp; NAICS Codes'!A:B, 2, FALSE), "")</f>
        <v>Petroleum Bulk Stations and Terminals (except petroleum sold via retail method)</v>
      </c>
      <c r="S385" s="28">
        <v>6.5915775000000001E-3</v>
      </c>
      <c r="T385" s="315">
        <f>_xlfn.MAXIFS('Raw Period DMR Data'!$O:$O,'Raw Period DMR Data'!$A:$A,'Raw Annual DMR Data_2021-2024'!#REF!,'Raw Period DMR Data'!$C:$C,X385)/S385</f>
        <v>0</v>
      </c>
      <c r="U385" s="28" t="str">
        <f>+IF(COUNTIFS('Raw Period DMR Data'!$A:$A,B385,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85" s="28" t="str" cm="1">
        <f t="array" ref="V385">IFERROR(INDEX('Raw Period DMR Data'!N:N,MATCH(1,(B385='Raw Period DMR Data'!$A:$A)*(U385='Raw Period DMR Data'!M:M)*(X385='Raw Period DMR Data'!C:C),0),1), "N/A")</f>
        <v>N/A</v>
      </c>
      <c r="W385" s="28" t="s">
        <v>1463</v>
      </c>
      <c r="X385" s="28" t="s">
        <v>782</v>
      </c>
      <c r="Y385" s="28" t="s">
        <v>783</v>
      </c>
      <c r="Z385" s="61" t="s">
        <v>1504</v>
      </c>
      <c r="AA385" s="60"/>
      <c r="AB385" s="28" t="s">
        <v>7355</v>
      </c>
      <c r="AC385" s="28" t="s">
        <v>1466</v>
      </c>
    </row>
    <row r="386" spans="1:29" s="28" customFormat="1" x14ac:dyDescent="0.25">
      <c r="A386" s="61">
        <v>110042072351</v>
      </c>
      <c r="B386" s="28">
        <v>2024</v>
      </c>
      <c r="C386" s="68">
        <f t="shared" ref="C386:C449" si="6">DATE(B386, 1, 1)</f>
        <v>45292</v>
      </c>
      <c r="D386" s="28" t="s">
        <v>112</v>
      </c>
      <c r="E386" s="28" t="s">
        <v>357</v>
      </c>
      <c r="F386" s="28" t="s">
        <v>358</v>
      </c>
      <c r="G386" s="28" t="s">
        <v>275</v>
      </c>
      <c r="H386" s="28">
        <v>83706</v>
      </c>
      <c r="I386" s="28">
        <v>43.603453999999999</v>
      </c>
      <c r="J386" s="28">
        <v>-116.202736</v>
      </c>
      <c r="L386" s="61">
        <v>110042072351</v>
      </c>
      <c r="M386" s="28" t="s">
        <v>264</v>
      </c>
      <c r="N386" s="28">
        <v>7216</v>
      </c>
      <c r="O386" s="28" t="str">
        <f>IFERROR(VLOOKUP(N386, 'SIC &amp; NAICS Codes'!A:B, 2, FALSE), "")</f>
        <v>Drycleaning Plants, Except Rug Cleaning</v>
      </c>
      <c r="S386" s="28">
        <v>4.34907855E-4</v>
      </c>
      <c r="T386" s="315">
        <f>_xlfn.MAXIFS('Raw Period DMR Data'!$O:$O,'Raw Period DMR Data'!$A:$A,'Raw Annual DMR Data_2021-2024'!#REF!,'Raw Period DMR Data'!$C:$C,X386)/S386</f>
        <v>0</v>
      </c>
      <c r="U386" s="28" t="str">
        <f>+IF(COUNTIFS('Raw Period DMR Data'!$A:$A,B386,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86" s="28" t="str" cm="1">
        <f t="array" ref="V386">IFERROR(INDEX('Raw Period DMR Data'!N:N,MATCH(1,(B386='Raw Period DMR Data'!$A:$A)*(U386='Raw Period DMR Data'!M:M)*(X386='Raw Period DMR Data'!C:C),0),1), "N/A")</f>
        <v>N/A</v>
      </c>
      <c r="W386" s="28" t="s">
        <v>1463</v>
      </c>
      <c r="X386" s="28" t="s">
        <v>790</v>
      </c>
      <c r="Y386" s="28" t="s">
        <v>791</v>
      </c>
      <c r="Z386" s="61">
        <v>17050114000332</v>
      </c>
      <c r="AA386" s="60"/>
      <c r="AB386" s="28" t="s">
        <v>7355</v>
      </c>
      <c r="AC386" s="28" t="s">
        <v>1466</v>
      </c>
    </row>
    <row r="387" spans="1:29" s="28" customFormat="1" x14ac:dyDescent="0.25">
      <c r="A387" s="61">
        <v>110042072351</v>
      </c>
      <c r="B387" s="28">
        <v>2024</v>
      </c>
      <c r="C387" s="68">
        <f t="shared" si="6"/>
        <v>45292</v>
      </c>
      <c r="D387" s="28" t="s">
        <v>112</v>
      </c>
      <c r="E387" s="28" t="s">
        <v>357</v>
      </c>
      <c r="F387" s="28" t="s">
        <v>358</v>
      </c>
      <c r="G387" s="28" t="s">
        <v>275</v>
      </c>
      <c r="H387" s="28">
        <v>83706</v>
      </c>
      <c r="I387" s="28">
        <v>43.603453999999999</v>
      </c>
      <c r="J387" s="28">
        <v>-116.202736</v>
      </c>
      <c r="L387" s="61">
        <v>110042072351</v>
      </c>
      <c r="M387" s="28" t="s">
        <v>264</v>
      </c>
      <c r="N387" s="28">
        <v>7216</v>
      </c>
      <c r="O387" s="28" t="str">
        <f>IFERROR(VLOOKUP(N387, 'SIC &amp; NAICS Codes'!A:B, 2, FALSE), "")</f>
        <v>Drycleaning Plants, Except Rug Cleaning</v>
      </c>
      <c r="S387" s="28">
        <v>4.0676335199999998E-4</v>
      </c>
      <c r="T387" s="315">
        <f>_xlfn.MAXIFS('Raw Period DMR Data'!$O:$O,'Raw Period DMR Data'!$A:$A,'Raw Annual DMR Data_2021-2024'!#REF!,'Raw Period DMR Data'!$C:$C,X387)/S387</f>
        <v>0</v>
      </c>
      <c r="U387" s="28" t="str">
        <f>+IF(COUNTIFS('Raw Period DMR Data'!$A:$A,B387,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87" s="28" t="str" cm="1">
        <f t="array" ref="V387">IFERROR(INDEX('Raw Period DMR Data'!N:N,MATCH(1,(B387='Raw Period DMR Data'!$A:$A)*(U387='Raw Period DMR Data'!M:M)*(X387='Raw Period DMR Data'!C:C),0),1), "N/A")</f>
        <v>N/A</v>
      </c>
      <c r="W387" s="28" t="s">
        <v>1463</v>
      </c>
      <c r="X387" s="28" t="s">
        <v>790</v>
      </c>
      <c r="Y387" s="28" t="s">
        <v>791</v>
      </c>
      <c r="Z387" s="61">
        <v>17050114000332</v>
      </c>
      <c r="AA387" s="60"/>
      <c r="AB387" s="28" t="s">
        <v>7355</v>
      </c>
      <c r="AC387" s="28" t="s">
        <v>1466</v>
      </c>
    </row>
    <row r="388" spans="1:29" s="28" customFormat="1" x14ac:dyDescent="0.25">
      <c r="A388" s="61">
        <v>110015972562</v>
      </c>
      <c r="B388" s="28">
        <v>2022</v>
      </c>
      <c r="C388" s="68">
        <f t="shared" si="6"/>
        <v>44562</v>
      </c>
      <c r="D388" s="28" t="s">
        <v>1021</v>
      </c>
      <c r="E388" s="28" t="s">
        <v>1571</v>
      </c>
      <c r="F388" s="28" t="s">
        <v>657</v>
      </c>
      <c r="G388" s="28" t="s">
        <v>418</v>
      </c>
      <c r="H388" s="28">
        <v>89109</v>
      </c>
      <c r="I388" s="28">
        <v>36.119087999999998</v>
      </c>
      <c r="J388" s="28">
        <v>-115.179282</v>
      </c>
      <c r="L388" s="61">
        <v>110015972562</v>
      </c>
      <c r="M388" s="28" t="s">
        <v>264</v>
      </c>
      <c r="N388" s="28">
        <v>7011</v>
      </c>
      <c r="O388" s="28" t="str">
        <f>IFERROR(VLOOKUP(N388, 'SIC &amp; NAICS Codes'!A:B, 2, FALSE), "")</f>
        <v>Hotels and Motels (hotels, except casino hotels, and motels)</v>
      </c>
      <c r="S388" s="28">
        <v>0.2241765700875</v>
      </c>
      <c r="T388" s="315">
        <f>_xlfn.MAXIFS('Raw Period DMR Data'!$O:$O,'Raw Period DMR Data'!$A:$A,'Raw Annual DMR Data_2021-2024'!#REF!,'Raw Period DMR Data'!$C:$C,X388)/S388</f>
        <v>0</v>
      </c>
      <c r="U388" s="28" t="str">
        <f>+IF(COUNTIFS('Raw Period DMR Data'!$A:$A,B388,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88" s="28" t="str" cm="1">
        <f t="array" ref="V388">IFERROR(INDEX('Raw Period DMR Data'!N:N,MATCH(1,(B388='Raw Period DMR Data'!$A:$A)*(U388='Raw Period DMR Data'!M:M)*(X388='Raw Period DMR Data'!C:C),0),1), "N/A")</f>
        <v>N/A</v>
      </c>
      <c r="W388" s="28" t="s">
        <v>1463</v>
      </c>
      <c r="X388" s="28" t="s">
        <v>1572</v>
      </c>
      <c r="Y388" s="28" t="s">
        <v>1573</v>
      </c>
      <c r="Z388" s="61">
        <v>15010015000432</v>
      </c>
      <c r="AA388" s="60"/>
      <c r="AB388" s="28" t="s">
        <v>7355</v>
      </c>
      <c r="AC388" s="28" t="s">
        <v>1466</v>
      </c>
    </row>
    <row r="389" spans="1:29" s="28" customFormat="1" x14ac:dyDescent="0.25">
      <c r="A389" s="61">
        <v>110015972562</v>
      </c>
      <c r="B389" s="28">
        <v>2021</v>
      </c>
      <c r="C389" s="68">
        <f t="shared" si="6"/>
        <v>44197</v>
      </c>
      <c r="D389" s="28" t="s">
        <v>1021</v>
      </c>
      <c r="E389" s="28" t="s">
        <v>1571</v>
      </c>
      <c r="F389" s="28" t="s">
        <v>657</v>
      </c>
      <c r="G389" s="28" t="s">
        <v>418</v>
      </c>
      <c r="H389" s="28">
        <v>89109</v>
      </c>
      <c r="I389" s="28">
        <v>36.119087999999998</v>
      </c>
      <c r="J389" s="28">
        <v>-115.179282</v>
      </c>
      <c r="L389" s="61">
        <v>110015972562</v>
      </c>
      <c r="M389" s="28" t="s">
        <v>264</v>
      </c>
      <c r="N389" s="28">
        <v>7011</v>
      </c>
      <c r="O389" s="28" t="str">
        <f>IFERROR(VLOOKUP(N389, 'SIC &amp; NAICS Codes'!A:B, 2, FALSE), "")</f>
        <v>Hotels and Motels (hotels, except casino hotels, and motels)</v>
      </c>
      <c r="S389" s="28">
        <v>0.16047586224999999</v>
      </c>
      <c r="T389" s="315">
        <f>_xlfn.MAXIFS('Raw Period DMR Data'!$O:$O,'Raw Period DMR Data'!$A:$A,'Raw Annual DMR Data_2021-2024'!#REF!,'Raw Period DMR Data'!$C:$C,X389)/S389</f>
        <v>0</v>
      </c>
      <c r="U389" s="28" t="str">
        <f>+IF(COUNTIFS('Raw Period DMR Data'!$A:$A,B389,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89" s="28" t="str" cm="1">
        <f t="array" ref="V389">IFERROR(INDEX('Raw Period DMR Data'!N:N,MATCH(1,(B389='Raw Period DMR Data'!$A:$A)*(U389='Raw Period DMR Data'!M:M)*(X389='Raw Period DMR Data'!C:C),0),1), "N/A")</f>
        <v>N/A</v>
      </c>
      <c r="W389" s="28" t="s">
        <v>1463</v>
      </c>
      <c r="X389" s="28" t="s">
        <v>1572</v>
      </c>
      <c r="Y389" s="28" t="s">
        <v>1573</v>
      </c>
      <c r="Z389" s="61">
        <v>15010015000432</v>
      </c>
      <c r="AB389" s="28" t="s">
        <v>7355</v>
      </c>
      <c r="AC389" s="28" t="s">
        <v>1466</v>
      </c>
    </row>
    <row r="390" spans="1:29" s="28" customFormat="1" x14ac:dyDescent="0.25">
      <c r="A390" s="61">
        <v>110015972562</v>
      </c>
      <c r="B390" s="28">
        <v>2023</v>
      </c>
      <c r="C390" s="68">
        <f t="shared" si="6"/>
        <v>44927</v>
      </c>
      <c r="D390" s="28" t="s">
        <v>1021</v>
      </c>
      <c r="E390" s="28" t="s">
        <v>1571</v>
      </c>
      <c r="F390" s="28" t="s">
        <v>657</v>
      </c>
      <c r="G390" s="28" t="s">
        <v>418</v>
      </c>
      <c r="H390" s="28">
        <v>89109</v>
      </c>
      <c r="I390" s="28">
        <v>36.119087999999998</v>
      </c>
      <c r="J390" s="28">
        <v>-115.179282</v>
      </c>
      <c r="L390" s="61">
        <v>110015972562</v>
      </c>
      <c r="M390" s="28" t="s">
        <v>264</v>
      </c>
      <c r="N390" s="28">
        <v>7011</v>
      </c>
      <c r="O390" s="28" t="str">
        <f>IFERROR(VLOOKUP(N390, 'SIC &amp; NAICS Codes'!A:B, 2, FALSE), "")</f>
        <v>Hotels and Motels (hotels, except casino hotels, and motels)</v>
      </c>
      <c r="S390" s="28">
        <v>0.1119060893375</v>
      </c>
      <c r="T390" s="315">
        <f>_xlfn.MAXIFS('Raw Period DMR Data'!$O:$O,'Raw Period DMR Data'!$A:$A,'Raw Annual DMR Data_2021-2024'!#REF!,'Raw Period DMR Data'!$C:$C,X390)/S390</f>
        <v>0</v>
      </c>
      <c r="U390" s="28" t="str">
        <f>+IF(COUNTIFS('Raw Period DMR Data'!$A:$A,B390,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90" s="28" t="str" cm="1">
        <f t="array" ref="V390">IFERROR(INDEX('Raw Period DMR Data'!N:N,MATCH(1,(B390='Raw Period DMR Data'!$A:$A)*(U390='Raw Period DMR Data'!M:M)*(X390='Raw Period DMR Data'!C:C),0),1), "N/A")</f>
        <v>N/A</v>
      </c>
      <c r="W390" s="28" t="s">
        <v>1463</v>
      </c>
      <c r="X390" s="28" t="s">
        <v>1572</v>
      </c>
      <c r="Y390" s="28" t="s">
        <v>1573</v>
      </c>
      <c r="Z390" s="61">
        <v>15010015000432</v>
      </c>
      <c r="AA390" s="60"/>
      <c r="AB390" s="28" t="s">
        <v>7355</v>
      </c>
      <c r="AC390" s="28" t="s">
        <v>1466</v>
      </c>
    </row>
    <row r="391" spans="1:29" s="28" customFormat="1" x14ac:dyDescent="0.25">
      <c r="A391" s="61">
        <v>110015972562</v>
      </c>
      <c r="B391" s="28">
        <v>2023</v>
      </c>
      <c r="C391" s="68">
        <f t="shared" si="6"/>
        <v>44927</v>
      </c>
      <c r="D391" s="28" t="s">
        <v>1021</v>
      </c>
      <c r="E391" s="28" t="s">
        <v>1571</v>
      </c>
      <c r="F391" s="28" t="s">
        <v>657</v>
      </c>
      <c r="G391" s="28" t="s">
        <v>418</v>
      </c>
      <c r="H391" s="28">
        <v>89109</v>
      </c>
      <c r="I391" s="28">
        <v>36.119087999999998</v>
      </c>
      <c r="J391" s="28">
        <v>-115.179282</v>
      </c>
      <c r="L391" s="61">
        <v>110015972562</v>
      </c>
      <c r="M391" s="28" t="s">
        <v>264</v>
      </c>
      <c r="N391" s="28">
        <v>7011</v>
      </c>
      <c r="O391" s="28" t="str">
        <f>IFERROR(VLOOKUP(N391, 'SIC &amp; NAICS Codes'!A:B, 2, FALSE), "")</f>
        <v>Hotels and Motels (hotels, except casino hotels, and motels)</v>
      </c>
      <c r="S391" s="28">
        <v>5.3379590050000002E-2</v>
      </c>
      <c r="T391" s="315">
        <f>_xlfn.MAXIFS('Raw Period DMR Data'!$O:$O,'Raw Period DMR Data'!$A:$A,'Raw Annual DMR Data_2021-2024'!#REF!,'Raw Period DMR Data'!$C:$C,X391)/S391</f>
        <v>0</v>
      </c>
      <c r="U391" s="28" t="str">
        <f>+IF(COUNTIFS('Raw Period DMR Data'!$A:$A,B391,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91" s="28" t="str" cm="1">
        <f t="array" ref="V391">IFERROR(INDEX('Raw Period DMR Data'!N:N,MATCH(1,(B391='Raw Period DMR Data'!$A:$A)*(U391='Raw Period DMR Data'!M:M)*(X391='Raw Period DMR Data'!C:C),0),1), "N/A")</f>
        <v>N/A</v>
      </c>
      <c r="W391" s="28" t="s">
        <v>1463</v>
      </c>
      <c r="X391" s="28" t="s">
        <v>1572</v>
      </c>
      <c r="Y391" s="28" t="s">
        <v>1573</v>
      </c>
      <c r="Z391" s="61">
        <v>15010015000432</v>
      </c>
      <c r="AA391" s="60"/>
      <c r="AB391" s="28" t="s">
        <v>7355</v>
      </c>
      <c r="AC391" s="28" t="s">
        <v>1466</v>
      </c>
    </row>
    <row r="392" spans="1:29" s="28" customFormat="1" x14ac:dyDescent="0.25">
      <c r="A392" s="61">
        <v>110015972562</v>
      </c>
      <c r="B392" s="28">
        <v>2024</v>
      </c>
      <c r="C392" s="68">
        <f t="shared" si="6"/>
        <v>45292</v>
      </c>
      <c r="D392" s="28" t="s">
        <v>1021</v>
      </c>
      <c r="E392" s="28" t="s">
        <v>1571</v>
      </c>
      <c r="F392" s="28" t="s">
        <v>657</v>
      </c>
      <c r="G392" s="28" t="s">
        <v>418</v>
      </c>
      <c r="H392" s="28">
        <v>89109</v>
      </c>
      <c r="I392" s="28">
        <v>36.119087999999998</v>
      </c>
      <c r="J392" s="28">
        <v>-115.179282</v>
      </c>
      <c r="L392" s="61">
        <v>110015972562</v>
      </c>
      <c r="M392" s="28" t="s">
        <v>264</v>
      </c>
      <c r="N392" s="28">
        <v>7011</v>
      </c>
      <c r="O392" s="28" t="str">
        <f>IFERROR(VLOOKUP(N392, 'SIC &amp; NAICS Codes'!A:B, 2, FALSE), "")</f>
        <v>Hotels and Motels (hotels, except casino hotels, and motels)</v>
      </c>
      <c r="S392" s="28">
        <v>4.2851215125000001E-2</v>
      </c>
      <c r="T392" s="315">
        <f>_xlfn.MAXIFS('Raw Period DMR Data'!$O:$O,'Raw Period DMR Data'!$A:$A,'Raw Annual DMR Data_2021-2024'!#REF!,'Raw Period DMR Data'!$C:$C,X392)/S392</f>
        <v>0</v>
      </c>
      <c r="U392" s="28" t="str">
        <f>+IF(COUNTIFS('Raw Period DMR Data'!$A:$A,B392,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92" s="28" t="str" cm="1">
        <f t="array" ref="V392">IFERROR(INDEX('Raw Period DMR Data'!N:N,MATCH(1,(B392='Raw Period DMR Data'!$A:$A)*(U392='Raw Period DMR Data'!M:M)*(X392='Raw Period DMR Data'!C:C),0),1), "N/A")</f>
        <v>N/A</v>
      </c>
      <c r="W392" s="28" t="s">
        <v>1463</v>
      </c>
      <c r="X392" s="28" t="s">
        <v>1572</v>
      </c>
      <c r="Y392" s="28" t="s">
        <v>1573</v>
      </c>
      <c r="Z392" s="61">
        <v>15010015000432</v>
      </c>
      <c r="AA392" s="60"/>
      <c r="AB392" s="28" t="s">
        <v>7355</v>
      </c>
      <c r="AC392" s="28" t="s">
        <v>1466</v>
      </c>
    </row>
    <row r="393" spans="1:29" s="28" customFormat="1" x14ac:dyDescent="0.25">
      <c r="A393" s="61">
        <v>110015972562</v>
      </c>
      <c r="B393" s="28">
        <v>2021</v>
      </c>
      <c r="C393" s="68">
        <f t="shared" si="6"/>
        <v>44197</v>
      </c>
      <c r="D393" s="28" t="s">
        <v>1021</v>
      </c>
      <c r="E393" s="28" t="s">
        <v>1571</v>
      </c>
      <c r="F393" s="28" t="s">
        <v>657</v>
      </c>
      <c r="G393" s="28" t="s">
        <v>418</v>
      </c>
      <c r="H393" s="28">
        <v>89109</v>
      </c>
      <c r="I393" s="28">
        <v>36.119087999999998</v>
      </c>
      <c r="J393" s="28">
        <v>-115.179282</v>
      </c>
      <c r="L393" s="61">
        <v>110015972562</v>
      </c>
      <c r="M393" s="28" t="s">
        <v>264</v>
      </c>
      <c r="N393" s="28">
        <v>7011</v>
      </c>
      <c r="O393" s="28" t="str">
        <f>IFERROR(VLOOKUP(N393, 'SIC &amp; NAICS Codes'!A:B, 2, FALSE), "")</f>
        <v>Hotels and Motels (hotels, except casino hotels, and motels)</v>
      </c>
      <c r="S393" s="28">
        <v>4.0748288049999998E-2</v>
      </c>
      <c r="T393" s="315">
        <f>_xlfn.MAXIFS('Raw Period DMR Data'!$O:$O,'Raw Period DMR Data'!$A:$A,'Raw Annual DMR Data_2021-2024'!#REF!,'Raw Period DMR Data'!$C:$C,X393)/S393</f>
        <v>0</v>
      </c>
      <c r="U393" s="28" t="str">
        <f>+IF(COUNTIFS('Raw Period DMR Data'!$A:$A,B393,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93" s="28" t="str" cm="1">
        <f t="array" ref="V393">IFERROR(INDEX('Raw Period DMR Data'!N:N,MATCH(1,(B393='Raw Period DMR Data'!$A:$A)*(U393='Raw Period DMR Data'!M:M)*(X393='Raw Period DMR Data'!C:C),0),1), "N/A")</f>
        <v>N/A</v>
      </c>
      <c r="W393" s="28" t="s">
        <v>1463</v>
      </c>
      <c r="X393" s="28" t="s">
        <v>1572</v>
      </c>
      <c r="Y393" s="28" t="s">
        <v>1573</v>
      </c>
      <c r="Z393" s="61">
        <v>15010015000432</v>
      </c>
      <c r="AB393" s="28" t="s">
        <v>7355</v>
      </c>
      <c r="AC393" s="28" t="s">
        <v>1466</v>
      </c>
    </row>
    <row r="394" spans="1:29" s="28" customFormat="1" x14ac:dyDescent="0.25">
      <c r="A394" s="61">
        <v>110015972562</v>
      </c>
      <c r="B394" s="28">
        <v>2022</v>
      </c>
      <c r="C394" s="68">
        <f t="shared" si="6"/>
        <v>44562</v>
      </c>
      <c r="D394" s="28" t="s">
        <v>1021</v>
      </c>
      <c r="E394" s="28" t="s">
        <v>1571</v>
      </c>
      <c r="F394" s="28" t="s">
        <v>657</v>
      </c>
      <c r="G394" s="28" t="s">
        <v>418</v>
      </c>
      <c r="H394" s="28">
        <v>89109</v>
      </c>
      <c r="I394" s="28">
        <v>36.119087999999998</v>
      </c>
      <c r="J394" s="28">
        <v>-115.179282</v>
      </c>
      <c r="L394" s="61">
        <v>110015972562</v>
      </c>
      <c r="M394" s="28" t="s">
        <v>264</v>
      </c>
      <c r="N394" s="28">
        <v>7011</v>
      </c>
      <c r="O394" s="28" t="str">
        <f>IFERROR(VLOOKUP(N394, 'SIC &amp; NAICS Codes'!A:B, 2, FALSE), "")</f>
        <v>Hotels and Motels (hotels, except casino hotels, and motels)</v>
      </c>
      <c r="S394" s="28">
        <v>4.0211281712499998E-2</v>
      </c>
      <c r="T394" s="315">
        <f>_xlfn.MAXIFS('Raw Period DMR Data'!$O:$O,'Raw Period DMR Data'!$A:$A,'Raw Annual DMR Data_2021-2024'!#REF!,'Raw Period DMR Data'!$C:$C,X394)/S394</f>
        <v>0</v>
      </c>
      <c r="U394" s="28" t="str">
        <f>+IF(COUNTIFS('Raw Period DMR Data'!$A:$A,B394,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94" s="28" t="str" cm="1">
        <f t="array" ref="V394">IFERROR(INDEX('Raw Period DMR Data'!N:N,MATCH(1,(B394='Raw Period DMR Data'!$A:$A)*(U394='Raw Period DMR Data'!M:M)*(X394='Raw Period DMR Data'!C:C),0),1), "N/A")</f>
        <v>N/A</v>
      </c>
      <c r="W394" s="28" t="s">
        <v>1463</v>
      </c>
      <c r="X394" s="28" t="s">
        <v>1572</v>
      </c>
      <c r="Y394" s="28" t="s">
        <v>1573</v>
      </c>
      <c r="Z394" s="61">
        <v>15010015000432</v>
      </c>
      <c r="AA394" s="60"/>
      <c r="AB394" s="28" t="s">
        <v>7355</v>
      </c>
      <c r="AC394" s="28" t="s">
        <v>1466</v>
      </c>
    </row>
    <row r="395" spans="1:29" s="28" customFormat="1" x14ac:dyDescent="0.25">
      <c r="A395" s="61">
        <v>110015972562</v>
      </c>
      <c r="B395" s="28">
        <v>2024</v>
      </c>
      <c r="C395" s="68">
        <f t="shared" si="6"/>
        <v>45292</v>
      </c>
      <c r="D395" s="28" t="s">
        <v>1021</v>
      </c>
      <c r="E395" s="28" t="s">
        <v>1571</v>
      </c>
      <c r="F395" s="28" t="s">
        <v>657</v>
      </c>
      <c r="G395" s="28" t="s">
        <v>418</v>
      </c>
      <c r="H395" s="28">
        <v>89109</v>
      </c>
      <c r="I395" s="28">
        <v>36.119087999999998</v>
      </c>
      <c r="J395" s="28">
        <v>-115.179282</v>
      </c>
      <c r="L395" s="61">
        <v>110015972562</v>
      </c>
      <c r="M395" s="28" t="s">
        <v>264</v>
      </c>
      <c r="N395" s="28">
        <v>7011</v>
      </c>
      <c r="O395" s="28" t="str">
        <f>IFERROR(VLOOKUP(N395, 'SIC &amp; NAICS Codes'!A:B, 2, FALSE), "")</f>
        <v>Hotels and Motels (hotels, except casino hotels, and motels)</v>
      </c>
      <c r="S395" s="28">
        <v>1.4963902875000001E-2</v>
      </c>
      <c r="T395" s="315">
        <f>_xlfn.MAXIFS('Raw Period DMR Data'!$O:$O,'Raw Period DMR Data'!$A:$A,'Raw Annual DMR Data_2021-2024'!#REF!,'Raw Period DMR Data'!$C:$C,X395)/S395</f>
        <v>0</v>
      </c>
      <c r="U395" s="28" t="str">
        <f>+IF(COUNTIFS('Raw Period DMR Data'!$A:$A,B395,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95" s="28" t="str" cm="1">
        <f t="array" ref="V395">IFERROR(INDEX('Raw Period DMR Data'!N:N,MATCH(1,(B395='Raw Period DMR Data'!$A:$A)*(U395='Raw Period DMR Data'!M:M)*(X395='Raw Period DMR Data'!C:C),0),1), "N/A")</f>
        <v>N/A</v>
      </c>
      <c r="W395" s="28" t="s">
        <v>1463</v>
      </c>
      <c r="X395" s="28" t="s">
        <v>1572</v>
      </c>
      <c r="Y395" s="28" t="s">
        <v>1573</v>
      </c>
      <c r="Z395" s="61">
        <v>15010015000432</v>
      </c>
      <c r="AA395" s="60"/>
      <c r="AB395" s="28" t="s">
        <v>7355</v>
      </c>
      <c r="AC395" s="28" t="s">
        <v>1466</v>
      </c>
    </row>
    <row r="396" spans="1:29" s="28" customFormat="1" x14ac:dyDescent="0.25">
      <c r="A396" s="61">
        <v>110070048003</v>
      </c>
      <c r="B396" s="28">
        <v>2021</v>
      </c>
      <c r="C396" s="68">
        <f t="shared" si="6"/>
        <v>44197</v>
      </c>
      <c r="D396" s="28" t="s">
        <v>134</v>
      </c>
      <c r="E396" s="28" t="s">
        <v>433</v>
      </c>
      <c r="F396" s="28" t="s">
        <v>434</v>
      </c>
      <c r="G396" s="28" t="s">
        <v>435</v>
      </c>
      <c r="H396" s="28">
        <v>28203</v>
      </c>
      <c r="I396" s="28">
        <v>35.215859999999999</v>
      </c>
      <c r="J396" s="28">
        <v>-80.856890000000007</v>
      </c>
      <c r="L396" s="61">
        <v>110070048003</v>
      </c>
      <c r="M396" s="28" t="s">
        <v>264</v>
      </c>
      <c r="N396" s="28">
        <v>4959</v>
      </c>
      <c r="O396" s="28" t="str">
        <f>IFERROR(VLOOKUP(N396, 'SIC &amp; NAICS Codes'!A:B, 2, FALSE), "")</f>
        <v>Sanitary Services, NEC (vacuuming of runways)</v>
      </c>
      <c r="S396" s="28">
        <v>5.0678591340000002E-2</v>
      </c>
      <c r="T396" s="315">
        <f>_xlfn.MAXIFS('Raw Period DMR Data'!$O:$O,'Raw Period DMR Data'!$A:$A,'Raw Annual DMR Data_2021-2024'!#REF!,'Raw Period DMR Data'!$C:$C,X396)/S396</f>
        <v>0</v>
      </c>
      <c r="U396" s="28" t="str">
        <f>+IF(COUNTIFS('Raw Period DMR Data'!$A:$A,B396,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96" s="28" t="str" cm="1">
        <f t="array" ref="V396">IFERROR(INDEX('Raw Period DMR Data'!N:N,MATCH(1,(B396='Raw Period DMR Data'!$A:$A)*(U396='Raw Period DMR Data'!M:M)*(X396='Raw Period DMR Data'!C:C),0),1), "N/A")</f>
        <v>N/A</v>
      </c>
      <c r="W396" s="28" t="s">
        <v>1463</v>
      </c>
      <c r="X396" s="28" t="s">
        <v>833</v>
      </c>
      <c r="Y396" s="28" t="s">
        <v>834</v>
      </c>
      <c r="Z396" s="61">
        <v>3050103000259</v>
      </c>
      <c r="AC396" s="28" t="s">
        <v>1466</v>
      </c>
    </row>
    <row r="397" spans="1:29" s="28" customFormat="1" x14ac:dyDescent="0.25">
      <c r="A397" s="61">
        <v>110043808467</v>
      </c>
      <c r="B397" s="28">
        <v>2022</v>
      </c>
      <c r="C397" s="68">
        <f t="shared" si="6"/>
        <v>44562</v>
      </c>
      <c r="D397" s="28" t="s">
        <v>6843</v>
      </c>
      <c r="E397" s="28" t="s">
        <v>650</v>
      </c>
      <c r="F397" s="28" t="s">
        <v>651</v>
      </c>
      <c r="G397" s="28" t="s">
        <v>418</v>
      </c>
      <c r="H397" s="28">
        <v>89015</v>
      </c>
      <c r="I397" s="28">
        <v>36.035440000000001</v>
      </c>
      <c r="J397" s="28">
        <v>-114.99994</v>
      </c>
      <c r="K397" s="28" t="s">
        <v>652</v>
      </c>
      <c r="L397" s="61">
        <v>110043808467</v>
      </c>
      <c r="M397" s="28" t="s">
        <v>264</v>
      </c>
      <c r="N397" s="28">
        <v>1799</v>
      </c>
      <c r="O397" s="28" t="str">
        <f>IFERROR(VLOOKUP(N397, 'SIC &amp; NAICS Codes'!A:B, 2, FALSE), "")</f>
        <v>Special Trade Contractors, NEC (indoor swimming pool construction contractors)</v>
      </c>
      <c r="S397" s="28">
        <v>1.71427589425</v>
      </c>
      <c r="T397" s="315">
        <f>_xlfn.MAXIFS('Raw Period DMR Data'!$O:$O,'Raw Period DMR Data'!$A:$A,'Raw Annual DMR Data_2021-2024'!#REF!,'Raw Period DMR Data'!$C:$C,X397)/S397</f>
        <v>0</v>
      </c>
      <c r="U397" s="28" t="str">
        <f>+IF(COUNTIFS('Raw Period DMR Data'!$A:$A,B397,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97" s="28" t="str" cm="1">
        <f t="array" ref="V397">IFERROR(INDEX('Raw Period DMR Data'!N:N,MATCH(1,(B397='Raw Period DMR Data'!$A:$A)*(U397='Raw Period DMR Data'!M:M)*(X397='Raw Period DMR Data'!C:C),0),1), "N/A")</f>
        <v>N/A</v>
      </c>
      <c r="W397" s="28" t="s">
        <v>1463</v>
      </c>
      <c r="X397" s="28" t="s">
        <v>947</v>
      </c>
      <c r="Y397" s="28" t="s">
        <v>948</v>
      </c>
      <c r="Z397" s="61">
        <v>15010015000957</v>
      </c>
      <c r="AA397" s="60"/>
      <c r="AB397" s="28" t="s">
        <v>7355</v>
      </c>
      <c r="AC397" s="28" t="s">
        <v>1466</v>
      </c>
    </row>
    <row r="398" spans="1:29" s="28" customFormat="1" x14ac:dyDescent="0.25">
      <c r="A398" s="61">
        <v>110043808467</v>
      </c>
      <c r="B398" s="28">
        <v>2021</v>
      </c>
      <c r="C398" s="68">
        <f t="shared" si="6"/>
        <v>44197</v>
      </c>
      <c r="D398" s="28" t="s">
        <v>6843</v>
      </c>
      <c r="E398" s="28" t="s">
        <v>650</v>
      </c>
      <c r="F398" s="28" t="s">
        <v>651</v>
      </c>
      <c r="G398" s="28" t="s">
        <v>418</v>
      </c>
      <c r="H398" s="28">
        <v>89015</v>
      </c>
      <c r="I398" s="28">
        <v>36.035440000000001</v>
      </c>
      <c r="J398" s="28">
        <v>-114.99994</v>
      </c>
      <c r="K398" s="28" t="s">
        <v>652</v>
      </c>
      <c r="L398" s="61">
        <v>110043808467</v>
      </c>
      <c r="M398" s="28" t="s">
        <v>264</v>
      </c>
      <c r="N398" s="28">
        <v>1799</v>
      </c>
      <c r="O398" s="28" t="str">
        <f>IFERROR(VLOOKUP(N398, 'SIC &amp; NAICS Codes'!A:B, 2, FALSE), "")</f>
        <v>Special Trade Contractors, NEC (indoor swimming pool construction contractors)</v>
      </c>
      <c r="S398" s="28">
        <v>0.63700111699999995</v>
      </c>
      <c r="T398" s="315">
        <f>_xlfn.MAXIFS('Raw Period DMR Data'!$O:$O,'Raw Period DMR Data'!$A:$A,'Raw Annual DMR Data_2021-2024'!#REF!,'Raw Period DMR Data'!$C:$C,X398)/S398</f>
        <v>0</v>
      </c>
      <c r="U398" s="28" t="str">
        <f>+IF(COUNTIFS('Raw Period DMR Data'!$A:$A,B398,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98" s="28" t="str" cm="1">
        <f t="array" ref="V398">IFERROR(INDEX('Raw Period DMR Data'!N:N,MATCH(1,(B398='Raw Period DMR Data'!$A:$A)*(U398='Raw Period DMR Data'!M:M)*(X398='Raw Period DMR Data'!C:C),0),1), "N/A")</f>
        <v>N/A</v>
      </c>
      <c r="W398" s="28" t="s">
        <v>1463</v>
      </c>
      <c r="X398" s="28" t="s">
        <v>947</v>
      </c>
      <c r="Y398" s="28" t="s">
        <v>948</v>
      </c>
      <c r="Z398" s="61">
        <v>15010015000957</v>
      </c>
      <c r="AB398" s="28" t="s">
        <v>7355</v>
      </c>
      <c r="AC398" s="28" t="s">
        <v>1466</v>
      </c>
    </row>
    <row r="399" spans="1:29" s="28" customFormat="1" x14ac:dyDescent="0.25">
      <c r="A399" s="61">
        <v>110043808467</v>
      </c>
      <c r="B399" s="28">
        <v>2023</v>
      </c>
      <c r="C399" s="68">
        <f t="shared" si="6"/>
        <v>44927</v>
      </c>
      <c r="D399" s="28" t="s">
        <v>6843</v>
      </c>
      <c r="E399" s="28" t="s">
        <v>650</v>
      </c>
      <c r="F399" s="28" t="s">
        <v>651</v>
      </c>
      <c r="G399" s="28" t="s">
        <v>418</v>
      </c>
      <c r="H399" s="28">
        <v>89015</v>
      </c>
      <c r="I399" s="28">
        <v>36.035440000000001</v>
      </c>
      <c r="J399" s="28">
        <v>-114.99994</v>
      </c>
      <c r="K399" s="28" t="s">
        <v>652</v>
      </c>
      <c r="L399" s="61">
        <v>110043808467</v>
      </c>
      <c r="M399" s="28" t="s">
        <v>264</v>
      </c>
      <c r="N399" s="28">
        <v>1799</v>
      </c>
      <c r="O399" s="28" t="str">
        <f>IFERROR(VLOOKUP(N399, 'SIC &amp; NAICS Codes'!A:B, 2, FALSE), "")</f>
        <v>Special Trade Contractors, NEC (indoor swimming pool construction contractors)</v>
      </c>
      <c r="S399" s="28">
        <v>0.60328944674999996</v>
      </c>
      <c r="T399" s="315">
        <f>_xlfn.MAXIFS('Raw Period DMR Data'!$O:$O,'Raw Period DMR Data'!$A:$A,'Raw Annual DMR Data_2021-2024'!#REF!,'Raw Period DMR Data'!$C:$C,X399)/S399</f>
        <v>0</v>
      </c>
      <c r="U399" s="28" t="str">
        <f>+IF(COUNTIFS('Raw Period DMR Data'!$A:$A,B399,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399" s="28" t="str" cm="1">
        <f t="array" ref="V399">IFERROR(INDEX('Raw Period DMR Data'!N:N,MATCH(1,(B399='Raw Period DMR Data'!$A:$A)*(U399='Raw Period DMR Data'!M:M)*(X399='Raw Period DMR Data'!C:C),0),1), "N/A")</f>
        <v>N/A</v>
      </c>
      <c r="W399" s="28" t="s">
        <v>1463</v>
      </c>
      <c r="X399" s="28" t="s">
        <v>947</v>
      </c>
      <c r="Y399" s="28" t="s">
        <v>948</v>
      </c>
      <c r="Z399" s="61">
        <v>15010015000957</v>
      </c>
      <c r="AA399" s="60"/>
      <c r="AB399" s="28" t="s">
        <v>7355</v>
      </c>
      <c r="AC399" s="28" t="s">
        <v>1466</v>
      </c>
    </row>
    <row r="400" spans="1:29" s="28" customFormat="1" x14ac:dyDescent="0.25">
      <c r="A400" s="61">
        <v>110043808467</v>
      </c>
      <c r="B400" s="28">
        <v>2024</v>
      </c>
      <c r="C400" s="68">
        <f t="shared" si="6"/>
        <v>45292</v>
      </c>
      <c r="D400" s="28" t="s">
        <v>6843</v>
      </c>
      <c r="E400" s="28" t="s">
        <v>650</v>
      </c>
      <c r="F400" s="28" t="s">
        <v>651</v>
      </c>
      <c r="G400" s="28" t="s">
        <v>418</v>
      </c>
      <c r="H400" s="28">
        <v>89015</v>
      </c>
      <c r="I400" s="28">
        <v>36.035440000000001</v>
      </c>
      <c r="J400" s="28">
        <v>-114.99994</v>
      </c>
      <c r="K400" s="28" t="s">
        <v>652</v>
      </c>
      <c r="L400" s="61">
        <v>110043808467</v>
      </c>
      <c r="M400" s="28" t="s">
        <v>264</v>
      </c>
      <c r="N400" s="28">
        <v>1799</v>
      </c>
      <c r="O400" s="28" t="str">
        <f>IFERROR(VLOOKUP(N400, 'SIC &amp; NAICS Codes'!A:B, 2, FALSE), "")</f>
        <v>Special Trade Contractors, NEC (indoor swimming pool construction contractors)</v>
      </c>
      <c r="S400" s="28">
        <v>0.59118293499999996</v>
      </c>
      <c r="T400" s="315">
        <f>_xlfn.MAXIFS('Raw Period DMR Data'!$O:$O,'Raw Period DMR Data'!$A:$A,'Raw Annual DMR Data_2021-2024'!#REF!,'Raw Period DMR Data'!$C:$C,X400)/S400</f>
        <v>0</v>
      </c>
      <c r="U400" s="28" t="str">
        <f>+IF(COUNTIFS('Raw Period DMR Data'!$A:$A,B400,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00" s="28" t="str" cm="1">
        <f t="array" ref="V400">IFERROR(INDEX('Raw Period DMR Data'!N:N,MATCH(1,(B400='Raw Period DMR Data'!$A:$A)*(U400='Raw Period DMR Data'!M:M)*(X400='Raw Period DMR Data'!C:C),0),1), "N/A")</f>
        <v>N/A</v>
      </c>
      <c r="W400" s="28" t="s">
        <v>1463</v>
      </c>
      <c r="X400" s="28" t="s">
        <v>947</v>
      </c>
      <c r="Y400" s="28" t="s">
        <v>948</v>
      </c>
      <c r="Z400" s="61">
        <v>15010015000957</v>
      </c>
      <c r="AA400" s="60"/>
      <c r="AB400" s="28" t="s">
        <v>7355</v>
      </c>
      <c r="AC400" s="28" t="s">
        <v>1466</v>
      </c>
    </row>
    <row r="401" spans="1:29" s="28" customFormat="1" x14ac:dyDescent="0.25">
      <c r="A401" s="61">
        <v>110037107154</v>
      </c>
      <c r="B401" s="28">
        <v>2023</v>
      </c>
      <c r="C401" s="68">
        <f t="shared" si="6"/>
        <v>44927</v>
      </c>
      <c r="D401" s="28" t="s">
        <v>6808</v>
      </c>
      <c r="E401" s="28" t="s">
        <v>6962</v>
      </c>
      <c r="F401" s="28" t="s">
        <v>472</v>
      </c>
      <c r="G401" s="28" t="s">
        <v>450</v>
      </c>
      <c r="H401" s="28">
        <v>11222</v>
      </c>
      <c r="I401" s="28">
        <v>40.73095</v>
      </c>
      <c r="J401" s="28">
        <v>-73.942520000000002</v>
      </c>
      <c r="L401" s="61">
        <v>110037107154</v>
      </c>
      <c r="M401" s="28" t="s">
        <v>264</v>
      </c>
      <c r="N401" s="28">
        <v>4959</v>
      </c>
      <c r="O401" s="28" t="str">
        <f>IFERROR(VLOOKUP(N401, 'SIC &amp; NAICS Codes'!A:B, 2, FALSE), "")</f>
        <v>Sanitary Services, NEC (vacuuming of runways)</v>
      </c>
      <c r="S401" s="28">
        <v>0.78810844187499995</v>
      </c>
      <c r="T401" s="315">
        <f>_xlfn.MAXIFS('Raw Period DMR Data'!$O:$O,'Raw Period DMR Data'!$A:$A,'Raw Annual DMR Data_2021-2024'!#REF!,'Raw Period DMR Data'!$C:$C,X401)/S401</f>
        <v>0</v>
      </c>
      <c r="U401" s="28" t="str">
        <f>+IF(COUNTIFS('Raw Period DMR Data'!$A:$A,B401,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01" s="28" t="str" cm="1">
        <f t="array" ref="V401">IFERROR(INDEX('Raw Period DMR Data'!N:N,MATCH(1,(B401='Raw Period DMR Data'!$A:$A)*(U401='Raw Period DMR Data'!M:M)*(X401='Raw Period DMR Data'!C:C),0),1), "N/A")</f>
        <v>N/A</v>
      </c>
      <c r="W401" s="28" t="s">
        <v>1463</v>
      </c>
      <c r="X401" s="28" t="s">
        <v>855</v>
      </c>
      <c r="Y401" s="28" t="s">
        <v>856</v>
      </c>
      <c r="Z401" s="61" t="s">
        <v>1747</v>
      </c>
      <c r="AA401" s="60"/>
      <c r="AC401" s="28" t="s">
        <v>1466</v>
      </c>
    </row>
    <row r="402" spans="1:29" s="28" customFormat="1" x14ac:dyDescent="0.25">
      <c r="A402" s="61">
        <v>110037107154</v>
      </c>
      <c r="B402" s="28">
        <v>2022</v>
      </c>
      <c r="C402" s="68">
        <f t="shared" si="6"/>
        <v>44562</v>
      </c>
      <c r="D402" s="28" t="s">
        <v>6808</v>
      </c>
      <c r="E402" s="28" t="s">
        <v>6962</v>
      </c>
      <c r="F402" s="28" t="s">
        <v>472</v>
      </c>
      <c r="G402" s="28" t="s">
        <v>450</v>
      </c>
      <c r="H402" s="28">
        <v>11222</v>
      </c>
      <c r="I402" s="28">
        <v>40.73095</v>
      </c>
      <c r="J402" s="28">
        <v>-73.942520000000002</v>
      </c>
      <c r="L402" s="61">
        <v>110037107154</v>
      </c>
      <c r="M402" s="28" t="s">
        <v>264</v>
      </c>
      <c r="N402" s="28">
        <v>4959</v>
      </c>
      <c r="O402" s="28" t="str">
        <f>IFERROR(VLOOKUP(N402, 'SIC &amp; NAICS Codes'!A:B, 2, FALSE), "")</f>
        <v>Sanitary Services, NEC (vacuuming of runways)</v>
      </c>
      <c r="S402" s="28">
        <v>0.74906399050000005</v>
      </c>
      <c r="T402" s="315">
        <f>_xlfn.MAXIFS('Raw Period DMR Data'!$O:$O,'Raw Period DMR Data'!$A:$A,'Raw Annual DMR Data_2021-2024'!#REF!,'Raw Period DMR Data'!$C:$C,X402)/S402</f>
        <v>0</v>
      </c>
      <c r="U402" s="28" t="str">
        <f>+IF(COUNTIFS('Raw Period DMR Data'!$A:$A,B402,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02" s="28" t="str" cm="1">
        <f t="array" ref="V402">IFERROR(INDEX('Raw Period DMR Data'!N:N,MATCH(1,(B402='Raw Period DMR Data'!$A:$A)*(U402='Raw Period DMR Data'!M:M)*(X402='Raw Period DMR Data'!C:C),0),1), "N/A")</f>
        <v>N/A</v>
      </c>
      <c r="W402" s="28" t="s">
        <v>1463</v>
      </c>
      <c r="X402" s="28" t="s">
        <v>855</v>
      </c>
      <c r="Y402" s="28" t="s">
        <v>856</v>
      </c>
      <c r="Z402" s="61">
        <v>2030101001969</v>
      </c>
      <c r="AA402" s="60"/>
      <c r="AC402" s="28" t="s">
        <v>1466</v>
      </c>
    </row>
    <row r="403" spans="1:29" s="28" customFormat="1" x14ac:dyDescent="0.25">
      <c r="A403" s="61">
        <v>110037107154</v>
      </c>
      <c r="B403" s="28">
        <v>2021</v>
      </c>
      <c r="C403" s="68">
        <f t="shared" si="6"/>
        <v>44197</v>
      </c>
      <c r="D403" s="28" t="s">
        <v>6808</v>
      </c>
      <c r="E403" s="28" t="s">
        <v>6962</v>
      </c>
      <c r="F403" s="28" t="s">
        <v>472</v>
      </c>
      <c r="G403" s="28" t="s">
        <v>450</v>
      </c>
      <c r="H403" s="28">
        <v>11222</v>
      </c>
      <c r="I403" s="28">
        <v>40.73095</v>
      </c>
      <c r="J403" s="28">
        <v>-73.942520000000002</v>
      </c>
      <c r="L403" s="61">
        <v>110037107154</v>
      </c>
      <c r="M403" s="28" t="s">
        <v>264</v>
      </c>
      <c r="N403" s="28">
        <v>4959</v>
      </c>
      <c r="O403" s="28" t="str">
        <f>IFERROR(VLOOKUP(N403, 'SIC &amp; NAICS Codes'!A:B, 2, FALSE), "")</f>
        <v>Sanitary Services, NEC (vacuuming of runways)</v>
      </c>
      <c r="S403" s="28">
        <v>0.68824888149999996</v>
      </c>
      <c r="T403" s="315">
        <f>_xlfn.MAXIFS('Raw Period DMR Data'!$O:$O,'Raw Period DMR Data'!$A:$A,'Raw Annual DMR Data_2021-2024'!#REF!,'Raw Period DMR Data'!$C:$C,X403)/S403</f>
        <v>0</v>
      </c>
      <c r="U403" s="28" t="str">
        <f>+IF(COUNTIFS('Raw Period DMR Data'!$A:$A,B403,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03" s="28" t="str" cm="1">
        <f t="array" ref="V403">IFERROR(INDEX('Raw Period DMR Data'!N:N,MATCH(1,(B403='Raw Period DMR Data'!$A:$A)*(U403='Raw Period DMR Data'!M:M)*(X403='Raw Period DMR Data'!C:C),0),1), "N/A")</f>
        <v>N/A</v>
      </c>
      <c r="W403" s="28" t="s">
        <v>1463</v>
      </c>
      <c r="X403" s="28" t="s">
        <v>855</v>
      </c>
      <c r="Y403" s="28" t="s">
        <v>856</v>
      </c>
      <c r="Z403" s="61">
        <v>2030101001969</v>
      </c>
      <c r="AB403" s="28" t="s">
        <v>7355</v>
      </c>
      <c r="AC403" s="28" t="s">
        <v>1466</v>
      </c>
    </row>
    <row r="404" spans="1:29" s="28" customFormat="1" x14ac:dyDescent="0.25">
      <c r="A404" s="61">
        <v>110037107154</v>
      </c>
      <c r="B404" s="28">
        <v>2024</v>
      </c>
      <c r="C404" s="68">
        <f t="shared" si="6"/>
        <v>45292</v>
      </c>
      <c r="D404" s="28" t="s">
        <v>6808</v>
      </c>
      <c r="E404" s="28" t="s">
        <v>6962</v>
      </c>
      <c r="F404" s="28" t="s">
        <v>472</v>
      </c>
      <c r="G404" s="28" t="s">
        <v>450</v>
      </c>
      <c r="H404" s="28">
        <v>11222</v>
      </c>
      <c r="I404" s="28">
        <v>40.73095</v>
      </c>
      <c r="J404" s="28">
        <v>-73.942520000000002</v>
      </c>
      <c r="L404" s="61">
        <v>110037107154</v>
      </c>
      <c r="M404" s="28" t="s">
        <v>264</v>
      </c>
      <c r="N404" s="28">
        <v>4959</v>
      </c>
      <c r="O404" s="28" t="str">
        <f>IFERROR(VLOOKUP(N404, 'SIC &amp; NAICS Codes'!A:B, 2, FALSE), "")</f>
        <v>Sanitary Services, NEC (vacuuming of runways)</v>
      </c>
      <c r="S404" s="28">
        <v>0.50178255974999997</v>
      </c>
      <c r="T404" s="315">
        <f>_xlfn.MAXIFS('Raw Period DMR Data'!$O:$O,'Raw Period DMR Data'!$A:$A,'Raw Annual DMR Data_2021-2024'!#REF!,'Raw Period DMR Data'!$C:$C,X404)/S404</f>
        <v>0</v>
      </c>
      <c r="U404" s="28" t="str">
        <f>+IF(COUNTIFS('Raw Period DMR Data'!$A:$A,B404,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04" s="28" t="str" cm="1">
        <f t="array" ref="V404">IFERROR(INDEX('Raw Period DMR Data'!N:N,MATCH(1,(B404='Raw Period DMR Data'!$A:$A)*(U404='Raw Period DMR Data'!M:M)*(X404='Raw Period DMR Data'!C:C),0),1), "N/A")</f>
        <v>N/A</v>
      </c>
      <c r="W404" s="28" t="s">
        <v>1463</v>
      </c>
      <c r="X404" s="28" t="s">
        <v>855</v>
      </c>
      <c r="Y404" s="28" t="s">
        <v>856</v>
      </c>
      <c r="Z404" s="61">
        <v>2030101001969</v>
      </c>
      <c r="AA404" s="60"/>
      <c r="AC404" s="28" t="s">
        <v>1466</v>
      </c>
    </row>
    <row r="405" spans="1:29" s="28" customFormat="1" x14ac:dyDescent="0.25">
      <c r="A405" s="61">
        <v>110070210457</v>
      </c>
      <c r="B405" s="28">
        <v>2024</v>
      </c>
      <c r="C405" s="68">
        <f t="shared" si="6"/>
        <v>45292</v>
      </c>
      <c r="D405" s="28" t="s">
        <v>1161</v>
      </c>
      <c r="E405" s="28" t="s">
        <v>1861</v>
      </c>
      <c r="F405" s="28" t="s">
        <v>1162</v>
      </c>
      <c r="G405" s="28" t="s">
        <v>338</v>
      </c>
      <c r="H405" s="28">
        <v>80271164</v>
      </c>
      <c r="I405" s="28">
        <v>39.827696000000003</v>
      </c>
      <c r="J405" s="28">
        <v>-75.277782000000002</v>
      </c>
      <c r="L405" s="61">
        <v>110070210457</v>
      </c>
      <c r="M405" s="28" t="s">
        <v>264</v>
      </c>
      <c r="N405" s="28">
        <v>2869</v>
      </c>
      <c r="O405" s="28" t="str">
        <f>IFERROR(VLOOKUP(N405, 'SIC &amp; NAICS Codes'!A:B, 2, FALSE), "")</f>
        <v>Industrial Organic Chemicals, NEC (aliphatics)</v>
      </c>
      <c r="S405" s="28">
        <v>7.9982576100000001E-3</v>
      </c>
      <c r="T405" s="315">
        <f>_xlfn.MAXIFS('Raw Period DMR Data'!$O:$O,'Raw Period DMR Data'!$A:$A,'Raw Annual DMR Data_2021-2024'!#REF!,'Raw Period DMR Data'!$C:$C,X405)/S405</f>
        <v>0</v>
      </c>
      <c r="U405" s="28" t="str">
        <f>+IF(COUNTIFS('Raw Period DMR Data'!$A:$A,B405,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05" s="28" t="str" cm="1">
        <f t="array" ref="V405">IFERROR(INDEX('Raw Period DMR Data'!N:N,MATCH(1,(B405='Raw Period DMR Data'!$A:$A)*(U405='Raw Period DMR Data'!M:M)*(X405='Raw Period DMR Data'!C:C),0),1), "N/A")</f>
        <v>N/A</v>
      </c>
      <c r="W405" s="28" t="s">
        <v>1463</v>
      </c>
      <c r="X405" s="28" t="s">
        <v>1862</v>
      </c>
      <c r="Y405" s="28" t="s">
        <v>783</v>
      </c>
      <c r="Z405" s="61">
        <v>2040202001793</v>
      </c>
      <c r="AA405" s="60"/>
      <c r="AB405" s="28" t="s">
        <v>7355</v>
      </c>
      <c r="AC405" s="28" t="s">
        <v>1466</v>
      </c>
    </row>
    <row r="406" spans="1:29" s="28" customFormat="1" x14ac:dyDescent="0.25">
      <c r="A406" s="61">
        <v>110070210457</v>
      </c>
      <c r="B406" s="28">
        <v>2023</v>
      </c>
      <c r="C406" s="68">
        <f t="shared" si="6"/>
        <v>44927</v>
      </c>
      <c r="D406" s="28" t="s">
        <v>1161</v>
      </c>
      <c r="E406" s="28" t="s">
        <v>1861</v>
      </c>
      <c r="F406" s="28" t="s">
        <v>1162</v>
      </c>
      <c r="G406" s="28" t="s">
        <v>338</v>
      </c>
      <c r="H406" s="28" t="s">
        <v>1863</v>
      </c>
      <c r="I406" s="28">
        <v>39.827696000000003</v>
      </c>
      <c r="J406" s="28">
        <v>-75.277782000000002</v>
      </c>
      <c r="L406" s="61">
        <v>110070210457</v>
      </c>
      <c r="M406" s="28" t="s">
        <v>264</v>
      </c>
      <c r="N406" s="28">
        <v>2869</v>
      </c>
      <c r="O406" s="28" t="str">
        <f>IFERROR(VLOOKUP(N406, 'SIC &amp; NAICS Codes'!A:B, 2, FALSE), "")</f>
        <v>Industrial Organic Chemicals, NEC (aliphatics)</v>
      </c>
      <c r="S406" s="28">
        <v>7.9977807000000001E-3</v>
      </c>
      <c r="T406" s="315">
        <f>_xlfn.MAXIFS('Raw Period DMR Data'!$O:$O,'Raw Period DMR Data'!$A:$A,'Raw Annual DMR Data_2021-2024'!#REF!,'Raw Period DMR Data'!$C:$C,X406)/S406</f>
        <v>0</v>
      </c>
      <c r="U406" s="28" t="str">
        <f>+IF(COUNTIFS('Raw Period DMR Data'!$A:$A,B406,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06" s="28" t="str" cm="1">
        <f t="array" ref="V406">IFERROR(INDEX('Raw Period DMR Data'!N:N,MATCH(1,(B406='Raw Period DMR Data'!$A:$A)*(U406='Raw Period DMR Data'!M:M)*(X406='Raw Period DMR Data'!C:C),0),1), "N/A")</f>
        <v>N/A</v>
      </c>
      <c r="W406" s="28" t="s">
        <v>1463</v>
      </c>
      <c r="X406" s="28" t="s">
        <v>1862</v>
      </c>
      <c r="Y406" s="28" t="s">
        <v>783</v>
      </c>
      <c r="Z406" s="61" t="s">
        <v>1864</v>
      </c>
      <c r="AA406" s="60"/>
      <c r="AB406" s="28" t="s">
        <v>7355</v>
      </c>
      <c r="AC406" s="28" t="s">
        <v>1466</v>
      </c>
    </row>
    <row r="407" spans="1:29" s="28" customFormat="1" x14ac:dyDescent="0.25">
      <c r="A407" s="61">
        <v>110070210457</v>
      </c>
      <c r="B407" s="28">
        <v>2021</v>
      </c>
      <c r="C407" s="68">
        <f t="shared" si="6"/>
        <v>44197</v>
      </c>
      <c r="D407" s="28" t="s">
        <v>1161</v>
      </c>
      <c r="E407" s="28" t="s">
        <v>1861</v>
      </c>
      <c r="F407" s="28" t="s">
        <v>1162</v>
      </c>
      <c r="G407" s="28" t="s">
        <v>338</v>
      </c>
      <c r="H407" s="28">
        <v>80271164</v>
      </c>
      <c r="I407" s="28">
        <v>39.827696000000003</v>
      </c>
      <c r="J407" s="28">
        <v>-75.277782000000002</v>
      </c>
      <c r="L407" s="61">
        <v>110070210457</v>
      </c>
      <c r="M407" s="28" t="s">
        <v>264</v>
      </c>
      <c r="N407" s="28">
        <v>2869</v>
      </c>
      <c r="O407" s="28" t="str">
        <f>IFERROR(VLOOKUP(N407, 'SIC &amp; NAICS Codes'!A:B, 2, FALSE), "")</f>
        <v>Industrial Organic Chemicals, NEC (aliphatics)</v>
      </c>
      <c r="S407" s="28">
        <v>4.1917928750000001E-3</v>
      </c>
      <c r="T407" s="315">
        <f>_xlfn.MAXIFS('Raw Period DMR Data'!$O:$O,'Raw Period DMR Data'!$A:$A,'Raw Annual DMR Data_2021-2024'!#REF!,'Raw Period DMR Data'!$C:$C,X407)/S407</f>
        <v>0</v>
      </c>
      <c r="U407" s="28" t="str">
        <f>+IF(COUNTIFS('Raw Period DMR Data'!$A:$A,B407,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07" s="28" t="str" cm="1">
        <f t="array" ref="V407">IFERROR(INDEX('Raw Period DMR Data'!N:N,MATCH(1,(B407='Raw Period DMR Data'!$A:$A)*(U407='Raw Period DMR Data'!M:M)*(X407='Raw Period DMR Data'!C:C),0),1), "N/A")</f>
        <v>N/A</v>
      </c>
      <c r="W407" s="28" t="s">
        <v>1463</v>
      </c>
      <c r="X407" s="28" t="s">
        <v>1862</v>
      </c>
      <c r="Y407" s="28" t="s">
        <v>783</v>
      </c>
      <c r="Z407" s="61">
        <v>2040202001793</v>
      </c>
      <c r="AB407" s="28" t="s">
        <v>7355</v>
      </c>
      <c r="AC407" s="28" t="s">
        <v>1466</v>
      </c>
    </row>
    <row r="408" spans="1:29" s="28" customFormat="1" x14ac:dyDescent="0.25">
      <c r="A408" s="61">
        <v>110070210457</v>
      </c>
      <c r="B408" s="28">
        <v>2022</v>
      </c>
      <c r="C408" s="68">
        <f t="shared" si="6"/>
        <v>44562</v>
      </c>
      <c r="D408" s="28" t="s">
        <v>1161</v>
      </c>
      <c r="E408" s="28" t="s">
        <v>1861</v>
      </c>
      <c r="F408" s="28" t="s">
        <v>1162</v>
      </c>
      <c r="G408" s="28" t="s">
        <v>338</v>
      </c>
      <c r="H408" s="28">
        <v>80271164</v>
      </c>
      <c r="I408" s="28">
        <v>39.827696000000003</v>
      </c>
      <c r="J408" s="28">
        <v>-75.277782000000002</v>
      </c>
      <c r="L408" s="61">
        <v>110070210457</v>
      </c>
      <c r="M408" s="28" t="s">
        <v>264</v>
      </c>
      <c r="N408" s="28">
        <v>2869</v>
      </c>
      <c r="O408" s="28" t="str">
        <f>IFERROR(VLOOKUP(N408, 'SIC &amp; NAICS Codes'!A:B, 2, FALSE), "")</f>
        <v>Industrial Organic Chemicals, NEC (aliphatics)</v>
      </c>
      <c r="S408" s="28">
        <v>2.431767875E-3</v>
      </c>
      <c r="T408" s="315">
        <f>_xlfn.MAXIFS('Raw Period DMR Data'!$O:$O,'Raw Period DMR Data'!$A:$A,'Raw Annual DMR Data_2021-2024'!#REF!,'Raw Period DMR Data'!$C:$C,X408)/S408</f>
        <v>0</v>
      </c>
      <c r="U408" s="28" t="str">
        <f>+IF(COUNTIFS('Raw Period DMR Data'!$A:$A,B408,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08" s="28" t="str" cm="1">
        <f t="array" ref="V408">IFERROR(INDEX('Raw Period DMR Data'!N:N,MATCH(1,(B408='Raw Period DMR Data'!$A:$A)*(U408='Raw Period DMR Data'!M:M)*(X408='Raw Period DMR Data'!C:C),0),1), "N/A")</f>
        <v>N/A</v>
      </c>
      <c r="W408" s="28" t="s">
        <v>1463</v>
      </c>
      <c r="X408" s="28" t="s">
        <v>1862</v>
      </c>
      <c r="Y408" s="28" t="s">
        <v>783</v>
      </c>
      <c r="Z408" s="61">
        <v>2040202001793</v>
      </c>
      <c r="AA408" s="60"/>
      <c r="AB408" s="28" t="s">
        <v>7355</v>
      </c>
      <c r="AC408" s="28" t="s">
        <v>1466</v>
      </c>
    </row>
    <row r="409" spans="1:29" s="28" customFormat="1" x14ac:dyDescent="0.25">
      <c r="A409" s="61">
        <v>110037096674</v>
      </c>
      <c r="B409" s="28">
        <v>2021</v>
      </c>
      <c r="C409" s="68">
        <f t="shared" si="6"/>
        <v>44197</v>
      </c>
      <c r="D409" s="28" t="s">
        <v>157</v>
      </c>
      <c r="E409" s="28" t="s">
        <v>504</v>
      </c>
      <c r="F409" s="28" t="s">
        <v>505</v>
      </c>
      <c r="G409" s="28" t="s">
        <v>506</v>
      </c>
      <c r="H409" s="28">
        <v>20910</v>
      </c>
      <c r="I409" s="28">
        <v>38.987340000000003</v>
      </c>
      <c r="J409" s="28">
        <v>-77.026660000000007</v>
      </c>
      <c r="L409" s="61">
        <v>110037096674</v>
      </c>
      <c r="M409" s="28" t="s">
        <v>264</v>
      </c>
      <c r="N409" s="28">
        <v>1522</v>
      </c>
      <c r="O409" s="28" t="str">
        <f>IFERROR(VLOOKUP(N409, 'SIC &amp; NAICS Codes'!A:B, 2, FALSE), "")</f>
        <v>General Contractors - Residential Buildings Other Than Single-Family (except remodeling contractors, hotel and motel construction contractors, and dormitory and barrack construction contractors)</v>
      </c>
      <c r="S409" s="28">
        <v>6.9468385462500004E-2</v>
      </c>
      <c r="T409" s="315">
        <f>_xlfn.MAXIFS('Raw Period DMR Data'!$O:$O,'Raw Period DMR Data'!$A:$A,'Raw Annual DMR Data_2021-2024'!#REF!,'Raw Period DMR Data'!$C:$C,X409)/S409</f>
        <v>0</v>
      </c>
      <c r="U409" s="28" t="str">
        <f>+IF(COUNTIFS('Raw Period DMR Data'!$A:$A,B409,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09" s="28" t="str" cm="1">
        <f t="array" ref="V409">IFERROR(INDEX('Raw Period DMR Data'!N:N,MATCH(1,(B409='Raw Period DMR Data'!$A:$A)*(U409='Raw Period DMR Data'!M:M)*(X409='Raw Period DMR Data'!C:C),0),1), "N/A")</f>
        <v>N/A</v>
      </c>
      <c r="W409" s="28" t="s">
        <v>1463</v>
      </c>
      <c r="X409" s="28" t="s">
        <v>874</v>
      </c>
      <c r="Y409" s="28" t="s">
        <v>875</v>
      </c>
      <c r="Z409" s="61">
        <v>2070010000088</v>
      </c>
      <c r="AB409" s="28" t="s">
        <v>7355</v>
      </c>
      <c r="AC409" s="28" t="s">
        <v>1466</v>
      </c>
    </row>
    <row r="410" spans="1:29" s="28" customFormat="1" x14ac:dyDescent="0.25">
      <c r="A410" s="61">
        <v>110037096674</v>
      </c>
      <c r="B410" s="28">
        <v>2022</v>
      </c>
      <c r="C410" s="68">
        <f t="shared" si="6"/>
        <v>44562</v>
      </c>
      <c r="D410" s="28" t="s">
        <v>157</v>
      </c>
      <c r="E410" s="28" t="s">
        <v>504</v>
      </c>
      <c r="F410" s="28" t="s">
        <v>505</v>
      </c>
      <c r="G410" s="28" t="s">
        <v>506</v>
      </c>
      <c r="H410" s="28">
        <v>20910</v>
      </c>
      <c r="I410" s="28">
        <v>38.987340000000003</v>
      </c>
      <c r="J410" s="28">
        <v>-77.026660000000007</v>
      </c>
      <c r="L410" s="61">
        <v>110037096674</v>
      </c>
      <c r="M410" s="28" t="s">
        <v>264</v>
      </c>
      <c r="N410" s="28">
        <v>1522</v>
      </c>
      <c r="O410" s="28" t="str">
        <f>IFERROR(VLOOKUP(N410, 'SIC &amp; NAICS Codes'!A:B, 2, FALSE), "")</f>
        <v>General Contractors - Residential Buildings Other Than Single-Family (except remodeling contractors, hotel and motel construction contractors, and dormitory and barrack construction contractors)</v>
      </c>
      <c r="S410" s="28">
        <v>2.6892356446079999E-2</v>
      </c>
      <c r="T410" s="315">
        <f>_xlfn.MAXIFS('Raw Period DMR Data'!$O:$O,'Raw Period DMR Data'!$A:$A,'Raw Annual DMR Data_2021-2024'!#REF!,'Raw Period DMR Data'!$C:$C,X410)/S410</f>
        <v>0</v>
      </c>
      <c r="U410" s="28" t="str">
        <f>+IF(COUNTIFS('Raw Period DMR Data'!$A:$A,B410,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10" s="28" t="str" cm="1">
        <f t="array" ref="V410">IFERROR(INDEX('Raw Period DMR Data'!N:N,MATCH(1,(B410='Raw Period DMR Data'!$A:$A)*(U410='Raw Period DMR Data'!M:M)*(X410='Raw Period DMR Data'!C:C),0),1), "N/A")</f>
        <v>N/A</v>
      </c>
      <c r="W410" s="28" t="s">
        <v>1463</v>
      </c>
      <c r="X410" s="28" t="s">
        <v>874</v>
      </c>
      <c r="Y410" s="28" t="s">
        <v>875</v>
      </c>
      <c r="Z410" s="61">
        <v>2070010000088</v>
      </c>
      <c r="AA410" s="60"/>
      <c r="AC410" s="28" t="s">
        <v>1466</v>
      </c>
    </row>
    <row r="411" spans="1:29" s="28" customFormat="1" x14ac:dyDescent="0.25">
      <c r="A411" s="61">
        <v>110059844156</v>
      </c>
      <c r="B411" s="28">
        <v>2021</v>
      </c>
      <c r="C411" s="68">
        <f t="shared" si="6"/>
        <v>44197</v>
      </c>
      <c r="D411" s="28" t="s">
        <v>1211</v>
      </c>
      <c r="E411" s="28" t="s">
        <v>1958</v>
      </c>
      <c r="F411" s="28" t="s">
        <v>657</v>
      </c>
      <c r="G411" s="28" t="s">
        <v>418</v>
      </c>
      <c r="H411" s="28">
        <v>89109</v>
      </c>
      <c r="I411" s="28">
        <v>36.131489999999999</v>
      </c>
      <c r="J411" s="28">
        <v>-115.15483</v>
      </c>
      <c r="L411" s="61">
        <v>110059844156</v>
      </c>
      <c r="M411" s="28" t="s">
        <v>264</v>
      </c>
      <c r="N411" s="28">
        <v>1799</v>
      </c>
      <c r="O411" s="28" t="str">
        <f>IFERROR(VLOOKUP(N411, 'SIC &amp; NAICS Codes'!A:B, 2, FALSE), "")</f>
        <v>Special Trade Contractors, NEC (indoor swimming pool construction contractors)</v>
      </c>
      <c r="S411" s="28">
        <v>4.4369402281249998E-2</v>
      </c>
      <c r="T411" s="315">
        <f>_xlfn.MAXIFS('Raw Period DMR Data'!$O:$O,'Raw Period DMR Data'!$A:$A,'Raw Annual DMR Data_2021-2024'!#REF!,'Raw Period DMR Data'!$C:$C,X411)/S411</f>
        <v>0</v>
      </c>
      <c r="U411" s="28" t="str">
        <f>+IF(COUNTIFS('Raw Period DMR Data'!$A:$A,B411,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11" s="28" t="str" cm="1">
        <f t="array" ref="V411">IFERROR(INDEX('Raw Period DMR Data'!N:N,MATCH(1,(B411='Raw Period DMR Data'!$A:$A)*(U411='Raw Period DMR Data'!M:M)*(X411='Raw Period DMR Data'!C:C),0),1), "N/A")</f>
        <v>N/A</v>
      </c>
      <c r="W411" s="28" t="s">
        <v>1463</v>
      </c>
      <c r="X411" s="28" t="s">
        <v>1959</v>
      </c>
      <c r="Y411" s="28" t="s">
        <v>1960</v>
      </c>
      <c r="Z411" s="61"/>
      <c r="AB411" s="28" t="s">
        <v>7355</v>
      </c>
      <c r="AC411" s="28" t="s">
        <v>1466</v>
      </c>
    </row>
    <row r="412" spans="1:29" s="28" customFormat="1" x14ac:dyDescent="0.25">
      <c r="A412" s="61">
        <v>110059844156</v>
      </c>
      <c r="B412" s="28">
        <v>2023</v>
      </c>
      <c r="C412" s="68">
        <f t="shared" si="6"/>
        <v>44927</v>
      </c>
      <c r="D412" s="28" t="s">
        <v>1211</v>
      </c>
      <c r="E412" s="28" t="s">
        <v>1958</v>
      </c>
      <c r="F412" s="28" t="s">
        <v>657</v>
      </c>
      <c r="G412" s="28" t="s">
        <v>418</v>
      </c>
      <c r="H412" s="28">
        <v>89109</v>
      </c>
      <c r="I412" s="28">
        <v>36.131489999999999</v>
      </c>
      <c r="J412" s="28">
        <v>-115.15483</v>
      </c>
      <c r="L412" s="61">
        <v>110059844156</v>
      </c>
      <c r="M412" s="28" t="s">
        <v>264</v>
      </c>
      <c r="N412" s="28">
        <v>1799</v>
      </c>
      <c r="O412" s="28" t="str">
        <f>IFERROR(VLOOKUP(N412, 'SIC &amp; NAICS Codes'!A:B, 2, FALSE), "")</f>
        <v>Special Trade Contractors, NEC (indoor swimming pool construction contractors)</v>
      </c>
      <c r="S412" s="28">
        <v>4.09242243125E-2</v>
      </c>
      <c r="T412" s="315">
        <f>_xlfn.MAXIFS('Raw Period DMR Data'!$O:$O,'Raw Period DMR Data'!$A:$A,'Raw Annual DMR Data_2021-2024'!#REF!,'Raw Period DMR Data'!$C:$C,X412)/S412</f>
        <v>0</v>
      </c>
      <c r="U412" s="28" t="str">
        <f>+IF(COUNTIFS('Raw Period DMR Data'!$A:$A,B412,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12" s="28" t="str" cm="1">
        <f t="array" ref="V412">IFERROR(INDEX('Raw Period DMR Data'!N:N,MATCH(1,(B412='Raw Period DMR Data'!$A:$A)*(U412='Raw Period DMR Data'!M:M)*(X412='Raw Period DMR Data'!C:C),0),1), "N/A")</f>
        <v>N/A</v>
      </c>
      <c r="W412" s="28" t="s">
        <v>1463</v>
      </c>
      <c r="X412" s="28" t="s">
        <v>1959</v>
      </c>
      <c r="Y412" s="28" t="s">
        <v>1960</v>
      </c>
      <c r="Z412" s="61"/>
      <c r="AA412" s="60"/>
      <c r="AB412" s="28" t="s">
        <v>7355</v>
      </c>
      <c r="AC412" s="28" t="s">
        <v>1466</v>
      </c>
    </row>
    <row r="413" spans="1:29" s="28" customFormat="1" x14ac:dyDescent="0.25">
      <c r="A413" s="61">
        <v>110059844156</v>
      </c>
      <c r="B413" s="28">
        <v>2023</v>
      </c>
      <c r="C413" s="68">
        <f t="shared" si="6"/>
        <v>44927</v>
      </c>
      <c r="D413" s="28" t="s">
        <v>1211</v>
      </c>
      <c r="E413" s="28" t="s">
        <v>1958</v>
      </c>
      <c r="F413" s="28" t="s">
        <v>657</v>
      </c>
      <c r="G413" s="28" t="s">
        <v>418</v>
      </c>
      <c r="H413" s="28">
        <v>89109</v>
      </c>
      <c r="I413" s="28">
        <v>36.131489999999999</v>
      </c>
      <c r="J413" s="28">
        <v>-115.15483</v>
      </c>
      <c r="L413" s="61">
        <v>110059844156</v>
      </c>
      <c r="M413" s="28" t="s">
        <v>264</v>
      </c>
      <c r="N413" s="28">
        <v>1799</v>
      </c>
      <c r="O413" s="28" t="str">
        <f>IFERROR(VLOOKUP(N413, 'SIC &amp; NAICS Codes'!A:B, 2, FALSE), "")</f>
        <v>Special Trade Contractors, NEC (indoor swimming pool construction contractors)</v>
      </c>
      <c r="S413" s="28">
        <v>3.7662098406249997E-2</v>
      </c>
      <c r="T413" s="315">
        <f>_xlfn.MAXIFS('Raw Period DMR Data'!$O:$O,'Raw Period DMR Data'!$A:$A,'Raw Annual DMR Data_2021-2024'!#REF!,'Raw Period DMR Data'!$C:$C,X413)/S413</f>
        <v>0</v>
      </c>
      <c r="U413" s="28" t="str">
        <f>+IF(COUNTIFS('Raw Period DMR Data'!$A:$A,B413,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13" s="28" t="str" cm="1">
        <f t="array" ref="V413">IFERROR(INDEX('Raw Period DMR Data'!N:N,MATCH(1,(B413='Raw Period DMR Data'!$A:$A)*(U413='Raw Period DMR Data'!M:M)*(X413='Raw Period DMR Data'!C:C),0),1), "N/A")</f>
        <v>N/A</v>
      </c>
      <c r="W413" s="28" t="s">
        <v>1463</v>
      </c>
      <c r="X413" s="28" t="s">
        <v>1959</v>
      </c>
      <c r="Y413" s="28" t="s">
        <v>1960</v>
      </c>
      <c r="Z413" s="61"/>
      <c r="AA413" s="60"/>
      <c r="AB413" s="28" t="s">
        <v>7355</v>
      </c>
      <c r="AC413" s="28" t="s">
        <v>1466</v>
      </c>
    </row>
    <row r="414" spans="1:29" s="28" customFormat="1" x14ac:dyDescent="0.25">
      <c r="A414" s="61">
        <v>110059844156</v>
      </c>
      <c r="B414" s="28">
        <v>2024</v>
      </c>
      <c r="C414" s="68">
        <f t="shared" si="6"/>
        <v>45292</v>
      </c>
      <c r="D414" s="28" t="s">
        <v>1211</v>
      </c>
      <c r="E414" s="28" t="s">
        <v>1958</v>
      </c>
      <c r="F414" s="28" t="s">
        <v>657</v>
      </c>
      <c r="G414" s="28" t="s">
        <v>418</v>
      </c>
      <c r="H414" s="28">
        <v>89109</v>
      </c>
      <c r="I414" s="28">
        <v>36.131489999999999</v>
      </c>
      <c r="J414" s="28">
        <v>-115.15483</v>
      </c>
      <c r="L414" s="61">
        <v>110059844156</v>
      </c>
      <c r="M414" s="28" t="s">
        <v>264</v>
      </c>
      <c r="N414" s="28">
        <v>1799</v>
      </c>
      <c r="O414" s="28" t="str">
        <f>IFERROR(VLOOKUP(N414, 'SIC &amp; NAICS Codes'!A:B, 2, FALSE), "")</f>
        <v>Special Trade Contractors, NEC (indoor swimming pool construction contractors)</v>
      </c>
      <c r="S414" s="28">
        <v>6.5663883250000003E-3</v>
      </c>
      <c r="T414" s="315">
        <f>_xlfn.MAXIFS('Raw Period DMR Data'!$O:$O,'Raw Period DMR Data'!$A:$A,'Raw Annual DMR Data_2021-2024'!#REF!,'Raw Period DMR Data'!$C:$C,X414)/S414</f>
        <v>0</v>
      </c>
      <c r="U414" s="28" t="str">
        <f>+IF(COUNTIFS('Raw Period DMR Data'!$A:$A,B414,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14" s="28" t="str" cm="1">
        <f t="array" ref="V414">IFERROR(INDEX('Raw Period DMR Data'!N:N,MATCH(1,(B414='Raw Period DMR Data'!$A:$A)*(U414='Raw Period DMR Data'!M:M)*(X414='Raw Period DMR Data'!C:C),0),1), "N/A")</f>
        <v>N/A</v>
      </c>
      <c r="W414" s="28" t="s">
        <v>1463</v>
      </c>
      <c r="X414" s="28" t="s">
        <v>1959</v>
      </c>
      <c r="Y414" s="28" t="s">
        <v>1960</v>
      </c>
      <c r="Z414" s="61"/>
      <c r="AA414" s="60"/>
      <c r="AB414" s="28" t="s">
        <v>7355</v>
      </c>
      <c r="AC414" s="28" t="s">
        <v>1466</v>
      </c>
    </row>
    <row r="415" spans="1:29" s="28" customFormat="1" x14ac:dyDescent="0.25">
      <c r="A415" s="61">
        <v>110059844156</v>
      </c>
      <c r="B415" s="28">
        <v>2024</v>
      </c>
      <c r="C415" s="68">
        <f t="shared" si="6"/>
        <v>45292</v>
      </c>
      <c r="D415" s="28" t="s">
        <v>1211</v>
      </c>
      <c r="E415" s="28" t="s">
        <v>1958</v>
      </c>
      <c r="F415" s="28" t="s">
        <v>657</v>
      </c>
      <c r="G415" s="28" t="s">
        <v>418</v>
      </c>
      <c r="H415" s="28">
        <v>89109</v>
      </c>
      <c r="I415" s="28">
        <v>36.131489999999999</v>
      </c>
      <c r="J415" s="28">
        <v>-115.15483</v>
      </c>
      <c r="L415" s="61">
        <v>110059844156</v>
      </c>
      <c r="M415" s="28" t="s">
        <v>264</v>
      </c>
      <c r="N415" s="28">
        <v>1799</v>
      </c>
      <c r="O415" s="28" t="str">
        <f>IFERROR(VLOOKUP(N415, 'SIC &amp; NAICS Codes'!A:B, 2, FALSE), "")</f>
        <v>Special Trade Contractors, NEC (indoor swimming pool construction contractors)</v>
      </c>
      <c r="S415" s="28">
        <v>6.2524367687500004E-3</v>
      </c>
      <c r="T415" s="315">
        <f>_xlfn.MAXIFS('Raw Period DMR Data'!$O:$O,'Raw Period DMR Data'!$A:$A,'Raw Annual DMR Data_2021-2024'!#REF!,'Raw Period DMR Data'!$C:$C,X415)/S415</f>
        <v>0</v>
      </c>
      <c r="U415" s="28" t="str">
        <f>+IF(COUNTIFS('Raw Period DMR Data'!$A:$A,B415,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15" s="28" t="str" cm="1">
        <f t="array" ref="V415">IFERROR(INDEX('Raw Period DMR Data'!N:N,MATCH(1,(B415='Raw Period DMR Data'!$A:$A)*(U415='Raw Period DMR Data'!M:M)*(X415='Raw Period DMR Data'!C:C),0),1), "N/A")</f>
        <v>N/A</v>
      </c>
      <c r="W415" s="28" t="s">
        <v>1463</v>
      </c>
      <c r="X415" s="28" t="s">
        <v>1959</v>
      </c>
      <c r="Y415" s="28" t="s">
        <v>1960</v>
      </c>
      <c r="Z415" s="61"/>
      <c r="AA415" s="60"/>
      <c r="AB415" s="28" t="s">
        <v>7355</v>
      </c>
      <c r="AC415" s="28" t="s">
        <v>1466</v>
      </c>
    </row>
    <row r="416" spans="1:29" s="28" customFormat="1" x14ac:dyDescent="0.25">
      <c r="A416" s="61">
        <v>110059844156</v>
      </c>
      <c r="B416" s="28">
        <v>2021</v>
      </c>
      <c r="C416" s="68">
        <f t="shared" si="6"/>
        <v>44197</v>
      </c>
      <c r="D416" s="28" t="s">
        <v>1211</v>
      </c>
      <c r="E416" s="28" t="s">
        <v>1958</v>
      </c>
      <c r="F416" s="28" t="s">
        <v>657</v>
      </c>
      <c r="G416" s="28" t="s">
        <v>418</v>
      </c>
      <c r="H416" s="28">
        <v>89109</v>
      </c>
      <c r="I416" s="28">
        <v>36.131489999999999</v>
      </c>
      <c r="J416" s="28">
        <v>-115.15483</v>
      </c>
      <c r="L416" s="61">
        <v>110059844156</v>
      </c>
      <c r="M416" s="28" t="s">
        <v>264</v>
      </c>
      <c r="N416" s="28">
        <v>1799</v>
      </c>
      <c r="O416" s="28" t="str">
        <f>IFERROR(VLOOKUP(N416, 'SIC &amp; NAICS Codes'!A:B, 2, FALSE), "")</f>
        <v>Special Trade Contractors, NEC (indoor swimming pool construction contractors)</v>
      </c>
      <c r="S416" s="28">
        <v>1.9040868312500001E-5</v>
      </c>
      <c r="T416" s="315">
        <f>_xlfn.MAXIFS('Raw Period DMR Data'!$O:$O,'Raw Period DMR Data'!$A:$A,'Raw Annual DMR Data_2021-2024'!#REF!,'Raw Period DMR Data'!$C:$C,X416)/S416</f>
        <v>0</v>
      </c>
      <c r="U416" s="28" t="str">
        <f>+IF(COUNTIFS('Raw Period DMR Data'!$A:$A,B416,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16" s="28" t="str" cm="1">
        <f t="array" ref="V416">IFERROR(INDEX('Raw Period DMR Data'!N:N,MATCH(1,(B416='Raw Period DMR Data'!$A:$A)*(U416='Raw Period DMR Data'!M:M)*(X416='Raw Period DMR Data'!C:C),0),1), "N/A")</f>
        <v>N/A</v>
      </c>
      <c r="W416" s="28" t="s">
        <v>1463</v>
      </c>
      <c r="X416" s="28" t="s">
        <v>1959</v>
      </c>
      <c r="Y416" s="28" t="s">
        <v>1960</v>
      </c>
      <c r="Z416" s="61"/>
      <c r="AB416" s="28" t="s">
        <v>7355</v>
      </c>
      <c r="AC416" s="28" t="s">
        <v>1466</v>
      </c>
    </row>
    <row r="417" spans="1:29" s="28" customFormat="1" x14ac:dyDescent="0.25">
      <c r="A417" s="61">
        <v>110064644782</v>
      </c>
      <c r="B417" s="28">
        <v>2022</v>
      </c>
      <c r="C417" s="68">
        <f t="shared" si="6"/>
        <v>44562</v>
      </c>
      <c r="D417" s="28" t="s">
        <v>6789</v>
      </c>
      <c r="E417" s="28" t="s">
        <v>6940</v>
      </c>
      <c r="F417" s="28" t="s">
        <v>302</v>
      </c>
      <c r="G417" s="28" t="s">
        <v>303</v>
      </c>
      <c r="H417" s="28">
        <v>70807</v>
      </c>
      <c r="I417" s="28">
        <v>30.584540000000001</v>
      </c>
      <c r="J417" s="28">
        <v>-91.247479999999996</v>
      </c>
      <c r="L417" s="61">
        <v>110064644782</v>
      </c>
      <c r="M417" s="28" t="s">
        <v>264</v>
      </c>
      <c r="N417" s="28">
        <v>4953</v>
      </c>
      <c r="O417" s="28" t="str">
        <f>IFERROR(VLOOKUP(N417, 'SIC &amp; NAICS Codes'!A:B, 2, FALSE), "")</f>
        <v>Refuse Systems (hazardous waste treatment and disposal)</v>
      </c>
      <c r="S417" s="28">
        <v>0.99645802500000002</v>
      </c>
      <c r="T417" s="315">
        <f>_xlfn.MAXIFS('Raw Period DMR Data'!$O:$O,'Raw Period DMR Data'!$A:$A,'Raw Annual DMR Data_2021-2024'!#REF!,'Raw Period DMR Data'!$C:$C,X417)/S417</f>
        <v>0</v>
      </c>
      <c r="U417" s="28" t="str">
        <f>+IF(COUNTIFS('Raw Period DMR Data'!$A:$A,B417,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17" s="28" t="str" cm="1">
        <f t="array" ref="V417">IFERROR(INDEX('Raw Period DMR Data'!N:N,MATCH(1,(B417='Raw Period DMR Data'!$A:$A)*(U417='Raw Period DMR Data'!M:M)*(X417='Raw Period DMR Data'!C:C),0),1), "N/A")</f>
        <v>N/A</v>
      </c>
      <c r="W417" s="28" t="s">
        <v>1463</v>
      </c>
      <c r="X417" s="28" t="s">
        <v>7148</v>
      </c>
      <c r="Y417" s="28" t="s">
        <v>7259</v>
      </c>
      <c r="Z417" s="61">
        <v>8070201000153</v>
      </c>
      <c r="AA417" s="60"/>
      <c r="AB417" s="28" t="s">
        <v>7355</v>
      </c>
      <c r="AC417" s="28" t="s">
        <v>1466</v>
      </c>
    </row>
    <row r="418" spans="1:29" s="28" customFormat="1" x14ac:dyDescent="0.25">
      <c r="A418" s="61">
        <v>110064644782</v>
      </c>
      <c r="B418" s="28">
        <v>2022</v>
      </c>
      <c r="C418" s="68">
        <f t="shared" si="6"/>
        <v>44562</v>
      </c>
      <c r="D418" s="28" t="s">
        <v>6789</v>
      </c>
      <c r="E418" s="28" t="s">
        <v>6940</v>
      </c>
      <c r="F418" s="28" t="s">
        <v>302</v>
      </c>
      <c r="G418" s="28" t="s">
        <v>303</v>
      </c>
      <c r="H418" s="28">
        <v>70807</v>
      </c>
      <c r="I418" s="28">
        <v>30.584540000000001</v>
      </c>
      <c r="J418" s="28">
        <v>-91.247479999999996</v>
      </c>
      <c r="L418" s="61">
        <v>110064644782</v>
      </c>
      <c r="M418" s="28" t="s">
        <v>264</v>
      </c>
      <c r="N418" s="28">
        <v>4953</v>
      </c>
      <c r="O418" s="28" t="str">
        <f>IFERROR(VLOOKUP(N418, 'SIC &amp; NAICS Codes'!A:B, 2, FALSE), "")</f>
        <v>Refuse Systems (hazardous waste treatment and disposal)</v>
      </c>
      <c r="S418" s="28">
        <v>0.16559375000000001</v>
      </c>
      <c r="T418" s="315">
        <f>_xlfn.MAXIFS('Raw Period DMR Data'!$O:$O,'Raw Period DMR Data'!$A:$A,'Raw Annual DMR Data_2021-2024'!#REF!,'Raw Period DMR Data'!$C:$C,X418)/S418</f>
        <v>0</v>
      </c>
      <c r="U418" s="28" t="str">
        <f>+IF(COUNTIFS('Raw Period DMR Data'!$A:$A,B418,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18" s="28" t="str" cm="1">
        <f t="array" ref="V418">IFERROR(INDEX('Raw Period DMR Data'!N:N,MATCH(1,(B418='Raw Period DMR Data'!$A:$A)*(U418='Raw Period DMR Data'!M:M)*(X418='Raw Period DMR Data'!C:C),0),1), "N/A")</f>
        <v>N/A</v>
      </c>
      <c r="W418" s="28" t="s">
        <v>1463</v>
      </c>
      <c r="X418" s="28" t="s">
        <v>7148</v>
      </c>
      <c r="Y418" s="28" t="s">
        <v>7259</v>
      </c>
      <c r="Z418" s="61">
        <v>8070201000153</v>
      </c>
      <c r="AA418" s="60"/>
      <c r="AB418" s="28" t="s">
        <v>7355</v>
      </c>
      <c r="AC418" s="28" t="s">
        <v>1466</v>
      </c>
    </row>
    <row r="419" spans="1:29" s="28" customFormat="1" x14ac:dyDescent="0.25">
      <c r="A419" s="61">
        <v>110064644782</v>
      </c>
      <c r="B419" s="28">
        <v>2024</v>
      </c>
      <c r="C419" s="68">
        <f t="shared" si="6"/>
        <v>45292</v>
      </c>
      <c r="D419" s="28" t="s">
        <v>6789</v>
      </c>
      <c r="E419" s="28" t="s">
        <v>6940</v>
      </c>
      <c r="F419" s="28" t="s">
        <v>302</v>
      </c>
      <c r="G419" s="28" t="s">
        <v>303</v>
      </c>
      <c r="H419" s="28">
        <v>70807</v>
      </c>
      <c r="I419" s="28">
        <v>30.584540000000001</v>
      </c>
      <c r="J419" s="28">
        <v>-91.247479999999996</v>
      </c>
      <c r="L419" s="61">
        <v>110064644782</v>
      </c>
      <c r="M419" s="28" t="s">
        <v>264</v>
      </c>
      <c r="N419" s="28">
        <v>4953</v>
      </c>
      <c r="O419" s="28" t="str">
        <f>IFERROR(VLOOKUP(N419, 'SIC &amp; NAICS Codes'!A:B, 2, FALSE), "")</f>
        <v>Refuse Systems (hazardous waste treatment and disposal)</v>
      </c>
      <c r="S419" s="28">
        <v>9.5251890625000002E-2</v>
      </c>
      <c r="T419" s="315">
        <f>_xlfn.MAXIFS('Raw Period DMR Data'!$O:$O,'Raw Period DMR Data'!$A:$A,'Raw Annual DMR Data_2021-2024'!#REF!,'Raw Period DMR Data'!$C:$C,X419)/S419</f>
        <v>0</v>
      </c>
      <c r="U419" s="28" t="str">
        <f>+IF(COUNTIFS('Raw Period DMR Data'!$A:$A,B419,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19" s="28" t="str" cm="1">
        <f t="array" ref="V419">IFERROR(INDEX('Raw Period DMR Data'!N:N,MATCH(1,(B419='Raw Period DMR Data'!$A:$A)*(U419='Raw Period DMR Data'!M:M)*(X419='Raw Period DMR Data'!C:C),0),1), "N/A")</f>
        <v>N/A</v>
      </c>
      <c r="W419" s="28" t="s">
        <v>1463</v>
      </c>
      <c r="X419" s="28" t="s">
        <v>7148</v>
      </c>
      <c r="Y419" s="28" t="s">
        <v>7259</v>
      </c>
      <c r="Z419" s="61">
        <v>8070201000153</v>
      </c>
      <c r="AA419" s="60"/>
      <c r="AB419" s="28" t="s">
        <v>7355</v>
      </c>
      <c r="AC419" s="28" t="s">
        <v>1466</v>
      </c>
    </row>
    <row r="420" spans="1:29" s="28" customFormat="1" x14ac:dyDescent="0.25">
      <c r="A420" s="61">
        <v>110064644782</v>
      </c>
      <c r="B420" s="28">
        <v>2023</v>
      </c>
      <c r="C420" s="68">
        <f t="shared" si="6"/>
        <v>44927</v>
      </c>
      <c r="D420" s="28" t="s">
        <v>6789</v>
      </c>
      <c r="E420" s="28" t="s">
        <v>6940</v>
      </c>
      <c r="F420" s="28" t="s">
        <v>302</v>
      </c>
      <c r="G420" s="28" t="s">
        <v>303</v>
      </c>
      <c r="H420" s="28">
        <v>70807</v>
      </c>
      <c r="I420" s="28">
        <v>30.584540000000001</v>
      </c>
      <c r="J420" s="28">
        <v>-91.247479999999996</v>
      </c>
      <c r="L420" s="61">
        <v>110064644782</v>
      </c>
      <c r="M420" s="28" t="s">
        <v>264</v>
      </c>
      <c r="N420" s="28">
        <v>4953</v>
      </c>
      <c r="O420" s="28" t="str">
        <f>IFERROR(VLOOKUP(N420, 'SIC &amp; NAICS Codes'!A:B, 2, FALSE), "")</f>
        <v>Refuse Systems (hazardous waste treatment and disposal)</v>
      </c>
      <c r="S420" s="28">
        <v>1.9485872655E-2</v>
      </c>
      <c r="T420" s="315">
        <f>_xlfn.MAXIFS('Raw Period DMR Data'!$O:$O,'Raw Period DMR Data'!$A:$A,'Raw Annual DMR Data_2021-2024'!#REF!,'Raw Period DMR Data'!$C:$C,X420)/S420</f>
        <v>0</v>
      </c>
      <c r="U420" s="28" t="str">
        <f>+IF(COUNTIFS('Raw Period DMR Data'!$A:$A,B420,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20" s="28" t="str" cm="1">
        <f t="array" ref="V420">IFERROR(INDEX('Raw Period DMR Data'!N:N,MATCH(1,(B420='Raw Period DMR Data'!$A:$A)*(U420='Raw Period DMR Data'!M:M)*(X420='Raw Period DMR Data'!C:C),0),1), "N/A")</f>
        <v>N/A</v>
      </c>
      <c r="W420" s="28" t="s">
        <v>1463</v>
      </c>
      <c r="X420" s="28" t="s">
        <v>7148</v>
      </c>
      <c r="Y420" s="28" t="s">
        <v>7259</v>
      </c>
      <c r="Z420" s="61" t="s">
        <v>7327</v>
      </c>
      <c r="AA420" s="60"/>
      <c r="AB420" s="28" t="s">
        <v>7355</v>
      </c>
      <c r="AC420" s="28" t="s">
        <v>1466</v>
      </c>
    </row>
    <row r="421" spans="1:29" s="28" customFormat="1" x14ac:dyDescent="0.25">
      <c r="A421" s="61">
        <v>110064644782</v>
      </c>
      <c r="B421" s="28">
        <v>2024</v>
      </c>
      <c r="C421" s="68">
        <f t="shared" si="6"/>
        <v>45292</v>
      </c>
      <c r="D421" s="28" t="s">
        <v>6789</v>
      </c>
      <c r="E421" s="28" t="s">
        <v>6940</v>
      </c>
      <c r="F421" s="28" t="s">
        <v>302</v>
      </c>
      <c r="G421" s="28" t="s">
        <v>303</v>
      </c>
      <c r="H421" s="28">
        <v>70807</v>
      </c>
      <c r="I421" s="28">
        <v>30.584540000000001</v>
      </c>
      <c r="J421" s="28">
        <v>-91.247479999999996</v>
      </c>
      <c r="L421" s="61">
        <v>110064644782</v>
      </c>
      <c r="M421" s="28" t="s">
        <v>264</v>
      </c>
      <c r="N421" s="28">
        <v>4953</v>
      </c>
      <c r="O421" s="28" t="str">
        <f>IFERROR(VLOOKUP(N421, 'SIC &amp; NAICS Codes'!A:B, 2, FALSE), "")</f>
        <v>Refuse Systems (hazardous waste treatment and disposal)</v>
      </c>
      <c r="S421" s="28">
        <v>8.9257396874999999E-3</v>
      </c>
      <c r="T421" s="315">
        <f>_xlfn.MAXIFS('Raw Period DMR Data'!$O:$O,'Raw Period DMR Data'!$A:$A,'Raw Annual DMR Data_2021-2024'!#REF!,'Raw Period DMR Data'!$C:$C,X421)/S421</f>
        <v>0</v>
      </c>
      <c r="U421" s="28" t="str">
        <f>+IF(COUNTIFS('Raw Period DMR Data'!$A:$A,B421,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21" s="28" t="str" cm="1">
        <f t="array" ref="V421">IFERROR(INDEX('Raw Period DMR Data'!N:N,MATCH(1,(B421='Raw Period DMR Data'!$A:$A)*(U421='Raw Period DMR Data'!M:M)*(X421='Raw Period DMR Data'!C:C),0),1), "N/A")</f>
        <v>N/A</v>
      </c>
      <c r="W421" s="28" t="s">
        <v>1463</v>
      </c>
      <c r="X421" s="28" t="s">
        <v>7148</v>
      </c>
      <c r="Y421" s="28" t="s">
        <v>7259</v>
      </c>
      <c r="Z421" s="61">
        <v>8070201000153</v>
      </c>
      <c r="AA421" s="60"/>
      <c r="AB421" s="28" t="s">
        <v>7355</v>
      </c>
      <c r="AC421" s="28" t="s">
        <v>1466</v>
      </c>
    </row>
    <row r="422" spans="1:29" s="28" customFormat="1" x14ac:dyDescent="0.25">
      <c r="A422" s="61">
        <v>110064644782</v>
      </c>
      <c r="B422" s="28">
        <v>2021</v>
      </c>
      <c r="C422" s="68">
        <f t="shared" si="6"/>
        <v>44197</v>
      </c>
      <c r="D422" s="28" t="s">
        <v>6789</v>
      </c>
      <c r="E422" s="28" t="s">
        <v>6940</v>
      </c>
      <c r="F422" s="28" t="s">
        <v>302</v>
      </c>
      <c r="G422" s="28" t="s">
        <v>303</v>
      </c>
      <c r="H422" s="28">
        <v>70807</v>
      </c>
      <c r="I422" s="28">
        <v>30.584540000000001</v>
      </c>
      <c r="J422" s="28">
        <v>-91.247479999999996</v>
      </c>
      <c r="L422" s="61">
        <v>110064644782</v>
      </c>
      <c r="M422" s="28" t="s">
        <v>264</v>
      </c>
      <c r="N422" s="28">
        <v>4953</v>
      </c>
      <c r="O422" s="28" t="str">
        <f>IFERROR(VLOOKUP(N422, 'SIC &amp; NAICS Codes'!A:B, 2, FALSE), "")</f>
        <v>Refuse Systems (hazardous waste treatment and disposal)</v>
      </c>
      <c r="S422" s="28">
        <v>5.014368E-3</v>
      </c>
      <c r="T422" s="315">
        <f>_xlfn.MAXIFS('Raw Period DMR Data'!$O:$O,'Raw Period DMR Data'!$A:$A,'Raw Annual DMR Data_2021-2024'!#REF!,'Raw Period DMR Data'!$C:$C,X422)/S422</f>
        <v>0</v>
      </c>
      <c r="U422" s="28" t="str">
        <f>+IF(COUNTIFS('Raw Period DMR Data'!$A:$A,B422,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22" s="28" t="str" cm="1">
        <f t="array" ref="V422">IFERROR(INDEX('Raw Period DMR Data'!N:N,MATCH(1,(B422='Raw Period DMR Data'!$A:$A)*(U422='Raw Period DMR Data'!M:M)*(X422='Raw Period DMR Data'!C:C),0),1), "N/A")</f>
        <v>N/A</v>
      </c>
      <c r="W422" s="28" t="s">
        <v>1463</v>
      </c>
      <c r="X422" s="28" t="s">
        <v>7148</v>
      </c>
      <c r="Y422" s="28" t="s">
        <v>7259</v>
      </c>
      <c r="Z422" s="61">
        <v>8070201000153</v>
      </c>
      <c r="AB422" s="28" t="s">
        <v>7355</v>
      </c>
      <c r="AC422" s="28" t="s">
        <v>1466</v>
      </c>
    </row>
    <row r="423" spans="1:29" s="28" customFormat="1" x14ac:dyDescent="0.25">
      <c r="A423" s="61">
        <v>110064644782</v>
      </c>
      <c r="B423" s="28">
        <v>2023</v>
      </c>
      <c r="C423" s="68">
        <f t="shared" si="6"/>
        <v>44927</v>
      </c>
      <c r="D423" s="28" t="s">
        <v>6789</v>
      </c>
      <c r="E423" s="28" t="s">
        <v>6940</v>
      </c>
      <c r="F423" s="28" t="s">
        <v>302</v>
      </c>
      <c r="G423" s="28" t="s">
        <v>303</v>
      </c>
      <c r="H423" s="28">
        <v>70807</v>
      </c>
      <c r="I423" s="28">
        <v>30.584540000000001</v>
      </c>
      <c r="J423" s="28">
        <v>-91.247479999999996</v>
      </c>
      <c r="L423" s="61">
        <v>110064644782</v>
      </c>
      <c r="M423" s="28" t="s">
        <v>264</v>
      </c>
      <c r="N423" s="28">
        <v>4953</v>
      </c>
      <c r="O423" s="28" t="str">
        <f>IFERROR(VLOOKUP(N423, 'SIC &amp; NAICS Codes'!A:B, 2, FALSE), "")</f>
        <v>Refuse Systems (hazardous waste treatment and disposal)</v>
      </c>
      <c r="S423" s="28">
        <v>1.9980504024999998E-3</v>
      </c>
      <c r="T423" s="315">
        <f>_xlfn.MAXIFS('Raw Period DMR Data'!$O:$O,'Raw Period DMR Data'!$A:$A,'Raw Annual DMR Data_2021-2024'!#REF!,'Raw Period DMR Data'!$C:$C,X423)/S423</f>
        <v>0</v>
      </c>
      <c r="U423" s="28" t="str">
        <f>+IF(COUNTIFS('Raw Period DMR Data'!$A:$A,B423,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23" s="28" t="str" cm="1">
        <f t="array" ref="V423">IFERROR(INDEX('Raw Period DMR Data'!N:N,MATCH(1,(B423='Raw Period DMR Data'!$A:$A)*(U423='Raw Period DMR Data'!M:M)*(X423='Raw Period DMR Data'!C:C),0),1), "N/A")</f>
        <v>N/A</v>
      </c>
      <c r="W423" s="28" t="s">
        <v>1463</v>
      </c>
      <c r="X423" s="28" t="s">
        <v>7148</v>
      </c>
      <c r="Y423" s="28" t="s">
        <v>7259</v>
      </c>
      <c r="Z423" s="61" t="s">
        <v>7327</v>
      </c>
      <c r="AA423" s="60"/>
      <c r="AB423" s="28" t="s">
        <v>7355</v>
      </c>
      <c r="AC423" s="28" t="s">
        <v>1466</v>
      </c>
    </row>
    <row r="424" spans="1:29" s="28" customFormat="1" x14ac:dyDescent="0.25">
      <c r="A424" s="61">
        <v>110064644782</v>
      </c>
      <c r="B424" s="28">
        <v>2021</v>
      </c>
      <c r="C424" s="68">
        <f t="shared" si="6"/>
        <v>44197</v>
      </c>
      <c r="D424" s="28" t="s">
        <v>6789</v>
      </c>
      <c r="E424" s="28" t="s">
        <v>6940</v>
      </c>
      <c r="F424" s="28" t="s">
        <v>302</v>
      </c>
      <c r="G424" s="28" t="s">
        <v>303</v>
      </c>
      <c r="H424" s="28">
        <v>70807</v>
      </c>
      <c r="I424" s="28">
        <v>30.584540000000001</v>
      </c>
      <c r="J424" s="28">
        <v>-91.247479999999996</v>
      </c>
      <c r="L424" s="61">
        <v>110064644782</v>
      </c>
      <c r="M424" s="28" t="s">
        <v>264</v>
      </c>
      <c r="N424" s="28">
        <v>4953</v>
      </c>
      <c r="O424" s="28" t="str">
        <f>IFERROR(VLOOKUP(N424, 'SIC &amp; NAICS Codes'!A:B, 2, FALSE), "")</f>
        <v>Refuse Systems (hazardous waste treatment and disposal)</v>
      </c>
      <c r="S424" s="28">
        <v>5.0143680000000002E-4</v>
      </c>
      <c r="T424" s="315">
        <f>_xlfn.MAXIFS('Raw Period DMR Data'!$O:$O,'Raw Period DMR Data'!$A:$A,'Raw Annual DMR Data_2021-2024'!#REF!,'Raw Period DMR Data'!$C:$C,X424)/S424</f>
        <v>0</v>
      </c>
      <c r="U424" s="28" t="str">
        <f>+IF(COUNTIFS('Raw Period DMR Data'!$A:$A,B424,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24" s="28" t="str" cm="1">
        <f t="array" ref="V424">IFERROR(INDEX('Raw Period DMR Data'!N:N,MATCH(1,(B424='Raw Period DMR Data'!$A:$A)*(U424='Raw Period DMR Data'!M:M)*(X424='Raw Period DMR Data'!C:C),0),1), "N/A")</f>
        <v>N/A</v>
      </c>
      <c r="W424" s="28" t="s">
        <v>1463</v>
      </c>
      <c r="X424" s="28" t="s">
        <v>7148</v>
      </c>
      <c r="Y424" s="28" t="s">
        <v>7259</v>
      </c>
      <c r="Z424" s="61">
        <v>8070201000153</v>
      </c>
      <c r="AB424" s="28" t="s">
        <v>7355</v>
      </c>
      <c r="AC424" s="28" t="s">
        <v>1466</v>
      </c>
    </row>
    <row r="425" spans="1:29" s="28" customFormat="1" x14ac:dyDescent="0.25">
      <c r="A425" s="61">
        <v>110041253256</v>
      </c>
      <c r="B425" s="28">
        <v>2024</v>
      </c>
      <c r="C425" s="68">
        <f t="shared" si="6"/>
        <v>45292</v>
      </c>
      <c r="D425" s="28" t="s">
        <v>1308</v>
      </c>
      <c r="E425" s="28" t="s">
        <v>2149</v>
      </c>
      <c r="F425" s="28" t="s">
        <v>657</v>
      </c>
      <c r="G425" s="28" t="s">
        <v>418</v>
      </c>
      <c r="H425" s="28">
        <v>89109</v>
      </c>
      <c r="I425" s="28">
        <v>36.132570000000001</v>
      </c>
      <c r="J425" s="28">
        <v>-115.16477</v>
      </c>
      <c r="L425" s="61">
        <v>110041253256</v>
      </c>
      <c r="M425" s="28" t="s">
        <v>264</v>
      </c>
      <c r="N425" s="28">
        <v>7011</v>
      </c>
      <c r="O425" s="28" t="str">
        <f>IFERROR(VLOOKUP(N425, 'SIC &amp; NAICS Codes'!A:B, 2, FALSE), "")</f>
        <v>Hotels and Motels (hotels, except casino hotels, and motels)</v>
      </c>
      <c r="S425" s="28">
        <v>0.44346952499999998</v>
      </c>
      <c r="T425" s="315">
        <f>_xlfn.MAXIFS('Raw Period DMR Data'!$O:$O,'Raw Period DMR Data'!$A:$A,'Raw Annual DMR Data_2021-2024'!#REF!,'Raw Period DMR Data'!$C:$C,X425)/S425</f>
        <v>0</v>
      </c>
      <c r="U425" s="28" t="str">
        <f>+IF(COUNTIFS('Raw Period DMR Data'!$A:$A,B425,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25" s="28" t="str" cm="1">
        <f t="array" ref="V425">IFERROR(INDEX('Raw Period DMR Data'!N:N,MATCH(1,(B425='Raw Period DMR Data'!$A:$A)*(U425='Raw Period DMR Data'!M:M)*(X425='Raw Period DMR Data'!C:C),0),1), "N/A")</f>
        <v>N/A</v>
      </c>
      <c r="W425" s="28" t="s">
        <v>1463</v>
      </c>
      <c r="X425" s="28" t="s">
        <v>2150</v>
      </c>
      <c r="Y425" s="28" t="s">
        <v>2151</v>
      </c>
      <c r="Z425" s="61">
        <v>15010015000432</v>
      </c>
      <c r="AA425" s="60"/>
      <c r="AB425" s="28" t="s">
        <v>7355</v>
      </c>
      <c r="AC425" s="28" t="s">
        <v>1466</v>
      </c>
    </row>
    <row r="426" spans="1:29" s="28" customFormat="1" x14ac:dyDescent="0.25">
      <c r="A426" s="61">
        <v>110041253256</v>
      </c>
      <c r="B426" s="28">
        <v>2023</v>
      </c>
      <c r="C426" s="68">
        <f t="shared" si="6"/>
        <v>44927</v>
      </c>
      <c r="D426" s="28" t="s">
        <v>1308</v>
      </c>
      <c r="E426" s="28" t="s">
        <v>2149</v>
      </c>
      <c r="F426" s="28" t="s">
        <v>657</v>
      </c>
      <c r="G426" s="28" t="s">
        <v>418</v>
      </c>
      <c r="H426" s="28">
        <v>89109</v>
      </c>
      <c r="I426" s="28">
        <v>36.132570000000001</v>
      </c>
      <c r="J426" s="28">
        <v>-115.16477</v>
      </c>
      <c r="L426" s="61">
        <v>110041253256</v>
      </c>
      <c r="M426" s="28" t="s">
        <v>264</v>
      </c>
      <c r="N426" s="28">
        <v>7011</v>
      </c>
      <c r="O426" s="28" t="str">
        <f>IFERROR(VLOOKUP(N426, 'SIC &amp; NAICS Codes'!A:B, 2, FALSE), "")</f>
        <v>Hotels and Motels (hotels, except casino hotels, and motels)</v>
      </c>
      <c r="S426" s="28">
        <v>0.1271003</v>
      </c>
      <c r="T426" s="315">
        <f>_xlfn.MAXIFS('Raw Period DMR Data'!$O:$O,'Raw Period DMR Data'!$A:$A,'Raw Annual DMR Data_2021-2024'!#REF!,'Raw Period DMR Data'!$C:$C,X426)/S426</f>
        <v>0</v>
      </c>
      <c r="U426" s="28" t="str">
        <f>+IF(COUNTIFS('Raw Period DMR Data'!$A:$A,B426,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26" s="28" t="str" cm="1">
        <f t="array" ref="V426">IFERROR(INDEX('Raw Period DMR Data'!N:N,MATCH(1,(B426='Raw Period DMR Data'!$A:$A)*(U426='Raw Period DMR Data'!M:M)*(X426='Raw Period DMR Data'!C:C),0),1), "N/A")</f>
        <v>N/A</v>
      </c>
      <c r="W426" s="28" t="s">
        <v>1463</v>
      </c>
      <c r="X426" s="28" t="s">
        <v>2150</v>
      </c>
      <c r="Y426" s="28" t="s">
        <v>2151</v>
      </c>
      <c r="Z426" s="61">
        <v>15010015000432</v>
      </c>
      <c r="AA426" s="60"/>
      <c r="AB426" s="28" t="s">
        <v>7355</v>
      </c>
      <c r="AC426" s="28" t="s">
        <v>1466</v>
      </c>
    </row>
    <row r="427" spans="1:29" s="28" customFormat="1" x14ac:dyDescent="0.25">
      <c r="A427" s="61">
        <v>110041253256</v>
      </c>
      <c r="B427" s="28">
        <v>2021</v>
      </c>
      <c r="C427" s="68">
        <f t="shared" si="6"/>
        <v>44197</v>
      </c>
      <c r="D427" s="28" t="s">
        <v>1308</v>
      </c>
      <c r="E427" s="28" t="s">
        <v>2149</v>
      </c>
      <c r="F427" s="28" t="s">
        <v>657</v>
      </c>
      <c r="G427" s="28" t="s">
        <v>418</v>
      </c>
      <c r="H427" s="28">
        <v>89109</v>
      </c>
      <c r="I427" s="28">
        <v>36.132570000000001</v>
      </c>
      <c r="J427" s="28">
        <v>-115.16477</v>
      </c>
      <c r="L427" s="61">
        <v>110041253256</v>
      </c>
      <c r="M427" s="28" t="s">
        <v>264</v>
      </c>
      <c r="N427" s="28">
        <v>7011</v>
      </c>
      <c r="O427" s="28" t="str">
        <f>IFERROR(VLOOKUP(N427, 'SIC &amp; NAICS Codes'!A:B, 2, FALSE), "")</f>
        <v>Hotels and Motels (hotels, except casino hotels, and motels)</v>
      </c>
      <c r="S427" s="28">
        <v>0.10361437499999999</v>
      </c>
      <c r="T427" s="315">
        <f>_xlfn.MAXIFS('Raw Period DMR Data'!$O:$O,'Raw Period DMR Data'!$A:$A,'Raw Annual DMR Data_2021-2024'!#REF!,'Raw Period DMR Data'!$C:$C,X427)/S427</f>
        <v>0</v>
      </c>
      <c r="U427" s="28" t="str">
        <f>+IF(COUNTIFS('Raw Period DMR Data'!$A:$A,B427,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27" s="28" t="str" cm="1">
        <f t="array" ref="V427">IFERROR(INDEX('Raw Period DMR Data'!N:N,MATCH(1,(B427='Raw Period DMR Data'!$A:$A)*(U427='Raw Period DMR Data'!M:M)*(X427='Raw Period DMR Data'!C:C),0),1), "N/A")</f>
        <v>N/A</v>
      </c>
      <c r="W427" s="28" t="s">
        <v>1463</v>
      </c>
      <c r="X427" s="28" t="s">
        <v>2150</v>
      </c>
      <c r="Y427" s="28" t="s">
        <v>2151</v>
      </c>
      <c r="Z427" s="61">
        <v>15010015000432</v>
      </c>
      <c r="AB427" s="28" t="s">
        <v>7355</v>
      </c>
      <c r="AC427" s="28" t="s">
        <v>1466</v>
      </c>
    </row>
    <row r="428" spans="1:29" s="28" customFormat="1" x14ac:dyDescent="0.25">
      <c r="A428" s="61">
        <v>110041253256</v>
      </c>
      <c r="B428" s="28">
        <v>2022</v>
      </c>
      <c r="C428" s="68">
        <f t="shared" si="6"/>
        <v>44562</v>
      </c>
      <c r="D428" s="28" t="s">
        <v>1308</v>
      </c>
      <c r="E428" s="28" t="s">
        <v>2149</v>
      </c>
      <c r="F428" s="28" t="s">
        <v>657</v>
      </c>
      <c r="G428" s="28" t="s">
        <v>418</v>
      </c>
      <c r="H428" s="28">
        <v>89109</v>
      </c>
      <c r="I428" s="28">
        <v>36.132570000000001</v>
      </c>
      <c r="J428" s="28">
        <v>-115.16477</v>
      </c>
      <c r="L428" s="61">
        <v>110041253256</v>
      </c>
      <c r="M428" s="28" t="s">
        <v>264</v>
      </c>
      <c r="N428" s="28">
        <v>7011</v>
      </c>
      <c r="O428" s="28" t="str">
        <f>IFERROR(VLOOKUP(N428, 'SIC &amp; NAICS Codes'!A:B, 2, FALSE), "")</f>
        <v>Hotels and Motels (hotels, except casino hotels, and motels)</v>
      </c>
      <c r="S428" s="28">
        <v>9.6706749999999994E-2</v>
      </c>
      <c r="T428" s="315">
        <f>_xlfn.MAXIFS('Raw Period DMR Data'!$O:$O,'Raw Period DMR Data'!$A:$A,'Raw Annual DMR Data_2021-2024'!#REF!,'Raw Period DMR Data'!$C:$C,X428)/S428</f>
        <v>0</v>
      </c>
      <c r="U428" s="28" t="str">
        <f>+IF(COUNTIFS('Raw Period DMR Data'!$A:$A,B428,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28" s="28" t="str" cm="1">
        <f t="array" ref="V428">IFERROR(INDEX('Raw Period DMR Data'!N:N,MATCH(1,(B428='Raw Period DMR Data'!$A:$A)*(U428='Raw Period DMR Data'!M:M)*(X428='Raw Period DMR Data'!C:C),0),1), "N/A")</f>
        <v>N/A</v>
      </c>
      <c r="W428" s="28" t="s">
        <v>1463</v>
      </c>
      <c r="X428" s="28" t="s">
        <v>2150</v>
      </c>
      <c r="Y428" s="28" t="s">
        <v>2151</v>
      </c>
      <c r="Z428" s="61">
        <v>15010015000432</v>
      </c>
      <c r="AA428" s="60"/>
      <c r="AB428" s="28" t="s">
        <v>7355</v>
      </c>
      <c r="AC428" s="28" t="s">
        <v>1466</v>
      </c>
    </row>
    <row r="429" spans="1:29" s="28" customFormat="1" x14ac:dyDescent="0.25">
      <c r="A429" s="61">
        <v>110004306938</v>
      </c>
      <c r="B429" s="28">
        <v>2024</v>
      </c>
      <c r="C429" s="68">
        <f t="shared" si="6"/>
        <v>45292</v>
      </c>
      <c r="D429" s="28" t="s">
        <v>198</v>
      </c>
      <c r="E429" s="28" t="s">
        <v>656</v>
      </c>
      <c r="F429" s="28" t="s">
        <v>657</v>
      </c>
      <c r="G429" s="28" t="s">
        <v>418</v>
      </c>
      <c r="H429" s="28">
        <v>89109</v>
      </c>
      <c r="I429" s="28">
        <v>36.122100000000003</v>
      </c>
      <c r="J429" s="28">
        <v>-115.17139</v>
      </c>
      <c r="L429" s="61">
        <v>110004306938</v>
      </c>
      <c r="M429" s="28" t="s">
        <v>264</v>
      </c>
      <c r="N429" s="28">
        <v>7011</v>
      </c>
      <c r="O429" s="28" t="str">
        <f>IFERROR(VLOOKUP(N429, 'SIC &amp; NAICS Codes'!A:B, 2, FALSE), "")</f>
        <v>Hotels and Motels (hotels, except casino hotels, and motels)</v>
      </c>
      <c r="S429" s="28">
        <v>0.67920949718750001</v>
      </c>
      <c r="T429" s="315">
        <f>_xlfn.MAXIFS('Raw Period DMR Data'!$O:$O,'Raw Period DMR Data'!$A:$A,'Raw Annual DMR Data_2021-2024'!#REF!,'Raw Period DMR Data'!$C:$C,X429)/S429</f>
        <v>0</v>
      </c>
      <c r="U429" s="28" t="str">
        <f>+IF(COUNTIFS('Raw Period DMR Data'!$A:$A,B429,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29" s="28" t="str" cm="1">
        <f t="array" ref="V429">IFERROR(INDEX('Raw Period DMR Data'!N:N,MATCH(1,(B429='Raw Period DMR Data'!$A:$A)*(U429='Raw Period DMR Data'!M:M)*(X429='Raw Period DMR Data'!C:C),0),1), "N/A")</f>
        <v>N/A</v>
      </c>
      <c r="W429" s="28" t="s">
        <v>1463</v>
      </c>
      <c r="X429" s="28" t="s">
        <v>951</v>
      </c>
      <c r="Y429" s="28" t="s">
        <v>952</v>
      </c>
      <c r="Z429" s="61">
        <v>15010015000432</v>
      </c>
      <c r="AA429" s="60"/>
      <c r="AB429" s="28" t="s">
        <v>7355</v>
      </c>
      <c r="AC429" s="28" t="s">
        <v>1466</v>
      </c>
    </row>
    <row r="430" spans="1:29" s="28" customFormat="1" x14ac:dyDescent="0.25">
      <c r="A430" s="61">
        <v>110004306938</v>
      </c>
      <c r="B430" s="28">
        <v>2023</v>
      </c>
      <c r="C430" s="68">
        <f t="shared" si="6"/>
        <v>44927</v>
      </c>
      <c r="D430" s="28" t="s">
        <v>198</v>
      </c>
      <c r="E430" s="28" t="s">
        <v>656</v>
      </c>
      <c r="F430" s="28" t="s">
        <v>657</v>
      </c>
      <c r="G430" s="28" t="s">
        <v>418</v>
      </c>
      <c r="H430" s="28">
        <v>89109</v>
      </c>
      <c r="I430" s="28">
        <v>36.122100000000003</v>
      </c>
      <c r="J430" s="28">
        <v>-115.17139</v>
      </c>
      <c r="L430" s="61">
        <v>110004306938</v>
      </c>
      <c r="M430" s="28" t="s">
        <v>264</v>
      </c>
      <c r="N430" s="28">
        <v>7011</v>
      </c>
      <c r="O430" s="28" t="str">
        <f>IFERROR(VLOOKUP(N430, 'SIC &amp; NAICS Codes'!A:B, 2, FALSE), "")</f>
        <v>Hotels and Motels (hotels, except casino hotels, and motels)</v>
      </c>
      <c r="S430" s="28">
        <v>0.67112412212500006</v>
      </c>
      <c r="T430" s="315">
        <f>_xlfn.MAXIFS('Raw Period DMR Data'!$O:$O,'Raw Period DMR Data'!$A:$A,'Raw Annual DMR Data_2021-2024'!#REF!,'Raw Period DMR Data'!$C:$C,X430)/S430</f>
        <v>0</v>
      </c>
      <c r="U430" s="28" t="str">
        <f>+IF(COUNTIFS('Raw Period DMR Data'!$A:$A,B430,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30" s="28" t="str" cm="1">
        <f t="array" ref="V430">IFERROR(INDEX('Raw Period DMR Data'!N:N,MATCH(1,(B430='Raw Period DMR Data'!$A:$A)*(U430='Raw Period DMR Data'!M:M)*(X430='Raw Period DMR Data'!C:C),0),1), "N/A")</f>
        <v>N/A</v>
      </c>
      <c r="W430" s="28" t="s">
        <v>1463</v>
      </c>
      <c r="X430" s="28" t="s">
        <v>951</v>
      </c>
      <c r="Y430" s="28" t="s">
        <v>952</v>
      </c>
      <c r="Z430" s="61">
        <v>15010015000432</v>
      </c>
      <c r="AA430" s="60"/>
      <c r="AB430" s="28" t="s">
        <v>7355</v>
      </c>
      <c r="AC430" s="28" t="s">
        <v>1466</v>
      </c>
    </row>
    <row r="431" spans="1:29" s="28" customFormat="1" x14ac:dyDescent="0.25">
      <c r="A431" s="61">
        <v>110004306938</v>
      </c>
      <c r="B431" s="28">
        <v>2022</v>
      </c>
      <c r="C431" s="68">
        <f t="shared" si="6"/>
        <v>44562</v>
      </c>
      <c r="D431" s="28" t="s">
        <v>198</v>
      </c>
      <c r="E431" s="28" t="s">
        <v>656</v>
      </c>
      <c r="F431" s="28" t="s">
        <v>657</v>
      </c>
      <c r="G431" s="28" t="s">
        <v>418</v>
      </c>
      <c r="H431" s="28">
        <v>89109</v>
      </c>
      <c r="I431" s="28">
        <v>36.122100000000003</v>
      </c>
      <c r="J431" s="28">
        <v>-115.17139</v>
      </c>
      <c r="L431" s="61">
        <v>110004306938</v>
      </c>
      <c r="M431" s="28" t="s">
        <v>264</v>
      </c>
      <c r="N431" s="28">
        <v>7011</v>
      </c>
      <c r="O431" s="28" t="str">
        <f>IFERROR(VLOOKUP(N431, 'SIC &amp; NAICS Codes'!A:B, 2, FALSE), "")</f>
        <v>Hotels and Motels (hotels, except casino hotels, and motels)</v>
      </c>
      <c r="S431" s="28">
        <v>0.32990817</v>
      </c>
      <c r="T431" s="315">
        <f>_xlfn.MAXIFS('Raw Period DMR Data'!$O:$O,'Raw Period DMR Data'!$A:$A,'Raw Annual DMR Data_2021-2024'!#REF!,'Raw Period DMR Data'!$C:$C,X431)/S431</f>
        <v>0</v>
      </c>
      <c r="U431" s="28" t="str">
        <f>+IF(COUNTIFS('Raw Period DMR Data'!$A:$A,B431,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31" s="28" t="str" cm="1">
        <f t="array" ref="V431">IFERROR(INDEX('Raw Period DMR Data'!N:N,MATCH(1,(B431='Raw Period DMR Data'!$A:$A)*(U431='Raw Period DMR Data'!M:M)*(X431='Raw Period DMR Data'!C:C),0),1), "N/A")</f>
        <v>N/A</v>
      </c>
      <c r="W431" s="28" t="s">
        <v>1463</v>
      </c>
      <c r="X431" s="28" t="s">
        <v>951</v>
      </c>
      <c r="Y431" s="28" t="s">
        <v>952</v>
      </c>
      <c r="Z431" s="61">
        <v>15010015000432</v>
      </c>
      <c r="AA431" s="60"/>
      <c r="AB431" s="28" t="s">
        <v>7355</v>
      </c>
      <c r="AC431" s="28" t="s">
        <v>1466</v>
      </c>
    </row>
    <row r="432" spans="1:29" s="28" customFormat="1" x14ac:dyDescent="0.25">
      <c r="A432" s="61">
        <v>110004306938</v>
      </c>
      <c r="B432" s="28">
        <v>2021</v>
      </c>
      <c r="C432" s="68">
        <f t="shared" si="6"/>
        <v>44197</v>
      </c>
      <c r="D432" s="28" t="s">
        <v>198</v>
      </c>
      <c r="E432" s="28" t="s">
        <v>656</v>
      </c>
      <c r="F432" s="28" t="s">
        <v>657</v>
      </c>
      <c r="G432" s="28" t="s">
        <v>418</v>
      </c>
      <c r="H432" s="28">
        <v>89109</v>
      </c>
      <c r="I432" s="28">
        <v>36.122100000000003</v>
      </c>
      <c r="J432" s="28">
        <v>-115.17139</v>
      </c>
      <c r="L432" s="61">
        <v>110004306938</v>
      </c>
      <c r="M432" s="28" t="s">
        <v>264</v>
      </c>
      <c r="N432" s="28">
        <v>7011</v>
      </c>
      <c r="O432" s="28" t="str">
        <f>IFERROR(VLOOKUP(N432, 'SIC &amp; NAICS Codes'!A:B, 2, FALSE), "")</f>
        <v>Hotels and Motels (hotels, except casino hotels, and motels)</v>
      </c>
      <c r="S432" s="28">
        <v>0.16635633287500001</v>
      </c>
      <c r="T432" s="315">
        <f>_xlfn.MAXIFS('Raw Period DMR Data'!$O:$O,'Raw Period DMR Data'!$A:$A,'Raw Annual DMR Data_2021-2024'!#REF!,'Raw Period DMR Data'!$C:$C,X432)/S432</f>
        <v>0</v>
      </c>
      <c r="U432" s="28" t="str">
        <f>+IF(COUNTIFS('Raw Period DMR Data'!$A:$A,B432,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32" s="28" t="str" cm="1">
        <f t="array" ref="V432">IFERROR(INDEX('Raw Period DMR Data'!N:N,MATCH(1,(B432='Raw Period DMR Data'!$A:$A)*(U432='Raw Period DMR Data'!M:M)*(X432='Raw Period DMR Data'!C:C),0),1), "N/A")</f>
        <v>N/A</v>
      </c>
      <c r="W432" s="28" t="s">
        <v>1463</v>
      </c>
      <c r="X432" s="28" t="s">
        <v>951</v>
      </c>
      <c r="Y432" s="28" t="s">
        <v>952</v>
      </c>
      <c r="Z432" s="61">
        <v>15010015000432</v>
      </c>
      <c r="AB432" s="28" t="s">
        <v>7355</v>
      </c>
      <c r="AC432" s="28" t="s">
        <v>1466</v>
      </c>
    </row>
    <row r="433" spans="1:29" s="28" customFormat="1" x14ac:dyDescent="0.25">
      <c r="A433" s="61">
        <v>110004306938</v>
      </c>
      <c r="B433" s="28">
        <v>2022</v>
      </c>
      <c r="C433" s="68">
        <f t="shared" si="6"/>
        <v>44562</v>
      </c>
      <c r="D433" s="28" t="s">
        <v>198</v>
      </c>
      <c r="E433" s="28" t="s">
        <v>656</v>
      </c>
      <c r="F433" s="28" t="s">
        <v>657</v>
      </c>
      <c r="G433" s="28" t="s">
        <v>418</v>
      </c>
      <c r="H433" s="28">
        <v>89109</v>
      </c>
      <c r="I433" s="28">
        <v>36.122100000000003</v>
      </c>
      <c r="J433" s="28">
        <v>-115.17139</v>
      </c>
      <c r="L433" s="61">
        <v>110004306938</v>
      </c>
      <c r="M433" s="28" t="s">
        <v>264</v>
      </c>
      <c r="N433" s="28">
        <v>7011</v>
      </c>
      <c r="O433" s="28" t="str">
        <f>IFERROR(VLOOKUP(N433, 'SIC &amp; NAICS Codes'!A:B, 2, FALSE), "")</f>
        <v>Hotels and Motels (hotels, except casino hotels, and motels)</v>
      </c>
      <c r="S433" s="28">
        <v>0.145080847875</v>
      </c>
      <c r="T433" s="315">
        <f>_xlfn.MAXIFS('Raw Period DMR Data'!$O:$O,'Raw Period DMR Data'!$A:$A,'Raw Annual DMR Data_2021-2024'!#REF!,'Raw Period DMR Data'!$C:$C,X433)/S433</f>
        <v>0</v>
      </c>
      <c r="U433" s="28" t="str">
        <f>+IF(COUNTIFS('Raw Period DMR Data'!$A:$A,B433,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33" s="28" t="str" cm="1">
        <f t="array" ref="V433">IFERROR(INDEX('Raw Period DMR Data'!N:N,MATCH(1,(B433='Raw Period DMR Data'!$A:$A)*(U433='Raw Period DMR Data'!M:M)*(X433='Raw Period DMR Data'!C:C),0),1), "N/A")</f>
        <v>N/A</v>
      </c>
      <c r="W433" s="28" t="s">
        <v>1463</v>
      </c>
      <c r="X433" s="28" t="s">
        <v>951</v>
      </c>
      <c r="Y433" s="28" t="s">
        <v>952</v>
      </c>
      <c r="Z433" s="61">
        <v>15010015000432</v>
      </c>
      <c r="AA433" s="60"/>
      <c r="AB433" s="28" t="s">
        <v>7355</v>
      </c>
      <c r="AC433" s="28" t="s">
        <v>1466</v>
      </c>
    </row>
    <row r="434" spans="1:29" s="28" customFormat="1" x14ac:dyDescent="0.25">
      <c r="A434" s="61">
        <v>110004306938</v>
      </c>
      <c r="B434" s="28">
        <v>2022</v>
      </c>
      <c r="C434" s="68">
        <f t="shared" si="6"/>
        <v>44562</v>
      </c>
      <c r="D434" s="28" t="s">
        <v>198</v>
      </c>
      <c r="E434" s="28" t="s">
        <v>656</v>
      </c>
      <c r="F434" s="28" t="s">
        <v>657</v>
      </c>
      <c r="G434" s="28" t="s">
        <v>418</v>
      </c>
      <c r="H434" s="28">
        <v>89109</v>
      </c>
      <c r="I434" s="28">
        <v>36.122100000000003</v>
      </c>
      <c r="J434" s="28">
        <v>-115.17139</v>
      </c>
      <c r="L434" s="61">
        <v>110004306938</v>
      </c>
      <c r="M434" s="28" t="s">
        <v>264</v>
      </c>
      <c r="N434" s="28">
        <v>7011</v>
      </c>
      <c r="O434" s="28" t="str">
        <f>IFERROR(VLOOKUP(N434, 'SIC &amp; NAICS Codes'!A:B, 2, FALSE), "")</f>
        <v>Hotels and Motels (hotels, except casino hotels, and motels)</v>
      </c>
      <c r="S434" s="28">
        <v>9.1149565687500003E-2</v>
      </c>
      <c r="T434" s="315">
        <f>_xlfn.MAXIFS('Raw Period DMR Data'!$O:$O,'Raw Period DMR Data'!$A:$A,'Raw Annual DMR Data_2021-2024'!#REF!,'Raw Period DMR Data'!$C:$C,X434)/S434</f>
        <v>0</v>
      </c>
      <c r="U434" s="28" t="str">
        <f>+IF(COUNTIFS('Raw Period DMR Data'!$A:$A,B434,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34" s="28" t="str" cm="1">
        <f t="array" ref="V434">IFERROR(INDEX('Raw Period DMR Data'!N:N,MATCH(1,(B434='Raw Period DMR Data'!$A:$A)*(U434='Raw Period DMR Data'!M:M)*(X434='Raw Period DMR Data'!C:C),0),1), "N/A")</f>
        <v>N/A</v>
      </c>
      <c r="W434" s="28" t="s">
        <v>1463</v>
      </c>
      <c r="X434" s="28" t="s">
        <v>951</v>
      </c>
      <c r="Y434" s="28" t="s">
        <v>952</v>
      </c>
      <c r="Z434" s="61">
        <v>15010015000432</v>
      </c>
      <c r="AA434" s="60"/>
      <c r="AB434" s="28" t="s">
        <v>7355</v>
      </c>
      <c r="AC434" s="28" t="s">
        <v>1466</v>
      </c>
    </row>
    <row r="435" spans="1:29" s="28" customFormat="1" x14ac:dyDescent="0.25">
      <c r="A435" s="61">
        <v>110004306938</v>
      </c>
      <c r="B435" s="28">
        <v>2022</v>
      </c>
      <c r="C435" s="68">
        <f t="shared" si="6"/>
        <v>44562</v>
      </c>
      <c r="D435" s="28" t="s">
        <v>198</v>
      </c>
      <c r="E435" s="28" t="s">
        <v>656</v>
      </c>
      <c r="F435" s="28" t="s">
        <v>657</v>
      </c>
      <c r="G435" s="28" t="s">
        <v>418</v>
      </c>
      <c r="H435" s="28">
        <v>89109</v>
      </c>
      <c r="I435" s="28">
        <v>36.122100000000003</v>
      </c>
      <c r="J435" s="28">
        <v>-115.17139</v>
      </c>
      <c r="L435" s="61">
        <v>110004306938</v>
      </c>
      <c r="M435" s="28" t="s">
        <v>264</v>
      </c>
      <c r="N435" s="28">
        <v>7011</v>
      </c>
      <c r="O435" s="28" t="str">
        <f>IFERROR(VLOOKUP(N435, 'SIC &amp; NAICS Codes'!A:B, 2, FALSE), "")</f>
        <v>Hotels and Motels (hotels, except casino hotels, and motels)</v>
      </c>
      <c r="S435" s="28">
        <v>6.6845087124999994E-2</v>
      </c>
      <c r="T435" s="315">
        <f>_xlfn.MAXIFS('Raw Period DMR Data'!$O:$O,'Raw Period DMR Data'!$A:$A,'Raw Annual DMR Data_2021-2024'!#REF!,'Raw Period DMR Data'!$C:$C,X435)/S435</f>
        <v>0</v>
      </c>
      <c r="U435" s="28" t="str">
        <f>+IF(COUNTIFS('Raw Period DMR Data'!$A:$A,B435,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35" s="28" t="str" cm="1">
        <f t="array" ref="V435">IFERROR(INDEX('Raw Period DMR Data'!N:N,MATCH(1,(B435='Raw Period DMR Data'!$A:$A)*(U435='Raw Period DMR Data'!M:M)*(X435='Raw Period DMR Data'!C:C),0),1), "N/A")</f>
        <v>N/A</v>
      </c>
      <c r="W435" s="28" t="s">
        <v>1463</v>
      </c>
      <c r="X435" s="28" t="s">
        <v>951</v>
      </c>
      <c r="Y435" s="28" t="s">
        <v>952</v>
      </c>
      <c r="Z435" s="61">
        <v>15010015000432</v>
      </c>
      <c r="AA435" s="60"/>
      <c r="AB435" s="28" t="s">
        <v>7355</v>
      </c>
      <c r="AC435" s="28" t="s">
        <v>1466</v>
      </c>
    </row>
    <row r="436" spans="1:29" s="28" customFormat="1" x14ac:dyDescent="0.25">
      <c r="A436" s="61">
        <v>110004306938</v>
      </c>
      <c r="B436" s="28">
        <v>2021</v>
      </c>
      <c r="C436" s="68">
        <f t="shared" si="6"/>
        <v>44197</v>
      </c>
      <c r="D436" s="28" t="s">
        <v>198</v>
      </c>
      <c r="E436" s="28" t="s">
        <v>656</v>
      </c>
      <c r="F436" s="28" t="s">
        <v>657</v>
      </c>
      <c r="G436" s="28" t="s">
        <v>418</v>
      </c>
      <c r="H436" s="28">
        <v>89109</v>
      </c>
      <c r="I436" s="28">
        <v>36.122100000000003</v>
      </c>
      <c r="J436" s="28">
        <v>-115.17139</v>
      </c>
      <c r="L436" s="61">
        <v>110004306938</v>
      </c>
      <c r="M436" s="28" t="s">
        <v>264</v>
      </c>
      <c r="N436" s="28">
        <v>7011</v>
      </c>
      <c r="O436" s="28" t="str">
        <f>IFERROR(VLOOKUP(N436, 'SIC &amp; NAICS Codes'!A:B, 2, FALSE), "")</f>
        <v>Hotels and Motels (hotels, except casino hotels, and motels)</v>
      </c>
      <c r="S436" s="28">
        <v>4.4208799999999999E-2</v>
      </c>
      <c r="T436" s="315">
        <f>_xlfn.MAXIFS('Raw Period DMR Data'!$O:$O,'Raw Period DMR Data'!$A:$A,'Raw Annual DMR Data_2021-2024'!#REF!,'Raw Period DMR Data'!$C:$C,X436)/S436</f>
        <v>0</v>
      </c>
      <c r="U436" s="28" t="str">
        <f>+IF(COUNTIFS('Raw Period DMR Data'!$A:$A,B436,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36" s="28" t="str" cm="1">
        <f t="array" ref="V436">IFERROR(INDEX('Raw Period DMR Data'!N:N,MATCH(1,(B436='Raw Period DMR Data'!$A:$A)*(U436='Raw Period DMR Data'!M:M)*(X436='Raw Period DMR Data'!C:C),0),1), "N/A")</f>
        <v>N/A</v>
      </c>
      <c r="W436" s="28" t="s">
        <v>1463</v>
      </c>
      <c r="X436" s="28" t="s">
        <v>951</v>
      </c>
      <c r="Y436" s="28" t="s">
        <v>952</v>
      </c>
      <c r="Z436" s="61">
        <v>15010015000432</v>
      </c>
      <c r="AB436" s="28" t="s">
        <v>7355</v>
      </c>
      <c r="AC436" s="28" t="s">
        <v>1466</v>
      </c>
    </row>
    <row r="437" spans="1:29" s="28" customFormat="1" x14ac:dyDescent="0.25">
      <c r="A437" s="61">
        <v>110004306938</v>
      </c>
      <c r="B437" s="28">
        <v>2023</v>
      </c>
      <c r="C437" s="68">
        <f t="shared" si="6"/>
        <v>44927</v>
      </c>
      <c r="D437" s="28" t="s">
        <v>198</v>
      </c>
      <c r="E437" s="28" t="s">
        <v>656</v>
      </c>
      <c r="F437" s="28" t="s">
        <v>657</v>
      </c>
      <c r="G437" s="28" t="s">
        <v>418</v>
      </c>
      <c r="H437" s="28">
        <v>89109</v>
      </c>
      <c r="I437" s="28">
        <v>36.122100000000003</v>
      </c>
      <c r="J437" s="28">
        <v>-115.17139</v>
      </c>
      <c r="L437" s="61">
        <v>110004306938</v>
      </c>
      <c r="M437" s="28" t="s">
        <v>264</v>
      </c>
      <c r="N437" s="28">
        <v>7011</v>
      </c>
      <c r="O437" s="28" t="str">
        <f>IFERROR(VLOOKUP(N437, 'SIC &amp; NAICS Codes'!A:B, 2, FALSE), "")</f>
        <v>Hotels and Motels (hotels, except casino hotels, and motels)</v>
      </c>
      <c r="S437" s="28">
        <v>3.9787919999999997E-2</v>
      </c>
      <c r="T437" s="315">
        <f>_xlfn.MAXIFS('Raw Period DMR Data'!$O:$O,'Raw Period DMR Data'!$A:$A,'Raw Annual DMR Data_2021-2024'!#REF!,'Raw Period DMR Data'!$C:$C,X437)/S437</f>
        <v>0</v>
      </c>
      <c r="U437" s="28" t="str">
        <f>+IF(COUNTIFS('Raw Period DMR Data'!$A:$A,B437,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37" s="28" t="str" cm="1">
        <f t="array" ref="V437">IFERROR(INDEX('Raw Period DMR Data'!N:N,MATCH(1,(B437='Raw Period DMR Data'!$A:$A)*(U437='Raw Period DMR Data'!M:M)*(X437='Raw Period DMR Data'!C:C),0),1), "N/A")</f>
        <v>N/A</v>
      </c>
      <c r="W437" s="28" t="s">
        <v>1463</v>
      </c>
      <c r="X437" s="28" t="s">
        <v>951</v>
      </c>
      <c r="Y437" s="28" t="s">
        <v>952</v>
      </c>
      <c r="Z437" s="61">
        <v>15010015000432</v>
      </c>
      <c r="AA437" s="60"/>
      <c r="AB437" s="28" t="s">
        <v>7355</v>
      </c>
      <c r="AC437" s="28" t="s">
        <v>1466</v>
      </c>
    </row>
    <row r="438" spans="1:29" s="28" customFormat="1" x14ac:dyDescent="0.25">
      <c r="A438" s="61">
        <v>110004306938</v>
      </c>
      <c r="B438" s="28">
        <v>2023</v>
      </c>
      <c r="C438" s="68">
        <f t="shared" si="6"/>
        <v>44927</v>
      </c>
      <c r="D438" s="28" t="s">
        <v>198</v>
      </c>
      <c r="E438" s="28" t="s">
        <v>656</v>
      </c>
      <c r="F438" s="28" t="s">
        <v>657</v>
      </c>
      <c r="G438" s="28" t="s">
        <v>418</v>
      </c>
      <c r="H438" s="28">
        <v>89109</v>
      </c>
      <c r="I438" s="28">
        <v>36.122100000000003</v>
      </c>
      <c r="J438" s="28">
        <v>-115.17139</v>
      </c>
      <c r="L438" s="61">
        <v>110004306938</v>
      </c>
      <c r="M438" s="28" t="s">
        <v>264</v>
      </c>
      <c r="N438" s="28">
        <v>7011</v>
      </c>
      <c r="O438" s="28" t="str">
        <f>IFERROR(VLOOKUP(N438, 'SIC &amp; NAICS Codes'!A:B, 2, FALSE), "")</f>
        <v>Hotels and Motels (hotels, except casino hotels, and motels)</v>
      </c>
      <c r="S438" s="28">
        <v>2.5347529937499998E-2</v>
      </c>
      <c r="T438" s="315">
        <f>_xlfn.MAXIFS('Raw Period DMR Data'!$O:$O,'Raw Period DMR Data'!$A:$A,'Raw Annual DMR Data_2021-2024'!#REF!,'Raw Period DMR Data'!$C:$C,X438)/S438</f>
        <v>0</v>
      </c>
      <c r="U438" s="28" t="str">
        <f>+IF(COUNTIFS('Raw Period DMR Data'!$A:$A,B438,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38" s="28" t="str" cm="1">
        <f t="array" ref="V438">IFERROR(INDEX('Raw Period DMR Data'!N:N,MATCH(1,(B438='Raw Period DMR Data'!$A:$A)*(U438='Raw Period DMR Data'!M:M)*(X438='Raw Period DMR Data'!C:C),0),1), "N/A")</f>
        <v>N/A</v>
      </c>
      <c r="W438" s="28" t="s">
        <v>1463</v>
      </c>
      <c r="X438" s="28" t="s">
        <v>951</v>
      </c>
      <c r="Y438" s="28" t="s">
        <v>952</v>
      </c>
      <c r="Z438" s="61">
        <v>15010015000432</v>
      </c>
      <c r="AA438" s="60"/>
      <c r="AB438" s="28" t="s">
        <v>7355</v>
      </c>
      <c r="AC438" s="28" t="s">
        <v>1466</v>
      </c>
    </row>
    <row r="439" spans="1:29" s="28" customFormat="1" x14ac:dyDescent="0.25">
      <c r="A439" s="61">
        <v>110004306938</v>
      </c>
      <c r="B439" s="28">
        <v>2021</v>
      </c>
      <c r="C439" s="68">
        <f t="shared" si="6"/>
        <v>44197</v>
      </c>
      <c r="D439" s="28" t="s">
        <v>198</v>
      </c>
      <c r="E439" s="28" t="s">
        <v>656</v>
      </c>
      <c r="F439" s="28" t="s">
        <v>657</v>
      </c>
      <c r="G439" s="28" t="s">
        <v>418</v>
      </c>
      <c r="H439" s="28">
        <v>89109</v>
      </c>
      <c r="I439" s="28">
        <v>36.122100000000003</v>
      </c>
      <c r="J439" s="28">
        <v>-115.17139</v>
      </c>
      <c r="L439" s="61">
        <v>110004306938</v>
      </c>
      <c r="M439" s="28" t="s">
        <v>264</v>
      </c>
      <c r="N439" s="28">
        <v>7011</v>
      </c>
      <c r="O439" s="28" t="str">
        <f>IFERROR(VLOOKUP(N439, 'SIC &amp; NAICS Codes'!A:B, 2, FALSE), "")</f>
        <v>Hotels and Motels (hotels, except casino hotels, and motels)</v>
      </c>
      <c r="S439" s="28">
        <v>2.3333957249999999E-2</v>
      </c>
      <c r="T439" s="315">
        <f>_xlfn.MAXIFS('Raw Period DMR Data'!$O:$O,'Raw Period DMR Data'!$A:$A,'Raw Annual DMR Data_2021-2024'!#REF!,'Raw Period DMR Data'!$C:$C,X439)/S439</f>
        <v>0</v>
      </c>
      <c r="U439" s="28" t="str">
        <f>+IF(COUNTIFS('Raw Period DMR Data'!$A:$A,B439,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39" s="28" t="str" cm="1">
        <f t="array" ref="V439">IFERROR(INDEX('Raw Period DMR Data'!N:N,MATCH(1,(B439='Raw Period DMR Data'!$A:$A)*(U439='Raw Period DMR Data'!M:M)*(X439='Raw Period DMR Data'!C:C),0),1), "N/A")</f>
        <v>N/A</v>
      </c>
      <c r="W439" s="28" t="s">
        <v>1463</v>
      </c>
      <c r="X439" s="28" t="s">
        <v>951</v>
      </c>
      <c r="Y439" s="28" t="s">
        <v>952</v>
      </c>
      <c r="Z439" s="61">
        <v>15010015000432</v>
      </c>
      <c r="AB439" s="28" t="s">
        <v>7355</v>
      </c>
      <c r="AC439" s="28" t="s">
        <v>1466</v>
      </c>
    </row>
    <row r="440" spans="1:29" s="28" customFormat="1" x14ac:dyDescent="0.25">
      <c r="A440" s="61">
        <v>110004306938</v>
      </c>
      <c r="B440" s="28">
        <v>2024</v>
      </c>
      <c r="C440" s="68">
        <f t="shared" si="6"/>
        <v>45292</v>
      </c>
      <c r="D440" s="28" t="s">
        <v>198</v>
      </c>
      <c r="E440" s="28" t="s">
        <v>656</v>
      </c>
      <c r="F440" s="28" t="s">
        <v>657</v>
      </c>
      <c r="G440" s="28" t="s">
        <v>418</v>
      </c>
      <c r="H440" s="28">
        <v>89109</v>
      </c>
      <c r="I440" s="28">
        <v>36.122100000000003</v>
      </c>
      <c r="J440" s="28">
        <v>-115.17139</v>
      </c>
      <c r="L440" s="61">
        <v>110004306938</v>
      </c>
      <c r="M440" s="28" t="s">
        <v>264</v>
      </c>
      <c r="N440" s="28">
        <v>7011</v>
      </c>
      <c r="O440" s="28" t="str">
        <f>IFERROR(VLOOKUP(N440, 'SIC &amp; NAICS Codes'!A:B, 2, FALSE), "")</f>
        <v>Hotels and Motels (hotels, except casino hotels, and motels)</v>
      </c>
      <c r="S440" s="28">
        <v>2.2325444E-2</v>
      </c>
      <c r="T440" s="315">
        <f>_xlfn.MAXIFS('Raw Period DMR Data'!$O:$O,'Raw Period DMR Data'!$A:$A,'Raw Annual DMR Data_2021-2024'!#REF!,'Raw Period DMR Data'!$C:$C,X440)/S440</f>
        <v>0</v>
      </c>
      <c r="U440" s="28" t="str">
        <f>+IF(COUNTIFS('Raw Period DMR Data'!$A:$A,B440,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40" s="28" t="str" cm="1">
        <f t="array" ref="V440">IFERROR(INDEX('Raw Period DMR Data'!N:N,MATCH(1,(B440='Raw Period DMR Data'!$A:$A)*(U440='Raw Period DMR Data'!M:M)*(X440='Raw Period DMR Data'!C:C),0),1), "N/A")</f>
        <v>N/A</v>
      </c>
      <c r="W440" s="28" t="s">
        <v>1463</v>
      </c>
      <c r="X440" s="28" t="s">
        <v>951</v>
      </c>
      <c r="Y440" s="28" t="s">
        <v>952</v>
      </c>
      <c r="Z440" s="61">
        <v>15010015000432</v>
      </c>
      <c r="AA440" s="60"/>
      <c r="AB440" s="28" t="s">
        <v>7355</v>
      </c>
      <c r="AC440" s="28" t="s">
        <v>1466</v>
      </c>
    </row>
    <row r="441" spans="1:29" s="28" customFormat="1" x14ac:dyDescent="0.25">
      <c r="A441" s="61">
        <v>110004306938</v>
      </c>
      <c r="B441" s="28">
        <v>2024</v>
      </c>
      <c r="C441" s="68">
        <f t="shared" si="6"/>
        <v>45292</v>
      </c>
      <c r="D441" s="28" t="s">
        <v>198</v>
      </c>
      <c r="E441" s="28" t="s">
        <v>656</v>
      </c>
      <c r="F441" s="28" t="s">
        <v>657</v>
      </c>
      <c r="G441" s="28" t="s">
        <v>418</v>
      </c>
      <c r="H441" s="28">
        <v>89109</v>
      </c>
      <c r="I441" s="28">
        <v>36.122100000000003</v>
      </c>
      <c r="J441" s="28">
        <v>-115.17139</v>
      </c>
      <c r="L441" s="61">
        <v>110004306938</v>
      </c>
      <c r="M441" s="28" t="s">
        <v>264</v>
      </c>
      <c r="N441" s="28">
        <v>7011</v>
      </c>
      <c r="O441" s="28" t="str">
        <f>IFERROR(VLOOKUP(N441, 'SIC &amp; NAICS Codes'!A:B, 2, FALSE), "")</f>
        <v>Hotels and Motels (hotels, except casino hotels, and motels)</v>
      </c>
      <c r="S441" s="28">
        <v>2.1002633812500001E-2</v>
      </c>
      <c r="T441" s="315">
        <f>_xlfn.MAXIFS('Raw Period DMR Data'!$O:$O,'Raw Period DMR Data'!$A:$A,'Raw Annual DMR Data_2021-2024'!#REF!,'Raw Period DMR Data'!$C:$C,X441)/S441</f>
        <v>0</v>
      </c>
      <c r="U441" s="28" t="str">
        <f>+IF(COUNTIFS('Raw Period DMR Data'!$A:$A,B441,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41" s="28" t="str" cm="1">
        <f t="array" ref="V441">IFERROR(INDEX('Raw Period DMR Data'!N:N,MATCH(1,(B441='Raw Period DMR Data'!$A:$A)*(U441='Raw Period DMR Data'!M:M)*(X441='Raw Period DMR Data'!C:C),0),1), "N/A")</f>
        <v>N/A</v>
      </c>
      <c r="W441" s="28" t="s">
        <v>1463</v>
      </c>
      <c r="X441" s="28" t="s">
        <v>951</v>
      </c>
      <c r="Y441" s="28" t="s">
        <v>952</v>
      </c>
      <c r="Z441" s="61">
        <v>15010015000432</v>
      </c>
      <c r="AA441" s="60"/>
      <c r="AB441" s="28" t="s">
        <v>7355</v>
      </c>
      <c r="AC441" s="28" t="s">
        <v>1466</v>
      </c>
    </row>
    <row r="442" spans="1:29" s="28" customFormat="1" x14ac:dyDescent="0.25">
      <c r="A442" s="61">
        <v>110004306938</v>
      </c>
      <c r="B442" s="28">
        <v>2023</v>
      </c>
      <c r="C442" s="68">
        <f t="shared" si="6"/>
        <v>44927</v>
      </c>
      <c r="D442" s="28" t="s">
        <v>198</v>
      </c>
      <c r="E442" s="28" t="s">
        <v>656</v>
      </c>
      <c r="F442" s="28" t="s">
        <v>657</v>
      </c>
      <c r="G442" s="28" t="s">
        <v>418</v>
      </c>
      <c r="H442" s="28">
        <v>89109</v>
      </c>
      <c r="I442" s="28">
        <v>36.122100000000003</v>
      </c>
      <c r="J442" s="28">
        <v>-115.17139</v>
      </c>
      <c r="L442" s="61">
        <v>110004306938</v>
      </c>
      <c r="M442" s="28" t="s">
        <v>264</v>
      </c>
      <c r="N442" s="28">
        <v>7011</v>
      </c>
      <c r="O442" s="28" t="str">
        <f>IFERROR(VLOOKUP(N442, 'SIC &amp; NAICS Codes'!A:B, 2, FALSE), "")</f>
        <v>Hotels and Motels (hotels, except casino hotels, and motels)</v>
      </c>
      <c r="S442" s="28">
        <v>1.94138800625E-2</v>
      </c>
      <c r="T442" s="315">
        <f>_xlfn.MAXIFS('Raw Period DMR Data'!$O:$O,'Raw Period DMR Data'!$A:$A,'Raw Annual DMR Data_2021-2024'!#REF!,'Raw Period DMR Data'!$C:$C,X442)/S442</f>
        <v>0</v>
      </c>
      <c r="U442" s="28" t="str">
        <f>+IF(COUNTIFS('Raw Period DMR Data'!$A:$A,B442,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42" s="28" t="str" cm="1">
        <f t="array" ref="V442">IFERROR(INDEX('Raw Period DMR Data'!N:N,MATCH(1,(B442='Raw Period DMR Data'!$A:$A)*(U442='Raw Period DMR Data'!M:M)*(X442='Raw Period DMR Data'!C:C),0),1), "N/A")</f>
        <v>N/A</v>
      </c>
      <c r="W442" s="28" t="s">
        <v>1463</v>
      </c>
      <c r="X442" s="28" t="s">
        <v>951</v>
      </c>
      <c r="Y442" s="28" t="s">
        <v>952</v>
      </c>
      <c r="Z442" s="61">
        <v>15010015000432</v>
      </c>
      <c r="AA442" s="60"/>
      <c r="AB442" s="28" t="s">
        <v>7355</v>
      </c>
      <c r="AC442" s="28" t="s">
        <v>1466</v>
      </c>
    </row>
    <row r="443" spans="1:29" s="28" customFormat="1" x14ac:dyDescent="0.25">
      <c r="A443" s="61">
        <v>110004306938</v>
      </c>
      <c r="B443" s="28">
        <v>2021</v>
      </c>
      <c r="C443" s="68">
        <f t="shared" si="6"/>
        <v>44197</v>
      </c>
      <c r="D443" s="28" t="s">
        <v>198</v>
      </c>
      <c r="E443" s="28" t="s">
        <v>656</v>
      </c>
      <c r="F443" s="28" t="s">
        <v>657</v>
      </c>
      <c r="G443" s="28" t="s">
        <v>418</v>
      </c>
      <c r="H443" s="28">
        <v>89109</v>
      </c>
      <c r="I443" s="28">
        <v>36.122100000000003</v>
      </c>
      <c r="J443" s="28">
        <v>-115.17139</v>
      </c>
      <c r="L443" s="61">
        <v>110004306938</v>
      </c>
      <c r="M443" s="28" t="s">
        <v>264</v>
      </c>
      <c r="N443" s="28">
        <v>7011</v>
      </c>
      <c r="O443" s="28" t="str">
        <f>IFERROR(VLOOKUP(N443, 'SIC &amp; NAICS Codes'!A:B, 2, FALSE), "")</f>
        <v>Hotels and Motels (hotels, except casino hotels, and motels)</v>
      </c>
      <c r="S443" s="28">
        <v>1.53591041875E-2</v>
      </c>
      <c r="T443" s="315">
        <f>_xlfn.MAXIFS('Raw Period DMR Data'!$O:$O,'Raw Period DMR Data'!$A:$A,'Raw Annual DMR Data_2021-2024'!#REF!,'Raw Period DMR Data'!$C:$C,X443)/S443</f>
        <v>0</v>
      </c>
      <c r="U443" s="28" t="str">
        <f>+IF(COUNTIFS('Raw Period DMR Data'!$A:$A,B443,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43" s="28" t="str" cm="1">
        <f t="array" ref="V443">IFERROR(INDEX('Raw Period DMR Data'!N:N,MATCH(1,(B443='Raw Period DMR Data'!$A:$A)*(U443='Raw Period DMR Data'!M:M)*(X443='Raw Period DMR Data'!C:C),0),1), "N/A")</f>
        <v>N/A</v>
      </c>
      <c r="W443" s="28" t="s">
        <v>1463</v>
      </c>
      <c r="X443" s="28" t="s">
        <v>951</v>
      </c>
      <c r="Y443" s="28" t="s">
        <v>952</v>
      </c>
      <c r="Z443" s="61">
        <v>15010015000432</v>
      </c>
      <c r="AB443" s="28" t="s">
        <v>7355</v>
      </c>
      <c r="AC443" s="28" t="s">
        <v>1466</v>
      </c>
    </row>
    <row r="444" spans="1:29" s="28" customFormat="1" x14ac:dyDescent="0.25">
      <c r="A444" s="61">
        <v>110004306938</v>
      </c>
      <c r="B444" s="28">
        <v>2021</v>
      </c>
      <c r="C444" s="68">
        <f t="shared" si="6"/>
        <v>44197</v>
      </c>
      <c r="D444" s="28" t="s">
        <v>198</v>
      </c>
      <c r="E444" s="28" t="s">
        <v>656</v>
      </c>
      <c r="F444" s="28" t="s">
        <v>657</v>
      </c>
      <c r="G444" s="28" t="s">
        <v>418</v>
      </c>
      <c r="H444" s="28">
        <v>89109</v>
      </c>
      <c r="I444" s="28">
        <v>36.122100000000003</v>
      </c>
      <c r="J444" s="28">
        <v>-115.17139</v>
      </c>
      <c r="L444" s="61">
        <v>110004306938</v>
      </c>
      <c r="M444" s="28" t="s">
        <v>264</v>
      </c>
      <c r="N444" s="28">
        <v>7011</v>
      </c>
      <c r="O444" s="28" t="str">
        <f>IFERROR(VLOOKUP(N444, 'SIC &amp; NAICS Codes'!A:B, 2, FALSE), "")</f>
        <v>Hotels and Motels (hotels, except casino hotels, and motels)</v>
      </c>
      <c r="S444" s="28">
        <v>7.8228853124999997E-3</v>
      </c>
      <c r="T444" s="315">
        <f>_xlfn.MAXIFS('Raw Period DMR Data'!$O:$O,'Raw Period DMR Data'!$A:$A,'Raw Annual DMR Data_2021-2024'!#REF!,'Raw Period DMR Data'!$C:$C,X444)/S444</f>
        <v>0</v>
      </c>
      <c r="U444" s="28" t="str">
        <f>+IF(COUNTIFS('Raw Period DMR Data'!$A:$A,B444,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44" s="28" t="str" cm="1">
        <f t="array" ref="V444">IFERROR(INDEX('Raw Period DMR Data'!N:N,MATCH(1,(B444='Raw Period DMR Data'!$A:$A)*(U444='Raw Period DMR Data'!M:M)*(X444='Raw Period DMR Data'!C:C),0),1), "N/A")</f>
        <v>N/A</v>
      </c>
      <c r="W444" s="28" t="s">
        <v>1463</v>
      </c>
      <c r="X444" s="28" t="s">
        <v>951</v>
      </c>
      <c r="Y444" s="28" t="s">
        <v>952</v>
      </c>
      <c r="Z444" s="61">
        <v>15010015000432</v>
      </c>
      <c r="AB444" s="28" t="s">
        <v>7355</v>
      </c>
      <c r="AC444" s="28" t="s">
        <v>1466</v>
      </c>
    </row>
    <row r="445" spans="1:29" s="28" customFormat="1" x14ac:dyDescent="0.25">
      <c r="A445" s="61">
        <v>110004306938</v>
      </c>
      <c r="B445" s="28">
        <v>2021</v>
      </c>
      <c r="C445" s="68">
        <f t="shared" si="6"/>
        <v>44197</v>
      </c>
      <c r="D445" s="28" t="s">
        <v>198</v>
      </c>
      <c r="E445" s="28" t="s">
        <v>656</v>
      </c>
      <c r="F445" s="28" t="s">
        <v>657</v>
      </c>
      <c r="G445" s="28" t="s">
        <v>418</v>
      </c>
      <c r="H445" s="28">
        <v>89109</v>
      </c>
      <c r="I445" s="28">
        <v>36.122100000000003</v>
      </c>
      <c r="J445" s="28">
        <v>-115.17139</v>
      </c>
      <c r="L445" s="61">
        <v>110004306938</v>
      </c>
      <c r="M445" s="28" t="s">
        <v>264</v>
      </c>
      <c r="N445" s="28">
        <v>7011</v>
      </c>
      <c r="O445" s="28" t="str">
        <f>IFERROR(VLOOKUP(N445, 'SIC &amp; NAICS Codes'!A:B, 2, FALSE), "")</f>
        <v>Hotels and Motels (hotels, except casino hotels, and motels)</v>
      </c>
      <c r="S445" s="28">
        <v>7.2771829374999996E-3</v>
      </c>
      <c r="T445" s="315">
        <f>_xlfn.MAXIFS('Raw Period DMR Data'!$O:$O,'Raw Period DMR Data'!$A:$A,'Raw Annual DMR Data_2021-2024'!#REF!,'Raw Period DMR Data'!$C:$C,X445)/S445</f>
        <v>0</v>
      </c>
      <c r="U445" s="28" t="str">
        <f>+IF(COUNTIFS('Raw Period DMR Data'!$A:$A,B445,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45" s="28" t="str" cm="1">
        <f t="array" ref="V445">IFERROR(INDEX('Raw Period DMR Data'!N:N,MATCH(1,(B445='Raw Period DMR Data'!$A:$A)*(U445='Raw Period DMR Data'!M:M)*(X445='Raw Period DMR Data'!C:C),0),1), "N/A")</f>
        <v>N/A</v>
      </c>
      <c r="W445" s="28" t="s">
        <v>1463</v>
      </c>
      <c r="X445" s="28" t="s">
        <v>951</v>
      </c>
      <c r="Y445" s="28" t="s">
        <v>952</v>
      </c>
      <c r="Z445" s="61">
        <v>15010015000432</v>
      </c>
      <c r="AB445" s="28" t="s">
        <v>7355</v>
      </c>
      <c r="AC445" s="28" t="s">
        <v>1466</v>
      </c>
    </row>
    <row r="446" spans="1:29" s="28" customFormat="1" x14ac:dyDescent="0.25">
      <c r="A446" s="61">
        <v>110004306938</v>
      </c>
      <c r="B446" s="28">
        <v>2024</v>
      </c>
      <c r="C446" s="68">
        <f t="shared" si="6"/>
        <v>45292</v>
      </c>
      <c r="D446" s="28" t="s">
        <v>198</v>
      </c>
      <c r="E446" s="28" t="s">
        <v>656</v>
      </c>
      <c r="F446" s="28" t="s">
        <v>657</v>
      </c>
      <c r="G446" s="28" t="s">
        <v>418</v>
      </c>
      <c r="H446" s="28">
        <v>89109</v>
      </c>
      <c r="I446" s="28">
        <v>36.122100000000003</v>
      </c>
      <c r="J446" s="28">
        <v>-115.17139</v>
      </c>
      <c r="L446" s="61">
        <v>110004306938</v>
      </c>
      <c r="M446" s="28" t="s">
        <v>264</v>
      </c>
      <c r="N446" s="28">
        <v>7011</v>
      </c>
      <c r="O446" s="28" t="str">
        <f>IFERROR(VLOOKUP(N446, 'SIC &amp; NAICS Codes'!A:B, 2, FALSE), "")</f>
        <v>Hotels and Motels (hotels, except casino hotels, and motels)</v>
      </c>
      <c r="S446" s="28">
        <v>3.3916438750000001E-3</v>
      </c>
      <c r="T446" s="315">
        <f>_xlfn.MAXIFS('Raw Period DMR Data'!$O:$O,'Raw Period DMR Data'!$A:$A,'Raw Annual DMR Data_2021-2024'!#REF!,'Raw Period DMR Data'!$C:$C,X446)/S446</f>
        <v>0</v>
      </c>
      <c r="U446" s="28" t="str">
        <f>+IF(COUNTIFS('Raw Period DMR Data'!$A:$A,B446,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46" s="28" t="str" cm="1">
        <f t="array" ref="V446">IFERROR(INDEX('Raw Period DMR Data'!N:N,MATCH(1,(B446='Raw Period DMR Data'!$A:$A)*(U446='Raw Period DMR Data'!M:M)*(X446='Raw Period DMR Data'!C:C),0),1), "N/A")</f>
        <v>N/A</v>
      </c>
      <c r="W446" s="28" t="s">
        <v>1463</v>
      </c>
      <c r="X446" s="28" t="s">
        <v>951</v>
      </c>
      <c r="Y446" s="28" t="s">
        <v>952</v>
      </c>
      <c r="Z446" s="61">
        <v>15010015000432</v>
      </c>
      <c r="AA446" s="60"/>
      <c r="AB446" s="28" t="s">
        <v>7355</v>
      </c>
      <c r="AC446" s="28" t="s">
        <v>1466</v>
      </c>
    </row>
    <row r="447" spans="1:29" s="28" customFormat="1" x14ac:dyDescent="0.25">
      <c r="A447" s="61">
        <v>110004306938</v>
      </c>
      <c r="B447" s="28">
        <v>2024</v>
      </c>
      <c r="C447" s="68">
        <f t="shared" si="6"/>
        <v>45292</v>
      </c>
      <c r="D447" s="28" t="s">
        <v>198</v>
      </c>
      <c r="E447" s="28" t="s">
        <v>656</v>
      </c>
      <c r="F447" s="28" t="s">
        <v>657</v>
      </c>
      <c r="G447" s="28" t="s">
        <v>418</v>
      </c>
      <c r="H447" s="28">
        <v>89109</v>
      </c>
      <c r="I447" s="28">
        <v>36.122100000000003</v>
      </c>
      <c r="J447" s="28">
        <v>-115.17139</v>
      </c>
      <c r="L447" s="61">
        <v>110004306938</v>
      </c>
      <c r="M447" s="28" t="s">
        <v>264</v>
      </c>
      <c r="N447" s="28">
        <v>7011</v>
      </c>
      <c r="O447" s="28" t="str">
        <f>IFERROR(VLOOKUP(N447, 'SIC &amp; NAICS Codes'!A:B, 2, FALSE), "")</f>
        <v>Hotels and Motels (hotels, except casino hotels, and motels)</v>
      </c>
      <c r="S447" s="28">
        <v>2.6283513125E-3</v>
      </c>
      <c r="T447" s="315">
        <f>_xlfn.MAXIFS('Raw Period DMR Data'!$O:$O,'Raw Period DMR Data'!$A:$A,'Raw Annual DMR Data_2021-2024'!#REF!,'Raw Period DMR Data'!$C:$C,X447)/S447</f>
        <v>0</v>
      </c>
      <c r="U447" s="28" t="str">
        <f>+IF(COUNTIFS('Raw Period DMR Data'!$A:$A,B447,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47" s="28" t="str" cm="1">
        <f t="array" ref="V447">IFERROR(INDEX('Raw Period DMR Data'!N:N,MATCH(1,(B447='Raw Period DMR Data'!$A:$A)*(U447='Raw Period DMR Data'!M:M)*(X447='Raw Period DMR Data'!C:C),0),1), "N/A")</f>
        <v>N/A</v>
      </c>
      <c r="W447" s="28" t="s">
        <v>1463</v>
      </c>
      <c r="X447" s="28" t="s">
        <v>951</v>
      </c>
      <c r="Y447" s="28" t="s">
        <v>952</v>
      </c>
      <c r="Z447" s="61">
        <v>15010015000432</v>
      </c>
      <c r="AA447" s="60"/>
      <c r="AB447" s="28" t="s">
        <v>7355</v>
      </c>
      <c r="AC447" s="28" t="s">
        <v>1466</v>
      </c>
    </row>
    <row r="448" spans="1:29" s="28" customFormat="1" x14ac:dyDescent="0.25">
      <c r="A448" s="61">
        <v>110004306938</v>
      </c>
      <c r="B448" s="28">
        <v>2022</v>
      </c>
      <c r="C448" s="68">
        <f t="shared" si="6"/>
        <v>44562</v>
      </c>
      <c r="D448" s="28" t="s">
        <v>198</v>
      </c>
      <c r="E448" s="28" t="s">
        <v>656</v>
      </c>
      <c r="F448" s="28" t="s">
        <v>657</v>
      </c>
      <c r="G448" s="28" t="s">
        <v>418</v>
      </c>
      <c r="H448" s="28">
        <v>89109</v>
      </c>
      <c r="I448" s="28">
        <v>36.122100000000003</v>
      </c>
      <c r="J448" s="28">
        <v>-115.17139</v>
      </c>
      <c r="L448" s="61">
        <v>110004306938</v>
      </c>
      <c r="M448" s="28" t="s">
        <v>264</v>
      </c>
      <c r="N448" s="28">
        <v>7011</v>
      </c>
      <c r="O448" s="28" t="str">
        <f>IFERROR(VLOOKUP(N448, 'SIC &amp; NAICS Codes'!A:B, 2, FALSE), "")</f>
        <v>Hotels and Motels (hotels, except casino hotels, and motels)</v>
      </c>
      <c r="S448" s="28">
        <v>5.6642525000000004E-4</v>
      </c>
      <c r="T448" s="315">
        <f>_xlfn.MAXIFS('Raw Period DMR Data'!$O:$O,'Raw Period DMR Data'!$A:$A,'Raw Annual DMR Data_2021-2024'!#REF!,'Raw Period DMR Data'!$C:$C,X448)/S448</f>
        <v>0</v>
      </c>
      <c r="U448" s="28" t="str">
        <f>+IF(COUNTIFS('Raw Period DMR Data'!$A:$A,B448,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48" s="28" t="str" cm="1">
        <f t="array" ref="V448">IFERROR(INDEX('Raw Period DMR Data'!N:N,MATCH(1,(B448='Raw Period DMR Data'!$A:$A)*(U448='Raw Period DMR Data'!M:M)*(X448='Raw Period DMR Data'!C:C),0),1), "N/A")</f>
        <v>N/A</v>
      </c>
      <c r="W448" s="28" t="s">
        <v>1463</v>
      </c>
      <c r="X448" s="28" t="s">
        <v>951</v>
      </c>
      <c r="Y448" s="28" t="s">
        <v>952</v>
      </c>
      <c r="Z448" s="61">
        <v>15010015000432</v>
      </c>
      <c r="AA448" s="60"/>
      <c r="AB448" s="28" t="s">
        <v>7355</v>
      </c>
      <c r="AC448" s="28" t="s">
        <v>1466</v>
      </c>
    </row>
    <row r="449" spans="1:29" s="28" customFormat="1" x14ac:dyDescent="0.25">
      <c r="A449" s="61">
        <v>110070381611</v>
      </c>
      <c r="B449" s="28">
        <v>2024</v>
      </c>
      <c r="C449" s="68">
        <f t="shared" si="6"/>
        <v>45292</v>
      </c>
      <c r="D449" s="28" t="s">
        <v>106</v>
      </c>
      <c r="E449" s="28" t="s">
        <v>326</v>
      </c>
      <c r="F449" s="28" t="s">
        <v>327</v>
      </c>
      <c r="G449" s="28" t="s">
        <v>328</v>
      </c>
      <c r="H449" s="28">
        <v>30340</v>
      </c>
      <c r="I449" s="28">
        <v>33.904722</v>
      </c>
      <c r="J449" s="28">
        <v>-84.238889</v>
      </c>
      <c r="L449" s="61">
        <v>110070381611</v>
      </c>
      <c r="M449" s="28" t="s">
        <v>252</v>
      </c>
      <c r="O449" s="28" t="str">
        <f>IFERROR(VLOOKUP(N449, 'SIC &amp; NAICS Codes'!A:B, 2, FALSE), "")</f>
        <v/>
      </c>
      <c r="S449" s="28">
        <v>0.20919997800000001</v>
      </c>
      <c r="T449" s="315">
        <f>_xlfn.MAXIFS('Raw Period DMR Data'!$O:$O,'Raw Period DMR Data'!$A:$A,'Raw Annual DMR Data_2021-2024'!#REF!,'Raw Period DMR Data'!$C:$C,X449)/S449</f>
        <v>0</v>
      </c>
      <c r="U449" s="28" t="str">
        <f>+IF(COUNTIFS('Raw Period DMR Data'!$A:$A,B449,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49" s="28" t="str" cm="1">
        <f t="array" ref="V449">IFERROR(INDEX('Raw Period DMR Data'!N:N,MATCH(1,(B449='Raw Period DMR Data'!$A:$A)*(U449='Raw Period DMR Data'!M:M)*(X449='Raw Period DMR Data'!C:C),0),1), "N/A")</f>
        <v>N/A</v>
      </c>
      <c r="W449" s="28" t="s">
        <v>1463</v>
      </c>
      <c r="X449" s="28" t="s">
        <v>778</v>
      </c>
      <c r="Y449" s="28" t="s">
        <v>779</v>
      </c>
      <c r="Z449" s="61"/>
      <c r="AA449" s="60"/>
      <c r="AC449" s="28" t="s">
        <v>1466</v>
      </c>
    </row>
    <row r="450" spans="1:29" s="28" customFormat="1" x14ac:dyDescent="0.25">
      <c r="A450" s="61">
        <v>110070381611</v>
      </c>
      <c r="B450" s="28">
        <v>2023</v>
      </c>
      <c r="C450" s="68">
        <f t="shared" ref="C450:C513" si="7">DATE(B450, 1, 1)</f>
        <v>44927</v>
      </c>
      <c r="D450" s="28" t="s">
        <v>106</v>
      </c>
      <c r="E450" s="28" t="s">
        <v>326</v>
      </c>
      <c r="F450" s="28" t="s">
        <v>327</v>
      </c>
      <c r="G450" s="28" t="s">
        <v>328</v>
      </c>
      <c r="H450" s="28">
        <v>30340</v>
      </c>
      <c r="I450" s="28">
        <v>33.904722</v>
      </c>
      <c r="J450" s="28">
        <v>-84.238889</v>
      </c>
      <c r="L450" s="61">
        <v>110070381611</v>
      </c>
      <c r="M450" s="28" t="s">
        <v>252</v>
      </c>
      <c r="O450" s="28" t="str">
        <f>IFERROR(VLOOKUP(N450, 'SIC &amp; NAICS Codes'!A:B, 2, FALSE), "")</f>
        <v/>
      </c>
      <c r="S450" s="28">
        <v>0.122735381225</v>
      </c>
      <c r="T450" s="315">
        <f>_xlfn.MAXIFS('Raw Period DMR Data'!$O:$O,'Raw Period DMR Data'!$A:$A,'Raw Annual DMR Data_2021-2024'!#REF!,'Raw Period DMR Data'!$C:$C,X450)/S450</f>
        <v>0</v>
      </c>
      <c r="U450" s="28" t="str">
        <f>+IF(COUNTIFS('Raw Period DMR Data'!$A:$A,B450,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50" s="28" t="str" cm="1">
        <f t="array" ref="V450">IFERROR(INDEX('Raw Period DMR Data'!N:N,MATCH(1,(B450='Raw Period DMR Data'!$A:$A)*(U450='Raw Period DMR Data'!M:M)*(X450='Raw Period DMR Data'!C:C),0),1), "N/A")</f>
        <v>N/A</v>
      </c>
      <c r="W450" s="28" t="s">
        <v>1463</v>
      </c>
      <c r="X450" s="28" t="s">
        <v>778</v>
      </c>
      <c r="Y450" s="28" t="s">
        <v>779</v>
      </c>
      <c r="Z450" s="61"/>
      <c r="AA450" s="60"/>
      <c r="AB450" s="28" t="s">
        <v>7355</v>
      </c>
      <c r="AC450" s="28" t="s">
        <v>1466</v>
      </c>
    </row>
    <row r="451" spans="1:29" s="28" customFormat="1" x14ac:dyDescent="0.25">
      <c r="A451" s="61">
        <v>110070381611</v>
      </c>
      <c r="B451" s="28">
        <v>2021</v>
      </c>
      <c r="C451" s="68">
        <f t="shared" si="7"/>
        <v>44197</v>
      </c>
      <c r="D451" s="28" t="s">
        <v>106</v>
      </c>
      <c r="E451" s="28" t="s">
        <v>326</v>
      </c>
      <c r="F451" s="28" t="s">
        <v>327</v>
      </c>
      <c r="G451" s="28" t="s">
        <v>328</v>
      </c>
      <c r="H451" s="28">
        <v>30340</v>
      </c>
      <c r="I451" s="28">
        <v>33.904722</v>
      </c>
      <c r="J451" s="28">
        <v>-84.238889</v>
      </c>
      <c r="L451" s="61">
        <v>110070381611</v>
      </c>
      <c r="M451" s="28" t="s">
        <v>252</v>
      </c>
      <c r="O451" s="28" t="str">
        <f>IFERROR(VLOOKUP(N451, 'SIC &amp; NAICS Codes'!A:B, 2, FALSE), "")</f>
        <v/>
      </c>
      <c r="S451" s="28">
        <v>0.1078712074225</v>
      </c>
      <c r="T451" s="315">
        <f>_xlfn.MAXIFS('Raw Period DMR Data'!$O:$O,'Raw Period DMR Data'!$A:$A,'Raw Annual DMR Data_2021-2024'!#REF!,'Raw Period DMR Data'!$C:$C,X451)/S451</f>
        <v>0</v>
      </c>
      <c r="U451" s="28" t="str">
        <f>+IF(COUNTIFS('Raw Period DMR Data'!$A:$A,B451,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51" s="28" t="str" cm="1">
        <f t="array" ref="V451">IFERROR(INDEX('Raw Period DMR Data'!N:N,MATCH(1,(B451='Raw Period DMR Data'!$A:$A)*(U451='Raw Period DMR Data'!M:M)*(X451='Raw Period DMR Data'!C:C),0),1), "N/A")</f>
        <v>N/A</v>
      </c>
      <c r="W451" s="28" t="s">
        <v>1463</v>
      </c>
      <c r="X451" s="28" t="s">
        <v>778</v>
      </c>
      <c r="Y451" s="28" t="s">
        <v>779</v>
      </c>
      <c r="Z451" s="61"/>
      <c r="AB451" s="28" t="s">
        <v>7355</v>
      </c>
      <c r="AC451" s="28" t="s">
        <v>1466</v>
      </c>
    </row>
    <row r="452" spans="1:29" s="28" customFormat="1" x14ac:dyDescent="0.25">
      <c r="A452" s="61">
        <v>110070381611</v>
      </c>
      <c r="B452" s="28">
        <v>2022</v>
      </c>
      <c r="C452" s="68">
        <f t="shared" si="7"/>
        <v>44562</v>
      </c>
      <c r="D452" s="28" t="s">
        <v>106</v>
      </c>
      <c r="E452" s="28" t="s">
        <v>326</v>
      </c>
      <c r="F452" s="28" t="s">
        <v>327</v>
      </c>
      <c r="G452" s="28" t="s">
        <v>328</v>
      </c>
      <c r="H452" s="28">
        <v>30340</v>
      </c>
      <c r="I452" s="28">
        <v>33.904722</v>
      </c>
      <c r="J452" s="28">
        <v>-84.238889</v>
      </c>
      <c r="L452" s="61">
        <v>110070381611</v>
      </c>
      <c r="M452" s="28" t="s">
        <v>252</v>
      </c>
      <c r="O452" s="28" t="str">
        <f>IFERROR(VLOOKUP(N452, 'SIC &amp; NAICS Codes'!A:B, 2, FALSE), "")</f>
        <v/>
      </c>
      <c r="S452" s="28">
        <v>4.0612709349999998E-2</v>
      </c>
      <c r="T452" s="315">
        <f>_xlfn.MAXIFS('Raw Period DMR Data'!$O:$O,'Raw Period DMR Data'!$A:$A,'Raw Annual DMR Data_2021-2024'!#REF!,'Raw Period DMR Data'!$C:$C,X452)/S452</f>
        <v>0</v>
      </c>
      <c r="U452" s="28" t="str">
        <f>+IF(COUNTIFS('Raw Period DMR Data'!$A:$A,B452,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52" s="28" t="str" cm="1">
        <f t="array" ref="V452">IFERROR(INDEX('Raw Period DMR Data'!N:N,MATCH(1,(B452='Raw Period DMR Data'!$A:$A)*(U452='Raw Period DMR Data'!M:M)*(X452='Raw Period DMR Data'!C:C),0),1), "N/A")</f>
        <v>N/A</v>
      </c>
      <c r="W452" s="28" t="s">
        <v>1463</v>
      </c>
      <c r="X452" s="28" t="s">
        <v>778</v>
      </c>
      <c r="Y452" s="28" t="s">
        <v>779</v>
      </c>
      <c r="Z452" s="61"/>
      <c r="AA452" s="60"/>
      <c r="AB452" s="28" t="s">
        <v>7355</v>
      </c>
      <c r="AC452" s="28" t="s">
        <v>1466</v>
      </c>
    </row>
    <row r="453" spans="1:29" s="28" customFormat="1" x14ac:dyDescent="0.25">
      <c r="A453" s="61">
        <v>110009721836</v>
      </c>
      <c r="B453" s="28">
        <v>2024</v>
      </c>
      <c r="C453" s="68">
        <f t="shared" si="7"/>
        <v>45292</v>
      </c>
      <c r="D453" s="28" t="s">
        <v>119</v>
      </c>
      <c r="E453" s="28" t="s">
        <v>380</v>
      </c>
      <c r="F453" s="28" t="s">
        <v>381</v>
      </c>
      <c r="G453" s="28" t="s">
        <v>338</v>
      </c>
      <c r="H453" s="28">
        <v>8014</v>
      </c>
      <c r="I453" s="28">
        <v>39.799250000000001</v>
      </c>
      <c r="J453" s="28">
        <v>-75.33296</v>
      </c>
      <c r="L453" s="61">
        <v>110009721836</v>
      </c>
      <c r="M453" s="28" t="s">
        <v>252</v>
      </c>
      <c r="N453" s="28">
        <v>4213</v>
      </c>
      <c r="O453" s="28" t="str">
        <f>IFERROR(VLOOKUP(N453, 'SIC &amp; NAICS Codes'!A:B, 2, FALSE), "")</f>
        <v>Trucking, Except Local (general freight, truckload)</v>
      </c>
      <c r="S453" s="28">
        <v>8.0669435583700003E-2</v>
      </c>
      <c r="T453" s="315">
        <f>_xlfn.MAXIFS('Raw Period DMR Data'!$O:$O,'Raw Period DMR Data'!$A:$A,'Raw Annual DMR Data_2021-2024'!#REF!,'Raw Period DMR Data'!$C:$C,X453)/S453</f>
        <v>0</v>
      </c>
      <c r="U453" s="28" t="str">
        <f>+IF(COUNTIFS('Raw Period DMR Data'!$A:$A,B453,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53" s="28" t="str" cm="1">
        <f t="array" ref="V453">IFERROR(INDEX('Raw Period DMR Data'!N:N,MATCH(1,(B453='Raw Period DMR Data'!$A:$A)*(U453='Raw Period DMR Data'!M:M)*(X453='Raw Period DMR Data'!C:C),0),1), "N/A")</f>
        <v>N/A</v>
      </c>
      <c r="W453" s="28" t="s">
        <v>1463</v>
      </c>
      <c r="X453" s="28" t="s">
        <v>806</v>
      </c>
      <c r="Y453" s="28" t="s">
        <v>807</v>
      </c>
      <c r="Z453" s="61">
        <v>2040202002003</v>
      </c>
      <c r="AA453" s="60"/>
      <c r="AB453" s="28" t="s">
        <v>7355</v>
      </c>
      <c r="AC453" s="28" t="s">
        <v>1466</v>
      </c>
    </row>
    <row r="454" spans="1:29" s="28" customFormat="1" x14ac:dyDescent="0.25">
      <c r="A454" s="61">
        <v>110009721836</v>
      </c>
      <c r="B454" s="28">
        <v>2021</v>
      </c>
      <c r="C454" s="68">
        <f t="shared" si="7"/>
        <v>44197</v>
      </c>
      <c r="D454" s="28" t="s">
        <v>119</v>
      </c>
      <c r="E454" s="28" t="s">
        <v>380</v>
      </c>
      <c r="F454" s="28" t="s">
        <v>381</v>
      </c>
      <c r="G454" s="28" t="s">
        <v>338</v>
      </c>
      <c r="H454" s="28">
        <v>8014</v>
      </c>
      <c r="I454" s="28">
        <v>39.799250000000001</v>
      </c>
      <c r="J454" s="28">
        <v>-75.33296</v>
      </c>
      <c r="L454" s="61">
        <v>110009721836</v>
      </c>
      <c r="M454" s="28" t="s">
        <v>252</v>
      </c>
      <c r="N454" s="28">
        <v>4213</v>
      </c>
      <c r="O454" s="28" t="str">
        <f>IFERROR(VLOOKUP(N454, 'SIC &amp; NAICS Codes'!A:B, 2, FALSE), "")</f>
        <v>Trucking, Except Local (general freight, truckload)</v>
      </c>
      <c r="S454" s="28">
        <v>2.3603406403800001E-2</v>
      </c>
      <c r="T454" s="315">
        <f>_xlfn.MAXIFS('Raw Period DMR Data'!$O:$O,'Raw Period DMR Data'!$A:$A,'Raw Annual DMR Data_2021-2024'!#REF!,'Raw Period DMR Data'!$C:$C,X454)/S454</f>
        <v>0</v>
      </c>
      <c r="U454" s="28" t="str">
        <f>+IF(COUNTIFS('Raw Period DMR Data'!$A:$A,B454,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54" s="28" t="str" cm="1">
        <f t="array" ref="V454">IFERROR(INDEX('Raw Period DMR Data'!N:N,MATCH(1,(B454='Raw Period DMR Data'!$A:$A)*(U454='Raw Period DMR Data'!M:M)*(X454='Raw Period DMR Data'!C:C),0),1), "N/A")</f>
        <v>N/A</v>
      </c>
      <c r="W454" s="28" t="s">
        <v>1463</v>
      </c>
      <c r="X454" s="28" t="s">
        <v>806</v>
      </c>
      <c r="Y454" s="28" t="s">
        <v>807</v>
      </c>
      <c r="Z454" s="61">
        <v>2040202002003</v>
      </c>
      <c r="AB454" s="28" t="s">
        <v>7355</v>
      </c>
      <c r="AC454" s="28" t="s">
        <v>1466</v>
      </c>
    </row>
    <row r="455" spans="1:29" s="28" customFormat="1" x14ac:dyDescent="0.25">
      <c r="A455" s="61">
        <v>110009721836</v>
      </c>
      <c r="B455" s="28">
        <v>2022</v>
      </c>
      <c r="C455" s="68">
        <f t="shared" si="7"/>
        <v>44562</v>
      </c>
      <c r="D455" s="28" t="s">
        <v>119</v>
      </c>
      <c r="E455" s="28" t="s">
        <v>380</v>
      </c>
      <c r="F455" s="28" t="s">
        <v>381</v>
      </c>
      <c r="G455" s="28" t="s">
        <v>338</v>
      </c>
      <c r="H455" s="28">
        <v>8014</v>
      </c>
      <c r="I455" s="28">
        <v>39.799250000000001</v>
      </c>
      <c r="J455" s="28">
        <v>-75.33296</v>
      </c>
      <c r="L455" s="61">
        <v>110009721836</v>
      </c>
      <c r="M455" s="28" t="s">
        <v>252</v>
      </c>
      <c r="N455" s="28">
        <v>4213</v>
      </c>
      <c r="O455" s="28" t="str">
        <f>IFERROR(VLOOKUP(N455, 'SIC &amp; NAICS Codes'!A:B, 2, FALSE), "")</f>
        <v>Trucking, Except Local (general freight, truckload)</v>
      </c>
      <c r="S455" s="28">
        <v>2.26541785929E-2</v>
      </c>
      <c r="T455" s="315">
        <f>_xlfn.MAXIFS('Raw Period DMR Data'!$O:$O,'Raw Period DMR Data'!$A:$A,'Raw Annual DMR Data_2021-2024'!#REF!,'Raw Period DMR Data'!$C:$C,X455)/S455</f>
        <v>0</v>
      </c>
      <c r="U455" s="28" t="str">
        <f>+IF(COUNTIFS('Raw Period DMR Data'!$A:$A,B455,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55" s="28" t="str" cm="1">
        <f t="array" ref="V455">IFERROR(INDEX('Raw Period DMR Data'!N:N,MATCH(1,(B455='Raw Period DMR Data'!$A:$A)*(U455='Raw Period DMR Data'!M:M)*(X455='Raw Period DMR Data'!C:C),0),1), "N/A")</f>
        <v>N/A</v>
      </c>
      <c r="W455" s="28" t="s">
        <v>1463</v>
      </c>
      <c r="X455" s="28" t="s">
        <v>806</v>
      </c>
      <c r="Y455" s="28" t="s">
        <v>807</v>
      </c>
      <c r="Z455" s="61">
        <v>2040202002003</v>
      </c>
      <c r="AA455" s="60"/>
      <c r="AB455" s="28" t="s">
        <v>7355</v>
      </c>
      <c r="AC455" s="28" t="s">
        <v>1466</v>
      </c>
    </row>
    <row r="456" spans="1:29" s="28" customFormat="1" x14ac:dyDescent="0.25">
      <c r="A456" s="61">
        <v>110009721836</v>
      </c>
      <c r="B456" s="28">
        <v>2023</v>
      </c>
      <c r="C456" s="68">
        <f t="shared" si="7"/>
        <v>44927</v>
      </c>
      <c r="D456" s="28" t="s">
        <v>119</v>
      </c>
      <c r="E456" s="28" t="s">
        <v>380</v>
      </c>
      <c r="F456" s="28" t="s">
        <v>381</v>
      </c>
      <c r="G456" s="28" t="s">
        <v>338</v>
      </c>
      <c r="H456" s="28" t="s">
        <v>1608</v>
      </c>
      <c r="I456" s="28">
        <v>39.799250000000001</v>
      </c>
      <c r="J456" s="28">
        <v>-75.33296</v>
      </c>
      <c r="L456" s="61">
        <v>110009721836</v>
      </c>
      <c r="M456" s="28" t="s">
        <v>252</v>
      </c>
      <c r="N456" s="28">
        <v>4213</v>
      </c>
      <c r="O456" s="28" t="str">
        <f>IFERROR(VLOOKUP(N456, 'SIC &amp; NAICS Codes'!A:B, 2, FALSE), "")</f>
        <v>Trucking, Except Local (general freight, truckload)</v>
      </c>
      <c r="S456" s="28">
        <v>1.7277402823199998E-2</v>
      </c>
      <c r="T456" s="315">
        <f>_xlfn.MAXIFS('Raw Period DMR Data'!$O:$O,'Raw Period DMR Data'!$A:$A,'Raw Annual DMR Data_2021-2024'!#REF!,'Raw Period DMR Data'!$C:$C,X456)/S456</f>
        <v>0</v>
      </c>
      <c r="U456" s="28" t="str">
        <f>+IF(COUNTIFS('Raw Period DMR Data'!$A:$A,B456,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56" s="28" t="str" cm="1">
        <f t="array" ref="V456">IFERROR(INDEX('Raw Period DMR Data'!N:N,MATCH(1,(B456='Raw Period DMR Data'!$A:$A)*(U456='Raw Period DMR Data'!M:M)*(X456='Raw Period DMR Data'!C:C),0),1), "N/A")</f>
        <v>N/A</v>
      </c>
      <c r="W456" s="28" t="s">
        <v>1463</v>
      </c>
      <c r="X456" s="28" t="s">
        <v>806</v>
      </c>
      <c r="Y456" s="28" t="s">
        <v>807</v>
      </c>
      <c r="Z456" s="61" t="s">
        <v>1609</v>
      </c>
      <c r="AA456" s="60"/>
      <c r="AB456" s="28" t="s">
        <v>7355</v>
      </c>
      <c r="AC456" s="28" t="s">
        <v>1466</v>
      </c>
    </row>
    <row r="457" spans="1:29" s="28" customFormat="1" x14ac:dyDescent="0.25">
      <c r="A457" s="61">
        <v>110000781609</v>
      </c>
      <c r="B457" s="28">
        <v>2021</v>
      </c>
      <c r="C457" s="68">
        <f t="shared" si="7"/>
        <v>44197</v>
      </c>
      <c r="D457" s="28" t="s">
        <v>133</v>
      </c>
      <c r="E457" s="28" t="s">
        <v>429</v>
      </c>
      <c r="F457" s="28" t="s">
        <v>430</v>
      </c>
      <c r="G457" s="28" t="s">
        <v>366</v>
      </c>
      <c r="H457" s="28" t="s">
        <v>431</v>
      </c>
      <c r="I457" s="28">
        <v>33.892391000000003</v>
      </c>
      <c r="J457" s="28">
        <v>-118.072909</v>
      </c>
      <c r="L457" s="61">
        <v>110000781609</v>
      </c>
      <c r="M457" s="28" t="s">
        <v>252</v>
      </c>
      <c r="N457" s="28">
        <v>4613</v>
      </c>
      <c r="O457" s="28" t="str">
        <f>IFERROR(VLOOKUP(N457, 'SIC &amp; NAICS Codes'!A:B, 2, FALSE), "")</f>
        <v>Refined Petroleum Pipelines</v>
      </c>
      <c r="S457" s="28">
        <v>1.8773807999999999E-4</v>
      </c>
      <c r="T457" s="315">
        <f>_xlfn.MAXIFS('Raw Period DMR Data'!$O:$O,'Raw Period DMR Data'!$A:$A,'Raw Annual DMR Data_2021-2024'!#REF!,'Raw Period DMR Data'!$C:$C,X457)/S457</f>
        <v>0</v>
      </c>
      <c r="U457" s="28" t="str">
        <f>+IF(COUNTIFS('Raw Period DMR Data'!$A:$A,B457,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57" s="28" t="str" cm="1">
        <f t="array" ref="V457">IFERROR(INDEX('Raw Period DMR Data'!N:N,MATCH(1,(B457='Raw Period DMR Data'!$A:$A)*(U457='Raw Period DMR Data'!M:M)*(X457='Raw Period DMR Data'!C:C),0),1), "N/A")</f>
        <v>N/A</v>
      </c>
      <c r="W457" s="28" t="s">
        <v>1463</v>
      </c>
      <c r="X457" s="28" t="s">
        <v>831</v>
      </c>
      <c r="Y457" s="28" t="s">
        <v>832</v>
      </c>
      <c r="Z457" s="61">
        <v>18070106000652</v>
      </c>
      <c r="AC457" s="28" t="s">
        <v>1466</v>
      </c>
    </row>
    <row r="458" spans="1:29" s="28" customFormat="1" x14ac:dyDescent="0.25">
      <c r="A458" s="61">
        <v>110070117180</v>
      </c>
      <c r="B458" s="28">
        <v>2021</v>
      </c>
      <c r="C458" s="68">
        <f t="shared" si="7"/>
        <v>44197</v>
      </c>
      <c r="D458" s="28" t="s">
        <v>1682</v>
      </c>
      <c r="E458" s="28" t="s">
        <v>501</v>
      </c>
      <c r="F458" s="28" t="s">
        <v>502</v>
      </c>
      <c r="G458" s="28" t="s">
        <v>303</v>
      </c>
      <c r="H458" s="28">
        <v>70058</v>
      </c>
      <c r="I458" s="28">
        <v>29.910609999999998</v>
      </c>
      <c r="J458" s="28">
        <v>-90.085269999999994</v>
      </c>
      <c r="L458" s="61">
        <v>110070117180</v>
      </c>
      <c r="M458" s="28" t="s">
        <v>252</v>
      </c>
      <c r="N458" s="28">
        <v>4226</v>
      </c>
      <c r="O458" s="28" t="str">
        <f>IFERROR(VLOOKUP(N458, 'SIC &amp; NAICS Codes'!A:B, 2, FALSE), "")</f>
        <v>Special Warehousing and Storage, NEC (warehousing in foreign trade zones)</v>
      </c>
      <c r="S458" s="28">
        <v>3.82301378727272E-2</v>
      </c>
      <c r="T458" s="315">
        <f>_xlfn.MAXIFS('Raw Period DMR Data'!$O:$O,'Raw Period DMR Data'!$A:$A,'Raw Annual DMR Data_2021-2024'!#REF!,'Raw Period DMR Data'!$C:$C,X458)/S458</f>
        <v>0</v>
      </c>
      <c r="U458" s="28" t="str">
        <f>+IF(COUNTIFS('Raw Period DMR Data'!$A:$A,B458,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58" s="28" t="str" cm="1">
        <f t="array" ref="V458">IFERROR(INDEX('Raw Period DMR Data'!N:N,MATCH(1,(B458='Raw Period DMR Data'!$A:$A)*(U458='Raw Period DMR Data'!M:M)*(X458='Raw Period DMR Data'!C:C),0),1), "N/A")</f>
        <v>N/A</v>
      </c>
      <c r="W458" s="28" t="s">
        <v>1463</v>
      </c>
      <c r="X458" s="28" t="s">
        <v>873</v>
      </c>
      <c r="Z458" s="61">
        <v>8090100000658</v>
      </c>
      <c r="AB458" s="28" t="s">
        <v>7355</v>
      </c>
      <c r="AC458" s="28" t="s">
        <v>1466</v>
      </c>
    </row>
    <row r="459" spans="1:29" s="28" customFormat="1" x14ac:dyDescent="0.25">
      <c r="A459" s="61">
        <v>110070117180</v>
      </c>
      <c r="B459" s="28">
        <v>2024</v>
      </c>
      <c r="C459" s="68">
        <f t="shared" si="7"/>
        <v>45292</v>
      </c>
      <c r="D459" s="28" t="s">
        <v>1682</v>
      </c>
      <c r="E459" s="28" t="s">
        <v>501</v>
      </c>
      <c r="F459" s="28" t="s">
        <v>502</v>
      </c>
      <c r="G459" s="28" t="s">
        <v>303</v>
      </c>
      <c r="H459" s="28">
        <v>70058</v>
      </c>
      <c r="I459" s="28">
        <v>29.910609999999998</v>
      </c>
      <c r="J459" s="28">
        <v>-90.085269999999994</v>
      </c>
      <c r="L459" s="61">
        <v>110070117180</v>
      </c>
      <c r="M459" s="28" t="s">
        <v>252</v>
      </c>
      <c r="N459" s="28">
        <v>4226</v>
      </c>
      <c r="O459" s="28" t="str">
        <f>IFERROR(VLOOKUP(N459, 'SIC &amp; NAICS Codes'!A:B, 2, FALSE), "")</f>
        <v>Special Warehousing and Storage, NEC (warehousing in foreign trade zones)</v>
      </c>
      <c r="S459" s="28">
        <v>3.7731340250000002E-2</v>
      </c>
      <c r="T459" s="315">
        <f>_xlfn.MAXIFS('Raw Period DMR Data'!$O:$O,'Raw Period DMR Data'!$A:$A,'Raw Annual DMR Data_2021-2024'!#REF!,'Raw Period DMR Data'!$C:$C,X459)/S459</f>
        <v>0</v>
      </c>
      <c r="U459" s="28" t="str">
        <f>+IF(COUNTIFS('Raw Period DMR Data'!$A:$A,B459,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59" s="28" t="str" cm="1">
        <f t="array" ref="V459">IFERROR(INDEX('Raw Period DMR Data'!N:N,MATCH(1,(B459='Raw Period DMR Data'!$A:$A)*(U459='Raw Period DMR Data'!M:M)*(X459='Raw Period DMR Data'!C:C),0),1), "N/A")</f>
        <v>N/A</v>
      </c>
      <c r="W459" s="28" t="s">
        <v>1463</v>
      </c>
      <c r="X459" s="28" t="s">
        <v>873</v>
      </c>
      <c r="Z459" s="61">
        <v>8090100000658</v>
      </c>
      <c r="AA459" s="60"/>
      <c r="AB459" s="28" t="s">
        <v>7355</v>
      </c>
      <c r="AC459" s="28" t="s">
        <v>1466</v>
      </c>
    </row>
    <row r="460" spans="1:29" s="28" customFormat="1" x14ac:dyDescent="0.25">
      <c r="A460" s="61">
        <v>110070117180</v>
      </c>
      <c r="B460" s="28">
        <v>2024</v>
      </c>
      <c r="C460" s="68">
        <f t="shared" si="7"/>
        <v>45292</v>
      </c>
      <c r="D460" s="28" t="s">
        <v>1682</v>
      </c>
      <c r="E460" s="28" t="s">
        <v>501</v>
      </c>
      <c r="F460" s="28" t="s">
        <v>502</v>
      </c>
      <c r="G460" s="28" t="s">
        <v>303</v>
      </c>
      <c r="H460" s="28">
        <v>70058</v>
      </c>
      <c r="I460" s="28">
        <v>29.910609999999998</v>
      </c>
      <c r="J460" s="28">
        <v>-90.085269999999994</v>
      </c>
      <c r="L460" s="61">
        <v>110070117180</v>
      </c>
      <c r="M460" s="28" t="s">
        <v>252</v>
      </c>
      <c r="N460" s="28">
        <v>4226</v>
      </c>
      <c r="O460" s="28" t="str">
        <f>IFERROR(VLOOKUP(N460, 'SIC &amp; NAICS Codes'!A:B, 2, FALSE), "")</f>
        <v>Special Warehousing and Storage, NEC (warehousing in foreign trade zones)</v>
      </c>
      <c r="S460" s="28">
        <v>3.5842398150000003E-2</v>
      </c>
      <c r="T460" s="315">
        <f>_xlfn.MAXIFS('Raw Period DMR Data'!$O:$O,'Raw Period DMR Data'!$A:$A,'Raw Annual DMR Data_2021-2024'!#REF!,'Raw Period DMR Data'!$C:$C,X460)/S460</f>
        <v>0</v>
      </c>
      <c r="U460" s="28" t="str">
        <f>+IF(COUNTIFS('Raw Period DMR Data'!$A:$A,B460,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60" s="28" t="str" cm="1">
        <f t="array" ref="V460">IFERROR(INDEX('Raw Period DMR Data'!N:N,MATCH(1,(B460='Raw Period DMR Data'!$A:$A)*(U460='Raw Period DMR Data'!M:M)*(X460='Raw Period DMR Data'!C:C),0),1), "N/A")</f>
        <v>N/A</v>
      </c>
      <c r="W460" s="28" t="s">
        <v>1463</v>
      </c>
      <c r="X460" s="28" t="s">
        <v>873</v>
      </c>
      <c r="Z460" s="61">
        <v>8090100000658</v>
      </c>
      <c r="AA460" s="60"/>
      <c r="AB460" s="28" t="s">
        <v>7355</v>
      </c>
      <c r="AC460" s="28" t="s">
        <v>1466</v>
      </c>
    </row>
    <row r="461" spans="1:29" s="28" customFormat="1" x14ac:dyDescent="0.25">
      <c r="A461" s="61">
        <v>110070117180</v>
      </c>
      <c r="B461" s="28">
        <v>2023</v>
      </c>
      <c r="C461" s="68">
        <f t="shared" si="7"/>
        <v>44927</v>
      </c>
      <c r="D461" s="28" t="s">
        <v>1682</v>
      </c>
      <c r="E461" s="28" t="s">
        <v>501</v>
      </c>
      <c r="F461" s="28" t="s">
        <v>502</v>
      </c>
      <c r="G461" s="28" t="s">
        <v>303</v>
      </c>
      <c r="H461" s="28">
        <v>70058</v>
      </c>
      <c r="I461" s="28">
        <v>29.910609999999998</v>
      </c>
      <c r="J461" s="28">
        <v>-90.085269999999994</v>
      </c>
      <c r="L461" s="61">
        <v>110070117180</v>
      </c>
      <c r="M461" s="28" t="s">
        <v>252</v>
      </c>
      <c r="N461" s="28">
        <v>4226</v>
      </c>
      <c r="O461" s="28" t="str">
        <f>IFERROR(VLOOKUP(N461, 'SIC &amp; NAICS Codes'!A:B, 2, FALSE), "")</f>
        <v>Special Warehousing and Storage, NEC (warehousing in foreign trade zones)</v>
      </c>
      <c r="S461" s="28">
        <v>2.8249865288000001E-2</v>
      </c>
      <c r="T461" s="315">
        <f>_xlfn.MAXIFS('Raw Period DMR Data'!$O:$O,'Raw Period DMR Data'!$A:$A,'Raw Annual DMR Data_2021-2024'!#REF!,'Raw Period DMR Data'!$C:$C,X461)/S461</f>
        <v>0</v>
      </c>
      <c r="U461" s="28" t="str">
        <f>+IF(COUNTIFS('Raw Period DMR Data'!$A:$A,B461,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61" s="28" t="str" cm="1">
        <f t="array" ref="V461">IFERROR(INDEX('Raw Period DMR Data'!N:N,MATCH(1,(B461='Raw Period DMR Data'!$A:$A)*(U461='Raw Period DMR Data'!M:M)*(X461='Raw Period DMR Data'!C:C),0),1), "N/A")</f>
        <v>N/A</v>
      </c>
      <c r="W461" s="28" t="s">
        <v>1463</v>
      </c>
      <c r="X461" s="28" t="s">
        <v>873</v>
      </c>
      <c r="Z461" s="61" t="s">
        <v>1683</v>
      </c>
      <c r="AA461" s="60"/>
      <c r="AB461" s="28" t="s">
        <v>7355</v>
      </c>
      <c r="AC461" s="28" t="s">
        <v>1466</v>
      </c>
    </row>
    <row r="462" spans="1:29" s="28" customFormat="1" x14ac:dyDescent="0.25">
      <c r="A462" s="61">
        <v>110070117180</v>
      </c>
      <c r="B462" s="28">
        <v>2022</v>
      </c>
      <c r="C462" s="68">
        <f t="shared" si="7"/>
        <v>44562</v>
      </c>
      <c r="D462" s="28" t="s">
        <v>1682</v>
      </c>
      <c r="E462" s="28" t="s">
        <v>501</v>
      </c>
      <c r="F462" s="28" t="s">
        <v>502</v>
      </c>
      <c r="G462" s="28" t="s">
        <v>303</v>
      </c>
      <c r="H462" s="28">
        <v>70058</v>
      </c>
      <c r="I462" s="28">
        <v>29.910609999999998</v>
      </c>
      <c r="J462" s="28">
        <v>-90.085269999999994</v>
      </c>
      <c r="L462" s="61">
        <v>110070117180</v>
      </c>
      <c r="M462" s="28" t="s">
        <v>252</v>
      </c>
      <c r="N462" s="28">
        <v>4226</v>
      </c>
      <c r="O462" s="28" t="str">
        <f>IFERROR(VLOOKUP(N462, 'SIC &amp; NAICS Codes'!A:B, 2, FALSE), "")</f>
        <v>Special Warehousing and Storage, NEC (warehousing in foreign trade zones)</v>
      </c>
      <c r="S462" s="28">
        <v>2.5099527274999998E-2</v>
      </c>
      <c r="T462" s="315">
        <f>_xlfn.MAXIFS('Raw Period DMR Data'!$O:$O,'Raw Period DMR Data'!$A:$A,'Raw Annual DMR Data_2021-2024'!#REF!,'Raw Period DMR Data'!$C:$C,X462)/S462</f>
        <v>0</v>
      </c>
      <c r="U462" s="28" t="str">
        <f>+IF(COUNTIFS('Raw Period DMR Data'!$A:$A,B462,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62" s="28" t="str" cm="1">
        <f t="array" ref="V462">IFERROR(INDEX('Raw Period DMR Data'!N:N,MATCH(1,(B462='Raw Period DMR Data'!$A:$A)*(U462='Raw Period DMR Data'!M:M)*(X462='Raw Period DMR Data'!C:C),0),1), "N/A")</f>
        <v>N/A</v>
      </c>
      <c r="W462" s="28" t="s">
        <v>1463</v>
      </c>
      <c r="X462" s="28" t="s">
        <v>873</v>
      </c>
      <c r="Z462" s="61">
        <v>8090100000658</v>
      </c>
      <c r="AA462" s="60"/>
      <c r="AB462" s="28" t="s">
        <v>7355</v>
      </c>
      <c r="AC462" s="28" t="s">
        <v>1466</v>
      </c>
    </row>
    <row r="463" spans="1:29" s="28" customFormat="1" x14ac:dyDescent="0.25">
      <c r="A463" s="61">
        <v>110070117180</v>
      </c>
      <c r="B463" s="28">
        <v>2021</v>
      </c>
      <c r="C463" s="68">
        <f t="shared" si="7"/>
        <v>44197</v>
      </c>
      <c r="D463" s="28" t="s">
        <v>1682</v>
      </c>
      <c r="E463" s="28" t="s">
        <v>501</v>
      </c>
      <c r="F463" s="28" t="s">
        <v>502</v>
      </c>
      <c r="G463" s="28" t="s">
        <v>303</v>
      </c>
      <c r="H463" s="28">
        <v>70058</v>
      </c>
      <c r="I463" s="28">
        <v>29.910609999999998</v>
      </c>
      <c r="J463" s="28">
        <v>-90.085269999999994</v>
      </c>
      <c r="L463" s="61">
        <v>110070117180</v>
      </c>
      <c r="M463" s="28" t="s">
        <v>252</v>
      </c>
      <c r="N463" s="28">
        <v>4226</v>
      </c>
      <c r="O463" s="28" t="str">
        <f>IFERROR(VLOOKUP(N463, 'SIC &amp; NAICS Codes'!A:B, 2, FALSE), "")</f>
        <v>Special Warehousing and Storage, NEC (warehousing in foreign trade zones)</v>
      </c>
      <c r="S463" s="28">
        <v>2.11633044818181E-2</v>
      </c>
      <c r="T463" s="315">
        <f>_xlfn.MAXIFS('Raw Period DMR Data'!$O:$O,'Raw Period DMR Data'!$A:$A,'Raw Annual DMR Data_2021-2024'!#REF!,'Raw Period DMR Data'!$C:$C,X463)/S463</f>
        <v>0</v>
      </c>
      <c r="U463" s="28" t="str">
        <f>+IF(COUNTIFS('Raw Period DMR Data'!$A:$A,B463,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63" s="28" t="str" cm="1">
        <f t="array" ref="V463">IFERROR(INDEX('Raw Period DMR Data'!N:N,MATCH(1,(B463='Raw Period DMR Data'!$A:$A)*(U463='Raw Period DMR Data'!M:M)*(X463='Raw Period DMR Data'!C:C),0),1), "N/A")</f>
        <v>N/A</v>
      </c>
      <c r="W463" s="28" t="s">
        <v>1463</v>
      </c>
      <c r="X463" s="28" t="s">
        <v>873</v>
      </c>
      <c r="Z463" s="61">
        <v>8090100000658</v>
      </c>
      <c r="AB463" s="28" t="s">
        <v>7355</v>
      </c>
      <c r="AC463" s="28" t="s">
        <v>1466</v>
      </c>
    </row>
    <row r="464" spans="1:29" s="28" customFormat="1" x14ac:dyDescent="0.25">
      <c r="A464" s="61">
        <v>110070117180</v>
      </c>
      <c r="B464" s="28">
        <v>2023</v>
      </c>
      <c r="C464" s="68">
        <f t="shared" si="7"/>
        <v>44927</v>
      </c>
      <c r="D464" s="28" t="s">
        <v>1682</v>
      </c>
      <c r="E464" s="28" t="s">
        <v>501</v>
      </c>
      <c r="F464" s="28" t="s">
        <v>502</v>
      </c>
      <c r="G464" s="28" t="s">
        <v>303</v>
      </c>
      <c r="H464" s="28">
        <v>70058</v>
      </c>
      <c r="I464" s="28">
        <v>29.910609999999998</v>
      </c>
      <c r="J464" s="28">
        <v>-90.085269999999994</v>
      </c>
      <c r="L464" s="61">
        <v>110070117180</v>
      </c>
      <c r="M464" s="28" t="s">
        <v>252</v>
      </c>
      <c r="N464" s="28">
        <v>4226</v>
      </c>
      <c r="O464" s="28" t="str">
        <f>IFERROR(VLOOKUP(N464, 'SIC &amp; NAICS Codes'!A:B, 2, FALSE), "")</f>
        <v>Special Warehousing and Storage, NEC (warehousing in foreign trade zones)</v>
      </c>
      <c r="S464" s="28">
        <v>1.6994290424999999E-2</v>
      </c>
      <c r="T464" s="315">
        <f>_xlfn.MAXIFS('Raw Period DMR Data'!$O:$O,'Raw Period DMR Data'!$A:$A,'Raw Annual DMR Data_2021-2024'!#REF!,'Raw Period DMR Data'!$C:$C,X464)/S464</f>
        <v>0</v>
      </c>
      <c r="U464" s="28" t="str">
        <f>+IF(COUNTIFS('Raw Period DMR Data'!$A:$A,B464,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64" s="28" t="str" cm="1">
        <f t="array" ref="V464">IFERROR(INDEX('Raw Period DMR Data'!N:N,MATCH(1,(B464='Raw Period DMR Data'!$A:$A)*(U464='Raw Period DMR Data'!M:M)*(X464='Raw Period DMR Data'!C:C),0),1), "N/A")</f>
        <v>N/A</v>
      </c>
      <c r="W464" s="28" t="s">
        <v>1463</v>
      </c>
      <c r="X464" s="28" t="s">
        <v>873</v>
      </c>
      <c r="Z464" s="61" t="s">
        <v>1683</v>
      </c>
      <c r="AA464" s="60"/>
      <c r="AB464" s="28" t="s">
        <v>7355</v>
      </c>
      <c r="AC464" s="28" t="s">
        <v>1466</v>
      </c>
    </row>
    <row r="465" spans="1:29" s="28" customFormat="1" x14ac:dyDescent="0.25">
      <c r="A465" s="61">
        <v>110070117180</v>
      </c>
      <c r="B465" s="28">
        <v>2022</v>
      </c>
      <c r="C465" s="68">
        <f t="shared" si="7"/>
        <v>44562</v>
      </c>
      <c r="D465" s="28" t="s">
        <v>1682</v>
      </c>
      <c r="E465" s="28" t="s">
        <v>501</v>
      </c>
      <c r="F465" s="28" t="s">
        <v>502</v>
      </c>
      <c r="G465" s="28" t="s">
        <v>303</v>
      </c>
      <c r="H465" s="28">
        <v>70058</v>
      </c>
      <c r="I465" s="28">
        <v>29.910609999999998</v>
      </c>
      <c r="J465" s="28">
        <v>-90.085269999999994</v>
      </c>
      <c r="L465" s="61">
        <v>110070117180</v>
      </c>
      <c r="M465" s="28" t="s">
        <v>252</v>
      </c>
      <c r="N465" s="28">
        <v>4226</v>
      </c>
      <c r="O465" s="28" t="str">
        <f>IFERROR(VLOOKUP(N465, 'SIC &amp; NAICS Codes'!A:B, 2, FALSE), "")</f>
        <v>Special Warehousing and Storage, NEC (warehousing in foreign trade zones)</v>
      </c>
      <c r="S465" s="28">
        <v>1.5953595591E-2</v>
      </c>
      <c r="T465" s="315">
        <f>_xlfn.MAXIFS('Raw Period DMR Data'!$O:$O,'Raw Period DMR Data'!$A:$A,'Raw Annual DMR Data_2021-2024'!#REF!,'Raw Period DMR Data'!$C:$C,X465)/S465</f>
        <v>0</v>
      </c>
      <c r="U465" s="28" t="str">
        <f>+IF(COUNTIFS('Raw Period DMR Data'!$A:$A,B465,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65" s="28" t="str" cm="1">
        <f t="array" ref="V465">IFERROR(INDEX('Raw Period DMR Data'!N:N,MATCH(1,(B465='Raw Period DMR Data'!$A:$A)*(U465='Raw Period DMR Data'!M:M)*(X465='Raw Period DMR Data'!C:C),0),1), "N/A")</f>
        <v>N/A</v>
      </c>
      <c r="W465" s="28" t="s">
        <v>1463</v>
      </c>
      <c r="X465" s="28" t="s">
        <v>873</v>
      </c>
      <c r="Z465" s="61">
        <v>8090100000658</v>
      </c>
      <c r="AA465" s="60"/>
      <c r="AB465" s="28" t="s">
        <v>7355</v>
      </c>
      <c r="AC465" s="28" t="s">
        <v>1466</v>
      </c>
    </row>
    <row r="466" spans="1:29" s="28" customFormat="1" x14ac:dyDescent="0.25">
      <c r="A466" s="61">
        <v>110012254363</v>
      </c>
      <c r="B466" s="28">
        <v>2024</v>
      </c>
      <c r="C466" s="68">
        <f t="shared" si="7"/>
        <v>45292</v>
      </c>
      <c r="D466" s="28" t="s">
        <v>6796</v>
      </c>
      <c r="E466" s="28" t="s">
        <v>499</v>
      </c>
      <c r="F466" s="28" t="s">
        <v>302</v>
      </c>
      <c r="G466" s="28" t="s">
        <v>303</v>
      </c>
      <c r="H466" s="28">
        <v>70807</v>
      </c>
      <c r="I466" s="28">
        <v>30.563776000000001</v>
      </c>
      <c r="J466" s="28">
        <v>-91.212565999999995</v>
      </c>
      <c r="L466" s="61">
        <v>110012254363</v>
      </c>
      <c r="M466" s="28" t="s">
        <v>252</v>
      </c>
      <c r="N466" s="28">
        <v>4491</v>
      </c>
      <c r="O466" s="28" t="str">
        <f>IFERROR(VLOOKUP(N466, 'SIC &amp; NAICS Codes'!A:B, 2, FALSE), "")</f>
        <v>Marine Cargo Handling (dock and pier operations)</v>
      </c>
      <c r="S466" s="28">
        <v>0.176281811047</v>
      </c>
      <c r="T466" s="315">
        <f>_xlfn.MAXIFS('Raw Period DMR Data'!$O:$O,'Raw Period DMR Data'!$A:$A,'Raw Annual DMR Data_2021-2024'!#REF!,'Raw Period DMR Data'!$C:$C,X466)/S466</f>
        <v>0</v>
      </c>
      <c r="U466" s="28" t="str">
        <f>+IF(COUNTIFS('Raw Period DMR Data'!$A:$A,B466,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66" s="28" t="str" cm="1">
        <f t="array" ref="V466">IFERROR(INDEX('Raw Period DMR Data'!N:N,MATCH(1,(B466='Raw Period DMR Data'!$A:$A)*(U466='Raw Period DMR Data'!M:M)*(X466='Raw Period DMR Data'!C:C),0),1), "N/A")</f>
        <v>N/A</v>
      </c>
      <c r="W466" s="28" t="s">
        <v>1463</v>
      </c>
      <c r="X466" s="28" t="s">
        <v>872</v>
      </c>
      <c r="Y466" s="28" t="s">
        <v>816</v>
      </c>
      <c r="Z466" s="61">
        <v>8070201006484</v>
      </c>
      <c r="AA466" s="60" t="s">
        <v>7355</v>
      </c>
      <c r="AB466" s="28" t="s">
        <v>7355</v>
      </c>
      <c r="AC466" s="28" t="s">
        <v>263</v>
      </c>
    </row>
    <row r="467" spans="1:29" s="28" customFormat="1" x14ac:dyDescent="0.25">
      <c r="A467" s="61">
        <v>110012254363</v>
      </c>
      <c r="B467" s="28">
        <v>2023</v>
      </c>
      <c r="C467" s="68">
        <f t="shared" si="7"/>
        <v>44927</v>
      </c>
      <c r="D467" s="28" t="s">
        <v>6796</v>
      </c>
      <c r="E467" s="28" t="s">
        <v>499</v>
      </c>
      <c r="F467" s="28" t="s">
        <v>302</v>
      </c>
      <c r="G467" s="28" t="s">
        <v>303</v>
      </c>
      <c r="H467" s="28">
        <v>70807</v>
      </c>
      <c r="I467" s="28">
        <v>30.563776000000001</v>
      </c>
      <c r="J467" s="28">
        <v>-91.212565999999995</v>
      </c>
      <c r="L467" s="61">
        <v>110012254363</v>
      </c>
      <c r="M467" s="28" t="s">
        <v>252</v>
      </c>
      <c r="N467" s="28">
        <v>4491</v>
      </c>
      <c r="O467" s="28" t="str">
        <f>IFERROR(VLOOKUP(N467, 'SIC &amp; NAICS Codes'!A:B, 2, FALSE), "")</f>
        <v>Marine Cargo Handling (dock and pier operations)</v>
      </c>
      <c r="S467" s="28">
        <v>0.14679559651575</v>
      </c>
      <c r="T467" s="315">
        <f>_xlfn.MAXIFS('Raw Period DMR Data'!$O:$O,'Raw Period DMR Data'!$A:$A,'Raw Annual DMR Data_2021-2024'!#REF!,'Raw Period DMR Data'!$C:$C,X467)/S467</f>
        <v>0</v>
      </c>
      <c r="U467" s="28" t="str">
        <f>+IF(COUNTIFS('Raw Period DMR Data'!$A:$A,B467,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67" s="28" t="str" cm="1">
        <f t="array" ref="V467">IFERROR(INDEX('Raw Period DMR Data'!N:N,MATCH(1,(B467='Raw Period DMR Data'!$A:$A)*(U467='Raw Period DMR Data'!M:M)*(X467='Raw Period DMR Data'!C:C),0),1), "N/A")</f>
        <v>N/A</v>
      </c>
      <c r="W467" s="28" t="s">
        <v>1463</v>
      </c>
      <c r="X467" s="28" t="s">
        <v>872</v>
      </c>
      <c r="Y467" s="28" t="s">
        <v>816</v>
      </c>
      <c r="Z467" s="61" t="s">
        <v>1821</v>
      </c>
      <c r="AA467" s="60" t="s">
        <v>7355</v>
      </c>
      <c r="AB467" s="28" t="s">
        <v>7355</v>
      </c>
      <c r="AC467" s="28" t="s">
        <v>263</v>
      </c>
    </row>
    <row r="468" spans="1:29" s="28" customFormat="1" x14ac:dyDescent="0.25">
      <c r="A468" s="61">
        <v>110012254363</v>
      </c>
      <c r="B468" s="28">
        <v>2021</v>
      </c>
      <c r="C468" s="68">
        <f t="shared" si="7"/>
        <v>44197</v>
      </c>
      <c r="D468" s="28" t="s">
        <v>6796</v>
      </c>
      <c r="E468" s="28" t="s">
        <v>499</v>
      </c>
      <c r="F468" s="28" t="s">
        <v>302</v>
      </c>
      <c r="G468" s="28" t="s">
        <v>303</v>
      </c>
      <c r="H468" s="28">
        <v>70807</v>
      </c>
      <c r="I468" s="28">
        <v>30.563776000000001</v>
      </c>
      <c r="J468" s="28">
        <v>-91.212565999999995</v>
      </c>
      <c r="L468" s="61">
        <v>110012254363</v>
      </c>
      <c r="M468" s="28" t="s">
        <v>252</v>
      </c>
      <c r="N468" s="28">
        <v>4491</v>
      </c>
      <c r="O468" s="28" t="str">
        <f>IFERROR(VLOOKUP(N468, 'SIC &amp; NAICS Codes'!A:B, 2, FALSE), "")</f>
        <v>Marine Cargo Handling (dock and pier operations)</v>
      </c>
      <c r="S468" s="28">
        <v>1.389780085E-5</v>
      </c>
      <c r="T468" s="315">
        <f>_xlfn.MAXIFS('Raw Period DMR Data'!$O:$O,'Raw Period DMR Data'!$A:$A,'Raw Annual DMR Data_2021-2024'!#REF!,'Raw Period DMR Data'!$C:$C,X468)/S468</f>
        <v>0</v>
      </c>
      <c r="U468" s="28" t="str">
        <f>+IF(COUNTIFS('Raw Period DMR Data'!$A:$A,B468,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68" s="28" t="str" cm="1">
        <f t="array" ref="V468">IFERROR(INDEX('Raw Period DMR Data'!N:N,MATCH(1,(B468='Raw Period DMR Data'!$A:$A)*(U468='Raw Period DMR Data'!M:M)*(X468='Raw Period DMR Data'!C:C),0),1), "N/A")</f>
        <v>N/A</v>
      </c>
      <c r="W468" s="28" t="s">
        <v>1463</v>
      </c>
      <c r="X468" s="28" t="s">
        <v>872</v>
      </c>
      <c r="Y468" s="28" t="s">
        <v>816</v>
      </c>
      <c r="Z468" s="61">
        <v>8070201006484</v>
      </c>
      <c r="AA468" s="28" t="s">
        <v>7355</v>
      </c>
      <c r="AB468" s="28" t="s">
        <v>7355</v>
      </c>
      <c r="AC468" s="28" t="s">
        <v>263</v>
      </c>
    </row>
    <row r="469" spans="1:29" s="28" customFormat="1" x14ac:dyDescent="0.25">
      <c r="A469" s="61">
        <v>110012254363</v>
      </c>
      <c r="B469" s="28">
        <v>2022</v>
      </c>
      <c r="C469" s="68">
        <f t="shared" si="7"/>
        <v>44562</v>
      </c>
      <c r="D469" s="28" t="s">
        <v>6796</v>
      </c>
      <c r="E469" s="28" t="s">
        <v>499</v>
      </c>
      <c r="F469" s="28" t="s">
        <v>302</v>
      </c>
      <c r="G469" s="28" t="s">
        <v>303</v>
      </c>
      <c r="H469" s="28">
        <v>70807</v>
      </c>
      <c r="I469" s="28">
        <v>30.563776000000001</v>
      </c>
      <c r="J469" s="28">
        <v>-91.212565999999995</v>
      </c>
      <c r="L469" s="61">
        <v>110012254363</v>
      </c>
      <c r="M469" s="28" t="s">
        <v>252</v>
      </c>
      <c r="N469" s="28">
        <v>4491</v>
      </c>
      <c r="O469" s="28" t="str">
        <f>IFERROR(VLOOKUP(N469, 'SIC &amp; NAICS Codes'!A:B, 2, FALSE), "")</f>
        <v>Marine Cargo Handling (dock and pier operations)</v>
      </c>
      <c r="S469" s="28">
        <v>7.8652299999999992E-6</v>
      </c>
      <c r="T469" s="315">
        <f>_xlfn.MAXIFS('Raw Period DMR Data'!$O:$O,'Raw Period DMR Data'!$A:$A,'Raw Annual DMR Data_2021-2024'!#REF!,'Raw Period DMR Data'!$C:$C,X469)/S469</f>
        <v>0</v>
      </c>
      <c r="U469" s="28" t="str">
        <f>+IF(COUNTIFS('Raw Period DMR Data'!$A:$A,B469,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69" s="28" t="str" cm="1">
        <f t="array" ref="V469">IFERROR(INDEX('Raw Period DMR Data'!N:N,MATCH(1,(B469='Raw Period DMR Data'!$A:$A)*(U469='Raw Period DMR Data'!M:M)*(X469='Raw Period DMR Data'!C:C),0),1), "N/A")</f>
        <v>N/A</v>
      </c>
      <c r="W469" s="28" t="s">
        <v>1463</v>
      </c>
      <c r="X469" s="28" t="s">
        <v>872</v>
      </c>
      <c r="Y469" s="28" t="s">
        <v>816</v>
      </c>
      <c r="Z469" s="61">
        <v>8070201006484</v>
      </c>
      <c r="AA469" s="60"/>
      <c r="AB469" s="28" t="s">
        <v>7355</v>
      </c>
      <c r="AC469" s="28" t="s">
        <v>263</v>
      </c>
    </row>
    <row r="470" spans="1:29" s="28" customFormat="1" x14ac:dyDescent="0.25">
      <c r="A470" s="61">
        <v>110000539757</v>
      </c>
      <c r="B470" s="28">
        <v>2021</v>
      </c>
      <c r="C470" s="68">
        <f t="shared" si="7"/>
        <v>44197</v>
      </c>
      <c r="D470" s="28" t="s">
        <v>1955</v>
      </c>
      <c r="E470" s="28" t="s">
        <v>604</v>
      </c>
      <c r="F470" s="28" t="s">
        <v>446</v>
      </c>
      <c r="G470" s="28" t="s">
        <v>303</v>
      </c>
      <c r="H470" s="28">
        <v>70669</v>
      </c>
      <c r="I470" s="28">
        <v>30.240278</v>
      </c>
      <c r="J470" s="28">
        <v>-93.277221999999995</v>
      </c>
      <c r="K470" s="28" t="s">
        <v>605</v>
      </c>
      <c r="L470" s="61">
        <v>110000539757</v>
      </c>
      <c r="M470" s="28" t="s">
        <v>252</v>
      </c>
      <c r="N470" s="28">
        <v>2911</v>
      </c>
      <c r="O470" s="28" t="str">
        <f>IFERROR(VLOOKUP(N470, 'SIC &amp; NAICS Codes'!A:B, 2, FALSE), "")</f>
        <v>Petroleum Refining</v>
      </c>
      <c r="S470" s="28">
        <v>6.9492599999999998</v>
      </c>
      <c r="T470" s="315">
        <f>_xlfn.MAXIFS('Raw Period DMR Data'!$O:$O,'Raw Period DMR Data'!$A:$A,'Raw Annual DMR Data_2021-2024'!B967,'Raw Period DMR Data'!$C:$C,X470)/S470</f>
        <v>0</v>
      </c>
      <c r="U470" s="28" t="str">
        <f>+IF(COUNTIFS('Raw Period DMR Data'!$A:$A,B470, 'Raw Period DMR Data'!C:C,'Raw Annual DMR Data_2021-2024'!X967, 'Raw Period DMR Data'!M:M, "&gt;0")&gt;0,_xlfn.MAXIFS('Raw Period DMR Data'!M:M,'Raw Period DMR Data'!$A:$A,'Raw Annual DMR Data_2021-2024'!B967,'Raw Period DMR Data'!C:C,'Raw Annual DMR Data_2021-2024'!X967), "N/A - Period DMR Data Not Available")</f>
        <v>N/A - Period DMR Data Not Available</v>
      </c>
      <c r="V470" s="28" t="str" cm="1">
        <f t="array" ref="V470">IFERROR(INDEX('Raw Period DMR Data'!N:N,MATCH(1,(B470='Raw Period DMR Data'!$A:$A)*(U470='Raw Period DMR Data'!M:M)*(X470='Raw Period DMR Data'!C:C),0),1), "N/A")</f>
        <v>N/A</v>
      </c>
      <c r="W470" s="28" t="s">
        <v>1463</v>
      </c>
      <c r="X470" s="28" t="s">
        <v>921</v>
      </c>
      <c r="Y470" s="28" t="s">
        <v>922</v>
      </c>
      <c r="Z470" s="61">
        <v>8080206001238</v>
      </c>
      <c r="AC470" s="28" t="s">
        <v>1466</v>
      </c>
    </row>
    <row r="471" spans="1:29" s="28" customFormat="1" x14ac:dyDescent="0.25">
      <c r="A471" s="61">
        <v>110000539757</v>
      </c>
      <c r="B471" s="28">
        <v>2022</v>
      </c>
      <c r="C471" s="68">
        <f t="shared" si="7"/>
        <v>44562</v>
      </c>
      <c r="D471" s="28" t="s">
        <v>1955</v>
      </c>
      <c r="E471" s="28" t="s">
        <v>604</v>
      </c>
      <c r="F471" s="28" t="s">
        <v>446</v>
      </c>
      <c r="G471" s="28" t="s">
        <v>303</v>
      </c>
      <c r="H471" s="28">
        <v>70669</v>
      </c>
      <c r="I471" s="28">
        <v>30.240278</v>
      </c>
      <c r="J471" s="28">
        <v>-93.277221999999995</v>
      </c>
      <c r="K471" s="28" t="s">
        <v>605</v>
      </c>
      <c r="L471" s="61">
        <v>110000539757</v>
      </c>
      <c r="M471" s="28" t="s">
        <v>252</v>
      </c>
      <c r="N471" s="28">
        <v>2911</v>
      </c>
      <c r="O471" s="28" t="str">
        <f>IFERROR(VLOOKUP(N471, 'SIC &amp; NAICS Codes'!A:B, 2, FALSE), "")</f>
        <v>Petroleum Refining</v>
      </c>
      <c r="S471" s="28">
        <v>1.5669900000000001</v>
      </c>
      <c r="T471" s="315">
        <f>_xlfn.MAXIFS('Raw Period DMR Data'!$O:$O,'Raw Period DMR Data'!$A:$A,'Raw Annual DMR Data_2021-2024'!#REF!,'Raw Period DMR Data'!$C:$C,X471)/S471</f>
        <v>0</v>
      </c>
      <c r="U471" s="28" t="str">
        <f>+IF(COUNTIFS('Raw Period DMR Data'!$A:$A,B471,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71" s="28" t="str" cm="1">
        <f t="array" ref="V471">IFERROR(INDEX('Raw Period DMR Data'!N:N,MATCH(1,(B471='Raw Period DMR Data'!$A:$A)*(U471='Raw Period DMR Data'!M:M)*(X471='Raw Period DMR Data'!C:C),0),1), "N/A")</f>
        <v>N/A</v>
      </c>
      <c r="W471" s="28" t="s">
        <v>1463</v>
      </c>
      <c r="X471" s="28" t="s">
        <v>921</v>
      </c>
      <c r="Y471" s="28" t="s">
        <v>922</v>
      </c>
      <c r="Z471" s="61">
        <v>8080206001238</v>
      </c>
      <c r="AA471" s="60"/>
      <c r="AC471" s="28" t="s">
        <v>1466</v>
      </c>
    </row>
    <row r="472" spans="1:29" s="28" customFormat="1" x14ac:dyDescent="0.25">
      <c r="A472" s="61">
        <v>110063004528</v>
      </c>
      <c r="B472" s="28">
        <v>2023</v>
      </c>
      <c r="C472" s="68">
        <f t="shared" si="7"/>
        <v>44927</v>
      </c>
      <c r="D472" s="28" t="s">
        <v>6819</v>
      </c>
      <c r="E472" s="28" t="s">
        <v>377</v>
      </c>
      <c r="F472" s="28" t="s">
        <v>480</v>
      </c>
      <c r="G472" s="28" t="s">
        <v>362</v>
      </c>
      <c r="H472" s="28">
        <v>77978</v>
      </c>
      <c r="I472" s="28">
        <v>28.643972000000002</v>
      </c>
      <c r="J472" s="28">
        <v>-96.547583000000003</v>
      </c>
      <c r="L472" s="61">
        <v>110063004528</v>
      </c>
      <c r="M472" s="28" t="s">
        <v>252</v>
      </c>
      <c r="N472" s="28">
        <v>4491</v>
      </c>
      <c r="O472" s="28" t="str">
        <f>IFERROR(VLOOKUP(N472, 'SIC &amp; NAICS Codes'!A:B, 2, FALSE), "")</f>
        <v>Marine Cargo Handling (dock and pier operations)</v>
      </c>
      <c r="S472" s="28">
        <v>0.21994635000000001</v>
      </c>
      <c r="T472" s="315">
        <f>_xlfn.MAXIFS('Raw Period DMR Data'!$O:$O,'Raw Period DMR Data'!$A:$A,'Raw Annual DMR Data_2021-2024'!#REF!,'Raw Period DMR Data'!$C:$C,X472)/S472</f>
        <v>0</v>
      </c>
      <c r="U472" s="28" t="str">
        <f>+IF(COUNTIFS('Raw Period DMR Data'!$A:$A,B472,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72" s="28" t="str" cm="1">
        <f t="array" ref="V472">IFERROR(INDEX('Raw Period DMR Data'!N:N,MATCH(1,(B472='Raw Period DMR Data'!$A:$A)*(U472='Raw Period DMR Data'!M:M)*(X472='Raw Period DMR Data'!C:C),0),1), "N/A")</f>
        <v>N/A</v>
      </c>
      <c r="W472" s="28" t="s">
        <v>1463</v>
      </c>
      <c r="X472" s="28" t="s">
        <v>804</v>
      </c>
      <c r="Y472" s="28" t="s">
        <v>805</v>
      </c>
      <c r="Z472" s="61">
        <v>12100401000758</v>
      </c>
      <c r="AA472" s="60"/>
      <c r="AC472" s="28" t="s">
        <v>1466</v>
      </c>
    </row>
    <row r="473" spans="1:29" s="28" customFormat="1" x14ac:dyDescent="0.25">
      <c r="A473" s="61">
        <v>110063004528</v>
      </c>
      <c r="B473" s="28">
        <v>2021</v>
      </c>
      <c r="C473" s="68">
        <f t="shared" si="7"/>
        <v>44197</v>
      </c>
      <c r="D473" s="28" t="s">
        <v>6819</v>
      </c>
      <c r="E473" s="28" t="s">
        <v>377</v>
      </c>
      <c r="F473" s="28" t="s">
        <v>480</v>
      </c>
      <c r="G473" s="28" t="s">
        <v>362</v>
      </c>
      <c r="H473" s="28">
        <v>77978</v>
      </c>
      <c r="I473" s="28">
        <v>28.643972000000002</v>
      </c>
      <c r="J473" s="28">
        <v>-96.547583000000003</v>
      </c>
      <c r="L473" s="61">
        <v>110063004528</v>
      </c>
      <c r="M473" s="28" t="s">
        <v>252</v>
      </c>
      <c r="N473" s="28">
        <v>4491</v>
      </c>
      <c r="O473" s="28" t="str">
        <f>IFERROR(VLOOKUP(N473, 'SIC &amp; NAICS Codes'!A:B, 2, FALSE), "")</f>
        <v>Marine Cargo Handling (dock and pier operations)</v>
      </c>
      <c r="S473" s="28">
        <v>2.5074868E-2</v>
      </c>
      <c r="T473" s="315">
        <f>_xlfn.MAXIFS('Raw Period DMR Data'!$O:$O,'Raw Period DMR Data'!$A:$A,'Raw Annual DMR Data_2021-2024'!#REF!,'Raw Period DMR Data'!$C:$C,X473)/S473</f>
        <v>0</v>
      </c>
      <c r="U473" s="28" t="str">
        <f>+IF(COUNTIFS('Raw Period DMR Data'!$A:$A,B473,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73" s="28" t="str" cm="1">
        <f t="array" ref="V473">IFERROR(INDEX('Raw Period DMR Data'!N:N,MATCH(1,(B473='Raw Period DMR Data'!$A:$A)*(U473='Raw Period DMR Data'!M:M)*(X473='Raw Period DMR Data'!C:C),0),1), "N/A")</f>
        <v>N/A</v>
      </c>
      <c r="W473" s="28" t="s">
        <v>1463</v>
      </c>
      <c r="X473" s="28" t="s">
        <v>804</v>
      </c>
      <c r="Y473" s="28" t="s">
        <v>805</v>
      </c>
      <c r="Z473" s="61">
        <v>12100401000758</v>
      </c>
      <c r="AA473" s="60"/>
      <c r="AC473" s="28" t="s">
        <v>1466</v>
      </c>
    </row>
    <row r="474" spans="1:29" s="28" customFormat="1" x14ac:dyDescent="0.25">
      <c r="A474" s="61">
        <v>110000911309</v>
      </c>
      <c r="B474" s="28">
        <v>2021</v>
      </c>
      <c r="C474" s="68">
        <f t="shared" si="7"/>
        <v>44197</v>
      </c>
      <c r="D474" s="28" t="s">
        <v>6809</v>
      </c>
      <c r="E474" s="28" t="s">
        <v>2282</v>
      </c>
      <c r="F474" s="28" t="s">
        <v>516</v>
      </c>
      <c r="G474" s="28" t="s">
        <v>303</v>
      </c>
      <c r="H474" s="28">
        <v>707340000</v>
      </c>
      <c r="I474" s="28">
        <v>30.233011999999999</v>
      </c>
      <c r="J474" s="28">
        <v>-91.022057000000004</v>
      </c>
      <c r="L474" s="61">
        <v>110000911309</v>
      </c>
      <c r="M474" s="28" t="s">
        <v>252</v>
      </c>
      <c r="N474" s="28">
        <v>4789</v>
      </c>
      <c r="O474" s="28" t="str">
        <f>IFERROR(VLOOKUP(N474, 'SIC &amp; NAICS Codes'!A:B, 2, FALSE), "")</f>
        <v>Transportation Services, NEC (horse-drawn cabs and carriages)</v>
      </c>
      <c r="S474" s="28">
        <v>3.6560135587999998E-3</v>
      </c>
      <c r="T474" s="315">
        <f>_xlfn.MAXIFS('Raw Period DMR Data'!$O:$O,'Raw Period DMR Data'!$A:$A,'Raw Annual DMR Data_2021-2024'!#REF!,'Raw Period DMR Data'!$C:$C,X474)/S474</f>
        <v>0</v>
      </c>
      <c r="U474" s="28" t="str">
        <f>+IF(COUNTIFS('Raw Period DMR Data'!$A:$A,B474,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74" s="28" t="str" cm="1">
        <f t="array" ref="V474">IFERROR(INDEX('Raw Period DMR Data'!N:N,MATCH(1,(B474='Raw Period DMR Data'!$A:$A)*(U474='Raw Period DMR Data'!M:M)*(X474='Raw Period DMR Data'!C:C),0),1), "N/A")</f>
        <v>N/A</v>
      </c>
      <c r="W474" s="28" t="s">
        <v>1463</v>
      </c>
      <c r="X474" s="28" t="s">
        <v>2283</v>
      </c>
      <c r="Y474" s="28" t="s">
        <v>795</v>
      </c>
      <c r="Z474" s="61">
        <v>8070204000034</v>
      </c>
      <c r="AB474" s="28" t="s">
        <v>7355</v>
      </c>
      <c r="AC474" s="28" t="s">
        <v>1466</v>
      </c>
    </row>
    <row r="475" spans="1:29" s="28" customFormat="1" x14ac:dyDescent="0.25">
      <c r="A475" s="61">
        <v>110000911309</v>
      </c>
      <c r="B475" s="28">
        <v>2022</v>
      </c>
      <c r="C475" s="68">
        <f t="shared" si="7"/>
        <v>44562</v>
      </c>
      <c r="D475" s="28" t="s">
        <v>6809</v>
      </c>
      <c r="E475" s="28" t="s">
        <v>2282</v>
      </c>
      <c r="F475" s="28" t="s">
        <v>516</v>
      </c>
      <c r="G475" s="28" t="s">
        <v>303</v>
      </c>
      <c r="H475" s="28">
        <v>707340000</v>
      </c>
      <c r="I475" s="28">
        <v>30.233011999999999</v>
      </c>
      <c r="J475" s="28">
        <v>-91.022057000000004</v>
      </c>
      <c r="L475" s="61">
        <v>110000911309</v>
      </c>
      <c r="M475" s="28" t="s">
        <v>252</v>
      </c>
      <c r="N475" s="28">
        <v>4789</v>
      </c>
      <c r="O475" s="28" t="str">
        <f>IFERROR(VLOOKUP(N475, 'SIC &amp; NAICS Codes'!A:B, 2, FALSE), "")</f>
        <v>Transportation Services, NEC (horse-drawn cabs and carriages)</v>
      </c>
      <c r="S475" s="28">
        <v>2.0294894981899999E-3</v>
      </c>
      <c r="T475" s="315">
        <f>_xlfn.MAXIFS('Raw Period DMR Data'!$O:$O,'Raw Period DMR Data'!$A:$A,'Raw Annual DMR Data_2021-2024'!#REF!,'Raw Period DMR Data'!$C:$C,X475)/S475</f>
        <v>0</v>
      </c>
      <c r="U475" s="28" t="str">
        <f>+IF(COUNTIFS('Raw Period DMR Data'!$A:$A,B475,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75" s="28" t="str" cm="1">
        <f t="array" ref="V475">IFERROR(INDEX('Raw Period DMR Data'!N:N,MATCH(1,(B475='Raw Period DMR Data'!$A:$A)*(U475='Raw Period DMR Data'!M:M)*(X475='Raw Period DMR Data'!C:C),0),1), "N/A")</f>
        <v>N/A</v>
      </c>
      <c r="W475" s="28" t="s">
        <v>1463</v>
      </c>
      <c r="X475" s="28" t="s">
        <v>2283</v>
      </c>
      <c r="Y475" s="28" t="s">
        <v>795</v>
      </c>
      <c r="Z475" s="61">
        <v>8070204000034</v>
      </c>
      <c r="AA475" s="60"/>
      <c r="AB475" s="28" t="s">
        <v>7355</v>
      </c>
      <c r="AC475" s="28" t="s">
        <v>1466</v>
      </c>
    </row>
    <row r="476" spans="1:29" s="28" customFormat="1" x14ac:dyDescent="0.25">
      <c r="A476" s="61">
        <v>110000487447</v>
      </c>
      <c r="B476" s="28">
        <v>2024</v>
      </c>
      <c r="C476" s="68">
        <f t="shared" si="7"/>
        <v>45292</v>
      </c>
      <c r="D476" s="28" t="s">
        <v>6880</v>
      </c>
      <c r="E476" s="28" t="s">
        <v>2297</v>
      </c>
      <c r="F476" s="28" t="s">
        <v>1007</v>
      </c>
      <c r="G476" s="28" t="s">
        <v>1008</v>
      </c>
      <c r="H476" s="28">
        <v>972101412</v>
      </c>
      <c r="I476" s="28">
        <v>45.548641000000003</v>
      </c>
      <c r="J476" s="28">
        <v>-122.72292299999999</v>
      </c>
      <c r="K476" s="28" t="s">
        <v>737</v>
      </c>
      <c r="L476" s="61">
        <v>110000487447</v>
      </c>
      <c r="M476" s="28" t="s">
        <v>252</v>
      </c>
      <c r="N476" s="28">
        <v>5169</v>
      </c>
      <c r="O476" s="28" t="str">
        <f>IFERROR(VLOOKUP(N476, 'SIC &amp; NAICS Codes'!A:B, 2, FALSE), "")</f>
        <v>Chemicals and Allied Products, NEC (merchant wholesalers)</v>
      </c>
      <c r="S476" s="28">
        <v>2.6408196324E-3</v>
      </c>
      <c r="T476" s="315">
        <f>_xlfn.MAXIFS('Raw Period DMR Data'!$O:$O,'Raw Period DMR Data'!$A:$A,'Raw Annual DMR Data_2021-2024'!#REF!,'Raw Period DMR Data'!$C:$C,X476)/S476</f>
        <v>0</v>
      </c>
      <c r="U476" s="28" t="str">
        <f>+IF(COUNTIFS('Raw Period DMR Data'!$A:$A,B476,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76" s="28" t="str" cm="1">
        <f t="array" ref="V476">IFERROR(INDEX('Raw Period DMR Data'!N:N,MATCH(1,(B476='Raw Period DMR Data'!$A:$A)*(U476='Raw Period DMR Data'!M:M)*(X476='Raw Period DMR Data'!C:C),0),1), "N/A")</f>
        <v>N/A</v>
      </c>
      <c r="W476" s="28" t="s">
        <v>1463</v>
      </c>
      <c r="X476" s="28" t="s">
        <v>2298</v>
      </c>
      <c r="Y476" s="28" t="s">
        <v>2299</v>
      </c>
      <c r="Z476" s="61">
        <v>17090012000085</v>
      </c>
      <c r="AA476" s="60"/>
      <c r="AB476" s="28" t="s">
        <v>7355</v>
      </c>
      <c r="AC476" s="28" t="s">
        <v>1466</v>
      </c>
    </row>
    <row r="477" spans="1:29" s="28" customFormat="1" x14ac:dyDescent="0.25">
      <c r="A477" s="61">
        <v>110000487447</v>
      </c>
      <c r="B477" s="28">
        <v>2021</v>
      </c>
      <c r="C477" s="68">
        <f t="shared" si="7"/>
        <v>44197</v>
      </c>
      <c r="D477" s="28" t="s">
        <v>6880</v>
      </c>
      <c r="E477" s="28" t="s">
        <v>2297</v>
      </c>
      <c r="F477" s="28" t="s">
        <v>1007</v>
      </c>
      <c r="G477" s="28" t="s">
        <v>1008</v>
      </c>
      <c r="H477" s="28">
        <v>972101412</v>
      </c>
      <c r="I477" s="28">
        <v>45.548641000000003</v>
      </c>
      <c r="J477" s="28">
        <v>-122.72292299999999</v>
      </c>
      <c r="K477" s="28" t="s">
        <v>737</v>
      </c>
      <c r="L477" s="61">
        <v>110000487447</v>
      </c>
      <c r="M477" s="28" t="s">
        <v>252</v>
      </c>
      <c r="N477" s="28">
        <v>5169</v>
      </c>
      <c r="O477" s="28" t="str">
        <f>IFERROR(VLOOKUP(N477, 'SIC &amp; NAICS Codes'!A:B, 2, FALSE), "")</f>
        <v>Chemicals and Allied Products, NEC (merchant wholesalers)</v>
      </c>
      <c r="S477" s="28">
        <v>2.5549731072000001E-3</v>
      </c>
      <c r="T477" s="315">
        <f>_xlfn.MAXIFS('Raw Period DMR Data'!$O:$O,'Raw Period DMR Data'!$A:$A,'Raw Annual DMR Data_2021-2024'!#REF!,'Raw Period DMR Data'!$C:$C,X477)/S477</f>
        <v>0</v>
      </c>
      <c r="U477" s="28" t="str">
        <f>+IF(COUNTIFS('Raw Period DMR Data'!$A:$A,B477,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77" s="28" t="str" cm="1">
        <f t="array" ref="V477">IFERROR(INDEX('Raw Period DMR Data'!N:N,MATCH(1,(B477='Raw Period DMR Data'!$A:$A)*(U477='Raw Period DMR Data'!M:M)*(X477='Raw Period DMR Data'!C:C),0),1), "N/A")</f>
        <v>N/A</v>
      </c>
      <c r="W477" s="28" t="s">
        <v>1463</v>
      </c>
      <c r="X477" s="28" t="s">
        <v>2298</v>
      </c>
      <c r="Y477" s="28" t="s">
        <v>2299</v>
      </c>
      <c r="Z477" s="61">
        <v>17090012000085</v>
      </c>
      <c r="AA477" s="60"/>
      <c r="AB477" s="28" t="s">
        <v>7355</v>
      </c>
      <c r="AC477" s="28" t="s">
        <v>1466</v>
      </c>
    </row>
    <row r="478" spans="1:29" s="28" customFormat="1" x14ac:dyDescent="0.25">
      <c r="A478" s="61">
        <v>110000487447</v>
      </c>
      <c r="B478" s="28">
        <v>2022</v>
      </c>
      <c r="C478" s="68">
        <f t="shared" si="7"/>
        <v>44562</v>
      </c>
      <c r="D478" s="28" t="s">
        <v>6880</v>
      </c>
      <c r="E478" s="28" t="s">
        <v>2297</v>
      </c>
      <c r="F478" s="28" t="s">
        <v>1007</v>
      </c>
      <c r="G478" s="28" t="s">
        <v>1008</v>
      </c>
      <c r="H478" s="28">
        <v>972101412</v>
      </c>
      <c r="I478" s="28">
        <v>45.548641000000003</v>
      </c>
      <c r="J478" s="28">
        <v>-122.72292299999999</v>
      </c>
      <c r="K478" s="28" t="s">
        <v>737</v>
      </c>
      <c r="L478" s="61">
        <v>110000487447</v>
      </c>
      <c r="M478" s="28" t="s">
        <v>252</v>
      </c>
      <c r="N478" s="28">
        <v>5169</v>
      </c>
      <c r="O478" s="28" t="str">
        <f>IFERROR(VLOOKUP(N478, 'SIC &amp; NAICS Codes'!A:B, 2, FALSE), "")</f>
        <v>Chemicals and Allied Products, NEC (merchant wholesalers)</v>
      </c>
      <c r="S478" s="28">
        <v>2.1525809759999999E-3</v>
      </c>
      <c r="T478" s="315">
        <f>_xlfn.MAXIFS('Raw Period DMR Data'!$O:$O,'Raw Period DMR Data'!$A:$A,'Raw Annual DMR Data_2021-2024'!#REF!,'Raw Period DMR Data'!$C:$C,X478)/S478</f>
        <v>0</v>
      </c>
      <c r="U478" s="28" t="str">
        <f>+IF(COUNTIFS('Raw Period DMR Data'!$A:$A,B478,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78" s="28" t="str" cm="1">
        <f t="array" ref="V478">IFERROR(INDEX('Raw Period DMR Data'!N:N,MATCH(1,(B478='Raw Period DMR Data'!$A:$A)*(U478='Raw Period DMR Data'!M:M)*(X478='Raw Period DMR Data'!C:C),0),1), "N/A")</f>
        <v>N/A</v>
      </c>
      <c r="W478" s="28" t="s">
        <v>1463</v>
      </c>
      <c r="X478" s="28" t="s">
        <v>2298</v>
      </c>
      <c r="Y478" s="28" t="s">
        <v>2299</v>
      </c>
      <c r="Z478" s="61">
        <v>17090012000085</v>
      </c>
      <c r="AA478" s="60"/>
      <c r="AB478" s="28" t="s">
        <v>7355</v>
      </c>
      <c r="AC478" s="28" t="s">
        <v>1466</v>
      </c>
    </row>
    <row r="479" spans="1:29" s="28" customFormat="1" x14ac:dyDescent="0.25">
      <c r="A479" s="61">
        <v>110000487447</v>
      </c>
      <c r="B479" s="28">
        <v>2023</v>
      </c>
      <c r="C479" s="68">
        <f t="shared" si="7"/>
        <v>44927</v>
      </c>
      <c r="D479" s="28" t="s">
        <v>6880</v>
      </c>
      <c r="E479" s="28" t="s">
        <v>2297</v>
      </c>
      <c r="F479" s="28" t="s">
        <v>1007</v>
      </c>
      <c r="G479" s="28" t="s">
        <v>1008</v>
      </c>
      <c r="H479" s="28">
        <v>972101412</v>
      </c>
      <c r="I479" s="28">
        <v>45.548641000000003</v>
      </c>
      <c r="J479" s="28">
        <v>-122.72292299999999</v>
      </c>
      <c r="K479" s="28" t="s">
        <v>737</v>
      </c>
      <c r="L479" s="61">
        <v>110000487447</v>
      </c>
      <c r="M479" s="28" t="s">
        <v>252</v>
      </c>
      <c r="N479" s="28">
        <v>5169</v>
      </c>
      <c r="O479" s="28" t="str">
        <f>IFERROR(VLOOKUP(N479, 'SIC &amp; NAICS Codes'!A:B, 2, FALSE), "")</f>
        <v>Chemicals and Allied Products, NEC (merchant wholesalers)</v>
      </c>
      <c r="S479" s="28">
        <v>1.5053786783999999E-3</v>
      </c>
      <c r="T479" s="315">
        <f>_xlfn.MAXIFS('Raw Period DMR Data'!$O:$O,'Raw Period DMR Data'!$A:$A,'Raw Annual DMR Data_2021-2024'!#REF!,'Raw Period DMR Data'!$C:$C,X479)/S479</f>
        <v>0</v>
      </c>
      <c r="U479" s="28" t="str">
        <f>+IF(COUNTIFS('Raw Period DMR Data'!$A:$A,B479,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79" s="28" t="str" cm="1">
        <f t="array" ref="V479">IFERROR(INDEX('Raw Period DMR Data'!N:N,MATCH(1,(B479='Raw Period DMR Data'!$A:$A)*(U479='Raw Period DMR Data'!M:M)*(X479='Raw Period DMR Data'!C:C),0),1), "N/A")</f>
        <v>N/A</v>
      </c>
      <c r="W479" s="28" t="s">
        <v>1463</v>
      </c>
      <c r="X479" s="28" t="s">
        <v>2298</v>
      </c>
      <c r="Y479" s="28" t="s">
        <v>2299</v>
      </c>
      <c r="Z479" s="61">
        <v>17090012000085</v>
      </c>
      <c r="AA479" s="60"/>
      <c r="AB479" s="28" t="s">
        <v>7355</v>
      </c>
      <c r="AC479" s="28" t="s">
        <v>1466</v>
      </c>
    </row>
    <row r="480" spans="1:29" s="28" customFormat="1" x14ac:dyDescent="0.25">
      <c r="A480" s="61">
        <v>110056126972</v>
      </c>
      <c r="B480" s="28">
        <v>2021</v>
      </c>
      <c r="C480" s="68">
        <f t="shared" si="7"/>
        <v>44197</v>
      </c>
      <c r="D480" s="28" t="s">
        <v>6874</v>
      </c>
      <c r="E480" s="28" t="s">
        <v>7044</v>
      </c>
      <c r="F480" s="28" t="s">
        <v>1228</v>
      </c>
      <c r="G480" s="28" t="s">
        <v>1128</v>
      </c>
      <c r="H480" s="28">
        <v>80206</v>
      </c>
      <c r="I480" s="28">
        <v>39.718069999999997</v>
      </c>
      <c r="J480" s="28">
        <v>-104.95112</v>
      </c>
      <c r="L480" s="61">
        <v>110056126972</v>
      </c>
      <c r="M480" s="28" t="s">
        <v>265</v>
      </c>
      <c r="N480" s="28">
        <v>1611</v>
      </c>
      <c r="O480" s="28" t="str">
        <f>IFERROR(VLOOKUP(N480, 'SIC &amp; NAICS Codes'!A:B, 2, FALSE), "")</f>
        <v>Highway and Street Construction, Except Elevated Highways</v>
      </c>
      <c r="S480" s="28">
        <v>5.9382964545500003E-2</v>
      </c>
      <c r="T480" s="315">
        <f>_xlfn.MAXIFS('Raw Period DMR Data'!$O:$O,'Raw Period DMR Data'!$A:$A,'Raw Annual DMR Data_2021-2024'!#REF!,'Raw Period DMR Data'!$C:$C,X480)/S480</f>
        <v>0</v>
      </c>
      <c r="U480" s="28" t="str">
        <f>+IF(COUNTIFS('Raw Period DMR Data'!$A:$A,B480,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80" s="28" t="str" cm="1">
        <f t="array" ref="V480">IFERROR(INDEX('Raw Period DMR Data'!N:N,MATCH(1,(B480='Raw Period DMR Data'!$A:$A)*(U480='Raw Period DMR Data'!M:M)*(X480='Raw Period DMR Data'!C:C),0),1), "N/A")</f>
        <v>N/A</v>
      </c>
      <c r="W480" s="28" t="s">
        <v>1463</v>
      </c>
      <c r="X480" s="28" t="s">
        <v>7202</v>
      </c>
      <c r="Y480" s="28" t="s">
        <v>7298</v>
      </c>
      <c r="Z480" s="61"/>
      <c r="AB480" s="28" t="s">
        <v>7355</v>
      </c>
      <c r="AC480" s="28" t="s">
        <v>1466</v>
      </c>
    </row>
    <row r="481" spans="1:29" s="28" customFormat="1" x14ac:dyDescent="0.25">
      <c r="A481" s="61">
        <v>110059790588</v>
      </c>
      <c r="B481" s="28">
        <v>2021</v>
      </c>
      <c r="C481" s="68">
        <f t="shared" si="7"/>
        <v>44197</v>
      </c>
      <c r="D481" s="28" t="s">
        <v>6863</v>
      </c>
      <c r="E481" s="28" t="s">
        <v>7027</v>
      </c>
      <c r="F481" s="28" t="s">
        <v>1228</v>
      </c>
      <c r="G481" s="28" t="s">
        <v>1128</v>
      </c>
      <c r="H481" s="28">
        <v>80202</v>
      </c>
      <c r="I481" s="28">
        <v>39.747204000000004</v>
      </c>
      <c r="J481" s="28">
        <v>-104.997249</v>
      </c>
      <c r="L481" s="61">
        <v>110059790588</v>
      </c>
      <c r="M481" s="28" t="s">
        <v>265</v>
      </c>
      <c r="N481" s="28">
        <v>1799</v>
      </c>
      <c r="O481" s="28" t="str">
        <f>IFERROR(VLOOKUP(N481, 'SIC &amp; NAICS Codes'!A:B, 2, FALSE), "")</f>
        <v>Special Trade Contractors, NEC (indoor swimming pool construction contractors)</v>
      </c>
      <c r="S481" s="28">
        <v>1.82113554545454E-3</v>
      </c>
      <c r="T481" s="315">
        <f>_xlfn.MAXIFS('Raw Period DMR Data'!$O:$O,'Raw Period DMR Data'!$A:$A,'Raw Annual DMR Data_2021-2024'!#REF!,'Raw Period DMR Data'!$C:$C,X481)/S481</f>
        <v>0</v>
      </c>
      <c r="U481" s="28" t="str">
        <f>+IF(COUNTIFS('Raw Period DMR Data'!$A:$A,B481,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81" s="28" t="str" cm="1">
        <f t="array" ref="V481">IFERROR(INDEX('Raw Period DMR Data'!N:N,MATCH(1,(B481='Raw Period DMR Data'!$A:$A)*(U481='Raw Period DMR Data'!M:M)*(X481='Raw Period DMR Data'!C:C),0),1), "N/A")</f>
        <v>N/A</v>
      </c>
      <c r="W481" s="28" t="s">
        <v>1463</v>
      </c>
      <c r="X481" s="28" t="s">
        <v>7193</v>
      </c>
      <c r="Y481" s="28" t="s">
        <v>7298</v>
      </c>
      <c r="Z481" s="61"/>
      <c r="AB481" s="28" t="s">
        <v>7355</v>
      </c>
      <c r="AC481" s="28" t="s">
        <v>1466</v>
      </c>
    </row>
    <row r="482" spans="1:29" s="28" customFormat="1" x14ac:dyDescent="0.25">
      <c r="A482" s="61">
        <v>110059790588</v>
      </c>
      <c r="B482" s="28">
        <v>2022</v>
      </c>
      <c r="C482" s="68">
        <f t="shared" si="7"/>
        <v>44562</v>
      </c>
      <c r="D482" s="28" t="s">
        <v>6863</v>
      </c>
      <c r="E482" s="28" t="s">
        <v>7027</v>
      </c>
      <c r="F482" s="28" t="s">
        <v>1228</v>
      </c>
      <c r="G482" s="28" t="s">
        <v>1128</v>
      </c>
      <c r="H482" s="28">
        <v>80202</v>
      </c>
      <c r="I482" s="28">
        <v>39.747204000000004</v>
      </c>
      <c r="J482" s="28">
        <v>-104.997249</v>
      </c>
      <c r="L482" s="61">
        <v>110059790588</v>
      </c>
      <c r="M482" s="28" t="s">
        <v>265</v>
      </c>
      <c r="N482" s="28">
        <v>1799</v>
      </c>
      <c r="O482" s="28" t="str">
        <f>IFERROR(VLOOKUP(N482, 'SIC &amp; NAICS Codes'!A:B, 2, FALSE), "")</f>
        <v>Special Trade Contractors, NEC (indoor swimming pool construction contractors)</v>
      </c>
      <c r="S482" s="28">
        <v>1.17335E-4</v>
      </c>
      <c r="T482" s="315">
        <f>_xlfn.MAXIFS('Raw Period DMR Data'!$O:$O,'Raw Period DMR Data'!$A:$A,'Raw Annual DMR Data_2021-2024'!#REF!,'Raw Period DMR Data'!$C:$C,X482)/S482</f>
        <v>0</v>
      </c>
      <c r="U482" s="28" t="str">
        <f>+IF(COUNTIFS('Raw Period DMR Data'!$A:$A,B482,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82" s="28" t="str" cm="1">
        <f t="array" ref="V482">IFERROR(INDEX('Raw Period DMR Data'!N:N,MATCH(1,(B482='Raw Period DMR Data'!$A:$A)*(U482='Raw Period DMR Data'!M:M)*(X482='Raw Period DMR Data'!C:C),0),1), "N/A")</f>
        <v>N/A</v>
      </c>
      <c r="W482" s="28" t="s">
        <v>1463</v>
      </c>
      <c r="X482" s="28" t="s">
        <v>7193</v>
      </c>
      <c r="Y482" s="28" t="s">
        <v>7298</v>
      </c>
      <c r="Z482" s="61"/>
      <c r="AA482" s="60"/>
      <c r="AB482" s="28" t="s">
        <v>7355</v>
      </c>
      <c r="AC482" s="28" t="s">
        <v>1466</v>
      </c>
    </row>
    <row r="483" spans="1:29" s="28" customFormat="1" x14ac:dyDescent="0.25">
      <c r="A483" s="61">
        <v>110071181280</v>
      </c>
      <c r="B483" s="28">
        <v>2022</v>
      </c>
      <c r="C483" s="68">
        <f t="shared" si="7"/>
        <v>44562</v>
      </c>
      <c r="D483" s="28" t="s">
        <v>6840</v>
      </c>
      <c r="E483" s="28" t="s">
        <v>6996</v>
      </c>
      <c r="F483" s="28" t="s">
        <v>968</v>
      </c>
      <c r="G483" s="28" t="s">
        <v>294</v>
      </c>
      <c r="H483" s="28">
        <v>223141396</v>
      </c>
      <c r="I483" s="28">
        <v>38.818069999999999</v>
      </c>
      <c r="J483" s="28">
        <v>-77.049329999999998</v>
      </c>
      <c r="L483" s="61">
        <v>110071181280</v>
      </c>
      <c r="M483" s="28" t="s">
        <v>265</v>
      </c>
      <c r="N483" s="28">
        <v>1794</v>
      </c>
      <c r="O483" s="28" t="str">
        <f>IFERROR(VLOOKUP(N483, 'SIC &amp; NAICS Codes'!A:B, 2, FALSE), "")</f>
        <v>Excavation Work</v>
      </c>
      <c r="S483" s="28">
        <v>1.2488039750000001E-2</v>
      </c>
      <c r="T483" s="315">
        <f>_xlfn.MAXIFS('Raw Period DMR Data'!$O:$O,'Raw Period DMR Data'!$A:$A,'Raw Annual DMR Data_2021-2024'!#REF!,'Raw Period DMR Data'!$C:$C,X483)/S483</f>
        <v>0</v>
      </c>
      <c r="U483" s="28" t="str">
        <f>+IF(COUNTIFS('Raw Period DMR Data'!$A:$A,B483,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83" s="28" t="str" cm="1">
        <f t="array" ref="V483">IFERROR(INDEX('Raw Period DMR Data'!N:N,MATCH(1,(B483='Raw Period DMR Data'!$A:$A)*(U483='Raw Period DMR Data'!M:M)*(X483='Raw Period DMR Data'!C:C),0),1), "N/A")</f>
        <v>N/A</v>
      </c>
      <c r="W483" s="28" t="s">
        <v>1463</v>
      </c>
      <c r="X483" s="28" t="s">
        <v>7176</v>
      </c>
      <c r="Y483" s="28" t="s">
        <v>1788</v>
      </c>
      <c r="Z483" s="61"/>
      <c r="AA483" s="60"/>
      <c r="AB483" s="28" t="s">
        <v>7355</v>
      </c>
      <c r="AC483" s="28" t="s">
        <v>1466</v>
      </c>
    </row>
    <row r="484" spans="1:29" s="28" customFormat="1" x14ac:dyDescent="0.25">
      <c r="A484" s="61">
        <v>110070884188</v>
      </c>
      <c r="B484" s="28">
        <v>2021</v>
      </c>
      <c r="C484" s="68">
        <f t="shared" si="7"/>
        <v>44197</v>
      </c>
      <c r="D484" s="28" t="s">
        <v>6780</v>
      </c>
      <c r="E484" s="28" t="s">
        <v>6924</v>
      </c>
      <c r="F484" s="28" t="s">
        <v>293</v>
      </c>
      <c r="G484" s="28" t="s">
        <v>294</v>
      </c>
      <c r="H484" s="28">
        <v>22202</v>
      </c>
      <c r="I484" s="28">
        <v>38.8568</v>
      </c>
      <c r="J484" s="28">
        <v>-77.049700000000001</v>
      </c>
      <c r="L484" s="61">
        <v>110070884188</v>
      </c>
      <c r="M484" s="28" t="s">
        <v>265</v>
      </c>
      <c r="N484" s="28">
        <v>1794</v>
      </c>
      <c r="O484" s="28" t="str">
        <f>IFERROR(VLOOKUP(N484, 'SIC &amp; NAICS Codes'!A:B, 2, FALSE), "")</f>
        <v>Excavation Work</v>
      </c>
      <c r="S484" s="28">
        <v>1.7495784E-2</v>
      </c>
      <c r="T484" s="315">
        <f>_xlfn.MAXIFS('Raw Period DMR Data'!$O:$O,'Raw Period DMR Data'!$A:$A,'Raw Annual DMR Data_2021-2024'!#REF!,'Raw Period DMR Data'!$C:$C,X484)/S484</f>
        <v>0</v>
      </c>
      <c r="U484" s="28" t="str">
        <f>+IF(COUNTIFS('Raw Period DMR Data'!$A:$A,B484,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84" s="28" t="str" cm="1">
        <f t="array" ref="V484">IFERROR(INDEX('Raw Period DMR Data'!N:N,MATCH(1,(B484='Raw Period DMR Data'!$A:$A)*(U484='Raw Period DMR Data'!M:M)*(X484='Raw Period DMR Data'!C:C),0),1), "N/A")</f>
        <v>N/A</v>
      </c>
      <c r="W484" s="28" t="s">
        <v>1463</v>
      </c>
      <c r="X484" s="28" t="s">
        <v>7141</v>
      </c>
      <c r="Y484" s="28" t="s">
        <v>762</v>
      </c>
      <c r="Z484" s="61"/>
      <c r="AB484" s="28" t="s">
        <v>7355</v>
      </c>
      <c r="AC484" s="28" t="s">
        <v>1466</v>
      </c>
    </row>
    <row r="485" spans="1:29" s="28" customFormat="1" x14ac:dyDescent="0.25">
      <c r="A485" s="61">
        <v>110070884188</v>
      </c>
      <c r="B485" s="28">
        <v>2022</v>
      </c>
      <c r="C485" s="68">
        <f t="shared" si="7"/>
        <v>44562</v>
      </c>
      <c r="D485" s="28" t="s">
        <v>6780</v>
      </c>
      <c r="E485" s="28" t="s">
        <v>6924</v>
      </c>
      <c r="F485" s="28" t="s">
        <v>293</v>
      </c>
      <c r="G485" s="28" t="s">
        <v>294</v>
      </c>
      <c r="H485" s="28">
        <v>22202</v>
      </c>
      <c r="I485" s="28">
        <v>38.8568</v>
      </c>
      <c r="J485" s="28">
        <v>-77.049700000000001</v>
      </c>
      <c r="L485" s="61">
        <v>110070884188</v>
      </c>
      <c r="M485" s="28" t="s">
        <v>265</v>
      </c>
      <c r="N485" s="28">
        <v>1794</v>
      </c>
      <c r="O485" s="28" t="str">
        <f>IFERROR(VLOOKUP(N485, 'SIC &amp; NAICS Codes'!A:B, 2, FALSE), "")</f>
        <v>Excavation Work</v>
      </c>
      <c r="S485" s="28">
        <v>1.4470812E-2</v>
      </c>
      <c r="T485" s="315">
        <f>_xlfn.MAXIFS('Raw Period DMR Data'!$O:$O,'Raw Period DMR Data'!$A:$A,'Raw Annual DMR Data_2021-2024'!#REF!,'Raw Period DMR Data'!$C:$C,X485)/S485</f>
        <v>0</v>
      </c>
      <c r="U485" s="28" t="str">
        <f>+IF(COUNTIFS('Raw Period DMR Data'!$A:$A,B485,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85" s="28" t="str" cm="1">
        <f t="array" ref="V485">IFERROR(INDEX('Raw Period DMR Data'!N:N,MATCH(1,(B485='Raw Period DMR Data'!$A:$A)*(U485='Raw Period DMR Data'!M:M)*(X485='Raw Period DMR Data'!C:C),0),1), "N/A")</f>
        <v>N/A</v>
      </c>
      <c r="W485" s="28" t="s">
        <v>1463</v>
      </c>
      <c r="X485" s="28" t="s">
        <v>7141</v>
      </c>
      <c r="Y485" s="28" t="s">
        <v>762</v>
      </c>
      <c r="Z485" s="61"/>
      <c r="AA485" s="60"/>
      <c r="AB485" s="28" t="s">
        <v>7355</v>
      </c>
      <c r="AC485" s="28" t="s">
        <v>1466</v>
      </c>
    </row>
    <row r="486" spans="1:29" s="28" customFormat="1" x14ac:dyDescent="0.25">
      <c r="A486" s="61">
        <v>110071507783</v>
      </c>
      <c r="B486" s="28">
        <v>2024</v>
      </c>
      <c r="C486" s="68">
        <f t="shared" si="7"/>
        <v>45292</v>
      </c>
      <c r="D486" s="28" t="s">
        <v>6900</v>
      </c>
      <c r="E486" s="28" t="s">
        <v>7092</v>
      </c>
      <c r="F486" s="28" t="s">
        <v>293</v>
      </c>
      <c r="G486" s="28" t="s">
        <v>294</v>
      </c>
      <c r="H486" s="28">
        <v>22209</v>
      </c>
      <c r="I486" s="28">
        <v>38.898200000000003</v>
      </c>
      <c r="J486" s="28">
        <v>-77.070899999999995</v>
      </c>
      <c r="L486" s="61">
        <v>110071507783</v>
      </c>
      <c r="M486" s="28" t="s">
        <v>265</v>
      </c>
      <c r="N486" s="28">
        <v>1794</v>
      </c>
      <c r="O486" s="28" t="str">
        <f>IFERROR(VLOOKUP(N486, 'SIC &amp; NAICS Codes'!A:B, 2, FALSE), "")</f>
        <v>Excavation Work</v>
      </c>
      <c r="S486" s="28">
        <v>2.0002967999999999E-2</v>
      </c>
      <c r="T486" s="315">
        <f>_xlfn.MAXIFS('Raw Period DMR Data'!$O:$O,'Raw Period DMR Data'!$A:$A,'Raw Annual DMR Data_2021-2024'!#REF!,'Raw Period DMR Data'!$C:$C,X486)/S486</f>
        <v>0</v>
      </c>
      <c r="U486" s="28" t="str">
        <f>+IF(COUNTIFS('Raw Period DMR Data'!$A:$A,B486,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86" s="28" t="str" cm="1">
        <f t="array" ref="V486">IFERROR(INDEX('Raw Period DMR Data'!N:N,MATCH(1,(B486='Raw Period DMR Data'!$A:$A)*(U486='Raw Period DMR Data'!M:M)*(X486='Raw Period DMR Data'!C:C),0),1), "N/A")</f>
        <v>N/A</v>
      </c>
      <c r="W486" s="28" t="s">
        <v>1463</v>
      </c>
      <c r="X486" s="28" t="s">
        <v>7229</v>
      </c>
      <c r="Y486" s="28" t="s">
        <v>762</v>
      </c>
      <c r="Z486" s="61"/>
      <c r="AA486" s="60"/>
      <c r="AB486" s="28" t="s">
        <v>7355</v>
      </c>
      <c r="AC486" s="28" t="s">
        <v>1466</v>
      </c>
    </row>
    <row r="487" spans="1:29" s="28" customFormat="1" x14ac:dyDescent="0.25">
      <c r="A487" s="61">
        <v>110071347994</v>
      </c>
      <c r="B487" s="28">
        <v>2023</v>
      </c>
      <c r="C487" s="68">
        <f t="shared" si="7"/>
        <v>44927</v>
      </c>
      <c r="D487" s="28" t="s">
        <v>6782</v>
      </c>
      <c r="E487" s="28" t="s">
        <v>6928</v>
      </c>
      <c r="F487" s="28" t="s">
        <v>293</v>
      </c>
      <c r="G487" s="28" t="s">
        <v>294</v>
      </c>
      <c r="H487" s="28">
        <v>22201</v>
      </c>
      <c r="I487" s="28">
        <v>38.85615</v>
      </c>
      <c r="J487" s="28">
        <v>-77.051146000000003</v>
      </c>
      <c r="L487" s="61">
        <v>110071347994</v>
      </c>
      <c r="M487" s="28" t="s">
        <v>265</v>
      </c>
      <c r="N487" s="28">
        <v>1794</v>
      </c>
      <c r="O487" s="28" t="str">
        <f>IFERROR(VLOOKUP(N487, 'SIC &amp; NAICS Codes'!A:B, 2, FALSE), "")</f>
        <v>Excavation Work</v>
      </c>
      <c r="S487" s="28">
        <v>9.3678750000000005E-5</v>
      </c>
      <c r="T487" s="315">
        <f>_xlfn.MAXIFS('Raw Period DMR Data'!$O:$O,'Raw Period DMR Data'!$A:$A,'Raw Annual DMR Data_2021-2024'!#REF!,'Raw Period DMR Data'!$C:$C,X487)/S487</f>
        <v>0</v>
      </c>
      <c r="U487" s="28" t="str">
        <f>+IF(COUNTIFS('Raw Period DMR Data'!$A:$A,B487,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87" s="28" t="str" cm="1">
        <f t="array" ref="V487">IFERROR(INDEX('Raw Period DMR Data'!N:N,MATCH(1,(B487='Raw Period DMR Data'!$A:$A)*(U487='Raw Period DMR Data'!M:M)*(X487='Raw Period DMR Data'!C:C),0),1), "N/A")</f>
        <v>N/A</v>
      </c>
      <c r="W487" s="28" t="s">
        <v>1463</v>
      </c>
      <c r="X487" s="28" t="s">
        <v>7143</v>
      </c>
      <c r="Y487" s="28" t="s">
        <v>762</v>
      </c>
      <c r="Z487" s="61"/>
      <c r="AA487" s="60"/>
      <c r="AB487" s="28" t="s">
        <v>7355</v>
      </c>
      <c r="AC487" s="28" t="s">
        <v>1466</v>
      </c>
    </row>
    <row r="488" spans="1:29" s="28" customFormat="1" x14ac:dyDescent="0.25">
      <c r="A488" s="61">
        <v>110071503191</v>
      </c>
      <c r="B488" s="28">
        <v>2024</v>
      </c>
      <c r="C488" s="68">
        <f t="shared" si="7"/>
        <v>45292</v>
      </c>
      <c r="D488" s="28" t="s">
        <v>6892</v>
      </c>
      <c r="E488" s="28" t="s">
        <v>7074</v>
      </c>
      <c r="F488" s="28" t="s">
        <v>968</v>
      </c>
      <c r="G488" s="28" t="s">
        <v>294</v>
      </c>
      <c r="H488" s="28">
        <v>22305</v>
      </c>
      <c r="I488" s="28">
        <v>38.838200000000001</v>
      </c>
      <c r="J488" s="28">
        <v>-77.060599999999994</v>
      </c>
      <c r="L488" s="61">
        <v>110071503191</v>
      </c>
      <c r="M488" s="28" t="s">
        <v>265</v>
      </c>
      <c r="N488" s="28">
        <v>1794</v>
      </c>
      <c r="O488" s="28" t="str">
        <f>IFERROR(VLOOKUP(N488, 'SIC &amp; NAICS Codes'!A:B, 2, FALSE), "")</f>
        <v>Excavation Work</v>
      </c>
      <c r="S488" s="28">
        <v>4.0172084063249999E-2</v>
      </c>
      <c r="T488" s="315">
        <f>_xlfn.MAXIFS('Raw Period DMR Data'!$O:$O,'Raw Period DMR Data'!$A:$A,'Raw Annual DMR Data_2021-2024'!#REF!,'Raw Period DMR Data'!$C:$C,X488)/S488</f>
        <v>0</v>
      </c>
      <c r="U488" s="28" t="str">
        <f>+IF(COUNTIFS('Raw Period DMR Data'!$A:$A,B488,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88" s="28" t="str" cm="1">
        <f t="array" ref="V488">IFERROR(INDEX('Raw Period DMR Data'!N:N,MATCH(1,(B488='Raw Period DMR Data'!$A:$A)*(U488='Raw Period DMR Data'!M:M)*(X488='Raw Period DMR Data'!C:C),0),1), "N/A")</f>
        <v>N/A</v>
      </c>
      <c r="W488" s="28" t="s">
        <v>1463</v>
      </c>
      <c r="X488" s="28" t="s">
        <v>7219</v>
      </c>
      <c r="Y488" s="28" t="s">
        <v>1475</v>
      </c>
      <c r="Z488" s="61"/>
      <c r="AA488" s="60"/>
      <c r="AB488" s="28" t="s">
        <v>7355</v>
      </c>
      <c r="AC488" s="28" t="s">
        <v>1466</v>
      </c>
    </row>
    <row r="489" spans="1:29" s="28" customFormat="1" x14ac:dyDescent="0.25">
      <c r="A489" s="61">
        <v>110006368206</v>
      </c>
      <c r="B489" s="28">
        <v>2022</v>
      </c>
      <c r="C489" s="68">
        <f t="shared" si="7"/>
        <v>44562</v>
      </c>
      <c r="D489" s="28" t="s">
        <v>965</v>
      </c>
      <c r="E489" s="28" t="s">
        <v>1469</v>
      </c>
      <c r="F489" s="28" t="s">
        <v>966</v>
      </c>
      <c r="G489" s="28" t="s">
        <v>491</v>
      </c>
      <c r="H489" s="28">
        <v>19112</v>
      </c>
      <c r="I489" s="28">
        <v>39.891680000000001</v>
      </c>
      <c r="J489" s="28">
        <v>-75.169055</v>
      </c>
      <c r="L489" s="61">
        <v>110006368206</v>
      </c>
      <c r="M489" s="28" t="s">
        <v>265</v>
      </c>
      <c r="N489" s="28">
        <v>3731</v>
      </c>
      <c r="O489" s="28" t="str">
        <f>IFERROR(VLOOKUP(N489, 'SIC &amp; NAICS Codes'!A:B, 2, FALSE), "")</f>
        <v>Ship Building and Repairing (except repairs in floating drydocks)</v>
      </c>
      <c r="S489" s="28">
        <v>10.5959264256</v>
      </c>
      <c r="T489" s="315">
        <f>_xlfn.MAXIFS('Raw Period DMR Data'!$O:$O,'Raw Period DMR Data'!$A:$A,'Raw Annual DMR Data_2021-2024'!B947,'Raw Period DMR Data'!$C:$C,X489)/S489</f>
        <v>0</v>
      </c>
      <c r="U489" s="28" t="str">
        <f>+IF(COUNTIFS('Raw Period DMR Data'!$A:$A,B489, 'Raw Period DMR Data'!C:C,'Raw Annual DMR Data_2021-2024'!X947, 'Raw Period DMR Data'!M:M, "&gt;0")&gt;0,_xlfn.MAXIFS('Raw Period DMR Data'!M:M,'Raw Period DMR Data'!$A:$A,'Raw Annual DMR Data_2021-2024'!B947,'Raw Period DMR Data'!C:C,'Raw Annual DMR Data_2021-2024'!X947), "N/A - Period DMR Data Not Available")</f>
        <v>N/A - Period DMR Data Not Available</v>
      </c>
      <c r="V489" s="28" t="str" cm="1">
        <f t="array" ref="V489">IFERROR(INDEX('Raw Period DMR Data'!N:N,MATCH(1,(B489='Raw Period DMR Data'!$A:$A)*(U489='Raw Period DMR Data'!M:M)*(X489='Raw Period DMR Data'!C:C),0),1), "N/A")</f>
        <v>N/A</v>
      </c>
      <c r="W489" s="28" t="s">
        <v>1463</v>
      </c>
      <c r="X489" s="28" t="s">
        <v>1470</v>
      </c>
      <c r="Y489" s="28" t="s">
        <v>1471</v>
      </c>
      <c r="Z489" s="61">
        <v>2040203000001</v>
      </c>
      <c r="AA489" s="60"/>
      <c r="AB489" s="28" t="s">
        <v>7355</v>
      </c>
      <c r="AC489" s="28" t="s">
        <v>1466</v>
      </c>
    </row>
    <row r="490" spans="1:29" s="28" customFormat="1" x14ac:dyDescent="0.25">
      <c r="A490" s="61">
        <v>110006368206</v>
      </c>
      <c r="B490" s="28">
        <v>2024</v>
      </c>
      <c r="C490" s="68">
        <f t="shared" si="7"/>
        <v>45292</v>
      </c>
      <c r="D490" s="28" t="s">
        <v>965</v>
      </c>
      <c r="E490" s="28" t="s">
        <v>1469</v>
      </c>
      <c r="F490" s="28" t="s">
        <v>966</v>
      </c>
      <c r="G490" s="28" t="s">
        <v>491</v>
      </c>
      <c r="H490" s="28">
        <v>19112</v>
      </c>
      <c r="I490" s="28">
        <v>39.891680000000001</v>
      </c>
      <c r="J490" s="28">
        <v>-75.169055</v>
      </c>
      <c r="L490" s="61">
        <v>110006368206</v>
      </c>
      <c r="M490" s="28" t="s">
        <v>265</v>
      </c>
      <c r="N490" s="28">
        <v>3731</v>
      </c>
      <c r="O490" s="28" t="str">
        <f>IFERROR(VLOOKUP(N490, 'SIC &amp; NAICS Codes'!A:B, 2, FALSE), "")</f>
        <v>Ship Building and Repairing (except repairs in floating drydocks)</v>
      </c>
      <c r="S490" s="28">
        <v>0.3882720197376</v>
      </c>
      <c r="T490" s="315">
        <f>_xlfn.MAXIFS('Raw Period DMR Data'!$O:$O,'Raw Period DMR Data'!$A:$A,'Raw Annual DMR Data_2021-2024'!#REF!,'Raw Period DMR Data'!$C:$C,X490)/S490</f>
        <v>0</v>
      </c>
      <c r="U490" s="28" t="str">
        <f>+IF(COUNTIFS('Raw Period DMR Data'!$A:$A,B490,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90" s="28" t="str" cm="1">
        <f t="array" ref="V490">IFERROR(INDEX('Raw Period DMR Data'!N:N,MATCH(1,(B490='Raw Period DMR Data'!$A:$A)*(U490='Raw Period DMR Data'!M:M)*(X490='Raw Period DMR Data'!C:C),0),1), "N/A")</f>
        <v>N/A</v>
      </c>
      <c r="W490" s="28" t="s">
        <v>1463</v>
      </c>
      <c r="X490" s="28" t="s">
        <v>1470</v>
      </c>
      <c r="Y490" s="28" t="s">
        <v>1471</v>
      </c>
      <c r="Z490" s="61">
        <v>2040203000001</v>
      </c>
      <c r="AA490" s="60"/>
      <c r="AB490" s="28" t="s">
        <v>7355</v>
      </c>
      <c r="AC490" s="28" t="s">
        <v>1466</v>
      </c>
    </row>
    <row r="491" spans="1:29" s="28" customFormat="1" x14ac:dyDescent="0.25">
      <c r="A491" s="61">
        <v>110006368206</v>
      </c>
      <c r="B491" s="28">
        <v>2021</v>
      </c>
      <c r="C491" s="68">
        <f t="shared" si="7"/>
        <v>44197</v>
      </c>
      <c r="D491" s="28" t="s">
        <v>965</v>
      </c>
      <c r="E491" s="28" t="s">
        <v>1469</v>
      </c>
      <c r="F491" s="28" t="s">
        <v>966</v>
      </c>
      <c r="G491" s="28" t="s">
        <v>491</v>
      </c>
      <c r="H491" s="28">
        <v>19112</v>
      </c>
      <c r="I491" s="28">
        <v>39.891680000000001</v>
      </c>
      <c r="J491" s="28">
        <v>-75.169055</v>
      </c>
      <c r="L491" s="61">
        <v>110006368206</v>
      </c>
      <c r="M491" s="28" t="s">
        <v>265</v>
      </c>
      <c r="N491" s="28">
        <v>3731</v>
      </c>
      <c r="O491" s="28" t="str">
        <f>IFERROR(VLOOKUP(N491, 'SIC &amp; NAICS Codes'!A:B, 2, FALSE), "")</f>
        <v>Ship Building and Repairing (except repairs in floating drydocks)</v>
      </c>
      <c r="S491" s="28">
        <v>0.2926050292224</v>
      </c>
      <c r="T491" s="315">
        <f>_xlfn.MAXIFS('Raw Period DMR Data'!$O:$O,'Raw Period DMR Data'!$A:$A,'Raw Annual DMR Data_2021-2024'!#REF!,'Raw Period DMR Data'!$C:$C,X491)/S491</f>
        <v>0</v>
      </c>
      <c r="U491" s="28" t="str">
        <f>+IF(COUNTIFS('Raw Period DMR Data'!$A:$A,B491,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91" s="28" t="str" cm="1">
        <f t="array" ref="V491">IFERROR(INDEX('Raw Period DMR Data'!N:N,MATCH(1,(B491='Raw Period DMR Data'!$A:$A)*(U491='Raw Period DMR Data'!M:M)*(X491='Raw Period DMR Data'!C:C),0),1), "N/A")</f>
        <v>N/A</v>
      </c>
      <c r="W491" s="28" t="s">
        <v>1463</v>
      </c>
      <c r="X491" s="28" t="s">
        <v>1470</v>
      </c>
      <c r="Y491" s="28" t="s">
        <v>1471</v>
      </c>
      <c r="Z491" s="61">
        <v>2040203000001</v>
      </c>
      <c r="AB491" s="28" t="s">
        <v>7355</v>
      </c>
      <c r="AC491" s="28" t="s">
        <v>1466</v>
      </c>
    </row>
    <row r="492" spans="1:29" s="28" customFormat="1" x14ac:dyDescent="0.25">
      <c r="A492" s="61">
        <v>110006368206</v>
      </c>
      <c r="B492" s="28">
        <v>2023</v>
      </c>
      <c r="C492" s="68">
        <f t="shared" si="7"/>
        <v>44927</v>
      </c>
      <c r="D492" s="28" t="s">
        <v>965</v>
      </c>
      <c r="E492" s="28" t="s">
        <v>1469</v>
      </c>
      <c r="F492" s="28" t="s">
        <v>966</v>
      </c>
      <c r="G492" s="28" t="s">
        <v>491</v>
      </c>
      <c r="H492" s="28">
        <v>19112</v>
      </c>
      <c r="I492" s="28">
        <v>39.891680000000001</v>
      </c>
      <c r="J492" s="28">
        <v>-75.169055</v>
      </c>
      <c r="L492" s="61">
        <v>110006368206</v>
      </c>
      <c r="M492" s="28" t="s">
        <v>265</v>
      </c>
      <c r="N492" s="28">
        <v>3731</v>
      </c>
      <c r="O492" s="28" t="str">
        <f>IFERROR(VLOOKUP(N492, 'SIC &amp; NAICS Codes'!A:B, 2, FALSE), "")</f>
        <v>Ship Building and Repairing (except repairs in floating drydocks)</v>
      </c>
      <c r="S492" s="28">
        <v>0.100176607872</v>
      </c>
      <c r="T492" s="315">
        <f>_xlfn.MAXIFS('Raw Period DMR Data'!$O:$O,'Raw Period DMR Data'!$A:$A,'Raw Annual DMR Data_2021-2024'!#REF!,'Raw Period DMR Data'!$C:$C,X492)/S492</f>
        <v>0</v>
      </c>
      <c r="U492" s="28" t="str">
        <f>+IF(COUNTIFS('Raw Period DMR Data'!$A:$A,B492,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92" s="28" t="str" cm="1">
        <f t="array" ref="V492">IFERROR(INDEX('Raw Period DMR Data'!N:N,MATCH(1,(B492='Raw Period DMR Data'!$A:$A)*(U492='Raw Period DMR Data'!M:M)*(X492='Raw Period DMR Data'!C:C),0),1), "N/A")</f>
        <v>N/A</v>
      </c>
      <c r="W492" s="28" t="s">
        <v>1463</v>
      </c>
      <c r="X492" s="28" t="s">
        <v>1470</v>
      </c>
      <c r="Y492" s="28" t="s">
        <v>1471</v>
      </c>
      <c r="Z492" s="61" t="s">
        <v>1472</v>
      </c>
      <c r="AA492" s="60"/>
      <c r="AB492" s="28" t="s">
        <v>7355</v>
      </c>
      <c r="AC492" s="28" t="s">
        <v>1466</v>
      </c>
    </row>
    <row r="493" spans="1:29" s="28" customFormat="1" x14ac:dyDescent="0.25">
      <c r="A493" s="61">
        <v>110070884760</v>
      </c>
      <c r="B493" s="28">
        <v>2022</v>
      </c>
      <c r="C493" s="68">
        <f t="shared" si="7"/>
        <v>44562</v>
      </c>
      <c r="D493" s="28" t="s">
        <v>6784</v>
      </c>
      <c r="E493" s="28" t="s">
        <v>6931</v>
      </c>
      <c r="F493" s="28" t="s">
        <v>1403</v>
      </c>
      <c r="G493" s="28" t="s">
        <v>294</v>
      </c>
      <c r="H493" s="28">
        <v>23454</v>
      </c>
      <c r="I493" s="28">
        <v>36.847490000000001</v>
      </c>
      <c r="J493" s="28">
        <v>-76.026436000000004</v>
      </c>
      <c r="L493" s="61">
        <v>110070884760</v>
      </c>
      <c r="M493" s="28" t="s">
        <v>265</v>
      </c>
      <c r="N493" s="28">
        <v>1799</v>
      </c>
      <c r="O493" s="28" t="str">
        <f>IFERROR(VLOOKUP(N493, 'SIC &amp; NAICS Codes'!A:B, 2, FALSE), "")</f>
        <v>Special Trade Contractors, NEC (indoor swimming pool construction contractors)</v>
      </c>
      <c r="S493" s="28">
        <v>4.2405722345454496E-3</v>
      </c>
      <c r="T493" s="315">
        <f>_xlfn.MAXIFS('Raw Period DMR Data'!$O:$O,'Raw Period DMR Data'!$A:$A,'Raw Annual DMR Data_2021-2024'!#REF!,'Raw Period DMR Data'!$C:$C,X493)/S493</f>
        <v>0</v>
      </c>
      <c r="U493" s="28" t="str">
        <f>+IF(COUNTIFS('Raw Period DMR Data'!$A:$A,B493,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93" s="28" t="str" cm="1">
        <f t="array" ref="V493">IFERROR(INDEX('Raw Period DMR Data'!N:N,MATCH(1,(B493='Raw Period DMR Data'!$A:$A)*(U493='Raw Period DMR Data'!M:M)*(X493='Raw Period DMR Data'!C:C),0),1), "N/A")</f>
        <v>N/A</v>
      </c>
      <c r="W493" s="28" t="s">
        <v>1463</v>
      </c>
      <c r="X493" s="28" t="s">
        <v>7144</v>
      </c>
      <c r="Y493" s="28" t="s">
        <v>2335</v>
      </c>
      <c r="Z493" s="61"/>
      <c r="AA493" s="60"/>
      <c r="AB493" s="28" t="s">
        <v>7355</v>
      </c>
      <c r="AC493" s="28" t="s">
        <v>1466</v>
      </c>
    </row>
    <row r="494" spans="1:29" s="28" customFormat="1" x14ac:dyDescent="0.25">
      <c r="A494" s="61">
        <v>110070884760</v>
      </c>
      <c r="B494" s="28">
        <v>2022</v>
      </c>
      <c r="C494" s="68">
        <f t="shared" si="7"/>
        <v>44562</v>
      </c>
      <c r="D494" s="28" t="s">
        <v>6784</v>
      </c>
      <c r="E494" s="28" t="s">
        <v>6931</v>
      </c>
      <c r="F494" s="28" t="s">
        <v>1403</v>
      </c>
      <c r="G494" s="28" t="s">
        <v>294</v>
      </c>
      <c r="H494" s="28">
        <v>23454</v>
      </c>
      <c r="I494" s="28">
        <v>36.847490000000001</v>
      </c>
      <c r="J494" s="28">
        <v>-76.026436000000004</v>
      </c>
      <c r="L494" s="61">
        <v>110070884760</v>
      </c>
      <c r="M494" s="28" t="s">
        <v>265</v>
      </c>
      <c r="N494" s="28">
        <v>1799</v>
      </c>
      <c r="O494" s="28" t="str">
        <f>IFERROR(VLOOKUP(N494, 'SIC &amp; NAICS Codes'!A:B, 2, FALSE), "")</f>
        <v>Special Trade Contractors, NEC (indoor swimming pool construction contractors)</v>
      </c>
      <c r="S494" s="28">
        <v>4.2405722345454496E-3</v>
      </c>
      <c r="T494" s="315">
        <f>_xlfn.MAXIFS('Raw Period DMR Data'!$O:$O,'Raw Period DMR Data'!$A:$A,'Raw Annual DMR Data_2021-2024'!#REF!,'Raw Period DMR Data'!$C:$C,X494)/S494</f>
        <v>0</v>
      </c>
      <c r="U494" s="28" t="str">
        <f>+IF(COUNTIFS('Raw Period DMR Data'!$A:$A,B494,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94" s="28" t="str" cm="1">
        <f t="array" ref="V494">IFERROR(INDEX('Raw Period DMR Data'!N:N,MATCH(1,(B494='Raw Period DMR Data'!$A:$A)*(U494='Raw Period DMR Data'!M:M)*(X494='Raw Period DMR Data'!C:C),0),1), "N/A")</f>
        <v>N/A</v>
      </c>
      <c r="W494" s="28" t="s">
        <v>1463</v>
      </c>
      <c r="X494" s="28" t="s">
        <v>7144</v>
      </c>
      <c r="Y494" s="28" t="s">
        <v>2335</v>
      </c>
      <c r="Z494" s="61"/>
      <c r="AA494" s="60"/>
      <c r="AB494" s="28" t="s">
        <v>7355</v>
      </c>
      <c r="AC494" s="28" t="s">
        <v>1466</v>
      </c>
    </row>
    <row r="495" spans="1:29" s="28" customFormat="1" x14ac:dyDescent="0.25">
      <c r="A495" s="61">
        <v>110070948151</v>
      </c>
      <c r="B495" s="28">
        <v>2023</v>
      </c>
      <c r="C495" s="68">
        <f t="shared" si="7"/>
        <v>44927</v>
      </c>
      <c r="D495" s="28" t="s">
        <v>6862</v>
      </c>
      <c r="E495" s="28" t="s">
        <v>7026</v>
      </c>
      <c r="F495" s="28" t="s">
        <v>657</v>
      </c>
      <c r="G495" s="28" t="s">
        <v>418</v>
      </c>
      <c r="H495" s="28">
        <v>89118</v>
      </c>
      <c r="I495" s="28">
        <v>36.090899999999998</v>
      </c>
      <c r="J495" s="28">
        <v>-115.1833</v>
      </c>
      <c r="L495" s="61">
        <v>110070948151</v>
      </c>
      <c r="M495" s="28" t="s">
        <v>265</v>
      </c>
      <c r="N495" s="28">
        <v>7941</v>
      </c>
      <c r="O495" s="28" t="str">
        <f>IFERROR(VLOOKUP(N495, 'SIC &amp; NAICS Codes'!A:B, 2, FALSE), "")</f>
        <v>Professional Sports Clubs and Promoters (professional sports clubs)</v>
      </c>
      <c r="S495" s="28">
        <v>6.2714327375000004E-2</v>
      </c>
      <c r="T495" s="315">
        <f>_xlfn.MAXIFS('Raw Period DMR Data'!$O:$O,'Raw Period DMR Data'!$A:$A,'Raw Annual DMR Data_2021-2024'!#REF!,'Raw Period DMR Data'!$C:$C,X495)/S495</f>
        <v>0</v>
      </c>
      <c r="U495" s="28" t="str">
        <f>+IF(COUNTIFS('Raw Period DMR Data'!$A:$A,B495,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95" s="28" t="str" cm="1">
        <f t="array" ref="V495">IFERROR(INDEX('Raw Period DMR Data'!N:N,MATCH(1,(B495='Raw Period DMR Data'!$A:$A)*(U495='Raw Period DMR Data'!M:M)*(X495='Raw Period DMR Data'!C:C),0),1), "N/A")</f>
        <v>N/A</v>
      </c>
      <c r="W495" s="28" t="s">
        <v>1463</v>
      </c>
      <c r="X495" s="28" t="s">
        <v>7192</v>
      </c>
      <c r="Y495" s="28" t="s">
        <v>7297</v>
      </c>
      <c r="Z495" s="61"/>
      <c r="AA495" s="60"/>
      <c r="AB495" s="28" t="s">
        <v>7355</v>
      </c>
      <c r="AC495" s="28" t="s">
        <v>1466</v>
      </c>
    </row>
    <row r="496" spans="1:29" s="28" customFormat="1" x14ac:dyDescent="0.25">
      <c r="A496" s="61">
        <v>110070948151</v>
      </c>
      <c r="B496" s="28">
        <v>2021</v>
      </c>
      <c r="C496" s="68">
        <f t="shared" si="7"/>
        <v>44197</v>
      </c>
      <c r="D496" s="28" t="s">
        <v>6862</v>
      </c>
      <c r="E496" s="28" t="s">
        <v>7026</v>
      </c>
      <c r="F496" s="28" t="s">
        <v>657</v>
      </c>
      <c r="G496" s="28" t="s">
        <v>418</v>
      </c>
      <c r="H496" s="28">
        <v>89118</v>
      </c>
      <c r="I496" s="28">
        <v>36.090899999999998</v>
      </c>
      <c r="J496" s="28">
        <v>-115.1833</v>
      </c>
      <c r="L496" s="61">
        <v>110070948151</v>
      </c>
      <c r="M496" s="28" t="s">
        <v>265</v>
      </c>
      <c r="N496" s="28">
        <v>7941</v>
      </c>
      <c r="O496" s="28" t="str">
        <f>IFERROR(VLOOKUP(N496, 'SIC &amp; NAICS Codes'!A:B, 2, FALSE), "")</f>
        <v>Professional Sports Clubs and Promoters (professional sports clubs)</v>
      </c>
      <c r="S496" s="28">
        <v>4.0706634125000002E-2</v>
      </c>
      <c r="T496" s="315">
        <f>_xlfn.MAXIFS('Raw Period DMR Data'!$O:$O,'Raw Period DMR Data'!$A:$A,'Raw Annual DMR Data_2021-2024'!#REF!,'Raw Period DMR Data'!$C:$C,X496)/S496</f>
        <v>0</v>
      </c>
      <c r="U496" s="28" t="str">
        <f>+IF(COUNTIFS('Raw Period DMR Data'!$A:$A,B496,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96" s="28" t="str" cm="1">
        <f t="array" ref="V496">IFERROR(INDEX('Raw Period DMR Data'!N:N,MATCH(1,(B496='Raw Period DMR Data'!$A:$A)*(U496='Raw Period DMR Data'!M:M)*(X496='Raw Period DMR Data'!C:C),0),1), "N/A")</f>
        <v>N/A</v>
      </c>
      <c r="W496" s="28" t="s">
        <v>1463</v>
      </c>
      <c r="X496" s="28" t="s">
        <v>7192</v>
      </c>
      <c r="Y496" s="28" t="s">
        <v>7297</v>
      </c>
      <c r="Z496" s="61"/>
      <c r="AB496" s="28" t="s">
        <v>7355</v>
      </c>
      <c r="AC496" s="28" t="s">
        <v>1466</v>
      </c>
    </row>
    <row r="497" spans="1:29" s="28" customFormat="1" x14ac:dyDescent="0.25">
      <c r="A497" s="61">
        <v>110070948151</v>
      </c>
      <c r="B497" s="28">
        <v>2024</v>
      </c>
      <c r="C497" s="68">
        <f t="shared" si="7"/>
        <v>45292</v>
      </c>
      <c r="D497" s="28" t="s">
        <v>6862</v>
      </c>
      <c r="E497" s="28" t="s">
        <v>7026</v>
      </c>
      <c r="F497" s="28" t="s">
        <v>657</v>
      </c>
      <c r="G497" s="28" t="s">
        <v>418</v>
      </c>
      <c r="H497" s="28">
        <v>89118</v>
      </c>
      <c r="I497" s="28">
        <v>36.090899999999998</v>
      </c>
      <c r="J497" s="28">
        <v>-115.1833</v>
      </c>
      <c r="L497" s="61">
        <v>110070948151</v>
      </c>
      <c r="M497" s="28" t="s">
        <v>265</v>
      </c>
      <c r="N497" s="28">
        <v>7941</v>
      </c>
      <c r="O497" s="28" t="str">
        <f>IFERROR(VLOOKUP(N497, 'SIC &amp; NAICS Codes'!A:B, 2, FALSE), "")</f>
        <v>Professional Sports Clubs and Promoters (professional sports clubs)</v>
      </c>
      <c r="S497" s="28">
        <v>4.02956304375E-2</v>
      </c>
      <c r="T497" s="315">
        <f>_xlfn.MAXIFS('Raw Period DMR Data'!$O:$O,'Raw Period DMR Data'!$A:$A,'Raw Annual DMR Data_2021-2024'!#REF!,'Raw Period DMR Data'!$C:$C,X497)/S497</f>
        <v>0</v>
      </c>
      <c r="U497" s="28" t="str">
        <f>+IF(COUNTIFS('Raw Period DMR Data'!$A:$A,B497,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97" s="28" t="str" cm="1">
        <f t="array" ref="V497">IFERROR(INDEX('Raw Period DMR Data'!N:N,MATCH(1,(B497='Raw Period DMR Data'!$A:$A)*(U497='Raw Period DMR Data'!M:M)*(X497='Raw Period DMR Data'!C:C),0),1), "N/A")</f>
        <v>N/A</v>
      </c>
      <c r="W497" s="28" t="s">
        <v>1463</v>
      </c>
      <c r="X497" s="28" t="s">
        <v>7192</v>
      </c>
      <c r="Y497" s="28" t="s">
        <v>7297</v>
      </c>
      <c r="Z497" s="61"/>
      <c r="AA497" s="60"/>
      <c r="AB497" s="28" t="s">
        <v>7355</v>
      </c>
      <c r="AC497" s="28" t="s">
        <v>1466</v>
      </c>
    </row>
    <row r="498" spans="1:29" s="28" customFormat="1" x14ac:dyDescent="0.25">
      <c r="A498" s="61">
        <v>110070948151</v>
      </c>
      <c r="B498" s="28">
        <v>2022</v>
      </c>
      <c r="C498" s="68">
        <f t="shared" si="7"/>
        <v>44562</v>
      </c>
      <c r="D498" s="28" t="s">
        <v>6862</v>
      </c>
      <c r="E498" s="28" t="s">
        <v>7026</v>
      </c>
      <c r="F498" s="28" t="s">
        <v>657</v>
      </c>
      <c r="G498" s="28" t="s">
        <v>418</v>
      </c>
      <c r="H498" s="28">
        <v>89118</v>
      </c>
      <c r="I498" s="28">
        <v>36.090899999999998</v>
      </c>
      <c r="J498" s="28">
        <v>-115.1833</v>
      </c>
      <c r="L498" s="61">
        <v>110070948151</v>
      </c>
      <c r="M498" s="28" t="s">
        <v>265</v>
      </c>
      <c r="N498" s="28">
        <v>7941</v>
      </c>
      <c r="O498" s="28" t="str">
        <f>IFERROR(VLOOKUP(N498, 'SIC &amp; NAICS Codes'!A:B, 2, FALSE), "")</f>
        <v>Professional Sports Clubs and Promoters (professional sports clubs)</v>
      </c>
      <c r="S498" s="28">
        <v>4.0109124562500001E-2</v>
      </c>
      <c r="T498" s="315">
        <f>_xlfn.MAXIFS('Raw Period DMR Data'!$O:$O,'Raw Period DMR Data'!$A:$A,'Raw Annual DMR Data_2021-2024'!#REF!,'Raw Period DMR Data'!$C:$C,X498)/S498</f>
        <v>0</v>
      </c>
      <c r="U498" s="28" t="str">
        <f>+IF(COUNTIFS('Raw Period DMR Data'!$A:$A,B498,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98" s="28" t="str" cm="1">
        <f t="array" ref="V498">IFERROR(INDEX('Raw Period DMR Data'!N:N,MATCH(1,(B498='Raw Period DMR Data'!$A:$A)*(U498='Raw Period DMR Data'!M:M)*(X498='Raw Period DMR Data'!C:C),0),1), "N/A")</f>
        <v>N/A</v>
      </c>
      <c r="W498" s="28" t="s">
        <v>1463</v>
      </c>
      <c r="X498" s="28" t="s">
        <v>7192</v>
      </c>
      <c r="Y498" s="28" t="s">
        <v>7297</v>
      </c>
      <c r="Z498" s="61"/>
      <c r="AA498" s="60"/>
      <c r="AB498" s="28" t="s">
        <v>7355</v>
      </c>
      <c r="AC498" s="28" t="s">
        <v>1466</v>
      </c>
    </row>
    <row r="499" spans="1:29" s="28" customFormat="1" x14ac:dyDescent="0.25">
      <c r="A499" s="61">
        <v>110006777247</v>
      </c>
      <c r="B499" s="28">
        <v>2022</v>
      </c>
      <c r="C499" s="68">
        <f t="shared" si="7"/>
        <v>44562</v>
      </c>
      <c r="D499" s="28" t="s">
        <v>6839</v>
      </c>
      <c r="E499" s="28" t="s">
        <v>6993</v>
      </c>
      <c r="F499" s="28" t="s">
        <v>6994</v>
      </c>
      <c r="G499" s="28" t="s">
        <v>1171</v>
      </c>
      <c r="H499" s="28">
        <v>96752</v>
      </c>
      <c r="I499" s="28">
        <v>21.994944</v>
      </c>
      <c r="J499" s="28">
        <v>-159.75363899999999</v>
      </c>
      <c r="L499" s="61">
        <v>110006777247</v>
      </c>
      <c r="M499" s="28" t="s">
        <v>265</v>
      </c>
      <c r="N499" s="28">
        <v>913</v>
      </c>
      <c r="O499" s="28" t="str">
        <f>IFERROR(VLOOKUP(N499, 'SIC &amp; NAICS Codes'!A:B, 2, FALSE), "")</f>
        <v>Shellfish</v>
      </c>
      <c r="S499" s="28">
        <v>2.866664375</v>
      </c>
      <c r="T499" s="315">
        <f>_xlfn.MAXIFS('Raw Period DMR Data'!$O:$O,'Raw Period DMR Data'!$A:$A,'Raw Annual DMR Data_2021-2024'!#REF!,'Raw Period DMR Data'!$C:$C,X499)/S499</f>
        <v>0</v>
      </c>
      <c r="U499" s="28" t="str">
        <f>+IF(COUNTIFS('Raw Period DMR Data'!$A:$A,B499,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499" s="28" t="str" cm="1">
        <f t="array" ref="V499">IFERROR(INDEX('Raw Period DMR Data'!N:N,MATCH(1,(B499='Raw Period DMR Data'!$A:$A)*(U499='Raw Period DMR Data'!M:M)*(X499='Raw Period DMR Data'!C:C),0),1), "N/A")</f>
        <v>N/A</v>
      </c>
      <c r="W499" s="28" t="s">
        <v>1463</v>
      </c>
      <c r="X499" s="28" t="s">
        <v>7175</v>
      </c>
      <c r="Y499" s="28" t="s">
        <v>926</v>
      </c>
      <c r="Z499" s="61">
        <v>20070000000003</v>
      </c>
      <c r="AA499" s="60"/>
      <c r="AB499" s="28" t="s">
        <v>7355</v>
      </c>
      <c r="AC499" s="28" t="s">
        <v>1466</v>
      </c>
    </row>
    <row r="500" spans="1:29" s="28" customFormat="1" x14ac:dyDescent="0.25">
      <c r="A500" s="61">
        <v>110006777247</v>
      </c>
      <c r="B500" s="28">
        <v>2023</v>
      </c>
      <c r="C500" s="68">
        <f t="shared" si="7"/>
        <v>44927</v>
      </c>
      <c r="D500" s="28" t="s">
        <v>6839</v>
      </c>
      <c r="E500" s="28" t="s">
        <v>6993</v>
      </c>
      <c r="F500" s="28" t="s">
        <v>6994</v>
      </c>
      <c r="G500" s="28" t="s">
        <v>1171</v>
      </c>
      <c r="H500" s="28">
        <v>96752</v>
      </c>
      <c r="I500" s="28">
        <v>21.994944</v>
      </c>
      <c r="J500" s="28">
        <v>-159.75363899999999</v>
      </c>
      <c r="L500" s="61">
        <v>110006777247</v>
      </c>
      <c r="M500" s="28" t="s">
        <v>265</v>
      </c>
      <c r="N500" s="28">
        <v>913</v>
      </c>
      <c r="O500" s="28" t="str">
        <f>IFERROR(VLOOKUP(N500, 'SIC &amp; NAICS Codes'!A:B, 2, FALSE), "")</f>
        <v>Shellfish</v>
      </c>
      <c r="S500" s="28">
        <v>1.073444925</v>
      </c>
      <c r="T500" s="315">
        <f>_xlfn.MAXIFS('Raw Period DMR Data'!$O:$O,'Raw Period DMR Data'!$A:$A,'Raw Annual DMR Data_2021-2024'!#REF!,'Raw Period DMR Data'!$C:$C,X500)/S500</f>
        <v>0</v>
      </c>
      <c r="U500" s="28" t="str">
        <f>+IF(COUNTIFS('Raw Period DMR Data'!$A:$A,B500,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00" s="28" t="str" cm="1">
        <f t="array" ref="V500">IFERROR(INDEX('Raw Period DMR Data'!N:N,MATCH(1,(B500='Raw Period DMR Data'!$A:$A)*(U500='Raw Period DMR Data'!M:M)*(X500='Raw Period DMR Data'!C:C),0),1), "N/A")</f>
        <v>N/A</v>
      </c>
      <c r="W500" s="28" t="s">
        <v>1463</v>
      </c>
      <c r="X500" s="28" t="s">
        <v>7175</v>
      </c>
      <c r="Y500" s="28" t="s">
        <v>926</v>
      </c>
      <c r="Z500" s="61">
        <v>20070000000003</v>
      </c>
      <c r="AA500" s="60"/>
      <c r="AB500" s="28" t="s">
        <v>7355</v>
      </c>
      <c r="AC500" s="28" t="s">
        <v>1466</v>
      </c>
    </row>
    <row r="501" spans="1:29" s="28" customFormat="1" x14ac:dyDescent="0.25">
      <c r="A501" s="61">
        <v>110006777247</v>
      </c>
      <c r="B501" s="28">
        <v>2024</v>
      </c>
      <c r="C501" s="68">
        <f t="shared" si="7"/>
        <v>45292</v>
      </c>
      <c r="D501" s="28" t="s">
        <v>6839</v>
      </c>
      <c r="E501" s="28" t="s">
        <v>6993</v>
      </c>
      <c r="F501" s="28" t="s">
        <v>6994</v>
      </c>
      <c r="G501" s="28" t="s">
        <v>1171</v>
      </c>
      <c r="H501" s="28">
        <v>96752</v>
      </c>
      <c r="I501" s="28">
        <v>21.994944</v>
      </c>
      <c r="J501" s="28">
        <v>-159.75363899999999</v>
      </c>
      <c r="L501" s="61">
        <v>110006777247</v>
      </c>
      <c r="M501" s="28" t="s">
        <v>265</v>
      </c>
      <c r="N501" s="28">
        <v>913</v>
      </c>
      <c r="O501" s="28" t="str">
        <f>IFERROR(VLOOKUP(N501, 'SIC &amp; NAICS Codes'!A:B, 2, FALSE), "")</f>
        <v>Shellfish</v>
      </c>
      <c r="S501" s="28">
        <v>0.75431265000000003</v>
      </c>
      <c r="T501" s="315">
        <f>_xlfn.MAXIFS('Raw Period DMR Data'!$O:$O,'Raw Period DMR Data'!$A:$A,'Raw Annual DMR Data_2021-2024'!#REF!,'Raw Period DMR Data'!$C:$C,X501)/S501</f>
        <v>0</v>
      </c>
      <c r="U501" s="28" t="str">
        <f>+IF(COUNTIFS('Raw Period DMR Data'!$A:$A,B501,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01" s="28" t="str" cm="1">
        <f t="array" ref="V501">IFERROR(INDEX('Raw Period DMR Data'!N:N,MATCH(1,(B501='Raw Period DMR Data'!$A:$A)*(U501='Raw Period DMR Data'!M:M)*(X501='Raw Period DMR Data'!C:C),0),1), "N/A")</f>
        <v>N/A</v>
      </c>
      <c r="W501" s="28" t="s">
        <v>1463</v>
      </c>
      <c r="X501" s="28" t="s">
        <v>7175</v>
      </c>
      <c r="Y501" s="28" t="s">
        <v>926</v>
      </c>
      <c r="Z501" s="61">
        <v>20070000000003</v>
      </c>
      <c r="AA501" s="60"/>
      <c r="AB501" s="28" t="s">
        <v>7355</v>
      </c>
      <c r="AC501" s="28" t="s">
        <v>1466</v>
      </c>
    </row>
    <row r="502" spans="1:29" s="28" customFormat="1" x14ac:dyDescent="0.25">
      <c r="A502" s="61">
        <v>110006777247</v>
      </c>
      <c r="B502" s="28">
        <v>2021</v>
      </c>
      <c r="C502" s="68">
        <f t="shared" si="7"/>
        <v>44197</v>
      </c>
      <c r="D502" s="28" t="s">
        <v>6839</v>
      </c>
      <c r="E502" s="28" t="s">
        <v>6993</v>
      </c>
      <c r="F502" s="28" t="s">
        <v>6994</v>
      </c>
      <c r="G502" s="28" t="s">
        <v>1171</v>
      </c>
      <c r="H502" s="28">
        <v>96752</v>
      </c>
      <c r="I502" s="28">
        <v>21.994944</v>
      </c>
      <c r="J502" s="28">
        <v>-159.75363899999999</v>
      </c>
      <c r="L502" s="61">
        <v>110006777247</v>
      </c>
      <c r="M502" s="28" t="s">
        <v>265</v>
      </c>
      <c r="N502" s="28">
        <v>913</v>
      </c>
      <c r="O502" s="28" t="str">
        <f>IFERROR(VLOOKUP(N502, 'SIC &amp; NAICS Codes'!A:B, 2, FALSE), "")</f>
        <v>Shellfish</v>
      </c>
      <c r="S502" s="28">
        <v>0.52221645000000005</v>
      </c>
      <c r="T502" s="315">
        <f>_xlfn.MAXIFS('Raw Period DMR Data'!$O:$O,'Raw Period DMR Data'!$A:$A,'Raw Annual DMR Data_2021-2024'!#REF!,'Raw Period DMR Data'!$C:$C,X502)/S502</f>
        <v>0</v>
      </c>
      <c r="U502" s="28" t="str">
        <f>+IF(COUNTIFS('Raw Period DMR Data'!$A:$A,B502,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02" s="28" t="str" cm="1">
        <f t="array" ref="V502">IFERROR(INDEX('Raw Period DMR Data'!N:N,MATCH(1,(B502='Raw Period DMR Data'!$A:$A)*(U502='Raw Period DMR Data'!M:M)*(X502='Raw Period DMR Data'!C:C),0),1), "N/A")</f>
        <v>N/A</v>
      </c>
      <c r="W502" s="28" t="s">
        <v>1463</v>
      </c>
      <c r="X502" s="28" t="s">
        <v>7175</v>
      </c>
      <c r="Y502" s="28" t="s">
        <v>926</v>
      </c>
      <c r="Z502" s="61">
        <v>20070000000003</v>
      </c>
      <c r="AB502" s="28" t="s">
        <v>7355</v>
      </c>
      <c r="AC502" s="28" t="s">
        <v>1466</v>
      </c>
    </row>
    <row r="503" spans="1:29" s="28" customFormat="1" x14ac:dyDescent="0.25">
      <c r="A503" s="61">
        <v>110071427202</v>
      </c>
      <c r="B503" s="28">
        <v>2023</v>
      </c>
      <c r="C503" s="68">
        <f t="shared" si="7"/>
        <v>44927</v>
      </c>
      <c r="D503" s="28" t="s">
        <v>6906</v>
      </c>
      <c r="E503" s="28" t="s">
        <v>7107</v>
      </c>
      <c r="F503" s="28" t="s">
        <v>1125</v>
      </c>
      <c r="G503" s="28" t="s">
        <v>294</v>
      </c>
      <c r="H503" s="28">
        <v>22041</v>
      </c>
      <c r="I503" s="28">
        <v>38.848126999999998</v>
      </c>
      <c r="J503" s="28">
        <v>-77.132767999999999</v>
      </c>
      <c r="L503" s="61">
        <v>110071427202</v>
      </c>
      <c r="M503" s="28" t="s">
        <v>265</v>
      </c>
      <c r="N503" s="28">
        <v>1794</v>
      </c>
      <c r="O503" s="28" t="str">
        <f>IFERROR(VLOOKUP(N503, 'SIC &amp; NAICS Codes'!A:B, 2, FALSE), "")</f>
        <v>Excavation Work</v>
      </c>
      <c r="S503" s="28">
        <v>1.0137744E-3</v>
      </c>
      <c r="T503" s="315">
        <f>_xlfn.MAXIFS('Raw Period DMR Data'!$O:$O,'Raw Period DMR Data'!$A:$A,'Raw Annual DMR Data_2021-2024'!#REF!,'Raw Period DMR Data'!$C:$C,X503)/S503</f>
        <v>0</v>
      </c>
      <c r="U503" s="28" t="str">
        <f>+IF(COUNTIFS('Raw Period DMR Data'!$A:$A,B503,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03" s="28" t="str" cm="1">
        <f t="array" ref="V503">IFERROR(INDEX('Raw Period DMR Data'!N:N,MATCH(1,(B503='Raw Period DMR Data'!$A:$A)*(U503='Raw Period DMR Data'!M:M)*(X503='Raw Period DMR Data'!C:C),0),1), "N/A")</f>
        <v>N/A</v>
      </c>
      <c r="W503" s="28" t="s">
        <v>1463</v>
      </c>
      <c r="X503" s="28" t="s">
        <v>7236</v>
      </c>
      <c r="Y503" s="28" t="s">
        <v>1788</v>
      </c>
      <c r="Z503" s="61"/>
      <c r="AA503" s="60"/>
      <c r="AB503" s="28" t="s">
        <v>7355</v>
      </c>
      <c r="AC503" s="28" t="s">
        <v>1466</v>
      </c>
    </row>
    <row r="504" spans="1:29" s="28" customFormat="1" x14ac:dyDescent="0.25">
      <c r="A504" s="61">
        <v>110071298200</v>
      </c>
      <c r="B504" s="28">
        <v>2022</v>
      </c>
      <c r="C504" s="68">
        <f t="shared" si="7"/>
        <v>44562</v>
      </c>
      <c r="D504" s="28" t="s">
        <v>6888</v>
      </c>
      <c r="E504" s="28" t="s">
        <v>7067</v>
      </c>
      <c r="F504" s="28" t="s">
        <v>1255</v>
      </c>
      <c r="G504" s="28" t="s">
        <v>366</v>
      </c>
      <c r="H504" s="28">
        <v>93041</v>
      </c>
      <c r="I504" s="28">
        <v>34.144888999999999</v>
      </c>
      <c r="J504" s="28">
        <v>-119.2105</v>
      </c>
      <c r="L504" s="61">
        <v>110071298200</v>
      </c>
      <c r="M504" s="28" t="s">
        <v>265</v>
      </c>
      <c r="N504" s="28">
        <v>273</v>
      </c>
      <c r="O504" s="28" t="str">
        <f>IFERROR(VLOOKUP(N504, 'SIC &amp; NAICS Codes'!A:B, 2, FALSE), "")</f>
        <v>Animal Aquaculture (finfish farms)</v>
      </c>
      <c r="S504" s="28">
        <v>1.3131809582499999E-3</v>
      </c>
      <c r="T504" s="315">
        <f>_xlfn.MAXIFS('Raw Period DMR Data'!$O:$O,'Raw Period DMR Data'!$A:$A,'Raw Annual DMR Data_2021-2024'!#REF!,'Raw Period DMR Data'!$C:$C,X504)/S504</f>
        <v>0</v>
      </c>
      <c r="U504" s="28" t="str">
        <f>+IF(COUNTIFS('Raw Period DMR Data'!$A:$A,B504,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04" s="28" t="str" cm="1">
        <f t="array" ref="V504">IFERROR(INDEX('Raw Period DMR Data'!N:N,MATCH(1,(B504='Raw Period DMR Data'!$A:$A)*(U504='Raw Period DMR Data'!M:M)*(X504='Raw Period DMR Data'!C:C),0),1), "N/A")</f>
        <v>N/A</v>
      </c>
      <c r="W504" s="28" t="s">
        <v>1463</v>
      </c>
      <c r="X504" s="28" t="s">
        <v>7214</v>
      </c>
      <c r="Y504" s="28" t="s">
        <v>2045</v>
      </c>
      <c r="Z504" s="61"/>
      <c r="AA504" s="60"/>
      <c r="AC504" s="28" t="s">
        <v>1466</v>
      </c>
    </row>
    <row r="505" spans="1:29" s="28" customFormat="1" x14ac:dyDescent="0.25">
      <c r="A505" s="61">
        <v>110071426286</v>
      </c>
      <c r="B505" s="28">
        <v>2023</v>
      </c>
      <c r="C505" s="68">
        <f t="shared" si="7"/>
        <v>44927</v>
      </c>
      <c r="D505" s="28" t="s">
        <v>6891</v>
      </c>
      <c r="E505" s="28" t="s">
        <v>7073</v>
      </c>
      <c r="F505" s="28" t="s">
        <v>1403</v>
      </c>
      <c r="G505" s="28" t="s">
        <v>294</v>
      </c>
      <c r="H505" s="28">
        <v>23451</v>
      </c>
      <c r="I505" s="28">
        <v>36.847284999999999</v>
      </c>
      <c r="J505" s="28">
        <v>-75.980485000000002</v>
      </c>
      <c r="L505" s="61">
        <v>110071426286</v>
      </c>
      <c r="M505" s="28" t="s">
        <v>265</v>
      </c>
      <c r="N505" s="28">
        <v>1799</v>
      </c>
      <c r="O505" s="28" t="str">
        <f>IFERROR(VLOOKUP(N505, 'SIC &amp; NAICS Codes'!A:B, 2, FALSE), "")</f>
        <v>Special Trade Contractors, NEC (indoor swimming pool construction contractors)</v>
      </c>
      <c r="S505" s="28">
        <v>0.384737374188654</v>
      </c>
      <c r="T505" s="315">
        <f>_xlfn.MAXIFS('Raw Period DMR Data'!$O:$O,'Raw Period DMR Data'!$A:$A,'Raw Annual DMR Data_2021-2024'!#REF!,'Raw Period DMR Data'!$C:$C,X505)/S505</f>
        <v>0</v>
      </c>
      <c r="U505" s="28" t="str">
        <f>+IF(COUNTIFS('Raw Period DMR Data'!$A:$A,B505,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05" s="28" t="str" cm="1">
        <f t="array" ref="V505">IFERROR(INDEX('Raw Period DMR Data'!N:N,MATCH(1,(B505='Raw Period DMR Data'!$A:$A)*(U505='Raw Period DMR Data'!M:M)*(X505='Raw Period DMR Data'!C:C),0),1), "N/A")</f>
        <v>N/A</v>
      </c>
      <c r="W505" s="28" t="s">
        <v>1463</v>
      </c>
      <c r="X505" s="28" t="s">
        <v>7218</v>
      </c>
      <c r="Y505" s="28" t="s">
        <v>7313</v>
      </c>
      <c r="Z505" s="61"/>
      <c r="AA505" s="60" t="s">
        <v>7355</v>
      </c>
      <c r="AB505" s="28" t="s">
        <v>7355</v>
      </c>
      <c r="AC505" s="28" t="s">
        <v>1466</v>
      </c>
    </row>
    <row r="506" spans="1:29" s="28" customFormat="1" x14ac:dyDescent="0.25">
      <c r="A506" s="61">
        <v>110071426286</v>
      </c>
      <c r="B506" s="28">
        <v>2024</v>
      </c>
      <c r="C506" s="68">
        <f t="shared" si="7"/>
        <v>45292</v>
      </c>
      <c r="D506" s="28" t="s">
        <v>6891</v>
      </c>
      <c r="E506" s="28" t="s">
        <v>7073</v>
      </c>
      <c r="F506" s="28" t="s">
        <v>1403</v>
      </c>
      <c r="G506" s="28" t="s">
        <v>294</v>
      </c>
      <c r="H506" s="28">
        <v>23451</v>
      </c>
      <c r="I506" s="28">
        <v>36.847284999999999</v>
      </c>
      <c r="J506" s="28">
        <v>-75.980485000000002</v>
      </c>
      <c r="L506" s="61">
        <v>110071426286</v>
      </c>
      <c r="M506" s="28" t="s">
        <v>265</v>
      </c>
      <c r="N506" s="28">
        <v>1799</v>
      </c>
      <c r="O506" s="28" t="str">
        <f>IFERROR(VLOOKUP(N506, 'SIC &amp; NAICS Codes'!A:B, 2, FALSE), "")</f>
        <v>Special Trade Contractors, NEC (indoor swimming pool construction contractors)</v>
      </c>
      <c r="S506" s="28">
        <v>1.3800412800000001E-7</v>
      </c>
      <c r="T506" s="315">
        <f>_xlfn.MAXIFS('Raw Period DMR Data'!$O:$O,'Raw Period DMR Data'!$A:$A,'Raw Annual DMR Data_2021-2024'!#REF!,'Raw Period DMR Data'!$C:$C,X506)/S506</f>
        <v>0</v>
      </c>
      <c r="U506" s="28" t="str">
        <f>+IF(COUNTIFS('Raw Period DMR Data'!$A:$A,B506,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06" s="28" t="str" cm="1">
        <f t="array" ref="V506">IFERROR(INDEX('Raw Period DMR Data'!N:N,MATCH(1,(B506='Raw Period DMR Data'!$A:$A)*(U506='Raw Period DMR Data'!M:M)*(X506='Raw Period DMR Data'!C:C),0),1), "N/A")</f>
        <v>N/A</v>
      </c>
      <c r="W506" s="28" t="s">
        <v>1463</v>
      </c>
      <c r="X506" s="28" t="s">
        <v>7218</v>
      </c>
      <c r="Y506" s="28" t="s">
        <v>7313</v>
      </c>
      <c r="Z506" s="61"/>
      <c r="AA506" s="60"/>
      <c r="AB506" s="28" t="s">
        <v>7355</v>
      </c>
      <c r="AC506" s="28" t="s">
        <v>1466</v>
      </c>
    </row>
    <row r="507" spans="1:29" s="28" customFormat="1" x14ac:dyDescent="0.25">
      <c r="A507" s="61">
        <v>110056125376</v>
      </c>
      <c r="B507" s="28">
        <v>2023</v>
      </c>
      <c r="C507" s="68">
        <f t="shared" si="7"/>
        <v>44927</v>
      </c>
      <c r="D507" s="28" t="s">
        <v>6825</v>
      </c>
      <c r="E507" s="28" t="s">
        <v>6980</v>
      </c>
      <c r="F507" s="28" t="s">
        <v>1228</v>
      </c>
      <c r="G507" s="28" t="s">
        <v>1128</v>
      </c>
      <c r="H507" s="28">
        <v>80202</v>
      </c>
      <c r="I507" s="28">
        <v>39.754530000000003</v>
      </c>
      <c r="J507" s="28">
        <v>-105.00681</v>
      </c>
      <c r="L507" s="61">
        <v>110056125376</v>
      </c>
      <c r="M507" s="28" t="s">
        <v>265</v>
      </c>
      <c r="N507" s="28">
        <v>1799</v>
      </c>
      <c r="O507" s="28" t="str">
        <f>IFERROR(VLOOKUP(N507, 'SIC &amp; NAICS Codes'!A:B, 2, FALSE), "")</f>
        <v>Special Trade Contractors, NEC (indoor swimming pool construction contractors)</v>
      </c>
      <c r="S507" s="28">
        <v>6.5169751499999998E-3</v>
      </c>
      <c r="T507" s="315">
        <f>_xlfn.MAXIFS('Raw Period DMR Data'!$O:$O,'Raw Period DMR Data'!$A:$A,'Raw Annual DMR Data_2021-2024'!#REF!,'Raw Period DMR Data'!$C:$C,X507)/S507</f>
        <v>0</v>
      </c>
      <c r="U507" s="28" t="str">
        <f>+IF(COUNTIFS('Raw Period DMR Data'!$A:$A,B507,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07" s="28" t="str" cm="1">
        <f t="array" ref="V507">IFERROR(INDEX('Raw Period DMR Data'!N:N,MATCH(1,(B507='Raw Period DMR Data'!$A:$A)*(U507='Raw Period DMR Data'!M:M)*(X507='Raw Period DMR Data'!C:C),0),1), "N/A")</f>
        <v>N/A</v>
      </c>
      <c r="W507" s="28" t="s">
        <v>1463</v>
      </c>
      <c r="X507" s="28" t="s">
        <v>7166</v>
      </c>
      <c r="Y507" s="28" t="s">
        <v>1965</v>
      </c>
      <c r="Z507" s="61">
        <v>10190003001175</v>
      </c>
      <c r="AA507" s="60"/>
      <c r="AB507" s="28" t="s">
        <v>7355</v>
      </c>
      <c r="AC507" s="28" t="s">
        <v>1466</v>
      </c>
    </row>
    <row r="508" spans="1:29" s="28" customFormat="1" x14ac:dyDescent="0.25">
      <c r="A508" s="61">
        <v>110056125376</v>
      </c>
      <c r="B508" s="28">
        <v>2024</v>
      </c>
      <c r="C508" s="68">
        <f t="shared" si="7"/>
        <v>45292</v>
      </c>
      <c r="D508" s="28" t="s">
        <v>6825</v>
      </c>
      <c r="E508" s="28" t="s">
        <v>6980</v>
      </c>
      <c r="F508" s="28" t="s">
        <v>1228</v>
      </c>
      <c r="G508" s="28" t="s">
        <v>1128</v>
      </c>
      <c r="H508" s="28">
        <v>80202</v>
      </c>
      <c r="I508" s="28">
        <v>39.754530000000003</v>
      </c>
      <c r="J508" s="28">
        <v>-105.00681</v>
      </c>
      <c r="L508" s="61">
        <v>110056125376</v>
      </c>
      <c r="M508" s="28" t="s">
        <v>265</v>
      </c>
      <c r="N508" s="28">
        <v>1799</v>
      </c>
      <c r="O508" s="28" t="str">
        <f>IFERROR(VLOOKUP(N508, 'SIC &amp; NAICS Codes'!A:B, 2, FALSE), "")</f>
        <v>Special Trade Contractors, NEC (indoor swimming pool construction contractors)</v>
      </c>
      <c r="S508" s="28">
        <v>4.4120609500000003E-3</v>
      </c>
      <c r="T508" s="315">
        <f>_xlfn.MAXIFS('Raw Period DMR Data'!$O:$O,'Raw Period DMR Data'!$A:$A,'Raw Annual DMR Data_2021-2024'!#REF!,'Raw Period DMR Data'!$C:$C,X508)/S508</f>
        <v>0</v>
      </c>
      <c r="U508" s="28" t="str">
        <f>+IF(COUNTIFS('Raw Period DMR Data'!$A:$A,B508,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08" s="28" t="str" cm="1">
        <f t="array" ref="V508">IFERROR(INDEX('Raw Period DMR Data'!N:N,MATCH(1,(B508='Raw Period DMR Data'!$A:$A)*(U508='Raw Period DMR Data'!M:M)*(X508='Raw Period DMR Data'!C:C),0),1), "N/A")</f>
        <v>N/A</v>
      </c>
      <c r="W508" s="28" t="s">
        <v>1463</v>
      </c>
      <c r="X508" s="28" t="s">
        <v>7166</v>
      </c>
      <c r="Y508" s="28" t="s">
        <v>1965</v>
      </c>
      <c r="Z508" s="61">
        <v>10190003001175</v>
      </c>
      <c r="AA508" s="60"/>
      <c r="AB508" s="28" t="s">
        <v>7355</v>
      </c>
      <c r="AC508" s="28" t="s">
        <v>1466</v>
      </c>
    </row>
    <row r="509" spans="1:29" s="28" customFormat="1" x14ac:dyDescent="0.25">
      <c r="A509" s="61">
        <v>110056125376</v>
      </c>
      <c r="B509" s="28">
        <v>2022</v>
      </c>
      <c r="C509" s="68">
        <f t="shared" si="7"/>
        <v>44562</v>
      </c>
      <c r="D509" s="28" t="s">
        <v>6825</v>
      </c>
      <c r="E509" s="28" t="s">
        <v>6980</v>
      </c>
      <c r="F509" s="28" t="s">
        <v>1228</v>
      </c>
      <c r="G509" s="28" t="s">
        <v>1128</v>
      </c>
      <c r="H509" s="28">
        <v>80202</v>
      </c>
      <c r="I509" s="28">
        <v>39.754530000000003</v>
      </c>
      <c r="J509" s="28">
        <v>-105.00681</v>
      </c>
      <c r="L509" s="61">
        <v>110056125376</v>
      </c>
      <c r="M509" s="28" t="s">
        <v>265</v>
      </c>
      <c r="N509" s="28">
        <v>1799</v>
      </c>
      <c r="O509" s="28" t="str">
        <f>IFERROR(VLOOKUP(N509, 'SIC &amp; NAICS Codes'!A:B, 2, FALSE), "")</f>
        <v>Special Trade Contractors, NEC (indoor swimming pool construction contractors)</v>
      </c>
      <c r="S509" s="28">
        <v>4.1150330749999998E-3</v>
      </c>
      <c r="T509" s="315">
        <f>_xlfn.MAXIFS('Raw Period DMR Data'!$O:$O,'Raw Period DMR Data'!$A:$A,'Raw Annual DMR Data_2021-2024'!#REF!,'Raw Period DMR Data'!$C:$C,X509)/S509</f>
        <v>0</v>
      </c>
      <c r="U509" s="28" t="str">
        <f>+IF(COUNTIFS('Raw Period DMR Data'!$A:$A,B509,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09" s="28" t="str" cm="1">
        <f t="array" ref="V509">IFERROR(INDEX('Raw Period DMR Data'!N:N,MATCH(1,(B509='Raw Period DMR Data'!$A:$A)*(U509='Raw Period DMR Data'!M:M)*(X509='Raw Period DMR Data'!C:C),0),1), "N/A")</f>
        <v>N/A</v>
      </c>
      <c r="W509" s="28" t="s">
        <v>1463</v>
      </c>
      <c r="X509" s="28" t="s">
        <v>7166</v>
      </c>
      <c r="Y509" s="28" t="s">
        <v>1965</v>
      </c>
      <c r="Z509" s="61">
        <v>10190003001175</v>
      </c>
      <c r="AA509" s="60"/>
      <c r="AB509" s="28" t="s">
        <v>7355</v>
      </c>
      <c r="AC509" s="28" t="s">
        <v>1466</v>
      </c>
    </row>
    <row r="510" spans="1:29" s="28" customFormat="1" x14ac:dyDescent="0.25">
      <c r="A510" s="61">
        <v>110056125376</v>
      </c>
      <c r="B510" s="28">
        <v>2021</v>
      </c>
      <c r="C510" s="68">
        <f t="shared" si="7"/>
        <v>44197</v>
      </c>
      <c r="D510" s="28" t="s">
        <v>6825</v>
      </c>
      <c r="E510" s="28" t="s">
        <v>6980</v>
      </c>
      <c r="F510" s="28" t="s">
        <v>1228</v>
      </c>
      <c r="G510" s="28" t="s">
        <v>1128</v>
      </c>
      <c r="H510" s="28">
        <v>80202</v>
      </c>
      <c r="I510" s="28">
        <v>39.754530000000003</v>
      </c>
      <c r="J510" s="28">
        <v>-105.00681</v>
      </c>
      <c r="L510" s="61">
        <v>110056125376</v>
      </c>
      <c r="M510" s="28" t="s">
        <v>265</v>
      </c>
      <c r="N510" s="28">
        <v>1799</v>
      </c>
      <c r="O510" s="28" t="str">
        <f>IFERROR(VLOOKUP(N510, 'SIC &amp; NAICS Codes'!A:B, 2, FALSE), "")</f>
        <v>Special Trade Contractors, NEC (indoor swimming pool construction contractors)</v>
      </c>
      <c r="S510" s="28">
        <v>1.0063558000000001E-3</v>
      </c>
      <c r="T510" s="315">
        <f>_xlfn.MAXIFS('Raw Period DMR Data'!$O:$O,'Raw Period DMR Data'!$A:$A,'Raw Annual DMR Data_2021-2024'!#REF!,'Raw Period DMR Data'!$C:$C,X510)/S510</f>
        <v>0</v>
      </c>
      <c r="U510" s="28" t="str">
        <f>+IF(COUNTIFS('Raw Period DMR Data'!$A:$A,B510,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10" s="28" t="str" cm="1">
        <f t="array" ref="V510">IFERROR(INDEX('Raw Period DMR Data'!N:N,MATCH(1,(B510='Raw Period DMR Data'!$A:$A)*(U510='Raw Period DMR Data'!M:M)*(X510='Raw Period DMR Data'!C:C),0),1), "N/A")</f>
        <v>N/A</v>
      </c>
      <c r="W510" s="28" t="s">
        <v>1463</v>
      </c>
      <c r="X510" s="28" t="s">
        <v>7166</v>
      </c>
      <c r="Y510" s="28" t="s">
        <v>1965</v>
      </c>
      <c r="Z510" s="61">
        <v>10190003001175</v>
      </c>
      <c r="AB510" s="28" t="s">
        <v>7355</v>
      </c>
      <c r="AC510" s="28" t="s">
        <v>1466</v>
      </c>
    </row>
    <row r="511" spans="1:29" s="28" customFormat="1" x14ac:dyDescent="0.25">
      <c r="A511" s="61">
        <v>110071446922</v>
      </c>
      <c r="B511" s="28">
        <v>2023</v>
      </c>
      <c r="C511" s="68">
        <f t="shared" si="7"/>
        <v>44927</v>
      </c>
      <c r="D511" s="28" t="s">
        <v>6898</v>
      </c>
      <c r="E511" s="28" t="s">
        <v>7090</v>
      </c>
      <c r="F511" s="28" t="s">
        <v>7071</v>
      </c>
      <c r="G511" s="28" t="s">
        <v>294</v>
      </c>
      <c r="H511" s="28">
        <v>23510</v>
      </c>
      <c r="I511" s="28">
        <v>36.860309999999998</v>
      </c>
      <c r="J511" s="28">
        <v>-76.286709000000002</v>
      </c>
      <c r="L511" s="61">
        <v>110071446922</v>
      </c>
      <c r="M511" s="28" t="s">
        <v>265</v>
      </c>
      <c r="N511" s="28">
        <v>1799</v>
      </c>
      <c r="O511" s="28" t="str">
        <f>IFERROR(VLOOKUP(N511, 'SIC &amp; NAICS Codes'!A:B, 2, FALSE), "")</f>
        <v>Special Trade Contractors, NEC (indoor swimming pool construction contractors)</v>
      </c>
      <c r="S511" s="28">
        <v>6.4182244999999999E-3</v>
      </c>
      <c r="T511" s="315">
        <f>_xlfn.MAXIFS('Raw Period DMR Data'!$O:$O,'Raw Period DMR Data'!$A:$A,'Raw Annual DMR Data_2021-2024'!#REF!,'Raw Period DMR Data'!$C:$C,X511)/S511</f>
        <v>0</v>
      </c>
      <c r="U511" s="28" t="str">
        <f>+IF(COUNTIFS('Raw Period DMR Data'!$A:$A,B511,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11" s="28" t="str" cm="1">
        <f t="array" ref="V511">IFERROR(INDEX('Raw Period DMR Data'!N:N,MATCH(1,(B511='Raw Period DMR Data'!$A:$A)*(U511='Raw Period DMR Data'!M:M)*(X511='Raw Period DMR Data'!C:C),0),1), "N/A")</f>
        <v>N/A</v>
      </c>
      <c r="W511" s="28" t="s">
        <v>1463</v>
      </c>
      <c r="X511" s="28" t="s">
        <v>7227</v>
      </c>
      <c r="Y511" s="28" t="s">
        <v>7318</v>
      </c>
      <c r="Z511" s="61"/>
      <c r="AA511" s="60"/>
      <c r="AB511" s="28" t="s">
        <v>7355</v>
      </c>
      <c r="AC511" s="28" t="s">
        <v>1466</v>
      </c>
    </row>
    <row r="512" spans="1:29" s="28" customFormat="1" x14ac:dyDescent="0.25">
      <c r="A512" s="61">
        <v>110071076435</v>
      </c>
      <c r="B512" s="28">
        <v>2022</v>
      </c>
      <c r="C512" s="68">
        <f t="shared" si="7"/>
        <v>44562</v>
      </c>
      <c r="D512" s="28" t="s">
        <v>6824</v>
      </c>
      <c r="E512" s="28" t="s">
        <v>6979</v>
      </c>
      <c r="F512" s="28" t="s">
        <v>1403</v>
      </c>
      <c r="G512" s="28" t="s">
        <v>294</v>
      </c>
      <c r="H512" s="28">
        <v>23451</v>
      </c>
      <c r="I512" s="28">
        <v>36.840694999999997</v>
      </c>
      <c r="J512" s="28">
        <v>-75.984082999999998</v>
      </c>
      <c r="L512" s="61">
        <v>110071076435</v>
      </c>
      <c r="M512" s="28" t="s">
        <v>265</v>
      </c>
      <c r="N512" s="28">
        <v>1799</v>
      </c>
      <c r="O512" s="28" t="str">
        <f>IFERROR(VLOOKUP(N512, 'SIC &amp; NAICS Codes'!A:B, 2, FALSE), "")</f>
        <v>Special Trade Contractors, NEC (indoor swimming pool construction contractors)</v>
      </c>
      <c r="S512" s="28">
        <v>2.3338215375E-4</v>
      </c>
      <c r="T512" s="315">
        <f>_xlfn.MAXIFS('Raw Period DMR Data'!$O:$O,'Raw Period DMR Data'!$A:$A,'Raw Annual DMR Data_2021-2024'!#REF!,'Raw Period DMR Data'!$C:$C,X512)/S512</f>
        <v>0</v>
      </c>
      <c r="U512" s="28" t="str">
        <f>+IF(COUNTIFS('Raw Period DMR Data'!$A:$A,B512,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12" s="28" t="str" cm="1">
        <f t="array" ref="V512">IFERROR(INDEX('Raw Period DMR Data'!N:N,MATCH(1,(B512='Raw Period DMR Data'!$A:$A)*(U512='Raw Period DMR Data'!M:M)*(X512='Raw Period DMR Data'!C:C),0),1), "N/A")</f>
        <v>N/A</v>
      </c>
      <c r="W512" s="28" t="s">
        <v>1463</v>
      </c>
      <c r="X512" s="28" t="s">
        <v>7165</v>
      </c>
      <c r="Y512" s="28" t="s">
        <v>7279</v>
      </c>
      <c r="Z512" s="61"/>
      <c r="AA512" s="60"/>
      <c r="AB512" s="28" t="s">
        <v>7355</v>
      </c>
      <c r="AC512" s="28" t="s">
        <v>1466</v>
      </c>
    </row>
    <row r="513" spans="1:29" s="28" customFormat="1" x14ac:dyDescent="0.25">
      <c r="A513" s="61">
        <v>110070828339</v>
      </c>
      <c r="B513" s="28">
        <v>2021</v>
      </c>
      <c r="C513" s="68">
        <f t="shared" si="7"/>
        <v>44197</v>
      </c>
      <c r="D513" s="28" t="s">
        <v>984</v>
      </c>
      <c r="E513" s="28" t="s">
        <v>6995</v>
      </c>
      <c r="F513" s="28" t="s">
        <v>985</v>
      </c>
      <c r="G513" s="28" t="s">
        <v>979</v>
      </c>
      <c r="H513" s="28">
        <v>37660</v>
      </c>
      <c r="I513" s="28">
        <v>36.550454999999999</v>
      </c>
      <c r="J513" s="28">
        <v>-82.634793999999999</v>
      </c>
      <c r="L513" s="61">
        <v>110070828339</v>
      </c>
      <c r="M513" s="28" t="s">
        <v>265</v>
      </c>
      <c r="N513" s="28">
        <v>2892</v>
      </c>
      <c r="O513" s="28" t="str">
        <f>IFERROR(VLOOKUP(N513, 'SIC &amp; NAICS Codes'!A:B, 2, FALSE), "")</f>
        <v>Explosives</v>
      </c>
      <c r="S513" s="28">
        <v>0.24856500000000001</v>
      </c>
      <c r="T513" s="315">
        <f>_xlfn.MAXIFS('Raw Period DMR Data'!$O:$O,'Raw Period DMR Data'!$A:$A,'Raw Annual DMR Data_2021-2024'!#REF!,'Raw Period DMR Data'!$C:$C,X513)/S513</f>
        <v>0</v>
      </c>
      <c r="U513" s="28" t="str">
        <f>+IF(COUNTIFS('Raw Period DMR Data'!$A:$A,B513,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13" s="28" t="str" cm="1">
        <f t="array" ref="V513">IFERROR(INDEX('Raw Period DMR Data'!N:N,MATCH(1,(B513='Raw Period DMR Data'!$A:$A)*(U513='Raw Period DMR Data'!M:M)*(X513='Raw Period DMR Data'!C:C),0),1), "N/A")</f>
        <v>N/A</v>
      </c>
      <c r="W513" s="28" t="s">
        <v>1463</v>
      </c>
      <c r="X513" s="28" t="s">
        <v>1506</v>
      </c>
      <c r="Y513" s="28" t="s">
        <v>1507</v>
      </c>
      <c r="Z513" s="61">
        <v>6010104000630</v>
      </c>
      <c r="AB513" s="28" t="s">
        <v>7355</v>
      </c>
      <c r="AC513" s="28" t="s">
        <v>7356</v>
      </c>
    </row>
    <row r="514" spans="1:29" s="28" customFormat="1" x14ac:dyDescent="0.25">
      <c r="A514" s="61">
        <v>110000378467</v>
      </c>
      <c r="B514" s="28">
        <v>2023</v>
      </c>
      <c r="C514" s="68">
        <f t="shared" ref="C514:C577" si="8">DATE(B514, 1, 1)</f>
        <v>44927</v>
      </c>
      <c r="D514" s="28" t="s">
        <v>986</v>
      </c>
      <c r="E514" s="28" t="s">
        <v>1508</v>
      </c>
      <c r="F514" s="28" t="s">
        <v>987</v>
      </c>
      <c r="G514" s="28" t="s">
        <v>324</v>
      </c>
      <c r="H514" s="28">
        <v>402162137</v>
      </c>
      <c r="I514" s="28">
        <v>38.195278000000002</v>
      </c>
      <c r="J514" s="28">
        <v>-85.872221999999994</v>
      </c>
      <c r="K514" s="28" t="s">
        <v>701</v>
      </c>
      <c r="L514" s="61">
        <v>110000378467</v>
      </c>
      <c r="M514" s="28" t="s">
        <v>265</v>
      </c>
      <c r="N514" s="28">
        <v>2869</v>
      </c>
      <c r="O514" s="28" t="str">
        <f>IFERROR(VLOOKUP(N514, 'SIC &amp; NAICS Codes'!A:B, 2, FALSE), "")</f>
        <v>Industrial Organic Chemicals, NEC (aliphatics)</v>
      </c>
      <c r="S514" s="28">
        <v>0.91140500000000002</v>
      </c>
      <c r="T514" s="315">
        <f>_xlfn.MAXIFS('Raw Period DMR Data'!$O:$O,'Raw Period DMR Data'!$A:$A,'Raw Annual DMR Data_2021-2024'!#REF!,'Raw Period DMR Data'!$C:$C,X514)/S514</f>
        <v>0</v>
      </c>
      <c r="U514" s="28" t="str">
        <f>+IF(COUNTIFS('Raw Period DMR Data'!$A:$A,B514,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14" s="28" t="str" cm="1">
        <f t="array" ref="V514">IFERROR(INDEX('Raw Period DMR Data'!N:N,MATCH(1,(B514='Raw Period DMR Data'!$A:$A)*(U514='Raw Period DMR Data'!M:M)*(X514='Raw Period DMR Data'!C:C),0),1), "N/A")</f>
        <v>N/A</v>
      </c>
      <c r="W514" s="28" t="s">
        <v>1463</v>
      </c>
      <c r="X514" s="28" t="s">
        <v>1509</v>
      </c>
      <c r="Y514" s="28" t="s">
        <v>830</v>
      </c>
      <c r="Z514" s="61" t="s">
        <v>1510</v>
      </c>
      <c r="AA514" s="60"/>
      <c r="AB514" s="28" t="s">
        <v>7355</v>
      </c>
      <c r="AC514" s="28" t="s">
        <v>1466</v>
      </c>
    </row>
    <row r="515" spans="1:29" s="28" customFormat="1" x14ac:dyDescent="0.25">
      <c r="A515" s="61">
        <v>110000378467</v>
      </c>
      <c r="B515" s="28">
        <v>2021</v>
      </c>
      <c r="C515" s="68">
        <f t="shared" si="8"/>
        <v>44197</v>
      </c>
      <c r="D515" s="28" t="s">
        <v>986</v>
      </c>
      <c r="E515" s="28" t="s">
        <v>1508</v>
      </c>
      <c r="F515" s="28" t="s">
        <v>987</v>
      </c>
      <c r="G515" s="28" t="s">
        <v>324</v>
      </c>
      <c r="H515" s="28">
        <v>402162137</v>
      </c>
      <c r="I515" s="28">
        <v>38.195278000000002</v>
      </c>
      <c r="J515" s="28">
        <v>-85.872221999999994</v>
      </c>
      <c r="K515" s="28" t="s">
        <v>701</v>
      </c>
      <c r="L515" s="61">
        <v>110000378467</v>
      </c>
      <c r="M515" s="28" t="s">
        <v>265</v>
      </c>
      <c r="N515" s="28">
        <v>2869</v>
      </c>
      <c r="O515" s="28" t="str">
        <f>IFERROR(VLOOKUP(N515, 'SIC &amp; NAICS Codes'!A:B, 2, FALSE), "")</f>
        <v>Industrial Organic Chemicals, NEC (aliphatics)</v>
      </c>
      <c r="S515" s="28">
        <v>0.24856500000000001</v>
      </c>
      <c r="T515" s="315">
        <f>_xlfn.MAXIFS('Raw Period DMR Data'!$O:$O,'Raw Period DMR Data'!$A:$A,'Raw Annual DMR Data_2021-2024'!#REF!,'Raw Period DMR Data'!$C:$C,X515)/S515</f>
        <v>0</v>
      </c>
      <c r="U515" s="28" t="str">
        <f>+IF(COUNTIFS('Raw Period DMR Data'!$A:$A,B515,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15" s="28" t="str" cm="1">
        <f t="array" ref="V515">IFERROR(INDEX('Raw Period DMR Data'!N:N,MATCH(1,(B515='Raw Period DMR Data'!$A:$A)*(U515='Raw Period DMR Data'!M:M)*(X515='Raw Period DMR Data'!C:C),0),1), "N/A")</f>
        <v>N/A</v>
      </c>
      <c r="W515" s="28" t="s">
        <v>1463</v>
      </c>
      <c r="X515" s="28" t="s">
        <v>1509</v>
      </c>
      <c r="Y515" s="28" t="s">
        <v>830</v>
      </c>
      <c r="Z515" s="61">
        <v>5140101000007</v>
      </c>
      <c r="AB515" s="28" t="s">
        <v>7355</v>
      </c>
      <c r="AC515" s="28" t="s">
        <v>1466</v>
      </c>
    </row>
    <row r="516" spans="1:29" s="28" customFormat="1" x14ac:dyDescent="0.25">
      <c r="A516" s="61">
        <v>110000378467</v>
      </c>
      <c r="B516" s="28">
        <v>2022</v>
      </c>
      <c r="C516" s="68">
        <f t="shared" si="8"/>
        <v>44562</v>
      </c>
      <c r="D516" s="28" t="s">
        <v>986</v>
      </c>
      <c r="E516" s="28" t="s">
        <v>1508</v>
      </c>
      <c r="F516" s="28" t="s">
        <v>987</v>
      </c>
      <c r="G516" s="28" t="s">
        <v>324</v>
      </c>
      <c r="H516" s="28">
        <v>402162137</v>
      </c>
      <c r="I516" s="28">
        <v>38.195278000000002</v>
      </c>
      <c r="J516" s="28">
        <v>-85.872221999999994</v>
      </c>
      <c r="K516" s="28" t="s">
        <v>701</v>
      </c>
      <c r="L516" s="61">
        <v>110000378467</v>
      </c>
      <c r="M516" s="28" t="s">
        <v>265</v>
      </c>
      <c r="N516" s="28">
        <v>2869</v>
      </c>
      <c r="O516" s="28" t="str">
        <f>IFERROR(VLOOKUP(N516, 'SIC &amp; NAICS Codes'!A:B, 2, FALSE), "")</f>
        <v>Industrial Organic Chemicals, NEC (aliphatics)</v>
      </c>
      <c r="S516" s="28">
        <v>0.16571</v>
      </c>
      <c r="T516" s="315">
        <f>_xlfn.MAXIFS('Raw Period DMR Data'!$O:$O,'Raw Period DMR Data'!$A:$A,'Raw Annual DMR Data_2021-2024'!#REF!,'Raw Period DMR Data'!$C:$C,X516)/S516</f>
        <v>0</v>
      </c>
      <c r="U516" s="28" t="str">
        <f>+IF(COUNTIFS('Raw Period DMR Data'!$A:$A,B516,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16" s="28" t="str" cm="1">
        <f t="array" ref="V516">IFERROR(INDEX('Raw Period DMR Data'!N:N,MATCH(1,(B516='Raw Period DMR Data'!$A:$A)*(U516='Raw Period DMR Data'!M:M)*(X516='Raw Period DMR Data'!C:C),0),1), "N/A")</f>
        <v>N/A</v>
      </c>
      <c r="W516" s="28" t="s">
        <v>1463</v>
      </c>
      <c r="X516" s="28" t="s">
        <v>1509</v>
      </c>
      <c r="Y516" s="28" t="s">
        <v>830</v>
      </c>
      <c r="Z516" s="61">
        <v>5140101000007</v>
      </c>
      <c r="AA516" s="60"/>
      <c r="AB516" s="28" t="s">
        <v>7355</v>
      </c>
      <c r="AC516" s="28" t="s">
        <v>1466</v>
      </c>
    </row>
    <row r="517" spans="1:29" s="28" customFormat="1" x14ac:dyDescent="0.25">
      <c r="A517" s="61">
        <v>110000378467</v>
      </c>
      <c r="B517" s="28">
        <v>2024</v>
      </c>
      <c r="C517" s="68">
        <f t="shared" si="8"/>
        <v>45292</v>
      </c>
      <c r="D517" s="28" t="s">
        <v>986</v>
      </c>
      <c r="E517" s="28" t="s">
        <v>1508</v>
      </c>
      <c r="F517" s="28" t="s">
        <v>987</v>
      </c>
      <c r="G517" s="28" t="s">
        <v>324</v>
      </c>
      <c r="H517" s="28">
        <v>402162137</v>
      </c>
      <c r="I517" s="28">
        <v>38.195278000000002</v>
      </c>
      <c r="J517" s="28">
        <v>-85.872221999999994</v>
      </c>
      <c r="K517" s="28" t="s">
        <v>701</v>
      </c>
      <c r="L517" s="61">
        <v>110000378467</v>
      </c>
      <c r="M517" s="28" t="s">
        <v>265</v>
      </c>
      <c r="N517" s="28">
        <v>2869</v>
      </c>
      <c r="O517" s="28" t="str">
        <f>IFERROR(VLOOKUP(N517, 'SIC &amp; NAICS Codes'!A:B, 2, FALSE), "")</f>
        <v>Industrial Organic Chemicals, NEC (aliphatics)</v>
      </c>
      <c r="S517" s="28">
        <v>0.16571</v>
      </c>
      <c r="T517" s="315">
        <f>_xlfn.MAXIFS('Raw Period DMR Data'!$O:$O,'Raw Period DMR Data'!$A:$A,'Raw Annual DMR Data_2021-2024'!#REF!,'Raw Period DMR Data'!$C:$C,X517)/S517</f>
        <v>0</v>
      </c>
      <c r="U517" s="28" t="str">
        <f>+IF(COUNTIFS('Raw Period DMR Data'!$A:$A,B517,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17" s="28" t="str" cm="1">
        <f t="array" ref="V517">IFERROR(INDEX('Raw Period DMR Data'!N:N,MATCH(1,(B517='Raw Period DMR Data'!$A:$A)*(U517='Raw Period DMR Data'!M:M)*(X517='Raw Period DMR Data'!C:C),0),1), "N/A")</f>
        <v>N/A</v>
      </c>
      <c r="W517" s="28" t="s">
        <v>1463</v>
      </c>
      <c r="X517" s="28" t="s">
        <v>1509</v>
      </c>
      <c r="Y517" s="28" t="s">
        <v>830</v>
      </c>
      <c r="Z517" s="61">
        <v>5140101000007</v>
      </c>
      <c r="AA517" s="60"/>
      <c r="AB517" s="28" t="s">
        <v>7355</v>
      </c>
      <c r="AC517" s="28" t="s">
        <v>1466</v>
      </c>
    </row>
    <row r="518" spans="1:29" s="28" customFormat="1" x14ac:dyDescent="0.25">
      <c r="A518" s="61">
        <v>110071076435</v>
      </c>
      <c r="B518" s="28">
        <v>2023</v>
      </c>
      <c r="C518" s="68">
        <f t="shared" si="8"/>
        <v>44927</v>
      </c>
      <c r="D518" s="28" t="s">
        <v>6824</v>
      </c>
      <c r="E518" s="28" t="s">
        <v>6979</v>
      </c>
      <c r="F518" s="28" t="s">
        <v>1403</v>
      </c>
      <c r="G518" s="28" t="s">
        <v>294</v>
      </c>
      <c r="H518" s="28">
        <v>23451</v>
      </c>
      <c r="I518" s="28">
        <v>36.840694999999997</v>
      </c>
      <c r="J518" s="28">
        <v>-75.984082999999998</v>
      </c>
      <c r="L518" s="61">
        <v>110071076435</v>
      </c>
      <c r="M518" s="28" t="s">
        <v>265</v>
      </c>
      <c r="N518" s="28">
        <v>1799</v>
      </c>
      <c r="O518" s="28" t="str">
        <f>IFERROR(VLOOKUP(N518, 'SIC &amp; NAICS Codes'!A:B, 2, FALSE), "")</f>
        <v>Special Trade Contractors, NEC (indoor swimming pool construction contractors)</v>
      </c>
      <c r="S518" s="28">
        <v>1.9201305000000001E-6</v>
      </c>
      <c r="T518" s="315">
        <f>_xlfn.MAXIFS('Raw Period DMR Data'!$O:$O,'Raw Period DMR Data'!$A:$A,'Raw Annual DMR Data_2021-2024'!#REF!,'Raw Period DMR Data'!$C:$C,X518)/S518</f>
        <v>0</v>
      </c>
      <c r="U518" s="28" t="str">
        <f>+IF(COUNTIFS('Raw Period DMR Data'!$A:$A,B518,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18" s="28" t="str" cm="1">
        <f t="array" ref="V518">IFERROR(INDEX('Raw Period DMR Data'!N:N,MATCH(1,(B518='Raw Period DMR Data'!$A:$A)*(U518='Raw Period DMR Data'!M:M)*(X518='Raw Period DMR Data'!C:C),0),1), "N/A")</f>
        <v>N/A</v>
      </c>
      <c r="W518" s="28" t="s">
        <v>1463</v>
      </c>
      <c r="X518" s="28" t="s">
        <v>7165</v>
      </c>
      <c r="Y518" s="28" t="s">
        <v>7279</v>
      </c>
      <c r="Z518" s="61"/>
      <c r="AA518" s="60"/>
      <c r="AB518" s="28" t="s">
        <v>7355</v>
      </c>
      <c r="AC518" s="28" t="s">
        <v>1466</v>
      </c>
    </row>
    <row r="519" spans="1:29" s="28" customFormat="1" x14ac:dyDescent="0.25">
      <c r="A519" s="61">
        <v>110000915984</v>
      </c>
      <c r="B519" s="28">
        <v>2022</v>
      </c>
      <c r="C519" s="68">
        <f t="shared" si="8"/>
        <v>44562</v>
      </c>
      <c r="D519" s="28" t="s">
        <v>6802</v>
      </c>
      <c r="E519" s="28" t="s">
        <v>6955</v>
      </c>
      <c r="F519" s="28" t="s">
        <v>6956</v>
      </c>
      <c r="G519" s="28" t="s">
        <v>541</v>
      </c>
      <c r="H519" s="28">
        <v>29702</v>
      </c>
      <c r="I519" s="28">
        <v>35.118552999999999</v>
      </c>
      <c r="J519" s="28">
        <v>-81.559533000000002</v>
      </c>
      <c r="L519" s="61">
        <v>110000915984</v>
      </c>
      <c r="M519" s="28" t="s">
        <v>265</v>
      </c>
      <c r="N519" s="28">
        <v>2261</v>
      </c>
      <c r="O519" s="28" t="str">
        <f>IFERROR(VLOOKUP(N519, 'SIC &amp; NAICS Codes'!A:B, 2, FALSE), "")</f>
        <v>Finishers of Broadwoven Fabrics of Cotton</v>
      </c>
      <c r="S519" s="28">
        <v>4.8967305000000003</v>
      </c>
      <c r="T519" s="315">
        <f>_xlfn.MAXIFS('Raw Period DMR Data'!$O:$O,'Raw Period DMR Data'!$A:$A,'Raw Annual DMR Data_2021-2024'!B983,'Raw Period DMR Data'!$C:$C,X519)/S519</f>
        <v>0</v>
      </c>
      <c r="U519" s="28" t="str">
        <f>+IF(COUNTIFS('Raw Period DMR Data'!$A:$A,B519, 'Raw Period DMR Data'!C:C,'Raw Annual DMR Data_2021-2024'!X983, 'Raw Period DMR Data'!M:M, "&gt;0")&gt;0,_xlfn.MAXIFS('Raw Period DMR Data'!M:M,'Raw Period DMR Data'!$A:$A,'Raw Annual DMR Data_2021-2024'!B983,'Raw Period DMR Data'!C:C,'Raw Annual DMR Data_2021-2024'!X983), "N/A - Period DMR Data Not Available")</f>
        <v>N/A - Period DMR Data Not Available</v>
      </c>
      <c r="V519" s="28" t="str" cm="1">
        <f t="array" ref="V519">IFERROR(INDEX('Raw Period DMR Data'!N:N,MATCH(1,(B519='Raw Period DMR Data'!$A:$A)*(U519='Raw Period DMR Data'!M:M)*(X519='Raw Period DMR Data'!C:C),0),1), "N/A")</f>
        <v>N/A</v>
      </c>
      <c r="W519" s="28" t="s">
        <v>1463</v>
      </c>
      <c r="X519" s="28" t="s">
        <v>7155</v>
      </c>
      <c r="Y519" s="28" t="s">
        <v>7267</v>
      </c>
      <c r="Z519" s="61">
        <v>3050105000056</v>
      </c>
      <c r="AA519" s="60"/>
      <c r="AB519" s="28" t="s">
        <v>7355</v>
      </c>
      <c r="AC519" s="28" t="s">
        <v>1466</v>
      </c>
    </row>
    <row r="520" spans="1:29" s="28" customFormat="1" x14ac:dyDescent="0.25">
      <c r="A520" s="61">
        <v>110000322311</v>
      </c>
      <c r="B520" s="28">
        <v>2024</v>
      </c>
      <c r="C520" s="68">
        <f t="shared" si="8"/>
        <v>45292</v>
      </c>
      <c r="D520" s="28" t="s">
        <v>6427</v>
      </c>
      <c r="E520" s="28" t="s">
        <v>7079</v>
      </c>
      <c r="F520" s="28" t="s">
        <v>7080</v>
      </c>
      <c r="G520" s="28" t="s">
        <v>338</v>
      </c>
      <c r="H520" s="28">
        <v>8865</v>
      </c>
      <c r="I520" s="28">
        <v>40.703099000000002</v>
      </c>
      <c r="J520" s="28">
        <v>-75.197676000000001</v>
      </c>
      <c r="K520" s="28" t="s">
        <v>7134</v>
      </c>
      <c r="L520" s="61">
        <v>110000322311</v>
      </c>
      <c r="M520" s="28" t="s">
        <v>265</v>
      </c>
      <c r="N520" s="28">
        <v>2819</v>
      </c>
      <c r="O520" s="28" t="str">
        <f>IFERROR(VLOOKUP(N520, 'SIC &amp; NAICS Codes'!A:B, 2, FALSE), "")</f>
        <v>Industrial Inorganic Chemicals, NEC (recovering sulfur from natural gas)</v>
      </c>
      <c r="S520" s="28">
        <v>0.18096000000000001</v>
      </c>
      <c r="T520" s="315">
        <f>_xlfn.MAXIFS('Raw Period DMR Data'!$O:$O,'Raw Period DMR Data'!$A:$A,'Raw Annual DMR Data_2021-2024'!#REF!,'Raw Period DMR Data'!$C:$C,X520)/S520</f>
        <v>0</v>
      </c>
      <c r="U520" s="28" t="str">
        <f>+IF(COUNTIFS('Raw Period DMR Data'!$A:$A,B520,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20" s="28" t="str" cm="1">
        <f t="array" ref="V520">IFERROR(INDEX('Raw Period DMR Data'!N:N,MATCH(1,(B520='Raw Period DMR Data'!$A:$A)*(U520='Raw Period DMR Data'!M:M)*(X520='Raw Period DMR Data'!C:C),0),1), "N/A")</f>
        <v>N/A</v>
      </c>
      <c r="W520" s="28" t="s">
        <v>1463</v>
      </c>
      <c r="X520" s="28" t="s">
        <v>7223</v>
      </c>
      <c r="Y520" s="28" t="s">
        <v>783</v>
      </c>
      <c r="Z520" s="61">
        <v>2040105000093</v>
      </c>
      <c r="AA520" s="60"/>
      <c r="AB520" s="28" t="s">
        <v>7355</v>
      </c>
      <c r="AC520" s="28" t="s">
        <v>1466</v>
      </c>
    </row>
    <row r="521" spans="1:29" s="28" customFormat="1" x14ac:dyDescent="0.25">
      <c r="A521" s="61">
        <v>110000322311</v>
      </c>
      <c r="B521" s="28">
        <v>2023</v>
      </c>
      <c r="C521" s="68">
        <f t="shared" si="8"/>
        <v>44927</v>
      </c>
      <c r="D521" s="28" t="s">
        <v>6427</v>
      </c>
      <c r="E521" s="28" t="s">
        <v>7079</v>
      </c>
      <c r="F521" s="28" t="s">
        <v>7080</v>
      </c>
      <c r="G521" s="28" t="s">
        <v>338</v>
      </c>
      <c r="H521" s="28" t="s">
        <v>7081</v>
      </c>
      <c r="I521" s="28">
        <v>40.703099000000002</v>
      </c>
      <c r="J521" s="28">
        <v>-75.197676000000001</v>
      </c>
      <c r="K521" s="28" t="s">
        <v>7134</v>
      </c>
      <c r="L521" s="61">
        <v>110000322311</v>
      </c>
      <c r="M521" s="28" t="s">
        <v>265</v>
      </c>
      <c r="N521" s="28">
        <v>2819</v>
      </c>
      <c r="O521" s="28" t="str">
        <f>IFERROR(VLOOKUP(N521, 'SIC &amp; NAICS Codes'!A:B, 2, FALSE), "")</f>
        <v>Industrial Inorganic Chemicals, NEC (recovering sulfur from natural gas)</v>
      </c>
      <c r="S521" s="28">
        <v>0.15440000000000001</v>
      </c>
      <c r="T521" s="315">
        <f>_xlfn.MAXIFS('Raw Period DMR Data'!$O:$O,'Raw Period DMR Data'!$A:$A,'Raw Annual DMR Data_2021-2024'!#REF!,'Raw Period DMR Data'!$C:$C,X521)/S521</f>
        <v>0</v>
      </c>
      <c r="U521" s="28" t="str">
        <f>+IF(COUNTIFS('Raw Period DMR Data'!$A:$A,B521,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21" s="28" t="str" cm="1">
        <f t="array" ref="V521">IFERROR(INDEX('Raw Period DMR Data'!N:N,MATCH(1,(B521='Raw Period DMR Data'!$A:$A)*(U521='Raw Period DMR Data'!M:M)*(X521='Raw Period DMR Data'!C:C),0),1), "N/A")</f>
        <v>N/A</v>
      </c>
      <c r="W521" s="28" t="s">
        <v>1463</v>
      </c>
      <c r="X521" s="28" t="s">
        <v>7223</v>
      </c>
      <c r="Y521" s="28" t="s">
        <v>783</v>
      </c>
      <c r="Z521" s="61" t="s">
        <v>7329</v>
      </c>
      <c r="AA521" s="60"/>
      <c r="AB521" s="28" t="s">
        <v>7355</v>
      </c>
      <c r="AC521" s="28" t="s">
        <v>1466</v>
      </c>
    </row>
    <row r="522" spans="1:29" s="28" customFormat="1" x14ac:dyDescent="0.25">
      <c r="A522" s="61">
        <v>110004087880</v>
      </c>
      <c r="B522" s="28">
        <v>2024</v>
      </c>
      <c r="C522" s="68">
        <f t="shared" si="8"/>
        <v>45292</v>
      </c>
      <c r="D522" s="28" t="s">
        <v>997</v>
      </c>
      <c r="E522" s="28" t="s">
        <v>7088</v>
      </c>
      <c r="F522" s="28" t="s">
        <v>998</v>
      </c>
      <c r="G522" s="28" t="s">
        <v>999</v>
      </c>
      <c r="H522" s="28" t="s">
        <v>1531</v>
      </c>
      <c r="I522" s="28">
        <v>43.270670000000003</v>
      </c>
      <c r="J522" s="28">
        <v>-71.590410000000006</v>
      </c>
      <c r="L522" s="61">
        <v>110004087880</v>
      </c>
      <c r="M522" s="28" t="s">
        <v>265</v>
      </c>
      <c r="N522" s="28">
        <v>4959</v>
      </c>
      <c r="O522" s="28" t="str">
        <f>IFERROR(VLOOKUP(N522, 'SIC &amp; NAICS Codes'!A:B, 2, FALSE), "")</f>
        <v>Sanitary Services, NEC (vacuuming of runways)</v>
      </c>
      <c r="S522" s="28">
        <v>3.4048213525000003E-2</v>
      </c>
      <c r="T522" s="315">
        <f>_xlfn.MAXIFS('Raw Period DMR Data'!$O:$O,'Raw Period DMR Data'!$A:$A,'Raw Annual DMR Data_2021-2024'!#REF!,'Raw Period DMR Data'!$C:$C,X522)/S522</f>
        <v>0</v>
      </c>
      <c r="U522" s="28" t="str">
        <f>+IF(COUNTIFS('Raw Period DMR Data'!$A:$A,B522,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22" s="28" t="str" cm="1">
        <f t="array" ref="V522">IFERROR(INDEX('Raw Period DMR Data'!N:N,MATCH(1,(B522='Raw Period DMR Data'!$A:$A)*(U522='Raw Period DMR Data'!M:M)*(X522='Raw Period DMR Data'!C:C),0),1), "N/A")</f>
        <v>N/A</v>
      </c>
      <c r="W522" s="28" t="s">
        <v>1463</v>
      </c>
      <c r="X522" s="28" t="s">
        <v>7226</v>
      </c>
      <c r="Y522" s="28" t="s">
        <v>7317</v>
      </c>
      <c r="Z522" s="61"/>
      <c r="AA522" s="60"/>
      <c r="AB522" s="28" t="s">
        <v>7355</v>
      </c>
      <c r="AC522" s="28" t="s">
        <v>1466</v>
      </c>
    </row>
    <row r="523" spans="1:29" s="28" customFormat="1" x14ac:dyDescent="0.25">
      <c r="A523" s="61">
        <v>110004087880</v>
      </c>
      <c r="B523" s="28">
        <v>2023</v>
      </c>
      <c r="C523" s="68">
        <f t="shared" si="8"/>
        <v>44927</v>
      </c>
      <c r="D523" s="28" t="s">
        <v>997</v>
      </c>
      <c r="E523" s="28" t="s">
        <v>1530</v>
      </c>
      <c r="F523" s="28" t="s">
        <v>998</v>
      </c>
      <c r="G523" s="28" t="s">
        <v>999</v>
      </c>
      <c r="H523" s="28" t="s">
        <v>1531</v>
      </c>
      <c r="I523" s="28">
        <v>43.270670000000003</v>
      </c>
      <c r="J523" s="28">
        <v>-71.590410000000006</v>
      </c>
      <c r="L523" s="61">
        <v>110004087880</v>
      </c>
      <c r="M523" s="28" t="s">
        <v>265</v>
      </c>
      <c r="O523" s="28" t="str">
        <f>IFERROR(VLOOKUP(N523, 'SIC &amp; NAICS Codes'!A:B, 2, FALSE), "")</f>
        <v/>
      </c>
      <c r="S523" s="28">
        <v>1.111193487E-2</v>
      </c>
      <c r="T523" s="315">
        <f>_xlfn.MAXIFS('Raw Period DMR Data'!$O:$O,'Raw Period DMR Data'!$A:$A,'Raw Annual DMR Data_2021-2024'!#REF!,'Raw Period DMR Data'!$C:$C,X523)/S523</f>
        <v>0</v>
      </c>
      <c r="U523" s="28" t="str">
        <f>+IF(COUNTIFS('Raw Period DMR Data'!$A:$A,B523,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23" s="28" t="str" cm="1">
        <f t="array" ref="V523">IFERROR(INDEX('Raw Period DMR Data'!N:N,MATCH(1,(B523='Raw Period DMR Data'!$A:$A)*(U523='Raw Period DMR Data'!M:M)*(X523='Raw Period DMR Data'!C:C),0),1), "N/A")</f>
        <v>N/A</v>
      </c>
      <c r="W523" s="28" t="s">
        <v>1463</v>
      </c>
      <c r="X523" s="28" t="s">
        <v>1532</v>
      </c>
      <c r="Y523" s="28" t="s">
        <v>1533</v>
      </c>
      <c r="Z523" s="61" t="s">
        <v>7347</v>
      </c>
      <c r="AA523" s="60"/>
      <c r="AB523" s="28" t="s">
        <v>7355</v>
      </c>
      <c r="AC523" s="28" t="s">
        <v>1466</v>
      </c>
    </row>
    <row r="524" spans="1:29" s="28" customFormat="1" x14ac:dyDescent="0.25">
      <c r="A524" s="61">
        <v>110004087880</v>
      </c>
      <c r="B524" s="28">
        <v>2023</v>
      </c>
      <c r="C524" s="68">
        <f t="shared" si="8"/>
        <v>44927</v>
      </c>
      <c r="D524" s="28" t="s">
        <v>997</v>
      </c>
      <c r="E524" s="28" t="s">
        <v>7088</v>
      </c>
      <c r="F524" s="28" t="s">
        <v>998</v>
      </c>
      <c r="G524" s="28" t="s">
        <v>999</v>
      </c>
      <c r="H524" s="28" t="s">
        <v>1531</v>
      </c>
      <c r="I524" s="28">
        <v>43.270670000000003</v>
      </c>
      <c r="J524" s="28">
        <v>-71.590410000000006</v>
      </c>
      <c r="L524" s="61">
        <v>110004087880</v>
      </c>
      <c r="M524" s="28" t="s">
        <v>265</v>
      </c>
      <c r="N524" s="28">
        <v>4959</v>
      </c>
      <c r="O524" s="28" t="str">
        <f>IFERROR(VLOOKUP(N524, 'SIC &amp; NAICS Codes'!A:B, 2, FALSE), "")</f>
        <v>Sanitary Services, NEC (vacuuming of runways)</v>
      </c>
      <c r="S524" s="28">
        <v>1.0869177082E-2</v>
      </c>
      <c r="T524" s="315">
        <f>_xlfn.MAXIFS('Raw Period DMR Data'!$O:$O,'Raw Period DMR Data'!$A:$A,'Raw Annual DMR Data_2021-2024'!#REF!,'Raw Period DMR Data'!$C:$C,X524)/S524</f>
        <v>0</v>
      </c>
      <c r="U524" s="28" t="str">
        <f>+IF(COUNTIFS('Raw Period DMR Data'!$A:$A,B524,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24" s="28" t="str" cm="1">
        <f t="array" ref="V524">IFERROR(INDEX('Raw Period DMR Data'!N:N,MATCH(1,(B524='Raw Period DMR Data'!$A:$A)*(U524='Raw Period DMR Data'!M:M)*(X524='Raw Period DMR Data'!C:C),0),1), "N/A")</f>
        <v>N/A</v>
      </c>
      <c r="W524" s="28" t="s">
        <v>1463</v>
      </c>
      <c r="X524" s="28" t="s">
        <v>7226</v>
      </c>
      <c r="Y524" s="28" t="s">
        <v>7317</v>
      </c>
      <c r="Z524" s="61"/>
      <c r="AA524" s="60"/>
      <c r="AB524" s="28" t="s">
        <v>7355</v>
      </c>
      <c r="AC524" s="28" t="s">
        <v>1466</v>
      </c>
    </row>
    <row r="525" spans="1:29" s="28" customFormat="1" x14ac:dyDescent="0.25">
      <c r="A525" s="61">
        <v>110004087880</v>
      </c>
      <c r="B525" s="28">
        <v>2022</v>
      </c>
      <c r="C525" s="68">
        <f t="shared" si="8"/>
        <v>44562</v>
      </c>
      <c r="D525" s="28" t="s">
        <v>997</v>
      </c>
      <c r="E525" s="28" t="s">
        <v>1530</v>
      </c>
      <c r="F525" s="28" t="s">
        <v>998</v>
      </c>
      <c r="G525" s="28" t="s">
        <v>999</v>
      </c>
      <c r="H525" s="28" t="s">
        <v>1531</v>
      </c>
      <c r="I525" s="28">
        <v>43.270670000000003</v>
      </c>
      <c r="J525" s="28">
        <v>-71.590410000000006</v>
      </c>
      <c r="L525" s="61">
        <v>110004087880</v>
      </c>
      <c r="M525" s="28" t="s">
        <v>265</v>
      </c>
      <c r="O525" s="28" t="str">
        <f>IFERROR(VLOOKUP(N525, 'SIC &amp; NAICS Codes'!A:B, 2, FALSE), "")</f>
        <v/>
      </c>
      <c r="S525" s="28">
        <v>6.6573229499999999E-3</v>
      </c>
      <c r="T525" s="315">
        <f>_xlfn.MAXIFS('Raw Period DMR Data'!$O:$O,'Raw Period DMR Data'!$A:$A,'Raw Annual DMR Data_2021-2024'!#REF!,'Raw Period DMR Data'!$C:$C,X525)/S525</f>
        <v>0</v>
      </c>
      <c r="U525" s="28" t="str">
        <f>+IF(COUNTIFS('Raw Period DMR Data'!$A:$A,B525,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25" s="28" t="str" cm="1">
        <f t="array" ref="V525">IFERROR(INDEX('Raw Period DMR Data'!N:N,MATCH(1,(B525='Raw Period DMR Data'!$A:$A)*(U525='Raw Period DMR Data'!M:M)*(X525='Raw Period DMR Data'!C:C),0),1), "N/A")</f>
        <v>N/A</v>
      </c>
      <c r="W525" s="28" t="s">
        <v>1463</v>
      </c>
      <c r="X525" s="28" t="s">
        <v>1532</v>
      </c>
      <c r="Y525" s="28" t="s">
        <v>1533</v>
      </c>
      <c r="Z525" s="61">
        <v>1070006001950</v>
      </c>
      <c r="AA525" s="60"/>
      <c r="AB525" s="28" t="s">
        <v>7355</v>
      </c>
      <c r="AC525" s="28" t="s">
        <v>1466</v>
      </c>
    </row>
    <row r="526" spans="1:29" s="28" customFormat="1" x14ac:dyDescent="0.25">
      <c r="A526" s="61">
        <v>110004087880</v>
      </c>
      <c r="B526" s="28">
        <v>2021</v>
      </c>
      <c r="C526" s="68">
        <f t="shared" si="8"/>
        <v>44197</v>
      </c>
      <c r="D526" s="28" t="s">
        <v>997</v>
      </c>
      <c r="E526" s="28" t="s">
        <v>1530</v>
      </c>
      <c r="F526" s="28" t="s">
        <v>998</v>
      </c>
      <c r="G526" s="28" t="s">
        <v>999</v>
      </c>
      <c r="H526" s="28" t="s">
        <v>1531</v>
      </c>
      <c r="I526" s="28">
        <v>43.270670000000003</v>
      </c>
      <c r="J526" s="28">
        <v>-71.590410000000006</v>
      </c>
      <c r="L526" s="61">
        <v>110004087880</v>
      </c>
      <c r="M526" s="28" t="s">
        <v>265</v>
      </c>
      <c r="O526" s="28" t="str">
        <f>IFERROR(VLOOKUP(N526, 'SIC &amp; NAICS Codes'!A:B, 2, FALSE), "")</f>
        <v/>
      </c>
      <c r="S526" s="28">
        <v>6.2031138659999997E-3</v>
      </c>
      <c r="T526" s="315">
        <f>_xlfn.MAXIFS('Raw Period DMR Data'!$O:$O,'Raw Period DMR Data'!$A:$A,'Raw Annual DMR Data_2021-2024'!#REF!,'Raw Period DMR Data'!$C:$C,X526)/S526</f>
        <v>0</v>
      </c>
      <c r="U526" s="28" t="str">
        <f>+IF(COUNTIFS('Raw Period DMR Data'!$A:$A,B526,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26" s="28" t="str" cm="1">
        <f t="array" ref="V526">IFERROR(INDEX('Raw Period DMR Data'!N:N,MATCH(1,(B526='Raw Period DMR Data'!$A:$A)*(U526='Raw Period DMR Data'!M:M)*(X526='Raw Period DMR Data'!C:C),0),1), "N/A")</f>
        <v>N/A</v>
      </c>
      <c r="W526" s="28" t="s">
        <v>1463</v>
      </c>
      <c r="X526" s="28" t="s">
        <v>1532</v>
      </c>
      <c r="Y526" s="28" t="s">
        <v>1533</v>
      </c>
      <c r="Z526" s="61">
        <v>1070006001950</v>
      </c>
      <c r="AA526" s="60"/>
      <c r="AB526" s="28" t="s">
        <v>7355</v>
      </c>
      <c r="AC526" s="28" t="s">
        <v>1466</v>
      </c>
    </row>
    <row r="527" spans="1:29" s="28" customFormat="1" x14ac:dyDescent="0.25">
      <c r="A527" s="61">
        <v>110000597355</v>
      </c>
      <c r="B527" s="28">
        <v>2021</v>
      </c>
      <c r="C527" s="68">
        <f t="shared" si="8"/>
        <v>44197</v>
      </c>
      <c r="D527" s="28" t="s">
        <v>1002</v>
      </c>
      <c r="E527" s="28" t="s">
        <v>1537</v>
      </c>
      <c r="F527" s="28" t="s">
        <v>1003</v>
      </c>
      <c r="G527" s="28" t="s">
        <v>303</v>
      </c>
      <c r="H527" s="28">
        <v>70726</v>
      </c>
      <c r="I527" s="28">
        <v>30.486767</v>
      </c>
      <c r="J527" s="28">
        <v>-90.925479999999993</v>
      </c>
      <c r="K527" s="28" t="s">
        <v>706</v>
      </c>
      <c r="L527" s="61">
        <v>110000597355</v>
      </c>
      <c r="M527" s="28" t="s">
        <v>265</v>
      </c>
      <c r="N527" s="28">
        <v>2899</v>
      </c>
      <c r="O527" s="28" t="str">
        <f>IFERROR(VLOOKUP(N527, 'SIC &amp; NAICS Codes'!A:B, 2, FALSE), "")</f>
        <v>Chemicals and Chemical Preparations, NEC (table salt)</v>
      </c>
      <c r="S527" s="28">
        <v>1.6570999999999999E-2</v>
      </c>
      <c r="T527" s="315">
        <f>_xlfn.MAXIFS('Raw Period DMR Data'!$O:$O,'Raw Period DMR Data'!$A:$A,'Raw Annual DMR Data_2021-2024'!#REF!,'Raw Period DMR Data'!$C:$C,X527)/S527</f>
        <v>0</v>
      </c>
      <c r="U527" s="28" t="str">
        <f>+IF(COUNTIFS('Raw Period DMR Data'!$A:$A,B527,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27" s="28" t="str" cm="1">
        <f t="array" ref="V527">IFERROR(INDEX('Raw Period DMR Data'!N:N,MATCH(1,(B527='Raw Period DMR Data'!$A:$A)*(U527='Raw Period DMR Data'!M:M)*(X527='Raw Period DMR Data'!C:C),0),1), "N/A")</f>
        <v>N/A</v>
      </c>
      <c r="W527" s="28" t="s">
        <v>1463</v>
      </c>
      <c r="X527" s="28" t="s">
        <v>1538</v>
      </c>
      <c r="Y527" s="28" t="s">
        <v>1539</v>
      </c>
      <c r="Z527" s="61">
        <v>8070202000867</v>
      </c>
      <c r="AB527" s="28" t="s">
        <v>7355</v>
      </c>
      <c r="AC527" s="28" t="s">
        <v>1466</v>
      </c>
    </row>
    <row r="528" spans="1:29" s="28" customFormat="1" x14ac:dyDescent="0.25">
      <c r="A528" s="61">
        <v>110000597355</v>
      </c>
      <c r="B528" s="28">
        <v>2022</v>
      </c>
      <c r="C528" s="68">
        <f t="shared" si="8"/>
        <v>44562</v>
      </c>
      <c r="D528" s="28" t="s">
        <v>1002</v>
      </c>
      <c r="E528" s="28" t="s">
        <v>1537</v>
      </c>
      <c r="F528" s="28" t="s">
        <v>1003</v>
      </c>
      <c r="G528" s="28" t="s">
        <v>303</v>
      </c>
      <c r="H528" s="28">
        <v>70726</v>
      </c>
      <c r="I528" s="28">
        <v>30.486767</v>
      </c>
      <c r="J528" s="28">
        <v>-90.925479999999993</v>
      </c>
      <c r="K528" s="28" t="s">
        <v>706</v>
      </c>
      <c r="L528" s="61">
        <v>110000597355</v>
      </c>
      <c r="M528" s="28" t="s">
        <v>265</v>
      </c>
      <c r="N528" s="28">
        <v>2899</v>
      </c>
      <c r="O528" s="28" t="str">
        <f>IFERROR(VLOOKUP(N528, 'SIC &amp; NAICS Codes'!A:B, 2, FALSE), "")</f>
        <v>Chemicals and Chemical Preparations, NEC (table salt)</v>
      </c>
      <c r="S528" s="28">
        <v>1.6571000000000001E-4</v>
      </c>
      <c r="T528" s="315">
        <f>_xlfn.MAXIFS('Raw Period DMR Data'!$O:$O,'Raw Period DMR Data'!$A:$A,'Raw Annual DMR Data_2021-2024'!#REF!,'Raw Period DMR Data'!$C:$C,X528)/S528</f>
        <v>0</v>
      </c>
      <c r="U528" s="28" t="str">
        <f>+IF(COUNTIFS('Raw Period DMR Data'!$A:$A,B528,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28" s="28" t="str" cm="1">
        <f t="array" ref="V528">IFERROR(INDEX('Raw Period DMR Data'!N:N,MATCH(1,(B528='Raw Period DMR Data'!$A:$A)*(U528='Raw Period DMR Data'!M:M)*(X528='Raw Period DMR Data'!C:C),0),1), "N/A")</f>
        <v>N/A</v>
      </c>
      <c r="W528" s="28" t="s">
        <v>1463</v>
      </c>
      <c r="X528" s="28" t="s">
        <v>1538</v>
      </c>
      <c r="Y528" s="28" t="s">
        <v>1539</v>
      </c>
      <c r="Z528" s="61">
        <v>8070202000867</v>
      </c>
      <c r="AA528" s="60"/>
      <c r="AB528" s="28" t="s">
        <v>7355</v>
      </c>
      <c r="AC528" s="28" t="s">
        <v>1466</v>
      </c>
    </row>
    <row r="529" spans="1:29" s="28" customFormat="1" x14ac:dyDescent="0.25">
      <c r="A529" s="61">
        <v>110064611969</v>
      </c>
      <c r="B529" s="28">
        <v>2024</v>
      </c>
      <c r="C529" s="68">
        <f t="shared" si="8"/>
        <v>45292</v>
      </c>
      <c r="D529" s="28" t="s">
        <v>1005</v>
      </c>
      <c r="E529" s="28" t="s">
        <v>1545</v>
      </c>
      <c r="F529" s="28" t="s">
        <v>446</v>
      </c>
      <c r="G529" s="28" t="s">
        <v>303</v>
      </c>
      <c r="H529" s="28">
        <v>70669</v>
      </c>
      <c r="I529" s="28">
        <v>30.23771</v>
      </c>
      <c r="J529" s="28">
        <v>-93.258650000000003</v>
      </c>
      <c r="L529" s="61">
        <v>110064611969</v>
      </c>
      <c r="M529" s="28" t="s">
        <v>265</v>
      </c>
      <c r="N529" s="28">
        <v>2819</v>
      </c>
      <c r="O529" s="28" t="str">
        <f>IFERROR(VLOOKUP(N529, 'SIC &amp; NAICS Codes'!A:B, 2, FALSE), "")</f>
        <v>Industrial Inorganic Chemicals, NEC (recovering sulfur from natural gas)</v>
      </c>
      <c r="S529" s="28">
        <v>10.411128</v>
      </c>
      <c r="T529" s="315">
        <f>_xlfn.MAXIFS('Raw Period DMR Data'!$O:$O,'Raw Period DMR Data'!$A:$A,'Raw Annual DMR Data_2021-2024'!B948,'Raw Period DMR Data'!$C:$C,X529)/S529</f>
        <v>0</v>
      </c>
      <c r="U529" s="28" t="str">
        <f>+IF(COUNTIFS('Raw Period DMR Data'!$A:$A,B529, 'Raw Period DMR Data'!C:C,'Raw Annual DMR Data_2021-2024'!X948, 'Raw Period DMR Data'!M:M, "&gt;0")&gt;0,_xlfn.MAXIFS('Raw Period DMR Data'!M:M,'Raw Period DMR Data'!$A:$A,'Raw Annual DMR Data_2021-2024'!B948,'Raw Period DMR Data'!C:C,'Raw Annual DMR Data_2021-2024'!X948), "N/A - Period DMR Data Not Available")</f>
        <v>N/A - Period DMR Data Not Available</v>
      </c>
      <c r="V529" s="28" t="str" cm="1">
        <f t="array" ref="V529">IFERROR(INDEX('Raw Period DMR Data'!N:N,MATCH(1,(B529='Raw Period DMR Data'!$A:$A)*(U529='Raw Period DMR Data'!M:M)*(X529='Raw Period DMR Data'!C:C),0),1), "N/A")</f>
        <v>N/A</v>
      </c>
      <c r="W529" s="28" t="s">
        <v>1463</v>
      </c>
      <c r="X529" s="28" t="s">
        <v>1546</v>
      </c>
      <c r="Z529" s="61">
        <v>8080206001241</v>
      </c>
      <c r="AA529" s="60"/>
      <c r="AC529" s="28" t="s">
        <v>1466</v>
      </c>
    </row>
    <row r="530" spans="1:29" s="28" customFormat="1" x14ac:dyDescent="0.25">
      <c r="A530" s="61">
        <v>110064611969</v>
      </c>
      <c r="B530" s="28">
        <v>2023</v>
      </c>
      <c r="C530" s="68">
        <f t="shared" si="8"/>
        <v>44927</v>
      </c>
      <c r="D530" s="28" t="s">
        <v>1005</v>
      </c>
      <c r="E530" s="28" t="s">
        <v>1545</v>
      </c>
      <c r="F530" s="28" t="s">
        <v>446</v>
      </c>
      <c r="G530" s="28" t="s">
        <v>303</v>
      </c>
      <c r="H530" s="28">
        <v>70669</v>
      </c>
      <c r="I530" s="28">
        <v>30.23771</v>
      </c>
      <c r="J530" s="28">
        <v>-93.258650000000003</v>
      </c>
      <c r="L530" s="61">
        <v>110064611969</v>
      </c>
      <c r="M530" s="28" t="s">
        <v>265</v>
      </c>
      <c r="N530" s="28">
        <v>2819</v>
      </c>
      <c r="O530" s="28" t="str">
        <f>IFERROR(VLOOKUP(N530, 'SIC &amp; NAICS Codes'!A:B, 2, FALSE), "")</f>
        <v>Industrial Inorganic Chemicals, NEC (recovering sulfur from natural gas)</v>
      </c>
      <c r="S530" s="28">
        <v>5.10975</v>
      </c>
      <c r="T530" s="315">
        <f>_xlfn.MAXIFS('Raw Period DMR Data'!$O:$O,'Raw Period DMR Data'!$A:$A,'Raw Annual DMR Data_2021-2024'!B979,'Raw Period DMR Data'!$C:$C,X530)/S530</f>
        <v>0</v>
      </c>
      <c r="U530" s="28" t="str">
        <f>+IF(COUNTIFS('Raw Period DMR Data'!$A:$A,B530, 'Raw Period DMR Data'!C:C,'Raw Annual DMR Data_2021-2024'!X979, 'Raw Period DMR Data'!M:M, "&gt;0")&gt;0,_xlfn.MAXIFS('Raw Period DMR Data'!M:M,'Raw Period DMR Data'!$A:$A,'Raw Annual DMR Data_2021-2024'!B979,'Raw Period DMR Data'!C:C,'Raw Annual DMR Data_2021-2024'!X979), "N/A - Period DMR Data Not Available")</f>
        <v>N/A - Period DMR Data Not Available</v>
      </c>
      <c r="V530" s="28" t="str" cm="1">
        <f t="array" ref="V530">IFERROR(INDEX('Raw Period DMR Data'!N:N,MATCH(1,(B530='Raw Period DMR Data'!$A:$A)*(U530='Raw Period DMR Data'!M:M)*(X530='Raw Period DMR Data'!C:C),0),1), "N/A")</f>
        <v>N/A</v>
      </c>
      <c r="W530" s="28" t="s">
        <v>1463</v>
      </c>
      <c r="X530" s="28" t="s">
        <v>1546</v>
      </c>
      <c r="Z530" s="61" t="s">
        <v>7332</v>
      </c>
      <c r="AA530" s="60"/>
      <c r="AB530" s="28" t="s">
        <v>7355</v>
      </c>
      <c r="AC530" s="28" t="s">
        <v>1466</v>
      </c>
    </row>
    <row r="531" spans="1:29" s="28" customFormat="1" x14ac:dyDescent="0.25">
      <c r="A531" s="61">
        <v>110064611969</v>
      </c>
      <c r="B531" s="28">
        <v>2021</v>
      </c>
      <c r="C531" s="68">
        <f t="shared" si="8"/>
        <v>44197</v>
      </c>
      <c r="D531" s="28" t="s">
        <v>1005</v>
      </c>
      <c r="E531" s="28" t="s">
        <v>1545</v>
      </c>
      <c r="F531" s="28" t="s">
        <v>446</v>
      </c>
      <c r="G531" s="28" t="s">
        <v>303</v>
      </c>
      <c r="H531" s="28">
        <v>70669</v>
      </c>
      <c r="I531" s="28">
        <v>30.23771</v>
      </c>
      <c r="J531" s="28">
        <v>-93.258650000000003</v>
      </c>
      <c r="L531" s="61">
        <v>110064611969</v>
      </c>
      <c r="M531" s="28" t="s">
        <v>265</v>
      </c>
      <c r="N531" s="28">
        <v>2819</v>
      </c>
      <c r="O531" s="28" t="str">
        <f>IFERROR(VLOOKUP(N531, 'SIC &amp; NAICS Codes'!A:B, 2, FALSE), "")</f>
        <v>Industrial Inorganic Chemicals, NEC (recovering sulfur from natural gas)</v>
      </c>
      <c r="S531" s="112">
        <v>3.7104355</v>
      </c>
      <c r="T531" s="315">
        <f>_xlfn.MAXIFS('Raw Period DMR Data'!$O:$O,'Raw Period DMR Data'!$A:$A,'Raw Annual DMR Data_2021-2024'!B1002,'Raw Period DMR Data'!$C:$C,X531)/S531</f>
        <v>0</v>
      </c>
      <c r="U531" s="28" t="str">
        <f>+IF(COUNTIFS('Raw Period DMR Data'!$A:$A,B531, 'Raw Period DMR Data'!C:C,'Raw Annual DMR Data_2021-2024'!X1002, 'Raw Period DMR Data'!M:M, "&gt;0")&gt;0,_xlfn.MAXIFS('Raw Period DMR Data'!M:M,'Raw Period DMR Data'!$A:$A,'Raw Annual DMR Data_2021-2024'!B1002,'Raw Period DMR Data'!C:C,'Raw Annual DMR Data_2021-2024'!X1002), "N/A - Period DMR Data Not Available")</f>
        <v>N/A - Period DMR Data Not Available</v>
      </c>
      <c r="V531" s="28" t="str" cm="1">
        <f t="array" ref="V531">IFERROR(INDEX('Raw Period DMR Data'!N:N,MATCH(1,(B531='Raw Period DMR Data'!$A:$A)*(U531='Raw Period DMR Data'!M:M)*(X531='Raw Period DMR Data'!C:C),0),1), "N/A")</f>
        <v>N/A</v>
      </c>
      <c r="W531" s="28" t="s">
        <v>1463</v>
      </c>
      <c r="X531" s="28" t="s">
        <v>1546</v>
      </c>
      <c r="Z531" s="61">
        <v>8080206001241</v>
      </c>
      <c r="AB531" s="28" t="s">
        <v>7355</v>
      </c>
      <c r="AC531" s="28" t="s">
        <v>1466</v>
      </c>
    </row>
    <row r="532" spans="1:29" s="28" customFormat="1" x14ac:dyDescent="0.25">
      <c r="A532" s="61">
        <v>110000487633</v>
      </c>
      <c r="B532" s="28">
        <v>2021</v>
      </c>
      <c r="C532" s="68">
        <f t="shared" si="8"/>
        <v>44197</v>
      </c>
      <c r="D532" s="28" t="s">
        <v>6793</v>
      </c>
      <c r="E532" s="28" t="s">
        <v>1547</v>
      </c>
      <c r="F532" s="28" t="s">
        <v>1007</v>
      </c>
      <c r="G532" s="28" t="s">
        <v>1008</v>
      </c>
      <c r="H532" s="28" t="s">
        <v>6943</v>
      </c>
      <c r="I532" s="28">
        <v>45.543847</v>
      </c>
      <c r="J532" s="28">
        <v>-122.46656299999999</v>
      </c>
      <c r="K532" s="28" t="s">
        <v>707</v>
      </c>
      <c r="L532" s="61">
        <v>110000487633</v>
      </c>
      <c r="M532" s="28" t="s">
        <v>265</v>
      </c>
      <c r="N532" s="28">
        <v>3728</v>
      </c>
      <c r="O532" s="28" t="str">
        <f>IFERROR(VLOOKUP(N532, 'SIC &amp; NAICS Codes'!A:B, 2, FALSE), "")</f>
        <v>Aircraft Parts and Auxiliary Equipment, NEC (fluid power aircraft subassemblies)</v>
      </c>
      <c r="S532" s="28">
        <v>3.1332987E-2</v>
      </c>
      <c r="T532" s="315">
        <f>_xlfn.MAXIFS('Raw Period DMR Data'!$O:$O,'Raw Period DMR Data'!$A:$A,'Raw Annual DMR Data_2021-2024'!#REF!,'Raw Period DMR Data'!$C:$C,X532)/S532</f>
        <v>0</v>
      </c>
      <c r="U532" s="28" t="str">
        <f>+IF(COUNTIFS('Raw Period DMR Data'!$A:$A,B532,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32" s="28" t="str" cm="1">
        <f t="array" ref="V532">IFERROR(INDEX('Raw Period DMR Data'!N:N,MATCH(1,(B532='Raw Period DMR Data'!$A:$A)*(U532='Raw Period DMR Data'!M:M)*(X532='Raw Period DMR Data'!C:C),0),1), "N/A")</f>
        <v>N/A</v>
      </c>
      <c r="W532" s="28" t="s">
        <v>1463</v>
      </c>
      <c r="X532" s="28" t="s">
        <v>1548</v>
      </c>
      <c r="Y532" s="28" t="s">
        <v>1549</v>
      </c>
      <c r="Z532" s="61">
        <v>17090012000380</v>
      </c>
      <c r="AB532" s="28" t="s">
        <v>7355</v>
      </c>
      <c r="AC532" s="28" t="s">
        <v>1466</v>
      </c>
    </row>
    <row r="533" spans="1:29" s="28" customFormat="1" x14ac:dyDescent="0.25">
      <c r="A533" s="61">
        <v>110000487633</v>
      </c>
      <c r="B533" s="28">
        <v>2024</v>
      </c>
      <c r="C533" s="68">
        <f t="shared" si="8"/>
        <v>45292</v>
      </c>
      <c r="D533" s="28" t="s">
        <v>6793</v>
      </c>
      <c r="E533" s="28" t="s">
        <v>1547</v>
      </c>
      <c r="F533" s="28" t="s">
        <v>1007</v>
      </c>
      <c r="G533" s="28" t="s">
        <v>1008</v>
      </c>
      <c r="H533" s="28" t="s">
        <v>6943</v>
      </c>
      <c r="I533" s="28">
        <v>45.543847</v>
      </c>
      <c r="J533" s="28">
        <v>-122.46656299999999</v>
      </c>
      <c r="K533" s="28" t="s">
        <v>707</v>
      </c>
      <c r="L533" s="61">
        <v>110000487633</v>
      </c>
      <c r="M533" s="28" t="s">
        <v>265</v>
      </c>
      <c r="N533" s="28">
        <v>3728</v>
      </c>
      <c r="O533" s="28" t="str">
        <f>IFERROR(VLOOKUP(N533, 'SIC &amp; NAICS Codes'!A:B, 2, FALSE), "")</f>
        <v>Aircraft Parts and Auxiliary Equipment, NEC (fluid power aircraft subassemblies)</v>
      </c>
      <c r="S533" s="28">
        <v>2.6856846E-2</v>
      </c>
      <c r="T533" s="315">
        <f>_xlfn.MAXIFS('Raw Period DMR Data'!$O:$O,'Raw Period DMR Data'!$A:$A,'Raw Annual DMR Data_2021-2024'!#REF!,'Raw Period DMR Data'!$C:$C,X533)/S533</f>
        <v>0</v>
      </c>
      <c r="U533" s="28" t="str">
        <f>+IF(COUNTIFS('Raw Period DMR Data'!$A:$A,B533,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33" s="28" t="str" cm="1">
        <f t="array" ref="V533">IFERROR(INDEX('Raw Period DMR Data'!N:N,MATCH(1,(B533='Raw Period DMR Data'!$A:$A)*(U533='Raw Period DMR Data'!M:M)*(X533='Raw Period DMR Data'!C:C),0),1), "N/A")</f>
        <v>N/A</v>
      </c>
      <c r="W533" s="28" t="s">
        <v>1463</v>
      </c>
      <c r="X533" s="28" t="s">
        <v>1548</v>
      </c>
      <c r="Y533" s="28" t="s">
        <v>1549</v>
      </c>
      <c r="Z533" s="61">
        <v>17090012000380</v>
      </c>
      <c r="AA533" s="60"/>
      <c r="AB533" s="28" t="s">
        <v>7355</v>
      </c>
      <c r="AC533" s="28" t="s">
        <v>1466</v>
      </c>
    </row>
    <row r="534" spans="1:29" s="28" customFormat="1" x14ac:dyDescent="0.25">
      <c r="A534" s="61">
        <v>110000487633</v>
      </c>
      <c r="B534" s="28">
        <v>2022</v>
      </c>
      <c r="C534" s="68">
        <f t="shared" si="8"/>
        <v>44562</v>
      </c>
      <c r="D534" s="28" t="s">
        <v>6793</v>
      </c>
      <c r="E534" s="28" t="s">
        <v>1547</v>
      </c>
      <c r="F534" s="28" t="s">
        <v>1007</v>
      </c>
      <c r="G534" s="28" t="s">
        <v>1008</v>
      </c>
      <c r="H534" s="28" t="s">
        <v>6943</v>
      </c>
      <c r="I534" s="28">
        <v>45.543847</v>
      </c>
      <c r="J534" s="28">
        <v>-122.46656299999999</v>
      </c>
      <c r="K534" s="28" t="s">
        <v>707</v>
      </c>
      <c r="L534" s="61">
        <v>110000487633</v>
      </c>
      <c r="M534" s="28" t="s">
        <v>265</v>
      </c>
      <c r="N534" s="28">
        <v>3728</v>
      </c>
      <c r="O534" s="28" t="str">
        <f>IFERROR(VLOOKUP(N534, 'SIC &amp; NAICS Codes'!A:B, 2, FALSE), "")</f>
        <v>Aircraft Parts and Auxiliary Equipment, NEC (fluid power aircraft subassemblies)</v>
      </c>
      <c r="S534" s="28">
        <v>1.23342552E-2</v>
      </c>
      <c r="T534" s="315">
        <f>_xlfn.MAXIFS('Raw Period DMR Data'!$O:$O,'Raw Period DMR Data'!$A:$A,'Raw Annual DMR Data_2021-2024'!#REF!,'Raw Period DMR Data'!$C:$C,X534)/S534</f>
        <v>0</v>
      </c>
      <c r="U534" s="28" t="str">
        <f>+IF(COUNTIFS('Raw Period DMR Data'!$A:$A,B534,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34" s="28" t="str" cm="1">
        <f t="array" ref="V534">IFERROR(INDEX('Raw Period DMR Data'!N:N,MATCH(1,(B534='Raw Period DMR Data'!$A:$A)*(U534='Raw Period DMR Data'!M:M)*(X534='Raw Period DMR Data'!C:C),0),1), "N/A")</f>
        <v>N/A</v>
      </c>
      <c r="W534" s="28" t="s">
        <v>1463</v>
      </c>
      <c r="X534" s="28" t="s">
        <v>1548</v>
      </c>
      <c r="Y534" s="28" t="s">
        <v>1549</v>
      </c>
      <c r="Z534" s="61">
        <v>17090012000380</v>
      </c>
      <c r="AA534" s="60"/>
      <c r="AB534" s="28" t="s">
        <v>7355</v>
      </c>
      <c r="AC534" s="28" t="s">
        <v>1466</v>
      </c>
    </row>
    <row r="535" spans="1:29" s="28" customFormat="1" x14ac:dyDescent="0.25">
      <c r="A535" s="61">
        <v>110000487633</v>
      </c>
      <c r="B535" s="28">
        <v>2023</v>
      </c>
      <c r="C535" s="68">
        <f t="shared" si="8"/>
        <v>44927</v>
      </c>
      <c r="D535" s="28" t="s">
        <v>6793</v>
      </c>
      <c r="E535" s="28" t="s">
        <v>1547</v>
      </c>
      <c r="F535" s="28" t="s">
        <v>1007</v>
      </c>
      <c r="G535" s="28" t="s">
        <v>1008</v>
      </c>
      <c r="H535" s="28" t="s">
        <v>6943</v>
      </c>
      <c r="I535" s="28">
        <v>45.543847</v>
      </c>
      <c r="J535" s="28">
        <v>-122.46656299999999</v>
      </c>
      <c r="K535" s="28" t="s">
        <v>707</v>
      </c>
      <c r="L535" s="61">
        <v>110000487633</v>
      </c>
      <c r="M535" s="28" t="s">
        <v>265</v>
      </c>
      <c r="N535" s="28">
        <v>3728</v>
      </c>
      <c r="O535" s="28" t="str">
        <f>IFERROR(VLOOKUP(N535, 'SIC &amp; NAICS Codes'!A:B, 2, FALSE), "")</f>
        <v>Aircraft Parts and Auxiliary Equipment, NEC (fluid power aircraft subassemblies)</v>
      </c>
      <c r="S535" s="28">
        <v>1.23342552E-2</v>
      </c>
      <c r="T535" s="315">
        <f>_xlfn.MAXIFS('Raw Period DMR Data'!$O:$O,'Raw Period DMR Data'!$A:$A,'Raw Annual DMR Data_2021-2024'!#REF!,'Raw Period DMR Data'!$C:$C,X535)/S535</f>
        <v>0</v>
      </c>
      <c r="U535" s="28" t="str">
        <f>+IF(COUNTIFS('Raw Period DMR Data'!$A:$A,B535,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35" s="28" t="str" cm="1">
        <f t="array" ref="V535">IFERROR(INDEX('Raw Period DMR Data'!N:N,MATCH(1,(B535='Raw Period DMR Data'!$A:$A)*(U535='Raw Period DMR Data'!M:M)*(X535='Raw Period DMR Data'!C:C),0),1), "N/A")</f>
        <v>N/A</v>
      </c>
      <c r="W535" s="28" t="s">
        <v>1463</v>
      </c>
      <c r="X535" s="28" t="s">
        <v>1548</v>
      </c>
      <c r="Y535" s="28" t="s">
        <v>1549</v>
      </c>
      <c r="Z535" s="61">
        <v>17090012000380</v>
      </c>
      <c r="AA535" s="60"/>
      <c r="AB535" s="28" t="s">
        <v>7355</v>
      </c>
      <c r="AC535" s="28" t="s">
        <v>1466</v>
      </c>
    </row>
    <row r="536" spans="1:29" s="28" customFormat="1" x14ac:dyDescent="0.25">
      <c r="A536" s="61">
        <v>110071253595</v>
      </c>
      <c r="B536" s="28">
        <v>2023</v>
      </c>
      <c r="C536" s="68">
        <f t="shared" si="8"/>
        <v>44927</v>
      </c>
      <c r="D536" s="28" t="s">
        <v>6897</v>
      </c>
      <c r="E536" s="28" t="s">
        <v>7084</v>
      </c>
      <c r="F536" s="28" t="s">
        <v>1125</v>
      </c>
      <c r="G536" s="28" t="s">
        <v>294</v>
      </c>
      <c r="H536" s="28">
        <v>22046</v>
      </c>
      <c r="I536" s="28">
        <v>38.881900000000002</v>
      </c>
      <c r="J536" s="28">
        <v>-77.169899999999998</v>
      </c>
      <c r="L536" s="61">
        <v>110071253595</v>
      </c>
      <c r="M536" s="28" t="s">
        <v>265</v>
      </c>
      <c r="N536" s="28">
        <v>1794</v>
      </c>
      <c r="O536" s="28" t="str">
        <f>IFERROR(VLOOKUP(N536, 'SIC &amp; NAICS Codes'!A:B, 2, FALSE), "")</f>
        <v>Excavation Work</v>
      </c>
      <c r="S536" s="28">
        <v>6.9492600000000001E-4</v>
      </c>
      <c r="T536" s="315">
        <f>_xlfn.MAXIFS('Raw Period DMR Data'!$O:$O,'Raw Period DMR Data'!$A:$A,'Raw Annual DMR Data_2021-2024'!#REF!,'Raw Period DMR Data'!$C:$C,X536)/S536</f>
        <v>0</v>
      </c>
      <c r="U536" s="28" t="str">
        <f>+IF(COUNTIFS('Raw Period DMR Data'!$A:$A,B536,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36" s="28" t="str" cm="1">
        <f t="array" ref="V536">IFERROR(INDEX('Raw Period DMR Data'!N:N,MATCH(1,(B536='Raw Period DMR Data'!$A:$A)*(U536='Raw Period DMR Data'!M:M)*(X536='Raw Period DMR Data'!C:C),0),1), "N/A")</f>
        <v>N/A</v>
      </c>
      <c r="W536" s="28" t="s">
        <v>1463</v>
      </c>
      <c r="X536" s="28" t="s">
        <v>7225</v>
      </c>
      <c r="Y536" s="28" t="s">
        <v>1788</v>
      </c>
      <c r="Z536" s="61"/>
      <c r="AA536" s="60"/>
      <c r="AB536" s="28" t="s">
        <v>7355</v>
      </c>
      <c r="AC536" s="28" t="s">
        <v>1466</v>
      </c>
    </row>
    <row r="537" spans="1:29" s="28" customFormat="1" x14ac:dyDescent="0.25">
      <c r="A537" s="61">
        <v>110071253595</v>
      </c>
      <c r="B537" s="28">
        <v>2024</v>
      </c>
      <c r="C537" s="68">
        <f t="shared" si="8"/>
        <v>45292</v>
      </c>
      <c r="D537" s="28" t="s">
        <v>6897</v>
      </c>
      <c r="E537" s="28" t="s">
        <v>7084</v>
      </c>
      <c r="F537" s="28" t="s">
        <v>1125</v>
      </c>
      <c r="G537" s="28" t="s">
        <v>294</v>
      </c>
      <c r="H537" s="28">
        <v>22046</v>
      </c>
      <c r="I537" s="28">
        <v>38.881900000000002</v>
      </c>
      <c r="J537" s="28">
        <v>-77.169899999999998</v>
      </c>
      <c r="L537" s="61">
        <v>110071253595</v>
      </c>
      <c r="M537" s="28" t="s">
        <v>265</v>
      </c>
      <c r="N537" s="28">
        <v>1794</v>
      </c>
      <c r="O537" s="28" t="str">
        <f>IFERROR(VLOOKUP(N537, 'SIC &amp; NAICS Codes'!A:B, 2, FALSE), "")</f>
        <v>Excavation Work</v>
      </c>
      <c r="S537" s="28">
        <v>6.8508499999999999E-4</v>
      </c>
      <c r="T537" s="315">
        <f>_xlfn.MAXIFS('Raw Period DMR Data'!$O:$O,'Raw Period DMR Data'!$A:$A,'Raw Annual DMR Data_2021-2024'!#REF!,'Raw Period DMR Data'!$C:$C,X537)/S537</f>
        <v>0</v>
      </c>
      <c r="U537" s="28" t="str">
        <f>+IF(COUNTIFS('Raw Period DMR Data'!$A:$A,B537,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37" s="28" t="str" cm="1">
        <f t="array" ref="V537">IFERROR(INDEX('Raw Period DMR Data'!N:N,MATCH(1,(B537='Raw Period DMR Data'!$A:$A)*(U537='Raw Period DMR Data'!M:M)*(X537='Raw Period DMR Data'!C:C),0),1), "N/A")</f>
        <v>N/A</v>
      </c>
      <c r="W537" s="28" t="s">
        <v>1463</v>
      </c>
      <c r="X537" s="28" t="s">
        <v>7225</v>
      </c>
      <c r="Y537" s="28" t="s">
        <v>1788</v>
      </c>
      <c r="Z537" s="61"/>
      <c r="AA537" s="60"/>
      <c r="AB537" s="28" t="s">
        <v>7355</v>
      </c>
      <c r="AC537" s="28" t="s">
        <v>1466</v>
      </c>
    </row>
    <row r="538" spans="1:29" s="28" customFormat="1" x14ac:dyDescent="0.25">
      <c r="A538" s="61">
        <v>110002014677</v>
      </c>
      <c r="B538" s="28">
        <v>2021</v>
      </c>
      <c r="C538" s="68">
        <f t="shared" si="8"/>
        <v>44197</v>
      </c>
      <c r="D538" s="28" t="s">
        <v>1017</v>
      </c>
      <c r="E538" s="28" t="s">
        <v>1566</v>
      </c>
      <c r="F538" s="28" t="s">
        <v>1018</v>
      </c>
      <c r="G538" s="28" t="s">
        <v>308</v>
      </c>
      <c r="H538" s="28">
        <v>2135</v>
      </c>
      <c r="I538" s="28">
        <v>42.356434999999998</v>
      </c>
      <c r="J538" s="28">
        <v>-71.145904000000002</v>
      </c>
      <c r="L538" s="61">
        <v>110002014677</v>
      </c>
      <c r="M538" s="28" t="s">
        <v>265</v>
      </c>
      <c r="O538" s="28" t="str">
        <f>IFERROR(VLOOKUP(N538, 'SIC &amp; NAICS Codes'!A:B, 2, FALSE), "")</f>
        <v/>
      </c>
      <c r="S538" s="28">
        <v>8.2161714149999992E-3</v>
      </c>
      <c r="T538" s="315">
        <f>_xlfn.MAXIFS('Raw Period DMR Data'!$O:$O,'Raw Period DMR Data'!$A:$A,'Raw Annual DMR Data_2021-2024'!#REF!,'Raw Period DMR Data'!$C:$C,X538)/S538</f>
        <v>0</v>
      </c>
      <c r="U538" s="28" t="str">
        <f>+IF(COUNTIFS('Raw Period DMR Data'!$A:$A,B538,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38" s="28" t="str" cm="1">
        <f t="array" ref="V538">IFERROR(INDEX('Raw Period DMR Data'!N:N,MATCH(1,(B538='Raw Period DMR Data'!$A:$A)*(U538='Raw Period DMR Data'!M:M)*(X538='Raw Period DMR Data'!C:C),0),1), "N/A")</f>
        <v>N/A</v>
      </c>
      <c r="W538" s="28" t="s">
        <v>1463</v>
      </c>
      <c r="X538" s="28" t="s">
        <v>1567</v>
      </c>
      <c r="Y538" s="28" t="s">
        <v>1568</v>
      </c>
      <c r="Z538" s="61">
        <v>1090001000111</v>
      </c>
      <c r="AB538" s="28" t="s">
        <v>7355</v>
      </c>
      <c r="AC538" s="28" t="s">
        <v>1466</v>
      </c>
    </row>
    <row r="539" spans="1:29" s="28" customFormat="1" x14ac:dyDescent="0.25">
      <c r="A539" s="61">
        <v>110002014677</v>
      </c>
      <c r="B539" s="28">
        <v>2022</v>
      </c>
      <c r="C539" s="68">
        <f t="shared" si="8"/>
        <v>44562</v>
      </c>
      <c r="D539" s="28" t="s">
        <v>1017</v>
      </c>
      <c r="E539" s="28" t="s">
        <v>1566</v>
      </c>
      <c r="F539" s="28" t="s">
        <v>1018</v>
      </c>
      <c r="G539" s="28" t="s">
        <v>308</v>
      </c>
      <c r="H539" s="28">
        <v>2135</v>
      </c>
      <c r="I539" s="28">
        <v>42.356434999999998</v>
      </c>
      <c r="J539" s="28">
        <v>-71.145904000000002</v>
      </c>
      <c r="L539" s="61">
        <v>110002014677</v>
      </c>
      <c r="M539" s="28" t="s">
        <v>265</v>
      </c>
      <c r="O539" s="28" t="str">
        <f>IFERROR(VLOOKUP(N539, 'SIC &amp; NAICS Codes'!A:B, 2, FALSE), "")</f>
        <v/>
      </c>
      <c r="S539" s="28">
        <v>7.0220682600000001E-3</v>
      </c>
      <c r="T539" s="315">
        <f>_xlfn.MAXIFS('Raw Period DMR Data'!$O:$O,'Raw Period DMR Data'!$A:$A,'Raw Annual DMR Data_2021-2024'!#REF!,'Raw Period DMR Data'!$C:$C,X539)/S539</f>
        <v>0</v>
      </c>
      <c r="U539" s="28" t="str">
        <f>+IF(COUNTIFS('Raw Period DMR Data'!$A:$A,B539,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39" s="28" t="str" cm="1">
        <f t="array" ref="V539">IFERROR(INDEX('Raw Period DMR Data'!N:N,MATCH(1,(B539='Raw Period DMR Data'!$A:$A)*(U539='Raw Period DMR Data'!M:M)*(X539='Raw Period DMR Data'!C:C),0),1), "N/A")</f>
        <v>N/A</v>
      </c>
      <c r="W539" s="28" t="s">
        <v>1463</v>
      </c>
      <c r="X539" s="28" t="s">
        <v>1567</v>
      </c>
      <c r="Y539" s="28" t="s">
        <v>1568</v>
      </c>
      <c r="Z539" s="61">
        <v>1090001000111</v>
      </c>
      <c r="AA539" s="60"/>
      <c r="AB539" s="28" t="s">
        <v>7355</v>
      </c>
      <c r="AC539" s="28" t="s">
        <v>1466</v>
      </c>
    </row>
    <row r="540" spans="1:29" s="28" customFormat="1" x14ac:dyDescent="0.25">
      <c r="A540" s="61">
        <v>110059344473</v>
      </c>
      <c r="B540" s="28">
        <v>2024</v>
      </c>
      <c r="C540" s="68">
        <f t="shared" si="8"/>
        <v>45292</v>
      </c>
      <c r="D540" s="28" t="s">
        <v>6820</v>
      </c>
      <c r="E540" s="28" t="s">
        <v>2070</v>
      </c>
      <c r="F540" s="28" t="s">
        <v>1267</v>
      </c>
      <c r="G540" s="28" t="s">
        <v>491</v>
      </c>
      <c r="H540" s="28" t="s">
        <v>6976</v>
      </c>
      <c r="I540" s="28">
        <v>40.655278000000003</v>
      </c>
      <c r="J540" s="28">
        <v>-80.356388999999993</v>
      </c>
      <c r="K540" s="28" t="s">
        <v>728</v>
      </c>
      <c r="L540" s="61">
        <v>110059344473</v>
      </c>
      <c r="M540" s="28" t="s">
        <v>265</v>
      </c>
      <c r="N540" s="28">
        <v>2821</v>
      </c>
      <c r="O540" s="28" t="str">
        <f>IFERROR(VLOOKUP(N540, 'SIC &amp; NAICS Codes'!A:B, 2, FALSE), "")</f>
        <v>Plastics Materials, Synthetic and Resins, and Nonvulcanizable Elastomers</v>
      </c>
      <c r="S540" s="28">
        <v>0.66283999999999998</v>
      </c>
      <c r="T540" s="315">
        <f>_xlfn.MAXIFS('Raw Period DMR Data'!$O:$O,'Raw Period DMR Data'!$A:$A,'Raw Annual DMR Data_2021-2024'!#REF!,'Raw Period DMR Data'!$C:$C,X540)/S540</f>
        <v>0</v>
      </c>
      <c r="U540" s="28" t="str">
        <f>+IF(COUNTIFS('Raw Period DMR Data'!$A:$A,B540,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40" s="28" t="str" cm="1">
        <f t="array" ref="V540">IFERROR(INDEX('Raw Period DMR Data'!N:N,MATCH(1,(B540='Raw Period DMR Data'!$A:$A)*(U540='Raw Period DMR Data'!M:M)*(X540='Raw Period DMR Data'!C:C),0),1), "N/A")</f>
        <v>N/A</v>
      </c>
      <c r="W540" s="28" t="s">
        <v>1463</v>
      </c>
      <c r="X540" s="28" t="s">
        <v>2071</v>
      </c>
      <c r="Y540" s="28" t="s">
        <v>2072</v>
      </c>
      <c r="Z540" s="61">
        <v>5030101000019</v>
      </c>
      <c r="AA540" s="60"/>
      <c r="AB540" s="28" t="s">
        <v>7355</v>
      </c>
      <c r="AC540" s="28" t="s">
        <v>1466</v>
      </c>
    </row>
    <row r="541" spans="1:29" s="28" customFormat="1" x14ac:dyDescent="0.25">
      <c r="A541" s="61">
        <v>110059344473</v>
      </c>
      <c r="B541" s="28">
        <v>2022</v>
      </c>
      <c r="C541" s="68">
        <f t="shared" si="8"/>
        <v>44562</v>
      </c>
      <c r="D541" s="28" t="s">
        <v>6820</v>
      </c>
      <c r="E541" s="28" t="s">
        <v>2070</v>
      </c>
      <c r="F541" s="28" t="s">
        <v>1267</v>
      </c>
      <c r="G541" s="28" t="s">
        <v>491</v>
      </c>
      <c r="H541" s="28" t="s">
        <v>6976</v>
      </c>
      <c r="I541" s="28">
        <v>40.655278000000003</v>
      </c>
      <c r="J541" s="28">
        <v>-80.356388999999993</v>
      </c>
      <c r="K541" s="28" t="s">
        <v>728</v>
      </c>
      <c r="L541" s="61">
        <v>110059344473</v>
      </c>
      <c r="M541" s="28" t="s">
        <v>265</v>
      </c>
      <c r="N541" s="28">
        <v>2821</v>
      </c>
      <c r="O541" s="28" t="str">
        <f>IFERROR(VLOOKUP(N541, 'SIC &amp; NAICS Codes'!A:B, 2, FALSE), "")</f>
        <v>Plastics Materials, Synthetic and Resins, and Nonvulcanizable Elastomers</v>
      </c>
      <c r="S541" s="28">
        <v>0.57998499999999997</v>
      </c>
      <c r="T541" s="315">
        <f>_xlfn.MAXIFS('Raw Period DMR Data'!$O:$O,'Raw Period DMR Data'!$A:$A,'Raw Annual DMR Data_2021-2024'!#REF!,'Raw Period DMR Data'!$C:$C,X541)/S541</f>
        <v>0</v>
      </c>
      <c r="U541" s="28" t="str">
        <f>+IF(COUNTIFS('Raw Period DMR Data'!$A:$A,B541,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41" s="28" t="str" cm="1">
        <f t="array" ref="V541">IFERROR(INDEX('Raw Period DMR Data'!N:N,MATCH(1,(B541='Raw Period DMR Data'!$A:$A)*(U541='Raw Period DMR Data'!M:M)*(X541='Raw Period DMR Data'!C:C),0),1), "N/A")</f>
        <v>N/A</v>
      </c>
      <c r="W541" s="28" t="s">
        <v>1463</v>
      </c>
      <c r="X541" s="28" t="s">
        <v>2071</v>
      </c>
      <c r="Y541" s="28" t="s">
        <v>2072</v>
      </c>
      <c r="Z541" s="61">
        <v>5030101000019</v>
      </c>
      <c r="AA541" s="60"/>
      <c r="AB541" s="28" t="s">
        <v>7355</v>
      </c>
      <c r="AC541" s="28" t="s">
        <v>1466</v>
      </c>
    </row>
    <row r="542" spans="1:29" s="28" customFormat="1" x14ac:dyDescent="0.25">
      <c r="A542" s="61">
        <v>110059344473</v>
      </c>
      <c r="B542" s="28">
        <v>2021</v>
      </c>
      <c r="C542" s="68">
        <f t="shared" si="8"/>
        <v>44197</v>
      </c>
      <c r="D542" s="28" t="s">
        <v>6820</v>
      </c>
      <c r="E542" s="28" t="s">
        <v>2070</v>
      </c>
      <c r="F542" s="28" t="s">
        <v>1267</v>
      </c>
      <c r="G542" s="28" t="s">
        <v>491</v>
      </c>
      <c r="H542" s="28" t="s">
        <v>6976</v>
      </c>
      <c r="I542" s="28">
        <v>40.655278000000003</v>
      </c>
      <c r="J542" s="28">
        <v>-80.356388999999993</v>
      </c>
      <c r="K542" s="28" t="s">
        <v>728</v>
      </c>
      <c r="L542" s="61">
        <v>110059344473</v>
      </c>
      <c r="M542" s="28" t="s">
        <v>265</v>
      </c>
      <c r="N542" s="28">
        <v>2821</v>
      </c>
      <c r="O542" s="28" t="str">
        <f>IFERROR(VLOOKUP(N542, 'SIC &amp; NAICS Codes'!A:B, 2, FALSE), "")</f>
        <v>Plastics Materials, Synthetic and Resins, and Nonvulcanizable Elastomers</v>
      </c>
      <c r="S542" s="28">
        <v>0.49713000000000002</v>
      </c>
      <c r="T542" s="315">
        <f>_xlfn.MAXIFS('Raw Period DMR Data'!$O:$O,'Raw Period DMR Data'!$A:$A,'Raw Annual DMR Data_2021-2024'!#REF!,'Raw Period DMR Data'!$C:$C,X542)/S542</f>
        <v>0</v>
      </c>
      <c r="U542" s="28" t="str">
        <f>+IF(COUNTIFS('Raw Period DMR Data'!$A:$A,B542,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42" s="28" t="str" cm="1">
        <f t="array" ref="V542">IFERROR(INDEX('Raw Period DMR Data'!N:N,MATCH(1,(B542='Raw Period DMR Data'!$A:$A)*(U542='Raw Period DMR Data'!M:M)*(X542='Raw Period DMR Data'!C:C),0),1), "N/A")</f>
        <v>N/A</v>
      </c>
      <c r="W542" s="28" t="s">
        <v>1463</v>
      </c>
      <c r="X542" s="28" t="s">
        <v>2071</v>
      </c>
      <c r="Y542" s="28" t="s">
        <v>2072</v>
      </c>
      <c r="Z542" s="61">
        <v>5030101000019</v>
      </c>
      <c r="AB542" s="28" t="s">
        <v>7355</v>
      </c>
      <c r="AC542" s="28" t="s">
        <v>1466</v>
      </c>
    </row>
    <row r="543" spans="1:29" s="28" customFormat="1" x14ac:dyDescent="0.25">
      <c r="A543" s="61">
        <v>110059344473</v>
      </c>
      <c r="B543" s="28">
        <v>2023</v>
      </c>
      <c r="C543" s="68">
        <f t="shared" si="8"/>
        <v>44927</v>
      </c>
      <c r="D543" s="28" t="s">
        <v>6820</v>
      </c>
      <c r="E543" s="28" t="s">
        <v>2070</v>
      </c>
      <c r="F543" s="28" t="s">
        <v>1267</v>
      </c>
      <c r="G543" s="28" t="s">
        <v>491</v>
      </c>
      <c r="H543" s="28" t="s">
        <v>6976</v>
      </c>
      <c r="I543" s="28">
        <v>40.655278000000003</v>
      </c>
      <c r="J543" s="28">
        <v>-80.356388999999993</v>
      </c>
      <c r="K543" s="28" t="s">
        <v>728</v>
      </c>
      <c r="L543" s="61">
        <v>110059344473</v>
      </c>
      <c r="M543" s="28" t="s">
        <v>265</v>
      </c>
      <c r="N543" s="28">
        <v>2821</v>
      </c>
      <c r="O543" s="28" t="str">
        <f>IFERROR(VLOOKUP(N543, 'SIC &amp; NAICS Codes'!A:B, 2, FALSE), "")</f>
        <v>Plastics Materials, Synthetic and Resins, and Nonvulcanizable Elastomers</v>
      </c>
      <c r="S543" s="28">
        <v>0.49713000000000002</v>
      </c>
      <c r="T543" s="315">
        <f>_xlfn.MAXIFS('Raw Period DMR Data'!$O:$O,'Raw Period DMR Data'!$A:$A,'Raw Annual DMR Data_2021-2024'!#REF!,'Raw Period DMR Data'!$C:$C,X543)/S543</f>
        <v>0</v>
      </c>
      <c r="U543" s="28" t="str">
        <f>+IF(COUNTIFS('Raw Period DMR Data'!$A:$A,B543,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43" s="28" t="str" cm="1">
        <f t="array" ref="V543">IFERROR(INDEX('Raw Period DMR Data'!N:N,MATCH(1,(B543='Raw Period DMR Data'!$A:$A)*(U543='Raw Period DMR Data'!M:M)*(X543='Raw Period DMR Data'!C:C),0),1), "N/A")</f>
        <v>N/A</v>
      </c>
      <c r="W543" s="28" t="s">
        <v>1463</v>
      </c>
      <c r="X543" s="28" t="s">
        <v>2071</v>
      </c>
      <c r="Y543" s="28" t="s">
        <v>2072</v>
      </c>
      <c r="Z543" s="61" t="s">
        <v>2073</v>
      </c>
      <c r="AA543" s="60"/>
      <c r="AB543" s="28" t="s">
        <v>7355</v>
      </c>
      <c r="AC543" s="28" t="s">
        <v>1466</v>
      </c>
    </row>
    <row r="544" spans="1:29" s="28" customFormat="1" x14ac:dyDescent="0.25">
      <c r="A544" s="61">
        <v>110054612558</v>
      </c>
      <c r="B544" s="28">
        <v>2024</v>
      </c>
      <c r="C544" s="68">
        <f t="shared" si="8"/>
        <v>45292</v>
      </c>
      <c r="D544" s="28" t="s">
        <v>1026</v>
      </c>
      <c r="E544" s="28" t="s">
        <v>1579</v>
      </c>
      <c r="F544" s="28" t="s">
        <v>1027</v>
      </c>
      <c r="G544" s="28" t="s">
        <v>349</v>
      </c>
      <c r="H544" s="28">
        <v>63353</v>
      </c>
      <c r="I544" s="28">
        <v>39.423425000000002</v>
      </c>
      <c r="J544" s="28">
        <v>-91.025666000000001</v>
      </c>
      <c r="L544" s="61">
        <v>110054612558</v>
      </c>
      <c r="M544" s="28" t="s">
        <v>265</v>
      </c>
      <c r="N544" s="28">
        <v>2869</v>
      </c>
      <c r="O544" s="28" t="str">
        <f>IFERROR(VLOOKUP(N544, 'SIC &amp; NAICS Codes'!A:B, 2, FALSE), "")</f>
        <v>Industrial Organic Chemicals, NEC (aliphatics)</v>
      </c>
      <c r="S544" s="28">
        <v>5.3022659999999999E-2</v>
      </c>
      <c r="T544" s="315">
        <f>_xlfn.MAXIFS('Raw Period DMR Data'!$O:$O,'Raw Period DMR Data'!$A:$A,'Raw Annual DMR Data_2021-2024'!#REF!,'Raw Period DMR Data'!$C:$C,X544)/S544</f>
        <v>0</v>
      </c>
      <c r="U544" s="28" t="str">
        <f>+IF(COUNTIFS('Raw Period DMR Data'!$A:$A,B544,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44" s="28" t="str" cm="1">
        <f t="array" ref="V544">IFERROR(INDEX('Raw Period DMR Data'!N:N,MATCH(1,(B544='Raw Period DMR Data'!$A:$A)*(U544='Raw Period DMR Data'!M:M)*(X544='Raw Period DMR Data'!C:C),0),1), "N/A")</f>
        <v>N/A</v>
      </c>
      <c r="W544" s="28" t="s">
        <v>1463</v>
      </c>
      <c r="X544" s="28" t="s">
        <v>1580</v>
      </c>
      <c r="Y544" s="28" t="s">
        <v>1581</v>
      </c>
      <c r="Z544" s="61">
        <v>7110004000345</v>
      </c>
      <c r="AA544" s="60"/>
      <c r="AB544" s="28" t="s">
        <v>7355</v>
      </c>
      <c r="AC544" s="28" t="s">
        <v>1466</v>
      </c>
    </row>
    <row r="545" spans="1:29" s="28" customFormat="1" x14ac:dyDescent="0.25">
      <c r="A545" s="61">
        <v>110054612558</v>
      </c>
      <c r="B545" s="28">
        <v>2023</v>
      </c>
      <c r="C545" s="68">
        <f t="shared" si="8"/>
        <v>44927</v>
      </c>
      <c r="D545" s="28" t="s">
        <v>1026</v>
      </c>
      <c r="E545" s="28" t="s">
        <v>1579</v>
      </c>
      <c r="F545" s="28" t="s">
        <v>1027</v>
      </c>
      <c r="G545" s="28" t="s">
        <v>349</v>
      </c>
      <c r="H545" s="28">
        <v>63353</v>
      </c>
      <c r="I545" s="28">
        <v>39.423425000000002</v>
      </c>
      <c r="J545" s="28">
        <v>-91.025666000000001</v>
      </c>
      <c r="L545" s="61">
        <v>110054612558</v>
      </c>
      <c r="M545" s="28" t="s">
        <v>265</v>
      </c>
      <c r="N545" s="28">
        <v>2869</v>
      </c>
      <c r="O545" s="28" t="str">
        <f>IFERROR(VLOOKUP(N545, 'SIC &amp; NAICS Codes'!A:B, 2, FALSE), "")</f>
        <v>Industrial Organic Chemicals, NEC (aliphatics)</v>
      </c>
      <c r="S545" s="28">
        <v>4.7579200000000002E-2</v>
      </c>
      <c r="T545" s="315">
        <f>_xlfn.MAXIFS('Raw Period DMR Data'!$O:$O,'Raw Period DMR Data'!$A:$A,'Raw Annual DMR Data_2021-2024'!#REF!,'Raw Period DMR Data'!$C:$C,X545)/S545</f>
        <v>0</v>
      </c>
      <c r="U545" s="28" t="str">
        <f>+IF(COUNTIFS('Raw Period DMR Data'!$A:$A,B545,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45" s="28" t="str" cm="1">
        <f t="array" ref="V545">IFERROR(INDEX('Raw Period DMR Data'!N:N,MATCH(1,(B545='Raw Period DMR Data'!$A:$A)*(U545='Raw Period DMR Data'!M:M)*(X545='Raw Period DMR Data'!C:C),0),1), "N/A")</f>
        <v>N/A</v>
      </c>
      <c r="W545" s="28" t="s">
        <v>1463</v>
      </c>
      <c r="X545" s="28" t="s">
        <v>1580</v>
      </c>
      <c r="Y545" s="28" t="s">
        <v>1581</v>
      </c>
      <c r="Z545" s="61" t="s">
        <v>1582</v>
      </c>
      <c r="AA545" s="60"/>
      <c r="AB545" s="28" t="s">
        <v>7355</v>
      </c>
      <c r="AC545" s="28" t="s">
        <v>1466</v>
      </c>
    </row>
    <row r="546" spans="1:29" s="28" customFormat="1" x14ac:dyDescent="0.25">
      <c r="A546" s="61">
        <v>110054612558</v>
      </c>
      <c r="B546" s="28">
        <v>2022</v>
      </c>
      <c r="C546" s="68">
        <f t="shared" si="8"/>
        <v>44562</v>
      </c>
      <c r="D546" s="28" t="s">
        <v>1026</v>
      </c>
      <c r="E546" s="28" t="s">
        <v>1579</v>
      </c>
      <c r="F546" s="28" t="s">
        <v>1027</v>
      </c>
      <c r="G546" s="28" t="s">
        <v>349</v>
      </c>
      <c r="H546" s="28">
        <v>63353</v>
      </c>
      <c r="I546" s="28">
        <v>39.423425000000002</v>
      </c>
      <c r="J546" s="28">
        <v>-91.025666000000001</v>
      </c>
      <c r="L546" s="61">
        <v>110054612558</v>
      </c>
      <c r="M546" s="28" t="s">
        <v>265</v>
      </c>
      <c r="N546" s="28">
        <v>2869</v>
      </c>
      <c r="O546" s="28" t="str">
        <f>IFERROR(VLOOKUP(N546, 'SIC &amp; NAICS Codes'!A:B, 2, FALSE), "")</f>
        <v>Industrial Organic Chemicals, NEC (aliphatics)</v>
      </c>
      <c r="S546" s="28">
        <v>2.7714430000000002E-2</v>
      </c>
      <c r="T546" s="315">
        <f>_xlfn.MAXIFS('Raw Period DMR Data'!$O:$O,'Raw Period DMR Data'!$A:$A,'Raw Annual DMR Data_2021-2024'!#REF!,'Raw Period DMR Data'!$C:$C,X546)/S546</f>
        <v>0</v>
      </c>
      <c r="U546" s="28" t="str">
        <f>+IF(COUNTIFS('Raw Period DMR Data'!$A:$A,B546,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46" s="28" t="str" cm="1">
        <f t="array" ref="V546">IFERROR(INDEX('Raw Period DMR Data'!N:N,MATCH(1,(B546='Raw Period DMR Data'!$A:$A)*(U546='Raw Period DMR Data'!M:M)*(X546='Raw Period DMR Data'!C:C),0),1), "N/A")</f>
        <v>N/A</v>
      </c>
      <c r="W546" s="28" t="s">
        <v>1463</v>
      </c>
      <c r="X546" s="28" t="s">
        <v>1580</v>
      </c>
      <c r="Y546" s="28" t="s">
        <v>1581</v>
      </c>
      <c r="Z546" s="61">
        <v>7110004000345</v>
      </c>
      <c r="AA546" s="60"/>
      <c r="AB546" s="28" t="s">
        <v>7355</v>
      </c>
      <c r="AC546" s="28" t="s">
        <v>1466</v>
      </c>
    </row>
    <row r="547" spans="1:29" s="28" customFormat="1" x14ac:dyDescent="0.25">
      <c r="A547" s="61">
        <v>110054612558</v>
      </c>
      <c r="B547" s="28">
        <v>2021</v>
      </c>
      <c r="C547" s="68">
        <f t="shared" si="8"/>
        <v>44197</v>
      </c>
      <c r="D547" s="28" t="s">
        <v>1026</v>
      </c>
      <c r="E547" s="28" t="s">
        <v>1579</v>
      </c>
      <c r="F547" s="28" t="s">
        <v>1027</v>
      </c>
      <c r="G547" s="28" t="s">
        <v>349</v>
      </c>
      <c r="H547" s="28">
        <v>63353</v>
      </c>
      <c r="I547" s="28">
        <v>39.423425000000002</v>
      </c>
      <c r="J547" s="28">
        <v>-91.025666000000001</v>
      </c>
      <c r="L547" s="61">
        <v>110054612558</v>
      </c>
      <c r="M547" s="28" t="s">
        <v>265</v>
      </c>
      <c r="N547" s="28">
        <v>2869</v>
      </c>
      <c r="O547" s="28" t="str">
        <f>IFERROR(VLOOKUP(N547, 'SIC &amp; NAICS Codes'!A:B, 2, FALSE), "")</f>
        <v>Industrial Organic Chemicals, NEC (aliphatics)</v>
      </c>
      <c r="S547" s="28">
        <v>2.3775979999999999E-2</v>
      </c>
      <c r="T547" s="315">
        <f>_xlfn.MAXIFS('Raw Period DMR Data'!$O:$O,'Raw Period DMR Data'!$A:$A,'Raw Annual DMR Data_2021-2024'!#REF!,'Raw Period DMR Data'!$C:$C,X547)/S547</f>
        <v>0</v>
      </c>
      <c r="U547" s="28" t="str">
        <f>+IF(COUNTIFS('Raw Period DMR Data'!$A:$A,B547,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47" s="28" t="str" cm="1">
        <f t="array" ref="V547">IFERROR(INDEX('Raw Period DMR Data'!N:N,MATCH(1,(B547='Raw Period DMR Data'!$A:$A)*(U547='Raw Period DMR Data'!M:M)*(X547='Raw Period DMR Data'!C:C),0),1), "N/A")</f>
        <v>N/A</v>
      </c>
      <c r="W547" s="28" t="s">
        <v>1463</v>
      </c>
      <c r="X547" s="28" t="s">
        <v>1580</v>
      </c>
      <c r="Y547" s="28" t="s">
        <v>1581</v>
      </c>
      <c r="Z547" s="61">
        <v>7110004000345</v>
      </c>
      <c r="AB547" s="28" t="s">
        <v>7355</v>
      </c>
      <c r="AC547" s="28" t="s">
        <v>1466</v>
      </c>
    </row>
    <row r="548" spans="1:29" s="28" customFormat="1" x14ac:dyDescent="0.25">
      <c r="A548" s="61">
        <v>110000408265</v>
      </c>
      <c r="B548" s="28">
        <v>2021</v>
      </c>
      <c r="C548" s="68">
        <f t="shared" si="8"/>
        <v>44197</v>
      </c>
      <c r="D548" s="28" t="s">
        <v>1044</v>
      </c>
      <c r="E548" s="28" t="s">
        <v>1617</v>
      </c>
      <c r="F548" s="28" t="s">
        <v>1045</v>
      </c>
      <c r="G548" s="28" t="s">
        <v>427</v>
      </c>
      <c r="H548" s="28">
        <v>48843</v>
      </c>
      <c r="I548" s="28">
        <v>42.592550000000003</v>
      </c>
      <c r="J548" s="28">
        <v>-83.889930000000007</v>
      </c>
      <c r="L548" s="61">
        <v>110000408265</v>
      </c>
      <c r="M548" s="28" t="s">
        <v>265</v>
      </c>
      <c r="N548" s="28">
        <v>2899</v>
      </c>
      <c r="O548" s="28" t="str">
        <f>IFERROR(VLOOKUP(N548, 'SIC &amp; NAICS Codes'!A:B, 2, FALSE), "")</f>
        <v>Chemicals and Chemical Preparations, NEC (table salt)</v>
      </c>
      <c r="S548" s="28">
        <v>9.8451635000000003E-3</v>
      </c>
      <c r="T548" s="315">
        <f>_xlfn.MAXIFS('Raw Period DMR Data'!$O:$O,'Raw Period DMR Data'!$A:$A,'Raw Annual DMR Data_2021-2024'!#REF!,'Raw Period DMR Data'!$C:$C,X548)/S548</f>
        <v>0</v>
      </c>
      <c r="U548" s="28" t="str">
        <f>+IF(COUNTIFS('Raw Period DMR Data'!$A:$A,B548,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48" s="28" t="str" cm="1">
        <f t="array" ref="V548">IFERROR(INDEX('Raw Period DMR Data'!N:N,MATCH(1,(B548='Raw Period DMR Data'!$A:$A)*(U548='Raw Period DMR Data'!M:M)*(X548='Raw Period DMR Data'!C:C),0),1), "N/A")</f>
        <v>N/A</v>
      </c>
      <c r="W548" s="28" t="s">
        <v>1463</v>
      </c>
      <c r="X548" s="28" t="s">
        <v>1619</v>
      </c>
      <c r="Y548" s="28" t="s">
        <v>1620</v>
      </c>
      <c r="Z548" s="61">
        <v>4080203000602</v>
      </c>
      <c r="AB548" s="28" t="s">
        <v>7355</v>
      </c>
      <c r="AC548" s="28" t="s">
        <v>1466</v>
      </c>
    </row>
    <row r="549" spans="1:29" s="28" customFormat="1" x14ac:dyDescent="0.25">
      <c r="A549" s="61">
        <v>110000408265</v>
      </c>
      <c r="B549" s="28">
        <v>2022</v>
      </c>
      <c r="C549" s="68">
        <f t="shared" si="8"/>
        <v>44562</v>
      </c>
      <c r="D549" s="28" t="s">
        <v>1044</v>
      </c>
      <c r="E549" s="28" t="s">
        <v>1617</v>
      </c>
      <c r="F549" s="28" t="s">
        <v>1045</v>
      </c>
      <c r="G549" s="28" t="s">
        <v>427</v>
      </c>
      <c r="H549" s="28">
        <v>48843</v>
      </c>
      <c r="I549" s="28">
        <v>42.592550000000003</v>
      </c>
      <c r="J549" s="28">
        <v>-83.889930000000007</v>
      </c>
      <c r="L549" s="61">
        <v>110000408265</v>
      </c>
      <c r="M549" s="28" t="s">
        <v>265</v>
      </c>
      <c r="N549" s="28">
        <v>2899</v>
      </c>
      <c r="O549" s="28" t="str">
        <f>IFERROR(VLOOKUP(N549, 'SIC &amp; NAICS Codes'!A:B, 2, FALSE), "")</f>
        <v>Chemicals and Chemical Preparations, NEC (table salt)</v>
      </c>
      <c r="S549" s="28">
        <v>3.2728894999999999E-3</v>
      </c>
      <c r="T549" s="315">
        <f>_xlfn.MAXIFS('Raw Period DMR Data'!$O:$O,'Raw Period DMR Data'!$A:$A,'Raw Annual DMR Data_2021-2024'!#REF!,'Raw Period DMR Data'!$C:$C,X549)/S549</f>
        <v>0</v>
      </c>
      <c r="U549" s="28" t="str">
        <f>+IF(COUNTIFS('Raw Period DMR Data'!$A:$A,B549,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49" s="28" t="str" cm="1">
        <f t="array" ref="V549">IFERROR(INDEX('Raw Period DMR Data'!N:N,MATCH(1,(B549='Raw Period DMR Data'!$A:$A)*(U549='Raw Period DMR Data'!M:M)*(X549='Raw Period DMR Data'!C:C),0),1), "N/A")</f>
        <v>N/A</v>
      </c>
      <c r="W549" s="28" t="s">
        <v>1463</v>
      </c>
      <c r="X549" s="28" t="s">
        <v>1619</v>
      </c>
      <c r="Y549" s="28" t="s">
        <v>1620</v>
      </c>
      <c r="Z549" s="61">
        <v>4080203000602</v>
      </c>
      <c r="AA549" s="60"/>
      <c r="AB549" s="28" t="s">
        <v>7355</v>
      </c>
      <c r="AC549" s="28" t="s">
        <v>1466</v>
      </c>
    </row>
    <row r="550" spans="1:29" s="28" customFormat="1" x14ac:dyDescent="0.25">
      <c r="A550" s="61">
        <v>110000408265</v>
      </c>
      <c r="B550" s="28">
        <v>2023</v>
      </c>
      <c r="C550" s="68">
        <f t="shared" si="8"/>
        <v>44927</v>
      </c>
      <c r="D550" s="28" t="s">
        <v>1044</v>
      </c>
      <c r="E550" s="28" t="s">
        <v>1617</v>
      </c>
      <c r="F550" s="28" t="s">
        <v>1045</v>
      </c>
      <c r="G550" s="28" t="s">
        <v>427</v>
      </c>
      <c r="H550" s="28">
        <v>48843</v>
      </c>
      <c r="I550" s="28">
        <v>42.592550000000003</v>
      </c>
      <c r="J550" s="28">
        <v>-83.889930000000007</v>
      </c>
      <c r="L550" s="61">
        <v>110000408265</v>
      </c>
      <c r="M550" s="28" t="s">
        <v>265</v>
      </c>
      <c r="N550" s="28">
        <v>2899</v>
      </c>
      <c r="O550" s="28" t="str">
        <f>IFERROR(VLOOKUP(N550, 'SIC &amp; NAICS Codes'!A:B, 2, FALSE), "")</f>
        <v>Chemicals and Chemical Preparations, NEC (table salt)</v>
      </c>
      <c r="S550" s="28">
        <v>4.8466924999999999E-4</v>
      </c>
      <c r="T550" s="315">
        <f>_xlfn.MAXIFS('Raw Period DMR Data'!$O:$O,'Raw Period DMR Data'!$A:$A,'Raw Annual DMR Data_2021-2024'!#REF!,'Raw Period DMR Data'!$C:$C,X550)/S550</f>
        <v>0</v>
      </c>
      <c r="U550" s="28" t="str">
        <f>+IF(COUNTIFS('Raw Period DMR Data'!$A:$A,B550,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50" s="28" t="str" cm="1">
        <f t="array" ref="V550">IFERROR(INDEX('Raw Period DMR Data'!N:N,MATCH(1,(B550='Raw Period DMR Data'!$A:$A)*(U550='Raw Period DMR Data'!M:M)*(X550='Raw Period DMR Data'!C:C),0),1), "N/A")</f>
        <v>N/A</v>
      </c>
      <c r="W550" s="28" t="s">
        <v>1463</v>
      </c>
      <c r="X550" s="28" t="s">
        <v>1619</v>
      </c>
      <c r="Y550" s="28" t="s">
        <v>1620</v>
      </c>
      <c r="Z550" s="61" t="s">
        <v>1621</v>
      </c>
      <c r="AA550" s="60"/>
      <c r="AB550" s="28" t="s">
        <v>7355</v>
      </c>
      <c r="AC550" s="28" t="s">
        <v>1466</v>
      </c>
    </row>
    <row r="551" spans="1:29" s="28" customFormat="1" x14ac:dyDescent="0.25">
      <c r="A551" s="61">
        <v>110000408265</v>
      </c>
      <c r="B551" s="28">
        <v>2024</v>
      </c>
      <c r="C551" s="68">
        <f t="shared" si="8"/>
        <v>45292</v>
      </c>
      <c r="D551" s="28" t="s">
        <v>1044</v>
      </c>
      <c r="E551" s="28" t="s">
        <v>1617</v>
      </c>
      <c r="F551" s="28" t="s">
        <v>1045</v>
      </c>
      <c r="G551" s="28" t="s">
        <v>427</v>
      </c>
      <c r="H551" s="28">
        <v>48843</v>
      </c>
      <c r="I551" s="28">
        <v>42.592550000000003</v>
      </c>
      <c r="J551" s="28">
        <v>-83.889930000000007</v>
      </c>
      <c r="L551" s="61">
        <v>110000408265</v>
      </c>
      <c r="M551" s="28" t="s">
        <v>265</v>
      </c>
      <c r="N551" s="28">
        <v>2899</v>
      </c>
      <c r="O551" s="28" t="str">
        <f>IFERROR(VLOOKUP(N551, 'SIC &amp; NAICS Codes'!A:B, 2, FALSE), "")</f>
        <v>Chemicals and Chemical Preparations, NEC (table salt)</v>
      </c>
      <c r="S551" s="28">
        <v>4.3130075000000001E-4</v>
      </c>
      <c r="T551" s="315">
        <f>_xlfn.MAXIFS('Raw Period DMR Data'!$O:$O,'Raw Period DMR Data'!$A:$A,'Raw Annual DMR Data_2021-2024'!#REF!,'Raw Period DMR Data'!$C:$C,X551)/S551</f>
        <v>0</v>
      </c>
      <c r="U551" s="28" t="str">
        <f>+IF(COUNTIFS('Raw Period DMR Data'!$A:$A,B551,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51" s="28" t="str" cm="1">
        <f t="array" ref="V551">IFERROR(INDEX('Raw Period DMR Data'!N:N,MATCH(1,(B551='Raw Period DMR Data'!$A:$A)*(U551='Raw Period DMR Data'!M:M)*(X551='Raw Period DMR Data'!C:C),0),1), "N/A")</f>
        <v>N/A</v>
      </c>
      <c r="W551" s="28" t="s">
        <v>1463</v>
      </c>
      <c r="X551" s="28" t="s">
        <v>1619</v>
      </c>
      <c r="Y551" s="28" t="s">
        <v>1620</v>
      </c>
      <c r="Z551" s="61">
        <v>4080203000602</v>
      </c>
      <c r="AA551" s="60"/>
      <c r="AB551" s="28" t="s">
        <v>7355</v>
      </c>
      <c r="AC551" s="28" t="s">
        <v>1466</v>
      </c>
    </row>
    <row r="552" spans="1:29" s="28" customFormat="1" x14ac:dyDescent="0.25">
      <c r="A552" s="61">
        <v>110070670433</v>
      </c>
      <c r="B552" s="28">
        <v>2022</v>
      </c>
      <c r="C552" s="68">
        <f t="shared" si="8"/>
        <v>44562</v>
      </c>
      <c r="D552" s="28" t="s">
        <v>1063</v>
      </c>
      <c r="E552" s="28" t="s">
        <v>1645</v>
      </c>
      <c r="F552" s="28" t="s">
        <v>1064</v>
      </c>
      <c r="G552" s="28" t="s">
        <v>308</v>
      </c>
      <c r="H552" s="28">
        <v>1760</v>
      </c>
      <c r="I552" s="28">
        <v>42.303330000000003</v>
      </c>
      <c r="J552" s="28">
        <v>-71.360830000000007</v>
      </c>
      <c r="L552" s="61">
        <v>110070670433</v>
      </c>
      <c r="M552" s="28" t="s">
        <v>265</v>
      </c>
      <c r="O552" s="28" t="str">
        <f>IFERROR(VLOOKUP(N552, 'SIC &amp; NAICS Codes'!A:B, 2, FALSE), "")</f>
        <v/>
      </c>
      <c r="S552" s="28">
        <v>1.4713286670000001E-2</v>
      </c>
      <c r="T552" s="315">
        <f>_xlfn.MAXIFS('Raw Period DMR Data'!$O:$O,'Raw Period DMR Data'!$A:$A,'Raw Annual DMR Data_2021-2024'!#REF!,'Raw Period DMR Data'!$C:$C,X552)/S552</f>
        <v>0</v>
      </c>
      <c r="U552" s="28" t="str">
        <f>+IF(COUNTIFS('Raw Period DMR Data'!$A:$A,B552,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52" s="28" t="str" cm="1">
        <f t="array" ref="V552">IFERROR(INDEX('Raw Period DMR Data'!N:N,MATCH(1,(B552='Raw Period DMR Data'!$A:$A)*(U552='Raw Period DMR Data'!M:M)*(X552='Raw Period DMR Data'!C:C),0),1), "N/A")</f>
        <v>N/A</v>
      </c>
      <c r="W552" s="28" t="s">
        <v>1463</v>
      </c>
      <c r="X552" s="28" t="s">
        <v>1646</v>
      </c>
      <c r="Y552" s="28" t="s">
        <v>1647</v>
      </c>
      <c r="Z552" s="61"/>
      <c r="AA552" s="60"/>
      <c r="AB552" s="28" t="s">
        <v>7355</v>
      </c>
      <c r="AC552" s="28" t="s">
        <v>1466</v>
      </c>
    </row>
    <row r="553" spans="1:29" s="28" customFormat="1" x14ac:dyDescent="0.25">
      <c r="A553" s="61">
        <v>110070670433</v>
      </c>
      <c r="B553" s="28">
        <v>2021</v>
      </c>
      <c r="C553" s="68">
        <f t="shared" si="8"/>
        <v>44197</v>
      </c>
      <c r="D553" s="28" t="s">
        <v>1063</v>
      </c>
      <c r="E553" s="28" t="s">
        <v>1645</v>
      </c>
      <c r="F553" s="28" t="s">
        <v>1064</v>
      </c>
      <c r="G553" s="28" t="s">
        <v>308</v>
      </c>
      <c r="H553" s="28">
        <v>1760</v>
      </c>
      <c r="I553" s="28">
        <v>42.303330000000003</v>
      </c>
      <c r="J553" s="28">
        <v>-71.360830000000007</v>
      </c>
      <c r="L553" s="61">
        <v>110070670433</v>
      </c>
      <c r="M553" s="28" t="s">
        <v>265</v>
      </c>
      <c r="O553" s="28" t="str">
        <f>IFERROR(VLOOKUP(N553, 'SIC &amp; NAICS Codes'!A:B, 2, FALSE), "")</f>
        <v/>
      </c>
      <c r="S553" s="28">
        <v>1.42146375225E-2</v>
      </c>
      <c r="T553" s="315">
        <f>_xlfn.MAXIFS('Raw Period DMR Data'!$O:$O,'Raw Period DMR Data'!$A:$A,'Raw Annual DMR Data_2021-2024'!#REF!,'Raw Period DMR Data'!$C:$C,X553)/S553</f>
        <v>0</v>
      </c>
      <c r="U553" s="28" t="str">
        <f>+IF(COUNTIFS('Raw Period DMR Data'!$A:$A,B553,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53" s="28" t="str" cm="1">
        <f t="array" ref="V553">IFERROR(INDEX('Raw Period DMR Data'!N:N,MATCH(1,(B553='Raw Period DMR Data'!$A:$A)*(U553='Raw Period DMR Data'!M:M)*(X553='Raw Period DMR Data'!C:C),0),1), "N/A")</f>
        <v>N/A</v>
      </c>
      <c r="W553" s="28" t="s">
        <v>1463</v>
      </c>
      <c r="X553" s="28" t="s">
        <v>1646</v>
      </c>
      <c r="Y553" s="28" t="s">
        <v>1647</v>
      </c>
      <c r="Z553" s="61"/>
      <c r="AB553" s="28" t="s">
        <v>7355</v>
      </c>
      <c r="AC553" s="28" t="s">
        <v>1466</v>
      </c>
    </row>
    <row r="554" spans="1:29" s="28" customFormat="1" x14ac:dyDescent="0.25">
      <c r="A554" s="61">
        <v>110000854246</v>
      </c>
      <c r="B554" s="28">
        <v>2021</v>
      </c>
      <c r="C554" s="68">
        <f t="shared" si="8"/>
        <v>44197</v>
      </c>
      <c r="D554" s="28" t="s">
        <v>6829</v>
      </c>
      <c r="E554" s="28" t="s">
        <v>6983</v>
      </c>
      <c r="F554" s="28" t="s">
        <v>1066</v>
      </c>
      <c r="G554" s="28" t="s">
        <v>541</v>
      </c>
      <c r="H554" s="28">
        <v>29210</v>
      </c>
      <c r="I554" s="28">
        <v>34.047217000000003</v>
      </c>
      <c r="J554" s="28">
        <v>-81.151325999999997</v>
      </c>
      <c r="K554" s="28" t="s">
        <v>7126</v>
      </c>
      <c r="L554" s="61">
        <v>110000854246</v>
      </c>
      <c r="M554" s="28" t="s">
        <v>265</v>
      </c>
      <c r="N554" s="28">
        <v>2824</v>
      </c>
      <c r="O554" s="28" t="str">
        <f>IFERROR(VLOOKUP(N554, 'SIC &amp; NAICS Codes'!A:B, 2, FALSE), "")</f>
        <v>Manmade Organic Fibers, Except Cellulosic</v>
      </c>
      <c r="S554" s="28">
        <v>0.33141999999999999</v>
      </c>
      <c r="T554" s="315">
        <f>_xlfn.MAXIFS('Raw Period DMR Data'!$O:$O,'Raw Period DMR Data'!$A:$A,'Raw Annual DMR Data_2021-2024'!#REF!,'Raw Period DMR Data'!$C:$C,X554)/S554</f>
        <v>0</v>
      </c>
      <c r="U554" s="28" t="str">
        <f>+IF(COUNTIFS('Raw Period DMR Data'!$A:$A,B554,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54" s="28" t="str" cm="1">
        <f t="array" ref="V554">IFERROR(INDEX('Raw Period DMR Data'!N:N,MATCH(1,(B554='Raw Period DMR Data'!$A:$A)*(U554='Raw Period DMR Data'!M:M)*(X554='Raw Period DMR Data'!C:C),0),1), "N/A")</f>
        <v>N/A</v>
      </c>
      <c r="W554" s="28" t="s">
        <v>1463</v>
      </c>
      <c r="X554" s="28" t="s">
        <v>7168</v>
      </c>
      <c r="Y554" s="28" t="s">
        <v>7281</v>
      </c>
      <c r="Z554" s="61">
        <v>3050109000636</v>
      </c>
      <c r="AC554" s="28" t="s">
        <v>1466</v>
      </c>
    </row>
    <row r="555" spans="1:29" s="28" customFormat="1" x14ac:dyDescent="0.25">
      <c r="A555" s="61">
        <v>110000854246</v>
      </c>
      <c r="B555" s="28">
        <v>2022</v>
      </c>
      <c r="C555" s="68">
        <f t="shared" si="8"/>
        <v>44562</v>
      </c>
      <c r="D555" s="28" t="s">
        <v>6829</v>
      </c>
      <c r="E555" s="28" t="s">
        <v>6983</v>
      </c>
      <c r="F555" s="28" t="s">
        <v>1066</v>
      </c>
      <c r="G555" s="28" t="s">
        <v>541</v>
      </c>
      <c r="H555" s="28">
        <v>29210</v>
      </c>
      <c r="I555" s="28">
        <v>34.047217000000003</v>
      </c>
      <c r="J555" s="28">
        <v>-81.151325999999997</v>
      </c>
      <c r="K555" s="28" t="s">
        <v>7126</v>
      </c>
      <c r="L555" s="61">
        <v>110000854246</v>
      </c>
      <c r="M555" s="28" t="s">
        <v>265</v>
      </c>
      <c r="N555" s="28">
        <v>2824</v>
      </c>
      <c r="O555" s="28" t="str">
        <f>IFERROR(VLOOKUP(N555, 'SIC &amp; NAICS Codes'!A:B, 2, FALSE), "")</f>
        <v>Manmade Organic Fibers, Except Cellulosic</v>
      </c>
      <c r="S555" s="28">
        <v>0.33141999999999999</v>
      </c>
      <c r="T555" s="315">
        <f>_xlfn.MAXIFS('Raw Period DMR Data'!$O:$O,'Raw Period DMR Data'!$A:$A,'Raw Annual DMR Data_2021-2024'!#REF!,'Raw Period DMR Data'!$C:$C,X555)/S555</f>
        <v>0</v>
      </c>
      <c r="U555" s="28" t="str">
        <f>+IF(COUNTIFS('Raw Period DMR Data'!$A:$A,B555,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55" s="28" t="str" cm="1">
        <f t="array" ref="V555">IFERROR(INDEX('Raw Period DMR Data'!N:N,MATCH(1,(B555='Raw Period DMR Data'!$A:$A)*(U555='Raw Period DMR Data'!M:M)*(X555='Raw Period DMR Data'!C:C),0),1), "N/A")</f>
        <v>N/A</v>
      </c>
      <c r="W555" s="28" t="s">
        <v>1463</v>
      </c>
      <c r="X555" s="28" t="s">
        <v>7168</v>
      </c>
      <c r="Y555" s="28" t="s">
        <v>7281</v>
      </c>
      <c r="Z555" s="61">
        <v>3050109000636</v>
      </c>
      <c r="AA555" s="60"/>
      <c r="AC555" s="28" t="s">
        <v>1466</v>
      </c>
    </row>
    <row r="556" spans="1:29" s="28" customFormat="1" x14ac:dyDescent="0.25">
      <c r="A556" s="61">
        <v>110000854246</v>
      </c>
      <c r="B556" s="28">
        <v>2023</v>
      </c>
      <c r="C556" s="68">
        <f t="shared" si="8"/>
        <v>44927</v>
      </c>
      <c r="D556" s="28" t="s">
        <v>6829</v>
      </c>
      <c r="E556" s="28" t="s">
        <v>6983</v>
      </c>
      <c r="F556" s="28" t="s">
        <v>1066</v>
      </c>
      <c r="G556" s="28" t="s">
        <v>541</v>
      </c>
      <c r="H556" s="28">
        <v>29210</v>
      </c>
      <c r="I556" s="28">
        <v>34.047217000000003</v>
      </c>
      <c r="J556" s="28">
        <v>-81.151325999999997</v>
      </c>
      <c r="K556" s="28" t="s">
        <v>7126</v>
      </c>
      <c r="L556" s="61">
        <v>110000854246</v>
      </c>
      <c r="M556" s="28" t="s">
        <v>265</v>
      </c>
      <c r="N556" s="28">
        <v>2824</v>
      </c>
      <c r="O556" s="28" t="str">
        <f>IFERROR(VLOOKUP(N556, 'SIC &amp; NAICS Codes'!A:B, 2, FALSE), "")</f>
        <v>Manmade Organic Fibers, Except Cellulosic</v>
      </c>
      <c r="S556" s="28">
        <v>0.33141999999999999</v>
      </c>
      <c r="T556" s="315">
        <f>_xlfn.MAXIFS('Raw Period DMR Data'!$O:$O,'Raw Period DMR Data'!$A:$A,'Raw Annual DMR Data_2021-2024'!#REF!,'Raw Period DMR Data'!$C:$C,X556)/S556</f>
        <v>0</v>
      </c>
      <c r="U556" s="28" t="str">
        <f>+IF(COUNTIFS('Raw Period DMR Data'!$A:$A,B556,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56" s="28" t="str" cm="1">
        <f t="array" ref="V556">IFERROR(INDEX('Raw Period DMR Data'!N:N,MATCH(1,(B556='Raw Period DMR Data'!$A:$A)*(U556='Raw Period DMR Data'!M:M)*(X556='Raw Period DMR Data'!C:C),0),1), "N/A")</f>
        <v>N/A</v>
      </c>
      <c r="W556" s="28" t="s">
        <v>1463</v>
      </c>
      <c r="X556" s="28" t="s">
        <v>7168</v>
      </c>
      <c r="Y556" s="28" t="s">
        <v>7281</v>
      </c>
      <c r="Z556" s="61">
        <v>3050109000636</v>
      </c>
      <c r="AA556" s="60"/>
      <c r="AC556" s="28" t="s">
        <v>1466</v>
      </c>
    </row>
    <row r="557" spans="1:29" s="28" customFormat="1" x14ac:dyDescent="0.25">
      <c r="A557" s="61">
        <v>110000854246</v>
      </c>
      <c r="B557" s="28">
        <v>2024</v>
      </c>
      <c r="C557" s="68">
        <f t="shared" si="8"/>
        <v>45292</v>
      </c>
      <c r="D557" s="28" t="s">
        <v>6829</v>
      </c>
      <c r="E557" s="28" t="s">
        <v>6983</v>
      </c>
      <c r="F557" s="28" t="s">
        <v>1066</v>
      </c>
      <c r="G557" s="28" t="s">
        <v>541</v>
      </c>
      <c r="H557" s="28">
        <v>29210</v>
      </c>
      <c r="I557" s="28">
        <v>34.047217000000003</v>
      </c>
      <c r="J557" s="28">
        <v>-81.151325999999997</v>
      </c>
      <c r="K557" s="28" t="s">
        <v>7126</v>
      </c>
      <c r="L557" s="61">
        <v>110000854246</v>
      </c>
      <c r="M557" s="28" t="s">
        <v>265</v>
      </c>
      <c r="N557" s="28">
        <v>2824</v>
      </c>
      <c r="O557" s="28" t="str">
        <f>IFERROR(VLOOKUP(N557, 'SIC &amp; NAICS Codes'!A:B, 2, FALSE), "")</f>
        <v>Manmade Organic Fibers, Except Cellulosic</v>
      </c>
      <c r="S557" s="28">
        <v>0.16571</v>
      </c>
      <c r="T557" s="315">
        <f>_xlfn.MAXIFS('Raw Period DMR Data'!$O:$O,'Raw Period DMR Data'!$A:$A,'Raw Annual DMR Data_2021-2024'!#REF!,'Raw Period DMR Data'!$C:$C,X557)/S557</f>
        <v>0</v>
      </c>
      <c r="U557" s="28" t="str">
        <f>+IF(COUNTIFS('Raw Period DMR Data'!$A:$A,B557,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57" s="28" t="str" cm="1">
        <f t="array" ref="V557">IFERROR(INDEX('Raw Period DMR Data'!N:N,MATCH(1,(B557='Raw Period DMR Data'!$A:$A)*(U557='Raw Period DMR Data'!M:M)*(X557='Raw Period DMR Data'!C:C),0),1), "N/A")</f>
        <v>N/A</v>
      </c>
      <c r="W557" s="28" t="s">
        <v>1463</v>
      </c>
      <c r="X557" s="28" t="s">
        <v>7168</v>
      </c>
      <c r="Y557" s="28" t="s">
        <v>7281</v>
      </c>
      <c r="Z557" s="61">
        <v>3050109000636</v>
      </c>
      <c r="AA557" s="60"/>
      <c r="AC557" s="28" t="s">
        <v>1466</v>
      </c>
    </row>
    <row r="558" spans="1:29" s="28" customFormat="1" x14ac:dyDescent="0.25">
      <c r="A558" s="61">
        <v>110070676994</v>
      </c>
      <c r="B558" s="28">
        <v>2024</v>
      </c>
      <c r="C558" s="68">
        <f t="shared" si="8"/>
        <v>45292</v>
      </c>
      <c r="D558" s="28" t="s">
        <v>6777</v>
      </c>
      <c r="E558" s="28" t="s">
        <v>6920</v>
      </c>
      <c r="F558" s="28" t="s">
        <v>6921</v>
      </c>
      <c r="G558" s="28" t="s">
        <v>311</v>
      </c>
      <c r="H558" s="28">
        <v>25064</v>
      </c>
      <c r="I558" s="28">
        <v>38.382550000000002</v>
      </c>
      <c r="J558" s="28">
        <v>-81.782629</v>
      </c>
      <c r="K558" s="28" t="s">
        <v>7118</v>
      </c>
      <c r="L558" s="61">
        <v>110070676994</v>
      </c>
      <c r="M558" s="28" t="s">
        <v>265</v>
      </c>
      <c r="N558" s="28">
        <v>2869</v>
      </c>
      <c r="O558" s="28" t="str">
        <f>IFERROR(VLOOKUP(N558, 'SIC &amp; NAICS Codes'!A:B, 2, FALSE), "")</f>
        <v>Industrial Organic Chemicals, NEC (aliphatics)</v>
      </c>
      <c r="S558" s="28">
        <v>0.69957272727272701</v>
      </c>
      <c r="T558" s="315">
        <f>_xlfn.MAXIFS('Raw Period DMR Data'!$O:$O,'Raw Period DMR Data'!$A:$A,'Raw Annual DMR Data_2021-2024'!#REF!,'Raw Period DMR Data'!$C:$C,X558)/S558</f>
        <v>0</v>
      </c>
      <c r="U558" s="28" t="str">
        <f>+IF(COUNTIFS('Raw Period DMR Data'!$A:$A,B558,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58" s="28" t="str" cm="1">
        <f t="array" ref="V558">IFERROR(INDEX('Raw Period DMR Data'!N:N,MATCH(1,(B558='Raw Period DMR Data'!$A:$A)*(U558='Raw Period DMR Data'!M:M)*(X558='Raw Period DMR Data'!C:C),0),1), "N/A")</f>
        <v>N/A</v>
      </c>
      <c r="W558" s="28" t="s">
        <v>1463</v>
      </c>
      <c r="X558" s="28" t="s">
        <v>770</v>
      </c>
      <c r="Y558" s="28" t="s">
        <v>771</v>
      </c>
      <c r="Z558" s="61">
        <v>5050008000998</v>
      </c>
      <c r="AA558" s="60"/>
      <c r="AC558" s="28" t="s">
        <v>1466</v>
      </c>
    </row>
    <row r="559" spans="1:29" s="28" customFormat="1" x14ac:dyDescent="0.25">
      <c r="A559" s="61">
        <v>110000595981</v>
      </c>
      <c r="B559" s="28">
        <v>2021</v>
      </c>
      <c r="C559" s="68">
        <f t="shared" si="8"/>
        <v>44197</v>
      </c>
      <c r="D559" s="28" t="s">
        <v>6844</v>
      </c>
      <c r="E559" s="28" t="s">
        <v>1652</v>
      </c>
      <c r="F559" s="28" t="s">
        <v>1068</v>
      </c>
      <c r="G559" s="28" t="s">
        <v>349</v>
      </c>
      <c r="H559" s="28">
        <v>63401</v>
      </c>
      <c r="I559" s="28">
        <v>39.683477000000003</v>
      </c>
      <c r="J559" s="28">
        <v>-91.334682999999998</v>
      </c>
      <c r="K559" s="28" t="s">
        <v>709</v>
      </c>
      <c r="L559" s="61">
        <v>110000595981</v>
      </c>
      <c r="M559" s="28" t="s">
        <v>265</v>
      </c>
      <c r="N559" s="28">
        <v>3241</v>
      </c>
      <c r="O559" s="28" t="str">
        <f>IFERROR(VLOOKUP(N559, 'SIC &amp; NAICS Codes'!A:B, 2, FALSE), "")</f>
        <v>Cement, Hydraulic</v>
      </c>
      <c r="S559" s="28">
        <v>0.92907556250000001</v>
      </c>
      <c r="T559" s="315">
        <f>_xlfn.MAXIFS('Raw Period DMR Data'!$O:$O,'Raw Period DMR Data'!$A:$A,'Raw Annual DMR Data_2021-2024'!#REF!,'Raw Period DMR Data'!$C:$C,X559)/S559</f>
        <v>0</v>
      </c>
      <c r="U559" s="28" t="str">
        <f>+IF(COUNTIFS('Raw Period DMR Data'!$A:$A,B559,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59" s="28" t="str" cm="1">
        <f t="array" ref="V559">IFERROR(INDEX('Raw Period DMR Data'!N:N,MATCH(1,(B559='Raw Period DMR Data'!$A:$A)*(U559='Raw Period DMR Data'!M:M)*(X559='Raw Period DMR Data'!C:C),0),1), "N/A")</f>
        <v>N/A</v>
      </c>
      <c r="W559" s="28" t="s">
        <v>1463</v>
      </c>
      <c r="X559" s="28" t="s">
        <v>1653</v>
      </c>
      <c r="Y559" s="28" t="s">
        <v>1654</v>
      </c>
      <c r="Z559" s="61">
        <v>7110004001311</v>
      </c>
      <c r="AA559" s="60"/>
      <c r="AB559" s="28" t="s">
        <v>7355</v>
      </c>
      <c r="AC559" s="28" t="s">
        <v>1466</v>
      </c>
    </row>
    <row r="560" spans="1:29" s="28" customFormat="1" x14ac:dyDescent="0.25">
      <c r="A560" s="61">
        <v>110000595981</v>
      </c>
      <c r="B560" s="28">
        <v>2022</v>
      </c>
      <c r="C560" s="68">
        <f t="shared" si="8"/>
        <v>44562</v>
      </c>
      <c r="D560" s="28" t="s">
        <v>6844</v>
      </c>
      <c r="E560" s="28" t="s">
        <v>1652</v>
      </c>
      <c r="F560" s="28" t="s">
        <v>1068</v>
      </c>
      <c r="G560" s="28" t="s">
        <v>349</v>
      </c>
      <c r="H560" s="28">
        <v>63401</v>
      </c>
      <c r="I560" s="28">
        <v>39.683477000000003</v>
      </c>
      <c r="J560" s="28">
        <v>-91.334682999999998</v>
      </c>
      <c r="K560" s="28" t="s">
        <v>709</v>
      </c>
      <c r="L560" s="61">
        <v>110000595981</v>
      </c>
      <c r="M560" s="28" t="s">
        <v>265</v>
      </c>
      <c r="N560" s="28">
        <v>3241</v>
      </c>
      <c r="O560" s="28" t="str">
        <f>IFERROR(VLOOKUP(N560, 'SIC &amp; NAICS Codes'!A:B, 2, FALSE), "")</f>
        <v>Cement, Hydraulic</v>
      </c>
      <c r="S560" s="28">
        <v>0.55261000000000005</v>
      </c>
      <c r="T560" s="315">
        <f>_xlfn.MAXIFS('Raw Period DMR Data'!$O:$O,'Raw Period DMR Data'!$A:$A,'Raw Annual DMR Data_2021-2024'!#REF!,'Raw Period DMR Data'!$C:$C,X560)/S560</f>
        <v>0</v>
      </c>
      <c r="U560" s="28" t="str">
        <f>+IF(COUNTIFS('Raw Period DMR Data'!$A:$A,B560,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60" s="28" t="str" cm="1">
        <f t="array" ref="V560">IFERROR(INDEX('Raw Period DMR Data'!N:N,MATCH(1,(B560='Raw Period DMR Data'!$A:$A)*(U560='Raw Period DMR Data'!M:M)*(X560='Raw Period DMR Data'!C:C),0),1), "N/A")</f>
        <v>N/A</v>
      </c>
      <c r="W560" s="28" t="s">
        <v>1463</v>
      </c>
      <c r="X560" s="28" t="s">
        <v>1653</v>
      </c>
      <c r="Y560" s="28" t="s">
        <v>1654</v>
      </c>
      <c r="Z560" s="61">
        <v>7110004001311</v>
      </c>
      <c r="AA560" s="60"/>
      <c r="AB560" s="28" t="s">
        <v>7355</v>
      </c>
      <c r="AC560" s="28" t="s">
        <v>1466</v>
      </c>
    </row>
    <row r="561" spans="1:29" s="28" customFormat="1" x14ac:dyDescent="0.25">
      <c r="A561" s="61">
        <v>110000595981</v>
      </c>
      <c r="B561" s="28">
        <v>2023</v>
      </c>
      <c r="C561" s="68">
        <f t="shared" si="8"/>
        <v>44927</v>
      </c>
      <c r="D561" s="28" t="s">
        <v>6844</v>
      </c>
      <c r="E561" s="28" t="s">
        <v>1652</v>
      </c>
      <c r="F561" s="28" t="s">
        <v>1068</v>
      </c>
      <c r="G561" s="28" t="s">
        <v>349</v>
      </c>
      <c r="H561" s="28">
        <v>63401</v>
      </c>
      <c r="I561" s="28">
        <v>39.683477000000003</v>
      </c>
      <c r="J561" s="28">
        <v>-91.334682999999998</v>
      </c>
      <c r="K561" s="28" t="s">
        <v>709</v>
      </c>
      <c r="L561" s="61">
        <v>110000595981</v>
      </c>
      <c r="M561" s="28" t="s">
        <v>265</v>
      </c>
      <c r="N561" s="28">
        <v>3241</v>
      </c>
      <c r="O561" s="28" t="str">
        <f>IFERROR(VLOOKUP(N561, 'SIC &amp; NAICS Codes'!A:B, 2, FALSE), "")</f>
        <v>Cement, Hydraulic</v>
      </c>
      <c r="S561" s="28">
        <v>0.110522</v>
      </c>
      <c r="T561" s="315">
        <f>_xlfn.MAXIFS('Raw Period DMR Data'!$O:$O,'Raw Period DMR Data'!$A:$A,'Raw Annual DMR Data_2021-2024'!#REF!,'Raw Period DMR Data'!$C:$C,X561)/S561</f>
        <v>0</v>
      </c>
      <c r="U561" s="28" t="str">
        <f>+IF(COUNTIFS('Raw Period DMR Data'!$A:$A,B561,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61" s="28" t="str" cm="1">
        <f t="array" ref="V561">IFERROR(INDEX('Raw Period DMR Data'!N:N,MATCH(1,(B561='Raw Period DMR Data'!$A:$A)*(U561='Raw Period DMR Data'!M:M)*(X561='Raw Period DMR Data'!C:C),0),1), "N/A")</f>
        <v>N/A</v>
      </c>
      <c r="W561" s="28" t="s">
        <v>1463</v>
      </c>
      <c r="X561" s="28" t="s">
        <v>1653</v>
      </c>
      <c r="Y561" s="28" t="s">
        <v>1654</v>
      </c>
      <c r="Z561" s="61" t="s">
        <v>1655</v>
      </c>
      <c r="AA561" s="60"/>
      <c r="AB561" s="28" t="s">
        <v>7355</v>
      </c>
      <c r="AC561" s="28" t="s">
        <v>1466</v>
      </c>
    </row>
    <row r="562" spans="1:29" s="28" customFormat="1" x14ac:dyDescent="0.25">
      <c r="A562" s="61">
        <v>110000595981</v>
      </c>
      <c r="B562" s="28">
        <v>2024</v>
      </c>
      <c r="C562" s="68">
        <f t="shared" si="8"/>
        <v>45292</v>
      </c>
      <c r="D562" s="28" t="s">
        <v>6844</v>
      </c>
      <c r="E562" s="28" t="s">
        <v>1652</v>
      </c>
      <c r="F562" s="28" t="s">
        <v>1068</v>
      </c>
      <c r="G562" s="28" t="s">
        <v>349</v>
      </c>
      <c r="H562" s="28">
        <v>63401</v>
      </c>
      <c r="I562" s="28">
        <v>39.683477000000003</v>
      </c>
      <c r="J562" s="28">
        <v>-91.334682999999998</v>
      </c>
      <c r="K562" s="28" t="s">
        <v>709</v>
      </c>
      <c r="L562" s="61">
        <v>110000595981</v>
      </c>
      <c r="M562" s="28" t="s">
        <v>265</v>
      </c>
      <c r="N562" s="28">
        <v>3241</v>
      </c>
      <c r="O562" s="28" t="str">
        <f>IFERROR(VLOOKUP(N562, 'SIC &amp; NAICS Codes'!A:B, 2, FALSE), "")</f>
        <v>Cement, Hydraulic</v>
      </c>
      <c r="S562" s="28">
        <v>1.31244875E-2</v>
      </c>
      <c r="T562" s="315">
        <f>_xlfn.MAXIFS('Raw Period DMR Data'!$O:$O,'Raw Period DMR Data'!$A:$A,'Raw Annual DMR Data_2021-2024'!#REF!,'Raw Period DMR Data'!$C:$C,X562)/S562</f>
        <v>0</v>
      </c>
      <c r="U562" s="28" t="str">
        <f>+IF(COUNTIFS('Raw Period DMR Data'!$A:$A,B562,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62" s="28" t="str" cm="1">
        <f t="array" ref="V562">IFERROR(INDEX('Raw Period DMR Data'!N:N,MATCH(1,(B562='Raw Period DMR Data'!$A:$A)*(U562='Raw Period DMR Data'!M:M)*(X562='Raw Period DMR Data'!C:C),0),1), "N/A")</f>
        <v>N/A</v>
      </c>
      <c r="W562" s="28" t="s">
        <v>1463</v>
      </c>
      <c r="X562" s="28" t="s">
        <v>1653</v>
      </c>
      <c r="Y562" s="28" t="s">
        <v>1654</v>
      </c>
      <c r="Z562" s="61">
        <v>7110004001311</v>
      </c>
      <c r="AA562" s="60"/>
      <c r="AB562" s="28" t="s">
        <v>7355</v>
      </c>
      <c r="AC562" s="28" t="s">
        <v>1466</v>
      </c>
    </row>
    <row r="563" spans="1:29" s="28" customFormat="1" x14ac:dyDescent="0.25">
      <c r="A563" s="61">
        <v>110000616049</v>
      </c>
      <c r="B563" s="28">
        <v>2023</v>
      </c>
      <c r="C563" s="68">
        <f t="shared" si="8"/>
        <v>44927</v>
      </c>
      <c r="D563" s="28" t="s">
        <v>1069</v>
      </c>
      <c r="E563" s="28" t="s">
        <v>1656</v>
      </c>
      <c r="F563" s="28" t="s">
        <v>1070</v>
      </c>
      <c r="G563" s="28" t="s">
        <v>338</v>
      </c>
      <c r="H563" s="28" t="s">
        <v>1659</v>
      </c>
      <c r="I563" s="28">
        <v>40.798532000000002</v>
      </c>
      <c r="J563" s="28">
        <v>-74.701402000000002</v>
      </c>
      <c r="L563" s="61">
        <v>110000616049</v>
      </c>
      <c r="M563" s="28" t="s">
        <v>265</v>
      </c>
      <c r="N563" s="28">
        <v>1799</v>
      </c>
      <c r="O563" s="28" t="str">
        <f>IFERROR(VLOOKUP(N563, 'SIC &amp; NAICS Codes'!A:B, 2, FALSE), "")</f>
        <v>Special Trade Contractors, NEC (indoor swimming pool construction contractors)</v>
      </c>
      <c r="S563" s="28">
        <v>8.5101410099999997E-3</v>
      </c>
      <c r="T563" s="315">
        <f>_xlfn.MAXIFS('Raw Period DMR Data'!$O:$O,'Raw Period DMR Data'!$A:$A,'Raw Annual DMR Data_2021-2024'!#REF!,'Raw Period DMR Data'!$C:$C,X563)/S563</f>
        <v>0</v>
      </c>
      <c r="U563" s="28" t="str">
        <f>+IF(COUNTIFS('Raw Period DMR Data'!$A:$A,B563,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63" s="28" t="str" cm="1">
        <f t="array" ref="V563">IFERROR(INDEX('Raw Period DMR Data'!N:N,MATCH(1,(B563='Raw Period DMR Data'!$A:$A)*(U563='Raw Period DMR Data'!M:M)*(X563='Raw Period DMR Data'!C:C),0),1), "N/A")</f>
        <v>N/A</v>
      </c>
      <c r="W563" s="28" t="s">
        <v>1463</v>
      </c>
      <c r="X563" s="28" t="s">
        <v>1657</v>
      </c>
      <c r="Y563" s="28" t="s">
        <v>1658</v>
      </c>
      <c r="Z563" s="61" t="s">
        <v>1660</v>
      </c>
      <c r="AA563" s="60"/>
      <c r="AB563" s="28" t="s">
        <v>7355</v>
      </c>
      <c r="AC563" s="28" t="s">
        <v>1466</v>
      </c>
    </row>
    <row r="564" spans="1:29" s="28" customFormat="1" x14ac:dyDescent="0.25">
      <c r="A564" s="61">
        <v>110000616049</v>
      </c>
      <c r="B564" s="28">
        <v>2024</v>
      </c>
      <c r="C564" s="68">
        <f t="shared" si="8"/>
        <v>45292</v>
      </c>
      <c r="D564" s="28" t="s">
        <v>1069</v>
      </c>
      <c r="E564" s="28" t="s">
        <v>1656</v>
      </c>
      <c r="F564" s="28" t="s">
        <v>1070</v>
      </c>
      <c r="G564" s="28" t="s">
        <v>338</v>
      </c>
      <c r="H564" s="28">
        <v>79302221</v>
      </c>
      <c r="I564" s="28">
        <v>40.798532000000002</v>
      </c>
      <c r="J564" s="28">
        <v>-74.701402000000002</v>
      </c>
      <c r="L564" s="61">
        <v>110000616049</v>
      </c>
      <c r="M564" s="28" t="s">
        <v>265</v>
      </c>
      <c r="N564" s="28">
        <v>1799</v>
      </c>
      <c r="O564" s="28" t="str">
        <f>IFERROR(VLOOKUP(N564, 'SIC &amp; NAICS Codes'!A:B, 2, FALSE), "")</f>
        <v>Special Trade Contractors, NEC (indoor swimming pool construction contractors)</v>
      </c>
      <c r="S564" s="28">
        <v>8.4444863999999994E-3</v>
      </c>
      <c r="T564" s="315">
        <f>_xlfn.MAXIFS('Raw Period DMR Data'!$O:$O,'Raw Period DMR Data'!$A:$A,'Raw Annual DMR Data_2021-2024'!#REF!,'Raw Period DMR Data'!$C:$C,X564)/S564</f>
        <v>0</v>
      </c>
      <c r="U564" s="28" t="str">
        <f>+IF(COUNTIFS('Raw Period DMR Data'!$A:$A,B564,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64" s="28" t="str" cm="1">
        <f t="array" ref="V564">IFERROR(INDEX('Raw Period DMR Data'!N:N,MATCH(1,(B564='Raw Period DMR Data'!$A:$A)*(U564='Raw Period DMR Data'!M:M)*(X564='Raw Period DMR Data'!C:C),0),1), "N/A")</f>
        <v>N/A</v>
      </c>
      <c r="W564" s="28" t="s">
        <v>1463</v>
      </c>
      <c r="X564" s="28" t="s">
        <v>1657</v>
      </c>
      <c r="Y564" s="28" t="s">
        <v>1658</v>
      </c>
      <c r="Z564" s="61">
        <v>2030105000068</v>
      </c>
      <c r="AA564" s="60"/>
      <c r="AB564" s="28" t="s">
        <v>7355</v>
      </c>
      <c r="AC564" s="28" t="s">
        <v>1466</v>
      </c>
    </row>
    <row r="565" spans="1:29" s="28" customFormat="1" x14ac:dyDescent="0.25">
      <c r="A565" s="61">
        <v>110000616049</v>
      </c>
      <c r="B565" s="28">
        <v>2021</v>
      </c>
      <c r="C565" s="68">
        <f t="shared" si="8"/>
        <v>44197</v>
      </c>
      <c r="D565" s="28" t="s">
        <v>1069</v>
      </c>
      <c r="E565" s="28" t="s">
        <v>1656</v>
      </c>
      <c r="F565" s="28" t="s">
        <v>1070</v>
      </c>
      <c r="G565" s="28" t="s">
        <v>338</v>
      </c>
      <c r="H565" s="28">
        <v>79302221</v>
      </c>
      <c r="I565" s="28">
        <v>40.798532000000002</v>
      </c>
      <c r="J565" s="28">
        <v>-74.701402000000002</v>
      </c>
      <c r="L565" s="61">
        <v>110000616049</v>
      </c>
      <c r="M565" s="28" t="s">
        <v>265</v>
      </c>
      <c r="N565" s="28">
        <v>1799</v>
      </c>
      <c r="O565" s="28" t="str">
        <f>IFERROR(VLOOKUP(N565, 'SIC &amp; NAICS Codes'!A:B, 2, FALSE), "")</f>
        <v>Special Trade Contractors, NEC (indoor swimming pool construction contractors)</v>
      </c>
      <c r="S565" s="28">
        <v>5.5333861250000003E-3</v>
      </c>
      <c r="T565" s="315">
        <f>_xlfn.MAXIFS('Raw Period DMR Data'!$O:$O,'Raw Period DMR Data'!$A:$A,'Raw Annual DMR Data_2021-2024'!#REF!,'Raw Period DMR Data'!$C:$C,X565)/S565</f>
        <v>0</v>
      </c>
      <c r="U565" s="28" t="str">
        <f>+IF(COUNTIFS('Raw Period DMR Data'!$A:$A,B565,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65" s="28" t="str" cm="1">
        <f t="array" ref="V565">IFERROR(INDEX('Raw Period DMR Data'!N:N,MATCH(1,(B565='Raw Period DMR Data'!$A:$A)*(U565='Raw Period DMR Data'!M:M)*(X565='Raw Period DMR Data'!C:C),0),1), "N/A")</f>
        <v>N/A</v>
      </c>
      <c r="W565" s="28" t="s">
        <v>1463</v>
      </c>
      <c r="X565" s="28" t="s">
        <v>1657</v>
      </c>
      <c r="Y565" s="28" t="s">
        <v>1658</v>
      </c>
      <c r="Z565" s="61">
        <v>2030105000068</v>
      </c>
      <c r="AB565" s="28" t="s">
        <v>7355</v>
      </c>
      <c r="AC565" s="28" t="s">
        <v>1466</v>
      </c>
    </row>
    <row r="566" spans="1:29" s="28" customFormat="1" x14ac:dyDescent="0.25">
      <c r="A566" s="61">
        <v>110000616049</v>
      </c>
      <c r="B566" s="28">
        <v>2022</v>
      </c>
      <c r="C566" s="68">
        <f t="shared" si="8"/>
        <v>44562</v>
      </c>
      <c r="D566" s="28" t="s">
        <v>1069</v>
      </c>
      <c r="E566" s="28" t="s">
        <v>1656</v>
      </c>
      <c r="F566" s="28" t="s">
        <v>1070</v>
      </c>
      <c r="G566" s="28" t="s">
        <v>338</v>
      </c>
      <c r="H566" s="28">
        <v>79302221</v>
      </c>
      <c r="I566" s="28">
        <v>40.798532000000002</v>
      </c>
      <c r="J566" s="28">
        <v>-74.701402000000002</v>
      </c>
      <c r="L566" s="61">
        <v>110000616049</v>
      </c>
      <c r="M566" s="28" t="s">
        <v>265</v>
      </c>
      <c r="N566" s="28">
        <v>1799</v>
      </c>
      <c r="O566" s="28" t="str">
        <f>IFERROR(VLOOKUP(N566, 'SIC &amp; NAICS Codes'!A:B, 2, FALSE), "")</f>
        <v>Special Trade Contractors, NEC (indoor swimming pool construction contractors)</v>
      </c>
      <c r="S566" s="28">
        <v>2.9383428125E-3</v>
      </c>
      <c r="T566" s="315">
        <f>_xlfn.MAXIFS('Raw Period DMR Data'!$O:$O,'Raw Period DMR Data'!$A:$A,'Raw Annual DMR Data_2021-2024'!#REF!,'Raw Period DMR Data'!$C:$C,X566)/S566</f>
        <v>0</v>
      </c>
      <c r="U566" s="28" t="str">
        <f>+IF(COUNTIFS('Raw Period DMR Data'!$A:$A,B566,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66" s="28" t="str" cm="1">
        <f t="array" ref="V566">IFERROR(INDEX('Raw Period DMR Data'!N:N,MATCH(1,(B566='Raw Period DMR Data'!$A:$A)*(U566='Raw Period DMR Data'!M:M)*(X566='Raw Period DMR Data'!C:C),0),1), "N/A")</f>
        <v>N/A</v>
      </c>
      <c r="W566" s="28" t="s">
        <v>1463</v>
      </c>
      <c r="X566" s="28" t="s">
        <v>1657</v>
      </c>
      <c r="Y566" s="28" t="s">
        <v>1658</v>
      </c>
      <c r="Z566" s="61">
        <v>2030105000068</v>
      </c>
      <c r="AA566" s="60"/>
      <c r="AB566" s="28" t="s">
        <v>7355</v>
      </c>
      <c r="AC566" s="28" t="s">
        <v>1466</v>
      </c>
    </row>
    <row r="567" spans="1:29" s="28" customFormat="1" x14ac:dyDescent="0.25">
      <c r="A567" s="61">
        <v>110055415732</v>
      </c>
      <c r="B567" s="28">
        <v>2021</v>
      </c>
      <c r="C567" s="68">
        <f t="shared" si="8"/>
        <v>44197</v>
      </c>
      <c r="D567" s="28" t="s">
        <v>6831</v>
      </c>
      <c r="E567" s="28" t="s">
        <v>6984</v>
      </c>
      <c r="F567" s="28" t="s">
        <v>968</v>
      </c>
      <c r="G567" s="28" t="s">
        <v>294</v>
      </c>
      <c r="H567" s="28">
        <v>22306</v>
      </c>
      <c r="I567" s="28">
        <v>38.741570000000003</v>
      </c>
      <c r="J567" s="28">
        <v>-77.086209999999994</v>
      </c>
      <c r="L567" s="61">
        <v>110055415732</v>
      </c>
      <c r="M567" s="28" t="s">
        <v>265</v>
      </c>
      <c r="N567" s="28">
        <v>1794</v>
      </c>
      <c r="O567" s="28" t="str">
        <f>IFERROR(VLOOKUP(N567, 'SIC &amp; NAICS Codes'!A:B, 2, FALSE), "")</f>
        <v>Excavation Work</v>
      </c>
      <c r="S567" s="28">
        <v>9.3201840000000005E-3</v>
      </c>
      <c r="T567" s="315">
        <f>_xlfn.MAXIFS('Raw Period DMR Data'!$O:$O,'Raw Period DMR Data'!$A:$A,'Raw Annual DMR Data_2021-2024'!#REF!,'Raw Period DMR Data'!$C:$C,X567)/S567</f>
        <v>0</v>
      </c>
      <c r="U567" s="28" t="str">
        <f>+IF(COUNTIFS('Raw Period DMR Data'!$A:$A,B567,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67" s="28" t="str" cm="1">
        <f t="array" ref="V567">IFERROR(INDEX('Raw Period DMR Data'!N:N,MATCH(1,(B567='Raw Period DMR Data'!$A:$A)*(U567='Raw Period DMR Data'!M:M)*(X567='Raw Period DMR Data'!C:C),0),1), "N/A")</f>
        <v>N/A</v>
      </c>
      <c r="W567" s="28" t="s">
        <v>1463</v>
      </c>
      <c r="X567" s="28" t="s">
        <v>7169</v>
      </c>
      <c r="Y567" s="28" t="s">
        <v>7283</v>
      </c>
      <c r="Z567" s="61"/>
      <c r="AB567" s="28" t="s">
        <v>7355</v>
      </c>
      <c r="AC567" s="28" t="s">
        <v>1466</v>
      </c>
    </row>
    <row r="568" spans="1:29" s="28" customFormat="1" x14ac:dyDescent="0.25">
      <c r="A568" s="61">
        <v>110070676994</v>
      </c>
      <c r="B568" s="28">
        <v>2023</v>
      </c>
      <c r="C568" s="68">
        <f t="shared" si="8"/>
        <v>44927</v>
      </c>
      <c r="D568" s="28" t="s">
        <v>6777</v>
      </c>
      <c r="E568" s="28" t="s">
        <v>6920</v>
      </c>
      <c r="F568" s="28" t="s">
        <v>6921</v>
      </c>
      <c r="G568" s="28" t="s">
        <v>311</v>
      </c>
      <c r="H568" s="28">
        <v>25064</v>
      </c>
      <c r="I568" s="28">
        <v>38.382550000000002</v>
      </c>
      <c r="J568" s="28">
        <v>-81.782629</v>
      </c>
      <c r="K568" s="28" t="s">
        <v>7118</v>
      </c>
      <c r="L568" s="61">
        <v>110070676994</v>
      </c>
      <c r="M568" s="28" t="s">
        <v>265</v>
      </c>
      <c r="N568" s="28">
        <v>2869</v>
      </c>
      <c r="O568" s="28" t="str">
        <f>IFERROR(VLOOKUP(N568, 'SIC &amp; NAICS Codes'!A:B, 2, FALSE), "")</f>
        <v>Industrial Organic Chemicals, NEC (aliphatics)</v>
      </c>
      <c r="S568" s="28">
        <v>0.64263700000000001</v>
      </c>
      <c r="T568" s="315">
        <f>_xlfn.MAXIFS('Raw Period DMR Data'!$O:$O,'Raw Period DMR Data'!$A:$A,'Raw Annual DMR Data_2021-2024'!#REF!,'Raw Period DMR Data'!$C:$C,X568)/S568</f>
        <v>0</v>
      </c>
      <c r="U568" s="28" t="str">
        <f>+IF(COUNTIFS('Raw Period DMR Data'!$A:$A,B568,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68" s="28" t="str" cm="1">
        <f t="array" ref="V568">IFERROR(INDEX('Raw Period DMR Data'!N:N,MATCH(1,(B568='Raw Period DMR Data'!$A:$A)*(U568='Raw Period DMR Data'!M:M)*(X568='Raw Period DMR Data'!C:C),0),1), "N/A")</f>
        <v>N/A</v>
      </c>
      <c r="W568" s="28" t="s">
        <v>1463</v>
      </c>
      <c r="X568" s="28" t="s">
        <v>770</v>
      </c>
      <c r="Y568" s="28" t="s">
        <v>771</v>
      </c>
      <c r="Z568" s="61" t="s">
        <v>7349</v>
      </c>
      <c r="AA568" s="60"/>
      <c r="AC568" s="28" t="s">
        <v>1466</v>
      </c>
    </row>
    <row r="569" spans="1:29" s="28" customFormat="1" x14ac:dyDescent="0.25">
      <c r="A569" s="61">
        <v>110070676994</v>
      </c>
      <c r="B569" s="28">
        <v>2022</v>
      </c>
      <c r="C569" s="68">
        <f t="shared" si="8"/>
        <v>44562</v>
      </c>
      <c r="D569" s="28" t="s">
        <v>6777</v>
      </c>
      <c r="E569" s="28" t="s">
        <v>6920</v>
      </c>
      <c r="F569" s="28" t="s">
        <v>6921</v>
      </c>
      <c r="G569" s="28" t="s">
        <v>311</v>
      </c>
      <c r="H569" s="28">
        <v>25064</v>
      </c>
      <c r="I569" s="28">
        <v>38.382550000000002</v>
      </c>
      <c r="J569" s="28">
        <v>-81.782629</v>
      </c>
      <c r="K569" s="28" t="s">
        <v>7118</v>
      </c>
      <c r="L569" s="61">
        <v>110070676994</v>
      </c>
      <c r="M569" s="28" t="s">
        <v>265</v>
      </c>
      <c r="N569" s="28">
        <v>2869</v>
      </c>
      <c r="O569" s="28" t="str">
        <f>IFERROR(VLOOKUP(N569, 'SIC &amp; NAICS Codes'!A:B, 2, FALSE), "")</f>
        <v>Industrial Organic Chemicals, NEC (aliphatics)</v>
      </c>
      <c r="S569" s="28">
        <v>0.558647</v>
      </c>
      <c r="T569" s="315">
        <f>_xlfn.MAXIFS('Raw Period DMR Data'!$O:$O,'Raw Period DMR Data'!$A:$A,'Raw Annual DMR Data_2021-2024'!#REF!,'Raw Period DMR Data'!$C:$C,X569)/S569</f>
        <v>0</v>
      </c>
      <c r="U569" s="28" t="str">
        <f>+IF(COUNTIFS('Raw Period DMR Data'!$A:$A,B569,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69" s="28" t="str" cm="1">
        <f t="array" ref="V569">IFERROR(INDEX('Raw Period DMR Data'!N:N,MATCH(1,(B569='Raw Period DMR Data'!$A:$A)*(U569='Raw Period DMR Data'!M:M)*(X569='Raw Period DMR Data'!C:C),0),1), "N/A")</f>
        <v>N/A</v>
      </c>
      <c r="W569" s="28" t="s">
        <v>1463</v>
      </c>
      <c r="X569" s="28" t="s">
        <v>770</v>
      </c>
      <c r="Y569" s="28" t="s">
        <v>771</v>
      </c>
      <c r="Z569" s="61">
        <v>5050008000998</v>
      </c>
      <c r="AA569" s="60"/>
      <c r="AC569" s="28" t="s">
        <v>1466</v>
      </c>
    </row>
    <row r="570" spans="1:29" s="28" customFormat="1" x14ac:dyDescent="0.25">
      <c r="A570" s="61">
        <v>110070676994</v>
      </c>
      <c r="B570" s="28">
        <v>2021</v>
      </c>
      <c r="C570" s="68">
        <f t="shared" si="8"/>
        <v>44197</v>
      </c>
      <c r="D570" s="28" t="s">
        <v>6777</v>
      </c>
      <c r="E570" s="28" t="s">
        <v>6920</v>
      </c>
      <c r="F570" s="28" t="s">
        <v>6921</v>
      </c>
      <c r="G570" s="28" t="s">
        <v>311</v>
      </c>
      <c r="H570" s="28">
        <v>25064</v>
      </c>
      <c r="I570" s="28">
        <v>38.382550000000002</v>
      </c>
      <c r="J570" s="28">
        <v>-81.782629</v>
      </c>
      <c r="K570" s="28" t="s">
        <v>7118</v>
      </c>
      <c r="L570" s="61">
        <v>110070676994</v>
      </c>
      <c r="M570" s="28" t="s">
        <v>265</v>
      </c>
      <c r="N570" s="28">
        <v>2869</v>
      </c>
      <c r="O570" s="28" t="str">
        <f>IFERROR(VLOOKUP(N570, 'SIC &amp; NAICS Codes'!A:B, 2, FALSE), "")</f>
        <v>Industrial Organic Chemicals, NEC (aliphatics)</v>
      </c>
      <c r="S570" s="28">
        <v>0.41472900000000001</v>
      </c>
      <c r="T570" s="315">
        <f>_xlfn.MAXIFS('Raw Period DMR Data'!$O:$O,'Raw Period DMR Data'!$A:$A,'Raw Annual DMR Data_2021-2024'!#REF!,'Raw Period DMR Data'!$C:$C,X570)/S570</f>
        <v>0</v>
      </c>
      <c r="U570" s="28" t="str">
        <f>+IF(COUNTIFS('Raw Period DMR Data'!$A:$A,B570,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70" s="28" t="str" cm="1">
        <f t="array" ref="V570">IFERROR(INDEX('Raw Period DMR Data'!N:N,MATCH(1,(B570='Raw Period DMR Data'!$A:$A)*(U570='Raw Period DMR Data'!M:M)*(X570='Raw Period DMR Data'!C:C),0),1), "N/A")</f>
        <v>N/A</v>
      </c>
      <c r="W570" s="28" t="s">
        <v>1463</v>
      </c>
      <c r="X570" s="28" t="s">
        <v>770</v>
      </c>
      <c r="Y570" s="28" t="s">
        <v>771</v>
      </c>
      <c r="Z570" s="61">
        <v>5050008000998</v>
      </c>
      <c r="AA570" s="60"/>
      <c r="AC570" s="28" t="s">
        <v>1466</v>
      </c>
    </row>
    <row r="571" spans="1:29" s="28" customFormat="1" x14ac:dyDescent="0.25">
      <c r="A571" s="61">
        <v>110045447469</v>
      </c>
      <c r="B571" s="28">
        <v>2024</v>
      </c>
      <c r="C571" s="68">
        <f t="shared" si="8"/>
        <v>45292</v>
      </c>
      <c r="D571" s="28" t="s">
        <v>6768</v>
      </c>
      <c r="E571" s="28" t="s">
        <v>6913</v>
      </c>
      <c r="F571" s="28" t="s">
        <v>6914</v>
      </c>
      <c r="G571" s="28" t="s">
        <v>6915</v>
      </c>
      <c r="H571" s="28">
        <v>35601</v>
      </c>
      <c r="I571" s="28">
        <v>34.63147</v>
      </c>
      <c r="J571" s="28">
        <v>-87.038430000000005</v>
      </c>
      <c r="K571" s="28" t="s">
        <v>7117</v>
      </c>
      <c r="L571" s="61">
        <v>110045447469</v>
      </c>
      <c r="M571" s="28" t="s">
        <v>265</v>
      </c>
      <c r="N571" s="28">
        <v>2869</v>
      </c>
      <c r="O571" s="28" t="str">
        <f>IFERROR(VLOOKUP(N571, 'SIC &amp; NAICS Codes'!A:B, 2, FALSE), "")</f>
        <v>Industrial Organic Chemicals, NEC (aliphatics)</v>
      </c>
      <c r="S571" s="28">
        <v>1.6571</v>
      </c>
      <c r="T571" s="315">
        <f>_xlfn.MAXIFS('Raw Period DMR Data'!$O:$O,'Raw Period DMR Data'!$A:$A,'Raw Annual DMR Data_2021-2024'!#REF!,'Raw Period DMR Data'!$C:$C,X571)/S571</f>
        <v>0</v>
      </c>
      <c r="U571" s="28" t="str">
        <f>+IF(COUNTIFS('Raw Period DMR Data'!$A:$A,B571,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71" s="28" t="str" cm="1">
        <f t="array" ref="V571">IFERROR(INDEX('Raw Period DMR Data'!N:N,MATCH(1,(B571='Raw Period DMR Data'!$A:$A)*(U571='Raw Period DMR Data'!M:M)*(X571='Raw Period DMR Data'!C:C),0),1), "N/A")</f>
        <v>N/A</v>
      </c>
      <c r="W571" s="28" t="s">
        <v>1463</v>
      </c>
      <c r="X571" s="28" t="s">
        <v>7137</v>
      </c>
      <c r="Y571" s="28" t="s">
        <v>7245</v>
      </c>
      <c r="Z571" s="61">
        <v>6030002018565</v>
      </c>
      <c r="AA571" s="60"/>
      <c r="AC571" s="28" t="s">
        <v>1466</v>
      </c>
    </row>
    <row r="572" spans="1:29" s="28" customFormat="1" x14ac:dyDescent="0.25">
      <c r="A572" s="61">
        <v>110000461107</v>
      </c>
      <c r="B572" s="28">
        <v>2023</v>
      </c>
      <c r="C572" s="68">
        <f t="shared" si="8"/>
        <v>44927</v>
      </c>
      <c r="D572" s="28" t="s">
        <v>6849</v>
      </c>
      <c r="E572" s="28" t="s">
        <v>7004</v>
      </c>
      <c r="F572" s="28" t="s">
        <v>520</v>
      </c>
      <c r="G572" s="28" t="s">
        <v>362</v>
      </c>
      <c r="H572" s="28" t="s">
        <v>7005</v>
      </c>
      <c r="I572" s="28">
        <v>29.706247999999999</v>
      </c>
      <c r="J572" s="28">
        <v>-95.251079000000004</v>
      </c>
      <c r="K572" s="28" t="s">
        <v>7129</v>
      </c>
      <c r="L572" s="61">
        <v>110000461107</v>
      </c>
      <c r="M572" s="28" t="s">
        <v>265</v>
      </c>
      <c r="N572" s="28">
        <v>2869</v>
      </c>
      <c r="O572" s="28" t="str">
        <f>IFERROR(VLOOKUP(N572, 'SIC &amp; NAICS Codes'!A:B, 2, FALSE), "")</f>
        <v>Industrial Organic Chemicals, NEC (aliphatics)</v>
      </c>
      <c r="S572" s="28">
        <v>3.3141999999999998E-2</v>
      </c>
      <c r="T572" s="315">
        <f>_xlfn.MAXIFS('Raw Period DMR Data'!$O:$O,'Raw Period DMR Data'!$A:$A,'Raw Annual DMR Data_2021-2024'!#REF!,'Raw Period DMR Data'!$C:$C,X572)/S572</f>
        <v>0</v>
      </c>
      <c r="U572" s="28" t="str">
        <f>+IF(COUNTIFS('Raw Period DMR Data'!$A:$A,B572,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72" s="28" t="str" cm="1">
        <f t="array" ref="V572">IFERROR(INDEX('Raw Period DMR Data'!N:N,MATCH(1,(B572='Raw Period DMR Data'!$A:$A)*(U572='Raw Period DMR Data'!M:M)*(X572='Raw Period DMR Data'!C:C),0),1), "N/A")</f>
        <v>N/A</v>
      </c>
      <c r="W572" s="28" t="s">
        <v>1463</v>
      </c>
      <c r="X572" s="28" t="s">
        <v>7181</v>
      </c>
      <c r="Y572" s="28" t="s">
        <v>7248</v>
      </c>
      <c r="Z572" s="61">
        <v>12040104000665</v>
      </c>
      <c r="AA572" s="60"/>
      <c r="AB572" s="28" t="s">
        <v>7355</v>
      </c>
      <c r="AC572" s="28" t="s">
        <v>1466</v>
      </c>
    </row>
    <row r="573" spans="1:29" s="28" customFormat="1" x14ac:dyDescent="0.25">
      <c r="A573" s="61">
        <v>110071710882</v>
      </c>
      <c r="B573" s="28">
        <v>2023</v>
      </c>
      <c r="C573" s="68">
        <f t="shared" si="8"/>
        <v>44927</v>
      </c>
      <c r="D573" s="28" t="s">
        <v>6783</v>
      </c>
      <c r="E573" s="28" t="s">
        <v>6929</v>
      </c>
      <c r="F573" s="28" t="s">
        <v>6930</v>
      </c>
      <c r="G573" s="28" t="s">
        <v>362</v>
      </c>
      <c r="H573" s="28">
        <v>77627</v>
      </c>
      <c r="I573" s="28">
        <v>30.014958</v>
      </c>
      <c r="J573" s="28">
        <v>-94.029087000000004</v>
      </c>
      <c r="L573" s="61">
        <v>110071710882</v>
      </c>
      <c r="M573" s="28" t="s">
        <v>265</v>
      </c>
      <c r="N573" s="28">
        <v>2869</v>
      </c>
      <c r="O573" s="28" t="str">
        <f>IFERROR(VLOOKUP(N573, 'SIC &amp; NAICS Codes'!A:B, 2, FALSE), "")</f>
        <v>Industrial Organic Chemicals, NEC (aliphatics)</v>
      </c>
      <c r="S573" s="28">
        <v>13.205952</v>
      </c>
      <c r="T573" s="315">
        <f>_xlfn.MAXIFS('Raw Period DMR Data'!$O:$O,'Raw Period DMR Data'!$A:$A,'Raw Annual DMR Data_2021-2024'!B931,'Raw Period DMR Data'!$C:$C,X573)/S573</f>
        <v>0</v>
      </c>
      <c r="U573" s="28" t="str">
        <f>+IF(COUNTIFS('Raw Period DMR Data'!$A:$A,B573, 'Raw Period DMR Data'!C:C,'Raw Annual DMR Data_2021-2024'!X931, 'Raw Period DMR Data'!M:M, "&gt;0")&gt;0,_xlfn.MAXIFS('Raw Period DMR Data'!M:M,'Raw Period DMR Data'!$A:$A,'Raw Annual DMR Data_2021-2024'!B931,'Raw Period DMR Data'!C:C,'Raw Annual DMR Data_2021-2024'!X931), "N/A - Period DMR Data Not Available")</f>
        <v>N/A - Period DMR Data Not Available</v>
      </c>
      <c r="V573" s="28" t="str" cm="1">
        <f t="array" ref="V573">IFERROR(INDEX('Raw Period DMR Data'!N:N,MATCH(1,(B573='Raw Period DMR Data'!$A:$A)*(U573='Raw Period DMR Data'!M:M)*(X573='Raw Period DMR Data'!C:C),0),1), "N/A")</f>
        <v>N/A</v>
      </c>
      <c r="W573" s="28" t="s">
        <v>1463</v>
      </c>
      <c r="X573" s="28" t="s">
        <v>810</v>
      </c>
      <c r="Y573" s="28" t="s">
        <v>7255</v>
      </c>
      <c r="Z573" s="61">
        <v>12040201000733</v>
      </c>
      <c r="AA573" s="60"/>
      <c r="AC573" s="28" t="s">
        <v>1466</v>
      </c>
    </row>
    <row r="574" spans="1:29" s="28" customFormat="1" x14ac:dyDescent="0.25">
      <c r="A574" s="61">
        <v>110056961480</v>
      </c>
      <c r="B574" s="28">
        <v>2022</v>
      </c>
      <c r="C574" s="68">
        <f t="shared" si="8"/>
        <v>44562</v>
      </c>
      <c r="D574" s="28" t="s">
        <v>6812</v>
      </c>
      <c r="E574" s="28" t="s">
        <v>6965</v>
      </c>
      <c r="F574" s="28" t="s">
        <v>6966</v>
      </c>
      <c r="G574" s="28" t="s">
        <v>362</v>
      </c>
      <c r="H574" s="28">
        <v>77580</v>
      </c>
      <c r="I574" s="28">
        <v>29.857654</v>
      </c>
      <c r="J574" s="28">
        <v>-94.910674</v>
      </c>
      <c r="K574" s="28" t="s">
        <v>7124</v>
      </c>
      <c r="L574" s="61">
        <v>110056961480</v>
      </c>
      <c r="M574" s="28" t="s">
        <v>265</v>
      </c>
      <c r="N574" s="28">
        <v>2869</v>
      </c>
      <c r="O574" s="28" t="str">
        <f>IFERROR(VLOOKUP(N574, 'SIC &amp; NAICS Codes'!A:B, 2, FALSE), "")</f>
        <v>Industrial Organic Chemicals, NEC (aliphatics)</v>
      </c>
      <c r="S574" s="28">
        <v>0.16571</v>
      </c>
      <c r="T574" s="315">
        <f>_xlfn.MAXIFS('Raw Period DMR Data'!$O:$O,'Raw Period DMR Data'!$A:$A,'Raw Annual DMR Data_2021-2024'!#REF!,'Raw Period DMR Data'!$C:$C,X574)/S574</f>
        <v>0</v>
      </c>
      <c r="U574" s="28" t="str">
        <f>+IF(COUNTIFS('Raw Period DMR Data'!$A:$A,B574,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74" s="28" t="str" cm="1">
        <f t="array" ref="V574">IFERROR(INDEX('Raw Period DMR Data'!N:N,MATCH(1,(B574='Raw Period DMR Data'!$A:$A)*(U574='Raw Period DMR Data'!M:M)*(X574='Raw Period DMR Data'!C:C),0),1), "N/A")</f>
        <v>N/A</v>
      </c>
      <c r="W574" s="28" t="s">
        <v>1463</v>
      </c>
      <c r="X574" s="28" t="s">
        <v>7159</v>
      </c>
      <c r="Y574" s="28" t="s">
        <v>7271</v>
      </c>
      <c r="Z574" s="61">
        <v>12040203000178</v>
      </c>
      <c r="AA574" s="60"/>
      <c r="AC574" s="28" t="s">
        <v>1466</v>
      </c>
    </row>
    <row r="575" spans="1:29" s="28" customFormat="1" x14ac:dyDescent="0.25">
      <c r="A575" s="61">
        <v>110070725501</v>
      </c>
      <c r="B575" s="28">
        <v>2022</v>
      </c>
      <c r="C575" s="68">
        <f t="shared" si="8"/>
        <v>44562</v>
      </c>
      <c r="D575" s="28" t="s">
        <v>6774</v>
      </c>
      <c r="E575" s="28" t="s">
        <v>581</v>
      </c>
      <c r="F575" s="28" t="s">
        <v>2421</v>
      </c>
      <c r="G575" s="28" t="s">
        <v>362</v>
      </c>
      <c r="H575" s="28">
        <v>78359</v>
      </c>
      <c r="I575" s="28">
        <v>27.883610999999998</v>
      </c>
      <c r="J575" s="28">
        <v>-97.241382999999999</v>
      </c>
      <c r="K575" s="28" t="s">
        <v>583</v>
      </c>
      <c r="L575" s="61">
        <v>110070725501</v>
      </c>
      <c r="M575" s="28" t="s">
        <v>265</v>
      </c>
      <c r="N575" s="28">
        <v>2869</v>
      </c>
      <c r="O575" s="28" t="str">
        <f>IFERROR(VLOOKUP(N575, 'SIC &amp; NAICS Codes'!A:B, 2, FALSE), "")</f>
        <v>Industrial Organic Chemicals, NEC (aliphatics)</v>
      </c>
      <c r="S575" s="28">
        <v>1255.2192</v>
      </c>
      <c r="T575" s="315">
        <f>_xlfn.MAXIFS('Raw Period DMR Data'!$O:$O,'Raw Period DMR Data'!$A:$A,'Raw Annual DMR Data_2021-2024'!B849,'Raw Period DMR Data'!$C:$C,X575)/S575</f>
        <v>0</v>
      </c>
      <c r="U575" s="28" t="str">
        <f>+IF(COUNTIFS('Raw Period DMR Data'!$A:$A,B575, 'Raw Period DMR Data'!C:C,'Raw Annual DMR Data_2021-2024'!X849, 'Raw Period DMR Data'!M:M, "&gt;0")&gt;0,_xlfn.MAXIFS('Raw Period DMR Data'!M:M,'Raw Period DMR Data'!$A:$A,'Raw Annual DMR Data_2021-2024'!B849,'Raw Period DMR Data'!C:C,'Raw Annual DMR Data_2021-2024'!X849), "N/A - Period DMR Data Not Available")</f>
        <v>N/A - Period DMR Data Not Available</v>
      </c>
      <c r="V575" s="28" t="str" cm="1">
        <f t="array" ref="V575">IFERROR(INDEX('Raw Period DMR Data'!N:N,MATCH(1,(B575='Raw Period DMR Data'!$A:$A)*(U575='Raw Period DMR Data'!M:M)*(X575='Raw Period DMR Data'!C:C),0),1), "N/A")</f>
        <v>N/A</v>
      </c>
      <c r="W575" s="28" t="s">
        <v>1463</v>
      </c>
      <c r="X575" s="28" t="s">
        <v>910</v>
      </c>
      <c r="Y575" s="28" t="s">
        <v>911</v>
      </c>
      <c r="Z575" s="61">
        <v>12110201000002</v>
      </c>
      <c r="AA575" s="60"/>
      <c r="AC575" s="28" t="s">
        <v>1466</v>
      </c>
    </row>
    <row r="576" spans="1:29" s="28" customFormat="1" x14ac:dyDescent="0.25">
      <c r="A576" s="61">
        <v>110000329038</v>
      </c>
      <c r="B576" s="28">
        <v>2024</v>
      </c>
      <c r="C576" s="68">
        <f t="shared" si="8"/>
        <v>45292</v>
      </c>
      <c r="D576" s="28" t="s">
        <v>6846</v>
      </c>
      <c r="E576" s="28" t="s">
        <v>7000</v>
      </c>
      <c r="F576" s="28" t="s">
        <v>1267</v>
      </c>
      <c r="G576" s="28" t="s">
        <v>491</v>
      </c>
      <c r="H576" s="28" t="s">
        <v>7001</v>
      </c>
      <c r="I576" s="28">
        <v>40.670580000000001</v>
      </c>
      <c r="J576" s="28">
        <v>-80.336500000000001</v>
      </c>
      <c r="K576" s="28" t="s">
        <v>7128</v>
      </c>
      <c r="L576" s="61">
        <v>110000329038</v>
      </c>
      <c r="M576" s="28" t="s">
        <v>265</v>
      </c>
      <c r="N576" s="28">
        <v>2869</v>
      </c>
      <c r="O576" s="28" t="str">
        <f>IFERROR(VLOOKUP(N576, 'SIC &amp; NAICS Codes'!A:B, 2, FALSE), "")</f>
        <v>Industrial Organic Chemicals, NEC (aliphatics)</v>
      </c>
      <c r="S576" s="28">
        <v>4.7669999999999997E-2</v>
      </c>
      <c r="T576" s="315">
        <f>_xlfn.MAXIFS('Raw Period DMR Data'!$O:$O,'Raw Period DMR Data'!$A:$A,'Raw Annual DMR Data_2021-2024'!#REF!,'Raw Period DMR Data'!$C:$C,X576)/S576</f>
        <v>0</v>
      </c>
      <c r="U576" s="28" t="str">
        <f>+IF(COUNTIFS('Raw Period DMR Data'!$A:$A,B576,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76" s="28" t="str" cm="1">
        <f t="array" ref="V576">IFERROR(INDEX('Raw Period DMR Data'!N:N,MATCH(1,(B576='Raw Period DMR Data'!$A:$A)*(U576='Raw Period DMR Data'!M:M)*(X576='Raw Period DMR Data'!C:C),0),1), "N/A")</f>
        <v>N/A</v>
      </c>
      <c r="W576" s="28" t="s">
        <v>1463</v>
      </c>
      <c r="X576" s="28" t="s">
        <v>7179</v>
      </c>
      <c r="Y576" s="28" t="s">
        <v>7289</v>
      </c>
      <c r="Z576" s="61">
        <v>5030101001548</v>
      </c>
      <c r="AA576" s="60"/>
      <c r="AB576" s="28" t="s">
        <v>7355</v>
      </c>
      <c r="AC576" s="28" t="s">
        <v>1466</v>
      </c>
    </row>
    <row r="577" spans="1:29" s="28" customFormat="1" x14ac:dyDescent="0.25">
      <c r="A577" s="61">
        <v>110000582003</v>
      </c>
      <c r="B577" s="28">
        <v>2021</v>
      </c>
      <c r="C577" s="68">
        <f t="shared" si="8"/>
        <v>44197</v>
      </c>
      <c r="D577" s="28" t="s">
        <v>1079</v>
      </c>
      <c r="E577" s="28" t="s">
        <v>1673</v>
      </c>
      <c r="F577" s="28" t="s">
        <v>381</v>
      </c>
      <c r="G577" s="28" t="s">
        <v>338</v>
      </c>
      <c r="H577" s="28">
        <v>80140309</v>
      </c>
      <c r="I577" s="28">
        <v>39.80142</v>
      </c>
      <c r="J577" s="28">
        <v>-75.354990000000001</v>
      </c>
      <c r="K577" s="28" t="s">
        <v>710</v>
      </c>
      <c r="L577" s="61">
        <v>110000582003</v>
      </c>
      <c r="M577" s="28" t="s">
        <v>265</v>
      </c>
      <c r="N577" s="28">
        <v>2869</v>
      </c>
      <c r="O577" s="28" t="str">
        <f>IFERROR(VLOOKUP(N577, 'SIC &amp; NAICS Codes'!A:B, 2, FALSE), "")</f>
        <v>Industrial Organic Chemicals, NEC (aliphatics)</v>
      </c>
      <c r="S577" s="28">
        <v>1.0485</v>
      </c>
      <c r="T577" s="315">
        <f>_xlfn.MAXIFS('Raw Period DMR Data'!$O:$O,'Raw Period DMR Data'!$A:$A,'Raw Annual DMR Data_2021-2024'!#REF!,'Raw Period DMR Data'!$C:$C,X577)/S577</f>
        <v>0</v>
      </c>
      <c r="U577" s="28" t="str">
        <f>+IF(COUNTIFS('Raw Period DMR Data'!$A:$A,B577,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77" s="28" t="str" cm="1">
        <f t="array" ref="V577">IFERROR(INDEX('Raw Period DMR Data'!N:N,MATCH(1,(B577='Raw Period DMR Data'!$A:$A)*(U577='Raw Period DMR Data'!M:M)*(X577='Raw Period DMR Data'!C:C),0),1), "N/A")</f>
        <v>N/A</v>
      </c>
      <c r="W577" s="28" t="s">
        <v>1463</v>
      </c>
      <c r="X577" s="28" t="s">
        <v>1674</v>
      </c>
      <c r="Y577" s="28" t="s">
        <v>1675</v>
      </c>
      <c r="Z577" s="61">
        <v>2040202001854</v>
      </c>
      <c r="AB577" s="28" t="s">
        <v>7355</v>
      </c>
      <c r="AC577" s="28" t="s">
        <v>1466</v>
      </c>
    </row>
    <row r="578" spans="1:29" s="28" customFormat="1" x14ac:dyDescent="0.25">
      <c r="A578" s="61">
        <v>110000582003</v>
      </c>
      <c r="B578" s="28">
        <v>2022</v>
      </c>
      <c r="C578" s="68">
        <f t="shared" ref="C578:C641" si="9">DATE(B578, 1, 1)</f>
        <v>44562</v>
      </c>
      <c r="D578" s="28" t="s">
        <v>1079</v>
      </c>
      <c r="E578" s="28" t="s">
        <v>1673</v>
      </c>
      <c r="F578" s="28" t="s">
        <v>381</v>
      </c>
      <c r="G578" s="28" t="s">
        <v>338</v>
      </c>
      <c r="H578" s="28">
        <v>80140309</v>
      </c>
      <c r="I578" s="28">
        <v>39.80142</v>
      </c>
      <c r="J578" s="28">
        <v>-75.354990000000001</v>
      </c>
      <c r="K578" s="28" t="s">
        <v>710</v>
      </c>
      <c r="L578" s="61">
        <v>110000582003</v>
      </c>
      <c r="M578" s="28" t="s">
        <v>265</v>
      </c>
      <c r="N578" s="28">
        <v>2869</v>
      </c>
      <c r="O578" s="28" t="str">
        <f>IFERROR(VLOOKUP(N578, 'SIC &amp; NAICS Codes'!A:B, 2, FALSE), "")</f>
        <v>Industrial Organic Chemicals, NEC (aliphatics)</v>
      </c>
      <c r="S578" s="28">
        <v>0.91649999999999998</v>
      </c>
      <c r="T578" s="315">
        <f>_xlfn.MAXIFS('Raw Period DMR Data'!$O:$O,'Raw Period DMR Data'!$A:$A,'Raw Annual DMR Data_2021-2024'!#REF!,'Raw Period DMR Data'!$C:$C,X578)/S578</f>
        <v>0</v>
      </c>
      <c r="U578" s="28" t="str">
        <f>+IF(COUNTIFS('Raw Period DMR Data'!$A:$A,B578,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78" s="28" t="str" cm="1">
        <f t="array" ref="V578">IFERROR(INDEX('Raw Period DMR Data'!N:N,MATCH(1,(B578='Raw Period DMR Data'!$A:$A)*(U578='Raw Period DMR Data'!M:M)*(X578='Raw Period DMR Data'!C:C),0),1), "N/A")</f>
        <v>N/A</v>
      </c>
      <c r="W578" s="28" t="s">
        <v>1463</v>
      </c>
      <c r="X578" s="28" t="s">
        <v>1674</v>
      </c>
      <c r="Y578" s="28" t="s">
        <v>1675</v>
      </c>
      <c r="Z578" s="61">
        <v>2040202001854</v>
      </c>
      <c r="AA578" s="60"/>
      <c r="AB578" s="28" t="s">
        <v>7355</v>
      </c>
      <c r="AC578" s="28" t="s">
        <v>1466</v>
      </c>
    </row>
    <row r="579" spans="1:29" s="28" customFormat="1" x14ac:dyDescent="0.25">
      <c r="A579" s="61">
        <v>110000582003</v>
      </c>
      <c r="B579" s="28">
        <v>2024</v>
      </c>
      <c r="C579" s="68">
        <f t="shared" si="9"/>
        <v>45292</v>
      </c>
      <c r="D579" s="28" t="s">
        <v>1079</v>
      </c>
      <c r="E579" s="28" t="s">
        <v>1673</v>
      </c>
      <c r="F579" s="28" t="s">
        <v>381</v>
      </c>
      <c r="G579" s="28" t="s">
        <v>338</v>
      </c>
      <c r="H579" s="28">
        <v>80140309</v>
      </c>
      <c r="I579" s="28">
        <v>39.80142</v>
      </c>
      <c r="J579" s="28">
        <v>-75.354990000000001</v>
      </c>
      <c r="K579" s="28" t="s">
        <v>710</v>
      </c>
      <c r="L579" s="61">
        <v>110000582003</v>
      </c>
      <c r="M579" s="28" t="s">
        <v>265</v>
      </c>
      <c r="N579" s="28">
        <v>2869</v>
      </c>
      <c r="O579" s="28" t="str">
        <f>IFERROR(VLOOKUP(N579, 'SIC &amp; NAICS Codes'!A:B, 2, FALSE), "")</f>
        <v>Industrial Organic Chemicals, NEC (aliphatics)</v>
      </c>
      <c r="S579" s="28">
        <v>0.28360000000000002</v>
      </c>
      <c r="T579" s="315">
        <f>_xlfn.MAXIFS('Raw Period DMR Data'!$O:$O,'Raw Period DMR Data'!$A:$A,'Raw Annual DMR Data_2021-2024'!#REF!,'Raw Period DMR Data'!$C:$C,X579)/S579</f>
        <v>0</v>
      </c>
      <c r="U579" s="28" t="str">
        <f>+IF(COUNTIFS('Raw Period DMR Data'!$A:$A,B579,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79" s="28" t="str" cm="1">
        <f t="array" ref="V579">IFERROR(INDEX('Raw Period DMR Data'!N:N,MATCH(1,(B579='Raw Period DMR Data'!$A:$A)*(U579='Raw Period DMR Data'!M:M)*(X579='Raw Period DMR Data'!C:C),0),1), "N/A")</f>
        <v>N/A</v>
      </c>
      <c r="W579" s="28" t="s">
        <v>1463</v>
      </c>
      <c r="X579" s="28" t="s">
        <v>1674</v>
      </c>
      <c r="Y579" s="28" t="s">
        <v>1675</v>
      </c>
      <c r="Z579" s="61">
        <v>2040202001854</v>
      </c>
      <c r="AA579" s="60"/>
      <c r="AB579" s="28" t="s">
        <v>7355</v>
      </c>
      <c r="AC579" s="28" t="s">
        <v>1466</v>
      </c>
    </row>
    <row r="580" spans="1:29" s="28" customFormat="1" x14ac:dyDescent="0.25">
      <c r="A580" s="61">
        <v>110000582003</v>
      </c>
      <c r="B580" s="28">
        <v>2023</v>
      </c>
      <c r="C580" s="68">
        <f t="shared" si="9"/>
        <v>44927</v>
      </c>
      <c r="D580" s="28" t="s">
        <v>1079</v>
      </c>
      <c r="E580" s="28" t="s">
        <v>1673</v>
      </c>
      <c r="F580" s="28" t="s">
        <v>381</v>
      </c>
      <c r="G580" s="28" t="s">
        <v>338</v>
      </c>
      <c r="H580" s="28" t="s">
        <v>7086</v>
      </c>
      <c r="I580" s="28">
        <v>39.80142</v>
      </c>
      <c r="J580" s="28">
        <v>-75.354990000000001</v>
      </c>
      <c r="K580" s="28" t="s">
        <v>710</v>
      </c>
      <c r="L580" s="61">
        <v>110000582003</v>
      </c>
      <c r="M580" s="28" t="s">
        <v>265</v>
      </c>
      <c r="N580" s="28">
        <v>2869</v>
      </c>
      <c r="O580" s="28" t="str">
        <f>IFERROR(VLOOKUP(N580, 'SIC &amp; NAICS Codes'!A:B, 2, FALSE), "")</f>
        <v>Industrial Organic Chemicals, NEC (aliphatics)</v>
      </c>
      <c r="S580" s="28">
        <v>0.19845499999999999</v>
      </c>
      <c r="T580" s="315">
        <f>_xlfn.MAXIFS('Raw Period DMR Data'!$O:$O,'Raw Period DMR Data'!$A:$A,'Raw Annual DMR Data_2021-2024'!#REF!,'Raw Period DMR Data'!$C:$C,X580)/S580</f>
        <v>0</v>
      </c>
      <c r="U580" s="28" t="str">
        <f>+IF(COUNTIFS('Raw Period DMR Data'!$A:$A,B580,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80" s="28" t="str" cm="1">
        <f t="array" ref="V580">IFERROR(INDEX('Raw Period DMR Data'!N:N,MATCH(1,(B580='Raw Period DMR Data'!$A:$A)*(U580='Raw Period DMR Data'!M:M)*(X580='Raw Period DMR Data'!C:C),0),1), "N/A")</f>
        <v>N/A</v>
      </c>
      <c r="W580" s="28" t="s">
        <v>1463</v>
      </c>
      <c r="X580" s="28" t="s">
        <v>1674</v>
      </c>
      <c r="Y580" s="28" t="s">
        <v>1675</v>
      </c>
      <c r="Z580" s="61" t="s">
        <v>1676</v>
      </c>
      <c r="AA580" s="60"/>
      <c r="AB580" s="28" t="s">
        <v>7355</v>
      </c>
      <c r="AC580" s="28" t="s">
        <v>1466</v>
      </c>
    </row>
    <row r="581" spans="1:29" s="28" customFormat="1" x14ac:dyDescent="0.25">
      <c r="A581" s="61">
        <v>110000584305</v>
      </c>
      <c r="B581" s="28">
        <v>2022</v>
      </c>
      <c r="C581" s="68">
        <f t="shared" si="9"/>
        <v>44562</v>
      </c>
      <c r="D581" s="28" t="s">
        <v>1083</v>
      </c>
      <c r="E581" s="28" t="s">
        <v>6935</v>
      </c>
      <c r="F581" s="28" t="s">
        <v>1084</v>
      </c>
      <c r="G581" s="28" t="s">
        <v>491</v>
      </c>
      <c r="H581" s="28">
        <v>17961</v>
      </c>
      <c r="I581" s="28">
        <v>40.627648000000001</v>
      </c>
      <c r="J581" s="28">
        <v>-76.064880000000002</v>
      </c>
      <c r="L581" s="61">
        <v>110000584305</v>
      </c>
      <c r="M581" s="28" t="s">
        <v>265</v>
      </c>
      <c r="N581" s="28">
        <v>3951</v>
      </c>
      <c r="O581" s="28" t="str">
        <f>IFERROR(VLOOKUP(N581, 'SIC &amp; NAICS Codes'!A:B, 2, FALSE), "")</f>
        <v xml:space="preserve">Pens, Mechanical Pencils, and Parts </v>
      </c>
      <c r="S581" s="28">
        <v>7.8678199999999993E-3</v>
      </c>
      <c r="T581" s="315">
        <f>_xlfn.MAXIFS('Raw Period DMR Data'!$O:$O,'Raw Period DMR Data'!$A:$A,'Raw Annual DMR Data_2021-2024'!#REF!,'Raw Period DMR Data'!$C:$C,X581)/S581</f>
        <v>0</v>
      </c>
      <c r="U581" s="28" t="str">
        <f>+IF(COUNTIFS('Raw Period DMR Data'!$A:$A,B581,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81" s="28" t="str" cm="1">
        <f t="array" ref="V581">IFERROR(INDEX('Raw Period DMR Data'!N:N,MATCH(1,(B581='Raw Period DMR Data'!$A:$A)*(U581='Raw Period DMR Data'!M:M)*(X581='Raw Period DMR Data'!C:C),0),1), "N/A")</f>
        <v>N/A</v>
      </c>
      <c r="W581" s="28" t="s">
        <v>1463</v>
      </c>
      <c r="X581" s="28" t="s">
        <v>1687</v>
      </c>
      <c r="Y581" s="28" t="s">
        <v>1688</v>
      </c>
      <c r="Z581" s="61">
        <v>2040203000412</v>
      </c>
      <c r="AA581" s="60"/>
      <c r="AB581" s="28" t="s">
        <v>7355</v>
      </c>
      <c r="AC581" s="28" t="s">
        <v>1466</v>
      </c>
    </row>
    <row r="582" spans="1:29" s="28" customFormat="1" x14ac:dyDescent="0.25">
      <c r="A582" s="61">
        <v>110000584305</v>
      </c>
      <c r="B582" s="28">
        <v>2023</v>
      </c>
      <c r="C582" s="68">
        <f t="shared" si="9"/>
        <v>44927</v>
      </c>
      <c r="D582" s="28" t="s">
        <v>1083</v>
      </c>
      <c r="E582" s="28" t="s">
        <v>6935</v>
      </c>
      <c r="F582" s="28" t="s">
        <v>1084</v>
      </c>
      <c r="G582" s="28" t="s">
        <v>491</v>
      </c>
      <c r="H582" s="28">
        <v>17961</v>
      </c>
      <c r="I582" s="28">
        <v>40.627648000000001</v>
      </c>
      <c r="J582" s="28">
        <v>-76.064880000000002</v>
      </c>
      <c r="L582" s="61">
        <v>110000584305</v>
      </c>
      <c r="M582" s="28" t="s">
        <v>265</v>
      </c>
      <c r="N582" s="28">
        <v>3951</v>
      </c>
      <c r="O582" s="28" t="str">
        <f>IFERROR(VLOOKUP(N582, 'SIC &amp; NAICS Codes'!A:B, 2, FALSE), "")</f>
        <v xml:space="preserve">Pens, Mechanical Pencils, and Parts </v>
      </c>
      <c r="S582" s="28">
        <v>7.4524099999999996E-3</v>
      </c>
      <c r="T582" s="315">
        <f>_xlfn.MAXIFS('Raw Period DMR Data'!$O:$O,'Raw Period DMR Data'!$A:$A,'Raw Annual DMR Data_2021-2024'!#REF!,'Raw Period DMR Data'!$C:$C,X582)/S582</f>
        <v>0</v>
      </c>
      <c r="U582" s="28" t="str">
        <f>+IF(COUNTIFS('Raw Period DMR Data'!$A:$A,B582,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82" s="28" t="str" cm="1">
        <f t="array" ref="V582">IFERROR(INDEX('Raw Period DMR Data'!N:N,MATCH(1,(B582='Raw Period DMR Data'!$A:$A)*(U582='Raw Period DMR Data'!M:M)*(X582='Raw Period DMR Data'!C:C),0),1), "N/A")</f>
        <v>N/A</v>
      </c>
      <c r="W582" s="28" t="s">
        <v>1463</v>
      </c>
      <c r="X582" s="28" t="s">
        <v>1687</v>
      </c>
      <c r="Y582" s="28" t="s">
        <v>1688</v>
      </c>
      <c r="Z582" s="61" t="s">
        <v>1689</v>
      </c>
      <c r="AA582" s="60"/>
      <c r="AB582" s="28" t="s">
        <v>7355</v>
      </c>
      <c r="AC582" s="28" t="s">
        <v>1466</v>
      </c>
    </row>
    <row r="583" spans="1:29" s="28" customFormat="1" x14ac:dyDescent="0.25">
      <c r="A583" s="61">
        <v>110000584305</v>
      </c>
      <c r="B583" s="28">
        <v>2024</v>
      </c>
      <c r="C583" s="68">
        <f t="shared" si="9"/>
        <v>45292</v>
      </c>
      <c r="D583" s="28" t="s">
        <v>1083</v>
      </c>
      <c r="E583" s="28" t="s">
        <v>6935</v>
      </c>
      <c r="F583" s="28" t="s">
        <v>1084</v>
      </c>
      <c r="G583" s="28" t="s">
        <v>491</v>
      </c>
      <c r="H583" s="28">
        <v>17961</v>
      </c>
      <c r="I583" s="28">
        <v>40.627648000000001</v>
      </c>
      <c r="J583" s="28">
        <v>-76.064880000000002</v>
      </c>
      <c r="L583" s="61">
        <v>110000584305</v>
      </c>
      <c r="M583" s="28" t="s">
        <v>265</v>
      </c>
      <c r="N583" s="28">
        <v>3951</v>
      </c>
      <c r="O583" s="28" t="str">
        <f>IFERROR(VLOOKUP(N583, 'SIC &amp; NAICS Codes'!A:B, 2, FALSE), "")</f>
        <v xml:space="preserve">Pens, Mechanical Pencils, and Parts </v>
      </c>
      <c r="S583" s="28">
        <v>6.41729E-3</v>
      </c>
      <c r="T583" s="315">
        <f>_xlfn.MAXIFS('Raw Period DMR Data'!$O:$O,'Raw Period DMR Data'!$A:$A,'Raw Annual DMR Data_2021-2024'!#REF!,'Raw Period DMR Data'!$C:$C,X583)/S583</f>
        <v>0</v>
      </c>
      <c r="U583" s="28" t="str">
        <f>+IF(COUNTIFS('Raw Period DMR Data'!$A:$A,B583,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83" s="28" t="str" cm="1">
        <f t="array" ref="V583">IFERROR(INDEX('Raw Period DMR Data'!N:N,MATCH(1,(B583='Raw Period DMR Data'!$A:$A)*(U583='Raw Period DMR Data'!M:M)*(X583='Raw Period DMR Data'!C:C),0),1), "N/A")</f>
        <v>N/A</v>
      </c>
      <c r="W583" s="28" t="s">
        <v>1463</v>
      </c>
      <c r="X583" s="28" t="s">
        <v>1687</v>
      </c>
      <c r="Y583" s="28" t="s">
        <v>1688</v>
      </c>
      <c r="Z583" s="61">
        <v>2040203000412</v>
      </c>
      <c r="AA583" s="60"/>
      <c r="AB583" s="28" t="s">
        <v>7355</v>
      </c>
      <c r="AC583" s="28" t="s">
        <v>1466</v>
      </c>
    </row>
    <row r="584" spans="1:29" s="28" customFormat="1" x14ac:dyDescent="0.25">
      <c r="A584" s="61">
        <v>110000584305</v>
      </c>
      <c r="B584" s="28">
        <v>2021</v>
      </c>
      <c r="C584" s="68">
        <f t="shared" si="9"/>
        <v>44197</v>
      </c>
      <c r="D584" s="28" t="s">
        <v>1083</v>
      </c>
      <c r="E584" s="28" t="s">
        <v>6935</v>
      </c>
      <c r="F584" s="28" t="s">
        <v>1084</v>
      </c>
      <c r="G584" s="28" t="s">
        <v>491</v>
      </c>
      <c r="H584" s="28">
        <v>17961</v>
      </c>
      <c r="I584" s="28">
        <v>40.627648000000001</v>
      </c>
      <c r="J584" s="28">
        <v>-76.064880000000002</v>
      </c>
      <c r="L584" s="61">
        <v>110000584305</v>
      </c>
      <c r="M584" s="28" t="s">
        <v>265</v>
      </c>
      <c r="N584" s="28">
        <v>3951</v>
      </c>
      <c r="O584" s="28" t="str">
        <f>IFERROR(VLOOKUP(N584, 'SIC &amp; NAICS Codes'!A:B, 2, FALSE), "")</f>
        <v xml:space="preserve">Pens, Mechanical Pencils, and Parts </v>
      </c>
      <c r="S584" s="28">
        <v>5.8089300000000003E-3</v>
      </c>
      <c r="T584" s="315">
        <f>_xlfn.MAXIFS('Raw Period DMR Data'!$O:$O,'Raw Period DMR Data'!$A:$A,'Raw Annual DMR Data_2021-2024'!#REF!,'Raw Period DMR Data'!$C:$C,X584)/S584</f>
        <v>0</v>
      </c>
      <c r="U584" s="28" t="str">
        <f>+IF(COUNTIFS('Raw Period DMR Data'!$A:$A,B584,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84" s="28" t="str" cm="1">
        <f t="array" ref="V584">IFERROR(INDEX('Raw Period DMR Data'!N:N,MATCH(1,(B584='Raw Period DMR Data'!$A:$A)*(U584='Raw Period DMR Data'!M:M)*(X584='Raw Period DMR Data'!C:C),0),1), "N/A")</f>
        <v>N/A</v>
      </c>
      <c r="W584" s="28" t="s">
        <v>1463</v>
      </c>
      <c r="X584" s="28" t="s">
        <v>1687</v>
      </c>
      <c r="Y584" s="28" t="s">
        <v>1688</v>
      </c>
      <c r="Z584" s="61">
        <v>2040203000412</v>
      </c>
      <c r="AB584" s="28" t="s">
        <v>7355</v>
      </c>
      <c r="AC584" s="28" t="s">
        <v>1466</v>
      </c>
    </row>
    <row r="585" spans="1:29" s="28" customFormat="1" x14ac:dyDescent="0.25">
      <c r="A585" s="61">
        <v>110071725441</v>
      </c>
      <c r="B585" s="28">
        <v>2024</v>
      </c>
      <c r="C585" s="68">
        <f t="shared" si="9"/>
        <v>45292</v>
      </c>
      <c r="D585" s="28" t="s">
        <v>6899</v>
      </c>
      <c r="E585" s="28" t="s">
        <v>7091</v>
      </c>
      <c r="F585" s="28" t="s">
        <v>1388</v>
      </c>
      <c r="G585" s="28" t="s">
        <v>294</v>
      </c>
      <c r="H585" s="28">
        <v>221822205</v>
      </c>
      <c r="I585" s="28">
        <v>38.926856000000001</v>
      </c>
      <c r="J585" s="28">
        <v>-77.245693000000003</v>
      </c>
      <c r="L585" s="61">
        <v>110071725441</v>
      </c>
      <c r="M585" s="28" t="s">
        <v>265</v>
      </c>
      <c r="N585" s="28">
        <v>1794</v>
      </c>
      <c r="O585" s="28" t="str">
        <f>IFERROR(VLOOKUP(N585, 'SIC &amp; NAICS Codes'!A:B, 2, FALSE), "")</f>
        <v>Excavation Work</v>
      </c>
      <c r="S585" s="28">
        <v>5.4235822151999999E-2</v>
      </c>
      <c r="T585" s="315">
        <f>_xlfn.MAXIFS('Raw Period DMR Data'!$O:$O,'Raw Period DMR Data'!$A:$A,'Raw Annual DMR Data_2021-2024'!#REF!,'Raw Period DMR Data'!$C:$C,X585)/S585</f>
        <v>0</v>
      </c>
      <c r="U585" s="28" t="str">
        <f>+IF(COUNTIFS('Raw Period DMR Data'!$A:$A,B585,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85" s="28" t="str" cm="1">
        <f t="array" ref="V585">IFERROR(INDEX('Raw Period DMR Data'!N:N,MATCH(1,(B585='Raw Period DMR Data'!$A:$A)*(U585='Raw Period DMR Data'!M:M)*(X585='Raw Period DMR Data'!C:C),0),1), "N/A")</f>
        <v>N/A</v>
      </c>
      <c r="W585" s="28" t="s">
        <v>1463</v>
      </c>
      <c r="X585" s="28" t="s">
        <v>7228</v>
      </c>
      <c r="Y585" s="28" t="s">
        <v>2293</v>
      </c>
      <c r="Z585" s="61"/>
      <c r="AA585" s="60"/>
      <c r="AB585" s="28" t="s">
        <v>7355</v>
      </c>
      <c r="AC585" s="28" t="s">
        <v>1466</v>
      </c>
    </row>
    <row r="586" spans="1:29" s="28" customFormat="1" x14ac:dyDescent="0.25">
      <c r="A586" s="61">
        <v>110000574423</v>
      </c>
      <c r="B586" s="28">
        <v>2023</v>
      </c>
      <c r="C586" s="68">
        <f t="shared" si="9"/>
        <v>44927</v>
      </c>
      <c r="D586" s="28" t="s">
        <v>1088</v>
      </c>
      <c r="E586" s="28" t="s">
        <v>1699</v>
      </c>
      <c r="F586" s="28" t="s">
        <v>985</v>
      </c>
      <c r="G586" s="28" t="s">
        <v>979</v>
      </c>
      <c r="H586" s="28">
        <v>37660</v>
      </c>
      <c r="I586" s="28">
        <v>36.527054999999997</v>
      </c>
      <c r="J586" s="28">
        <v>-82.538579999999996</v>
      </c>
      <c r="K586" s="28" t="s">
        <v>711</v>
      </c>
      <c r="L586" s="61">
        <v>110000574423</v>
      </c>
      <c r="M586" s="28" t="s">
        <v>265</v>
      </c>
      <c r="N586" s="28">
        <v>2869</v>
      </c>
      <c r="O586" s="28" t="str">
        <f>IFERROR(VLOOKUP(N586, 'SIC &amp; NAICS Codes'!A:B, 2, FALSE), "")</f>
        <v>Industrial Organic Chemicals, NEC (aliphatics)</v>
      </c>
      <c r="S586" s="28">
        <v>8.2772144999999995</v>
      </c>
      <c r="T586" s="315">
        <f>_xlfn.MAXIFS('Raw Period DMR Data'!$O:$O,'Raw Period DMR Data'!$A:$A,'Raw Annual DMR Data_2021-2024'!B960,'Raw Period DMR Data'!$C:$C,X586)/S586</f>
        <v>0</v>
      </c>
      <c r="U586" s="28" t="str">
        <f>+IF(COUNTIFS('Raw Period DMR Data'!$A:$A,B586, 'Raw Period DMR Data'!C:C,'Raw Annual DMR Data_2021-2024'!X960, 'Raw Period DMR Data'!M:M, "&gt;0")&gt;0,_xlfn.MAXIFS('Raw Period DMR Data'!M:M,'Raw Period DMR Data'!$A:$A,'Raw Annual DMR Data_2021-2024'!B960,'Raw Period DMR Data'!C:C,'Raw Annual DMR Data_2021-2024'!X960), "N/A - Period DMR Data Not Available")</f>
        <v>N/A - Period DMR Data Not Available</v>
      </c>
      <c r="V586" s="28" t="str" cm="1">
        <f t="array" ref="V586">IFERROR(INDEX('Raw Period DMR Data'!N:N,MATCH(1,(B586='Raw Period DMR Data'!$A:$A)*(U586='Raw Period DMR Data'!M:M)*(X586='Raw Period DMR Data'!C:C),0),1), "N/A")</f>
        <v>N/A</v>
      </c>
      <c r="W586" s="28" t="s">
        <v>1463</v>
      </c>
      <c r="X586" s="28" t="s">
        <v>1700</v>
      </c>
      <c r="Y586" s="28" t="s">
        <v>1701</v>
      </c>
      <c r="Z586" s="61">
        <v>6010102001273</v>
      </c>
      <c r="AA586" s="60"/>
      <c r="AB586" s="28" t="s">
        <v>7355</v>
      </c>
      <c r="AC586" s="28" t="s">
        <v>1466</v>
      </c>
    </row>
    <row r="587" spans="1:29" s="28" customFormat="1" x14ac:dyDescent="0.25">
      <c r="A587" s="61">
        <v>110000574423</v>
      </c>
      <c r="B587" s="28">
        <v>2024</v>
      </c>
      <c r="C587" s="68">
        <f t="shared" si="9"/>
        <v>45292</v>
      </c>
      <c r="D587" s="28" t="s">
        <v>1088</v>
      </c>
      <c r="E587" s="28" t="s">
        <v>1699</v>
      </c>
      <c r="F587" s="28" t="s">
        <v>985</v>
      </c>
      <c r="G587" s="28" t="s">
        <v>979</v>
      </c>
      <c r="H587" s="28">
        <v>37660</v>
      </c>
      <c r="I587" s="28">
        <v>36.527054999999997</v>
      </c>
      <c r="J587" s="28">
        <v>-82.538579999999996</v>
      </c>
      <c r="K587" s="28" t="s">
        <v>711</v>
      </c>
      <c r="L587" s="61">
        <v>110000574423</v>
      </c>
      <c r="M587" s="28" t="s">
        <v>265</v>
      </c>
      <c r="N587" s="28">
        <v>2869</v>
      </c>
      <c r="O587" s="28" t="str">
        <f>IFERROR(VLOOKUP(N587, 'SIC &amp; NAICS Codes'!A:B, 2, FALSE), "")</f>
        <v>Industrial Organic Chemicals, NEC (aliphatics)</v>
      </c>
      <c r="S587" s="28">
        <v>8.2192159999999994</v>
      </c>
      <c r="T587" s="315">
        <f>_xlfn.MAXIFS('Raw Period DMR Data'!$O:$O,'Raw Period DMR Data'!$A:$A,'Raw Annual DMR Data_2021-2024'!B961,'Raw Period DMR Data'!$C:$C,X587)/S587</f>
        <v>0</v>
      </c>
      <c r="U587" s="28" t="str">
        <f>+IF(COUNTIFS('Raw Period DMR Data'!$A:$A,B587, 'Raw Period DMR Data'!C:C,'Raw Annual DMR Data_2021-2024'!X961, 'Raw Period DMR Data'!M:M, "&gt;0")&gt;0,_xlfn.MAXIFS('Raw Period DMR Data'!M:M,'Raw Period DMR Data'!$A:$A,'Raw Annual DMR Data_2021-2024'!B961,'Raw Period DMR Data'!C:C,'Raw Annual DMR Data_2021-2024'!X961), "N/A - Period DMR Data Not Available")</f>
        <v>N/A - Period DMR Data Not Available</v>
      </c>
      <c r="V587" s="28" t="str" cm="1">
        <f t="array" ref="V587">IFERROR(INDEX('Raw Period DMR Data'!N:N,MATCH(1,(B587='Raw Period DMR Data'!$A:$A)*(U587='Raw Period DMR Data'!M:M)*(X587='Raw Period DMR Data'!C:C),0),1), "N/A")</f>
        <v>N/A</v>
      </c>
      <c r="W587" s="28" t="s">
        <v>1463</v>
      </c>
      <c r="X587" s="28" t="s">
        <v>1700</v>
      </c>
      <c r="Y587" s="28" t="s">
        <v>1701</v>
      </c>
      <c r="Z587" s="61">
        <v>6010102001273</v>
      </c>
      <c r="AA587" s="60"/>
      <c r="AB587" s="28" t="s">
        <v>7355</v>
      </c>
      <c r="AC587" s="28" t="s">
        <v>1466</v>
      </c>
    </row>
    <row r="588" spans="1:29" s="28" customFormat="1" x14ac:dyDescent="0.25">
      <c r="A588" s="61">
        <v>110000574423</v>
      </c>
      <c r="B588" s="28">
        <v>2024</v>
      </c>
      <c r="C588" s="68">
        <f t="shared" si="9"/>
        <v>45292</v>
      </c>
      <c r="D588" s="28" t="s">
        <v>1088</v>
      </c>
      <c r="E588" s="28" t="s">
        <v>1699</v>
      </c>
      <c r="F588" s="28" t="s">
        <v>985</v>
      </c>
      <c r="G588" s="28" t="s">
        <v>979</v>
      </c>
      <c r="H588" s="28">
        <v>37660</v>
      </c>
      <c r="I588" s="28">
        <v>36.527054999999997</v>
      </c>
      <c r="J588" s="28">
        <v>-82.538579999999996</v>
      </c>
      <c r="K588" s="28" t="s">
        <v>711</v>
      </c>
      <c r="L588" s="61">
        <v>110000574423</v>
      </c>
      <c r="M588" s="28" t="s">
        <v>265</v>
      </c>
      <c r="N588" s="28">
        <v>2869</v>
      </c>
      <c r="O588" s="28" t="str">
        <f>IFERROR(VLOOKUP(N588, 'SIC &amp; NAICS Codes'!A:B, 2, FALSE), "")</f>
        <v>Industrial Organic Chemicals, NEC (aliphatics)</v>
      </c>
      <c r="S588" s="28">
        <v>0.36555151499999999</v>
      </c>
      <c r="T588" s="315">
        <f>_xlfn.MAXIFS('Raw Period DMR Data'!$O:$O,'Raw Period DMR Data'!$A:$A,'Raw Annual DMR Data_2021-2024'!#REF!,'Raw Period DMR Data'!$C:$C,X588)/S588</f>
        <v>0</v>
      </c>
      <c r="U588" s="28" t="str">
        <f>+IF(COUNTIFS('Raw Period DMR Data'!$A:$A,B588,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88" s="28" t="str" cm="1">
        <f t="array" ref="V588">IFERROR(INDEX('Raw Period DMR Data'!N:N,MATCH(1,(B588='Raw Period DMR Data'!$A:$A)*(U588='Raw Period DMR Data'!M:M)*(X588='Raw Period DMR Data'!C:C),0),1), "N/A")</f>
        <v>N/A</v>
      </c>
      <c r="W588" s="28" t="s">
        <v>1463</v>
      </c>
      <c r="X588" s="28" t="s">
        <v>1700</v>
      </c>
      <c r="Y588" s="28" t="s">
        <v>1701</v>
      </c>
      <c r="Z588" s="61">
        <v>6010102001273</v>
      </c>
      <c r="AA588" s="60"/>
      <c r="AB588" s="28" t="s">
        <v>7355</v>
      </c>
      <c r="AC588" s="28" t="s">
        <v>1466</v>
      </c>
    </row>
    <row r="589" spans="1:29" s="28" customFormat="1" x14ac:dyDescent="0.25">
      <c r="A589" s="61">
        <v>110000574423</v>
      </c>
      <c r="B589" s="28">
        <v>2023</v>
      </c>
      <c r="C589" s="68">
        <f t="shared" si="9"/>
        <v>44927</v>
      </c>
      <c r="D589" s="28" t="s">
        <v>1088</v>
      </c>
      <c r="E589" s="28" t="s">
        <v>1699</v>
      </c>
      <c r="F589" s="28" t="s">
        <v>985</v>
      </c>
      <c r="G589" s="28" t="s">
        <v>979</v>
      </c>
      <c r="H589" s="28">
        <v>37660</v>
      </c>
      <c r="I589" s="28">
        <v>36.527054999999997</v>
      </c>
      <c r="J589" s="28">
        <v>-82.538579999999996</v>
      </c>
      <c r="K589" s="28" t="s">
        <v>711</v>
      </c>
      <c r="L589" s="61">
        <v>110000574423</v>
      </c>
      <c r="M589" s="28" t="s">
        <v>265</v>
      </c>
      <c r="N589" s="28">
        <v>2869</v>
      </c>
      <c r="O589" s="28" t="str">
        <f>IFERROR(VLOOKUP(N589, 'SIC &amp; NAICS Codes'!A:B, 2, FALSE), "")</f>
        <v>Industrial Organic Chemicals, NEC (aliphatics)</v>
      </c>
      <c r="S589" s="28">
        <v>0.20598537750000001</v>
      </c>
      <c r="T589" s="315">
        <f>_xlfn.MAXIFS('Raw Period DMR Data'!$O:$O,'Raw Period DMR Data'!$A:$A,'Raw Annual DMR Data_2021-2024'!#REF!,'Raw Period DMR Data'!$C:$C,X589)/S589</f>
        <v>0</v>
      </c>
      <c r="U589" s="28" t="str">
        <f>+IF(COUNTIFS('Raw Period DMR Data'!$A:$A,B589,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89" s="28" t="str" cm="1">
        <f t="array" ref="V589">IFERROR(INDEX('Raw Period DMR Data'!N:N,MATCH(1,(B589='Raw Period DMR Data'!$A:$A)*(U589='Raw Period DMR Data'!M:M)*(X589='Raw Period DMR Data'!C:C),0),1), "N/A")</f>
        <v>N/A</v>
      </c>
      <c r="W589" s="28" t="s">
        <v>1463</v>
      </c>
      <c r="X589" s="28" t="s">
        <v>1700</v>
      </c>
      <c r="Y589" s="28" t="s">
        <v>1701</v>
      </c>
      <c r="Z589" s="61" t="s">
        <v>1702</v>
      </c>
      <c r="AA589" s="60"/>
      <c r="AB589" s="28" t="s">
        <v>7355</v>
      </c>
      <c r="AC589" s="28" t="s">
        <v>1466</v>
      </c>
    </row>
    <row r="590" spans="1:29" s="28" customFormat="1" x14ac:dyDescent="0.25">
      <c r="A590" s="61">
        <v>110002672484</v>
      </c>
      <c r="B590" s="28">
        <v>2021</v>
      </c>
      <c r="C590" s="68">
        <f t="shared" si="9"/>
        <v>44197</v>
      </c>
      <c r="D590" s="28" t="s">
        <v>140</v>
      </c>
      <c r="E590" s="28" t="s">
        <v>456</v>
      </c>
      <c r="F590" s="28" t="s">
        <v>457</v>
      </c>
      <c r="G590" s="28" t="s">
        <v>366</v>
      </c>
      <c r="H590" s="28">
        <v>92243</v>
      </c>
      <c r="I590" s="28">
        <v>32.803809999999999</v>
      </c>
      <c r="J590" s="28">
        <v>-115.53973999999999</v>
      </c>
      <c r="L590" s="61">
        <v>110002672484</v>
      </c>
      <c r="M590" s="28" t="s">
        <v>265</v>
      </c>
      <c r="N590" s="28">
        <v>921</v>
      </c>
      <c r="O590" s="28" t="str">
        <f>IFERROR(VLOOKUP(N590, 'SIC &amp; NAICS Codes'!A:B, 2, FALSE), "")</f>
        <v>Fish Hatcheries and Preserves (finfish hatcheries)</v>
      </c>
      <c r="S590" s="28">
        <v>5.3188712499999999E-2</v>
      </c>
      <c r="T590" s="315">
        <f>_xlfn.MAXIFS('Raw Period DMR Data'!$O:$O,'Raw Period DMR Data'!$A:$A,'Raw Annual DMR Data_2021-2024'!#REF!,'Raw Period DMR Data'!$C:$C,X590)/S590</f>
        <v>0</v>
      </c>
      <c r="U590" s="28" t="str">
        <f>+IF(COUNTIFS('Raw Period DMR Data'!$A:$A,B590,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90" s="28" t="str" cm="1">
        <f t="array" ref="V590">IFERROR(INDEX('Raw Period DMR Data'!N:N,MATCH(1,(B590='Raw Period DMR Data'!$A:$A)*(U590='Raw Period DMR Data'!M:M)*(X590='Raw Period DMR Data'!C:C),0),1), "N/A")</f>
        <v>N/A</v>
      </c>
      <c r="W590" s="28" t="s">
        <v>1463</v>
      </c>
      <c r="X590" s="28" t="s">
        <v>845</v>
      </c>
      <c r="Y590" s="28" t="s">
        <v>846</v>
      </c>
      <c r="Z590" s="61">
        <v>18100204011431</v>
      </c>
      <c r="AA590" s="60"/>
      <c r="AC590" s="28" t="s">
        <v>1466</v>
      </c>
    </row>
    <row r="591" spans="1:29" s="28" customFormat="1" x14ac:dyDescent="0.25">
      <c r="A591" s="61">
        <v>110002672484</v>
      </c>
      <c r="B591" s="28">
        <v>2022</v>
      </c>
      <c r="C591" s="68">
        <f t="shared" si="9"/>
        <v>44562</v>
      </c>
      <c r="D591" s="28" t="s">
        <v>140</v>
      </c>
      <c r="E591" s="28" t="s">
        <v>456</v>
      </c>
      <c r="F591" s="28" t="s">
        <v>457</v>
      </c>
      <c r="G591" s="28" t="s">
        <v>366</v>
      </c>
      <c r="H591" s="28">
        <v>92243</v>
      </c>
      <c r="I591" s="28">
        <v>32.803809999999999</v>
      </c>
      <c r="J591" s="28">
        <v>-115.53973999999999</v>
      </c>
      <c r="L591" s="61">
        <v>110002672484</v>
      </c>
      <c r="M591" s="28" t="s">
        <v>265</v>
      </c>
      <c r="N591" s="28">
        <v>921</v>
      </c>
      <c r="O591" s="28" t="str">
        <f>IFERROR(VLOOKUP(N591, 'SIC &amp; NAICS Codes'!A:B, 2, FALSE), "")</f>
        <v>Fish Hatcheries and Preserves (finfish hatcheries)</v>
      </c>
      <c r="S591" s="28">
        <v>3.0393549999999998E-2</v>
      </c>
      <c r="T591" s="315">
        <f>_xlfn.MAXIFS('Raw Period DMR Data'!$O:$O,'Raw Period DMR Data'!$A:$A,'Raw Annual DMR Data_2021-2024'!#REF!,'Raw Period DMR Data'!$C:$C,X591)/S591</f>
        <v>0</v>
      </c>
      <c r="U591" s="28" t="str">
        <f>+IF(COUNTIFS('Raw Period DMR Data'!$A:$A,B591,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91" s="28" t="str" cm="1">
        <f t="array" ref="V591">IFERROR(INDEX('Raw Period DMR Data'!N:N,MATCH(1,(B591='Raw Period DMR Data'!$A:$A)*(U591='Raw Period DMR Data'!M:M)*(X591='Raw Period DMR Data'!C:C),0),1), "N/A")</f>
        <v>N/A</v>
      </c>
      <c r="W591" s="28" t="s">
        <v>1463</v>
      </c>
      <c r="X591" s="28" t="s">
        <v>845</v>
      </c>
      <c r="Y591" s="28" t="s">
        <v>846</v>
      </c>
      <c r="Z591" s="61">
        <v>18100204011431</v>
      </c>
      <c r="AA591" s="60"/>
      <c r="AC591" s="28" t="s">
        <v>1466</v>
      </c>
    </row>
    <row r="592" spans="1:29" s="28" customFormat="1" x14ac:dyDescent="0.25">
      <c r="A592" s="61">
        <v>110002672484</v>
      </c>
      <c r="B592" s="28">
        <v>2021</v>
      </c>
      <c r="C592" s="68">
        <f t="shared" si="9"/>
        <v>44197</v>
      </c>
      <c r="D592" s="28" t="s">
        <v>140</v>
      </c>
      <c r="E592" s="28" t="s">
        <v>456</v>
      </c>
      <c r="F592" s="28" t="s">
        <v>457</v>
      </c>
      <c r="G592" s="28" t="s">
        <v>366</v>
      </c>
      <c r="H592" s="28">
        <v>92243</v>
      </c>
      <c r="I592" s="28">
        <v>32.803809999999999</v>
      </c>
      <c r="J592" s="28">
        <v>-115.53973999999999</v>
      </c>
      <c r="L592" s="61">
        <v>110002672484</v>
      </c>
      <c r="M592" s="28" t="s">
        <v>265</v>
      </c>
      <c r="N592" s="28">
        <v>921</v>
      </c>
      <c r="O592" s="28" t="str">
        <f>IFERROR(VLOOKUP(N592, 'SIC &amp; NAICS Codes'!A:B, 2, FALSE), "")</f>
        <v>Fish Hatcheries and Preserves (finfish hatcheries)</v>
      </c>
      <c r="S592" s="28">
        <v>2.0032112500000001E-2</v>
      </c>
      <c r="T592" s="315">
        <f>_xlfn.MAXIFS('Raw Period DMR Data'!$O:$O,'Raw Period DMR Data'!$A:$A,'Raw Annual DMR Data_2021-2024'!#REF!,'Raw Period DMR Data'!$C:$C,X592)/S592</f>
        <v>0</v>
      </c>
      <c r="U592" s="28" t="str">
        <f>+IF(COUNTIFS('Raw Period DMR Data'!$A:$A,B592,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92" s="28" t="str" cm="1">
        <f t="array" ref="V592">IFERROR(INDEX('Raw Period DMR Data'!N:N,MATCH(1,(B592='Raw Period DMR Data'!$A:$A)*(U592='Raw Period DMR Data'!M:M)*(X592='Raw Period DMR Data'!C:C),0),1), "N/A")</f>
        <v>N/A</v>
      </c>
      <c r="W592" s="28" t="s">
        <v>1463</v>
      </c>
      <c r="X592" s="28" t="s">
        <v>845</v>
      </c>
      <c r="Y592" s="28" t="s">
        <v>846</v>
      </c>
      <c r="Z592" s="61">
        <v>18100204011431</v>
      </c>
      <c r="AC592" s="28" t="s">
        <v>1466</v>
      </c>
    </row>
    <row r="593" spans="1:29" s="28" customFormat="1" x14ac:dyDescent="0.25">
      <c r="A593" s="61">
        <v>110002672484</v>
      </c>
      <c r="B593" s="28">
        <v>2022</v>
      </c>
      <c r="C593" s="68">
        <f t="shared" si="9"/>
        <v>44562</v>
      </c>
      <c r="D593" s="28" t="s">
        <v>140</v>
      </c>
      <c r="E593" s="28" t="s">
        <v>456</v>
      </c>
      <c r="F593" s="28" t="s">
        <v>457</v>
      </c>
      <c r="G593" s="28" t="s">
        <v>366</v>
      </c>
      <c r="H593" s="28">
        <v>92243</v>
      </c>
      <c r="I593" s="28">
        <v>32.803809999999999</v>
      </c>
      <c r="J593" s="28">
        <v>-115.53973999999999</v>
      </c>
      <c r="L593" s="61">
        <v>110002672484</v>
      </c>
      <c r="M593" s="28" t="s">
        <v>265</v>
      </c>
      <c r="N593" s="28">
        <v>921</v>
      </c>
      <c r="O593" s="28" t="str">
        <f>IFERROR(VLOOKUP(N593, 'SIC &amp; NAICS Codes'!A:B, 2, FALSE), "")</f>
        <v>Fish Hatcheries and Preserves (finfish hatcheries)</v>
      </c>
      <c r="S593" s="28">
        <v>1.0361437500000001E-2</v>
      </c>
      <c r="T593" s="315">
        <f>_xlfn.MAXIFS('Raw Period DMR Data'!$O:$O,'Raw Period DMR Data'!$A:$A,'Raw Annual DMR Data_2021-2024'!#REF!,'Raw Period DMR Data'!$C:$C,X593)/S593</f>
        <v>0</v>
      </c>
      <c r="U593" s="28" t="str">
        <f>+IF(COUNTIFS('Raw Period DMR Data'!$A:$A,B593,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93" s="28" t="str" cm="1">
        <f t="array" ref="V593">IFERROR(INDEX('Raw Period DMR Data'!N:N,MATCH(1,(B593='Raw Period DMR Data'!$A:$A)*(U593='Raw Period DMR Data'!M:M)*(X593='Raw Period DMR Data'!C:C),0),1), "N/A")</f>
        <v>N/A</v>
      </c>
      <c r="W593" s="28" t="s">
        <v>1463</v>
      </c>
      <c r="X593" s="28" t="s">
        <v>845</v>
      </c>
      <c r="Y593" s="28" t="s">
        <v>846</v>
      </c>
      <c r="Z593" s="61">
        <v>18100204011431</v>
      </c>
      <c r="AA593" s="60"/>
      <c r="AC593" s="28" t="s">
        <v>1466</v>
      </c>
    </row>
    <row r="594" spans="1:29" s="28" customFormat="1" x14ac:dyDescent="0.25">
      <c r="A594" s="61">
        <v>110000737365</v>
      </c>
      <c r="B594" s="28">
        <v>2023</v>
      </c>
      <c r="C594" s="68">
        <f t="shared" si="9"/>
        <v>44927</v>
      </c>
      <c r="D594" s="28" t="s">
        <v>1095</v>
      </c>
      <c r="E594" s="28" t="s">
        <v>1714</v>
      </c>
      <c r="F594" s="28" t="s">
        <v>1096</v>
      </c>
      <c r="G594" s="28" t="s">
        <v>450</v>
      </c>
      <c r="H594" s="28">
        <v>14132</v>
      </c>
      <c r="I594" s="28">
        <v>43.129750000000001</v>
      </c>
      <c r="J594" s="28">
        <v>-78.939679999999996</v>
      </c>
      <c r="L594" s="61">
        <v>110000737365</v>
      </c>
      <c r="M594" s="28" t="s">
        <v>265</v>
      </c>
      <c r="N594" s="28">
        <v>9511</v>
      </c>
      <c r="O594" s="28" t="str">
        <f>IFERROR(VLOOKUP(N594, 'SIC &amp; NAICS Codes'!A:B, 2, FALSE), "")</f>
        <v>Air and Water Resource and Solid Waste Management</v>
      </c>
      <c r="S594" s="28">
        <v>9.8490473263500005E-3</v>
      </c>
      <c r="T594" s="315">
        <f>_xlfn.MAXIFS('Raw Period DMR Data'!$O:$O,'Raw Period DMR Data'!$A:$A,'Raw Annual DMR Data_2021-2024'!#REF!,'Raw Period DMR Data'!$C:$C,X594)/S594</f>
        <v>0</v>
      </c>
      <c r="U594" s="28" t="str">
        <f>+IF(COUNTIFS('Raw Period DMR Data'!$A:$A,B594,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94" s="28" t="str" cm="1">
        <f t="array" ref="V594">IFERROR(INDEX('Raw Period DMR Data'!N:N,MATCH(1,(B594='Raw Period DMR Data'!$A:$A)*(U594='Raw Period DMR Data'!M:M)*(X594='Raw Period DMR Data'!C:C),0),1), "N/A")</f>
        <v>N/A</v>
      </c>
      <c r="W594" s="28" t="s">
        <v>1463</v>
      </c>
      <c r="X594" s="28" t="s">
        <v>1715</v>
      </c>
      <c r="Y594" s="28" t="s">
        <v>1716</v>
      </c>
      <c r="Z594" s="61" t="s">
        <v>1717</v>
      </c>
      <c r="AA594" s="60"/>
      <c r="AB594" s="28" t="s">
        <v>7355</v>
      </c>
      <c r="AC594" s="28" t="s">
        <v>1466</v>
      </c>
    </row>
    <row r="595" spans="1:29" s="28" customFormat="1" x14ac:dyDescent="0.25">
      <c r="A595" s="61">
        <v>110000737365</v>
      </c>
      <c r="B595" s="28">
        <v>2024</v>
      </c>
      <c r="C595" s="68">
        <f t="shared" si="9"/>
        <v>45292</v>
      </c>
      <c r="D595" s="28" t="s">
        <v>1095</v>
      </c>
      <c r="E595" s="28" t="s">
        <v>1714</v>
      </c>
      <c r="F595" s="28" t="s">
        <v>1096</v>
      </c>
      <c r="G595" s="28" t="s">
        <v>450</v>
      </c>
      <c r="H595" s="28">
        <v>14132</v>
      </c>
      <c r="I595" s="28">
        <v>43.129750000000001</v>
      </c>
      <c r="J595" s="28">
        <v>-78.939679999999996</v>
      </c>
      <c r="L595" s="61">
        <v>110000737365</v>
      </c>
      <c r="M595" s="28" t="s">
        <v>265</v>
      </c>
      <c r="N595" s="28">
        <v>9511</v>
      </c>
      <c r="O595" s="28" t="str">
        <f>IFERROR(VLOOKUP(N595, 'SIC &amp; NAICS Codes'!A:B, 2, FALSE), "")</f>
        <v>Air and Water Resource and Solid Waste Management</v>
      </c>
      <c r="S595" s="28">
        <v>9.8124919856000005E-3</v>
      </c>
      <c r="T595" s="315">
        <f>_xlfn.MAXIFS('Raw Period DMR Data'!$O:$O,'Raw Period DMR Data'!$A:$A,'Raw Annual DMR Data_2021-2024'!#REF!,'Raw Period DMR Data'!$C:$C,X595)/S595</f>
        <v>0</v>
      </c>
      <c r="U595" s="28" t="str">
        <f>+IF(COUNTIFS('Raw Period DMR Data'!$A:$A,B595,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95" s="28" t="str" cm="1">
        <f t="array" ref="V595">IFERROR(INDEX('Raw Period DMR Data'!N:N,MATCH(1,(B595='Raw Period DMR Data'!$A:$A)*(U595='Raw Period DMR Data'!M:M)*(X595='Raw Period DMR Data'!C:C),0),1), "N/A")</f>
        <v>N/A</v>
      </c>
      <c r="W595" s="28" t="s">
        <v>1463</v>
      </c>
      <c r="X595" s="28" t="s">
        <v>1715</v>
      </c>
      <c r="Y595" s="28" t="s">
        <v>1716</v>
      </c>
      <c r="Z595" s="61">
        <v>4120104000390</v>
      </c>
      <c r="AA595" s="60"/>
      <c r="AB595" s="28" t="s">
        <v>7355</v>
      </c>
      <c r="AC595" s="28" t="s">
        <v>1466</v>
      </c>
    </row>
    <row r="596" spans="1:29" s="28" customFormat="1" x14ac:dyDescent="0.25">
      <c r="A596" s="61">
        <v>110000737365</v>
      </c>
      <c r="B596" s="28">
        <v>2022</v>
      </c>
      <c r="C596" s="68">
        <f t="shared" si="9"/>
        <v>44562</v>
      </c>
      <c r="D596" s="28" t="s">
        <v>1095</v>
      </c>
      <c r="E596" s="28" t="s">
        <v>1714</v>
      </c>
      <c r="F596" s="28" t="s">
        <v>1096</v>
      </c>
      <c r="G596" s="28" t="s">
        <v>450</v>
      </c>
      <c r="H596" s="28">
        <v>14132</v>
      </c>
      <c r="I596" s="28">
        <v>43.129750000000001</v>
      </c>
      <c r="J596" s="28">
        <v>-78.939679999999996</v>
      </c>
      <c r="L596" s="61">
        <v>110000737365</v>
      </c>
      <c r="M596" s="28" t="s">
        <v>265</v>
      </c>
      <c r="N596" s="28">
        <v>9511</v>
      </c>
      <c r="O596" s="28" t="str">
        <f>IFERROR(VLOOKUP(N596, 'SIC &amp; NAICS Codes'!A:B, 2, FALSE), "")</f>
        <v>Air and Water Resource and Solid Waste Management</v>
      </c>
      <c r="S596" s="28">
        <v>9.1172737835999995E-3</v>
      </c>
      <c r="T596" s="315">
        <f>_xlfn.MAXIFS('Raw Period DMR Data'!$O:$O,'Raw Period DMR Data'!$A:$A,'Raw Annual DMR Data_2021-2024'!#REF!,'Raw Period DMR Data'!$C:$C,X596)/S596</f>
        <v>0</v>
      </c>
      <c r="U596" s="28" t="str">
        <f>+IF(COUNTIFS('Raw Period DMR Data'!$A:$A,B596,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96" s="28" t="str" cm="1">
        <f t="array" ref="V596">IFERROR(INDEX('Raw Period DMR Data'!N:N,MATCH(1,(B596='Raw Period DMR Data'!$A:$A)*(U596='Raw Period DMR Data'!M:M)*(X596='Raw Period DMR Data'!C:C),0),1), "N/A")</f>
        <v>N/A</v>
      </c>
      <c r="W596" s="28" t="s">
        <v>1463</v>
      </c>
      <c r="X596" s="28" t="s">
        <v>1715</v>
      </c>
      <c r="Y596" s="28" t="s">
        <v>1716</v>
      </c>
      <c r="Z596" s="61">
        <v>4120104000390</v>
      </c>
      <c r="AA596" s="60"/>
      <c r="AB596" s="28" t="s">
        <v>7355</v>
      </c>
      <c r="AC596" s="28" t="s">
        <v>1466</v>
      </c>
    </row>
    <row r="597" spans="1:29" s="28" customFormat="1" x14ac:dyDescent="0.25">
      <c r="A597" s="61">
        <v>110000737365</v>
      </c>
      <c r="B597" s="28">
        <v>2021</v>
      </c>
      <c r="C597" s="68">
        <f t="shared" si="9"/>
        <v>44197</v>
      </c>
      <c r="D597" s="28" t="s">
        <v>1095</v>
      </c>
      <c r="E597" s="28" t="s">
        <v>1714</v>
      </c>
      <c r="F597" s="28" t="s">
        <v>1096</v>
      </c>
      <c r="G597" s="28" t="s">
        <v>450</v>
      </c>
      <c r="H597" s="28">
        <v>14132</v>
      </c>
      <c r="I597" s="28">
        <v>43.129750000000001</v>
      </c>
      <c r="J597" s="28">
        <v>-78.939679999999996</v>
      </c>
      <c r="L597" s="61">
        <v>110000737365</v>
      </c>
      <c r="M597" s="28" t="s">
        <v>265</v>
      </c>
      <c r="N597" s="28">
        <v>9511</v>
      </c>
      <c r="O597" s="28" t="str">
        <f>IFERROR(VLOOKUP(N597, 'SIC &amp; NAICS Codes'!A:B, 2, FALSE), "")</f>
        <v>Air and Water Resource and Solid Waste Management</v>
      </c>
      <c r="S597" s="28">
        <v>7.2571606470749998E-3</v>
      </c>
      <c r="T597" s="315">
        <f>_xlfn.MAXIFS('Raw Period DMR Data'!$O:$O,'Raw Period DMR Data'!$A:$A,'Raw Annual DMR Data_2021-2024'!#REF!,'Raw Period DMR Data'!$C:$C,X597)/S597</f>
        <v>0</v>
      </c>
      <c r="U597" s="28" t="str">
        <f>+IF(COUNTIFS('Raw Period DMR Data'!$A:$A,B597,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97" s="28" t="str" cm="1">
        <f t="array" ref="V597">IFERROR(INDEX('Raw Period DMR Data'!N:N,MATCH(1,(B597='Raw Period DMR Data'!$A:$A)*(U597='Raw Period DMR Data'!M:M)*(X597='Raw Period DMR Data'!C:C),0),1), "N/A")</f>
        <v>N/A</v>
      </c>
      <c r="W597" s="28" t="s">
        <v>1463</v>
      </c>
      <c r="X597" s="28" t="s">
        <v>1715</v>
      </c>
      <c r="Y597" s="28" t="s">
        <v>1716</v>
      </c>
      <c r="Z597" s="61">
        <v>4120104000390</v>
      </c>
      <c r="AB597" s="28" t="s">
        <v>7355</v>
      </c>
      <c r="AC597" s="28" t="s">
        <v>1466</v>
      </c>
    </row>
    <row r="598" spans="1:29" s="28" customFormat="1" x14ac:dyDescent="0.25">
      <c r="A598" s="61">
        <v>110000379787</v>
      </c>
      <c r="B598" s="28">
        <v>2024</v>
      </c>
      <c r="C598" s="68">
        <f t="shared" si="9"/>
        <v>45292</v>
      </c>
      <c r="D598" s="28" t="s">
        <v>1097</v>
      </c>
      <c r="E598" s="28" t="s">
        <v>1718</v>
      </c>
      <c r="F598" s="28" t="s">
        <v>1098</v>
      </c>
      <c r="G598" s="28" t="s">
        <v>324</v>
      </c>
      <c r="H598" s="28" t="s">
        <v>1719</v>
      </c>
      <c r="I598" s="28">
        <v>38.642556999999996</v>
      </c>
      <c r="J598" s="28">
        <v>-83.737931000000003</v>
      </c>
      <c r="L598" s="61">
        <v>110000379787</v>
      </c>
      <c r="M598" s="28" t="s">
        <v>265</v>
      </c>
      <c r="N598" s="28">
        <v>3566</v>
      </c>
      <c r="O598" s="28" t="str">
        <f>IFERROR(VLOOKUP(N598, 'SIC &amp; NAICS Codes'!A:B, 2, FALSE), "")</f>
        <v>Speed Changers, Industrial High-Speed Drives, and Gears</v>
      </c>
      <c r="S598" s="28">
        <v>2.9511455749999999E-2</v>
      </c>
      <c r="T598" s="315">
        <f>_xlfn.MAXIFS('Raw Period DMR Data'!$O:$O,'Raw Period DMR Data'!$A:$A,'Raw Annual DMR Data_2021-2024'!#REF!,'Raw Period DMR Data'!$C:$C,X598)/S598</f>
        <v>0</v>
      </c>
      <c r="U598" s="28" t="str">
        <f>+IF(COUNTIFS('Raw Period DMR Data'!$A:$A,B598,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98" s="28" t="str" cm="1">
        <f t="array" ref="V598">IFERROR(INDEX('Raw Period DMR Data'!N:N,MATCH(1,(B598='Raw Period DMR Data'!$A:$A)*(U598='Raw Period DMR Data'!M:M)*(X598='Raw Period DMR Data'!C:C),0),1), "N/A")</f>
        <v>N/A</v>
      </c>
      <c r="W598" s="28" t="s">
        <v>1463</v>
      </c>
      <c r="X598" s="28" t="s">
        <v>1720</v>
      </c>
      <c r="Y598" s="28" t="s">
        <v>1721</v>
      </c>
      <c r="Z598" s="61">
        <v>5090201002312</v>
      </c>
      <c r="AA598" s="60" t="s">
        <v>7355</v>
      </c>
      <c r="AB598" s="28" t="s">
        <v>7355</v>
      </c>
      <c r="AC598" s="28" t="s">
        <v>1466</v>
      </c>
    </row>
    <row r="599" spans="1:29" s="28" customFormat="1" x14ac:dyDescent="0.25">
      <c r="A599" s="61">
        <v>110000379787</v>
      </c>
      <c r="B599" s="28">
        <v>2021</v>
      </c>
      <c r="C599" s="68">
        <f t="shared" si="9"/>
        <v>44197</v>
      </c>
      <c r="D599" s="28" t="s">
        <v>1097</v>
      </c>
      <c r="E599" s="28" t="s">
        <v>1718</v>
      </c>
      <c r="F599" s="28" t="s">
        <v>1098</v>
      </c>
      <c r="G599" s="28" t="s">
        <v>324</v>
      </c>
      <c r="H599" s="28" t="s">
        <v>1719</v>
      </c>
      <c r="I599" s="28">
        <v>38.642556999999996</v>
      </c>
      <c r="J599" s="28">
        <v>-83.737931000000003</v>
      </c>
      <c r="L599" s="61">
        <v>110000379787</v>
      </c>
      <c r="M599" s="28" t="s">
        <v>265</v>
      </c>
      <c r="N599" s="28">
        <v>3566</v>
      </c>
      <c r="O599" s="28" t="str">
        <f>IFERROR(VLOOKUP(N599, 'SIC &amp; NAICS Codes'!A:B, 2, FALSE), "")</f>
        <v>Speed Changers, Industrial High-Speed Drives, and Gears</v>
      </c>
      <c r="S599" s="28">
        <v>2.30790375E-2</v>
      </c>
      <c r="T599" s="315">
        <f>_xlfn.MAXIFS('Raw Period DMR Data'!$O:$O,'Raw Period DMR Data'!$A:$A,'Raw Annual DMR Data_2021-2024'!#REF!,'Raw Period DMR Data'!$C:$C,X599)/S599</f>
        <v>0</v>
      </c>
      <c r="U599" s="28" t="str">
        <f>+IF(COUNTIFS('Raw Period DMR Data'!$A:$A,B599,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599" s="28" t="str" cm="1">
        <f t="array" ref="V599">IFERROR(INDEX('Raw Period DMR Data'!N:N,MATCH(1,(B599='Raw Period DMR Data'!$A:$A)*(U599='Raw Period DMR Data'!M:M)*(X599='Raw Period DMR Data'!C:C),0),1), "N/A")</f>
        <v>N/A</v>
      </c>
      <c r="W599" s="28" t="s">
        <v>1463</v>
      </c>
      <c r="X599" s="28" t="s">
        <v>1720</v>
      </c>
      <c r="Y599" s="28" t="s">
        <v>1721</v>
      </c>
      <c r="Z599" s="61">
        <v>5090201002312</v>
      </c>
      <c r="AB599" s="28" t="s">
        <v>7355</v>
      </c>
      <c r="AC599" s="28" t="s">
        <v>1466</v>
      </c>
    </row>
    <row r="600" spans="1:29" s="28" customFormat="1" x14ac:dyDescent="0.25">
      <c r="A600" s="61">
        <v>110010134185</v>
      </c>
      <c r="B600" s="28">
        <v>2024</v>
      </c>
      <c r="C600" s="68">
        <f t="shared" si="9"/>
        <v>45292</v>
      </c>
      <c r="D600" s="28" t="s">
        <v>1099</v>
      </c>
      <c r="E600" s="28" t="s">
        <v>1723</v>
      </c>
      <c r="F600" s="28" t="s">
        <v>1100</v>
      </c>
      <c r="G600" s="28" t="s">
        <v>1101</v>
      </c>
      <c r="H600" s="28">
        <v>0</v>
      </c>
      <c r="I600" s="28">
        <v>37.041677</v>
      </c>
      <c r="J600" s="28">
        <v>-109.500685</v>
      </c>
      <c r="L600" s="61">
        <v>110010134185</v>
      </c>
      <c r="M600" s="28" t="s">
        <v>265</v>
      </c>
      <c r="N600" s="28">
        <v>1311</v>
      </c>
      <c r="O600" s="28" t="str">
        <f>IFERROR(VLOOKUP(N600, 'SIC &amp; NAICS Codes'!A:B, 2, FALSE), "")</f>
        <v>Crude Petroleum and Natural Gas</v>
      </c>
      <c r="S600" s="28">
        <v>1.7221750000000001E-3</v>
      </c>
      <c r="T600" s="315">
        <f>_xlfn.MAXIFS('Raw Period DMR Data'!$O:$O,'Raw Period DMR Data'!$A:$A,'Raw Annual DMR Data_2021-2024'!#REF!,'Raw Period DMR Data'!$C:$C,X600)/S600</f>
        <v>0</v>
      </c>
      <c r="U600" s="28" t="str">
        <f>+IF(COUNTIFS('Raw Period DMR Data'!$A:$A,B600,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00" s="28" t="str" cm="1">
        <f t="array" ref="V600">IFERROR(INDEX('Raw Period DMR Data'!N:N,MATCH(1,(B600='Raw Period DMR Data'!$A:$A)*(U600='Raw Period DMR Data'!M:M)*(X600='Raw Period DMR Data'!C:C),0),1), "N/A")</f>
        <v>N/A</v>
      </c>
      <c r="W600" s="28" t="s">
        <v>1463</v>
      </c>
      <c r="X600" s="28" t="s">
        <v>1724</v>
      </c>
      <c r="Y600" s="28" t="s">
        <v>1725</v>
      </c>
      <c r="Z600" s="61">
        <v>14080201000184</v>
      </c>
      <c r="AA600" s="60"/>
      <c r="AB600" s="28" t="s">
        <v>7355</v>
      </c>
      <c r="AC600" s="28" t="s">
        <v>1466</v>
      </c>
    </row>
    <row r="601" spans="1:29" s="28" customFormat="1" x14ac:dyDescent="0.25">
      <c r="A601" s="61">
        <v>110010134185</v>
      </c>
      <c r="B601" s="28">
        <v>2023</v>
      </c>
      <c r="C601" s="68">
        <f t="shared" si="9"/>
        <v>44927</v>
      </c>
      <c r="D601" s="28" t="s">
        <v>1099</v>
      </c>
      <c r="E601" s="28" t="s">
        <v>1723</v>
      </c>
      <c r="F601" s="28" t="s">
        <v>1100</v>
      </c>
      <c r="G601" s="28" t="s">
        <v>1101</v>
      </c>
      <c r="H601" s="28" t="s">
        <v>7085</v>
      </c>
      <c r="I601" s="28">
        <v>37.041677</v>
      </c>
      <c r="J601" s="28">
        <v>-109.500685</v>
      </c>
      <c r="L601" s="61">
        <v>110010134185</v>
      </c>
      <c r="M601" s="28" t="s">
        <v>265</v>
      </c>
      <c r="N601" s="28">
        <v>1311</v>
      </c>
      <c r="O601" s="28" t="str">
        <f>IFERROR(VLOOKUP(N601, 'SIC &amp; NAICS Codes'!A:B, 2, FALSE), "")</f>
        <v>Crude Petroleum and Natural Gas</v>
      </c>
      <c r="S601" s="28">
        <v>1.124145E-3</v>
      </c>
      <c r="T601" s="315">
        <f>_xlfn.MAXIFS('Raw Period DMR Data'!$O:$O,'Raw Period DMR Data'!$A:$A,'Raw Annual DMR Data_2021-2024'!#REF!,'Raw Period DMR Data'!$C:$C,X601)/S601</f>
        <v>0</v>
      </c>
      <c r="U601" s="28" t="str">
        <f>+IF(COUNTIFS('Raw Period DMR Data'!$A:$A,B601,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01" s="28" t="str" cm="1">
        <f t="array" ref="V601">IFERROR(INDEX('Raw Period DMR Data'!N:N,MATCH(1,(B601='Raw Period DMR Data'!$A:$A)*(U601='Raw Period DMR Data'!M:M)*(X601='Raw Period DMR Data'!C:C),0),1), "N/A")</f>
        <v>N/A</v>
      </c>
      <c r="W601" s="28" t="s">
        <v>1463</v>
      </c>
      <c r="X601" s="28" t="s">
        <v>1724</v>
      </c>
      <c r="Y601" s="28" t="s">
        <v>1725</v>
      </c>
      <c r="Z601" s="61">
        <v>14080201000184</v>
      </c>
      <c r="AA601" s="60"/>
      <c r="AB601" s="28" t="s">
        <v>7355</v>
      </c>
      <c r="AC601" s="28" t="s">
        <v>1466</v>
      </c>
    </row>
    <row r="602" spans="1:29" s="28" customFormat="1" x14ac:dyDescent="0.25">
      <c r="A602" s="61">
        <v>110000597266</v>
      </c>
      <c r="B602" s="28">
        <v>2021</v>
      </c>
      <c r="C602" s="68">
        <f t="shared" si="9"/>
        <v>44197</v>
      </c>
      <c r="D602" s="28" t="s">
        <v>1104</v>
      </c>
      <c r="E602" s="28" t="s">
        <v>1731</v>
      </c>
      <c r="F602" s="28" t="s">
        <v>446</v>
      </c>
      <c r="G602" s="28" t="s">
        <v>303</v>
      </c>
      <c r="H602" s="28">
        <v>70669</v>
      </c>
      <c r="I602" s="28">
        <v>30.189167000000001</v>
      </c>
      <c r="J602" s="28">
        <v>-93.316389000000001</v>
      </c>
      <c r="K602" s="28" t="s">
        <v>713</v>
      </c>
      <c r="L602" s="61">
        <v>110000597266</v>
      </c>
      <c r="M602" s="28" t="s">
        <v>265</v>
      </c>
      <c r="N602" s="28">
        <v>2821</v>
      </c>
      <c r="O602" s="28" t="str">
        <f>IFERROR(VLOOKUP(N602, 'SIC &amp; NAICS Codes'!A:B, 2, FALSE), "")</f>
        <v>Plastics Materials, Synthetic and Resins, and Nonvulcanizable Elastomers</v>
      </c>
      <c r="S602" s="28">
        <v>0.82855000000000001</v>
      </c>
      <c r="T602" s="315">
        <f>_xlfn.MAXIFS('Raw Period DMR Data'!$O:$O,'Raw Period DMR Data'!$A:$A,'Raw Annual DMR Data_2021-2024'!#REF!,'Raw Period DMR Data'!$C:$C,X602)/S602</f>
        <v>0</v>
      </c>
      <c r="U602" s="28" t="str">
        <f>+IF(COUNTIFS('Raw Period DMR Data'!$A:$A,B602,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02" s="28" t="str" cm="1">
        <f t="array" ref="V602">IFERROR(INDEX('Raw Period DMR Data'!N:N,MATCH(1,(B602='Raw Period DMR Data'!$A:$A)*(U602='Raw Period DMR Data'!M:M)*(X602='Raw Period DMR Data'!C:C),0),1), "N/A")</f>
        <v>N/A</v>
      </c>
      <c r="W602" s="28" t="s">
        <v>1463</v>
      </c>
      <c r="X602" s="28" t="s">
        <v>1732</v>
      </c>
      <c r="Y602" s="28">
        <v>315</v>
      </c>
      <c r="Z602" s="61">
        <v>8080206000583</v>
      </c>
      <c r="AC602" s="28" t="s">
        <v>1466</v>
      </c>
    </row>
    <row r="603" spans="1:29" s="28" customFormat="1" x14ac:dyDescent="0.25">
      <c r="A603" s="61">
        <v>110000433013</v>
      </c>
      <c r="B603" s="28">
        <v>2024</v>
      </c>
      <c r="C603" s="68">
        <f t="shared" si="9"/>
        <v>45292</v>
      </c>
      <c r="D603" s="28" t="s">
        <v>6847</v>
      </c>
      <c r="E603" s="28" t="s">
        <v>1726</v>
      </c>
      <c r="F603" s="28" t="s">
        <v>1103</v>
      </c>
      <c r="G603" s="28" t="s">
        <v>345</v>
      </c>
      <c r="H603" s="28">
        <v>60450</v>
      </c>
      <c r="I603" s="28">
        <v>41.412897000000001</v>
      </c>
      <c r="J603" s="28">
        <v>-88.329773000000003</v>
      </c>
      <c r="K603" s="28" t="s">
        <v>712</v>
      </c>
      <c r="L603" s="61">
        <v>110000433013</v>
      </c>
      <c r="M603" s="28" t="s">
        <v>265</v>
      </c>
      <c r="N603" s="28">
        <v>2821</v>
      </c>
      <c r="O603" s="28" t="str">
        <f>IFERROR(VLOOKUP(N603, 'SIC &amp; NAICS Codes'!A:B, 2, FALSE), "")</f>
        <v>Plastics Materials, Synthetic and Resins, and Nonvulcanizable Elastomers</v>
      </c>
      <c r="S603" s="28">
        <v>2.9010600000000002</v>
      </c>
      <c r="T603" s="315">
        <f>_xlfn.MAXIFS('Raw Period DMR Data'!$O:$O,'Raw Period DMR Data'!$A:$A,'Raw Annual DMR Data_2021-2024'!#REF!,'Raw Period DMR Data'!$C:$C,X603)/S603</f>
        <v>0</v>
      </c>
      <c r="U603" s="28" t="str">
        <f>+IF(COUNTIFS('Raw Period DMR Data'!$A:$A,B603,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03" s="28" t="str" cm="1">
        <f t="array" ref="V603">IFERROR(INDEX('Raw Period DMR Data'!N:N,MATCH(1,(B603='Raw Period DMR Data'!$A:$A)*(U603='Raw Period DMR Data'!M:M)*(X603='Raw Period DMR Data'!C:C),0),1), "N/A")</f>
        <v>N/A</v>
      </c>
      <c r="W603" s="28" t="s">
        <v>1463</v>
      </c>
      <c r="X603" s="28" t="s">
        <v>1728</v>
      </c>
      <c r="Y603" s="28" t="s">
        <v>1729</v>
      </c>
      <c r="Z603" s="61">
        <v>7120005000248</v>
      </c>
      <c r="AA603" s="60"/>
      <c r="AB603" s="28" t="s">
        <v>7355</v>
      </c>
      <c r="AC603" s="28" t="s">
        <v>1466</v>
      </c>
    </row>
    <row r="604" spans="1:29" s="28" customFormat="1" x14ac:dyDescent="0.25">
      <c r="A604" s="61">
        <v>110000433013</v>
      </c>
      <c r="B604" s="28">
        <v>2023</v>
      </c>
      <c r="C604" s="68">
        <f t="shared" si="9"/>
        <v>44927</v>
      </c>
      <c r="D604" s="28" t="s">
        <v>6847</v>
      </c>
      <c r="E604" s="28" t="s">
        <v>1726</v>
      </c>
      <c r="F604" s="28" t="s">
        <v>1103</v>
      </c>
      <c r="G604" s="28" t="s">
        <v>345</v>
      </c>
      <c r="H604" s="28">
        <v>60450</v>
      </c>
      <c r="I604" s="28">
        <v>41.412897000000001</v>
      </c>
      <c r="J604" s="28">
        <v>-88.329773000000003</v>
      </c>
      <c r="K604" s="28" t="s">
        <v>712</v>
      </c>
      <c r="L604" s="61">
        <v>110000433013</v>
      </c>
      <c r="M604" s="28" t="s">
        <v>265</v>
      </c>
      <c r="N604" s="28">
        <v>2821</v>
      </c>
      <c r="O604" s="28" t="str">
        <f>IFERROR(VLOOKUP(N604, 'SIC &amp; NAICS Codes'!A:B, 2, FALSE), "")</f>
        <v>Plastics Materials, Synthetic and Resins, and Nonvulcanizable Elastomers</v>
      </c>
      <c r="S604" s="28">
        <v>1.67526</v>
      </c>
      <c r="T604" s="315">
        <f>_xlfn.MAXIFS('Raw Period DMR Data'!$O:$O,'Raw Period DMR Data'!$A:$A,'Raw Annual DMR Data_2021-2024'!#REF!,'Raw Period DMR Data'!$C:$C,X604)/S604</f>
        <v>0</v>
      </c>
      <c r="U604" s="28" t="str">
        <f>+IF(COUNTIFS('Raw Period DMR Data'!$A:$A,B604,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04" s="28" t="str" cm="1">
        <f t="array" ref="V604">IFERROR(INDEX('Raw Period DMR Data'!N:N,MATCH(1,(B604='Raw Period DMR Data'!$A:$A)*(U604='Raw Period DMR Data'!M:M)*(X604='Raw Period DMR Data'!C:C),0),1), "N/A")</f>
        <v>N/A</v>
      </c>
      <c r="W604" s="28" t="s">
        <v>1463</v>
      </c>
      <c r="X604" s="28" t="s">
        <v>1728</v>
      </c>
      <c r="Y604" s="28" t="s">
        <v>1729</v>
      </c>
      <c r="Z604" s="61" t="s">
        <v>1730</v>
      </c>
      <c r="AA604" s="60"/>
      <c r="AB604" s="28" t="s">
        <v>7355</v>
      </c>
      <c r="AC604" s="28" t="s">
        <v>1466</v>
      </c>
    </row>
    <row r="605" spans="1:29" s="28" customFormat="1" x14ac:dyDescent="0.25">
      <c r="A605" s="61">
        <v>110000433013</v>
      </c>
      <c r="B605" s="28">
        <v>2024</v>
      </c>
      <c r="C605" s="68">
        <f t="shared" si="9"/>
        <v>45292</v>
      </c>
      <c r="D605" s="28" t="s">
        <v>6847</v>
      </c>
      <c r="E605" s="28" t="s">
        <v>1726</v>
      </c>
      <c r="F605" s="28" t="s">
        <v>1103</v>
      </c>
      <c r="G605" s="28" t="s">
        <v>345</v>
      </c>
      <c r="H605" s="28">
        <v>60450</v>
      </c>
      <c r="I605" s="28">
        <v>41.412897000000001</v>
      </c>
      <c r="J605" s="28">
        <v>-88.329773000000003</v>
      </c>
      <c r="K605" s="28" t="s">
        <v>712</v>
      </c>
      <c r="L605" s="61">
        <v>110000433013</v>
      </c>
      <c r="M605" s="28" t="s">
        <v>265</v>
      </c>
      <c r="N605" s="28">
        <v>2821</v>
      </c>
      <c r="O605" s="28" t="str">
        <f>IFERROR(VLOOKUP(N605, 'SIC &amp; NAICS Codes'!A:B, 2, FALSE), "")</f>
        <v>Plastics Materials, Synthetic and Resins, and Nonvulcanizable Elastomers</v>
      </c>
      <c r="S605" s="28">
        <v>1.64802</v>
      </c>
      <c r="T605" s="315">
        <f>_xlfn.MAXIFS('Raw Period DMR Data'!$O:$O,'Raw Period DMR Data'!$A:$A,'Raw Annual DMR Data_2021-2024'!#REF!,'Raw Period DMR Data'!$C:$C,X605)/S605</f>
        <v>0</v>
      </c>
      <c r="U605" s="28" t="str">
        <f>+IF(COUNTIFS('Raw Period DMR Data'!$A:$A,B605,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05" s="28" t="str" cm="1">
        <f t="array" ref="V605">IFERROR(INDEX('Raw Period DMR Data'!N:N,MATCH(1,(B605='Raw Period DMR Data'!$A:$A)*(U605='Raw Period DMR Data'!M:M)*(X605='Raw Period DMR Data'!C:C),0),1), "N/A")</f>
        <v>N/A</v>
      </c>
      <c r="W605" s="28" t="s">
        <v>1463</v>
      </c>
      <c r="X605" s="28" t="s">
        <v>1728</v>
      </c>
      <c r="Y605" s="28" t="s">
        <v>1729</v>
      </c>
      <c r="Z605" s="61">
        <v>7120005000248</v>
      </c>
      <c r="AA605" s="60"/>
      <c r="AB605" s="28" t="s">
        <v>7355</v>
      </c>
      <c r="AC605" s="28" t="s">
        <v>1466</v>
      </c>
    </row>
    <row r="606" spans="1:29" s="28" customFormat="1" x14ac:dyDescent="0.25">
      <c r="A606" s="61">
        <v>110000433013</v>
      </c>
      <c r="B606" s="28">
        <v>2023</v>
      </c>
      <c r="C606" s="68">
        <f t="shared" si="9"/>
        <v>44927</v>
      </c>
      <c r="D606" s="28" t="s">
        <v>6847</v>
      </c>
      <c r="E606" s="28" t="s">
        <v>1726</v>
      </c>
      <c r="F606" s="28" t="s">
        <v>1103</v>
      </c>
      <c r="G606" s="28" t="s">
        <v>345</v>
      </c>
      <c r="H606" s="28">
        <v>60450</v>
      </c>
      <c r="I606" s="28">
        <v>41.412897000000001</v>
      </c>
      <c r="J606" s="28">
        <v>-88.329773000000003</v>
      </c>
      <c r="K606" s="28" t="s">
        <v>712</v>
      </c>
      <c r="L606" s="61">
        <v>110000433013</v>
      </c>
      <c r="M606" s="28" t="s">
        <v>265</v>
      </c>
      <c r="N606" s="28">
        <v>2821</v>
      </c>
      <c r="O606" s="28" t="str">
        <f>IFERROR(VLOOKUP(N606, 'SIC &amp; NAICS Codes'!A:B, 2, FALSE), "")</f>
        <v>Plastics Materials, Synthetic and Resins, and Nonvulcanizable Elastomers</v>
      </c>
      <c r="S606" s="28">
        <v>1.2530399999999999</v>
      </c>
      <c r="T606" s="315">
        <f>_xlfn.MAXIFS('Raw Period DMR Data'!$O:$O,'Raw Period DMR Data'!$A:$A,'Raw Annual DMR Data_2021-2024'!#REF!,'Raw Period DMR Data'!$C:$C,X606)/S606</f>
        <v>0</v>
      </c>
      <c r="U606" s="28" t="str">
        <f>+IF(COUNTIFS('Raw Period DMR Data'!$A:$A,B606,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06" s="28" t="str" cm="1">
        <f t="array" ref="V606">IFERROR(INDEX('Raw Period DMR Data'!N:N,MATCH(1,(B606='Raw Period DMR Data'!$A:$A)*(U606='Raw Period DMR Data'!M:M)*(X606='Raw Period DMR Data'!C:C),0),1), "N/A")</f>
        <v>N/A</v>
      </c>
      <c r="W606" s="28" t="s">
        <v>1463</v>
      </c>
      <c r="X606" s="28" t="s">
        <v>1728</v>
      </c>
      <c r="Y606" s="28" t="s">
        <v>1729</v>
      </c>
      <c r="Z606" s="61" t="s">
        <v>1730</v>
      </c>
      <c r="AA606" s="60"/>
      <c r="AB606" s="28" t="s">
        <v>7355</v>
      </c>
      <c r="AC606" s="28" t="s">
        <v>1466</v>
      </c>
    </row>
    <row r="607" spans="1:29" s="28" customFormat="1" x14ac:dyDescent="0.25">
      <c r="A607" s="61">
        <v>110000433013</v>
      </c>
      <c r="B607" s="28">
        <v>2021</v>
      </c>
      <c r="C607" s="68">
        <f t="shared" si="9"/>
        <v>44197</v>
      </c>
      <c r="D607" s="28" t="s">
        <v>6847</v>
      </c>
      <c r="E607" s="28" t="s">
        <v>1726</v>
      </c>
      <c r="F607" s="28" t="s">
        <v>1103</v>
      </c>
      <c r="G607" s="28" t="s">
        <v>345</v>
      </c>
      <c r="H607" s="28">
        <v>60450</v>
      </c>
      <c r="I607" s="28">
        <v>41.412897000000001</v>
      </c>
      <c r="J607" s="28">
        <v>-88.329773000000003</v>
      </c>
      <c r="K607" s="28" t="s">
        <v>712</v>
      </c>
      <c r="L607" s="61">
        <v>110000433013</v>
      </c>
      <c r="M607" s="28" t="s">
        <v>265</v>
      </c>
      <c r="N607" s="28">
        <v>2821</v>
      </c>
      <c r="O607" s="28" t="str">
        <f>IFERROR(VLOOKUP(N607, 'SIC &amp; NAICS Codes'!A:B, 2, FALSE), "")</f>
        <v>Plastics Materials, Synthetic and Resins, and Nonvulcanizable Elastomers</v>
      </c>
      <c r="S607" s="28">
        <v>0.83082</v>
      </c>
      <c r="T607" s="315">
        <f>_xlfn.MAXIFS('Raw Period DMR Data'!$O:$O,'Raw Period DMR Data'!$A:$A,'Raw Annual DMR Data_2021-2024'!#REF!,'Raw Period DMR Data'!$C:$C,X607)/S607</f>
        <v>0</v>
      </c>
      <c r="U607" s="28" t="str">
        <f>+IF(COUNTIFS('Raw Period DMR Data'!$A:$A,B607,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07" s="28" t="str" cm="1">
        <f t="array" ref="V607">IFERROR(INDEX('Raw Period DMR Data'!N:N,MATCH(1,(B607='Raw Period DMR Data'!$A:$A)*(U607='Raw Period DMR Data'!M:M)*(X607='Raw Period DMR Data'!C:C),0),1), "N/A")</f>
        <v>N/A</v>
      </c>
      <c r="W607" s="28" t="s">
        <v>1463</v>
      </c>
      <c r="X607" s="28" t="s">
        <v>1728</v>
      </c>
      <c r="Y607" s="28" t="s">
        <v>1729</v>
      </c>
      <c r="Z607" s="61">
        <v>7120005000248</v>
      </c>
      <c r="AB607" s="28" t="s">
        <v>7355</v>
      </c>
      <c r="AC607" s="28" t="s">
        <v>1466</v>
      </c>
    </row>
    <row r="608" spans="1:29" s="28" customFormat="1" x14ac:dyDescent="0.25">
      <c r="A608" s="61">
        <v>110000433013</v>
      </c>
      <c r="B608" s="28">
        <v>2021</v>
      </c>
      <c r="C608" s="68">
        <f t="shared" si="9"/>
        <v>44197</v>
      </c>
      <c r="D608" s="28" t="s">
        <v>6847</v>
      </c>
      <c r="E608" s="28" t="s">
        <v>1726</v>
      </c>
      <c r="F608" s="28" t="s">
        <v>1103</v>
      </c>
      <c r="G608" s="28" t="s">
        <v>345</v>
      </c>
      <c r="H608" s="28">
        <v>60450</v>
      </c>
      <c r="I608" s="28">
        <v>41.412897000000001</v>
      </c>
      <c r="J608" s="28">
        <v>-88.329773000000003</v>
      </c>
      <c r="K608" s="28" t="s">
        <v>712</v>
      </c>
      <c r="L608" s="61">
        <v>110000433013</v>
      </c>
      <c r="M608" s="28" t="s">
        <v>265</v>
      </c>
      <c r="N608" s="28">
        <v>2821</v>
      </c>
      <c r="O608" s="28" t="str">
        <f>IFERROR(VLOOKUP(N608, 'SIC &amp; NAICS Codes'!A:B, 2, FALSE), "")</f>
        <v>Plastics Materials, Synthetic and Resins, and Nonvulcanizable Elastomers</v>
      </c>
      <c r="S608" s="28">
        <v>0.83082</v>
      </c>
      <c r="T608" s="315">
        <f>_xlfn.MAXIFS('Raw Period DMR Data'!$O:$O,'Raw Period DMR Data'!$A:$A,'Raw Annual DMR Data_2021-2024'!#REF!,'Raw Period DMR Data'!$C:$C,X608)/S608</f>
        <v>0</v>
      </c>
      <c r="U608" s="28" t="str">
        <f>+IF(COUNTIFS('Raw Period DMR Data'!$A:$A,B608,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08" s="28" t="str" cm="1">
        <f t="array" ref="V608">IFERROR(INDEX('Raw Period DMR Data'!N:N,MATCH(1,(B608='Raw Period DMR Data'!$A:$A)*(U608='Raw Period DMR Data'!M:M)*(X608='Raw Period DMR Data'!C:C),0),1), "N/A")</f>
        <v>N/A</v>
      </c>
      <c r="W608" s="28" t="s">
        <v>1463</v>
      </c>
      <c r="X608" s="28" t="s">
        <v>1728</v>
      </c>
      <c r="Y608" s="28" t="s">
        <v>1729</v>
      </c>
      <c r="Z608" s="61">
        <v>7120005000248</v>
      </c>
      <c r="AB608" s="28" t="s">
        <v>7355</v>
      </c>
      <c r="AC608" s="28" t="s">
        <v>1466</v>
      </c>
    </row>
    <row r="609" spans="1:29" s="28" customFormat="1" x14ac:dyDescent="0.25">
      <c r="A609" s="61">
        <v>110000433013</v>
      </c>
      <c r="B609" s="28">
        <v>2022</v>
      </c>
      <c r="C609" s="68">
        <f t="shared" si="9"/>
        <v>44562</v>
      </c>
      <c r="D609" s="28" t="s">
        <v>6847</v>
      </c>
      <c r="E609" s="28" t="s">
        <v>1726</v>
      </c>
      <c r="F609" s="28" t="s">
        <v>1103</v>
      </c>
      <c r="G609" s="28" t="s">
        <v>345</v>
      </c>
      <c r="H609" s="28">
        <v>60450</v>
      </c>
      <c r="I609" s="28">
        <v>41.412897000000001</v>
      </c>
      <c r="J609" s="28">
        <v>-88.329773000000003</v>
      </c>
      <c r="K609" s="28" t="s">
        <v>712</v>
      </c>
      <c r="L609" s="61">
        <v>110000433013</v>
      </c>
      <c r="M609" s="28" t="s">
        <v>265</v>
      </c>
      <c r="N609" s="28">
        <v>2821</v>
      </c>
      <c r="O609" s="28" t="str">
        <f>IFERROR(VLOOKUP(N609, 'SIC &amp; NAICS Codes'!A:B, 2, FALSE), "")</f>
        <v>Plastics Materials, Synthetic and Resins, and Nonvulcanizable Elastomers</v>
      </c>
      <c r="S609" s="28">
        <v>0.83082</v>
      </c>
      <c r="T609" s="315">
        <f>_xlfn.MAXIFS('Raw Period DMR Data'!$O:$O,'Raw Period DMR Data'!$A:$A,'Raw Annual DMR Data_2021-2024'!#REF!,'Raw Period DMR Data'!$C:$C,X609)/S609</f>
        <v>0</v>
      </c>
      <c r="U609" s="28" t="str">
        <f>+IF(COUNTIFS('Raw Period DMR Data'!$A:$A,B609,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09" s="28" t="str" cm="1">
        <f t="array" ref="V609">IFERROR(INDEX('Raw Period DMR Data'!N:N,MATCH(1,(B609='Raw Period DMR Data'!$A:$A)*(U609='Raw Period DMR Data'!M:M)*(X609='Raw Period DMR Data'!C:C),0),1), "N/A")</f>
        <v>N/A</v>
      </c>
      <c r="W609" s="28" t="s">
        <v>1463</v>
      </c>
      <c r="X609" s="28" t="s">
        <v>1728</v>
      </c>
      <c r="Y609" s="28" t="s">
        <v>1729</v>
      </c>
      <c r="Z609" s="61">
        <v>7120005000248</v>
      </c>
      <c r="AA609" s="60"/>
      <c r="AB609" s="28" t="s">
        <v>7355</v>
      </c>
      <c r="AC609" s="28" t="s">
        <v>1466</v>
      </c>
    </row>
    <row r="610" spans="1:29" s="28" customFormat="1" x14ac:dyDescent="0.25">
      <c r="A610" s="61">
        <v>110000433013</v>
      </c>
      <c r="B610" s="28">
        <v>2022</v>
      </c>
      <c r="C610" s="68">
        <f t="shared" si="9"/>
        <v>44562</v>
      </c>
      <c r="D610" s="28" t="s">
        <v>6847</v>
      </c>
      <c r="E610" s="28" t="s">
        <v>1726</v>
      </c>
      <c r="F610" s="28" t="s">
        <v>1103</v>
      </c>
      <c r="G610" s="28" t="s">
        <v>345</v>
      </c>
      <c r="H610" s="28">
        <v>60450</v>
      </c>
      <c r="I610" s="28">
        <v>41.412897000000001</v>
      </c>
      <c r="J610" s="28">
        <v>-88.329773000000003</v>
      </c>
      <c r="K610" s="28" t="s">
        <v>712</v>
      </c>
      <c r="L610" s="61">
        <v>110000433013</v>
      </c>
      <c r="M610" s="28" t="s">
        <v>265</v>
      </c>
      <c r="N610" s="28">
        <v>2821</v>
      </c>
      <c r="O610" s="28" t="str">
        <f>IFERROR(VLOOKUP(N610, 'SIC &amp; NAICS Codes'!A:B, 2, FALSE), "")</f>
        <v>Plastics Materials, Synthetic and Resins, and Nonvulcanizable Elastomers</v>
      </c>
      <c r="S610" s="28">
        <v>0.83082</v>
      </c>
      <c r="T610" s="315">
        <f>_xlfn.MAXIFS('Raw Period DMR Data'!$O:$O,'Raw Period DMR Data'!$A:$A,'Raw Annual DMR Data_2021-2024'!#REF!,'Raw Period DMR Data'!$C:$C,X610)/S610</f>
        <v>0</v>
      </c>
      <c r="U610" s="28" t="str">
        <f>+IF(COUNTIFS('Raw Period DMR Data'!$A:$A,B610,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10" s="28" t="str" cm="1">
        <f t="array" ref="V610">IFERROR(INDEX('Raw Period DMR Data'!N:N,MATCH(1,(B610='Raw Period DMR Data'!$A:$A)*(U610='Raw Period DMR Data'!M:M)*(X610='Raw Period DMR Data'!C:C),0),1), "N/A")</f>
        <v>N/A</v>
      </c>
      <c r="W610" s="28" t="s">
        <v>1463</v>
      </c>
      <c r="X610" s="28" t="s">
        <v>1728</v>
      </c>
      <c r="Y610" s="28" t="s">
        <v>1729</v>
      </c>
      <c r="Z610" s="61">
        <v>7120005000248</v>
      </c>
      <c r="AA610" s="60"/>
      <c r="AB610" s="28" t="s">
        <v>7355</v>
      </c>
      <c r="AC610" s="28" t="s">
        <v>1466</v>
      </c>
    </row>
    <row r="611" spans="1:29" s="28" customFormat="1" x14ac:dyDescent="0.25">
      <c r="A611" s="61">
        <v>110070212717</v>
      </c>
      <c r="B611" s="28">
        <v>2023</v>
      </c>
      <c r="C611" s="68">
        <f t="shared" si="9"/>
        <v>44927</v>
      </c>
      <c r="D611" s="28" t="s">
        <v>1107</v>
      </c>
      <c r="E611" s="28" t="s">
        <v>1741</v>
      </c>
      <c r="F611" s="28" t="s">
        <v>1108</v>
      </c>
      <c r="G611" s="28" t="s">
        <v>338</v>
      </c>
      <c r="H611" s="28" t="s">
        <v>1744</v>
      </c>
      <c r="I611" s="28">
        <v>40.665252000000002</v>
      </c>
      <c r="J611" s="28">
        <v>-74.200059999999993</v>
      </c>
      <c r="L611" s="61">
        <v>110070212717</v>
      </c>
      <c r="M611" s="28" t="s">
        <v>265</v>
      </c>
      <c r="N611" s="28">
        <v>2851</v>
      </c>
      <c r="O611" s="28" t="str">
        <f>IFERROR(VLOOKUP(N611, 'SIC &amp; NAICS Codes'!A:B, 2, FALSE), "")</f>
        <v>Paints, Varnishes, Lacquers, Enamels and Allied Products</v>
      </c>
      <c r="S611" s="28">
        <v>1.7257783200000001E-3</v>
      </c>
      <c r="T611" s="315">
        <f>_xlfn.MAXIFS('Raw Period DMR Data'!$O:$O,'Raw Period DMR Data'!$A:$A,'Raw Annual DMR Data_2021-2024'!#REF!,'Raw Period DMR Data'!$C:$C,X611)/S611</f>
        <v>0</v>
      </c>
      <c r="U611" s="28" t="str">
        <f>+IF(COUNTIFS('Raw Period DMR Data'!$A:$A,B611,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11" s="28" t="str" cm="1">
        <f t="array" ref="V611">IFERROR(INDEX('Raw Period DMR Data'!N:N,MATCH(1,(B611='Raw Period DMR Data'!$A:$A)*(U611='Raw Period DMR Data'!M:M)*(X611='Raw Period DMR Data'!C:C),0),1), "N/A")</f>
        <v>N/A</v>
      </c>
      <c r="W611" s="28" t="s">
        <v>1463</v>
      </c>
      <c r="X611" s="28" t="s">
        <v>1742</v>
      </c>
      <c r="Y611" s="28" t="s">
        <v>1743</v>
      </c>
      <c r="Z611" s="61" t="s">
        <v>1745</v>
      </c>
      <c r="AA611" s="60"/>
      <c r="AB611" s="28" t="s">
        <v>7355</v>
      </c>
      <c r="AC611" s="28" t="s">
        <v>1466</v>
      </c>
    </row>
    <row r="612" spans="1:29" s="28" customFormat="1" x14ac:dyDescent="0.25">
      <c r="A612" s="61">
        <v>110070212717</v>
      </c>
      <c r="B612" s="28">
        <v>2022</v>
      </c>
      <c r="C612" s="68">
        <f t="shared" si="9"/>
        <v>44562</v>
      </c>
      <c r="D612" s="28" t="s">
        <v>1107</v>
      </c>
      <c r="E612" s="28" t="s">
        <v>1741</v>
      </c>
      <c r="F612" s="28" t="s">
        <v>1108</v>
      </c>
      <c r="G612" s="28" t="s">
        <v>338</v>
      </c>
      <c r="H612" s="28">
        <v>8872</v>
      </c>
      <c r="I612" s="28">
        <v>40.665252000000002</v>
      </c>
      <c r="J612" s="28">
        <v>-74.200059999999993</v>
      </c>
      <c r="L612" s="61">
        <v>110070212717</v>
      </c>
      <c r="M612" s="28" t="s">
        <v>265</v>
      </c>
      <c r="N612" s="28">
        <v>2851</v>
      </c>
      <c r="O612" s="28" t="str">
        <f>IFERROR(VLOOKUP(N612, 'SIC &amp; NAICS Codes'!A:B, 2, FALSE), "")</f>
        <v>Paints, Varnishes, Lacquers, Enamels and Allied Products</v>
      </c>
      <c r="S612" s="28">
        <v>6.009066E-4</v>
      </c>
      <c r="T612" s="315">
        <f>_xlfn.MAXIFS('Raw Period DMR Data'!$O:$O,'Raw Period DMR Data'!$A:$A,'Raw Annual DMR Data_2021-2024'!#REF!,'Raw Period DMR Data'!$C:$C,X612)/S612</f>
        <v>0</v>
      </c>
      <c r="U612" s="28" t="str">
        <f>+IF(COUNTIFS('Raw Period DMR Data'!$A:$A,B612,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12" s="28" t="str" cm="1">
        <f t="array" ref="V612">IFERROR(INDEX('Raw Period DMR Data'!N:N,MATCH(1,(B612='Raw Period DMR Data'!$A:$A)*(U612='Raw Period DMR Data'!M:M)*(X612='Raw Period DMR Data'!C:C),0),1), "N/A")</f>
        <v>N/A</v>
      </c>
      <c r="W612" s="28" t="s">
        <v>1463</v>
      </c>
      <c r="X612" s="28" t="s">
        <v>1742</v>
      </c>
      <c r="Y612" s="28" t="s">
        <v>1743</v>
      </c>
      <c r="Z612" s="61">
        <v>2030104000356</v>
      </c>
      <c r="AA612" s="60"/>
      <c r="AB612" s="28" t="s">
        <v>7355</v>
      </c>
      <c r="AC612" s="28" t="s">
        <v>1466</v>
      </c>
    </row>
    <row r="613" spans="1:29" s="28" customFormat="1" x14ac:dyDescent="0.25">
      <c r="A613" s="61">
        <v>110070212717</v>
      </c>
      <c r="B613" s="28">
        <v>2021</v>
      </c>
      <c r="C613" s="68">
        <f t="shared" si="9"/>
        <v>44197</v>
      </c>
      <c r="D613" s="28" t="s">
        <v>1107</v>
      </c>
      <c r="E613" s="28" t="s">
        <v>1741</v>
      </c>
      <c r="F613" s="28" t="s">
        <v>1108</v>
      </c>
      <c r="G613" s="28" t="s">
        <v>338</v>
      </c>
      <c r="H613" s="28">
        <v>8872</v>
      </c>
      <c r="I613" s="28">
        <v>40.665252000000002</v>
      </c>
      <c r="J613" s="28">
        <v>-74.200059999999993</v>
      </c>
      <c r="L613" s="61">
        <v>110070212717</v>
      </c>
      <c r="M613" s="28" t="s">
        <v>265</v>
      </c>
      <c r="N613" s="28">
        <v>2851</v>
      </c>
      <c r="O613" s="28" t="str">
        <f>IFERROR(VLOOKUP(N613, 'SIC &amp; NAICS Codes'!A:B, 2, FALSE), "")</f>
        <v>Paints, Varnishes, Lacquers, Enamels and Allied Products</v>
      </c>
      <c r="S613" s="28">
        <v>3.11024805E-4</v>
      </c>
      <c r="T613" s="315">
        <f>_xlfn.MAXIFS('Raw Period DMR Data'!$O:$O,'Raw Period DMR Data'!$A:$A,'Raw Annual DMR Data_2021-2024'!#REF!,'Raw Period DMR Data'!$C:$C,X613)/S613</f>
        <v>0</v>
      </c>
      <c r="U613" s="28" t="str">
        <f>+IF(COUNTIFS('Raw Period DMR Data'!$A:$A,B613,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13" s="28" t="str" cm="1">
        <f t="array" ref="V613">IFERROR(INDEX('Raw Period DMR Data'!N:N,MATCH(1,(B613='Raw Period DMR Data'!$A:$A)*(U613='Raw Period DMR Data'!M:M)*(X613='Raw Period DMR Data'!C:C),0),1), "N/A")</f>
        <v>N/A</v>
      </c>
      <c r="W613" s="28" t="s">
        <v>1463</v>
      </c>
      <c r="X613" s="28" t="s">
        <v>1742</v>
      </c>
      <c r="Y613" s="28" t="s">
        <v>1743</v>
      </c>
      <c r="Z613" s="61">
        <v>2030104000356</v>
      </c>
      <c r="AB613" s="28" t="s">
        <v>7355</v>
      </c>
      <c r="AC613" s="28" t="s">
        <v>1466</v>
      </c>
    </row>
    <row r="614" spans="1:29" s="28" customFormat="1" x14ac:dyDescent="0.25">
      <c r="A614" s="61">
        <v>110071065066</v>
      </c>
      <c r="B614" s="28">
        <v>2021</v>
      </c>
      <c r="C614" s="68">
        <f t="shared" si="9"/>
        <v>44197</v>
      </c>
      <c r="D614" s="28" t="s">
        <v>6838</v>
      </c>
      <c r="E614" s="28" t="s">
        <v>6992</v>
      </c>
      <c r="F614" s="28" t="s">
        <v>293</v>
      </c>
      <c r="G614" s="28" t="s">
        <v>294</v>
      </c>
      <c r="H614" s="28">
        <v>22204</v>
      </c>
      <c r="I614" s="28">
        <v>38.862986999999997</v>
      </c>
      <c r="J614" s="28">
        <v>-77.085927999999996</v>
      </c>
      <c r="L614" s="61">
        <v>110071065066</v>
      </c>
      <c r="M614" s="28" t="s">
        <v>265</v>
      </c>
      <c r="N614" s="28">
        <v>5999</v>
      </c>
      <c r="O614" s="28" t="str">
        <f>IFERROR(VLOOKUP(N614, 'SIC &amp; NAICS Codes'!A:B, 2, FALSE), "")</f>
        <v>Miscellaneous Retail Stores, NEC (manufacture of orthopedic devices to prescription in a retail environment)</v>
      </c>
      <c r="S614" s="28">
        <v>4.8750800000000001E-5</v>
      </c>
      <c r="T614" s="315">
        <f>_xlfn.MAXIFS('Raw Period DMR Data'!$O:$O,'Raw Period DMR Data'!$A:$A,'Raw Annual DMR Data_2021-2024'!#REF!,'Raw Period DMR Data'!$C:$C,X614)/S614</f>
        <v>0</v>
      </c>
      <c r="U614" s="28" t="str">
        <f>+IF(COUNTIFS('Raw Period DMR Data'!$A:$A,B614,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14" s="28" t="str" cm="1">
        <f t="array" ref="V614">IFERROR(INDEX('Raw Period DMR Data'!N:N,MATCH(1,(B614='Raw Period DMR Data'!$A:$A)*(U614='Raw Period DMR Data'!M:M)*(X614='Raw Period DMR Data'!C:C),0),1), "N/A")</f>
        <v>N/A</v>
      </c>
      <c r="W614" s="28" t="s">
        <v>1463</v>
      </c>
      <c r="X614" s="28" t="s">
        <v>7174</v>
      </c>
      <c r="Y614" s="28" t="s">
        <v>1475</v>
      </c>
      <c r="Z614" s="61"/>
      <c r="AB614" s="28" t="s">
        <v>7355</v>
      </c>
      <c r="AC614" s="28" t="s">
        <v>1466</v>
      </c>
    </row>
    <row r="615" spans="1:29" s="28" customFormat="1" x14ac:dyDescent="0.25">
      <c r="A615" s="61">
        <v>110071065066</v>
      </c>
      <c r="B615" s="28">
        <v>2022</v>
      </c>
      <c r="C615" s="68">
        <f t="shared" si="9"/>
        <v>44562</v>
      </c>
      <c r="D615" s="28" t="s">
        <v>6838</v>
      </c>
      <c r="E615" s="28" t="s">
        <v>6992</v>
      </c>
      <c r="F615" s="28" t="s">
        <v>293</v>
      </c>
      <c r="G615" s="28" t="s">
        <v>294</v>
      </c>
      <c r="H615" s="28">
        <v>22204</v>
      </c>
      <c r="I615" s="28">
        <v>38.862986999999997</v>
      </c>
      <c r="J615" s="28">
        <v>-77.085927999999996</v>
      </c>
      <c r="L615" s="61">
        <v>110071065066</v>
      </c>
      <c r="M615" s="28" t="s">
        <v>265</v>
      </c>
      <c r="N615" s="28">
        <v>5999</v>
      </c>
      <c r="O615" s="28" t="str">
        <f>IFERROR(VLOOKUP(N615, 'SIC &amp; NAICS Codes'!A:B, 2, FALSE), "")</f>
        <v>Miscellaneous Retail Stores, NEC (manufacture of orthopedic devices to prescription in a retail environment)</v>
      </c>
      <c r="S615" s="28">
        <v>4.0272399999999997E-5</v>
      </c>
      <c r="T615" s="315">
        <f>_xlfn.MAXIFS('Raw Period DMR Data'!$O:$O,'Raw Period DMR Data'!$A:$A,'Raw Annual DMR Data_2021-2024'!#REF!,'Raw Period DMR Data'!$C:$C,X615)/S615</f>
        <v>0</v>
      </c>
      <c r="U615" s="28" t="str">
        <f>+IF(COUNTIFS('Raw Period DMR Data'!$A:$A,B615,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15" s="28" t="str" cm="1">
        <f t="array" ref="V615">IFERROR(INDEX('Raw Period DMR Data'!N:N,MATCH(1,(B615='Raw Period DMR Data'!$A:$A)*(U615='Raw Period DMR Data'!M:M)*(X615='Raw Period DMR Data'!C:C),0),1), "N/A")</f>
        <v>N/A</v>
      </c>
      <c r="W615" s="28" t="s">
        <v>1463</v>
      </c>
      <c r="X615" s="28" t="s">
        <v>7174</v>
      </c>
      <c r="Y615" s="28" t="s">
        <v>1475</v>
      </c>
      <c r="Z615" s="61"/>
      <c r="AA615" s="60"/>
      <c r="AB615" s="28" t="s">
        <v>7355</v>
      </c>
      <c r="AC615" s="28" t="s">
        <v>1466</v>
      </c>
    </row>
    <row r="616" spans="1:29" s="28" customFormat="1" x14ac:dyDescent="0.25">
      <c r="A616" s="61">
        <v>110000321651</v>
      </c>
      <c r="B616" s="28">
        <v>2022</v>
      </c>
      <c r="C616" s="68">
        <f t="shared" si="9"/>
        <v>44562</v>
      </c>
      <c r="D616" s="28" t="s">
        <v>1109</v>
      </c>
      <c r="E616" s="28" t="s">
        <v>1748</v>
      </c>
      <c r="F616" s="28" t="s">
        <v>1110</v>
      </c>
      <c r="G616" s="28" t="s">
        <v>338</v>
      </c>
      <c r="H616" s="28">
        <v>8536</v>
      </c>
      <c r="I616" s="28">
        <v>40.331944</v>
      </c>
      <c r="J616" s="28">
        <v>-74.619721999999996</v>
      </c>
      <c r="K616" s="28" t="s">
        <v>7127</v>
      </c>
      <c r="L616" s="61">
        <v>110000321651</v>
      </c>
      <c r="M616" s="28" t="s">
        <v>265</v>
      </c>
      <c r="N616" s="28">
        <v>2869</v>
      </c>
      <c r="O616" s="28" t="str">
        <f>IFERROR(VLOOKUP(N616, 'SIC &amp; NAICS Codes'!A:B, 2, FALSE), "")</f>
        <v>Industrial Organic Chemicals, NEC (aliphatics)</v>
      </c>
      <c r="S616" s="28">
        <v>3.0695E-2</v>
      </c>
      <c r="T616" s="315">
        <f>_xlfn.MAXIFS('Raw Period DMR Data'!$O:$O,'Raw Period DMR Data'!$A:$A,'Raw Annual DMR Data_2021-2024'!#REF!,'Raw Period DMR Data'!$C:$C,X616)/S616</f>
        <v>0</v>
      </c>
      <c r="U616" s="28" t="str">
        <f>+IF(COUNTIFS('Raw Period DMR Data'!$A:$A,B616,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16" s="28" t="str" cm="1">
        <f t="array" ref="V616">IFERROR(INDEX('Raw Period DMR Data'!N:N,MATCH(1,(B616='Raw Period DMR Data'!$A:$A)*(U616='Raw Period DMR Data'!M:M)*(X616='Raw Period DMR Data'!C:C),0),1), "N/A")</f>
        <v>N/A</v>
      </c>
      <c r="W616" s="28" t="s">
        <v>1463</v>
      </c>
      <c r="X616" s="28" t="s">
        <v>1749</v>
      </c>
      <c r="Y616" s="28" t="s">
        <v>1750</v>
      </c>
      <c r="Z616" s="61">
        <v>2060002000003</v>
      </c>
      <c r="AA616" s="60"/>
      <c r="AB616" s="28" t="s">
        <v>7355</v>
      </c>
      <c r="AC616" s="28" t="s">
        <v>1466</v>
      </c>
    </row>
    <row r="617" spans="1:29" s="28" customFormat="1" x14ac:dyDescent="0.25">
      <c r="A617" s="61">
        <v>110000321651</v>
      </c>
      <c r="B617" s="28">
        <v>2021</v>
      </c>
      <c r="C617" s="68">
        <f t="shared" si="9"/>
        <v>44197</v>
      </c>
      <c r="D617" s="28" t="s">
        <v>1109</v>
      </c>
      <c r="E617" s="28" t="s">
        <v>1748</v>
      </c>
      <c r="F617" s="28" t="s">
        <v>1110</v>
      </c>
      <c r="G617" s="28" t="s">
        <v>338</v>
      </c>
      <c r="H617" s="28">
        <v>8536</v>
      </c>
      <c r="I617" s="28">
        <v>40.331944</v>
      </c>
      <c r="J617" s="28">
        <v>-74.619721999999996</v>
      </c>
      <c r="K617" s="28" t="s">
        <v>7127</v>
      </c>
      <c r="L617" s="61">
        <v>110000321651</v>
      </c>
      <c r="M617" s="28" t="s">
        <v>265</v>
      </c>
      <c r="N617" s="28">
        <v>2869</v>
      </c>
      <c r="O617" s="28" t="str">
        <f>IFERROR(VLOOKUP(N617, 'SIC &amp; NAICS Codes'!A:B, 2, FALSE), "")</f>
        <v>Industrial Organic Chemicals, NEC (aliphatics)</v>
      </c>
      <c r="S617" s="28">
        <v>2.2196E-2</v>
      </c>
      <c r="T617" s="315">
        <f>_xlfn.MAXIFS('Raw Period DMR Data'!$O:$O,'Raw Period DMR Data'!$A:$A,'Raw Annual DMR Data_2021-2024'!#REF!,'Raw Period DMR Data'!$C:$C,X617)/S617</f>
        <v>0</v>
      </c>
      <c r="U617" s="28" t="str">
        <f>+IF(COUNTIFS('Raw Period DMR Data'!$A:$A,B617,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17" s="28" t="str" cm="1">
        <f t="array" ref="V617">IFERROR(INDEX('Raw Period DMR Data'!N:N,MATCH(1,(B617='Raw Period DMR Data'!$A:$A)*(U617='Raw Period DMR Data'!M:M)*(X617='Raw Period DMR Data'!C:C),0),1), "N/A")</f>
        <v>N/A</v>
      </c>
      <c r="W617" s="28" t="s">
        <v>1463</v>
      </c>
      <c r="X617" s="28" t="s">
        <v>1749</v>
      </c>
      <c r="Y617" s="28" t="s">
        <v>1750</v>
      </c>
      <c r="Z617" s="61">
        <v>2060002000003</v>
      </c>
      <c r="AB617" s="28" t="s">
        <v>7355</v>
      </c>
      <c r="AC617" s="28" t="s">
        <v>1466</v>
      </c>
    </row>
    <row r="618" spans="1:29" s="28" customFormat="1" x14ac:dyDescent="0.25">
      <c r="A618" s="61">
        <v>110000321651</v>
      </c>
      <c r="B618" s="28">
        <v>2024</v>
      </c>
      <c r="C618" s="68">
        <f t="shared" si="9"/>
        <v>45292</v>
      </c>
      <c r="D618" s="28" t="s">
        <v>1109</v>
      </c>
      <c r="E618" s="28" t="s">
        <v>1748</v>
      </c>
      <c r="F618" s="28" t="s">
        <v>1110</v>
      </c>
      <c r="G618" s="28" t="s">
        <v>338</v>
      </c>
      <c r="H618" s="28">
        <v>8536</v>
      </c>
      <c r="I618" s="28">
        <v>40.331944</v>
      </c>
      <c r="J618" s="28">
        <v>-74.619721999999996</v>
      </c>
      <c r="K618" s="28" t="s">
        <v>7127</v>
      </c>
      <c r="L618" s="61">
        <v>110000321651</v>
      </c>
      <c r="M618" s="28" t="s">
        <v>265</v>
      </c>
      <c r="N618" s="28">
        <v>2869</v>
      </c>
      <c r="O618" s="28" t="str">
        <f>IFERROR(VLOOKUP(N618, 'SIC &amp; NAICS Codes'!A:B, 2, FALSE), "")</f>
        <v>Industrial Organic Chemicals, NEC (aliphatics)</v>
      </c>
      <c r="S618" s="28">
        <v>1.0120000000000001E-2</v>
      </c>
      <c r="T618" s="315">
        <f>_xlfn.MAXIFS('Raw Period DMR Data'!$O:$O,'Raw Period DMR Data'!$A:$A,'Raw Annual DMR Data_2021-2024'!#REF!,'Raw Period DMR Data'!$C:$C,X618)/S618</f>
        <v>0</v>
      </c>
      <c r="U618" s="28" t="str">
        <f>+IF(COUNTIFS('Raw Period DMR Data'!$A:$A,B618,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18" s="28" t="str" cm="1">
        <f t="array" ref="V618">IFERROR(INDEX('Raw Period DMR Data'!N:N,MATCH(1,(B618='Raw Period DMR Data'!$A:$A)*(U618='Raw Period DMR Data'!M:M)*(X618='Raw Period DMR Data'!C:C),0),1), "N/A")</f>
        <v>N/A</v>
      </c>
      <c r="W618" s="28" t="s">
        <v>1463</v>
      </c>
      <c r="X618" s="28" t="s">
        <v>1749</v>
      </c>
      <c r="Y618" s="28" t="s">
        <v>1750</v>
      </c>
      <c r="Z618" s="61">
        <v>2060002000003</v>
      </c>
      <c r="AA618" s="60"/>
      <c r="AB618" s="28" t="s">
        <v>7355</v>
      </c>
      <c r="AC618" s="28" t="s">
        <v>1466</v>
      </c>
    </row>
    <row r="619" spans="1:29" s="28" customFormat="1" x14ac:dyDescent="0.25">
      <c r="A619" s="61">
        <v>110000321651</v>
      </c>
      <c r="B619" s="28">
        <v>2023</v>
      </c>
      <c r="C619" s="68">
        <f t="shared" si="9"/>
        <v>44927</v>
      </c>
      <c r="D619" s="28" t="s">
        <v>1109</v>
      </c>
      <c r="E619" s="28" t="s">
        <v>1748</v>
      </c>
      <c r="F619" s="28" t="s">
        <v>1110</v>
      </c>
      <c r="G619" s="28" t="s">
        <v>338</v>
      </c>
      <c r="H619" s="28" t="s">
        <v>1751</v>
      </c>
      <c r="I619" s="28">
        <v>40.331944</v>
      </c>
      <c r="J619" s="28">
        <v>-74.619721999999996</v>
      </c>
      <c r="K619" s="28" t="s">
        <v>7127</v>
      </c>
      <c r="L619" s="61">
        <v>110000321651</v>
      </c>
      <c r="M619" s="28" t="s">
        <v>265</v>
      </c>
      <c r="N619" s="28">
        <v>2869</v>
      </c>
      <c r="O619" s="28" t="str">
        <f>IFERROR(VLOOKUP(N619, 'SIC &amp; NAICS Codes'!A:B, 2, FALSE), "")</f>
        <v>Industrial Organic Chemicals, NEC (aliphatics)</v>
      </c>
      <c r="S619" s="28">
        <v>3.0999999999999999E-3</v>
      </c>
      <c r="T619" s="315">
        <f>_xlfn.MAXIFS('Raw Period DMR Data'!$O:$O,'Raw Period DMR Data'!$A:$A,'Raw Annual DMR Data_2021-2024'!#REF!,'Raw Period DMR Data'!$C:$C,X619)/S619</f>
        <v>0</v>
      </c>
      <c r="U619" s="28" t="str">
        <f>+IF(COUNTIFS('Raw Period DMR Data'!$A:$A,B619,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19" s="28" t="str" cm="1">
        <f t="array" ref="V619">IFERROR(INDEX('Raw Period DMR Data'!N:N,MATCH(1,(B619='Raw Period DMR Data'!$A:$A)*(U619='Raw Period DMR Data'!M:M)*(X619='Raw Period DMR Data'!C:C),0),1), "N/A")</f>
        <v>N/A</v>
      </c>
      <c r="W619" s="28" t="s">
        <v>1463</v>
      </c>
      <c r="X619" s="28" t="s">
        <v>1749</v>
      </c>
      <c r="Y619" s="28" t="s">
        <v>1750</v>
      </c>
      <c r="Z619" s="61" t="s">
        <v>1752</v>
      </c>
      <c r="AA619" s="60"/>
      <c r="AB619" s="28" t="s">
        <v>7355</v>
      </c>
      <c r="AC619" s="28" t="s">
        <v>1466</v>
      </c>
    </row>
    <row r="620" spans="1:29" s="28" customFormat="1" x14ac:dyDescent="0.25">
      <c r="A620" s="61">
        <v>110000319904</v>
      </c>
      <c r="B620" s="28">
        <v>2024</v>
      </c>
      <c r="C620" s="68">
        <f t="shared" si="9"/>
        <v>45292</v>
      </c>
      <c r="D620" s="28" t="s">
        <v>6870</v>
      </c>
      <c r="E620" s="28" t="s">
        <v>1753</v>
      </c>
      <c r="F620" s="28" t="s">
        <v>1112</v>
      </c>
      <c r="G620" s="28" t="s">
        <v>338</v>
      </c>
      <c r="H620" s="28">
        <v>7410</v>
      </c>
      <c r="I620" s="28">
        <v>40.9375</v>
      </c>
      <c r="J620" s="28">
        <v>-74.131929999999997</v>
      </c>
      <c r="K620" s="28" t="s">
        <v>715</v>
      </c>
      <c r="L620" s="61">
        <v>110000319904</v>
      </c>
      <c r="M620" s="28" t="s">
        <v>265</v>
      </c>
      <c r="N620" s="28">
        <v>2899</v>
      </c>
      <c r="O620" s="28" t="str">
        <f>IFERROR(VLOOKUP(N620, 'SIC &amp; NAICS Codes'!A:B, 2, FALSE), "")</f>
        <v>Chemicals and Chemical Preparations, NEC (table salt)</v>
      </c>
      <c r="S620" s="28">
        <v>5.8179348550000003E-2</v>
      </c>
      <c r="T620" s="315">
        <f>_xlfn.MAXIFS('Raw Period DMR Data'!$O:$O,'Raw Period DMR Data'!$A:$A,'Raw Annual DMR Data_2021-2024'!#REF!,'Raw Period DMR Data'!$C:$C,X620)/S620</f>
        <v>0</v>
      </c>
      <c r="U620" s="28" t="str">
        <f>+IF(COUNTIFS('Raw Period DMR Data'!$A:$A,B620,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20" s="28" t="str" cm="1">
        <f t="array" ref="V620">IFERROR(INDEX('Raw Period DMR Data'!N:N,MATCH(1,(B620='Raw Period DMR Data'!$A:$A)*(U620='Raw Period DMR Data'!M:M)*(X620='Raw Period DMR Data'!C:C),0),1), "N/A")</f>
        <v>N/A</v>
      </c>
      <c r="W620" s="28" t="s">
        <v>1463</v>
      </c>
      <c r="X620" s="28" t="s">
        <v>1754</v>
      </c>
      <c r="Y620" s="28" t="s">
        <v>1755</v>
      </c>
      <c r="Z620" s="61">
        <v>2030103000370</v>
      </c>
      <c r="AA620" s="60"/>
      <c r="AB620" s="28" t="s">
        <v>7355</v>
      </c>
      <c r="AC620" s="28" t="s">
        <v>1466</v>
      </c>
    </row>
    <row r="621" spans="1:29" s="28" customFormat="1" x14ac:dyDescent="0.25">
      <c r="A621" s="61">
        <v>110000319904</v>
      </c>
      <c r="B621" s="28">
        <v>2023</v>
      </c>
      <c r="C621" s="68">
        <f t="shared" si="9"/>
        <v>44927</v>
      </c>
      <c r="D621" s="28" t="s">
        <v>6870</v>
      </c>
      <c r="E621" s="28" t="s">
        <v>1753</v>
      </c>
      <c r="F621" s="28" t="s">
        <v>1112</v>
      </c>
      <c r="G621" s="28" t="s">
        <v>338</v>
      </c>
      <c r="H621" s="28" t="s">
        <v>1756</v>
      </c>
      <c r="I621" s="28">
        <v>40.9375</v>
      </c>
      <c r="J621" s="28">
        <v>-74.131929999999997</v>
      </c>
      <c r="K621" s="28" t="s">
        <v>715</v>
      </c>
      <c r="L621" s="61">
        <v>110000319904</v>
      </c>
      <c r="M621" s="28" t="s">
        <v>265</v>
      </c>
      <c r="N621" s="28">
        <v>2899</v>
      </c>
      <c r="O621" s="28" t="str">
        <f>IFERROR(VLOOKUP(N621, 'SIC &amp; NAICS Codes'!A:B, 2, FALSE), "")</f>
        <v>Chemicals and Chemical Preparations, NEC (table salt)</v>
      </c>
      <c r="S621" s="28">
        <v>4.7001367322500001E-2</v>
      </c>
      <c r="T621" s="315">
        <f>_xlfn.MAXIFS('Raw Period DMR Data'!$O:$O,'Raw Period DMR Data'!$A:$A,'Raw Annual DMR Data_2021-2024'!#REF!,'Raw Period DMR Data'!$C:$C,X621)/S621</f>
        <v>0</v>
      </c>
      <c r="U621" s="28" t="str">
        <f>+IF(COUNTIFS('Raw Period DMR Data'!$A:$A,B621,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21" s="28" t="str" cm="1">
        <f t="array" ref="V621">IFERROR(INDEX('Raw Period DMR Data'!N:N,MATCH(1,(B621='Raw Period DMR Data'!$A:$A)*(U621='Raw Period DMR Data'!M:M)*(X621='Raw Period DMR Data'!C:C),0),1), "N/A")</f>
        <v>N/A</v>
      </c>
      <c r="W621" s="28" t="s">
        <v>1463</v>
      </c>
      <c r="X621" s="28" t="s">
        <v>1754</v>
      </c>
      <c r="Y621" s="28" t="s">
        <v>1755</v>
      </c>
      <c r="Z621" s="61" t="s">
        <v>1757</v>
      </c>
      <c r="AA621" s="60"/>
      <c r="AB621" s="28" t="s">
        <v>7355</v>
      </c>
      <c r="AC621" s="28" t="s">
        <v>1466</v>
      </c>
    </row>
    <row r="622" spans="1:29" s="28" customFormat="1" x14ac:dyDescent="0.25">
      <c r="A622" s="61">
        <v>110000319904</v>
      </c>
      <c r="B622" s="28">
        <v>2022</v>
      </c>
      <c r="C622" s="68">
        <f t="shared" si="9"/>
        <v>44562</v>
      </c>
      <c r="D622" s="28" t="s">
        <v>6870</v>
      </c>
      <c r="E622" s="28" t="s">
        <v>1753</v>
      </c>
      <c r="F622" s="28" t="s">
        <v>1112</v>
      </c>
      <c r="G622" s="28" t="s">
        <v>338</v>
      </c>
      <c r="H622" s="28">
        <v>7410</v>
      </c>
      <c r="I622" s="28">
        <v>40.9375</v>
      </c>
      <c r="J622" s="28">
        <v>-74.131929999999997</v>
      </c>
      <c r="K622" s="28" t="s">
        <v>715</v>
      </c>
      <c r="L622" s="61">
        <v>110000319904</v>
      </c>
      <c r="M622" s="28" t="s">
        <v>265</v>
      </c>
      <c r="N622" s="28">
        <v>2899</v>
      </c>
      <c r="O622" s="28" t="str">
        <f>IFERROR(VLOOKUP(N622, 'SIC &amp; NAICS Codes'!A:B, 2, FALSE), "")</f>
        <v>Chemicals and Chemical Preparations, NEC (table salt)</v>
      </c>
      <c r="S622" s="28">
        <v>3.2271704849999999E-2</v>
      </c>
      <c r="T622" s="315">
        <f>_xlfn.MAXIFS('Raw Period DMR Data'!$O:$O,'Raw Period DMR Data'!$A:$A,'Raw Annual DMR Data_2021-2024'!#REF!,'Raw Period DMR Data'!$C:$C,X622)/S622</f>
        <v>0</v>
      </c>
      <c r="U622" s="28" t="str">
        <f>+IF(COUNTIFS('Raw Period DMR Data'!$A:$A,B622,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22" s="28" t="str" cm="1">
        <f t="array" ref="V622">IFERROR(INDEX('Raw Period DMR Data'!N:N,MATCH(1,(B622='Raw Period DMR Data'!$A:$A)*(U622='Raw Period DMR Data'!M:M)*(X622='Raw Period DMR Data'!C:C),0),1), "N/A")</f>
        <v>N/A</v>
      </c>
      <c r="W622" s="28" t="s">
        <v>1463</v>
      </c>
      <c r="X622" s="28" t="s">
        <v>1754</v>
      </c>
      <c r="Y622" s="28" t="s">
        <v>1755</v>
      </c>
      <c r="Z622" s="61">
        <v>2030103000370</v>
      </c>
      <c r="AA622" s="60"/>
      <c r="AB622" s="28" t="s">
        <v>7355</v>
      </c>
      <c r="AC622" s="28" t="s">
        <v>1466</v>
      </c>
    </row>
    <row r="623" spans="1:29" s="28" customFormat="1" x14ac:dyDescent="0.25">
      <c r="A623" s="61">
        <v>110000319904</v>
      </c>
      <c r="B623" s="28">
        <v>2021</v>
      </c>
      <c r="C623" s="68">
        <f t="shared" si="9"/>
        <v>44197</v>
      </c>
      <c r="D623" s="28" t="s">
        <v>6870</v>
      </c>
      <c r="E623" s="28" t="s">
        <v>1753</v>
      </c>
      <c r="F623" s="28" t="s">
        <v>1112</v>
      </c>
      <c r="G623" s="28" t="s">
        <v>338</v>
      </c>
      <c r="H623" s="28">
        <v>7410</v>
      </c>
      <c r="I623" s="28">
        <v>40.9375</v>
      </c>
      <c r="J623" s="28">
        <v>-74.131929999999997</v>
      </c>
      <c r="K623" s="28" t="s">
        <v>715</v>
      </c>
      <c r="L623" s="61">
        <v>110000319904</v>
      </c>
      <c r="M623" s="28" t="s">
        <v>265</v>
      </c>
      <c r="N623" s="28">
        <v>2899</v>
      </c>
      <c r="O623" s="28" t="str">
        <f>IFERROR(VLOOKUP(N623, 'SIC &amp; NAICS Codes'!A:B, 2, FALSE), "")</f>
        <v>Chemicals and Chemical Preparations, NEC (table salt)</v>
      </c>
      <c r="S623" s="28">
        <v>2.51245272E-2</v>
      </c>
      <c r="T623" s="315">
        <f>_xlfn.MAXIFS('Raw Period DMR Data'!$O:$O,'Raw Period DMR Data'!$A:$A,'Raw Annual DMR Data_2021-2024'!#REF!,'Raw Period DMR Data'!$C:$C,X623)/S623</f>
        <v>0</v>
      </c>
      <c r="U623" s="28" t="str">
        <f>+IF(COUNTIFS('Raw Period DMR Data'!$A:$A,B623,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23" s="28" t="str" cm="1">
        <f t="array" ref="V623">IFERROR(INDEX('Raw Period DMR Data'!N:N,MATCH(1,(B623='Raw Period DMR Data'!$A:$A)*(U623='Raw Period DMR Data'!M:M)*(X623='Raw Period DMR Data'!C:C),0),1), "N/A")</f>
        <v>N/A</v>
      </c>
      <c r="W623" s="28" t="s">
        <v>1463</v>
      </c>
      <c r="X623" s="28" t="s">
        <v>1754</v>
      </c>
      <c r="Y623" s="28" t="s">
        <v>1755</v>
      </c>
      <c r="Z623" s="61">
        <v>2030103000370</v>
      </c>
      <c r="AB623" s="28" t="s">
        <v>7355</v>
      </c>
      <c r="AC623" s="28" t="s">
        <v>1466</v>
      </c>
    </row>
    <row r="624" spans="1:29" s="28" customFormat="1" x14ac:dyDescent="0.25">
      <c r="A624" s="61">
        <v>110000329038</v>
      </c>
      <c r="B624" s="28">
        <v>2023</v>
      </c>
      <c r="C624" s="68">
        <f t="shared" si="9"/>
        <v>44927</v>
      </c>
      <c r="D624" s="28" t="s">
        <v>6846</v>
      </c>
      <c r="E624" s="28" t="s">
        <v>7000</v>
      </c>
      <c r="F624" s="28" t="s">
        <v>1267</v>
      </c>
      <c r="G624" s="28" t="s">
        <v>491</v>
      </c>
      <c r="H624" s="28" t="s">
        <v>7001</v>
      </c>
      <c r="I624" s="28">
        <v>40.670580000000001</v>
      </c>
      <c r="J624" s="28">
        <v>-80.336500000000001</v>
      </c>
      <c r="K624" s="28" t="s">
        <v>7128</v>
      </c>
      <c r="L624" s="61">
        <v>110000329038</v>
      </c>
      <c r="M624" s="28" t="s">
        <v>265</v>
      </c>
      <c r="N624" s="28">
        <v>2869</v>
      </c>
      <c r="O624" s="28" t="str">
        <f>IFERROR(VLOOKUP(N624, 'SIC &amp; NAICS Codes'!A:B, 2, FALSE), "")</f>
        <v>Industrial Organic Chemicals, NEC (aliphatics)</v>
      </c>
      <c r="S624" s="28">
        <v>2.8147999999999999E-2</v>
      </c>
      <c r="T624" s="315">
        <f>_xlfn.MAXIFS('Raw Period DMR Data'!$O:$O,'Raw Period DMR Data'!$A:$A,'Raw Annual DMR Data_2021-2024'!#REF!,'Raw Period DMR Data'!$C:$C,X624)/S624</f>
        <v>0</v>
      </c>
      <c r="U624" s="28" t="str">
        <f>+IF(COUNTIFS('Raw Period DMR Data'!$A:$A,B624,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24" s="28" t="str" cm="1">
        <f t="array" ref="V624">IFERROR(INDEX('Raw Period DMR Data'!N:N,MATCH(1,(B624='Raw Period DMR Data'!$A:$A)*(U624='Raw Period DMR Data'!M:M)*(X624='Raw Period DMR Data'!C:C),0),1), "N/A")</f>
        <v>N/A</v>
      </c>
      <c r="W624" s="28" t="s">
        <v>1463</v>
      </c>
      <c r="X624" s="28" t="s">
        <v>7179</v>
      </c>
      <c r="Y624" s="28" t="s">
        <v>7289</v>
      </c>
      <c r="Z624" s="61" t="s">
        <v>7344</v>
      </c>
      <c r="AA624" s="60"/>
      <c r="AB624" s="28" t="s">
        <v>7355</v>
      </c>
      <c r="AC624" s="28" t="s">
        <v>1466</v>
      </c>
    </row>
    <row r="625" spans="1:29" s="28" customFormat="1" x14ac:dyDescent="0.25">
      <c r="A625" s="61">
        <v>110070215141</v>
      </c>
      <c r="B625" s="28">
        <v>2022</v>
      </c>
      <c r="C625" s="68">
        <f t="shared" si="9"/>
        <v>44562</v>
      </c>
      <c r="D625" s="28" t="s">
        <v>1120</v>
      </c>
      <c r="E625" s="28" t="s">
        <v>1773</v>
      </c>
      <c r="F625" s="28" t="s">
        <v>1121</v>
      </c>
      <c r="G625" s="28" t="s">
        <v>338</v>
      </c>
      <c r="H625" s="28">
        <v>8832</v>
      </c>
      <c r="I625" s="28">
        <v>40.515906999999999</v>
      </c>
      <c r="J625" s="28">
        <v>-74.325175999999999</v>
      </c>
      <c r="L625" s="61">
        <v>110070215141</v>
      </c>
      <c r="M625" s="28" t="s">
        <v>265</v>
      </c>
      <c r="O625" s="28" t="str">
        <f>IFERROR(VLOOKUP(N625, 'SIC &amp; NAICS Codes'!A:B, 2, FALSE), "")</f>
        <v/>
      </c>
      <c r="S625" s="28">
        <v>4.7403292990300001E-2</v>
      </c>
      <c r="T625" s="315">
        <f>_xlfn.MAXIFS('Raw Period DMR Data'!$O:$O,'Raw Period DMR Data'!$A:$A,'Raw Annual DMR Data_2021-2024'!#REF!,'Raw Period DMR Data'!$C:$C,X625)/S625</f>
        <v>0</v>
      </c>
      <c r="U625" s="28" t="str">
        <f>+IF(COUNTIFS('Raw Period DMR Data'!$A:$A,B625,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25" s="28" t="str" cm="1">
        <f t="array" ref="V625">IFERROR(INDEX('Raw Period DMR Data'!N:N,MATCH(1,(B625='Raw Period DMR Data'!$A:$A)*(U625='Raw Period DMR Data'!M:M)*(X625='Raw Period DMR Data'!C:C),0),1), "N/A")</f>
        <v>N/A</v>
      </c>
      <c r="W625" s="28" t="s">
        <v>1463</v>
      </c>
      <c r="X625" s="28" t="s">
        <v>1774</v>
      </c>
      <c r="Y625" s="28" t="s">
        <v>1775</v>
      </c>
      <c r="Z625" s="61">
        <v>2030105000996</v>
      </c>
      <c r="AA625" s="60"/>
      <c r="AB625" s="28" t="s">
        <v>7355</v>
      </c>
      <c r="AC625" s="28" t="s">
        <v>1466</v>
      </c>
    </row>
    <row r="626" spans="1:29" s="28" customFormat="1" x14ac:dyDescent="0.25">
      <c r="A626" s="61">
        <v>110070215141</v>
      </c>
      <c r="B626" s="28">
        <v>2021</v>
      </c>
      <c r="C626" s="68">
        <f t="shared" si="9"/>
        <v>44197</v>
      </c>
      <c r="D626" s="28" t="s">
        <v>1120</v>
      </c>
      <c r="E626" s="28" t="s">
        <v>1773</v>
      </c>
      <c r="F626" s="28" t="s">
        <v>1121</v>
      </c>
      <c r="G626" s="28" t="s">
        <v>338</v>
      </c>
      <c r="H626" s="28">
        <v>8832</v>
      </c>
      <c r="I626" s="28">
        <v>40.515906999999999</v>
      </c>
      <c r="J626" s="28">
        <v>-74.325175999999999</v>
      </c>
      <c r="L626" s="61">
        <v>110070215141</v>
      </c>
      <c r="M626" s="28" t="s">
        <v>265</v>
      </c>
      <c r="O626" s="28" t="str">
        <f>IFERROR(VLOOKUP(N626, 'SIC &amp; NAICS Codes'!A:B, 2, FALSE), "")</f>
        <v/>
      </c>
      <c r="S626" s="28">
        <v>4.6089969602500003E-2</v>
      </c>
      <c r="T626" s="315">
        <f>_xlfn.MAXIFS('Raw Period DMR Data'!$O:$O,'Raw Period DMR Data'!$A:$A,'Raw Annual DMR Data_2021-2024'!#REF!,'Raw Period DMR Data'!$C:$C,X626)/S626</f>
        <v>0</v>
      </c>
      <c r="U626" s="28" t="str">
        <f>+IF(COUNTIFS('Raw Period DMR Data'!$A:$A,B626,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26" s="28" t="str" cm="1">
        <f t="array" ref="V626">IFERROR(INDEX('Raw Period DMR Data'!N:N,MATCH(1,(B626='Raw Period DMR Data'!$A:$A)*(U626='Raw Period DMR Data'!M:M)*(X626='Raw Period DMR Data'!C:C),0),1), "N/A")</f>
        <v>N/A</v>
      </c>
      <c r="W626" s="28" t="s">
        <v>1463</v>
      </c>
      <c r="X626" s="28" t="s">
        <v>1774</v>
      </c>
      <c r="Y626" s="28" t="s">
        <v>1775</v>
      </c>
      <c r="Z626" s="61">
        <v>2030105000996</v>
      </c>
      <c r="AB626" s="28" t="s">
        <v>7355</v>
      </c>
      <c r="AC626" s="28" t="s">
        <v>1466</v>
      </c>
    </row>
    <row r="627" spans="1:29" s="28" customFormat="1" x14ac:dyDescent="0.25">
      <c r="A627" s="61">
        <v>110070215141</v>
      </c>
      <c r="B627" s="28">
        <v>2023</v>
      </c>
      <c r="C627" s="68">
        <f t="shared" si="9"/>
        <v>44927</v>
      </c>
      <c r="D627" s="28" t="s">
        <v>1120</v>
      </c>
      <c r="E627" s="28" t="s">
        <v>1773</v>
      </c>
      <c r="F627" s="28" t="s">
        <v>1121</v>
      </c>
      <c r="G627" s="28" t="s">
        <v>338</v>
      </c>
      <c r="H627" s="28" t="s">
        <v>1776</v>
      </c>
      <c r="I627" s="28">
        <v>40.515906999999999</v>
      </c>
      <c r="J627" s="28">
        <v>-74.325175999999999</v>
      </c>
      <c r="L627" s="61">
        <v>110070215141</v>
      </c>
      <c r="M627" s="28" t="s">
        <v>265</v>
      </c>
      <c r="O627" s="28" t="str">
        <f>IFERROR(VLOOKUP(N627, 'SIC &amp; NAICS Codes'!A:B, 2, FALSE), "")</f>
        <v/>
      </c>
      <c r="S627" s="28">
        <v>4.2232315770499997E-2</v>
      </c>
      <c r="T627" s="315">
        <f>_xlfn.MAXIFS('Raw Period DMR Data'!$O:$O,'Raw Period DMR Data'!$A:$A,'Raw Annual DMR Data_2021-2024'!#REF!,'Raw Period DMR Data'!$C:$C,X627)/S627</f>
        <v>0</v>
      </c>
      <c r="U627" s="28" t="str">
        <f>+IF(COUNTIFS('Raw Period DMR Data'!$A:$A,B627,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27" s="28" t="str" cm="1">
        <f t="array" ref="V627">IFERROR(INDEX('Raw Period DMR Data'!N:N,MATCH(1,(B627='Raw Period DMR Data'!$A:$A)*(U627='Raw Period DMR Data'!M:M)*(X627='Raw Period DMR Data'!C:C),0),1), "N/A")</f>
        <v>N/A</v>
      </c>
      <c r="W627" s="28" t="s">
        <v>1463</v>
      </c>
      <c r="X627" s="28" t="s">
        <v>1774</v>
      </c>
      <c r="Y627" s="28" t="s">
        <v>1775</v>
      </c>
      <c r="Z627" s="61" t="s">
        <v>1777</v>
      </c>
      <c r="AA627" s="60"/>
      <c r="AB627" s="28" t="s">
        <v>7355</v>
      </c>
      <c r="AC627" s="28" t="s">
        <v>1466</v>
      </c>
    </row>
    <row r="628" spans="1:29" s="28" customFormat="1" x14ac:dyDescent="0.25">
      <c r="A628" s="61">
        <v>110070215141</v>
      </c>
      <c r="B628" s="28">
        <v>2024</v>
      </c>
      <c r="C628" s="68">
        <f t="shared" si="9"/>
        <v>45292</v>
      </c>
      <c r="D628" s="28" t="s">
        <v>1120</v>
      </c>
      <c r="E628" s="28" t="s">
        <v>1773</v>
      </c>
      <c r="F628" s="28" t="s">
        <v>1121</v>
      </c>
      <c r="G628" s="28" t="s">
        <v>338</v>
      </c>
      <c r="H628" s="28">
        <v>8832</v>
      </c>
      <c r="I628" s="28">
        <v>40.515906999999999</v>
      </c>
      <c r="J628" s="28">
        <v>-74.325175999999999</v>
      </c>
      <c r="L628" s="61">
        <v>110070215141</v>
      </c>
      <c r="M628" s="28" t="s">
        <v>265</v>
      </c>
      <c r="O628" s="28" t="str">
        <f>IFERROR(VLOOKUP(N628, 'SIC &amp; NAICS Codes'!A:B, 2, FALSE), "")</f>
        <v/>
      </c>
      <c r="S628" s="28">
        <v>3.1218603315900002E-2</v>
      </c>
      <c r="T628" s="315">
        <f>_xlfn.MAXIFS('Raw Period DMR Data'!$O:$O,'Raw Period DMR Data'!$A:$A,'Raw Annual DMR Data_2021-2024'!#REF!,'Raw Period DMR Data'!$C:$C,X628)/S628</f>
        <v>0</v>
      </c>
      <c r="U628" s="28" t="str">
        <f>+IF(COUNTIFS('Raw Period DMR Data'!$A:$A,B628,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28" s="28" t="str" cm="1">
        <f t="array" ref="V628">IFERROR(INDEX('Raw Period DMR Data'!N:N,MATCH(1,(B628='Raw Period DMR Data'!$A:$A)*(U628='Raw Period DMR Data'!M:M)*(X628='Raw Period DMR Data'!C:C),0),1), "N/A")</f>
        <v>N/A</v>
      </c>
      <c r="W628" s="28" t="s">
        <v>1463</v>
      </c>
      <c r="X628" s="28" t="s">
        <v>1774</v>
      </c>
      <c r="Y628" s="28" t="s">
        <v>1775</v>
      </c>
      <c r="Z628" s="61">
        <v>2030105000996</v>
      </c>
      <c r="AA628" s="60"/>
      <c r="AB628" s="28" t="s">
        <v>7355</v>
      </c>
      <c r="AC628" s="28" t="s">
        <v>1466</v>
      </c>
    </row>
    <row r="629" spans="1:29" s="28" customFormat="1" x14ac:dyDescent="0.25">
      <c r="A629" s="61">
        <v>110070215141</v>
      </c>
      <c r="B629" s="28">
        <v>2022</v>
      </c>
      <c r="C629" s="68">
        <f t="shared" si="9"/>
        <v>44562</v>
      </c>
      <c r="D629" s="28" t="s">
        <v>1120</v>
      </c>
      <c r="E629" s="28" t="s">
        <v>1773</v>
      </c>
      <c r="F629" s="28" t="s">
        <v>1121</v>
      </c>
      <c r="G629" s="28" t="s">
        <v>338</v>
      </c>
      <c r="H629" s="28">
        <v>8832</v>
      </c>
      <c r="I629" s="28">
        <v>40.515906999999999</v>
      </c>
      <c r="J629" s="28">
        <v>-74.325175999999999</v>
      </c>
      <c r="L629" s="61">
        <v>110070215141</v>
      </c>
      <c r="M629" s="28" t="s">
        <v>265</v>
      </c>
      <c r="O629" s="28" t="str">
        <f>IFERROR(VLOOKUP(N629, 'SIC &amp; NAICS Codes'!A:B, 2, FALSE), "")</f>
        <v/>
      </c>
      <c r="S629" s="28">
        <v>6.1235296990000002E-3</v>
      </c>
      <c r="T629" s="315">
        <f>_xlfn.MAXIFS('Raw Period DMR Data'!$O:$O,'Raw Period DMR Data'!$A:$A,'Raw Annual DMR Data_2021-2024'!#REF!,'Raw Period DMR Data'!$C:$C,X629)/S629</f>
        <v>0</v>
      </c>
      <c r="U629" s="28" t="str">
        <f>+IF(COUNTIFS('Raw Period DMR Data'!$A:$A,B629,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29" s="28" t="str" cm="1">
        <f t="array" ref="V629">IFERROR(INDEX('Raw Period DMR Data'!N:N,MATCH(1,(B629='Raw Period DMR Data'!$A:$A)*(U629='Raw Period DMR Data'!M:M)*(X629='Raw Period DMR Data'!C:C),0),1), "N/A")</f>
        <v>N/A</v>
      </c>
      <c r="W629" s="28" t="s">
        <v>1463</v>
      </c>
      <c r="X629" s="28" t="s">
        <v>1774</v>
      </c>
      <c r="Y629" s="28" t="s">
        <v>1775</v>
      </c>
      <c r="Z629" s="61">
        <v>2030105000996</v>
      </c>
      <c r="AA629" s="60"/>
      <c r="AB629" s="28" t="s">
        <v>7355</v>
      </c>
      <c r="AC629" s="28" t="s">
        <v>1466</v>
      </c>
    </row>
    <row r="630" spans="1:29" s="28" customFormat="1" x14ac:dyDescent="0.25">
      <c r="A630" s="61">
        <v>110070215141</v>
      </c>
      <c r="B630" s="28">
        <v>2023</v>
      </c>
      <c r="C630" s="68">
        <f t="shared" si="9"/>
        <v>44927</v>
      </c>
      <c r="D630" s="28" t="s">
        <v>1120</v>
      </c>
      <c r="E630" s="28" t="s">
        <v>1773</v>
      </c>
      <c r="F630" s="28" t="s">
        <v>1121</v>
      </c>
      <c r="G630" s="28" t="s">
        <v>338</v>
      </c>
      <c r="H630" s="28" t="s">
        <v>1776</v>
      </c>
      <c r="I630" s="28">
        <v>40.515906999999999</v>
      </c>
      <c r="J630" s="28">
        <v>-74.325175999999999</v>
      </c>
      <c r="L630" s="61">
        <v>110070215141</v>
      </c>
      <c r="M630" s="28" t="s">
        <v>265</v>
      </c>
      <c r="O630" s="28" t="str">
        <f>IFERROR(VLOOKUP(N630, 'SIC &amp; NAICS Codes'!A:B, 2, FALSE), "")</f>
        <v/>
      </c>
      <c r="S630" s="28">
        <v>3.3244760219999997E-4</v>
      </c>
      <c r="T630" s="315">
        <f>_xlfn.MAXIFS('Raw Period DMR Data'!$O:$O,'Raw Period DMR Data'!$A:$A,'Raw Annual DMR Data_2021-2024'!#REF!,'Raw Period DMR Data'!$C:$C,X630)/S630</f>
        <v>0</v>
      </c>
      <c r="U630" s="28" t="str">
        <f>+IF(COUNTIFS('Raw Period DMR Data'!$A:$A,B630,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30" s="28" t="str" cm="1">
        <f t="array" ref="V630">IFERROR(INDEX('Raw Period DMR Data'!N:N,MATCH(1,(B630='Raw Period DMR Data'!$A:$A)*(U630='Raw Period DMR Data'!M:M)*(X630='Raw Period DMR Data'!C:C),0),1), "N/A")</f>
        <v>N/A</v>
      </c>
      <c r="W630" s="28" t="s">
        <v>1463</v>
      </c>
      <c r="X630" s="28" t="s">
        <v>1774</v>
      </c>
      <c r="Y630" s="28" t="s">
        <v>1775</v>
      </c>
      <c r="Z630" s="61" t="s">
        <v>1777</v>
      </c>
      <c r="AA630" s="60"/>
      <c r="AB630" s="28" t="s">
        <v>7355</v>
      </c>
      <c r="AC630" s="28" t="s">
        <v>1466</v>
      </c>
    </row>
    <row r="631" spans="1:29" s="28" customFormat="1" x14ac:dyDescent="0.25">
      <c r="A631" s="61">
        <v>110070213656</v>
      </c>
      <c r="B631" s="28">
        <v>2021</v>
      </c>
      <c r="C631" s="68">
        <f t="shared" si="9"/>
        <v>44197</v>
      </c>
      <c r="D631" s="28" t="s">
        <v>147</v>
      </c>
      <c r="E631" s="28" t="s">
        <v>473</v>
      </c>
      <c r="F631" s="28" t="s">
        <v>474</v>
      </c>
      <c r="G631" s="28" t="s">
        <v>338</v>
      </c>
      <c r="H631" s="28">
        <v>7470</v>
      </c>
      <c r="I631" s="28">
        <v>40.891950000000001</v>
      </c>
      <c r="J631" s="28">
        <v>-74.249369999999999</v>
      </c>
      <c r="L631" s="61">
        <v>110070213656</v>
      </c>
      <c r="M631" s="28" t="s">
        <v>265</v>
      </c>
      <c r="N631" s="28">
        <v>9999</v>
      </c>
      <c r="O631" s="28" t="str">
        <f>IFERROR(VLOOKUP(N631, 'SIC &amp; NAICS Codes'!A:B, 2, FALSE), "")</f>
        <v>Nonclassifiable Establishments</v>
      </c>
      <c r="S631" s="28">
        <v>3.1700116859999998E-4</v>
      </c>
      <c r="T631" s="315">
        <f>_xlfn.MAXIFS('Raw Period DMR Data'!$O:$O,'Raw Period DMR Data'!$A:$A,'Raw Annual DMR Data_2021-2024'!#REF!,'Raw Period DMR Data'!$C:$C,X631)/S631</f>
        <v>0</v>
      </c>
      <c r="U631" s="28" t="str">
        <f>+IF(COUNTIFS('Raw Period DMR Data'!$A:$A,B631,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31" s="28" t="str" cm="1">
        <f t="array" ref="V631">IFERROR(INDEX('Raw Period DMR Data'!N:N,MATCH(1,(B631='Raw Period DMR Data'!$A:$A)*(U631='Raw Period DMR Data'!M:M)*(X631='Raw Period DMR Data'!C:C),0),1), "N/A")</f>
        <v>N/A</v>
      </c>
      <c r="W631" s="28" t="s">
        <v>1463</v>
      </c>
      <c r="X631" s="28" t="s">
        <v>857</v>
      </c>
      <c r="Y631" s="28" t="s">
        <v>858</v>
      </c>
      <c r="Z631" s="61">
        <v>2030103000043</v>
      </c>
      <c r="AB631" s="28" t="s">
        <v>7355</v>
      </c>
      <c r="AC631" s="28" t="s">
        <v>1466</v>
      </c>
    </row>
    <row r="632" spans="1:29" s="28" customFormat="1" x14ac:dyDescent="0.25">
      <c r="A632" s="61">
        <v>110070213656</v>
      </c>
      <c r="B632" s="28">
        <v>2022</v>
      </c>
      <c r="C632" s="68">
        <f t="shared" si="9"/>
        <v>44562</v>
      </c>
      <c r="D632" s="28" t="s">
        <v>147</v>
      </c>
      <c r="E632" s="28" t="s">
        <v>473</v>
      </c>
      <c r="F632" s="28" t="s">
        <v>474</v>
      </c>
      <c r="G632" s="28" t="s">
        <v>338</v>
      </c>
      <c r="H632" s="28">
        <v>7470</v>
      </c>
      <c r="I632" s="28">
        <v>40.891950000000001</v>
      </c>
      <c r="J632" s="28">
        <v>-74.249369999999999</v>
      </c>
      <c r="L632" s="61">
        <v>110070213656</v>
      </c>
      <c r="M632" s="28" t="s">
        <v>265</v>
      </c>
      <c r="N632" s="28">
        <v>9999</v>
      </c>
      <c r="O632" s="28" t="str">
        <f>IFERROR(VLOOKUP(N632, 'SIC &amp; NAICS Codes'!A:B, 2, FALSE), "")</f>
        <v>Nonclassifiable Establishments</v>
      </c>
      <c r="S632" s="28">
        <v>1.67562707E-5</v>
      </c>
      <c r="T632" s="315">
        <f>_xlfn.MAXIFS('Raw Period DMR Data'!$O:$O,'Raw Period DMR Data'!$A:$A,'Raw Annual DMR Data_2021-2024'!#REF!,'Raw Period DMR Data'!$C:$C,X632)/S632</f>
        <v>0</v>
      </c>
      <c r="U632" s="28" t="str">
        <f>+IF(COUNTIFS('Raw Period DMR Data'!$A:$A,B632,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32" s="28" t="str" cm="1">
        <f t="array" ref="V632">IFERROR(INDEX('Raw Period DMR Data'!N:N,MATCH(1,(B632='Raw Period DMR Data'!$A:$A)*(U632='Raw Period DMR Data'!M:M)*(X632='Raw Period DMR Data'!C:C),0),1), "N/A")</f>
        <v>N/A</v>
      </c>
      <c r="W632" s="28" t="s">
        <v>1463</v>
      </c>
      <c r="X632" s="28" t="s">
        <v>857</v>
      </c>
      <c r="Y632" s="28" t="s">
        <v>858</v>
      </c>
      <c r="Z632" s="61">
        <v>2030103000043</v>
      </c>
      <c r="AA632" s="60"/>
      <c r="AB632" s="28" t="s">
        <v>7355</v>
      </c>
      <c r="AC632" s="28" t="s">
        <v>1466</v>
      </c>
    </row>
    <row r="633" spans="1:29" s="28" customFormat="1" x14ac:dyDescent="0.25">
      <c r="A633" s="61">
        <v>110071426611</v>
      </c>
      <c r="B633" s="28">
        <v>2023</v>
      </c>
      <c r="C633" s="68">
        <f t="shared" si="9"/>
        <v>44927</v>
      </c>
      <c r="D633" s="28" t="s">
        <v>6902</v>
      </c>
      <c r="E633" s="28" t="s">
        <v>7096</v>
      </c>
      <c r="F633" s="28" t="s">
        <v>1125</v>
      </c>
      <c r="G633" s="28" t="s">
        <v>294</v>
      </c>
      <c r="H633" s="28">
        <v>22046</v>
      </c>
      <c r="I633" s="28">
        <v>38.884332000000001</v>
      </c>
      <c r="J633" s="28">
        <v>-77.174546000000007</v>
      </c>
      <c r="L633" s="61">
        <v>110071426611</v>
      </c>
      <c r="M633" s="28" t="s">
        <v>265</v>
      </c>
      <c r="N633" s="28">
        <v>1794</v>
      </c>
      <c r="O633" s="28" t="str">
        <f>IFERROR(VLOOKUP(N633, 'SIC &amp; NAICS Codes'!A:B, 2, FALSE), "")</f>
        <v>Excavation Work</v>
      </c>
      <c r="S633" s="28">
        <v>2.8831967142857101E-2</v>
      </c>
      <c r="T633" s="315">
        <f>_xlfn.MAXIFS('Raw Period DMR Data'!$O:$O,'Raw Period DMR Data'!$A:$A,'Raw Annual DMR Data_2021-2024'!#REF!,'Raw Period DMR Data'!$C:$C,X633)/S633</f>
        <v>0</v>
      </c>
      <c r="U633" s="28" t="str">
        <f>+IF(COUNTIFS('Raw Period DMR Data'!$A:$A,B633,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33" s="28" t="str" cm="1">
        <f t="array" ref="V633">IFERROR(INDEX('Raw Period DMR Data'!N:N,MATCH(1,(B633='Raw Period DMR Data'!$A:$A)*(U633='Raw Period DMR Data'!M:M)*(X633='Raw Period DMR Data'!C:C),0),1), "N/A")</f>
        <v>N/A</v>
      </c>
      <c r="W633" s="28" t="s">
        <v>1463</v>
      </c>
      <c r="X633" s="28" t="s">
        <v>7231</v>
      </c>
      <c r="Y633" s="28" t="s">
        <v>1788</v>
      </c>
      <c r="Z633" s="61"/>
      <c r="AA633" s="60"/>
      <c r="AB633" s="28" t="s">
        <v>7355</v>
      </c>
      <c r="AC633" s="28" t="s">
        <v>1466</v>
      </c>
    </row>
    <row r="634" spans="1:29" s="28" customFormat="1" x14ac:dyDescent="0.25">
      <c r="A634" s="61">
        <v>110070053140</v>
      </c>
      <c r="B634" s="28">
        <v>2024</v>
      </c>
      <c r="C634" s="68">
        <f t="shared" si="9"/>
        <v>45292</v>
      </c>
      <c r="D634" s="28" t="s">
        <v>1126</v>
      </c>
      <c r="E634" s="28" t="s">
        <v>1789</v>
      </c>
      <c r="F634" s="28" t="s">
        <v>1127</v>
      </c>
      <c r="G634" s="28" t="s">
        <v>1128</v>
      </c>
      <c r="H634" s="28">
        <v>80537</v>
      </c>
      <c r="I634" s="28">
        <v>40.393799999999999</v>
      </c>
      <c r="J634" s="28">
        <v>-105.074</v>
      </c>
      <c r="L634" s="61">
        <v>110070053140</v>
      </c>
      <c r="M634" s="28" t="s">
        <v>265</v>
      </c>
      <c r="N634" s="28">
        <v>7521</v>
      </c>
      <c r="O634" s="28" t="str">
        <f>IFERROR(VLOOKUP(N634, 'SIC &amp; NAICS Codes'!A:B, 2, FALSE), "")</f>
        <v>Automobile Parking</v>
      </c>
      <c r="S634" s="28">
        <v>0.1112488203025</v>
      </c>
      <c r="T634" s="315">
        <f>_xlfn.MAXIFS('Raw Period DMR Data'!$O:$O,'Raw Period DMR Data'!$A:$A,'Raw Annual DMR Data_2021-2024'!#REF!,'Raw Period DMR Data'!$C:$C,X634)/S634</f>
        <v>0</v>
      </c>
      <c r="U634" s="28" t="str">
        <f>+IF(COUNTIFS('Raw Period DMR Data'!$A:$A,B634,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34" s="28" t="str" cm="1">
        <f t="array" ref="V634">IFERROR(INDEX('Raw Period DMR Data'!N:N,MATCH(1,(B634='Raw Period DMR Data'!$A:$A)*(U634='Raw Period DMR Data'!M:M)*(X634='Raw Period DMR Data'!C:C),0),1), "N/A")</f>
        <v>N/A</v>
      </c>
      <c r="W634" s="28" t="s">
        <v>1463</v>
      </c>
      <c r="X634" s="28" t="s">
        <v>1790</v>
      </c>
      <c r="Y634" s="28" t="s">
        <v>1791</v>
      </c>
      <c r="Z634" s="61"/>
      <c r="AA634" s="60"/>
      <c r="AB634" s="28" t="s">
        <v>7355</v>
      </c>
      <c r="AC634" s="28" t="s">
        <v>1466</v>
      </c>
    </row>
    <row r="635" spans="1:29" s="28" customFormat="1" x14ac:dyDescent="0.25">
      <c r="A635" s="61">
        <v>110070053140</v>
      </c>
      <c r="B635" s="28">
        <v>2023</v>
      </c>
      <c r="C635" s="68">
        <f t="shared" si="9"/>
        <v>44927</v>
      </c>
      <c r="D635" s="28" t="s">
        <v>1126</v>
      </c>
      <c r="E635" s="28" t="s">
        <v>1789</v>
      </c>
      <c r="F635" s="28" t="s">
        <v>1127</v>
      </c>
      <c r="G635" s="28" t="s">
        <v>1128</v>
      </c>
      <c r="H635" s="28">
        <v>80537</v>
      </c>
      <c r="I635" s="28">
        <v>40.393799999999999</v>
      </c>
      <c r="J635" s="28">
        <v>-105.074</v>
      </c>
      <c r="L635" s="61">
        <v>110070053140</v>
      </c>
      <c r="M635" s="28" t="s">
        <v>265</v>
      </c>
      <c r="N635" s="28">
        <v>7521</v>
      </c>
      <c r="O635" s="28" t="str">
        <f>IFERROR(VLOOKUP(N635, 'SIC &amp; NAICS Codes'!A:B, 2, FALSE), "")</f>
        <v>Automobile Parking</v>
      </c>
      <c r="S635" s="28">
        <v>5.8727870750000001E-2</v>
      </c>
      <c r="T635" s="315">
        <f>_xlfn.MAXIFS('Raw Period DMR Data'!$O:$O,'Raw Period DMR Data'!$A:$A,'Raw Annual DMR Data_2021-2024'!#REF!,'Raw Period DMR Data'!$C:$C,X635)/S635</f>
        <v>0</v>
      </c>
      <c r="U635" s="28" t="str">
        <f>+IF(COUNTIFS('Raw Period DMR Data'!$A:$A,B635,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35" s="28" t="str" cm="1">
        <f t="array" ref="V635">IFERROR(INDEX('Raw Period DMR Data'!N:N,MATCH(1,(B635='Raw Period DMR Data'!$A:$A)*(U635='Raw Period DMR Data'!M:M)*(X635='Raw Period DMR Data'!C:C),0),1), "N/A")</f>
        <v>N/A</v>
      </c>
      <c r="W635" s="28" t="s">
        <v>1463</v>
      </c>
      <c r="X635" s="28" t="s">
        <v>1790</v>
      </c>
      <c r="Y635" s="28" t="s">
        <v>1791</v>
      </c>
      <c r="Z635" s="61"/>
      <c r="AA635" s="60"/>
      <c r="AB635" s="28" t="s">
        <v>7355</v>
      </c>
      <c r="AC635" s="28" t="s">
        <v>1466</v>
      </c>
    </row>
    <row r="636" spans="1:29" s="28" customFormat="1" x14ac:dyDescent="0.25">
      <c r="A636" s="61">
        <v>110070053140</v>
      </c>
      <c r="B636" s="28">
        <v>2021</v>
      </c>
      <c r="C636" s="68">
        <f t="shared" si="9"/>
        <v>44197</v>
      </c>
      <c r="D636" s="28" t="s">
        <v>1126</v>
      </c>
      <c r="E636" s="28" t="s">
        <v>1789</v>
      </c>
      <c r="F636" s="28" t="s">
        <v>1127</v>
      </c>
      <c r="G636" s="28" t="s">
        <v>1128</v>
      </c>
      <c r="H636" s="28">
        <v>80537</v>
      </c>
      <c r="I636" s="28">
        <v>40.393799999999999</v>
      </c>
      <c r="J636" s="28">
        <v>-105.074</v>
      </c>
      <c r="L636" s="61">
        <v>110070053140</v>
      </c>
      <c r="M636" s="28" t="s">
        <v>265</v>
      </c>
      <c r="N636" s="28">
        <v>7521</v>
      </c>
      <c r="O636" s="28" t="str">
        <f>IFERROR(VLOOKUP(N636, 'SIC &amp; NAICS Codes'!A:B, 2, FALSE), "")</f>
        <v>Automobile Parking</v>
      </c>
      <c r="S636" s="28">
        <v>3.9208815000000001E-2</v>
      </c>
      <c r="T636" s="315">
        <f>_xlfn.MAXIFS('Raw Period DMR Data'!$O:$O,'Raw Period DMR Data'!$A:$A,'Raw Annual DMR Data_2021-2024'!#REF!,'Raw Period DMR Data'!$C:$C,X636)/S636</f>
        <v>0</v>
      </c>
      <c r="U636" s="28" t="str">
        <f>+IF(COUNTIFS('Raw Period DMR Data'!$A:$A,B636,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36" s="28" t="str" cm="1">
        <f t="array" ref="V636">IFERROR(INDEX('Raw Period DMR Data'!N:N,MATCH(1,(B636='Raw Period DMR Data'!$A:$A)*(U636='Raw Period DMR Data'!M:M)*(X636='Raw Period DMR Data'!C:C),0),1), "N/A")</f>
        <v>N/A</v>
      </c>
      <c r="W636" s="28" t="s">
        <v>1463</v>
      </c>
      <c r="X636" s="28" t="s">
        <v>1790</v>
      </c>
      <c r="Y636" s="28" t="s">
        <v>1791</v>
      </c>
      <c r="Z636" s="61"/>
      <c r="AB636" s="28" t="s">
        <v>7355</v>
      </c>
      <c r="AC636" s="28" t="s">
        <v>1466</v>
      </c>
    </row>
    <row r="637" spans="1:29" s="28" customFormat="1" x14ac:dyDescent="0.25">
      <c r="A637" s="61">
        <v>110070053140</v>
      </c>
      <c r="B637" s="28">
        <v>2022</v>
      </c>
      <c r="C637" s="68">
        <f t="shared" si="9"/>
        <v>44562</v>
      </c>
      <c r="D637" s="28" t="s">
        <v>1126</v>
      </c>
      <c r="E637" s="28" t="s">
        <v>1789</v>
      </c>
      <c r="F637" s="28" t="s">
        <v>1127</v>
      </c>
      <c r="G637" s="28" t="s">
        <v>1128</v>
      </c>
      <c r="H637" s="28">
        <v>80537</v>
      </c>
      <c r="I637" s="28">
        <v>40.393799999999999</v>
      </c>
      <c r="J637" s="28">
        <v>-105.074</v>
      </c>
      <c r="L637" s="61">
        <v>110070053140</v>
      </c>
      <c r="M637" s="28" t="s">
        <v>265</v>
      </c>
      <c r="N637" s="28">
        <v>7521</v>
      </c>
      <c r="O637" s="28" t="str">
        <f>IFERROR(VLOOKUP(N637, 'SIC &amp; NAICS Codes'!A:B, 2, FALSE), "")</f>
        <v>Automobile Parking</v>
      </c>
      <c r="S637" s="28">
        <v>1.9553310000000001E-2</v>
      </c>
      <c r="T637" s="315">
        <f>_xlfn.MAXIFS('Raw Period DMR Data'!$O:$O,'Raw Period DMR Data'!$A:$A,'Raw Annual DMR Data_2021-2024'!#REF!,'Raw Period DMR Data'!$C:$C,X637)/S637</f>
        <v>0</v>
      </c>
      <c r="U637" s="28" t="str">
        <f>+IF(COUNTIFS('Raw Period DMR Data'!$A:$A,B637,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37" s="28" t="str" cm="1">
        <f t="array" ref="V637">IFERROR(INDEX('Raw Period DMR Data'!N:N,MATCH(1,(B637='Raw Period DMR Data'!$A:$A)*(U637='Raw Period DMR Data'!M:M)*(X637='Raw Period DMR Data'!C:C),0),1), "N/A")</f>
        <v>N/A</v>
      </c>
      <c r="W637" s="28" t="s">
        <v>1463</v>
      </c>
      <c r="X637" s="28" t="s">
        <v>1790</v>
      </c>
      <c r="Y637" s="28" t="s">
        <v>1791</v>
      </c>
      <c r="Z637" s="61"/>
      <c r="AA637" s="60"/>
      <c r="AB637" s="28" t="s">
        <v>7355</v>
      </c>
      <c r="AC637" s="28" t="s">
        <v>1466</v>
      </c>
    </row>
    <row r="638" spans="1:29" s="28" customFormat="1" x14ac:dyDescent="0.25">
      <c r="A638" s="61">
        <v>110007681758</v>
      </c>
      <c r="B638" s="28">
        <v>2021</v>
      </c>
      <c r="C638" s="68">
        <f t="shared" si="9"/>
        <v>44197</v>
      </c>
      <c r="D638" s="28" t="s">
        <v>1132</v>
      </c>
      <c r="E638" s="28" t="s">
        <v>1797</v>
      </c>
      <c r="F638" s="28" t="s">
        <v>1133</v>
      </c>
      <c r="G638" s="28" t="s">
        <v>999</v>
      </c>
      <c r="H638" s="28" t="s">
        <v>1798</v>
      </c>
      <c r="I638" s="28">
        <v>43.585476</v>
      </c>
      <c r="J638" s="28">
        <v>-71.750524999999996</v>
      </c>
      <c r="K638" s="28" t="s">
        <v>717</v>
      </c>
      <c r="L638" s="61">
        <v>110007681758</v>
      </c>
      <c r="M638" s="28" t="s">
        <v>265</v>
      </c>
      <c r="O638" s="28" t="str">
        <f>IFERROR(VLOOKUP(N638, 'SIC &amp; NAICS Codes'!A:B, 2, FALSE), "")</f>
        <v/>
      </c>
      <c r="S638" s="28">
        <v>4.4581622499999998E-3</v>
      </c>
      <c r="T638" s="315">
        <f>_xlfn.MAXIFS('Raw Period DMR Data'!$O:$O,'Raw Period DMR Data'!$A:$A,'Raw Annual DMR Data_2021-2024'!#REF!,'Raw Period DMR Data'!$C:$C,X638)/S638</f>
        <v>0</v>
      </c>
      <c r="U638" s="28" t="str">
        <f>+IF(COUNTIFS('Raw Period DMR Data'!$A:$A,B638,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38" s="28" t="str" cm="1">
        <f t="array" ref="V638">IFERROR(INDEX('Raw Period DMR Data'!N:N,MATCH(1,(B638='Raw Period DMR Data'!$A:$A)*(U638='Raw Period DMR Data'!M:M)*(X638='Raw Period DMR Data'!C:C),0),1), "N/A")</f>
        <v>N/A</v>
      </c>
      <c r="W638" s="28" t="s">
        <v>1463</v>
      </c>
      <c r="X638" s="28" t="s">
        <v>1799</v>
      </c>
      <c r="Z638" s="61">
        <v>1070001000335</v>
      </c>
      <c r="AB638" s="28" t="s">
        <v>7355</v>
      </c>
      <c r="AC638" s="28" t="s">
        <v>1466</v>
      </c>
    </row>
    <row r="639" spans="1:29" s="28" customFormat="1" x14ac:dyDescent="0.25">
      <c r="A639" s="61">
        <v>110007681758</v>
      </c>
      <c r="B639" s="28">
        <v>2023</v>
      </c>
      <c r="C639" s="68">
        <f t="shared" si="9"/>
        <v>44927</v>
      </c>
      <c r="D639" s="28" t="s">
        <v>1132</v>
      </c>
      <c r="E639" s="28" t="s">
        <v>7098</v>
      </c>
      <c r="F639" s="28" t="s">
        <v>1133</v>
      </c>
      <c r="G639" s="28" t="s">
        <v>999</v>
      </c>
      <c r="H639" s="28" t="s">
        <v>1798</v>
      </c>
      <c r="I639" s="28">
        <v>43.585476</v>
      </c>
      <c r="J639" s="28">
        <v>-71.750524999999996</v>
      </c>
      <c r="K639" s="28" t="s">
        <v>717</v>
      </c>
      <c r="L639" s="61">
        <v>110007681758</v>
      </c>
      <c r="M639" s="28" t="s">
        <v>265</v>
      </c>
      <c r="N639" s="28">
        <v>4959</v>
      </c>
      <c r="O639" s="28" t="str">
        <f>IFERROR(VLOOKUP(N639, 'SIC &amp; NAICS Codes'!A:B, 2, FALSE), "")</f>
        <v>Sanitary Services, NEC (vacuuming of runways)</v>
      </c>
      <c r="S639" s="28">
        <v>4.3275527142857097E-3</v>
      </c>
      <c r="T639" s="315">
        <f>_xlfn.MAXIFS('Raw Period DMR Data'!$O:$O,'Raw Period DMR Data'!$A:$A,'Raw Annual DMR Data_2021-2024'!#REF!,'Raw Period DMR Data'!$C:$C,X639)/S639</f>
        <v>0</v>
      </c>
      <c r="U639" s="28" t="str">
        <f>+IF(COUNTIFS('Raw Period DMR Data'!$A:$A,B639,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39" s="28" t="str" cm="1">
        <f t="array" ref="V639">IFERROR(INDEX('Raw Period DMR Data'!N:N,MATCH(1,(B639='Raw Period DMR Data'!$A:$A)*(U639='Raw Period DMR Data'!M:M)*(X639='Raw Period DMR Data'!C:C),0),1), "N/A")</f>
        <v>N/A</v>
      </c>
      <c r="W639" s="28" t="s">
        <v>1463</v>
      </c>
      <c r="X639" s="28" t="s">
        <v>7233</v>
      </c>
      <c r="Y639" s="28" t="s">
        <v>7319</v>
      </c>
      <c r="Z639" s="61"/>
      <c r="AA639" s="60"/>
      <c r="AB639" s="28" t="s">
        <v>7355</v>
      </c>
      <c r="AC639" s="28" t="s">
        <v>1466</v>
      </c>
    </row>
    <row r="640" spans="1:29" s="28" customFormat="1" x14ac:dyDescent="0.25">
      <c r="A640" s="61">
        <v>110007681758</v>
      </c>
      <c r="B640" s="28">
        <v>2024</v>
      </c>
      <c r="C640" s="68">
        <f t="shared" si="9"/>
        <v>45292</v>
      </c>
      <c r="D640" s="28" t="s">
        <v>1132</v>
      </c>
      <c r="E640" s="28" t="s">
        <v>7098</v>
      </c>
      <c r="F640" s="28" t="s">
        <v>1133</v>
      </c>
      <c r="G640" s="28" t="s">
        <v>999</v>
      </c>
      <c r="H640" s="28" t="s">
        <v>1798</v>
      </c>
      <c r="I640" s="28">
        <v>43.585476</v>
      </c>
      <c r="J640" s="28">
        <v>-71.750524999999996</v>
      </c>
      <c r="K640" s="28" t="s">
        <v>717</v>
      </c>
      <c r="L640" s="61">
        <v>110007681758</v>
      </c>
      <c r="M640" s="28" t="s">
        <v>265</v>
      </c>
      <c r="N640" s="28">
        <v>4959</v>
      </c>
      <c r="O640" s="28" t="str">
        <f>IFERROR(VLOOKUP(N640, 'SIC &amp; NAICS Codes'!A:B, 2, FALSE), "")</f>
        <v>Sanitary Services, NEC (vacuuming of runways)</v>
      </c>
      <c r="S640" s="28">
        <v>4.1301920000000004E-3</v>
      </c>
      <c r="T640" s="315">
        <f>_xlfn.MAXIFS('Raw Period DMR Data'!$O:$O,'Raw Period DMR Data'!$A:$A,'Raw Annual DMR Data_2021-2024'!#REF!,'Raw Period DMR Data'!$C:$C,X640)/S640</f>
        <v>0</v>
      </c>
      <c r="U640" s="28" t="str">
        <f>+IF(COUNTIFS('Raw Period DMR Data'!$A:$A,B640,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40" s="28" t="str" cm="1">
        <f t="array" ref="V640">IFERROR(INDEX('Raw Period DMR Data'!N:N,MATCH(1,(B640='Raw Period DMR Data'!$A:$A)*(U640='Raw Period DMR Data'!M:M)*(X640='Raw Period DMR Data'!C:C),0),1), "N/A")</f>
        <v>N/A</v>
      </c>
      <c r="W640" s="28" t="s">
        <v>1463</v>
      </c>
      <c r="X640" s="28" t="s">
        <v>7233</v>
      </c>
      <c r="Y640" s="28" t="s">
        <v>7319</v>
      </c>
      <c r="Z640" s="61"/>
      <c r="AA640" s="60"/>
      <c r="AB640" s="28" t="s">
        <v>7355</v>
      </c>
      <c r="AC640" s="28" t="s">
        <v>1466</v>
      </c>
    </row>
    <row r="641" spans="1:29" s="28" customFormat="1" x14ac:dyDescent="0.25">
      <c r="A641" s="61">
        <v>110007681758</v>
      </c>
      <c r="B641" s="28">
        <v>2022</v>
      </c>
      <c r="C641" s="68">
        <f t="shared" si="9"/>
        <v>44562</v>
      </c>
      <c r="D641" s="28" t="s">
        <v>1132</v>
      </c>
      <c r="E641" s="28" t="s">
        <v>1797</v>
      </c>
      <c r="F641" s="28" t="s">
        <v>1133</v>
      </c>
      <c r="G641" s="28" t="s">
        <v>999</v>
      </c>
      <c r="H641" s="28" t="s">
        <v>1798</v>
      </c>
      <c r="I641" s="28">
        <v>43.585476</v>
      </c>
      <c r="J641" s="28">
        <v>-71.750524999999996</v>
      </c>
      <c r="K641" s="28" t="s">
        <v>717</v>
      </c>
      <c r="L641" s="61">
        <v>110007681758</v>
      </c>
      <c r="M641" s="28" t="s">
        <v>265</v>
      </c>
      <c r="O641" s="28" t="str">
        <f>IFERROR(VLOOKUP(N641, 'SIC &amp; NAICS Codes'!A:B, 2, FALSE), "")</f>
        <v/>
      </c>
      <c r="S641" s="28">
        <v>3.3652435000000001E-3</v>
      </c>
      <c r="T641" s="315">
        <f>_xlfn.MAXIFS('Raw Period DMR Data'!$O:$O,'Raw Period DMR Data'!$A:$A,'Raw Annual DMR Data_2021-2024'!#REF!,'Raw Period DMR Data'!$C:$C,X641)/S641</f>
        <v>0</v>
      </c>
      <c r="U641" s="28" t="str">
        <f>+IF(COUNTIFS('Raw Period DMR Data'!$A:$A,B641,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41" s="28" t="str" cm="1">
        <f t="array" ref="V641">IFERROR(INDEX('Raw Period DMR Data'!N:N,MATCH(1,(B641='Raw Period DMR Data'!$A:$A)*(U641='Raw Period DMR Data'!M:M)*(X641='Raw Period DMR Data'!C:C),0),1), "N/A")</f>
        <v>N/A</v>
      </c>
      <c r="W641" s="28" t="s">
        <v>1463</v>
      </c>
      <c r="X641" s="28" t="s">
        <v>1799</v>
      </c>
      <c r="Z641" s="61">
        <v>1070001000335</v>
      </c>
      <c r="AA641" s="60"/>
      <c r="AB641" s="28" t="s">
        <v>7355</v>
      </c>
      <c r="AC641" s="28" t="s">
        <v>1466</v>
      </c>
    </row>
    <row r="642" spans="1:29" s="28" customFormat="1" x14ac:dyDescent="0.25">
      <c r="A642" s="61">
        <v>110007681758</v>
      </c>
      <c r="B642" s="28">
        <v>2023</v>
      </c>
      <c r="C642" s="68">
        <f t="shared" ref="C642:C705" si="10">DATE(B642, 1, 1)</f>
        <v>44927</v>
      </c>
      <c r="D642" s="28" t="s">
        <v>1132</v>
      </c>
      <c r="E642" s="28" t="s">
        <v>1797</v>
      </c>
      <c r="F642" s="28" t="s">
        <v>1133</v>
      </c>
      <c r="G642" s="28" t="s">
        <v>999</v>
      </c>
      <c r="H642" s="28" t="s">
        <v>1798</v>
      </c>
      <c r="I642" s="28">
        <v>43.585476</v>
      </c>
      <c r="J642" s="28">
        <v>-71.750524999999996</v>
      </c>
      <c r="K642" s="28" t="s">
        <v>717</v>
      </c>
      <c r="L642" s="61">
        <v>110007681758</v>
      </c>
      <c r="M642" s="28" t="s">
        <v>265</v>
      </c>
      <c r="O642" s="28" t="str">
        <f>IFERROR(VLOOKUP(N642, 'SIC &amp; NAICS Codes'!A:B, 2, FALSE), "")</f>
        <v/>
      </c>
      <c r="S642" s="28">
        <v>2.8855325999999999E-3</v>
      </c>
      <c r="T642" s="315">
        <f>_xlfn.MAXIFS('Raw Period DMR Data'!$O:$O,'Raw Period DMR Data'!$A:$A,'Raw Annual DMR Data_2021-2024'!#REF!,'Raw Period DMR Data'!$C:$C,X642)/S642</f>
        <v>0</v>
      </c>
      <c r="U642" s="28" t="str">
        <f>+IF(COUNTIFS('Raw Period DMR Data'!$A:$A,B642,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42" s="28" t="str" cm="1">
        <f t="array" ref="V642">IFERROR(INDEX('Raw Period DMR Data'!N:N,MATCH(1,(B642='Raw Period DMR Data'!$A:$A)*(U642='Raw Period DMR Data'!M:M)*(X642='Raw Period DMR Data'!C:C),0),1), "N/A")</f>
        <v>N/A</v>
      </c>
      <c r="W642" s="28" t="s">
        <v>1463</v>
      </c>
      <c r="X642" s="28" t="s">
        <v>1799</v>
      </c>
      <c r="Z642" s="61" t="s">
        <v>7342</v>
      </c>
      <c r="AA642" s="60"/>
      <c r="AB642" s="28" t="s">
        <v>7355</v>
      </c>
      <c r="AC642" s="28" t="s">
        <v>1466</v>
      </c>
    </row>
    <row r="643" spans="1:29" s="28" customFormat="1" x14ac:dyDescent="0.25">
      <c r="A643" s="61">
        <v>110017432937</v>
      </c>
      <c r="B643" s="28">
        <v>2022</v>
      </c>
      <c r="C643" s="68">
        <f t="shared" si="10"/>
        <v>44562</v>
      </c>
      <c r="D643" s="28" t="s">
        <v>1134</v>
      </c>
      <c r="E643" s="28" t="s">
        <v>1800</v>
      </c>
      <c r="F643" s="28" t="s">
        <v>1135</v>
      </c>
      <c r="G643" s="28" t="s">
        <v>299</v>
      </c>
      <c r="H643" s="28">
        <v>72501</v>
      </c>
      <c r="I643" s="28">
        <v>35.722341999999998</v>
      </c>
      <c r="J643" s="28">
        <v>-91.524983000000006</v>
      </c>
      <c r="K643" s="28" t="s">
        <v>718</v>
      </c>
      <c r="L643" s="61">
        <v>110017432937</v>
      </c>
      <c r="M643" s="28" t="s">
        <v>265</v>
      </c>
      <c r="N643" s="28">
        <v>2865</v>
      </c>
      <c r="O643" s="28" t="str">
        <f>IFERROR(VLOOKUP(N643, 'SIC &amp; NAICS Codes'!A:B, 2, FALSE), "")</f>
        <v>Cyclic Organic Crudes and Intermediates, and Organic Dyes and Pigments (aromatics)</v>
      </c>
      <c r="S643" s="28">
        <v>5.3889800000000001</v>
      </c>
      <c r="T643" s="315">
        <f>_xlfn.MAXIFS('Raw Period DMR Data'!$O:$O,'Raw Period DMR Data'!$A:$A,'Raw Annual DMR Data_2021-2024'!B976,'Raw Period DMR Data'!$C:$C,X643)/S643</f>
        <v>0</v>
      </c>
      <c r="U643" s="28" t="str">
        <f>+IF(COUNTIFS('Raw Period DMR Data'!$A:$A,B643, 'Raw Period DMR Data'!C:C,'Raw Annual DMR Data_2021-2024'!X976, 'Raw Period DMR Data'!M:M, "&gt;0")&gt;0,_xlfn.MAXIFS('Raw Period DMR Data'!M:M,'Raw Period DMR Data'!$A:$A,'Raw Annual DMR Data_2021-2024'!B976,'Raw Period DMR Data'!C:C,'Raw Annual DMR Data_2021-2024'!X976), "N/A - Period DMR Data Not Available")</f>
        <v>N/A - Period DMR Data Not Available</v>
      </c>
      <c r="V643" s="28" t="str" cm="1">
        <f t="array" ref="V643">IFERROR(INDEX('Raw Period DMR Data'!N:N,MATCH(1,(B643='Raw Period DMR Data'!$A:$A)*(U643='Raw Period DMR Data'!M:M)*(X643='Raw Period DMR Data'!C:C),0),1), "N/A")</f>
        <v>N/A</v>
      </c>
      <c r="W643" s="28" t="s">
        <v>1463</v>
      </c>
      <c r="X643" s="28" t="s">
        <v>1801</v>
      </c>
      <c r="Y643" s="28" t="s">
        <v>1802</v>
      </c>
      <c r="Z643" s="61">
        <v>11010004002024</v>
      </c>
      <c r="AA643" s="60"/>
      <c r="AB643" s="28" t="s">
        <v>7355</v>
      </c>
      <c r="AC643" s="28" t="s">
        <v>1466</v>
      </c>
    </row>
    <row r="644" spans="1:29" s="28" customFormat="1" x14ac:dyDescent="0.25">
      <c r="A644" s="61">
        <v>110017432937</v>
      </c>
      <c r="B644" s="28">
        <v>2023</v>
      </c>
      <c r="C644" s="68">
        <f t="shared" si="10"/>
        <v>44927</v>
      </c>
      <c r="D644" s="28" t="s">
        <v>1134</v>
      </c>
      <c r="E644" s="28" t="s">
        <v>1800</v>
      </c>
      <c r="F644" s="28" t="s">
        <v>1135</v>
      </c>
      <c r="G644" s="28" t="s">
        <v>299</v>
      </c>
      <c r="H644" s="28">
        <v>72501</v>
      </c>
      <c r="I644" s="28">
        <v>35.722341999999998</v>
      </c>
      <c r="J644" s="28">
        <v>-91.524983000000006</v>
      </c>
      <c r="K644" s="28" t="s">
        <v>718</v>
      </c>
      <c r="L644" s="61">
        <v>110017432937</v>
      </c>
      <c r="M644" s="28" t="s">
        <v>265</v>
      </c>
      <c r="N644" s="28">
        <v>2865</v>
      </c>
      <c r="O644" s="28" t="str">
        <f>IFERROR(VLOOKUP(N644, 'SIC &amp; NAICS Codes'!A:B, 2, FALSE), "")</f>
        <v>Cyclic Organic Crudes and Intermediates, and Organic Dyes and Pigments (aromatics)</v>
      </c>
      <c r="S644" s="28">
        <v>4.5536199999999996</v>
      </c>
      <c r="T644" s="315">
        <f>_xlfn.MAXIFS('Raw Period DMR Data'!$O:$O,'Raw Period DMR Data'!$A:$A,'Raw Annual DMR Data_2021-2024'!B987,'Raw Period DMR Data'!$C:$C,X644)/S644</f>
        <v>0</v>
      </c>
      <c r="U644" s="28" t="str">
        <f>+IF(COUNTIFS('Raw Period DMR Data'!$A:$A,B644, 'Raw Period DMR Data'!C:C,'Raw Annual DMR Data_2021-2024'!X987, 'Raw Period DMR Data'!M:M, "&gt;0")&gt;0,_xlfn.MAXIFS('Raw Period DMR Data'!M:M,'Raw Period DMR Data'!$A:$A,'Raw Annual DMR Data_2021-2024'!B987,'Raw Period DMR Data'!C:C,'Raw Annual DMR Data_2021-2024'!X987), "N/A - Period DMR Data Not Available")</f>
        <v>N/A - Period DMR Data Not Available</v>
      </c>
      <c r="V644" s="28" t="str" cm="1">
        <f t="array" ref="V644">IFERROR(INDEX('Raw Period DMR Data'!N:N,MATCH(1,(B644='Raw Period DMR Data'!$A:$A)*(U644='Raw Period DMR Data'!M:M)*(X644='Raw Period DMR Data'!C:C),0),1), "N/A")</f>
        <v>N/A</v>
      </c>
      <c r="W644" s="28" t="s">
        <v>1463</v>
      </c>
      <c r="X644" s="28" t="s">
        <v>1801</v>
      </c>
      <c r="Y644" s="28" t="s">
        <v>1802</v>
      </c>
      <c r="Z644" s="61">
        <v>11010004002024</v>
      </c>
      <c r="AA644" s="60"/>
      <c r="AB644" s="28" t="s">
        <v>7355</v>
      </c>
      <c r="AC644" s="28" t="s">
        <v>1466</v>
      </c>
    </row>
    <row r="645" spans="1:29" s="28" customFormat="1" x14ac:dyDescent="0.25">
      <c r="A645" s="61">
        <v>110017432937</v>
      </c>
      <c r="B645" s="28">
        <v>2024</v>
      </c>
      <c r="C645" s="68">
        <f t="shared" si="10"/>
        <v>45292</v>
      </c>
      <c r="D645" s="28" t="s">
        <v>1134</v>
      </c>
      <c r="E645" s="28" t="s">
        <v>1800</v>
      </c>
      <c r="F645" s="28" t="s">
        <v>1135</v>
      </c>
      <c r="G645" s="28" t="s">
        <v>299</v>
      </c>
      <c r="H645" s="28">
        <v>72501</v>
      </c>
      <c r="I645" s="28">
        <v>35.722341999999998</v>
      </c>
      <c r="J645" s="28">
        <v>-91.524983000000006</v>
      </c>
      <c r="K645" s="28" t="s">
        <v>718</v>
      </c>
      <c r="L645" s="61">
        <v>110017432937</v>
      </c>
      <c r="M645" s="28" t="s">
        <v>265</v>
      </c>
      <c r="N645" s="28">
        <v>2865</v>
      </c>
      <c r="O645" s="28" t="str">
        <f>IFERROR(VLOOKUP(N645, 'SIC &amp; NAICS Codes'!A:B, 2, FALSE), "")</f>
        <v>Cyclic Organic Crudes and Intermediates, and Organic Dyes and Pigments (aromatics)</v>
      </c>
      <c r="S645" s="28">
        <v>3.7250700000000001</v>
      </c>
      <c r="T645" s="315">
        <f>_xlfn.MAXIFS('Raw Period DMR Data'!$O:$O,'Raw Period DMR Data'!$A:$A,'Raw Annual DMR Data_2021-2024'!B1001,'Raw Period DMR Data'!$C:$C,X645)/S645</f>
        <v>0</v>
      </c>
      <c r="U645" s="28" t="str">
        <f>+IF(COUNTIFS('Raw Period DMR Data'!$A:$A,B645, 'Raw Period DMR Data'!C:C,'Raw Annual DMR Data_2021-2024'!X1001, 'Raw Period DMR Data'!M:M, "&gt;0")&gt;0,_xlfn.MAXIFS('Raw Period DMR Data'!M:M,'Raw Period DMR Data'!$A:$A,'Raw Annual DMR Data_2021-2024'!B1001,'Raw Period DMR Data'!C:C,'Raw Annual DMR Data_2021-2024'!X1001), "N/A - Period DMR Data Not Available")</f>
        <v>N/A - Period DMR Data Not Available</v>
      </c>
      <c r="V645" s="28" t="str" cm="1">
        <f t="array" ref="V645">IFERROR(INDEX('Raw Period DMR Data'!N:N,MATCH(1,(B645='Raw Period DMR Data'!$A:$A)*(U645='Raw Period DMR Data'!M:M)*(X645='Raw Period DMR Data'!C:C),0),1), "N/A")</f>
        <v>N/A</v>
      </c>
      <c r="W645" s="28" t="s">
        <v>1463</v>
      </c>
      <c r="X645" s="28" t="s">
        <v>1801</v>
      </c>
      <c r="Y645" s="28" t="s">
        <v>1802</v>
      </c>
      <c r="Z645" s="61">
        <v>11010004002024</v>
      </c>
      <c r="AA645" s="60"/>
      <c r="AB645" s="28" t="s">
        <v>7355</v>
      </c>
      <c r="AC645" s="28" t="s">
        <v>1466</v>
      </c>
    </row>
    <row r="646" spans="1:29" s="28" customFormat="1" x14ac:dyDescent="0.25">
      <c r="A646" s="61">
        <v>110017432937</v>
      </c>
      <c r="B646" s="28">
        <v>2021</v>
      </c>
      <c r="C646" s="68">
        <f t="shared" si="10"/>
        <v>44197</v>
      </c>
      <c r="D646" s="28" t="s">
        <v>1134</v>
      </c>
      <c r="E646" s="28" t="s">
        <v>1800</v>
      </c>
      <c r="F646" s="28" t="s">
        <v>1135</v>
      </c>
      <c r="G646" s="28" t="s">
        <v>299</v>
      </c>
      <c r="H646" s="28">
        <v>72501</v>
      </c>
      <c r="I646" s="28">
        <v>35.722341999999998</v>
      </c>
      <c r="J646" s="28">
        <v>-91.524983000000006</v>
      </c>
      <c r="K646" s="28" t="s">
        <v>718</v>
      </c>
      <c r="L646" s="61">
        <v>110017432937</v>
      </c>
      <c r="M646" s="28" t="s">
        <v>265</v>
      </c>
      <c r="N646" s="28">
        <v>2865</v>
      </c>
      <c r="O646" s="28" t="str">
        <f>IFERROR(VLOOKUP(N646, 'SIC &amp; NAICS Codes'!A:B, 2, FALSE), "")</f>
        <v>Cyclic Organic Crudes and Intermediates, and Organic Dyes and Pigments (aromatics)</v>
      </c>
      <c r="S646" s="28">
        <v>3.3142</v>
      </c>
      <c r="T646" s="315">
        <f>_xlfn.MAXIFS('Raw Period DMR Data'!$O:$O,'Raw Period DMR Data'!$A:$A,'Raw Annual DMR Data_2021-2024'!#REF!,'Raw Period DMR Data'!$C:$C,X646)/S646</f>
        <v>0</v>
      </c>
      <c r="U646" s="28" t="str">
        <f>+IF(COUNTIFS('Raw Period DMR Data'!$A:$A,B646,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46" s="28" t="str" cm="1">
        <f t="array" ref="V646">IFERROR(INDEX('Raw Period DMR Data'!N:N,MATCH(1,(B646='Raw Period DMR Data'!$A:$A)*(U646='Raw Period DMR Data'!M:M)*(X646='Raw Period DMR Data'!C:C),0),1), "N/A")</f>
        <v>N/A</v>
      </c>
      <c r="W646" s="28" t="s">
        <v>1463</v>
      </c>
      <c r="X646" s="28" t="s">
        <v>1801</v>
      </c>
      <c r="Y646" s="28" t="s">
        <v>1802</v>
      </c>
      <c r="Z646" s="61">
        <v>11010004002024</v>
      </c>
      <c r="AB646" s="28" t="s">
        <v>7355</v>
      </c>
      <c r="AC646" s="28" t="s">
        <v>1466</v>
      </c>
    </row>
    <row r="647" spans="1:29" s="28" customFormat="1" x14ac:dyDescent="0.25">
      <c r="A647" s="61">
        <v>110000310191</v>
      </c>
      <c r="B647" s="28">
        <v>2023</v>
      </c>
      <c r="C647" s="68">
        <f t="shared" si="10"/>
        <v>44927</v>
      </c>
      <c r="D647" s="28" t="s">
        <v>151</v>
      </c>
      <c r="E647" s="28" t="s">
        <v>485</v>
      </c>
      <c r="F647" s="28" t="s">
        <v>486</v>
      </c>
      <c r="G647" s="28" t="s">
        <v>308</v>
      </c>
      <c r="H647" s="28" t="s">
        <v>1807</v>
      </c>
      <c r="I647" s="28">
        <v>42.452603000000003</v>
      </c>
      <c r="J647" s="28">
        <v>-70.973436000000007</v>
      </c>
      <c r="K647" s="28" t="s">
        <v>487</v>
      </c>
      <c r="L647" s="61">
        <v>110000310191</v>
      </c>
      <c r="M647" s="28" t="s">
        <v>265</v>
      </c>
      <c r="N647" s="28">
        <v>3724</v>
      </c>
      <c r="O647" s="28" t="str">
        <f>IFERROR(VLOOKUP(N647, 'SIC &amp; NAICS Codes'!A:B, 2, FALSE), "")</f>
        <v>Aircraft Engines and Engine Parts (except research and development not producing prototypes)</v>
      </c>
      <c r="S647" s="28">
        <v>0.14855367999999999</v>
      </c>
      <c r="T647" s="315">
        <f>_xlfn.MAXIFS('Raw Period DMR Data'!$O:$O,'Raw Period DMR Data'!$A:$A,'Raw Annual DMR Data_2021-2024'!#REF!,'Raw Period DMR Data'!$C:$C,X647)/S647</f>
        <v>0</v>
      </c>
      <c r="U647" s="28" t="str">
        <f>+IF(COUNTIFS('Raw Period DMR Data'!$A:$A,B647,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47" s="28" t="str" cm="1">
        <f t="array" ref="V647">IFERROR(INDEX('Raw Period DMR Data'!N:N,MATCH(1,(B647='Raw Period DMR Data'!$A:$A)*(U647='Raw Period DMR Data'!M:M)*(X647='Raw Period DMR Data'!C:C),0),1), "N/A")</f>
        <v>N/A</v>
      </c>
      <c r="W647" s="28" t="s">
        <v>1463</v>
      </c>
      <c r="X647" s="28" t="s">
        <v>864</v>
      </c>
      <c r="Y647" s="28" t="s">
        <v>865</v>
      </c>
      <c r="Z647" s="61" t="s">
        <v>1808</v>
      </c>
      <c r="AA647" s="60"/>
      <c r="AB647" s="28" t="s">
        <v>7355</v>
      </c>
      <c r="AC647" s="28" t="s">
        <v>1466</v>
      </c>
    </row>
    <row r="648" spans="1:29" s="28" customFormat="1" x14ac:dyDescent="0.25">
      <c r="A648" s="61">
        <v>110000310191</v>
      </c>
      <c r="B648" s="28">
        <v>2024</v>
      </c>
      <c r="C648" s="68">
        <f t="shared" si="10"/>
        <v>45292</v>
      </c>
      <c r="D648" s="28" t="s">
        <v>151</v>
      </c>
      <c r="E648" s="28" t="s">
        <v>485</v>
      </c>
      <c r="F648" s="28" t="s">
        <v>486</v>
      </c>
      <c r="G648" s="28" t="s">
        <v>308</v>
      </c>
      <c r="H648" s="28">
        <v>1905</v>
      </c>
      <c r="I648" s="28">
        <v>42.452603000000003</v>
      </c>
      <c r="J648" s="28">
        <v>-70.973436000000007</v>
      </c>
      <c r="K648" s="28" t="s">
        <v>487</v>
      </c>
      <c r="L648" s="61">
        <v>110000310191</v>
      </c>
      <c r="M648" s="28" t="s">
        <v>265</v>
      </c>
      <c r="N648" s="28">
        <v>3724</v>
      </c>
      <c r="O648" s="28" t="str">
        <f>IFERROR(VLOOKUP(N648, 'SIC &amp; NAICS Codes'!A:B, 2, FALSE), "")</f>
        <v>Aircraft Engines and Engine Parts (except research and development not producing prototypes)</v>
      </c>
      <c r="S648" s="28">
        <v>0.14612692725000001</v>
      </c>
      <c r="T648" s="315">
        <f>_xlfn.MAXIFS('Raw Period DMR Data'!$O:$O,'Raw Period DMR Data'!$A:$A,'Raw Annual DMR Data_2021-2024'!#REF!,'Raw Period DMR Data'!$C:$C,X648)/S648</f>
        <v>0</v>
      </c>
      <c r="U648" s="28" t="str">
        <f>+IF(COUNTIFS('Raw Period DMR Data'!$A:$A,B648,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48" s="28" t="str" cm="1">
        <f t="array" ref="V648">IFERROR(INDEX('Raw Period DMR Data'!N:N,MATCH(1,(B648='Raw Period DMR Data'!$A:$A)*(U648='Raw Period DMR Data'!M:M)*(X648='Raw Period DMR Data'!C:C),0),1), "N/A")</f>
        <v>N/A</v>
      </c>
      <c r="W648" s="28" t="s">
        <v>1463</v>
      </c>
      <c r="X648" s="28" t="s">
        <v>864</v>
      </c>
      <c r="Y648" s="28" t="s">
        <v>865</v>
      </c>
      <c r="Z648" s="61">
        <v>1090001001195</v>
      </c>
      <c r="AA648" s="60"/>
      <c r="AB648" s="28" t="s">
        <v>7355</v>
      </c>
      <c r="AC648" s="28" t="s">
        <v>1466</v>
      </c>
    </row>
    <row r="649" spans="1:29" s="28" customFormat="1" x14ac:dyDescent="0.25">
      <c r="A649" s="61">
        <v>110000310191</v>
      </c>
      <c r="B649" s="28">
        <v>2023</v>
      </c>
      <c r="C649" s="68">
        <f t="shared" si="10"/>
        <v>44927</v>
      </c>
      <c r="D649" s="28" t="s">
        <v>151</v>
      </c>
      <c r="E649" s="28" t="s">
        <v>485</v>
      </c>
      <c r="F649" s="28" t="s">
        <v>486</v>
      </c>
      <c r="G649" s="28" t="s">
        <v>308</v>
      </c>
      <c r="H649" s="28" t="s">
        <v>1807</v>
      </c>
      <c r="I649" s="28">
        <v>42.452603000000003</v>
      </c>
      <c r="J649" s="28">
        <v>-70.973436000000007</v>
      </c>
      <c r="K649" s="28" t="s">
        <v>487</v>
      </c>
      <c r="L649" s="61">
        <v>110000310191</v>
      </c>
      <c r="M649" s="28" t="s">
        <v>265</v>
      </c>
      <c r="N649" s="28">
        <v>3724</v>
      </c>
      <c r="O649" s="28" t="str">
        <f>IFERROR(VLOOKUP(N649, 'SIC &amp; NAICS Codes'!A:B, 2, FALSE), "")</f>
        <v>Aircraft Engines and Engine Parts (except research and development not producing prototypes)</v>
      </c>
      <c r="S649" s="28">
        <v>0.13866782775</v>
      </c>
      <c r="T649" s="315">
        <f>_xlfn.MAXIFS('Raw Period DMR Data'!$O:$O,'Raw Period DMR Data'!$A:$A,'Raw Annual DMR Data_2021-2024'!#REF!,'Raw Period DMR Data'!$C:$C,X649)/S649</f>
        <v>0</v>
      </c>
      <c r="U649" s="28" t="str">
        <f>+IF(COUNTIFS('Raw Period DMR Data'!$A:$A,B649,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49" s="28" t="str" cm="1">
        <f t="array" ref="V649">IFERROR(INDEX('Raw Period DMR Data'!N:N,MATCH(1,(B649='Raw Period DMR Data'!$A:$A)*(U649='Raw Period DMR Data'!M:M)*(X649='Raw Period DMR Data'!C:C),0),1), "N/A")</f>
        <v>N/A</v>
      </c>
      <c r="W649" s="28" t="s">
        <v>1463</v>
      </c>
      <c r="X649" s="28" t="s">
        <v>864</v>
      </c>
      <c r="Y649" s="28" t="s">
        <v>865</v>
      </c>
      <c r="Z649" s="61" t="s">
        <v>1808</v>
      </c>
      <c r="AA649" s="60"/>
      <c r="AB649" s="28" t="s">
        <v>7355</v>
      </c>
      <c r="AC649" s="28" t="s">
        <v>1466</v>
      </c>
    </row>
    <row r="650" spans="1:29" s="28" customFormat="1" x14ac:dyDescent="0.25">
      <c r="A650" s="61">
        <v>110000310191</v>
      </c>
      <c r="B650" s="28">
        <v>2024</v>
      </c>
      <c r="C650" s="68">
        <f t="shared" si="10"/>
        <v>45292</v>
      </c>
      <c r="D650" s="28" t="s">
        <v>151</v>
      </c>
      <c r="E650" s="28" t="s">
        <v>485</v>
      </c>
      <c r="F650" s="28" t="s">
        <v>486</v>
      </c>
      <c r="G650" s="28" t="s">
        <v>308</v>
      </c>
      <c r="H650" s="28">
        <v>1905</v>
      </c>
      <c r="I650" s="28">
        <v>42.452603000000003</v>
      </c>
      <c r="J650" s="28">
        <v>-70.973436000000007</v>
      </c>
      <c r="K650" s="28" t="s">
        <v>487</v>
      </c>
      <c r="L650" s="61">
        <v>110000310191</v>
      </c>
      <c r="M650" s="28" t="s">
        <v>265</v>
      </c>
      <c r="N650" s="28">
        <v>3724</v>
      </c>
      <c r="O650" s="28" t="str">
        <f>IFERROR(VLOOKUP(N650, 'SIC &amp; NAICS Codes'!A:B, 2, FALSE), "")</f>
        <v>Aircraft Engines and Engine Parts (except research and development not producing prototypes)</v>
      </c>
      <c r="S650" s="28">
        <v>0.13414039999999999</v>
      </c>
      <c r="T650" s="315">
        <f>_xlfn.MAXIFS('Raw Period DMR Data'!$O:$O,'Raw Period DMR Data'!$A:$A,'Raw Annual DMR Data_2021-2024'!#REF!,'Raw Period DMR Data'!$C:$C,X650)/S650</f>
        <v>0</v>
      </c>
      <c r="U650" s="28" t="str">
        <f>+IF(COUNTIFS('Raw Period DMR Data'!$A:$A,B650,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50" s="28" t="str" cm="1">
        <f t="array" ref="V650">IFERROR(INDEX('Raw Period DMR Data'!N:N,MATCH(1,(B650='Raw Period DMR Data'!$A:$A)*(U650='Raw Period DMR Data'!M:M)*(X650='Raw Period DMR Data'!C:C),0),1), "N/A")</f>
        <v>N/A</v>
      </c>
      <c r="W650" s="28" t="s">
        <v>1463</v>
      </c>
      <c r="X650" s="28" t="s">
        <v>864</v>
      </c>
      <c r="Y650" s="28" t="s">
        <v>865</v>
      </c>
      <c r="Z650" s="61">
        <v>1090001001195</v>
      </c>
      <c r="AA650" s="60"/>
      <c r="AB650" s="28" t="s">
        <v>7355</v>
      </c>
      <c r="AC650" s="28" t="s">
        <v>1466</v>
      </c>
    </row>
    <row r="651" spans="1:29" s="28" customFormat="1" x14ac:dyDescent="0.25">
      <c r="A651" s="61">
        <v>110000310191</v>
      </c>
      <c r="B651" s="28">
        <v>2022</v>
      </c>
      <c r="C651" s="68">
        <f t="shared" si="10"/>
        <v>44562</v>
      </c>
      <c r="D651" s="28" t="s">
        <v>151</v>
      </c>
      <c r="E651" s="28" t="s">
        <v>485</v>
      </c>
      <c r="F651" s="28" t="s">
        <v>486</v>
      </c>
      <c r="G651" s="28" t="s">
        <v>308</v>
      </c>
      <c r="H651" s="28">
        <v>1905</v>
      </c>
      <c r="I651" s="28">
        <v>42.452603000000003</v>
      </c>
      <c r="J651" s="28">
        <v>-70.973436000000007</v>
      </c>
      <c r="K651" s="28" t="s">
        <v>487</v>
      </c>
      <c r="L651" s="61">
        <v>110000310191</v>
      </c>
      <c r="M651" s="28" t="s">
        <v>265</v>
      </c>
      <c r="N651" s="28">
        <v>3724</v>
      </c>
      <c r="O651" s="28" t="str">
        <f>IFERROR(VLOOKUP(N651, 'SIC &amp; NAICS Codes'!A:B, 2, FALSE), "")</f>
        <v>Aircraft Engines and Engine Parts (except research and development not producing prototypes)</v>
      </c>
      <c r="S651" s="28">
        <v>0.1085329825</v>
      </c>
      <c r="T651" s="315">
        <f>_xlfn.MAXIFS('Raw Period DMR Data'!$O:$O,'Raw Period DMR Data'!$A:$A,'Raw Annual DMR Data_2021-2024'!#REF!,'Raw Period DMR Data'!$C:$C,X651)/S651</f>
        <v>0</v>
      </c>
      <c r="U651" s="28" t="str">
        <f>+IF(COUNTIFS('Raw Period DMR Data'!$A:$A,B651,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51" s="28" t="str" cm="1">
        <f t="array" ref="V651">IFERROR(INDEX('Raw Period DMR Data'!N:N,MATCH(1,(B651='Raw Period DMR Data'!$A:$A)*(U651='Raw Period DMR Data'!M:M)*(X651='Raw Period DMR Data'!C:C),0),1), "N/A")</f>
        <v>N/A</v>
      </c>
      <c r="W651" s="28" t="s">
        <v>1463</v>
      </c>
      <c r="X651" s="28" t="s">
        <v>864</v>
      </c>
      <c r="Y651" s="28" t="s">
        <v>865</v>
      </c>
      <c r="Z651" s="61">
        <v>1090001001195</v>
      </c>
      <c r="AA651" s="60"/>
      <c r="AB651" s="28" t="s">
        <v>7355</v>
      </c>
      <c r="AC651" s="28" t="s">
        <v>1466</v>
      </c>
    </row>
    <row r="652" spans="1:29" s="28" customFormat="1" x14ac:dyDescent="0.25">
      <c r="A652" s="61">
        <v>110000310191</v>
      </c>
      <c r="B652" s="28">
        <v>2021</v>
      </c>
      <c r="C652" s="68">
        <f t="shared" si="10"/>
        <v>44197</v>
      </c>
      <c r="D652" s="28" t="s">
        <v>151</v>
      </c>
      <c r="E652" s="28" t="s">
        <v>485</v>
      </c>
      <c r="F652" s="28" t="s">
        <v>486</v>
      </c>
      <c r="G652" s="28" t="s">
        <v>308</v>
      </c>
      <c r="H652" s="28">
        <v>1905</v>
      </c>
      <c r="I652" s="28">
        <v>42.452603000000003</v>
      </c>
      <c r="J652" s="28">
        <v>-70.973436000000007</v>
      </c>
      <c r="K652" s="28" t="s">
        <v>487</v>
      </c>
      <c r="L652" s="61">
        <v>110000310191</v>
      </c>
      <c r="M652" s="28" t="s">
        <v>265</v>
      </c>
      <c r="N652" s="28">
        <v>3724</v>
      </c>
      <c r="O652" s="28" t="str">
        <f>IFERROR(VLOOKUP(N652, 'SIC &amp; NAICS Codes'!A:B, 2, FALSE), "")</f>
        <v>Aircraft Engines and Engine Parts (except research and development not producing prototypes)</v>
      </c>
      <c r="S652" s="28">
        <v>9.3510443666666596E-2</v>
      </c>
      <c r="T652" s="315">
        <f>_xlfn.MAXIFS('Raw Period DMR Data'!$O:$O,'Raw Period DMR Data'!$A:$A,'Raw Annual DMR Data_2021-2024'!#REF!,'Raw Period DMR Data'!$C:$C,X652)/S652</f>
        <v>0</v>
      </c>
      <c r="U652" s="28" t="str">
        <f>+IF(COUNTIFS('Raw Period DMR Data'!$A:$A,B652,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52" s="28" t="str" cm="1">
        <f t="array" ref="V652">IFERROR(INDEX('Raw Period DMR Data'!N:N,MATCH(1,(B652='Raw Period DMR Data'!$A:$A)*(U652='Raw Period DMR Data'!M:M)*(X652='Raw Period DMR Data'!C:C),0),1), "N/A")</f>
        <v>N/A</v>
      </c>
      <c r="W652" s="28" t="s">
        <v>1463</v>
      </c>
      <c r="X652" s="28" t="s">
        <v>864</v>
      </c>
      <c r="Y652" s="28" t="s">
        <v>865</v>
      </c>
      <c r="Z652" s="61">
        <v>1090001001195</v>
      </c>
      <c r="AB652" s="28" t="s">
        <v>7355</v>
      </c>
      <c r="AC652" s="28" t="s">
        <v>1466</v>
      </c>
    </row>
    <row r="653" spans="1:29" s="28" customFormat="1" x14ac:dyDescent="0.25">
      <c r="A653" s="61">
        <v>110000310191</v>
      </c>
      <c r="B653" s="28">
        <v>2022</v>
      </c>
      <c r="C653" s="68">
        <f t="shared" si="10"/>
        <v>44562</v>
      </c>
      <c r="D653" s="28" t="s">
        <v>151</v>
      </c>
      <c r="E653" s="28" t="s">
        <v>485</v>
      </c>
      <c r="F653" s="28" t="s">
        <v>486</v>
      </c>
      <c r="G653" s="28" t="s">
        <v>308</v>
      </c>
      <c r="H653" s="28">
        <v>1905</v>
      </c>
      <c r="I653" s="28">
        <v>42.452603000000003</v>
      </c>
      <c r="J653" s="28">
        <v>-70.973436000000007</v>
      </c>
      <c r="K653" s="28" t="s">
        <v>487</v>
      </c>
      <c r="L653" s="61">
        <v>110000310191</v>
      </c>
      <c r="M653" s="28" t="s">
        <v>265</v>
      </c>
      <c r="N653" s="28">
        <v>3724</v>
      </c>
      <c r="O653" s="28" t="str">
        <f>IFERROR(VLOOKUP(N653, 'SIC &amp; NAICS Codes'!A:B, 2, FALSE), "")</f>
        <v>Aircraft Engines and Engine Parts (except research and development not producing prototypes)</v>
      </c>
      <c r="S653" s="28">
        <v>9.2156233749999997E-2</v>
      </c>
      <c r="T653" s="315">
        <f>_xlfn.MAXIFS('Raw Period DMR Data'!$O:$O,'Raw Period DMR Data'!$A:$A,'Raw Annual DMR Data_2021-2024'!#REF!,'Raw Period DMR Data'!$C:$C,X653)/S653</f>
        <v>0</v>
      </c>
      <c r="U653" s="28" t="str">
        <f>+IF(COUNTIFS('Raw Period DMR Data'!$A:$A,B653,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53" s="28" t="str" cm="1">
        <f t="array" ref="V653">IFERROR(INDEX('Raw Period DMR Data'!N:N,MATCH(1,(B653='Raw Period DMR Data'!$A:$A)*(U653='Raw Period DMR Data'!M:M)*(X653='Raw Period DMR Data'!C:C),0),1), "N/A")</f>
        <v>N/A</v>
      </c>
      <c r="W653" s="28" t="s">
        <v>1463</v>
      </c>
      <c r="X653" s="28" t="s">
        <v>864</v>
      </c>
      <c r="Y653" s="28" t="s">
        <v>865</v>
      </c>
      <c r="Z653" s="61">
        <v>1090001001195</v>
      </c>
      <c r="AA653" s="60"/>
      <c r="AB653" s="28" t="s">
        <v>7355</v>
      </c>
      <c r="AC653" s="28" t="s">
        <v>1466</v>
      </c>
    </row>
    <row r="654" spans="1:29" s="28" customFormat="1" x14ac:dyDescent="0.25">
      <c r="A654" s="61">
        <v>110000310191</v>
      </c>
      <c r="B654" s="28">
        <v>2021</v>
      </c>
      <c r="C654" s="68">
        <f t="shared" si="10"/>
        <v>44197</v>
      </c>
      <c r="D654" s="28" t="s">
        <v>151</v>
      </c>
      <c r="E654" s="28" t="s">
        <v>485</v>
      </c>
      <c r="F654" s="28" t="s">
        <v>486</v>
      </c>
      <c r="G654" s="28" t="s">
        <v>308</v>
      </c>
      <c r="H654" s="28">
        <v>1905</v>
      </c>
      <c r="I654" s="28">
        <v>42.452603000000003</v>
      </c>
      <c r="J654" s="28">
        <v>-70.973436000000007</v>
      </c>
      <c r="K654" s="28" t="s">
        <v>487</v>
      </c>
      <c r="L654" s="61">
        <v>110000310191</v>
      </c>
      <c r="M654" s="28" t="s">
        <v>265</v>
      </c>
      <c r="N654" s="28">
        <v>3724</v>
      </c>
      <c r="O654" s="28" t="str">
        <f>IFERROR(VLOOKUP(N654, 'SIC &amp; NAICS Codes'!A:B, 2, FALSE), "")</f>
        <v>Aircraft Engines and Engine Parts (except research and development not producing prototypes)</v>
      </c>
      <c r="S654" s="28">
        <v>2.9407557500000001E-2</v>
      </c>
      <c r="T654" s="315">
        <f>_xlfn.MAXIFS('Raw Period DMR Data'!$O:$O,'Raw Period DMR Data'!$A:$A,'Raw Annual DMR Data_2021-2024'!#REF!,'Raw Period DMR Data'!$C:$C,X654)/S654</f>
        <v>0</v>
      </c>
      <c r="U654" s="28" t="str">
        <f>+IF(COUNTIFS('Raw Period DMR Data'!$A:$A,B654,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54" s="28" t="str" cm="1">
        <f t="array" ref="V654">IFERROR(INDEX('Raw Period DMR Data'!N:N,MATCH(1,(B654='Raw Period DMR Data'!$A:$A)*(U654='Raw Period DMR Data'!M:M)*(X654='Raw Period DMR Data'!C:C),0),1), "N/A")</f>
        <v>N/A</v>
      </c>
      <c r="W654" s="28" t="s">
        <v>1463</v>
      </c>
      <c r="X654" s="28" t="s">
        <v>864</v>
      </c>
      <c r="Y654" s="28" t="s">
        <v>865</v>
      </c>
      <c r="Z654" s="61">
        <v>1090001001195</v>
      </c>
      <c r="AB654" s="28" t="s">
        <v>7355</v>
      </c>
      <c r="AC654" s="28" t="s">
        <v>1466</v>
      </c>
    </row>
    <row r="655" spans="1:29" s="28" customFormat="1" x14ac:dyDescent="0.25">
      <c r="A655" s="61">
        <v>110000310191</v>
      </c>
      <c r="B655" s="28">
        <v>2024</v>
      </c>
      <c r="C655" s="68">
        <f t="shared" si="10"/>
        <v>45292</v>
      </c>
      <c r="D655" s="28" t="s">
        <v>151</v>
      </c>
      <c r="E655" s="28" t="s">
        <v>485</v>
      </c>
      <c r="F655" s="28" t="s">
        <v>486</v>
      </c>
      <c r="G655" s="28" t="s">
        <v>308</v>
      </c>
      <c r="H655" s="28">
        <v>1905</v>
      </c>
      <c r="I655" s="28">
        <v>42.452603000000003</v>
      </c>
      <c r="J655" s="28">
        <v>-70.973436000000007</v>
      </c>
      <c r="K655" s="28" t="s">
        <v>487</v>
      </c>
      <c r="L655" s="61">
        <v>110000310191</v>
      </c>
      <c r="M655" s="28" t="s">
        <v>265</v>
      </c>
      <c r="N655" s="28">
        <v>3724</v>
      </c>
      <c r="O655" s="28" t="str">
        <f>IFERROR(VLOOKUP(N655, 'SIC &amp; NAICS Codes'!A:B, 2, FALSE), "")</f>
        <v>Aircraft Engines and Engine Parts (except research and development not producing prototypes)</v>
      </c>
      <c r="S655" s="28">
        <v>6.1629262499999999E-3</v>
      </c>
      <c r="T655" s="315">
        <f>_xlfn.MAXIFS('Raw Period DMR Data'!$O:$O,'Raw Period DMR Data'!$A:$A,'Raw Annual DMR Data_2021-2024'!#REF!,'Raw Period DMR Data'!$C:$C,X655)/S655</f>
        <v>0</v>
      </c>
      <c r="U655" s="28" t="str">
        <f>+IF(COUNTIFS('Raw Period DMR Data'!$A:$A,B655,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55" s="28" t="str" cm="1">
        <f t="array" ref="V655">IFERROR(INDEX('Raw Period DMR Data'!N:N,MATCH(1,(B655='Raw Period DMR Data'!$A:$A)*(U655='Raw Period DMR Data'!M:M)*(X655='Raw Period DMR Data'!C:C),0),1), "N/A")</f>
        <v>N/A</v>
      </c>
      <c r="W655" s="28" t="s">
        <v>1463</v>
      </c>
      <c r="X655" s="28" t="s">
        <v>864</v>
      </c>
      <c r="Y655" s="28" t="s">
        <v>865</v>
      </c>
      <c r="Z655" s="61">
        <v>1090001001195</v>
      </c>
      <c r="AA655" s="60"/>
      <c r="AB655" s="28" t="s">
        <v>7355</v>
      </c>
      <c r="AC655" s="28" t="s">
        <v>1466</v>
      </c>
    </row>
    <row r="656" spans="1:29" s="28" customFormat="1" x14ac:dyDescent="0.25">
      <c r="A656" s="61">
        <v>110000310191</v>
      </c>
      <c r="B656" s="28">
        <v>2023</v>
      </c>
      <c r="C656" s="68">
        <f t="shared" si="10"/>
        <v>44927</v>
      </c>
      <c r="D656" s="28" t="s">
        <v>151</v>
      </c>
      <c r="E656" s="28" t="s">
        <v>485</v>
      </c>
      <c r="F656" s="28" t="s">
        <v>486</v>
      </c>
      <c r="G656" s="28" t="s">
        <v>308</v>
      </c>
      <c r="H656" s="28" t="s">
        <v>1807</v>
      </c>
      <c r="I656" s="28">
        <v>42.452603000000003</v>
      </c>
      <c r="J656" s="28">
        <v>-70.973436000000007</v>
      </c>
      <c r="K656" s="28" t="s">
        <v>487</v>
      </c>
      <c r="L656" s="61">
        <v>110000310191</v>
      </c>
      <c r="M656" s="28" t="s">
        <v>265</v>
      </c>
      <c r="N656" s="28">
        <v>3724</v>
      </c>
      <c r="O656" s="28" t="str">
        <f>IFERROR(VLOOKUP(N656, 'SIC &amp; NAICS Codes'!A:B, 2, FALSE), "")</f>
        <v>Aircraft Engines and Engine Parts (except research and development not producing prototypes)</v>
      </c>
      <c r="S656" s="28">
        <v>5.9138732499999999E-3</v>
      </c>
      <c r="T656" s="315">
        <f>_xlfn.MAXIFS('Raw Period DMR Data'!$O:$O,'Raw Period DMR Data'!$A:$A,'Raw Annual DMR Data_2021-2024'!#REF!,'Raw Period DMR Data'!$C:$C,X656)/S656</f>
        <v>0</v>
      </c>
      <c r="U656" s="28" t="str">
        <f>+IF(COUNTIFS('Raw Period DMR Data'!$A:$A,B656,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56" s="28" t="str" cm="1">
        <f t="array" ref="V656">IFERROR(INDEX('Raw Period DMR Data'!N:N,MATCH(1,(B656='Raw Period DMR Data'!$A:$A)*(U656='Raw Period DMR Data'!M:M)*(X656='Raw Period DMR Data'!C:C),0),1), "N/A")</f>
        <v>N/A</v>
      </c>
      <c r="W656" s="28" t="s">
        <v>1463</v>
      </c>
      <c r="X656" s="28" t="s">
        <v>864</v>
      </c>
      <c r="Y656" s="28" t="s">
        <v>865</v>
      </c>
      <c r="Z656" s="61" t="s">
        <v>1808</v>
      </c>
      <c r="AA656" s="60"/>
      <c r="AB656" s="28" t="s">
        <v>7355</v>
      </c>
      <c r="AC656" s="28" t="s">
        <v>1466</v>
      </c>
    </row>
    <row r="657" spans="1:29" s="28" customFormat="1" x14ac:dyDescent="0.25">
      <c r="A657" s="61">
        <v>110000310191</v>
      </c>
      <c r="B657" s="28">
        <v>2021</v>
      </c>
      <c r="C657" s="68">
        <f t="shared" si="10"/>
        <v>44197</v>
      </c>
      <c r="D657" s="28" t="s">
        <v>151</v>
      </c>
      <c r="E657" s="28" t="s">
        <v>485</v>
      </c>
      <c r="F657" s="28" t="s">
        <v>486</v>
      </c>
      <c r="G657" s="28" t="s">
        <v>308</v>
      </c>
      <c r="H657" s="28">
        <v>1905</v>
      </c>
      <c r="I657" s="28">
        <v>42.452603000000003</v>
      </c>
      <c r="J657" s="28">
        <v>-70.973436000000007</v>
      </c>
      <c r="K657" s="28" t="s">
        <v>487</v>
      </c>
      <c r="L657" s="61">
        <v>110000310191</v>
      </c>
      <c r="M657" s="28" t="s">
        <v>265</v>
      </c>
      <c r="N657" s="28">
        <v>3724</v>
      </c>
      <c r="O657" s="28" t="str">
        <f>IFERROR(VLOOKUP(N657, 'SIC &amp; NAICS Codes'!A:B, 2, FALSE), "")</f>
        <v>Aircraft Engines and Engine Parts (except research and development not producing prototypes)</v>
      </c>
      <c r="S657" s="28">
        <v>3.7756636666666601E-3</v>
      </c>
      <c r="T657" s="315">
        <f>_xlfn.MAXIFS('Raw Period DMR Data'!$O:$O,'Raw Period DMR Data'!$A:$A,'Raw Annual DMR Data_2021-2024'!#REF!,'Raw Period DMR Data'!$C:$C,X657)/S657</f>
        <v>0</v>
      </c>
      <c r="U657" s="28" t="str">
        <f>+IF(COUNTIFS('Raw Period DMR Data'!$A:$A,B657,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57" s="28" t="str" cm="1">
        <f t="array" ref="V657">IFERROR(INDEX('Raw Period DMR Data'!N:N,MATCH(1,(B657='Raw Period DMR Data'!$A:$A)*(U657='Raw Period DMR Data'!M:M)*(X657='Raw Period DMR Data'!C:C),0),1), "N/A")</f>
        <v>N/A</v>
      </c>
      <c r="W657" s="28" t="s">
        <v>1463</v>
      </c>
      <c r="X657" s="28" t="s">
        <v>864</v>
      </c>
      <c r="Y657" s="28" t="s">
        <v>865</v>
      </c>
      <c r="Z657" s="61">
        <v>1090001001195</v>
      </c>
      <c r="AB657" s="28" t="s">
        <v>7355</v>
      </c>
      <c r="AC657" s="28" t="s">
        <v>1466</v>
      </c>
    </row>
    <row r="658" spans="1:29" s="28" customFormat="1" x14ac:dyDescent="0.25">
      <c r="A658" s="61">
        <v>110000310191</v>
      </c>
      <c r="B658" s="28">
        <v>2022</v>
      </c>
      <c r="C658" s="68">
        <f t="shared" si="10"/>
        <v>44562</v>
      </c>
      <c r="D658" s="28" t="s">
        <v>151</v>
      </c>
      <c r="E658" s="28" t="s">
        <v>485</v>
      </c>
      <c r="F658" s="28" t="s">
        <v>486</v>
      </c>
      <c r="G658" s="28" t="s">
        <v>308</v>
      </c>
      <c r="H658" s="28">
        <v>1905</v>
      </c>
      <c r="I658" s="28">
        <v>42.452603000000003</v>
      </c>
      <c r="J658" s="28">
        <v>-70.973436000000007</v>
      </c>
      <c r="K658" s="28" t="s">
        <v>487</v>
      </c>
      <c r="L658" s="61">
        <v>110000310191</v>
      </c>
      <c r="M658" s="28" t="s">
        <v>265</v>
      </c>
      <c r="N658" s="28">
        <v>3724</v>
      </c>
      <c r="O658" s="28" t="str">
        <f>IFERROR(VLOOKUP(N658, 'SIC &amp; NAICS Codes'!A:B, 2, FALSE), "")</f>
        <v>Aircraft Engines and Engine Parts (except research and development not producing prototypes)</v>
      </c>
      <c r="S658" s="28">
        <v>2.0910232499999999E-3</v>
      </c>
      <c r="T658" s="315">
        <f>_xlfn.MAXIFS('Raw Period DMR Data'!$O:$O,'Raw Period DMR Data'!$A:$A,'Raw Annual DMR Data_2021-2024'!#REF!,'Raw Period DMR Data'!$C:$C,X658)/S658</f>
        <v>0</v>
      </c>
      <c r="U658" s="28" t="str">
        <f>+IF(COUNTIFS('Raw Period DMR Data'!$A:$A,B658,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58" s="28" t="str" cm="1">
        <f t="array" ref="V658">IFERROR(INDEX('Raw Period DMR Data'!N:N,MATCH(1,(B658='Raw Period DMR Data'!$A:$A)*(U658='Raw Period DMR Data'!M:M)*(X658='Raw Period DMR Data'!C:C),0),1), "N/A")</f>
        <v>N/A</v>
      </c>
      <c r="W658" s="28" t="s">
        <v>1463</v>
      </c>
      <c r="X658" s="28" t="s">
        <v>864</v>
      </c>
      <c r="Y658" s="28" t="s">
        <v>865</v>
      </c>
      <c r="Z658" s="61">
        <v>1090001001195</v>
      </c>
      <c r="AA658" s="60"/>
      <c r="AB658" s="28" t="s">
        <v>7355</v>
      </c>
      <c r="AC658" s="28" t="s">
        <v>1466</v>
      </c>
    </row>
    <row r="659" spans="1:29" s="28" customFormat="1" x14ac:dyDescent="0.25">
      <c r="A659" s="61">
        <v>110000329038</v>
      </c>
      <c r="B659" s="28">
        <v>2022</v>
      </c>
      <c r="C659" s="68">
        <f t="shared" si="10"/>
        <v>44562</v>
      </c>
      <c r="D659" s="28" t="s">
        <v>6846</v>
      </c>
      <c r="E659" s="28" t="s">
        <v>7000</v>
      </c>
      <c r="F659" s="28" t="s">
        <v>1267</v>
      </c>
      <c r="G659" s="28" t="s">
        <v>491</v>
      </c>
      <c r="H659" s="28" t="s">
        <v>7001</v>
      </c>
      <c r="I659" s="28">
        <v>40.670580000000001</v>
      </c>
      <c r="J659" s="28">
        <v>-80.336500000000001</v>
      </c>
      <c r="K659" s="28" t="s">
        <v>7128</v>
      </c>
      <c r="L659" s="61">
        <v>110000329038</v>
      </c>
      <c r="M659" s="28" t="s">
        <v>265</v>
      </c>
      <c r="N659" s="28">
        <v>2869</v>
      </c>
      <c r="O659" s="28" t="str">
        <f>IFERROR(VLOOKUP(N659, 'SIC &amp; NAICS Codes'!A:B, 2, FALSE), "")</f>
        <v>Industrial Organic Chemicals, NEC (aliphatics)</v>
      </c>
      <c r="S659" s="28">
        <v>3.405E-3</v>
      </c>
      <c r="T659" s="315">
        <f>_xlfn.MAXIFS('Raw Period DMR Data'!$O:$O,'Raw Period DMR Data'!$A:$A,'Raw Annual DMR Data_2021-2024'!#REF!,'Raw Period DMR Data'!$C:$C,X659)/S659</f>
        <v>0</v>
      </c>
      <c r="U659" s="28" t="str">
        <f>+IF(COUNTIFS('Raw Period DMR Data'!$A:$A,B659,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59" s="28" t="str" cm="1">
        <f t="array" ref="V659">IFERROR(INDEX('Raw Period DMR Data'!N:N,MATCH(1,(B659='Raw Period DMR Data'!$A:$A)*(U659='Raw Period DMR Data'!M:M)*(X659='Raw Period DMR Data'!C:C),0),1), "N/A")</f>
        <v>N/A</v>
      </c>
      <c r="W659" s="28" t="s">
        <v>1463</v>
      </c>
      <c r="X659" s="28" t="s">
        <v>7179</v>
      </c>
      <c r="Y659" s="28" t="s">
        <v>7289</v>
      </c>
      <c r="Z659" s="61">
        <v>5030101001548</v>
      </c>
      <c r="AA659" s="60"/>
      <c r="AB659" s="28" t="s">
        <v>7355</v>
      </c>
      <c r="AC659" s="28" t="s">
        <v>1466</v>
      </c>
    </row>
    <row r="660" spans="1:29" s="28" customFormat="1" x14ac:dyDescent="0.25">
      <c r="A660" s="61">
        <v>110056537804</v>
      </c>
      <c r="B660" s="28">
        <v>2024</v>
      </c>
      <c r="C660" s="68">
        <f t="shared" si="10"/>
        <v>45292</v>
      </c>
      <c r="D660" s="28" t="s">
        <v>6799</v>
      </c>
      <c r="E660" s="28" t="s">
        <v>6951</v>
      </c>
      <c r="F660" s="28" t="s">
        <v>590</v>
      </c>
      <c r="G660" s="28" t="s">
        <v>362</v>
      </c>
      <c r="H660" s="28">
        <v>77536</v>
      </c>
      <c r="I660" s="28">
        <v>29.717469999999999</v>
      </c>
      <c r="J660" s="28">
        <v>-95.113280000000003</v>
      </c>
      <c r="K660" s="28" t="s">
        <v>7122</v>
      </c>
      <c r="L660" s="61">
        <v>110056537804</v>
      </c>
      <c r="M660" s="28" t="s">
        <v>265</v>
      </c>
      <c r="N660" s="28">
        <v>2869</v>
      </c>
      <c r="O660" s="28" t="str">
        <f>IFERROR(VLOOKUP(N660, 'SIC &amp; NAICS Codes'!A:B, 2, FALSE), "")</f>
        <v>Industrial Organic Chemicals, NEC (aliphatics)</v>
      </c>
      <c r="S660" s="28">
        <v>2.4856500000000001</v>
      </c>
      <c r="T660" s="315">
        <f>_xlfn.MAXIFS('Raw Period DMR Data'!$O:$O,'Raw Period DMR Data'!$A:$A,'Raw Annual DMR Data_2021-2024'!#REF!,'Raw Period DMR Data'!$C:$C,X660)/S660</f>
        <v>0</v>
      </c>
      <c r="U660" s="28" t="str">
        <f>+IF(COUNTIFS('Raw Period DMR Data'!$A:$A,B660,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60" s="28" t="str" cm="1">
        <f t="array" ref="V660">IFERROR(INDEX('Raw Period DMR Data'!N:N,MATCH(1,(B660='Raw Period DMR Data'!$A:$A)*(U660='Raw Period DMR Data'!M:M)*(X660='Raw Period DMR Data'!C:C),0),1), "N/A")</f>
        <v>N/A</v>
      </c>
      <c r="W660" s="28" t="s">
        <v>1463</v>
      </c>
      <c r="X660" s="28" t="s">
        <v>7153</v>
      </c>
      <c r="Y660" s="28" t="s">
        <v>7265</v>
      </c>
      <c r="Z660" s="61">
        <v>12040104000662</v>
      </c>
      <c r="AA660" s="60"/>
      <c r="AC660" s="28" t="s">
        <v>1466</v>
      </c>
    </row>
    <row r="661" spans="1:29" s="28" customFormat="1" x14ac:dyDescent="0.25">
      <c r="A661" s="61">
        <v>110004300596</v>
      </c>
      <c r="B661" s="28">
        <v>2023</v>
      </c>
      <c r="C661" s="68">
        <f t="shared" si="10"/>
        <v>44927</v>
      </c>
      <c r="D661" s="28" t="s">
        <v>6848</v>
      </c>
      <c r="E661" s="28" t="s">
        <v>7002</v>
      </c>
      <c r="F661" s="28" t="s">
        <v>657</v>
      </c>
      <c r="G661" s="28" t="s">
        <v>418</v>
      </c>
      <c r="H661" s="28" t="s">
        <v>7003</v>
      </c>
      <c r="I661" s="28">
        <v>36.170819999999999</v>
      </c>
      <c r="J661" s="28">
        <v>-115.14431</v>
      </c>
      <c r="L661" s="61">
        <v>110004300596</v>
      </c>
      <c r="M661" s="28" t="s">
        <v>265</v>
      </c>
      <c r="N661" s="28">
        <v>7011</v>
      </c>
      <c r="O661" s="28" t="str">
        <f>IFERROR(VLOOKUP(N661, 'SIC &amp; NAICS Codes'!A:B, 2, FALSE), "")</f>
        <v>Hotels and Motels (hotels, except casino hotels, and motels)</v>
      </c>
      <c r="S661" s="28">
        <v>2.2898776875000001E-3</v>
      </c>
      <c r="T661" s="315">
        <f>_xlfn.MAXIFS('Raw Period DMR Data'!$O:$O,'Raw Period DMR Data'!$A:$A,'Raw Annual DMR Data_2021-2024'!#REF!,'Raw Period DMR Data'!$C:$C,X661)/S661</f>
        <v>0</v>
      </c>
      <c r="U661" s="28" t="str">
        <f>+IF(COUNTIFS('Raw Period DMR Data'!$A:$A,B661,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61" s="28" t="str" cm="1">
        <f t="array" ref="V661">IFERROR(INDEX('Raw Period DMR Data'!N:N,MATCH(1,(B661='Raw Period DMR Data'!$A:$A)*(U661='Raw Period DMR Data'!M:M)*(X661='Raw Period DMR Data'!C:C),0),1), "N/A")</f>
        <v>N/A</v>
      </c>
      <c r="W661" s="28" t="s">
        <v>1463</v>
      </c>
      <c r="X661" s="28" t="s">
        <v>7180</v>
      </c>
      <c r="Y661" s="28" t="s">
        <v>7290</v>
      </c>
      <c r="Z661" s="61"/>
      <c r="AA661" s="60"/>
      <c r="AB661" s="28" t="s">
        <v>7355</v>
      </c>
      <c r="AC661" s="28" t="s">
        <v>1466</v>
      </c>
    </row>
    <row r="662" spans="1:29" s="28" customFormat="1" x14ac:dyDescent="0.25">
      <c r="A662" s="61">
        <v>110004300596</v>
      </c>
      <c r="B662" s="28">
        <v>2024</v>
      </c>
      <c r="C662" s="68">
        <f t="shared" si="10"/>
        <v>45292</v>
      </c>
      <c r="D662" s="28" t="s">
        <v>6848</v>
      </c>
      <c r="E662" s="28" t="s">
        <v>7002</v>
      </c>
      <c r="F662" s="28" t="s">
        <v>657</v>
      </c>
      <c r="G662" s="28" t="s">
        <v>418</v>
      </c>
      <c r="H662" s="28" t="s">
        <v>7003</v>
      </c>
      <c r="I662" s="28">
        <v>36.170819999999999</v>
      </c>
      <c r="J662" s="28">
        <v>-115.14431</v>
      </c>
      <c r="L662" s="61">
        <v>110004300596</v>
      </c>
      <c r="M662" s="28" t="s">
        <v>265</v>
      </c>
      <c r="N662" s="28">
        <v>7011</v>
      </c>
      <c r="O662" s="28" t="str">
        <f>IFERROR(VLOOKUP(N662, 'SIC &amp; NAICS Codes'!A:B, 2, FALSE), "")</f>
        <v>Hotels and Motels (hotels, except casino hotels, and motels)</v>
      </c>
      <c r="S662" s="28">
        <v>5.5261000000000003E-6</v>
      </c>
      <c r="T662" s="315">
        <f>_xlfn.MAXIFS('Raw Period DMR Data'!$O:$O,'Raw Period DMR Data'!$A:$A,'Raw Annual DMR Data_2021-2024'!#REF!,'Raw Period DMR Data'!$C:$C,X662)/S662</f>
        <v>0</v>
      </c>
      <c r="U662" s="28" t="str">
        <f>+IF(COUNTIFS('Raw Period DMR Data'!$A:$A,B662,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62" s="28" t="str" cm="1">
        <f t="array" ref="V662">IFERROR(INDEX('Raw Period DMR Data'!N:N,MATCH(1,(B662='Raw Period DMR Data'!$A:$A)*(U662='Raw Period DMR Data'!M:M)*(X662='Raw Period DMR Data'!C:C),0),1), "N/A")</f>
        <v>N/A</v>
      </c>
      <c r="W662" s="28" t="s">
        <v>1463</v>
      </c>
      <c r="X662" s="28" t="s">
        <v>7180</v>
      </c>
      <c r="Y662" s="28" t="s">
        <v>7290</v>
      </c>
      <c r="Z662" s="61"/>
      <c r="AA662" s="60"/>
      <c r="AB662" s="28" t="s">
        <v>7355</v>
      </c>
      <c r="AC662" s="28" t="s">
        <v>1466</v>
      </c>
    </row>
    <row r="663" spans="1:29" s="28" customFormat="1" x14ac:dyDescent="0.25">
      <c r="A663" s="61">
        <v>110000433022</v>
      </c>
      <c r="B663" s="28">
        <v>2022</v>
      </c>
      <c r="C663" s="68">
        <f t="shared" si="10"/>
        <v>44562</v>
      </c>
      <c r="D663" s="28" t="s">
        <v>1160</v>
      </c>
      <c r="E663" s="28" t="s">
        <v>1856</v>
      </c>
      <c r="F663" s="28" t="s">
        <v>1103</v>
      </c>
      <c r="G663" s="28" t="s">
        <v>345</v>
      </c>
      <c r="H663" s="28" t="s">
        <v>1857</v>
      </c>
      <c r="I663" s="28">
        <v>41.304952</v>
      </c>
      <c r="J663" s="28">
        <v>-88.561650999999998</v>
      </c>
      <c r="K663" s="28" t="s">
        <v>720</v>
      </c>
      <c r="L663" s="61">
        <v>110000433022</v>
      </c>
      <c r="M663" s="28" t="s">
        <v>265</v>
      </c>
      <c r="N663" s="28">
        <v>2821</v>
      </c>
      <c r="O663" s="28" t="str">
        <f>IFERROR(VLOOKUP(N663, 'SIC &amp; NAICS Codes'!A:B, 2, FALSE), "")</f>
        <v>Plastics Materials, Synthetic and Resins, and Nonvulcanizable Elastomers</v>
      </c>
      <c r="S663" s="28">
        <v>0.17283552999999999</v>
      </c>
      <c r="T663" s="315">
        <f>_xlfn.MAXIFS('Raw Period DMR Data'!$O:$O,'Raw Period DMR Data'!$A:$A,'Raw Annual DMR Data_2021-2024'!#REF!,'Raw Period DMR Data'!$C:$C,X663)/S663</f>
        <v>0</v>
      </c>
      <c r="U663" s="28" t="str">
        <f>+IF(COUNTIFS('Raw Period DMR Data'!$A:$A,B663,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63" s="28" t="str" cm="1">
        <f t="array" ref="V663">IFERROR(INDEX('Raw Period DMR Data'!N:N,MATCH(1,(B663='Raw Period DMR Data'!$A:$A)*(U663='Raw Period DMR Data'!M:M)*(X663='Raw Period DMR Data'!C:C),0),1), "N/A")</f>
        <v>N/A</v>
      </c>
      <c r="W663" s="28" t="s">
        <v>1463</v>
      </c>
      <c r="X663" s="28" t="s">
        <v>1858</v>
      </c>
      <c r="Y663" s="28" t="s">
        <v>1859</v>
      </c>
      <c r="Z663" s="61">
        <v>7120005000124</v>
      </c>
      <c r="AA663" s="60"/>
      <c r="AB663" s="28" t="s">
        <v>7355</v>
      </c>
      <c r="AC663" s="28" t="s">
        <v>1466</v>
      </c>
    </row>
    <row r="664" spans="1:29" s="28" customFormat="1" x14ac:dyDescent="0.25">
      <c r="A664" s="61">
        <v>110000433022</v>
      </c>
      <c r="B664" s="28">
        <v>2021</v>
      </c>
      <c r="C664" s="68">
        <f t="shared" si="10"/>
        <v>44197</v>
      </c>
      <c r="D664" s="28" t="s">
        <v>1160</v>
      </c>
      <c r="E664" s="28" t="s">
        <v>1856</v>
      </c>
      <c r="F664" s="28" t="s">
        <v>1103</v>
      </c>
      <c r="G664" s="28" t="s">
        <v>345</v>
      </c>
      <c r="H664" s="28" t="s">
        <v>1857</v>
      </c>
      <c r="I664" s="28">
        <v>41.304952</v>
      </c>
      <c r="J664" s="28">
        <v>-88.561650999999998</v>
      </c>
      <c r="K664" s="28" t="s">
        <v>720</v>
      </c>
      <c r="L664" s="61">
        <v>110000433022</v>
      </c>
      <c r="M664" s="28" t="s">
        <v>265</v>
      </c>
      <c r="N664" s="28">
        <v>2821</v>
      </c>
      <c r="O664" s="28" t="str">
        <f>IFERROR(VLOOKUP(N664, 'SIC &amp; NAICS Codes'!A:B, 2, FALSE), "")</f>
        <v>Plastics Materials, Synthetic and Resins, and Nonvulcanizable Elastomers</v>
      </c>
      <c r="S664" s="28">
        <v>2.8120987E-2</v>
      </c>
      <c r="T664" s="315">
        <f>_xlfn.MAXIFS('Raw Period DMR Data'!$O:$O,'Raw Period DMR Data'!$A:$A,'Raw Annual DMR Data_2021-2024'!#REF!,'Raw Period DMR Data'!$C:$C,X664)/S664</f>
        <v>0</v>
      </c>
      <c r="U664" s="28" t="str">
        <f>+IF(COUNTIFS('Raw Period DMR Data'!$A:$A,B664,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64" s="28" t="str" cm="1">
        <f t="array" ref="V664">IFERROR(INDEX('Raw Period DMR Data'!N:N,MATCH(1,(B664='Raw Period DMR Data'!$A:$A)*(U664='Raw Period DMR Data'!M:M)*(X664='Raw Period DMR Data'!C:C),0),1), "N/A")</f>
        <v>N/A</v>
      </c>
      <c r="W664" s="28" t="s">
        <v>1463</v>
      </c>
      <c r="X664" s="28" t="s">
        <v>1858</v>
      </c>
      <c r="Y664" s="302" t="s">
        <v>1859</v>
      </c>
      <c r="Z664" s="61">
        <v>7120005000124</v>
      </c>
      <c r="AB664" s="28" t="s">
        <v>7355</v>
      </c>
      <c r="AC664" s="28" t="s">
        <v>1466</v>
      </c>
    </row>
    <row r="665" spans="1:29" s="28" customFormat="1" x14ac:dyDescent="0.25">
      <c r="A665" s="61">
        <v>110000433022</v>
      </c>
      <c r="B665" s="28">
        <v>2024</v>
      </c>
      <c r="C665" s="68">
        <f t="shared" si="10"/>
        <v>45292</v>
      </c>
      <c r="D665" s="28" t="s">
        <v>1160</v>
      </c>
      <c r="E665" s="28" t="s">
        <v>1856</v>
      </c>
      <c r="F665" s="28" t="s">
        <v>1103</v>
      </c>
      <c r="G665" s="28" t="s">
        <v>345</v>
      </c>
      <c r="H665" s="28" t="s">
        <v>1857</v>
      </c>
      <c r="I665" s="28">
        <v>41.304952</v>
      </c>
      <c r="J665" s="28">
        <v>-88.561650999999998</v>
      </c>
      <c r="K665" s="28" t="s">
        <v>720</v>
      </c>
      <c r="L665" s="61">
        <v>110000433022</v>
      </c>
      <c r="M665" s="28" t="s">
        <v>265</v>
      </c>
      <c r="N665" s="28">
        <v>2821</v>
      </c>
      <c r="O665" s="28" t="str">
        <f>IFERROR(VLOOKUP(N665, 'SIC &amp; NAICS Codes'!A:B, 2, FALSE), "")</f>
        <v>Plastics Materials, Synthetic and Resins, and Nonvulcanizable Elastomers</v>
      </c>
      <c r="S665" s="28">
        <v>1.938807E-2</v>
      </c>
      <c r="T665" s="315">
        <f>_xlfn.MAXIFS('Raw Period DMR Data'!$O:$O,'Raw Period DMR Data'!$A:$A,'Raw Annual DMR Data_2021-2024'!#REF!,'Raw Period DMR Data'!$C:$C,X665)/S665</f>
        <v>0</v>
      </c>
      <c r="U665" s="28" t="str">
        <f>+IF(COUNTIFS('Raw Period DMR Data'!$A:$A,B665,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65" s="28" t="str" cm="1">
        <f t="array" ref="V665">IFERROR(INDEX('Raw Period DMR Data'!N:N,MATCH(1,(B665='Raw Period DMR Data'!$A:$A)*(U665='Raw Period DMR Data'!M:M)*(X665='Raw Period DMR Data'!C:C),0),1), "N/A")</f>
        <v>N/A</v>
      </c>
      <c r="W665" s="28" t="s">
        <v>1463</v>
      </c>
      <c r="X665" s="28" t="s">
        <v>1858</v>
      </c>
      <c r="Y665" s="28" t="s">
        <v>1859</v>
      </c>
      <c r="Z665" s="61">
        <v>7120005000124</v>
      </c>
      <c r="AA665" s="60"/>
      <c r="AB665" s="28" t="s">
        <v>7355</v>
      </c>
      <c r="AC665" s="28" t="s">
        <v>1466</v>
      </c>
    </row>
    <row r="666" spans="1:29" s="28" customFormat="1" x14ac:dyDescent="0.25">
      <c r="A666" s="61">
        <v>110000433022</v>
      </c>
      <c r="B666" s="28">
        <v>2023</v>
      </c>
      <c r="C666" s="68">
        <f t="shared" si="10"/>
        <v>44927</v>
      </c>
      <c r="D666" s="28" t="s">
        <v>1160</v>
      </c>
      <c r="E666" s="28" t="s">
        <v>1856</v>
      </c>
      <c r="F666" s="28" t="s">
        <v>1103</v>
      </c>
      <c r="G666" s="28" t="s">
        <v>345</v>
      </c>
      <c r="H666" s="28" t="s">
        <v>1857</v>
      </c>
      <c r="I666" s="28">
        <v>41.304952</v>
      </c>
      <c r="J666" s="28">
        <v>-88.561650999999998</v>
      </c>
      <c r="K666" s="28" t="s">
        <v>720</v>
      </c>
      <c r="L666" s="61">
        <v>110000433022</v>
      </c>
      <c r="M666" s="28" t="s">
        <v>265</v>
      </c>
      <c r="N666" s="28">
        <v>2821</v>
      </c>
      <c r="O666" s="28" t="str">
        <f>IFERROR(VLOOKUP(N666, 'SIC &amp; NAICS Codes'!A:B, 2, FALSE), "")</f>
        <v>Plastics Materials, Synthetic and Resins, and Nonvulcanizable Elastomers</v>
      </c>
      <c r="S666" s="28">
        <v>2.0630894999999999E-3</v>
      </c>
      <c r="T666" s="315">
        <f>_xlfn.MAXIFS('Raw Period DMR Data'!$O:$O,'Raw Period DMR Data'!$A:$A,'Raw Annual DMR Data_2021-2024'!#REF!,'Raw Period DMR Data'!$C:$C,X666)/S666</f>
        <v>0</v>
      </c>
      <c r="U666" s="28" t="str">
        <f>+IF(COUNTIFS('Raw Period DMR Data'!$A:$A,B666,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66" s="28" t="str" cm="1">
        <f t="array" ref="V666">IFERROR(INDEX('Raw Period DMR Data'!N:N,MATCH(1,(B666='Raw Period DMR Data'!$A:$A)*(U666='Raw Period DMR Data'!M:M)*(X666='Raw Period DMR Data'!C:C),0),1), "N/A")</f>
        <v>N/A</v>
      </c>
      <c r="W666" s="28" t="s">
        <v>1463</v>
      </c>
      <c r="X666" s="28" t="s">
        <v>1858</v>
      </c>
      <c r="Y666" s="28" t="s">
        <v>1859</v>
      </c>
      <c r="Z666" s="61" t="s">
        <v>1860</v>
      </c>
      <c r="AA666" s="60"/>
      <c r="AB666" s="28" t="s">
        <v>7355</v>
      </c>
      <c r="AC666" s="28" t="s">
        <v>1466</v>
      </c>
    </row>
    <row r="667" spans="1:29" s="28" customFormat="1" x14ac:dyDescent="0.25">
      <c r="A667" s="61">
        <v>110037274133</v>
      </c>
      <c r="B667" s="28">
        <v>2021</v>
      </c>
      <c r="C667" s="68">
        <f t="shared" si="10"/>
        <v>44197</v>
      </c>
      <c r="D667" s="28" t="s">
        <v>1176</v>
      </c>
      <c r="E667" s="28" t="s">
        <v>1891</v>
      </c>
      <c r="F667" s="28" t="s">
        <v>657</v>
      </c>
      <c r="G667" s="28" t="s">
        <v>418</v>
      </c>
      <c r="H667" s="28">
        <v>89169</v>
      </c>
      <c r="I667" s="28">
        <v>36.119079999999997</v>
      </c>
      <c r="J667" s="28">
        <v>-115.15727</v>
      </c>
      <c r="L667" s="61">
        <v>110037274133</v>
      </c>
      <c r="M667" s="28" t="s">
        <v>265</v>
      </c>
      <c r="N667" s="28">
        <v>6512</v>
      </c>
      <c r="O667" s="28" t="str">
        <f>IFERROR(VLOOKUP(N667, 'SIC &amp; NAICS Codes'!A:B, 2, FALSE), "")</f>
        <v>Operators of Nonresidential Buildings (except stadium and arena owners)</v>
      </c>
      <c r="S667" s="28">
        <v>6.4102759999999995E-4</v>
      </c>
      <c r="T667" s="315">
        <f>_xlfn.MAXIFS('Raw Period DMR Data'!$O:$O,'Raw Period DMR Data'!$A:$A,'Raw Annual DMR Data_2021-2024'!#REF!,'Raw Period DMR Data'!$C:$C,X667)/S667</f>
        <v>0</v>
      </c>
      <c r="U667" s="28" t="str">
        <f>+IF(COUNTIFS('Raw Period DMR Data'!$A:$A,B667,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67" s="28" t="str" cm="1">
        <f t="array" ref="V667">IFERROR(INDEX('Raw Period DMR Data'!N:N,MATCH(1,(B667='Raw Period DMR Data'!$A:$A)*(U667='Raw Period DMR Data'!M:M)*(X667='Raw Period DMR Data'!C:C),0),1), "N/A")</f>
        <v>N/A</v>
      </c>
      <c r="W667" s="28" t="s">
        <v>1463</v>
      </c>
      <c r="X667" s="28" t="s">
        <v>1892</v>
      </c>
      <c r="Y667" s="28" t="s">
        <v>1893</v>
      </c>
      <c r="Z667" s="61">
        <v>15010015000432</v>
      </c>
      <c r="AB667" s="28" t="s">
        <v>7355</v>
      </c>
      <c r="AC667" s="28" t="s">
        <v>1466</v>
      </c>
    </row>
    <row r="668" spans="1:29" s="28" customFormat="1" x14ac:dyDescent="0.25">
      <c r="A668" s="61">
        <v>110037274133</v>
      </c>
      <c r="B668" s="28">
        <v>2024</v>
      </c>
      <c r="C668" s="68">
        <f t="shared" si="10"/>
        <v>45292</v>
      </c>
      <c r="D668" s="28" t="s">
        <v>1176</v>
      </c>
      <c r="E668" s="28" t="s">
        <v>1891</v>
      </c>
      <c r="F668" s="28" t="s">
        <v>657</v>
      </c>
      <c r="G668" s="28" t="s">
        <v>418</v>
      </c>
      <c r="H668" s="28">
        <v>89169</v>
      </c>
      <c r="I668" s="28">
        <v>36.119079999999997</v>
      </c>
      <c r="J668" s="28">
        <v>-115.15727</v>
      </c>
      <c r="L668" s="61">
        <v>110037274133</v>
      </c>
      <c r="M668" s="28" t="s">
        <v>265</v>
      </c>
      <c r="N668" s="28">
        <v>6512</v>
      </c>
      <c r="O668" s="28" t="str">
        <f>IFERROR(VLOOKUP(N668, 'SIC &amp; NAICS Codes'!A:B, 2, FALSE), "")</f>
        <v>Operators of Nonresidential Buildings (except stadium and arena owners)</v>
      </c>
      <c r="S668" s="28">
        <v>1.4022478749999999E-4</v>
      </c>
      <c r="T668" s="315">
        <f>_xlfn.MAXIFS('Raw Period DMR Data'!$O:$O,'Raw Period DMR Data'!$A:$A,'Raw Annual DMR Data_2021-2024'!#REF!,'Raw Period DMR Data'!$C:$C,X668)/S668</f>
        <v>0</v>
      </c>
      <c r="U668" s="28" t="str">
        <f>+IF(COUNTIFS('Raw Period DMR Data'!$A:$A,B668,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68" s="28" t="str" cm="1">
        <f t="array" ref="V668">IFERROR(INDEX('Raw Period DMR Data'!N:N,MATCH(1,(B668='Raw Period DMR Data'!$A:$A)*(U668='Raw Period DMR Data'!M:M)*(X668='Raw Period DMR Data'!C:C),0),1), "N/A")</f>
        <v>N/A</v>
      </c>
      <c r="W668" s="28" t="s">
        <v>1463</v>
      </c>
      <c r="X668" s="28" t="s">
        <v>1892</v>
      </c>
      <c r="Y668" s="28" t="s">
        <v>1893</v>
      </c>
      <c r="Z668" s="61">
        <v>15010015000432</v>
      </c>
      <c r="AA668" s="60"/>
      <c r="AB668" s="28" t="s">
        <v>7355</v>
      </c>
      <c r="AC668" s="28" t="s">
        <v>1466</v>
      </c>
    </row>
    <row r="669" spans="1:29" s="28" customFormat="1" x14ac:dyDescent="0.25">
      <c r="A669" s="61">
        <v>110037274133</v>
      </c>
      <c r="B669" s="28">
        <v>2023</v>
      </c>
      <c r="C669" s="68">
        <f t="shared" si="10"/>
        <v>44927</v>
      </c>
      <c r="D669" s="28" t="s">
        <v>1176</v>
      </c>
      <c r="E669" s="28" t="s">
        <v>1891</v>
      </c>
      <c r="F669" s="28" t="s">
        <v>657</v>
      </c>
      <c r="G669" s="28" t="s">
        <v>418</v>
      </c>
      <c r="H669" s="28">
        <v>89169</v>
      </c>
      <c r="I669" s="28">
        <v>36.119079999999997</v>
      </c>
      <c r="J669" s="28">
        <v>-115.15727</v>
      </c>
      <c r="L669" s="61">
        <v>110037274133</v>
      </c>
      <c r="M669" s="28" t="s">
        <v>265</v>
      </c>
      <c r="N669" s="28">
        <v>6512</v>
      </c>
      <c r="O669" s="28" t="str">
        <f>IFERROR(VLOOKUP(N669, 'SIC &amp; NAICS Codes'!A:B, 2, FALSE), "")</f>
        <v>Operators of Nonresidential Buildings (except stadium and arena owners)</v>
      </c>
      <c r="S669" s="28">
        <v>2.0722875E-6</v>
      </c>
      <c r="T669" s="315">
        <f>_xlfn.MAXIFS('Raw Period DMR Data'!$O:$O,'Raw Period DMR Data'!$A:$A,'Raw Annual DMR Data_2021-2024'!#REF!,'Raw Period DMR Data'!$C:$C,X669)/S669</f>
        <v>0</v>
      </c>
      <c r="U669" s="28" t="str">
        <f>+IF(COUNTIFS('Raw Period DMR Data'!$A:$A,B669,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69" s="28" t="str" cm="1">
        <f t="array" ref="V669">IFERROR(INDEX('Raw Period DMR Data'!N:N,MATCH(1,(B669='Raw Period DMR Data'!$A:$A)*(U669='Raw Period DMR Data'!M:M)*(X669='Raw Period DMR Data'!C:C),0),1), "N/A")</f>
        <v>N/A</v>
      </c>
      <c r="W669" s="28" t="s">
        <v>1463</v>
      </c>
      <c r="X669" s="28" t="s">
        <v>1892</v>
      </c>
      <c r="Y669" s="28" t="s">
        <v>1893</v>
      </c>
      <c r="Z669" s="61">
        <v>15010015000432</v>
      </c>
      <c r="AA669" s="60"/>
      <c r="AB669" s="28" t="s">
        <v>7355</v>
      </c>
      <c r="AC669" s="28" t="s">
        <v>1466</v>
      </c>
    </row>
    <row r="670" spans="1:29" s="28" customFormat="1" x14ac:dyDescent="0.25">
      <c r="A670" s="61">
        <v>110037274133</v>
      </c>
      <c r="B670" s="28">
        <v>2022</v>
      </c>
      <c r="C670" s="68">
        <f t="shared" si="10"/>
        <v>44562</v>
      </c>
      <c r="D670" s="28" t="s">
        <v>1176</v>
      </c>
      <c r="E670" s="28" t="s">
        <v>1891</v>
      </c>
      <c r="F670" s="28" t="s">
        <v>657</v>
      </c>
      <c r="G670" s="28" t="s">
        <v>418</v>
      </c>
      <c r="H670" s="28">
        <v>89169</v>
      </c>
      <c r="I670" s="28">
        <v>36.119079999999997</v>
      </c>
      <c r="J670" s="28">
        <v>-115.15727</v>
      </c>
      <c r="L670" s="61">
        <v>110037274133</v>
      </c>
      <c r="M670" s="28" t="s">
        <v>265</v>
      </c>
      <c r="N670" s="28">
        <v>6512</v>
      </c>
      <c r="O670" s="28" t="str">
        <f>IFERROR(VLOOKUP(N670, 'SIC &amp; NAICS Codes'!A:B, 2, FALSE), "")</f>
        <v>Operators of Nonresidential Buildings (except stadium and arena owners)</v>
      </c>
      <c r="S670" s="28">
        <v>1.3815250000000001E-6</v>
      </c>
      <c r="T670" s="315">
        <f>_xlfn.MAXIFS('Raw Period DMR Data'!$O:$O,'Raw Period DMR Data'!$A:$A,'Raw Annual DMR Data_2021-2024'!#REF!,'Raw Period DMR Data'!$C:$C,X670)/S670</f>
        <v>0</v>
      </c>
      <c r="U670" s="28" t="str">
        <f>+IF(COUNTIFS('Raw Period DMR Data'!$A:$A,B670,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70" s="28" t="str" cm="1">
        <f t="array" ref="V670">IFERROR(INDEX('Raw Period DMR Data'!N:N,MATCH(1,(B670='Raw Period DMR Data'!$A:$A)*(U670='Raw Period DMR Data'!M:M)*(X670='Raw Period DMR Data'!C:C),0),1), "N/A")</f>
        <v>N/A</v>
      </c>
      <c r="W670" s="28" t="s">
        <v>1463</v>
      </c>
      <c r="X670" s="28" t="s">
        <v>1892</v>
      </c>
      <c r="Y670" s="28" t="s">
        <v>1893</v>
      </c>
      <c r="Z670" s="61">
        <v>15010015000432</v>
      </c>
      <c r="AA670" s="60"/>
      <c r="AB670" s="28" t="s">
        <v>7355</v>
      </c>
      <c r="AC670" s="28" t="s">
        <v>1466</v>
      </c>
    </row>
    <row r="671" spans="1:29" s="28" customFormat="1" x14ac:dyDescent="0.25">
      <c r="A671" s="61">
        <v>110024468128</v>
      </c>
      <c r="B671" s="28">
        <v>2023</v>
      </c>
      <c r="C671" s="68">
        <f t="shared" si="10"/>
        <v>44927</v>
      </c>
      <c r="D671" s="28" t="s">
        <v>1177</v>
      </c>
      <c r="E671" s="28" t="s">
        <v>1894</v>
      </c>
      <c r="F671" s="28" t="s">
        <v>1178</v>
      </c>
      <c r="G671" s="28" t="s">
        <v>308</v>
      </c>
      <c r="H671" s="28" t="s">
        <v>7106</v>
      </c>
      <c r="I671" s="28">
        <v>42.482259999999997</v>
      </c>
      <c r="J671" s="28">
        <v>-71.191800000000001</v>
      </c>
      <c r="L671" s="61">
        <v>110024468128</v>
      </c>
      <c r="M671" s="28" t="s">
        <v>265</v>
      </c>
      <c r="O671" s="28" t="str">
        <f>IFERROR(VLOOKUP(N671, 'SIC &amp; NAICS Codes'!A:B, 2, FALSE), "")</f>
        <v/>
      </c>
      <c r="S671" s="28">
        <v>3.3631958150000002E-2</v>
      </c>
      <c r="T671" s="315">
        <f>_xlfn.MAXIFS('Raw Period DMR Data'!$O:$O,'Raw Period DMR Data'!$A:$A,'Raw Annual DMR Data_2021-2024'!#REF!,'Raw Period DMR Data'!$C:$C,X671)/S671</f>
        <v>0</v>
      </c>
      <c r="U671" s="28" t="str">
        <f>+IF(COUNTIFS('Raw Period DMR Data'!$A:$A,B671,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71" s="28" t="str" cm="1">
        <f t="array" ref="V671">IFERROR(INDEX('Raw Period DMR Data'!N:N,MATCH(1,(B671='Raw Period DMR Data'!$A:$A)*(U671='Raw Period DMR Data'!M:M)*(X671='Raw Period DMR Data'!C:C),0),1), "N/A")</f>
        <v>N/A</v>
      </c>
      <c r="W671" s="28" t="s">
        <v>1463</v>
      </c>
      <c r="X671" s="28" t="s">
        <v>1895</v>
      </c>
      <c r="Y671" s="28" t="s">
        <v>1896</v>
      </c>
      <c r="Z671" s="61" t="s">
        <v>7353</v>
      </c>
      <c r="AA671" s="60"/>
      <c r="AB671" s="28" t="s">
        <v>7355</v>
      </c>
      <c r="AC671" s="28" t="s">
        <v>1466</v>
      </c>
    </row>
    <row r="672" spans="1:29" s="28" customFormat="1" x14ac:dyDescent="0.25">
      <c r="A672" s="61">
        <v>110024468128</v>
      </c>
      <c r="B672" s="28">
        <v>2021</v>
      </c>
      <c r="C672" s="68">
        <f t="shared" si="10"/>
        <v>44197</v>
      </c>
      <c r="D672" s="28" t="s">
        <v>1177</v>
      </c>
      <c r="E672" s="28" t="s">
        <v>1894</v>
      </c>
      <c r="F672" s="28" t="s">
        <v>1178</v>
      </c>
      <c r="G672" s="28" t="s">
        <v>308</v>
      </c>
      <c r="H672" s="28">
        <v>1803</v>
      </c>
      <c r="I672" s="28">
        <v>42.482259999999997</v>
      </c>
      <c r="J672" s="28">
        <v>-71.191800000000001</v>
      </c>
      <c r="L672" s="61">
        <v>110024468128</v>
      </c>
      <c r="M672" s="28" t="s">
        <v>265</v>
      </c>
      <c r="O672" s="28" t="str">
        <f>IFERROR(VLOOKUP(N672, 'SIC &amp; NAICS Codes'!A:B, 2, FALSE), "")</f>
        <v/>
      </c>
      <c r="S672" s="28">
        <v>2.9705172049999999E-2</v>
      </c>
      <c r="T672" s="315">
        <f>_xlfn.MAXIFS('Raw Period DMR Data'!$O:$O,'Raw Period DMR Data'!$A:$A,'Raw Annual DMR Data_2021-2024'!#REF!,'Raw Period DMR Data'!$C:$C,X672)/S672</f>
        <v>0</v>
      </c>
      <c r="U672" s="28" t="str">
        <f>+IF(COUNTIFS('Raw Period DMR Data'!$A:$A,B672,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72" s="28" t="str" cm="1">
        <f t="array" ref="V672">IFERROR(INDEX('Raw Period DMR Data'!N:N,MATCH(1,(B672='Raw Period DMR Data'!$A:$A)*(U672='Raw Period DMR Data'!M:M)*(X672='Raw Period DMR Data'!C:C),0),1), "N/A")</f>
        <v>N/A</v>
      </c>
      <c r="W672" s="28" t="s">
        <v>1463</v>
      </c>
      <c r="X672" s="28" t="s">
        <v>1895</v>
      </c>
      <c r="Y672" s="28" t="s">
        <v>1896</v>
      </c>
      <c r="Z672" s="61">
        <v>1070006000619</v>
      </c>
      <c r="AB672" s="28" t="s">
        <v>7355</v>
      </c>
      <c r="AC672" s="28" t="s">
        <v>1466</v>
      </c>
    </row>
    <row r="673" spans="1:29" s="28" customFormat="1" x14ac:dyDescent="0.25">
      <c r="A673" s="61">
        <v>110024468128</v>
      </c>
      <c r="B673" s="28">
        <v>2022</v>
      </c>
      <c r="C673" s="68">
        <f t="shared" si="10"/>
        <v>44562</v>
      </c>
      <c r="D673" s="28" t="s">
        <v>1177</v>
      </c>
      <c r="E673" s="28" t="s">
        <v>1894</v>
      </c>
      <c r="F673" s="28" t="s">
        <v>1178</v>
      </c>
      <c r="G673" s="28" t="s">
        <v>308</v>
      </c>
      <c r="H673" s="28">
        <v>1803</v>
      </c>
      <c r="I673" s="28">
        <v>42.482259999999997</v>
      </c>
      <c r="J673" s="28">
        <v>-71.191800000000001</v>
      </c>
      <c r="L673" s="61">
        <v>110024468128</v>
      </c>
      <c r="M673" s="28" t="s">
        <v>265</v>
      </c>
      <c r="O673" s="28" t="str">
        <f>IFERROR(VLOOKUP(N673, 'SIC &amp; NAICS Codes'!A:B, 2, FALSE), "")</f>
        <v/>
      </c>
      <c r="S673" s="28">
        <v>2.9415241049999999E-2</v>
      </c>
      <c r="T673" s="315">
        <f>_xlfn.MAXIFS('Raw Period DMR Data'!$O:$O,'Raw Period DMR Data'!$A:$A,'Raw Annual DMR Data_2021-2024'!#REF!,'Raw Period DMR Data'!$C:$C,X673)/S673</f>
        <v>0</v>
      </c>
      <c r="U673" s="28" t="str">
        <f>+IF(COUNTIFS('Raw Period DMR Data'!$A:$A,B673,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73" s="28" t="str" cm="1">
        <f t="array" ref="V673">IFERROR(INDEX('Raw Period DMR Data'!N:N,MATCH(1,(B673='Raw Period DMR Data'!$A:$A)*(U673='Raw Period DMR Data'!M:M)*(X673='Raw Period DMR Data'!C:C),0),1), "N/A")</f>
        <v>N/A</v>
      </c>
      <c r="W673" s="28" t="s">
        <v>1463</v>
      </c>
      <c r="X673" s="28" t="s">
        <v>1895</v>
      </c>
      <c r="Y673" s="28" t="s">
        <v>1896</v>
      </c>
      <c r="Z673" s="61">
        <v>1070006000619</v>
      </c>
      <c r="AA673" s="60"/>
      <c r="AB673" s="28" t="s">
        <v>7355</v>
      </c>
      <c r="AC673" s="28" t="s">
        <v>1466</v>
      </c>
    </row>
    <row r="674" spans="1:29" s="28" customFormat="1" x14ac:dyDescent="0.25">
      <c r="A674" s="61">
        <v>110018199377</v>
      </c>
      <c r="B674" s="28">
        <v>2021</v>
      </c>
      <c r="C674" s="68">
        <f t="shared" si="10"/>
        <v>44197</v>
      </c>
      <c r="D674" s="28" t="s">
        <v>1181</v>
      </c>
      <c r="E674" s="28" t="s">
        <v>1903</v>
      </c>
      <c r="F674" s="28" t="s">
        <v>1182</v>
      </c>
      <c r="G674" s="28" t="s">
        <v>345</v>
      </c>
      <c r="H674" s="28">
        <v>60439</v>
      </c>
      <c r="I674" s="28">
        <v>41.692782000000001</v>
      </c>
      <c r="J674" s="28">
        <v>-87.951100999999994</v>
      </c>
      <c r="L674" s="61">
        <v>110018199377</v>
      </c>
      <c r="M674" s="28" t="s">
        <v>265</v>
      </c>
      <c r="N674" s="28">
        <v>4226</v>
      </c>
      <c r="O674" s="28" t="str">
        <f>IFERROR(VLOOKUP(N674, 'SIC &amp; NAICS Codes'!A:B, 2, FALSE), "")</f>
        <v>Special Warehousing and Storage, NEC (warehousing in foreign trade zones)</v>
      </c>
      <c r="S674" s="28">
        <v>427.35197305000003</v>
      </c>
      <c r="T674" s="315">
        <f>_xlfn.MAXIFS('Raw Period DMR Data'!$O:$O,'Raw Period DMR Data'!$A:$A,'Raw Annual DMR Data_2021-2024'!B853,'Raw Period DMR Data'!$C:$C,X674)/S674</f>
        <v>0</v>
      </c>
      <c r="U674" s="28" t="str">
        <f>+IF(COUNTIFS('Raw Period DMR Data'!$A:$A,B674, 'Raw Period DMR Data'!C:C,'Raw Annual DMR Data_2021-2024'!X853, 'Raw Period DMR Data'!M:M, "&gt;0")&gt;0,_xlfn.MAXIFS('Raw Period DMR Data'!M:M,'Raw Period DMR Data'!$A:$A,'Raw Annual DMR Data_2021-2024'!B853,'Raw Period DMR Data'!C:C,'Raw Annual DMR Data_2021-2024'!X853), "N/A - Period DMR Data Not Available")</f>
        <v>N/A - Period DMR Data Not Available</v>
      </c>
      <c r="V674" s="28" t="str" cm="1">
        <f t="array" ref="V674">IFERROR(INDEX('Raw Period DMR Data'!N:N,MATCH(1,(B674='Raw Period DMR Data'!$A:$A)*(U674='Raw Period DMR Data'!M:M)*(X674='Raw Period DMR Data'!C:C),0),1), "N/A")</f>
        <v>N/A</v>
      </c>
      <c r="W674" s="28" t="s">
        <v>1463</v>
      </c>
      <c r="X674" s="28" t="s">
        <v>1904</v>
      </c>
      <c r="Y674" s="28" t="s">
        <v>1905</v>
      </c>
      <c r="Z674" s="61">
        <v>7120004000954</v>
      </c>
      <c r="AA674" s="28" t="s">
        <v>7355</v>
      </c>
      <c r="AB674" s="28" t="s">
        <v>7355</v>
      </c>
      <c r="AC674" s="28" t="s">
        <v>1466</v>
      </c>
    </row>
    <row r="675" spans="1:29" s="28" customFormat="1" x14ac:dyDescent="0.25">
      <c r="A675" s="61">
        <v>110018199377</v>
      </c>
      <c r="B675" s="28">
        <v>2024</v>
      </c>
      <c r="C675" s="68">
        <f t="shared" si="10"/>
        <v>45292</v>
      </c>
      <c r="D675" s="28" t="s">
        <v>1181</v>
      </c>
      <c r="E675" s="28" t="s">
        <v>1903</v>
      </c>
      <c r="F675" s="28" t="s">
        <v>1182</v>
      </c>
      <c r="G675" s="28" t="s">
        <v>345</v>
      </c>
      <c r="H675" s="28">
        <v>60439</v>
      </c>
      <c r="I675" s="28">
        <v>41.692782000000001</v>
      </c>
      <c r="J675" s="28">
        <v>-87.951100999999994</v>
      </c>
      <c r="L675" s="61">
        <v>110018199377</v>
      </c>
      <c r="M675" s="28" t="s">
        <v>265</v>
      </c>
      <c r="N675" s="28">
        <v>4226</v>
      </c>
      <c r="O675" s="28" t="str">
        <f>IFERROR(VLOOKUP(N675, 'SIC &amp; NAICS Codes'!A:B, 2, FALSE), "")</f>
        <v>Special Warehousing and Storage, NEC (warehousing in foreign trade zones)</v>
      </c>
      <c r="S675" s="28">
        <v>1.2569984999999999</v>
      </c>
      <c r="T675" s="315">
        <f>_xlfn.MAXIFS('Raw Period DMR Data'!$O:$O,'Raw Period DMR Data'!$A:$A,'Raw Annual DMR Data_2021-2024'!#REF!,'Raw Period DMR Data'!$C:$C,X675)/S675</f>
        <v>0</v>
      </c>
      <c r="U675" s="28" t="str">
        <f>+IF(COUNTIFS('Raw Period DMR Data'!$A:$A,B675,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75" s="28" t="str" cm="1">
        <f t="array" ref="V675">IFERROR(INDEX('Raw Period DMR Data'!N:N,MATCH(1,(B675='Raw Period DMR Data'!$A:$A)*(U675='Raw Period DMR Data'!M:M)*(X675='Raw Period DMR Data'!C:C),0),1), "N/A")</f>
        <v>N/A</v>
      </c>
      <c r="W675" s="28" t="s">
        <v>1463</v>
      </c>
      <c r="X675" s="28" t="s">
        <v>1904</v>
      </c>
      <c r="Y675" s="28" t="s">
        <v>1905</v>
      </c>
      <c r="Z675" s="61">
        <v>7120004000954</v>
      </c>
      <c r="AA675" s="60"/>
      <c r="AB675" s="28" t="s">
        <v>7355</v>
      </c>
      <c r="AC675" s="28" t="s">
        <v>1466</v>
      </c>
    </row>
    <row r="676" spans="1:29" s="28" customFormat="1" x14ac:dyDescent="0.25">
      <c r="A676" s="61">
        <v>110018199377</v>
      </c>
      <c r="B676" s="28">
        <v>2022</v>
      </c>
      <c r="C676" s="68">
        <f t="shared" si="10"/>
        <v>44562</v>
      </c>
      <c r="D676" s="28" t="s">
        <v>1181</v>
      </c>
      <c r="E676" s="28" t="s">
        <v>1903</v>
      </c>
      <c r="F676" s="28" t="s">
        <v>1182</v>
      </c>
      <c r="G676" s="28" t="s">
        <v>345</v>
      </c>
      <c r="H676" s="28">
        <v>60439</v>
      </c>
      <c r="I676" s="28">
        <v>41.692782000000001</v>
      </c>
      <c r="J676" s="28">
        <v>-87.951100999999994</v>
      </c>
      <c r="L676" s="61">
        <v>110018199377</v>
      </c>
      <c r="M676" s="28" t="s">
        <v>265</v>
      </c>
      <c r="N676" s="28">
        <v>4226</v>
      </c>
      <c r="O676" s="28" t="str">
        <f>IFERROR(VLOOKUP(N676, 'SIC &amp; NAICS Codes'!A:B, 2, FALSE), "")</f>
        <v>Special Warehousing and Storage, NEC (warehousing in foreign trade zones)</v>
      </c>
      <c r="S676" s="28">
        <v>1.23372075</v>
      </c>
      <c r="T676" s="315">
        <f>_xlfn.MAXIFS('Raw Period DMR Data'!$O:$O,'Raw Period DMR Data'!$A:$A,'Raw Annual DMR Data_2021-2024'!#REF!,'Raw Period DMR Data'!$C:$C,X676)/S676</f>
        <v>0</v>
      </c>
      <c r="U676" s="28" t="str">
        <f>+IF(COUNTIFS('Raw Period DMR Data'!$A:$A,B676,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76" s="28" t="str" cm="1">
        <f t="array" ref="V676">IFERROR(INDEX('Raw Period DMR Data'!N:N,MATCH(1,(B676='Raw Period DMR Data'!$A:$A)*(U676='Raw Period DMR Data'!M:M)*(X676='Raw Period DMR Data'!C:C),0),1), "N/A")</f>
        <v>N/A</v>
      </c>
      <c r="W676" s="28" t="s">
        <v>1463</v>
      </c>
      <c r="X676" s="28" t="s">
        <v>1904</v>
      </c>
      <c r="Y676" s="28" t="s">
        <v>1905</v>
      </c>
      <c r="Z676" s="61">
        <v>7120004000954</v>
      </c>
      <c r="AA676" s="60"/>
      <c r="AB676" s="28" t="s">
        <v>7355</v>
      </c>
      <c r="AC676" s="28" t="s">
        <v>1466</v>
      </c>
    </row>
    <row r="677" spans="1:29" s="28" customFormat="1" x14ac:dyDescent="0.25">
      <c r="A677" s="61">
        <v>110018199377</v>
      </c>
      <c r="B677" s="28">
        <v>2023</v>
      </c>
      <c r="C677" s="68">
        <f t="shared" si="10"/>
        <v>44927</v>
      </c>
      <c r="D677" s="28" t="s">
        <v>1181</v>
      </c>
      <c r="E677" s="28" t="s">
        <v>1903</v>
      </c>
      <c r="F677" s="28" t="s">
        <v>1182</v>
      </c>
      <c r="G677" s="28" t="s">
        <v>345</v>
      </c>
      <c r="H677" s="28">
        <v>60439</v>
      </c>
      <c r="I677" s="28">
        <v>41.692782000000001</v>
      </c>
      <c r="J677" s="28">
        <v>-87.951100999999994</v>
      </c>
      <c r="L677" s="61">
        <v>110018199377</v>
      </c>
      <c r="M677" s="28" t="s">
        <v>265</v>
      </c>
      <c r="N677" s="28">
        <v>4226</v>
      </c>
      <c r="O677" s="28" t="str">
        <f>IFERROR(VLOOKUP(N677, 'SIC &amp; NAICS Codes'!A:B, 2, FALSE), "")</f>
        <v>Special Warehousing and Storage, NEC (warehousing in foreign trade zones)</v>
      </c>
      <c r="S677" s="28">
        <v>0.97568783749999999</v>
      </c>
      <c r="T677" s="315">
        <f>_xlfn.MAXIFS('Raw Period DMR Data'!$O:$O,'Raw Period DMR Data'!$A:$A,'Raw Annual DMR Data_2021-2024'!#REF!,'Raw Period DMR Data'!$C:$C,X677)/S677</f>
        <v>0</v>
      </c>
      <c r="U677" s="28" t="str">
        <f>+IF(COUNTIFS('Raw Period DMR Data'!$A:$A,B677,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77" s="28" t="str" cm="1">
        <f t="array" ref="V677">IFERROR(INDEX('Raw Period DMR Data'!N:N,MATCH(1,(B677='Raw Period DMR Data'!$A:$A)*(U677='Raw Period DMR Data'!M:M)*(X677='Raw Period DMR Data'!C:C),0),1), "N/A")</f>
        <v>N/A</v>
      </c>
      <c r="W677" s="28" t="s">
        <v>1463</v>
      </c>
      <c r="X677" s="28" t="s">
        <v>1904</v>
      </c>
      <c r="Y677" s="28" t="s">
        <v>1905</v>
      </c>
      <c r="Z677" s="61" t="s">
        <v>1906</v>
      </c>
      <c r="AA677" s="60"/>
      <c r="AB677" s="28" t="s">
        <v>7355</v>
      </c>
      <c r="AC677" s="28" t="s">
        <v>1466</v>
      </c>
    </row>
    <row r="678" spans="1:29" s="28" customFormat="1" x14ac:dyDescent="0.25">
      <c r="A678" s="61">
        <v>110018199377</v>
      </c>
      <c r="B678" s="28">
        <v>2024</v>
      </c>
      <c r="C678" s="68">
        <f t="shared" si="10"/>
        <v>45292</v>
      </c>
      <c r="D678" s="28" t="s">
        <v>1181</v>
      </c>
      <c r="E678" s="28" t="s">
        <v>1903</v>
      </c>
      <c r="F678" s="28" t="s">
        <v>1182</v>
      </c>
      <c r="G678" s="28" t="s">
        <v>345</v>
      </c>
      <c r="H678" s="28">
        <v>60439</v>
      </c>
      <c r="I678" s="28">
        <v>41.692782000000001</v>
      </c>
      <c r="J678" s="28">
        <v>-87.951100999999994</v>
      </c>
      <c r="L678" s="61">
        <v>110018199377</v>
      </c>
      <c r="M678" s="28" t="s">
        <v>265</v>
      </c>
      <c r="N678" s="28">
        <v>4226</v>
      </c>
      <c r="O678" s="28" t="str">
        <f>IFERROR(VLOOKUP(N678, 'SIC &amp; NAICS Codes'!A:B, 2, FALSE), "")</f>
        <v>Special Warehousing and Storage, NEC (warehousing in foreign trade zones)</v>
      </c>
      <c r="S678" s="28">
        <v>0.10276275</v>
      </c>
      <c r="T678" s="315">
        <f>_xlfn.MAXIFS('Raw Period DMR Data'!$O:$O,'Raw Period DMR Data'!$A:$A,'Raw Annual DMR Data_2021-2024'!#REF!,'Raw Period DMR Data'!$C:$C,X678)/S678</f>
        <v>0</v>
      </c>
      <c r="U678" s="28" t="str">
        <f>+IF(COUNTIFS('Raw Period DMR Data'!$A:$A,B678,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78" s="28" t="str" cm="1">
        <f t="array" ref="V678">IFERROR(INDEX('Raw Period DMR Data'!N:N,MATCH(1,(B678='Raw Period DMR Data'!$A:$A)*(U678='Raw Period DMR Data'!M:M)*(X678='Raw Period DMR Data'!C:C),0),1), "N/A")</f>
        <v>N/A</v>
      </c>
      <c r="W678" s="28" t="s">
        <v>1463</v>
      </c>
      <c r="X678" s="28" t="s">
        <v>1904</v>
      </c>
      <c r="Y678" s="28" t="s">
        <v>1905</v>
      </c>
      <c r="Z678" s="61">
        <v>7120004000954</v>
      </c>
      <c r="AA678" s="60"/>
      <c r="AB678" s="28" t="s">
        <v>7355</v>
      </c>
      <c r="AC678" s="28" t="s">
        <v>1466</v>
      </c>
    </row>
    <row r="679" spans="1:29" s="28" customFormat="1" x14ac:dyDescent="0.25">
      <c r="A679" s="61">
        <v>110018199377</v>
      </c>
      <c r="B679" s="28">
        <v>2023</v>
      </c>
      <c r="C679" s="68">
        <f t="shared" si="10"/>
        <v>44927</v>
      </c>
      <c r="D679" s="28" t="s">
        <v>1181</v>
      </c>
      <c r="E679" s="28" t="s">
        <v>1903</v>
      </c>
      <c r="F679" s="28" t="s">
        <v>1182</v>
      </c>
      <c r="G679" s="28" t="s">
        <v>345</v>
      </c>
      <c r="H679" s="28">
        <v>60439</v>
      </c>
      <c r="I679" s="28">
        <v>41.692782000000001</v>
      </c>
      <c r="J679" s="28">
        <v>-87.951100999999994</v>
      </c>
      <c r="L679" s="61">
        <v>110018199377</v>
      </c>
      <c r="M679" s="28" t="s">
        <v>265</v>
      </c>
      <c r="N679" s="28">
        <v>4226</v>
      </c>
      <c r="O679" s="28" t="str">
        <f>IFERROR(VLOOKUP(N679, 'SIC &amp; NAICS Codes'!A:B, 2, FALSE), "")</f>
        <v>Special Warehousing and Storage, NEC (warehousing in foreign trade zones)</v>
      </c>
      <c r="S679" s="28">
        <v>0.10041605000000001</v>
      </c>
      <c r="T679" s="315">
        <f>_xlfn.MAXIFS('Raw Period DMR Data'!$O:$O,'Raw Period DMR Data'!$A:$A,'Raw Annual DMR Data_2021-2024'!#REF!,'Raw Period DMR Data'!$C:$C,X679)/S679</f>
        <v>0</v>
      </c>
      <c r="U679" s="28" t="str">
        <f>+IF(COUNTIFS('Raw Period DMR Data'!$A:$A,B679,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79" s="28" t="str" cm="1">
        <f t="array" ref="V679">IFERROR(INDEX('Raw Period DMR Data'!N:N,MATCH(1,(B679='Raw Period DMR Data'!$A:$A)*(U679='Raw Period DMR Data'!M:M)*(X679='Raw Period DMR Data'!C:C),0),1), "N/A")</f>
        <v>N/A</v>
      </c>
      <c r="W679" s="28" t="s">
        <v>1463</v>
      </c>
      <c r="X679" s="28" t="s">
        <v>1904</v>
      </c>
      <c r="Y679" s="28" t="s">
        <v>1905</v>
      </c>
      <c r="Z679" s="61" t="s">
        <v>1906</v>
      </c>
      <c r="AA679" s="60"/>
      <c r="AB679" s="28" t="s">
        <v>7355</v>
      </c>
      <c r="AC679" s="28" t="s">
        <v>1466</v>
      </c>
    </row>
    <row r="680" spans="1:29" s="28" customFormat="1" x14ac:dyDescent="0.25">
      <c r="A680" s="61">
        <v>110018199377</v>
      </c>
      <c r="B680" s="28">
        <v>2022</v>
      </c>
      <c r="C680" s="68">
        <f t="shared" si="10"/>
        <v>44562</v>
      </c>
      <c r="D680" s="28" t="s">
        <v>1181</v>
      </c>
      <c r="E680" s="28" t="s">
        <v>1903</v>
      </c>
      <c r="F680" s="28" t="s">
        <v>1182</v>
      </c>
      <c r="G680" s="28" t="s">
        <v>345</v>
      </c>
      <c r="H680" s="28">
        <v>60439</v>
      </c>
      <c r="I680" s="28">
        <v>41.692782000000001</v>
      </c>
      <c r="J680" s="28">
        <v>-87.951100999999994</v>
      </c>
      <c r="L680" s="61">
        <v>110018199377</v>
      </c>
      <c r="M680" s="28" t="s">
        <v>265</v>
      </c>
      <c r="N680" s="28">
        <v>4226</v>
      </c>
      <c r="O680" s="28" t="str">
        <f>IFERROR(VLOOKUP(N680, 'SIC &amp; NAICS Codes'!A:B, 2, FALSE), "")</f>
        <v>Special Warehousing and Storage, NEC (warehousing in foreign trade zones)</v>
      </c>
      <c r="S680" s="28">
        <v>9.8362687500000004E-2</v>
      </c>
      <c r="T680" s="315">
        <f>_xlfn.MAXIFS('Raw Period DMR Data'!$O:$O,'Raw Period DMR Data'!$A:$A,'Raw Annual DMR Data_2021-2024'!#REF!,'Raw Period DMR Data'!$C:$C,X680)/S680</f>
        <v>0</v>
      </c>
      <c r="U680" s="28" t="str">
        <f>+IF(COUNTIFS('Raw Period DMR Data'!$A:$A,B680,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80" s="28" t="str" cm="1">
        <f t="array" ref="V680">IFERROR(INDEX('Raw Period DMR Data'!N:N,MATCH(1,(B680='Raw Period DMR Data'!$A:$A)*(U680='Raw Period DMR Data'!M:M)*(X680='Raw Period DMR Data'!C:C),0),1), "N/A")</f>
        <v>N/A</v>
      </c>
      <c r="W680" s="28" t="s">
        <v>1463</v>
      </c>
      <c r="X680" s="28" t="s">
        <v>1904</v>
      </c>
      <c r="Y680" s="28" t="s">
        <v>1905</v>
      </c>
      <c r="Z680" s="61">
        <v>7120004000954</v>
      </c>
      <c r="AA680" s="60"/>
      <c r="AB680" s="28" t="s">
        <v>7355</v>
      </c>
      <c r="AC680" s="28" t="s">
        <v>1466</v>
      </c>
    </row>
    <row r="681" spans="1:29" s="28" customFormat="1" x14ac:dyDescent="0.25">
      <c r="A681" s="61">
        <v>110018199377</v>
      </c>
      <c r="B681" s="28">
        <v>2021</v>
      </c>
      <c r="C681" s="68">
        <f t="shared" si="10"/>
        <v>44197</v>
      </c>
      <c r="D681" s="28" t="s">
        <v>1181</v>
      </c>
      <c r="E681" s="28" t="s">
        <v>1903</v>
      </c>
      <c r="F681" s="28" t="s">
        <v>1182</v>
      </c>
      <c r="G681" s="28" t="s">
        <v>345</v>
      </c>
      <c r="H681" s="28">
        <v>60439</v>
      </c>
      <c r="I681" s="28">
        <v>41.692782000000001</v>
      </c>
      <c r="J681" s="28">
        <v>-87.951100999999994</v>
      </c>
      <c r="L681" s="61">
        <v>110018199377</v>
      </c>
      <c r="M681" s="28" t="s">
        <v>265</v>
      </c>
      <c r="N681" s="28">
        <v>4226</v>
      </c>
      <c r="O681" s="28" t="str">
        <f>IFERROR(VLOOKUP(N681, 'SIC &amp; NAICS Codes'!A:B, 2, FALSE), "")</f>
        <v>Special Warehousing and Storage, NEC (warehousing in foreign trade zones)</v>
      </c>
      <c r="S681" s="28">
        <v>9.6706749999999994E-2</v>
      </c>
      <c r="T681" s="315">
        <f>_xlfn.MAXIFS('Raw Period DMR Data'!$O:$O,'Raw Period DMR Data'!$A:$A,'Raw Annual DMR Data_2021-2024'!#REF!,'Raw Period DMR Data'!$C:$C,X681)/S681</f>
        <v>0</v>
      </c>
      <c r="U681" s="28" t="str">
        <f>+IF(COUNTIFS('Raw Period DMR Data'!$A:$A,B681,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81" s="28" t="str" cm="1">
        <f t="array" ref="V681">IFERROR(INDEX('Raw Period DMR Data'!N:N,MATCH(1,(B681='Raw Period DMR Data'!$A:$A)*(U681='Raw Period DMR Data'!M:M)*(X681='Raw Period DMR Data'!C:C),0),1), "N/A")</f>
        <v>N/A</v>
      </c>
      <c r="W681" s="28" t="s">
        <v>1463</v>
      </c>
      <c r="X681" s="28" t="s">
        <v>1904</v>
      </c>
      <c r="Y681" s="28" t="s">
        <v>1905</v>
      </c>
      <c r="Z681" s="61">
        <v>7120004000954</v>
      </c>
      <c r="AA681" s="60"/>
      <c r="AB681" s="28" t="s">
        <v>7355</v>
      </c>
      <c r="AC681" s="28" t="s">
        <v>1466</v>
      </c>
    </row>
    <row r="682" spans="1:29" s="28" customFormat="1" x14ac:dyDescent="0.25">
      <c r="A682" s="61">
        <v>110018199377</v>
      </c>
      <c r="B682" s="28">
        <v>2023</v>
      </c>
      <c r="C682" s="68">
        <f t="shared" si="10"/>
        <v>44927</v>
      </c>
      <c r="D682" s="28" t="s">
        <v>1181</v>
      </c>
      <c r="E682" s="28" t="s">
        <v>1903</v>
      </c>
      <c r="F682" s="28" t="s">
        <v>1182</v>
      </c>
      <c r="G682" s="28" t="s">
        <v>345</v>
      </c>
      <c r="H682" s="28">
        <v>60439</v>
      </c>
      <c r="I682" s="28">
        <v>41.692782000000001</v>
      </c>
      <c r="J682" s="28">
        <v>-87.951100999999994</v>
      </c>
      <c r="L682" s="61">
        <v>110018199377</v>
      </c>
      <c r="M682" s="28" t="s">
        <v>265</v>
      </c>
      <c r="N682" s="28">
        <v>4226</v>
      </c>
      <c r="O682" s="28" t="str">
        <f>IFERROR(VLOOKUP(N682, 'SIC &amp; NAICS Codes'!A:B, 2, FALSE), "")</f>
        <v>Special Warehousing and Storage, NEC (warehousing in foreign trade zones)</v>
      </c>
      <c r="S682" s="28">
        <v>7.9437687500000007E-2</v>
      </c>
      <c r="T682" s="315">
        <f>_xlfn.MAXIFS('Raw Period DMR Data'!$O:$O,'Raw Period DMR Data'!$A:$A,'Raw Annual DMR Data_2021-2024'!#REF!,'Raw Period DMR Data'!$C:$C,X682)/S682</f>
        <v>0</v>
      </c>
      <c r="U682" s="28" t="str">
        <f>+IF(COUNTIFS('Raw Period DMR Data'!$A:$A,B682,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82" s="28" t="str" cm="1">
        <f t="array" ref="V682">IFERROR(INDEX('Raw Period DMR Data'!N:N,MATCH(1,(B682='Raw Period DMR Data'!$A:$A)*(U682='Raw Period DMR Data'!M:M)*(X682='Raw Period DMR Data'!C:C),0),1), "N/A")</f>
        <v>N/A</v>
      </c>
      <c r="W682" s="28" t="s">
        <v>1463</v>
      </c>
      <c r="X682" s="28" t="s">
        <v>1904</v>
      </c>
      <c r="Y682" s="28" t="s">
        <v>1905</v>
      </c>
      <c r="Z682" s="61" t="s">
        <v>1906</v>
      </c>
      <c r="AA682" s="60"/>
      <c r="AB682" s="28" t="s">
        <v>7355</v>
      </c>
      <c r="AC682" s="28" t="s">
        <v>1466</v>
      </c>
    </row>
    <row r="683" spans="1:29" s="28" customFormat="1" x14ac:dyDescent="0.25">
      <c r="A683" s="61">
        <v>110018199377</v>
      </c>
      <c r="B683" s="28">
        <v>2022</v>
      </c>
      <c r="C683" s="68">
        <f t="shared" si="10"/>
        <v>44562</v>
      </c>
      <c r="D683" s="28" t="s">
        <v>1181</v>
      </c>
      <c r="E683" s="28" t="s">
        <v>1903</v>
      </c>
      <c r="F683" s="28" t="s">
        <v>1182</v>
      </c>
      <c r="G683" s="28" t="s">
        <v>345</v>
      </c>
      <c r="H683" s="28">
        <v>60439</v>
      </c>
      <c r="I683" s="28">
        <v>41.692782000000001</v>
      </c>
      <c r="J683" s="28">
        <v>-87.951100999999994</v>
      </c>
      <c r="L683" s="61">
        <v>110018199377</v>
      </c>
      <c r="M683" s="28" t="s">
        <v>265</v>
      </c>
      <c r="N683" s="28">
        <v>4226</v>
      </c>
      <c r="O683" s="28" t="str">
        <f>IFERROR(VLOOKUP(N683, 'SIC &amp; NAICS Codes'!A:B, 2, FALSE), "")</f>
        <v>Special Warehousing and Storage, NEC (warehousing in foreign trade zones)</v>
      </c>
      <c r="S683" s="28">
        <v>6.0484299999999998E-2</v>
      </c>
      <c r="T683" s="315">
        <f>_xlfn.MAXIFS('Raw Period DMR Data'!$O:$O,'Raw Period DMR Data'!$A:$A,'Raw Annual DMR Data_2021-2024'!#REF!,'Raw Period DMR Data'!$C:$C,X683)/S683</f>
        <v>0</v>
      </c>
      <c r="U683" s="28" t="str">
        <f>+IF(COUNTIFS('Raw Period DMR Data'!$A:$A,B683,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83" s="28" t="str" cm="1">
        <f t="array" ref="V683">IFERROR(INDEX('Raw Period DMR Data'!N:N,MATCH(1,(B683='Raw Period DMR Data'!$A:$A)*(U683='Raw Period DMR Data'!M:M)*(X683='Raw Period DMR Data'!C:C),0),1), "N/A")</f>
        <v>N/A</v>
      </c>
      <c r="W683" s="28" t="s">
        <v>1463</v>
      </c>
      <c r="X683" s="28" t="s">
        <v>1904</v>
      </c>
      <c r="Y683" s="28" t="s">
        <v>1905</v>
      </c>
      <c r="Z683" s="61">
        <v>7120004000954</v>
      </c>
      <c r="AA683" s="60"/>
      <c r="AB683" s="28" t="s">
        <v>7355</v>
      </c>
      <c r="AC683" s="28" t="s">
        <v>1466</v>
      </c>
    </row>
    <row r="684" spans="1:29" s="28" customFormat="1" x14ac:dyDescent="0.25">
      <c r="A684" s="61">
        <v>110018199377</v>
      </c>
      <c r="B684" s="28">
        <v>2024</v>
      </c>
      <c r="C684" s="68">
        <f t="shared" si="10"/>
        <v>45292</v>
      </c>
      <c r="D684" s="28" t="s">
        <v>1181</v>
      </c>
      <c r="E684" s="28" t="s">
        <v>1903</v>
      </c>
      <c r="F684" s="28" t="s">
        <v>1182</v>
      </c>
      <c r="G684" s="28" t="s">
        <v>345</v>
      </c>
      <c r="H684" s="28">
        <v>60439</v>
      </c>
      <c r="I684" s="28">
        <v>41.692782000000001</v>
      </c>
      <c r="J684" s="28">
        <v>-87.951100999999994</v>
      </c>
      <c r="L684" s="61">
        <v>110018199377</v>
      </c>
      <c r="M684" s="28" t="s">
        <v>265</v>
      </c>
      <c r="N684" s="28">
        <v>4226</v>
      </c>
      <c r="O684" s="28" t="str">
        <f>IFERROR(VLOOKUP(N684, 'SIC &amp; NAICS Codes'!A:B, 2, FALSE), "")</f>
        <v>Special Warehousing and Storage, NEC (warehousing in foreign trade zones)</v>
      </c>
      <c r="S684" s="28">
        <v>5.9944937500000003E-2</v>
      </c>
      <c r="T684" s="315">
        <f>_xlfn.MAXIFS('Raw Period DMR Data'!$O:$O,'Raw Period DMR Data'!$A:$A,'Raw Annual DMR Data_2021-2024'!#REF!,'Raw Period DMR Data'!$C:$C,X684)/S684</f>
        <v>0</v>
      </c>
      <c r="U684" s="28" t="str">
        <f>+IF(COUNTIFS('Raw Period DMR Data'!$A:$A,B684,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84" s="28" t="str" cm="1">
        <f t="array" ref="V684">IFERROR(INDEX('Raw Period DMR Data'!N:N,MATCH(1,(B684='Raw Period DMR Data'!$A:$A)*(U684='Raw Period DMR Data'!M:M)*(X684='Raw Period DMR Data'!C:C),0),1), "N/A")</f>
        <v>N/A</v>
      </c>
      <c r="W684" s="28" t="s">
        <v>1463</v>
      </c>
      <c r="X684" s="28" t="s">
        <v>1904</v>
      </c>
      <c r="Y684" s="28" t="s">
        <v>1905</v>
      </c>
      <c r="Z684" s="61">
        <v>7120004000954</v>
      </c>
      <c r="AA684" s="60"/>
      <c r="AB684" s="28" t="s">
        <v>7355</v>
      </c>
      <c r="AC684" s="28" t="s">
        <v>1466</v>
      </c>
    </row>
    <row r="685" spans="1:29" s="28" customFormat="1" x14ac:dyDescent="0.25">
      <c r="A685" s="61">
        <v>110018199377</v>
      </c>
      <c r="B685" s="28">
        <v>2021</v>
      </c>
      <c r="C685" s="68">
        <f t="shared" si="10"/>
        <v>44197</v>
      </c>
      <c r="D685" s="28" t="s">
        <v>1181</v>
      </c>
      <c r="E685" s="28" t="s">
        <v>1903</v>
      </c>
      <c r="F685" s="28" t="s">
        <v>1182</v>
      </c>
      <c r="G685" s="28" t="s">
        <v>345</v>
      </c>
      <c r="H685" s="28">
        <v>60439</v>
      </c>
      <c r="I685" s="28">
        <v>41.692782000000001</v>
      </c>
      <c r="J685" s="28">
        <v>-87.951100999999994</v>
      </c>
      <c r="L685" s="61">
        <v>110018199377</v>
      </c>
      <c r="M685" s="28" t="s">
        <v>265</v>
      </c>
      <c r="N685" s="28">
        <v>4226</v>
      </c>
      <c r="O685" s="28" t="str">
        <f>IFERROR(VLOOKUP(N685, 'SIC &amp; NAICS Codes'!A:B, 2, FALSE), "")</f>
        <v>Special Warehousing and Storage, NEC (warehousing in foreign trade zones)</v>
      </c>
      <c r="S685" s="28">
        <v>5.8714812499999998E-2</v>
      </c>
      <c r="T685" s="315">
        <f>_xlfn.MAXIFS('Raw Period DMR Data'!$O:$O,'Raw Period DMR Data'!$A:$A,'Raw Annual DMR Data_2021-2024'!#REF!,'Raw Period DMR Data'!$C:$C,X685)/S685</f>
        <v>0</v>
      </c>
      <c r="U685" s="28" t="str">
        <f>+IF(COUNTIFS('Raw Period DMR Data'!$A:$A,B685,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85" s="28" t="str" cm="1">
        <f t="array" ref="V685">IFERROR(INDEX('Raw Period DMR Data'!N:N,MATCH(1,(B685='Raw Period DMR Data'!$A:$A)*(U685='Raw Period DMR Data'!M:M)*(X685='Raw Period DMR Data'!C:C),0),1), "N/A")</f>
        <v>N/A</v>
      </c>
      <c r="W685" s="28" t="s">
        <v>1463</v>
      </c>
      <c r="X685" s="28" t="s">
        <v>1904</v>
      </c>
      <c r="Y685" s="28" t="s">
        <v>1905</v>
      </c>
      <c r="Z685" s="61">
        <v>7120004000954</v>
      </c>
      <c r="AB685" s="28" t="s">
        <v>7355</v>
      </c>
      <c r="AC685" s="28" t="s">
        <v>1466</v>
      </c>
    </row>
    <row r="686" spans="1:29" s="28" customFormat="1" x14ac:dyDescent="0.25">
      <c r="A686" s="61">
        <v>110064624018</v>
      </c>
      <c r="B686" s="28">
        <v>2022</v>
      </c>
      <c r="C686" s="68">
        <f t="shared" si="10"/>
        <v>44562</v>
      </c>
      <c r="D686" s="28" t="s">
        <v>6770</v>
      </c>
      <c r="E686" s="28" t="s">
        <v>6916</v>
      </c>
      <c r="F686" s="28" t="s">
        <v>1292</v>
      </c>
      <c r="G686" s="28" t="s">
        <v>366</v>
      </c>
      <c r="H686" s="28">
        <v>90056</v>
      </c>
      <c r="I686" s="28">
        <v>33.990146000000003</v>
      </c>
      <c r="J686" s="28">
        <v>-118.36358</v>
      </c>
      <c r="L686" s="61">
        <v>110064624018</v>
      </c>
      <c r="M686" s="28" t="s">
        <v>265</v>
      </c>
      <c r="N686" s="28">
        <v>2911</v>
      </c>
      <c r="O686" s="28" t="str">
        <f>IFERROR(VLOOKUP(N686, 'SIC &amp; NAICS Codes'!A:B, 2, FALSE), "")</f>
        <v>Petroleum Refining</v>
      </c>
      <c r="S686" s="28">
        <v>0.34745353750000002</v>
      </c>
      <c r="T686" s="315">
        <f>_xlfn.MAXIFS('Raw Period DMR Data'!$O:$O,'Raw Period DMR Data'!$A:$A,'Raw Annual DMR Data_2021-2024'!#REF!,'Raw Period DMR Data'!$C:$C,X686)/S686</f>
        <v>0</v>
      </c>
      <c r="U686" s="28" t="str">
        <f>+IF(COUNTIFS('Raw Period DMR Data'!$A:$A,B686,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86" s="28" t="str" cm="1">
        <f t="array" ref="V686">IFERROR(INDEX('Raw Period DMR Data'!N:N,MATCH(1,(B686='Raw Period DMR Data'!$A:$A)*(U686='Raw Period DMR Data'!M:M)*(X686='Raw Period DMR Data'!C:C),0),1), "N/A")</f>
        <v>N/A</v>
      </c>
      <c r="W686" s="28" t="s">
        <v>1463</v>
      </c>
      <c r="X686" s="28" t="s">
        <v>7138</v>
      </c>
      <c r="Y686" s="28" t="s">
        <v>7247</v>
      </c>
      <c r="Z686" s="61">
        <v>18070104000042</v>
      </c>
      <c r="AA686" s="60"/>
      <c r="AB686" s="28" t="s">
        <v>7355</v>
      </c>
      <c r="AC686" s="28" t="s">
        <v>1466</v>
      </c>
    </row>
    <row r="687" spans="1:29" s="28" customFormat="1" x14ac:dyDescent="0.25">
      <c r="A687" s="61">
        <v>110064624018</v>
      </c>
      <c r="B687" s="28">
        <v>2022</v>
      </c>
      <c r="C687" s="68">
        <f t="shared" si="10"/>
        <v>44562</v>
      </c>
      <c r="D687" s="28" t="s">
        <v>6770</v>
      </c>
      <c r="E687" s="28" t="s">
        <v>6916</v>
      </c>
      <c r="F687" s="28" t="s">
        <v>1292</v>
      </c>
      <c r="G687" s="28" t="s">
        <v>366</v>
      </c>
      <c r="H687" s="28">
        <v>90056</v>
      </c>
      <c r="I687" s="28">
        <v>33.990146000000003</v>
      </c>
      <c r="J687" s="28">
        <v>-118.36358</v>
      </c>
      <c r="L687" s="61">
        <v>110064624018</v>
      </c>
      <c r="M687" s="28" t="s">
        <v>265</v>
      </c>
      <c r="N687" s="28">
        <v>2911</v>
      </c>
      <c r="O687" s="28" t="str">
        <f>IFERROR(VLOOKUP(N687, 'SIC &amp; NAICS Codes'!A:B, 2, FALSE), "")</f>
        <v>Petroleum Refining</v>
      </c>
      <c r="S687" s="28">
        <v>0.20584722499999999</v>
      </c>
      <c r="T687" s="315">
        <f>_xlfn.MAXIFS('Raw Period DMR Data'!$O:$O,'Raw Period DMR Data'!$A:$A,'Raw Annual DMR Data_2021-2024'!#REF!,'Raw Period DMR Data'!$C:$C,X687)/S687</f>
        <v>0</v>
      </c>
      <c r="U687" s="28" t="str">
        <f>+IF(COUNTIFS('Raw Period DMR Data'!$A:$A,B687,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87" s="28" t="str" cm="1">
        <f t="array" ref="V687">IFERROR(INDEX('Raw Period DMR Data'!N:N,MATCH(1,(B687='Raw Period DMR Data'!$A:$A)*(U687='Raw Period DMR Data'!M:M)*(X687='Raw Period DMR Data'!C:C),0),1), "N/A")</f>
        <v>N/A</v>
      </c>
      <c r="W687" s="28" t="s">
        <v>1463</v>
      </c>
      <c r="X687" s="28" t="s">
        <v>7138</v>
      </c>
      <c r="Y687" s="28" t="s">
        <v>7247</v>
      </c>
      <c r="Z687" s="61">
        <v>18070104000042</v>
      </c>
      <c r="AA687" s="60"/>
      <c r="AB687" s="28" t="s">
        <v>7355</v>
      </c>
      <c r="AC687" s="28" t="s">
        <v>1466</v>
      </c>
    </row>
    <row r="688" spans="1:29" s="28" customFormat="1" x14ac:dyDescent="0.25">
      <c r="A688" s="61">
        <v>110064624018</v>
      </c>
      <c r="B688" s="28">
        <v>2023</v>
      </c>
      <c r="C688" s="68">
        <f t="shared" si="10"/>
        <v>44927</v>
      </c>
      <c r="D688" s="28" t="s">
        <v>6770</v>
      </c>
      <c r="E688" s="28" t="s">
        <v>6916</v>
      </c>
      <c r="F688" s="28" t="s">
        <v>1292</v>
      </c>
      <c r="G688" s="28" t="s">
        <v>366</v>
      </c>
      <c r="H688" s="28">
        <v>90056</v>
      </c>
      <c r="I688" s="28">
        <v>33.990146000000003</v>
      </c>
      <c r="J688" s="28">
        <v>-118.36358</v>
      </c>
      <c r="L688" s="61">
        <v>110064624018</v>
      </c>
      <c r="M688" s="28" t="s">
        <v>265</v>
      </c>
      <c r="N688" s="28">
        <v>2911</v>
      </c>
      <c r="O688" s="28" t="str">
        <f>IFERROR(VLOOKUP(N688, 'SIC &amp; NAICS Codes'!A:B, 2, FALSE), "")</f>
        <v>Petroleum Refining</v>
      </c>
      <c r="S688" s="28">
        <v>0.103856141875</v>
      </c>
      <c r="T688" s="315">
        <f>_xlfn.MAXIFS('Raw Period DMR Data'!$O:$O,'Raw Period DMR Data'!$A:$A,'Raw Annual DMR Data_2021-2024'!#REF!,'Raw Period DMR Data'!$C:$C,X688)/S688</f>
        <v>0</v>
      </c>
      <c r="U688" s="28" t="str">
        <f>+IF(COUNTIFS('Raw Period DMR Data'!$A:$A,B688,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88" s="28" t="str" cm="1">
        <f t="array" ref="V688">IFERROR(INDEX('Raw Period DMR Data'!N:N,MATCH(1,(B688='Raw Period DMR Data'!$A:$A)*(U688='Raw Period DMR Data'!M:M)*(X688='Raw Period DMR Data'!C:C),0),1), "N/A")</f>
        <v>N/A</v>
      </c>
      <c r="W688" s="28" t="s">
        <v>1463</v>
      </c>
      <c r="X688" s="28" t="s">
        <v>7138</v>
      </c>
      <c r="Y688" s="28" t="s">
        <v>7247</v>
      </c>
      <c r="Z688" s="61">
        <v>18070104000042</v>
      </c>
      <c r="AA688" s="60"/>
      <c r="AB688" s="28" t="s">
        <v>7355</v>
      </c>
      <c r="AC688" s="28" t="s">
        <v>1466</v>
      </c>
    </row>
    <row r="689" spans="1:29" s="28" customFormat="1" x14ac:dyDescent="0.25">
      <c r="A689" s="61">
        <v>110064624018</v>
      </c>
      <c r="B689" s="28">
        <v>2023</v>
      </c>
      <c r="C689" s="68">
        <f t="shared" si="10"/>
        <v>44927</v>
      </c>
      <c r="D689" s="28" t="s">
        <v>6770</v>
      </c>
      <c r="E689" s="28" t="s">
        <v>6916</v>
      </c>
      <c r="F689" s="28" t="s">
        <v>1292</v>
      </c>
      <c r="G689" s="28" t="s">
        <v>366</v>
      </c>
      <c r="H689" s="28">
        <v>90056</v>
      </c>
      <c r="I689" s="28">
        <v>33.990146000000003</v>
      </c>
      <c r="J689" s="28">
        <v>-118.36358</v>
      </c>
      <c r="L689" s="61">
        <v>110064624018</v>
      </c>
      <c r="M689" s="28" t="s">
        <v>265</v>
      </c>
      <c r="N689" s="28">
        <v>2911</v>
      </c>
      <c r="O689" s="28" t="str">
        <f>IFERROR(VLOOKUP(N689, 'SIC &amp; NAICS Codes'!A:B, 2, FALSE), "")</f>
        <v>Petroleum Refining</v>
      </c>
      <c r="S689" s="28">
        <v>9.1180650000000002E-2</v>
      </c>
      <c r="T689" s="315">
        <f>_xlfn.MAXIFS('Raw Period DMR Data'!$O:$O,'Raw Period DMR Data'!$A:$A,'Raw Annual DMR Data_2021-2024'!#REF!,'Raw Period DMR Data'!$C:$C,X689)/S689</f>
        <v>0</v>
      </c>
      <c r="U689" s="28" t="str">
        <f>+IF(COUNTIFS('Raw Period DMR Data'!$A:$A,B689,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89" s="28" t="str" cm="1">
        <f t="array" ref="V689">IFERROR(INDEX('Raw Period DMR Data'!N:N,MATCH(1,(B689='Raw Period DMR Data'!$A:$A)*(U689='Raw Period DMR Data'!M:M)*(X689='Raw Period DMR Data'!C:C),0),1), "N/A")</f>
        <v>N/A</v>
      </c>
      <c r="W689" s="28" t="s">
        <v>1463</v>
      </c>
      <c r="X689" s="28" t="s">
        <v>7138</v>
      </c>
      <c r="Y689" s="28" t="s">
        <v>7247</v>
      </c>
      <c r="Z689" s="61">
        <v>18070104000042</v>
      </c>
      <c r="AA689" s="60"/>
      <c r="AB689" s="28" t="s">
        <v>7355</v>
      </c>
      <c r="AC689" s="28" t="s">
        <v>1466</v>
      </c>
    </row>
    <row r="690" spans="1:29" s="28" customFormat="1" x14ac:dyDescent="0.25">
      <c r="A690" s="61">
        <v>110064624018</v>
      </c>
      <c r="B690" s="28">
        <v>2021</v>
      </c>
      <c r="C690" s="68">
        <f t="shared" si="10"/>
        <v>44197</v>
      </c>
      <c r="D690" s="28" t="s">
        <v>6770</v>
      </c>
      <c r="E690" s="28" t="s">
        <v>6916</v>
      </c>
      <c r="F690" s="28" t="s">
        <v>1292</v>
      </c>
      <c r="G690" s="28" t="s">
        <v>366</v>
      </c>
      <c r="H690" s="28">
        <v>90056</v>
      </c>
      <c r="I690" s="28">
        <v>33.990146000000003</v>
      </c>
      <c r="J690" s="28">
        <v>-118.36358</v>
      </c>
      <c r="L690" s="61">
        <v>110064624018</v>
      </c>
      <c r="M690" s="28" t="s">
        <v>265</v>
      </c>
      <c r="N690" s="28">
        <v>2911</v>
      </c>
      <c r="O690" s="28" t="str">
        <f>IFERROR(VLOOKUP(N690, 'SIC &amp; NAICS Codes'!A:B, 2, FALSE), "")</f>
        <v>Petroleum Refining</v>
      </c>
      <c r="S690" s="28">
        <v>6.8385487500000003E-3</v>
      </c>
      <c r="T690" s="315">
        <f>_xlfn.MAXIFS('Raw Period DMR Data'!$O:$O,'Raw Period DMR Data'!$A:$A,'Raw Annual DMR Data_2021-2024'!#REF!,'Raw Period DMR Data'!$C:$C,X690)/S690</f>
        <v>0</v>
      </c>
      <c r="U690" s="28" t="str">
        <f>+IF(COUNTIFS('Raw Period DMR Data'!$A:$A,B690,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90" s="28" t="str" cm="1">
        <f t="array" ref="V690">IFERROR(INDEX('Raw Period DMR Data'!N:N,MATCH(1,(B690='Raw Period DMR Data'!$A:$A)*(U690='Raw Period DMR Data'!M:M)*(X690='Raw Period DMR Data'!C:C),0),1), "N/A")</f>
        <v>N/A</v>
      </c>
      <c r="W690" s="28" t="s">
        <v>1463</v>
      </c>
      <c r="X690" s="28" t="s">
        <v>7138</v>
      </c>
      <c r="Y690" s="28" t="s">
        <v>7247</v>
      </c>
      <c r="Z690" s="61">
        <v>18070104000042</v>
      </c>
      <c r="AB690" s="28" t="s">
        <v>7355</v>
      </c>
      <c r="AC690" s="28" t="s">
        <v>1466</v>
      </c>
    </row>
    <row r="691" spans="1:29" s="28" customFormat="1" x14ac:dyDescent="0.25">
      <c r="A691" s="61">
        <v>110064624018</v>
      </c>
      <c r="B691" s="28">
        <v>2021</v>
      </c>
      <c r="C691" s="68">
        <f t="shared" si="10"/>
        <v>44197</v>
      </c>
      <c r="D691" s="28" t="s">
        <v>6770</v>
      </c>
      <c r="E691" s="28" t="s">
        <v>6916</v>
      </c>
      <c r="F691" s="28" t="s">
        <v>1292</v>
      </c>
      <c r="G691" s="28" t="s">
        <v>366</v>
      </c>
      <c r="H691" s="28">
        <v>90056</v>
      </c>
      <c r="I691" s="28">
        <v>33.990146000000003</v>
      </c>
      <c r="J691" s="28">
        <v>-118.36358</v>
      </c>
      <c r="L691" s="61">
        <v>110064624018</v>
      </c>
      <c r="M691" s="28" t="s">
        <v>265</v>
      </c>
      <c r="N691" s="28">
        <v>2911</v>
      </c>
      <c r="O691" s="28" t="str">
        <f>IFERROR(VLOOKUP(N691, 'SIC &amp; NAICS Codes'!A:B, 2, FALSE), "")</f>
        <v>Petroleum Refining</v>
      </c>
      <c r="S691" s="28">
        <v>6.3550150000000003E-3</v>
      </c>
      <c r="T691" s="315">
        <f>_xlfn.MAXIFS('Raw Period DMR Data'!$O:$O,'Raw Period DMR Data'!$A:$A,'Raw Annual DMR Data_2021-2024'!#REF!,'Raw Period DMR Data'!$C:$C,X691)/S691</f>
        <v>0</v>
      </c>
      <c r="U691" s="28" t="str">
        <f>+IF(COUNTIFS('Raw Period DMR Data'!$A:$A,B691,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91" s="28" t="str" cm="1">
        <f t="array" ref="V691">IFERROR(INDEX('Raw Period DMR Data'!N:N,MATCH(1,(B691='Raw Period DMR Data'!$A:$A)*(U691='Raw Period DMR Data'!M:M)*(X691='Raw Period DMR Data'!C:C),0),1), "N/A")</f>
        <v>N/A</v>
      </c>
      <c r="W691" s="28" t="s">
        <v>1463</v>
      </c>
      <c r="X691" s="28" t="s">
        <v>7138</v>
      </c>
      <c r="Y691" s="28" t="s">
        <v>7247</v>
      </c>
      <c r="Z691" s="61">
        <v>18070104000042</v>
      </c>
      <c r="AA691" s="60"/>
      <c r="AB691" s="28" t="s">
        <v>7355</v>
      </c>
      <c r="AC691" s="28" t="s">
        <v>1466</v>
      </c>
    </row>
    <row r="692" spans="1:29" s="28" customFormat="1" x14ac:dyDescent="0.25">
      <c r="A692" s="61">
        <v>110064624018</v>
      </c>
      <c r="B692" s="28">
        <v>2023</v>
      </c>
      <c r="C692" s="68">
        <f t="shared" si="10"/>
        <v>44927</v>
      </c>
      <c r="D692" s="28" t="s">
        <v>6770</v>
      </c>
      <c r="E692" s="28" t="s">
        <v>6916</v>
      </c>
      <c r="F692" s="28" t="s">
        <v>1292</v>
      </c>
      <c r="G692" s="28" t="s">
        <v>366</v>
      </c>
      <c r="H692" s="28">
        <v>90056</v>
      </c>
      <c r="I692" s="28">
        <v>33.990146000000003</v>
      </c>
      <c r="J692" s="28">
        <v>-118.36358</v>
      </c>
      <c r="L692" s="61">
        <v>110064624018</v>
      </c>
      <c r="M692" s="28" t="s">
        <v>265</v>
      </c>
      <c r="N692" s="28">
        <v>2911</v>
      </c>
      <c r="O692" s="28" t="str">
        <f>IFERROR(VLOOKUP(N692, 'SIC &amp; NAICS Codes'!A:B, 2, FALSE), "")</f>
        <v>Petroleum Refining</v>
      </c>
      <c r="S692" s="28">
        <v>2.7630500000000002E-4</v>
      </c>
      <c r="T692" s="315">
        <f>_xlfn.MAXIFS('Raw Period DMR Data'!$O:$O,'Raw Period DMR Data'!$A:$A,'Raw Annual DMR Data_2021-2024'!#REF!,'Raw Period DMR Data'!$C:$C,X692)/S692</f>
        <v>0</v>
      </c>
      <c r="U692" s="28" t="str">
        <f>+IF(COUNTIFS('Raw Period DMR Data'!$A:$A,B692,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92" s="28" t="str" cm="1">
        <f t="array" ref="V692">IFERROR(INDEX('Raw Period DMR Data'!N:N,MATCH(1,(B692='Raw Period DMR Data'!$A:$A)*(U692='Raw Period DMR Data'!M:M)*(X692='Raw Period DMR Data'!C:C),0),1), "N/A")</f>
        <v>N/A</v>
      </c>
      <c r="W692" s="28" t="s">
        <v>1463</v>
      </c>
      <c r="X692" s="28" t="s">
        <v>7138</v>
      </c>
      <c r="Y692" s="28" t="s">
        <v>7247</v>
      </c>
      <c r="Z692" s="61">
        <v>18070104000042</v>
      </c>
      <c r="AA692" s="60"/>
      <c r="AB692" s="28" t="s">
        <v>7355</v>
      </c>
      <c r="AC692" s="28" t="s">
        <v>1466</v>
      </c>
    </row>
    <row r="693" spans="1:29" s="28" customFormat="1" x14ac:dyDescent="0.25">
      <c r="A693" s="61">
        <v>110003363351</v>
      </c>
      <c r="B693" s="28">
        <v>2024</v>
      </c>
      <c r="C693" s="68">
        <f t="shared" si="10"/>
        <v>45292</v>
      </c>
      <c r="D693" s="28" t="s">
        <v>1184</v>
      </c>
      <c r="E693" s="28" t="s">
        <v>1909</v>
      </c>
      <c r="F693" s="28" t="s">
        <v>500</v>
      </c>
      <c r="G693" s="28" t="s">
        <v>303</v>
      </c>
      <c r="H693" s="28">
        <v>70767</v>
      </c>
      <c r="I693" s="28">
        <v>30.44361</v>
      </c>
      <c r="J693" s="28">
        <v>-91.220929999999996</v>
      </c>
      <c r="L693" s="61">
        <v>110003363351</v>
      </c>
      <c r="M693" s="28" t="s">
        <v>265</v>
      </c>
      <c r="N693" s="28">
        <v>2834</v>
      </c>
      <c r="O693" s="28" t="str">
        <f>IFERROR(VLOOKUP(N693, 'SIC &amp; NAICS Codes'!A:B, 2, FALSE), "")</f>
        <v xml:space="preserve">Pharmaceutical Preparations </v>
      </c>
      <c r="S693" s="28">
        <v>2.1858375000000001E-3</v>
      </c>
      <c r="T693" s="315">
        <f>_xlfn.MAXIFS('Raw Period DMR Data'!$O:$O,'Raw Period DMR Data'!$A:$A,'Raw Annual DMR Data_2021-2024'!#REF!,'Raw Period DMR Data'!$C:$C,X693)/S693</f>
        <v>0</v>
      </c>
      <c r="U693" s="28" t="str">
        <f>+IF(COUNTIFS('Raw Period DMR Data'!$A:$A,B693,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93" s="28" t="str" cm="1">
        <f t="array" ref="V693">IFERROR(INDEX('Raw Period DMR Data'!N:N,MATCH(1,(B693='Raw Period DMR Data'!$A:$A)*(U693='Raw Period DMR Data'!M:M)*(X693='Raw Period DMR Data'!C:C),0),1), "N/A")</f>
        <v>N/A</v>
      </c>
      <c r="W693" s="28" t="s">
        <v>1463</v>
      </c>
      <c r="X693" s="28" t="s">
        <v>1910</v>
      </c>
      <c r="Z693" s="61">
        <v>8070300000427</v>
      </c>
      <c r="AA693" s="60"/>
      <c r="AB693" s="28" t="s">
        <v>7355</v>
      </c>
      <c r="AC693" s="28" t="s">
        <v>1466</v>
      </c>
    </row>
    <row r="694" spans="1:29" s="28" customFormat="1" x14ac:dyDescent="0.25">
      <c r="A694" s="61">
        <v>110003363351</v>
      </c>
      <c r="B694" s="28">
        <v>2023</v>
      </c>
      <c r="C694" s="68">
        <f t="shared" si="10"/>
        <v>44927</v>
      </c>
      <c r="D694" s="28" t="s">
        <v>1184</v>
      </c>
      <c r="E694" s="28" t="s">
        <v>1909</v>
      </c>
      <c r="F694" s="28" t="s">
        <v>500</v>
      </c>
      <c r="G694" s="28" t="s">
        <v>303</v>
      </c>
      <c r="H694" s="28">
        <v>70767</v>
      </c>
      <c r="I694" s="28">
        <v>30.44361</v>
      </c>
      <c r="J694" s="28">
        <v>-91.220929999999996</v>
      </c>
      <c r="L694" s="61">
        <v>110003363351</v>
      </c>
      <c r="M694" s="28" t="s">
        <v>265</v>
      </c>
      <c r="N694" s="28">
        <v>2834</v>
      </c>
      <c r="O694" s="28" t="str">
        <f>IFERROR(VLOOKUP(N694, 'SIC &amp; NAICS Codes'!A:B, 2, FALSE), "")</f>
        <v xml:space="preserve">Pharmaceutical Preparations </v>
      </c>
      <c r="S694" s="28">
        <v>1.7032499999999999E-3</v>
      </c>
      <c r="T694" s="315">
        <f>_xlfn.MAXIFS('Raw Period DMR Data'!$O:$O,'Raw Period DMR Data'!$A:$A,'Raw Annual DMR Data_2021-2024'!#REF!,'Raw Period DMR Data'!$C:$C,X694)/S694</f>
        <v>0</v>
      </c>
      <c r="U694" s="28" t="str">
        <f>+IF(COUNTIFS('Raw Period DMR Data'!$A:$A,B694,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94" s="28" t="str" cm="1">
        <f t="array" ref="V694">IFERROR(INDEX('Raw Period DMR Data'!N:N,MATCH(1,(B694='Raw Period DMR Data'!$A:$A)*(U694='Raw Period DMR Data'!M:M)*(X694='Raw Period DMR Data'!C:C),0),1), "N/A")</f>
        <v>N/A</v>
      </c>
      <c r="W694" s="28" t="s">
        <v>1463</v>
      </c>
      <c r="X694" s="28" t="s">
        <v>1910</v>
      </c>
      <c r="Z694" s="61" t="s">
        <v>7325</v>
      </c>
      <c r="AA694" s="60"/>
      <c r="AB694" s="28" t="s">
        <v>7355</v>
      </c>
      <c r="AC694" s="28" t="s">
        <v>1466</v>
      </c>
    </row>
    <row r="695" spans="1:29" s="28" customFormat="1" x14ac:dyDescent="0.25">
      <c r="A695" s="61">
        <v>110003363351</v>
      </c>
      <c r="B695" s="28">
        <v>2022</v>
      </c>
      <c r="C695" s="68">
        <f t="shared" si="10"/>
        <v>44562</v>
      </c>
      <c r="D695" s="28" t="s">
        <v>1184</v>
      </c>
      <c r="E695" s="28" t="s">
        <v>1909</v>
      </c>
      <c r="F695" s="28" t="s">
        <v>500</v>
      </c>
      <c r="G695" s="28" t="s">
        <v>303</v>
      </c>
      <c r="H695" s="28">
        <v>70767</v>
      </c>
      <c r="I695" s="28">
        <v>30.44361</v>
      </c>
      <c r="J695" s="28">
        <v>-91.220929999999996</v>
      </c>
      <c r="L695" s="61">
        <v>110003363351</v>
      </c>
      <c r="M695" s="28" t="s">
        <v>265</v>
      </c>
      <c r="N695" s="28">
        <v>2834</v>
      </c>
      <c r="O695" s="28" t="str">
        <f>IFERROR(VLOOKUP(N695, 'SIC &amp; NAICS Codes'!A:B, 2, FALSE), "")</f>
        <v xml:space="preserve">Pharmaceutical Preparations </v>
      </c>
      <c r="S695" s="28">
        <v>1.381525E-3</v>
      </c>
      <c r="T695" s="315">
        <f>_xlfn.MAXIFS('Raw Period DMR Data'!$O:$O,'Raw Period DMR Data'!$A:$A,'Raw Annual DMR Data_2021-2024'!#REF!,'Raw Period DMR Data'!$C:$C,X695)/S695</f>
        <v>0</v>
      </c>
      <c r="U695" s="28" t="str">
        <f>+IF(COUNTIFS('Raw Period DMR Data'!$A:$A,B695,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95" s="28" t="str" cm="1">
        <f t="array" ref="V695">IFERROR(INDEX('Raw Period DMR Data'!N:N,MATCH(1,(B695='Raw Period DMR Data'!$A:$A)*(U695='Raw Period DMR Data'!M:M)*(X695='Raw Period DMR Data'!C:C),0),1), "N/A")</f>
        <v>N/A</v>
      </c>
      <c r="W695" s="28" t="s">
        <v>1463</v>
      </c>
      <c r="X695" s="28" t="s">
        <v>1910</v>
      </c>
      <c r="Z695" s="61">
        <v>8070300000427</v>
      </c>
      <c r="AA695" s="60"/>
      <c r="AB695" s="28" t="s">
        <v>7355</v>
      </c>
      <c r="AC695" s="28" t="s">
        <v>1466</v>
      </c>
    </row>
    <row r="696" spans="1:29" s="28" customFormat="1" x14ac:dyDescent="0.25">
      <c r="A696" s="61">
        <v>110070598729</v>
      </c>
      <c r="B696" s="28">
        <v>2021</v>
      </c>
      <c r="C696" s="68">
        <f t="shared" si="10"/>
        <v>44197</v>
      </c>
      <c r="D696" s="28" t="s">
        <v>1185</v>
      </c>
      <c r="E696" s="28" t="s">
        <v>1911</v>
      </c>
      <c r="F696" s="28" t="s">
        <v>968</v>
      </c>
      <c r="G696" s="28" t="s">
        <v>294</v>
      </c>
      <c r="H696" s="28">
        <v>22305</v>
      </c>
      <c r="I696" s="28">
        <v>38.840600000000002</v>
      </c>
      <c r="J696" s="28">
        <v>-77.068200000000004</v>
      </c>
      <c r="L696" s="61">
        <v>110070598729</v>
      </c>
      <c r="M696" s="28" t="s">
        <v>265</v>
      </c>
      <c r="N696" s="28">
        <v>1794</v>
      </c>
      <c r="O696" s="28" t="str">
        <f>IFERROR(VLOOKUP(N696, 'SIC &amp; NAICS Codes'!A:B, 2, FALSE), "")</f>
        <v>Excavation Work</v>
      </c>
      <c r="S696" s="28">
        <v>5.4868495500000003E-5</v>
      </c>
      <c r="T696" s="315">
        <f>_xlfn.MAXIFS('Raw Period DMR Data'!$O:$O,'Raw Period DMR Data'!$A:$A,'Raw Annual DMR Data_2021-2024'!#REF!,'Raw Period DMR Data'!$C:$C,X696)/S696</f>
        <v>0</v>
      </c>
      <c r="U696" s="28" t="str">
        <f>+IF(COUNTIFS('Raw Period DMR Data'!$A:$A,B696,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96" s="28" t="str" cm="1">
        <f t="array" ref="V696">IFERROR(INDEX('Raw Period DMR Data'!N:N,MATCH(1,(B696='Raw Period DMR Data'!$A:$A)*(U696='Raw Period DMR Data'!M:M)*(X696='Raw Period DMR Data'!C:C),0),1), "N/A")</f>
        <v>N/A</v>
      </c>
      <c r="W696" s="28" t="s">
        <v>1463</v>
      </c>
      <c r="X696" s="28" t="s">
        <v>1912</v>
      </c>
      <c r="Y696" s="28" t="s">
        <v>1475</v>
      </c>
      <c r="Z696" s="61"/>
      <c r="AB696" s="28" t="s">
        <v>7355</v>
      </c>
      <c r="AC696" s="28" t="s">
        <v>1466</v>
      </c>
    </row>
    <row r="697" spans="1:29" s="28" customFormat="1" x14ac:dyDescent="0.25">
      <c r="A697" s="61">
        <v>110032913024</v>
      </c>
      <c r="B697" s="28">
        <v>2024</v>
      </c>
      <c r="C697" s="68">
        <f t="shared" si="10"/>
        <v>45292</v>
      </c>
      <c r="D697" s="28" t="s">
        <v>6910</v>
      </c>
      <c r="E697" s="28" t="s">
        <v>7111</v>
      </c>
      <c r="F697" s="28" t="s">
        <v>7112</v>
      </c>
      <c r="G697" s="28" t="s">
        <v>1128</v>
      </c>
      <c r="H697" s="28">
        <v>80022</v>
      </c>
      <c r="I697" s="28">
        <v>39.805556000000003</v>
      </c>
      <c r="J697" s="28">
        <v>-104.944444</v>
      </c>
      <c r="K697" s="28" t="s">
        <v>7135</v>
      </c>
      <c r="L697" s="61">
        <v>110032913024</v>
      </c>
      <c r="M697" s="28" t="s">
        <v>265</v>
      </c>
      <c r="N697" s="28">
        <v>2911</v>
      </c>
      <c r="O697" s="28" t="str">
        <f>IFERROR(VLOOKUP(N697, 'SIC &amp; NAICS Codes'!A:B, 2, FALSE), "")</f>
        <v>Petroleum Refining</v>
      </c>
      <c r="S697" s="28">
        <v>1.424768625</v>
      </c>
      <c r="T697" s="315">
        <f>_xlfn.MAXIFS('Raw Period DMR Data'!$O:$O,'Raw Period DMR Data'!$A:$A,'Raw Annual DMR Data_2021-2024'!#REF!,'Raw Period DMR Data'!$C:$C,X697)/S697</f>
        <v>0</v>
      </c>
      <c r="U697" s="28" t="str">
        <f>+IF(COUNTIFS('Raw Period DMR Data'!$A:$A,B697,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97" s="28" t="str" cm="1">
        <f t="array" ref="V697">IFERROR(INDEX('Raw Period DMR Data'!N:N,MATCH(1,(B697='Raw Period DMR Data'!$A:$A)*(U697='Raw Period DMR Data'!M:M)*(X697='Raw Period DMR Data'!C:C),0),1), "N/A")</f>
        <v>N/A</v>
      </c>
      <c r="W697" s="28" t="s">
        <v>1463</v>
      </c>
      <c r="X697" s="28" t="s">
        <v>7241</v>
      </c>
      <c r="Y697" s="28" t="s">
        <v>7321</v>
      </c>
      <c r="Z697" s="61">
        <v>10190003001246</v>
      </c>
      <c r="AA697" s="60"/>
      <c r="AB697" s="28" t="s">
        <v>7355</v>
      </c>
      <c r="AC697" s="28" t="s">
        <v>1466</v>
      </c>
    </row>
    <row r="698" spans="1:29" s="28" customFormat="1" x14ac:dyDescent="0.25">
      <c r="A698" s="61">
        <v>110071349304</v>
      </c>
      <c r="B698" s="28">
        <v>2022</v>
      </c>
      <c r="C698" s="68">
        <f t="shared" si="10"/>
        <v>44562</v>
      </c>
      <c r="D698" s="28" t="s">
        <v>6886</v>
      </c>
      <c r="E698" s="28" t="s">
        <v>7062</v>
      </c>
      <c r="F698" s="28" t="s">
        <v>7063</v>
      </c>
      <c r="G698" s="28" t="s">
        <v>366</v>
      </c>
      <c r="H698" s="28" t="s">
        <v>7064</v>
      </c>
      <c r="I698" s="28">
        <v>38.030833000000001</v>
      </c>
      <c r="J698" s="28">
        <v>-122.075</v>
      </c>
      <c r="K698" s="28" t="s">
        <v>7132</v>
      </c>
      <c r="L698" s="61">
        <v>110071349304</v>
      </c>
      <c r="M698" s="28" t="s">
        <v>265</v>
      </c>
      <c r="N698" s="28">
        <v>2911</v>
      </c>
      <c r="O698" s="28" t="str">
        <f>IFERROR(VLOOKUP(N698, 'SIC &amp; NAICS Codes'!A:B, 2, FALSE), "")</f>
        <v>Petroleum Refining</v>
      </c>
      <c r="S698" s="28">
        <v>1.35596868E-2</v>
      </c>
      <c r="T698" s="315">
        <f>_xlfn.MAXIFS('Raw Period DMR Data'!$O:$O,'Raw Period DMR Data'!$A:$A,'Raw Annual DMR Data_2021-2024'!#REF!,'Raw Period DMR Data'!$C:$C,X698)/S698</f>
        <v>0</v>
      </c>
      <c r="U698" s="28" t="str">
        <f>+IF(COUNTIFS('Raw Period DMR Data'!$A:$A,B698,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98" s="28" t="str" cm="1">
        <f t="array" ref="V698">IFERROR(INDEX('Raw Period DMR Data'!N:N,MATCH(1,(B698='Raw Period DMR Data'!$A:$A)*(U698='Raw Period DMR Data'!M:M)*(X698='Raw Period DMR Data'!C:C),0),1), "N/A")</f>
        <v>N/A</v>
      </c>
      <c r="W698" s="28" t="s">
        <v>1463</v>
      </c>
      <c r="X698" s="28" t="s">
        <v>7212</v>
      </c>
      <c r="Y698" s="28" t="s">
        <v>7310</v>
      </c>
      <c r="Z698" s="61">
        <v>18050001001004</v>
      </c>
      <c r="AA698" s="60"/>
      <c r="AB698" s="28" t="s">
        <v>7355</v>
      </c>
      <c r="AC698" s="28" t="s">
        <v>1466</v>
      </c>
    </row>
    <row r="699" spans="1:29" s="28" customFormat="1" x14ac:dyDescent="0.25">
      <c r="A699" s="61">
        <v>110071349304</v>
      </c>
      <c r="B699" s="28">
        <v>2023</v>
      </c>
      <c r="C699" s="68">
        <f t="shared" si="10"/>
        <v>44927</v>
      </c>
      <c r="D699" s="28" t="s">
        <v>6886</v>
      </c>
      <c r="E699" s="28" t="s">
        <v>7062</v>
      </c>
      <c r="F699" s="28" t="s">
        <v>7063</v>
      </c>
      <c r="G699" s="28" t="s">
        <v>366</v>
      </c>
      <c r="H699" s="28" t="s">
        <v>7064</v>
      </c>
      <c r="I699" s="28">
        <v>38.030833000000001</v>
      </c>
      <c r="J699" s="28">
        <v>-122.075</v>
      </c>
      <c r="K699" s="28" t="s">
        <v>7132</v>
      </c>
      <c r="L699" s="61">
        <v>110071349304</v>
      </c>
      <c r="M699" s="28" t="s">
        <v>265</v>
      </c>
      <c r="N699" s="28">
        <v>2911</v>
      </c>
      <c r="O699" s="28" t="str">
        <f>IFERROR(VLOOKUP(N699, 'SIC &amp; NAICS Codes'!A:B, 2, FALSE), "")</f>
        <v>Petroleum Refining</v>
      </c>
      <c r="S699" s="28">
        <v>1.1223130600000001E-2</v>
      </c>
      <c r="T699" s="315">
        <f>_xlfn.MAXIFS('Raw Period DMR Data'!$O:$O,'Raw Period DMR Data'!$A:$A,'Raw Annual DMR Data_2021-2024'!#REF!,'Raw Period DMR Data'!$C:$C,X699)/S699</f>
        <v>0</v>
      </c>
      <c r="U699" s="28" t="str">
        <f>+IF(COUNTIFS('Raw Period DMR Data'!$A:$A,B699,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699" s="28" t="str" cm="1">
        <f t="array" ref="V699">IFERROR(INDEX('Raw Period DMR Data'!N:N,MATCH(1,(B699='Raw Period DMR Data'!$A:$A)*(U699='Raw Period DMR Data'!M:M)*(X699='Raw Period DMR Data'!C:C),0),1), "N/A")</f>
        <v>N/A</v>
      </c>
      <c r="W699" s="28" t="s">
        <v>1463</v>
      </c>
      <c r="X699" s="28" t="s">
        <v>7212</v>
      </c>
      <c r="Y699" s="28" t="s">
        <v>7310</v>
      </c>
      <c r="Z699" s="61">
        <v>18050001001004</v>
      </c>
      <c r="AA699" s="60"/>
      <c r="AB699" s="28" t="s">
        <v>7355</v>
      </c>
      <c r="AC699" s="28" t="s">
        <v>1466</v>
      </c>
    </row>
    <row r="700" spans="1:29" s="28" customFormat="1" x14ac:dyDescent="0.25">
      <c r="A700" s="61">
        <v>110071349304</v>
      </c>
      <c r="B700" s="28">
        <v>2024</v>
      </c>
      <c r="C700" s="68">
        <f t="shared" si="10"/>
        <v>45292</v>
      </c>
      <c r="D700" s="28" t="s">
        <v>6886</v>
      </c>
      <c r="E700" s="28" t="s">
        <v>7062</v>
      </c>
      <c r="F700" s="28" t="s">
        <v>7063</v>
      </c>
      <c r="G700" s="28" t="s">
        <v>366</v>
      </c>
      <c r="H700" s="28" t="s">
        <v>7064</v>
      </c>
      <c r="I700" s="28">
        <v>38.030833000000001</v>
      </c>
      <c r="J700" s="28">
        <v>-122.075</v>
      </c>
      <c r="K700" s="28" t="s">
        <v>7132</v>
      </c>
      <c r="L700" s="61">
        <v>110071349304</v>
      </c>
      <c r="M700" s="28" t="s">
        <v>265</v>
      </c>
      <c r="N700" s="28">
        <v>2911</v>
      </c>
      <c r="O700" s="28" t="str">
        <f>IFERROR(VLOOKUP(N700, 'SIC &amp; NAICS Codes'!A:B, 2, FALSE), "")</f>
        <v>Petroleum Refining</v>
      </c>
      <c r="S700" s="28">
        <v>9.4562623200000005E-3</v>
      </c>
      <c r="T700" s="315">
        <f>_xlfn.MAXIFS('Raw Period DMR Data'!$O:$O,'Raw Period DMR Data'!$A:$A,'Raw Annual DMR Data_2021-2024'!#REF!,'Raw Period DMR Data'!$C:$C,X700)/S700</f>
        <v>0</v>
      </c>
      <c r="U700" s="28" t="str">
        <f>+IF(COUNTIFS('Raw Period DMR Data'!$A:$A,B700,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00" s="28" t="str" cm="1">
        <f t="array" ref="V700">IFERROR(INDEX('Raw Period DMR Data'!N:N,MATCH(1,(B700='Raw Period DMR Data'!$A:$A)*(U700='Raw Period DMR Data'!M:M)*(X700='Raw Period DMR Data'!C:C),0),1), "N/A")</f>
        <v>N/A</v>
      </c>
      <c r="W700" s="28" t="s">
        <v>1463</v>
      </c>
      <c r="X700" s="28" t="s">
        <v>7212</v>
      </c>
      <c r="Y700" s="28" t="s">
        <v>7310</v>
      </c>
      <c r="Z700" s="61">
        <v>18050001001004</v>
      </c>
      <c r="AA700" s="60"/>
      <c r="AB700" s="28" t="s">
        <v>7355</v>
      </c>
      <c r="AC700" s="28" t="s">
        <v>1466</v>
      </c>
    </row>
    <row r="701" spans="1:29" s="28" customFormat="1" x14ac:dyDescent="0.25">
      <c r="A701" s="61">
        <v>110033145353</v>
      </c>
      <c r="B701" s="28">
        <v>2023</v>
      </c>
      <c r="C701" s="68">
        <f t="shared" si="10"/>
        <v>44927</v>
      </c>
      <c r="D701" s="28" t="s">
        <v>6785</v>
      </c>
      <c r="E701" s="28" t="s">
        <v>6932</v>
      </c>
      <c r="F701" s="28" t="s">
        <v>6933</v>
      </c>
      <c r="G701" s="28" t="s">
        <v>366</v>
      </c>
      <c r="H701" s="28" t="s">
        <v>6934</v>
      </c>
      <c r="I701" s="28">
        <v>38.074433999999997</v>
      </c>
      <c r="J701" s="28">
        <v>-122.144397</v>
      </c>
      <c r="K701" s="28" t="s">
        <v>7119</v>
      </c>
      <c r="L701" s="61">
        <v>110033145353</v>
      </c>
      <c r="M701" s="28" t="s">
        <v>265</v>
      </c>
      <c r="N701" s="28">
        <v>2911</v>
      </c>
      <c r="O701" s="28" t="str">
        <f>IFERROR(VLOOKUP(N701, 'SIC &amp; NAICS Codes'!A:B, 2, FALSE), "")</f>
        <v>Petroleum Refining</v>
      </c>
      <c r="S701" s="28">
        <v>0.31445401499999998</v>
      </c>
      <c r="T701" s="315">
        <f>_xlfn.MAXIFS('Raw Period DMR Data'!$O:$O,'Raw Period DMR Data'!$A:$A,'Raw Annual DMR Data_2021-2024'!#REF!,'Raw Period DMR Data'!$C:$C,X701)/S701</f>
        <v>0</v>
      </c>
      <c r="U701" s="28" t="str">
        <f>+IF(COUNTIFS('Raw Period DMR Data'!$A:$A,B701,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01" s="28" t="str" cm="1">
        <f t="array" ref="V701">IFERROR(INDEX('Raw Period DMR Data'!N:N,MATCH(1,(B701='Raw Period DMR Data'!$A:$A)*(U701='Raw Period DMR Data'!M:M)*(X701='Raw Period DMR Data'!C:C),0),1), "N/A")</f>
        <v>N/A</v>
      </c>
      <c r="W701" s="28" t="s">
        <v>1463</v>
      </c>
      <c r="X701" s="28" t="s">
        <v>7145</v>
      </c>
      <c r="Y701" s="28" t="s">
        <v>7257</v>
      </c>
      <c r="Z701" s="61">
        <v>18050001001874</v>
      </c>
      <c r="AA701" s="60"/>
      <c r="AC701" s="28" t="s">
        <v>1466</v>
      </c>
    </row>
    <row r="702" spans="1:29" s="28" customFormat="1" x14ac:dyDescent="0.25">
      <c r="A702" s="61">
        <v>110017796330</v>
      </c>
      <c r="B702" s="28">
        <v>2024</v>
      </c>
      <c r="C702" s="68">
        <f t="shared" si="10"/>
        <v>45292</v>
      </c>
      <c r="D702" s="28" t="s">
        <v>1190</v>
      </c>
      <c r="E702" s="28" t="s">
        <v>1920</v>
      </c>
      <c r="F702" s="28" t="s">
        <v>1191</v>
      </c>
      <c r="G702" s="28" t="s">
        <v>491</v>
      </c>
      <c r="H702" s="28">
        <v>17853</v>
      </c>
      <c r="I702" s="28">
        <v>40.725278000000003</v>
      </c>
      <c r="J702" s="28">
        <v>-77.056944000000001</v>
      </c>
      <c r="L702" s="61">
        <v>110017796330</v>
      </c>
      <c r="M702" s="28" t="s">
        <v>265</v>
      </c>
      <c r="N702" s="28">
        <v>3645</v>
      </c>
      <c r="O702" s="28" t="str">
        <f>IFERROR(VLOOKUP(N702, 'SIC &amp; NAICS Codes'!A:B, 2, FALSE), "")</f>
        <v>Residential Electric Lighting Fixtures</v>
      </c>
      <c r="S702" s="28">
        <v>4.7335210000000001E-3</v>
      </c>
      <c r="T702" s="315">
        <f>_xlfn.MAXIFS('Raw Period DMR Data'!$O:$O,'Raw Period DMR Data'!$A:$A,'Raw Annual DMR Data_2021-2024'!#REF!,'Raw Period DMR Data'!$C:$C,X702)/S702</f>
        <v>0</v>
      </c>
      <c r="U702" s="28" t="str">
        <f>+IF(COUNTIFS('Raw Period DMR Data'!$A:$A,B702,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02" s="28" t="str" cm="1">
        <f t="array" ref="V702">IFERROR(INDEX('Raw Period DMR Data'!N:N,MATCH(1,(B702='Raw Period DMR Data'!$A:$A)*(U702='Raw Period DMR Data'!M:M)*(X702='Raw Period DMR Data'!C:C),0),1), "N/A")</f>
        <v>N/A</v>
      </c>
      <c r="W702" s="28" t="s">
        <v>1463</v>
      </c>
      <c r="X702" s="28" t="s">
        <v>1921</v>
      </c>
      <c r="Y702" s="28" t="s">
        <v>1922</v>
      </c>
      <c r="Z702" s="61">
        <v>2050301000478</v>
      </c>
      <c r="AA702" s="60"/>
      <c r="AB702" s="28" t="s">
        <v>7355</v>
      </c>
      <c r="AC702" s="28" t="s">
        <v>1466</v>
      </c>
    </row>
    <row r="703" spans="1:29" s="28" customFormat="1" x14ac:dyDescent="0.25">
      <c r="A703" s="61">
        <v>110017796330</v>
      </c>
      <c r="B703" s="28">
        <v>2023</v>
      </c>
      <c r="C703" s="68">
        <f t="shared" si="10"/>
        <v>44927</v>
      </c>
      <c r="D703" s="28" t="s">
        <v>1190</v>
      </c>
      <c r="E703" s="28" t="s">
        <v>1920</v>
      </c>
      <c r="F703" s="28" t="s">
        <v>1191</v>
      </c>
      <c r="G703" s="28" t="s">
        <v>491</v>
      </c>
      <c r="H703" s="28">
        <v>17853</v>
      </c>
      <c r="I703" s="28">
        <v>40.725278000000003</v>
      </c>
      <c r="J703" s="28">
        <v>-77.056944000000001</v>
      </c>
      <c r="L703" s="61">
        <v>110017796330</v>
      </c>
      <c r="M703" s="28" t="s">
        <v>265</v>
      </c>
      <c r="N703" s="28">
        <v>3645</v>
      </c>
      <c r="O703" s="28" t="str">
        <f>IFERROR(VLOOKUP(N703, 'SIC &amp; NAICS Codes'!A:B, 2, FALSE), "")</f>
        <v>Residential Electric Lighting Fixtures</v>
      </c>
      <c r="S703" s="28">
        <v>4.4248542499999996E-3</v>
      </c>
      <c r="T703" s="315">
        <f>_xlfn.MAXIFS('Raw Period DMR Data'!$O:$O,'Raw Period DMR Data'!$A:$A,'Raw Annual DMR Data_2021-2024'!#REF!,'Raw Period DMR Data'!$C:$C,X703)/S703</f>
        <v>0</v>
      </c>
      <c r="U703" s="28" t="str">
        <f>+IF(COUNTIFS('Raw Period DMR Data'!$A:$A,B703,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03" s="28" t="str" cm="1">
        <f t="array" ref="V703">IFERROR(INDEX('Raw Period DMR Data'!N:N,MATCH(1,(B703='Raw Period DMR Data'!$A:$A)*(U703='Raw Period DMR Data'!M:M)*(X703='Raw Period DMR Data'!C:C),0),1), "N/A")</f>
        <v>N/A</v>
      </c>
      <c r="W703" s="28" t="s">
        <v>1463</v>
      </c>
      <c r="X703" s="28" t="s">
        <v>1921</v>
      </c>
      <c r="Y703" s="28" t="s">
        <v>1922</v>
      </c>
      <c r="Z703" s="61" t="s">
        <v>1923</v>
      </c>
      <c r="AA703" s="60"/>
      <c r="AB703" s="28" t="s">
        <v>7355</v>
      </c>
      <c r="AC703" s="28" t="s">
        <v>1466</v>
      </c>
    </row>
    <row r="704" spans="1:29" s="28" customFormat="1" x14ac:dyDescent="0.25">
      <c r="A704" s="61">
        <v>110017796330</v>
      </c>
      <c r="B704" s="28">
        <v>2021</v>
      </c>
      <c r="C704" s="68">
        <f t="shared" si="10"/>
        <v>44197</v>
      </c>
      <c r="D704" s="28" t="s">
        <v>1190</v>
      </c>
      <c r="E704" s="28" t="s">
        <v>1920</v>
      </c>
      <c r="F704" s="28" t="s">
        <v>1191</v>
      </c>
      <c r="G704" s="28" t="s">
        <v>491</v>
      </c>
      <c r="H704" s="28">
        <v>17853</v>
      </c>
      <c r="I704" s="28">
        <v>40.725278000000003</v>
      </c>
      <c r="J704" s="28">
        <v>-77.056944000000001</v>
      </c>
      <c r="L704" s="61">
        <v>110017796330</v>
      </c>
      <c r="M704" s="28" t="s">
        <v>265</v>
      </c>
      <c r="N704" s="28">
        <v>3645</v>
      </c>
      <c r="O704" s="28" t="str">
        <f>IFERROR(VLOOKUP(N704, 'SIC &amp; NAICS Codes'!A:B, 2, FALSE), "")</f>
        <v>Residential Electric Lighting Fixtures</v>
      </c>
      <c r="S704" s="28">
        <v>4.0575200000000002E-3</v>
      </c>
      <c r="T704" s="315">
        <f>_xlfn.MAXIFS('Raw Period DMR Data'!$O:$O,'Raw Period DMR Data'!$A:$A,'Raw Annual DMR Data_2021-2024'!#REF!,'Raw Period DMR Data'!$C:$C,X704)/S704</f>
        <v>0</v>
      </c>
      <c r="U704" s="28" t="str">
        <f>+IF(COUNTIFS('Raw Period DMR Data'!$A:$A,B704,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04" s="28" t="str" cm="1">
        <f t="array" ref="V704">IFERROR(INDEX('Raw Period DMR Data'!N:N,MATCH(1,(B704='Raw Period DMR Data'!$A:$A)*(U704='Raw Period DMR Data'!M:M)*(X704='Raw Period DMR Data'!C:C),0),1), "N/A")</f>
        <v>N/A</v>
      </c>
      <c r="W704" s="28" t="s">
        <v>1463</v>
      </c>
      <c r="X704" s="28" t="s">
        <v>1921</v>
      </c>
      <c r="Y704" s="28" t="s">
        <v>1922</v>
      </c>
      <c r="Z704" s="61">
        <v>2050301000478</v>
      </c>
      <c r="AB704" s="28" t="s">
        <v>7355</v>
      </c>
      <c r="AC704" s="28" t="s">
        <v>1466</v>
      </c>
    </row>
    <row r="705" spans="1:29" s="28" customFormat="1" x14ac:dyDescent="0.25">
      <c r="A705" s="61">
        <v>110017796330</v>
      </c>
      <c r="B705" s="28">
        <v>2022</v>
      </c>
      <c r="C705" s="68">
        <f t="shared" si="10"/>
        <v>44562</v>
      </c>
      <c r="D705" s="28" t="s">
        <v>1190</v>
      </c>
      <c r="E705" s="28" t="s">
        <v>1920</v>
      </c>
      <c r="F705" s="28" t="s">
        <v>1191</v>
      </c>
      <c r="G705" s="28" t="s">
        <v>491</v>
      </c>
      <c r="H705" s="28">
        <v>17853</v>
      </c>
      <c r="I705" s="28">
        <v>40.725278000000003</v>
      </c>
      <c r="J705" s="28">
        <v>-77.056944000000001</v>
      </c>
      <c r="L705" s="61">
        <v>110017796330</v>
      </c>
      <c r="M705" s="28" t="s">
        <v>265</v>
      </c>
      <c r="N705" s="28">
        <v>3645</v>
      </c>
      <c r="O705" s="28" t="str">
        <f>IFERROR(VLOOKUP(N705, 'SIC &amp; NAICS Codes'!A:B, 2, FALSE), "")</f>
        <v>Residential Electric Lighting Fixtures</v>
      </c>
      <c r="S705" s="28">
        <v>3.919746E-3</v>
      </c>
      <c r="T705" s="315">
        <f>_xlfn.MAXIFS('Raw Period DMR Data'!$O:$O,'Raw Period DMR Data'!$A:$A,'Raw Annual DMR Data_2021-2024'!#REF!,'Raw Period DMR Data'!$C:$C,X705)/S705</f>
        <v>0</v>
      </c>
      <c r="U705" s="28" t="str">
        <f>+IF(COUNTIFS('Raw Period DMR Data'!$A:$A,B705,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05" s="28" t="str" cm="1">
        <f t="array" ref="V705">IFERROR(INDEX('Raw Period DMR Data'!N:N,MATCH(1,(B705='Raw Period DMR Data'!$A:$A)*(U705='Raw Period DMR Data'!M:M)*(X705='Raw Period DMR Data'!C:C),0),1), "N/A")</f>
        <v>N/A</v>
      </c>
      <c r="W705" s="28" t="s">
        <v>1463</v>
      </c>
      <c r="X705" s="28" t="s">
        <v>1921</v>
      </c>
      <c r="Y705" s="28" t="s">
        <v>1922</v>
      </c>
      <c r="Z705" s="61">
        <v>2050301000478</v>
      </c>
      <c r="AA705" s="60"/>
      <c r="AB705" s="28" t="s">
        <v>7355</v>
      </c>
      <c r="AC705" s="28" t="s">
        <v>1466</v>
      </c>
    </row>
    <row r="706" spans="1:29" s="28" customFormat="1" x14ac:dyDescent="0.25">
      <c r="A706" s="61">
        <v>110000741608</v>
      </c>
      <c r="B706" s="28">
        <v>2021</v>
      </c>
      <c r="C706" s="68">
        <f t="shared" ref="C706:C769" si="11">DATE(B706, 1, 1)</f>
        <v>44197</v>
      </c>
      <c r="D706" s="28" t="s">
        <v>6795</v>
      </c>
      <c r="E706" s="28" t="s">
        <v>1924</v>
      </c>
      <c r="F706" s="28" t="s">
        <v>323</v>
      </c>
      <c r="G706" s="28" t="s">
        <v>324</v>
      </c>
      <c r="H706" s="28">
        <v>42029</v>
      </c>
      <c r="I706" s="28">
        <v>37.047736999999998</v>
      </c>
      <c r="J706" s="28">
        <v>-88.35866</v>
      </c>
      <c r="K706" s="28" t="s">
        <v>721</v>
      </c>
      <c r="L706" s="61">
        <v>110000741608</v>
      </c>
      <c r="M706" s="28" t="s">
        <v>265</v>
      </c>
      <c r="N706" s="28">
        <v>2869</v>
      </c>
      <c r="O706" s="28" t="str">
        <f>IFERROR(VLOOKUP(N706, 'SIC &amp; NAICS Codes'!A:B, 2, FALSE), "")</f>
        <v>Industrial Organic Chemicals, NEC (aliphatics)</v>
      </c>
      <c r="S706" s="28">
        <v>4.059895</v>
      </c>
      <c r="T706" s="315">
        <f>_xlfn.MAXIFS('Raw Period DMR Data'!$O:$O,'Raw Period DMR Data'!$A:$A,'Raw Annual DMR Data_2021-2024'!B993,'Raw Period DMR Data'!$C:$C,X706)/S706</f>
        <v>0</v>
      </c>
      <c r="U706" s="28" t="str">
        <f>+IF(COUNTIFS('Raw Period DMR Data'!$A:$A,B706, 'Raw Period DMR Data'!C:C,'Raw Annual DMR Data_2021-2024'!X993, 'Raw Period DMR Data'!M:M, "&gt;0")&gt;0,_xlfn.MAXIFS('Raw Period DMR Data'!M:M,'Raw Period DMR Data'!$A:$A,'Raw Annual DMR Data_2021-2024'!B993,'Raw Period DMR Data'!C:C,'Raw Annual DMR Data_2021-2024'!X993), "N/A - Period DMR Data Not Available")</f>
        <v>N/A - Period DMR Data Not Available</v>
      </c>
      <c r="V706" s="28" t="str" cm="1">
        <f t="array" ref="V706">IFERROR(INDEX('Raw Period DMR Data'!N:N,MATCH(1,(B706='Raw Period DMR Data'!$A:$A)*(U706='Raw Period DMR Data'!M:M)*(X706='Raw Period DMR Data'!C:C),0),1), "N/A")</f>
        <v>N/A</v>
      </c>
      <c r="W706" s="28" t="s">
        <v>1463</v>
      </c>
      <c r="X706" s="28" t="s">
        <v>1925</v>
      </c>
      <c r="Y706" s="28" t="s">
        <v>1926</v>
      </c>
      <c r="Z706" s="61">
        <v>6040006000329</v>
      </c>
      <c r="AB706" s="28" t="s">
        <v>7355</v>
      </c>
      <c r="AC706" s="28" t="s">
        <v>1466</v>
      </c>
    </row>
    <row r="707" spans="1:29" s="28" customFormat="1" x14ac:dyDescent="0.25">
      <c r="A707" s="61">
        <v>110000741608</v>
      </c>
      <c r="B707" s="28">
        <v>2022</v>
      </c>
      <c r="C707" s="68">
        <f t="shared" si="11"/>
        <v>44562</v>
      </c>
      <c r="D707" s="28" t="s">
        <v>6795</v>
      </c>
      <c r="E707" s="28" t="s">
        <v>1924</v>
      </c>
      <c r="F707" s="28" t="s">
        <v>323</v>
      </c>
      <c r="G707" s="28" t="s">
        <v>324</v>
      </c>
      <c r="H707" s="28">
        <v>42029</v>
      </c>
      <c r="I707" s="28">
        <v>37.047736999999998</v>
      </c>
      <c r="J707" s="28">
        <v>-88.35866</v>
      </c>
      <c r="K707" s="28" t="s">
        <v>721</v>
      </c>
      <c r="L707" s="61">
        <v>110000741608</v>
      </c>
      <c r="M707" s="28" t="s">
        <v>265</v>
      </c>
      <c r="N707" s="28">
        <v>2869</v>
      </c>
      <c r="O707" s="28" t="str">
        <f>IFERROR(VLOOKUP(N707, 'SIC &amp; NAICS Codes'!A:B, 2, FALSE), "")</f>
        <v>Industrial Organic Chemicals, NEC (aliphatics)</v>
      </c>
      <c r="S707" s="28">
        <v>1.2428250000000001</v>
      </c>
      <c r="T707" s="315">
        <f>_xlfn.MAXIFS('Raw Period DMR Data'!$O:$O,'Raw Period DMR Data'!$A:$A,'Raw Annual DMR Data_2021-2024'!#REF!,'Raw Period DMR Data'!$C:$C,X707)/S707</f>
        <v>0</v>
      </c>
      <c r="U707" s="28" t="str">
        <f>+IF(COUNTIFS('Raw Period DMR Data'!$A:$A,B707,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07" s="28" t="str" cm="1">
        <f t="array" ref="V707">IFERROR(INDEX('Raw Period DMR Data'!N:N,MATCH(1,(B707='Raw Period DMR Data'!$A:$A)*(U707='Raw Period DMR Data'!M:M)*(X707='Raw Period DMR Data'!C:C),0),1), "N/A")</f>
        <v>N/A</v>
      </c>
      <c r="W707" s="28" t="s">
        <v>1463</v>
      </c>
      <c r="X707" s="28" t="s">
        <v>1925</v>
      </c>
      <c r="Y707" s="28" t="s">
        <v>1926</v>
      </c>
      <c r="Z707" s="61">
        <v>6040006000329</v>
      </c>
      <c r="AA707" s="60"/>
      <c r="AB707" s="28" t="s">
        <v>7355</v>
      </c>
      <c r="AC707" s="28" t="s">
        <v>1466</v>
      </c>
    </row>
    <row r="708" spans="1:29" s="28" customFormat="1" x14ac:dyDescent="0.25">
      <c r="A708" s="61">
        <v>110000741608</v>
      </c>
      <c r="B708" s="28">
        <v>2024</v>
      </c>
      <c r="C708" s="68">
        <f t="shared" si="11"/>
        <v>45292</v>
      </c>
      <c r="D708" s="28" t="s">
        <v>6795</v>
      </c>
      <c r="E708" s="28" t="s">
        <v>1924</v>
      </c>
      <c r="F708" s="28" t="s">
        <v>323</v>
      </c>
      <c r="G708" s="28" t="s">
        <v>324</v>
      </c>
      <c r="H708" s="28">
        <v>42029</v>
      </c>
      <c r="I708" s="28">
        <v>37.047736999999998</v>
      </c>
      <c r="J708" s="28">
        <v>-88.35866</v>
      </c>
      <c r="K708" s="28" t="s">
        <v>721</v>
      </c>
      <c r="L708" s="61">
        <v>110000741608</v>
      </c>
      <c r="M708" s="28" t="s">
        <v>265</v>
      </c>
      <c r="N708" s="28">
        <v>2869</v>
      </c>
      <c r="O708" s="28" t="str">
        <f>IFERROR(VLOOKUP(N708, 'SIC &amp; NAICS Codes'!A:B, 2, FALSE), "")</f>
        <v>Industrial Organic Chemicals, NEC (aliphatics)</v>
      </c>
      <c r="S708" s="28">
        <v>0.99426000000000003</v>
      </c>
      <c r="T708" s="315">
        <f>_xlfn.MAXIFS('Raw Period DMR Data'!$O:$O,'Raw Period DMR Data'!$A:$A,'Raw Annual DMR Data_2021-2024'!#REF!,'Raw Period DMR Data'!$C:$C,X708)/S708</f>
        <v>0</v>
      </c>
      <c r="U708" s="28" t="str">
        <f>+IF(COUNTIFS('Raw Period DMR Data'!$A:$A,B708,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08" s="28" t="str" cm="1">
        <f t="array" ref="V708">IFERROR(INDEX('Raw Period DMR Data'!N:N,MATCH(1,(B708='Raw Period DMR Data'!$A:$A)*(U708='Raw Period DMR Data'!M:M)*(X708='Raw Period DMR Data'!C:C),0),1), "N/A")</f>
        <v>N/A</v>
      </c>
      <c r="W708" s="28" t="s">
        <v>1463</v>
      </c>
      <c r="X708" s="28" t="s">
        <v>1925</v>
      </c>
      <c r="Y708" s="28" t="s">
        <v>1926</v>
      </c>
      <c r="Z708" s="61">
        <v>6040006000329</v>
      </c>
      <c r="AA708" s="60"/>
      <c r="AB708" s="28" t="s">
        <v>7355</v>
      </c>
      <c r="AC708" s="28" t="s">
        <v>1466</v>
      </c>
    </row>
    <row r="709" spans="1:29" s="28" customFormat="1" x14ac:dyDescent="0.25">
      <c r="A709" s="61">
        <v>110000741608</v>
      </c>
      <c r="B709" s="28">
        <v>2023</v>
      </c>
      <c r="C709" s="68">
        <f t="shared" si="11"/>
        <v>44927</v>
      </c>
      <c r="D709" s="28" t="s">
        <v>6795</v>
      </c>
      <c r="E709" s="28" t="s">
        <v>1924</v>
      </c>
      <c r="F709" s="28" t="s">
        <v>323</v>
      </c>
      <c r="G709" s="28" t="s">
        <v>324</v>
      </c>
      <c r="H709" s="28">
        <v>42029</v>
      </c>
      <c r="I709" s="28">
        <v>37.047736999999998</v>
      </c>
      <c r="J709" s="28">
        <v>-88.35866</v>
      </c>
      <c r="K709" s="28" t="s">
        <v>721</v>
      </c>
      <c r="L709" s="61">
        <v>110000741608</v>
      </c>
      <c r="M709" s="28" t="s">
        <v>265</v>
      </c>
      <c r="N709" s="28">
        <v>2869</v>
      </c>
      <c r="O709" s="28" t="str">
        <f>IFERROR(VLOOKUP(N709, 'SIC &amp; NAICS Codes'!A:B, 2, FALSE), "")</f>
        <v>Industrial Organic Chemicals, NEC (aliphatics)</v>
      </c>
      <c r="S709" s="28">
        <v>0.49713000000000002</v>
      </c>
      <c r="T709" s="315">
        <f>_xlfn.MAXIFS('Raw Period DMR Data'!$O:$O,'Raw Period DMR Data'!$A:$A,'Raw Annual DMR Data_2021-2024'!#REF!,'Raw Period DMR Data'!$C:$C,X709)/S709</f>
        <v>0</v>
      </c>
      <c r="U709" s="28" t="str">
        <f>+IF(COUNTIFS('Raw Period DMR Data'!$A:$A,B709,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09" s="28" t="str" cm="1">
        <f t="array" ref="V709">IFERROR(INDEX('Raw Period DMR Data'!N:N,MATCH(1,(B709='Raw Period DMR Data'!$A:$A)*(U709='Raw Period DMR Data'!M:M)*(X709='Raw Period DMR Data'!C:C),0),1), "N/A")</f>
        <v>N/A</v>
      </c>
      <c r="W709" s="28" t="s">
        <v>1463</v>
      </c>
      <c r="X709" s="28" t="s">
        <v>1925</v>
      </c>
      <c r="Y709" s="28" t="s">
        <v>1926</v>
      </c>
      <c r="Z709" s="61" t="s">
        <v>1492</v>
      </c>
      <c r="AA709" s="60"/>
      <c r="AB709" s="28" t="s">
        <v>7355</v>
      </c>
      <c r="AC709" s="28" t="s">
        <v>1466</v>
      </c>
    </row>
    <row r="710" spans="1:29" s="28" customFormat="1" x14ac:dyDescent="0.25">
      <c r="A710" s="61">
        <v>110070546877</v>
      </c>
      <c r="B710" s="28">
        <v>2024</v>
      </c>
      <c r="C710" s="68">
        <f t="shared" si="11"/>
        <v>45292</v>
      </c>
      <c r="D710" s="28" t="s">
        <v>1193</v>
      </c>
      <c r="E710" s="28" t="s">
        <v>1927</v>
      </c>
      <c r="F710" s="28" t="s">
        <v>293</v>
      </c>
      <c r="G710" s="28" t="s">
        <v>294</v>
      </c>
      <c r="H710" s="28">
        <v>22203</v>
      </c>
      <c r="I710" s="28">
        <v>38.861800000000002</v>
      </c>
      <c r="J710" s="28">
        <v>-77.086969999999994</v>
      </c>
      <c r="L710" s="61">
        <v>110070546877</v>
      </c>
      <c r="M710" s="28" t="s">
        <v>265</v>
      </c>
      <c r="N710" s="28">
        <v>1794</v>
      </c>
      <c r="O710" s="28" t="str">
        <f>IFERROR(VLOOKUP(N710, 'SIC &amp; NAICS Codes'!A:B, 2, FALSE), "")</f>
        <v>Excavation Work</v>
      </c>
      <c r="S710" s="28">
        <v>9.4510465899999997E-3</v>
      </c>
      <c r="T710" s="315">
        <f>_xlfn.MAXIFS('Raw Period DMR Data'!$O:$O,'Raw Period DMR Data'!$A:$A,'Raw Annual DMR Data_2021-2024'!#REF!,'Raw Period DMR Data'!$C:$C,X710)/S710</f>
        <v>0</v>
      </c>
      <c r="U710" s="28" t="str">
        <f>+IF(COUNTIFS('Raw Period DMR Data'!$A:$A,B710,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10" s="28" t="str" cm="1">
        <f t="array" ref="V710">IFERROR(INDEX('Raw Period DMR Data'!N:N,MATCH(1,(B710='Raw Period DMR Data'!$A:$A)*(U710='Raw Period DMR Data'!M:M)*(X710='Raw Period DMR Data'!C:C),0),1), "N/A")</f>
        <v>N/A</v>
      </c>
      <c r="W710" s="28" t="s">
        <v>1463</v>
      </c>
      <c r="X710" s="28" t="s">
        <v>1928</v>
      </c>
      <c r="Y710" s="28" t="s">
        <v>1475</v>
      </c>
      <c r="Z710" s="61"/>
      <c r="AA710" s="60"/>
      <c r="AB710" s="28" t="s">
        <v>7355</v>
      </c>
      <c r="AC710" s="28" t="s">
        <v>1466</v>
      </c>
    </row>
    <row r="711" spans="1:29" s="28" customFormat="1" x14ac:dyDescent="0.25">
      <c r="A711" s="61">
        <v>110070546877</v>
      </c>
      <c r="B711" s="28">
        <v>2023</v>
      </c>
      <c r="C711" s="68">
        <f t="shared" si="11"/>
        <v>44927</v>
      </c>
      <c r="D711" s="28" t="s">
        <v>1193</v>
      </c>
      <c r="E711" s="28" t="s">
        <v>1927</v>
      </c>
      <c r="F711" s="28" t="s">
        <v>293</v>
      </c>
      <c r="G711" s="28" t="s">
        <v>294</v>
      </c>
      <c r="H711" s="28">
        <v>22203</v>
      </c>
      <c r="I711" s="28">
        <v>38.861800000000002</v>
      </c>
      <c r="J711" s="28">
        <v>-77.086969999999994</v>
      </c>
      <c r="L711" s="61">
        <v>110070546877</v>
      </c>
      <c r="M711" s="28" t="s">
        <v>265</v>
      </c>
      <c r="N711" s="28">
        <v>1794</v>
      </c>
      <c r="O711" s="28" t="str">
        <f>IFERROR(VLOOKUP(N711, 'SIC &amp; NAICS Codes'!A:B, 2, FALSE), "")</f>
        <v>Excavation Work</v>
      </c>
      <c r="S711" s="28">
        <v>8.9960658580500001E-3</v>
      </c>
      <c r="T711" s="315">
        <f>_xlfn.MAXIFS('Raw Period DMR Data'!$O:$O,'Raw Period DMR Data'!$A:$A,'Raw Annual DMR Data_2021-2024'!#REF!,'Raw Period DMR Data'!$C:$C,X711)/S711</f>
        <v>0</v>
      </c>
      <c r="U711" s="28" t="str">
        <f>+IF(COUNTIFS('Raw Period DMR Data'!$A:$A,B711,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11" s="28" t="str" cm="1">
        <f t="array" ref="V711">IFERROR(INDEX('Raw Period DMR Data'!N:N,MATCH(1,(B711='Raw Period DMR Data'!$A:$A)*(U711='Raw Period DMR Data'!M:M)*(X711='Raw Period DMR Data'!C:C),0),1), "N/A")</f>
        <v>N/A</v>
      </c>
      <c r="W711" s="28" t="s">
        <v>1463</v>
      </c>
      <c r="X711" s="28" t="s">
        <v>1928</v>
      </c>
      <c r="Y711" s="28" t="s">
        <v>1475</v>
      </c>
      <c r="Z711" s="61"/>
      <c r="AA711" s="60" t="s">
        <v>7355</v>
      </c>
      <c r="AB711" s="28" t="s">
        <v>7355</v>
      </c>
      <c r="AC711" s="28" t="s">
        <v>1466</v>
      </c>
    </row>
    <row r="712" spans="1:29" s="28" customFormat="1" x14ac:dyDescent="0.25">
      <c r="A712" s="61">
        <v>110070546877</v>
      </c>
      <c r="B712" s="28">
        <v>2022</v>
      </c>
      <c r="C712" s="68">
        <f t="shared" si="11"/>
        <v>44562</v>
      </c>
      <c r="D712" s="28" t="s">
        <v>1193</v>
      </c>
      <c r="E712" s="28" t="s">
        <v>1927</v>
      </c>
      <c r="F712" s="28" t="s">
        <v>293</v>
      </c>
      <c r="G712" s="28" t="s">
        <v>294</v>
      </c>
      <c r="H712" s="28">
        <v>22203</v>
      </c>
      <c r="I712" s="28">
        <v>38.861800000000002</v>
      </c>
      <c r="J712" s="28">
        <v>-77.086969999999994</v>
      </c>
      <c r="L712" s="61">
        <v>110070546877</v>
      </c>
      <c r="M712" s="28" t="s">
        <v>265</v>
      </c>
      <c r="N712" s="28">
        <v>1794</v>
      </c>
      <c r="O712" s="28" t="str">
        <f>IFERROR(VLOOKUP(N712, 'SIC &amp; NAICS Codes'!A:B, 2, FALSE), "")</f>
        <v>Excavation Work</v>
      </c>
      <c r="S712" s="28">
        <v>2.9379204064999999E-4</v>
      </c>
      <c r="T712" s="315">
        <f>_xlfn.MAXIFS('Raw Period DMR Data'!$O:$O,'Raw Period DMR Data'!$A:$A,'Raw Annual DMR Data_2021-2024'!#REF!,'Raw Period DMR Data'!$C:$C,X712)/S712</f>
        <v>0</v>
      </c>
      <c r="U712" s="28" t="str">
        <f>+IF(COUNTIFS('Raw Period DMR Data'!$A:$A,B712,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12" s="28" t="str" cm="1">
        <f t="array" ref="V712">IFERROR(INDEX('Raw Period DMR Data'!N:N,MATCH(1,(B712='Raw Period DMR Data'!$A:$A)*(U712='Raw Period DMR Data'!M:M)*(X712='Raw Period DMR Data'!C:C),0),1), "N/A")</f>
        <v>N/A</v>
      </c>
      <c r="W712" s="28" t="s">
        <v>1463</v>
      </c>
      <c r="X712" s="28" t="s">
        <v>1928</v>
      </c>
      <c r="Y712" s="28" t="s">
        <v>1475</v>
      </c>
      <c r="Z712" s="61"/>
      <c r="AA712" s="60"/>
      <c r="AB712" s="28" t="s">
        <v>7355</v>
      </c>
      <c r="AC712" s="28" t="s">
        <v>1466</v>
      </c>
    </row>
    <row r="713" spans="1:29" s="28" customFormat="1" x14ac:dyDescent="0.25">
      <c r="A713" s="61">
        <v>110070546877</v>
      </c>
      <c r="B713" s="28">
        <v>2021</v>
      </c>
      <c r="C713" s="68">
        <f t="shared" si="11"/>
        <v>44197</v>
      </c>
      <c r="D713" s="28" t="s">
        <v>1193</v>
      </c>
      <c r="E713" s="28" t="s">
        <v>1927</v>
      </c>
      <c r="F713" s="28" t="s">
        <v>293</v>
      </c>
      <c r="G713" s="28" t="s">
        <v>294</v>
      </c>
      <c r="H713" s="28">
        <v>22203</v>
      </c>
      <c r="I713" s="28">
        <v>38.861800000000002</v>
      </c>
      <c r="J713" s="28">
        <v>-77.086969999999994</v>
      </c>
      <c r="L713" s="61">
        <v>110070546877</v>
      </c>
      <c r="M713" s="28" t="s">
        <v>265</v>
      </c>
      <c r="N713" s="28">
        <v>1794</v>
      </c>
      <c r="O713" s="28" t="str">
        <f>IFERROR(VLOOKUP(N713, 'SIC &amp; NAICS Codes'!A:B, 2, FALSE), "")</f>
        <v>Excavation Work</v>
      </c>
      <c r="S713" s="28">
        <v>2.8654940529999998E-4</v>
      </c>
      <c r="T713" s="315">
        <f>_xlfn.MAXIFS('Raw Period DMR Data'!$O:$O,'Raw Period DMR Data'!$A:$A,'Raw Annual DMR Data_2021-2024'!#REF!,'Raw Period DMR Data'!$C:$C,X713)/S713</f>
        <v>0</v>
      </c>
      <c r="U713" s="28" t="str">
        <f>+IF(COUNTIFS('Raw Period DMR Data'!$A:$A,B713,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13" s="28" t="str" cm="1">
        <f t="array" ref="V713">IFERROR(INDEX('Raw Period DMR Data'!N:N,MATCH(1,(B713='Raw Period DMR Data'!$A:$A)*(U713='Raw Period DMR Data'!M:M)*(X713='Raw Period DMR Data'!C:C),0),1), "N/A")</f>
        <v>N/A</v>
      </c>
      <c r="W713" s="28" t="s">
        <v>1463</v>
      </c>
      <c r="X713" s="28" t="s">
        <v>1928</v>
      </c>
      <c r="Y713" s="28" t="s">
        <v>1475</v>
      </c>
      <c r="Z713" s="61"/>
      <c r="AB713" s="28" t="s">
        <v>7355</v>
      </c>
      <c r="AC713" s="28" t="s">
        <v>1466</v>
      </c>
    </row>
    <row r="714" spans="1:29" s="28" customFormat="1" x14ac:dyDescent="0.25">
      <c r="A714" s="61">
        <v>110042005503</v>
      </c>
      <c r="B714" s="28">
        <v>2022</v>
      </c>
      <c r="C714" s="68">
        <f t="shared" si="11"/>
        <v>44562</v>
      </c>
      <c r="D714" s="28" t="s">
        <v>6803</v>
      </c>
      <c r="E714" s="28" t="s">
        <v>6957</v>
      </c>
      <c r="F714" s="28" t="s">
        <v>6958</v>
      </c>
      <c r="G714" s="28" t="s">
        <v>362</v>
      </c>
      <c r="H714" s="28">
        <v>77539</v>
      </c>
      <c r="I714" s="28">
        <v>29.460277999999999</v>
      </c>
      <c r="J714" s="28">
        <v>-95.043890000000005</v>
      </c>
      <c r="L714" s="61">
        <v>110042005503</v>
      </c>
      <c r="M714" s="28" t="s">
        <v>265</v>
      </c>
      <c r="N714" s="28">
        <v>2999</v>
      </c>
      <c r="O714" s="28" t="str">
        <f>IFERROR(VLOOKUP(N714, 'SIC &amp; NAICS Codes'!A:B, 2, FALSE), "")</f>
        <v>Products of Petroleum and Coal, NEC</v>
      </c>
      <c r="S714" s="28">
        <v>0.16571</v>
      </c>
      <c r="T714" s="315">
        <f>_xlfn.MAXIFS('Raw Period DMR Data'!$O:$O,'Raw Period DMR Data'!$A:$A,'Raw Annual DMR Data_2021-2024'!#REF!,'Raw Period DMR Data'!$C:$C,X714)/S714</f>
        <v>0</v>
      </c>
      <c r="U714" s="28" t="str">
        <f>+IF(COUNTIFS('Raw Period DMR Data'!$A:$A,B714,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14" s="28" t="str" cm="1">
        <f t="array" ref="V714">IFERROR(INDEX('Raw Period DMR Data'!N:N,MATCH(1,(B714='Raw Period DMR Data'!$A:$A)*(U714='Raw Period DMR Data'!M:M)*(X714='Raw Period DMR Data'!C:C),0),1), "N/A")</f>
        <v>N/A</v>
      </c>
      <c r="W714" s="28" t="s">
        <v>1463</v>
      </c>
      <c r="X714" s="28" t="s">
        <v>7156</v>
      </c>
      <c r="Y714" s="28" t="s">
        <v>7268</v>
      </c>
      <c r="Z714" s="61">
        <v>12040204000087</v>
      </c>
      <c r="AA714" s="60"/>
      <c r="AC714" s="28" t="s">
        <v>1466</v>
      </c>
    </row>
    <row r="715" spans="1:29" s="28" customFormat="1" x14ac:dyDescent="0.25">
      <c r="A715" s="61">
        <v>110006777210</v>
      </c>
      <c r="B715" s="28">
        <v>2021</v>
      </c>
      <c r="C715" s="68">
        <f t="shared" si="11"/>
        <v>44197</v>
      </c>
      <c r="D715" s="28" t="s">
        <v>6842</v>
      </c>
      <c r="E715" s="28" t="s">
        <v>6998</v>
      </c>
      <c r="F715" s="28" t="s">
        <v>1286</v>
      </c>
      <c r="G715" s="28" t="s">
        <v>1171</v>
      </c>
      <c r="H715" s="28">
        <v>96816</v>
      </c>
      <c r="I715" s="28">
        <v>21.27167</v>
      </c>
      <c r="J715" s="28">
        <v>-157.77395999999999</v>
      </c>
      <c r="L715" s="61">
        <v>110006777210</v>
      </c>
      <c r="M715" s="28" t="s">
        <v>265</v>
      </c>
      <c r="O715" s="28" t="str">
        <f>IFERROR(VLOOKUP(N715, 'SIC &amp; NAICS Codes'!A:B, 2, FALSE), "")</f>
        <v/>
      </c>
      <c r="S715" s="28">
        <v>3.3720372722</v>
      </c>
      <c r="T715" s="315">
        <f>_xlfn.MAXIFS('Raw Period DMR Data'!$O:$O,'Raw Period DMR Data'!$A:$A,'Raw Annual DMR Data_2021-2024'!#REF!,'Raw Period DMR Data'!$C:$C,X715)/S715</f>
        <v>0</v>
      </c>
      <c r="U715" s="28" t="str">
        <f>+IF(COUNTIFS('Raw Period DMR Data'!$A:$A,B715,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15" s="28" t="str" cm="1">
        <f t="array" ref="V715">IFERROR(INDEX('Raw Period DMR Data'!N:N,MATCH(1,(B715='Raw Period DMR Data'!$A:$A)*(U715='Raw Period DMR Data'!M:M)*(X715='Raw Period DMR Data'!C:C),0),1), "N/A")</f>
        <v>N/A</v>
      </c>
      <c r="W715" s="28" t="s">
        <v>1463</v>
      </c>
      <c r="X715" s="28" t="s">
        <v>7177</v>
      </c>
      <c r="Y715" s="28" t="s">
        <v>7287</v>
      </c>
      <c r="Z715" s="61">
        <v>20060000000144</v>
      </c>
      <c r="AC715" s="28" t="s">
        <v>1466</v>
      </c>
    </row>
    <row r="716" spans="1:29" s="28" customFormat="1" x14ac:dyDescent="0.25">
      <c r="A716" s="61">
        <v>110071357531</v>
      </c>
      <c r="B716" s="28">
        <v>2022</v>
      </c>
      <c r="C716" s="68">
        <f t="shared" si="11"/>
        <v>44562</v>
      </c>
      <c r="D716" s="28" t="s">
        <v>6787</v>
      </c>
      <c r="E716" s="28" t="s">
        <v>6938</v>
      </c>
      <c r="F716" s="28" t="s">
        <v>1403</v>
      </c>
      <c r="G716" s="28" t="s">
        <v>294</v>
      </c>
      <c r="H716" s="28">
        <v>23462</v>
      </c>
      <c r="I716" s="28">
        <v>36.825991999999999</v>
      </c>
      <c r="J716" s="28">
        <v>-76.161393000000004</v>
      </c>
      <c r="L716" s="61">
        <v>110071357531</v>
      </c>
      <c r="M716" s="28" t="s">
        <v>265</v>
      </c>
      <c r="N716" s="28">
        <v>1794</v>
      </c>
      <c r="O716" s="28" t="str">
        <f>IFERROR(VLOOKUP(N716, 'SIC &amp; NAICS Codes'!A:B, 2, FALSE), "")</f>
        <v>Excavation Work</v>
      </c>
      <c r="S716" s="28">
        <v>1.3626000000000001E-3</v>
      </c>
      <c r="T716" s="315">
        <f>_xlfn.MAXIFS('Raw Period DMR Data'!$O:$O,'Raw Period DMR Data'!$A:$A,'Raw Annual DMR Data_2021-2024'!#REF!,'Raw Period DMR Data'!$C:$C,X716)/S716</f>
        <v>0</v>
      </c>
      <c r="U716" s="28" t="str">
        <f>+IF(COUNTIFS('Raw Period DMR Data'!$A:$A,B716,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16" s="28" t="str" cm="1">
        <f t="array" ref="V716">IFERROR(INDEX('Raw Period DMR Data'!N:N,MATCH(1,(B716='Raw Period DMR Data'!$A:$A)*(U716='Raw Period DMR Data'!M:M)*(X716='Raw Period DMR Data'!C:C),0),1), "N/A")</f>
        <v>N/A</v>
      </c>
      <c r="W716" s="28" t="s">
        <v>1463</v>
      </c>
      <c r="X716" s="28" t="s">
        <v>7147</v>
      </c>
      <c r="Y716" s="28" t="s">
        <v>2319</v>
      </c>
      <c r="Z716" s="61"/>
      <c r="AA716" s="60"/>
      <c r="AB716" s="28" t="s">
        <v>7355</v>
      </c>
      <c r="AC716" s="28" t="s">
        <v>1466</v>
      </c>
    </row>
    <row r="717" spans="1:29" s="28" customFormat="1" x14ac:dyDescent="0.25">
      <c r="A717" s="61">
        <v>110042005503</v>
      </c>
      <c r="B717" s="28">
        <v>2023</v>
      </c>
      <c r="C717" s="68">
        <f t="shared" si="11"/>
        <v>44927</v>
      </c>
      <c r="D717" s="28" t="s">
        <v>6803</v>
      </c>
      <c r="E717" s="28" t="s">
        <v>6957</v>
      </c>
      <c r="F717" s="28" t="s">
        <v>6958</v>
      </c>
      <c r="G717" s="28" t="s">
        <v>362</v>
      </c>
      <c r="H717" s="28">
        <v>77539</v>
      </c>
      <c r="I717" s="28">
        <v>29.460277999999999</v>
      </c>
      <c r="J717" s="28">
        <v>-95.043890000000005</v>
      </c>
      <c r="L717" s="61">
        <v>110042005503</v>
      </c>
      <c r="M717" s="28" t="s">
        <v>265</v>
      </c>
      <c r="N717" s="28">
        <v>2999</v>
      </c>
      <c r="O717" s="28" t="str">
        <f>IFERROR(VLOOKUP(N717, 'SIC &amp; NAICS Codes'!A:B, 2, FALSE), "")</f>
        <v>Products of Petroleum and Coal, NEC</v>
      </c>
      <c r="S717" s="28">
        <v>0.16571</v>
      </c>
      <c r="T717" s="315">
        <f>_xlfn.MAXIFS('Raw Period DMR Data'!$O:$O,'Raw Period DMR Data'!$A:$A,'Raw Annual DMR Data_2021-2024'!#REF!,'Raw Period DMR Data'!$C:$C,X717)/S717</f>
        <v>0</v>
      </c>
      <c r="U717" s="28" t="str">
        <f>+IF(COUNTIFS('Raw Period DMR Data'!$A:$A,B717,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17" s="28" t="str" cm="1">
        <f t="array" ref="V717">IFERROR(INDEX('Raw Period DMR Data'!N:N,MATCH(1,(B717='Raw Period DMR Data'!$A:$A)*(U717='Raw Period DMR Data'!M:M)*(X717='Raw Period DMR Data'!C:C),0),1), "N/A")</f>
        <v>N/A</v>
      </c>
      <c r="W717" s="28" t="s">
        <v>1463</v>
      </c>
      <c r="X717" s="28" t="s">
        <v>7156</v>
      </c>
      <c r="Y717" s="28" t="s">
        <v>7268</v>
      </c>
      <c r="Z717" s="61">
        <v>12040204000087</v>
      </c>
      <c r="AA717" s="60"/>
      <c r="AC717" s="28" t="s">
        <v>1466</v>
      </c>
    </row>
    <row r="718" spans="1:29" s="28" customFormat="1" x14ac:dyDescent="0.25">
      <c r="A718" s="61">
        <v>110071816702</v>
      </c>
      <c r="B718" s="28">
        <v>2024</v>
      </c>
      <c r="C718" s="68">
        <f t="shared" si="11"/>
        <v>45292</v>
      </c>
      <c r="D718" s="28" t="s">
        <v>6890</v>
      </c>
      <c r="E718" s="28" t="s">
        <v>7072</v>
      </c>
      <c r="F718" s="28" t="s">
        <v>968</v>
      </c>
      <c r="G718" s="28" t="s">
        <v>294</v>
      </c>
      <c r="H718" s="28">
        <v>22304</v>
      </c>
      <c r="I718" s="28">
        <v>38.816679000000001</v>
      </c>
      <c r="J718" s="28">
        <v>-77.132997000000003</v>
      </c>
      <c r="L718" s="61">
        <v>110071816702</v>
      </c>
      <c r="M718" s="28" t="s">
        <v>265</v>
      </c>
      <c r="N718" s="28">
        <v>1794</v>
      </c>
      <c r="O718" s="28" t="str">
        <f>IFERROR(VLOOKUP(N718, 'SIC &amp; NAICS Codes'!A:B, 2, FALSE), "")</f>
        <v>Excavation Work</v>
      </c>
      <c r="S718" s="28">
        <v>1.2118056E-2</v>
      </c>
      <c r="T718" s="315">
        <f>_xlfn.MAXIFS('Raw Period DMR Data'!$O:$O,'Raw Period DMR Data'!$A:$A,'Raw Annual DMR Data_2021-2024'!#REF!,'Raw Period DMR Data'!$C:$C,X718)/S718</f>
        <v>0</v>
      </c>
      <c r="U718" s="28" t="str">
        <f>+IF(COUNTIFS('Raw Period DMR Data'!$A:$A,B718,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18" s="28" t="str" cm="1">
        <f t="array" ref="V718">IFERROR(INDEX('Raw Period DMR Data'!N:N,MATCH(1,(B718='Raw Period DMR Data'!$A:$A)*(U718='Raw Period DMR Data'!M:M)*(X718='Raw Period DMR Data'!C:C),0),1), "N/A")</f>
        <v>N/A</v>
      </c>
      <c r="W718" s="28" t="s">
        <v>1463</v>
      </c>
      <c r="X718" s="28" t="s">
        <v>7217</v>
      </c>
      <c r="Y718" s="28" t="s">
        <v>1788</v>
      </c>
      <c r="Z718" s="61"/>
      <c r="AA718" s="60"/>
      <c r="AB718" s="28" t="s">
        <v>7355</v>
      </c>
      <c r="AC718" s="28" t="s">
        <v>1466</v>
      </c>
    </row>
    <row r="719" spans="1:29" s="28" customFormat="1" x14ac:dyDescent="0.25">
      <c r="A719" s="61">
        <v>110071816702</v>
      </c>
      <c r="B719" s="28">
        <v>2024</v>
      </c>
      <c r="C719" s="68">
        <f t="shared" si="11"/>
        <v>45292</v>
      </c>
      <c r="D719" s="28" t="s">
        <v>6890</v>
      </c>
      <c r="E719" s="28" t="s">
        <v>7072</v>
      </c>
      <c r="F719" s="28" t="s">
        <v>968</v>
      </c>
      <c r="G719" s="28" t="s">
        <v>294</v>
      </c>
      <c r="H719" s="28">
        <v>22304</v>
      </c>
      <c r="I719" s="28">
        <v>38.816679000000001</v>
      </c>
      <c r="J719" s="28">
        <v>-77.132997000000003</v>
      </c>
      <c r="L719" s="61">
        <v>110071816702</v>
      </c>
      <c r="M719" s="28" t="s">
        <v>265</v>
      </c>
      <c r="N719" s="28">
        <v>1794</v>
      </c>
      <c r="O719" s="28" t="str">
        <f>IFERROR(VLOOKUP(N719, 'SIC &amp; NAICS Codes'!A:B, 2, FALSE), "")</f>
        <v>Excavation Work</v>
      </c>
      <c r="S719" s="28">
        <v>1.2118056E-2</v>
      </c>
      <c r="T719" s="315">
        <f>_xlfn.MAXIFS('Raw Period DMR Data'!$O:$O,'Raw Period DMR Data'!$A:$A,'Raw Annual DMR Data_2021-2024'!#REF!,'Raw Period DMR Data'!$C:$C,X719)/S719</f>
        <v>0</v>
      </c>
      <c r="U719" s="28" t="str">
        <f>+IF(COUNTIFS('Raw Period DMR Data'!$A:$A,B719,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19" s="28" t="str" cm="1">
        <f t="array" ref="V719">IFERROR(INDEX('Raw Period DMR Data'!N:N,MATCH(1,(B719='Raw Period DMR Data'!$A:$A)*(U719='Raw Period DMR Data'!M:M)*(X719='Raw Period DMR Data'!C:C),0),1), "N/A")</f>
        <v>N/A</v>
      </c>
      <c r="W719" s="28" t="s">
        <v>1463</v>
      </c>
      <c r="X719" s="28" t="s">
        <v>7217</v>
      </c>
      <c r="Y719" s="28" t="s">
        <v>1788</v>
      </c>
      <c r="Z719" s="61"/>
      <c r="AA719" s="60"/>
      <c r="AB719" s="28" t="s">
        <v>7355</v>
      </c>
      <c r="AC719" s="28" t="s">
        <v>1466</v>
      </c>
    </row>
    <row r="720" spans="1:29" s="28" customFormat="1" x14ac:dyDescent="0.25">
      <c r="A720" s="61">
        <v>110000373621</v>
      </c>
      <c r="B720" s="28">
        <v>2021</v>
      </c>
      <c r="C720" s="68">
        <f t="shared" si="11"/>
        <v>44197</v>
      </c>
      <c r="D720" s="28" t="s">
        <v>6816</v>
      </c>
      <c r="E720" s="28" t="s">
        <v>6971</v>
      </c>
      <c r="F720" s="28" t="s">
        <v>6972</v>
      </c>
      <c r="G720" s="28" t="s">
        <v>979</v>
      </c>
      <c r="H720" s="28">
        <v>38012</v>
      </c>
      <c r="I720" s="28">
        <v>35.607599999999998</v>
      </c>
      <c r="J720" s="28">
        <v>-89.237700000000004</v>
      </c>
      <c r="K720" s="28" t="s">
        <v>7125</v>
      </c>
      <c r="L720" s="61">
        <v>110000373621</v>
      </c>
      <c r="M720" s="28" t="s">
        <v>265</v>
      </c>
      <c r="N720" s="28">
        <v>3087</v>
      </c>
      <c r="O720" s="28" t="str">
        <f>IFERROR(VLOOKUP(N720, 'SIC &amp; NAICS Codes'!A:B, 2, FALSE), "")</f>
        <v>Custom Compounding of Purchased Plastics Resins</v>
      </c>
      <c r="S720" s="28">
        <v>1.2488986</v>
      </c>
      <c r="T720" s="315">
        <f>_xlfn.MAXIFS('Raw Period DMR Data'!$O:$O,'Raw Period DMR Data'!$A:$A,'Raw Annual DMR Data_2021-2024'!#REF!,'Raw Period DMR Data'!$C:$C,X720)/S720</f>
        <v>0</v>
      </c>
      <c r="U720" s="28" t="str">
        <f>+IF(COUNTIFS('Raw Period DMR Data'!$A:$A,B720,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20" s="28" t="str" cm="1">
        <f t="array" ref="V720">IFERROR(INDEX('Raw Period DMR Data'!N:N,MATCH(1,(B720='Raw Period DMR Data'!$A:$A)*(U720='Raw Period DMR Data'!M:M)*(X720='Raw Period DMR Data'!C:C),0),1), "N/A")</f>
        <v>N/A</v>
      </c>
      <c r="W720" s="28" t="s">
        <v>1463</v>
      </c>
      <c r="X720" s="28" t="s">
        <v>7162</v>
      </c>
      <c r="Y720" s="28" t="s">
        <v>7274</v>
      </c>
      <c r="Z720" s="61">
        <v>8010205000538</v>
      </c>
      <c r="AB720" s="28" t="s">
        <v>7355</v>
      </c>
      <c r="AC720" s="28" t="s">
        <v>1466</v>
      </c>
    </row>
    <row r="721" spans="1:29" s="28" customFormat="1" x14ac:dyDescent="0.25">
      <c r="A721" s="61">
        <v>110000373621</v>
      </c>
      <c r="B721" s="28">
        <v>2021</v>
      </c>
      <c r="C721" s="68">
        <f t="shared" si="11"/>
        <v>44197</v>
      </c>
      <c r="D721" s="28" t="s">
        <v>6816</v>
      </c>
      <c r="E721" s="28" t="s">
        <v>6971</v>
      </c>
      <c r="F721" s="28" t="s">
        <v>6972</v>
      </c>
      <c r="G721" s="28" t="s">
        <v>979</v>
      </c>
      <c r="H721" s="28">
        <v>38012</v>
      </c>
      <c r="I721" s="28">
        <v>35.607599999999998</v>
      </c>
      <c r="J721" s="28">
        <v>-89.237700000000004</v>
      </c>
      <c r="K721" s="28" t="s">
        <v>7125</v>
      </c>
      <c r="L721" s="61">
        <v>110000373621</v>
      </c>
      <c r="M721" s="28" t="s">
        <v>265</v>
      </c>
      <c r="N721" s="28">
        <v>3087</v>
      </c>
      <c r="O721" s="28" t="str">
        <f>IFERROR(VLOOKUP(N721, 'SIC &amp; NAICS Codes'!A:B, 2, FALSE), "")</f>
        <v>Custom Compounding of Purchased Plastics Resins</v>
      </c>
      <c r="S721" s="28">
        <v>1.1328505</v>
      </c>
      <c r="T721" s="315">
        <f>_xlfn.MAXIFS('Raw Period DMR Data'!$O:$O,'Raw Period DMR Data'!$A:$A,'Raw Annual DMR Data_2021-2024'!#REF!,'Raw Period DMR Data'!$C:$C,X721)/S721</f>
        <v>0</v>
      </c>
      <c r="U721" s="28" t="str">
        <f>+IF(COUNTIFS('Raw Period DMR Data'!$A:$A,B721,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21" s="28" t="str" cm="1">
        <f t="array" ref="V721">IFERROR(INDEX('Raw Period DMR Data'!N:N,MATCH(1,(B721='Raw Period DMR Data'!$A:$A)*(U721='Raw Period DMR Data'!M:M)*(X721='Raw Period DMR Data'!C:C),0),1), "N/A")</f>
        <v>N/A</v>
      </c>
      <c r="W721" s="28" t="s">
        <v>1463</v>
      </c>
      <c r="X721" s="28" t="s">
        <v>7162</v>
      </c>
      <c r="Y721" s="28" t="s">
        <v>7274</v>
      </c>
      <c r="Z721" s="61">
        <v>8010205000538</v>
      </c>
      <c r="AA721" s="60"/>
      <c r="AB721" s="28" t="s">
        <v>7355</v>
      </c>
      <c r="AC721" s="28" t="s">
        <v>1466</v>
      </c>
    </row>
    <row r="722" spans="1:29" s="28" customFormat="1" x14ac:dyDescent="0.25">
      <c r="A722" s="61">
        <v>110000373621</v>
      </c>
      <c r="B722" s="28">
        <v>2022</v>
      </c>
      <c r="C722" s="68">
        <f t="shared" si="11"/>
        <v>44562</v>
      </c>
      <c r="D722" s="28" t="s">
        <v>6816</v>
      </c>
      <c r="E722" s="28" t="s">
        <v>6971</v>
      </c>
      <c r="F722" s="28" t="s">
        <v>6972</v>
      </c>
      <c r="G722" s="28" t="s">
        <v>979</v>
      </c>
      <c r="H722" s="28">
        <v>38012</v>
      </c>
      <c r="I722" s="28">
        <v>35.607599999999998</v>
      </c>
      <c r="J722" s="28">
        <v>-89.237700000000004</v>
      </c>
      <c r="K722" s="28" t="s">
        <v>7125</v>
      </c>
      <c r="L722" s="61">
        <v>110000373621</v>
      </c>
      <c r="M722" s="28" t="s">
        <v>265</v>
      </c>
      <c r="N722" s="28">
        <v>3087</v>
      </c>
      <c r="O722" s="28" t="str">
        <f>IFERROR(VLOOKUP(N722, 'SIC &amp; NAICS Codes'!A:B, 2, FALSE), "")</f>
        <v>Custom Compounding of Purchased Plastics Resins</v>
      </c>
      <c r="S722" s="28">
        <v>0.43103580000000002</v>
      </c>
      <c r="T722" s="315">
        <f>_xlfn.MAXIFS('Raw Period DMR Data'!$O:$O,'Raw Period DMR Data'!$A:$A,'Raw Annual DMR Data_2021-2024'!#REF!,'Raw Period DMR Data'!$C:$C,X722)/S722</f>
        <v>0</v>
      </c>
      <c r="U722" s="28" t="str">
        <f>+IF(COUNTIFS('Raw Period DMR Data'!$A:$A,B722,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22" s="28" t="str" cm="1">
        <f t="array" ref="V722">IFERROR(INDEX('Raw Period DMR Data'!N:N,MATCH(1,(B722='Raw Period DMR Data'!$A:$A)*(U722='Raw Period DMR Data'!M:M)*(X722='Raw Period DMR Data'!C:C),0),1), "N/A")</f>
        <v>N/A</v>
      </c>
      <c r="W722" s="28" t="s">
        <v>1463</v>
      </c>
      <c r="X722" s="28" t="s">
        <v>7162</v>
      </c>
      <c r="Y722" s="28" t="s">
        <v>7274</v>
      </c>
      <c r="Z722" s="61">
        <v>8010205000538</v>
      </c>
      <c r="AA722" s="60"/>
      <c r="AB722" s="28" t="s">
        <v>7355</v>
      </c>
      <c r="AC722" s="28" t="s">
        <v>1466</v>
      </c>
    </row>
    <row r="723" spans="1:29" s="28" customFormat="1" x14ac:dyDescent="0.25">
      <c r="A723" s="61">
        <v>110005219913</v>
      </c>
      <c r="B723" s="28">
        <v>2023</v>
      </c>
      <c r="C723" s="68">
        <f t="shared" si="11"/>
        <v>44927</v>
      </c>
      <c r="D723" s="28" t="s">
        <v>6905</v>
      </c>
      <c r="E723" s="28" t="s">
        <v>7103</v>
      </c>
      <c r="F723" s="28" t="s">
        <v>968</v>
      </c>
      <c r="G723" s="28" t="s">
        <v>294</v>
      </c>
      <c r="H723" s="28">
        <v>22302</v>
      </c>
      <c r="I723" s="28">
        <v>38.829189999999997</v>
      </c>
      <c r="J723" s="28">
        <v>-77.084609999999998</v>
      </c>
      <c r="L723" s="61">
        <v>110005219913</v>
      </c>
      <c r="M723" s="28" t="s">
        <v>265</v>
      </c>
      <c r="N723" s="28">
        <v>1794</v>
      </c>
      <c r="O723" s="28" t="str">
        <f>IFERROR(VLOOKUP(N723, 'SIC &amp; NAICS Codes'!A:B, 2, FALSE), "")</f>
        <v>Excavation Work</v>
      </c>
      <c r="S723" s="28">
        <v>3.2356276241142798E-3</v>
      </c>
      <c r="T723" s="315">
        <f>_xlfn.MAXIFS('Raw Period DMR Data'!$O:$O,'Raw Period DMR Data'!$A:$A,'Raw Annual DMR Data_2021-2024'!#REF!,'Raw Period DMR Data'!$C:$C,X723)/S723</f>
        <v>0</v>
      </c>
      <c r="U723" s="28" t="str">
        <f>+IF(COUNTIFS('Raw Period DMR Data'!$A:$A,B723,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23" s="28" t="str" cm="1">
        <f t="array" ref="V723">IFERROR(INDEX('Raw Period DMR Data'!N:N,MATCH(1,(B723='Raw Period DMR Data'!$A:$A)*(U723='Raw Period DMR Data'!M:M)*(X723='Raw Period DMR Data'!C:C),0),1), "N/A")</f>
        <v>N/A</v>
      </c>
      <c r="W723" s="28" t="s">
        <v>1463</v>
      </c>
      <c r="X723" s="28" t="s">
        <v>7235</v>
      </c>
      <c r="Y723" s="28" t="s">
        <v>1788</v>
      </c>
      <c r="Z723" s="61"/>
      <c r="AA723" s="60"/>
      <c r="AB723" s="28" t="s">
        <v>7355</v>
      </c>
      <c r="AC723" s="28" t="s">
        <v>1466</v>
      </c>
    </row>
    <row r="724" spans="1:29" s="28" customFormat="1" x14ac:dyDescent="0.25">
      <c r="A724" s="61">
        <v>110000610429</v>
      </c>
      <c r="B724" s="28">
        <v>2023</v>
      </c>
      <c r="C724" s="68">
        <f t="shared" si="11"/>
        <v>44927</v>
      </c>
      <c r="D724" s="28" t="s">
        <v>1212</v>
      </c>
      <c r="E724" s="28" t="s">
        <v>1963</v>
      </c>
      <c r="F724" s="28" t="s">
        <v>1213</v>
      </c>
      <c r="G724" s="28" t="s">
        <v>1128</v>
      </c>
      <c r="H724" s="28">
        <v>80125</v>
      </c>
      <c r="I724" s="28">
        <v>39.496341999999999</v>
      </c>
      <c r="J724" s="28">
        <v>-105.10758800000001</v>
      </c>
      <c r="K724" s="28" t="s">
        <v>724</v>
      </c>
      <c r="L724" s="61">
        <v>110000610429</v>
      </c>
      <c r="M724" s="28" t="s">
        <v>265</v>
      </c>
      <c r="N724" s="28">
        <v>3761</v>
      </c>
      <c r="O724" s="28" t="str">
        <f>IFERROR(VLOOKUP(N724, 'SIC &amp; NAICS Codes'!A:B, 2, FALSE), "")</f>
        <v>Guided Missiles and Space Vehicles (except research and development not producing prototypes)</v>
      </c>
      <c r="S724" s="28">
        <v>7.4004698499999993E-2</v>
      </c>
      <c r="T724" s="315">
        <f>_xlfn.MAXIFS('Raw Period DMR Data'!$O:$O,'Raw Period DMR Data'!$A:$A,'Raw Annual DMR Data_2021-2024'!#REF!,'Raw Period DMR Data'!$C:$C,X724)/S724</f>
        <v>0</v>
      </c>
      <c r="U724" s="28" t="str">
        <f>+IF(COUNTIFS('Raw Period DMR Data'!$A:$A,B724,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24" s="28" t="str" cm="1">
        <f t="array" ref="V724">IFERROR(INDEX('Raw Period DMR Data'!N:N,MATCH(1,(B724='Raw Period DMR Data'!$A:$A)*(U724='Raw Period DMR Data'!M:M)*(X724='Raw Period DMR Data'!C:C),0),1), "N/A")</f>
        <v>N/A</v>
      </c>
      <c r="W724" s="28" t="s">
        <v>1463</v>
      </c>
      <c r="X724" s="28" t="s">
        <v>1964</v>
      </c>
      <c r="Y724" s="28" t="s">
        <v>1965</v>
      </c>
      <c r="Z724" s="61">
        <v>10190002000856</v>
      </c>
      <c r="AA724" s="60"/>
      <c r="AB724" s="28" t="s">
        <v>7355</v>
      </c>
      <c r="AC724" s="28" t="s">
        <v>1466</v>
      </c>
    </row>
    <row r="725" spans="1:29" s="28" customFormat="1" x14ac:dyDescent="0.25">
      <c r="A725" s="61">
        <v>110000610429</v>
      </c>
      <c r="B725" s="28">
        <v>2021</v>
      </c>
      <c r="C725" s="68">
        <f t="shared" si="11"/>
        <v>44197</v>
      </c>
      <c r="D725" s="28" t="s">
        <v>1212</v>
      </c>
      <c r="E725" s="28" t="s">
        <v>1963</v>
      </c>
      <c r="F725" s="28" t="s">
        <v>1213</v>
      </c>
      <c r="G725" s="28" t="s">
        <v>1128</v>
      </c>
      <c r="H725" s="28">
        <v>80125</v>
      </c>
      <c r="I725" s="28">
        <v>39.496341999999999</v>
      </c>
      <c r="J725" s="28">
        <v>-105.10758800000001</v>
      </c>
      <c r="K725" s="28" t="s">
        <v>724</v>
      </c>
      <c r="L725" s="61">
        <v>110000610429</v>
      </c>
      <c r="M725" s="28" t="s">
        <v>265</v>
      </c>
      <c r="N725" s="28">
        <v>3761</v>
      </c>
      <c r="O725" s="28" t="str">
        <f>IFERROR(VLOOKUP(N725, 'SIC &amp; NAICS Codes'!A:B, 2, FALSE), "")</f>
        <v>Guided Missiles and Space Vehicles (except research and development not producing prototypes)</v>
      </c>
      <c r="S725" s="28">
        <v>4.4857927499999999E-2</v>
      </c>
      <c r="T725" s="315">
        <f>_xlfn.MAXIFS('Raw Period DMR Data'!$O:$O,'Raw Period DMR Data'!$A:$A,'Raw Annual DMR Data_2021-2024'!#REF!,'Raw Period DMR Data'!$C:$C,X725)/S725</f>
        <v>0</v>
      </c>
      <c r="U725" s="28" t="str">
        <f>+IF(COUNTIFS('Raw Period DMR Data'!$A:$A,B725,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25" s="28" t="str" cm="1">
        <f t="array" ref="V725">IFERROR(INDEX('Raw Period DMR Data'!N:N,MATCH(1,(B725='Raw Period DMR Data'!$A:$A)*(U725='Raw Period DMR Data'!M:M)*(X725='Raw Period DMR Data'!C:C),0),1), "N/A")</f>
        <v>N/A</v>
      </c>
      <c r="W725" s="28" t="s">
        <v>1463</v>
      </c>
      <c r="X725" s="28" t="s">
        <v>1964</v>
      </c>
      <c r="Y725" s="28" t="s">
        <v>1965</v>
      </c>
      <c r="Z725" s="61">
        <v>10190002000856</v>
      </c>
      <c r="AB725" s="28" t="s">
        <v>7355</v>
      </c>
      <c r="AC725" s="28" t="s">
        <v>1466</v>
      </c>
    </row>
    <row r="726" spans="1:29" s="28" customFormat="1" x14ac:dyDescent="0.25">
      <c r="A726" s="61">
        <v>110000610429</v>
      </c>
      <c r="B726" s="28">
        <v>2024</v>
      </c>
      <c r="C726" s="68">
        <f t="shared" si="11"/>
        <v>45292</v>
      </c>
      <c r="D726" s="28" t="s">
        <v>1212</v>
      </c>
      <c r="E726" s="28" t="s">
        <v>1963</v>
      </c>
      <c r="F726" s="28" t="s">
        <v>1213</v>
      </c>
      <c r="G726" s="28" t="s">
        <v>1128</v>
      </c>
      <c r="H726" s="28">
        <v>80125</v>
      </c>
      <c r="I726" s="28">
        <v>39.496341999999999</v>
      </c>
      <c r="J726" s="28">
        <v>-105.10758800000001</v>
      </c>
      <c r="K726" s="28" t="s">
        <v>724</v>
      </c>
      <c r="L726" s="61">
        <v>110000610429</v>
      </c>
      <c r="M726" s="28" t="s">
        <v>265</v>
      </c>
      <c r="N726" s="28">
        <v>3761</v>
      </c>
      <c r="O726" s="28" t="str">
        <f>IFERROR(VLOOKUP(N726, 'SIC &amp; NAICS Codes'!A:B, 2, FALSE), "")</f>
        <v>Guided Missiles and Space Vehicles (except research and development not producing prototypes)</v>
      </c>
      <c r="S726" s="28">
        <v>4.2477351750000003E-2</v>
      </c>
      <c r="T726" s="315">
        <f>_xlfn.MAXIFS('Raw Period DMR Data'!$O:$O,'Raw Period DMR Data'!$A:$A,'Raw Annual DMR Data_2021-2024'!#REF!,'Raw Period DMR Data'!$C:$C,X726)/S726</f>
        <v>0</v>
      </c>
      <c r="U726" s="28" t="str">
        <f>+IF(COUNTIFS('Raw Period DMR Data'!$A:$A,B726,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26" s="28" t="str" cm="1">
        <f t="array" ref="V726">IFERROR(INDEX('Raw Period DMR Data'!N:N,MATCH(1,(B726='Raw Period DMR Data'!$A:$A)*(U726='Raw Period DMR Data'!M:M)*(X726='Raw Period DMR Data'!C:C),0),1), "N/A")</f>
        <v>N/A</v>
      </c>
      <c r="W726" s="28" t="s">
        <v>1463</v>
      </c>
      <c r="X726" s="28" t="s">
        <v>1964</v>
      </c>
      <c r="Y726" s="28" t="s">
        <v>1965</v>
      </c>
      <c r="Z726" s="61">
        <v>10190002000856</v>
      </c>
      <c r="AA726" s="60"/>
      <c r="AB726" s="28" t="s">
        <v>7355</v>
      </c>
      <c r="AC726" s="28" t="s">
        <v>1466</v>
      </c>
    </row>
    <row r="727" spans="1:29" s="28" customFormat="1" x14ac:dyDescent="0.25">
      <c r="A727" s="61">
        <v>110000610429</v>
      </c>
      <c r="B727" s="28">
        <v>2022</v>
      </c>
      <c r="C727" s="68">
        <f t="shared" si="11"/>
        <v>44562</v>
      </c>
      <c r="D727" s="28" t="s">
        <v>1212</v>
      </c>
      <c r="E727" s="28" t="s">
        <v>1963</v>
      </c>
      <c r="F727" s="28" t="s">
        <v>1213</v>
      </c>
      <c r="G727" s="28" t="s">
        <v>1128</v>
      </c>
      <c r="H727" s="28">
        <v>80125</v>
      </c>
      <c r="I727" s="28">
        <v>39.496341999999999</v>
      </c>
      <c r="J727" s="28">
        <v>-105.10758800000001</v>
      </c>
      <c r="K727" s="28" t="s">
        <v>724</v>
      </c>
      <c r="L727" s="61">
        <v>110000610429</v>
      </c>
      <c r="M727" s="28" t="s">
        <v>265</v>
      </c>
      <c r="N727" s="28">
        <v>3761</v>
      </c>
      <c r="O727" s="28" t="str">
        <f>IFERROR(VLOOKUP(N727, 'SIC &amp; NAICS Codes'!A:B, 2, FALSE), "")</f>
        <v>Guided Missiles and Space Vehicles (except research and development not producing prototypes)</v>
      </c>
      <c r="S727" s="28">
        <v>3.6758406E-2</v>
      </c>
      <c r="T727" s="315">
        <f>_xlfn.MAXIFS('Raw Period DMR Data'!$O:$O,'Raw Period DMR Data'!$A:$A,'Raw Annual DMR Data_2021-2024'!#REF!,'Raw Period DMR Data'!$C:$C,X727)/S727</f>
        <v>0</v>
      </c>
      <c r="U727" s="28" t="str">
        <f>+IF(COUNTIFS('Raw Period DMR Data'!$A:$A,B727,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27" s="28" t="str" cm="1">
        <f t="array" ref="V727">IFERROR(INDEX('Raw Period DMR Data'!N:N,MATCH(1,(B727='Raw Period DMR Data'!$A:$A)*(U727='Raw Period DMR Data'!M:M)*(X727='Raw Period DMR Data'!C:C),0),1), "N/A")</f>
        <v>N/A</v>
      </c>
      <c r="W727" s="28" t="s">
        <v>1463</v>
      </c>
      <c r="X727" s="28" t="s">
        <v>1964</v>
      </c>
      <c r="Y727" s="28" t="s">
        <v>1965</v>
      </c>
      <c r="Z727" s="61">
        <v>10190002000856</v>
      </c>
      <c r="AA727" s="60"/>
      <c r="AB727" s="28" t="s">
        <v>7355</v>
      </c>
      <c r="AC727" s="28" t="s">
        <v>1466</v>
      </c>
    </row>
    <row r="728" spans="1:29" s="28" customFormat="1" x14ac:dyDescent="0.25">
      <c r="A728" s="61">
        <v>110008995490</v>
      </c>
      <c r="B728" s="28">
        <v>2024</v>
      </c>
      <c r="C728" s="68">
        <f t="shared" si="11"/>
        <v>45292</v>
      </c>
      <c r="D728" s="28" t="s">
        <v>1224</v>
      </c>
      <c r="E728" s="28" t="s">
        <v>1985</v>
      </c>
      <c r="F728" s="28" t="s">
        <v>657</v>
      </c>
      <c r="G728" s="28" t="s">
        <v>418</v>
      </c>
      <c r="H728" s="28">
        <v>89101</v>
      </c>
      <c r="I728" s="28">
        <v>36.176639999999999</v>
      </c>
      <c r="J728" s="28">
        <v>-115.12891999999999</v>
      </c>
      <c r="L728" s="61">
        <v>110008995490</v>
      </c>
      <c r="M728" s="28" t="s">
        <v>265</v>
      </c>
      <c r="N728" s="28">
        <v>6513</v>
      </c>
      <c r="O728" s="28" t="str">
        <f>IFERROR(VLOOKUP(N728, 'SIC &amp; NAICS Codes'!A:B, 2, FALSE), "")</f>
        <v>Operators of Apartment Buildings</v>
      </c>
      <c r="S728" s="28">
        <v>0.59346860187499995</v>
      </c>
      <c r="T728" s="315">
        <f>_xlfn.MAXIFS('Raw Period DMR Data'!$O:$O,'Raw Period DMR Data'!$A:$A,'Raw Annual DMR Data_2021-2024'!#REF!,'Raw Period DMR Data'!$C:$C,X728)/S728</f>
        <v>0</v>
      </c>
      <c r="U728" s="28" t="str">
        <f>+IF(COUNTIFS('Raw Period DMR Data'!$A:$A,B728,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28" s="28" t="str" cm="1">
        <f t="array" ref="V728">IFERROR(INDEX('Raw Period DMR Data'!N:N,MATCH(1,(B728='Raw Period DMR Data'!$A:$A)*(U728='Raw Period DMR Data'!M:M)*(X728='Raw Period DMR Data'!C:C),0),1), "N/A")</f>
        <v>N/A</v>
      </c>
      <c r="W728" s="28" t="s">
        <v>1463</v>
      </c>
      <c r="X728" s="28" t="s">
        <v>1986</v>
      </c>
      <c r="Y728" s="28" t="s">
        <v>952</v>
      </c>
      <c r="Z728" s="61">
        <v>15010015000125</v>
      </c>
      <c r="AA728" s="60"/>
      <c r="AB728" s="28" t="s">
        <v>7355</v>
      </c>
      <c r="AC728" s="28" t="s">
        <v>1466</v>
      </c>
    </row>
    <row r="729" spans="1:29" s="28" customFormat="1" x14ac:dyDescent="0.25">
      <c r="A729" s="61">
        <v>110008995490</v>
      </c>
      <c r="B729" s="28">
        <v>2023</v>
      </c>
      <c r="C729" s="68">
        <f t="shared" si="11"/>
        <v>44927</v>
      </c>
      <c r="D729" s="28" t="s">
        <v>1224</v>
      </c>
      <c r="E729" s="28" t="s">
        <v>1985</v>
      </c>
      <c r="F729" s="28" t="s">
        <v>657</v>
      </c>
      <c r="G729" s="28" t="s">
        <v>418</v>
      </c>
      <c r="H729" s="28">
        <v>89101</v>
      </c>
      <c r="I729" s="28">
        <v>36.176639999999999</v>
      </c>
      <c r="J729" s="28">
        <v>-115.12891999999999</v>
      </c>
      <c r="L729" s="61">
        <v>110008995490</v>
      </c>
      <c r="M729" s="28" t="s">
        <v>265</v>
      </c>
      <c r="N729" s="28">
        <v>6513</v>
      </c>
      <c r="O729" s="28" t="str">
        <f>IFERROR(VLOOKUP(N729, 'SIC &amp; NAICS Codes'!A:B, 2, FALSE), "")</f>
        <v>Operators of Apartment Buildings</v>
      </c>
      <c r="S729" s="28">
        <v>0.25150662624999998</v>
      </c>
      <c r="T729" s="315">
        <f>_xlfn.MAXIFS('Raw Period DMR Data'!$O:$O,'Raw Period DMR Data'!$A:$A,'Raw Annual DMR Data_2021-2024'!#REF!,'Raw Period DMR Data'!$C:$C,X729)/S729</f>
        <v>0</v>
      </c>
      <c r="U729" s="28" t="str">
        <f>+IF(COUNTIFS('Raw Period DMR Data'!$A:$A,B729,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29" s="28" t="str" cm="1">
        <f t="array" ref="V729">IFERROR(INDEX('Raw Period DMR Data'!N:N,MATCH(1,(B729='Raw Period DMR Data'!$A:$A)*(U729='Raw Period DMR Data'!M:M)*(X729='Raw Period DMR Data'!C:C),0),1), "N/A")</f>
        <v>N/A</v>
      </c>
      <c r="W729" s="28" t="s">
        <v>1463</v>
      </c>
      <c r="X729" s="28" t="s">
        <v>1986</v>
      </c>
      <c r="Y729" s="28" t="s">
        <v>952</v>
      </c>
      <c r="Z729" s="61">
        <v>15010015000125</v>
      </c>
      <c r="AA729" s="60"/>
      <c r="AB729" s="28" t="s">
        <v>7355</v>
      </c>
      <c r="AC729" s="28" t="s">
        <v>1466</v>
      </c>
    </row>
    <row r="730" spans="1:29" s="28" customFormat="1" x14ac:dyDescent="0.25">
      <c r="A730" s="61">
        <v>110008995490</v>
      </c>
      <c r="B730" s="28">
        <v>2021</v>
      </c>
      <c r="C730" s="68">
        <f t="shared" si="11"/>
        <v>44197</v>
      </c>
      <c r="D730" s="28" t="s">
        <v>1224</v>
      </c>
      <c r="E730" s="28" t="s">
        <v>1985</v>
      </c>
      <c r="F730" s="28" t="s">
        <v>657</v>
      </c>
      <c r="G730" s="28" t="s">
        <v>418</v>
      </c>
      <c r="H730" s="28">
        <v>89101</v>
      </c>
      <c r="I730" s="28">
        <v>36.176639999999999</v>
      </c>
      <c r="J730" s="28">
        <v>-115.12891999999999</v>
      </c>
      <c r="L730" s="61">
        <v>110008995490</v>
      </c>
      <c r="M730" s="28" t="s">
        <v>265</v>
      </c>
      <c r="N730" s="28">
        <v>6513</v>
      </c>
      <c r="O730" s="28" t="str">
        <f>IFERROR(VLOOKUP(N730, 'SIC &amp; NAICS Codes'!A:B, 2, FALSE), "")</f>
        <v>Operators of Apartment Buildings</v>
      </c>
      <c r="S730" s="28">
        <v>5.8714812500000003E-3</v>
      </c>
      <c r="T730" s="315">
        <f>_xlfn.MAXIFS('Raw Period DMR Data'!$O:$O,'Raw Period DMR Data'!$A:$A,'Raw Annual DMR Data_2021-2024'!#REF!,'Raw Period DMR Data'!$C:$C,X730)/S730</f>
        <v>0</v>
      </c>
      <c r="U730" s="28" t="str">
        <f>+IF(COUNTIFS('Raw Period DMR Data'!$A:$A,B730,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30" s="28" t="str" cm="1">
        <f t="array" ref="V730">IFERROR(INDEX('Raw Period DMR Data'!N:N,MATCH(1,(B730='Raw Period DMR Data'!$A:$A)*(U730='Raw Period DMR Data'!M:M)*(X730='Raw Period DMR Data'!C:C),0),1), "N/A")</f>
        <v>N/A</v>
      </c>
      <c r="W730" s="28" t="s">
        <v>1463</v>
      </c>
      <c r="X730" s="28" t="s">
        <v>1986</v>
      </c>
      <c r="Y730" s="28" t="s">
        <v>952</v>
      </c>
      <c r="Z730" s="61">
        <v>15010015000125</v>
      </c>
      <c r="AB730" s="28" t="s">
        <v>7355</v>
      </c>
      <c r="AC730" s="28" t="s">
        <v>1466</v>
      </c>
    </row>
    <row r="731" spans="1:29" s="28" customFormat="1" x14ac:dyDescent="0.25">
      <c r="A731" s="61">
        <v>110008995490</v>
      </c>
      <c r="B731" s="28">
        <v>2022</v>
      </c>
      <c r="C731" s="68">
        <f t="shared" si="11"/>
        <v>44562</v>
      </c>
      <c r="D731" s="28" t="s">
        <v>1224</v>
      </c>
      <c r="E731" s="28" t="s">
        <v>1985</v>
      </c>
      <c r="F731" s="28" t="s">
        <v>657</v>
      </c>
      <c r="G731" s="28" t="s">
        <v>418</v>
      </c>
      <c r="H731" s="28">
        <v>89101</v>
      </c>
      <c r="I731" s="28">
        <v>36.176639999999999</v>
      </c>
      <c r="J731" s="28">
        <v>-115.12891999999999</v>
      </c>
      <c r="L731" s="61">
        <v>110008995490</v>
      </c>
      <c r="M731" s="28" t="s">
        <v>265</v>
      </c>
      <c r="N731" s="28">
        <v>6513</v>
      </c>
      <c r="O731" s="28" t="str">
        <f>IFERROR(VLOOKUP(N731, 'SIC &amp; NAICS Codes'!A:B, 2, FALSE), "")</f>
        <v>Operators of Apartment Buildings</v>
      </c>
      <c r="S731" s="28">
        <v>1.5196775E-3</v>
      </c>
      <c r="T731" s="315">
        <f>_xlfn.MAXIFS('Raw Period DMR Data'!$O:$O,'Raw Period DMR Data'!$A:$A,'Raw Annual DMR Data_2021-2024'!#REF!,'Raw Period DMR Data'!$C:$C,X731)/S731</f>
        <v>0</v>
      </c>
      <c r="U731" s="28" t="str">
        <f>+IF(COUNTIFS('Raw Period DMR Data'!$A:$A,B731,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31" s="28" t="str" cm="1">
        <f t="array" ref="V731">IFERROR(INDEX('Raw Period DMR Data'!N:N,MATCH(1,(B731='Raw Period DMR Data'!$A:$A)*(U731='Raw Period DMR Data'!M:M)*(X731='Raw Period DMR Data'!C:C),0),1), "N/A")</f>
        <v>N/A</v>
      </c>
      <c r="W731" s="28" t="s">
        <v>1463</v>
      </c>
      <c r="X731" s="28" t="s">
        <v>1986</v>
      </c>
      <c r="Y731" s="28" t="s">
        <v>952</v>
      </c>
      <c r="Z731" s="61">
        <v>15010015000125</v>
      </c>
      <c r="AA731" s="60"/>
      <c r="AB731" s="28" t="s">
        <v>7355</v>
      </c>
      <c r="AC731" s="28" t="s">
        <v>1466</v>
      </c>
    </row>
    <row r="732" spans="1:29" s="28" customFormat="1" x14ac:dyDescent="0.25">
      <c r="A732" s="61">
        <v>110064134459</v>
      </c>
      <c r="B732" s="28">
        <v>2023</v>
      </c>
      <c r="C732" s="68">
        <f t="shared" si="11"/>
        <v>44927</v>
      </c>
      <c r="D732" s="28" t="s">
        <v>1226</v>
      </c>
      <c r="E732" s="28" t="s">
        <v>1990</v>
      </c>
      <c r="F732" s="28" t="s">
        <v>657</v>
      </c>
      <c r="G732" s="28" t="s">
        <v>418</v>
      </c>
      <c r="H732" s="28">
        <v>89119</v>
      </c>
      <c r="I732" s="28">
        <v>36.075400000000002</v>
      </c>
      <c r="J732" s="28">
        <v>-115.1669</v>
      </c>
      <c r="L732" s="61">
        <v>110064134459</v>
      </c>
      <c r="M732" s="28" t="s">
        <v>265</v>
      </c>
      <c r="N732" s="28">
        <v>4581</v>
      </c>
      <c r="O732" s="28" t="str">
        <f>IFERROR(VLOOKUP(N732, 'SIC &amp; NAICS Codes'!A:B, 2, FALSE), "")</f>
        <v>Airports, Flying Fields, and Airport Terminal Services (private air traffic control)</v>
      </c>
      <c r="S732" s="28">
        <v>7.1289528749999996E-3</v>
      </c>
      <c r="T732" s="315">
        <f>_xlfn.MAXIFS('Raw Period DMR Data'!$O:$O,'Raw Period DMR Data'!$A:$A,'Raw Annual DMR Data_2021-2024'!#REF!,'Raw Period DMR Data'!$C:$C,X732)/S732</f>
        <v>0</v>
      </c>
      <c r="U732" s="28" t="str">
        <f>+IF(COUNTIFS('Raw Period DMR Data'!$A:$A,B732,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32" s="28" t="str" cm="1">
        <f t="array" ref="V732">IFERROR(INDEX('Raw Period DMR Data'!N:N,MATCH(1,(B732='Raw Period DMR Data'!$A:$A)*(U732='Raw Period DMR Data'!M:M)*(X732='Raw Period DMR Data'!C:C),0),1), "N/A")</f>
        <v>N/A</v>
      </c>
      <c r="W732" s="28" t="s">
        <v>1463</v>
      </c>
      <c r="X732" s="28" t="s">
        <v>1991</v>
      </c>
      <c r="Y732" s="28" t="s">
        <v>2255</v>
      </c>
      <c r="Z732" s="61">
        <v>15010015000139</v>
      </c>
      <c r="AA732" s="60"/>
      <c r="AB732" s="28" t="s">
        <v>7355</v>
      </c>
      <c r="AC732" s="28" t="s">
        <v>1466</v>
      </c>
    </row>
    <row r="733" spans="1:29" s="28" customFormat="1" x14ac:dyDescent="0.25">
      <c r="A733" s="61">
        <v>110064134459</v>
      </c>
      <c r="B733" s="28">
        <v>2024</v>
      </c>
      <c r="C733" s="68">
        <f t="shared" si="11"/>
        <v>45292</v>
      </c>
      <c r="D733" s="28" t="s">
        <v>1226</v>
      </c>
      <c r="E733" s="28" t="s">
        <v>1990</v>
      </c>
      <c r="F733" s="28" t="s">
        <v>657</v>
      </c>
      <c r="G733" s="28" t="s">
        <v>418</v>
      </c>
      <c r="H733" s="28">
        <v>89119</v>
      </c>
      <c r="I733" s="28">
        <v>36.075400000000002</v>
      </c>
      <c r="J733" s="28">
        <v>-115.1669</v>
      </c>
      <c r="L733" s="61">
        <v>110064134459</v>
      </c>
      <c r="M733" s="28" t="s">
        <v>265</v>
      </c>
      <c r="N733" s="28">
        <v>4581</v>
      </c>
      <c r="O733" s="28" t="str">
        <f>IFERROR(VLOOKUP(N733, 'SIC &amp; NAICS Codes'!A:B, 2, FALSE), "")</f>
        <v>Airports, Flying Fields, and Airport Terminal Services (private air traffic control)</v>
      </c>
      <c r="S733" s="28">
        <v>5.5951762500000002E-3</v>
      </c>
      <c r="T733" s="315">
        <f>_xlfn.MAXIFS('Raw Period DMR Data'!$O:$O,'Raw Period DMR Data'!$A:$A,'Raw Annual DMR Data_2021-2024'!#REF!,'Raw Period DMR Data'!$C:$C,X733)/S733</f>
        <v>0</v>
      </c>
      <c r="U733" s="28" t="str">
        <f>+IF(COUNTIFS('Raw Period DMR Data'!$A:$A,B733,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33" s="28" t="str" cm="1">
        <f t="array" ref="V733">IFERROR(INDEX('Raw Period DMR Data'!N:N,MATCH(1,(B733='Raw Period DMR Data'!$A:$A)*(U733='Raw Period DMR Data'!M:M)*(X733='Raw Period DMR Data'!C:C),0),1), "N/A")</f>
        <v>N/A</v>
      </c>
      <c r="W733" s="28" t="s">
        <v>1463</v>
      </c>
      <c r="X733" s="28" t="s">
        <v>1991</v>
      </c>
      <c r="Y733" s="28" t="s">
        <v>2255</v>
      </c>
      <c r="Z733" s="61">
        <v>15010015000139</v>
      </c>
      <c r="AA733" s="60"/>
      <c r="AB733" s="28" t="s">
        <v>7355</v>
      </c>
      <c r="AC733" s="28" t="s">
        <v>1466</v>
      </c>
    </row>
    <row r="734" spans="1:29" s="28" customFormat="1" x14ac:dyDescent="0.25">
      <c r="A734" s="61">
        <v>110064134459</v>
      </c>
      <c r="B734" s="28">
        <v>2023</v>
      </c>
      <c r="C734" s="68">
        <f t="shared" si="11"/>
        <v>44927</v>
      </c>
      <c r="D734" s="28" t="s">
        <v>1226</v>
      </c>
      <c r="E734" s="28" t="s">
        <v>1990</v>
      </c>
      <c r="F734" s="28" t="s">
        <v>657</v>
      </c>
      <c r="G734" s="28" t="s">
        <v>418</v>
      </c>
      <c r="H734" s="28">
        <v>89119</v>
      </c>
      <c r="I734" s="28">
        <v>36.075400000000002</v>
      </c>
      <c r="J734" s="28">
        <v>-115.1669</v>
      </c>
      <c r="L734" s="61">
        <v>110064134459</v>
      </c>
      <c r="M734" s="28" t="s">
        <v>265</v>
      </c>
      <c r="N734" s="28">
        <v>4581</v>
      </c>
      <c r="O734" s="28" t="str">
        <f>IFERROR(VLOOKUP(N734, 'SIC &amp; NAICS Codes'!A:B, 2, FALSE), "")</f>
        <v>Airports, Flying Fields, and Airport Terminal Services (private air traffic control)</v>
      </c>
      <c r="S734" s="28">
        <v>4.0396358750000002E-3</v>
      </c>
      <c r="T734" s="315">
        <f>_xlfn.MAXIFS('Raw Period DMR Data'!$O:$O,'Raw Period DMR Data'!$A:$A,'Raw Annual DMR Data_2021-2024'!#REF!,'Raw Period DMR Data'!$C:$C,X734)/S734</f>
        <v>0</v>
      </c>
      <c r="U734" s="28" t="str">
        <f>+IF(COUNTIFS('Raw Period DMR Data'!$A:$A,B734,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34" s="28" t="str" cm="1">
        <f t="array" ref="V734">IFERROR(INDEX('Raw Period DMR Data'!N:N,MATCH(1,(B734='Raw Period DMR Data'!$A:$A)*(U734='Raw Period DMR Data'!M:M)*(X734='Raw Period DMR Data'!C:C),0),1), "N/A")</f>
        <v>N/A</v>
      </c>
      <c r="W734" s="28" t="s">
        <v>1463</v>
      </c>
      <c r="X734" s="28" t="s">
        <v>1991</v>
      </c>
      <c r="Y734" s="28" t="s">
        <v>2255</v>
      </c>
      <c r="Z734" s="61">
        <v>15010015000139</v>
      </c>
      <c r="AA734" s="60"/>
      <c r="AB734" s="28" t="s">
        <v>7355</v>
      </c>
      <c r="AC734" s="28" t="s">
        <v>1466</v>
      </c>
    </row>
    <row r="735" spans="1:29" s="28" customFormat="1" x14ac:dyDescent="0.25">
      <c r="A735" s="61">
        <v>110064134459</v>
      </c>
      <c r="B735" s="28">
        <v>2021</v>
      </c>
      <c r="C735" s="68">
        <f t="shared" si="11"/>
        <v>44197</v>
      </c>
      <c r="D735" s="28" t="s">
        <v>1226</v>
      </c>
      <c r="E735" s="28" t="s">
        <v>1990</v>
      </c>
      <c r="F735" s="28" t="s">
        <v>657</v>
      </c>
      <c r="G735" s="28" t="s">
        <v>418</v>
      </c>
      <c r="H735" s="28">
        <v>89119</v>
      </c>
      <c r="I735" s="28">
        <v>36.075400000000002</v>
      </c>
      <c r="J735" s="28">
        <v>-115.1669</v>
      </c>
      <c r="L735" s="61">
        <v>110064134459</v>
      </c>
      <c r="M735" s="28" t="s">
        <v>265</v>
      </c>
      <c r="N735" s="28">
        <v>4581</v>
      </c>
      <c r="O735" s="28" t="str">
        <f>IFERROR(VLOOKUP(N735, 'SIC &amp; NAICS Codes'!A:B, 2, FALSE), "")</f>
        <v>Airports, Flying Fields, and Airport Terminal Services (private air traffic control)</v>
      </c>
      <c r="S735" s="28">
        <v>3.8610785000000002E-3</v>
      </c>
      <c r="T735" s="315">
        <f>_xlfn.MAXIFS('Raw Period DMR Data'!$O:$O,'Raw Period DMR Data'!$A:$A,'Raw Annual DMR Data_2021-2024'!#REF!,'Raw Period DMR Data'!$C:$C,X735)/S735</f>
        <v>0</v>
      </c>
      <c r="U735" s="28" t="str">
        <f>+IF(COUNTIFS('Raw Period DMR Data'!$A:$A,B735,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35" s="28" t="str" cm="1">
        <f t="array" ref="V735">IFERROR(INDEX('Raw Period DMR Data'!N:N,MATCH(1,(B735='Raw Period DMR Data'!$A:$A)*(U735='Raw Period DMR Data'!M:M)*(X735='Raw Period DMR Data'!C:C),0),1), "N/A")</f>
        <v>N/A</v>
      </c>
      <c r="W735" s="28" t="s">
        <v>1463</v>
      </c>
      <c r="X735" s="28" t="s">
        <v>1991</v>
      </c>
      <c r="Y735" s="28" t="s">
        <v>2255</v>
      </c>
      <c r="Z735" s="61">
        <v>15010015000139</v>
      </c>
      <c r="AB735" s="28" t="s">
        <v>7355</v>
      </c>
      <c r="AC735" s="28" t="s">
        <v>1466</v>
      </c>
    </row>
    <row r="736" spans="1:29" s="28" customFormat="1" x14ac:dyDescent="0.25">
      <c r="A736" s="61">
        <v>110064134459</v>
      </c>
      <c r="B736" s="28">
        <v>2024</v>
      </c>
      <c r="C736" s="68">
        <f t="shared" si="11"/>
        <v>45292</v>
      </c>
      <c r="D736" s="28" t="s">
        <v>1226</v>
      </c>
      <c r="E736" s="28" t="s">
        <v>1990</v>
      </c>
      <c r="F736" s="28" t="s">
        <v>657</v>
      </c>
      <c r="G736" s="28" t="s">
        <v>418</v>
      </c>
      <c r="H736" s="28">
        <v>89119</v>
      </c>
      <c r="I736" s="28">
        <v>36.075400000000002</v>
      </c>
      <c r="J736" s="28">
        <v>-115.1669</v>
      </c>
      <c r="L736" s="61">
        <v>110064134459</v>
      </c>
      <c r="M736" s="28" t="s">
        <v>265</v>
      </c>
      <c r="N736" s="28">
        <v>4581</v>
      </c>
      <c r="O736" s="28" t="str">
        <f>IFERROR(VLOOKUP(N736, 'SIC &amp; NAICS Codes'!A:B, 2, FALSE), "")</f>
        <v>Airports, Flying Fields, and Airport Terminal Services (private air traffic control)</v>
      </c>
      <c r="S736" s="28">
        <v>3.7311268333333298E-3</v>
      </c>
      <c r="T736" s="315">
        <f>_xlfn.MAXIFS('Raw Period DMR Data'!$O:$O,'Raw Period DMR Data'!$A:$A,'Raw Annual DMR Data_2021-2024'!#REF!,'Raw Period DMR Data'!$C:$C,X736)/S736</f>
        <v>0</v>
      </c>
      <c r="U736" s="28" t="str">
        <f>+IF(COUNTIFS('Raw Period DMR Data'!$A:$A,B736,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36" s="28" t="str" cm="1">
        <f t="array" ref="V736">IFERROR(INDEX('Raw Period DMR Data'!N:N,MATCH(1,(B736='Raw Period DMR Data'!$A:$A)*(U736='Raw Period DMR Data'!M:M)*(X736='Raw Period DMR Data'!C:C),0),1), "N/A")</f>
        <v>N/A</v>
      </c>
      <c r="W736" s="28" t="s">
        <v>1463</v>
      </c>
      <c r="X736" s="28" t="s">
        <v>1991</v>
      </c>
      <c r="Y736" s="28" t="s">
        <v>2255</v>
      </c>
      <c r="Z736" s="61">
        <v>15010015000139</v>
      </c>
      <c r="AA736" s="60"/>
      <c r="AB736" s="28" t="s">
        <v>7355</v>
      </c>
      <c r="AC736" s="28" t="s">
        <v>1466</v>
      </c>
    </row>
    <row r="737" spans="1:29" s="28" customFormat="1" x14ac:dyDescent="0.25">
      <c r="A737" s="61">
        <v>110064134459</v>
      </c>
      <c r="B737" s="28">
        <v>2022</v>
      </c>
      <c r="C737" s="68">
        <f t="shared" si="11"/>
        <v>44562</v>
      </c>
      <c r="D737" s="28" t="s">
        <v>1226</v>
      </c>
      <c r="E737" s="28" t="s">
        <v>1990</v>
      </c>
      <c r="F737" s="28" t="s">
        <v>657</v>
      </c>
      <c r="G737" s="28" t="s">
        <v>418</v>
      </c>
      <c r="H737" s="28">
        <v>89119</v>
      </c>
      <c r="I737" s="28">
        <v>36.075400000000002</v>
      </c>
      <c r="J737" s="28">
        <v>-115.1669</v>
      </c>
      <c r="L737" s="61">
        <v>110064134459</v>
      </c>
      <c r="M737" s="28" t="s">
        <v>265</v>
      </c>
      <c r="N737" s="28">
        <v>4581</v>
      </c>
      <c r="O737" s="28" t="str">
        <f>IFERROR(VLOOKUP(N737, 'SIC &amp; NAICS Codes'!A:B, 2, FALSE), "")</f>
        <v>Airports, Flying Fields, and Airport Terminal Services (private air traffic control)</v>
      </c>
      <c r="S737" s="28">
        <v>3.6058748750000002E-3</v>
      </c>
      <c r="T737" s="315">
        <f>_xlfn.MAXIFS('Raw Period DMR Data'!$O:$O,'Raw Period DMR Data'!$A:$A,'Raw Annual DMR Data_2021-2024'!#REF!,'Raw Period DMR Data'!$C:$C,X737)/S737</f>
        <v>0</v>
      </c>
      <c r="U737" s="28" t="str">
        <f>+IF(COUNTIFS('Raw Period DMR Data'!$A:$A,B737,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37" s="28" t="str" cm="1">
        <f t="array" ref="V737">IFERROR(INDEX('Raw Period DMR Data'!N:N,MATCH(1,(B737='Raw Period DMR Data'!$A:$A)*(U737='Raw Period DMR Data'!M:M)*(X737='Raw Period DMR Data'!C:C),0),1), "N/A")</f>
        <v>N/A</v>
      </c>
      <c r="W737" s="28" t="s">
        <v>1463</v>
      </c>
      <c r="X737" s="28" t="s">
        <v>1991</v>
      </c>
      <c r="Y737" s="28" t="s">
        <v>2255</v>
      </c>
      <c r="Z737" s="61">
        <v>15010015000139</v>
      </c>
      <c r="AA737" s="60"/>
      <c r="AB737" s="28" t="s">
        <v>7355</v>
      </c>
      <c r="AC737" s="28" t="s">
        <v>1466</v>
      </c>
    </row>
    <row r="738" spans="1:29" s="28" customFormat="1" x14ac:dyDescent="0.25">
      <c r="A738" s="61">
        <v>110064134459</v>
      </c>
      <c r="B738" s="28">
        <v>2021</v>
      </c>
      <c r="C738" s="68">
        <f t="shared" si="11"/>
        <v>44197</v>
      </c>
      <c r="D738" s="28" t="s">
        <v>1226</v>
      </c>
      <c r="E738" s="28" t="s">
        <v>1990</v>
      </c>
      <c r="F738" s="28" t="s">
        <v>657</v>
      </c>
      <c r="G738" s="28" t="s">
        <v>418</v>
      </c>
      <c r="H738" s="28">
        <v>89119</v>
      </c>
      <c r="I738" s="28">
        <v>36.075400000000002</v>
      </c>
      <c r="J738" s="28">
        <v>-115.1669</v>
      </c>
      <c r="L738" s="61">
        <v>110064134459</v>
      </c>
      <c r="M738" s="28" t="s">
        <v>265</v>
      </c>
      <c r="N738" s="28">
        <v>4581</v>
      </c>
      <c r="O738" s="28" t="str">
        <f>IFERROR(VLOOKUP(N738, 'SIC &amp; NAICS Codes'!A:B, 2, FALSE), "")</f>
        <v>Airports, Flying Fields, and Airport Terminal Services (private air traffic control)</v>
      </c>
      <c r="S738" s="28">
        <v>2.1833772500000001E-3</v>
      </c>
      <c r="T738" s="315">
        <f>_xlfn.MAXIFS('Raw Period DMR Data'!$O:$O,'Raw Period DMR Data'!$A:$A,'Raw Annual DMR Data_2021-2024'!#REF!,'Raw Period DMR Data'!$C:$C,X738)/S738</f>
        <v>0</v>
      </c>
      <c r="U738" s="28" t="str">
        <f>+IF(COUNTIFS('Raw Period DMR Data'!$A:$A,B738,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38" s="28" t="str" cm="1">
        <f t="array" ref="V738">IFERROR(INDEX('Raw Period DMR Data'!N:N,MATCH(1,(B738='Raw Period DMR Data'!$A:$A)*(U738='Raw Period DMR Data'!M:M)*(X738='Raw Period DMR Data'!C:C),0),1), "N/A")</f>
        <v>N/A</v>
      </c>
      <c r="W738" s="28" t="s">
        <v>1463</v>
      </c>
      <c r="X738" s="28" t="s">
        <v>1991</v>
      </c>
      <c r="Y738" s="28" t="s">
        <v>2255</v>
      </c>
      <c r="Z738" s="61">
        <v>15010015000139</v>
      </c>
      <c r="AB738" s="28" t="s">
        <v>7355</v>
      </c>
      <c r="AC738" s="28" t="s">
        <v>1466</v>
      </c>
    </row>
    <row r="739" spans="1:29" s="28" customFormat="1" x14ac:dyDescent="0.25">
      <c r="A739" s="61">
        <v>110064134459</v>
      </c>
      <c r="B739" s="28">
        <v>2022</v>
      </c>
      <c r="C739" s="68">
        <f t="shared" si="11"/>
        <v>44562</v>
      </c>
      <c r="D739" s="28" t="s">
        <v>1226</v>
      </c>
      <c r="E739" s="28" t="s">
        <v>1990</v>
      </c>
      <c r="F739" s="28" t="s">
        <v>657</v>
      </c>
      <c r="G739" s="28" t="s">
        <v>418</v>
      </c>
      <c r="H739" s="28">
        <v>89119</v>
      </c>
      <c r="I739" s="28">
        <v>36.075400000000002</v>
      </c>
      <c r="J739" s="28">
        <v>-115.1669</v>
      </c>
      <c r="L739" s="61">
        <v>110064134459</v>
      </c>
      <c r="M739" s="28" t="s">
        <v>265</v>
      </c>
      <c r="N739" s="28">
        <v>4581</v>
      </c>
      <c r="O739" s="28" t="str">
        <f>IFERROR(VLOOKUP(N739, 'SIC &amp; NAICS Codes'!A:B, 2, FALSE), "")</f>
        <v>Airports, Flying Fields, and Airport Terminal Services (private air traffic control)</v>
      </c>
      <c r="S739" s="28">
        <v>2.0112543749999999E-3</v>
      </c>
      <c r="T739" s="315">
        <f>_xlfn.MAXIFS('Raw Period DMR Data'!$O:$O,'Raw Period DMR Data'!$A:$A,'Raw Annual DMR Data_2021-2024'!#REF!,'Raw Period DMR Data'!$C:$C,X739)/S739</f>
        <v>0</v>
      </c>
      <c r="U739" s="28" t="str">
        <f>+IF(COUNTIFS('Raw Period DMR Data'!$A:$A,B739,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39" s="28" t="str" cm="1">
        <f t="array" ref="V739">IFERROR(INDEX('Raw Period DMR Data'!N:N,MATCH(1,(B739='Raw Period DMR Data'!$A:$A)*(U739='Raw Period DMR Data'!M:M)*(X739='Raw Period DMR Data'!C:C),0),1), "N/A")</f>
        <v>N/A</v>
      </c>
      <c r="W739" s="28" t="s">
        <v>1463</v>
      </c>
      <c r="X739" s="28" t="s">
        <v>1991</v>
      </c>
      <c r="Y739" s="28" t="s">
        <v>2255</v>
      </c>
      <c r="Z739" s="61">
        <v>15010015000139</v>
      </c>
      <c r="AA739" s="60"/>
      <c r="AB739" s="28" t="s">
        <v>7355</v>
      </c>
      <c r="AC739" s="28" t="s">
        <v>1466</v>
      </c>
    </row>
    <row r="740" spans="1:29" s="28" customFormat="1" x14ac:dyDescent="0.25">
      <c r="A740" s="61">
        <v>110064134459</v>
      </c>
      <c r="B740" s="28">
        <v>2024</v>
      </c>
      <c r="C740" s="68">
        <f t="shared" si="11"/>
        <v>45292</v>
      </c>
      <c r="D740" s="28" t="s">
        <v>1226</v>
      </c>
      <c r="E740" s="28" t="s">
        <v>1990</v>
      </c>
      <c r="F740" s="28" t="s">
        <v>657</v>
      </c>
      <c r="G740" s="28" t="s">
        <v>418</v>
      </c>
      <c r="H740" s="28">
        <v>89119</v>
      </c>
      <c r="I740" s="28">
        <v>36.075400000000002</v>
      </c>
      <c r="J740" s="28">
        <v>-115.1669</v>
      </c>
      <c r="L740" s="61">
        <v>110064134459</v>
      </c>
      <c r="M740" s="28" t="s">
        <v>265</v>
      </c>
      <c r="N740" s="28">
        <v>4581</v>
      </c>
      <c r="O740" s="28" t="str">
        <f>IFERROR(VLOOKUP(N740, 'SIC &amp; NAICS Codes'!A:B, 2, FALSE), "")</f>
        <v>Airports, Flying Fields, and Airport Terminal Services (private air traffic control)</v>
      </c>
      <c r="S740" s="28">
        <v>1.5427029166666601E-3</v>
      </c>
      <c r="T740" s="315">
        <f>_xlfn.MAXIFS('Raw Period DMR Data'!$O:$O,'Raw Period DMR Data'!$A:$A,'Raw Annual DMR Data_2021-2024'!#REF!,'Raw Period DMR Data'!$C:$C,X740)/S740</f>
        <v>0</v>
      </c>
      <c r="U740" s="28" t="str">
        <f>+IF(COUNTIFS('Raw Period DMR Data'!$A:$A,B740,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40" s="28" t="str" cm="1">
        <f t="array" ref="V740">IFERROR(INDEX('Raw Period DMR Data'!N:N,MATCH(1,(B740='Raw Period DMR Data'!$A:$A)*(U740='Raw Period DMR Data'!M:M)*(X740='Raw Period DMR Data'!C:C),0),1), "N/A")</f>
        <v>N/A</v>
      </c>
      <c r="W740" s="28" t="s">
        <v>1463</v>
      </c>
      <c r="X740" s="28" t="s">
        <v>1991</v>
      </c>
      <c r="Y740" s="28" t="s">
        <v>2255</v>
      </c>
      <c r="Z740" s="61">
        <v>15010015000139</v>
      </c>
      <c r="AA740" s="60"/>
      <c r="AB740" s="28" t="s">
        <v>7355</v>
      </c>
      <c r="AC740" s="28" t="s">
        <v>1466</v>
      </c>
    </row>
    <row r="741" spans="1:29" s="28" customFormat="1" x14ac:dyDescent="0.25">
      <c r="A741" s="61">
        <v>110064134459</v>
      </c>
      <c r="B741" s="28">
        <v>2024</v>
      </c>
      <c r="C741" s="68">
        <f t="shared" si="11"/>
        <v>45292</v>
      </c>
      <c r="D741" s="28" t="s">
        <v>1226</v>
      </c>
      <c r="E741" s="28" t="s">
        <v>1990</v>
      </c>
      <c r="F741" s="28" t="s">
        <v>657</v>
      </c>
      <c r="G741" s="28" t="s">
        <v>418</v>
      </c>
      <c r="H741" s="28">
        <v>89119</v>
      </c>
      <c r="I741" s="28">
        <v>36.075400000000002</v>
      </c>
      <c r="J741" s="28">
        <v>-115.1669</v>
      </c>
      <c r="L741" s="61">
        <v>110064134459</v>
      </c>
      <c r="M741" s="28" t="s">
        <v>265</v>
      </c>
      <c r="N741" s="28">
        <v>4581</v>
      </c>
      <c r="O741" s="28" t="str">
        <f>IFERROR(VLOOKUP(N741, 'SIC &amp; NAICS Codes'!A:B, 2, FALSE), "")</f>
        <v>Airports, Flying Fields, and Airport Terminal Services (private air traffic control)</v>
      </c>
      <c r="S741" s="28">
        <v>8.1610908333333305E-4</v>
      </c>
      <c r="T741" s="315">
        <f>_xlfn.MAXIFS('Raw Period DMR Data'!$O:$O,'Raw Period DMR Data'!$A:$A,'Raw Annual DMR Data_2021-2024'!#REF!,'Raw Period DMR Data'!$C:$C,X741)/S741</f>
        <v>0</v>
      </c>
      <c r="U741" s="28" t="str">
        <f>+IF(COUNTIFS('Raw Period DMR Data'!$A:$A,B741,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41" s="28" t="str" cm="1">
        <f t="array" ref="V741">IFERROR(INDEX('Raw Period DMR Data'!N:N,MATCH(1,(B741='Raw Period DMR Data'!$A:$A)*(U741='Raw Period DMR Data'!M:M)*(X741='Raw Period DMR Data'!C:C),0),1), "N/A")</f>
        <v>N/A</v>
      </c>
      <c r="W741" s="28" t="s">
        <v>1463</v>
      </c>
      <c r="X741" s="28" t="s">
        <v>1991</v>
      </c>
      <c r="Y741" s="28" t="s">
        <v>2255</v>
      </c>
      <c r="Z741" s="61">
        <v>15010015000139</v>
      </c>
      <c r="AA741" s="60"/>
      <c r="AB741" s="28" t="s">
        <v>7355</v>
      </c>
      <c r="AC741" s="28" t="s">
        <v>1466</v>
      </c>
    </row>
    <row r="742" spans="1:29" s="28" customFormat="1" x14ac:dyDescent="0.25">
      <c r="A742" s="61">
        <v>110070162955</v>
      </c>
      <c r="B742" s="28">
        <v>2024</v>
      </c>
      <c r="C742" s="68">
        <f t="shared" si="11"/>
        <v>45292</v>
      </c>
      <c r="D742" s="28" t="s">
        <v>1227</v>
      </c>
      <c r="E742" s="28" t="s">
        <v>1993</v>
      </c>
      <c r="F742" s="28" t="s">
        <v>1228</v>
      </c>
      <c r="G742" s="28" t="s">
        <v>1128</v>
      </c>
      <c r="H742" s="28">
        <v>80216</v>
      </c>
      <c r="I742" s="28">
        <v>39.781474000000003</v>
      </c>
      <c r="J742" s="28">
        <v>-104.97438</v>
      </c>
      <c r="L742" s="61">
        <v>110070162955</v>
      </c>
      <c r="M742" s="28" t="s">
        <v>265</v>
      </c>
      <c r="N742" s="28">
        <v>1629</v>
      </c>
      <c r="O742" s="28" t="str">
        <f>IFERROR(VLOOKUP(N742, 'SIC &amp; NAICS Codes'!A:B, 2, FALSE), "")</f>
        <v>Heavy Construction, NEC (Industrial nonbuilding structures [except petrochemical plants and petroleum refineries])</v>
      </c>
      <c r="S742" s="28">
        <v>1.1895274685E-2</v>
      </c>
      <c r="T742" s="315">
        <f>_xlfn.MAXIFS('Raw Period DMR Data'!$O:$O,'Raw Period DMR Data'!$A:$A,'Raw Annual DMR Data_2021-2024'!#REF!,'Raw Period DMR Data'!$C:$C,X742)/S742</f>
        <v>0</v>
      </c>
      <c r="U742" s="28" t="str">
        <f>+IF(COUNTIFS('Raw Period DMR Data'!$A:$A,B742,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42" s="28" t="str" cm="1">
        <f t="array" ref="V742">IFERROR(INDEX('Raw Period DMR Data'!N:N,MATCH(1,(B742='Raw Period DMR Data'!$A:$A)*(U742='Raw Period DMR Data'!M:M)*(X742='Raw Period DMR Data'!C:C),0),1), "N/A")</f>
        <v>N/A</v>
      </c>
      <c r="W742" s="28" t="s">
        <v>1463</v>
      </c>
      <c r="X742" s="28" t="s">
        <v>1994</v>
      </c>
      <c r="Y742" s="28" t="s">
        <v>1965</v>
      </c>
      <c r="Z742" s="61">
        <v>10190003001246</v>
      </c>
      <c r="AA742" s="60"/>
      <c r="AB742" s="28" t="s">
        <v>7355</v>
      </c>
      <c r="AC742" s="28" t="s">
        <v>1466</v>
      </c>
    </row>
    <row r="743" spans="1:29" s="28" customFormat="1" x14ac:dyDescent="0.25">
      <c r="A743" s="61">
        <v>110070162955</v>
      </c>
      <c r="B743" s="28">
        <v>2022</v>
      </c>
      <c r="C743" s="68">
        <f t="shared" si="11"/>
        <v>44562</v>
      </c>
      <c r="D743" s="28" t="s">
        <v>1227</v>
      </c>
      <c r="E743" s="28" t="s">
        <v>1993</v>
      </c>
      <c r="F743" s="28" t="s">
        <v>1228</v>
      </c>
      <c r="G743" s="28" t="s">
        <v>1128</v>
      </c>
      <c r="H743" s="28">
        <v>80216</v>
      </c>
      <c r="I743" s="28">
        <v>39.781474000000003</v>
      </c>
      <c r="J743" s="28">
        <v>-104.97438</v>
      </c>
      <c r="L743" s="61">
        <v>110070162955</v>
      </c>
      <c r="M743" s="28" t="s">
        <v>265</v>
      </c>
      <c r="N743" s="28">
        <v>1629</v>
      </c>
      <c r="O743" s="28" t="str">
        <f>IFERROR(VLOOKUP(N743, 'SIC &amp; NAICS Codes'!A:B, 2, FALSE), "")</f>
        <v>Heavy Construction, NEC (Industrial nonbuilding structures [except petrochemical plants and petroleum refineries])</v>
      </c>
      <c r="S743" s="28">
        <v>7.8992950000000006E-3</v>
      </c>
      <c r="T743" s="315">
        <f>_xlfn.MAXIFS('Raw Period DMR Data'!$O:$O,'Raw Period DMR Data'!$A:$A,'Raw Annual DMR Data_2021-2024'!#REF!,'Raw Period DMR Data'!$C:$C,X743)/S743</f>
        <v>0</v>
      </c>
      <c r="U743" s="28" t="str">
        <f>+IF(COUNTIFS('Raw Period DMR Data'!$A:$A,B743,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43" s="28" t="str" cm="1">
        <f t="array" ref="V743">IFERROR(INDEX('Raw Period DMR Data'!N:N,MATCH(1,(B743='Raw Period DMR Data'!$A:$A)*(U743='Raw Period DMR Data'!M:M)*(X743='Raw Period DMR Data'!C:C),0),1), "N/A")</f>
        <v>N/A</v>
      </c>
      <c r="W743" s="28" t="s">
        <v>1463</v>
      </c>
      <c r="X743" s="28" t="s">
        <v>1994</v>
      </c>
      <c r="Y743" s="28" t="s">
        <v>1965</v>
      </c>
      <c r="Z743" s="61">
        <v>10190003001246</v>
      </c>
      <c r="AA743" s="60"/>
      <c r="AB743" s="28" t="s">
        <v>7355</v>
      </c>
      <c r="AC743" s="28" t="s">
        <v>1466</v>
      </c>
    </row>
    <row r="744" spans="1:29" s="28" customFormat="1" x14ac:dyDescent="0.25">
      <c r="A744" s="61">
        <v>110070162955</v>
      </c>
      <c r="B744" s="28">
        <v>2021</v>
      </c>
      <c r="C744" s="68">
        <f t="shared" si="11"/>
        <v>44197</v>
      </c>
      <c r="D744" s="28" t="s">
        <v>1227</v>
      </c>
      <c r="E744" s="28" t="s">
        <v>1993</v>
      </c>
      <c r="F744" s="28" t="s">
        <v>1228</v>
      </c>
      <c r="G744" s="28" t="s">
        <v>1128</v>
      </c>
      <c r="H744" s="28">
        <v>80216</v>
      </c>
      <c r="I744" s="28">
        <v>39.781474000000003</v>
      </c>
      <c r="J744" s="28">
        <v>-104.97438</v>
      </c>
      <c r="L744" s="61">
        <v>110070162955</v>
      </c>
      <c r="M744" s="28" t="s">
        <v>265</v>
      </c>
      <c r="N744" s="28">
        <v>1629</v>
      </c>
      <c r="O744" s="28" t="str">
        <f>IFERROR(VLOOKUP(N744, 'SIC &amp; NAICS Codes'!A:B, 2, FALSE), "")</f>
        <v>Heavy Construction, NEC (Industrial nonbuilding structures [except petrochemical plants and petroleum refineries])</v>
      </c>
      <c r="S744" s="28">
        <v>3.0584692500000002E-3</v>
      </c>
      <c r="T744" s="315">
        <f>_xlfn.MAXIFS('Raw Period DMR Data'!$O:$O,'Raw Period DMR Data'!$A:$A,'Raw Annual DMR Data_2021-2024'!#REF!,'Raw Period DMR Data'!$C:$C,X744)/S744</f>
        <v>0</v>
      </c>
      <c r="U744" s="28" t="str">
        <f>+IF(COUNTIFS('Raw Period DMR Data'!$A:$A,B744,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44" s="28" t="str" cm="1">
        <f t="array" ref="V744">IFERROR(INDEX('Raw Period DMR Data'!N:N,MATCH(1,(B744='Raw Period DMR Data'!$A:$A)*(U744='Raw Period DMR Data'!M:M)*(X744='Raw Period DMR Data'!C:C),0),1), "N/A")</f>
        <v>N/A</v>
      </c>
      <c r="W744" s="28" t="s">
        <v>1463</v>
      </c>
      <c r="X744" s="28" t="s">
        <v>1994</v>
      </c>
      <c r="Y744" s="28" t="s">
        <v>1965</v>
      </c>
      <c r="Z744" s="61">
        <v>10190003001246</v>
      </c>
      <c r="AB744" s="28" t="s">
        <v>7355</v>
      </c>
      <c r="AC744" s="28" t="s">
        <v>1466</v>
      </c>
    </row>
    <row r="745" spans="1:29" s="28" customFormat="1" x14ac:dyDescent="0.25">
      <c r="A745" s="61">
        <v>110070162955</v>
      </c>
      <c r="B745" s="28">
        <v>2023</v>
      </c>
      <c r="C745" s="68">
        <f t="shared" si="11"/>
        <v>44927</v>
      </c>
      <c r="D745" s="28" t="s">
        <v>1227</v>
      </c>
      <c r="E745" s="28" t="s">
        <v>1993</v>
      </c>
      <c r="F745" s="28" t="s">
        <v>1228</v>
      </c>
      <c r="G745" s="28" t="s">
        <v>1128</v>
      </c>
      <c r="H745" s="28">
        <v>80216</v>
      </c>
      <c r="I745" s="28">
        <v>39.781474000000003</v>
      </c>
      <c r="J745" s="28">
        <v>-104.97438</v>
      </c>
      <c r="L745" s="61">
        <v>110070162955</v>
      </c>
      <c r="M745" s="28" t="s">
        <v>265</v>
      </c>
      <c r="N745" s="28">
        <v>1629</v>
      </c>
      <c r="O745" s="28" t="str">
        <f>IFERROR(VLOOKUP(N745, 'SIC &amp; NAICS Codes'!A:B, 2, FALSE), "")</f>
        <v>Heavy Construction, NEC (Industrial nonbuilding structures [except petrochemical plants and petroleum refineries])</v>
      </c>
      <c r="S745" s="28">
        <v>2.5072994424999999E-3</v>
      </c>
      <c r="T745" s="315">
        <f>_xlfn.MAXIFS('Raw Period DMR Data'!$O:$O,'Raw Period DMR Data'!$A:$A,'Raw Annual DMR Data_2021-2024'!#REF!,'Raw Period DMR Data'!$C:$C,X745)/S745</f>
        <v>0</v>
      </c>
      <c r="U745" s="28" t="str">
        <f>+IF(COUNTIFS('Raw Period DMR Data'!$A:$A,B745,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45" s="28" t="str" cm="1">
        <f t="array" ref="V745">IFERROR(INDEX('Raw Period DMR Data'!N:N,MATCH(1,(B745='Raw Period DMR Data'!$A:$A)*(U745='Raw Period DMR Data'!M:M)*(X745='Raw Period DMR Data'!C:C),0),1), "N/A")</f>
        <v>N/A</v>
      </c>
      <c r="W745" s="28" t="s">
        <v>1463</v>
      </c>
      <c r="X745" s="28" t="s">
        <v>1994</v>
      </c>
      <c r="Y745" s="28" t="s">
        <v>1965</v>
      </c>
      <c r="Z745" s="61">
        <v>10190003001246</v>
      </c>
      <c r="AA745" s="60"/>
      <c r="AB745" s="28" t="s">
        <v>7355</v>
      </c>
      <c r="AC745" s="28" t="s">
        <v>1466</v>
      </c>
    </row>
    <row r="746" spans="1:29" s="28" customFormat="1" x14ac:dyDescent="0.25">
      <c r="A746" s="61">
        <v>110000587384</v>
      </c>
      <c r="B746" s="28">
        <v>2022</v>
      </c>
      <c r="C746" s="68">
        <f t="shared" si="11"/>
        <v>44562</v>
      </c>
      <c r="D746" s="28" t="s">
        <v>1230</v>
      </c>
      <c r="E746" s="28" t="s">
        <v>1997</v>
      </c>
      <c r="F746" s="28" t="s">
        <v>1231</v>
      </c>
      <c r="G746" s="28" t="s">
        <v>541</v>
      </c>
      <c r="H746" s="28" t="s">
        <v>1998</v>
      </c>
      <c r="I746" s="28">
        <v>34.807729999999999</v>
      </c>
      <c r="J746" s="28">
        <v>-82.006420000000006</v>
      </c>
      <c r="L746" s="61">
        <v>110000587384</v>
      </c>
      <c r="M746" s="28" t="s">
        <v>265</v>
      </c>
      <c r="N746" s="28">
        <v>3674</v>
      </c>
      <c r="O746" s="28" t="str">
        <f>IFERROR(VLOOKUP(N746, 'SIC &amp; NAICS Codes'!A:B, 2, FALSE), "")</f>
        <v>Semiconductors and Related Devices</v>
      </c>
      <c r="S746" s="28">
        <v>9.2479662000000004E-2</v>
      </c>
      <c r="T746" s="315">
        <f>_xlfn.MAXIFS('Raw Period DMR Data'!$O:$O,'Raw Period DMR Data'!$A:$A,'Raw Annual DMR Data_2021-2024'!#REF!,'Raw Period DMR Data'!$C:$C,X746)/S746</f>
        <v>0</v>
      </c>
      <c r="U746" s="28" t="str">
        <f>+IF(COUNTIFS('Raw Period DMR Data'!$A:$A,B746,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46" s="28" t="str" cm="1">
        <f t="array" ref="V746">IFERROR(INDEX('Raw Period DMR Data'!N:N,MATCH(1,(B746='Raw Period DMR Data'!$A:$A)*(U746='Raw Period DMR Data'!M:M)*(X746='Raw Period DMR Data'!C:C),0),1), "N/A")</f>
        <v>N/A</v>
      </c>
      <c r="W746" s="28" t="s">
        <v>1463</v>
      </c>
      <c r="X746" s="28" t="s">
        <v>1999</v>
      </c>
      <c r="Y746" s="28" t="s">
        <v>2000</v>
      </c>
      <c r="Z746" s="61">
        <v>3050107000093</v>
      </c>
      <c r="AA746" s="60"/>
      <c r="AB746" s="28" t="s">
        <v>7355</v>
      </c>
      <c r="AC746" s="28" t="s">
        <v>1466</v>
      </c>
    </row>
    <row r="747" spans="1:29" s="28" customFormat="1" x14ac:dyDescent="0.25">
      <c r="A747" s="61">
        <v>110000587384</v>
      </c>
      <c r="B747" s="28">
        <v>2023</v>
      </c>
      <c r="C747" s="68">
        <f t="shared" si="11"/>
        <v>44927</v>
      </c>
      <c r="D747" s="28" t="s">
        <v>1230</v>
      </c>
      <c r="E747" s="28" t="s">
        <v>1997</v>
      </c>
      <c r="F747" s="28" t="s">
        <v>1231</v>
      </c>
      <c r="G747" s="28" t="s">
        <v>541</v>
      </c>
      <c r="H747" s="28" t="s">
        <v>1998</v>
      </c>
      <c r="I747" s="28">
        <v>34.807729999999999</v>
      </c>
      <c r="J747" s="28">
        <v>-82.006420000000006</v>
      </c>
      <c r="L747" s="61">
        <v>110000587384</v>
      </c>
      <c r="M747" s="28" t="s">
        <v>265</v>
      </c>
      <c r="N747" s="28">
        <v>3674</v>
      </c>
      <c r="O747" s="28" t="str">
        <f>IFERROR(VLOOKUP(N747, 'SIC &amp; NAICS Codes'!A:B, 2, FALSE), "")</f>
        <v>Semiconductors and Related Devices</v>
      </c>
      <c r="S747" s="28">
        <v>3.6895422999999997E-2</v>
      </c>
      <c r="T747" s="315">
        <f>_xlfn.MAXIFS('Raw Period DMR Data'!$O:$O,'Raw Period DMR Data'!$A:$A,'Raw Annual DMR Data_2021-2024'!#REF!,'Raw Period DMR Data'!$C:$C,X747)/S747</f>
        <v>0</v>
      </c>
      <c r="U747" s="28" t="str">
        <f>+IF(COUNTIFS('Raw Period DMR Data'!$A:$A,B747,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47" s="28" t="str" cm="1">
        <f t="array" ref="V747">IFERROR(INDEX('Raw Period DMR Data'!N:N,MATCH(1,(B747='Raw Period DMR Data'!$A:$A)*(U747='Raw Period DMR Data'!M:M)*(X747='Raw Period DMR Data'!C:C),0),1), "N/A")</f>
        <v>N/A</v>
      </c>
      <c r="W747" s="28" t="s">
        <v>1463</v>
      </c>
      <c r="X747" s="28" t="s">
        <v>1999</v>
      </c>
      <c r="Y747" s="28" t="s">
        <v>2000</v>
      </c>
      <c r="Z747" s="61" t="s">
        <v>2001</v>
      </c>
      <c r="AA747" s="60"/>
      <c r="AB747" s="28" t="s">
        <v>7355</v>
      </c>
      <c r="AC747" s="28" t="s">
        <v>1466</v>
      </c>
    </row>
    <row r="748" spans="1:29" s="28" customFormat="1" x14ac:dyDescent="0.25">
      <c r="A748" s="61">
        <v>110000587384</v>
      </c>
      <c r="B748" s="28">
        <v>2024</v>
      </c>
      <c r="C748" s="68">
        <f t="shared" si="11"/>
        <v>45292</v>
      </c>
      <c r="D748" s="28" t="s">
        <v>1230</v>
      </c>
      <c r="E748" s="28" t="s">
        <v>1997</v>
      </c>
      <c r="F748" s="28" t="s">
        <v>1231</v>
      </c>
      <c r="G748" s="28" t="s">
        <v>541</v>
      </c>
      <c r="H748" s="28" t="s">
        <v>1998</v>
      </c>
      <c r="I748" s="28">
        <v>34.807729999999999</v>
      </c>
      <c r="J748" s="28">
        <v>-82.006420000000006</v>
      </c>
      <c r="L748" s="61">
        <v>110000587384</v>
      </c>
      <c r="M748" s="28" t="s">
        <v>265</v>
      </c>
      <c r="N748" s="28">
        <v>3674</v>
      </c>
      <c r="O748" s="28" t="str">
        <f>IFERROR(VLOOKUP(N748, 'SIC &amp; NAICS Codes'!A:B, 2, FALSE), "")</f>
        <v>Semiconductors and Related Devices</v>
      </c>
      <c r="S748" s="28">
        <v>3.6437059500000001E-2</v>
      </c>
      <c r="T748" s="315">
        <f>_xlfn.MAXIFS('Raw Period DMR Data'!$O:$O,'Raw Period DMR Data'!$A:$A,'Raw Annual DMR Data_2021-2024'!#REF!,'Raw Period DMR Data'!$C:$C,X748)/S748</f>
        <v>0</v>
      </c>
      <c r="U748" s="28" t="str">
        <f>+IF(COUNTIFS('Raw Period DMR Data'!$A:$A,B748,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48" s="28" t="str" cm="1">
        <f t="array" ref="V748">IFERROR(INDEX('Raw Period DMR Data'!N:N,MATCH(1,(B748='Raw Period DMR Data'!$A:$A)*(U748='Raw Period DMR Data'!M:M)*(X748='Raw Period DMR Data'!C:C),0),1), "N/A")</f>
        <v>N/A</v>
      </c>
      <c r="W748" s="28" t="s">
        <v>1463</v>
      </c>
      <c r="X748" s="28" t="s">
        <v>1999</v>
      </c>
      <c r="Y748" s="28" t="s">
        <v>2000</v>
      </c>
      <c r="Z748" s="61">
        <v>3050107000093</v>
      </c>
      <c r="AA748" s="60"/>
      <c r="AB748" s="28" t="s">
        <v>7355</v>
      </c>
      <c r="AC748" s="28" t="s">
        <v>1466</v>
      </c>
    </row>
    <row r="749" spans="1:29" s="28" customFormat="1" x14ac:dyDescent="0.25">
      <c r="A749" s="61">
        <v>110000587384</v>
      </c>
      <c r="B749" s="28">
        <v>2021</v>
      </c>
      <c r="C749" s="68">
        <f t="shared" si="11"/>
        <v>44197</v>
      </c>
      <c r="D749" s="28" t="s">
        <v>1230</v>
      </c>
      <c r="E749" s="28" t="s">
        <v>1997</v>
      </c>
      <c r="F749" s="28" t="s">
        <v>1231</v>
      </c>
      <c r="G749" s="28" t="s">
        <v>541</v>
      </c>
      <c r="H749" s="28" t="s">
        <v>1998</v>
      </c>
      <c r="I749" s="28">
        <v>34.807729999999999</v>
      </c>
      <c r="J749" s="28">
        <v>-82.006420000000006</v>
      </c>
      <c r="L749" s="61">
        <v>110000587384</v>
      </c>
      <c r="M749" s="28" t="s">
        <v>265</v>
      </c>
      <c r="N749" s="28">
        <v>3674</v>
      </c>
      <c r="O749" s="28" t="str">
        <f>IFERROR(VLOOKUP(N749, 'SIC &amp; NAICS Codes'!A:B, 2, FALSE), "")</f>
        <v>Semiconductors and Related Devices</v>
      </c>
      <c r="S749" s="28">
        <v>3.4572190000000003E-2</v>
      </c>
      <c r="T749" s="315">
        <f>_xlfn.MAXIFS('Raw Period DMR Data'!$O:$O,'Raw Period DMR Data'!$A:$A,'Raw Annual DMR Data_2021-2024'!#REF!,'Raw Period DMR Data'!$C:$C,X749)/S749</f>
        <v>0</v>
      </c>
      <c r="U749" s="28" t="str">
        <f>+IF(COUNTIFS('Raw Period DMR Data'!$A:$A,B749,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49" s="28" t="str" cm="1">
        <f t="array" ref="V749">IFERROR(INDEX('Raw Period DMR Data'!N:N,MATCH(1,(B749='Raw Period DMR Data'!$A:$A)*(U749='Raw Period DMR Data'!M:M)*(X749='Raw Period DMR Data'!C:C),0),1), "N/A")</f>
        <v>N/A</v>
      </c>
      <c r="W749" s="28" t="s">
        <v>1463</v>
      </c>
      <c r="X749" s="28" t="s">
        <v>1999</v>
      </c>
      <c r="Y749" s="28" t="s">
        <v>2000</v>
      </c>
      <c r="Z749" s="61">
        <v>3050107000093</v>
      </c>
      <c r="AB749" s="28" t="s">
        <v>7355</v>
      </c>
      <c r="AC749" s="28" t="s">
        <v>1466</v>
      </c>
    </row>
    <row r="750" spans="1:29" s="28" customFormat="1" x14ac:dyDescent="0.25">
      <c r="A750" s="61">
        <v>110070882213</v>
      </c>
      <c r="B750" s="28">
        <v>2021</v>
      </c>
      <c r="C750" s="68">
        <f t="shared" si="11"/>
        <v>44197</v>
      </c>
      <c r="D750" s="28" t="s">
        <v>1233</v>
      </c>
      <c r="E750" s="28" t="s">
        <v>2006</v>
      </c>
      <c r="F750" s="28" t="s">
        <v>293</v>
      </c>
      <c r="G750" s="28" t="s">
        <v>294</v>
      </c>
      <c r="H750" s="28">
        <v>22202</v>
      </c>
      <c r="I750" s="28">
        <v>38.86157</v>
      </c>
      <c r="J750" s="28">
        <v>-77.053929999999994</v>
      </c>
      <c r="L750" s="61">
        <v>110070882213</v>
      </c>
      <c r="M750" s="28" t="s">
        <v>265</v>
      </c>
      <c r="N750" s="28">
        <v>7521</v>
      </c>
      <c r="O750" s="28" t="str">
        <f>IFERROR(VLOOKUP(N750, 'SIC &amp; NAICS Codes'!A:B, 2, FALSE), "")</f>
        <v>Automobile Parking</v>
      </c>
      <c r="S750" s="28">
        <v>3.7453331999999999E-2</v>
      </c>
      <c r="T750" s="315">
        <f>_xlfn.MAXIFS('Raw Period DMR Data'!$O:$O,'Raw Period DMR Data'!$A:$A,'Raw Annual DMR Data_2021-2024'!#REF!,'Raw Period DMR Data'!$C:$C,X750)/S750</f>
        <v>0</v>
      </c>
      <c r="U750" s="28" t="str">
        <f>+IF(COUNTIFS('Raw Period DMR Data'!$A:$A,B750,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50" s="28" t="str" cm="1">
        <f t="array" ref="V750">IFERROR(INDEX('Raw Period DMR Data'!N:N,MATCH(1,(B750='Raw Period DMR Data'!$A:$A)*(U750='Raw Period DMR Data'!M:M)*(X750='Raw Period DMR Data'!C:C),0),1), "N/A")</f>
        <v>N/A</v>
      </c>
      <c r="W750" s="28" t="s">
        <v>1463</v>
      </c>
      <c r="X750" s="28" t="s">
        <v>2007</v>
      </c>
      <c r="Y750" s="28" t="s">
        <v>762</v>
      </c>
      <c r="Z750" s="61"/>
      <c r="AB750" s="28" t="s">
        <v>7355</v>
      </c>
      <c r="AC750" s="28" t="s">
        <v>1466</v>
      </c>
    </row>
    <row r="751" spans="1:29" s="28" customFormat="1" x14ac:dyDescent="0.25">
      <c r="A751" s="61">
        <v>110000463677</v>
      </c>
      <c r="B751" s="28">
        <v>2022</v>
      </c>
      <c r="C751" s="68">
        <f t="shared" si="11"/>
        <v>44562</v>
      </c>
      <c r="D751" s="28" t="s">
        <v>1234</v>
      </c>
      <c r="E751" s="28" t="s">
        <v>2008</v>
      </c>
      <c r="F751" s="28" t="s">
        <v>361</v>
      </c>
      <c r="G751" s="28" t="s">
        <v>362</v>
      </c>
      <c r="H751" s="28">
        <v>77571</v>
      </c>
      <c r="I751" s="28">
        <v>29.726065999999999</v>
      </c>
      <c r="J751" s="28">
        <v>-95.079583999999997</v>
      </c>
      <c r="K751" s="28" t="s">
        <v>725</v>
      </c>
      <c r="L751" s="61">
        <v>110000463677</v>
      </c>
      <c r="M751" s="28" t="s">
        <v>265</v>
      </c>
      <c r="N751" s="28">
        <v>2821</v>
      </c>
      <c r="O751" s="28" t="str">
        <f>IFERROR(VLOOKUP(N751, 'SIC &amp; NAICS Codes'!A:B, 2, FALSE), "")</f>
        <v>Plastics Materials, Synthetic and Resins, and Nonvulcanizable Elastomers</v>
      </c>
      <c r="S751" s="28">
        <v>3.9438980000000004E-3</v>
      </c>
      <c r="T751" s="315">
        <f>_xlfn.MAXIFS('Raw Period DMR Data'!$O:$O,'Raw Period DMR Data'!$A:$A,'Raw Annual DMR Data_2021-2024'!#REF!,'Raw Period DMR Data'!$C:$C,X751)/S751</f>
        <v>0</v>
      </c>
      <c r="U751" s="28" t="str">
        <f>+IF(COUNTIFS('Raw Period DMR Data'!$A:$A,B751,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51" s="28" t="str" cm="1">
        <f t="array" ref="V751">IFERROR(INDEX('Raw Period DMR Data'!N:N,MATCH(1,(B751='Raw Period DMR Data'!$A:$A)*(U751='Raw Period DMR Data'!M:M)*(X751='Raw Period DMR Data'!C:C),0),1), "N/A")</f>
        <v>N/A</v>
      </c>
      <c r="W751" s="28" t="s">
        <v>1463</v>
      </c>
      <c r="X751" s="28" t="s">
        <v>2009</v>
      </c>
      <c r="Y751" s="28" t="s">
        <v>7254</v>
      </c>
      <c r="Z751" s="61">
        <v>12040104000661</v>
      </c>
      <c r="AA751" s="60"/>
      <c r="AC751" s="28" t="s">
        <v>1466</v>
      </c>
    </row>
    <row r="752" spans="1:29" s="28" customFormat="1" x14ac:dyDescent="0.25">
      <c r="A752" s="61">
        <v>110000463677</v>
      </c>
      <c r="B752" s="28">
        <v>2023</v>
      </c>
      <c r="C752" s="68">
        <f t="shared" si="11"/>
        <v>44927</v>
      </c>
      <c r="D752" s="28" t="s">
        <v>1234</v>
      </c>
      <c r="E752" s="28" t="s">
        <v>2008</v>
      </c>
      <c r="F752" s="28" t="s">
        <v>361</v>
      </c>
      <c r="G752" s="28" t="s">
        <v>362</v>
      </c>
      <c r="H752" s="28">
        <v>77571</v>
      </c>
      <c r="I752" s="28">
        <v>29.726065999999999</v>
      </c>
      <c r="J752" s="28">
        <v>-95.079583999999997</v>
      </c>
      <c r="K752" s="28" t="s">
        <v>725</v>
      </c>
      <c r="L752" s="61">
        <v>110000463677</v>
      </c>
      <c r="M752" s="28" t="s">
        <v>265</v>
      </c>
      <c r="N752" s="28">
        <v>2821</v>
      </c>
      <c r="O752" s="28" t="str">
        <f>IFERROR(VLOOKUP(N752, 'SIC &amp; NAICS Codes'!A:B, 2, FALSE), "")</f>
        <v>Plastics Materials, Synthetic and Resins, and Nonvulcanizable Elastomers</v>
      </c>
      <c r="S752" s="28">
        <v>3.4964810000000001E-3</v>
      </c>
      <c r="T752" s="315">
        <f>_xlfn.MAXIFS('Raw Period DMR Data'!$O:$O,'Raw Period DMR Data'!$A:$A,'Raw Annual DMR Data_2021-2024'!#REF!,'Raw Period DMR Data'!$C:$C,X752)/S752</f>
        <v>0</v>
      </c>
      <c r="U752" s="28" t="str">
        <f>+IF(COUNTIFS('Raw Period DMR Data'!$A:$A,B752,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52" s="28" t="str" cm="1">
        <f t="array" ref="V752">IFERROR(INDEX('Raw Period DMR Data'!N:N,MATCH(1,(B752='Raw Period DMR Data'!$A:$A)*(U752='Raw Period DMR Data'!M:M)*(X752='Raw Period DMR Data'!C:C),0),1), "N/A")</f>
        <v>N/A</v>
      </c>
      <c r="W752" s="28" t="s">
        <v>1463</v>
      </c>
      <c r="X752" s="28" t="s">
        <v>2009</v>
      </c>
      <c r="Y752" s="28" t="s">
        <v>7254</v>
      </c>
      <c r="Z752" s="61">
        <v>12040104000661</v>
      </c>
      <c r="AA752" s="60"/>
      <c r="AC752" s="28" t="s">
        <v>1466</v>
      </c>
    </row>
    <row r="753" spans="1:29" s="28" customFormat="1" x14ac:dyDescent="0.25">
      <c r="A753" s="61">
        <v>110000463677</v>
      </c>
      <c r="B753" s="28">
        <v>2021</v>
      </c>
      <c r="C753" s="68">
        <f t="shared" si="11"/>
        <v>44197</v>
      </c>
      <c r="D753" s="28" t="s">
        <v>1234</v>
      </c>
      <c r="E753" s="28" t="s">
        <v>2008</v>
      </c>
      <c r="F753" s="28" t="s">
        <v>361</v>
      </c>
      <c r="G753" s="28" t="s">
        <v>362</v>
      </c>
      <c r="H753" s="28">
        <v>77571</v>
      </c>
      <c r="I753" s="28">
        <v>29.726065999999999</v>
      </c>
      <c r="J753" s="28">
        <v>-95.079583999999997</v>
      </c>
      <c r="K753" s="28" t="s">
        <v>725</v>
      </c>
      <c r="L753" s="61">
        <v>110000463677</v>
      </c>
      <c r="M753" s="28" t="s">
        <v>265</v>
      </c>
      <c r="N753" s="28">
        <v>2821</v>
      </c>
      <c r="O753" s="28" t="str">
        <f>IFERROR(VLOOKUP(N753, 'SIC &amp; NAICS Codes'!A:B, 2, FALSE), "")</f>
        <v>Plastics Materials, Synthetic and Resins, and Nonvulcanizable Elastomers</v>
      </c>
      <c r="S753" s="28">
        <v>3.0490640000000002E-3</v>
      </c>
      <c r="T753" s="315">
        <f>_xlfn.MAXIFS('Raw Period DMR Data'!$O:$O,'Raw Period DMR Data'!$A:$A,'Raw Annual DMR Data_2021-2024'!#REF!,'Raw Period DMR Data'!$C:$C,X753)/S753</f>
        <v>0</v>
      </c>
      <c r="U753" s="28" t="str">
        <f>+IF(COUNTIFS('Raw Period DMR Data'!$A:$A,B753,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53" s="28" t="str" cm="1">
        <f t="array" ref="V753">IFERROR(INDEX('Raw Period DMR Data'!N:N,MATCH(1,(B753='Raw Period DMR Data'!$A:$A)*(U753='Raw Period DMR Data'!M:M)*(X753='Raw Period DMR Data'!C:C),0),1), "N/A")</f>
        <v>N/A</v>
      </c>
      <c r="W753" s="28" t="s">
        <v>1463</v>
      </c>
      <c r="X753" s="28" t="s">
        <v>2009</v>
      </c>
      <c r="Y753" s="28" t="s">
        <v>7254</v>
      </c>
      <c r="Z753" s="61">
        <v>12040104000661</v>
      </c>
      <c r="AC753" s="28" t="s">
        <v>1466</v>
      </c>
    </row>
    <row r="754" spans="1:29" s="28" customFormat="1" x14ac:dyDescent="0.25">
      <c r="A754" s="61">
        <v>110000373621</v>
      </c>
      <c r="B754" s="28">
        <v>2024</v>
      </c>
      <c r="C754" s="68">
        <f t="shared" si="11"/>
        <v>45292</v>
      </c>
      <c r="D754" s="28" t="s">
        <v>6816</v>
      </c>
      <c r="E754" s="28" t="s">
        <v>6971</v>
      </c>
      <c r="F754" s="28" t="s">
        <v>6972</v>
      </c>
      <c r="G754" s="28" t="s">
        <v>979</v>
      </c>
      <c r="H754" s="28">
        <v>38012</v>
      </c>
      <c r="I754" s="28">
        <v>35.607599999999998</v>
      </c>
      <c r="J754" s="28">
        <v>-89.237700000000004</v>
      </c>
      <c r="K754" s="28" t="s">
        <v>7125</v>
      </c>
      <c r="L754" s="61">
        <v>110000373621</v>
      </c>
      <c r="M754" s="28" t="s">
        <v>265</v>
      </c>
      <c r="N754" s="28">
        <v>3087</v>
      </c>
      <c r="O754" s="28" t="str">
        <f>IFERROR(VLOOKUP(N754, 'SIC &amp; NAICS Codes'!A:B, 2, FALSE), "")</f>
        <v>Custom Compounding of Purchased Plastics Resins</v>
      </c>
      <c r="S754" s="28">
        <v>0.41445749999999998</v>
      </c>
      <c r="T754" s="315">
        <f>_xlfn.MAXIFS('Raw Period DMR Data'!$O:$O,'Raw Period DMR Data'!$A:$A,'Raw Annual DMR Data_2021-2024'!#REF!,'Raw Period DMR Data'!$C:$C,X754)/S754</f>
        <v>0</v>
      </c>
      <c r="U754" s="28" t="str">
        <f>+IF(COUNTIFS('Raw Period DMR Data'!$A:$A,B754,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54" s="28" t="str" cm="1">
        <f t="array" ref="V754">IFERROR(INDEX('Raw Period DMR Data'!N:N,MATCH(1,(B754='Raw Period DMR Data'!$A:$A)*(U754='Raw Period DMR Data'!M:M)*(X754='Raw Period DMR Data'!C:C),0),1), "N/A")</f>
        <v>N/A</v>
      </c>
      <c r="W754" s="28" t="s">
        <v>1463</v>
      </c>
      <c r="X754" s="28" t="s">
        <v>7162</v>
      </c>
      <c r="Y754" s="28" t="s">
        <v>7274</v>
      </c>
      <c r="Z754" s="61">
        <v>8010205000538</v>
      </c>
      <c r="AA754" s="60"/>
      <c r="AB754" s="28" t="s">
        <v>7355</v>
      </c>
      <c r="AC754" s="28" t="s">
        <v>1466</v>
      </c>
    </row>
    <row r="755" spans="1:29" s="28" customFormat="1" x14ac:dyDescent="0.25">
      <c r="A755" s="61">
        <v>110002321345</v>
      </c>
      <c r="B755" s="28">
        <v>2023</v>
      </c>
      <c r="C755" s="68">
        <f t="shared" si="11"/>
        <v>44927</v>
      </c>
      <c r="D755" s="28" t="s">
        <v>1235</v>
      </c>
      <c r="E755" s="28" t="s">
        <v>2012</v>
      </c>
      <c r="F755" s="28" t="s">
        <v>1236</v>
      </c>
      <c r="G755" s="28" t="s">
        <v>450</v>
      </c>
      <c r="H755" s="28">
        <v>13502</v>
      </c>
      <c r="I755" s="28">
        <v>43.107216000000001</v>
      </c>
      <c r="J755" s="28">
        <v>-75.225815999999995</v>
      </c>
      <c r="L755" s="61">
        <v>110002321345</v>
      </c>
      <c r="M755" s="28" t="s">
        <v>265</v>
      </c>
      <c r="N755" s="28">
        <v>5169</v>
      </c>
      <c r="O755" s="28" t="str">
        <f>IFERROR(VLOOKUP(N755, 'SIC &amp; NAICS Codes'!A:B, 2, FALSE), "")</f>
        <v>Chemicals and Allied Products, NEC (merchant wholesalers)</v>
      </c>
      <c r="S755" s="28">
        <v>6.0083847000000001E-3</v>
      </c>
      <c r="T755" s="315">
        <f>_xlfn.MAXIFS('Raw Period DMR Data'!$O:$O,'Raw Period DMR Data'!$A:$A,'Raw Annual DMR Data_2021-2024'!#REF!,'Raw Period DMR Data'!$C:$C,X755)/S755</f>
        <v>0</v>
      </c>
      <c r="U755" s="28" t="str">
        <f>+IF(COUNTIFS('Raw Period DMR Data'!$A:$A,B755,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55" s="28" t="str" cm="1">
        <f t="array" ref="V755">IFERROR(INDEX('Raw Period DMR Data'!N:N,MATCH(1,(B755='Raw Period DMR Data'!$A:$A)*(U755='Raw Period DMR Data'!M:M)*(X755='Raw Period DMR Data'!C:C),0),1), "N/A")</f>
        <v>N/A</v>
      </c>
      <c r="W755" s="28" t="s">
        <v>1463</v>
      </c>
      <c r="X755" s="28" t="s">
        <v>2013</v>
      </c>
      <c r="Y755" s="28" t="s">
        <v>2014</v>
      </c>
      <c r="Z755" s="61" t="s">
        <v>2015</v>
      </c>
      <c r="AA755" s="60"/>
      <c r="AB755" s="28" t="s">
        <v>7355</v>
      </c>
      <c r="AC755" s="28" t="s">
        <v>1466</v>
      </c>
    </row>
    <row r="756" spans="1:29" s="28" customFormat="1" x14ac:dyDescent="0.25">
      <c r="A756" s="61">
        <v>110002321345</v>
      </c>
      <c r="B756" s="28">
        <v>2024</v>
      </c>
      <c r="C756" s="68">
        <f t="shared" si="11"/>
        <v>45292</v>
      </c>
      <c r="D756" s="28" t="s">
        <v>1235</v>
      </c>
      <c r="E756" s="28" t="s">
        <v>2012</v>
      </c>
      <c r="F756" s="28" t="s">
        <v>1236</v>
      </c>
      <c r="G756" s="28" t="s">
        <v>450</v>
      </c>
      <c r="H756" s="28">
        <v>13502</v>
      </c>
      <c r="I756" s="28">
        <v>43.107216000000001</v>
      </c>
      <c r="J756" s="28">
        <v>-75.225815999999995</v>
      </c>
      <c r="L756" s="61">
        <v>110002321345</v>
      </c>
      <c r="M756" s="28" t="s">
        <v>265</v>
      </c>
      <c r="N756" s="28">
        <v>5169</v>
      </c>
      <c r="O756" s="28" t="str">
        <f>IFERROR(VLOOKUP(N756, 'SIC &amp; NAICS Codes'!A:B, 2, FALSE), "")</f>
        <v>Chemicals and Allied Products, NEC (merchant wholesalers)</v>
      </c>
      <c r="S756" s="28">
        <v>5.9681880000000001E-3</v>
      </c>
      <c r="T756" s="315">
        <f>_xlfn.MAXIFS('Raw Period DMR Data'!$O:$O,'Raw Period DMR Data'!$A:$A,'Raw Annual DMR Data_2021-2024'!#REF!,'Raw Period DMR Data'!$C:$C,X756)/S756</f>
        <v>0</v>
      </c>
      <c r="U756" s="28" t="str">
        <f>+IF(COUNTIFS('Raw Period DMR Data'!$A:$A,B756,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56" s="28" t="str" cm="1">
        <f t="array" ref="V756">IFERROR(INDEX('Raw Period DMR Data'!N:N,MATCH(1,(B756='Raw Period DMR Data'!$A:$A)*(U756='Raw Period DMR Data'!M:M)*(X756='Raw Period DMR Data'!C:C),0),1), "N/A")</f>
        <v>N/A</v>
      </c>
      <c r="W756" s="28" t="s">
        <v>1463</v>
      </c>
      <c r="X756" s="28" t="s">
        <v>2013</v>
      </c>
      <c r="Y756" s="28" t="s">
        <v>2014</v>
      </c>
      <c r="Z756" s="61">
        <v>2020004002623</v>
      </c>
      <c r="AA756" s="60"/>
      <c r="AB756" s="28" t="s">
        <v>7355</v>
      </c>
      <c r="AC756" s="28" t="s">
        <v>1466</v>
      </c>
    </row>
    <row r="757" spans="1:29" s="28" customFormat="1" x14ac:dyDescent="0.25">
      <c r="A757" s="61">
        <v>110002321345</v>
      </c>
      <c r="B757" s="28">
        <v>2022</v>
      </c>
      <c r="C757" s="68">
        <f t="shared" si="11"/>
        <v>44562</v>
      </c>
      <c r="D757" s="28" t="s">
        <v>1235</v>
      </c>
      <c r="E757" s="28" t="s">
        <v>2012</v>
      </c>
      <c r="F757" s="28" t="s">
        <v>1236</v>
      </c>
      <c r="G757" s="28" t="s">
        <v>450</v>
      </c>
      <c r="H757" s="28">
        <v>13502</v>
      </c>
      <c r="I757" s="28">
        <v>43.107216000000001</v>
      </c>
      <c r="J757" s="28">
        <v>-75.225815999999995</v>
      </c>
      <c r="L757" s="61">
        <v>110002321345</v>
      </c>
      <c r="M757" s="28" t="s">
        <v>265</v>
      </c>
      <c r="N757" s="28">
        <v>5169</v>
      </c>
      <c r="O757" s="28" t="str">
        <f>IFERROR(VLOOKUP(N757, 'SIC &amp; NAICS Codes'!A:B, 2, FALSE), "")</f>
        <v>Chemicals and Allied Products, NEC (merchant wholesalers)</v>
      </c>
      <c r="S757" s="28">
        <v>5.9606937000000002E-3</v>
      </c>
      <c r="T757" s="315">
        <f>_xlfn.MAXIFS('Raw Period DMR Data'!$O:$O,'Raw Period DMR Data'!$A:$A,'Raw Annual DMR Data_2021-2024'!#REF!,'Raw Period DMR Data'!$C:$C,X757)/S757</f>
        <v>0</v>
      </c>
      <c r="U757" s="28" t="str">
        <f>+IF(COUNTIFS('Raw Period DMR Data'!$A:$A,B757,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57" s="28" t="str" cm="1">
        <f t="array" ref="V757">IFERROR(INDEX('Raw Period DMR Data'!N:N,MATCH(1,(B757='Raw Period DMR Data'!$A:$A)*(U757='Raw Period DMR Data'!M:M)*(X757='Raw Period DMR Data'!C:C),0),1), "N/A")</f>
        <v>N/A</v>
      </c>
      <c r="W757" s="28" t="s">
        <v>1463</v>
      </c>
      <c r="X757" s="28" t="s">
        <v>2013</v>
      </c>
      <c r="Y757" s="28" t="s">
        <v>2014</v>
      </c>
      <c r="Z757" s="61">
        <v>2020004002623</v>
      </c>
      <c r="AA757" s="60"/>
      <c r="AB757" s="28" t="s">
        <v>7355</v>
      </c>
      <c r="AC757" s="28" t="s">
        <v>1466</v>
      </c>
    </row>
    <row r="758" spans="1:29" s="28" customFormat="1" x14ac:dyDescent="0.25">
      <c r="A758" s="61">
        <v>110002321345</v>
      </c>
      <c r="B758" s="28">
        <v>2021</v>
      </c>
      <c r="C758" s="68">
        <f t="shared" si="11"/>
        <v>44197</v>
      </c>
      <c r="D758" s="28" t="s">
        <v>1235</v>
      </c>
      <c r="E758" s="28" t="s">
        <v>2012</v>
      </c>
      <c r="F758" s="28" t="s">
        <v>1236</v>
      </c>
      <c r="G758" s="28" t="s">
        <v>450</v>
      </c>
      <c r="H758" s="28">
        <v>13502</v>
      </c>
      <c r="I758" s="28">
        <v>43.107216000000001</v>
      </c>
      <c r="J758" s="28">
        <v>-75.225815999999995</v>
      </c>
      <c r="L758" s="61">
        <v>110002321345</v>
      </c>
      <c r="M758" s="28" t="s">
        <v>265</v>
      </c>
      <c r="N758" s="28">
        <v>5169</v>
      </c>
      <c r="O758" s="28" t="str">
        <f>IFERROR(VLOOKUP(N758, 'SIC &amp; NAICS Codes'!A:B, 2, FALSE), "")</f>
        <v>Chemicals and Allied Products, NEC (merchant wholesalers)</v>
      </c>
      <c r="S758" s="28">
        <v>5.4490373999999996E-3</v>
      </c>
      <c r="T758" s="315">
        <f>_xlfn.MAXIFS('Raw Period DMR Data'!$O:$O,'Raw Period DMR Data'!$A:$A,'Raw Annual DMR Data_2021-2024'!#REF!,'Raw Period DMR Data'!$C:$C,X758)/S758</f>
        <v>0</v>
      </c>
      <c r="U758" s="28" t="str">
        <f>+IF(COUNTIFS('Raw Period DMR Data'!$A:$A,B758,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58" s="28" t="str" cm="1">
        <f t="array" ref="V758">IFERROR(INDEX('Raw Period DMR Data'!N:N,MATCH(1,(B758='Raw Period DMR Data'!$A:$A)*(U758='Raw Period DMR Data'!M:M)*(X758='Raw Period DMR Data'!C:C),0),1), "N/A")</f>
        <v>N/A</v>
      </c>
      <c r="W758" s="28" t="s">
        <v>1463</v>
      </c>
      <c r="X758" s="28" t="s">
        <v>2013</v>
      </c>
      <c r="Y758" s="28" t="s">
        <v>2014</v>
      </c>
      <c r="Z758" s="61">
        <v>2020004002623</v>
      </c>
      <c r="AB758" s="28" t="s">
        <v>7355</v>
      </c>
      <c r="AC758" s="28" t="s">
        <v>1466</v>
      </c>
    </row>
    <row r="759" spans="1:29" s="28" customFormat="1" x14ac:dyDescent="0.25">
      <c r="A759" s="61">
        <v>110000373621</v>
      </c>
      <c r="B759" s="28">
        <v>2022</v>
      </c>
      <c r="C759" s="68">
        <f t="shared" si="11"/>
        <v>44562</v>
      </c>
      <c r="D759" s="28" t="s">
        <v>6816</v>
      </c>
      <c r="E759" s="28" t="s">
        <v>6971</v>
      </c>
      <c r="F759" s="28" t="s">
        <v>6972</v>
      </c>
      <c r="G759" s="28" t="s">
        <v>979</v>
      </c>
      <c r="H759" s="28">
        <v>38012</v>
      </c>
      <c r="I759" s="28">
        <v>35.607599999999998</v>
      </c>
      <c r="J759" s="28">
        <v>-89.237700000000004</v>
      </c>
      <c r="K759" s="28" t="s">
        <v>7125</v>
      </c>
      <c r="L759" s="61">
        <v>110000373621</v>
      </c>
      <c r="M759" s="28" t="s">
        <v>265</v>
      </c>
      <c r="N759" s="28">
        <v>3087</v>
      </c>
      <c r="O759" s="28" t="str">
        <f>IFERROR(VLOOKUP(N759, 'SIC &amp; NAICS Codes'!A:B, 2, FALSE), "")</f>
        <v>Custom Compounding of Purchased Plastics Resins</v>
      </c>
      <c r="S759" s="28">
        <v>0.2265701</v>
      </c>
      <c r="T759" s="315">
        <f>_xlfn.MAXIFS('Raw Period DMR Data'!$O:$O,'Raw Period DMR Data'!$A:$A,'Raw Annual DMR Data_2021-2024'!#REF!,'Raw Period DMR Data'!$C:$C,X759)/S759</f>
        <v>0</v>
      </c>
      <c r="U759" s="28" t="str">
        <f>+IF(COUNTIFS('Raw Period DMR Data'!$A:$A,B759,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59" s="28" t="str" cm="1">
        <f t="array" ref="V759">IFERROR(INDEX('Raw Period DMR Data'!N:N,MATCH(1,(B759='Raw Period DMR Data'!$A:$A)*(U759='Raw Period DMR Data'!M:M)*(X759='Raw Period DMR Data'!C:C),0),1), "N/A")</f>
        <v>N/A</v>
      </c>
      <c r="W759" s="28" t="s">
        <v>1463</v>
      </c>
      <c r="X759" s="28" t="s">
        <v>7162</v>
      </c>
      <c r="Y759" s="28" t="s">
        <v>7274</v>
      </c>
      <c r="Z759" s="61">
        <v>8010205000538</v>
      </c>
      <c r="AA759" s="60"/>
      <c r="AB759" s="28" t="s">
        <v>7355</v>
      </c>
      <c r="AC759" s="28" t="s">
        <v>1466</v>
      </c>
    </row>
    <row r="760" spans="1:29" s="28" customFormat="1" x14ac:dyDescent="0.25">
      <c r="A760" s="61">
        <v>110000373621</v>
      </c>
      <c r="B760" s="28">
        <v>2024</v>
      </c>
      <c r="C760" s="68">
        <f t="shared" si="11"/>
        <v>45292</v>
      </c>
      <c r="D760" s="28" t="s">
        <v>6816</v>
      </c>
      <c r="E760" s="28" t="s">
        <v>6971</v>
      </c>
      <c r="F760" s="28" t="s">
        <v>6972</v>
      </c>
      <c r="G760" s="28" t="s">
        <v>979</v>
      </c>
      <c r="H760" s="28">
        <v>38012</v>
      </c>
      <c r="I760" s="28">
        <v>35.607599999999998</v>
      </c>
      <c r="J760" s="28">
        <v>-89.237700000000004</v>
      </c>
      <c r="K760" s="28" t="s">
        <v>7125</v>
      </c>
      <c r="L760" s="61">
        <v>110000373621</v>
      </c>
      <c r="M760" s="28" t="s">
        <v>265</v>
      </c>
      <c r="N760" s="28">
        <v>3087</v>
      </c>
      <c r="O760" s="28" t="str">
        <f>IFERROR(VLOOKUP(N760, 'SIC &amp; NAICS Codes'!A:B, 2, FALSE), "")</f>
        <v>Custom Compounding of Purchased Plastics Resins</v>
      </c>
      <c r="S760" s="28">
        <v>0.14367859999999999</v>
      </c>
      <c r="T760" s="315">
        <f>_xlfn.MAXIFS('Raw Period DMR Data'!$O:$O,'Raw Period DMR Data'!$A:$A,'Raw Annual DMR Data_2021-2024'!#REF!,'Raw Period DMR Data'!$C:$C,X760)/S760</f>
        <v>0</v>
      </c>
      <c r="U760" s="28" t="str">
        <f>+IF(COUNTIFS('Raw Period DMR Data'!$A:$A,B760,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60" s="28" t="str" cm="1">
        <f t="array" ref="V760">IFERROR(INDEX('Raw Period DMR Data'!N:N,MATCH(1,(B760='Raw Period DMR Data'!$A:$A)*(U760='Raw Period DMR Data'!M:M)*(X760='Raw Period DMR Data'!C:C),0),1), "N/A")</f>
        <v>N/A</v>
      </c>
      <c r="W760" s="28" t="s">
        <v>1463</v>
      </c>
      <c r="X760" s="28" t="s">
        <v>7162</v>
      </c>
      <c r="Y760" s="28" t="s">
        <v>7274</v>
      </c>
      <c r="Z760" s="61">
        <v>8010205000538</v>
      </c>
      <c r="AA760" s="60"/>
      <c r="AB760" s="28" t="s">
        <v>7355</v>
      </c>
      <c r="AC760" s="28" t="s">
        <v>1466</v>
      </c>
    </row>
    <row r="761" spans="1:29" s="28" customFormat="1" x14ac:dyDescent="0.25">
      <c r="A761" s="61">
        <v>110000373621</v>
      </c>
      <c r="B761" s="28">
        <v>2023</v>
      </c>
      <c r="C761" s="68">
        <f t="shared" si="11"/>
        <v>44927</v>
      </c>
      <c r="D761" s="28" t="s">
        <v>6816</v>
      </c>
      <c r="E761" s="28" t="s">
        <v>6971</v>
      </c>
      <c r="F761" s="28" t="s">
        <v>6972</v>
      </c>
      <c r="G761" s="28" t="s">
        <v>979</v>
      </c>
      <c r="H761" s="28">
        <v>38012</v>
      </c>
      <c r="I761" s="28">
        <v>35.607599999999998</v>
      </c>
      <c r="J761" s="28">
        <v>-89.237700000000004</v>
      </c>
      <c r="K761" s="28" t="s">
        <v>7125</v>
      </c>
      <c r="L761" s="61">
        <v>110000373621</v>
      </c>
      <c r="M761" s="28" t="s">
        <v>265</v>
      </c>
      <c r="N761" s="28">
        <v>3087</v>
      </c>
      <c r="O761" s="28" t="str">
        <f>IFERROR(VLOOKUP(N761, 'SIC &amp; NAICS Codes'!A:B, 2, FALSE), "")</f>
        <v>Custom Compounding of Purchased Plastics Resins</v>
      </c>
      <c r="S761" s="28">
        <v>0.12157419999999999</v>
      </c>
      <c r="T761" s="315">
        <f>_xlfn.MAXIFS('Raw Period DMR Data'!$O:$O,'Raw Period DMR Data'!$A:$A,'Raw Annual DMR Data_2021-2024'!#REF!,'Raw Period DMR Data'!$C:$C,X761)/S761</f>
        <v>0</v>
      </c>
      <c r="U761" s="28" t="str">
        <f>+IF(COUNTIFS('Raw Period DMR Data'!$A:$A,B761,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61" s="28" t="str" cm="1">
        <f t="array" ref="V761">IFERROR(INDEX('Raw Period DMR Data'!N:N,MATCH(1,(B761='Raw Period DMR Data'!$A:$A)*(U761='Raw Period DMR Data'!M:M)*(X761='Raw Period DMR Data'!C:C),0),1), "N/A")</f>
        <v>N/A</v>
      </c>
      <c r="W761" s="28" t="s">
        <v>1463</v>
      </c>
      <c r="X761" s="28" t="s">
        <v>7162</v>
      </c>
      <c r="Y761" s="28" t="s">
        <v>7274</v>
      </c>
      <c r="Z761" s="61" t="s">
        <v>7330</v>
      </c>
      <c r="AA761" s="60"/>
      <c r="AB761" s="28" t="s">
        <v>7355</v>
      </c>
      <c r="AC761" s="28" t="s">
        <v>1466</v>
      </c>
    </row>
    <row r="762" spans="1:29" s="28" customFormat="1" x14ac:dyDescent="0.25">
      <c r="A762" s="61">
        <v>110000373621</v>
      </c>
      <c r="B762" s="28">
        <v>2023</v>
      </c>
      <c r="C762" s="68">
        <f t="shared" si="11"/>
        <v>44927</v>
      </c>
      <c r="D762" s="28" t="s">
        <v>6816</v>
      </c>
      <c r="E762" s="28" t="s">
        <v>6971</v>
      </c>
      <c r="F762" s="28" t="s">
        <v>6972</v>
      </c>
      <c r="G762" s="28" t="s">
        <v>979</v>
      </c>
      <c r="H762" s="28">
        <v>38012</v>
      </c>
      <c r="I762" s="28">
        <v>35.607599999999998</v>
      </c>
      <c r="J762" s="28">
        <v>-89.237700000000004</v>
      </c>
      <c r="K762" s="28" t="s">
        <v>7125</v>
      </c>
      <c r="L762" s="61">
        <v>110000373621</v>
      </c>
      <c r="M762" s="28" t="s">
        <v>265</v>
      </c>
      <c r="N762" s="28">
        <v>3087</v>
      </c>
      <c r="O762" s="28" t="str">
        <f>IFERROR(VLOOKUP(N762, 'SIC &amp; NAICS Codes'!A:B, 2, FALSE), "")</f>
        <v>Custom Compounding of Purchased Plastics Resins</v>
      </c>
      <c r="S762" s="28">
        <v>3.86827E-2</v>
      </c>
      <c r="T762" s="315">
        <f>_xlfn.MAXIFS('Raw Period DMR Data'!$O:$O,'Raw Period DMR Data'!$A:$A,'Raw Annual DMR Data_2021-2024'!#REF!,'Raw Period DMR Data'!$C:$C,X762)/S762</f>
        <v>0</v>
      </c>
      <c r="U762" s="28" t="str">
        <f>+IF(COUNTIFS('Raw Period DMR Data'!$A:$A,B762,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62" s="28" t="str" cm="1">
        <f t="array" ref="V762">IFERROR(INDEX('Raw Period DMR Data'!N:N,MATCH(1,(B762='Raw Period DMR Data'!$A:$A)*(U762='Raw Period DMR Data'!M:M)*(X762='Raw Period DMR Data'!C:C),0),1), "N/A")</f>
        <v>N/A</v>
      </c>
      <c r="W762" s="28" t="s">
        <v>1463</v>
      </c>
      <c r="X762" s="28" t="s">
        <v>7162</v>
      </c>
      <c r="Y762" s="28" t="s">
        <v>7274</v>
      </c>
      <c r="Z762" s="61" t="s">
        <v>7330</v>
      </c>
      <c r="AA762" s="60"/>
      <c r="AB762" s="28" t="s">
        <v>7355</v>
      </c>
      <c r="AC762" s="28" t="s">
        <v>1466</v>
      </c>
    </row>
    <row r="763" spans="1:29" s="28" customFormat="1" x14ac:dyDescent="0.25">
      <c r="A763" s="61">
        <v>110000484039</v>
      </c>
      <c r="B763" s="28">
        <v>2024</v>
      </c>
      <c r="C763" s="68">
        <f t="shared" si="11"/>
        <v>45292</v>
      </c>
      <c r="D763" s="28" t="s">
        <v>6794</v>
      </c>
      <c r="E763" s="28" t="s">
        <v>6945</v>
      </c>
      <c r="F763" s="28" t="s">
        <v>6917</v>
      </c>
      <c r="G763" s="28" t="s">
        <v>366</v>
      </c>
      <c r="H763" s="28">
        <v>95014</v>
      </c>
      <c r="I763" s="28">
        <v>37.318058999999998</v>
      </c>
      <c r="J763" s="28">
        <v>-122.09263199999999</v>
      </c>
      <c r="K763" s="28" t="s">
        <v>7121</v>
      </c>
      <c r="L763" s="61">
        <v>110000484039</v>
      </c>
      <c r="M763" s="28" t="s">
        <v>265</v>
      </c>
      <c r="N763" s="28">
        <v>3241</v>
      </c>
      <c r="O763" s="28" t="str">
        <f>IFERROR(VLOOKUP(N763, 'SIC &amp; NAICS Codes'!A:B, 2, FALSE), "")</f>
        <v>Cement, Hydraulic</v>
      </c>
      <c r="S763" s="28">
        <v>3.2927266849999998E-2</v>
      </c>
      <c r="T763" s="315">
        <f>_xlfn.MAXIFS('Raw Period DMR Data'!$O:$O,'Raw Period DMR Data'!$A:$A,'Raw Annual DMR Data_2021-2024'!#REF!,'Raw Period DMR Data'!$C:$C,X763)/S763</f>
        <v>0</v>
      </c>
      <c r="U763" s="28" t="str">
        <f>+IF(COUNTIFS('Raw Period DMR Data'!$A:$A,B763,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63" s="28" t="str" cm="1">
        <f t="array" ref="V763">IFERROR(INDEX('Raw Period DMR Data'!N:N,MATCH(1,(B763='Raw Period DMR Data'!$A:$A)*(U763='Raw Period DMR Data'!M:M)*(X763='Raw Period DMR Data'!C:C),0),1), "N/A")</f>
        <v>N/A</v>
      </c>
      <c r="W763" s="28" t="s">
        <v>1463</v>
      </c>
      <c r="X763" s="28" t="s">
        <v>7150</v>
      </c>
      <c r="Y763" s="28" t="s">
        <v>7262</v>
      </c>
      <c r="Z763" s="61">
        <v>18050003000976</v>
      </c>
      <c r="AA763" s="60"/>
      <c r="AB763" s="28" t="s">
        <v>7355</v>
      </c>
      <c r="AC763" s="28" t="s">
        <v>1466</v>
      </c>
    </row>
    <row r="764" spans="1:29" s="28" customFormat="1" x14ac:dyDescent="0.25">
      <c r="A764" s="61">
        <v>110000484039</v>
      </c>
      <c r="B764" s="28">
        <v>2023</v>
      </c>
      <c r="C764" s="68">
        <f t="shared" si="11"/>
        <v>44927</v>
      </c>
      <c r="D764" s="28" t="s">
        <v>6794</v>
      </c>
      <c r="E764" s="28" t="s">
        <v>6945</v>
      </c>
      <c r="F764" s="28" t="s">
        <v>6917</v>
      </c>
      <c r="G764" s="28" t="s">
        <v>366</v>
      </c>
      <c r="H764" s="28">
        <v>95014</v>
      </c>
      <c r="I764" s="28">
        <v>37.318058999999998</v>
      </c>
      <c r="J764" s="28">
        <v>-122.09263199999999</v>
      </c>
      <c r="K764" s="28" t="s">
        <v>7121</v>
      </c>
      <c r="L764" s="61">
        <v>110000484039</v>
      </c>
      <c r="M764" s="28" t="s">
        <v>265</v>
      </c>
      <c r="N764" s="28">
        <v>3241</v>
      </c>
      <c r="O764" s="28" t="str">
        <f>IFERROR(VLOOKUP(N764, 'SIC &amp; NAICS Codes'!A:B, 2, FALSE), "")</f>
        <v>Cement, Hydraulic</v>
      </c>
      <c r="S764" s="28">
        <v>3.07195899E-2</v>
      </c>
      <c r="T764" s="315">
        <f>_xlfn.MAXIFS('Raw Period DMR Data'!$O:$O,'Raw Period DMR Data'!$A:$A,'Raw Annual DMR Data_2021-2024'!#REF!,'Raw Period DMR Data'!$C:$C,X764)/S764</f>
        <v>0</v>
      </c>
      <c r="U764" s="28" t="str">
        <f>+IF(COUNTIFS('Raw Period DMR Data'!$A:$A,B764,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64" s="28" t="str" cm="1">
        <f t="array" ref="V764">IFERROR(INDEX('Raw Period DMR Data'!N:N,MATCH(1,(B764='Raw Period DMR Data'!$A:$A)*(U764='Raw Period DMR Data'!M:M)*(X764='Raw Period DMR Data'!C:C),0),1), "N/A")</f>
        <v>N/A</v>
      </c>
      <c r="W764" s="28" t="s">
        <v>1463</v>
      </c>
      <c r="X764" s="28" t="s">
        <v>7150</v>
      </c>
      <c r="Y764" s="28" t="s">
        <v>7262</v>
      </c>
      <c r="Z764" s="61">
        <v>18050003000976</v>
      </c>
      <c r="AA764" s="60"/>
      <c r="AB764" s="28" t="s">
        <v>7355</v>
      </c>
      <c r="AC764" s="28" t="s">
        <v>1466</v>
      </c>
    </row>
    <row r="765" spans="1:29" s="28" customFormat="1" x14ac:dyDescent="0.25">
      <c r="A765" s="61">
        <v>110000484039</v>
      </c>
      <c r="B765" s="28">
        <v>2022</v>
      </c>
      <c r="C765" s="68">
        <f t="shared" si="11"/>
        <v>44562</v>
      </c>
      <c r="D765" s="28" t="s">
        <v>6794</v>
      </c>
      <c r="E765" s="28" t="s">
        <v>6945</v>
      </c>
      <c r="F765" s="28" t="s">
        <v>6917</v>
      </c>
      <c r="G765" s="28" t="s">
        <v>366</v>
      </c>
      <c r="H765" s="28">
        <v>95014</v>
      </c>
      <c r="I765" s="28">
        <v>37.318058999999998</v>
      </c>
      <c r="J765" s="28">
        <v>-122.09263199999999</v>
      </c>
      <c r="K765" s="28" t="s">
        <v>7121</v>
      </c>
      <c r="L765" s="61">
        <v>110000484039</v>
      </c>
      <c r="M765" s="28" t="s">
        <v>265</v>
      </c>
      <c r="N765" s="28">
        <v>3241</v>
      </c>
      <c r="O765" s="28" t="str">
        <f>IFERROR(VLOOKUP(N765, 'SIC &amp; NAICS Codes'!A:B, 2, FALSE), "")</f>
        <v>Cement, Hydraulic</v>
      </c>
      <c r="S765" s="28">
        <v>2.5364799E-2</v>
      </c>
      <c r="T765" s="315">
        <f>_xlfn.MAXIFS('Raw Period DMR Data'!$O:$O,'Raw Period DMR Data'!$A:$A,'Raw Annual DMR Data_2021-2024'!#REF!,'Raw Period DMR Data'!$C:$C,X765)/S765</f>
        <v>0</v>
      </c>
      <c r="U765" s="28" t="str">
        <f>+IF(COUNTIFS('Raw Period DMR Data'!$A:$A,B765,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65" s="28" t="str" cm="1">
        <f t="array" ref="V765">IFERROR(INDEX('Raw Period DMR Data'!N:N,MATCH(1,(B765='Raw Period DMR Data'!$A:$A)*(U765='Raw Period DMR Data'!M:M)*(X765='Raw Period DMR Data'!C:C),0),1), "N/A")</f>
        <v>N/A</v>
      </c>
      <c r="W765" s="28" t="s">
        <v>1463</v>
      </c>
      <c r="X765" s="28" t="s">
        <v>7150</v>
      </c>
      <c r="Y765" s="28" t="s">
        <v>7262</v>
      </c>
      <c r="Z765" s="61">
        <v>18050003000976</v>
      </c>
      <c r="AA765" s="60"/>
      <c r="AB765" s="28" t="s">
        <v>7355</v>
      </c>
      <c r="AC765" s="28" t="s">
        <v>1466</v>
      </c>
    </row>
    <row r="766" spans="1:29" s="28" customFormat="1" x14ac:dyDescent="0.25">
      <c r="A766" s="61">
        <v>110000581255</v>
      </c>
      <c r="B766" s="28">
        <v>2022</v>
      </c>
      <c r="C766" s="68">
        <f t="shared" si="11"/>
        <v>44562</v>
      </c>
      <c r="D766" s="28" t="s">
        <v>6801</v>
      </c>
      <c r="E766" s="28" t="s">
        <v>6952</v>
      </c>
      <c r="F766" s="28" t="s">
        <v>6953</v>
      </c>
      <c r="G766" s="28" t="s">
        <v>553</v>
      </c>
      <c r="H766" s="28" t="s">
        <v>6954</v>
      </c>
      <c r="I766" s="28">
        <v>41.633920000000003</v>
      </c>
      <c r="J766" s="28">
        <v>-71.493690000000001</v>
      </c>
      <c r="L766" s="61">
        <v>110000581255</v>
      </c>
      <c r="M766" s="28" t="s">
        <v>265</v>
      </c>
      <c r="N766" s="28">
        <v>3315</v>
      </c>
      <c r="O766" s="28" t="str">
        <f>IFERROR(VLOOKUP(N766, 'SIC &amp; NAICS Codes'!A:B, 2, FALSE), "")</f>
        <v>Steel Wiredrawing and Steel Nails and Spikes (steel wire drawing)</v>
      </c>
      <c r="S766" s="28">
        <v>0.233113608</v>
      </c>
      <c r="T766" s="315">
        <f>_xlfn.MAXIFS('Raw Period DMR Data'!$O:$O,'Raw Period DMR Data'!$A:$A,'Raw Annual DMR Data_2021-2024'!#REF!,'Raw Period DMR Data'!$C:$C,X766)/S766</f>
        <v>0</v>
      </c>
      <c r="U766" s="28" t="str">
        <f>+IF(COUNTIFS('Raw Period DMR Data'!$A:$A,B766,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66" s="28" t="str" cm="1">
        <f t="array" ref="V766">IFERROR(INDEX('Raw Period DMR Data'!N:N,MATCH(1,(B766='Raw Period DMR Data'!$A:$A)*(U766='Raw Period DMR Data'!M:M)*(X766='Raw Period DMR Data'!C:C),0),1), "N/A")</f>
        <v>N/A</v>
      </c>
      <c r="W766" s="28" t="s">
        <v>1463</v>
      </c>
      <c r="X766" s="28" t="s">
        <v>7154</v>
      </c>
      <c r="Y766" s="28" t="s">
        <v>7266</v>
      </c>
      <c r="Z766" s="61">
        <v>1090004000699</v>
      </c>
      <c r="AA766" s="60"/>
      <c r="AB766" s="28" t="s">
        <v>7355</v>
      </c>
      <c r="AC766" s="28" t="s">
        <v>1466</v>
      </c>
    </row>
    <row r="767" spans="1:29" s="28" customFormat="1" x14ac:dyDescent="0.25">
      <c r="A767" s="61">
        <v>110043086941</v>
      </c>
      <c r="B767" s="28">
        <v>2021</v>
      </c>
      <c r="C767" s="68">
        <f t="shared" si="11"/>
        <v>44197</v>
      </c>
      <c r="D767" s="28" t="s">
        <v>6871</v>
      </c>
      <c r="E767" s="28" t="s">
        <v>7039</v>
      </c>
      <c r="F767" s="28" t="s">
        <v>7040</v>
      </c>
      <c r="G767" s="28" t="s">
        <v>311</v>
      </c>
      <c r="H767" s="28">
        <v>26101</v>
      </c>
      <c r="I767" s="28">
        <v>39.237650000000002</v>
      </c>
      <c r="J767" s="28">
        <v>-81.526092000000006</v>
      </c>
      <c r="L767" s="61">
        <v>110043086941</v>
      </c>
      <c r="M767" s="28" t="s">
        <v>265</v>
      </c>
      <c r="N767" s="28">
        <v>3423</v>
      </c>
      <c r="O767" s="28" t="str">
        <f>IFERROR(VLOOKUP(N767, 'SIC &amp; NAICS Codes'!A:B, 2, FALSE), "")</f>
        <v>Hand and Edge Tools, Except Machine Tools and Handsaws</v>
      </c>
      <c r="S767" s="28">
        <v>0.338990105454545</v>
      </c>
      <c r="T767" s="315">
        <f>_xlfn.MAXIFS('Raw Period DMR Data'!$O:$O,'Raw Period DMR Data'!$A:$A,'Raw Annual DMR Data_2021-2024'!#REF!,'Raw Period DMR Data'!$C:$C,X767)/S767</f>
        <v>0</v>
      </c>
      <c r="U767" s="28" t="str">
        <f>+IF(COUNTIFS('Raw Period DMR Data'!$A:$A,B767,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67" s="28" t="str" cm="1">
        <f t="array" ref="V767">IFERROR(INDEX('Raw Period DMR Data'!N:N,MATCH(1,(B767='Raw Period DMR Data'!$A:$A)*(U767='Raw Period DMR Data'!M:M)*(X767='Raw Period DMR Data'!C:C),0),1), "N/A")</f>
        <v>N/A</v>
      </c>
      <c r="W767" s="28" t="s">
        <v>1463</v>
      </c>
      <c r="X767" s="28" t="s">
        <v>7199</v>
      </c>
      <c r="Y767" s="28" t="s">
        <v>7302</v>
      </c>
      <c r="Z767" s="61">
        <v>5030203000007</v>
      </c>
      <c r="AC767" s="28" t="s">
        <v>1466</v>
      </c>
    </row>
    <row r="768" spans="1:29" s="28" customFormat="1" x14ac:dyDescent="0.25">
      <c r="A768" s="61">
        <v>110043086941</v>
      </c>
      <c r="B768" s="28">
        <v>2022</v>
      </c>
      <c r="C768" s="68">
        <f t="shared" si="11"/>
        <v>44562</v>
      </c>
      <c r="D768" s="28" t="s">
        <v>6871</v>
      </c>
      <c r="E768" s="28" t="s">
        <v>7039</v>
      </c>
      <c r="F768" s="28" t="s">
        <v>7040</v>
      </c>
      <c r="G768" s="28" t="s">
        <v>311</v>
      </c>
      <c r="H768" s="28">
        <v>26101</v>
      </c>
      <c r="I768" s="28">
        <v>39.237650000000002</v>
      </c>
      <c r="J768" s="28">
        <v>-81.526092000000006</v>
      </c>
      <c r="L768" s="61">
        <v>110043086941</v>
      </c>
      <c r="M768" s="28" t="s">
        <v>265</v>
      </c>
      <c r="N768" s="28">
        <v>3423</v>
      </c>
      <c r="O768" s="28" t="str">
        <f>IFERROR(VLOOKUP(N768, 'SIC &amp; NAICS Codes'!A:B, 2, FALSE), "")</f>
        <v>Hand and Edge Tools, Except Machine Tools and Handsaws</v>
      </c>
      <c r="S768" s="28">
        <v>2.0722875000000001E-3</v>
      </c>
      <c r="T768" s="315">
        <f>_xlfn.MAXIFS('Raw Period DMR Data'!$O:$O,'Raw Period DMR Data'!$A:$A,'Raw Annual DMR Data_2021-2024'!#REF!,'Raw Period DMR Data'!$C:$C,X768)/S768</f>
        <v>0</v>
      </c>
      <c r="U768" s="28" t="str">
        <f>+IF(COUNTIFS('Raw Period DMR Data'!$A:$A,B768,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68" s="28" t="str" cm="1">
        <f t="array" ref="V768">IFERROR(INDEX('Raw Period DMR Data'!N:N,MATCH(1,(B768='Raw Period DMR Data'!$A:$A)*(U768='Raw Period DMR Data'!M:M)*(X768='Raw Period DMR Data'!C:C),0),1), "N/A")</f>
        <v>N/A</v>
      </c>
      <c r="W768" s="28" t="s">
        <v>1463</v>
      </c>
      <c r="X768" s="28" t="s">
        <v>7199</v>
      </c>
      <c r="Y768" s="28" t="s">
        <v>7302</v>
      </c>
      <c r="Z768" s="61">
        <v>5030203000007</v>
      </c>
      <c r="AA768" s="60"/>
      <c r="AC768" s="28" t="s">
        <v>1466</v>
      </c>
    </row>
    <row r="769" spans="1:29" s="28" customFormat="1" x14ac:dyDescent="0.25">
      <c r="A769" s="61">
        <v>110043086941</v>
      </c>
      <c r="B769" s="28">
        <v>2023</v>
      </c>
      <c r="C769" s="68">
        <f t="shared" si="11"/>
        <v>44927</v>
      </c>
      <c r="D769" s="28" t="s">
        <v>6871</v>
      </c>
      <c r="E769" s="28" t="s">
        <v>7039</v>
      </c>
      <c r="F769" s="28" t="s">
        <v>7040</v>
      </c>
      <c r="G769" s="28" t="s">
        <v>311</v>
      </c>
      <c r="H769" s="28">
        <v>26101</v>
      </c>
      <c r="I769" s="28">
        <v>39.237650000000002</v>
      </c>
      <c r="J769" s="28">
        <v>-81.526092000000006</v>
      </c>
      <c r="L769" s="61">
        <v>110043086941</v>
      </c>
      <c r="M769" s="28" t="s">
        <v>265</v>
      </c>
      <c r="N769" s="28">
        <v>3423</v>
      </c>
      <c r="O769" s="28" t="str">
        <f>IFERROR(VLOOKUP(N769, 'SIC &amp; NAICS Codes'!A:B, 2, FALSE), "")</f>
        <v>Hand and Edge Tools, Except Machine Tools and Handsaws</v>
      </c>
      <c r="S769" s="28">
        <v>2.0722875000000001E-3</v>
      </c>
      <c r="T769" s="315">
        <f>_xlfn.MAXIFS('Raw Period DMR Data'!$O:$O,'Raw Period DMR Data'!$A:$A,'Raw Annual DMR Data_2021-2024'!#REF!,'Raw Period DMR Data'!$C:$C,X769)/S769</f>
        <v>0</v>
      </c>
      <c r="U769" s="28" t="str">
        <f>+IF(COUNTIFS('Raw Period DMR Data'!$A:$A,B769,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69" s="28" t="str" cm="1">
        <f t="array" ref="V769">IFERROR(INDEX('Raw Period DMR Data'!N:N,MATCH(1,(B769='Raw Period DMR Data'!$A:$A)*(U769='Raw Period DMR Data'!M:M)*(X769='Raw Period DMR Data'!C:C),0),1), "N/A")</f>
        <v>N/A</v>
      </c>
      <c r="W769" s="28" t="s">
        <v>1463</v>
      </c>
      <c r="X769" s="28" t="s">
        <v>7199</v>
      </c>
      <c r="Y769" s="28" t="s">
        <v>7302</v>
      </c>
      <c r="Z769" s="61" t="s">
        <v>7336</v>
      </c>
      <c r="AA769" s="60"/>
      <c r="AC769" s="28" t="s">
        <v>1466</v>
      </c>
    </row>
    <row r="770" spans="1:29" s="28" customFormat="1" x14ac:dyDescent="0.25">
      <c r="A770" s="61">
        <v>110007015871</v>
      </c>
      <c r="B770" s="28">
        <v>2021</v>
      </c>
      <c r="C770" s="68">
        <f t="shared" ref="C770:C833" si="12">DATE(B770, 1, 1)</f>
        <v>44197</v>
      </c>
      <c r="D770" s="28" t="s">
        <v>6881</v>
      </c>
      <c r="E770" s="28" t="s">
        <v>571</v>
      </c>
      <c r="F770" s="28" t="s">
        <v>572</v>
      </c>
      <c r="G770" s="28" t="s">
        <v>303</v>
      </c>
      <c r="H770" s="28">
        <v>70051</v>
      </c>
      <c r="I770" s="28">
        <v>30.048590999999998</v>
      </c>
      <c r="J770" s="28">
        <v>-90.630941000000007</v>
      </c>
      <c r="K770" s="28" t="s">
        <v>573</v>
      </c>
      <c r="L770" s="61">
        <v>110007015871</v>
      </c>
      <c r="M770" s="28" t="s">
        <v>265</v>
      </c>
      <c r="N770" s="28">
        <v>2869</v>
      </c>
      <c r="O770" s="28" t="str">
        <f>IFERROR(VLOOKUP(N770, 'SIC &amp; NAICS Codes'!A:B, 2, FALSE), "")</f>
        <v>Industrial Organic Chemicals, NEC (aliphatics)</v>
      </c>
      <c r="S770" s="28">
        <v>0.16571</v>
      </c>
      <c r="T770" s="315">
        <f>_xlfn.MAXIFS('Raw Period DMR Data'!$O:$O,'Raw Period DMR Data'!$A:$A,'Raw Annual DMR Data_2021-2024'!#REF!,'Raw Period DMR Data'!$C:$C,X770)/S770</f>
        <v>0</v>
      </c>
      <c r="U770" s="28" t="str">
        <f>+IF(COUNTIFS('Raw Period DMR Data'!$A:$A,B770,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70" s="28" t="str" cm="1">
        <f t="array" ref="V770">IFERROR(INDEX('Raw Period DMR Data'!N:N,MATCH(1,(B770='Raw Period DMR Data'!$A:$A)*(U770='Raw Period DMR Data'!M:M)*(X770='Raw Period DMR Data'!C:C),0),1), "N/A")</f>
        <v>N/A</v>
      </c>
      <c r="W770" s="28" t="s">
        <v>1463</v>
      </c>
      <c r="X770" s="28" t="s">
        <v>907</v>
      </c>
      <c r="Y770" s="28" t="s">
        <v>816</v>
      </c>
      <c r="Z770" s="61">
        <v>8070204000715</v>
      </c>
      <c r="AA770" s="60"/>
      <c r="AB770" s="28" t="s">
        <v>7355</v>
      </c>
      <c r="AC770" s="28" t="s">
        <v>1466</v>
      </c>
    </row>
    <row r="771" spans="1:29" s="28" customFormat="1" x14ac:dyDescent="0.25">
      <c r="A771" s="61">
        <v>110007015871</v>
      </c>
      <c r="B771" s="28">
        <v>2022</v>
      </c>
      <c r="C771" s="68">
        <f t="shared" si="12"/>
        <v>44562</v>
      </c>
      <c r="D771" s="28" t="s">
        <v>6881</v>
      </c>
      <c r="E771" s="28" t="s">
        <v>571</v>
      </c>
      <c r="F771" s="28" t="s">
        <v>572</v>
      </c>
      <c r="G771" s="28" t="s">
        <v>303</v>
      </c>
      <c r="H771" s="28">
        <v>70051</v>
      </c>
      <c r="I771" s="28">
        <v>30.048590999999998</v>
      </c>
      <c r="J771" s="28">
        <v>-90.630941000000007</v>
      </c>
      <c r="K771" s="28" t="s">
        <v>573</v>
      </c>
      <c r="L771" s="61">
        <v>110007015871</v>
      </c>
      <c r="M771" s="28" t="s">
        <v>265</v>
      </c>
      <c r="N771" s="28">
        <v>2869</v>
      </c>
      <c r="O771" s="28" t="str">
        <f>IFERROR(VLOOKUP(N771, 'SIC &amp; NAICS Codes'!A:B, 2, FALSE), "")</f>
        <v>Industrial Organic Chemicals, NEC (aliphatics)</v>
      </c>
      <c r="S771" s="28">
        <v>8.2854999999999998E-2</v>
      </c>
      <c r="T771" s="315">
        <f>_xlfn.MAXIFS('Raw Period DMR Data'!$O:$O,'Raw Period DMR Data'!$A:$A,'Raw Annual DMR Data_2021-2024'!#REF!,'Raw Period DMR Data'!$C:$C,X771)/S771</f>
        <v>0</v>
      </c>
      <c r="U771" s="28" t="str">
        <f>+IF(COUNTIFS('Raw Period DMR Data'!$A:$A,B771,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71" s="28" t="str" cm="1">
        <f t="array" ref="V771">IFERROR(INDEX('Raw Period DMR Data'!N:N,MATCH(1,(B771='Raw Period DMR Data'!$A:$A)*(U771='Raw Period DMR Data'!M:M)*(X771='Raw Period DMR Data'!C:C),0),1), "N/A")</f>
        <v>N/A</v>
      </c>
      <c r="W771" s="28" t="s">
        <v>1463</v>
      </c>
      <c r="X771" s="28" t="s">
        <v>907</v>
      </c>
      <c r="Y771" s="28" t="s">
        <v>816</v>
      </c>
      <c r="Z771" s="61">
        <v>8070204000715</v>
      </c>
      <c r="AA771" s="60"/>
      <c r="AB771" s="28" t="s">
        <v>7355</v>
      </c>
      <c r="AC771" s="28" t="s">
        <v>1466</v>
      </c>
    </row>
    <row r="772" spans="1:29" s="28" customFormat="1" x14ac:dyDescent="0.25">
      <c r="A772" s="61">
        <v>110007015871</v>
      </c>
      <c r="B772" s="28">
        <v>2023</v>
      </c>
      <c r="C772" s="68">
        <f t="shared" si="12"/>
        <v>44927</v>
      </c>
      <c r="D772" s="28" t="s">
        <v>6881</v>
      </c>
      <c r="E772" s="28" t="s">
        <v>571</v>
      </c>
      <c r="F772" s="28" t="s">
        <v>572</v>
      </c>
      <c r="G772" s="28" t="s">
        <v>303</v>
      </c>
      <c r="H772" s="28">
        <v>70051</v>
      </c>
      <c r="I772" s="28">
        <v>30.048590999999998</v>
      </c>
      <c r="J772" s="28">
        <v>-90.630941000000007</v>
      </c>
      <c r="K772" s="28" t="s">
        <v>573</v>
      </c>
      <c r="L772" s="61">
        <v>110007015871</v>
      </c>
      <c r="M772" s="28" t="s">
        <v>265</v>
      </c>
      <c r="N772" s="28">
        <v>2869</v>
      </c>
      <c r="O772" s="28" t="str">
        <f>IFERROR(VLOOKUP(N772, 'SIC &amp; NAICS Codes'!A:B, 2, FALSE), "")</f>
        <v>Industrial Organic Chemicals, NEC (aliphatics)</v>
      </c>
      <c r="S772" s="28">
        <v>8.2854999999999998E-2</v>
      </c>
      <c r="T772" s="315">
        <f>_xlfn.MAXIFS('Raw Period DMR Data'!$O:$O,'Raw Period DMR Data'!$A:$A,'Raw Annual DMR Data_2021-2024'!#REF!,'Raw Period DMR Data'!$C:$C,X772)/S772</f>
        <v>0</v>
      </c>
      <c r="U772" s="28" t="str">
        <f>+IF(COUNTIFS('Raw Period DMR Data'!$A:$A,B772,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72" s="28" t="str" cm="1">
        <f t="array" ref="V772">IFERROR(INDEX('Raw Period DMR Data'!N:N,MATCH(1,(B772='Raw Period DMR Data'!$A:$A)*(U772='Raw Period DMR Data'!M:M)*(X772='Raw Period DMR Data'!C:C),0),1), "N/A")</f>
        <v>N/A</v>
      </c>
      <c r="W772" s="28" t="s">
        <v>1463</v>
      </c>
      <c r="X772" s="28" t="s">
        <v>907</v>
      </c>
      <c r="Y772" s="28" t="s">
        <v>816</v>
      </c>
      <c r="Z772" s="61" t="s">
        <v>2034</v>
      </c>
      <c r="AA772" s="60"/>
      <c r="AB772" s="28" t="s">
        <v>7355</v>
      </c>
      <c r="AC772" s="28" t="s">
        <v>1466</v>
      </c>
    </row>
    <row r="773" spans="1:29" s="28" customFormat="1" x14ac:dyDescent="0.25">
      <c r="A773" s="61">
        <v>110007015871</v>
      </c>
      <c r="B773" s="28">
        <v>2024</v>
      </c>
      <c r="C773" s="68">
        <f t="shared" si="12"/>
        <v>45292</v>
      </c>
      <c r="D773" s="28" t="s">
        <v>6881</v>
      </c>
      <c r="E773" s="28" t="s">
        <v>571</v>
      </c>
      <c r="F773" s="28" t="s">
        <v>572</v>
      </c>
      <c r="G773" s="28" t="s">
        <v>303</v>
      </c>
      <c r="H773" s="28">
        <v>70051</v>
      </c>
      <c r="I773" s="28">
        <v>30.048590999999998</v>
      </c>
      <c r="J773" s="28">
        <v>-90.630941000000007</v>
      </c>
      <c r="K773" s="28" t="s">
        <v>573</v>
      </c>
      <c r="L773" s="61">
        <v>110007015871</v>
      </c>
      <c r="M773" s="28" t="s">
        <v>265</v>
      </c>
      <c r="N773" s="28">
        <v>2869</v>
      </c>
      <c r="O773" s="28" t="str">
        <f>IFERROR(VLOOKUP(N773, 'SIC &amp; NAICS Codes'!A:B, 2, FALSE), "")</f>
        <v>Industrial Organic Chemicals, NEC (aliphatics)</v>
      </c>
      <c r="S773" s="28">
        <v>8.2854999999999998E-2</v>
      </c>
      <c r="T773" s="315">
        <f>_xlfn.MAXIFS('Raw Period DMR Data'!$O:$O,'Raw Period DMR Data'!$A:$A,'Raw Annual DMR Data_2021-2024'!#REF!,'Raw Period DMR Data'!$C:$C,X773)/S773</f>
        <v>0</v>
      </c>
      <c r="U773" s="28" t="str">
        <f>+IF(COUNTIFS('Raw Period DMR Data'!$A:$A,B773,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73" s="28" t="str" cm="1">
        <f t="array" ref="V773">IFERROR(INDEX('Raw Period DMR Data'!N:N,MATCH(1,(B773='Raw Period DMR Data'!$A:$A)*(U773='Raw Period DMR Data'!M:M)*(X773='Raw Period DMR Data'!C:C),0),1), "N/A")</f>
        <v>N/A</v>
      </c>
      <c r="W773" s="28" t="s">
        <v>1463</v>
      </c>
      <c r="X773" s="28" t="s">
        <v>907</v>
      </c>
      <c r="Y773" s="28" t="s">
        <v>816</v>
      </c>
      <c r="Z773" s="61">
        <v>8070204000715</v>
      </c>
      <c r="AA773" s="60"/>
      <c r="AB773" s="28" t="s">
        <v>7355</v>
      </c>
      <c r="AC773" s="28" t="s">
        <v>1466</v>
      </c>
    </row>
    <row r="774" spans="1:29" s="28" customFormat="1" x14ac:dyDescent="0.25">
      <c r="A774" s="61">
        <v>110043086941</v>
      </c>
      <c r="B774" s="28">
        <v>2024</v>
      </c>
      <c r="C774" s="68">
        <f t="shared" si="12"/>
        <v>45292</v>
      </c>
      <c r="D774" s="28" t="s">
        <v>6871</v>
      </c>
      <c r="E774" s="28" t="s">
        <v>7039</v>
      </c>
      <c r="F774" s="28" t="s">
        <v>7040</v>
      </c>
      <c r="G774" s="28" t="s">
        <v>311</v>
      </c>
      <c r="H774" s="28">
        <v>26101</v>
      </c>
      <c r="I774" s="28">
        <v>39.237650000000002</v>
      </c>
      <c r="J774" s="28">
        <v>-81.526092000000006</v>
      </c>
      <c r="L774" s="61">
        <v>110043086941</v>
      </c>
      <c r="M774" s="28" t="s">
        <v>265</v>
      </c>
      <c r="N774" s="28">
        <v>3423</v>
      </c>
      <c r="O774" s="28" t="str">
        <f>IFERROR(VLOOKUP(N774, 'SIC &amp; NAICS Codes'!A:B, 2, FALSE), "")</f>
        <v>Hand and Edge Tools, Except Machine Tools and Handsaws</v>
      </c>
      <c r="S774" s="28">
        <v>1.5499575E-3</v>
      </c>
      <c r="T774" s="315">
        <f>_xlfn.MAXIFS('Raw Period DMR Data'!$O:$O,'Raw Period DMR Data'!$A:$A,'Raw Annual DMR Data_2021-2024'!#REF!,'Raw Period DMR Data'!$C:$C,X774)/S774</f>
        <v>0</v>
      </c>
      <c r="U774" s="28" t="str">
        <f>+IF(COUNTIFS('Raw Period DMR Data'!$A:$A,B774,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74" s="28" t="str" cm="1">
        <f t="array" ref="V774">IFERROR(INDEX('Raw Period DMR Data'!N:N,MATCH(1,(B774='Raw Period DMR Data'!$A:$A)*(U774='Raw Period DMR Data'!M:M)*(X774='Raw Period DMR Data'!C:C),0),1), "N/A")</f>
        <v>N/A</v>
      </c>
      <c r="W774" s="28" t="s">
        <v>1463</v>
      </c>
      <c r="X774" s="28" t="s">
        <v>7199</v>
      </c>
      <c r="Y774" s="28" t="s">
        <v>7302</v>
      </c>
      <c r="Z774" s="61">
        <v>5030203000007</v>
      </c>
      <c r="AA774" s="60"/>
      <c r="AC774" s="28" t="s">
        <v>1466</v>
      </c>
    </row>
    <row r="775" spans="1:29" s="28" customFormat="1" x14ac:dyDescent="0.25">
      <c r="A775" s="61">
        <v>110071672105</v>
      </c>
      <c r="B775" s="28">
        <v>2024</v>
      </c>
      <c r="C775" s="68">
        <f t="shared" si="12"/>
        <v>45292</v>
      </c>
      <c r="D775" s="28" t="s">
        <v>6896</v>
      </c>
      <c r="E775" s="28" t="s">
        <v>7082</v>
      </c>
      <c r="F775" s="28" t="s">
        <v>7083</v>
      </c>
      <c r="G775" s="28" t="s">
        <v>294</v>
      </c>
      <c r="H775" s="28">
        <v>22191</v>
      </c>
      <c r="I775" s="28">
        <v>38.654493000000002</v>
      </c>
      <c r="J775" s="28">
        <v>-77.248682000000002</v>
      </c>
      <c r="L775" s="61">
        <v>110071672105</v>
      </c>
      <c r="M775" s="28" t="s">
        <v>265</v>
      </c>
      <c r="N775" s="28">
        <v>4225</v>
      </c>
      <c r="O775" s="28" t="str">
        <f>IFERROR(VLOOKUP(N775, 'SIC &amp; NAICS Codes'!A:B, 2, FALSE), "")</f>
        <v>General Warehousing and Storage (except self-storage and miniwarehouses)</v>
      </c>
      <c r="S775" s="28">
        <v>1.20138819857142E-4</v>
      </c>
      <c r="T775" s="315">
        <f>_xlfn.MAXIFS('Raw Period DMR Data'!$O:$O,'Raw Period DMR Data'!$A:$A,'Raw Annual DMR Data_2021-2024'!#REF!,'Raw Period DMR Data'!$C:$C,X775)/S775</f>
        <v>0</v>
      </c>
      <c r="U775" s="28" t="str">
        <f>+IF(COUNTIFS('Raw Period DMR Data'!$A:$A,B775,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75" s="28" t="str" cm="1">
        <f t="array" ref="V775">IFERROR(INDEX('Raw Period DMR Data'!N:N,MATCH(1,(B775='Raw Period DMR Data'!$A:$A)*(U775='Raw Period DMR Data'!M:M)*(X775='Raw Period DMR Data'!C:C),0),1), "N/A")</f>
        <v>N/A</v>
      </c>
      <c r="W775" s="28" t="s">
        <v>1463</v>
      </c>
      <c r="X775" s="28" t="s">
        <v>7224</v>
      </c>
      <c r="Y775" s="28" t="s">
        <v>7316</v>
      </c>
      <c r="Z775" s="61"/>
      <c r="AA775" s="60"/>
      <c r="AB775" s="28" t="s">
        <v>7355</v>
      </c>
      <c r="AC775" s="28" t="s">
        <v>1466</v>
      </c>
    </row>
    <row r="776" spans="1:29" s="28" customFormat="1" x14ac:dyDescent="0.25">
      <c r="A776" s="61">
        <v>110071672105</v>
      </c>
      <c r="B776" s="28">
        <v>2024</v>
      </c>
      <c r="C776" s="68">
        <f t="shared" si="12"/>
        <v>45292</v>
      </c>
      <c r="D776" s="28" t="s">
        <v>6896</v>
      </c>
      <c r="E776" s="28" t="s">
        <v>7082</v>
      </c>
      <c r="F776" s="28" t="s">
        <v>7083</v>
      </c>
      <c r="G776" s="28" t="s">
        <v>294</v>
      </c>
      <c r="H776" s="28">
        <v>22191</v>
      </c>
      <c r="I776" s="28">
        <v>38.654493000000002</v>
      </c>
      <c r="J776" s="28">
        <v>-77.248682000000002</v>
      </c>
      <c r="L776" s="61">
        <v>110071672105</v>
      </c>
      <c r="M776" s="28" t="s">
        <v>265</v>
      </c>
      <c r="N776" s="28">
        <v>4225</v>
      </c>
      <c r="O776" s="28" t="str">
        <f>IFERROR(VLOOKUP(N776, 'SIC &amp; NAICS Codes'!A:B, 2, FALSE), "")</f>
        <v>General Warehousing and Storage (except self-storage and miniwarehouses)</v>
      </c>
      <c r="S776" s="28">
        <v>1.12865455714285E-5</v>
      </c>
      <c r="T776" s="315">
        <f>_xlfn.MAXIFS('Raw Period DMR Data'!$O:$O,'Raw Period DMR Data'!$A:$A,'Raw Annual DMR Data_2021-2024'!#REF!,'Raw Period DMR Data'!$C:$C,X776)/S776</f>
        <v>0</v>
      </c>
      <c r="U776" s="28" t="str">
        <f>+IF(COUNTIFS('Raw Period DMR Data'!$A:$A,B776,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76" s="28" t="str" cm="1">
        <f t="array" ref="V776">IFERROR(INDEX('Raw Period DMR Data'!N:N,MATCH(1,(B776='Raw Period DMR Data'!$A:$A)*(U776='Raw Period DMR Data'!M:M)*(X776='Raw Period DMR Data'!C:C),0),1), "N/A")</f>
        <v>N/A</v>
      </c>
      <c r="W776" s="28" t="s">
        <v>1463</v>
      </c>
      <c r="X776" s="28" t="s">
        <v>7224</v>
      </c>
      <c r="Y776" s="28" t="s">
        <v>7316</v>
      </c>
      <c r="Z776" s="61"/>
      <c r="AA776" s="60"/>
      <c r="AB776" s="28" t="s">
        <v>7355</v>
      </c>
      <c r="AC776" s="28" t="s">
        <v>1466</v>
      </c>
    </row>
    <row r="777" spans="1:29" s="28" customFormat="1" x14ac:dyDescent="0.25">
      <c r="A777" s="61">
        <v>110008052926</v>
      </c>
      <c r="B777" s="28">
        <v>2021</v>
      </c>
      <c r="C777" s="68">
        <f t="shared" si="12"/>
        <v>44197</v>
      </c>
      <c r="D777" s="28" t="s">
        <v>6834</v>
      </c>
      <c r="E777" s="28" t="s">
        <v>6989</v>
      </c>
      <c r="F777" s="28" t="s">
        <v>500</v>
      </c>
      <c r="G777" s="28" t="s">
        <v>303</v>
      </c>
      <c r="H777" s="28">
        <v>70767</v>
      </c>
      <c r="I777" s="28">
        <v>30.4375</v>
      </c>
      <c r="J777" s="28">
        <v>-91.203056000000004</v>
      </c>
      <c r="L777" s="61">
        <v>110008052926</v>
      </c>
      <c r="M777" s="28" t="s">
        <v>265</v>
      </c>
      <c r="N777" s="28">
        <v>4226</v>
      </c>
      <c r="O777" s="28" t="str">
        <f>IFERROR(VLOOKUP(N777, 'SIC &amp; NAICS Codes'!A:B, 2, FALSE), "")</f>
        <v>Special Warehousing and Storage, NEC (warehousing in foreign trade zones)</v>
      </c>
      <c r="S777" s="28">
        <v>8.6846673600000004E-3</v>
      </c>
      <c r="T777" s="315">
        <f>_xlfn.MAXIFS('Raw Period DMR Data'!$O:$O,'Raw Period DMR Data'!$A:$A,'Raw Annual DMR Data_2021-2024'!#REF!,'Raw Period DMR Data'!$C:$C,X777)/S777</f>
        <v>0</v>
      </c>
      <c r="U777" s="28" t="str">
        <f>+IF(COUNTIFS('Raw Period DMR Data'!$A:$A,B777,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77" s="28" t="str" cm="1">
        <f t="array" ref="V777">IFERROR(INDEX('Raw Period DMR Data'!N:N,MATCH(1,(B777='Raw Period DMR Data'!$A:$A)*(U777='Raw Period DMR Data'!M:M)*(X777='Raw Period DMR Data'!C:C),0),1), "N/A")</f>
        <v>N/A</v>
      </c>
      <c r="W777" s="28" t="s">
        <v>1463</v>
      </c>
      <c r="X777" s="28" t="s">
        <v>7172</v>
      </c>
      <c r="Y777" s="28" t="s">
        <v>7285</v>
      </c>
      <c r="Z777" s="61">
        <v>8070300001451</v>
      </c>
      <c r="AC777" s="28" t="s">
        <v>1466</v>
      </c>
    </row>
    <row r="778" spans="1:29" s="28" customFormat="1" x14ac:dyDescent="0.25">
      <c r="A778" s="61">
        <v>110042068473</v>
      </c>
      <c r="B778" s="28">
        <v>2021</v>
      </c>
      <c r="C778" s="68">
        <f t="shared" si="12"/>
        <v>44197</v>
      </c>
      <c r="D778" s="28" t="s">
        <v>6790</v>
      </c>
      <c r="E778" s="28" t="s">
        <v>6941</v>
      </c>
      <c r="F778" s="28" t="s">
        <v>6942</v>
      </c>
      <c r="G778" s="28" t="s">
        <v>1249</v>
      </c>
      <c r="H778" s="28">
        <v>87416</v>
      </c>
      <c r="I778" s="28">
        <v>36.688809999999997</v>
      </c>
      <c r="J778" s="28">
        <v>-108.48036</v>
      </c>
      <c r="K778" s="28" t="s">
        <v>7120</v>
      </c>
      <c r="L778" s="61">
        <v>110042068473</v>
      </c>
      <c r="M778" s="28" t="s">
        <v>265</v>
      </c>
      <c r="N778" s="28">
        <v>4911</v>
      </c>
      <c r="O778" s="28" t="str">
        <f>IFERROR(VLOOKUP(N778, 'SIC &amp; NAICS Codes'!A:B, 2, FALSE), "")</f>
        <v>Electric Services (hydroelectric power generation)</v>
      </c>
      <c r="S778" s="28">
        <v>1.6192230000000001</v>
      </c>
      <c r="T778" s="315">
        <f>_xlfn.MAXIFS('Raw Period DMR Data'!$O:$O,'Raw Period DMR Data'!$A:$A,'Raw Annual DMR Data_2021-2024'!#REF!,'Raw Period DMR Data'!$C:$C,X778)/S778</f>
        <v>0</v>
      </c>
      <c r="U778" s="28" t="str">
        <f>+IF(COUNTIFS('Raw Period DMR Data'!$A:$A,B778,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78" s="28" t="str" cm="1">
        <f t="array" ref="V778">IFERROR(INDEX('Raw Period DMR Data'!N:N,MATCH(1,(B778='Raw Period DMR Data'!$A:$A)*(U778='Raw Period DMR Data'!M:M)*(X778='Raw Period DMR Data'!C:C),0),1), "N/A")</f>
        <v>N/A</v>
      </c>
      <c r="W778" s="28" t="s">
        <v>1463</v>
      </c>
      <c r="X778" s="28" t="s">
        <v>7149</v>
      </c>
      <c r="Y778" s="28" t="s">
        <v>7260</v>
      </c>
      <c r="Z778" s="61">
        <v>14080106001035</v>
      </c>
      <c r="AB778" s="28" t="s">
        <v>7355</v>
      </c>
      <c r="AC778" s="28" t="s">
        <v>1466</v>
      </c>
    </row>
    <row r="779" spans="1:29" s="28" customFormat="1" x14ac:dyDescent="0.25">
      <c r="A779" s="61">
        <v>110071538714</v>
      </c>
      <c r="B779" s="28">
        <v>2024</v>
      </c>
      <c r="C779" s="68">
        <f t="shared" si="12"/>
        <v>45292</v>
      </c>
      <c r="D779" s="28" t="s">
        <v>6894</v>
      </c>
      <c r="E779" s="28" t="s">
        <v>7076</v>
      </c>
      <c r="F779" s="28" t="s">
        <v>1403</v>
      </c>
      <c r="G779" s="28" t="s">
        <v>294</v>
      </c>
      <c r="H779" s="28">
        <v>23451</v>
      </c>
      <c r="I779" s="28">
        <v>36.816054000000001</v>
      </c>
      <c r="J779" s="28">
        <v>-75.971458999999996</v>
      </c>
      <c r="L779" s="61">
        <v>110071538714</v>
      </c>
      <c r="M779" s="28" t="s">
        <v>265</v>
      </c>
      <c r="N779" s="28">
        <v>4911</v>
      </c>
      <c r="O779" s="28" t="str">
        <f>IFERROR(VLOOKUP(N779, 'SIC &amp; NAICS Codes'!A:B, 2, FALSE), "")</f>
        <v>Electric Services (hydroelectric power generation)</v>
      </c>
      <c r="S779" s="28">
        <v>0.12163558134499999</v>
      </c>
      <c r="T779" s="315">
        <f>_xlfn.MAXIFS('Raw Period DMR Data'!$O:$O,'Raw Period DMR Data'!$A:$A,'Raw Annual DMR Data_2021-2024'!#REF!,'Raw Period DMR Data'!$C:$C,X779)/S779</f>
        <v>0</v>
      </c>
      <c r="U779" s="28" t="str">
        <f>+IF(COUNTIFS('Raw Period DMR Data'!$A:$A,B779,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79" s="28" t="str" cm="1">
        <f t="array" ref="V779">IFERROR(INDEX('Raw Period DMR Data'!N:N,MATCH(1,(B779='Raw Period DMR Data'!$A:$A)*(U779='Raw Period DMR Data'!M:M)*(X779='Raw Period DMR Data'!C:C),0),1), "N/A")</f>
        <v>N/A</v>
      </c>
      <c r="W779" s="28" t="s">
        <v>1463</v>
      </c>
      <c r="X779" s="28" t="s">
        <v>7221</v>
      </c>
      <c r="Y779" s="28" t="s">
        <v>7279</v>
      </c>
      <c r="Z779" s="61"/>
      <c r="AA779" s="60"/>
      <c r="AC779" s="28" t="s">
        <v>1466</v>
      </c>
    </row>
    <row r="780" spans="1:29" s="28" customFormat="1" x14ac:dyDescent="0.25">
      <c r="A780" s="61">
        <v>110001163062</v>
      </c>
      <c r="B780" s="28">
        <v>2024</v>
      </c>
      <c r="C780" s="68">
        <f t="shared" si="12"/>
        <v>45292</v>
      </c>
      <c r="D780" s="28" t="s">
        <v>6889</v>
      </c>
      <c r="E780" s="28" t="s">
        <v>7069</v>
      </c>
      <c r="F780" s="28" t="s">
        <v>6925</v>
      </c>
      <c r="G780" s="28" t="s">
        <v>366</v>
      </c>
      <c r="H780" s="28" t="s">
        <v>7070</v>
      </c>
      <c r="I780" s="28">
        <v>38.055900000000001</v>
      </c>
      <c r="J780" s="28">
        <v>-122.21435</v>
      </c>
      <c r="L780" s="61">
        <v>110001163062</v>
      </c>
      <c r="M780" s="28" t="s">
        <v>265</v>
      </c>
      <c r="N780" s="28">
        <v>4931</v>
      </c>
      <c r="O780" s="28" t="str">
        <f>IFERROR(VLOOKUP(N780, 'SIC &amp; NAICS Codes'!A:B, 2, FALSE), "")</f>
        <v xml:space="preserve">Electric and Other Services Combined (hydroelectric power generation) </v>
      </c>
      <c r="S780" s="28">
        <v>1.164276601785E-3</v>
      </c>
      <c r="T780" s="315">
        <f>_xlfn.MAXIFS('Raw Period DMR Data'!$O:$O,'Raw Period DMR Data'!$A:$A,'Raw Annual DMR Data_2021-2024'!#REF!,'Raw Period DMR Data'!$C:$C,X780)/S780</f>
        <v>0</v>
      </c>
      <c r="U780" s="28" t="str">
        <f>+IF(COUNTIFS('Raw Period DMR Data'!$A:$A,B780,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80" s="28" t="str" cm="1">
        <f t="array" ref="V780">IFERROR(INDEX('Raw Period DMR Data'!N:N,MATCH(1,(B780='Raw Period DMR Data'!$A:$A)*(U780='Raw Period DMR Data'!M:M)*(X780='Raw Period DMR Data'!C:C),0),1), "N/A")</f>
        <v>N/A</v>
      </c>
      <c r="W780" s="28" t="s">
        <v>1463</v>
      </c>
      <c r="X780" s="28" t="s">
        <v>7216</v>
      </c>
      <c r="Y780" s="28" t="s">
        <v>7252</v>
      </c>
      <c r="Z780" s="61">
        <v>18050001001573</v>
      </c>
      <c r="AA780" s="60"/>
      <c r="AB780" s="28" t="s">
        <v>7355</v>
      </c>
      <c r="AC780" s="28" t="s">
        <v>1466</v>
      </c>
    </row>
    <row r="781" spans="1:29" s="28" customFormat="1" x14ac:dyDescent="0.25">
      <c r="A781" s="61">
        <v>110001163062</v>
      </c>
      <c r="B781" s="28">
        <v>2023</v>
      </c>
      <c r="C781" s="68">
        <f t="shared" si="12"/>
        <v>44927</v>
      </c>
      <c r="D781" s="28" t="s">
        <v>6889</v>
      </c>
      <c r="E781" s="28" t="s">
        <v>7069</v>
      </c>
      <c r="F781" s="28" t="s">
        <v>6925</v>
      </c>
      <c r="G781" s="28" t="s">
        <v>366</v>
      </c>
      <c r="H781" s="28" t="s">
        <v>7070</v>
      </c>
      <c r="I781" s="28">
        <v>38.055900000000001</v>
      </c>
      <c r="J781" s="28">
        <v>-122.21435</v>
      </c>
      <c r="L781" s="61">
        <v>110001163062</v>
      </c>
      <c r="M781" s="28" t="s">
        <v>265</v>
      </c>
      <c r="N781" s="28">
        <v>4931</v>
      </c>
      <c r="O781" s="28" t="str">
        <f>IFERROR(VLOOKUP(N781, 'SIC &amp; NAICS Codes'!A:B, 2, FALSE), "")</f>
        <v xml:space="preserve">Electric and Other Services Combined (hydroelectric power generation) </v>
      </c>
      <c r="S781" s="28">
        <v>1.0307440595375E-3</v>
      </c>
      <c r="T781" s="315">
        <f>_xlfn.MAXIFS('Raw Period DMR Data'!$O:$O,'Raw Period DMR Data'!$A:$A,'Raw Annual DMR Data_2021-2024'!#REF!,'Raw Period DMR Data'!$C:$C,X781)/S781</f>
        <v>0</v>
      </c>
      <c r="U781" s="28" t="str">
        <f>+IF(COUNTIFS('Raw Period DMR Data'!$A:$A,B781,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81" s="28" t="str" cm="1">
        <f t="array" ref="V781">IFERROR(INDEX('Raw Period DMR Data'!N:N,MATCH(1,(B781='Raw Period DMR Data'!$A:$A)*(U781='Raw Period DMR Data'!M:M)*(X781='Raw Period DMR Data'!C:C),0),1), "N/A")</f>
        <v>N/A</v>
      </c>
      <c r="W781" s="28" t="s">
        <v>1463</v>
      </c>
      <c r="X781" s="28" t="s">
        <v>7216</v>
      </c>
      <c r="Y781" s="28" t="s">
        <v>7252</v>
      </c>
      <c r="Z781" s="61">
        <v>18050001001573</v>
      </c>
      <c r="AA781" s="60"/>
      <c r="AB781" s="28" t="s">
        <v>7355</v>
      </c>
      <c r="AC781" s="28" t="s">
        <v>1466</v>
      </c>
    </row>
    <row r="782" spans="1:29" s="28" customFormat="1" x14ac:dyDescent="0.25">
      <c r="A782" s="61">
        <v>110013128169</v>
      </c>
      <c r="B782" s="28">
        <v>2023</v>
      </c>
      <c r="C782" s="68">
        <f t="shared" si="12"/>
        <v>44927</v>
      </c>
      <c r="D782" s="28" t="s">
        <v>6807</v>
      </c>
      <c r="E782" s="28" t="s">
        <v>6960</v>
      </c>
      <c r="F782" s="28" t="s">
        <v>457</v>
      </c>
      <c r="G782" s="28" t="s">
        <v>366</v>
      </c>
      <c r="H782" s="28" t="s">
        <v>6961</v>
      </c>
      <c r="I782" s="28">
        <v>32.796432000000003</v>
      </c>
      <c r="J782" s="28">
        <v>-115.667761</v>
      </c>
      <c r="L782" s="61">
        <v>110013128169</v>
      </c>
      <c r="M782" s="28" t="s">
        <v>265</v>
      </c>
      <c r="N782" s="28">
        <v>4952</v>
      </c>
      <c r="O782" s="28" t="str">
        <f>IFERROR(VLOOKUP(N782, 'SIC &amp; NAICS Codes'!A:B, 2, FALSE), "")</f>
        <v>Sewerage Systems</v>
      </c>
      <c r="S782" s="28">
        <v>2.0722875000000001E-3</v>
      </c>
      <c r="T782" s="315">
        <f>_xlfn.MAXIFS('Raw Period DMR Data'!$O:$O,'Raw Period DMR Data'!$A:$A,'Raw Annual DMR Data_2021-2024'!#REF!,'Raw Period DMR Data'!$C:$C,X782)/S782</f>
        <v>0</v>
      </c>
      <c r="U782" s="28" t="str">
        <f>+IF(COUNTIFS('Raw Period DMR Data'!$A:$A,B782,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82" s="28" t="str" cm="1">
        <f t="array" ref="V782">IFERROR(INDEX('Raw Period DMR Data'!N:N,MATCH(1,(B782='Raw Period DMR Data'!$A:$A)*(U782='Raw Period DMR Data'!M:M)*(X782='Raw Period DMR Data'!C:C),0),1), "N/A")</f>
        <v>N/A</v>
      </c>
      <c r="W782" s="28" t="s">
        <v>1463</v>
      </c>
      <c r="X782" s="28" t="s">
        <v>7157</v>
      </c>
      <c r="Y782" s="28" t="s">
        <v>7269</v>
      </c>
      <c r="Z782" s="61">
        <v>18100204011470</v>
      </c>
      <c r="AA782" s="60"/>
      <c r="AB782" s="28" t="s">
        <v>7355</v>
      </c>
      <c r="AC782" s="28" t="s">
        <v>1466</v>
      </c>
    </row>
    <row r="783" spans="1:29" s="28" customFormat="1" x14ac:dyDescent="0.25">
      <c r="A783" s="61">
        <v>110013128169</v>
      </c>
      <c r="B783" s="28">
        <v>2024</v>
      </c>
      <c r="C783" s="68">
        <f t="shared" si="12"/>
        <v>45292</v>
      </c>
      <c r="D783" s="28" t="s">
        <v>6807</v>
      </c>
      <c r="E783" s="28" t="s">
        <v>6960</v>
      </c>
      <c r="F783" s="28" t="s">
        <v>457</v>
      </c>
      <c r="G783" s="28" t="s">
        <v>366</v>
      </c>
      <c r="H783" s="28" t="s">
        <v>6961</v>
      </c>
      <c r="I783" s="28">
        <v>32.796432000000003</v>
      </c>
      <c r="J783" s="28">
        <v>-115.667761</v>
      </c>
      <c r="L783" s="61">
        <v>110013128169</v>
      </c>
      <c r="M783" s="28" t="s">
        <v>265</v>
      </c>
      <c r="N783" s="28">
        <v>4952</v>
      </c>
      <c r="O783" s="28" t="str">
        <f>IFERROR(VLOOKUP(N783, 'SIC &amp; NAICS Codes'!A:B, 2, FALSE), "")</f>
        <v>Sewerage Systems</v>
      </c>
      <c r="S783" s="28">
        <v>1.7269062499999999E-3</v>
      </c>
      <c r="T783" s="315">
        <f>_xlfn.MAXIFS('Raw Period DMR Data'!$O:$O,'Raw Period DMR Data'!$A:$A,'Raw Annual DMR Data_2021-2024'!#REF!,'Raw Period DMR Data'!$C:$C,X783)/S783</f>
        <v>0</v>
      </c>
      <c r="U783" s="28" t="str">
        <f>+IF(COUNTIFS('Raw Period DMR Data'!$A:$A,B783,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83" s="28" t="str" cm="1">
        <f t="array" ref="V783">IFERROR(INDEX('Raw Period DMR Data'!N:N,MATCH(1,(B783='Raw Period DMR Data'!$A:$A)*(U783='Raw Period DMR Data'!M:M)*(X783='Raw Period DMR Data'!C:C),0),1), "N/A")</f>
        <v>N/A</v>
      </c>
      <c r="W783" s="28" t="s">
        <v>1463</v>
      </c>
      <c r="X783" s="28" t="s">
        <v>7157</v>
      </c>
      <c r="Y783" s="28" t="s">
        <v>7269</v>
      </c>
      <c r="Z783" s="61">
        <v>18100204011470</v>
      </c>
      <c r="AA783" s="60"/>
      <c r="AB783" s="28" t="s">
        <v>7355</v>
      </c>
      <c r="AC783" s="28" t="s">
        <v>1466</v>
      </c>
    </row>
    <row r="784" spans="1:29" s="28" customFormat="1" x14ac:dyDescent="0.25">
      <c r="A784" s="61">
        <v>110020662166</v>
      </c>
      <c r="B784" s="28">
        <v>2024</v>
      </c>
      <c r="C784" s="68">
        <f t="shared" si="12"/>
        <v>45292</v>
      </c>
      <c r="D784" s="28" t="s">
        <v>6852</v>
      </c>
      <c r="E784" s="28" t="s">
        <v>7010</v>
      </c>
      <c r="F784" s="28" t="s">
        <v>6942</v>
      </c>
      <c r="G784" s="28" t="s">
        <v>1249</v>
      </c>
      <c r="H784" s="28" t="s">
        <v>7011</v>
      </c>
      <c r="I784" s="28">
        <v>36.739803999999999</v>
      </c>
      <c r="J784" s="28">
        <v>-108.397068</v>
      </c>
      <c r="L784" s="61">
        <v>110020662166</v>
      </c>
      <c r="M784" s="28" t="s">
        <v>265</v>
      </c>
      <c r="N784" s="28">
        <v>4952</v>
      </c>
      <c r="O784" s="28" t="str">
        <f>IFERROR(VLOOKUP(N784, 'SIC &amp; NAICS Codes'!A:B, 2, FALSE), "")</f>
        <v>Sewerage Systems</v>
      </c>
      <c r="S784" s="28">
        <v>5.2497950000000002E-2</v>
      </c>
      <c r="T784" s="315">
        <f>_xlfn.MAXIFS('Raw Period DMR Data'!$O:$O,'Raw Period DMR Data'!$A:$A,'Raw Annual DMR Data_2021-2024'!#REF!,'Raw Period DMR Data'!$C:$C,X784)/S784</f>
        <v>0</v>
      </c>
      <c r="U784" s="28" t="str">
        <f>+IF(COUNTIFS('Raw Period DMR Data'!$A:$A,B784,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84" s="28" t="str" cm="1">
        <f t="array" ref="V784">IFERROR(INDEX('Raw Period DMR Data'!N:N,MATCH(1,(B784='Raw Period DMR Data'!$A:$A)*(U784='Raw Period DMR Data'!M:M)*(X784='Raw Period DMR Data'!C:C),0),1), "N/A")</f>
        <v>N/A</v>
      </c>
      <c r="W784" s="28" t="s">
        <v>1463</v>
      </c>
      <c r="X784" s="28" t="s">
        <v>7184</v>
      </c>
      <c r="Y784" s="28" t="s">
        <v>2219</v>
      </c>
      <c r="Z784" s="61">
        <v>14080105001175</v>
      </c>
      <c r="AA784" s="60"/>
      <c r="AB784" s="28" t="s">
        <v>7355</v>
      </c>
      <c r="AC784" s="28" t="s">
        <v>7356</v>
      </c>
    </row>
    <row r="785" spans="1:29" s="28" customFormat="1" x14ac:dyDescent="0.25">
      <c r="A785" s="61">
        <v>110006740161</v>
      </c>
      <c r="B785" s="28">
        <v>2022</v>
      </c>
      <c r="C785" s="68">
        <f t="shared" si="12"/>
        <v>44562</v>
      </c>
      <c r="D785" s="28" t="s">
        <v>1270</v>
      </c>
      <c r="E785" s="28" t="s">
        <v>2076</v>
      </c>
      <c r="F785" s="28" t="s">
        <v>1271</v>
      </c>
      <c r="G785" s="28" t="s">
        <v>427</v>
      </c>
      <c r="H785" s="28">
        <v>49424</v>
      </c>
      <c r="I785" s="28">
        <v>42.813049999999997</v>
      </c>
      <c r="J785" s="28">
        <v>-86.197429999999997</v>
      </c>
      <c r="L785" s="61">
        <v>110006740161</v>
      </c>
      <c r="M785" s="28" t="s">
        <v>265</v>
      </c>
      <c r="N785" s="28">
        <v>4953</v>
      </c>
      <c r="O785" s="28" t="str">
        <f>IFERROR(VLOOKUP(N785, 'SIC &amp; NAICS Codes'!A:B, 2, FALSE), "")</f>
        <v>Refuse Systems (hazardous waste treatment and disposal)</v>
      </c>
      <c r="S785" s="28">
        <v>0.19588056300000001</v>
      </c>
      <c r="T785" s="315">
        <f>_xlfn.MAXIFS('Raw Period DMR Data'!$O:$O,'Raw Period DMR Data'!$A:$A,'Raw Annual DMR Data_2021-2024'!#REF!,'Raw Period DMR Data'!$C:$C,X785)/S785</f>
        <v>0</v>
      </c>
      <c r="U785" s="28" t="str">
        <f>+IF(COUNTIFS('Raw Period DMR Data'!$A:$A,B785,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85" s="28" t="str" cm="1">
        <f t="array" ref="V785">IFERROR(INDEX('Raw Period DMR Data'!N:N,MATCH(1,(B785='Raw Period DMR Data'!$A:$A)*(U785='Raw Period DMR Data'!M:M)*(X785='Raw Period DMR Data'!C:C),0),1), "N/A")</f>
        <v>N/A</v>
      </c>
      <c r="W785" s="28" t="s">
        <v>1463</v>
      </c>
      <c r="X785" s="28" t="s">
        <v>2077</v>
      </c>
      <c r="Y785" s="28" t="s">
        <v>2078</v>
      </c>
      <c r="Z785" s="61">
        <v>4050002000163</v>
      </c>
      <c r="AA785" s="60"/>
      <c r="AB785" s="28" t="s">
        <v>7355</v>
      </c>
      <c r="AC785" s="28" t="s">
        <v>1466</v>
      </c>
    </row>
    <row r="786" spans="1:29" s="28" customFormat="1" x14ac:dyDescent="0.25">
      <c r="A786" s="61">
        <v>110006740161</v>
      </c>
      <c r="B786" s="28">
        <v>2021</v>
      </c>
      <c r="C786" s="68">
        <f t="shared" si="12"/>
        <v>44197</v>
      </c>
      <c r="D786" s="28" t="s">
        <v>1270</v>
      </c>
      <c r="E786" s="28" t="s">
        <v>2076</v>
      </c>
      <c r="F786" s="28" t="s">
        <v>1271</v>
      </c>
      <c r="G786" s="28" t="s">
        <v>427</v>
      </c>
      <c r="H786" s="28">
        <v>49424</v>
      </c>
      <c r="I786" s="28">
        <v>42.813049999999997</v>
      </c>
      <c r="J786" s="28">
        <v>-86.197429999999997</v>
      </c>
      <c r="L786" s="61">
        <v>110006740161</v>
      </c>
      <c r="M786" s="28" t="s">
        <v>265</v>
      </c>
      <c r="N786" s="28">
        <v>4953</v>
      </c>
      <c r="O786" s="28" t="str">
        <f>IFERROR(VLOOKUP(N786, 'SIC &amp; NAICS Codes'!A:B, 2, FALSE), "")</f>
        <v>Refuse Systems (hazardous waste treatment and disposal)</v>
      </c>
      <c r="S786" s="28">
        <v>0.1820414675</v>
      </c>
      <c r="T786" s="315">
        <f>_xlfn.MAXIFS('Raw Period DMR Data'!$O:$O,'Raw Period DMR Data'!$A:$A,'Raw Annual DMR Data_2021-2024'!#REF!,'Raw Period DMR Data'!$C:$C,X786)/S786</f>
        <v>0</v>
      </c>
      <c r="U786" s="28" t="str">
        <f>+IF(COUNTIFS('Raw Period DMR Data'!$A:$A,B786,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86" s="28" t="str" cm="1">
        <f t="array" ref="V786">IFERROR(INDEX('Raw Period DMR Data'!N:N,MATCH(1,(B786='Raw Period DMR Data'!$A:$A)*(U786='Raw Period DMR Data'!M:M)*(X786='Raw Period DMR Data'!C:C),0),1), "N/A")</f>
        <v>N/A</v>
      </c>
      <c r="W786" s="28" t="s">
        <v>1463</v>
      </c>
      <c r="X786" s="28" t="s">
        <v>2077</v>
      </c>
      <c r="Y786" s="28" t="s">
        <v>2078</v>
      </c>
      <c r="Z786" s="61">
        <v>4050002000163</v>
      </c>
      <c r="AB786" s="28" t="s">
        <v>7355</v>
      </c>
      <c r="AC786" s="28" t="s">
        <v>1466</v>
      </c>
    </row>
    <row r="787" spans="1:29" s="28" customFormat="1" x14ac:dyDescent="0.25">
      <c r="A787" s="61">
        <v>110000747835</v>
      </c>
      <c r="B787" s="28">
        <v>2022</v>
      </c>
      <c r="C787" s="68">
        <f t="shared" si="12"/>
        <v>44562</v>
      </c>
      <c r="D787" s="28" t="s">
        <v>6804</v>
      </c>
      <c r="E787" s="28" t="s">
        <v>2083</v>
      </c>
      <c r="F787" s="28" t="s">
        <v>1273</v>
      </c>
      <c r="G787" s="28" t="s">
        <v>324</v>
      </c>
      <c r="H787" s="28">
        <v>42303</v>
      </c>
      <c r="I787" s="28">
        <v>37.8125</v>
      </c>
      <c r="J787" s="28">
        <v>-87.05</v>
      </c>
      <c r="K787" s="28" t="s">
        <v>729</v>
      </c>
      <c r="L787" s="61">
        <v>110000747835</v>
      </c>
      <c r="M787" s="28" t="s">
        <v>265</v>
      </c>
      <c r="N787" s="28">
        <v>2821</v>
      </c>
      <c r="O787" s="28" t="str">
        <f>IFERROR(VLOOKUP(N787, 'SIC &amp; NAICS Codes'!A:B, 2, FALSE), "")</f>
        <v>Plastics Materials, Synthetic and Resins, and Nonvulcanizable Elastomers</v>
      </c>
      <c r="S787" s="28">
        <v>0.4457019015</v>
      </c>
      <c r="T787" s="315">
        <f>_xlfn.MAXIFS('Raw Period DMR Data'!$O:$O,'Raw Period DMR Data'!$A:$A,'Raw Annual DMR Data_2021-2024'!#REF!,'Raw Period DMR Data'!$C:$C,X787)/S787</f>
        <v>0</v>
      </c>
      <c r="U787" s="28" t="str">
        <f>+IF(COUNTIFS('Raw Period DMR Data'!$A:$A,B787,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87" s="28" t="str" cm="1">
        <f t="array" ref="V787">IFERROR(INDEX('Raw Period DMR Data'!N:N,MATCH(1,(B787='Raw Period DMR Data'!$A:$A)*(U787='Raw Period DMR Data'!M:M)*(X787='Raw Period DMR Data'!C:C),0),1), "N/A")</f>
        <v>N/A</v>
      </c>
      <c r="W787" s="28" t="s">
        <v>1463</v>
      </c>
      <c r="X787" s="28" t="s">
        <v>2084</v>
      </c>
      <c r="Y787" s="28" t="s">
        <v>2085</v>
      </c>
      <c r="Z787" s="61">
        <v>5140201000239</v>
      </c>
      <c r="AA787" s="60"/>
      <c r="AB787" s="28" t="s">
        <v>7355</v>
      </c>
      <c r="AC787" s="28" t="s">
        <v>1466</v>
      </c>
    </row>
    <row r="788" spans="1:29" s="28" customFormat="1" x14ac:dyDescent="0.25">
      <c r="A788" s="61">
        <v>110000747835</v>
      </c>
      <c r="B788" s="28">
        <v>2021</v>
      </c>
      <c r="C788" s="68">
        <f t="shared" si="12"/>
        <v>44197</v>
      </c>
      <c r="D788" s="28" t="s">
        <v>6804</v>
      </c>
      <c r="E788" s="28" t="s">
        <v>2083</v>
      </c>
      <c r="F788" s="28" t="s">
        <v>1273</v>
      </c>
      <c r="G788" s="28" t="s">
        <v>324</v>
      </c>
      <c r="H788" s="28">
        <v>42303</v>
      </c>
      <c r="I788" s="28">
        <v>37.8125</v>
      </c>
      <c r="J788" s="28">
        <v>-87.05</v>
      </c>
      <c r="K788" s="28" t="s">
        <v>729</v>
      </c>
      <c r="L788" s="61">
        <v>110000747835</v>
      </c>
      <c r="M788" s="28" t="s">
        <v>265</v>
      </c>
      <c r="N788" s="28">
        <v>2821</v>
      </c>
      <c r="O788" s="28" t="str">
        <f>IFERROR(VLOOKUP(N788, 'SIC &amp; NAICS Codes'!A:B, 2, FALSE), "")</f>
        <v>Plastics Materials, Synthetic and Resins, and Nonvulcanizable Elastomers</v>
      </c>
      <c r="S788" s="28">
        <v>1.6570999999999999E-2</v>
      </c>
      <c r="T788" s="315">
        <f>_xlfn.MAXIFS('Raw Period DMR Data'!$O:$O,'Raw Period DMR Data'!$A:$A,'Raw Annual DMR Data_2021-2024'!#REF!,'Raw Period DMR Data'!$C:$C,X788)/S788</f>
        <v>0</v>
      </c>
      <c r="U788" s="28" t="str">
        <f>+IF(COUNTIFS('Raw Period DMR Data'!$A:$A,B788,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88" s="28" t="str" cm="1">
        <f t="array" ref="V788">IFERROR(INDEX('Raw Period DMR Data'!N:N,MATCH(1,(B788='Raw Period DMR Data'!$A:$A)*(U788='Raw Period DMR Data'!M:M)*(X788='Raw Period DMR Data'!C:C),0),1), "N/A")</f>
        <v>N/A</v>
      </c>
      <c r="W788" s="28" t="s">
        <v>1463</v>
      </c>
      <c r="X788" s="28" t="s">
        <v>2084</v>
      </c>
      <c r="Y788" s="28" t="s">
        <v>2085</v>
      </c>
      <c r="Z788" s="61">
        <v>5140201000239</v>
      </c>
      <c r="AC788" s="28" t="s">
        <v>1466</v>
      </c>
    </row>
    <row r="789" spans="1:29" s="28" customFormat="1" x14ac:dyDescent="0.25">
      <c r="A789" s="61">
        <v>110046184516</v>
      </c>
      <c r="B789" s="28">
        <v>2024</v>
      </c>
      <c r="C789" s="68">
        <f t="shared" si="12"/>
        <v>45292</v>
      </c>
      <c r="D789" s="28" t="s">
        <v>1285</v>
      </c>
      <c r="E789" s="28" t="s">
        <v>2101</v>
      </c>
      <c r="F789" s="28" t="s">
        <v>1286</v>
      </c>
      <c r="G789" s="28" t="s">
        <v>1171</v>
      </c>
      <c r="H789" s="28">
        <v>96818</v>
      </c>
      <c r="I789" s="28">
        <v>21.347193999999998</v>
      </c>
      <c r="J789" s="28">
        <v>-157.943556</v>
      </c>
      <c r="L789" s="61">
        <v>110046184516</v>
      </c>
      <c r="M789" s="28" t="s">
        <v>265</v>
      </c>
      <c r="N789" s="28">
        <v>3731</v>
      </c>
      <c r="O789" s="28" t="str">
        <f>IFERROR(VLOOKUP(N789, 'SIC &amp; NAICS Codes'!A:B, 2, FALSE), "")</f>
        <v>Ship Building and Repairing (except repairs in floating drydocks)</v>
      </c>
      <c r="S789" s="28">
        <v>1.6578299999999999</v>
      </c>
      <c r="T789" s="315">
        <f>_xlfn.MAXIFS('Raw Period DMR Data'!$O:$O,'Raw Period DMR Data'!$A:$A,'Raw Annual DMR Data_2021-2024'!#REF!,'Raw Period DMR Data'!$C:$C,X789)/S789</f>
        <v>0</v>
      </c>
      <c r="U789" s="28" t="str">
        <f>+IF(COUNTIFS('Raw Period DMR Data'!$A:$A,B789,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89" s="28" t="str" cm="1">
        <f t="array" ref="V789">IFERROR(INDEX('Raw Period DMR Data'!N:N,MATCH(1,(B789='Raw Period DMR Data'!$A:$A)*(U789='Raw Period DMR Data'!M:M)*(X789='Raw Period DMR Data'!C:C),0),1), "N/A")</f>
        <v>N/A</v>
      </c>
      <c r="W789" s="28" t="s">
        <v>1463</v>
      </c>
      <c r="X789" s="28" t="s">
        <v>2102</v>
      </c>
      <c r="Y789" s="28" t="s">
        <v>1253</v>
      </c>
      <c r="Z789" s="61">
        <v>20060000000166</v>
      </c>
      <c r="AA789" s="60"/>
      <c r="AB789" s="28" t="s">
        <v>7355</v>
      </c>
      <c r="AC789" s="28" t="s">
        <v>1466</v>
      </c>
    </row>
    <row r="790" spans="1:29" s="28" customFormat="1" x14ac:dyDescent="0.25">
      <c r="A790" s="61">
        <v>110046184516</v>
      </c>
      <c r="B790" s="28">
        <v>2021</v>
      </c>
      <c r="C790" s="68">
        <f t="shared" si="12"/>
        <v>44197</v>
      </c>
      <c r="D790" s="28" t="s">
        <v>1285</v>
      </c>
      <c r="E790" s="28" t="s">
        <v>2101</v>
      </c>
      <c r="F790" s="28" t="s">
        <v>1286</v>
      </c>
      <c r="G790" s="28" t="s">
        <v>1171</v>
      </c>
      <c r="H790" s="28">
        <v>96818</v>
      </c>
      <c r="I790" s="28">
        <v>21.347193999999998</v>
      </c>
      <c r="J790" s="28">
        <v>-157.943556</v>
      </c>
      <c r="L790" s="61">
        <v>110046184516</v>
      </c>
      <c r="M790" s="28" t="s">
        <v>265</v>
      </c>
      <c r="N790" s="28">
        <v>3731</v>
      </c>
      <c r="O790" s="28" t="str">
        <f>IFERROR(VLOOKUP(N790, 'SIC &amp; NAICS Codes'!A:B, 2, FALSE), "")</f>
        <v>Ship Building and Repairing (except repairs in floating drydocks)</v>
      </c>
      <c r="S790" s="28">
        <v>1.0430513749999999</v>
      </c>
      <c r="T790" s="315">
        <f>_xlfn.MAXIFS('Raw Period DMR Data'!$O:$O,'Raw Period DMR Data'!$A:$A,'Raw Annual DMR Data_2021-2024'!#REF!,'Raw Period DMR Data'!$C:$C,X790)/S790</f>
        <v>0</v>
      </c>
      <c r="U790" s="28" t="str">
        <f>+IF(COUNTIFS('Raw Period DMR Data'!$A:$A,B790,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90" s="28" t="str" cm="1">
        <f t="array" ref="V790">IFERROR(INDEX('Raw Period DMR Data'!N:N,MATCH(1,(B790='Raw Period DMR Data'!$A:$A)*(U790='Raw Period DMR Data'!M:M)*(X790='Raw Period DMR Data'!C:C),0),1), "N/A")</f>
        <v>N/A</v>
      </c>
      <c r="W790" s="28" t="s">
        <v>1463</v>
      </c>
      <c r="X790" s="28" t="s">
        <v>2102</v>
      </c>
      <c r="Y790" s="28" t="s">
        <v>1253</v>
      </c>
      <c r="Z790" s="61">
        <v>20060000000166</v>
      </c>
      <c r="AB790" s="28" t="s">
        <v>7355</v>
      </c>
      <c r="AC790" s="28" t="s">
        <v>1466</v>
      </c>
    </row>
    <row r="791" spans="1:29" s="28" customFormat="1" x14ac:dyDescent="0.25">
      <c r="A791" s="61">
        <v>110046184516</v>
      </c>
      <c r="B791" s="28">
        <v>2023</v>
      </c>
      <c r="C791" s="68">
        <f t="shared" si="12"/>
        <v>44927</v>
      </c>
      <c r="D791" s="28" t="s">
        <v>1285</v>
      </c>
      <c r="E791" s="28" t="s">
        <v>2101</v>
      </c>
      <c r="F791" s="28" t="s">
        <v>1286</v>
      </c>
      <c r="G791" s="28" t="s">
        <v>1171</v>
      </c>
      <c r="H791" s="28">
        <v>96818</v>
      </c>
      <c r="I791" s="28">
        <v>21.347193999999998</v>
      </c>
      <c r="J791" s="28">
        <v>-157.943556</v>
      </c>
      <c r="L791" s="61">
        <v>110046184516</v>
      </c>
      <c r="M791" s="28" t="s">
        <v>265</v>
      </c>
      <c r="N791" s="28">
        <v>3731</v>
      </c>
      <c r="O791" s="28" t="str">
        <f>IFERROR(VLOOKUP(N791, 'SIC &amp; NAICS Codes'!A:B, 2, FALSE), "")</f>
        <v>Ship Building and Repairing (except repairs in floating drydocks)</v>
      </c>
      <c r="S791" s="28">
        <v>0.82891499999999996</v>
      </c>
      <c r="T791" s="315">
        <f>_xlfn.MAXIFS('Raw Period DMR Data'!$O:$O,'Raw Period DMR Data'!$A:$A,'Raw Annual DMR Data_2021-2024'!#REF!,'Raw Period DMR Data'!$C:$C,X791)/S791</f>
        <v>0</v>
      </c>
      <c r="U791" s="28" t="str">
        <f>+IF(COUNTIFS('Raw Period DMR Data'!$A:$A,B791,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91" s="28" t="str" cm="1">
        <f t="array" ref="V791">IFERROR(INDEX('Raw Period DMR Data'!N:N,MATCH(1,(B791='Raw Period DMR Data'!$A:$A)*(U791='Raw Period DMR Data'!M:M)*(X791='Raw Period DMR Data'!C:C),0),1), "N/A")</f>
        <v>N/A</v>
      </c>
      <c r="W791" s="28" t="s">
        <v>1463</v>
      </c>
      <c r="X791" s="28" t="s">
        <v>2102</v>
      </c>
      <c r="Y791" s="28" t="s">
        <v>1253</v>
      </c>
      <c r="Z791" s="61">
        <v>20060000000166</v>
      </c>
      <c r="AA791" s="60"/>
      <c r="AB791" s="28" t="s">
        <v>7355</v>
      </c>
      <c r="AC791" s="28" t="s">
        <v>1466</v>
      </c>
    </row>
    <row r="792" spans="1:29" s="28" customFormat="1" x14ac:dyDescent="0.25">
      <c r="A792" s="61">
        <v>110046184516</v>
      </c>
      <c r="B792" s="28">
        <v>2022</v>
      </c>
      <c r="C792" s="68">
        <f t="shared" si="12"/>
        <v>44562</v>
      </c>
      <c r="D792" s="28" t="s">
        <v>1285</v>
      </c>
      <c r="E792" s="28" t="s">
        <v>2101</v>
      </c>
      <c r="F792" s="28" t="s">
        <v>1286</v>
      </c>
      <c r="G792" s="28" t="s">
        <v>1171</v>
      </c>
      <c r="H792" s="28">
        <v>96818</v>
      </c>
      <c r="I792" s="28">
        <v>21.347193999999998</v>
      </c>
      <c r="J792" s="28">
        <v>-157.943556</v>
      </c>
      <c r="L792" s="61">
        <v>110046184516</v>
      </c>
      <c r="M792" s="28" t="s">
        <v>265</v>
      </c>
      <c r="N792" s="28">
        <v>3731</v>
      </c>
      <c r="O792" s="28" t="str">
        <f>IFERROR(VLOOKUP(N792, 'SIC &amp; NAICS Codes'!A:B, 2, FALSE), "")</f>
        <v>Ship Building and Repairing (except repairs in floating drydocks)</v>
      </c>
      <c r="S792" s="28">
        <v>0.27630500000000002</v>
      </c>
      <c r="T792" s="315">
        <f>_xlfn.MAXIFS('Raw Period DMR Data'!$O:$O,'Raw Period DMR Data'!$A:$A,'Raw Annual DMR Data_2021-2024'!#REF!,'Raw Period DMR Data'!$C:$C,X792)/S792</f>
        <v>0</v>
      </c>
      <c r="U792" s="28" t="str">
        <f>+IF(COUNTIFS('Raw Period DMR Data'!$A:$A,B792,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92" s="28" t="str" cm="1">
        <f t="array" ref="V792">IFERROR(INDEX('Raw Period DMR Data'!N:N,MATCH(1,(B792='Raw Period DMR Data'!$A:$A)*(U792='Raw Period DMR Data'!M:M)*(X792='Raw Period DMR Data'!C:C),0),1), "N/A")</f>
        <v>N/A</v>
      </c>
      <c r="W792" s="28" t="s">
        <v>1463</v>
      </c>
      <c r="X792" s="28" t="s">
        <v>2102</v>
      </c>
      <c r="Y792" s="28" t="s">
        <v>1253</v>
      </c>
      <c r="Z792" s="61">
        <v>20060000000166</v>
      </c>
      <c r="AA792" s="60"/>
      <c r="AB792" s="28" t="s">
        <v>7355</v>
      </c>
      <c r="AC792" s="28" t="s">
        <v>1466</v>
      </c>
    </row>
    <row r="793" spans="1:29" s="28" customFormat="1" x14ac:dyDescent="0.25">
      <c r="A793" s="61">
        <v>110046184516</v>
      </c>
      <c r="B793" s="28">
        <v>2024</v>
      </c>
      <c r="C793" s="68">
        <f t="shared" si="12"/>
        <v>45292</v>
      </c>
      <c r="D793" s="28" t="s">
        <v>1285</v>
      </c>
      <c r="E793" s="28" t="s">
        <v>2101</v>
      </c>
      <c r="F793" s="28" t="s">
        <v>1286</v>
      </c>
      <c r="G793" s="28" t="s">
        <v>1171</v>
      </c>
      <c r="H793" s="28">
        <v>96818</v>
      </c>
      <c r="I793" s="28">
        <v>21.347193999999998</v>
      </c>
      <c r="J793" s="28">
        <v>-157.943556</v>
      </c>
      <c r="L793" s="61">
        <v>110046184516</v>
      </c>
      <c r="M793" s="28" t="s">
        <v>265</v>
      </c>
      <c r="N793" s="28">
        <v>3731</v>
      </c>
      <c r="O793" s="28" t="str">
        <f>IFERROR(VLOOKUP(N793, 'SIC &amp; NAICS Codes'!A:B, 2, FALSE), "")</f>
        <v>Ship Building and Repairing (except repairs in floating drydocks)</v>
      </c>
      <c r="S793" s="28">
        <v>0.20722874999999999</v>
      </c>
      <c r="T793" s="315">
        <f>_xlfn.MAXIFS('Raw Period DMR Data'!$O:$O,'Raw Period DMR Data'!$A:$A,'Raw Annual DMR Data_2021-2024'!#REF!,'Raw Period DMR Data'!$C:$C,X793)/S793</f>
        <v>0</v>
      </c>
      <c r="U793" s="28" t="str">
        <f>+IF(COUNTIFS('Raw Period DMR Data'!$A:$A,B793,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93" s="28" t="str" cm="1">
        <f t="array" ref="V793">IFERROR(INDEX('Raw Period DMR Data'!N:N,MATCH(1,(B793='Raw Period DMR Data'!$A:$A)*(U793='Raw Period DMR Data'!M:M)*(X793='Raw Period DMR Data'!C:C),0),1), "N/A")</f>
        <v>N/A</v>
      </c>
      <c r="W793" s="28" t="s">
        <v>1463</v>
      </c>
      <c r="X793" s="28" t="s">
        <v>2102</v>
      </c>
      <c r="Y793" s="28" t="s">
        <v>1253</v>
      </c>
      <c r="Z793" s="61">
        <v>20060000000166</v>
      </c>
      <c r="AA793" s="60"/>
      <c r="AB793" s="28" t="s">
        <v>7355</v>
      </c>
      <c r="AC793" s="28" t="s">
        <v>1466</v>
      </c>
    </row>
    <row r="794" spans="1:29" s="28" customFormat="1" x14ac:dyDescent="0.25">
      <c r="A794" s="61">
        <v>110041133163</v>
      </c>
      <c r="B794" s="28">
        <v>2024</v>
      </c>
      <c r="C794" s="68">
        <f t="shared" si="12"/>
        <v>45292</v>
      </c>
      <c r="D794" s="28" t="s">
        <v>1290</v>
      </c>
      <c r="E794" s="28" t="s">
        <v>2115</v>
      </c>
      <c r="F794" s="28" t="s">
        <v>544</v>
      </c>
      <c r="G794" s="28" t="s">
        <v>338</v>
      </c>
      <c r="H794" s="28">
        <v>7036</v>
      </c>
      <c r="I794" s="28">
        <v>40.640135000000001</v>
      </c>
      <c r="J794" s="28">
        <v>-74.218879999999999</v>
      </c>
      <c r="K794" s="28" t="s">
        <v>730</v>
      </c>
      <c r="L794" s="61">
        <v>110041133163</v>
      </c>
      <c r="M794" s="28" t="s">
        <v>265</v>
      </c>
      <c r="N794" s="28">
        <v>2911</v>
      </c>
      <c r="O794" s="28" t="str">
        <f>IFERROR(VLOOKUP(N794, 'SIC &amp; NAICS Codes'!A:B, 2, FALSE), "")</f>
        <v>Petroleum Refining</v>
      </c>
      <c r="S794" s="28">
        <v>2.46</v>
      </c>
      <c r="T794" s="315">
        <f>_xlfn.MAXIFS('Raw Period DMR Data'!$O:$O,'Raw Period DMR Data'!$A:$A,'Raw Annual DMR Data_2021-2024'!#REF!,'Raw Period DMR Data'!$C:$C,X794)/S794</f>
        <v>0</v>
      </c>
      <c r="U794" s="28" t="str">
        <f>+IF(COUNTIFS('Raw Period DMR Data'!$A:$A,B794,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94" s="28" t="str" cm="1">
        <f t="array" ref="V794">IFERROR(INDEX('Raw Period DMR Data'!N:N,MATCH(1,(B794='Raw Period DMR Data'!$A:$A)*(U794='Raw Period DMR Data'!M:M)*(X794='Raw Period DMR Data'!C:C),0),1), "N/A")</f>
        <v>N/A</v>
      </c>
      <c r="W794" s="28" t="s">
        <v>1463</v>
      </c>
      <c r="X794" s="28" t="s">
        <v>2116</v>
      </c>
      <c r="Y794" s="28" t="s">
        <v>7276</v>
      </c>
      <c r="Z794" s="61">
        <v>2030104000282</v>
      </c>
      <c r="AA794" s="60"/>
      <c r="AB794" s="28" t="s">
        <v>7355</v>
      </c>
      <c r="AC794" s="28" t="s">
        <v>1466</v>
      </c>
    </row>
    <row r="795" spans="1:29" s="28" customFormat="1" x14ac:dyDescent="0.25">
      <c r="A795" s="61">
        <v>110041133163</v>
      </c>
      <c r="B795" s="28">
        <v>2023</v>
      </c>
      <c r="C795" s="68">
        <f t="shared" si="12"/>
        <v>44927</v>
      </c>
      <c r="D795" s="28" t="s">
        <v>1290</v>
      </c>
      <c r="E795" s="28" t="s">
        <v>2115</v>
      </c>
      <c r="F795" s="28" t="s">
        <v>544</v>
      </c>
      <c r="G795" s="28" t="s">
        <v>338</v>
      </c>
      <c r="H795" s="28" t="s">
        <v>1961</v>
      </c>
      <c r="I795" s="28">
        <v>40.640135000000001</v>
      </c>
      <c r="J795" s="28">
        <v>-74.218879999999999</v>
      </c>
      <c r="K795" s="28" t="s">
        <v>730</v>
      </c>
      <c r="L795" s="61">
        <v>110041133163</v>
      </c>
      <c r="M795" s="28" t="s">
        <v>265</v>
      </c>
      <c r="N795" s="28">
        <v>2911</v>
      </c>
      <c r="O795" s="28" t="str">
        <f>IFERROR(VLOOKUP(N795, 'SIC &amp; NAICS Codes'!A:B, 2, FALSE), "")</f>
        <v>Petroleum Refining</v>
      </c>
      <c r="S795" s="28">
        <v>2.3050000000000002</v>
      </c>
      <c r="T795" s="315">
        <f>_xlfn.MAXIFS('Raw Period DMR Data'!$O:$O,'Raw Period DMR Data'!$A:$A,'Raw Annual DMR Data_2021-2024'!#REF!,'Raw Period DMR Data'!$C:$C,X795)/S795</f>
        <v>0</v>
      </c>
      <c r="U795" s="28" t="str">
        <f>+IF(COUNTIFS('Raw Period DMR Data'!$A:$A,B795,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95" s="28" t="str" cm="1">
        <f t="array" ref="V795">IFERROR(INDEX('Raw Period DMR Data'!N:N,MATCH(1,(B795='Raw Period DMR Data'!$A:$A)*(U795='Raw Period DMR Data'!M:M)*(X795='Raw Period DMR Data'!C:C),0),1), "N/A")</f>
        <v>N/A</v>
      </c>
      <c r="W795" s="28" t="s">
        <v>1463</v>
      </c>
      <c r="X795" s="28" t="s">
        <v>2116</v>
      </c>
      <c r="Y795" s="28" t="s">
        <v>7276</v>
      </c>
      <c r="Z795" s="61" t="s">
        <v>2118</v>
      </c>
      <c r="AA795" s="60"/>
      <c r="AB795" s="28" t="s">
        <v>7355</v>
      </c>
      <c r="AC795" s="28" t="s">
        <v>1466</v>
      </c>
    </row>
    <row r="796" spans="1:29" s="28" customFormat="1" x14ac:dyDescent="0.25">
      <c r="A796" s="61">
        <v>110041133163</v>
      </c>
      <c r="B796" s="28">
        <v>2022</v>
      </c>
      <c r="C796" s="68">
        <f t="shared" si="12"/>
        <v>44562</v>
      </c>
      <c r="D796" s="28" t="s">
        <v>1290</v>
      </c>
      <c r="E796" s="28" t="s">
        <v>2115</v>
      </c>
      <c r="F796" s="28" t="s">
        <v>544</v>
      </c>
      <c r="G796" s="28" t="s">
        <v>338</v>
      </c>
      <c r="H796" s="28">
        <v>7036</v>
      </c>
      <c r="I796" s="28">
        <v>40.640135000000001</v>
      </c>
      <c r="J796" s="28">
        <v>-74.218879999999999</v>
      </c>
      <c r="K796" s="28" t="s">
        <v>730</v>
      </c>
      <c r="L796" s="61">
        <v>110041133163</v>
      </c>
      <c r="M796" s="28" t="s">
        <v>265</v>
      </c>
      <c r="N796" s="28">
        <v>2911</v>
      </c>
      <c r="O796" s="28" t="str">
        <f>IFERROR(VLOOKUP(N796, 'SIC &amp; NAICS Codes'!A:B, 2, FALSE), "")</f>
        <v>Petroleum Refining</v>
      </c>
      <c r="S796" s="28">
        <v>1.9950000000000001</v>
      </c>
      <c r="T796" s="315">
        <f>_xlfn.MAXIFS('Raw Period DMR Data'!$O:$O,'Raw Period DMR Data'!$A:$A,'Raw Annual DMR Data_2021-2024'!#REF!,'Raw Period DMR Data'!$C:$C,X796)/S796</f>
        <v>0</v>
      </c>
      <c r="U796" s="28" t="str">
        <f>+IF(COUNTIFS('Raw Period DMR Data'!$A:$A,B796,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96" s="28" t="str" cm="1">
        <f t="array" ref="V796">IFERROR(INDEX('Raw Period DMR Data'!N:N,MATCH(1,(B796='Raw Period DMR Data'!$A:$A)*(U796='Raw Period DMR Data'!M:M)*(X796='Raw Period DMR Data'!C:C),0),1), "N/A")</f>
        <v>N/A</v>
      </c>
      <c r="W796" s="28" t="s">
        <v>1463</v>
      </c>
      <c r="X796" s="28" t="s">
        <v>2116</v>
      </c>
      <c r="Y796" s="28" t="s">
        <v>7276</v>
      </c>
      <c r="Z796" s="61">
        <v>2030104000282</v>
      </c>
      <c r="AA796" s="60"/>
      <c r="AB796" s="28" t="s">
        <v>7355</v>
      </c>
      <c r="AC796" s="28" t="s">
        <v>1466</v>
      </c>
    </row>
    <row r="797" spans="1:29" s="28" customFormat="1" x14ac:dyDescent="0.25">
      <c r="A797" s="61">
        <v>110041133163</v>
      </c>
      <c r="B797" s="28">
        <v>2021</v>
      </c>
      <c r="C797" s="68">
        <f t="shared" si="12"/>
        <v>44197</v>
      </c>
      <c r="D797" s="28" t="s">
        <v>1290</v>
      </c>
      <c r="E797" s="28" t="s">
        <v>2115</v>
      </c>
      <c r="F797" s="28" t="s">
        <v>544</v>
      </c>
      <c r="G797" s="28" t="s">
        <v>338</v>
      </c>
      <c r="H797" s="28">
        <v>7036</v>
      </c>
      <c r="I797" s="28">
        <v>40.640135000000001</v>
      </c>
      <c r="J797" s="28">
        <v>-74.218879999999999</v>
      </c>
      <c r="K797" s="28" t="s">
        <v>730</v>
      </c>
      <c r="L797" s="61">
        <v>110041133163</v>
      </c>
      <c r="M797" s="28" t="s">
        <v>265</v>
      </c>
      <c r="N797" s="28">
        <v>2911</v>
      </c>
      <c r="O797" s="28" t="str">
        <f>IFERROR(VLOOKUP(N797, 'SIC &amp; NAICS Codes'!A:B, 2, FALSE), "")</f>
        <v>Petroleum Refining</v>
      </c>
      <c r="S797" s="28">
        <v>1.845</v>
      </c>
      <c r="T797" s="315">
        <f>_xlfn.MAXIFS('Raw Period DMR Data'!$O:$O,'Raw Period DMR Data'!$A:$A,'Raw Annual DMR Data_2021-2024'!#REF!,'Raw Period DMR Data'!$C:$C,X797)/S797</f>
        <v>0</v>
      </c>
      <c r="U797" s="28" t="str">
        <f>+IF(COUNTIFS('Raw Period DMR Data'!$A:$A,B797,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97" s="28" t="str" cm="1">
        <f t="array" ref="V797">IFERROR(INDEX('Raw Period DMR Data'!N:N,MATCH(1,(B797='Raw Period DMR Data'!$A:$A)*(U797='Raw Period DMR Data'!M:M)*(X797='Raw Period DMR Data'!C:C),0),1), "N/A")</f>
        <v>N/A</v>
      </c>
      <c r="W797" s="28" t="s">
        <v>1463</v>
      </c>
      <c r="X797" s="28" t="s">
        <v>2116</v>
      </c>
      <c r="Y797" s="28" t="s">
        <v>7276</v>
      </c>
      <c r="Z797" s="61">
        <v>2030104000282</v>
      </c>
      <c r="AB797" s="28" t="s">
        <v>7355</v>
      </c>
      <c r="AC797" s="28" t="s">
        <v>1466</v>
      </c>
    </row>
    <row r="798" spans="1:29" s="28" customFormat="1" x14ac:dyDescent="0.25">
      <c r="A798" s="61">
        <v>110045415207</v>
      </c>
      <c r="B798" s="28">
        <v>2024</v>
      </c>
      <c r="C798" s="68">
        <f t="shared" si="12"/>
        <v>45292</v>
      </c>
      <c r="D798" s="28" t="s">
        <v>6907</v>
      </c>
      <c r="E798" s="28" t="s">
        <v>1894</v>
      </c>
      <c r="F798" s="28" t="s">
        <v>1178</v>
      </c>
      <c r="G798" s="28" t="s">
        <v>308</v>
      </c>
      <c r="H798" s="28">
        <v>1803</v>
      </c>
      <c r="I798" s="28">
        <v>42.481274999999997</v>
      </c>
      <c r="J798" s="28">
        <v>-71.198278999999999</v>
      </c>
      <c r="L798" s="61">
        <v>110045415207</v>
      </c>
      <c r="M798" s="28" t="s">
        <v>265</v>
      </c>
      <c r="N798" s="28">
        <v>4959</v>
      </c>
      <c r="O798" s="28" t="str">
        <f>IFERROR(VLOOKUP(N798, 'SIC &amp; NAICS Codes'!A:B, 2, FALSE), "")</f>
        <v>Sanitary Services, NEC (vacuuming of runways)</v>
      </c>
      <c r="S798" s="28">
        <v>2.7391636144299999E-2</v>
      </c>
      <c r="T798" s="315">
        <f>_xlfn.MAXIFS('Raw Period DMR Data'!$O:$O,'Raw Period DMR Data'!$A:$A,'Raw Annual DMR Data_2021-2024'!#REF!,'Raw Period DMR Data'!$C:$C,X798)/S798</f>
        <v>0</v>
      </c>
      <c r="U798" s="28" t="str">
        <f>+IF(COUNTIFS('Raw Period DMR Data'!$A:$A,B798,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98" s="28" t="str" cm="1">
        <f t="array" ref="V798">IFERROR(INDEX('Raw Period DMR Data'!N:N,MATCH(1,(B798='Raw Period DMR Data'!$A:$A)*(U798='Raw Period DMR Data'!M:M)*(X798='Raw Period DMR Data'!C:C),0),1), "N/A")</f>
        <v>N/A</v>
      </c>
      <c r="W798" s="28" t="s">
        <v>1463</v>
      </c>
      <c r="X798" s="28" t="s">
        <v>7238</v>
      </c>
      <c r="Y798" s="28" t="s">
        <v>1896</v>
      </c>
      <c r="Z798" s="61"/>
      <c r="AA798" s="60"/>
      <c r="AB798" s="28" t="s">
        <v>7355</v>
      </c>
      <c r="AC798" s="28" t="s">
        <v>1466</v>
      </c>
    </row>
    <row r="799" spans="1:29" s="28" customFormat="1" x14ac:dyDescent="0.25">
      <c r="A799" s="61">
        <v>110070949081</v>
      </c>
      <c r="B799" s="28">
        <v>2022</v>
      </c>
      <c r="C799" s="68">
        <f t="shared" si="12"/>
        <v>44562</v>
      </c>
      <c r="D799" s="28" t="s">
        <v>6813</v>
      </c>
      <c r="E799" s="28" t="s">
        <v>6967</v>
      </c>
      <c r="F799" s="28" t="s">
        <v>968</v>
      </c>
      <c r="G799" s="28" t="s">
        <v>294</v>
      </c>
      <c r="H799" s="28">
        <v>22305</v>
      </c>
      <c r="I799" s="28">
        <v>38.840083999999997</v>
      </c>
      <c r="J799" s="28">
        <v>-77.048516000000006</v>
      </c>
      <c r="L799" s="61">
        <v>110070949081</v>
      </c>
      <c r="M799" s="28" t="s">
        <v>265</v>
      </c>
      <c r="N799" s="28">
        <v>1794</v>
      </c>
      <c r="O799" s="28" t="str">
        <f>IFERROR(VLOOKUP(N799, 'SIC &amp; NAICS Codes'!A:B, 2, FALSE), "")</f>
        <v>Excavation Work</v>
      </c>
      <c r="S799" s="28">
        <v>3.7160940750000003E-2</v>
      </c>
      <c r="T799" s="315">
        <f>_xlfn.MAXIFS('Raw Period DMR Data'!$O:$O,'Raw Period DMR Data'!$A:$A,'Raw Annual DMR Data_2021-2024'!#REF!,'Raw Period DMR Data'!$C:$C,X799)/S799</f>
        <v>0</v>
      </c>
      <c r="U799" s="28" t="str">
        <f>+IF(COUNTIFS('Raw Period DMR Data'!$A:$A,B799,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799" s="28" t="str" cm="1">
        <f t="array" ref="V799">IFERROR(INDEX('Raw Period DMR Data'!N:N,MATCH(1,(B799='Raw Period DMR Data'!$A:$A)*(U799='Raw Period DMR Data'!M:M)*(X799='Raw Period DMR Data'!C:C),0),1), "N/A")</f>
        <v>N/A</v>
      </c>
      <c r="W799" s="28" t="s">
        <v>1463</v>
      </c>
      <c r="X799" s="28" t="s">
        <v>7160</v>
      </c>
      <c r="Y799" s="28" t="s">
        <v>1475</v>
      </c>
      <c r="Z799" s="61"/>
      <c r="AA799" s="60"/>
      <c r="AB799" s="28" t="s">
        <v>7355</v>
      </c>
      <c r="AC799" s="28" t="s">
        <v>1466</v>
      </c>
    </row>
    <row r="800" spans="1:29" s="28" customFormat="1" x14ac:dyDescent="0.25">
      <c r="A800" s="61">
        <v>110070949081</v>
      </c>
      <c r="B800" s="28">
        <v>2021</v>
      </c>
      <c r="C800" s="68">
        <f t="shared" si="12"/>
        <v>44197</v>
      </c>
      <c r="D800" s="28" t="s">
        <v>6813</v>
      </c>
      <c r="E800" s="28" t="s">
        <v>6967</v>
      </c>
      <c r="F800" s="28" t="s">
        <v>968</v>
      </c>
      <c r="G800" s="28" t="s">
        <v>294</v>
      </c>
      <c r="H800" s="28">
        <v>22305</v>
      </c>
      <c r="I800" s="28">
        <v>38.840083999999997</v>
      </c>
      <c r="J800" s="28">
        <v>-77.048516000000006</v>
      </c>
      <c r="L800" s="61">
        <v>110070949081</v>
      </c>
      <c r="M800" s="28" t="s">
        <v>265</v>
      </c>
      <c r="N800" s="28">
        <v>1794</v>
      </c>
      <c r="O800" s="28" t="str">
        <f>IFERROR(VLOOKUP(N800, 'SIC &amp; NAICS Codes'!A:B, 2, FALSE), "")</f>
        <v>Excavation Work</v>
      </c>
      <c r="S800" s="28">
        <v>3.0301628571428499E-2</v>
      </c>
      <c r="T800" s="315">
        <f>_xlfn.MAXIFS('Raw Period DMR Data'!$O:$O,'Raw Period DMR Data'!$A:$A,'Raw Annual DMR Data_2021-2024'!#REF!,'Raw Period DMR Data'!$C:$C,X800)/S800</f>
        <v>0</v>
      </c>
      <c r="U800" s="28" t="str">
        <f>+IF(COUNTIFS('Raw Period DMR Data'!$A:$A,B800,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00" s="28" t="str" cm="1">
        <f t="array" ref="V800">IFERROR(INDEX('Raw Period DMR Data'!N:N,MATCH(1,(B800='Raw Period DMR Data'!$A:$A)*(U800='Raw Period DMR Data'!M:M)*(X800='Raw Period DMR Data'!C:C),0),1), "N/A")</f>
        <v>N/A</v>
      </c>
      <c r="W800" s="28" t="s">
        <v>1463</v>
      </c>
      <c r="X800" s="28" t="s">
        <v>7160</v>
      </c>
      <c r="Y800" s="28" t="s">
        <v>1475</v>
      </c>
      <c r="Z800" s="61"/>
      <c r="AB800" s="28" t="s">
        <v>7355</v>
      </c>
      <c r="AC800" s="28" t="s">
        <v>1466</v>
      </c>
    </row>
    <row r="801" spans="1:29" s="28" customFormat="1" x14ac:dyDescent="0.25">
      <c r="A801" s="61">
        <v>110070884091</v>
      </c>
      <c r="B801" s="28">
        <v>2021</v>
      </c>
      <c r="C801" s="68">
        <f t="shared" si="12"/>
        <v>44197</v>
      </c>
      <c r="D801" s="28" t="s">
        <v>1300</v>
      </c>
      <c r="E801" s="28" t="s">
        <v>2135</v>
      </c>
      <c r="F801" s="28" t="s">
        <v>968</v>
      </c>
      <c r="G801" s="28" t="s">
        <v>294</v>
      </c>
      <c r="H801" s="28">
        <v>22301</v>
      </c>
      <c r="I801" s="28">
        <v>38.828830000000004</v>
      </c>
      <c r="J801" s="28">
        <v>-77.049679999999995</v>
      </c>
      <c r="L801" s="61">
        <v>110070884091</v>
      </c>
      <c r="M801" s="28" t="s">
        <v>265</v>
      </c>
      <c r="N801" s="28">
        <v>1794</v>
      </c>
      <c r="O801" s="28" t="str">
        <f>IFERROR(VLOOKUP(N801, 'SIC &amp; NAICS Codes'!A:B, 2, FALSE), "")</f>
        <v>Excavation Work</v>
      </c>
      <c r="S801" s="28">
        <v>0.1216229678325</v>
      </c>
      <c r="T801" s="315">
        <f>_xlfn.MAXIFS('Raw Period DMR Data'!$O:$O,'Raw Period DMR Data'!$A:$A,'Raw Annual DMR Data_2021-2024'!#REF!,'Raw Period DMR Data'!$C:$C,X801)/S801</f>
        <v>0</v>
      </c>
      <c r="U801" s="28" t="str">
        <f>+IF(COUNTIFS('Raw Period DMR Data'!$A:$A,B801,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01" s="28" t="str" cm="1">
        <f t="array" ref="V801">IFERROR(INDEX('Raw Period DMR Data'!N:N,MATCH(1,(B801='Raw Period DMR Data'!$A:$A)*(U801='Raw Period DMR Data'!M:M)*(X801='Raw Period DMR Data'!C:C),0),1), "N/A")</f>
        <v>N/A</v>
      </c>
      <c r="W801" s="28" t="s">
        <v>1463</v>
      </c>
      <c r="X801" s="28" t="s">
        <v>2136</v>
      </c>
      <c r="Y801" s="28" t="s">
        <v>1475</v>
      </c>
      <c r="Z801" s="61"/>
      <c r="AA801" s="28" t="s">
        <v>7355</v>
      </c>
      <c r="AB801" s="28" t="s">
        <v>7355</v>
      </c>
      <c r="AC801" s="28" t="s">
        <v>1466</v>
      </c>
    </row>
    <row r="802" spans="1:29" s="28" customFormat="1" x14ac:dyDescent="0.25">
      <c r="A802" s="61">
        <v>110070884091</v>
      </c>
      <c r="B802" s="28">
        <v>2021</v>
      </c>
      <c r="C802" s="68">
        <f t="shared" si="12"/>
        <v>44197</v>
      </c>
      <c r="D802" s="28" t="s">
        <v>1300</v>
      </c>
      <c r="E802" s="28" t="s">
        <v>2135</v>
      </c>
      <c r="F802" s="28" t="s">
        <v>968</v>
      </c>
      <c r="G802" s="28" t="s">
        <v>294</v>
      </c>
      <c r="H802" s="28">
        <v>22301</v>
      </c>
      <c r="I802" s="28">
        <v>38.828830000000004</v>
      </c>
      <c r="J802" s="28">
        <v>-77.049679999999995</v>
      </c>
      <c r="L802" s="61">
        <v>110070884091</v>
      </c>
      <c r="M802" s="28" t="s">
        <v>265</v>
      </c>
      <c r="N802" s="28">
        <v>1794</v>
      </c>
      <c r="O802" s="28" t="str">
        <f>IFERROR(VLOOKUP(N802, 'SIC &amp; NAICS Codes'!A:B, 2, FALSE), "")</f>
        <v>Excavation Work</v>
      </c>
      <c r="S802" s="28">
        <v>0.1216229678325</v>
      </c>
      <c r="T802" s="315">
        <f>_xlfn.MAXIFS('Raw Period DMR Data'!$O:$O,'Raw Period DMR Data'!$A:$A,'Raw Annual DMR Data_2021-2024'!#REF!,'Raw Period DMR Data'!$C:$C,X802)/S802</f>
        <v>0</v>
      </c>
      <c r="U802" s="28" t="str">
        <f>+IF(COUNTIFS('Raw Period DMR Data'!$A:$A,B802,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02" s="28" t="str" cm="1">
        <f t="array" ref="V802">IFERROR(INDEX('Raw Period DMR Data'!N:N,MATCH(1,(B802='Raw Period DMR Data'!$A:$A)*(U802='Raw Period DMR Data'!M:M)*(X802='Raw Period DMR Data'!C:C),0),1), "N/A")</f>
        <v>N/A</v>
      </c>
      <c r="W802" s="28" t="s">
        <v>1463</v>
      </c>
      <c r="X802" s="28" t="s">
        <v>2136</v>
      </c>
      <c r="Y802" s="28" t="s">
        <v>1475</v>
      </c>
      <c r="Z802" s="61"/>
      <c r="AA802" s="28" t="s">
        <v>7355</v>
      </c>
      <c r="AB802" s="28" t="s">
        <v>7355</v>
      </c>
      <c r="AC802" s="28" t="s">
        <v>1466</v>
      </c>
    </row>
    <row r="803" spans="1:29" s="28" customFormat="1" x14ac:dyDescent="0.25">
      <c r="A803" s="61">
        <v>110070884091</v>
      </c>
      <c r="B803" s="28">
        <v>2022</v>
      </c>
      <c r="C803" s="68">
        <f t="shared" si="12"/>
        <v>44562</v>
      </c>
      <c r="D803" s="28" t="s">
        <v>1300</v>
      </c>
      <c r="E803" s="28" t="s">
        <v>2135</v>
      </c>
      <c r="F803" s="28" t="s">
        <v>968</v>
      </c>
      <c r="G803" s="28" t="s">
        <v>294</v>
      </c>
      <c r="H803" s="28">
        <v>22301</v>
      </c>
      <c r="I803" s="28">
        <v>38.828830000000004</v>
      </c>
      <c r="J803" s="28">
        <v>-77.049679999999995</v>
      </c>
      <c r="L803" s="61">
        <v>110070884091</v>
      </c>
      <c r="M803" s="28" t="s">
        <v>265</v>
      </c>
      <c r="N803" s="28">
        <v>1794</v>
      </c>
      <c r="O803" s="28" t="str">
        <f>IFERROR(VLOOKUP(N803, 'SIC &amp; NAICS Codes'!A:B, 2, FALSE), "")</f>
        <v>Excavation Work</v>
      </c>
      <c r="S803" s="28">
        <v>2.4698140461428501E-4</v>
      </c>
      <c r="T803" s="315">
        <f>_xlfn.MAXIFS('Raw Period DMR Data'!$O:$O,'Raw Period DMR Data'!$A:$A,'Raw Annual DMR Data_2021-2024'!#REF!,'Raw Period DMR Data'!$C:$C,X803)/S803</f>
        <v>0</v>
      </c>
      <c r="U803" s="28" t="str">
        <f>+IF(COUNTIFS('Raw Period DMR Data'!$A:$A,B803,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03" s="28" t="str" cm="1">
        <f t="array" ref="V803">IFERROR(INDEX('Raw Period DMR Data'!N:N,MATCH(1,(B803='Raw Period DMR Data'!$A:$A)*(U803='Raw Period DMR Data'!M:M)*(X803='Raw Period DMR Data'!C:C),0),1), "N/A")</f>
        <v>N/A</v>
      </c>
      <c r="W803" s="28" t="s">
        <v>1463</v>
      </c>
      <c r="X803" s="28" t="s">
        <v>2136</v>
      </c>
      <c r="Y803" s="28" t="s">
        <v>1475</v>
      </c>
      <c r="Z803" s="61"/>
      <c r="AA803" s="60"/>
      <c r="AB803" s="28" t="s">
        <v>7355</v>
      </c>
      <c r="AC803" s="28" t="s">
        <v>1466</v>
      </c>
    </row>
    <row r="804" spans="1:29" s="28" customFormat="1" x14ac:dyDescent="0.25">
      <c r="A804" s="61">
        <v>110070884091</v>
      </c>
      <c r="B804" s="28">
        <v>2022</v>
      </c>
      <c r="C804" s="68">
        <f t="shared" si="12"/>
        <v>44562</v>
      </c>
      <c r="D804" s="28" t="s">
        <v>1300</v>
      </c>
      <c r="E804" s="28" t="s">
        <v>2135</v>
      </c>
      <c r="F804" s="28" t="s">
        <v>968</v>
      </c>
      <c r="G804" s="28" t="s">
        <v>294</v>
      </c>
      <c r="H804" s="28">
        <v>22301</v>
      </c>
      <c r="I804" s="28">
        <v>38.828830000000004</v>
      </c>
      <c r="J804" s="28">
        <v>-77.049679999999995</v>
      </c>
      <c r="L804" s="61">
        <v>110070884091</v>
      </c>
      <c r="M804" s="28" t="s">
        <v>265</v>
      </c>
      <c r="N804" s="28">
        <v>1794</v>
      </c>
      <c r="O804" s="28" t="str">
        <f>IFERROR(VLOOKUP(N804, 'SIC &amp; NAICS Codes'!A:B, 2, FALSE), "")</f>
        <v>Excavation Work</v>
      </c>
      <c r="S804" s="28">
        <v>2.4698140461428501E-4</v>
      </c>
      <c r="T804" s="315">
        <f>_xlfn.MAXIFS('Raw Period DMR Data'!$O:$O,'Raw Period DMR Data'!$A:$A,'Raw Annual DMR Data_2021-2024'!#REF!,'Raw Period DMR Data'!$C:$C,X804)/S804</f>
        <v>0</v>
      </c>
      <c r="U804" s="28" t="str">
        <f>+IF(COUNTIFS('Raw Period DMR Data'!$A:$A,B804,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04" s="28" t="str" cm="1">
        <f t="array" ref="V804">IFERROR(INDEX('Raw Period DMR Data'!N:N,MATCH(1,(B804='Raw Period DMR Data'!$A:$A)*(U804='Raw Period DMR Data'!M:M)*(X804='Raw Period DMR Data'!C:C),0),1), "N/A")</f>
        <v>N/A</v>
      </c>
      <c r="W804" s="28" t="s">
        <v>1463</v>
      </c>
      <c r="X804" s="28" t="s">
        <v>2136</v>
      </c>
      <c r="Y804" s="28" t="s">
        <v>1475</v>
      </c>
      <c r="Z804" s="61"/>
      <c r="AA804" s="60"/>
      <c r="AB804" s="28" t="s">
        <v>7355</v>
      </c>
      <c r="AC804" s="28" t="s">
        <v>1466</v>
      </c>
    </row>
    <row r="805" spans="1:29" s="28" customFormat="1" x14ac:dyDescent="0.25">
      <c r="A805" s="61">
        <v>110044852068</v>
      </c>
      <c r="B805" s="28">
        <v>2023</v>
      </c>
      <c r="C805" s="68">
        <f t="shared" si="12"/>
        <v>44927</v>
      </c>
      <c r="D805" s="28" t="s">
        <v>1301</v>
      </c>
      <c r="E805" s="28" t="s">
        <v>2137</v>
      </c>
      <c r="F805" s="28" t="s">
        <v>1302</v>
      </c>
      <c r="G805" s="28" t="s">
        <v>345</v>
      </c>
      <c r="H805" s="28">
        <v>622573438</v>
      </c>
      <c r="I805" s="28">
        <v>38.2774</v>
      </c>
      <c r="J805" s="28">
        <v>-89.666899999999998</v>
      </c>
      <c r="K805" s="28" t="s">
        <v>731</v>
      </c>
      <c r="L805" s="61">
        <v>110044852068</v>
      </c>
      <c r="M805" s="28" t="s">
        <v>265</v>
      </c>
      <c r="N805" s="28">
        <v>4911</v>
      </c>
      <c r="O805" s="28" t="str">
        <f>IFERROR(VLOOKUP(N805, 'SIC &amp; NAICS Codes'!A:B, 2, FALSE), "")</f>
        <v>Electric Services (hydroelectric power generation)</v>
      </c>
      <c r="S805" s="28">
        <v>2.4298261700000001</v>
      </c>
      <c r="T805" s="315">
        <f>_xlfn.MAXIFS('Raw Period DMR Data'!$O:$O,'Raw Period DMR Data'!$A:$A,'Raw Annual DMR Data_2021-2024'!#REF!,'Raw Period DMR Data'!$C:$C,X805)/S805</f>
        <v>0</v>
      </c>
      <c r="U805" s="28" t="str">
        <f>+IF(COUNTIFS('Raw Period DMR Data'!$A:$A,B805,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05" s="28" t="str" cm="1">
        <f t="array" ref="V805">IFERROR(INDEX('Raw Period DMR Data'!N:N,MATCH(1,(B805='Raw Period DMR Data'!$A:$A)*(U805='Raw Period DMR Data'!M:M)*(X805='Raw Period DMR Data'!C:C),0),1), "N/A")</f>
        <v>N/A</v>
      </c>
      <c r="W805" s="28" t="s">
        <v>1463</v>
      </c>
      <c r="X805" s="28" t="s">
        <v>2139</v>
      </c>
      <c r="Y805" s="28" t="s">
        <v>2140</v>
      </c>
      <c r="Z805" s="61" t="s">
        <v>2141</v>
      </c>
      <c r="AA805" s="60"/>
      <c r="AB805" s="28" t="s">
        <v>7355</v>
      </c>
      <c r="AC805" s="28" t="s">
        <v>1466</v>
      </c>
    </row>
    <row r="806" spans="1:29" s="28" customFormat="1" x14ac:dyDescent="0.25">
      <c r="A806" s="61">
        <v>110044852068</v>
      </c>
      <c r="B806" s="28">
        <v>2021</v>
      </c>
      <c r="C806" s="68">
        <f t="shared" si="12"/>
        <v>44197</v>
      </c>
      <c r="D806" s="28" t="s">
        <v>1301</v>
      </c>
      <c r="E806" s="28" t="s">
        <v>2137</v>
      </c>
      <c r="F806" s="28" t="s">
        <v>1302</v>
      </c>
      <c r="G806" s="28" t="s">
        <v>345</v>
      </c>
      <c r="H806" s="28">
        <v>622573438</v>
      </c>
      <c r="I806" s="28">
        <v>38.2774</v>
      </c>
      <c r="J806" s="28">
        <v>-89.666899999999998</v>
      </c>
      <c r="K806" s="28" t="s">
        <v>731</v>
      </c>
      <c r="L806" s="61">
        <v>110044852068</v>
      </c>
      <c r="M806" s="28" t="s">
        <v>265</v>
      </c>
      <c r="N806" s="28">
        <v>4911</v>
      </c>
      <c r="O806" s="28" t="str">
        <f>IFERROR(VLOOKUP(N806, 'SIC &amp; NAICS Codes'!A:B, 2, FALSE), "")</f>
        <v>Electric Services (hydroelectric power generation)</v>
      </c>
      <c r="S806" s="28">
        <v>1.3066463450000001</v>
      </c>
      <c r="T806" s="315">
        <f>_xlfn.MAXIFS('Raw Period DMR Data'!$O:$O,'Raw Period DMR Data'!$A:$A,'Raw Annual DMR Data_2021-2024'!#REF!,'Raw Period DMR Data'!$C:$C,X806)/S806</f>
        <v>0</v>
      </c>
      <c r="U806" s="28" t="str">
        <f>+IF(COUNTIFS('Raw Period DMR Data'!$A:$A,B806,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06" s="28" t="str" cm="1">
        <f t="array" ref="V806">IFERROR(INDEX('Raw Period DMR Data'!N:N,MATCH(1,(B806='Raw Period DMR Data'!$A:$A)*(U806='Raw Period DMR Data'!M:M)*(X806='Raw Period DMR Data'!C:C),0),1), "N/A")</f>
        <v>N/A</v>
      </c>
      <c r="W806" s="28" t="s">
        <v>1463</v>
      </c>
      <c r="X806" s="28" t="s">
        <v>2139</v>
      </c>
      <c r="Y806" s="28" t="s">
        <v>2140</v>
      </c>
      <c r="Z806" s="61">
        <v>7140204002294</v>
      </c>
      <c r="AB806" s="28" t="s">
        <v>7355</v>
      </c>
      <c r="AC806" s="28" t="s">
        <v>1466</v>
      </c>
    </row>
    <row r="807" spans="1:29" s="28" customFormat="1" x14ac:dyDescent="0.25">
      <c r="A807" s="61">
        <v>110044852068</v>
      </c>
      <c r="B807" s="28">
        <v>2024</v>
      </c>
      <c r="C807" s="68">
        <f t="shared" si="12"/>
        <v>45292</v>
      </c>
      <c r="D807" s="28" t="s">
        <v>1301</v>
      </c>
      <c r="E807" s="28" t="s">
        <v>2137</v>
      </c>
      <c r="F807" s="28" t="s">
        <v>1302</v>
      </c>
      <c r="G807" s="28" t="s">
        <v>345</v>
      </c>
      <c r="H807" s="28">
        <v>622573438</v>
      </c>
      <c r="I807" s="28">
        <v>38.2774</v>
      </c>
      <c r="J807" s="28">
        <v>-89.666899999999998</v>
      </c>
      <c r="K807" s="28" t="s">
        <v>731</v>
      </c>
      <c r="L807" s="61">
        <v>110044852068</v>
      </c>
      <c r="M807" s="28" t="s">
        <v>265</v>
      </c>
      <c r="N807" s="28">
        <v>4911</v>
      </c>
      <c r="O807" s="28" t="str">
        <f>IFERROR(VLOOKUP(N807, 'SIC &amp; NAICS Codes'!A:B, 2, FALSE), "")</f>
        <v>Electric Services (hydroelectric power generation)</v>
      </c>
      <c r="S807" s="28">
        <v>0.88445230500000005</v>
      </c>
      <c r="T807" s="315">
        <f>_xlfn.MAXIFS('Raw Period DMR Data'!$O:$O,'Raw Period DMR Data'!$A:$A,'Raw Annual DMR Data_2021-2024'!#REF!,'Raw Period DMR Data'!$C:$C,X807)/S807</f>
        <v>0</v>
      </c>
      <c r="U807" s="28" t="str">
        <f>+IF(COUNTIFS('Raw Period DMR Data'!$A:$A,B807,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07" s="28" t="str" cm="1">
        <f t="array" ref="V807">IFERROR(INDEX('Raw Period DMR Data'!N:N,MATCH(1,(B807='Raw Period DMR Data'!$A:$A)*(U807='Raw Period DMR Data'!M:M)*(X807='Raw Period DMR Data'!C:C),0),1), "N/A")</f>
        <v>N/A</v>
      </c>
      <c r="W807" s="28" t="s">
        <v>1463</v>
      </c>
      <c r="X807" s="28" t="s">
        <v>2139</v>
      </c>
      <c r="Y807" s="28" t="s">
        <v>2140</v>
      </c>
      <c r="Z807" s="61">
        <v>7140204002294</v>
      </c>
      <c r="AA807" s="60"/>
      <c r="AB807" s="28" t="s">
        <v>7355</v>
      </c>
      <c r="AC807" s="28" t="s">
        <v>1466</v>
      </c>
    </row>
    <row r="808" spans="1:29" s="28" customFormat="1" x14ac:dyDescent="0.25">
      <c r="A808" s="61">
        <v>110071501940</v>
      </c>
      <c r="B808" s="28">
        <v>2024</v>
      </c>
      <c r="C808" s="68">
        <f t="shared" si="12"/>
        <v>45292</v>
      </c>
      <c r="D808" s="28" t="s">
        <v>6882</v>
      </c>
      <c r="E808" s="28" t="s">
        <v>7056</v>
      </c>
      <c r="F808" s="28" t="s">
        <v>6991</v>
      </c>
      <c r="G808" s="28" t="s">
        <v>308</v>
      </c>
      <c r="H808" s="28">
        <v>2142</v>
      </c>
      <c r="I808" s="28">
        <v>42.365363000000002</v>
      </c>
      <c r="J808" s="28">
        <v>-71.087440999999998</v>
      </c>
      <c r="L808" s="61">
        <v>110071501940</v>
      </c>
      <c r="M808" s="28" t="s">
        <v>265</v>
      </c>
      <c r="N808" s="28">
        <v>4959</v>
      </c>
      <c r="O808" s="28" t="str">
        <f>IFERROR(VLOOKUP(N808, 'SIC &amp; NAICS Codes'!A:B, 2, FALSE), "")</f>
        <v>Sanitary Services, NEC (vacuuming of runways)</v>
      </c>
      <c r="S808" s="28">
        <v>5.374603955625E-2</v>
      </c>
      <c r="T808" s="315">
        <f>_xlfn.MAXIFS('Raw Period DMR Data'!$O:$O,'Raw Period DMR Data'!$A:$A,'Raw Annual DMR Data_2021-2024'!#REF!,'Raw Period DMR Data'!$C:$C,X808)/S808</f>
        <v>0</v>
      </c>
      <c r="U808" s="28" t="str">
        <f>+IF(COUNTIFS('Raw Period DMR Data'!$A:$A,B808,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08" s="28" t="str" cm="1">
        <f t="array" ref="V808">IFERROR(INDEX('Raw Period DMR Data'!N:N,MATCH(1,(B808='Raw Period DMR Data'!$A:$A)*(U808='Raw Period DMR Data'!M:M)*(X808='Raw Period DMR Data'!C:C),0),1), "N/A")</f>
        <v>N/A</v>
      </c>
      <c r="W808" s="28" t="s">
        <v>1463</v>
      </c>
      <c r="X808" s="28" t="s">
        <v>7208</v>
      </c>
      <c r="Y808" s="28" t="s">
        <v>7306</v>
      </c>
      <c r="Z808" s="61"/>
      <c r="AA808" s="60" t="s">
        <v>7355</v>
      </c>
      <c r="AB808" s="28" t="s">
        <v>7355</v>
      </c>
      <c r="AC808" s="28" t="s">
        <v>1466</v>
      </c>
    </row>
    <row r="809" spans="1:29" s="28" customFormat="1" x14ac:dyDescent="0.25">
      <c r="A809" s="61">
        <v>110041245015</v>
      </c>
      <c r="B809" s="28">
        <v>2022</v>
      </c>
      <c r="C809" s="68">
        <f t="shared" si="12"/>
        <v>44562</v>
      </c>
      <c r="D809" s="28" t="s">
        <v>1311</v>
      </c>
      <c r="E809" s="28" t="s">
        <v>2155</v>
      </c>
      <c r="F809" s="28" t="s">
        <v>1312</v>
      </c>
      <c r="G809" s="28" t="s">
        <v>506</v>
      </c>
      <c r="H809" s="28">
        <v>21157</v>
      </c>
      <c r="I809" s="28">
        <v>39.567390000000003</v>
      </c>
      <c r="J809" s="28">
        <v>-76.920410000000004</v>
      </c>
      <c r="L809" s="61">
        <v>110041245015</v>
      </c>
      <c r="M809" s="28" t="s">
        <v>265</v>
      </c>
      <c r="O809" s="28" t="str">
        <f>IFERROR(VLOOKUP(N809, 'SIC &amp; NAICS Codes'!A:B, 2, FALSE), "")</f>
        <v/>
      </c>
      <c r="S809" s="28">
        <v>1.0603204375E-3</v>
      </c>
      <c r="T809" s="315">
        <f>_xlfn.MAXIFS('Raw Period DMR Data'!$O:$O,'Raw Period DMR Data'!$A:$A,'Raw Annual DMR Data_2021-2024'!#REF!,'Raw Period DMR Data'!$C:$C,X809)/S809</f>
        <v>0</v>
      </c>
      <c r="U809" s="28" t="str">
        <f>+IF(COUNTIFS('Raw Period DMR Data'!$A:$A,B809,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09" s="28" t="str" cm="1">
        <f t="array" ref="V809">IFERROR(INDEX('Raw Period DMR Data'!N:N,MATCH(1,(B809='Raw Period DMR Data'!$A:$A)*(U809='Raw Period DMR Data'!M:M)*(X809='Raw Period DMR Data'!C:C),0),1), "N/A")</f>
        <v>N/A</v>
      </c>
      <c r="W809" s="28" t="s">
        <v>1463</v>
      </c>
      <c r="X809" s="28" t="s">
        <v>2156</v>
      </c>
      <c r="Z809" s="61">
        <v>2060003000267</v>
      </c>
      <c r="AA809" s="60"/>
      <c r="AB809" s="28" t="s">
        <v>7355</v>
      </c>
      <c r="AC809" s="28" t="s">
        <v>1466</v>
      </c>
    </row>
    <row r="810" spans="1:29" s="28" customFormat="1" x14ac:dyDescent="0.25">
      <c r="A810" s="61">
        <v>110041245015</v>
      </c>
      <c r="B810" s="28">
        <v>2022</v>
      </c>
      <c r="C810" s="68">
        <f t="shared" si="12"/>
        <v>44562</v>
      </c>
      <c r="D810" s="28" t="s">
        <v>1311</v>
      </c>
      <c r="E810" s="28" t="s">
        <v>2155</v>
      </c>
      <c r="F810" s="28" t="s">
        <v>1312</v>
      </c>
      <c r="G810" s="28" t="s">
        <v>506</v>
      </c>
      <c r="H810" s="28">
        <v>21157</v>
      </c>
      <c r="I810" s="28">
        <v>39.567390000000003</v>
      </c>
      <c r="J810" s="28">
        <v>-76.920410000000004</v>
      </c>
      <c r="L810" s="61">
        <v>110041245015</v>
      </c>
      <c r="M810" s="28" t="s">
        <v>265</v>
      </c>
      <c r="O810" s="28" t="str">
        <f>IFERROR(VLOOKUP(N810, 'SIC &amp; NAICS Codes'!A:B, 2, FALSE), "")</f>
        <v/>
      </c>
      <c r="S810" s="28">
        <v>1.0603204375E-3</v>
      </c>
      <c r="T810" s="315">
        <f>_xlfn.MAXIFS('Raw Period DMR Data'!$O:$O,'Raw Period DMR Data'!$A:$A,'Raw Annual DMR Data_2021-2024'!#REF!,'Raw Period DMR Data'!$C:$C,X810)/S810</f>
        <v>0</v>
      </c>
      <c r="U810" s="28" t="str">
        <f>+IF(COUNTIFS('Raw Period DMR Data'!$A:$A,B810,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10" s="28" t="str" cm="1">
        <f t="array" ref="V810">IFERROR(INDEX('Raw Period DMR Data'!N:N,MATCH(1,(B810='Raw Period DMR Data'!$A:$A)*(U810='Raw Period DMR Data'!M:M)*(X810='Raw Period DMR Data'!C:C),0),1), "N/A")</f>
        <v>N/A</v>
      </c>
      <c r="W810" s="28" t="s">
        <v>1463</v>
      </c>
      <c r="X810" s="28" t="s">
        <v>2156</v>
      </c>
      <c r="Z810" s="61">
        <v>2060003000267</v>
      </c>
      <c r="AA810" s="60"/>
      <c r="AB810" s="28" t="s">
        <v>7355</v>
      </c>
      <c r="AC810" s="28" t="s">
        <v>1466</v>
      </c>
    </row>
    <row r="811" spans="1:29" s="28" customFormat="1" x14ac:dyDescent="0.25">
      <c r="A811" s="61">
        <v>110041245015</v>
      </c>
      <c r="B811" s="28">
        <v>2023</v>
      </c>
      <c r="C811" s="68">
        <f t="shared" si="12"/>
        <v>44927</v>
      </c>
      <c r="D811" s="28" t="s">
        <v>1311</v>
      </c>
      <c r="E811" s="28" t="s">
        <v>2155</v>
      </c>
      <c r="F811" s="28" t="s">
        <v>1312</v>
      </c>
      <c r="G811" s="28" t="s">
        <v>506</v>
      </c>
      <c r="H811" s="28">
        <v>21157</v>
      </c>
      <c r="I811" s="28">
        <v>39.567390000000003</v>
      </c>
      <c r="J811" s="28">
        <v>-76.920410000000004</v>
      </c>
      <c r="L811" s="61">
        <v>110041245015</v>
      </c>
      <c r="M811" s="28" t="s">
        <v>265</v>
      </c>
      <c r="O811" s="28" t="str">
        <f>IFERROR(VLOOKUP(N811, 'SIC &amp; NAICS Codes'!A:B, 2, FALSE), "")</f>
        <v/>
      </c>
      <c r="S811" s="28">
        <v>1.0257823125000001E-3</v>
      </c>
      <c r="T811" s="315">
        <f>_xlfn.MAXIFS('Raw Period DMR Data'!$O:$O,'Raw Period DMR Data'!$A:$A,'Raw Annual DMR Data_2021-2024'!#REF!,'Raw Period DMR Data'!$C:$C,X811)/S811</f>
        <v>0</v>
      </c>
      <c r="U811" s="28" t="str">
        <f>+IF(COUNTIFS('Raw Period DMR Data'!$A:$A,B811,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11" s="28" t="str" cm="1">
        <f t="array" ref="V811">IFERROR(INDEX('Raw Period DMR Data'!N:N,MATCH(1,(B811='Raw Period DMR Data'!$A:$A)*(U811='Raw Period DMR Data'!M:M)*(X811='Raw Period DMR Data'!C:C),0),1), "N/A")</f>
        <v>N/A</v>
      </c>
      <c r="W811" s="28" t="s">
        <v>1463</v>
      </c>
      <c r="X811" s="28" t="s">
        <v>2156</v>
      </c>
      <c r="Z811" s="61" t="s">
        <v>2157</v>
      </c>
      <c r="AA811" s="60"/>
      <c r="AB811" s="28" t="s">
        <v>7355</v>
      </c>
      <c r="AC811" s="28" t="s">
        <v>1466</v>
      </c>
    </row>
    <row r="812" spans="1:29" s="28" customFormat="1" x14ac:dyDescent="0.25">
      <c r="A812" s="61">
        <v>110041245015</v>
      </c>
      <c r="B812" s="28">
        <v>2023</v>
      </c>
      <c r="C812" s="68">
        <f t="shared" si="12"/>
        <v>44927</v>
      </c>
      <c r="D812" s="28" t="s">
        <v>1311</v>
      </c>
      <c r="E812" s="28" t="s">
        <v>2155</v>
      </c>
      <c r="F812" s="28" t="s">
        <v>1312</v>
      </c>
      <c r="G812" s="28" t="s">
        <v>506</v>
      </c>
      <c r="H812" s="28">
        <v>21157</v>
      </c>
      <c r="I812" s="28">
        <v>39.567390000000003</v>
      </c>
      <c r="J812" s="28">
        <v>-76.920410000000004</v>
      </c>
      <c r="L812" s="61">
        <v>110041245015</v>
      </c>
      <c r="M812" s="28" t="s">
        <v>265</v>
      </c>
      <c r="O812" s="28" t="str">
        <f>IFERROR(VLOOKUP(N812, 'SIC &amp; NAICS Codes'!A:B, 2, FALSE), "")</f>
        <v/>
      </c>
      <c r="S812" s="28">
        <v>1.0257823125000001E-3</v>
      </c>
      <c r="T812" s="315">
        <f>_xlfn.MAXIFS('Raw Period DMR Data'!$O:$O,'Raw Period DMR Data'!$A:$A,'Raw Annual DMR Data_2021-2024'!#REF!,'Raw Period DMR Data'!$C:$C,X812)/S812</f>
        <v>0</v>
      </c>
      <c r="U812" s="28" t="str">
        <f>+IF(COUNTIFS('Raw Period DMR Data'!$A:$A,B812,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12" s="28" t="str" cm="1">
        <f t="array" ref="V812">IFERROR(INDEX('Raw Period DMR Data'!N:N,MATCH(1,(B812='Raw Period DMR Data'!$A:$A)*(U812='Raw Period DMR Data'!M:M)*(X812='Raw Period DMR Data'!C:C),0),1), "N/A")</f>
        <v>N/A</v>
      </c>
      <c r="W812" s="28" t="s">
        <v>1463</v>
      </c>
      <c r="X812" s="28" t="s">
        <v>2156</v>
      </c>
      <c r="Z812" s="61" t="s">
        <v>2157</v>
      </c>
      <c r="AA812" s="60"/>
      <c r="AB812" s="28" t="s">
        <v>7355</v>
      </c>
      <c r="AC812" s="28" t="s">
        <v>1466</v>
      </c>
    </row>
    <row r="813" spans="1:29" s="28" customFormat="1" x14ac:dyDescent="0.25">
      <c r="A813" s="61">
        <v>110041245015</v>
      </c>
      <c r="B813" s="28">
        <v>2024</v>
      </c>
      <c r="C813" s="68">
        <f t="shared" si="12"/>
        <v>45292</v>
      </c>
      <c r="D813" s="28" t="s">
        <v>1311</v>
      </c>
      <c r="E813" s="28" t="s">
        <v>2155</v>
      </c>
      <c r="F813" s="28" t="s">
        <v>1312</v>
      </c>
      <c r="G813" s="28" t="s">
        <v>506</v>
      </c>
      <c r="H813" s="28">
        <v>21157</v>
      </c>
      <c r="I813" s="28">
        <v>39.567390000000003</v>
      </c>
      <c r="J813" s="28">
        <v>-76.920410000000004</v>
      </c>
      <c r="L813" s="61">
        <v>110041245015</v>
      </c>
      <c r="M813" s="28" t="s">
        <v>265</v>
      </c>
      <c r="O813" s="28" t="str">
        <f>IFERROR(VLOOKUP(N813, 'SIC &amp; NAICS Codes'!A:B, 2, FALSE), "")</f>
        <v/>
      </c>
      <c r="S813" s="28">
        <v>9.8088275000000002E-4</v>
      </c>
      <c r="T813" s="315">
        <f>_xlfn.MAXIFS('Raw Period DMR Data'!$O:$O,'Raw Period DMR Data'!$A:$A,'Raw Annual DMR Data_2021-2024'!#REF!,'Raw Period DMR Data'!$C:$C,X813)/S813</f>
        <v>0</v>
      </c>
      <c r="U813" s="28" t="str">
        <f>+IF(COUNTIFS('Raw Period DMR Data'!$A:$A,B813,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13" s="28" t="str" cm="1">
        <f t="array" ref="V813">IFERROR(INDEX('Raw Period DMR Data'!N:N,MATCH(1,(B813='Raw Period DMR Data'!$A:$A)*(U813='Raw Period DMR Data'!M:M)*(X813='Raw Period DMR Data'!C:C),0),1), "N/A")</f>
        <v>N/A</v>
      </c>
      <c r="W813" s="28" t="s">
        <v>1463</v>
      </c>
      <c r="X813" s="28" t="s">
        <v>2156</v>
      </c>
      <c r="Z813" s="61">
        <v>2060003000267</v>
      </c>
      <c r="AA813" s="60"/>
      <c r="AB813" s="28" t="s">
        <v>7355</v>
      </c>
      <c r="AC813" s="28" t="s">
        <v>1466</v>
      </c>
    </row>
    <row r="814" spans="1:29" s="28" customFormat="1" x14ac:dyDescent="0.25">
      <c r="A814" s="61">
        <v>110041245015</v>
      </c>
      <c r="B814" s="28">
        <v>2024</v>
      </c>
      <c r="C814" s="68">
        <f t="shared" si="12"/>
        <v>45292</v>
      </c>
      <c r="D814" s="28" t="s">
        <v>1311</v>
      </c>
      <c r="E814" s="28" t="s">
        <v>2155</v>
      </c>
      <c r="F814" s="28" t="s">
        <v>1312</v>
      </c>
      <c r="G814" s="28" t="s">
        <v>506</v>
      </c>
      <c r="H814" s="28">
        <v>21157</v>
      </c>
      <c r="I814" s="28">
        <v>39.567390000000003</v>
      </c>
      <c r="J814" s="28">
        <v>-76.920410000000004</v>
      </c>
      <c r="L814" s="61">
        <v>110041245015</v>
      </c>
      <c r="M814" s="28" t="s">
        <v>265</v>
      </c>
      <c r="O814" s="28" t="str">
        <f>IFERROR(VLOOKUP(N814, 'SIC &amp; NAICS Codes'!A:B, 2, FALSE), "")</f>
        <v/>
      </c>
      <c r="S814" s="28">
        <v>9.8088275000000002E-4</v>
      </c>
      <c r="T814" s="315">
        <f>_xlfn.MAXIFS('Raw Period DMR Data'!$O:$O,'Raw Period DMR Data'!$A:$A,'Raw Annual DMR Data_2021-2024'!#REF!,'Raw Period DMR Data'!$C:$C,X814)/S814</f>
        <v>0</v>
      </c>
      <c r="U814" s="28" t="str">
        <f>+IF(COUNTIFS('Raw Period DMR Data'!$A:$A,B814,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14" s="28" t="str" cm="1">
        <f t="array" ref="V814">IFERROR(INDEX('Raw Period DMR Data'!N:N,MATCH(1,(B814='Raw Period DMR Data'!$A:$A)*(U814='Raw Period DMR Data'!M:M)*(X814='Raw Period DMR Data'!C:C),0),1), "N/A")</f>
        <v>N/A</v>
      </c>
      <c r="W814" s="28" t="s">
        <v>1463</v>
      </c>
      <c r="X814" s="28" t="s">
        <v>2156</v>
      </c>
      <c r="Z814" s="61">
        <v>2060003000267</v>
      </c>
      <c r="AA814" s="60"/>
      <c r="AB814" s="28" t="s">
        <v>7355</v>
      </c>
      <c r="AC814" s="28" t="s">
        <v>1466</v>
      </c>
    </row>
    <row r="815" spans="1:29" s="28" customFormat="1" x14ac:dyDescent="0.25">
      <c r="A815" s="61">
        <v>110041245015</v>
      </c>
      <c r="B815" s="28">
        <v>2021</v>
      </c>
      <c r="C815" s="68">
        <f t="shared" si="12"/>
        <v>44197</v>
      </c>
      <c r="D815" s="28" t="s">
        <v>1311</v>
      </c>
      <c r="E815" s="28" t="s">
        <v>2155</v>
      </c>
      <c r="F815" s="28" t="s">
        <v>1312</v>
      </c>
      <c r="G815" s="28" t="s">
        <v>506</v>
      </c>
      <c r="H815" s="28">
        <v>21157</v>
      </c>
      <c r="I815" s="28">
        <v>39.567390000000003</v>
      </c>
      <c r="J815" s="28">
        <v>-76.920410000000004</v>
      </c>
      <c r="L815" s="61">
        <v>110041245015</v>
      </c>
      <c r="M815" s="28" t="s">
        <v>265</v>
      </c>
      <c r="O815" s="28" t="str">
        <f>IFERROR(VLOOKUP(N815, 'SIC &amp; NAICS Codes'!A:B, 2, FALSE), "")</f>
        <v/>
      </c>
      <c r="S815" s="28">
        <v>7.3911587500000001E-4</v>
      </c>
      <c r="T815" s="315">
        <f>_xlfn.MAXIFS('Raw Period DMR Data'!$O:$O,'Raw Period DMR Data'!$A:$A,'Raw Annual DMR Data_2021-2024'!#REF!,'Raw Period DMR Data'!$C:$C,X815)/S815</f>
        <v>0</v>
      </c>
      <c r="U815" s="28" t="str">
        <f>+IF(COUNTIFS('Raw Period DMR Data'!$A:$A,B815,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15" s="28" t="str" cm="1">
        <f t="array" ref="V815">IFERROR(INDEX('Raw Period DMR Data'!N:N,MATCH(1,(B815='Raw Period DMR Data'!$A:$A)*(U815='Raw Period DMR Data'!M:M)*(X815='Raw Period DMR Data'!C:C),0),1), "N/A")</f>
        <v>N/A</v>
      </c>
      <c r="W815" s="28" t="s">
        <v>1463</v>
      </c>
      <c r="X815" s="28" t="s">
        <v>2156</v>
      </c>
      <c r="Z815" s="61">
        <v>2060003000267</v>
      </c>
      <c r="AB815" s="28" t="s">
        <v>7355</v>
      </c>
      <c r="AC815" s="28" t="s">
        <v>1466</v>
      </c>
    </row>
    <row r="816" spans="1:29" s="28" customFormat="1" x14ac:dyDescent="0.25">
      <c r="A816" s="61">
        <v>110041245015</v>
      </c>
      <c r="B816" s="28">
        <v>2021</v>
      </c>
      <c r="C816" s="68">
        <f t="shared" si="12"/>
        <v>44197</v>
      </c>
      <c r="D816" s="28" t="s">
        <v>1311</v>
      </c>
      <c r="E816" s="28" t="s">
        <v>2155</v>
      </c>
      <c r="F816" s="28" t="s">
        <v>1312</v>
      </c>
      <c r="G816" s="28" t="s">
        <v>506</v>
      </c>
      <c r="H816" s="28">
        <v>21157</v>
      </c>
      <c r="I816" s="28">
        <v>39.567390000000003</v>
      </c>
      <c r="J816" s="28">
        <v>-76.920410000000004</v>
      </c>
      <c r="L816" s="61">
        <v>110041245015</v>
      </c>
      <c r="M816" s="28" t="s">
        <v>265</v>
      </c>
      <c r="O816" s="28" t="str">
        <f>IFERROR(VLOOKUP(N816, 'SIC &amp; NAICS Codes'!A:B, 2, FALSE), "")</f>
        <v/>
      </c>
      <c r="S816" s="28">
        <v>7.3911587500000001E-4</v>
      </c>
      <c r="T816" s="315">
        <f>_xlfn.MAXIFS('Raw Period DMR Data'!$O:$O,'Raw Period DMR Data'!$A:$A,'Raw Annual DMR Data_2021-2024'!#REF!,'Raw Period DMR Data'!$C:$C,X816)/S816</f>
        <v>0</v>
      </c>
      <c r="U816" s="28" t="str">
        <f>+IF(COUNTIFS('Raw Period DMR Data'!$A:$A,B816,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16" s="28" t="str" cm="1">
        <f t="array" ref="V816">IFERROR(INDEX('Raw Period DMR Data'!N:N,MATCH(1,(B816='Raw Period DMR Data'!$A:$A)*(U816='Raw Period DMR Data'!M:M)*(X816='Raw Period DMR Data'!C:C),0),1), "N/A")</f>
        <v>N/A</v>
      </c>
      <c r="W816" s="28" t="s">
        <v>1463</v>
      </c>
      <c r="X816" s="28" t="s">
        <v>2156</v>
      </c>
      <c r="Z816" s="61">
        <v>2060003000267</v>
      </c>
      <c r="AB816" s="28" t="s">
        <v>7355</v>
      </c>
      <c r="AC816" s="28" t="s">
        <v>1466</v>
      </c>
    </row>
    <row r="817" spans="1:29" s="28" customFormat="1" x14ac:dyDescent="0.25">
      <c r="A817" s="61">
        <v>110064634686</v>
      </c>
      <c r="B817" s="28">
        <v>2023</v>
      </c>
      <c r="C817" s="68">
        <f t="shared" si="12"/>
        <v>44927</v>
      </c>
      <c r="D817" s="28" t="s">
        <v>1317</v>
      </c>
      <c r="E817" s="28" t="s">
        <v>2163</v>
      </c>
      <c r="F817" s="28" t="s">
        <v>1133</v>
      </c>
      <c r="G817" s="28" t="s">
        <v>491</v>
      </c>
      <c r="H817" s="28" t="s">
        <v>6950</v>
      </c>
      <c r="I817" s="28">
        <v>40.094276999999998</v>
      </c>
      <c r="J817" s="28">
        <v>-74.865442000000002</v>
      </c>
      <c r="L817" s="61">
        <v>110064634686</v>
      </c>
      <c r="M817" s="28" t="s">
        <v>265</v>
      </c>
      <c r="N817" s="28">
        <v>2821</v>
      </c>
      <c r="O817" s="28" t="str">
        <f>IFERROR(VLOOKUP(N817, 'SIC &amp; NAICS Codes'!A:B, 2, FALSE), "")</f>
        <v>Plastics Materials, Synthetic and Resins, and Nonvulcanizable Elastomers</v>
      </c>
      <c r="S817" s="28">
        <v>0.38862400000000002</v>
      </c>
      <c r="T817" s="315">
        <f>_xlfn.MAXIFS('Raw Period DMR Data'!$O:$O,'Raw Period DMR Data'!$A:$A,'Raw Annual DMR Data_2021-2024'!#REF!,'Raw Period DMR Data'!$C:$C,X817)/S817</f>
        <v>0</v>
      </c>
      <c r="U817" s="28" t="str">
        <f>+IF(COUNTIFS('Raw Period DMR Data'!$A:$A,B817,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17" s="28" t="str" cm="1">
        <f t="array" ref="V817">IFERROR(INDEX('Raw Period DMR Data'!N:N,MATCH(1,(B817='Raw Period DMR Data'!$A:$A)*(U817='Raw Period DMR Data'!M:M)*(X817='Raw Period DMR Data'!C:C),0),1), "N/A")</f>
        <v>N/A</v>
      </c>
      <c r="W817" s="28" t="s">
        <v>1463</v>
      </c>
      <c r="X817" s="28" t="s">
        <v>2164</v>
      </c>
      <c r="Y817" s="28" t="s">
        <v>2165</v>
      </c>
      <c r="Z817" s="61">
        <v>2040201000476</v>
      </c>
      <c r="AA817" s="60"/>
      <c r="AB817" s="28" t="s">
        <v>7355</v>
      </c>
      <c r="AC817" s="28" t="s">
        <v>1466</v>
      </c>
    </row>
    <row r="818" spans="1:29" s="28" customFormat="1" x14ac:dyDescent="0.25">
      <c r="A818" s="61">
        <v>110064634686</v>
      </c>
      <c r="B818" s="28">
        <v>2021</v>
      </c>
      <c r="C818" s="68">
        <f t="shared" si="12"/>
        <v>44197</v>
      </c>
      <c r="D818" s="28" t="s">
        <v>1317</v>
      </c>
      <c r="E818" s="28" t="s">
        <v>2163</v>
      </c>
      <c r="F818" s="28" t="s">
        <v>1133</v>
      </c>
      <c r="G818" s="28" t="s">
        <v>491</v>
      </c>
      <c r="H818" s="28" t="s">
        <v>6950</v>
      </c>
      <c r="I818" s="28">
        <v>40.094276999999998</v>
      </c>
      <c r="J818" s="28">
        <v>-74.865442000000002</v>
      </c>
      <c r="L818" s="61">
        <v>110064634686</v>
      </c>
      <c r="M818" s="28" t="s">
        <v>265</v>
      </c>
      <c r="N818" s="28">
        <v>2821</v>
      </c>
      <c r="O818" s="28" t="str">
        <f>IFERROR(VLOOKUP(N818, 'SIC &amp; NAICS Codes'!A:B, 2, FALSE), "")</f>
        <v>Plastics Materials, Synthetic and Resins, and Nonvulcanizable Elastomers</v>
      </c>
      <c r="S818" s="28">
        <v>0.3698284</v>
      </c>
      <c r="T818" s="315">
        <f>_xlfn.MAXIFS('Raw Period DMR Data'!$O:$O,'Raw Period DMR Data'!$A:$A,'Raw Annual DMR Data_2021-2024'!#REF!,'Raw Period DMR Data'!$C:$C,X818)/S818</f>
        <v>0</v>
      </c>
      <c r="U818" s="28" t="str">
        <f>+IF(COUNTIFS('Raw Period DMR Data'!$A:$A,B818,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18" s="28" t="str" cm="1">
        <f t="array" ref="V818">IFERROR(INDEX('Raw Period DMR Data'!N:N,MATCH(1,(B818='Raw Period DMR Data'!$A:$A)*(U818='Raw Period DMR Data'!M:M)*(X818='Raw Period DMR Data'!C:C),0),1), "N/A")</f>
        <v>N/A</v>
      </c>
      <c r="W818" s="28" t="s">
        <v>1463</v>
      </c>
      <c r="X818" s="28" t="s">
        <v>2164</v>
      </c>
      <c r="Y818" s="28" t="s">
        <v>2165</v>
      </c>
      <c r="Z818" s="61">
        <v>2040201000476</v>
      </c>
      <c r="AA818" s="60"/>
      <c r="AB818" s="28" t="s">
        <v>7355</v>
      </c>
      <c r="AC818" s="28" t="s">
        <v>1466</v>
      </c>
    </row>
    <row r="819" spans="1:29" s="28" customFormat="1" x14ac:dyDescent="0.25">
      <c r="A819" s="61">
        <v>110064634686</v>
      </c>
      <c r="B819" s="28">
        <v>2024</v>
      </c>
      <c r="C819" s="68">
        <f t="shared" si="12"/>
        <v>45292</v>
      </c>
      <c r="D819" s="28" t="s">
        <v>1317</v>
      </c>
      <c r="E819" s="28" t="s">
        <v>2163</v>
      </c>
      <c r="F819" s="28" t="s">
        <v>1133</v>
      </c>
      <c r="G819" s="28" t="s">
        <v>491</v>
      </c>
      <c r="H819" s="28" t="s">
        <v>6950</v>
      </c>
      <c r="I819" s="28">
        <v>40.094276999999998</v>
      </c>
      <c r="J819" s="28">
        <v>-74.865442000000002</v>
      </c>
      <c r="L819" s="61">
        <v>110064634686</v>
      </c>
      <c r="M819" s="28" t="s">
        <v>265</v>
      </c>
      <c r="N819" s="28">
        <v>2821</v>
      </c>
      <c r="O819" s="28" t="str">
        <f>IFERROR(VLOOKUP(N819, 'SIC &amp; NAICS Codes'!A:B, 2, FALSE), "")</f>
        <v>Plastics Materials, Synthetic and Resins, and Nonvulcanizable Elastomers</v>
      </c>
      <c r="S819" s="28">
        <v>0.35770659999999999</v>
      </c>
      <c r="T819" s="315">
        <f>_xlfn.MAXIFS('Raw Period DMR Data'!$O:$O,'Raw Period DMR Data'!$A:$A,'Raw Annual DMR Data_2021-2024'!#REF!,'Raw Period DMR Data'!$C:$C,X819)/S819</f>
        <v>0</v>
      </c>
      <c r="U819" s="28" t="str">
        <f>+IF(COUNTIFS('Raw Period DMR Data'!$A:$A,B819,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19" s="28" t="str" cm="1">
        <f t="array" ref="V819">IFERROR(INDEX('Raw Period DMR Data'!N:N,MATCH(1,(B819='Raw Period DMR Data'!$A:$A)*(U819='Raw Period DMR Data'!M:M)*(X819='Raw Period DMR Data'!C:C),0),1), "N/A")</f>
        <v>N/A</v>
      </c>
      <c r="W819" s="28" t="s">
        <v>1463</v>
      </c>
      <c r="X819" s="28" t="s">
        <v>2164</v>
      </c>
      <c r="Y819" s="28" t="s">
        <v>2165</v>
      </c>
      <c r="Z819" s="61">
        <v>2040201000476</v>
      </c>
      <c r="AA819" s="60"/>
      <c r="AB819" s="28" t="s">
        <v>7355</v>
      </c>
      <c r="AC819" s="28" t="s">
        <v>1466</v>
      </c>
    </row>
    <row r="820" spans="1:29" s="28" customFormat="1" x14ac:dyDescent="0.25">
      <c r="A820" s="61">
        <v>110064634686</v>
      </c>
      <c r="B820" s="28">
        <v>2022</v>
      </c>
      <c r="C820" s="68">
        <f t="shared" si="12"/>
        <v>44562</v>
      </c>
      <c r="D820" s="28" t="s">
        <v>1317</v>
      </c>
      <c r="E820" s="28" t="s">
        <v>2163</v>
      </c>
      <c r="F820" s="28" t="s">
        <v>1133</v>
      </c>
      <c r="G820" s="28" t="s">
        <v>491</v>
      </c>
      <c r="H820" s="28" t="s">
        <v>6950</v>
      </c>
      <c r="I820" s="28">
        <v>40.094276999999998</v>
      </c>
      <c r="J820" s="28">
        <v>-74.865442000000002</v>
      </c>
      <c r="L820" s="61">
        <v>110064634686</v>
      </c>
      <c r="M820" s="28" t="s">
        <v>265</v>
      </c>
      <c r="N820" s="28">
        <v>2821</v>
      </c>
      <c r="O820" s="28" t="str">
        <f>IFERROR(VLOOKUP(N820, 'SIC &amp; NAICS Codes'!A:B, 2, FALSE), "")</f>
        <v>Plastics Materials, Synthetic and Resins, and Nonvulcanizable Elastomers</v>
      </c>
      <c r="S820" s="28">
        <v>0.32921810000000001</v>
      </c>
      <c r="T820" s="315">
        <f>_xlfn.MAXIFS('Raw Period DMR Data'!$O:$O,'Raw Period DMR Data'!$A:$A,'Raw Annual DMR Data_2021-2024'!#REF!,'Raw Period DMR Data'!$C:$C,X820)/S820</f>
        <v>0</v>
      </c>
      <c r="U820" s="28" t="str">
        <f>+IF(COUNTIFS('Raw Period DMR Data'!$A:$A,B820,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20" s="28" t="str" cm="1">
        <f t="array" ref="V820">IFERROR(INDEX('Raw Period DMR Data'!N:N,MATCH(1,(B820='Raw Period DMR Data'!$A:$A)*(U820='Raw Period DMR Data'!M:M)*(X820='Raw Period DMR Data'!C:C),0),1), "N/A")</f>
        <v>N/A</v>
      </c>
      <c r="W820" s="28" t="s">
        <v>1463</v>
      </c>
      <c r="X820" s="28" t="s">
        <v>2164</v>
      </c>
      <c r="Y820" s="28" t="s">
        <v>2165</v>
      </c>
      <c r="Z820" s="61">
        <v>2040201000476</v>
      </c>
      <c r="AA820" s="60"/>
      <c r="AB820" s="28" t="s">
        <v>7355</v>
      </c>
      <c r="AC820" s="28" t="s">
        <v>1466</v>
      </c>
    </row>
    <row r="821" spans="1:29" s="28" customFormat="1" x14ac:dyDescent="0.25">
      <c r="A821" s="61">
        <v>110000324391</v>
      </c>
      <c r="B821" s="28">
        <v>2021</v>
      </c>
      <c r="C821" s="68">
        <f t="shared" si="12"/>
        <v>44197</v>
      </c>
      <c r="D821" s="28" t="s">
        <v>6805</v>
      </c>
      <c r="E821" s="28" t="s">
        <v>6959</v>
      </c>
      <c r="F821" s="28" t="s">
        <v>1324</v>
      </c>
      <c r="G821" s="28" t="s">
        <v>450</v>
      </c>
      <c r="H821" s="28">
        <v>12158</v>
      </c>
      <c r="I821" s="28">
        <v>42.575806</v>
      </c>
      <c r="J821" s="28">
        <v>-73.859943999999999</v>
      </c>
      <c r="L821" s="61">
        <v>110000324391</v>
      </c>
      <c r="M821" s="28" t="s">
        <v>265</v>
      </c>
      <c r="N821" s="28">
        <v>2821</v>
      </c>
      <c r="O821" s="28" t="str">
        <f>IFERROR(VLOOKUP(N821, 'SIC &amp; NAICS Codes'!A:B, 2, FALSE), "")</f>
        <v>Plastics Materials, Synthetic and Resins, and Nonvulcanizable Elastomers</v>
      </c>
      <c r="S821" s="28">
        <v>0.82855000000000001</v>
      </c>
      <c r="T821" s="315">
        <f>_xlfn.MAXIFS('Raw Period DMR Data'!$O:$O,'Raw Period DMR Data'!$A:$A,'Raw Annual DMR Data_2021-2024'!#REF!,'Raw Period DMR Data'!$C:$C,X821)/S821</f>
        <v>0</v>
      </c>
      <c r="U821" s="28" t="str">
        <f>+IF(COUNTIFS('Raw Period DMR Data'!$A:$A,B821,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21" s="28" t="str" cm="1">
        <f t="array" ref="V821">IFERROR(INDEX('Raw Period DMR Data'!N:N,MATCH(1,(B821='Raw Period DMR Data'!$A:$A)*(U821='Raw Period DMR Data'!M:M)*(X821='Raw Period DMR Data'!C:C),0),1), "N/A")</f>
        <v>N/A</v>
      </c>
      <c r="W821" s="28" t="s">
        <v>1463</v>
      </c>
      <c r="X821" s="28" t="s">
        <v>2176</v>
      </c>
      <c r="Y821" s="28" t="s">
        <v>2177</v>
      </c>
      <c r="Z821" s="61">
        <v>2020006000238</v>
      </c>
      <c r="AA821" s="60"/>
      <c r="AB821" s="28" t="s">
        <v>7355</v>
      </c>
      <c r="AC821" s="28" t="s">
        <v>1466</v>
      </c>
    </row>
    <row r="822" spans="1:29" s="28" customFormat="1" x14ac:dyDescent="0.25">
      <c r="A822" s="61">
        <v>110000324391</v>
      </c>
      <c r="B822" s="28">
        <v>2022</v>
      </c>
      <c r="C822" s="68">
        <f t="shared" si="12"/>
        <v>44562</v>
      </c>
      <c r="D822" s="28" t="s">
        <v>6805</v>
      </c>
      <c r="E822" s="28" t="s">
        <v>6959</v>
      </c>
      <c r="F822" s="28" t="s">
        <v>1324</v>
      </c>
      <c r="G822" s="28" t="s">
        <v>450</v>
      </c>
      <c r="H822" s="28">
        <v>12158</v>
      </c>
      <c r="I822" s="28">
        <v>42.575806</v>
      </c>
      <c r="J822" s="28">
        <v>-73.859943999999999</v>
      </c>
      <c r="L822" s="61">
        <v>110000324391</v>
      </c>
      <c r="M822" s="28" t="s">
        <v>265</v>
      </c>
      <c r="N822" s="28">
        <v>2821</v>
      </c>
      <c r="O822" s="28" t="str">
        <f>IFERROR(VLOOKUP(N822, 'SIC &amp; NAICS Codes'!A:B, 2, FALSE), "")</f>
        <v>Plastics Materials, Synthetic and Resins, and Nonvulcanizable Elastomers</v>
      </c>
      <c r="S822" s="28">
        <v>0.82855000000000001</v>
      </c>
      <c r="T822" s="315">
        <f>_xlfn.MAXIFS('Raw Period DMR Data'!$O:$O,'Raw Period DMR Data'!$A:$A,'Raw Annual DMR Data_2021-2024'!#REF!,'Raw Period DMR Data'!$C:$C,X822)/S822</f>
        <v>0</v>
      </c>
      <c r="U822" s="28" t="str">
        <f>+IF(COUNTIFS('Raw Period DMR Data'!$A:$A,B822,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22" s="28" t="str" cm="1">
        <f t="array" ref="V822">IFERROR(INDEX('Raw Period DMR Data'!N:N,MATCH(1,(B822='Raw Period DMR Data'!$A:$A)*(U822='Raw Period DMR Data'!M:M)*(X822='Raw Period DMR Data'!C:C),0),1), "N/A")</f>
        <v>N/A</v>
      </c>
      <c r="W822" s="28" t="s">
        <v>1463</v>
      </c>
      <c r="X822" s="28" t="s">
        <v>2176</v>
      </c>
      <c r="Y822" s="28" t="s">
        <v>2177</v>
      </c>
      <c r="Z822" s="61">
        <v>2020006000238</v>
      </c>
      <c r="AA822" s="60"/>
      <c r="AB822" s="28" t="s">
        <v>7355</v>
      </c>
      <c r="AC822" s="28" t="s">
        <v>1466</v>
      </c>
    </row>
    <row r="823" spans="1:29" s="28" customFormat="1" x14ac:dyDescent="0.25">
      <c r="A823" s="61">
        <v>110000324391</v>
      </c>
      <c r="B823" s="28">
        <v>2023</v>
      </c>
      <c r="C823" s="68">
        <f t="shared" si="12"/>
        <v>44927</v>
      </c>
      <c r="D823" s="28" t="s">
        <v>6805</v>
      </c>
      <c r="E823" s="28" t="s">
        <v>6959</v>
      </c>
      <c r="F823" s="28" t="s">
        <v>1324</v>
      </c>
      <c r="G823" s="28" t="s">
        <v>450</v>
      </c>
      <c r="H823" s="28">
        <v>12158</v>
      </c>
      <c r="I823" s="28">
        <v>42.575806</v>
      </c>
      <c r="J823" s="28">
        <v>-73.859943999999999</v>
      </c>
      <c r="L823" s="61">
        <v>110000324391</v>
      </c>
      <c r="M823" s="28" t="s">
        <v>265</v>
      </c>
      <c r="N823" s="28">
        <v>2821</v>
      </c>
      <c r="O823" s="28" t="str">
        <f>IFERROR(VLOOKUP(N823, 'SIC &amp; NAICS Codes'!A:B, 2, FALSE), "")</f>
        <v>Plastics Materials, Synthetic and Resins, and Nonvulcanizable Elastomers</v>
      </c>
      <c r="S823" s="28">
        <v>0.82855000000000001</v>
      </c>
      <c r="T823" s="315">
        <f>_xlfn.MAXIFS('Raw Period DMR Data'!$O:$O,'Raw Period DMR Data'!$A:$A,'Raw Annual DMR Data_2021-2024'!#REF!,'Raw Period DMR Data'!$C:$C,X823)/S823</f>
        <v>0</v>
      </c>
      <c r="U823" s="28" t="str">
        <f>+IF(COUNTIFS('Raw Period DMR Data'!$A:$A,B823,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23" s="28" t="str" cm="1">
        <f t="array" ref="V823">IFERROR(INDEX('Raw Period DMR Data'!N:N,MATCH(1,(B823='Raw Period DMR Data'!$A:$A)*(U823='Raw Period DMR Data'!M:M)*(X823='Raw Period DMR Data'!C:C),0),1), "N/A")</f>
        <v>N/A</v>
      </c>
      <c r="W823" s="28" t="s">
        <v>1463</v>
      </c>
      <c r="X823" s="28" t="s">
        <v>2176</v>
      </c>
      <c r="Y823" s="28" t="s">
        <v>2177</v>
      </c>
      <c r="Z823" s="61" t="s">
        <v>2178</v>
      </c>
      <c r="AA823" s="60"/>
      <c r="AB823" s="28" t="s">
        <v>7355</v>
      </c>
      <c r="AC823" s="28" t="s">
        <v>1466</v>
      </c>
    </row>
    <row r="824" spans="1:29" s="28" customFormat="1" x14ac:dyDescent="0.25">
      <c r="A824" s="61">
        <v>110000324391</v>
      </c>
      <c r="B824" s="28">
        <v>2024</v>
      </c>
      <c r="C824" s="68">
        <f t="shared" si="12"/>
        <v>45292</v>
      </c>
      <c r="D824" s="28" t="s">
        <v>6805</v>
      </c>
      <c r="E824" s="28" t="s">
        <v>6959</v>
      </c>
      <c r="F824" s="28" t="s">
        <v>1324</v>
      </c>
      <c r="G824" s="28" t="s">
        <v>450</v>
      </c>
      <c r="H824" s="28">
        <v>12158</v>
      </c>
      <c r="I824" s="28">
        <v>42.575806</v>
      </c>
      <c r="J824" s="28">
        <v>-73.859943999999999</v>
      </c>
      <c r="L824" s="61">
        <v>110000324391</v>
      </c>
      <c r="M824" s="28" t="s">
        <v>265</v>
      </c>
      <c r="N824" s="28">
        <v>2821</v>
      </c>
      <c r="O824" s="28" t="str">
        <f>IFERROR(VLOOKUP(N824, 'SIC &amp; NAICS Codes'!A:B, 2, FALSE), "")</f>
        <v>Plastics Materials, Synthetic and Resins, and Nonvulcanizable Elastomers</v>
      </c>
      <c r="S824" s="28">
        <v>0.62311499999999997</v>
      </c>
      <c r="T824" s="315">
        <f>_xlfn.MAXIFS('Raw Period DMR Data'!$O:$O,'Raw Period DMR Data'!$A:$A,'Raw Annual DMR Data_2021-2024'!#REF!,'Raw Period DMR Data'!$C:$C,X824)/S824</f>
        <v>0</v>
      </c>
      <c r="U824" s="28" t="str">
        <f>+IF(COUNTIFS('Raw Period DMR Data'!$A:$A,B824,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24" s="28" t="str" cm="1">
        <f t="array" ref="V824">IFERROR(INDEX('Raw Period DMR Data'!N:N,MATCH(1,(B824='Raw Period DMR Data'!$A:$A)*(U824='Raw Period DMR Data'!M:M)*(X824='Raw Period DMR Data'!C:C),0),1), "N/A")</f>
        <v>N/A</v>
      </c>
      <c r="W824" s="28" t="s">
        <v>1463</v>
      </c>
      <c r="X824" s="28" t="s">
        <v>2176</v>
      </c>
      <c r="Y824" s="28" t="s">
        <v>2177</v>
      </c>
      <c r="Z824" s="61">
        <v>2020006000238</v>
      </c>
      <c r="AA824" s="60"/>
      <c r="AB824" s="28" t="s">
        <v>7355</v>
      </c>
      <c r="AC824" s="28" t="s">
        <v>1466</v>
      </c>
    </row>
    <row r="825" spans="1:29" s="28" customFormat="1" x14ac:dyDescent="0.25">
      <c r="A825" s="61">
        <v>110000324391</v>
      </c>
      <c r="B825" s="28">
        <v>2024</v>
      </c>
      <c r="C825" s="68">
        <f t="shared" si="12"/>
        <v>45292</v>
      </c>
      <c r="D825" s="28" t="s">
        <v>6805</v>
      </c>
      <c r="E825" s="28" t="s">
        <v>6959</v>
      </c>
      <c r="F825" s="28" t="s">
        <v>1324</v>
      </c>
      <c r="G825" s="28" t="s">
        <v>450</v>
      </c>
      <c r="H825" s="28">
        <v>12158</v>
      </c>
      <c r="I825" s="28">
        <v>42.575806</v>
      </c>
      <c r="J825" s="28">
        <v>-73.859943999999999</v>
      </c>
      <c r="L825" s="61">
        <v>110000324391</v>
      </c>
      <c r="M825" s="28" t="s">
        <v>265</v>
      </c>
      <c r="N825" s="28">
        <v>2821</v>
      </c>
      <c r="O825" s="28" t="str">
        <f>IFERROR(VLOOKUP(N825, 'SIC &amp; NAICS Codes'!A:B, 2, FALSE), "")</f>
        <v>Plastics Materials, Synthetic and Resins, and Nonvulcanizable Elastomers</v>
      </c>
      <c r="S825" s="28">
        <v>0.20611599999999999</v>
      </c>
      <c r="T825" s="315">
        <f>_xlfn.MAXIFS('Raw Period DMR Data'!$O:$O,'Raw Period DMR Data'!$A:$A,'Raw Annual DMR Data_2021-2024'!#REF!,'Raw Period DMR Data'!$C:$C,X825)/S825</f>
        <v>0</v>
      </c>
      <c r="U825" s="28" t="str">
        <f>+IF(COUNTIFS('Raw Period DMR Data'!$A:$A,B825,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25" s="28" t="str" cm="1">
        <f t="array" ref="V825">IFERROR(INDEX('Raw Period DMR Data'!N:N,MATCH(1,(B825='Raw Period DMR Data'!$A:$A)*(U825='Raw Period DMR Data'!M:M)*(X825='Raw Period DMR Data'!C:C),0),1), "N/A")</f>
        <v>N/A</v>
      </c>
      <c r="W825" s="28" t="s">
        <v>1463</v>
      </c>
      <c r="X825" s="28" t="s">
        <v>2176</v>
      </c>
      <c r="Y825" s="28" t="s">
        <v>2177</v>
      </c>
      <c r="Z825" s="61">
        <v>2020006000238</v>
      </c>
      <c r="AA825" s="60"/>
      <c r="AB825" s="28" t="s">
        <v>7355</v>
      </c>
      <c r="AC825" s="28" t="s">
        <v>1466</v>
      </c>
    </row>
    <row r="826" spans="1:29" s="28" customFormat="1" x14ac:dyDescent="0.25">
      <c r="A826" s="61">
        <v>110000324391</v>
      </c>
      <c r="B826" s="28">
        <v>2021</v>
      </c>
      <c r="C826" s="68">
        <f t="shared" si="12"/>
        <v>44197</v>
      </c>
      <c r="D826" s="28" t="s">
        <v>6805</v>
      </c>
      <c r="E826" s="28" t="s">
        <v>6959</v>
      </c>
      <c r="F826" s="28" t="s">
        <v>1324</v>
      </c>
      <c r="G826" s="28" t="s">
        <v>450</v>
      </c>
      <c r="H826" s="28">
        <v>12158</v>
      </c>
      <c r="I826" s="28">
        <v>42.575806</v>
      </c>
      <c r="J826" s="28">
        <v>-73.859943999999999</v>
      </c>
      <c r="L826" s="61">
        <v>110000324391</v>
      </c>
      <c r="M826" s="28" t="s">
        <v>265</v>
      </c>
      <c r="N826" s="28">
        <v>2821</v>
      </c>
      <c r="O826" s="28" t="str">
        <f>IFERROR(VLOOKUP(N826, 'SIC &amp; NAICS Codes'!A:B, 2, FALSE), "")</f>
        <v>Plastics Materials, Synthetic and Resins, and Nonvulcanizable Elastomers</v>
      </c>
      <c r="S826" s="28">
        <v>0.123942</v>
      </c>
      <c r="T826" s="315">
        <f>_xlfn.MAXIFS('Raw Period DMR Data'!$O:$O,'Raw Period DMR Data'!$A:$A,'Raw Annual DMR Data_2021-2024'!#REF!,'Raw Period DMR Data'!$C:$C,X826)/S826</f>
        <v>0</v>
      </c>
      <c r="U826" s="28" t="str">
        <f>+IF(COUNTIFS('Raw Period DMR Data'!$A:$A,B826,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26" s="28" t="str" cm="1">
        <f t="array" ref="V826">IFERROR(INDEX('Raw Period DMR Data'!N:N,MATCH(1,(B826='Raw Period DMR Data'!$A:$A)*(U826='Raw Period DMR Data'!M:M)*(X826='Raw Period DMR Data'!C:C),0),1), "N/A")</f>
        <v>N/A</v>
      </c>
      <c r="W826" s="28" t="s">
        <v>1463</v>
      </c>
      <c r="X826" s="28" t="s">
        <v>2176</v>
      </c>
      <c r="Y826" s="28" t="s">
        <v>2177</v>
      </c>
      <c r="Z826" s="61">
        <v>2020006000238</v>
      </c>
      <c r="AB826" s="28" t="s">
        <v>7355</v>
      </c>
      <c r="AC826" s="28" t="s">
        <v>1466</v>
      </c>
    </row>
    <row r="827" spans="1:29" s="28" customFormat="1" x14ac:dyDescent="0.25">
      <c r="A827" s="61">
        <v>110000324391</v>
      </c>
      <c r="B827" s="28">
        <v>2023</v>
      </c>
      <c r="C827" s="68">
        <f t="shared" si="12"/>
        <v>44927</v>
      </c>
      <c r="D827" s="28" t="s">
        <v>6805</v>
      </c>
      <c r="E827" s="28" t="s">
        <v>6959</v>
      </c>
      <c r="F827" s="28" t="s">
        <v>1324</v>
      </c>
      <c r="G827" s="28" t="s">
        <v>450</v>
      </c>
      <c r="H827" s="28">
        <v>12158</v>
      </c>
      <c r="I827" s="28">
        <v>42.575806</v>
      </c>
      <c r="J827" s="28">
        <v>-73.859943999999999</v>
      </c>
      <c r="L827" s="61">
        <v>110000324391</v>
      </c>
      <c r="M827" s="28" t="s">
        <v>265</v>
      </c>
      <c r="N827" s="28">
        <v>2821</v>
      </c>
      <c r="O827" s="28" t="str">
        <f>IFERROR(VLOOKUP(N827, 'SIC &amp; NAICS Codes'!A:B, 2, FALSE), "")</f>
        <v>Plastics Materials, Synthetic and Resins, and Nonvulcanizable Elastomers</v>
      </c>
      <c r="S827" s="28">
        <v>0.123942</v>
      </c>
      <c r="T827" s="315">
        <f>_xlfn.MAXIFS('Raw Period DMR Data'!$O:$O,'Raw Period DMR Data'!$A:$A,'Raw Annual DMR Data_2021-2024'!#REF!,'Raw Period DMR Data'!$C:$C,X827)/S827</f>
        <v>0</v>
      </c>
      <c r="U827" s="28" t="str">
        <f>+IF(COUNTIFS('Raw Period DMR Data'!$A:$A,B827,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27" s="28" t="str" cm="1">
        <f t="array" ref="V827">IFERROR(INDEX('Raw Period DMR Data'!N:N,MATCH(1,(B827='Raw Period DMR Data'!$A:$A)*(U827='Raw Period DMR Data'!M:M)*(X827='Raw Period DMR Data'!C:C),0),1), "N/A")</f>
        <v>N/A</v>
      </c>
      <c r="W827" s="28" t="s">
        <v>1463</v>
      </c>
      <c r="X827" s="28" t="s">
        <v>2176</v>
      </c>
      <c r="Y827" s="28" t="s">
        <v>2177</v>
      </c>
      <c r="Z827" s="61" t="s">
        <v>2178</v>
      </c>
      <c r="AA827" s="60"/>
      <c r="AB827" s="28" t="s">
        <v>7355</v>
      </c>
      <c r="AC827" s="28" t="s">
        <v>1466</v>
      </c>
    </row>
    <row r="828" spans="1:29" s="28" customFormat="1" x14ac:dyDescent="0.25">
      <c r="A828" s="61">
        <v>110000324391</v>
      </c>
      <c r="B828" s="28">
        <v>2022</v>
      </c>
      <c r="C828" s="68">
        <f t="shared" si="12"/>
        <v>44562</v>
      </c>
      <c r="D828" s="28" t="s">
        <v>6805</v>
      </c>
      <c r="E828" s="28" t="s">
        <v>6959</v>
      </c>
      <c r="F828" s="28" t="s">
        <v>1324</v>
      </c>
      <c r="G828" s="28" t="s">
        <v>450</v>
      </c>
      <c r="H828" s="28">
        <v>12158</v>
      </c>
      <c r="I828" s="28">
        <v>42.575806</v>
      </c>
      <c r="J828" s="28">
        <v>-73.859943999999999</v>
      </c>
      <c r="L828" s="61">
        <v>110000324391</v>
      </c>
      <c r="M828" s="28" t="s">
        <v>265</v>
      </c>
      <c r="N828" s="28">
        <v>2821</v>
      </c>
      <c r="O828" s="28" t="str">
        <f>IFERROR(VLOOKUP(N828, 'SIC &amp; NAICS Codes'!A:B, 2, FALSE), "")</f>
        <v>Plastics Materials, Synthetic and Resins, and Nonvulcanizable Elastomers</v>
      </c>
      <c r="S828" s="28">
        <v>8.2854999999999998E-2</v>
      </c>
      <c r="T828" s="315">
        <f>_xlfn.MAXIFS('Raw Period DMR Data'!$O:$O,'Raw Period DMR Data'!$A:$A,'Raw Annual DMR Data_2021-2024'!#REF!,'Raw Period DMR Data'!$C:$C,X828)/S828</f>
        <v>0</v>
      </c>
      <c r="U828" s="28" t="str">
        <f>+IF(COUNTIFS('Raw Period DMR Data'!$A:$A,B828,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28" s="28" t="str" cm="1">
        <f t="array" ref="V828">IFERROR(INDEX('Raw Period DMR Data'!N:N,MATCH(1,(B828='Raw Period DMR Data'!$A:$A)*(U828='Raw Period DMR Data'!M:M)*(X828='Raw Period DMR Data'!C:C),0),1), "N/A")</f>
        <v>N/A</v>
      </c>
      <c r="W828" s="28" t="s">
        <v>1463</v>
      </c>
      <c r="X828" s="28" t="s">
        <v>2176</v>
      </c>
      <c r="Y828" s="28" t="s">
        <v>2177</v>
      </c>
      <c r="Z828" s="61">
        <v>2020006000238</v>
      </c>
      <c r="AA828" s="60"/>
      <c r="AB828" s="28" t="s">
        <v>7355</v>
      </c>
      <c r="AC828" s="28" t="s">
        <v>1466</v>
      </c>
    </row>
    <row r="829" spans="1:29" s="28" customFormat="1" x14ac:dyDescent="0.25">
      <c r="A829" s="61">
        <v>110006522735</v>
      </c>
      <c r="B829" s="28">
        <v>2021</v>
      </c>
      <c r="C829" s="68">
        <f t="shared" si="12"/>
        <v>44197</v>
      </c>
      <c r="D829" s="28" t="s">
        <v>1332</v>
      </c>
      <c r="E829" s="28" t="s">
        <v>2189</v>
      </c>
      <c r="F829" s="28" t="s">
        <v>1333</v>
      </c>
      <c r="G829" s="28" t="s">
        <v>491</v>
      </c>
      <c r="H829" s="28">
        <v>18370</v>
      </c>
      <c r="I829" s="28">
        <v>41.094749999999998</v>
      </c>
      <c r="J829" s="28">
        <v>-75.326319999999996</v>
      </c>
      <c r="K829" s="28" t="s">
        <v>733</v>
      </c>
      <c r="L829" s="61">
        <v>110006522735</v>
      </c>
      <c r="M829" s="28" t="s">
        <v>265</v>
      </c>
      <c r="N829" s="28">
        <v>2834</v>
      </c>
      <c r="O829" s="28" t="str">
        <f>IFERROR(VLOOKUP(N829, 'SIC &amp; NAICS Codes'!A:B, 2, FALSE), "")</f>
        <v xml:space="preserve">Pharmaceutical Preparations </v>
      </c>
      <c r="S829" s="28">
        <v>2.07478E-2</v>
      </c>
      <c r="T829" s="315">
        <f>_xlfn.MAXIFS('Raw Period DMR Data'!$O:$O,'Raw Period DMR Data'!$A:$A,'Raw Annual DMR Data_2021-2024'!#REF!,'Raw Period DMR Data'!$C:$C,X829)/S829</f>
        <v>0</v>
      </c>
      <c r="U829" s="28" t="str">
        <f>+IF(COUNTIFS('Raw Period DMR Data'!$A:$A,B829,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29" s="28" t="str" cm="1">
        <f t="array" ref="V829">IFERROR(INDEX('Raw Period DMR Data'!N:N,MATCH(1,(B829='Raw Period DMR Data'!$A:$A)*(U829='Raw Period DMR Data'!M:M)*(X829='Raw Period DMR Data'!C:C),0),1), "N/A")</f>
        <v>N/A</v>
      </c>
      <c r="W829" s="28" t="s">
        <v>1463</v>
      </c>
      <c r="X829" s="28" t="s">
        <v>2190</v>
      </c>
      <c r="Y829" s="28" t="s">
        <v>2191</v>
      </c>
      <c r="Z829" s="61">
        <v>2040104000718</v>
      </c>
      <c r="AB829" s="28" t="s">
        <v>7355</v>
      </c>
      <c r="AC829" s="28" t="s">
        <v>1466</v>
      </c>
    </row>
    <row r="830" spans="1:29" s="28" customFormat="1" x14ac:dyDescent="0.25">
      <c r="A830" s="61">
        <v>110006522735</v>
      </c>
      <c r="B830" s="28">
        <v>2022</v>
      </c>
      <c r="C830" s="68">
        <f t="shared" si="12"/>
        <v>44562</v>
      </c>
      <c r="D830" s="28" t="s">
        <v>1332</v>
      </c>
      <c r="E830" s="28" t="s">
        <v>2189</v>
      </c>
      <c r="F830" s="28" t="s">
        <v>1333</v>
      </c>
      <c r="G830" s="28" t="s">
        <v>491</v>
      </c>
      <c r="H830" s="28">
        <v>18370</v>
      </c>
      <c r="I830" s="28">
        <v>41.094749999999998</v>
      </c>
      <c r="J830" s="28">
        <v>-75.326319999999996</v>
      </c>
      <c r="K830" s="28" t="s">
        <v>733</v>
      </c>
      <c r="L830" s="61">
        <v>110006522735</v>
      </c>
      <c r="M830" s="28" t="s">
        <v>265</v>
      </c>
      <c r="N830" s="28">
        <v>2834</v>
      </c>
      <c r="O830" s="28" t="str">
        <f>IFERROR(VLOOKUP(N830, 'SIC &amp; NAICS Codes'!A:B, 2, FALSE), "")</f>
        <v xml:space="preserve">Pharmaceutical Preparations </v>
      </c>
      <c r="S830" s="28">
        <v>2.0679699999999999E-2</v>
      </c>
      <c r="T830" s="315">
        <f>_xlfn.MAXIFS('Raw Period DMR Data'!$O:$O,'Raw Period DMR Data'!$A:$A,'Raw Annual DMR Data_2021-2024'!#REF!,'Raw Period DMR Data'!$C:$C,X830)/S830</f>
        <v>0</v>
      </c>
      <c r="U830" s="28" t="str">
        <f>+IF(COUNTIFS('Raw Period DMR Data'!$A:$A,B830,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30" s="28" t="str" cm="1">
        <f t="array" ref="V830">IFERROR(INDEX('Raw Period DMR Data'!N:N,MATCH(1,(B830='Raw Period DMR Data'!$A:$A)*(U830='Raw Period DMR Data'!M:M)*(X830='Raw Period DMR Data'!C:C),0),1), "N/A")</f>
        <v>N/A</v>
      </c>
      <c r="W830" s="28" t="s">
        <v>1463</v>
      </c>
      <c r="X830" s="28" t="s">
        <v>2190</v>
      </c>
      <c r="Y830" s="28" t="s">
        <v>2191</v>
      </c>
      <c r="Z830" s="61">
        <v>2040104000718</v>
      </c>
      <c r="AA830" s="60"/>
      <c r="AB830" s="28" t="s">
        <v>7355</v>
      </c>
      <c r="AC830" s="28" t="s">
        <v>1466</v>
      </c>
    </row>
    <row r="831" spans="1:29" s="28" customFormat="1" x14ac:dyDescent="0.25">
      <c r="A831" s="61">
        <v>110006522735</v>
      </c>
      <c r="B831" s="28">
        <v>2023</v>
      </c>
      <c r="C831" s="68">
        <f t="shared" si="12"/>
        <v>44927</v>
      </c>
      <c r="D831" s="28" t="s">
        <v>1332</v>
      </c>
      <c r="E831" s="28" t="s">
        <v>2189</v>
      </c>
      <c r="F831" s="28" t="s">
        <v>1333</v>
      </c>
      <c r="G831" s="28" t="s">
        <v>491</v>
      </c>
      <c r="H831" s="28">
        <v>18370</v>
      </c>
      <c r="I831" s="28">
        <v>41.094749999999998</v>
      </c>
      <c r="J831" s="28">
        <v>-75.326319999999996</v>
      </c>
      <c r="K831" s="28" t="s">
        <v>733</v>
      </c>
      <c r="L831" s="61">
        <v>110006522735</v>
      </c>
      <c r="M831" s="28" t="s">
        <v>265</v>
      </c>
      <c r="N831" s="28">
        <v>2834</v>
      </c>
      <c r="O831" s="28" t="str">
        <f>IFERROR(VLOOKUP(N831, 'SIC &amp; NAICS Codes'!A:B, 2, FALSE), "")</f>
        <v xml:space="preserve">Pharmaceutical Preparations </v>
      </c>
      <c r="S831" s="28">
        <v>1.6570999999999999E-2</v>
      </c>
      <c r="T831" s="315">
        <f>_xlfn.MAXIFS('Raw Period DMR Data'!$O:$O,'Raw Period DMR Data'!$A:$A,'Raw Annual DMR Data_2021-2024'!#REF!,'Raw Period DMR Data'!$C:$C,X831)/S831</f>
        <v>0</v>
      </c>
      <c r="U831" s="28" t="str">
        <f>+IF(COUNTIFS('Raw Period DMR Data'!$A:$A,B831,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31" s="28" t="str" cm="1">
        <f t="array" ref="V831">IFERROR(INDEX('Raw Period DMR Data'!N:N,MATCH(1,(B831='Raw Period DMR Data'!$A:$A)*(U831='Raw Period DMR Data'!M:M)*(X831='Raw Period DMR Data'!C:C),0),1), "N/A")</f>
        <v>N/A</v>
      </c>
      <c r="W831" s="28" t="s">
        <v>1463</v>
      </c>
      <c r="X831" s="28" t="s">
        <v>2190</v>
      </c>
      <c r="Y831" s="28" t="s">
        <v>2191</v>
      </c>
      <c r="Z831" s="61" t="s">
        <v>2192</v>
      </c>
      <c r="AA831" s="60"/>
      <c r="AB831" s="28" t="s">
        <v>7355</v>
      </c>
      <c r="AC831" s="28" t="s">
        <v>1466</v>
      </c>
    </row>
    <row r="832" spans="1:29" s="28" customFormat="1" x14ac:dyDescent="0.25">
      <c r="A832" s="61">
        <v>110006522735</v>
      </c>
      <c r="B832" s="28">
        <v>2024</v>
      </c>
      <c r="C832" s="68">
        <f t="shared" si="12"/>
        <v>45292</v>
      </c>
      <c r="D832" s="28" t="s">
        <v>1332</v>
      </c>
      <c r="E832" s="28" t="s">
        <v>2189</v>
      </c>
      <c r="F832" s="28" t="s">
        <v>1333</v>
      </c>
      <c r="G832" s="28" t="s">
        <v>491</v>
      </c>
      <c r="H832" s="28">
        <v>18370</v>
      </c>
      <c r="I832" s="28">
        <v>41.094749999999998</v>
      </c>
      <c r="J832" s="28">
        <v>-75.326319999999996</v>
      </c>
      <c r="K832" s="28" t="s">
        <v>733</v>
      </c>
      <c r="L832" s="61">
        <v>110006522735</v>
      </c>
      <c r="M832" s="28" t="s">
        <v>265</v>
      </c>
      <c r="N832" s="28">
        <v>2834</v>
      </c>
      <c r="O832" s="28" t="str">
        <f>IFERROR(VLOOKUP(N832, 'SIC &amp; NAICS Codes'!A:B, 2, FALSE), "")</f>
        <v xml:space="preserve">Pharmaceutical Preparations </v>
      </c>
      <c r="S832" s="28">
        <v>1.2462300000000001E-2</v>
      </c>
      <c r="T832" s="315">
        <f>_xlfn.MAXIFS('Raw Period DMR Data'!$O:$O,'Raw Period DMR Data'!$A:$A,'Raw Annual DMR Data_2021-2024'!#REF!,'Raw Period DMR Data'!$C:$C,X832)/S832</f>
        <v>0</v>
      </c>
      <c r="U832" s="28" t="str">
        <f>+IF(COUNTIFS('Raw Period DMR Data'!$A:$A,B832,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32" s="28" t="str" cm="1">
        <f t="array" ref="V832">IFERROR(INDEX('Raw Period DMR Data'!N:N,MATCH(1,(B832='Raw Period DMR Data'!$A:$A)*(U832='Raw Period DMR Data'!M:M)*(X832='Raw Period DMR Data'!C:C),0),1), "N/A")</f>
        <v>N/A</v>
      </c>
      <c r="W832" s="28" t="s">
        <v>1463</v>
      </c>
      <c r="X832" s="28" t="s">
        <v>2190</v>
      </c>
      <c r="Y832" s="28" t="s">
        <v>2191</v>
      </c>
      <c r="Z832" s="61">
        <v>2040104000718</v>
      </c>
      <c r="AA832" s="60"/>
      <c r="AB832" s="28" t="s">
        <v>7355</v>
      </c>
      <c r="AC832" s="28" t="s">
        <v>1466</v>
      </c>
    </row>
    <row r="833" spans="1:29" s="28" customFormat="1" x14ac:dyDescent="0.25">
      <c r="A833" s="61">
        <v>110008476327</v>
      </c>
      <c r="B833" s="28">
        <v>2021</v>
      </c>
      <c r="C833" s="68">
        <f t="shared" si="12"/>
        <v>44197</v>
      </c>
      <c r="D833" s="28" t="s">
        <v>1338</v>
      </c>
      <c r="E833" s="28" t="s">
        <v>2201</v>
      </c>
      <c r="F833" s="28" t="s">
        <v>1339</v>
      </c>
      <c r="G833" s="28" t="s">
        <v>491</v>
      </c>
      <c r="H833" s="28" t="s">
        <v>2202</v>
      </c>
      <c r="I833" s="28">
        <v>41.452778000000002</v>
      </c>
      <c r="J833" s="28">
        <v>-79.690278000000006</v>
      </c>
      <c r="K833" s="28" t="s">
        <v>734</v>
      </c>
      <c r="L833" s="61">
        <v>110008476327</v>
      </c>
      <c r="M833" s="28" t="s">
        <v>265</v>
      </c>
      <c r="N833" s="28">
        <v>2865</v>
      </c>
      <c r="O833" s="28" t="str">
        <f>IFERROR(VLOOKUP(N833, 'SIC &amp; NAICS Codes'!A:B, 2, FALSE), "")</f>
        <v>Cyclic Organic Crudes and Intermediates, and Organic Dyes and Pigments (aromatics)</v>
      </c>
      <c r="S833" s="28">
        <v>1.077115E-2</v>
      </c>
      <c r="T833" s="315">
        <f>_xlfn.MAXIFS('Raw Period DMR Data'!$O:$O,'Raw Period DMR Data'!$A:$A,'Raw Annual DMR Data_2021-2024'!#REF!,'Raw Period DMR Data'!$C:$C,X833)/S833</f>
        <v>0</v>
      </c>
      <c r="U833" s="28" t="str">
        <f>+IF(COUNTIFS('Raw Period DMR Data'!$A:$A,B833,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33" s="28" t="str" cm="1">
        <f t="array" ref="V833">IFERROR(INDEX('Raw Period DMR Data'!N:N,MATCH(1,(B833='Raw Period DMR Data'!$A:$A)*(U833='Raw Period DMR Data'!M:M)*(X833='Raw Period DMR Data'!C:C),0),1), "N/A")</f>
        <v>N/A</v>
      </c>
      <c r="W833" s="28" t="s">
        <v>1463</v>
      </c>
      <c r="X833" s="28" t="s">
        <v>2203</v>
      </c>
      <c r="Y833" s="28" t="s">
        <v>2204</v>
      </c>
      <c r="Z833" s="61">
        <v>5010003001287</v>
      </c>
      <c r="AB833" s="28" t="s">
        <v>7355</v>
      </c>
      <c r="AC833" s="28" t="s">
        <v>1466</v>
      </c>
    </row>
    <row r="834" spans="1:29" s="28" customFormat="1" x14ac:dyDescent="0.25">
      <c r="A834" s="61">
        <v>110008476327</v>
      </c>
      <c r="B834" s="28">
        <v>2024</v>
      </c>
      <c r="C834" s="68">
        <f t="shared" ref="C834:C897" si="13">DATE(B834, 1, 1)</f>
        <v>45292</v>
      </c>
      <c r="D834" s="28" t="s">
        <v>1338</v>
      </c>
      <c r="E834" s="28" t="s">
        <v>2201</v>
      </c>
      <c r="F834" s="28" t="s">
        <v>1339</v>
      </c>
      <c r="G834" s="28" t="s">
        <v>491</v>
      </c>
      <c r="H834" s="28" t="s">
        <v>2202</v>
      </c>
      <c r="I834" s="28">
        <v>41.452778000000002</v>
      </c>
      <c r="J834" s="28">
        <v>-79.690278000000006</v>
      </c>
      <c r="K834" s="28" t="s">
        <v>734</v>
      </c>
      <c r="L834" s="61">
        <v>110008476327</v>
      </c>
      <c r="M834" s="28" t="s">
        <v>265</v>
      </c>
      <c r="N834" s="28">
        <v>2865</v>
      </c>
      <c r="O834" s="28" t="str">
        <f>IFERROR(VLOOKUP(N834, 'SIC &amp; NAICS Codes'!A:B, 2, FALSE), "")</f>
        <v>Cyclic Organic Crudes and Intermediates, and Organic Dyes and Pigments (aromatics)</v>
      </c>
      <c r="S834" s="28">
        <v>6.6283999999999996E-3</v>
      </c>
      <c r="T834" s="315">
        <f>_xlfn.MAXIFS('Raw Period DMR Data'!$O:$O,'Raw Period DMR Data'!$A:$A,'Raw Annual DMR Data_2021-2024'!#REF!,'Raw Period DMR Data'!$C:$C,X834)/S834</f>
        <v>0</v>
      </c>
      <c r="U834" s="28" t="str">
        <f>+IF(COUNTIFS('Raw Period DMR Data'!$A:$A,B834,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34" s="28" t="str" cm="1">
        <f t="array" ref="V834">IFERROR(INDEX('Raw Period DMR Data'!N:N,MATCH(1,(B834='Raw Period DMR Data'!$A:$A)*(U834='Raw Period DMR Data'!M:M)*(X834='Raw Period DMR Data'!C:C),0),1), "N/A")</f>
        <v>N/A</v>
      </c>
      <c r="W834" s="28" t="s">
        <v>1463</v>
      </c>
      <c r="X834" s="28" t="s">
        <v>2203</v>
      </c>
      <c r="Y834" s="28" t="s">
        <v>2204</v>
      </c>
      <c r="Z834" s="61">
        <v>5010003001287</v>
      </c>
      <c r="AA834" s="60"/>
      <c r="AB834" s="28" t="s">
        <v>7355</v>
      </c>
      <c r="AC834" s="28" t="s">
        <v>1466</v>
      </c>
    </row>
    <row r="835" spans="1:29" s="28" customFormat="1" x14ac:dyDescent="0.25">
      <c r="A835" s="61">
        <v>110008476327</v>
      </c>
      <c r="B835" s="28">
        <v>2022</v>
      </c>
      <c r="C835" s="68">
        <f t="shared" si="13"/>
        <v>44562</v>
      </c>
      <c r="D835" s="28" t="s">
        <v>1338</v>
      </c>
      <c r="E835" s="28" t="s">
        <v>2201</v>
      </c>
      <c r="F835" s="28" t="s">
        <v>1339</v>
      </c>
      <c r="G835" s="28" t="s">
        <v>491</v>
      </c>
      <c r="H835" s="28" t="s">
        <v>2202</v>
      </c>
      <c r="I835" s="28">
        <v>41.452778000000002</v>
      </c>
      <c r="J835" s="28">
        <v>-79.690278000000006</v>
      </c>
      <c r="K835" s="28" t="s">
        <v>734</v>
      </c>
      <c r="L835" s="61">
        <v>110008476327</v>
      </c>
      <c r="M835" s="28" t="s">
        <v>265</v>
      </c>
      <c r="N835" s="28">
        <v>2865</v>
      </c>
      <c r="O835" s="28" t="str">
        <f>IFERROR(VLOOKUP(N835, 'SIC &amp; NAICS Codes'!A:B, 2, FALSE), "")</f>
        <v>Cyclic Organic Crudes and Intermediates, and Organic Dyes and Pigments (aromatics)</v>
      </c>
      <c r="S835" s="28">
        <v>2.4856499999999998E-3</v>
      </c>
      <c r="T835" s="315">
        <f>_xlfn.MAXIFS('Raw Period DMR Data'!$O:$O,'Raw Period DMR Data'!$A:$A,'Raw Annual DMR Data_2021-2024'!#REF!,'Raw Period DMR Data'!$C:$C,X835)/S835</f>
        <v>0</v>
      </c>
      <c r="U835" s="28" t="str">
        <f>+IF(COUNTIFS('Raw Period DMR Data'!$A:$A,B835,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35" s="28" t="str" cm="1">
        <f t="array" ref="V835">IFERROR(INDEX('Raw Period DMR Data'!N:N,MATCH(1,(B835='Raw Period DMR Data'!$A:$A)*(U835='Raw Period DMR Data'!M:M)*(X835='Raw Period DMR Data'!C:C),0),1), "N/A")</f>
        <v>N/A</v>
      </c>
      <c r="W835" s="28" t="s">
        <v>1463</v>
      </c>
      <c r="X835" s="28" t="s">
        <v>2203</v>
      </c>
      <c r="Y835" s="28" t="s">
        <v>2204</v>
      </c>
      <c r="Z835" s="61">
        <v>5010003001287</v>
      </c>
      <c r="AA835" s="60"/>
      <c r="AB835" s="28" t="s">
        <v>7355</v>
      </c>
      <c r="AC835" s="28" t="s">
        <v>1466</v>
      </c>
    </row>
    <row r="836" spans="1:29" s="28" customFormat="1" x14ac:dyDescent="0.25">
      <c r="A836" s="61">
        <v>110008476327</v>
      </c>
      <c r="B836" s="28">
        <v>2023</v>
      </c>
      <c r="C836" s="68">
        <f t="shared" si="13"/>
        <v>44927</v>
      </c>
      <c r="D836" s="28" t="s">
        <v>1338</v>
      </c>
      <c r="E836" s="28" t="s">
        <v>2201</v>
      </c>
      <c r="F836" s="28" t="s">
        <v>1339</v>
      </c>
      <c r="G836" s="28" t="s">
        <v>491</v>
      </c>
      <c r="H836" s="28" t="s">
        <v>2202</v>
      </c>
      <c r="I836" s="28">
        <v>41.452778000000002</v>
      </c>
      <c r="J836" s="28">
        <v>-79.690278000000006</v>
      </c>
      <c r="K836" s="28" t="s">
        <v>734</v>
      </c>
      <c r="L836" s="61">
        <v>110008476327</v>
      </c>
      <c r="M836" s="28" t="s">
        <v>265</v>
      </c>
      <c r="N836" s="28">
        <v>2865</v>
      </c>
      <c r="O836" s="28" t="str">
        <f>IFERROR(VLOOKUP(N836, 'SIC &amp; NAICS Codes'!A:B, 2, FALSE), "")</f>
        <v>Cyclic Organic Crudes and Intermediates, and Organic Dyes and Pigments (aromatics)</v>
      </c>
      <c r="S836" s="28">
        <v>1.6570999999999999E-3</v>
      </c>
      <c r="T836" s="315">
        <f>_xlfn.MAXIFS('Raw Period DMR Data'!$O:$O,'Raw Period DMR Data'!$A:$A,'Raw Annual DMR Data_2021-2024'!#REF!,'Raw Period DMR Data'!$C:$C,X836)/S836</f>
        <v>0</v>
      </c>
      <c r="U836" s="28" t="str">
        <f>+IF(COUNTIFS('Raw Period DMR Data'!$A:$A,B836,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36" s="28" t="str" cm="1">
        <f t="array" ref="V836">IFERROR(INDEX('Raw Period DMR Data'!N:N,MATCH(1,(B836='Raw Period DMR Data'!$A:$A)*(U836='Raw Period DMR Data'!M:M)*(X836='Raw Period DMR Data'!C:C),0),1), "N/A")</f>
        <v>N/A</v>
      </c>
      <c r="W836" s="28" t="s">
        <v>1463</v>
      </c>
      <c r="X836" s="28" t="s">
        <v>2203</v>
      </c>
      <c r="Y836" s="28" t="s">
        <v>2204</v>
      </c>
      <c r="Z836" s="61" t="s">
        <v>2205</v>
      </c>
      <c r="AA836" s="60"/>
      <c r="AB836" s="28" t="s">
        <v>7355</v>
      </c>
      <c r="AC836" s="28" t="s">
        <v>1466</v>
      </c>
    </row>
    <row r="837" spans="1:29" s="28" customFormat="1" x14ac:dyDescent="0.25">
      <c r="A837" s="61">
        <v>110017418061</v>
      </c>
      <c r="B837" s="28">
        <v>2021</v>
      </c>
      <c r="C837" s="68">
        <f t="shared" si="13"/>
        <v>44197</v>
      </c>
      <c r="D837" s="28" t="s">
        <v>6776</v>
      </c>
      <c r="E837" s="28" t="s">
        <v>1953</v>
      </c>
      <c r="F837" s="28" t="s">
        <v>446</v>
      </c>
      <c r="G837" s="28" t="s">
        <v>303</v>
      </c>
      <c r="H837" s="28">
        <v>70669</v>
      </c>
      <c r="I837" s="28">
        <v>30.258800000000001</v>
      </c>
      <c r="J837" s="28">
        <v>-93.293700000000001</v>
      </c>
      <c r="K837" s="28" t="s">
        <v>723</v>
      </c>
      <c r="L837" s="61">
        <v>110017418061</v>
      </c>
      <c r="M837" s="28" t="s">
        <v>265</v>
      </c>
      <c r="N837" s="28">
        <v>2869</v>
      </c>
      <c r="O837" s="28" t="str">
        <f>IFERROR(VLOOKUP(N837, 'SIC &amp; NAICS Codes'!A:B, 2, FALSE), "")</f>
        <v>Industrial Organic Chemicals, NEC (aliphatics)</v>
      </c>
      <c r="S837" s="28">
        <v>487.838052</v>
      </c>
      <c r="T837" s="315">
        <f>_xlfn.MAXIFS('Raw Period DMR Data'!$O:$O,'Raw Period DMR Data'!$A:$A,'Raw Annual DMR Data_2021-2024'!B852,'Raw Period DMR Data'!$C:$C,X837)/S837</f>
        <v>0</v>
      </c>
      <c r="U837" s="28" t="str">
        <f>+IF(COUNTIFS('Raw Period DMR Data'!$A:$A,B837, 'Raw Period DMR Data'!C:C,'Raw Annual DMR Data_2021-2024'!X852, 'Raw Period DMR Data'!M:M, "&gt;0")&gt;0,_xlfn.MAXIFS('Raw Period DMR Data'!M:M,'Raw Period DMR Data'!$A:$A,'Raw Annual DMR Data_2021-2024'!B852,'Raw Period DMR Data'!C:C,'Raw Annual DMR Data_2021-2024'!X852), "N/A - Period DMR Data Not Available")</f>
        <v>N/A - Period DMR Data Not Available</v>
      </c>
      <c r="V837" s="28" t="str" cm="1">
        <f t="array" ref="V837">IFERROR(INDEX('Raw Period DMR Data'!N:N,MATCH(1,(B837='Raw Period DMR Data'!$A:$A)*(U837='Raw Period DMR Data'!M:M)*(X837='Raw Period DMR Data'!C:C),0),1), "N/A")</f>
        <v>N/A</v>
      </c>
      <c r="W837" s="28" t="s">
        <v>1463</v>
      </c>
      <c r="X837" s="28" t="s">
        <v>1954</v>
      </c>
      <c r="Y837" s="28">
        <v>315</v>
      </c>
      <c r="Z837" s="61">
        <v>8080206001238</v>
      </c>
      <c r="AC837" s="28" t="s">
        <v>1466</v>
      </c>
    </row>
    <row r="838" spans="1:29" s="28" customFormat="1" x14ac:dyDescent="0.25">
      <c r="A838" s="61">
        <v>110017418061</v>
      </c>
      <c r="B838" s="28">
        <v>2021</v>
      </c>
      <c r="C838" s="68">
        <f t="shared" si="13"/>
        <v>44197</v>
      </c>
      <c r="D838" s="28" t="s">
        <v>6776</v>
      </c>
      <c r="E838" s="28" t="s">
        <v>1953</v>
      </c>
      <c r="F838" s="28" t="s">
        <v>446</v>
      </c>
      <c r="G838" s="28" t="s">
        <v>303</v>
      </c>
      <c r="H838" s="28">
        <v>70669</v>
      </c>
      <c r="I838" s="28">
        <v>30.258800000000001</v>
      </c>
      <c r="J838" s="28">
        <v>-93.293700000000001</v>
      </c>
      <c r="K838" s="28" t="s">
        <v>723</v>
      </c>
      <c r="L838" s="61">
        <v>110017418061</v>
      </c>
      <c r="M838" s="28" t="s">
        <v>265</v>
      </c>
      <c r="N838" s="28">
        <v>2869</v>
      </c>
      <c r="O838" s="28" t="str">
        <f>IFERROR(VLOOKUP(N838, 'SIC &amp; NAICS Codes'!A:B, 2, FALSE), "")</f>
        <v>Industrial Organic Chemicals, NEC (aliphatics)</v>
      </c>
      <c r="S838" s="28">
        <v>48.187559999999998</v>
      </c>
      <c r="T838" s="315">
        <f>_xlfn.MAXIFS('Raw Period DMR Data'!$O:$O,'Raw Period DMR Data'!$A:$A,'Raw Annual DMR Data_2021-2024'!B888,'Raw Period DMR Data'!$C:$C,X838)/S838</f>
        <v>0</v>
      </c>
      <c r="U838" s="28" t="str">
        <f>+IF(COUNTIFS('Raw Period DMR Data'!$A:$A,B838, 'Raw Period DMR Data'!C:C,'Raw Annual DMR Data_2021-2024'!X888, 'Raw Period DMR Data'!M:M, "&gt;0")&gt;0,_xlfn.MAXIFS('Raw Period DMR Data'!M:M,'Raw Period DMR Data'!$A:$A,'Raw Annual DMR Data_2021-2024'!B888,'Raw Period DMR Data'!C:C,'Raw Annual DMR Data_2021-2024'!X888), "N/A - Period DMR Data Not Available")</f>
        <v>N/A - Period DMR Data Not Available</v>
      </c>
      <c r="V838" s="28" t="str" cm="1">
        <f t="array" ref="V838">IFERROR(INDEX('Raw Period DMR Data'!N:N,MATCH(1,(B838='Raw Period DMR Data'!$A:$A)*(U838='Raw Period DMR Data'!M:M)*(X838='Raw Period DMR Data'!C:C),0),1), "N/A")</f>
        <v>N/A</v>
      </c>
      <c r="W838" s="28" t="s">
        <v>1463</v>
      </c>
      <c r="X838" s="28" t="s">
        <v>1954</v>
      </c>
      <c r="Y838" s="28">
        <v>315</v>
      </c>
      <c r="Z838" s="61">
        <v>8080206001238</v>
      </c>
      <c r="AC838" s="28" t="s">
        <v>1466</v>
      </c>
    </row>
    <row r="839" spans="1:29" s="28" customFormat="1" x14ac:dyDescent="0.25">
      <c r="A839" s="61">
        <v>110017418061</v>
      </c>
      <c r="B839" s="28">
        <v>2022</v>
      </c>
      <c r="C839" s="68">
        <f t="shared" si="13"/>
        <v>44562</v>
      </c>
      <c r="D839" s="28" t="s">
        <v>6776</v>
      </c>
      <c r="E839" s="28" t="s">
        <v>1953</v>
      </c>
      <c r="F839" s="28" t="s">
        <v>446</v>
      </c>
      <c r="G839" s="28" t="s">
        <v>303</v>
      </c>
      <c r="H839" s="28">
        <v>70669</v>
      </c>
      <c r="I839" s="28">
        <v>30.258800000000001</v>
      </c>
      <c r="J839" s="28">
        <v>-93.293700000000001</v>
      </c>
      <c r="K839" s="28" t="s">
        <v>723</v>
      </c>
      <c r="L839" s="61">
        <v>110017418061</v>
      </c>
      <c r="M839" s="28" t="s">
        <v>265</v>
      </c>
      <c r="N839" s="28">
        <v>2869</v>
      </c>
      <c r="O839" s="28" t="str">
        <f>IFERROR(VLOOKUP(N839, 'SIC &amp; NAICS Codes'!A:B, 2, FALSE), "")</f>
        <v>Industrial Organic Chemicals, NEC (aliphatics)</v>
      </c>
      <c r="S839" s="28">
        <v>3.1890139</v>
      </c>
      <c r="T839" s="315">
        <f>_xlfn.MAXIFS('Raw Period DMR Data'!$O:$O,'Raw Period DMR Data'!$A:$A,'Raw Annual DMR Data_2021-2024'!#REF!,'Raw Period DMR Data'!$C:$C,X839)/S839</f>
        <v>0</v>
      </c>
      <c r="U839" s="28" t="str">
        <f>+IF(COUNTIFS('Raw Period DMR Data'!$A:$A,B839,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39" s="28" t="str" cm="1">
        <f t="array" ref="V839">IFERROR(INDEX('Raw Period DMR Data'!N:N,MATCH(1,(B839='Raw Period DMR Data'!$A:$A)*(U839='Raw Period DMR Data'!M:M)*(X839='Raw Period DMR Data'!C:C),0),1), "N/A")</f>
        <v>N/A</v>
      </c>
      <c r="W839" s="28" t="s">
        <v>1463</v>
      </c>
      <c r="X839" s="28" t="s">
        <v>1954</v>
      </c>
      <c r="Y839" s="28">
        <v>315</v>
      </c>
      <c r="Z839" s="61">
        <v>8080206001238</v>
      </c>
      <c r="AA839" s="60"/>
      <c r="AB839" s="28" t="s">
        <v>7355</v>
      </c>
      <c r="AC839" s="28" t="s">
        <v>1466</v>
      </c>
    </row>
    <row r="840" spans="1:29" s="28" customFormat="1" x14ac:dyDescent="0.25">
      <c r="A840" s="61">
        <v>110017418061</v>
      </c>
      <c r="B840" s="28">
        <v>2024</v>
      </c>
      <c r="C840" s="68">
        <f t="shared" si="13"/>
        <v>45292</v>
      </c>
      <c r="D840" s="28" t="s">
        <v>6776</v>
      </c>
      <c r="E840" s="28" t="s">
        <v>1953</v>
      </c>
      <c r="F840" s="28" t="s">
        <v>446</v>
      </c>
      <c r="G840" s="28" t="s">
        <v>303</v>
      </c>
      <c r="H840" s="28">
        <v>70669</v>
      </c>
      <c r="I840" s="28">
        <v>30.258800000000001</v>
      </c>
      <c r="J840" s="28">
        <v>-93.293700000000001</v>
      </c>
      <c r="K840" s="28" t="s">
        <v>723</v>
      </c>
      <c r="L840" s="61">
        <v>110017418061</v>
      </c>
      <c r="M840" s="28" t="s">
        <v>265</v>
      </c>
      <c r="N840" s="28">
        <v>2869</v>
      </c>
      <c r="O840" s="28" t="str">
        <f>IFERROR(VLOOKUP(N840, 'SIC &amp; NAICS Codes'!A:B, 2, FALSE), "")</f>
        <v>Industrial Organic Chemicals, NEC (aliphatics)</v>
      </c>
      <c r="S840" s="28">
        <v>1.5823116800000001</v>
      </c>
      <c r="T840" s="315">
        <f>_xlfn.MAXIFS('Raw Period DMR Data'!$O:$O,'Raw Period DMR Data'!$A:$A,'Raw Annual DMR Data_2021-2024'!#REF!,'Raw Period DMR Data'!$C:$C,X840)/S840</f>
        <v>0</v>
      </c>
      <c r="U840" s="28" t="str">
        <f>+IF(COUNTIFS('Raw Period DMR Data'!$A:$A,B840,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40" s="28" t="str" cm="1">
        <f t="array" ref="V840">IFERROR(INDEX('Raw Period DMR Data'!N:N,MATCH(1,(B840='Raw Period DMR Data'!$A:$A)*(U840='Raw Period DMR Data'!M:M)*(X840='Raw Period DMR Data'!C:C),0),1), "N/A")</f>
        <v>N/A</v>
      </c>
      <c r="W840" s="28" t="s">
        <v>1463</v>
      </c>
      <c r="X840" s="28" t="s">
        <v>1954</v>
      </c>
      <c r="Y840" s="28">
        <v>315</v>
      </c>
      <c r="Z840" s="61">
        <v>8080206001238</v>
      </c>
      <c r="AA840" s="60"/>
      <c r="AC840" s="28" t="s">
        <v>1466</v>
      </c>
    </row>
    <row r="841" spans="1:29" s="28" customFormat="1" x14ac:dyDescent="0.25">
      <c r="A841" s="61">
        <v>110017418061</v>
      </c>
      <c r="B841" s="28">
        <v>2022</v>
      </c>
      <c r="C841" s="68">
        <f t="shared" si="13"/>
        <v>44562</v>
      </c>
      <c r="D841" s="28" t="s">
        <v>6776</v>
      </c>
      <c r="E841" s="28" t="s">
        <v>1953</v>
      </c>
      <c r="F841" s="28" t="s">
        <v>446</v>
      </c>
      <c r="G841" s="28" t="s">
        <v>303</v>
      </c>
      <c r="H841" s="28">
        <v>70669</v>
      </c>
      <c r="I841" s="28">
        <v>30.258800000000001</v>
      </c>
      <c r="J841" s="28">
        <v>-93.293700000000001</v>
      </c>
      <c r="K841" s="28" t="s">
        <v>723</v>
      </c>
      <c r="L841" s="61">
        <v>110017418061</v>
      </c>
      <c r="M841" s="28" t="s">
        <v>265</v>
      </c>
      <c r="N841" s="28">
        <v>2869</v>
      </c>
      <c r="O841" s="28" t="str">
        <f>IFERROR(VLOOKUP(N841, 'SIC &amp; NAICS Codes'!A:B, 2, FALSE), "")</f>
        <v>Industrial Organic Chemicals, NEC (aliphatics)</v>
      </c>
      <c r="S841" s="28">
        <v>1.114304</v>
      </c>
      <c r="T841" s="315">
        <f>_xlfn.MAXIFS('Raw Period DMR Data'!$O:$O,'Raw Period DMR Data'!$A:$A,'Raw Annual DMR Data_2021-2024'!#REF!,'Raw Period DMR Data'!$C:$C,X841)/S841</f>
        <v>0</v>
      </c>
      <c r="U841" s="28" t="str">
        <f>+IF(COUNTIFS('Raw Period DMR Data'!$A:$A,B841,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41" s="28" t="str" cm="1">
        <f t="array" ref="V841">IFERROR(INDEX('Raw Period DMR Data'!N:N,MATCH(1,(B841='Raw Period DMR Data'!$A:$A)*(U841='Raw Period DMR Data'!M:M)*(X841='Raw Period DMR Data'!C:C),0),1), "N/A")</f>
        <v>N/A</v>
      </c>
      <c r="W841" s="28" t="s">
        <v>1463</v>
      </c>
      <c r="X841" s="28" t="s">
        <v>1954</v>
      </c>
      <c r="Y841" s="28">
        <v>315</v>
      </c>
      <c r="Z841" s="61">
        <v>8080206001238</v>
      </c>
      <c r="AA841" s="60"/>
      <c r="AB841" s="28" t="s">
        <v>7355</v>
      </c>
      <c r="AC841" s="28" t="s">
        <v>1466</v>
      </c>
    </row>
    <row r="842" spans="1:29" s="28" customFormat="1" x14ac:dyDescent="0.25">
      <c r="A842" s="61">
        <v>110017418061</v>
      </c>
      <c r="B842" s="28">
        <v>2022</v>
      </c>
      <c r="C842" s="68">
        <f t="shared" si="13"/>
        <v>44562</v>
      </c>
      <c r="D842" s="28" t="s">
        <v>6776</v>
      </c>
      <c r="E842" s="28" t="s">
        <v>1953</v>
      </c>
      <c r="F842" s="28" t="s">
        <v>446</v>
      </c>
      <c r="G842" s="28" t="s">
        <v>303</v>
      </c>
      <c r="H842" s="28">
        <v>70669</v>
      </c>
      <c r="I842" s="28">
        <v>30.258800000000001</v>
      </c>
      <c r="J842" s="28">
        <v>-93.293700000000001</v>
      </c>
      <c r="K842" s="28" t="s">
        <v>723</v>
      </c>
      <c r="L842" s="61">
        <v>110017418061</v>
      </c>
      <c r="M842" s="28" t="s">
        <v>265</v>
      </c>
      <c r="N842" s="28">
        <v>2869</v>
      </c>
      <c r="O842" s="28" t="str">
        <f>IFERROR(VLOOKUP(N842, 'SIC &amp; NAICS Codes'!A:B, 2, FALSE), "")</f>
        <v>Industrial Organic Chemicals, NEC (aliphatics)</v>
      </c>
      <c r="S842" s="28">
        <v>0.80090600000000001</v>
      </c>
      <c r="T842" s="315">
        <f>_xlfn.MAXIFS('Raw Period DMR Data'!$O:$O,'Raw Period DMR Data'!$A:$A,'Raw Annual DMR Data_2021-2024'!#REF!,'Raw Period DMR Data'!$C:$C,X842)/S842</f>
        <v>0</v>
      </c>
      <c r="U842" s="28" t="str">
        <f>+IF(COUNTIFS('Raw Period DMR Data'!$A:$A,B842,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42" s="28" t="str" cm="1">
        <f t="array" ref="V842">IFERROR(INDEX('Raw Period DMR Data'!N:N,MATCH(1,(B842='Raw Period DMR Data'!$A:$A)*(U842='Raw Period DMR Data'!M:M)*(X842='Raw Period DMR Data'!C:C),0),1), "N/A")</f>
        <v>N/A</v>
      </c>
      <c r="W842" s="28" t="s">
        <v>1463</v>
      </c>
      <c r="X842" s="28" t="s">
        <v>1954</v>
      </c>
      <c r="Y842" s="28">
        <v>315</v>
      </c>
      <c r="Z842" s="61">
        <v>8080206001238</v>
      </c>
      <c r="AA842" s="60"/>
      <c r="AB842" s="28" t="s">
        <v>7355</v>
      </c>
      <c r="AC842" s="28" t="s">
        <v>1466</v>
      </c>
    </row>
    <row r="843" spans="1:29" s="28" customFormat="1" x14ac:dyDescent="0.25">
      <c r="A843" s="61">
        <v>110017418061</v>
      </c>
      <c r="B843" s="28">
        <v>2023</v>
      </c>
      <c r="C843" s="68">
        <f t="shared" si="13"/>
        <v>44927</v>
      </c>
      <c r="D843" s="28" t="s">
        <v>6776</v>
      </c>
      <c r="E843" s="28" t="s">
        <v>1953</v>
      </c>
      <c r="F843" s="28" t="s">
        <v>446</v>
      </c>
      <c r="G843" s="28" t="s">
        <v>303</v>
      </c>
      <c r="H843" s="28">
        <v>70669</v>
      </c>
      <c r="I843" s="28">
        <v>30.258800000000001</v>
      </c>
      <c r="J843" s="28">
        <v>-93.293700000000001</v>
      </c>
      <c r="K843" s="28" t="s">
        <v>723</v>
      </c>
      <c r="L843" s="61">
        <v>110017418061</v>
      </c>
      <c r="M843" s="28" t="s">
        <v>265</v>
      </c>
      <c r="N843" s="28">
        <v>2869</v>
      </c>
      <c r="O843" s="28" t="str">
        <f>IFERROR(VLOOKUP(N843, 'SIC &amp; NAICS Codes'!A:B, 2, FALSE), "")</f>
        <v>Industrial Organic Chemicals, NEC (aliphatics)</v>
      </c>
      <c r="S843" s="28">
        <v>0.56829503999999997</v>
      </c>
      <c r="T843" s="315">
        <f>_xlfn.MAXIFS('Raw Period DMR Data'!$O:$O,'Raw Period DMR Data'!$A:$A,'Raw Annual DMR Data_2021-2024'!#REF!,'Raw Period DMR Data'!$C:$C,X843)/S843</f>
        <v>0</v>
      </c>
      <c r="U843" s="28" t="str">
        <f>+IF(COUNTIFS('Raw Period DMR Data'!$A:$A,B843,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43" s="28" t="str" cm="1">
        <f t="array" ref="V843">IFERROR(INDEX('Raw Period DMR Data'!N:N,MATCH(1,(B843='Raw Period DMR Data'!$A:$A)*(U843='Raw Period DMR Data'!M:M)*(X843='Raw Period DMR Data'!C:C),0),1), "N/A")</f>
        <v>N/A</v>
      </c>
      <c r="W843" s="28" t="s">
        <v>1463</v>
      </c>
      <c r="X843" s="28" t="s">
        <v>1954</v>
      </c>
      <c r="Y843" s="28" t="s">
        <v>1733</v>
      </c>
      <c r="Z843" s="61">
        <v>8080206001238</v>
      </c>
      <c r="AA843" s="60"/>
      <c r="AC843" s="28" t="s">
        <v>1466</v>
      </c>
    </row>
    <row r="844" spans="1:29" s="28" customFormat="1" x14ac:dyDescent="0.25">
      <c r="A844" s="61">
        <v>110017418061</v>
      </c>
      <c r="B844" s="28">
        <v>2022</v>
      </c>
      <c r="C844" s="68">
        <f t="shared" si="13"/>
        <v>44562</v>
      </c>
      <c r="D844" s="28" t="s">
        <v>6776</v>
      </c>
      <c r="E844" s="28" t="s">
        <v>1953</v>
      </c>
      <c r="F844" s="28" t="s">
        <v>446</v>
      </c>
      <c r="G844" s="28" t="s">
        <v>303</v>
      </c>
      <c r="H844" s="28">
        <v>70669</v>
      </c>
      <c r="I844" s="28">
        <v>30.258800000000001</v>
      </c>
      <c r="J844" s="28">
        <v>-93.293700000000001</v>
      </c>
      <c r="K844" s="28" t="s">
        <v>723</v>
      </c>
      <c r="L844" s="61">
        <v>110017418061</v>
      </c>
      <c r="M844" s="28" t="s">
        <v>265</v>
      </c>
      <c r="N844" s="28">
        <v>2869</v>
      </c>
      <c r="O844" s="28" t="str">
        <f>IFERROR(VLOOKUP(N844, 'SIC &amp; NAICS Codes'!A:B, 2, FALSE), "")</f>
        <v>Industrial Organic Chemicals, NEC (aliphatics)</v>
      </c>
      <c r="S844" s="28">
        <v>0.55715199999999998</v>
      </c>
      <c r="T844" s="315">
        <f>_xlfn.MAXIFS('Raw Period DMR Data'!$O:$O,'Raw Period DMR Data'!$A:$A,'Raw Annual DMR Data_2021-2024'!#REF!,'Raw Period DMR Data'!$C:$C,X844)/S844</f>
        <v>0</v>
      </c>
      <c r="U844" s="28" t="str">
        <f>+IF(COUNTIFS('Raw Period DMR Data'!$A:$A,B844,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44" s="28" t="str" cm="1">
        <f t="array" ref="V844">IFERROR(INDEX('Raw Period DMR Data'!N:N,MATCH(1,(B844='Raw Period DMR Data'!$A:$A)*(U844='Raw Period DMR Data'!M:M)*(X844='Raw Period DMR Data'!C:C),0),1), "N/A")</f>
        <v>N/A</v>
      </c>
      <c r="W844" s="28" t="s">
        <v>1463</v>
      </c>
      <c r="X844" s="28" t="s">
        <v>1954</v>
      </c>
      <c r="Y844" s="28">
        <v>315</v>
      </c>
      <c r="Z844" s="61">
        <v>8080206001238</v>
      </c>
      <c r="AA844" s="60"/>
      <c r="AB844" s="28" t="s">
        <v>7355</v>
      </c>
      <c r="AC844" s="28" t="s">
        <v>1466</v>
      </c>
    </row>
    <row r="845" spans="1:29" s="28" customFormat="1" x14ac:dyDescent="0.25">
      <c r="A845" s="61">
        <v>110017418061</v>
      </c>
      <c r="B845" s="28">
        <v>2022</v>
      </c>
      <c r="C845" s="68">
        <f t="shared" si="13"/>
        <v>44562</v>
      </c>
      <c r="D845" s="28" t="s">
        <v>6776</v>
      </c>
      <c r="E845" s="28" t="s">
        <v>1953</v>
      </c>
      <c r="F845" s="28" t="s">
        <v>446</v>
      </c>
      <c r="G845" s="28" t="s">
        <v>303</v>
      </c>
      <c r="H845" s="28">
        <v>70669</v>
      </c>
      <c r="I845" s="28">
        <v>30.258800000000001</v>
      </c>
      <c r="J845" s="28">
        <v>-93.293700000000001</v>
      </c>
      <c r="K845" s="28" t="s">
        <v>723</v>
      </c>
      <c r="L845" s="61">
        <v>110017418061</v>
      </c>
      <c r="M845" s="28" t="s">
        <v>265</v>
      </c>
      <c r="N845" s="28">
        <v>2869</v>
      </c>
      <c r="O845" s="28" t="str">
        <f>IFERROR(VLOOKUP(N845, 'SIC &amp; NAICS Codes'!A:B, 2, FALSE), "")</f>
        <v>Industrial Organic Chemicals, NEC (aliphatics)</v>
      </c>
      <c r="S845" s="28">
        <v>0.52232999999999996</v>
      </c>
      <c r="T845" s="315">
        <f>_xlfn.MAXIFS('Raw Period DMR Data'!$O:$O,'Raw Period DMR Data'!$A:$A,'Raw Annual DMR Data_2021-2024'!#REF!,'Raw Period DMR Data'!$C:$C,X845)/S845</f>
        <v>0</v>
      </c>
      <c r="U845" s="28" t="str">
        <f>+IF(COUNTIFS('Raw Period DMR Data'!$A:$A,B845,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45" s="28" t="str" cm="1">
        <f t="array" ref="V845">IFERROR(INDEX('Raw Period DMR Data'!N:N,MATCH(1,(B845='Raw Period DMR Data'!$A:$A)*(U845='Raw Period DMR Data'!M:M)*(X845='Raw Period DMR Data'!C:C),0),1), "N/A")</f>
        <v>N/A</v>
      </c>
      <c r="W845" s="28" t="s">
        <v>1463</v>
      </c>
      <c r="X845" s="28" t="s">
        <v>1954</v>
      </c>
      <c r="Y845" s="28">
        <v>315</v>
      </c>
      <c r="Z845" s="61">
        <v>8080206001238</v>
      </c>
      <c r="AA845" s="60"/>
      <c r="AB845" s="28" t="s">
        <v>7355</v>
      </c>
      <c r="AC845" s="28" t="s">
        <v>1466</v>
      </c>
    </row>
    <row r="846" spans="1:29" s="28" customFormat="1" x14ac:dyDescent="0.25">
      <c r="A846" s="61">
        <v>110017418061</v>
      </c>
      <c r="B846" s="28">
        <v>2022</v>
      </c>
      <c r="C846" s="68">
        <f t="shared" si="13"/>
        <v>44562</v>
      </c>
      <c r="D846" s="28" t="s">
        <v>6776</v>
      </c>
      <c r="E846" s="28" t="s">
        <v>1953</v>
      </c>
      <c r="F846" s="28" t="s">
        <v>446</v>
      </c>
      <c r="G846" s="28" t="s">
        <v>303</v>
      </c>
      <c r="H846" s="28">
        <v>70669</v>
      </c>
      <c r="I846" s="28">
        <v>30.258800000000001</v>
      </c>
      <c r="J846" s="28">
        <v>-93.293700000000001</v>
      </c>
      <c r="K846" s="28" t="s">
        <v>723</v>
      </c>
      <c r="L846" s="61">
        <v>110017418061</v>
      </c>
      <c r="M846" s="28" t="s">
        <v>265</v>
      </c>
      <c r="N846" s="28">
        <v>2869</v>
      </c>
      <c r="O846" s="28" t="str">
        <f>IFERROR(VLOOKUP(N846, 'SIC &amp; NAICS Codes'!A:B, 2, FALSE), "")</f>
        <v>Industrial Organic Chemicals, NEC (aliphatics)</v>
      </c>
      <c r="S846" s="28">
        <v>0.27857599999999999</v>
      </c>
      <c r="T846" s="315">
        <f>_xlfn.MAXIFS('Raw Period DMR Data'!$O:$O,'Raw Period DMR Data'!$A:$A,'Raw Annual DMR Data_2021-2024'!#REF!,'Raw Period DMR Data'!$C:$C,X846)/S846</f>
        <v>0</v>
      </c>
      <c r="U846" s="28" t="str">
        <f>+IF(COUNTIFS('Raw Period DMR Data'!$A:$A,B846,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46" s="28" t="str" cm="1">
        <f t="array" ref="V846">IFERROR(INDEX('Raw Period DMR Data'!N:N,MATCH(1,(B846='Raw Period DMR Data'!$A:$A)*(U846='Raw Period DMR Data'!M:M)*(X846='Raw Period DMR Data'!C:C),0),1), "N/A")</f>
        <v>N/A</v>
      </c>
      <c r="W846" s="28" t="s">
        <v>1463</v>
      </c>
      <c r="X846" s="28" t="s">
        <v>1954</v>
      </c>
      <c r="Y846" s="28">
        <v>315</v>
      </c>
      <c r="Z846" s="61">
        <v>8080206001238</v>
      </c>
      <c r="AA846" s="60"/>
      <c r="AB846" s="28" t="s">
        <v>7355</v>
      </c>
      <c r="AC846" s="28" t="s">
        <v>1466</v>
      </c>
    </row>
    <row r="847" spans="1:29" s="28" customFormat="1" x14ac:dyDescent="0.25">
      <c r="A847" s="61">
        <v>110070218704</v>
      </c>
      <c r="B847" s="28">
        <v>2024</v>
      </c>
      <c r="C847" s="68">
        <f t="shared" si="13"/>
        <v>45292</v>
      </c>
      <c r="D847" s="28" t="s">
        <v>1340</v>
      </c>
      <c r="E847" s="28" t="s">
        <v>2206</v>
      </c>
      <c r="F847" s="28" t="s">
        <v>1341</v>
      </c>
      <c r="G847" s="28" t="s">
        <v>338</v>
      </c>
      <c r="H847" s="28">
        <v>7041</v>
      </c>
      <c r="I847" s="28">
        <v>40.723140000000001</v>
      </c>
      <c r="J847" s="28">
        <v>-74.310130000000001</v>
      </c>
      <c r="L847" s="61">
        <v>110070218704</v>
      </c>
      <c r="M847" s="28" t="s">
        <v>265</v>
      </c>
      <c r="O847" s="28" t="str">
        <f>IFERROR(VLOOKUP(N847, 'SIC &amp; NAICS Codes'!A:B, 2, FALSE), "")</f>
        <v/>
      </c>
      <c r="S847" s="28">
        <v>2.5571664390000001E-4</v>
      </c>
      <c r="T847" s="315">
        <f>_xlfn.MAXIFS('Raw Period DMR Data'!$O:$O,'Raw Period DMR Data'!$A:$A,'Raw Annual DMR Data_2021-2024'!#REF!,'Raw Period DMR Data'!$C:$C,X847)/S847</f>
        <v>0</v>
      </c>
      <c r="U847" s="28" t="str">
        <f>+IF(COUNTIFS('Raw Period DMR Data'!$A:$A,B847,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47" s="28" t="str" cm="1">
        <f t="array" ref="V847">IFERROR(INDEX('Raw Period DMR Data'!N:N,MATCH(1,(B847='Raw Period DMR Data'!$A:$A)*(U847='Raw Period DMR Data'!M:M)*(X847='Raw Period DMR Data'!C:C),0),1), "N/A")</f>
        <v>N/A</v>
      </c>
      <c r="W847" s="28" t="s">
        <v>1463</v>
      </c>
      <c r="X847" s="28" t="s">
        <v>2207</v>
      </c>
      <c r="Y847" s="28" t="s">
        <v>2208</v>
      </c>
      <c r="Z847" s="61">
        <v>2030104000062</v>
      </c>
      <c r="AA847" s="60"/>
      <c r="AB847" s="28" t="s">
        <v>7355</v>
      </c>
      <c r="AC847" s="28" t="s">
        <v>1466</v>
      </c>
    </row>
    <row r="848" spans="1:29" s="28" customFormat="1" x14ac:dyDescent="0.25">
      <c r="A848" s="61">
        <v>110070218704</v>
      </c>
      <c r="B848" s="28">
        <v>2021</v>
      </c>
      <c r="C848" s="68">
        <f t="shared" si="13"/>
        <v>44197</v>
      </c>
      <c r="D848" s="28" t="s">
        <v>1340</v>
      </c>
      <c r="E848" s="28" t="s">
        <v>2206</v>
      </c>
      <c r="F848" s="28" t="s">
        <v>1341</v>
      </c>
      <c r="G848" s="28" t="s">
        <v>338</v>
      </c>
      <c r="H848" s="28">
        <v>7041</v>
      </c>
      <c r="I848" s="28">
        <v>40.723140000000001</v>
      </c>
      <c r="J848" s="28">
        <v>-74.310130000000001</v>
      </c>
      <c r="L848" s="61">
        <v>110070218704</v>
      </c>
      <c r="M848" s="28" t="s">
        <v>265</v>
      </c>
      <c r="O848" s="28" t="str">
        <f>IFERROR(VLOOKUP(N848, 'SIC &amp; NAICS Codes'!A:B, 2, FALSE), "")</f>
        <v/>
      </c>
      <c r="S848" s="28">
        <v>5.7690667199999999E-5</v>
      </c>
      <c r="T848" s="315">
        <f>_xlfn.MAXIFS('Raw Period DMR Data'!$O:$O,'Raw Period DMR Data'!$A:$A,'Raw Annual DMR Data_2021-2024'!#REF!,'Raw Period DMR Data'!$C:$C,X848)/S848</f>
        <v>0</v>
      </c>
      <c r="U848" s="28" t="str">
        <f>+IF(COUNTIFS('Raw Period DMR Data'!$A:$A,B848,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48" s="28" t="str" cm="1">
        <f t="array" ref="V848">IFERROR(INDEX('Raw Period DMR Data'!N:N,MATCH(1,(B848='Raw Period DMR Data'!$A:$A)*(U848='Raw Period DMR Data'!M:M)*(X848='Raw Period DMR Data'!C:C),0),1), "N/A")</f>
        <v>N/A</v>
      </c>
      <c r="W848" s="28" t="s">
        <v>1463</v>
      </c>
      <c r="X848" s="28" t="s">
        <v>2207</v>
      </c>
      <c r="Y848" s="28" t="s">
        <v>2208</v>
      </c>
      <c r="Z848" s="61">
        <v>2030104000062</v>
      </c>
      <c r="AB848" s="28" t="s">
        <v>7355</v>
      </c>
      <c r="AC848" s="28" t="s">
        <v>1466</v>
      </c>
    </row>
    <row r="849" spans="1:29" s="28" customFormat="1" x14ac:dyDescent="0.25">
      <c r="A849" s="61">
        <v>110070218704</v>
      </c>
      <c r="B849" s="28">
        <v>2022</v>
      </c>
      <c r="C849" s="68">
        <f t="shared" si="13"/>
        <v>44562</v>
      </c>
      <c r="D849" s="28" t="s">
        <v>1340</v>
      </c>
      <c r="E849" s="28" t="s">
        <v>2206</v>
      </c>
      <c r="F849" s="28" t="s">
        <v>1341</v>
      </c>
      <c r="G849" s="28" t="s">
        <v>338</v>
      </c>
      <c r="H849" s="28">
        <v>7041</v>
      </c>
      <c r="I849" s="28">
        <v>40.723140000000001</v>
      </c>
      <c r="J849" s="28">
        <v>-74.310130000000001</v>
      </c>
      <c r="L849" s="61">
        <v>110070218704</v>
      </c>
      <c r="M849" s="28" t="s">
        <v>265</v>
      </c>
      <c r="O849" s="28" t="str">
        <f>IFERROR(VLOOKUP(N849, 'SIC &amp; NAICS Codes'!A:B, 2, FALSE), "")</f>
        <v/>
      </c>
      <c r="S849" s="28">
        <v>4.9351214550000002E-5</v>
      </c>
      <c r="T849" s="315">
        <f>_xlfn.MAXIFS('Raw Period DMR Data'!$O:$O,'Raw Period DMR Data'!$A:$A,'Raw Annual DMR Data_2021-2024'!#REF!,'Raw Period DMR Data'!$C:$C,X849)/S849</f>
        <v>0</v>
      </c>
      <c r="U849" s="28" t="str">
        <f>+IF(COUNTIFS('Raw Period DMR Data'!$A:$A,B849,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49" s="28" t="str" cm="1">
        <f t="array" ref="V849">IFERROR(INDEX('Raw Period DMR Data'!N:N,MATCH(1,(B849='Raw Period DMR Data'!$A:$A)*(U849='Raw Period DMR Data'!M:M)*(X849='Raw Period DMR Data'!C:C),0),1), "N/A")</f>
        <v>N/A</v>
      </c>
      <c r="W849" s="28" t="s">
        <v>1463</v>
      </c>
      <c r="X849" s="28" t="s">
        <v>2207</v>
      </c>
      <c r="Y849" s="28" t="s">
        <v>2208</v>
      </c>
      <c r="Z849" s="61">
        <v>2030104000062</v>
      </c>
      <c r="AA849" s="60"/>
      <c r="AB849" s="28" t="s">
        <v>7355</v>
      </c>
      <c r="AC849" s="28" t="s">
        <v>1466</v>
      </c>
    </row>
    <row r="850" spans="1:29" s="28" customFormat="1" x14ac:dyDescent="0.25">
      <c r="A850" s="61">
        <v>110070218704</v>
      </c>
      <c r="B850" s="28">
        <v>2023</v>
      </c>
      <c r="C850" s="68">
        <f t="shared" si="13"/>
        <v>44927</v>
      </c>
      <c r="D850" s="28" t="s">
        <v>1340</v>
      </c>
      <c r="E850" s="28" t="s">
        <v>2206</v>
      </c>
      <c r="F850" s="28" t="s">
        <v>1341</v>
      </c>
      <c r="G850" s="28" t="s">
        <v>338</v>
      </c>
      <c r="H850" s="28" t="s">
        <v>7105</v>
      </c>
      <c r="I850" s="28">
        <v>40.723140000000001</v>
      </c>
      <c r="J850" s="28">
        <v>-74.310130000000001</v>
      </c>
      <c r="L850" s="61">
        <v>110070218704</v>
      </c>
      <c r="M850" s="28" t="s">
        <v>265</v>
      </c>
      <c r="O850" s="28" t="str">
        <f>IFERROR(VLOOKUP(N850, 'SIC &amp; NAICS Codes'!A:B, 2, FALSE), "")</f>
        <v/>
      </c>
      <c r="S850" s="28">
        <v>4.4448693300000003E-5</v>
      </c>
      <c r="T850" s="315">
        <f>_xlfn.MAXIFS('Raw Period DMR Data'!$O:$O,'Raw Period DMR Data'!$A:$A,'Raw Annual DMR Data_2021-2024'!#REF!,'Raw Period DMR Data'!$C:$C,X850)/S850</f>
        <v>0</v>
      </c>
      <c r="U850" s="28" t="str">
        <f>+IF(COUNTIFS('Raw Period DMR Data'!$A:$A,B850,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50" s="28" t="str" cm="1">
        <f t="array" ref="V850">IFERROR(INDEX('Raw Period DMR Data'!N:N,MATCH(1,(B850='Raw Period DMR Data'!$A:$A)*(U850='Raw Period DMR Data'!M:M)*(X850='Raw Period DMR Data'!C:C),0),1), "N/A")</f>
        <v>N/A</v>
      </c>
      <c r="W850" s="28" t="s">
        <v>1463</v>
      </c>
      <c r="X850" s="28" t="s">
        <v>2207</v>
      </c>
      <c r="Y850" s="28" t="s">
        <v>2208</v>
      </c>
      <c r="Z850" s="61" t="s">
        <v>7351</v>
      </c>
      <c r="AA850" s="60"/>
      <c r="AB850" s="28" t="s">
        <v>7355</v>
      </c>
      <c r="AC850" s="28" t="s">
        <v>1466</v>
      </c>
    </row>
    <row r="851" spans="1:29" s="28" customFormat="1" x14ac:dyDescent="0.25">
      <c r="A851" s="61">
        <v>110071501940</v>
      </c>
      <c r="B851" s="28">
        <v>2024</v>
      </c>
      <c r="C851" s="68">
        <f t="shared" si="13"/>
        <v>45292</v>
      </c>
      <c r="D851" s="28" t="s">
        <v>6882</v>
      </c>
      <c r="E851" s="28" t="s">
        <v>7056</v>
      </c>
      <c r="F851" s="28" t="s">
        <v>6991</v>
      </c>
      <c r="G851" s="28" t="s">
        <v>308</v>
      </c>
      <c r="H851" s="28">
        <v>2142</v>
      </c>
      <c r="I851" s="28">
        <v>42.365363000000002</v>
      </c>
      <c r="J851" s="28">
        <v>-71.087440999999998</v>
      </c>
      <c r="L851" s="61">
        <v>110071501940</v>
      </c>
      <c r="M851" s="28" t="s">
        <v>265</v>
      </c>
      <c r="N851" s="28">
        <v>4959</v>
      </c>
      <c r="O851" s="28" t="str">
        <f>IFERROR(VLOOKUP(N851, 'SIC &amp; NAICS Codes'!A:B, 2, FALSE), "")</f>
        <v>Sanitary Services, NEC (vacuuming of runways)</v>
      </c>
      <c r="S851" s="28">
        <v>3.11590567875E-2</v>
      </c>
      <c r="T851" s="315">
        <f>_xlfn.MAXIFS('Raw Period DMR Data'!$O:$O,'Raw Period DMR Data'!$A:$A,'Raw Annual DMR Data_2021-2024'!#REF!,'Raw Period DMR Data'!$C:$C,X851)/S851</f>
        <v>0</v>
      </c>
      <c r="U851" s="28" t="str">
        <f>+IF(COUNTIFS('Raw Period DMR Data'!$A:$A,B851,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51" s="28" t="str" cm="1">
        <f t="array" ref="V851">IFERROR(INDEX('Raw Period DMR Data'!N:N,MATCH(1,(B851='Raw Period DMR Data'!$A:$A)*(U851='Raw Period DMR Data'!M:M)*(X851='Raw Period DMR Data'!C:C),0),1), "N/A")</f>
        <v>N/A</v>
      </c>
      <c r="W851" s="28" t="s">
        <v>1463</v>
      </c>
      <c r="X851" s="28" t="s">
        <v>7208</v>
      </c>
      <c r="Y851" s="28" t="s">
        <v>7306</v>
      </c>
      <c r="Z851" s="61"/>
      <c r="AA851" s="60" t="s">
        <v>7355</v>
      </c>
      <c r="AB851" s="28" t="s">
        <v>7355</v>
      </c>
      <c r="AC851" s="28" t="s">
        <v>1466</v>
      </c>
    </row>
    <row r="852" spans="1:29" s="28" customFormat="1" x14ac:dyDescent="0.25">
      <c r="A852" s="61">
        <v>110071501940</v>
      </c>
      <c r="B852" s="28">
        <v>2023</v>
      </c>
      <c r="C852" s="68">
        <f t="shared" si="13"/>
        <v>44927</v>
      </c>
      <c r="D852" s="28" t="s">
        <v>6882</v>
      </c>
      <c r="E852" s="28" t="s">
        <v>7056</v>
      </c>
      <c r="F852" s="28" t="s">
        <v>6991</v>
      </c>
      <c r="G852" s="28" t="s">
        <v>308</v>
      </c>
      <c r="H852" s="28" t="s">
        <v>7089</v>
      </c>
      <c r="I852" s="28">
        <v>42.365363000000002</v>
      </c>
      <c r="J852" s="28">
        <v>-71.087440999999998</v>
      </c>
      <c r="L852" s="61">
        <v>110071501940</v>
      </c>
      <c r="M852" s="28" t="s">
        <v>265</v>
      </c>
      <c r="N852" s="28">
        <v>4959</v>
      </c>
      <c r="O852" s="28" t="str">
        <f>IFERROR(VLOOKUP(N852, 'SIC &amp; NAICS Codes'!A:B, 2, FALSE), "")</f>
        <v>Sanitary Services, NEC (vacuuming of runways)</v>
      </c>
      <c r="S852" s="28">
        <v>1.2962584124999999E-2</v>
      </c>
      <c r="T852" s="315">
        <f>_xlfn.MAXIFS('Raw Period DMR Data'!$O:$O,'Raw Period DMR Data'!$A:$A,'Raw Annual DMR Data_2021-2024'!#REF!,'Raw Period DMR Data'!$C:$C,X852)/S852</f>
        <v>0</v>
      </c>
      <c r="U852" s="28" t="str">
        <f>+IF(COUNTIFS('Raw Period DMR Data'!$A:$A,B852,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52" s="28" t="str" cm="1">
        <f t="array" ref="V852">IFERROR(INDEX('Raw Period DMR Data'!N:N,MATCH(1,(B852='Raw Period DMR Data'!$A:$A)*(U852='Raw Period DMR Data'!M:M)*(X852='Raw Period DMR Data'!C:C),0),1), "N/A")</f>
        <v>N/A</v>
      </c>
      <c r="W852" s="28" t="s">
        <v>1463</v>
      </c>
      <c r="X852" s="28" t="s">
        <v>7208</v>
      </c>
      <c r="Y852" s="28" t="s">
        <v>7306</v>
      </c>
      <c r="Z852" s="61"/>
      <c r="AA852" s="60"/>
      <c r="AB852" s="28" t="s">
        <v>7355</v>
      </c>
      <c r="AC852" s="28" t="s">
        <v>1466</v>
      </c>
    </row>
    <row r="853" spans="1:29" s="28" customFormat="1" x14ac:dyDescent="0.25">
      <c r="A853" s="61">
        <v>110071501940</v>
      </c>
      <c r="B853" s="28">
        <v>2023</v>
      </c>
      <c r="C853" s="68">
        <f t="shared" si="13"/>
        <v>44927</v>
      </c>
      <c r="D853" s="28" t="s">
        <v>6882</v>
      </c>
      <c r="E853" s="28" t="s">
        <v>7056</v>
      </c>
      <c r="F853" s="28" t="s">
        <v>6991</v>
      </c>
      <c r="G853" s="28" t="s">
        <v>308</v>
      </c>
      <c r="H853" s="28" t="s">
        <v>7089</v>
      </c>
      <c r="I853" s="28">
        <v>42.365363000000002</v>
      </c>
      <c r="J853" s="28">
        <v>-71.087440999999998</v>
      </c>
      <c r="L853" s="61">
        <v>110071501940</v>
      </c>
      <c r="M853" s="28" t="s">
        <v>265</v>
      </c>
      <c r="N853" s="28">
        <v>4959</v>
      </c>
      <c r="O853" s="28" t="str">
        <f>IFERROR(VLOOKUP(N853, 'SIC &amp; NAICS Codes'!A:B, 2, FALSE), "")</f>
        <v>Sanitary Services, NEC (vacuuming of runways)</v>
      </c>
      <c r="S853" s="28">
        <v>1.2962584124999999E-2</v>
      </c>
      <c r="T853" s="315">
        <f>_xlfn.MAXIFS('Raw Period DMR Data'!$O:$O,'Raw Period DMR Data'!$A:$A,'Raw Annual DMR Data_2021-2024'!#REF!,'Raw Period DMR Data'!$C:$C,X853)/S853</f>
        <v>0</v>
      </c>
      <c r="U853" s="28" t="str">
        <f>+IF(COUNTIFS('Raw Period DMR Data'!$A:$A,B853,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53" s="28" t="str" cm="1">
        <f t="array" ref="V853">IFERROR(INDEX('Raw Period DMR Data'!N:N,MATCH(1,(B853='Raw Period DMR Data'!$A:$A)*(U853='Raw Period DMR Data'!M:M)*(X853='Raw Period DMR Data'!C:C),0),1), "N/A")</f>
        <v>N/A</v>
      </c>
      <c r="W853" s="28" t="s">
        <v>1463</v>
      </c>
      <c r="X853" s="28" t="s">
        <v>7208</v>
      </c>
      <c r="Y853" s="28" t="s">
        <v>7306</v>
      </c>
      <c r="Z853" s="61"/>
      <c r="AA853" s="60"/>
      <c r="AB853" s="28" t="s">
        <v>7355</v>
      </c>
      <c r="AC853" s="28" t="s">
        <v>1466</v>
      </c>
    </row>
    <row r="854" spans="1:29" s="28" customFormat="1" x14ac:dyDescent="0.25">
      <c r="A854" s="61">
        <v>110071501940</v>
      </c>
      <c r="B854" s="28">
        <v>2024</v>
      </c>
      <c r="C854" s="68">
        <f t="shared" si="13"/>
        <v>45292</v>
      </c>
      <c r="D854" s="28" t="s">
        <v>6882</v>
      </c>
      <c r="E854" s="28" t="s">
        <v>7056</v>
      </c>
      <c r="F854" s="28" t="s">
        <v>6991</v>
      </c>
      <c r="G854" s="28" t="s">
        <v>308</v>
      </c>
      <c r="H854" s="28">
        <v>2142</v>
      </c>
      <c r="I854" s="28">
        <v>42.365363000000002</v>
      </c>
      <c r="J854" s="28">
        <v>-71.087440999999998</v>
      </c>
      <c r="L854" s="61">
        <v>110071501940</v>
      </c>
      <c r="M854" s="28" t="s">
        <v>265</v>
      </c>
      <c r="N854" s="28">
        <v>4959</v>
      </c>
      <c r="O854" s="28" t="str">
        <f>IFERROR(VLOOKUP(N854, 'SIC &amp; NAICS Codes'!A:B, 2, FALSE), "")</f>
        <v>Sanitary Services, NEC (vacuuming of runways)</v>
      </c>
      <c r="S854" s="28">
        <v>1.7540901199999999E-4</v>
      </c>
      <c r="T854" s="315">
        <f>_xlfn.MAXIFS('Raw Period DMR Data'!$O:$O,'Raw Period DMR Data'!$A:$A,'Raw Annual DMR Data_2021-2024'!#REF!,'Raw Period DMR Data'!$C:$C,X854)/S854</f>
        <v>0</v>
      </c>
      <c r="U854" s="28" t="str">
        <f>+IF(COUNTIFS('Raw Period DMR Data'!$A:$A,B854,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54" s="28" t="str" cm="1">
        <f t="array" ref="V854">IFERROR(INDEX('Raw Period DMR Data'!N:N,MATCH(1,(B854='Raw Period DMR Data'!$A:$A)*(U854='Raw Period DMR Data'!M:M)*(X854='Raw Period DMR Data'!C:C),0),1), "N/A")</f>
        <v>N/A</v>
      </c>
      <c r="W854" s="28" t="s">
        <v>1463</v>
      </c>
      <c r="X854" s="28" t="s">
        <v>7208</v>
      </c>
      <c r="Y854" s="28" t="s">
        <v>7306</v>
      </c>
      <c r="Z854" s="61"/>
      <c r="AA854" s="60"/>
      <c r="AB854" s="28" t="s">
        <v>7355</v>
      </c>
      <c r="AC854" s="28" t="s">
        <v>1466</v>
      </c>
    </row>
    <row r="855" spans="1:29" s="28" customFormat="1" x14ac:dyDescent="0.25">
      <c r="A855" s="61">
        <v>110071501940</v>
      </c>
      <c r="B855" s="28">
        <v>2023</v>
      </c>
      <c r="C855" s="68">
        <f t="shared" si="13"/>
        <v>44927</v>
      </c>
      <c r="D855" s="28" t="s">
        <v>6882</v>
      </c>
      <c r="E855" s="28" t="s">
        <v>7056</v>
      </c>
      <c r="F855" s="28" t="s">
        <v>6991</v>
      </c>
      <c r="G855" s="28" t="s">
        <v>308</v>
      </c>
      <c r="H855" s="28" t="s">
        <v>7089</v>
      </c>
      <c r="I855" s="28">
        <v>42.365363000000002</v>
      </c>
      <c r="J855" s="28">
        <v>-71.087440999999998</v>
      </c>
      <c r="L855" s="61">
        <v>110071501940</v>
      </c>
      <c r="M855" s="28" t="s">
        <v>265</v>
      </c>
      <c r="N855" s="28">
        <v>4959</v>
      </c>
      <c r="O855" s="28" t="str">
        <f>IFERROR(VLOOKUP(N855, 'SIC &amp; NAICS Codes'!A:B, 2, FALSE), "")</f>
        <v>Sanitary Services, NEC (vacuuming of runways)</v>
      </c>
      <c r="S855" s="28">
        <v>2.26248375E-5</v>
      </c>
      <c r="T855" s="315">
        <f>_xlfn.MAXIFS('Raw Period DMR Data'!$O:$O,'Raw Period DMR Data'!$A:$A,'Raw Annual DMR Data_2021-2024'!#REF!,'Raw Period DMR Data'!$C:$C,X855)/S855</f>
        <v>0</v>
      </c>
      <c r="U855" s="28" t="str">
        <f>+IF(COUNTIFS('Raw Period DMR Data'!$A:$A,B855,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55" s="28" t="str" cm="1">
        <f t="array" ref="V855">IFERROR(INDEX('Raw Period DMR Data'!N:N,MATCH(1,(B855='Raw Period DMR Data'!$A:$A)*(U855='Raw Period DMR Data'!M:M)*(X855='Raw Period DMR Data'!C:C),0),1), "N/A")</f>
        <v>N/A</v>
      </c>
      <c r="W855" s="28" t="s">
        <v>1463</v>
      </c>
      <c r="X855" s="28" t="s">
        <v>7208</v>
      </c>
      <c r="Y855" s="28" t="s">
        <v>7306</v>
      </c>
      <c r="Z855" s="61"/>
      <c r="AA855" s="60"/>
      <c r="AB855" s="28" t="s">
        <v>7355</v>
      </c>
      <c r="AC855" s="28" t="s">
        <v>1466</v>
      </c>
    </row>
    <row r="856" spans="1:29" s="28" customFormat="1" x14ac:dyDescent="0.25">
      <c r="A856" s="61">
        <v>110071501940</v>
      </c>
      <c r="B856" s="28">
        <v>2022</v>
      </c>
      <c r="C856" s="68">
        <f t="shared" si="13"/>
        <v>44562</v>
      </c>
      <c r="D856" s="28" t="s">
        <v>6882</v>
      </c>
      <c r="E856" s="28" t="s">
        <v>7056</v>
      </c>
      <c r="F856" s="28" t="s">
        <v>6991</v>
      </c>
      <c r="G856" s="28" t="s">
        <v>308</v>
      </c>
      <c r="H856" s="28">
        <v>2142</v>
      </c>
      <c r="I856" s="28">
        <v>42.365363000000002</v>
      </c>
      <c r="J856" s="28">
        <v>-71.087440999999998</v>
      </c>
      <c r="L856" s="61">
        <v>110071501940</v>
      </c>
      <c r="M856" s="28" t="s">
        <v>265</v>
      </c>
      <c r="N856" s="28">
        <v>4959</v>
      </c>
      <c r="O856" s="28" t="str">
        <f>IFERROR(VLOOKUP(N856, 'SIC &amp; NAICS Codes'!A:B, 2, FALSE), "")</f>
        <v>Sanitary Services, NEC (vacuuming of runways)</v>
      </c>
      <c r="S856" s="28">
        <v>2.1120299999999998E-5</v>
      </c>
      <c r="T856" s="315">
        <f>_xlfn.MAXIFS('Raw Period DMR Data'!$O:$O,'Raw Period DMR Data'!$A:$A,'Raw Annual DMR Data_2021-2024'!#REF!,'Raw Period DMR Data'!$C:$C,X856)/S856</f>
        <v>0</v>
      </c>
      <c r="U856" s="28" t="str">
        <f>+IF(COUNTIFS('Raw Period DMR Data'!$A:$A,B856,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56" s="28" t="str" cm="1">
        <f t="array" ref="V856">IFERROR(INDEX('Raw Period DMR Data'!N:N,MATCH(1,(B856='Raw Period DMR Data'!$A:$A)*(U856='Raw Period DMR Data'!M:M)*(X856='Raw Period DMR Data'!C:C),0),1), "N/A")</f>
        <v>N/A</v>
      </c>
      <c r="W856" s="28" t="s">
        <v>1463</v>
      </c>
      <c r="X856" s="28" t="s">
        <v>7208</v>
      </c>
      <c r="Y856" s="28" t="s">
        <v>7306</v>
      </c>
      <c r="Z856" s="61"/>
      <c r="AA856" s="60"/>
      <c r="AB856" s="28" t="s">
        <v>7355</v>
      </c>
      <c r="AC856" s="28" t="s">
        <v>1466</v>
      </c>
    </row>
    <row r="857" spans="1:29" s="28" customFormat="1" x14ac:dyDescent="0.25">
      <c r="A857" s="61">
        <v>110003499857</v>
      </c>
      <c r="B857" s="28">
        <v>2023</v>
      </c>
      <c r="C857" s="68">
        <f t="shared" si="13"/>
        <v>44927</v>
      </c>
      <c r="D857" s="28" t="s">
        <v>6901</v>
      </c>
      <c r="E857" s="28" t="s">
        <v>7094</v>
      </c>
      <c r="F857" s="28" t="s">
        <v>1370</v>
      </c>
      <c r="G857" s="28" t="s">
        <v>308</v>
      </c>
      <c r="H857" s="28" t="s">
        <v>7095</v>
      </c>
      <c r="I857" s="28">
        <v>42.012988</v>
      </c>
      <c r="J857" s="28">
        <v>-71.213122999999996</v>
      </c>
      <c r="L857" s="61">
        <v>110003499857</v>
      </c>
      <c r="M857" s="28" t="s">
        <v>265</v>
      </c>
      <c r="N857" s="28">
        <v>4959</v>
      </c>
      <c r="O857" s="28" t="str">
        <f>IFERROR(VLOOKUP(N857, 'SIC &amp; NAICS Codes'!A:B, 2, FALSE), "")</f>
        <v>Sanitary Services, NEC (vacuuming of runways)</v>
      </c>
      <c r="S857" s="28">
        <v>8.7993973067142794E-2</v>
      </c>
      <c r="T857" s="315">
        <f>_xlfn.MAXIFS('Raw Period DMR Data'!$O:$O,'Raw Period DMR Data'!$A:$A,'Raw Annual DMR Data_2021-2024'!#REF!,'Raw Period DMR Data'!$C:$C,X857)/S857</f>
        <v>0</v>
      </c>
      <c r="U857" s="28" t="str">
        <f>+IF(COUNTIFS('Raw Period DMR Data'!$A:$A,B857,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57" s="28" t="str" cm="1">
        <f t="array" ref="V857">IFERROR(INDEX('Raw Period DMR Data'!N:N,MATCH(1,(B857='Raw Period DMR Data'!$A:$A)*(U857='Raw Period DMR Data'!M:M)*(X857='Raw Period DMR Data'!C:C),0),1), "N/A")</f>
        <v>N/A</v>
      </c>
      <c r="W857" s="28" t="s">
        <v>1463</v>
      </c>
      <c r="X857" s="28" t="s">
        <v>7230</v>
      </c>
      <c r="Y857" s="28" t="s">
        <v>2258</v>
      </c>
      <c r="Z857" s="61"/>
      <c r="AA857" s="60" t="s">
        <v>7355</v>
      </c>
      <c r="AB857" s="28" t="s">
        <v>7355</v>
      </c>
      <c r="AC857" s="28" t="s">
        <v>1466</v>
      </c>
    </row>
    <row r="858" spans="1:29" s="28" customFormat="1" x14ac:dyDescent="0.25">
      <c r="A858" s="61">
        <v>110003499857</v>
      </c>
      <c r="B858" s="28">
        <v>2024</v>
      </c>
      <c r="C858" s="68">
        <f t="shared" si="13"/>
        <v>45292</v>
      </c>
      <c r="D858" s="28" t="s">
        <v>6901</v>
      </c>
      <c r="E858" s="28" t="s">
        <v>7094</v>
      </c>
      <c r="F858" s="28" t="s">
        <v>1370</v>
      </c>
      <c r="G858" s="28" t="s">
        <v>308</v>
      </c>
      <c r="H858" s="28">
        <v>2048</v>
      </c>
      <c r="I858" s="28">
        <v>42.012988</v>
      </c>
      <c r="J858" s="28">
        <v>-71.213122999999996</v>
      </c>
      <c r="L858" s="61">
        <v>110003499857</v>
      </c>
      <c r="M858" s="28" t="s">
        <v>265</v>
      </c>
      <c r="N858" s="28">
        <v>4959</v>
      </c>
      <c r="O858" s="28" t="str">
        <f>IFERROR(VLOOKUP(N858, 'SIC &amp; NAICS Codes'!A:B, 2, FALSE), "")</f>
        <v>Sanitary Services, NEC (vacuuming of runways)</v>
      </c>
      <c r="S858" s="28">
        <v>9.914334375000001E-4</v>
      </c>
      <c r="T858" s="315">
        <f>_xlfn.MAXIFS('Raw Period DMR Data'!$O:$O,'Raw Period DMR Data'!$A:$A,'Raw Annual DMR Data_2021-2024'!#REF!,'Raw Period DMR Data'!$C:$C,X858)/S858</f>
        <v>0</v>
      </c>
      <c r="U858" s="28" t="str">
        <f>+IF(COUNTIFS('Raw Period DMR Data'!$A:$A,B858,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58" s="28" t="str" cm="1">
        <f t="array" ref="V858">IFERROR(INDEX('Raw Period DMR Data'!N:N,MATCH(1,(B858='Raw Period DMR Data'!$A:$A)*(U858='Raw Period DMR Data'!M:M)*(X858='Raw Period DMR Data'!C:C),0),1), "N/A")</f>
        <v>N/A</v>
      </c>
      <c r="W858" s="28" t="s">
        <v>1463</v>
      </c>
      <c r="X858" s="28" t="s">
        <v>7230</v>
      </c>
      <c r="Y858" s="28" t="s">
        <v>2258</v>
      </c>
      <c r="Z858" s="61"/>
      <c r="AA858" s="60"/>
      <c r="AB858" s="28" t="s">
        <v>7355</v>
      </c>
      <c r="AC858" s="28" t="s">
        <v>1466</v>
      </c>
    </row>
    <row r="859" spans="1:29" s="28" customFormat="1" x14ac:dyDescent="0.25">
      <c r="A859" s="61">
        <v>110003499857</v>
      </c>
      <c r="B859" s="28">
        <v>2023</v>
      </c>
      <c r="C859" s="68">
        <f t="shared" si="13"/>
        <v>44927</v>
      </c>
      <c r="D859" s="28" t="s">
        <v>6901</v>
      </c>
      <c r="E859" s="28" t="s">
        <v>7094</v>
      </c>
      <c r="F859" s="28" t="s">
        <v>1370</v>
      </c>
      <c r="G859" s="28" t="s">
        <v>308</v>
      </c>
      <c r="H859" s="28" t="s">
        <v>7095</v>
      </c>
      <c r="I859" s="28">
        <v>42.012988</v>
      </c>
      <c r="J859" s="28">
        <v>-71.213122999999996</v>
      </c>
      <c r="L859" s="61">
        <v>110003499857</v>
      </c>
      <c r="M859" s="28" t="s">
        <v>265</v>
      </c>
      <c r="N859" s="28">
        <v>4959</v>
      </c>
      <c r="O859" s="28" t="str">
        <f>IFERROR(VLOOKUP(N859, 'SIC &amp; NAICS Codes'!A:B, 2, FALSE), "")</f>
        <v>Sanitary Services, NEC (vacuuming of runways)</v>
      </c>
      <c r="S859" s="28">
        <v>3.7473392500000002E-4</v>
      </c>
      <c r="T859" s="315">
        <f>_xlfn.MAXIFS('Raw Period DMR Data'!$O:$O,'Raw Period DMR Data'!$A:$A,'Raw Annual DMR Data_2021-2024'!#REF!,'Raw Period DMR Data'!$C:$C,X859)/S859</f>
        <v>0</v>
      </c>
      <c r="U859" s="28" t="str">
        <f>+IF(COUNTIFS('Raw Period DMR Data'!$A:$A,B859,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59" s="28" t="str" cm="1">
        <f t="array" ref="V859">IFERROR(INDEX('Raw Period DMR Data'!N:N,MATCH(1,(B859='Raw Period DMR Data'!$A:$A)*(U859='Raw Period DMR Data'!M:M)*(X859='Raw Period DMR Data'!C:C),0),1), "N/A")</f>
        <v>N/A</v>
      </c>
      <c r="W859" s="28" t="s">
        <v>1463</v>
      </c>
      <c r="X859" s="28" t="s">
        <v>7237</v>
      </c>
      <c r="Y859" s="28" t="s">
        <v>2258</v>
      </c>
      <c r="Z859" s="61"/>
      <c r="AA859" s="60"/>
      <c r="AB859" s="28" t="s">
        <v>7355</v>
      </c>
      <c r="AC859" s="28" t="s">
        <v>1466</v>
      </c>
    </row>
    <row r="860" spans="1:29" s="28" customFormat="1" x14ac:dyDescent="0.25">
      <c r="A860" s="61">
        <v>110009830200</v>
      </c>
      <c r="B860" s="28">
        <v>2024</v>
      </c>
      <c r="C860" s="68">
        <f t="shared" si="13"/>
        <v>45292</v>
      </c>
      <c r="D860" s="28" t="s">
        <v>1356</v>
      </c>
      <c r="E860" s="28" t="s">
        <v>2231</v>
      </c>
      <c r="F860" s="28" t="s">
        <v>1357</v>
      </c>
      <c r="G860" s="28" t="s">
        <v>418</v>
      </c>
      <c r="H860" s="28">
        <v>89434</v>
      </c>
      <c r="I860" s="28">
        <v>39.530619999999999</v>
      </c>
      <c r="J860" s="28">
        <v>-119.73309</v>
      </c>
      <c r="L860" s="61">
        <v>110009830200</v>
      </c>
      <c r="M860" s="28" t="s">
        <v>265</v>
      </c>
      <c r="N860" s="28">
        <v>9511</v>
      </c>
      <c r="O860" s="28" t="str">
        <f>IFERROR(VLOOKUP(N860, 'SIC &amp; NAICS Codes'!A:B, 2, FALSE), "")</f>
        <v>Air and Water Resource and Solid Waste Management</v>
      </c>
      <c r="S860" s="28">
        <v>7.9783068750000004</v>
      </c>
      <c r="T860" s="315">
        <f>_xlfn.MAXIFS('Raw Period DMR Data'!$O:$O,'Raw Period DMR Data'!$A:$A,'Raw Annual DMR Data_2021-2024'!B962,'Raw Period DMR Data'!$C:$C,X860)/S860</f>
        <v>0</v>
      </c>
      <c r="U860" s="28" t="str">
        <f>+IF(COUNTIFS('Raw Period DMR Data'!$A:$A,B860, 'Raw Period DMR Data'!C:C,'Raw Annual DMR Data_2021-2024'!X962, 'Raw Period DMR Data'!M:M, "&gt;0")&gt;0,_xlfn.MAXIFS('Raw Period DMR Data'!M:M,'Raw Period DMR Data'!$A:$A,'Raw Annual DMR Data_2021-2024'!B962,'Raw Period DMR Data'!C:C,'Raw Annual DMR Data_2021-2024'!X962), "N/A - Period DMR Data Not Available")</f>
        <v>N/A - Period DMR Data Not Available</v>
      </c>
      <c r="V860" s="28" t="str" cm="1">
        <f t="array" ref="V860">IFERROR(INDEX('Raw Period DMR Data'!N:N,MATCH(1,(B860='Raw Period DMR Data'!$A:$A)*(U860='Raw Period DMR Data'!M:M)*(X860='Raw Period DMR Data'!C:C),0),1), "N/A")</f>
        <v>N/A</v>
      </c>
      <c r="W860" s="28" t="s">
        <v>1463</v>
      </c>
      <c r="X860" s="28" t="s">
        <v>2232</v>
      </c>
      <c r="Y860" s="28" t="s">
        <v>2233</v>
      </c>
      <c r="Z860" s="61">
        <v>16050102000423</v>
      </c>
      <c r="AA860" s="60"/>
      <c r="AB860" s="28" t="s">
        <v>7355</v>
      </c>
      <c r="AC860" s="28" t="s">
        <v>1466</v>
      </c>
    </row>
    <row r="861" spans="1:29" s="28" customFormat="1" x14ac:dyDescent="0.25">
      <c r="A861" s="61">
        <v>110009830200</v>
      </c>
      <c r="B861" s="28">
        <v>2021</v>
      </c>
      <c r="C861" s="68">
        <f t="shared" si="13"/>
        <v>44197</v>
      </c>
      <c r="D861" s="28" t="s">
        <v>1356</v>
      </c>
      <c r="E861" s="28" t="s">
        <v>2231</v>
      </c>
      <c r="F861" s="28" t="s">
        <v>1357</v>
      </c>
      <c r="G861" s="28" t="s">
        <v>418</v>
      </c>
      <c r="H861" s="28">
        <v>89434</v>
      </c>
      <c r="I861" s="28">
        <v>39.530619999999999</v>
      </c>
      <c r="J861" s="28">
        <v>-119.73309</v>
      </c>
      <c r="L861" s="61">
        <v>110009830200</v>
      </c>
      <c r="M861" s="28" t="s">
        <v>265</v>
      </c>
      <c r="N861" s="28">
        <v>9511</v>
      </c>
      <c r="O861" s="28" t="str">
        <f>IFERROR(VLOOKUP(N861, 'SIC &amp; NAICS Codes'!A:B, 2, FALSE), "")</f>
        <v>Air and Water Resource and Solid Waste Management</v>
      </c>
      <c r="S861" s="28">
        <v>2.7837728749999999</v>
      </c>
      <c r="T861" s="315">
        <f>_xlfn.MAXIFS('Raw Period DMR Data'!$O:$O,'Raw Period DMR Data'!$A:$A,'Raw Annual DMR Data_2021-2024'!#REF!,'Raw Period DMR Data'!$C:$C,X861)/S861</f>
        <v>0</v>
      </c>
      <c r="U861" s="28" t="str">
        <f>+IF(COUNTIFS('Raw Period DMR Data'!$A:$A,B861,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61" s="28" t="str" cm="1">
        <f t="array" ref="V861">IFERROR(INDEX('Raw Period DMR Data'!N:N,MATCH(1,(B861='Raw Period DMR Data'!$A:$A)*(U861='Raw Period DMR Data'!M:M)*(X861='Raw Period DMR Data'!C:C),0),1), "N/A")</f>
        <v>N/A</v>
      </c>
      <c r="W861" s="28" t="s">
        <v>1463</v>
      </c>
      <c r="X861" s="28" t="s">
        <v>2232</v>
      </c>
      <c r="Y861" s="28" t="s">
        <v>2233</v>
      </c>
      <c r="Z861" s="61">
        <v>16050102000423</v>
      </c>
      <c r="AB861" s="28" t="s">
        <v>7355</v>
      </c>
      <c r="AC861" s="28" t="s">
        <v>1466</v>
      </c>
    </row>
    <row r="862" spans="1:29" s="28" customFormat="1" x14ac:dyDescent="0.25">
      <c r="A862" s="61">
        <v>110009830200</v>
      </c>
      <c r="B862" s="28">
        <v>2023</v>
      </c>
      <c r="C862" s="68">
        <f t="shared" si="13"/>
        <v>44927</v>
      </c>
      <c r="D862" s="28" t="s">
        <v>1356</v>
      </c>
      <c r="E862" s="28" t="s">
        <v>2231</v>
      </c>
      <c r="F862" s="28" t="s">
        <v>1357</v>
      </c>
      <c r="G862" s="28" t="s">
        <v>418</v>
      </c>
      <c r="H862" s="28">
        <v>89434</v>
      </c>
      <c r="I862" s="28">
        <v>39.530619999999999</v>
      </c>
      <c r="J862" s="28">
        <v>-119.73309</v>
      </c>
      <c r="L862" s="61">
        <v>110009830200</v>
      </c>
      <c r="M862" s="28" t="s">
        <v>265</v>
      </c>
      <c r="N862" s="28">
        <v>9511</v>
      </c>
      <c r="O862" s="28" t="str">
        <f>IFERROR(VLOOKUP(N862, 'SIC &amp; NAICS Codes'!A:B, 2, FALSE), "")</f>
        <v>Air and Water Resource and Solid Waste Management</v>
      </c>
      <c r="S862" s="28">
        <v>2.0101188749999999</v>
      </c>
      <c r="T862" s="315">
        <f>_xlfn.MAXIFS('Raw Period DMR Data'!$O:$O,'Raw Period DMR Data'!$A:$A,'Raw Annual DMR Data_2021-2024'!#REF!,'Raw Period DMR Data'!$C:$C,X862)/S862</f>
        <v>0</v>
      </c>
      <c r="U862" s="28" t="str">
        <f>+IF(COUNTIFS('Raw Period DMR Data'!$A:$A,B862,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62" s="28" t="str" cm="1">
        <f t="array" ref="V862">IFERROR(INDEX('Raw Period DMR Data'!N:N,MATCH(1,(B862='Raw Period DMR Data'!$A:$A)*(U862='Raw Period DMR Data'!M:M)*(X862='Raw Period DMR Data'!C:C),0),1), "N/A")</f>
        <v>N/A</v>
      </c>
      <c r="W862" s="28" t="s">
        <v>1463</v>
      </c>
      <c r="X862" s="28" t="s">
        <v>2232</v>
      </c>
      <c r="Y862" s="28" t="s">
        <v>2233</v>
      </c>
      <c r="Z862" s="61">
        <v>16050102000423</v>
      </c>
      <c r="AA862" s="60"/>
      <c r="AB862" s="28" t="s">
        <v>7355</v>
      </c>
      <c r="AC862" s="28" t="s">
        <v>1466</v>
      </c>
    </row>
    <row r="863" spans="1:29" s="28" customFormat="1" x14ac:dyDescent="0.25">
      <c r="A863" s="61">
        <v>110009830200</v>
      </c>
      <c r="B863" s="28">
        <v>2022</v>
      </c>
      <c r="C863" s="68">
        <f t="shared" si="13"/>
        <v>44562</v>
      </c>
      <c r="D863" s="28" t="s">
        <v>1356</v>
      </c>
      <c r="E863" s="28" t="s">
        <v>2231</v>
      </c>
      <c r="F863" s="28" t="s">
        <v>1357</v>
      </c>
      <c r="G863" s="28" t="s">
        <v>418</v>
      </c>
      <c r="H863" s="28">
        <v>89434</v>
      </c>
      <c r="I863" s="28">
        <v>39.530619999999999</v>
      </c>
      <c r="J863" s="28">
        <v>-119.73309</v>
      </c>
      <c r="L863" s="61">
        <v>110009830200</v>
      </c>
      <c r="M863" s="28" t="s">
        <v>265</v>
      </c>
      <c r="N863" s="28">
        <v>9511</v>
      </c>
      <c r="O863" s="28" t="str">
        <f>IFERROR(VLOOKUP(N863, 'SIC &amp; NAICS Codes'!A:B, 2, FALSE), "")</f>
        <v>Air and Water Resource and Solid Waste Management</v>
      </c>
      <c r="S863" s="28">
        <v>1.64401475</v>
      </c>
      <c r="T863" s="315">
        <f>_xlfn.MAXIFS('Raw Period DMR Data'!$O:$O,'Raw Period DMR Data'!$A:$A,'Raw Annual DMR Data_2021-2024'!#REF!,'Raw Period DMR Data'!$C:$C,X863)/S863</f>
        <v>0</v>
      </c>
      <c r="U863" s="28" t="str">
        <f>+IF(COUNTIFS('Raw Period DMR Data'!$A:$A,B863,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63" s="28" t="str" cm="1">
        <f t="array" ref="V863">IFERROR(INDEX('Raw Period DMR Data'!N:N,MATCH(1,(B863='Raw Period DMR Data'!$A:$A)*(U863='Raw Period DMR Data'!M:M)*(X863='Raw Period DMR Data'!C:C),0),1), "N/A")</f>
        <v>N/A</v>
      </c>
      <c r="W863" s="28" t="s">
        <v>1463</v>
      </c>
      <c r="X863" s="28" t="s">
        <v>2232</v>
      </c>
      <c r="Y863" s="28" t="s">
        <v>2233</v>
      </c>
      <c r="Z863" s="61">
        <v>16050102000423</v>
      </c>
      <c r="AA863" s="60"/>
      <c r="AB863" s="28" t="s">
        <v>7355</v>
      </c>
      <c r="AC863" s="28" t="s">
        <v>1466</v>
      </c>
    </row>
    <row r="864" spans="1:29" s="28" customFormat="1" x14ac:dyDescent="0.25">
      <c r="A864" s="61">
        <v>110000449435</v>
      </c>
      <c r="B864" s="28">
        <v>2024</v>
      </c>
      <c r="C864" s="68">
        <f t="shared" si="13"/>
        <v>45292</v>
      </c>
      <c r="D864" s="28" t="s">
        <v>6893</v>
      </c>
      <c r="E864" s="28" t="s">
        <v>7075</v>
      </c>
      <c r="F864" s="28" t="s">
        <v>7050</v>
      </c>
      <c r="G864" s="28" t="s">
        <v>303</v>
      </c>
      <c r="H864" s="28">
        <v>70578</v>
      </c>
      <c r="I864" s="28">
        <v>30.230833000000001</v>
      </c>
      <c r="J864" s="28">
        <v>-92.306667000000004</v>
      </c>
      <c r="K864" s="28" t="s">
        <v>7133</v>
      </c>
      <c r="L864" s="61">
        <v>110000449435</v>
      </c>
      <c r="M864" s="28" t="s">
        <v>265</v>
      </c>
      <c r="N864" s="28">
        <v>5169</v>
      </c>
      <c r="O864" s="28" t="str">
        <f>IFERROR(VLOOKUP(N864, 'SIC &amp; NAICS Codes'!A:B, 2, FALSE), "")</f>
        <v>Chemicals and Allied Products, NEC (merchant wholesalers)</v>
      </c>
      <c r="S864" s="28">
        <v>7.3561475000000003E-4</v>
      </c>
      <c r="T864" s="315">
        <f>_xlfn.MAXIFS('Raw Period DMR Data'!$O:$O,'Raw Period DMR Data'!$A:$A,'Raw Annual DMR Data_2021-2024'!#REF!,'Raw Period DMR Data'!$C:$C,X864)/S864</f>
        <v>0</v>
      </c>
      <c r="U864" s="28" t="str">
        <f>+IF(COUNTIFS('Raw Period DMR Data'!$A:$A,B864,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64" s="28" t="str" cm="1">
        <f t="array" ref="V864">IFERROR(INDEX('Raw Period DMR Data'!N:N,MATCH(1,(B864='Raw Period DMR Data'!$A:$A)*(U864='Raw Period DMR Data'!M:M)*(X864='Raw Period DMR Data'!C:C),0),1), "N/A")</f>
        <v>N/A</v>
      </c>
      <c r="W864" s="28" t="s">
        <v>1463</v>
      </c>
      <c r="X864" s="28" t="s">
        <v>7220</v>
      </c>
      <c r="Y864" s="28" t="s">
        <v>7314</v>
      </c>
      <c r="Z864" s="61">
        <v>8080201000271</v>
      </c>
      <c r="AA864" s="60"/>
      <c r="AB864" s="28" t="s">
        <v>7355</v>
      </c>
      <c r="AC864" s="28" t="s">
        <v>1466</v>
      </c>
    </row>
    <row r="865" spans="1:29" s="28" customFormat="1" x14ac:dyDescent="0.25">
      <c r="A865" s="61">
        <v>110045515180</v>
      </c>
      <c r="B865" s="28">
        <v>2022</v>
      </c>
      <c r="C865" s="68">
        <f t="shared" si="13"/>
        <v>44562</v>
      </c>
      <c r="D865" s="28" t="s">
        <v>1362</v>
      </c>
      <c r="E865" s="28" t="s">
        <v>2240</v>
      </c>
      <c r="F865" s="28" t="s">
        <v>1282</v>
      </c>
      <c r="G865" s="28" t="s">
        <v>366</v>
      </c>
      <c r="H865" s="28">
        <v>92029</v>
      </c>
      <c r="I865" s="28">
        <v>33.115580000000001</v>
      </c>
      <c r="J865" s="28">
        <v>-117.1194</v>
      </c>
      <c r="L865" s="61">
        <v>110045515180</v>
      </c>
      <c r="M865" s="28" t="s">
        <v>265</v>
      </c>
      <c r="N865" s="28">
        <v>2082</v>
      </c>
      <c r="O865" s="28" t="str">
        <f>IFERROR(VLOOKUP(N865, 'SIC &amp; NAICS Codes'!A:B, 2, FALSE), "")</f>
        <v>Malt Beverages (malt extract)</v>
      </c>
      <c r="S865" s="28">
        <v>4.56043E-2</v>
      </c>
      <c r="T865" s="315">
        <f>_xlfn.MAXIFS('Raw Period DMR Data'!$O:$O,'Raw Period DMR Data'!$A:$A,'Raw Annual DMR Data_2021-2024'!#REF!,'Raw Period DMR Data'!$C:$C,X865)/S865</f>
        <v>0</v>
      </c>
      <c r="U865" s="28" t="str">
        <f>+IF(COUNTIFS('Raw Period DMR Data'!$A:$A,B865,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65" s="28" t="str" cm="1">
        <f t="array" ref="V865">IFERROR(INDEX('Raw Period DMR Data'!N:N,MATCH(1,(B865='Raw Period DMR Data'!$A:$A)*(U865='Raw Period DMR Data'!M:M)*(X865='Raw Period DMR Data'!C:C),0),1), "N/A")</f>
        <v>N/A</v>
      </c>
      <c r="W865" s="28" t="s">
        <v>1463</v>
      </c>
      <c r="X865" s="28" t="s">
        <v>2241</v>
      </c>
      <c r="Y865" s="28" t="s">
        <v>926</v>
      </c>
      <c r="Z865" s="61">
        <v>18070303000010</v>
      </c>
      <c r="AA865" s="60"/>
      <c r="AB865" s="28" t="s">
        <v>7355</v>
      </c>
      <c r="AC865" s="28" t="s">
        <v>1466</v>
      </c>
    </row>
    <row r="866" spans="1:29" s="28" customFormat="1" x14ac:dyDescent="0.25">
      <c r="A866" s="61">
        <v>110045515180</v>
      </c>
      <c r="B866" s="28">
        <v>2024</v>
      </c>
      <c r="C866" s="68">
        <f t="shared" si="13"/>
        <v>45292</v>
      </c>
      <c r="D866" s="28" t="s">
        <v>1362</v>
      </c>
      <c r="E866" s="28" t="s">
        <v>2240</v>
      </c>
      <c r="F866" s="28" t="s">
        <v>1282</v>
      </c>
      <c r="G866" s="28" t="s">
        <v>366</v>
      </c>
      <c r="H866" s="28">
        <v>92029</v>
      </c>
      <c r="I866" s="28">
        <v>33.115580000000001</v>
      </c>
      <c r="J866" s="28">
        <v>-117.1194</v>
      </c>
      <c r="L866" s="61">
        <v>110045515180</v>
      </c>
      <c r="M866" s="28" t="s">
        <v>265</v>
      </c>
      <c r="N866" s="28">
        <v>2082</v>
      </c>
      <c r="O866" s="28" t="str">
        <f>IFERROR(VLOOKUP(N866, 'SIC &amp; NAICS Codes'!A:B, 2, FALSE), "")</f>
        <v>Malt Beverages (malt extract)</v>
      </c>
      <c r="S866" s="28">
        <v>1.2462300000000001E-2</v>
      </c>
      <c r="T866" s="315">
        <f>_xlfn.MAXIFS('Raw Period DMR Data'!$O:$O,'Raw Period DMR Data'!$A:$A,'Raw Annual DMR Data_2021-2024'!#REF!,'Raw Period DMR Data'!$C:$C,X866)/S866</f>
        <v>0</v>
      </c>
      <c r="U866" s="28" t="str">
        <f>+IF(COUNTIFS('Raw Period DMR Data'!$A:$A,B866,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66" s="28" t="str" cm="1">
        <f t="array" ref="V866">IFERROR(INDEX('Raw Period DMR Data'!N:N,MATCH(1,(B866='Raw Period DMR Data'!$A:$A)*(U866='Raw Period DMR Data'!M:M)*(X866='Raw Period DMR Data'!C:C),0),1), "N/A")</f>
        <v>N/A</v>
      </c>
      <c r="W866" s="28" t="s">
        <v>1463</v>
      </c>
      <c r="X866" s="28" t="s">
        <v>2241</v>
      </c>
      <c r="Y866" s="28" t="s">
        <v>926</v>
      </c>
      <c r="Z866" s="61">
        <v>18070303000010</v>
      </c>
      <c r="AA866" s="60"/>
      <c r="AB866" s="28" t="s">
        <v>7355</v>
      </c>
      <c r="AC866" s="28" t="s">
        <v>1466</v>
      </c>
    </row>
    <row r="867" spans="1:29" s="28" customFormat="1" x14ac:dyDescent="0.25">
      <c r="A867" s="61">
        <v>110045515180</v>
      </c>
      <c r="B867" s="28">
        <v>2023</v>
      </c>
      <c r="C867" s="68">
        <f t="shared" si="13"/>
        <v>44927</v>
      </c>
      <c r="D867" s="28" t="s">
        <v>1362</v>
      </c>
      <c r="E867" s="28" t="s">
        <v>2240</v>
      </c>
      <c r="F867" s="28" t="s">
        <v>1282</v>
      </c>
      <c r="G867" s="28" t="s">
        <v>366</v>
      </c>
      <c r="H867" s="28">
        <v>92029</v>
      </c>
      <c r="I867" s="28">
        <v>33.115580000000001</v>
      </c>
      <c r="J867" s="28">
        <v>-117.1194</v>
      </c>
      <c r="L867" s="61">
        <v>110045515180</v>
      </c>
      <c r="M867" s="28" t="s">
        <v>265</v>
      </c>
      <c r="N867" s="28">
        <v>2082</v>
      </c>
      <c r="O867" s="28" t="str">
        <f>IFERROR(VLOOKUP(N867, 'SIC &amp; NAICS Codes'!A:B, 2, FALSE), "")</f>
        <v>Malt Beverages (malt extract)</v>
      </c>
      <c r="S867" s="28">
        <v>8.3535999999999992E-3</v>
      </c>
      <c r="T867" s="315">
        <f>_xlfn.MAXIFS('Raw Period DMR Data'!$O:$O,'Raw Period DMR Data'!$A:$A,'Raw Annual DMR Data_2021-2024'!#REF!,'Raw Period DMR Data'!$C:$C,X867)/S867</f>
        <v>0</v>
      </c>
      <c r="U867" s="28" t="str">
        <f>+IF(COUNTIFS('Raw Period DMR Data'!$A:$A,B867,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67" s="28" t="str" cm="1">
        <f t="array" ref="V867">IFERROR(INDEX('Raw Period DMR Data'!N:N,MATCH(1,(B867='Raw Period DMR Data'!$A:$A)*(U867='Raw Period DMR Data'!M:M)*(X867='Raw Period DMR Data'!C:C),0),1), "N/A")</f>
        <v>N/A</v>
      </c>
      <c r="W867" s="28" t="s">
        <v>1463</v>
      </c>
      <c r="X867" s="28" t="s">
        <v>2241</v>
      </c>
      <c r="Y867" s="28" t="s">
        <v>926</v>
      </c>
      <c r="Z867" s="61">
        <v>18070303000010</v>
      </c>
      <c r="AA867" s="60"/>
      <c r="AB867" s="28" t="s">
        <v>7355</v>
      </c>
      <c r="AC867" s="28" t="s">
        <v>1466</v>
      </c>
    </row>
    <row r="868" spans="1:29" s="28" customFormat="1" x14ac:dyDescent="0.25">
      <c r="A868" s="61">
        <v>110045515180</v>
      </c>
      <c r="B868" s="28">
        <v>2021</v>
      </c>
      <c r="C868" s="68">
        <f t="shared" si="13"/>
        <v>44197</v>
      </c>
      <c r="D868" s="28" t="s">
        <v>1362</v>
      </c>
      <c r="E868" s="28" t="s">
        <v>2240</v>
      </c>
      <c r="F868" s="28" t="s">
        <v>1282</v>
      </c>
      <c r="G868" s="28" t="s">
        <v>366</v>
      </c>
      <c r="H868" s="28">
        <v>92029</v>
      </c>
      <c r="I868" s="28">
        <v>33.115580000000001</v>
      </c>
      <c r="J868" s="28">
        <v>-117.1194</v>
      </c>
      <c r="L868" s="61">
        <v>110045515180</v>
      </c>
      <c r="M868" s="28" t="s">
        <v>265</v>
      </c>
      <c r="N868" s="28">
        <v>2082</v>
      </c>
      <c r="O868" s="28" t="str">
        <f>IFERROR(VLOOKUP(N868, 'SIC &amp; NAICS Codes'!A:B, 2, FALSE), "")</f>
        <v>Malt Beverages (malt extract)</v>
      </c>
      <c r="S868" s="28">
        <v>6.5866320000000003E-3</v>
      </c>
      <c r="T868" s="315">
        <f>_xlfn.MAXIFS('Raw Period DMR Data'!$O:$O,'Raw Period DMR Data'!$A:$A,'Raw Annual DMR Data_2021-2024'!#REF!,'Raw Period DMR Data'!$C:$C,X868)/S868</f>
        <v>0</v>
      </c>
      <c r="U868" s="28" t="str">
        <f>+IF(COUNTIFS('Raw Period DMR Data'!$A:$A,B868,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68" s="28" t="str" cm="1">
        <f t="array" ref="V868">IFERROR(INDEX('Raw Period DMR Data'!N:N,MATCH(1,(B868='Raw Period DMR Data'!$A:$A)*(U868='Raw Period DMR Data'!M:M)*(X868='Raw Period DMR Data'!C:C),0),1), "N/A")</f>
        <v>N/A</v>
      </c>
      <c r="W868" s="28" t="s">
        <v>1463</v>
      </c>
      <c r="X868" s="28" t="s">
        <v>2241</v>
      </c>
      <c r="Y868" s="28" t="s">
        <v>926</v>
      </c>
      <c r="Z868" s="61">
        <v>18070303000010</v>
      </c>
      <c r="AB868" s="28" t="s">
        <v>7355</v>
      </c>
      <c r="AC868" s="28" t="s">
        <v>1466</v>
      </c>
    </row>
    <row r="869" spans="1:29" s="28" customFormat="1" x14ac:dyDescent="0.25">
      <c r="A869" s="61">
        <v>110000449435</v>
      </c>
      <c r="B869" s="28">
        <v>2023</v>
      </c>
      <c r="C869" s="68">
        <f t="shared" si="13"/>
        <v>44927</v>
      </c>
      <c r="D869" s="28" t="s">
        <v>6893</v>
      </c>
      <c r="E869" s="28" t="s">
        <v>7075</v>
      </c>
      <c r="F869" s="28" t="s">
        <v>7050</v>
      </c>
      <c r="G869" s="28" t="s">
        <v>303</v>
      </c>
      <c r="H869" s="28">
        <v>70578</v>
      </c>
      <c r="I869" s="28">
        <v>30.230833000000001</v>
      </c>
      <c r="J869" s="28">
        <v>-92.306667000000004</v>
      </c>
      <c r="K869" s="28" t="s">
        <v>7133</v>
      </c>
      <c r="L869" s="61">
        <v>110000449435</v>
      </c>
      <c r="M869" s="28" t="s">
        <v>265</v>
      </c>
      <c r="N869" s="28">
        <v>5169</v>
      </c>
      <c r="O869" s="28" t="str">
        <f>IFERROR(VLOOKUP(N869, 'SIC &amp; NAICS Codes'!A:B, 2, FALSE), "")</f>
        <v>Chemicals and Allied Products, NEC (merchant wholesalers)</v>
      </c>
      <c r="S869" s="28">
        <v>2.8784924999999999E-4</v>
      </c>
      <c r="T869" s="315">
        <f>_xlfn.MAXIFS('Raw Period DMR Data'!$O:$O,'Raw Period DMR Data'!$A:$A,'Raw Annual DMR Data_2021-2024'!#REF!,'Raw Period DMR Data'!$C:$C,X869)/S869</f>
        <v>0</v>
      </c>
      <c r="U869" s="28" t="str">
        <f>+IF(COUNTIFS('Raw Period DMR Data'!$A:$A,B869,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69" s="28" t="str" cm="1">
        <f t="array" ref="V869">IFERROR(INDEX('Raw Period DMR Data'!N:N,MATCH(1,(B869='Raw Period DMR Data'!$A:$A)*(U869='Raw Period DMR Data'!M:M)*(X869='Raw Period DMR Data'!C:C),0),1), "N/A")</f>
        <v>N/A</v>
      </c>
      <c r="W869" s="28" t="s">
        <v>1463</v>
      </c>
      <c r="X869" s="28" t="s">
        <v>7220</v>
      </c>
      <c r="Y869" s="28" t="s">
        <v>7314</v>
      </c>
      <c r="Z869" s="61" t="s">
        <v>7326</v>
      </c>
      <c r="AA869" s="60"/>
      <c r="AB869" s="28" t="s">
        <v>7355</v>
      </c>
      <c r="AC869" s="28" t="s">
        <v>1466</v>
      </c>
    </row>
    <row r="870" spans="1:29" s="28" customFormat="1" x14ac:dyDescent="0.25">
      <c r="A870" s="61">
        <v>110000597426</v>
      </c>
      <c r="B870" s="28">
        <v>2024</v>
      </c>
      <c r="C870" s="68">
        <f t="shared" si="13"/>
        <v>45292</v>
      </c>
      <c r="D870" s="28" t="s">
        <v>1363</v>
      </c>
      <c r="E870" s="28" t="s">
        <v>2242</v>
      </c>
      <c r="F870" s="28" t="s">
        <v>1364</v>
      </c>
      <c r="G870" s="28" t="s">
        <v>303</v>
      </c>
      <c r="H870" s="28">
        <v>70776</v>
      </c>
      <c r="I870" s="28">
        <v>30.241299999999999</v>
      </c>
      <c r="J870" s="28">
        <v>-91.100899999999996</v>
      </c>
      <c r="K870" s="28" t="s">
        <v>735</v>
      </c>
      <c r="L870" s="61">
        <v>110000597426</v>
      </c>
      <c r="M870" s="28" t="s">
        <v>265</v>
      </c>
      <c r="N870" s="28">
        <v>2819</v>
      </c>
      <c r="O870" s="28" t="str">
        <f>IFERROR(VLOOKUP(N870, 'SIC &amp; NAICS Codes'!A:B, 2, FALSE), "")</f>
        <v>Industrial Inorganic Chemicals, NEC (recovering sulfur from natural gas)</v>
      </c>
      <c r="S870" s="28">
        <v>1.6571</v>
      </c>
      <c r="T870" s="315">
        <f>_xlfn.MAXIFS('Raw Period DMR Data'!$O:$O,'Raw Period DMR Data'!$A:$A,'Raw Annual DMR Data_2021-2024'!#REF!,'Raw Period DMR Data'!$C:$C,X870)/S870</f>
        <v>0</v>
      </c>
      <c r="U870" s="28" t="str">
        <f>+IF(COUNTIFS('Raw Period DMR Data'!$A:$A,B870,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70" s="28" t="str" cm="1">
        <f t="array" ref="V870">IFERROR(INDEX('Raw Period DMR Data'!N:N,MATCH(1,(B870='Raw Period DMR Data'!$A:$A)*(U870='Raw Period DMR Data'!M:M)*(X870='Raw Period DMR Data'!C:C),0),1), "N/A")</f>
        <v>N/A</v>
      </c>
      <c r="W870" s="28" t="s">
        <v>1463</v>
      </c>
      <c r="X870" s="28" t="s">
        <v>2243</v>
      </c>
      <c r="Y870" s="28">
        <v>402</v>
      </c>
      <c r="Z870" s="61">
        <v>8070202002351</v>
      </c>
      <c r="AA870" s="60"/>
      <c r="AB870" s="28" t="s">
        <v>7355</v>
      </c>
      <c r="AC870" s="28" t="s">
        <v>1466</v>
      </c>
    </row>
    <row r="871" spans="1:29" s="28" customFormat="1" x14ac:dyDescent="0.25">
      <c r="A871" s="61">
        <v>110000597426</v>
      </c>
      <c r="B871" s="28">
        <v>2021</v>
      </c>
      <c r="C871" s="68">
        <f t="shared" si="13"/>
        <v>44197</v>
      </c>
      <c r="D871" s="28" t="s">
        <v>1363</v>
      </c>
      <c r="E871" s="28" t="s">
        <v>2242</v>
      </c>
      <c r="F871" s="28" t="s">
        <v>1364</v>
      </c>
      <c r="G871" s="28" t="s">
        <v>303</v>
      </c>
      <c r="H871" s="28">
        <v>70776</v>
      </c>
      <c r="I871" s="28">
        <v>30.241299999999999</v>
      </c>
      <c r="J871" s="28">
        <v>-91.100899999999996</v>
      </c>
      <c r="K871" s="28" t="s">
        <v>735</v>
      </c>
      <c r="L871" s="61">
        <v>110000597426</v>
      </c>
      <c r="M871" s="28" t="s">
        <v>265</v>
      </c>
      <c r="N871" s="28">
        <v>2819</v>
      </c>
      <c r="O871" s="28" t="str">
        <f>IFERROR(VLOOKUP(N871, 'SIC &amp; NAICS Codes'!A:B, 2, FALSE), "")</f>
        <v>Industrial Inorganic Chemicals, NEC (recovering sulfur from natural gas)</v>
      </c>
      <c r="S871" s="28">
        <v>0.82855000000000001</v>
      </c>
      <c r="T871" s="315">
        <f>_xlfn.MAXIFS('Raw Period DMR Data'!$O:$O,'Raw Period DMR Data'!$A:$A,'Raw Annual DMR Data_2021-2024'!#REF!,'Raw Period DMR Data'!$C:$C,X871)/S871</f>
        <v>0</v>
      </c>
      <c r="U871" s="28" t="str">
        <f>+IF(COUNTIFS('Raw Period DMR Data'!$A:$A,B871,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71" s="28" t="str" cm="1">
        <f t="array" ref="V871">IFERROR(INDEX('Raw Period DMR Data'!N:N,MATCH(1,(B871='Raw Period DMR Data'!$A:$A)*(U871='Raw Period DMR Data'!M:M)*(X871='Raw Period DMR Data'!C:C),0),1), "N/A")</f>
        <v>N/A</v>
      </c>
      <c r="W871" s="28" t="s">
        <v>1463</v>
      </c>
      <c r="X871" s="28" t="s">
        <v>2243</v>
      </c>
      <c r="Y871" s="28">
        <v>402</v>
      </c>
      <c r="Z871" s="61">
        <v>8070202002351</v>
      </c>
      <c r="AB871" s="28" t="s">
        <v>7355</v>
      </c>
      <c r="AC871" s="28" t="s">
        <v>1466</v>
      </c>
    </row>
    <row r="872" spans="1:29" s="28" customFormat="1" x14ac:dyDescent="0.25">
      <c r="A872" s="61">
        <v>110000597426</v>
      </c>
      <c r="B872" s="28">
        <v>2022</v>
      </c>
      <c r="C872" s="68">
        <f t="shared" si="13"/>
        <v>44562</v>
      </c>
      <c r="D872" s="28" t="s">
        <v>1363</v>
      </c>
      <c r="E872" s="28" t="s">
        <v>2242</v>
      </c>
      <c r="F872" s="28" t="s">
        <v>1364</v>
      </c>
      <c r="G872" s="28" t="s">
        <v>303</v>
      </c>
      <c r="H872" s="28">
        <v>70776</v>
      </c>
      <c r="I872" s="28">
        <v>30.241299999999999</v>
      </c>
      <c r="J872" s="28">
        <v>-91.100899999999996</v>
      </c>
      <c r="K872" s="28" t="s">
        <v>735</v>
      </c>
      <c r="L872" s="61">
        <v>110000597426</v>
      </c>
      <c r="M872" s="28" t="s">
        <v>265</v>
      </c>
      <c r="N872" s="28">
        <v>2819</v>
      </c>
      <c r="O872" s="28" t="str">
        <f>IFERROR(VLOOKUP(N872, 'SIC &amp; NAICS Codes'!A:B, 2, FALSE), "")</f>
        <v>Industrial Inorganic Chemicals, NEC (recovering sulfur from natural gas)</v>
      </c>
      <c r="S872" s="28">
        <v>0.24856500000000001</v>
      </c>
      <c r="T872" s="315">
        <f>_xlfn.MAXIFS('Raw Period DMR Data'!$O:$O,'Raw Period DMR Data'!$A:$A,'Raw Annual DMR Data_2021-2024'!#REF!,'Raw Period DMR Data'!$C:$C,X872)/S872</f>
        <v>0</v>
      </c>
      <c r="U872" s="28" t="str">
        <f>+IF(COUNTIFS('Raw Period DMR Data'!$A:$A,B872,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72" s="28" t="str" cm="1">
        <f t="array" ref="V872">IFERROR(INDEX('Raw Period DMR Data'!N:N,MATCH(1,(B872='Raw Period DMR Data'!$A:$A)*(U872='Raw Period DMR Data'!M:M)*(X872='Raw Period DMR Data'!C:C),0),1), "N/A")</f>
        <v>N/A</v>
      </c>
      <c r="W872" s="28" t="s">
        <v>1463</v>
      </c>
      <c r="X872" s="28" t="s">
        <v>2243</v>
      </c>
      <c r="Y872" s="28">
        <v>402</v>
      </c>
      <c r="Z872" s="61">
        <v>8070202002351</v>
      </c>
      <c r="AA872" s="60"/>
      <c r="AB872" s="28" t="s">
        <v>7355</v>
      </c>
      <c r="AC872" s="28" t="s">
        <v>1466</v>
      </c>
    </row>
    <row r="873" spans="1:29" s="28" customFormat="1" x14ac:dyDescent="0.25">
      <c r="A873" s="61">
        <v>110056972432</v>
      </c>
      <c r="B873" s="28">
        <v>2021</v>
      </c>
      <c r="C873" s="68">
        <f t="shared" si="13"/>
        <v>44197</v>
      </c>
      <c r="D873" s="28" t="s">
        <v>1367</v>
      </c>
      <c r="E873" s="28" t="s">
        <v>2251</v>
      </c>
      <c r="F873" s="28" t="s">
        <v>1364</v>
      </c>
      <c r="G873" s="28" t="s">
        <v>303</v>
      </c>
      <c r="H873" s="28">
        <v>70776</v>
      </c>
      <c r="I873" s="28">
        <v>30.250833</v>
      </c>
      <c r="J873" s="28">
        <v>-91.092277999999993</v>
      </c>
      <c r="K873" s="28" t="s">
        <v>736</v>
      </c>
      <c r="L873" s="61">
        <v>110056972432</v>
      </c>
      <c r="M873" s="28" t="s">
        <v>265</v>
      </c>
      <c r="N873" s="28">
        <v>2869</v>
      </c>
      <c r="O873" s="28" t="str">
        <f>IFERROR(VLOOKUP(N873, 'SIC &amp; NAICS Codes'!A:B, 2, FALSE), "")</f>
        <v>Industrial Organic Chemicals, NEC (aliphatics)</v>
      </c>
      <c r="S873" s="28">
        <v>0.414275</v>
      </c>
      <c r="T873" s="315">
        <f>_xlfn.MAXIFS('Raw Period DMR Data'!$O:$O,'Raw Period DMR Data'!$A:$A,'Raw Annual DMR Data_2021-2024'!#REF!,'Raw Period DMR Data'!$C:$C,X873)/S873</f>
        <v>0</v>
      </c>
      <c r="U873" s="28" t="str">
        <f>+IF(COUNTIFS('Raw Period DMR Data'!$A:$A,B873,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73" s="28" t="str" cm="1">
        <f t="array" ref="V873">IFERROR(INDEX('Raw Period DMR Data'!N:N,MATCH(1,(B873='Raw Period DMR Data'!$A:$A)*(U873='Raw Period DMR Data'!M:M)*(X873='Raw Period DMR Data'!C:C),0),1), "N/A")</f>
        <v>N/A</v>
      </c>
      <c r="W873" s="28" t="s">
        <v>1463</v>
      </c>
      <c r="X873" s="28" t="s">
        <v>2252</v>
      </c>
      <c r="Z873" s="61">
        <v>8070202000842</v>
      </c>
      <c r="AB873" s="28" t="s">
        <v>7355</v>
      </c>
      <c r="AC873" s="28" t="s">
        <v>1466</v>
      </c>
    </row>
    <row r="874" spans="1:29" s="28" customFormat="1" x14ac:dyDescent="0.25">
      <c r="A874" s="61">
        <v>110056972432</v>
      </c>
      <c r="B874" s="28">
        <v>2022</v>
      </c>
      <c r="C874" s="68">
        <f t="shared" si="13"/>
        <v>44562</v>
      </c>
      <c r="D874" s="28" t="s">
        <v>1367</v>
      </c>
      <c r="E874" s="28" t="s">
        <v>2251</v>
      </c>
      <c r="F874" s="28" t="s">
        <v>1364</v>
      </c>
      <c r="G874" s="28" t="s">
        <v>303</v>
      </c>
      <c r="H874" s="28">
        <v>70776</v>
      </c>
      <c r="I874" s="28">
        <v>30.250833</v>
      </c>
      <c r="J874" s="28">
        <v>-91.092277999999993</v>
      </c>
      <c r="K874" s="28" t="s">
        <v>736</v>
      </c>
      <c r="L874" s="61">
        <v>110056972432</v>
      </c>
      <c r="M874" s="28" t="s">
        <v>265</v>
      </c>
      <c r="N874" s="28">
        <v>2869</v>
      </c>
      <c r="O874" s="28" t="str">
        <f>IFERROR(VLOOKUP(N874, 'SIC &amp; NAICS Codes'!A:B, 2, FALSE), "")</f>
        <v>Industrial Organic Chemicals, NEC (aliphatics)</v>
      </c>
      <c r="S874" s="28">
        <v>0.414275</v>
      </c>
      <c r="T874" s="315">
        <f>_xlfn.MAXIFS('Raw Period DMR Data'!$O:$O,'Raw Period DMR Data'!$A:$A,'Raw Annual DMR Data_2021-2024'!#REF!,'Raw Period DMR Data'!$C:$C,X874)/S874</f>
        <v>0</v>
      </c>
      <c r="U874" s="28" t="str">
        <f>+IF(COUNTIFS('Raw Period DMR Data'!$A:$A,B874,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74" s="28" t="str" cm="1">
        <f t="array" ref="V874">IFERROR(INDEX('Raw Period DMR Data'!N:N,MATCH(1,(B874='Raw Period DMR Data'!$A:$A)*(U874='Raw Period DMR Data'!M:M)*(X874='Raw Period DMR Data'!C:C),0),1), "N/A")</f>
        <v>N/A</v>
      </c>
      <c r="W874" s="28" t="s">
        <v>1463</v>
      </c>
      <c r="X874" s="28" t="s">
        <v>2252</v>
      </c>
      <c r="Z874" s="61">
        <v>8070202000842</v>
      </c>
      <c r="AA874" s="60"/>
      <c r="AB874" s="28" t="s">
        <v>7355</v>
      </c>
      <c r="AC874" s="28" t="s">
        <v>1466</v>
      </c>
    </row>
    <row r="875" spans="1:29" s="28" customFormat="1" x14ac:dyDescent="0.25">
      <c r="A875" s="61">
        <v>110000449435</v>
      </c>
      <c r="B875" s="28">
        <v>2024</v>
      </c>
      <c r="C875" s="68">
        <f t="shared" si="13"/>
        <v>45292</v>
      </c>
      <c r="D875" s="28" t="s">
        <v>6893</v>
      </c>
      <c r="E875" s="28" t="s">
        <v>7075</v>
      </c>
      <c r="F875" s="28" t="s">
        <v>7050</v>
      </c>
      <c r="G875" s="28" t="s">
        <v>303</v>
      </c>
      <c r="H875" s="28">
        <v>70578</v>
      </c>
      <c r="I875" s="28">
        <v>30.230833000000001</v>
      </c>
      <c r="J875" s="28">
        <v>-92.306667000000004</v>
      </c>
      <c r="K875" s="28" t="s">
        <v>7133</v>
      </c>
      <c r="L875" s="61">
        <v>110000449435</v>
      </c>
      <c r="M875" s="28" t="s">
        <v>265</v>
      </c>
      <c r="N875" s="28">
        <v>5169</v>
      </c>
      <c r="O875" s="28" t="str">
        <f>IFERROR(VLOOKUP(N875, 'SIC &amp; NAICS Codes'!A:B, 2, FALSE), "")</f>
        <v>Chemicals and Allied Products, NEC (merchant wholesalers)</v>
      </c>
      <c r="S875" s="28">
        <v>7.3561474999999995E-5</v>
      </c>
      <c r="T875" s="315">
        <f>_xlfn.MAXIFS('Raw Period DMR Data'!$O:$O,'Raw Period DMR Data'!$A:$A,'Raw Annual DMR Data_2021-2024'!#REF!,'Raw Period DMR Data'!$C:$C,X875)/S875</f>
        <v>0</v>
      </c>
      <c r="U875" s="28" t="str">
        <f>+IF(COUNTIFS('Raw Period DMR Data'!$A:$A,B875,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75" s="28" t="str" cm="1">
        <f t="array" ref="V875">IFERROR(INDEX('Raw Period DMR Data'!N:N,MATCH(1,(B875='Raw Period DMR Data'!$A:$A)*(U875='Raw Period DMR Data'!M:M)*(X875='Raw Period DMR Data'!C:C),0),1), "N/A")</f>
        <v>N/A</v>
      </c>
      <c r="W875" s="28" t="s">
        <v>1463</v>
      </c>
      <c r="X875" s="28" t="s">
        <v>7220</v>
      </c>
      <c r="Y875" s="28" t="s">
        <v>7314</v>
      </c>
      <c r="Z875" s="61">
        <v>8080201000271</v>
      </c>
      <c r="AA875" s="60"/>
      <c r="AB875" s="28" t="s">
        <v>7355</v>
      </c>
      <c r="AC875" s="28" t="s">
        <v>1466</v>
      </c>
    </row>
    <row r="876" spans="1:29" s="28" customFormat="1" x14ac:dyDescent="0.25">
      <c r="A876" s="61">
        <v>110000449435</v>
      </c>
      <c r="B876" s="28">
        <v>2024</v>
      </c>
      <c r="C876" s="68">
        <f t="shared" si="13"/>
        <v>45292</v>
      </c>
      <c r="D876" s="28" t="s">
        <v>6893</v>
      </c>
      <c r="E876" s="28" t="s">
        <v>7075</v>
      </c>
      <c r="F876" s="28" t="s">
        <v>7050</v>
      </c>
      <c r="G876" s="28" t="s">
        <v>303</v>
      </c>
      <c r="H876" s="28">
        <v>70578</v>
      </c>
      <c r="I876" s="28">
        <v>30.230833000000001</v>
      </c>
      <c r="J876" s="28">
        <v>-92.306667000000004</v>
      </c>
      <c r="K876" s="28" t="s">
        <v>7133</v>
      </c>
      <c r="L876" s="61">
        <v>110000449435</v>
      </c>
      <c r="M876" s="28" t="s">
        <v>265</v>
      </c>
      <c r="N876" s="28">
        <v>5169</v>
      </c>
      <c r="O876" s="28" t="str">
        <f>IFERROR(VLOOKUP(N876, 'SIC &amp; NAICS Codes'!A:B, 2, FALSE), "")</f>
        <v>Chemicals and Allied Products, NEC (merchant wholesalers)</v>
      </c>
      <c r="S876" s="28">
        <v>7.3561474999999995E-5</v>
      </c>
      <c r="T876" s="315">
        <f>_xlfn.MAXIFS('Raw Period DMR Data'!$O:$O,'Raw Period DMR Data'!$A:$A,'Raw Annual DMR Data_2021-2024'!#REF!,'Raw Period DMR Data'!$C:$C,X876)/S876</f>
        <v>0</v>
      </c>
      <c r="U876" s="28" t="str">
        <f>+IF(COUNTIFS('Raw Period DMR Data'!$A:$A,B876,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76" s="28" t="str" cm="1">
        <f t="array" ref="V876">IFERROR(INDEX('Raw Period DMR Data'!N:N,MATCH(1,(B876='Raw Period DMR Data'!$A:$A)*(U876='Raw Period DMR Data'!M:M)*(X876='Raw Period DMR Data'!C:C),0),1), "N/A")</f>
        <v>N/A</v>
      </c>
      <c r="W876" s="28" t="s">
        <v>1463</v>
      </c>
      <c r="X876" s="28" t="s">
        <v>7220</v>
      </c>
      <c r="Y876" s="28" t="s">
        <v>7314</v>
      </c>
      <c r="Z876" s="61">
        <v>8080201000271</v>
      </c>
      <c r="AA876" s="60"/>
      <c r="AB876" s="28" t="s">
        <v>7355</v>
      </c>
      <c r="AC876" s="28" t="s">
        <v>1466</v>
      </c>
    </row>
    <row r="877" spans="1:29" s="28" customFormat="1" x14ac:dyDescent="0.25">
      <c r="A877" s="61">
        <v>110000449435</v>
      </c>
      <c r="B877" s="28">
        <v>2023</v>
      </c>
      <c r="C877" s="68">
        <f t="shared" si="13"/>
        <v>44927</v>
      </c>
      <c r="D877" s="28" t="s">
        <v>6893</v>
      </c>
      <c r="E877" s="28" t="s">
        <v>7075</v>
      </c>
      <c r="F877" s="28" t="s">
        <v>7050</v>
      </c>
      <c r="G877" s="28" t="s">
        <v>303</v>
      </c>
      <c r="H877" s="28">
        <v>70578</v>
      </c>
      <c r="I877" s="28">
        <v>30.230833000000001</v>
      </c>
      <c r="J877" s="28">
        <v>-92.306667000000004</v>
      </c>
      <c r="K877" s="28" t="s">
        <v>7133</v>
      </c>
      <c r="L877" s="61">
        <v>110000449435</v>
      </c>
      <c r="M877" s="28" t="s">
        <v>265</v>
      </c>
      <c r="N877" s="28">
        <v>5169</v>
      </c>
      <c r="O877" s="28" t="str">
        <f>IFERROR(VLOOKUP(N877, 'SIC &amp; NAICS Codes'!A:B, 2, FALSE), "")</f>
        <v>Chemicals and Allied Products, NEC (merchant wholesalers)</v>
      </c>
      <c r="S877" s="28">
        <v>5.7569850000000002E-5</v>
      </c>
      <c r="T877" s="315">
        <f>_xlfn.MAXIFS('Raw Period DMR Data'!$O:$O,'Raw Period DMR Data'!$A:$A,'Raw Annual DMR Data_2021-2024'!#REF!,'Raw Period DMR Data'!$C:$C,X877)/S877</f>
        <v>0</v>
      </c>
      <c r="U877" s="28" t="str">
        <f>+IF(COUNTIFS('Raw Period DMR Data'!$A:$A,B877,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77" s="28" t="str" cm="1">
        <f t="array" ref="V877">IFERROR(INDEX('Raw Period DMR Data'!N:N,MATCH(1,(B877='Raw Period DMR Data'!$A:$A)*(U877='Raw Period DMR Data'!M:M)*(X877='Raw Period DMR Data'!C:C),0),1), "N/A")</f>
        <v>N/A</v>
      </c>
      <c r="W877" s="28" t="s">
        <v>1463</v>
      </c>
      <c r="X877" s="28" t="s">
        <v>7220</v>
      </c>
      <c r="Y877" s="28" t="s">
        <v>7314</v>
      </c>
      <c r="Z877" s="61" t="s">
        <v>7326</v>
      </c>
      <c r="AA877" s="60"/>
      <c r="AB877" s="28" t="s">
        <v>7355</v>
      </c>
      <c r="AC877" s="28" t="s">
        <v>1466</v>
      </c>
    </row>
    <row r="878" spans="1:29" s="28" customFormat="1" x14ac:dyDescent="0.25">
      <c r="A878" s="61">
        <v>110000449435</v>
      </c>
      <c r="B878" s="28">
        <v>2023</v>
      </c>
      <c r="C878" s="68">
        <f t="shared" si="13"/>
        <v>44927</v>
      </c>
      <c r="D878" s="28" t="s">
        <v>6893</v>
      </c>
      <c r="E878" s="28" t="s">
        <v>7075</v>
      </c>
      <c r="F878" s="28" t="s">
        <v>7050</v>
      </c>
      <c r="G878" s="28" t="s">
        <v>303</v>
      </c>
      <c r="H878" s="28">
        <v>70578</v>
      </c>
      <c r="I878" s="28">
        <v>30.230833000000001</v>
      </c>
      <c r="J878" s="28">
        <v>-92.306667000000004</v>
      </c>
      <c r="K878" s="28" t="s">
        <v>7133</v>
      </c>
      <c r="L878" s="61">
        <v>110000449435</v>
      </c>
      <c r="M878" s="28" t="s">
        <v>265</v>
      </c>
      <c r="N878" s="28">
        <v>5169</v>
      </c>
      <c r="O878" s="28" t="str">
        <f>IFERROR(VLOOKUP(N878, 'SIC &amp; NAICS Codes'!A:B, 2, FALSE), "")</f>
        <v>Chemicals and Allied Products, NEC (merchant wholesalers)</v>
      </c>
      <c r="S878" s="28">
        <v>2.8784925000000001E-5</v>
      </c>
      <c r="T878" s="315">
        <f>_xlfn.MAXIFS('Raw Period DMR Data'!$O:$O,'Raw Period DMR Data'!$A:$A,'Raw Annual DMR Data_2021-2024'!#REF!,'Raw Period DMR Data'!$C:$C,X878)/S878</f>
        <v>0</v>
      </c>
      <c r="U878" s="28" t="str">
        <f>+IF(COUNTIFS('Raw Period DMR Data'!$A:$A,B878,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78" s="28" t="str" cm="1">
        <f t="array" ref="V878">IFERROR(INDEX('Raw Period DMR Data'!N:N,MATCH(1,(B878='Raw Period DMR Data'!$A:$A)*(U878='Raw Period DMR Data'!M:M)*(X878='Raw Period DMR Data'!C:C),0),1), "N/A")</f>
        <v>N/A</v>
      </c>
      <c r="W878" s="28" t="s">
        <v>1463</v>
      </c>
      <c r="X878" s="28" t="s">
        <v>7220</v>
      </c>
      <c r="Y878" s="28" t="s">
        <v>7314</v>
      </c>
      <c r="Z878" s="61" t="s">
        <v>7326</v>
      </c>
      <c r="AA878" s="60"/>
      <c r="AB878" s="28" t="s">
        <v>7355</v>
      </c>
      <c r="AC878" s="28" t="s">
        <v>1466</v>
      </c>
    </row>
    <row r="879" spans="1:29" s="28" customFormat="1" x14ac:dyDescent="0.25">
      <c r="A879" s="61">
        <v>110071437899</v>
      </c>
      <c r="B879" s="28">
        <v>2023</v>
      </c>
      <c r="C879" s="68">
        <f t="shared" si="13"/>
        <v>44927</v>
      </c>
      <c r="D879" s="28" t="s">
        <v>6895</v>
      </c>
      <c r="E879" s="28" t="s">
        <v>7077</v>
      </c>
      <c r="F879" s="28" t="s">
        <v>7078</v>
      </c>
      <c r="G879" s="28" t="s">
        <v>294</v>
      </c>
      <c r="H879" s="28">
        <v>23601</v>
      </c>
      <c r="I879" s="28">
        <v>37.094301999999999</v>
      </c>
      <c r="J879" s="28">
        <v>-76.458343999999997</v>
      </c>
      <c r="L879" s="61">
        <v>110071437899</v>
      </c>
      <c r="M879" s="28" t="s">
        <v>265</v>
      </c>
      <c r="N879" s="28">
        <v>5541</v>
      </c>
      <c r="O879" s="28" t="str">
        <f>IFERROR(VLOOKUP(N879, 'SIC &amp; NAICS Codes'!A:B, 2, FALSE), "")</f>
        <v>Gasoline Service Station (gasoline station with convenience store)</v>
      </c>
      <c r="S879" s="28">
        <v>3.88341E-4</v>
      </c>
      <c r="T879" s="315">
        <f>_xlfn.MAXIFS('Raw Period DMR Data'!$O:$O,'Raw Period DMR Data'!$A:$A,'Raw Annual DMR Data_2021-2024'!#REF!,'Raw Period DMR Data'!$C:$C,X879)/S879</f>
        <v>0</v>
      </c>
      <c r="U879" s="28" t="str">
        <f>+IF(COUNTIFS('Raw Period DMR Data'!$A:$A,B879,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79" s="28" t="str" cm="1">
        <f t="array" ref="V879">IFERROR(INDEX('Raw Period DMR Data'!N:N,MATCH(1,(B879='Raw Period DMR Data'!$A:$A)*(U879='Raw Period DMR Data'!M:M)*(X879='Raw Period DMR Data'!C:C),0),1), "N/A")</f>
        <v>N/A</v>
      </c>
      <c r="W879" s="28" t="s">
        <v>1463</v>
      </c>
      <c r="X879" s="28" t="s">
        <v>7222</v>
      </c>
      <c r="Y879" s="28" t="s">
        <v>7315</v>
      </c>
      <c r="Z879" s="61"/>
      <c r="AA879" s="60"/>
      <c r="AB879" s="28" t="s">
        <v>7355</v>
      </c>
      <c r="AC879" s="28" t="s">
        <v>1466</v>
      </c>
    </row>
    <row r="880" spans="1:29" s="28" customFormat="1" x14ac:dyDescent="0.25">
      <c r="A880" s="61">
        <v>110070545278</v>
      </c>
      <c r="B880" s="28">
        <v>2023</v>
      </c>
      <c r="C880" s="68">
        <f t="shared" si="13"/>
        <v>44927</v>
      </c>
      <c r="D880" s="28" t="s">
        <v>6909</v>
      </c>
      <c r="E880" s="28" t="s">
        <v>7110</v>
      </c>
      <c r="F880" s="28" t="s">
        <v>968</v>
      </c>
      <c r="G880" s="28" t="s">
        <v>294</v>
      </c>
      <c r="H880" s="28">
        <v>223021508</v>
      </c>
      <c r="I880" s="28">
        <v>38.837760000000003</v>
      </c>
      <c r="J880" s="28">
        <v>-77.103750000000005</v>
      </c>
      <c r="L880" s="61">
        <v>110070545278</v>
      </c>
      <c r="M880" s="28" t="s">
        <v>265</v>
      </c>
      <c r="N880" s="28">
        <v>5541</v>
      </c>
      <c r="O880" s="28" t="str">
        <f>IFERROR(VLOOKUP(N880, 'SIC &amp; NAICS Codes'!A:B, 2, FALSE), "")</f>
        <v>Gasoline Service Station (gasoline station with convenience store)</v>
      </c>
      <c r="S880" s="28">
        <v>3.7222951666666601E-4</v>
      </c>
      <c r="T880" s="315">
        <f>_xlfn.MAXIFS('Raw Period DMR Data'!$O:$O,'Raw Period DMR Data'!$A:$A,'Raw Annual DMR Data_2021-2024'!#REF!,'Raw Period DMR Data'!$C:$C,X880)/S880</f>
        <v>0</v>
      </c>
      <c r="U880" s="28" t="str">
        <f>+IF(COUNTIFS('Raw Period DMR Data'!$A:$A,B880,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80" s="28" t="str" cm="1">
        <f t="array" ref="V880">IFERROR(INDEX('Raw Period DMR Data'!N:N,MATCH(1,(B880='Raw Period DMR Data'!$A:$A)*(U880='Raw Period DMR Data'!M:M)*(X880='Raw Period DMR Data'!C:C),0),1), "N/A")</f>
        <v>N/A</v>
      </c>
      <c r="W880" s="28" t="s">
        <v>1463</v>
      </c>
      <c r="X880" s="28" t="s">
        <v>7240</v>
      </c>
      <c r="Y880" s="28" t="s">
        <v>1475</v>
      </c>
      <c r="Z880" s="61"/>
      <c r="AA880" s="60"/>
      <c r="AB880" s="28" t="s">
        <v>7355</v>
      </c>
      <c r="AC880" s="28" t="s">
        <v>1466</v>
      </c>
    </row>
    <row r="881" spans="1:29" s="28" customFormat="1" x14ac:dyDescent="0.25">
      <c r="A881" s="61">
        <v>110070545278</v>
      </c>
      <c r="B881" s="28">
        <v>2024</v>
      </c>
      <c r="C881" s="68">
        <f t="shared" si="13"/>
        <v>45292</v>
      </c>
      <c r="D881" s="28" t="s">
        <v>6909</v>
      </c>
      <c r="E881" s="28" t="s">
        <v>7110</v>
      </c>
      <c r="F881" s="28" t="s">
        <v>968</v>
      </c>
      <c r="G881" s="28" t="s">
        <v>294</v>
      </c>
      <c r="H881" s="28">
        <v>223021508</v>
      </c>
      <c r="I881" s="28">
        <v>38.837760000000003</v>
      </c>
      <c r="J881" s="28">
        <v>-77.103750000000005</v>
      </c>
      <c r="L881" s="61">
        <v>110070545278</v>
      </c>
      <c r="M881" s="28" t="s">
        <v>265</v>
      </c>
      <c r="N881" s="28">
        <v>5541</v>
      </c>
      <c r="O881" s="28" t="str">
        <f>IFERROR(VLOOKUP(N881, 'SIC &amp; NAICS Codes'!A:B, 2, FALSE), "")</f>
        <v>Gasoline Service Station (gasoline station with convenience store)</v>
      </c>
      <c r="S881" s="28">
        <v>2.2474573E-4</v>
      </c>
      <c r="T881" s="315">
        <f>_xlfn.MAXIFS('Raw Period DMR Data'!$O:$O,'Raw Period DMR Data'!$A:$A,'Raw Annual DMR Data_2021-2024'!#REF!,'Raw Period DMR Data'!$C:$C,X881)/S881</f>
        <v>0</v>
      </c>
      <c r="U881" s="28" t="str">
        <f>+IF(COUNTIFS('Raw Period DMR Data'!$A:$A,B881,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81" s="28" t="str" cm="1">
        <f t="array" ref="V881">IFERROR(INDEX('Raw Period DMR Data'!N:N,MATCH(1,(B881='Raw Period DMR Data'!$A:$A)*(U881='Raw Period DMR Data'!M:M)*(X881='Raw Period DMR Data'!C:C),0),1), "N/A")</f>
        <v>N/A</v>
      </c>
      <c r="W881" s="28" t="s">
        <v>1463</v>
      </c>
      <c r="X881" s="28" t="s">
        <v>7240</v>
      </c>
      <c r="Y881" s="28" t="s">
        <v>1475</v>
      </c>
      <c r="Z881" s="61"/>
      <c r="AA881" s="60"/>
      <c r="AB881" s="28" t="s">
        <v>7355</v>
      </c>
      <c r="AC881" s="28" t="s">
        <v>1466</v>
      </c>
    </row>
    <row r="882" spans="1:29" s="28" customFormat="1" x14ac:dyDescent="0.25">
      <c r="A882" s="61">
        <v>110071662000</v>
      </c>
      <c r="B882" s="28">
        <v>2024</v>
      </c>
      <c r="C882" s="68">
        <f t="shared" si="13"/>
        <v>45292</v>
      </c>
      <c r="D882" s="28" t="s">
        <v>6911</v>
      </c>
      <c r="E882" s="28" t="s">
        <v>7113</v>
      </c>
      <c r="F882" s="28" t="s">
        <v>657</v>
      </c>
      <c r="G882" s="28" t="s">
        <v>418</v>
      </c>
      <c r="H882" s="28">
        <v>89115</v>
      </c>
      <c r="I882" s="28">
        <v>36.217517000000001</v>
      </c>
      <c r="J882" s="28">
        <v>-115.094336</v>
      </c>
      <c r="L882" s="61">
        <v>110071662000</v>
      </c>
      <c r="M882" s="28" t="s">
        <v>265</v>
      </c>
      <c r="N882" s="28">
        <v>5541</v>
      </c>
      <c r="O882" s="28" t="str">
        <f>IFERROR(VLOOKUP(N882, 'SIC &amp; NAICS Codes'!A:B, 2, FALSE), "")</f>
        <v>Gasoline Service Station (gasoline station with convenience store)</v>
      </c>
      <c r="S882" s="28">
        <v>0.123434624828571</v>
      </c>
      <c r="T882" s="315">
        <f>_xlfn.MAXIFS('Raw Period DMR Data'!$O:$O,'Raw Period DMR Data'!$A:$A,'Raw Annual DMR Data_2021-2024'!#REF!,'Raw Period DMR Data'!$C:$C,X882)/S882</f>
        <v>0</v>
      </c>
      <c r="U882" s="28" t="str">
        <f>+IF(COUNTIFS('Raw Period DMR Data'!$A:$A,B882,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82" s="28" t="str" cm="1">
        <f t="array" ref="V882">IFERROR(INDEX('Raw Period DMR Data'!N:N,MATCH(1,(B882='Raw Period DMR Data'!$A:$A)*(U882='Raw Period DMR Data'!M:M)*(X882='Raw Period DMR Data'!C:C),0),1), "N/A")</f>
        <v>N/A</v>
      </c>
      <c r="W882" s="28" t="s">
        <v>1463</v>
      </c>
      <c r="X882" s="28" t="s">
        <v>7243</v>
      </c>
      <c r="Y882" s="28" t="s">
        <v>1893</v>
      </c>
      <c r="Z882" s="61"/>
      <c r="AA882" s="60"/>
      <c r="AB882" s="28" t="s">
        <v>7355</v>
      </c>
      <c r="AC882" s="28" t="s">
        <v>1466</v>
      </c>
    </row>
    <row r="883" spans="1:29" s="28" customFormat="1" x14ac:dyDescent="0.25">
      <c r="A883" s="61">
        <v>110022316411</v>
      </c>
      <c r="B883" s="28">
        <v>2024</v>
      </c>
      <c r="C883" s="68">
        <f t="shared" si="13"/>
        <v>45292</v>
      </c>
      <c r="D883" s="28" t="s">
        <v>6903</v>
      </c>
      <c r="E883" s="28" t="s">
        <v>7097</v>
      </c>
      <c r="F883" s="28" t="s">
        <v>1316</v>
      </c>
      <c r="G883" s="28" t="s">
        <v>294</v>
      </c>
      <c r="H883" s="28">
        <v>22801</v>
      </c>
      <c r="I883" s="28">
        <v>38.428930000000001</v>
      </c>
      <c r="J883" s="28">
        <v>-78.856080000000006</v>
      </c>
      <c r="L883" s="61">
        <v>110022316411</v>
      </c>
      <c r="M883" s="28" t="s">
        <v>265</v>
      </c>
      <c r="N883" s="28">
        <v>5541</v>
      </c>
      <c r="O883" s="28" t="str">
        <f>IFERROR(VLOOKUP(N883, 'SIC &amp; NAICS Codes'!A:B, 2, FALSE), "")</f>
        <v>Gasoline Service Station (gasoline station with convenience store)</v>
      </c>
      <c r="S883" s="28">
        <v>2.79278496E-3</v>
      </c>
      <c r="T883" s="315">
        <f>_xlfn.MAXIFS('Raw Period DMR Data'!$O:$O,'Raw Period DMR Data'!$A:$A,'Raw Annual DMR Data_2021-2024'!#REF!,'Raw Period DMR Data'!$C:$C,X883)/S883</f>
        <v>0</v>
      </c>
      <c r="U883" s="28" t="str">
        <f>+IF(COUNTIFS('Raw Period DMR Data'!$A:$A,B883,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83" s="28" t="str" cm="1">
        <f t="array" ref="V883">IFERROR(INDEX('Raw Period DMR Data'!N:N,MATCH(1,(B883='Raw Period DMR Data'!$A:$A)*(U883='Raw Period DMR Data'!M:M)*(X883='Raw Period DMR Data'!C:C),0),1), "N/A")</f>
        <v>N/A</v>
      </c>
      <c r="W883" s="28" t="s">
        <v>1463</v>
      </c>
      <c r="X883" s="28" t="s">
        <v>7232</v>
      </c>
      <c r="Y883" s="28" t="s">
        <v>2162</v>
      </c>
      <c r="Z883" s="61"/>
      <c r="AA883" s="60"/>
      <c r="AB883" s="28" t="s">
        <v>7355</v>
      </c>
      <c r="AC883" s="28" t="s">
        <v>1466</v>
      </c>
    </row>
    <row r="884" spans="1:29" s="28" customFormat="1" x14ac:dyDescent="0.25">
      <c r="A884" s="61">
        <v>110056127007</v>
      </c>
      <c r="B884" s="28">
        <v>2021</v>
      </c>
      <c r="C884" s="68">
        <f t="shared" si="13"/>
        <v>44197</v>
      </c>
      <c r="D884" s="28" t="s">
        <v>6781</v>
      </c>
      <c r="E884" s="28" t="s">
        <v>6926</v>
      </c>
      <c r="F884" s="28" t="s">
        <v>1228</v>
      </c>
      <c r="G884" s="28" t="s">
        <v>1128</v>
      </c>
      <c r="H884" s="28">
        <v>80202</v>
      </c>
      <c r="I884" s="28">
        <v>39.753999999999998</v>
      </c>
      <c r="J884" s="28">
        <v>-104.999</v>
      </c>
      <c r="L884" s="61">
        <v>110056127007</v>
      </c>
      <c r="M884" s="28" t="s">
        <v>265</v>
      </c>
      <c r="N884" s="28">
        <v>6512</v>
      </c>
      <c r="O884" s="28" t="str">
        <f>IFERROR(VLOOKUP(N884, 'SIC &amp; NAICS Codes'!A:B, 2, FALSE), "")</f>
        <v>Operators of Nonresidential Buildings (except stadium and arena owners)</v>
      </c>
      <c r="S884" s="28">
        <v>0.159404518</v>
      </c>
      <c r="T884" s="315">
        <f>_xlfn.MAXIFS('Raw Period DMR Data'!$O:$O,'Raw Period DMR Data'!$A:$A,'Raw Annual DMR Data_2021-2024'!#REF!,'Raw Period DMR Data'!$C:$C,X884)/S884</f>
        <v>0</v>
      </c>
      <c r="U884" s="28" t="str">
        <f>+IF(COUNTIFS('Raw Period DMR Data'!$A:$A,B884,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84" s="28" t="str" cm="1">
        <f t="array" ref="V884">IFERROR(INDEX('Raw Period DMR Data'!N:N,MATCH(1,(B884='Raw Period DMR Data'!$A:$A)*(U884='Raw Period DMR Data'!M:M)*(X884='Raw Period DMR Data'!C:C),0),1), "N/A")</f>
        <v>N/A</v>
      </c>
      <c r="W884" s="28" t="s">
        <v>1463</v>
      </c>
      <c r="X884" s="28" t="s">
        <v>7142</v>
      </c>
      <c r="Y884" s="28" t="s">
        <v>1965</v>
      </c>
      <c r="Z884" s="61">
        <v>10190003001175</v>
      </c>
      <c r="AC884" s="28" t="s">
        <v>1466</v>
      </c>
    </row>
    <row r="885" spans="1:29" s="28" customFormat="1" x14ac:dyDescent="0.25">
      <c r="A885" s="61">
        <v>110070097711</v>
      </c>
      <c r="B885" s="28">
        <v>2021</v>
      </c>
      <c r="C885" s="68">
        <f t="shared" si="13"/>
        <v>44197</v>
      </c>
      <c r="D885" s="28" t="s">
        <v>6878</v>
      </c>
      <c r="E885" s="28" t="s">
        <v>7053</v>
      </c>
      <c r="F885" s="28" t="s">
        <v>1228</v>
      </c>
      <c r="G885" s="28" t="s">
        <v>1128</v>
      </c>
      <c r="H885" s="28">
        <v>80206</v>
      </c>
      <c r="I885" s="28">
        <v>39.744531000000002</v>
      </c>
      <c r="J885" s="28">
        <v>-104.95984</v>
      </c>
      <c r="L885" s="61">
        <v>110070097711</v>
      </c>
      <c r="M885" s="28" t="s">
        <v>265</v>
      </c>
      <c r="N885" s="28">
        <v>6513</v>
      </c>
      <c r="O885" s="28" t="str">
        <f>IFERROR(VLOOKUP(N885, 'SIC &amp; NAICS Codes'!A:B, 2, FALSE), "")</f>
        <v>Operators of Apartment Buildings</v>
      </c>
      <c r="S885" s="28">
        <v>3.2778100000000003E-4</v>
      </c>
      <c r="T885" s="315">
        <f>_xlfn.MAXIFS('Raw Period DMR Data'!$O:$O,'Raw Period DMR Data'!$A:$A,'Raw Annual DMR Data_2021-2024'!#REF!,'Raw Period DMR Data'!$C:$C,X885)/S885</f>
        <v>0</v>
      </c>
      <c r="U885" s="28" t="str">
        <f>+IF(COUNTIFS('Raw Period DMR Data'!$A:$A,B885,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85" s="28" t="str" cm="1">
        <f t="array" ref="V885">IFERROR(INDEX('Raw Period DMR Data'!N:N,MATCH(1,(B885='Raw Period DMR Data'!$A:$A)*(U885='Raw Period DMR Data'!M:M)*(X885='Raw Period DMR Data'!C:C),0),1), "N/A")</f>
        <v>N/A</v>
      </c>
      <c r="W885" s="28" t="s">
        <v>1463</v>
      </c>
      <c r="X885" s="28" t="s">
        <v>7206</v>
      </c>
      <c r="Y885" s="28" t="s">
        <v>1965</v>
      </c>
      <c r="Z885" s="61">
        <v>10190003001175</v>
      </c>
      <c r="AA885" s="60"/>
      <c r="AB885" s="28" t="s">
        <v>7355</v>
      </c>
      <c r="AC885" s="28" t="s">
        <v>1466</v>
      </c>
    </row>
    <row r="886" spans="1:29" s="28" customFormat="1" x14ac:dyDescent="0.25">
      <c r="A886" s="61">
        <v>110070097711</v>
      </c>
      <c r="B886" s="28">
        <v>2024</v>
      </c>
      <c r="C886" s="68">
        <f t="shared" si="13"/>
        <v>45292</v>
      </c>
      <c r="D886" s="28" t="s">
        <v>6878</v>
      </c>
      <c r="E886" s="28" t="s">
        <v>7053</v>
      </c>
      <c r="F886" s="28" t="s">
        <v>1228</v>
      </c>
      <c r="G886" s="28" t="s">
        <v>1128</v>
      </c>
      <c r="H886" s="28">
        <v>80206</v>
      </c>
      <c r="I886" s="28">
        <v>39.744531000000002</v>
      </c>
      <c r="J886" s="28">
        <v>-104.95984</v>
      </c>
      <c r="L886" s="61">
        <v>110070097711</v>
      </c>
      <c r="M886" s="28" t="s">
        <v>265</v>
      </c>
      <c r="N886" s="28">
        <v>6513</v>
      </c>
      <c r="O886" s="28" t="str">
        <f>IFERROR(VLOOKUP(N886, 'SIC &amp; NAICS Codes'!A:B, 2, FALSE), "")</f>
        <v>Operators of Apartment Buildings</v>
      </c>
      <c r="S886" s="28">
        <v>1.04466E-4</v>
      </c>
      <c r="T886" s="315">
        <f>_xlfn.MAXIFS('Raw Period DMR Data'!$O:$O,'Raw Period DMR Data'!$A:$A,'Raw Annual DMR Data_2021-2024'!#REF!,'Raw Period DMR Data'!$C:$C,X886)/S886</f>
        <v>0</v>
      </c>
      <c r="U886" s="28" t="str">
        <f>+IF(COUNTIFS('Raw Period DMR Data'!$A:$A,B886,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86" s="28" t="str" cm="1">
        <f t="array" ref="V886">IFERROR(INDEX('Raw Period DMR Data'!N:N,MATCH(1,(B886='Raw Period DMR Data'!$A:$A)*(U886='Raw Period DMR Data'!M:M)*(X886='Raw Period DMR Data'!C:C),0),1), "N/A")</f>
        <v>N/A</v>
      </c>
      <c r="W886" s="28" t="s">
        <v>1463</v>
      </c>
      <c r="X886" s="28" t="s">
        <v>7206</v>
      </c>
      <c r="Y886" s="28" t="s">
        <v>1965</v>
      </c>
      <c r="Z886" s="61">
        <v>10190003001175</v>
      </c>
      <c r="AA886" s="60"/>
      <c r="AC886" s="28" t="s">
        <v>1466</v>
      </c>
    </row>
    <row r="887" spans="1:29" s="28" customFormat="1" x14ac:dyDescent="0.25">
      <c r="A887" s="61">
        <v>110012876557</v>
      </c>
      <c r="B887" s="28">
        <v>2023</v>
      </c>
      <c r="C887" s="68">
        <f t="shared" si="13"/>
        <v>44927</v>
      </c>
      <c r="D887" s="28" t="s">
        <v>6851</v>
      </c>
      <c r="E887" s="28" t="s">
        <v>7007</v>
      </c>
      <c r="F887" s="28" t="s">
        <v>457</v>
      </c>
      <c r="G887" s="28" t="s">
        <v>366</v>
      </c>
      <c r="H887" s="28" t="s">
        <v>7008</v>
      </c>
      <c r="I887" s="28">
        <v>32.781489999999998</v>
      </c>
      <c r="J887" s="28">
        <v>-115.5035</v>
      </c>
      <c r="L887" s="61">
        <v>110012876557</v>
      </c>
      <c r="M887" s="28" t="s">
        <v>265</v>
      </c>
      <c r="N887" s="28">
        <v>6515</v>
      </c>
      <c r="O887" s="28" t="str">
        <f>IFERROR(VLOOKUP(N887, 'SIC &amp; NAICS Codes'!A:B, 2, FALSE), "")</f>
        <v>Operators of Residential Mobile Home Sites</v>
      </c>
      <c r="S887" s="28">
        <v>7.94376875E-3</v>
      </c>
      <c r="T887" s="315">
        <f>_xlfn.MAXIFS('Raw Period DMR Data'!$O:$O,'Raw Period DMR Data'!$A:$A,'Raw Annual DMR Data_2021-2024'!#REF!,'Raw Period DMR Data'!$C:$C,X887)/S887</f>
        <v>0</v>
      </c>
      <c r="U887" s="28" t="str">
        <f>+IF(COUNTIFS('Raw Period DMR Data'!$A:$A,B887,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87" s="28" t="str" cm="1">
        <f t="array" ref="V887">IFERROR(INDEX('Raw Period DMR Data'!N:N,MATCH(1,(B887='Raw Period DMR Data'!$A:$A)*(U887='Raw Period DMR Data'!M:M)*(X887='Raw Period DMR Data'!C:C),0),1), "N/A")</f>
        <v>N/A</v>
      </c>
      <c r="W887" s="28" t="s">
        <v>1463</v>
      </c>
      <c r="X887" s="28" t="s">
        <v>7182</v>
      </c>
      <c r="Y887" s="28" t="s">
        <v>7292</v>
      </c>
      <c r="Z887" s="61">
        <v>18100204011486</v>
      </c>
      <c r="AA887" s="60"/>
      <c r="AB887" s="28" t="s">
        <v>7355</v>
      </c>
      <c r="AC887" s="28" t="s">
        <v>1466</v>
      </c>
    </row>
    <row r="888" spans="1:29" s="28" customFormat="1" x14ac:dyDescent="0.25">
      <c r="A888" s="61">
        <v>110012876557</v>
      </c>
      <c r="B888" s="28">
        <v>2024</v>
      </c>
      <c r="C888" s="68">
        <f t="shared" si="13"/>
        <v>45292</v>
      </c>
      <c r="D888" s="28" t="s">
        <v>6851</v>
      </c>
      <c r="E888" s="28" t="s">
        <v>7007</v>
      </c>
      <c r="F888" s="28" t="s">
        <v>457</v>
      </c>
      <c r="G888" s="28" t="s">
        <v>366</v>
      </c>
      <c r="H888" s="28" t="s">
        <v>7008</v>
      </c>
      <c r="I888" s="28">
        <v>32.781489999999998</v>
      </c>
      <c r="J888" s="28">
        <v>-115.5035</v>
      </c>
      <c r="L888" s="61">
        <v>110012876557</v>
      </c>
      <c r="M888" s="28" t="s">
        <v>265</v>
      </c>
      <c r="N888" s="28">
        <v>6515</v>
      </c>
      <c r="O888" s="28" t="str">
        <f>IFERROR(VLOOKUP(N888, 'SIC &amp; NAICS Codes'!A:B, 2, FALSE), "")</f>
        <v>Operators of Residential Mobile Home Sites</v>
      </c>
      <c r="S888" s="28">
        <v>7.94376875E-3</v>
      </c>
      <c r="T888" s="315">
        <f>_xlfn.MAXIFS('Raw Period DMR Data'!$O:$O,'Raw Period DMR Data'!$A:$A,'Raw Annual DMR Data_2021-2024'!#REF!,'Raw Period DMR Data'!$C:$C,X888)/S888</f>
        <v>0</v>
      </c>
      <c r="U888" s="28" t="str">
        <f>+IF(COUNTIFS('Raw Period DMR Data'!$A:$A,B888,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88" s="28" t="str" cm="1">
        <f t="array" ref="V888">IFERROR(INDEX('Raw Period DMR Data'!N:N,MATCH(1,(B888='Raw Period DMR Data'!$A:$A)*(U888='Raw Period DMR Data'!M:M)*(X888='Raw Period DMR Data'!C:C),0),1), "N/A")</f>
        <v>N/A</v>
      </c>
      <c r="W888" s="28" t="s">
        <v>1463</v>
      </c>
      <c r="X888" s="28" t="s">
        <v>7182</v>
      </c>
      <c r="Y888" s="28" t="s">
        <v>7292</v>
      </c>
      <c r="Z888" s="61">
        <v>18100204011486</v>
      </c>
      <c r="AA888" s="60"/>
      <c r="AB888" s="28" t="s">
        <v>7355</v>
      </c>
      <c r="AC888" s="28" t="s">
        <v>1466</v>
      </c>
    </row>
    <row r="889" spans="1:29" s="28" customFormat="1" x14ac:dyDescent="0.25">
      <c r="A889" s="61">
        <v>110070602569</v>
      </c>
      <c r="B889" s="28">
        <v>2021</v>
      </c>
      <c r="C889" s="68">
        <f t="shared" si="13"/>
        <v>44197</v>
      </c>
      <c r="D889" s="28" t="s">
        <v>1369</v>
      </c>
      <c r="E889" s="28" t="s">
        <v>2256</v>
      </c>
      <c r="F889" s="28" t="s">
        <v>1370</v>
      </c>
      <c r="G889" s="28" t="s">
        <v>308</v>
      </c>
      <c r="H889" s="28">
        <v>2048</v>
      </c>
      <c r="I889" s="28">
        <v>42.020510000000002</v>
      </c>
      <c r="J889" s="28">
        <v>-71.267250000000004</v>
      </c>
      <c r="L889" s="61">
        <v>110070602569</v>
      </c>
      <c r="M889" s="28" t="s">
        <v>265</v>
      </c>
      <c r="O889" s="28" t="str">
        <f>IFERROR(VLOOKUP(N889, 'SIC &amp; NAICS Codes'!A:B, 2, FALSE), "")</f>
        <v/>
      </c>
      <c r="S889" s="28">
        <v>1.187600525E-2</v>
      </c>
      <c r="T889" s="315">
        <f>_xlfn.MAXIFS('Raw Period DMR Data'!$O:$O,'Raw Period DMR Data'!$A:$A,'Raw Annual DMR Data_2021-2024'!#REF!,'Raw Period DMR Data'!$C:$C,X889)/S889</f>
        <v>0</v>
      </c>
      <c r="U889" s="28" t="str">
        <f>+IF(COUNTIFS('Raw Period DMR Data'!$A:$A,B889,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89" s="28" t="str" cm="1">
        <f t="array" ref="V889">IFERROR(INDEX('Raw Period DMR Data'!N:N,MATCH(1,(B889='Raw Period DMR Data'!$A:$A)*(U889='Raw Period DMR Data'!M:M)*(X889='Raw Period DMR Data'!C:C),0),1), "N/A")</f>
        <v>N/A</v>
      </c>
      <c r="W889" s="28" t="s">
        <v>1463</v>
      </c>
      <c r="X889" s="28" t="s">
        <v>2257</v>
      </c>
      <c r="Y889" s="28" t="s">
        <v>2258</v>
      </c>
      <c r="Z889" s="61"/>
      <c r="AB889" s="28" t="s">
        <v>7355</v>
      </c>
      <c r="AC889" s="28" t="s">
        <v>1466</v>
      </c>
    </row>
    <row r="890" spans="1:29" s="28" customFormat="1" x14ac:dyDescent="0.25">
      <c r="A890" s="61">
        <v>110070602569</v>
      </c>
      <c r="B890" s="28">
        <v>2022</v>
      </c>
      <c r="C890" s="68">
        <f t="shared" si="13"/>
        <v>44562</v>
      </c>
      <c r="D890" s="28" t="s">
        <v>1369</v>
      </c>
      <c r="E890" s="28" t="s">
        <v>2256</v>
      </c>
      <c r="F890" s="28" t="s">
        <v>1370</v>
      </c>
      <c r="G890" s="28" t="s">
        <v>308</v>
      </c>
      <c r="H890" s="28">
        <v>2048</v>
      </c>
      <c r="I890" s="28">
        <v>42.020510000000002</v>
      </c>
      <c r="J890" s="28">
        <v>-71.267250000000004</v>
      </c>
      <c r="L890" s="61">
        <v>110070602569</v>
      </c>
      <c r="M890" s="28" t="s">
        <v>265</v>
      </c>
      <c r="O890" s="28" t="str">
        <f>IFERROR(VLOOKUP(N890, 'SIC &amp; NAICS Codes'!A:B, 2, FALSE), "")</f>
        <v/>
      </c>
      <c r="S890" s="28">
        <v>1.2383573750000001E-3</v>
      </c>
      <c r="T890" s="315">
        <f>_xlfn.MAXIFS('Raw Period DMR Data'!$O:$O,'Raw Period DMR Data'!$A:$A,'Raw Annual DMR Data_2021-2024'!#REF!,'Raw Period DMR Data'!$C:$C,X890)/S890</f>
        <v>0</v>
      </c>
      <c r="U890" s="28" t="str">
        <f>+IF(COUNTIFS('Raw Period DMR Data'!$A:$A,B890,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90" s="28" t="str" cm="1">
        <f t="array" ref="V890">IFERROR(INDEX('Raw Period DMR Data'!N:N,MATCH(1,(B890='Raw Period DMR Data'!$A:$A)*(U890='Raw Period DMR Data'!M:M)*(X890='Raw Period DMR Data'!C:C),0),1), "N/A")</f>
        <v>N/A</v>
      </c>
      <c r="W890" s="28" t="s">
        <v>1463</v>
      </c>
      <c r="X890" s="28" t="s">
        <v>2257</v>
      </c>
      <c r="Y890" s="28" t="s">
        <v>2258</v>
      </c>
      <c r="Z890" s="61"/>
      <c r="AA890" s="60"/>
      <c r="AB890" s="28" t="s">
        <v>7355</v>
      </c>
      <c r="AC890" s="28" t="s">
        <v>1466</v>
      </c>
    </row>
    <row r="891" spans="1:29" s="28" customFormat="1" x14ac:dyDescent="0.25">
      <c r="A891" s="61">
        <v>110070602569</v>
      </c>
      <c r="B891" s="28">
        <v>2023</v>
      </c>
      <c r="C891" s="68">
        <f t="shared" si="13"/>
        <v>44927</v>
      </c>
      <c r="D891" s="28" t="s">
        <v>1369</v>
      </c>
      <c r="E891" s="28" t="s">
        <v>2256</v>
      </c>
      <c r="F891" s="28" t="s">
        <v>1370</v>
      </c>
      <c r="G891" s="28" t="s">
        <v>308</v>
      </c>
      <c r="H891" s="28" t="s">
        <v>7095</v>
      </c>
      <c r="I891" s="28">
        <v>42.020510000000002</v>
      </c>
      <c r="J891" s="28">
        <v>-71.267250000000004</v>
      </c>
      <c r="L891" s="61">
        <v>110070602569</v>
      </c>
      <c r="M891" s="28" t="s">
        <v>265</v>
      </c>
      <c r="O891" s="28" t="str">
        <f>IFERROR(VLOOKUP(N891, 'SIC &amp; NAICS Codes'!A:B, 2, FALSE), "")</f>
        <v/>
      </c>
      <c r="S891" s="28">
        <v>6.5726998125000002E-4</v>
      </c>
      <c r="T891" s="315">
        <f>_xlfn.MAXIFS('Raw Period DMR Data'!$O:$O,'Raw Period DMR Data'!$A:$A,'Raw Annual DMR Data_2021-2024'!#REF!,'Raw Period DMR Data'!$C:$C,X891)/S891</f>
        <v>0</v>
      </c>
      <c r="U891" s="28" t="str">
        <f>+IF(COUNTIFS('Raw Period DMR Data'!$A:$A,B891,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91" s="28" t="str" cm="1">
        <f t="array" ref="V891">IFERROR(INDEX('Raw Period DMR Data'!N:N,MATCH(1,(B891='Raw Period DMR Data'!$A:$A)*(U891='Raw Period DMR Data'!M:M)*(X891='Raw Period DMR Data'!C:C),0),1), "N/A")</f>
        <v>N/A</v>
      </c>
      <c r="W891" s="28" t="s">
        <v>1463</v>
      </c>
      <c r="X891" s="28" t="s">
        <v>2257</v>
      </c>
      <c r="Y891" s="28" t="s">
        <v>2258</v>
      </c>
      <c r="Z891" s="61"/>
      <c r="AA891" s="60"/>
      <c r="AB891" s="28" t="s">
        <v>7355</v>
      </c>
      <c r="AC891" s="28" t="s">
        <v>1466</v>
      </c>
    </row>
    <row r="892" spans="1:29" s="28" customFormat="1" x14ac:dyDescent="0.25">
      <c r="A892" s="61">
        <v>110000329886</v>
      </c>
      <c r="B892" s="28">
        <v>2024</v>
      </c>
      <c r="C892" s="68">
        <f t="shared" si="13"/>
        <v>45292</v>
      </c>
      <c r="D892" s="28" t="s">
        <v>6855</v>
      </c>
      <c r="E892" s="28" t="s">
        <v>7014</v>
      </c>
      <c r="F892" s="28" t="s">
        <v>7015</v>
      </c>
      <c r="G892" s="28" t="s">
        <v>491</v>
      </c>
      <c r="H892" s="28">
        <v>15317</v>
      </c>
      <c r="I892" s="28">
        <v>40.269072000000001</v>
      </c>
      <c r="J892" s="28">
        <v>-80.170649999999995</v>
      </c>
      <c r="L892" s="61">
        <v>110000329886</v>
      </c>
      <c r="M892" s="28" t="s">
        <v>265</v>
      </c>
      <c r="O892" s="28" t="str">
        <f>IFERROR(VLOOKUP(N892, 'SIC &amp; NAICS Codes'!A:B, 2, FALSE), "")</f>
        <v/>
      </c>
      <c r="S892" s="28">
        <v>1.061195151E-2</v>
      </c>
      <c r="T892" s="315">
        <f>_xlfn.MAXIFS('Raw Period DMR Data'!$O:$O,'Raw Period DMR Data'!$A:$A,'Raw Annual DMR Data_2021-2024'!#REF!,'Raw Period DMR Data'!$C:$C,X892)/S892</f>
        <v>0</v>
      </c>
      <c r="U892" s="28" t="str">
        <f>+IF(COUNTIFS('Raw Period DMR Data'!$A:$A,B892,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92" s="28" t="str" cm="1">
        <f t="array" ref="V892">IFERROR(INDEX('Raw Period DMR Data'!N:N,MATCH(1,(B892='Raw Period DMR Data'!$A:$A)*(U892='Raw Period DMR Data'!M:M)*(X892='Raw Period DMR Data'!C:C),0),1), "N/A")</f>
        <v>N/A</v>
      </c>
      <c r="W892" s="28" t="s">
        <v>1463</v>
      </c>
      <c r="X892" s="28" t="s">
        <v>7186</v>
      </c>
      <c r="Y892" s="28" t="s">
        <v>7293</v>
      </c>
      <c r="Z892" s="61">
        <v>5030101000095</v>
      </c>
      <c r="AA892" s="60"/>
      <c r="AB892" s="28" t="s">
        <v>7355</v>
      </c>
      <c r="AC892" s="28" t="s">
        <v>1466</v>
      </c>
    </row>
    <row r="893" spans="1:29" s="28" customFormat="1" x14ac:dyDescent="0.25">
      <c r="A893" s="61">
        <v>110059861065</v>
      </c>
      <c r="B893" s="28">
        <v>2024</v>
      </c>
      <c r="C893" s="68">
        <f t="shared" si="13"/>
        <v>45292</v>
      </c>
      <c r="D893" s="28" t="s">
        <v>1373</v>
      </c>
      <c r="E893" s="28" t="s">
        <v>2262</v>
      </c>
      <c r="F893" s="28" t="s">
        <v>657</v>
      </c>
      <c r="G893" s="28" t="s">
        <v>418</v>
      </c>
      <c r="H893" s="28">
        <v>89103</v>
      </c>
      <c r="I893" s="28">
        <v>36.108890000000002</v>
      </c>
      <c r="J893" s="28">
        <v>-115.18118</v>
      </c>
      <c r="L893" s="61">
        <v>110059861065</v>
      </c>
      <c r="M893" s="28" t="s">
        <v>265</v>
      </c>
      <c r="N893" s="28">
        <v>6531</v>
      </c>
      <c r="O893" s="28" t="str">
        <f>IFERROR(VLOOKUP(N893, 'SIC &amp; NAICS Codes'!A:B, 2, FALSE), "")</f>
        <v>Real Estate Agents and Managers (operating housing authorities)</v>
      </c>
      <c r="S893" s="28">
        <v>1.0465051875E-3</v>
      </c>
      <c r="T893" s="315">
        <f>_xlfn.MAXIFS('Raw Period DMR Data'!$O:$O,'Raw Period DMR Data'!$A:$A,'Raw Annual DMR Data_2021-2024'!#REF!,'Raw Period DMR Data'!$C:$C,X893)/S893</f>
        <v>0</v>
      </c>
      <c r="U893" s="28" t="str">
        <f>+IF(COUNTIFS('Raw Period DMR Data'!$A:$A,B893,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93" s="28" t="str" cm="1">
        <f t="array" ref="V893">IFERROR(INDEX('Raw Period DMR Data'!N:N,MATCH(1,(B893='Raw Period DMR Data'!$A:$A)*(U893='Raw Period DMR Data'!M:M)*(X893='Raw Period DMR Data'!C:C),0),1), "N/A")</f>
        <v>N/A</v>
      </c>
      <c r="W893" s="28" t="s">
        <v>1463</v>
      </c>
      <c r="X893" s="28" t="s">
        <v>2263</v>
      </c>
      <c r="Y893" s="28" t="s">
        <v>1893</v>
      </c>
      <c r="Z893" s="61">
        <v>15010015000432</v>
      </c>
      <c r="AA893" s="60"/>
      <c r="AB893" s="28" t="s">
        <v>7355</v>
      </c>
      <c r="AC893" s="28" t="s">
        <v>1466</v>
      </c>
    </row>
    <row r="894" spans="1:29" s="28" customFormat="1" x14ac:dyDescent="0.25">
      <c r="A894" s="61">
        <v>110059861065</v>
      </c>
      <c r="B894" s="28">
        <v>2021</v>
      </c>
      <c r="C894" s="68">
        <f t="shared" si="13"/>
        <v>44197</v>
      </c>
      <c r="D894" s="28" t="s">
        <v>1373</v>
      </c>
      <c r="E894" s="28" t="s">
        <v>2262</v>
      </c>
      <c r="F894" s="28" t="s">
        <v>657</v>
      </c>
      <c r="G894" s="28" t="s">
        <v>418</v>
      </c>
      <c r="H894" s="28">
        <v>89103</v>
      </c>
      <c r="I894" s="28">
        <v>36.108890000000002</v>
      </c>
      <c r="J894" s="28">
        <v>-115.18118</v>
      </c>
      <c r="L894" s="61">
        <v>110059861065</v>
      </c>
      <c r="M894" s="28" t="s">
        <v>265</v>
      </c>
      <c r="N894" s="28">
        <v>6531</v>
      </c>
      <c r="O894" s="28" t="str">
        <f>IFERROR(VLOOKUP(N894, 'SIC &amp; NAICS Codes'!A:B, 2, FALSE), "")</f>
        <v>Real Estate Agents and Managers (operating housing authorities)</v>
      </c>
      <c r="S894" s="28">
        <v>6.8730868750000004E-4</v>
      </c>
      <c r="T894" s="315">
        <f>_xlfn.MAXIFS('Raw Period DMR Data'!$O:$O,'Raw Period DMR Data'!$A:$A,'Raw Annual DMR Data_2021-2024'!#REF!,'Raw Period DMR Data'!$C:$C,X894)/S894</f>
        <v>0</v>
      </c>
      <c r="U894" s="28" t="str">
        <f>+IF(COUNTIFS('Raw Period DMR Data'!$A:$A,B894,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94" s="28" t="str" cm="1">
        <f t="array" ref="V894">IFERROR(INDEX('Raw Period DMR Data'!N:N,MATCH(1,(B894='Raw Period DMR Data'!$A:$A)*(U894='Raw Period DMR Data'!M:M)*(X894='Raw Period DMR Data'!C:C),0),1), "N/A")</f>
        <v>N/A</v>
      </c>
      <c r="W894" s="28" t="s">
        <v>1463</v>
      </c>
      <c r="X894" s="28" t="s">
        <v>2263</v>
      </c>
      <c r="Y894" s="28" t="s">
        <v>1893</v>
      </c>
      <c r="Z894" s="61">
        <v>15010015000432</v>
      </c>
      <c r="AB894" s="28" t="s">
        <v>7355</v>
      </c>
      <c r="AC894" s="28" t="s">
        <v>1466</v>
      </c>
    </row>
    <row r="895" spans="1:29" s="28" customFormat="1" x14ac:dyDescent="0.25">
      <c r="A895" s="61">
        <v>110059861065</v>
      </c>
      <c r="B895" s="28">
        <v>2022</v>
      </c>
      <c r="C895" s="68">
        <f t="shared" si="13"/>
        <v>44562</v>
      </c>
      <c r="D895" s="28" t="s">
        <v>1373</v>
      </c>
      <c r="E895" s="28" t="s">
        <v>2262</v>
      </c>
      <c r="F895" s="28" t="s">
        <v>657</v>
      </c>
      <c r="G895" s="28" t="s">
        <v>418</v>
      </c>
      <c r="H895" s="28">
        <v>89103</v>
      </c>
      <c r="I895" s="28">
        <v>36.108890000000002</v>
      </c>
      <c r="J895" s="28">
        <v>-115.18118</v>
      </c>
      <c r="L895" s="61">
        <v>110059861065</v>
      </c>
      <c r="M895" s="28" t="s">
        <v>265</v>
      </c>
      <c r="N895" s="28">
        <v>6531</v>
      </c>
      <c r="O895" s="28" t="str">
        <f>IFERROR(VLOOKUP(N895, 'SIC &amp; NAICS Codes'!A:B, 2, FALSE), "")</f>
        <v>Real Estate Agents and Managers (operating housing authorities)</v>
      </c>
      <c r="S895" s="28">
        <v>6.8661792500000003E-4</v>
      </c>
      <c r="T895" s="315">
        <f>_xlfn.MAXIFS('Raw Period DMR Data'!$O:$O,'Raw Period DMR Data'!$A:$A,'Raw Annual DMR Data_2021-2024'!#REF!,'Raw Period DMR Data'!$C:$C,X895)/S895</f>
        <v>0</v>
      </c>
      <c r="U895" s="28" t="str">
        <f>+IF(COUNTIFS('Raw Period DMR Data'!$A:$A,B895,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95" s="28" t="str" cm="1">
        <f t="array" ref="V895">IFERROR(INDEX('Raw Period DMR Data'!N:N,MATCH(1,(B895='Raw Period DMR Data'!$A:$A)*(U895='Raw Period DMR Data'!M:M)*(X895='Raw Period DMR Data'!C:C),0),1), "N/A")</f>
        <v>N/A</v>
      </c>
      <c r="W895" s="28" t="s">
        <v>1463</v>
      </c>
      <c r="X895" s="28" t="s">
        <v>2263</v>
      </c>
      <c r="Y895" s="28" t="s">
        <v>1893</v>
      </c>
      <c r="Z895" s="61">
        <v>15010015000432</v>
      </c>
      <c r="AA895" s="60"/>
      <c r="AB895" s="28" t="s">
        <v>7355</v>
      </c>
      <c r="AC895" s="28" t="s">
        <v>1466</v>
      </c>
    </row>
    <row r="896" spans="1:29" s="28" customFormat="1" x14ac:dyDescent="0.25">
      <c r="A896" s="61">
        <v>110059861065</v>
      </c>
      <c r="B896" s="28">
        <v>2024</v>
      </c>
      <c r="C896" s="68">
        <f t="shared" si="13"/>
        <v>45292</v>
      </c>
      <c r="D896" s="28" t="s">
        <v>1373</v>
      </c>
      <c r="E896" s="28" t="s">
        <v>2262</v>
      </c>
      <c r="F896" s="28" t="s">
        <v>657</v>
      </c>
      <c r="G896" s="28" t="s">
        <v>418</v>
      </c>
      <c r="H896" s="28">
        <v>89103</v>
      </c>
      <c r="I896" s="28">
        <v>36.108890000000002</v>
      </c>
      <c r="J896" s="28">
        <v>-115.18118</v>
      </c>
      <c r="L896" s="61">
        <v>110059861065</v>
      </c>
      <c r="M896" s="28" t="s">
        <v>265</v>
      </c>
      <c r="N896" s="28">
        <v>6531</v>
      </c>
      <c r="O896" s="28" t="str">
        <f>IFERROR(VLOOKUP(N896, 'SIC &amp; NAICS Codes'!A:B, 2, FALSE), "")</f>
        <v>Real Estate Agents and Managers (operating housing authorities)</v>
      </c>
      <c r="S896" s="28">
        <v>4.2067436250000002E-4</v>
      </c>
      <c r="T896" s="315">
        <f>_xlfn.MAXIFS('Raw Period DMR Data'!$O:$O,'Raw Period DMR Data'!$A:$A,'Raw Annual DMR Data_2021-2024'!#REF!,'Raw Period DMR Data'!$C:$C,X896)/S896</f>
        <v>0</v>
      </c>
      <c r="U896" s="28" t="str">
        <f>+IF(COUNTIFS('Raw Period DMR Data'!$A:$A,B896,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96" s="28" t="str" cm="1">
        <f t="array" ref="V896">IFERROR(INDEX('Raw Period DMR Data'!N:N,MATCH(1,(B896='Raw Period DMR Data'!$A:$A)*(U896='Raw Period DMR Data'!M:M)*(X896='Raw Period DMR Data'!C:C),0),1), "N/A")</f>
        <v>N/A</v>
      </c>
      <c r="W896" s="28" t="s">
        <v>1463</v>
      </c>
      <c r="X896" s="28" t="s">
        <v>2263</v>
      </c>
      <c r="Y896" s="28" t="s">
        <v>1893</v>
      </c>
      <c r="Z896" s="61">
        <v>15010015000432</v>
      </c>
      <c r="AA896" s="60"/>
      <c r="AB896" s="28" t="s">
        <v>7355</v>
      </c>
      <c r="AC896" s="28" t="s">
        <v>1466</v>
      </c>
    </row>
    <row r="897" spans="1:29" s="28" customFormat="1" x14ac:dyDescent="0.25">
      <c r="A897" s="61">
        <v>110059861065</v>
      </c>
      <c r="B897" s="28">
        <v>2023</v>
      </c>
      <c r="C897" s="68">
        <f t="shared" si="13"/>
        <v>44927</v>
      </c>
      <c r="D897" s="28" t="s">
        <v>1373</v>
      </c>
      <c r="E897" s="28" t="s">
        <v>2262</v>
      </c>
      <c r="F897" s="28" t="s">
        <v>657</v>
      </c>
      <c r="G897" s="28" t="s">
        <v>418</v>
      </c>
      <c r="H897" s="28">
        <v>89103</v>
      </c>
      <c r="I897" s="28">
        <v>36.108890000000002</v>
      </c>
      <c r="J897" s="28">
        <v>-115.18118</v>
      </c>
      <c r="L897" s="61">
        <v>110059861065</v>
      </c>
      <c r="M897" s="28" t="s">
        <v>265</v>
      </c>
      <c r="N897" s="28">
        <v>6531</v>
      </c>
      <c r="O897" s="28" t="str">
        <f>IFERROR(VLOOKUP(N897, 'SIC &amp; NAICS Codes'!A:B, 2, FALSE), "")</f>
        <v>Real Estate Agents and Managers (operating housing authorities)</v>
      </c>
      <c r="S897" s="28">
        <v>3.6195954999999999E-4</v>
      </c>
      <c r="T897" s="315">
        <f>_xlfn.MAXIFS('Raw Period DMR Data'!$O:$O,'Raw Period DMR Data'!$A:$A,'Raw Annual DMR Data_2021-2024'!#REF!,'Raw Period DMR Data'!$C:$C,X897)/S897</f>
        <v>0</v>
      </c>
      <c r="U897" s="28" t="str">
        <f>+IF(COUNTIFS('Raw Period DMR Data'!$A:$A,B897,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97" s="28" t="str" cm="1">
        <f t="array" ref="V897">IFERROR(INDEX('Raw Period DMR Data'!N:N,MATCH(1,(B897='Raw Period DMR Data'!$A:$A)*(U897='Raw Period DMR Data'!M:M)*(X897='Raw Period DMR Data'!C:C),0),1), "N/A")</f>
        <v>N/A</v>
      </c>
      <c r="W897" s="28" t="s">
        <v>1463</v>
      </c>
      <c r="X897" s="28" t="s">
        <v>2263</v>
      </c>
      <c r="Y897" s="28" t="s">
        <v>1893</v>
      </c>
      <c r="Z897" s="61">
        <v>15010015000432</v>
      </c>
      <c r="AA897" s="60"/>
      <c r="AB897" s="28" t="s">
        <v>7355</v>
      </c>
      <c r="AC897" s="28" t="s">
        <v>1466</v>
      </c>
    </row>
    <row r="898" spans="1:29" s="28" customFormat="1" x14ac:dyDescent="0.25">
      <c r="A898" s="61">
        <v>110059861065</v>
      </c>
      <c r="B898" s="28">
        <v>2022</v>
      </c>
      <c r="C898" s="68">
        <f t="shared" ref="C898:C961" si="14">DATE(B898, 1, 1)</f>
        <v>44562</v>
      </c>
      <c r="D898" s="28" t="s">
        <v>1373</v>
      </c>
      <c r="E898" s="28" t="s">
        <v>2262</v>
      </c>
      <c r="F898" s="28" t="s">
        <v>657</v>
      </c>
      <c r="G898" s="28" t="s">
        <v>418</v>
      </c>
      <c r="H898" s="28">
        <v>89103</v>
      </c>
      <c r="I898" s="28">
        <v>36.108890000000002</v>
      </c>
      <c r="J898" s="28">
        <v>-115.18118</v>
      </c>
      <c r="L898" s="61">
        <v>110059861065</v>
      </c>
      <c r="M898" s="28" t="s">
        <v>265</v>
      </c>
      <c r="N898" s="28">
        <v>6531</v>
      </c>
      <c r="O898" s="28" t="str">
        <f>IFERROR(VLOOKUP(N898, 'SIC &amp; NAICS Codes'!A:B, 2, FALSE), "")</f>
        <v>Real Estate Agents and Managers (operating housing authorities)</v>
      </c>
      <c r="S898" s="28">
        <v>3.2673066250000002E-4</v>
      </c>
      <c r="T898" s="315">
        <f>_xlfn.MAXIFS('Raw Period DMR Data'!$O:$O,'Raw Period DMR Data'!$A:$A,'Raw Annual DMR Data_2021-2024'!#REF!,'Raw Period DMR Data'!$C:$C,X898)/S898</f>
        <v>0</v>
      </c>
      <c r="U898" s="28" t="str">
        <f>+IF(COUNTIFS('Raw Period DMR Data'!$A:$A,B898,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98" s="28" t="str" cm="1">
        <f t="array" ref="V898">IFERROR(INDEX('Raw Period DMR Data'!N:N,MATCH(1,(B898='Raw Period DMR Data'!$A:$A)*(U898='Raw Period DMR Data'!M:M)*(X898='Raw Period DMR Data'!C:C),0),1), "N/A")</f>
        <v>N/A</v>
      </c>
      <c r="W898" s="28" t="s">
        <v>1463</v>
      </c>
      <c r="X898" s="28" t="s">
        <v>2263</v>
      </c>
      <c r="Y898" s="28" t="s">
        <v>1893</v>
      </c>
      <c r="Z898" s="61">
        <v>15010015000432</v>
      </c>
      <c r="AA898" s="60"/>
      <c r="AB898" s="28" t="s">
        <v>7355</v>
      </c>
      <c r="AC898" s="28" t="s">
        <v>1466</v>
      </c>
    </row>
    <row r="899" spans="1:29" s="28" customFormat="1" x14ac:dyDescent="0.25">
      <c r="A899" s="61">
        <v>110059861065</v>
      </c>
      <c r="B899" s="28">
        <v>2021</v>
      </c>
      <c r="C899" s="68">
        <f t="shared" si="14"/>
        <v>44197</v>
      </c>
      <c r="D899" s="28" t="s">
        <v>1373</v>
      </c>
      <c r="E899" s="28" t="s">
        <v>2262</v>
      </c>
      <c r="F899" s="28" t="s">
        <v>657</v>
      </c>
      <c r="G899" s="28" t="s">
        <v>418</v>
      </c>
      <c r="H899" s="28">
        <v>89103</v>
      </c>
      <c r="I899" s="28">
        <v>36.108890000000002</v>
      </c>
      <c r="J899" s="28">
        <v>-115.18118</v>
      </c>
      <c r="L899" s="61">
        <v>110059861065</v>
      </c>
      <c r="M899" s="28" t="s">
        <v>265</v>
      </c>
      <c r="N899" s="28">
        <v>6531</v>
      </c>
      <c r="O899" s="28" t="str">
        <f>IFERROR(VLOOKUP(N899, 'SIC &amp; NAICS Codes'!A:B, 2, FALSE), "")</f>
        <v>Real Estate Agents and Managers (operating housing authorities)</v>
      </c>
      <c r="S899" s="28">
        <v>2.1206408750000001E-4</v>
      </c>
      <c r="T899" s="315">
        <f>_xlfn.MAXIFS('Raw Period DMR Data'!$O:$O,'Raw Period DMR Data'!$A:$A,'Raw Annual DMR Data_2021-2024'!#REF!,'Raw Period DMR Data'!$C:$C,X899)/S899</f>
        <v>0</v>
      </c>
      <c r="U899" s="28" t="str">
        <f>+IF(COUNTIFS('Raw Period DMR Data'!$A:$A,B899,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899" s="28" t="str" cm="1">
        <f t="array" ref="V899">IFERROR(INDEX('Raw Period DMR Data'!N:N,MATCH(1,(B899='Raw Period DMR Data'!$A:$A)*(U899='Raw Period DMR Data'!M:M)*(X899='Raw Period DMR Data'!C:C),0),1), "N/A")</f>
        <v>N/A</v>
      </c>
      <c r="W899" s="28" t="s">
        <v>1463</v>
      </c>
      <c r="X899" s="28" t="s">
        <v>2263</v>
      </c>
      <c r="Y899" s="28" t="s">
        <v>1893</v>
      </c>
      <c r="Z899" s="61">
        <v>15010015000432</v>
      </c>
      <c r="AB899" s="28" t="s">
        <v>7355</v>
      </c>
      <c r="AC899" s="28" t="s">
        <v>1466</v>
      </c>
    </row>
    <row r="900" spans="1:29" s="28" customFormat="1" x14ac:dyDescent="0.25">
      <c r="A900" s="61">
        <v>110059861065</v>
      </c>
      <c r="B900" s="28">
        <v>2023</v>
      </c>
      <c r="C900" s="68">
        <f t="shared" si="14"/>
        <v>44927</v>
      </c>
      <c r="D900" s="28" t="s">
        <v>1373</v>
      </c>
      <c r="E900" s="28" t="s">
        <v>2262</v>
      </c>
      <c r="F900" s="28" t="s">
        <v>657</v>
      </c>
      <c r="G900" s="28" t="s">
        <v>418</v>
      </c>
      <c r="H900" s="28">
        <v>89103</v>
      </c>
      <c r="I900" s="28">
        <v>36.108890000000002</v>
      </c>
      <c r="J900" s="28">
        <v>-115.18118</v>
      </c>
      <c r="L900" s="61">
        <v>110059861065</v>
      </c>
      <c r="M900" s="28" t="s">
        <v>265</v>
      </c>
      <c r="N900" s="28">
        <v>6531</v>
      </c>
      <c r="O900" s="28" t="str">
        <f>IFERROR(VLOOKUP(N900, 'SIC &amp; NAICS Codes'!A:B, 2, FALSE), "")</f>
        <v>Real Estate Agents and Managers (operating housing authorities)</v>
      </c>
      <c r="S900" s="28">
        <v>1.7303600625E-4</v>
      </c>
      <c r="T900" s="315">
        <f>_xlfn.MAXIFS('Raw Period DMR Data'!$O:$O,'Raw Period DMR Data'!$A:$A,'Raw Annual DMR Data_2021-2024'!#REF!,'Raw Period DMR Data'!$C:$C,X900)/S900</f>
        <v>0</v>
      </c>
      <c r="U900" s="28" t="str">
        <f>+IF(COUNTIFS('Raw Period DMR Data'!$A:$A,B900,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00" s="28" t="str" cm="1">
        <f t="array" ref="V900">IFERROR(INDEX('Raw Period DMR Data'!N:N,MATCH(1,(B900='Raw Period DMR Data'!$A:$A)*(U900='Raw Period DMR Data'!M:M)*(X900='Raw Period DMR Data'!C:C),0),1), "N/A")</f>
        <v>N/A</v>
      </c>
      <c r="W900" s="28" t="s">
        <v>1463</v>
      </c>
      <c r="X900" s="28" t="s">
        <v>2263</v>
      </c>
      <c r="Y900" s="28" t="s">
        <v>1893</v>
      </c>
      <c r="Z900" s="61">
        <v>15010015000432</v>
      </c>
      <c r="AA900" s="60"/>
      <c r="AB900" s="28" t="s">
        <v>7355</v>
      </c>
      <c r="AC900" s="28" t="s">
        <v>1466</v>
      </c>
    </row>
    <row r="901" spans="1:29" s="28" customFormat="1" x14ac:dyDescent="0.25">
      <c r="A901" s="61">
        <v>110010844426</v>
      </c>
      <c r="B901" s="28">
        <v>2021</v>
      </c>
      <c r="C901" s="68">
        <f t="shared" si="14"/>
        <v>44197</v>
      </c>
      <c r="D901" s="28" t="s">
        <v>1374</v>
      </c>
      <c r="E901" s="28" t="s">
        <v>2264</v>
      </c>
      <c r="F901" s="28" t="s">
        <v>293</v>
      </c>
      <c r="G901" s="28" t="s">
        <v>294</v>
      </c>
      <c r="H901" s="28">
        <v>222031606</v>
      </c>
      <c r="I901" s="28">
        <v>38.88223</v>
      </c>
      <c r="J901" s="28">
        <v>-77.112300000000005</v>
      </c>
      <c r="L901" s="61">
        <v>110010844426</v>
      </c>
      <c r="M901" s="28" t="s">
        <v>265</v>
      </c>
      <c r="N901" s="28">
        <v>4959</v>
      </c>
      <c r="O901" s="28" t="str">
        <f>IFERROR(VLOOKUP(N901, 'SIC &amp; NAICS Codes'!A:B, 2, FALSE), "")</f>
        <v>Sanitary Services, NEC (vacuuming of runways)</v>
      </c>
      <c r="S901" s="28">
        <v>8.2891499999999997E-5</v>
      </c>
      <c r="T901" s="315">
        <f>_xlfn.MAXIFS('Raw Period DMR Data'!$O:$O,'Raw Period DMR Data'!$A:$A,'Raw Annual DMR Data_2021-2024'!#REF!,'Raw Period DMR Data'!$C:$C,X901)/S901</f>
        <v>0</v>
      </c>
      <c r="U901" s="28" t="str">
        <f>+IF(COUNTIFS('Raw Period DMR Data'!$A:$A,B901,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01" s="28" t="str" cm="1">
        <f t="array" ref="V901">IFERROR(INDEX('Raw Period DMR Data'!N:N,MATCH(1,(B901='Raw Period DMR Data'!$A:$A)*(U901='Raw Period DMR Data'!M:M)*(X901='Raw Period DMR Data'!C:C),0),1), "N/A")</f>
        <v>N/A</v>
      </c>
      <c r="W901" s="28" t="s">
        <v>1463</v>
      </c>
      <c r="X901" s="28" t="s">
        <v>2265</v>
      </c>
      <c r="Y901" s="28" t="s">
        <v>2266</v>
      </c>
      <c r="Z901" s="61">
        <v>2070010001022</v>
      </c>
      <c r="AA901" s="60"/>
      <c r="AB901" s="28" t="s">
        <v>7355</v>
      </c>
      <c r="AC901" s="28" t="s">
        <v>1466</v>
      </c>
    </row>
    <row r="902" spans="1:29" s="28" customFormat="1" x14ac:dyDescent="0.25">
      <c r="A902" s="61">
        <v>110010844426</v>
      </c>
      <c r="B902" s="28">
        <v>2023</v>
      </c>
      <c r="C902" s="68">
        <f t="shared" si="14"/>
        <v>44927</v>
      </c>
      <c r="D902" s="28" t="s">
        <v>1374</v>
      </c>
      <c r="E902" s="28" t="s">
        <v>2264</v>
      </c>
      <c r="F902" s="28" t="s">
        <v>293</v>
      </c>
      <c r="G902" s="28" t="s">
        <v>294</v>
      </c>
      <c r="H902" s="28">
        <v>222031606</v>
      </c>
      <c r="I902" s="28">
        <v>38.88223</v>
      </c>
      <c r="J902" s="28">
        <v>-77.112300000000005</v>
      </c>
      <c r="L902" s="61">
        <v>110010844426</v>
      </c>
      <c r="M902" s="28" t="s">
        <v>265</v>
      </c>
      <c r="N902" s="28">
        <v>4959</v>
      </c>
      <c r="O902" s="28" t="str">
        <f>IFERROR(VLOOKUP(N902, 'SIC &amp; NAICS Codes'!A:B, 2, FALSE), "")</f>
        <v>Sanitary Services, NEC (vacuuming of runways)</v>
      </c>
      <c r="S902" s="28">
        <v>4.1105100000000001E-5</v>
      </c>
      <c r="T902" s="315">
        <f>_xlfn.MAXIFS('Raw Period DMR Data'!$O:$O,'Raw Period DMR Data'!$A:$A,'Raw Annual DMR Data_2021-2024'!#REF!,'Raw Period DMR Data'!$C:$C,X902)/S902</f>
        <v>0</v>
      </c>
      <c r="U902" s="28" t="str">
        <f>+IF(COUNTIFS('Raw Period DMR Data'!$A:$A,B902,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02" s="28" t="str" cm="1">
        <f t="array" ref="V902">IFERROR(INDEX('Raw Period DMR Data'!N:N,MATCH(1,(B902='Raw Period DMR Data'!$A:$A)*(U902='Raw Period DMR Data'!M:M)*(X902='Raw Period DMR Data'!C:C),0),1), "N/A")</f>
        <v>N/A</v>
      </c>
      <c r="W902" s="28" t="s">
        <v>1463</v>
      </c>
      <c r="X902" s="28" t="s">
        <v>2265</v>
      </c>
      <c r="Y902" s="28" t="s">
        <v>2266</v>
      </c>
      <c r="Z902" s="61" t="s">
        <v>2267</v>
      </c>
      <c r="AA902" s="60"/>
      <c r="AB902" s="28" t="s">
        <v>7355</v>
      </c>
      <c r="AC902" s="28" t="s">
        <v>1466</v>
      </c>
    </row>
    <row r="903" spans="1:29" s="28" customFormat="1" x14ac:dyDescent="0.25">
      <c r="A903" s="61">
        <v>110010844426</v>
      </c>
      <c r="B903" s="28">
        <v>2022</v>
      </c>
      <c r="C903" s="68">
        <f t="shared" si="14"/>
        <v>44562</v>
      </c>
      <c r="D903" s="28" t="s">
        <v>1374</v>
      </c>
      <c r="E903" s="28" t="s">
        <v>2264</v>
      </c>
      <c r="F903" s="28" t="s">
        <v>293</v>
      </c>
      <c r="G903" s="28" t="s">
        <v>294</v>
      </c>
      <c r="H903" s="28">
        <v>222031606</v>
      </c>
      <c r="I903" s="28">
        <v>38.88223</v>
      </c>
      <c r="J903" s="28">
        <v>-77.112300000000005</v>
      </c>
      <c r="L903" s="61">
        <v>110010844426</v>
      </c>
      <c r="M903" s="28" t="s">
        <v>265</v>
      </c>
      <c r="N903" s="28">
        <v>4959</v>
      </c>
      <c r="O903" s="28" t="str">
        <f>IFERROR(VLOOKUP(N903, 'SIC &amp; NAICS Codes'!A:B, 2, FALSE), "")</f>
        <v>Sanitary Services, NEC (vacuuming of runways)</v>
      </c>
      <c r="S903" s="28">
        <v>3.5822375500000001E-5</v>
      </c>
      <c r="T903" s="315">
        <f>_xlfn.MAXIFS('Raw Period DMR Data'!$O:$O,'Raw Period DMR Data'!$A:$A,'Raw Annual DMR Data_2021-2024'!#REF!,'Raw Period DMR Data'!$C:$C,X903)/S903</f>
        <v>0</v>
      </c>
      <c r="U903" s="28" t="str">
        <f>+IF(COUNTIFS('Raw Period DMR Data'!$A:$A,B903,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03" s="28" t="str" cm="1">
        <f t="array" ref="V903">IFERROR(INDEX('Raw Period DMR Data'!N:N,MATCH(1,(B903='Raw Period DMR Data'!$A:$A)*(U903='Raw Period DMR Data'!M:M)*(X903='Raw Period DMR Data'!C:C),0),1), "N/A")</f>
        <v>N/A</v>
      </c>
      <c r="W903" s="28" t="s">
        <v>1463</v>
      </c>
      <c r="X903" s="28" t="s">
        <v>2265</v>
      </c>
      <c r="Y903" s="28" t="s">
        <v>2266</v>
      </c>
      <c r="Z903" s="61">
        <v>2070010001022</v>
      </c>
      <c r="AA903" s="60"/>
      <c r="AB903" s="28" t="s">
        <v>7355</v>
      </c>
      <c r="AC903" s="28" t="s">
        <v>1466</v>
      </c>
    </row>
    <row r="904" spans="1:29" s="28" customFormat="1" x14ac:dyDescent="0.25">
      <c r="A904" s="61">
        <v>110010844426</v>
      </c>
      <c r="B904" s="28">
        <v>2024</v>
      </c>
      <c r="C904" s="68">
        <f t="shared" si="14"/>
        <v>45292</v>
      </c>
      <c r="D904" s="28" t="s">
        <v>1374</v>
      </c>
      <c r="E904" s="28" t="s">
        <v>2264</v>
      </c>
      <c r="F904" s="28" t="s">
        <v>293</v>
      </c>
      <c r="G904" s="28" t="s">
        <v>294</v>
      </c>
      <c r="H904" s="28">
        <v>222031606</v>
      </c>
      <c r="I904" s="28">
        <v>38.88223</v>
      </c>
      <c r="J904" s="28">
        <v>-77.112300000000005</v>
      </c>
      <c r="L904" s="61">
        <v>110010844426</v>
      </c>
      <c r="M904" s="28" t="s">
        <v>265</v>
      </c>
      <c r="N904" s="28">
        <v>4959</v>
      </c>
      <c r="O904" s="28" t="str">
        <f>IFERROR(VLOOKUP(N904, 'SIC &amp; NAICS Codes'!A:B, 2, FALSE), "")</f>
        <v>Sanitary Services, NEC (vacuuming of runways)</v>
      </c>
      <c r="S904" s="28">
        <v>2.8470467200000001E-5</v>
      </c>
      <c r="T904" s="315">
        <f>_xlfn.MAXIFS('Raw Period DMR Data'!$O:$O,'Raw Period DMR Data'!$A:$A,'Raw Annual DMR Data_2021-2024'!#REF!,'Raw Period DMR Data'!$C:$C,X904)/S904</f>
        <v>0</v>
      </c>
      <c r="U904" s="28" t="str">
        <f>+IF(COUNTIFS('Raw Period DMR Data'!$A:$A,B904,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04" s="28" t="str" cm="1">
        <f t="array" ref="V904">IFERROR(INDEX('Raw Period DMR Data'!N:N,MATCH(1,(B904='Raw Period DMR Data'!$A:$A)*(U904='Raw Period DMR Data'!M:M)*(X904='Raw Period DMR Data'!C:C),0),1), "N/A")</f>
        <v>N/A</v>
      </c>
      <c r="W904" s="28" t="s">
        <v>1463</v>
      </c>
      <c r="X904" s="28" t="s">
        <v>2265</v>
      </c>
      <c r="Y904" s="28" t="s">
        <v>2266</v>
      </c>
      <c r="Z904" s="61">
        <v>2070010001022</v>
      </c>
      <c r="AA904" s="60"/>
      <c r="AB904" s="28" t="s">
        <v>7355</v>
      </c>
      <c r="AC904" s="28" t="s">
        <v>1466</v>
      </c>
    </row>
    <row r="905" spans="1:29" s="28" customFormat="1" x14ac:dyDescent="0.25">
      <c r="A905" s="61">
        <v>110020039402</v>
      </c>
      <c r="B905" s="28">
        <v>2021</v>
      </c>
      <c r="C905" s="68">
        <f t="shared" si="14"/>
        <v>44197</v>
      </c>
      <c r="D905" s="28" t="s">
        <v>1375</v>
      </c>
      <c r="E905" s="28" t="s">
        <v>2268</v>
      </c>
      <c r="F905" s="28" t="s">
        <v>657</v>
      </c>
      <c r="G905" s="28" t="s">
        <v>418</v>
      </c>
      <c r="H905" s="28">
        <v>89109</v>
      </c>
      <c r="I905" s="28">
        <v>36.137529999999998</v>
      </c>
      <c r="J905" s="28">
        <v>-115.15479000000001</v>
      </c>
      <c r="L905" s="61">
        <v>110020039402</v>
      </c>
      <c r="M905" s="28" t="s">
        <v>265</v>
      </c>
      <c r="N905" s="28">
        <v>7011</v>
      </c>
      <c r="O905" s="28" t="str">
        <f>IFERROR(VLOOKUP(N905, 'SIC &amp; NAICS Codes'!A:B, 2, FALSE), "")</f>
        <v>Hotels and Motels (hotels, except casino hotels, and motels)</v>
      </c>
      <c r="S905" s="28">
        <v>3.3080986137137502E-3</v>
      </c>
      <c r="T905" s="315">
        <f>_xlfn.MAXIFS('Raw Period DMR Data'!$O:$O,'Raw Period DMR Data'!$A:$A,'Raw Annual DMR Data_2021-2024'!#REF!,'Raw Period DMR Data'!$C:$C,X905)/S905</f>
        <v>0</v>
      </c>
      <c r="U905" s="28" t="str">
        <f>+IF(COUNTIFS('Raw Period DMR Data'!$A:$A,B905,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05" s="28" t="str" cm="1">
        <f t="array" ref="V905">IFERROR(INDEX('Raw Period DMR Data'!N:N,MATCH(1,(B905='Raw Period DMR Data'!$A:$A)*(U905='Raw Period DMR Data'!M:M)*(X905='Raw Period DMR Data'!C:C),0),1), "N/A")</f>
        <v>N/A</v>
      </c>
      <c r="W905" s="28" t="s">
        <v>1463</v>
      </c>
      <c r="X905" s="28" t="s">
        <v>2269</v>
      </c>
      <c r="Y905" s="28" t="s">
        <v>2270</v>
      </c>
      <c r="Z905" s="61">
        <v>15010015000432</v>
      </c>
      <c r="AA905" s="28" t="s">
        <v>7355</v>
      </c>
      <c r="AB905" s="28" t="s">
        <v>7355</v>
      </c>
      <c r="AC905" s="28" t="s">
        <v>1466</v>
      </c>
    </row>
    <row r="906" spans="1:29" s="28" customFormat="1" x14ac:dyDescent="0.25">
      <c r="A906" s="61">
        <v>110020039402</v>
      </c>
      <c r="B906" s="28">
        <v>2023</v>
      </c>
      <c r="C906" s="68">
        <f t="shared" si="14"/>
        <v>44927</v>
      </c>
      <c r="D906" s="28" t="s">
        <v>1375</v>
      </c>
      <c r="E906" s="28" t="s">
        <v>2268</v>
      </c>
      <c r="F906" s="28" t="s">
        <v>657</v>
      </c>
      <c r="G906" s="28" t="s">
        <v>418</v>
      </c>
      <c r="H906" s="28">
        <v>89109</v>
      </c>
      <c r="I906" s="28">
        <v>36.137529999999998</v>
      </c>
      <c r="J906" s="28">
        <v>-115.15479000000001</v>
      </c>
      <c r="L906" s="61">
        <v>110020039402</v>
      </c>
      <c r="M906" s="28" t="s">
        <v>265</v>
      </c>
      <c r="N906" s="28">
        <v>7011</v>
      </c>
      <c r="O906" s="28" t="str">
        <f>IFERROR(VLOOKUP(N906, 'SIC &amp; NAICS Codes'!A:B, 2, FALSE), "")</f>
        <v>Hotels and Motels (hotels, except casino hotels, and motels)</v>
      </c>
      <c r="S906" s="28">
        <v>1.9505063768887501E-3</v>
      </c>
      <c r="T906" s="315">
        <f>_xlfn.MAXIFS('Raw Period DMR Data'!$O:$O,'Raw Period DMR Data'!$A:$A,'Raw Annual DMR Data_2021-2024'!#REF!,'Raw Period DMR Data'!$C:$C,X906)/S906</f>
        <v>0</v>
      </c>
      <c r="U906" s="28" t="str">
        <f>+IF(COUNTIFS('Raw Period DMR Data'!$A:$A,B906,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06" s="28" t="str" cm="1">
        <f t="array" ref="V906">IFERROR(INDEX('Raw Period DMR Data'!N:N,MATCH(1,(B906='Raw Period DMR Data'!$A:$A)*(U906='Raw Period DMR Data'!M:M)*(X906='Raw Period DMR Data'!C:C),0),1), "N/A")</f>
        <v>N/A</v>
      </c>
      <c r="W906" s="28" t="s">
        <v>1463</v>
      </c>
      <c r="X906" s="28" t="s">
        <v>2269</v>
      </c>
      <c r="Y906" s="28" t="s">
        <v>2270</v>
      </c>
      <c r="Z906" s="61">
        <v>15010015000432</v>
      </c>
      <c r="AA906" s="60" t="s">
        <v>7355</v>
      </c>
      <c r="AB906" s="28" t="s">
        <v>7355</v>
      </c>
      <c r="AC906" s="28" t="s">
        <v>1466</v>
      </c>
    </row>
    <row r="907" spans="1:29" s="28" customFormat="1" x14ac:dyDescent="0.25">
      <c r="A907" s="61">
        <v>110020039402</v>
      </c>
      <c r="B907" s="28">
        <v>2024</v>
      </c>
      <c r="C907" s="68">
        <f t="shared" si="14"/>
        <v>45292</v>
      </c>
      <c r="D907" s="28" t="s">
        <v>1375</v>
      </c>
      <c r="E907" s="28" t="s">
        <v>2268</v>
      </c>
      <c r="F907" s="28" t="s">
        <v>657</v>
      </c>
      <c r="G907" s="28" t="s">
        <v>418</v>
      </c>
      <c r="H907" s="28">
        <v>89109</v>
      </c>
      <c r="I907" s="28">
        <v>36.137529999999998</v>
      </c>
      <c r="J907" s="28">
        <v>-115.15479000000001</v>
      </c>
      <c r="L907" s="61">
        <v>110020039402</v>
      </c>
      <c r="M907" s="28" t="s">
        <v>265</v>
      </c>
      <c r="N907" s="28">
        <v>7011</v>
      </c>
      <c r="O907" s="28" t="str">
        <f>IFERROR(VLOOKUP(N907, 'SIC &amp; NAICS Codes'!A:B, 2, FALSE), "")</f>
        <v>Hotels and Motels (hotels, except casino hotels, and motels)</v>
      </c>
      <c r="S907" s="28">
        <v>1.69549189969375E-3</v>
      </c>
      <c r="T907" s="315">
        <f>_xlfn.MAXIFS('Raw Period DMR Data'!$O:$O,'Raw Period DMR Data'!$A:$A,'Raw Annual DMR Data_2021-2024'!#REF!,'Raw Period DMR Data'!$C:$C,X907)/S907</f>
        <v>0</v>
      </c>
      <c r="U907" s="28" t="str">
        <f>+IF(COUNTIFS('Raw Period DMR Data'!$A:$A,B907,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07" s="28" t="str" cm="1">
        <f t="array" ref="V907">IFERROR(INDEX('Raw Period DMR Data'!N:N,MATCH(1,(B907='Raw Period DMR Data'!$A:$A)*(U907='Raw Period DMR Data'!M:M)*(X907='Raw Period DMR Data'!C:C),0),1), "N/A")</f>
        <v>N/A</v>
      </c>
      <c r="W907" s="28" t="s">
        <v>1463</v>
      </c>
      <c r="X907" s="28" t="s">
        <v>2269</v>
      </c>
      <c r="Y907" s="28" t="s">
        <v>2270</v>
      </c>
      <c r="Z907" s="61">
        <v>15010015000432</v>
      </c>
      <c r="AA907" s="60" t="s">
        <v>7355</v>
      </c>
      <c r="AB907" s="28" t="s">
        <v>7355</v>
      </c>
      <c r="AC907" s="28" t="s">
        <v>1466</v>
      </c>
    </row>
    <row r="908" spans="1:29" s="28" customFormat="1" x14ac:dyDescent="0.25">
      <c r="A908" s="61">
        <v>110020039402</v>
      </c>
      <c r="B908" s="28">
        <v>2022</v>
      </c>
      <c r="C908" s="68">
        <f t="shared" si="14"/>
        <v>44562</v>
      </c>
      <c r="D908" s="28" t="s">
        <v>1375</v>
      </c>
      <c r="E908" s="28" t="s">
        <v>2268</v>
      </c>
      <c r="F908" s="28" t="s">
        <v>657</v>
      </c>
      <c r="G908" s="28" t="s">
        <v>418</v>
      </c>
      <c r="H908" s="28">
        <v>89109</v>
      </c>
      <c r="I908" s="28">
        <v>36.137529999999998</v>
      </c>
      <c r="J908" s="28">
        <v>-115.15479000000001</v>
      </c>
      <c r="L908" s="61">
        <v>110020039402</v>
      </c>
      <c r="M908" s="28" t="s">
        <v>265</v>
      </c>
      <c r="N908" s="28">
        <v>7011</v>
      </c>
      <c r="O908" s="28" t="str">
        <f>IFERROR(VLOOKUP(N908, 'SIC &amp; NAICS Codes'!A:B, 2, FALSE), "")</f>
        <v>Hotels and Motels (hotels, except casino hotels, and motels)</v>
      </c>
      <c r="S908" s="28">
        <v>6.7077769999999996E-9</v>
      </c>
      <c r="T908" s="315">
        <f>_xlfn.MAXIFS('Raw Period DMR Data'!$O:$O,'Raw Period DMR Data'!$A:$A,'Raw Annual DMR Data_2021-2024'!#REF!,'Raw Period DMR Data'!$C:$C,X908)/S908</f>
        <v>0</v>
      </c>
      <c r="U908" s="28" t="str">
        <f>+IF(COUNTIFS('Raw Period DMR Data'!$A:$A,B908,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08" s="28" t="str" cm="1">
        <f t="array" ref="V908">IFERROR(INDEX('Raw Period DMR Data'!N:N,MATCH(1,(B908='Raw Period DMR Data'!$A:$A)*(U908='Raw Period DMR Data'!M:M)*(X908='Raw Period DMR Data'!C:C),0),1), "N/A")</f>
        <v>N/A</v>
      </c>
      <c r="W908" s="28" t="s">
        <v>1463</v>
      </c>
      <c r="X908" s="28" t="s">
        <v>2269</v>
      </c>
      <c r="Y908" s="28" t="s">
        <v>2270</v>
      </c>
      <c r="Z908" s="61">
        <v>15010015000432</v>
      </c>
      <c r="AA908" s="60"/>
      <c r="AB908" s="28" t="s">
        <v>7355</v>
      </c>
      <c r="AC908" s="28" t="s">
        <v>1466</v>
      </c>
    </row>
    <row r="909" spans="1:29" s="28" customFormat="1" x14ac:dyDescent="0.25">
      <c r="A909" s="61">
        <v>110000329886</v>
      </c>
      <c r="B909" s="28">
        <v>2023</v>
      </c>
      <c r="C909" s="68">
        <f t="shared" si="14"/>
        <v>44927</v>
      </c>
      <c r="D909" s="28" t="s">
        <v>6855</v>
      </c>
      <c r="E909" s="28" t="s">
        <v>7014</v>
      </c>
      <c r="F909" s="28" t="s">
        <v>7015</v>
      </c>
      <c r="G909" s="28" t="s">
        <v>491</v>
      </c>
      <c r="H909" s="28">
        <v>15317</v>
      </c>
      <c r="I909" s="28">
        <v>40.269072000000001</v>
      </c>
      <c r="J909" s="28">
        <v>-80.170649999999995</v>
      </c>
      <c r="L909" s="61">
        <v>110000329886</v>
      </c>
      <c r="M909" s="28" t="s">
        <v>265</v>
      </c>
      <c r="O909" s="28" t="str">
        <f>IFERROR(VLOOKUP(N909, 'SIC &amp; NAICS Codes'!A:B, 2, FALSE), "")</f>
        <v/>
      </c>
      <c r="S909" s="28">
        <v>6.6519274325000004E-3</v>
      </c>
      <c r="T909" s="315">
        <f>_xlfn.MAXIFS('Raw Period DMR Data'!$O:$O,'Raw Period DMR Data'!$A:$A,'Raw Annual DMR Data_2021-2024'!#REF!,'Raw Period DMR Data'!$C:$C,X909)/S909</f>
        <v>0</v>
      </c>
      <c r="U909" s="28" t="str">
        <f>+IF(COUNTIFS('Raw Period DMR Data'!$A:$A,B909,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09" s="28" t="str" cm="1">
        <f t="array" ref="V909">IFERROR(INDEX('Raw Period DMR Data'!N:N,MATCH(1,(B909='Raw Period DMR Data'!$A:$A)*(U909='Raw Period DMR Data'!M:M)*(X909='Raw Period DMR Data'!C:C),0),1), "N/A")</f>
        <v>N/A</v>
      </c>
      <c r="W909" s="28" t="s">
        <v>1463</v>
      </c>
      <c r="X909" s="28" t="s">
        <v>7186</v>
      </c>
      <c r="Y909" s="28" t="s">
        <v>7293</v>
      </c>
      <c r="Z909" s="61" t="s">
        <v>7348</v>
      </c>
      <c r="AA909" s="60"/>
      <c r="AB909" s="28" t="s">
        <v>7355</v>
      </c>
      <c r="AC909" s="28" t="s">
        <v>1466</v>
      </c>
    </row>
    <row r="910" spans="1:29" s="28" customFormat="1" x14ac:dyDescent="0.25">
      <c r="A910" s="61">
        <v>110000329886</v>
      </c>
      <c r="B910" s="28">
        <v>2022</v>
      </c>
      <c r="C910" s="68">
        <f t="shared" si="14"/>
        <v>44562</v>
      </c>
      <c r="D910" s="28" t="s">
        <v>6855</v>
      </c>
      <c r="E910" s="28" t="s">
        <v>7014</v>
      </c>
      <c r="F910" s="28" t="s">
        <v>7015</v>
      </c>
      <c r="G910" s="28" t="s">
        <v>491</v>
      </c>
      <c r="H910" s="28">
        <v>15317</v>
      </c>
      <c r="I910" s="28">
        <v>40.269072000000001</v>
      </c>
      <c r="J910" s="28">
        <v>-80.170649999999995</v>
      </c>
      <c r="L910" s="61">
        <v>110000329886</v>
      </c>
      <c r="M910" s="28" t="s">
        <v>265</v>
      </c>
      <c r="O910" s="28" t="str">
        <f>IFERROR(VLOOKUP(N910, 'SIC &amp; NAICS Codes'!A:B, 2, FALSE), "")</f>
        <v/>
      </c>
      <c r="S910" s="28">
        <v>6.5808849696249996E-3</v>
      </c>
      <c r="T910" s="315">
        <f>_xlfn.MAXIFS('Raw Period DMR Data'!$O:$O,'Raw Period DMR Data'!$A:$A,'Raw Annual DMR Data_2021-2024'!#REF!,'Raw Period DMR Data'!$C:$C,X910)/S910</f>
        <v>0</v>
      </c>
      <c r="U910" s="28" t="str">
        <f>+IF(COUNTIFS('Raw Period DMR Data'!$A:$A,B910,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10" s="28" t="str" cm="1">
        <f t="array" ref="V910">IFERROR(INDEX('Raw Period DMR Data'!N:N,MATCH(1,(B910='Raw Period DMR Data'!$A:$A)*(U910='Raw Period DMR Data'!M:M)*(X910='Raw Period DMR Data'!C:C),0),1), "N/A")</f>
        <v>N/A</v>
      </c>
      <c r="W910" s="28" t="s">
        <v>1463</v>
      </c>
      <c r="X910" s="28" t="s">
        <v>7186</v>
      </c>
      <c r="Y910" s="28" t="s">
        <v>7293</v>
      </c>
      <c r="Z910" s="61">
        <v>5030101000095</v>
      </c>
      <c r="AA910" s="60"/>
      <c r="AB910" s="28" t="s">
        <v>7355</v>
      </c>
      <c r="AC910" s="28" t="s">
        <v>1466</v>
      </c>
    </row>
    <row r="911" spans="1:29" s="28" customFormat="1" x14ac:dyDescent="0.25">
      <c r="A911" s="61">
        <v>110070212009</v>
      </c>
      <c r="B911" s="28">
        <v>2024</v>
      </c>
      <c r="C911" s="68">
        <f t="shared" si="14"/>
        <v>45292</v>
      </c>
      <c r="D911" s="28" t="s">
        <v>1378</v>
      </c>
      <c r="E911" s="28" t="s">
        <v>2274</v>
      </c>
      <c r="F911" s="28" t="s">
        <v>474</v>
      </c>
      <c r="G911" s="28" t="s">
        <v>338</v>
      </c>
      <c r="H911" s="28">
        <v>7470</v>
      </c>
      <c r="I911" s="28">
        <v>40.936109999999999</v>
      </c>
      <c r="J911" s="28">
        <v>-74.273809999999997</v>
      </c>
      <c r="L911" s="61">
        <v>110070212009</v>
      </c>
      <c r="M911" s="28" t="s">
        <v>265</v>
      </c>
      <c r="O911" s="28" t="str">
        <f>IFERROR(VLOOKUP(N911, 'SIC &amp; NAICS Codes'!A:B, 2, FALSE), "")</f>
        <v/>
      </c>
      <c r="S911" s="28">
        <v>1.3795171332000001E-3</v>
      </c>
      <c r="T911" s="315">
        <f>_xlfn.MAXIFS('Raw Period DMR Data'!$O:$O,'Raw Period DMR Data'!$A:$A,'Raw Annual DMR Data_2021-2024'!#REF!,'Raw Period DMR Data'!$C:$C,X911)/S911</f>
        <v>0</v>
      </c>
      <c r="U911" s="28" t="str">
        <f>+IF(COUNTIFS('Raw Period DMR Data'!$A:$A,B911,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11" s="28" t="str" cm="1">
        <f t="array" ref="V911">IFERROR(INDEX('Raw Period DMR Data'!N:N,MATCH(1,(B911='Raw Period DMR Data'!$A:$A)*(U911='Raw Period DMR Data'!M:M)*(X911='Raw Period DMR Data'!C:C),0),1), "N/A")</f>
        <v>N/A</v>
      </c>
      <c r="W911" s="28" t="s">
        <v>1463</v>
      </c>
      <c r="X911" s="28" t="s">
        <v>2275</v>
      </c>
      <c r="Y911" s="28" t="s">
        <v>2276</v>
      </c>
      <c r="Z911" s="61">
        <v>2030103000052</v>
      </c>
      <c r="AA911" s="60"/>
      <c r="AB911" s="28" t="s">
        <v>7355</v>
      </c>
      <c r="AC911" s="28" t="s">
        <v>1466</v>
      </c>
    </row>
    <row r="912" spans="1:29" s="28" customFormat="1" x14ac:dyDescent="0.25">
      <c r="A912" s="61">
        <v>110070212009</v>
      </c>
      <c r="B912" s="28">
        <v>2023</v>
      </c>
      <c r="C912" s="68">
        <f t="shared" si="14"/>
        <v>44927</v>
      </c>
      <c r="D912" s="28" t="s">
        <v>1378</v>
      </c>
      <c r="E912" s="28" t="s">
        <v>2274</v>
      </c>
      <c r="F912" s="28" t="s">
        <v>474</v>
      </c>
      <c r="G912" s="28" t="s">
        <v>338</v>
      </c>
      <c r="H912" s="28" t="s">
        <v>1778</v>
      </c>
      <c r="I912" s="28">
        <v>40.936109999999999</v>
      </c>
      <c r="J912" s="28">
        <v>-74.273809999999997</v>
      </c>
      <c r="L912" s="61">
        <v>110070212009</v>
      </c>
      <c r="M912" s="28" t="s">
        <v>265</v>
      </c>
      <c r="O912" s="28" t="str">
        <f>IFERROR(VLOOKUP(N912, 'SIC &amp; NAICS Codes'!A:B, 2, FALSE), "")</f>
        <v/>
      </c>
      <c r="S912" s="28">
        <v>9.7059981339999997E-4</v>
      </c>
      <c r="T912" s="315">
        <f>_xlfn.MAXIFS('Raw Period DMR Data'!$O:$O,'Raw Period DMR Data'!$A:$A,'Raw Annual DMR Data_2021-2024'!#REF!,'Raw Period DMR Data'!$C:$C,X912)/S912</f>
        <v>0</v>
      </c>
      <c r="U912" s="28" t="str">
        <f>+IF(COUNTIFS('Raw Period DMR Data'!$A:$A,B912,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12" s="28" t="str" cm="1">
        <f t="array" ref="V912">IFERROR(INDEX('Raw Period DMR Data'!N:N,MATCH(1,(B912='Raw Period DMR Data'!$A:$A)*(U912='Raw Period DMR Data'!M:M)*(X912='Raw Period DMR Data'!C:C),0),1), "N/A")</f>
        <v>N/A</v>
      </c>
      <c r="W912" s="28" t="s">
        <v>1463</v>
      </c>
      <c r="X912" s="28" t="s">
        <v>2275</v>
      </c>
      <c r="Y912" s="28" t="s">
        <v>2276</v>
      </c>
      <c r="Z912" s="61" t="s">
        <v>2277</v>
      </c>
      <c r="AA912" s="60"/>
      <c r="AB912" s="28" t="s">
        <v>7355</v>
      </c>
      <c r="AC912" s="28" t="s">
        <v>1466</v>
      </c>
    </row>
    <row r="913" spans="1:29" s="28" customFormat="1" x14ac:dyDescent="0.25">
      <c r="A913" s="61">
        <v>110070212009</v>
      </c>
      <c r="B913" s="28">
        <v>2021</v>
      </c>
      <c r="C913" s="68">
        <f t="shared" si="14"/>
        <v>44197</v>
      </c>
      <c r="D913" s="28" t="s">
        <v>1378</v>
      </c>
      <c r="E913" s="28" t="s">
        <v>2274</v>
      </c>
      <c r="F913" s="28" t="s">
        <v>474</v>
      </c>
      <c r="G913" s="28" t="s">
        <v>338</v>
      </c>
      <c r="H913" s="28">
        <v>7470</v>
      </c>
      <c r="I913" s="28">
        <v>40.936109999999999</v>
      </c>
      <c r="J913" s="28">
        <v>-74.273809999999997</v>
      </c>
      <c r="L913" s="61">
        <v>110070212009</v>
      </c>
      <c r="M913" s="28" t="s">
        <v>265</v>
      </c>
      <c r="O913" s="28" t="str">
        <f>IFERROR(VLOOKUP(N913, 'SIC &amp; NAICS Codes'!A:B, 2, FALSE), "")</f>
        <v/>
      </c>
      <c r="S913" s="28">
        <v>7.9502499947500002E-4</v>
      </c>
      <c r="T913" s="315">
        <f>_xlfn.MAXIFS('Raw Period DMR Data'!$O:$O,'Raw Period DMR Data'!$A:$A,'Raw Annual DMR Data_2021-2024'!#REF!,'Raw Period DMR Data'!$C:$C,X913)/S913</f>
        <v>0</v>
      </c>
      <c r="U913" s="28" t="str">
        <f>+IF(COUNTIFS('Raw Period DMR Data'!$A:$A,B913,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13" s="28" t="str" cm="1">
        <f t="array" ref="V913">IFERROR(INDEX('Raw Period DMR Data'!N:N,MATCH(1,(B913='Raw Period DMR Data'!$A:$A)*(U913='Raw Period DMR Data'!M:M)*(X913='Raw Period DMR Data'!C:C),0),1), "N/A")</f>
        <v>N/A</v>
      </c>
      <c r="W913" s="28" t="s">
        <v>1463</v>
      </c>
      <c r="X913" s="28" t="s">
        <v>2275</v>
      </c>
      <c r="Y913" s="28" t="s">
        <v>2276</v>
      </c>
      <c r="Z913" s="61">
        <v>2030103000052</v>
      </c>
      <c r="AB913" s="28" t="s">
        <v>7355</v>
      </c>
      <c r="AC913" s="28" t="s">
        <v>1466</v>
      </c>
    </row>
    <row r="914" spans="1:29" s="28" customFormat="1" x14ac:dyDescent="0.25">
      <c r="A914" s="61">
        <v>110070212009</v>
      </c>
      <c r="B914" s="28">
        <v>2022</v>
      </c>
      <c r="C914" s="68">
        <f t="shared" si="14"/>
        <v>44562</v>
      </c>
      <c r="D914" s="28" t="s">
        <v>1378</v>
      </c>
      <c r="E914" s="28" t="s">
        <v>2274</v>
      </c>
      <c r="F914" s="28" t="s">
        <v>474</v>
      </c>
      <c r="G914" s="28" t="s">
        <v>338</v>
      </c>
      <c r="H914" s="28">
        <v>7470</v>
      </c>
      <c r="I914" s="28">
        <v>40.936109999999999</v>
      </c>
      <c r="J914" s="28">
        <v>-74.273809999999997</v>
      </c>
      <c r="L914" s="61">
        <v>110070212009</v>
      </c>
      <c r="M914" s="28" t="s">
        <v>265</v>
      </c>
      <c r="O914" s="28" t="str">
        <f>IFERROR(VLOOKUP(N914, 'SIC &amp; NAICS Codes'!A:B, 2, FALSE), "")</f>
        <v/>
      </c>
      <c r="S914" s="28">
        <v>7.2175926544999997E-4</v>
      </c>
      <c r="T914" s="315">
        <f>_xlfn.MAXIFS('Raw Period DMR Data'!$O:$O,'Raw Period DMR Data'!$A:$A,'Raw Annual DMR Data_2021-2024'!#REF!,'Raw Period DMR Data'!$C:$C,X914)/S914</f>
        <v>0</v>
      </c>
      <c r="U914" s="28" t="str">
        <f>+IF(COUNTIFS('Raw Period DMR Data'!$A:$A,B914,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14" s="28" t="str" cm="1">
        <f t="array" ref="V914">IFERROR(INDEX('Raw Period DMR Data'!N:N,MATCH(1,(B914='Raw Period DMR Data'!$A:$A)*(U914='Raw Period DMR Data'!M:M)*(X914='Raw Period DMR Data'!C:C),0),1), "N/A")</f>
        <v>N/A</v>
      </c>
      <c r="W914" s="28" t="s">
        <v>1463</v>
      </c>
      <c r="X914" s="28" t="s">
        <v>2275</v>
      </c>
      <c r="Y914" s="28" t="s">
        <v>2276</v>
      </c>
      <c r="Z914" s="61">
        <v>2030103000052</v>
      </c>
      <c r="AA914" s="60"/>
      <c r="AB914" s="28" t="s">
        <v>7355</v>
      </c>
      <c r="AC914" s="28" t="s">
        <v>1466</v>
      </c>
    </row>
    <row r="915" spans="1:29" s="28" customFormat="1" x14ac:dyDescent="0.25">
      <c r="A915" s="61">
        <v>110070684897</v>
      </c>
      <c r="B915" s="28">
        <v>2021</v>
      </c>
      <c r="C915" s="68">
        <f t="shared" si="14"/>
        <v>44197</v>
      </c>
      <c r="D915" s="28" t="s">
        <v>1387</v>
      </c>
      <c r="E915" s="28" t="s">
        <v>2291</v>
      </c>
      <c r="F915" s="28" t="s">
        <v>1388</v>
      </c>
      <c r="G915" s="28" t="s">
        <v>294</v>
      </c>
      <c r="H915" s="28">
        <v>221822454</v>
      </c>
      <c r="I915" s="28">
        <v>38.920251999999998</v>
      </c>
      <c r="J915" s="28">
        <v>-77.231944999999996</v>
      </c>
      <c r="L915" s="61">
        <v>110070684897</v>
      </c>
      <c r="M915" s="28" t="s">
        <v>265</v>
      </c>
      <c r="N915" s="28">
        <v>1794</v>
      </c>
      <c r="O915" s="28" t="str">
        <f>IFERROR(VLOOKUP(N915, 'SIC &amp; NAICS Codes'!A:B, 2, FALSE), "")</f>
        <v>Excavation Work</v>
      </c>
      <c r="S915" s="28">
        <v>6.9788700550000001E-3</v>
      </c>
      <c r="T915" s="315">
        <f>_xlfn.MAXIFS('Raw Period DMR Data'!$O:$O,'Raw Period DMR Data'!$A:$A,'Raw Annual DMR Data_2021-2024'!#REF!,'Raw Period DMR Data'!$C:$C,X915)/S915</f>
        <v>0</v>
      </c>
      <c r="U915" s="28" t="str">
        <f>+IF(COUNTIFS('Raw Period DMR Data'!$A:$A,B915,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15" s="28" t="str" cm="1">
        <f t="array" ref="V915">IFERROR(INDEX('Raw Period DMR Data'!N:N,MATCH(1,(B915='Raw Period DMR Data'!$A:$A)*(U915='Raw Period DMR Data'!M:M)*(X915='Raw Period DMR Data'!C:C),0),1), "N/A")</f>
        <v>N/A</v>
      </c>
      <c r="W915" s="28" t="s">
        <v>1463</v>
      </c>
      <c r="X915" s="28" t="s">
        <v>2292</v>
      </c>
      <c r="Y915" s="28" t="s">
        <v>2293</v>
      </c>
      <c r="Z915" s="61"/>
      <c r="AB915" s="28" t="s">
        <v>7355</v>
      </c>
      <c r="AC915" s="28" t="s">
        <v>1466</v>
      </c>
    </row>
    <row r="916" spans="1:29" s="28" customFormat="1" x14ac:dyDescent="0.25">
      <c r="A916" s="61">
        <v>110070684897</v>
      </c>
      <c r="B916" s="28">
        <v>2022</v>
      </c>
      <c r="C916" s="68">
        <f t="shared" si="14"/>
        <v>44562</v>
      </c>
      <c r="D916" s="28" t="s">
        <v>1387</v>
      </c>
      <c r="E916" s="28" t="s">
        <v>2291</v>
      </c>
      <c r="F916" s="28" t="s">
        <v>1388</v>
      </c>
      <c r="G916" s="28" t="s">
        <v>294</v>
      </c>
      <c r="H916" s="28">
        <v>221822454</v>
      </c>
      <c r="I916" s="28">
        <v>38.920251999999998</v>
      </c>
      <c r="J916" s="28">
        <v>-77.231944999999996</v>
      </c>
      <c r="L916" s="61">
        <v>110070684897</v>
      </c>
      <c r="M916" s="28" t="s">
        <v>265</v>
      </c>
      <c r="N916" s="28">
        <v>1794</v>
      </c>
      <c r="O916" s="28" t="str">
        <f>IFERROR(VLOOKUP(N916, 'SIC &amp; NAICS Codes'!A:B, 2, FALSE), "")</f>
        <v>Excavation Work</v>
      </c>
      <c r="S916" s="28">
        <v>5.1380845099999999E-3</v>
      </c>
      <c r="T916" s="315">
        <f>_xlfn.MAXIFS('Raw Period DMR Data'!$O:$O,'Raw Period DMR Data'!$A:$A,'Raw Annual DMR Data_2021-2024'!#REF!,'Raw Period DMR Data'!$C:$C,X916)/S916</f>
        <v>0</v>
      </c>
      <c r="U916" s="28" t="str">
        <f>+IF(COUNTIFS('Raw Period DMR Data'!$A:$A,B916,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16" s="28" t="str" cm="1">
        <f t="array" ref="V916">IFERROR(INDEX('Raw Period DMR Data'!N:N,MATCH(1,(B916='Raw Period DMR Data'!$A:$A)*(U916='Raw Period DMR Data'!M:M)*(X916='Raw Period DMR Data'!C:C),0),1), "N/A")</f>
        <v>N/A</v>
      </c>
      <c r="W916" s="28" t="s">
        <v>1463</v>
      </c>
      <c r="X916" s="28" t="s">
        <v>2292</v>
      </c>
      <c r="Y916" s="28" t="s">
        <v>2293</v>
      </c>
      <c r="Z916" s="61"/>
      <c r="AA916" s="60"/>
      <c r="AB916" s="28" t="s">
        <v>7355</v>
      </c>
      <c r="AC916" s="28" t="s">
        <v>1466</v>
      </c>
    </row>
    <row r="917" spans="1:29" s="28" customFormat="1" x14ac:dyDescent="0.25">
      <c r="A917" s="61">
        <v>110070684897</v>
      </c>
      <c r="B917" s="28">
        <v>2023</v>
      </c>
      <c r="C917" s="68">
        <f t="shared" si="14"/>
        <v>44927</v>
      </c>
      <c r="D917" s="28" t="s">
        <v>1387</v>
      </c>
      <c r="E917" s="28" t="s">
        <v>2291</v>
      </c>
      <c r="F917" s="28" t="s">
        <v>1388</v>
      </c>
      <c r="G917" s="28" t="s">
        <v>294</v>
      </c>
      <c r="H917" s="28">
        <v>221822454</v>
      </c>
      <c r="I917" s="28">
        <v>38.920251999999998</v>
      </c>
      <c r="J917" s="28">
        <v>-77.231944999999996</v>
      </c>
      <c r="L917" s="61">
        <v>110070684897</v>
      </c>
      <c r="M917" s="28" t="s">
        <v>265</v>
      </c>
      <c r="N917" s="28">
        <v>1794</v>
      </c>
      <c r="O917" s="28" t="str">
        <f>IFERROR(VLOOKUP(N917, 'SIC &amp; NAICS Codes'!A:B, 2, FALSE), "")</f>
        <v>Excavation Work</v>
      </c>
      <c r="S917" s="28">
        <v>4.3259948672727203E-3</v>
      </c>
      <c r="T917" s="315">
        <f>_xlfn.MAXIFS('Raw Period DMR Data'!$O:$O,'Raw Period DMR Data'!$A:$A,'Raw Annual DMR Data_2021-2024'!#REF!,'Raw Period DMR Data'!$C:$C,X917)/S917</f>
        <v>0</v>
      </c>
      <c r="U917" s="28" t="str">
        <f>+IF(COUNTIFS('Raw Period DMR Data'!$A:$A,B917,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17" s="28" t="str" cm="1">
        <f t="array" ref="V917">IFERROR(INDEX('Raw Period DMR Data'!N:N,MATCH(1,(B917='Raw Period DMR Data'!$A:$A)*(U917='Raw Period DMR Data'!M:M)*(X917='Raw Period DMR Data'!C:C),0),1), "N/A")</f>
        <v>N/A</v>
      </c>
      <c r="W917" s="28" t="s">
        <v>1463</v>
      </c>
      <c r="X917" s="28" t="s">
        <v>2292</v>
      </c>
      <c r="Y917" s="28" t="s">
        <v>2293</v>
      </c>
      <c r="Z917" s="61"/>
      <c r="AA917" s="60"/>
      <c r="AB917" s="28" t="s">
        <v>7355</v>
      </c>
      <c r="AC917" s="28" t="s">
        <v>1466</v>
      </c>
    </row>
    <row r="918" spans="1:29" s="28" customFormat="1" x14ac:dyDescent="0.25">
      <c r="A918" s="61">
        <v>110070684897</v>
      </c>
      <c r="B918" s="28">
        <v>2024</v>
      </c>
      <c r="C918" s="68">
        <f t="shared" si="14"/>
        <v>45292</v>
      </c>
      <c r="D918" s="28" t="s">
        <v>1387</v>
      </c>
      <c r="E918" s="28" t="s">
        <v>2291</v>
      </c>
      <c r="F918" s="28" t="s">
        <v>1388</v>
      </c>
      <c r="G918" s="28" t="s">
        <v>294</v>
      </c>
      <c r="H918" s="28">
        <v>221822454</v>
      </c>
      <c r="I918" s="28">
        <v>38.920251999999998</v>
      </c>
      <c r="J918" s="28">
        <v>-77.231944999999996</v>
      </c>
      <c r="L918" s="61">
        <v>110070684897</v>
      </c>
      <c r="M918" s="28" t="s">
        <v>265</v>
      </c>
      <c r="N918" s="28">
        <v>1794</v>
      </c>
      <c r="O918" s="28" t="str">
        <f>IFERROR(VLOOKUP(N918, 'SIC &amp; NAICS Codes'!A:B, 2, FALSE), "")</f>
        <v>Excavation Work</v>
      </c>
      <c r="S918" s="28">
        <v>3.1815688049999999E-3</v>
      </c>
      <c r="T918" s="315">
        <f>_xlfn.MAXIFS('Raw Period DMR Data'!$O:$O,'Raw Period DMR Data'!$A:$A,'Raw Annual DMR Data_2021-2024'!#REF!,'Raw Period DMR Data'!$C:$C,X918)/S918</f>
        <v>0</v>
      </c>
      <c r="U918" s="28" t="str">
        <f>+IF(COUNTIFS('Raw Period DMR Data'!$A:$A,B918,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18" s="28" t="str" cm="1">
        <f t="array" ref="V918">IFERROR(INDEX('Raw Period DMR Data'!N:N,MATCH(1,(B918='Raw Period DMR Data'!$A:$A)*(U918='Raw Period DMR Data'!M:M)*(X918='Raw Period DMR Data'!C:C),0),1), "N/A")</f>
        <v>N/A</v>
      </c>
      <c r="W918" s="28" t="s">
        <v>1463</v>
      </c>
      <c r="X918" s="28" t="s">
        <v>2292</v>
      </c>
      <c r="Y918" s="28" t="s">
        <v>2293</v>
      </c>
      <c r="Z918" s="61"/>
      <c r="AA918" s="60"/>
      <c r="AB918" s="28" t="s">
        <v>7355</v>
      </c>
      <c r="AC918" s="28" t="s">
        <v>1466</v>
      </c>
    </row>
    <row r="919" spans="1:29" s="28" customFormat="1" x14ac:dyDescent="0.25">
      <c r="A919" s="61">
        <v>110000329886</v>
      </c>
      <c r="B919" s="28">
        <v>2021</v>
      </c>
      <c r="C919" s="68">
        <f t="shared" si="14"/>
        <v>44197</v>
      </c>
      <c r="D919" s="28" t="s">
        <v>6855</v>
      </c>
      <c r="E919" s="28" t="s">
        <v>7014</v>
      </c>
      <c r="F919" s="28" t="s">
        <v>7015</v>
      </c>
      <c r="G919" s="28" t="s">
        <v>491</v>
      </c>
      <c r="H919" s="28">
        <v>15317</v>
      </c>
      <c r="I919" s="28">
        <v>40.269072000000001</v>
      </c>
      <c r="J919" s="28">
        <v>-80.170649999999995</v>
      </c>
      <c r="L919" s="61">
        <v>110000329886</v>
      </c>
      <c r="M919" s="28" t="s">
        <v>265</v>
      </c>
      <c r="O919" s="28" t="str">
        <f>IFERROR(VLOOKUP(N919, 'SIC &amp; NAICS Codes'!A:B, 2, FALSE), "")</f>
        <v/>
      </c>
      <c r="S919" s="28">
        <v>5.9680311590624997E-3</v>
      </c>
      <c r="T919" s="315">
        <f>_xlfn.MAXIFS('Raw Period DMR Data'!$O:$O,'Raw Period DMR Data'!$A:$A,'Raw Annual DMR Data_2021-2024'!#REF!,'Raw Period DMR Data'!$C:$C,X919)/S919</f>
        <v>0</v>
      </c>
      <c r="U919" s="28" t="str">
        <f>+IF(COUNTIFS('Raw Period DMR Data'!$A:$A,B919,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19" s="28" t="str" cm="1">
        <f t="array" ref="V919">IFERROR(INDEX('Raw Period DMR Data'!N:N,MATCH(1,(B919='Raw Period DMR Data'!$A:$A)*(U919='Raw Period DMR Data'!M:M)*(X919='Raw Period DMR Data'!C:C),0),1), "N/A")</f>
        <v>N/A</v>
      </c>
      <c r="W919" s="28" t="s">
        <v>1463</v>
      </c>
      <c r="X919" s="28" t="s">
        <v>7186</v>
      </c>
      <c r="Y919" s="28" t="s">
        <v>7293</v>
      </c>
      <c r="Z919" s="61">
        <v>5030101000095</v>
      </c>
      <c r="AB919" s="28" t="s">
        <v>7355</v>
      </c>
      <c r="AC919" s="28" t="s">
        <v>1466</v>
      </c>
    </row>
    <row r="920" spans="1:29" s="28" customFormat="1" x14ac:dyDescent="0.25">
      <c r="A920" s="61">
        <v>110062644367</v>
      </c>
      <c r="B920" s="28">
        <v>2024</v>
      </c>
      <c r="C920" s="68">
        <f t="shared" si="14"/>
        <v>45292</v>
      </c>
      <c r="D920" s="28" t="s">
        <v>1389</v>
      </c>
      <c r="E920" s="28" t="s">
        <v>2294</v>
      </c>
      <c r="F920" s="28" t="s">
        <v>358</v>
      </c>
      <c r="G920" s="28" t="s">
        <v>275</v>
      </c>
      <c r="H920" s="28">
        <v>83704</v>
      </c>
      <c r="I920" s="28">
        <v>43.605383000000003</v>
      </c>
      <c r="J920" s="28">
        <v>-116.27849000000001</v>
      </c>
      <c r="L920" s="61">
        <v>110062644367</v>
      </c>
      <c r="M920" s="28" t="s">
        <v>265</v>
      </c>
      <c r="O920" s="28" t="str">
        <f>IFERROR(VLOOKUP(N920, 'SIC &amp; NAICS Codes'!A:B, 2, FALSE), "")</f>
        <v/>
      </c>
      <c r="S920" s="28">
        <v>1.2986637800000001E-2</v>
      </c>
      <c r="T920" s="315">
        <f>_xlfn.MAXIFS('Raw Period DMR Data'!$O:$O,'Raw Period DMR Data'!$A:$A,'Raw Annual DMR Data_2021-2024'!#REF!,'Raw Period DMR Data'!$C:$C,X920)/S920</f>
        <v>0</v>
      </c>
      <c r="U920" s="28" t="str">
        <f>+IF(COUNTIFS('Raw Period DMR Data'!$A:$A,B920,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20" s="28" t="str" cm="1">
        <f t="array" ref="V920">IFERROR(INDEX('Raw Period DMR Data'!N:N,MATCH(1,(B920='Raw Period DMR Data'!$A:$A)*(U920='Raw Period DMR Data'!M:M)*(X920='Raw Period DMR Data'!C:C),0),1), "N/A")</f>
        <v>N/A</v>
      </c>
      <c r="W920" s="28" t="s">
        <v>1463</v>
      </c>
      <c r="X920" s="28" t="s">
        <v>2295</v>
      </c>
      <c r="Y920" s="28" t="s">
        <v>7261</v>
      </c>
      <c r="Z920" s="61">
        <v>17050114001337</v>
      </c>
      <c r="AA920" s="60"/>
      <c r="AB920" s="28" t="s">
        <v>7355</v>
      </c>
      <c r="AC920" s="28" t="s">
        <v>1466</v>
      </c>
    </row>
    <row r="921" spans="1:29" s="28" customFormat="1" x14ac:dyDescent="0.25">
      <c r="A921" s="61">
        <v>110062644367</v>
      </c>
      <c r="B921" s="28">
        <v>2022</v>
      </c>
      <c r="C921" s="68">
        <f t="shared" si="14"/>
        <v>44562</v>
      </c>
      <c r="D921" s="28" t="s">
        <v>1389</v>
      </c>
      <c r="E921" s="28" t="s">
        <v>2294</v>
      </c>
      <c r="F921" s="28" t="s">
        <v>358</v>
      </c>
      <c r="G921" s="28" t="s">
        <v>275</v>
      </c>
      <c r="H921" s="28">
        <v>83704</v>
      </c>
      <c r="I921" s="28">
        <v>43.605383000000003</v>
      </c>
      <c r="J921" s="28">
        <v>-116.27849000000001</v>
      </c>
      <c r="L921" s="61">
        <v>110062644367</v>
      </c>
      <c r="M921" s="28" t="s">
        <v>265</v>
      </c>
      <c r="O921" s="28" t="str">
        <f>IFERROR(VLOOKUP(N921, 'SIC &amp; NAICS Codes'!A:B, 2, FALSE), "")</f>
        <v/>
      </c>
      <c r="S921" s="28">
        <v>1.0638412445E-2</v>
      </c>
      <c r="T921" s="315">
        <f>_xlfn.MAXIFS('Raw Period DMR Data'!$O:$O,'Raw Period DMR Data'!$A:$A,'Raw Annual DMR Data_2021-2024'!#REF!,'Raw Period DMR Data'!$C:$C,X921)/S921</f>
        <v>0</v>
      </c>
      <c r="U921" s="28" t="str">
        <f>+IF(COUNTIFS('Raw Period DMR Data'!$A:$A,B921,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21" s="28" t="str" cm="1">
        <f t="array" ref="V921">IFERROR(INDEX('Raw Period DMR Data'!N:N,MATCH(1,(B921='Raw Period DMR Data'!$A:$A)*(U921='Raw Period DMR Data'!M:M)*(X921='Raw Period DMR Data'!C:C),0),1), "N/A")</f>
        <v>N/A</v>
      </c>
      <c r="W921" s="28" t="s">
        <v>1463</v>
      </c>
      <c r="X921" s="28" t="s">
        <v>2295</v>
      </c>
      <c r="Y921" s="28" t="s">
        <v>7261</v>
      </c>
      <c r="Z921" s="61">
        <v>17050114001337</v>
      </c>
      <c r="AA921" s="60"/>
      <c r="AB921" s="28" t="s">
        <v>7355</v>
      </c>
      <c r="AC921" s="28" t="s">
        <v>1466</v>
      </c>
    </row>
    <row r="922" spans="1:29" s="28" customFormat="1" x14ac:dyDescent="0.25">
      <c r="A922" s="61">
        <v>110062644367</v>
      </c>
      <c r="B922" s="28">
        <v>2021</v>
      </c>
      <c r="C922" s="68">
        <f t="shared" si="14"/>
        <v>44197</v>
      </c>
      <c r="D922" s="28" t="s">
        <v>1389</v>
      </c>
      <c r="E922" s="28" t="s">
        <v>2294</v>
      </c>
      <c r="F922" s="28" t="s">
        <v>358</v>
      </c>
      <c r="G922" s="28" t="s">
        <v>275</v>
      </c>
      <c r="H922" s="28">
        <v>83704</v>
      </c>
      <c r="I922" s="28">
        <v>43.605383000000003</v>
      </c>
      <c r="J922" s="28">
        <v>-116.27849000000001</v>
      </c>
      <c r="L922" s="61">
        <v>110062644367</v>
      </c>
      <c r="M922" s="28" t="s">
        <v>265</v>
      </c>
      <c r="O922" s="28" t="str">
        <f>IFERROR(VLOOKUP(N922, 'SIC &amp; NAICS Codes'!A:B, 2, FALSE), "")</f>
        <v/>
      </c>
      <c r="S922" s="28">
        <v>9.9794590849999996E-3</v>
      </c>
      <c r="T922" s="315">
        <f>_xlfn.MAXIFS('Raw Period DMR Data'!$O:$O,'Raw Period DMR Data'!$A:$A,'Raw Annual DMR Data_2021-2024'!#REF!,'Raw Period DMR Data'!$C:$C,X922)/S922</f>
        <v>0</v>
      </c>
      <c r="U922" s="28" t="str">
        <f>+IF(COUNTIFS('Raw Period DMR Data'!$A:$A,B922,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22" s="28" t="str" cm="1">
        <f t="array" ref="V922">IFERROR(INDEX('Raw Period DMR Data'!N:N,MATCH(1,(B922='Raw Period DMR Data'!$A:$A)*(U922='Raw Period DMR Data'!M:M)*(X922='Raw Period DMR Data'!C:C),0),1), "N/A")</f>
        <v>N/A</v>
      </c>
      <c r="W922" s="28" t="s">
        <v>1463</v>
      </c>
      <c r="X922" s="28" t="s">
        <v>2295</v>
      </c>
      <c r="Y922" s="28" t="s">
        <v>7261</v>
      </c>
      <c r="Z922" s="61">
        <v>17050114001337</v>
      </c>
      <c r="AB922" s="28" t="s">
        <v>7355</v>
      </c>
      <c r="AC922" s="28" t="s">
        <v>1466</v>
      </c>
    </row>
    <row r="923" spans="1:29" s="28" customFormat="1" x14ac:dyDescent="0.25">
      <c r="A923" s="61">
        <v>110062644367</v>
      </c>
      <c r="B923" s="28">
        <v>2023</v>
      </c>
      <c r="C923" s="68">
        <f t="shared" si="14"/>
        <v>44927</v>
      </c>
      <c r="D923" s="28" t="s">
        <v>1389</v>
      </c>
      <c r="E923" s="28" t="s">
        <v>2294</v>
      </c>
      <c r="F923" s="28" t="s">
        <v>358</v>
      </c>
      <c r="G923" s="28" t="s">
        <v>275</v>
      </c>
      <c r="H923" s="28">
        <v>83704</v>
      </c>
      <c r="I923" s="28">
        <v>43.605383000000003</v>
      </c>
      <c r="J923" s="28">
        <v>-116.27849000000001</v>
      </c>
      <c r="L923" s="61">
        <v>110062644367</v>
      </c>
      <c r="M923" s="28" t="s">
        <v>265</v>
      </c>
      <c r="O923" s="28" t="str">
        <f>IFERROR(VLOOKUP(N923, 'SIC &amp; NAICS Codes'!A:B, 2, FALSE), "")</f>
        <v/>
      </c>
      <c r="S923" s="28">
        <v>9.8414731249999998E-3</v>
      </c>
      <c r="T923" s="315">
        <f>_xlfn.MAXIFS('Raw Period DMR Data'!$O:$O,'Raw Period DMR Data'!$A:$A,'Raw Annual DMR Data_2021-2024'!#REF!,'Raw Period DMR Data'!$C:$C,X923)/S923</f>
        <v>0</v>
      </c>
      <c r="U923" s="28" t="str">
        <f>+IF(COUNTIFS('Raw Period DMR Data'!$A:$A,B923,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23" s="28" t="str" cm="1">
        <f t="array" ref="V923">IFERROR(INDEX('Raw Period DMR Data'!N:N,MATCH(1,(B923='Raw Period DMR Data'!$A:$A)*(U923='Raw Period DMR Data'!M:M)*(X923='Raw Period DMR Data'!C:C),0),1), "N/A")</f>
        <v>N/A</v>
      </c>
      <c r="W923" s="28" t="s">
        <v>1463</v>
      </c>
      <c r="X923" s="28" t="s">
        <v>2295</v>
      </c>
      <c r="Y923" s="28" t="s">
        <v>7261</v>
      </c>
      <c r="Z923" s="61">
        <v>17050114001337</v>
      </c>
      <c r="AA923" s="60"/>
      <c r="AB923" s="28" t="s">
        <v>7355</v>
      </c>
      <c r="AC923" s="28" t="s">
        <v>1466</v>
      </c>
    </row>
    <row r="924" spans="1:29" s="28" customFormat="1" x14ac:dyDescent="0.25">
      <c r="A924" s="61">
        <v>110042004915</v>
      </c>
      <c r="B924" s="28">
        <v>2021</v>
      </c>
      <c r="C924" s="68">
        <f t="shared" si="14"/>
        <v>44197</v>
      </c>
      <c r="D924" s="28" t="s">
        <v>1394</v>
      </c>
      <c r="E924" s="28" t="s">
        <v>6973</v>
      </c>
      <c r="F924" s="28" t="s">
        <v>1395</v>
      </c>
      <c r="G924" s="28" t="s">
        <v>362</v>
      </c>
      <c r="H924" s="28">
        <v>78241</v>
      </c>
      <c r="I924" s="28">
        <v>29.378699999999998</v>
      </c>
      <c r="J924" s="28">
        <v>-98.551670000000001</v>
      </c>
      <c r="L924" s="61">
        <v>110042004915</v>
      </c>
      <c r="M924" s="28" t="s">
        <v>265</v>
      </c>
      <c r="N924" s="28">
        <v>9711</v>
      </c>
      <c r="O924" s="28" t="str">
        <f>IFERROR(VLOOKUP(N924, 'SIC &amp; NAICS Codes'!A:B, 2, FALSE), "")</f>
        <v>National Security</v>
      </c>
      <c r="S924" s="28">
        <v>1.8848089935499999E-2</v>
      </c>
      <c r="T924" s="315">
        <f>_xlfn.MAXIFS('Raw Period DMR Data'!$O:$O,'Raw Period DMR Data'!$A:$A,'Raw Annual DMR Data_2021-2024'!#REF!,'Raw Period DMR Data'!$C:$C,X924)/S924</f>
        <v>0</v>
      </c>
      <c r="U924" s="28" t="str">
        <f>+IF(COUNTIFS('Raw Period DMR Data'!$A:$A,B924,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24" s="28" t="str" cm="1">
        <f t="array" ref="V924">IFERROR(INDEX('Raw Period DMR Data'!N:N,MATCH(1,(B924='Raw Period DMR Data'!$A:$A)*(U924='Raw Period DMR Data'!M:M)*(X924='Raw Period DMR Data'!C:C),0),1), "N/A")</f>
        <v>N/A</v>
      </c>
      <c r="W924" s="28" t="s">
        <v>1463</v>
      </c>
      <c r="X924" s="28" t="s">
        <v>2305</v>
      </c>
      <c r="Y924" s="28" t="s">
        <v>2306</v>
      </c>
      <c r="Z924" s="61">
        <v>12100302000008</v>
      </c>
      <c r="AB924" s="28" t="s">
        <v>7355</v>
      </c>
      <c r="AC924" s="28" t="s">
        <v>7356</v>
      </c>
    </row>
    <row r="925" spans="1:29" s="28" customFormat="1" x14ac:dyDescent="0.25">
      <c r="A925" s="61">
        <v>110042004915</v>
      </c>
      <c r="B925" s="28">
        <v>2022</v>
      </c>
      <c r="C925" s="68">
        <f t="shared" si="14"/>
        <v>44562</v>
      </c>
      <c r="D925" s="28" t="s">
        <v>1394</v>
      </c>
      <c r="E925" s="28" t="s">
        <v>6973</v>
      </c>
      <c r="F925" s="28" t="s">
        <v>1395</v>
      </c>
      <c r="G925" s="28" t="s">
        <v>362</v>
      </c>
      <c r="H925" s="28">
        <v>78241</v>
      </c>
      <c r="I925" s="28">
        <v>29.378699999999998</v>
      </c>
      <c r="J925" s="28">
        <v>-98.551670000000001</v>
      </c>
      <c r="L925" s="61">
        <v>110042004915</v>
      </c>
      <c r="M925" s="28" t="s">
        <v>265</v>
      </c>
      <c r="N925" s="28">
        <v>9711</v>
      </c>
      <c r="O925" s="28" t="str">
        <f>IFERROR(VLOOKUP(N925, 'SIC &amp; NAICS Codes'!A:B, 2, FALSE), "")</f>
        <v>National Security</v>
      </c>
      <c r="S925" s="28">
        <v>1.4131892880499999E-2</v>
      </c>
      <c r="T925" s="315">
        <f>_xlfn.MAXIFS('Raw Period DMR Data'!$O:$O,'Raw Period DMR Data'!$A:$A,'Raw Annual DMR Data_2021-2024'!#REF!,'Raw Period DMR Data'!$C:$C,X925)/S925</f>
        <v>0</v>
      </c>
      <c r="U925" s="28" t="str">
        <f>+IF(COUNTIFS('Raw Period DMR Data'!$A:$A,B925,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25" s="28" t="str" cm="1">
        <f t="array" ref="V925">IFERROR(INDEX('Raw Period DMR Data'!N:N,MATCH(1,(B925='Raw Period DMR Data'!$A:$A)*(U925='Raw Period DMR Data'!M:M)*(X925='Raw Period DMR Data'!C:C),0),1), "N/A")</f>
        <v>N/A</v>
      </c>
      <c r="W925" s="28" t="s">
        <v>1463</v>
      </c>
      <c r="X925" s="28" t="s">
        <v>2305</v>
      </c>
      <c r="Y925" s="28" t="s">
        <v>2306</v>
      </c>
      <c r="Z925" s="61">
        <v>12100302000008</v>
      </c>
      <c r="AA925" s="60"/>
      <c r="AB925" s="28" t="s">
        <v>7355</v>
      </c>
      <c r="AC925" s="28" t="s">
        <v>7356</v>
      </c>
    </row>
    <row r="926" spans="1:29" s="28" customFormat="1" x14ac:dyDescent="0.25">
      <c r="A926" s="61">
        <v>110042004915</v>
      </c>
      <c r="B926" s="28">
        <v>2023</v>
      </c>
      <c r="C926" s="68">
        <f t="shared" si="14"/>
        <v>44927</v>
      </c>
      <c r="D926" s="28" t="s">
        <v>1394</v>
      </c>
      <c r="E926" s="28" t="s">
        <v>6973</v>
      </c>
      <c r="F926" s="28" t="s">
        <v>1395</v>
      </c>
      <c r="G926" s="28" t="s">
        <v>362</v>
      </c>
      <c r="H926" s="28">
        <v>78241</v>
      </c>
      <c r="I926" s="28">
        <v>29.378699999999998</v>
      </c>
      <c r="J926" s="28">
        <v>-98.551670000000001</v>
      </c>
      <c r="L926" s="61">
        <v>110042004915</v>
      </c>
      <c r="M926" s="28" t="s">
        <v>265</v>
      </c>
      <c r="N926" s="28">
        <v>9711</v>
      </c>
      <c r="O926" s="28" t="str">
        <f>IFERROR(VLOOKUP(N926, 'SIC &amp; NAICS Codes'!A:B, 2, FALSE), "")</f>
        <v>National Security</v>
      </c>
      <c r="S926" s="28">
        <v>1.3861786575E-2</v>
      </c>
      <c r="T926" s="315">
        <f>_xlfn.MAXIFS('Raw Period DMR Data'!$O:$O,'Raw Period DMR Data'!$A:$A,'Raw Annual DMR Data_2021-2024'!#REF!,'Raw Period DMR Data'!$C:$C,X926)/S926</f>
        <v>0</v>
      </c>
      <c r="U926" s="28" t="str">
        <f>+IF(COUNTIFS('Raw Period DMR Data'!$A:$A,B926,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26" s="28" t="str" cm="1">
        <f t="array" ref="V926">IFERROR(INDEX('Raw Period DMR Data'!N:N,MATCH(1,(B926='Raw Period DMR Data'!$A:$A)*(U926='Raw Period DMR Data'!M:M)*(X926='Raw Period DMR Data'!C:C),0),1), "N/A")</f>
        <v>N/A</v>
      </c>
      <c r="W926" s="28" t="s">
        <v>1463</v>
      </c>
      <c r="X926" s="28" t="s">
        <v>2305</v>
      </c>
      <c r="Y926" s="28" t="s">
        <v>2306</v>
      </c>
      <c r="Z926" s="61">
        <v>12100302000008</v>
      </c>
      <c r="AA926" s="60"/>
      <c r="AB926" s="28" t="s">
        <v>7355</v>
      </c>
      <c r="AC926" s="28" t="s">
        <v>7356</v>
      </c>
    </row>
    <row r="927" spans="1:29" s="28" customFormat="1" x14ac:dyDescent="0.25">
      <c r="A927" s="61">
        <v>110042004915</v>
      </c>
      <c r="B927" s="28">
        <v>2024</v>
      </c>
      <c r="C927" s="68">
        <f t="shared" si="14"/>
        <v>45292</v>
      </c>
      <c r="D927" s="28" t="s">
        <v>1394</v>
      </c>
      <c r="E927" s="28" t="s">
        <v>6973</v>
      </c>
      <c r="F927" s="28" t="s">
        <v>1395</v>
      </c>
      <c r="G927" s="28" t="s">
        <v>362</v>
      </c>
      <c r="H927" s="28">
        <v>78241</v>
      </c>
      <c r="I927" s="28">
        <v>29.378699999999998</v>
      </c>
      <c r="J927" s="28">
        <v>-98.551670000000001</v>
      </c>
      <c r="L927" s="61">
        <v>110042004915</v>
      </c>
      <c r="M927" s="28" t="s">
        <v>265</v>
      </c>
      <c r="N927" s="28">
        <v>9711</v>
      </c>
      <c r="O927" s="28" t="str">
        <f>IFERROR(VLOOKUP(N927, 'SIC &amp; NAICS Codes'!A:B, 2, FALSE), "")</f>
        <v>National Security</v>
      </c>
      <c r="S927" s="28">
        <v>1.24766639325E-2</v>
      </c>
      <c r="T927" s="315">
        <f>_xlfn.MAXIFS('Raw Period DMR Data'!$O:$O,'Raw Period DMR Data'!$A:$A,'Raw Annual DMR Data_2021-2024'!#REF!,'Raw Period DMR Data'!$C:$C,X927)/S927</f>
        <v>0</v>
      </c>
      <c r="U927" s="28" t="str">
        <f>+IF(COUNTIFS('Raw Period DMR Data'!$A:$A,B927,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27" s="28" t="str" cm="1">
        <f t="array" ref="V927">IFERROR(INDEX('Raw Period DMR Data'!N:N,MATCH(1,(B927='Raw Period DMR Data'!$A:$A)*(U927='Raw Period DMR Data'!M:M)*(X927='Raw Period DMR Data'!C:C),0),1), "N/A")</f>
        <v>N/A</v>
      </c>
      <c r="W927" s="28" t="s">
        <v>1463</v>
      </c>
      <c r="X927" s="28" t="s">
        <v>2305</v>
      </c>
      <c r="Y927" s="28" t="s">
        <v>2306</v>
      </c>
      <c r="Z927" s="61">
        <v>12100302000008</v>
      </c>
      <c r="AA927" s="60"/>
      <c r="AB927" s="28" t="s">
        <v>7355</v>
      </c>
      <c r="AC927" s="28" t="s">
        <v>7356</v>
      </c>
    </row>
    <row r="928" spans="1:29" s="28" customFormat="1" x14ac:dyDescent="0.25">
      <c r="A928" s="61">
        <v>110070917345</v>
      </c>
      <c r="B928" s="28">
        <v>2021</v>
      </c>
      <c r="C928" s="68">
        <f t="shared" si="14"/>
        <v>44197</v>
      </c>
      <c r="D928" s="28" t="s">
        <v>6797</v>
      </c>
      <c r="E928" s="28" t="s">
        <v>6946</v>
      </c>
      <c r="F928" s="28" t="s">
        <v>6947</v>
      </c>
      <c r="G928" s="28" t="s">
        <v>308</v>
      </c>
      <c r="H928" s="28">
        <v>2210</v>
      </c>
      <c r="I928" s="28">
        <v>42.349516999999999</v>
      </c>
      <c r="J928" s="28">
        <v>-71.047058000000007</v>
      </c>
      <c r="L928" s="61">
        <v>110070917345</v>
      </c>
      <c r="M928" s="28" t="s">
        <v>265</v>
      </c>
      <c r="O928" s="28" t="str">
        <f>IFERROR(VLOOKUP(N928, 'SIC &amp; NAICS Codes'!A:B, 2, FALSE), "")</f>
        <v/>
      </c>
      <c r="S928" s="28">
        <v>9.1566719999999993E-5</v>
      </c>
      <c r="T928" s="315">
        <f>_xlfn.MAXIFS('Raw Period DMR Data'!$O:$O,'Raw Period DMR Data'!$A:$A,'Raw Annual DMR Data_2021-2024'!#REF!,'Raw Period DMR Data'!$C:$C,X928)/S928</f>
        <v>0</v>
      </c>
      <c r="U928" s="28" t="str">
        <f>+IF(COUNTIFS('Raw Period DMR Data'!$A:$A,B928,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28" s="28" t="str" cm="1">
        <f t="array" ref="V928">IFERROR(INDEX('Raw Period DMR Data'!N:N,MATCH(1,(B928='Raw Period DMR Data'!$A:$A)*(U928='Raw Period DMR Data'!M:M)*(X928='Raw Period DMR Data'!C:C),0),1), "N/A")</f>
        <v>N/A</v>
      </c>
      <c r="W928" s="28" t="s">
        <v>1463</v>
      </c>
      <c r="X928" s="28" t="s">
        <v>7151</v>
      </c>
      <c r="Y928" s="28" t="s">
        <v>7263</v>
      </c>
      <c r="Z928" s="61"/>
      <c r="AB928" s="28" t="s">
        <v>7355</v>
      </c>
      <c r="AC928" s="28" t="s">
        <v>1466</v>
      </c>
    </row>
    <row r="929" spans="1:29" s="28" customFormat="1" x14ac:dyDescent="0.25">
      <c r="A929" s="61">
        <v>110006040989</v>
      </c>
      <c r="B929" s="28">
        <v>2024</v>
      </c>
      <c r="C929" s="68">
        <f t="shared" si="14"/>
        <v>45292</v>
      </c>
      <c r="D929" s="28" t="s">
        <v>6858</v>
      </c>
      <c r="E929" s="28" t="s">
        <v>2320</v>
      </c>
      <c r="F929" s="28" t="s">
        <v>1405</v>
      </c>
      <c r="G929" s="28" t="s">
        <v>427</v>
      </c>
      <c r="H929" s="28" t="s">
        <v>2321</v>
      </c>
      <c r="I929" s="28">
        <v>42.338805999999998</v>
      </c>
      <c r="J929" s="28">
        <v>-85.144028000000006</v>
      </c>
      <c r="L929" s="61">
        <v>110006040989</v>
      </c>
      <c r="M929" s="28" t="s">
        <v>265</v>
      </c>
      <c r="N929" s="28">
        <v>9999</v>
      </c>
      <c r="O929" s="28" t="str">
        <f>IFERROR(VLOOKUP(N929, 'SIC &amp; NAICS Codes'!A:B, 2, FALSE), "")</f>
        <v>Nonclassifiable Establishments</v>
      </c>
      <c r="S929" s="28">
        <v>0.95508797499999998</v>
      </c>
      <c r="T929" s="315">
        <f>_xlfn.MAXIFS('Raw Period DMR Data'!$O:$O,'Raw Period DMR Data'!$A:$A,'Raw Annual DMR Data_2021-2024'!#REF!,'Raw Period DMR Data'!$C:$C,X929)/S929</f>
        <v>0</v>
      </c>
      <c r="U929" s="28" t="str">
        <f>+IF(COUNTIFS('Raw Period DMR Data'!$A:$A,B929,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29" s="28" t="str" cm="1">
        <f t="array" ref="V929">IFERROR(INDEX('Raw Period DMR Data'!N:N,MATCH(1,(B929='Raw Period DMR Data'!$A:$A)*(U929='Raw Period DMR Data'!M:M)*(X929='Raw Period DMR Data'!C:C),0),1), "N/A")</f>
        <v>N/A</v>
      </c>
      <c r="W929" s="28" t="s">
        <v>1463</v>
      </c>
      <c r="X929" s="28" t="s">
        <v>2322</v>
      </c>
      <c r="Y929" s="28" t="s">
        <v>2323</v>
      </c>
      <c r="Z929" s="61">
        <v>4050003000125</v>
      </c>
      <c r="AA929" s="60"/>
      <c r="AB929" s="28" t="s">
        <v>7355</v>
      </c>
      <c r="AC929" s="28" t="s">
        <v>1466</v>
      </c>
    </row>
    <row r="930" spans="1:29" s="28" customFormat="1" x14ac:dyDescent="0.25">
      <c r="A930" s="61">
        <v>110006040989</v>
      </c>
      <c r="B930" s="28">
        <v>2023</v>
      </c>
      <c r="C930" s="68">
        <f t="shared" si="14"/>
        <v>44927</v>
      </c>
      <c r="D930" s="28" t="s">
        <v>6858</v>
      </c>
      <c r="E930" s="28" t="s">
        <v>2320</v>
      </c>
      <c r="F930" s="28" t="s">
        <v>1405</v>
      </c>
      <c r="G930" s="28" t="s">
        <v>427</v>
      </c>
      <c r="H930" s="28" t="s">
        <v>2321</v>
      </c>
      <c r="I930" s="28">
        <v>42.338805999999998</v>
      </c>
      <c r="J930" s="28">
        <v>-85.144028000000006</v>
      </c>
      <c r="L930" s="61">
        <v>110006040989</v>
      </c>
      <c r="M930" s="28" t="s">
        <v>265</v>
      </c>
      <c r="N930" s="28">
        <v>9999</v>
      </c>
      <c r="O930" s="28" t="str">
        <f>IFERROR(VLOOKUP(N930, 'SIC &amp; NAICS Codes'!A:B, 2, FALSE), "")</f>
        <v>Nonclassifiable Establishments</v>
      </c>
      <c r="S930" s="28">
        <v>0.90419864999999999</v>
      </c>
      <c r="T930" s="315">
        <f>_xlfn.MAXIFS('Raw Period DMR Data'!$O:$O,'Raw Period DMR Data'!$A:$A,'Raw Annual DMR Data_2021-2024'!#REF!,'Raw Period DMR Data'!$C:$C,X930)/S930</f>
        <v>0</v>
      </c>
      <c r="U930" s="28" t="str">
        <f>+IF(COUNTIFS('Raw Period DMR Data'!$A:$A,B930,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30" s="28" t="str" cm="1">
        <f t="array" ref="V930">IFERROR(INDEX('Raw Period DMR Data'!N:N,MATCH(1,(B930='Raw Period DMR Data'!$A:$A)*(U930='Raw Period DMR Data'!M:M)*(X930='Raw Period DMR Data'!C:C),0),1), "N/A")</f>
        <v>N/A</v>
      </c>
      <c r="W930" s="28" t="s">
        <v>1463</v>
      </c>
      <c r="X930" s="28" t="s">
        <v>2322</v>
      </c>
      <c r="Y930" s="28" t="s">
        <v>2323</v>
      </c>
      <c r="Z930" s="61" t="s">
        <v>7345</v>
      </c>
      <c r="AA930" s="60"/>
      <c r="AB930" s="28" t="s">
        <v>7355</v>
      </c>
      <c r="AC930" s="28" t="s">
        <v>1466</v>
      </c>
    </row>
    <row r="931" spans="1:29" s="28" customFormat="1" x14ac:dyDescent="0.25">
      <c r="A931" s="61">
        <v>110006040989</v>
      </c>
      <c r="B931" s="28">
        <v>2021</v>
      </c>
      <c r="C931" s="68">
        <f t="shared" si="14"/>
        <v>44197</v>
      </c>
      <c r="D931" s="28" t="s">
        <v>6858</v>
      </c>
      <c r="E931" s="28" t="s">
        <v>2320</v>
      </c>
      <c r="F931" s="28" t="s">
        <v>1405</v>
      </c>
      <c r="G931" s="28" t="s">
        <v>427</v>
      </c>
      <c r="H931" s="28" t="s">
        <v>2321</v>
      </c>
      <c r="I931" s="28">
        <v>42.338805999999998</v>
      </c>
      <c r="J931" s="28">
        <v>-85.144028000000006</v>
      </c>
      <c r="L931" s="61">
        <v>110006040989</v>
      </c>
      <c r="M931" s="28" t="s">
        <v>265</v>
      </c>
      <c r="N931" s="28">
        <v>9999</v>
      </c>
      <c r="O931" s="28" t="str">
        <f>IFERROR(VLOOKUP(N931, 'SIC &amp; NAICS Codes'!A:B, 2, FALSE), "")</f>
        <v>Nonclassifiable Establishments</v>
      </c>
      <c r="S931" s="28">
        <v>0.88304050000000001</v>
      </c>
      <c r="T931" s="315">
        <f>_xlfn.MAXIFS('Raw Period DMR Data'!$O:$O,'Raw Period DMR Data'!$A:$A,'Raw Annual DMR Data_2021-2024'!#REF!,'Raw Period DMR Data'!$C:$C,X931)/S931</f>
        <v>0</v>
      </c>
      <c r="U931" s="28" t="str">
        <f>+IF(COUNTIFS('Raw Period DMR Data'!$A:$A,B931,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31" s="28" t="str" cm="1">
        <f t="array" ref="V931">IFERROR(INDEX('Raw Period DMR Data'!N:N,MATCH(1,(B931='Raw Period DMR Data'!$A:$A)*(U931='Raw Period DMR Data'!M:M)*(X931='Raw Period DMR Data'!C:C),0),1), "N/A")</f>
        <v>N/A</v>
      </c>
      <c r="W931" s="28" t="s">
        <v>1463</v>
      </c>
      <c r="X931" s="28" t="s">
        <v>2322</v>
      </c>
      <c r="Y931" s="28" t="s">
        <v>2323</v>
      </c>
      <c r="Z931" s="61">
        <v>4050003000125</v>
      </c>
      <c r="AA931" s="60"/>
      <c r="AB931" s="28" t="s">
        <v>7355</v>
      </c>
      <c r="AC931" s="28" t="s">
        <v>1466</v>
      </c>
    </row>
    <row r="932" spans="1:29" s="28" customFormat="1" x14ac:dyDescent="0.25">
      <c r="A932" s="61">
        <v>110006040989</v>
      </c>
      <c r="B932" s="28">
        <v>2022</v>
      </c>
      <c r="C932" s="68">
        <f t="shared" si="14"/>
        <v>44562</v>
      </c>
      <c r="D932" s="28" t="s">
        <v>6858</v>
      </c>
      <c r="E932" s="28" t="s">
        <v>2320</v>
      </c>
      <c r="F932" s="28" t="s">
        <v>1405</v>
      </c>
      <c r="G932" s="28" t="s">
        <v>427</v>
      </c>
      <c r="H932" s="28" t="s">
        <v>2321</v>
      </c>
      <c r="I932" s="28">
        <v>42.338805999999998</v>
      </c>
      <c r="J932" s="28">
        <v>-85.144028000000006</v>
      </c>
      <c r="L932" s="61">
        <v>110006040989</v>
      </c>
      <c r="M932" s="28" t="s">
        <v>265</v>
      </c>
      <c r="N932" s="28">
        <v>9999</v>
      </c>
      <c r="O932" s="28" t="str">
        <f>IFERROR(VLOOKUP(N932, 'SIC &amp; NAICS Codes'!A:B, 2, FALSE), "")</f>
        <v>Nonclassifiable Establishments</v>
      </c>
      <c r="S932" s="28">
        <v>0.87463780000000002</v>
      </c>
      <c r="T932" s="315">
        <f>_xlfn.MAXIFS('Raw Period DMR Data'!$O:$O,'Raw Period DMR Data'!$A:$A,'Raw Annual DMR Data_2021-2024'!#REF!,'Raw Period DMR Data'!$C:$C,X932)/S932</f>
        <v>0</v>
      </c>
      <c r="U932" s="28" t="str">
        <f>+IF(COUNTIFS('Raw Period DMR Data'!$A:$A,B932,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32" s="28" t="str" cm="1">
        <f t="array" ref="V932">IFERROR(INDEX('Raw Period DMR Data'!N:N,MATCH(1,(B932='Raw Period DMR Data'!$A:$A)*(U932='Raw Period DMR Data'!M:M)*(X932='Raw Period DMR Data'!C:C),0),1), "N/A")</f>
        <v>N/A</v>
      </c>
      <c r="W932" s="28" t="s">
        <v>1463</v>
      </c>
      <c r="X932" s="28" t="s">
        <v>2322</v>
      </c>
      <c r="Y932" s="28" t="s">
        <v>2323</v>
      </c>
      <c r="Z932" s="61">
        <v>4050003000125</v>
      </c>
      <c r="AA932" s="60"/>
      <c r="AB932" s="28" t="s">
        <v>7355</v>
      </c>
      <c r="AC932" s="28" t="s">
        <v>1466</v>
      </c>
    </row>
    <row r="933" spans="1:29" s="28" customFormat="1" x14ac:dyDescent="0.25">
      <c r="A933" s="61">
        <v>110071428198</v>
      </c>
      <c r="B933" s="28">
        <v>2023</v>
      </c>
      <c r="C933" s="68">
        <f t="shared" si="14"/>
        <v>44927</v>
      </c>
      <c r="D933" s="28" t="s">
        <v>6908</v>
      </c>
      <c r="E933" s="28" t="s">
        <v>7108</v>
      </c>
      <c r="F933" s="28" t="s">
        <v>7109</v>
      </c>
      <c r="G933" s="28" t="s">
        <v>294</v>
      </c>
      <c r="H933" s="28">
        <v>22180</v>
      </c>
      <c r="I933" s="28">
        <v>38.899099999999997</v>
      </c>
      <c r="J933" s="28">
        <v>-77.269300000000001</v>
      </c>
      <c r="L933" s="61">
        <v>110071428198</v>
      </c>
      <c r="M933" s="28" t="s">
        <v>265</v>
      </c>
      <c r="N933" s="28">
        <v>6519</v>
      </c>
      <c r="O933" s="28" t="str">
        <f>IFERROR(VLOOKUP(N933, 'SIC &amp; NAICS Codes'!A:B, 2, FALSE), "")</f>
        <v>Lessors of Real Property, NEC</v>
      </c>
      <c r="S933" s="28">
        <v>5.3597838524699999E-3</v>
      </c>
      <c r="T933" s="315">
        <f>_xlfn.MAXIFS('Raw Period DMR Data'!$O:$O,'Raw Period DMR Data'!$A:$A,'Raw Annual DMR Data_2021-2024'!#REF!,'Raw Period DMR Data'!$C:$C,X933)/S933</f>
        <v>0</v>
      </c>
      <c r="U933" s="28" t="str">
        <f>+IF(COUNTIFS('Raw Period DMR Data'!$A:$A,B933,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33" s="28" t="str" cm="1">
        <f t="array" ref="V933">IFERROR(INDEX('Raw Period DMR Data'!N:N,MATCH(1,(B933='Raw Period DMR Data'!$A:$A)*(U933='Raw Period DMR Data'!M:M)*(X933='Raw Period DMR Data'!C:C),0),1), "N/A")</f>
        <v>N/A</v>
      </c>
      <c r="W933" s="28" t="s">
        <v>1463</v>
      </c>
      <c r="X933" s="28" t="s">
        <v>7239</v>
      </c>
      <c r="Y933" s="28" t="s">
        <v>2293</v>
      </c>
      <c r="Z933" s="61"/>
      <c r="AA933" s="60"/>
      <c r="AB933" s="28" t="s">
        <v>7355</v>
      </c>
      <c r="AC933" s="28" t="s">
        <v>1466</v>
      </c>
    </row>
    <row r="934" spans="1:29" s="28" customFormat="1" x14ac:dyDescent="0.25">
      <c r="A934" s="61">
        <v>110071428198</v>
      </c>
      <c r="B934" s="28">
        <v>2024</v>
      </c>
      <c r="C934" s="68">
        <f t="shared" si="14"/>
        <v>45292</v>
      </c>
      <c r="D934" s="28" t="s">
        <v>6908</v>
      </c>
      <c r="E934" s="28" t="s">
        <v>7108</v>
      </c>
      <c r="F934" s="28" t="s">
        <v>7109</v>
      </c>
      <c r="G934" s="28" t="s">
        <v>294</v>
      </c>
      <c r="H934" s="28">
        <v>22180</v>
      </c>
      <c r="I934" s="28">
        <v>38.899099999999997</v>
      </c>
      <c r="J934" s="28">
        <v>-77.269300000000001</v>
      </c>
      <c r="L934" s="61">
        <v>110071428198</v>
      </c>
      <c r="M934" s="28" t="s">
        <v>265</v>
      </c>
      <c r="N934" s="28">
        <v>6519</v>
      </c>
      <c r="O934" s="28" t="str">
        <f>IFERROR(VLOOKUP(N934, 'SIC &amp; NAICS Codes'!A:B, 2, FALSE), "")</f>
        <v>Lessors of Real Property, NEC</v>
      </c>
      <c r="S934" s="28">
        <v>2.48661141109474E-3</v>
      </c>
      <c r="T934" s="315">
        <f>_xlfn.MAXIFS('Raw Period DMR Data'!$O:$O,'Raw Period DMR Data'!$A:$A,'Raw Annual DMR Data_2021-2024'!#REF!,'Raw Period DMR Data'!$C:$C,X934)/S934</f>
        <v>0</v>
      </c>
      <c r="U934" s="28" t="str">
        <f>+IF(COUNTIFS('Raw Period DMR Data'!$A:$A,B934,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34" s="28" t="str" cm="1">
        <f t="array" ref="V934">IFERROR(INDEX('Raw Period DMR Data'!N:N,MATCH(1,(B934='Raw Period DMR Data'!$A:$A)*(U934='Raw Period DMR Data'!M:M)*(X934='Raw Period DMR Data'!C:C),0),1), "N/A")</f>
        <v>N/A</v>
      </c>
      <c r="W934" s="28" t="s">
        <v>1463</v>
      </c>
      <c r="X934" s="28" t="s">
        <v>7239</v>
      </c>
      <c r="Y934" s="28" t="s">
        <v>2293</v>
      </c>
      <c r="Z934" s="61"/>
      <c r="AA934" s="60" t="s">
        <v>7355</v>
      </c>
      <c r="AB934" s="28" t="s">
        <v>7355</v>
      </c>
      <c r="AC934" s="28" t="s">
        <v>1466</v>
      </c>
    </row>
    <row r="935" spans="1:29" s="28" customFormat="1" x14ac:dyDescent="0.25">
      <c r="A935" s="61">
        <v>110064418553</v>
      </c>
      <c r="B935" s="28">
        <v>2021</v>
      </c>
      <c r="C935" s="68">
        <f t="shared" si="14"/>
        <v>44197</v>
      </c>
      <c r="D935" s="28" t="s">
        <v>1410</v>
      </c>
      <c r="E935" s="28" t="s">
        <v>2331</v>
      </c>
      <c r="F935" s="28" t="s">
        <v>657</v>
      </c>
      <c r="G935" s="28" t="s">
        <v>418</v>
      </c>
      <c r="H935" s="28">
        <v>89106</v>
      </c>
      <c r="I935" s="28">
        <v>36.19997</v>
      </c>
      <c r="J935" s="28">
        <v>-115.19658</v>
      </c>
      <c r="L935" s="61">
        <v>110064418553</v>
      </c>
      <c r="M935" s="28" t="s">
        <v>265</v>
      </c>
      <c r="N935" s="28">
        <v>5541</v>
      </c>
      <c r="O935" s="28" t="str">
        <f>IFERROR(VLOOKUP(N935, 'SIC &amp; NAICS Codes'!A:B, 2, FALSE), "")</f>
        <v>Gasoline Service Station (gasoline station with convenience store)</v>
      </c>
      <c r="S935" s="28">
        <v>4.9734899999999997E-3</v>
      </c>
      <c r="T935" s="315">
        <f>_xlfn.MAXIFS('Raw Period DMR Data'!$O:$O,'Raw Period DMR Data'!$A:$A,'Raw Annual DMR Data_2021-2024'!#REF!,'Raw Period DMR Data'!$C:$C,X935)/S935</f>
        <v>0</v>
      </c>
      <c r="U935" s="28" t="str">
        <f>+IF(COUNTIFS('Raw Period DMR Data'!$A:$A,B935,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35" s="28" t="str" cm="1">
        <f t="array" ref="V935">IFERROR(INDEX('Raw Period DMR Data'!N:N,MATCH(1,(B935='Raw Period DMR Data'!$A:$A)*(U935='Raw Period DMR Data'!M:M)*(X935='Raw Period DMR Data'!C:C),0),1), "N/A")</f>
        <v>N/A</v>
      </c>
      <c r="W935" s="28" t="s">
        <v>1463</v>
      </c>
      <c r="X935" s="28" t="s">
        <v>2332</v>
      </c>
      <c r="Y935" s="28" t="s">
        <v>1893</v>
      </c>
      <c r="Z935" s="61">
        <v>15010015000124</v>
      </c>
      <c r="AB935" s="28" t="s">
        <v>7355</v>
      </c>
      <c r="AC935" s="28" t="s">
        <v>1466</v>
      </c>
    </row>
    <row r="936" spans="1:29" s="28" customFormat="1" x14ac:dyDescent="0.25">
      <c r="A936" s="61">
        <v>110070884632</v>
      </c>
      <c r="B936" s="28">
        <v>2021</v>
      </c>
      <c r="C936" s="68">
        <f t="shared" si="14"/>
        <v>44197</v>
      </c>
      <c r="D936" s="28" t="s">
        <v>1411</v>
      </c>
      <c r="E936" s="28" t="s">
        <v>2333</v>
      </c>
      <c r="F936" s="28" t="s">
        <v>1403</v>
      </c>
      <c r="G936" s="28" t="s">
        <v>294</v>
      </c>
      <c r="H936" s="28">
        <v>23452</v>
      </c>
      <c r="I936" s="28">
        <v>36.844686000000003</v>
      </c>
      <c r="J936" s="28">
        <v>-76.072886999999994</v>
      </c>
      <c r="L936" s="61">
        <v>110070884632</v>
      </c>
      <c r="M936" s="28" t="s">
        <v>265</v>
      </c>
      <c r="N936" s="28">
        <v>5541</v>
      </c>
      <c r="O936" s="28" t="str">
        <f>IFERROR(VLOOKUP(N936, 'SIC &amp; NAICS Codes'!A:B, 2, FALSE), "")</f>
        <v>Gasoline Service Station (gasoline station with convenience store)</v>
      </c>
      <c r="S936" s="28">
        <v>3.2920416000000001E-2</v>
      </c>
      <c r="T936" s="315">
        <f>_xlfn.MAXIFS('Raw Period DMR Data'!$O:$O,'Raw Period DMR Data'!$A:$A,'Raw Annual DMR Data_2021-2024'!#REF!,'Raw Period DMR Data'!$C:$C,X936)/S936</f>
        <v>0</v>
      </c>
      <c r="U936" s="28" t="str">
        <f>+IF(COUNTIFS('Raw Period DMR Data'!$A:$A,B936,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36" s="28" t="str" cm="1">
        <f t="array" ref="V936">IFERROR(INDEX('Raw Period DMR Data'!N:N,MATCH(1,(B936='Raw Period DMR Data'!$A:$A)*(U936='Raw Period DMR Data'!M:M)*(X936='Raw Period DMR Data'!C:C),0),1), "N/A")</f>
        <v>N/A</v>
      </c>
      <c r="W936" s="28" t="s">
        <v>1463</v>
      </c>
      <c r="X936" s="28" t="s">
        <v>2334</v>
      </c>
      <c r="Y936" s="28" t="s">
        <v>2335</v>
      </c>
      <c r="Z936" s="61"/>
      <c r="AB936" s="28" t="s">
        <v>7355</v>
      </c>
      <c r="AC936" s="28" t="s">
        <v>1466</v>
      </c>
    </row>
    <row r="937" spans="1:29" s="28" customFormat="1" x14ac:dyDescent="0.25">
      <c r="A937" s="61">
        <v>110071149439</v>
      </c>
      <c r="B937" s="28">
        <v>2021</v>
      </c>
      <c r="C937" s="68">
        <f t="shared" si="14"/>
        <v>44197</v>
      </c>
      <c r="D937" s="28" t="s">
        <v>6854</v>
      </c>
      <c r="E937" s="28" t="s">
        <v>7013</v>
      </c>
      <c r="F937" s="28" t="s">
        <v>968</v>
      </c>
      <c r="G937" s="28" t="s">
        <v>294</v>
      </c>
      <c r="H937" s="28">
        <v>22305</v>
      </c>
      <c r="I937" s="28">
        <v>38.837561999999998</v>
      </c>
      <c r="J937" s="28">
        <v>-77.048931999999994</v>
      </c>
      <c r="L937" s="61">
        <v>110071149439</v>
      </c>
      <c r="M937" s="28" t="s">
        <v>265</v>
      </c>
      <c r="N937" s="28">
        <v>1794</v>
      </c>
      <c r="O937" s="28" t="str">
        <f>IFERROR(VLOOKUP(N937, 'SIC &amp; NAICS Codes'!A:B, 2, FALSE), "")</f>
        <v>Excavation Work</v>
      </c>
      <c r="S937" s="28">
        <v>0.2316201984</v>
      </c>
      <c r="T937" s="315">
        <f>_xlfn.MAXIFS('Raw Period DMR Data'!$O:$O,'Raw Period DMR Data'!$A:$A,'Raw Annual DMR Data_2021-2024'!#REF!,'Raw Period DMR Data'!$C:$C,X937)/S937</f>
        <v>0</v>
      </c>
      <c r="U937" s="28" t="str">
        <f>+IF(COUNTIFS('Raw Period DMR Data'!$A:$A,B937,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37" s="28" t="str" cm="1">
        <f t="array" ref="V937">IFERROR(INDEX('Raw Period DMR Data'!N:N,MATCH(1,(B937='Raw Period DMR Data'!$A:$A)*(U937='Raw Period DMR Data'!M:M)*(X937='Raw Period DMR Data'!C:C),0),1), "N/A")</f>
        <v>N/A</v>
      </c>
      <c r="W937" s="28" t="s">
        <v>1463</v>
      </c>
      <c r="X937" s="28" t="s">
        <v>7185</v>
      </c>
      <c r="Y937" s="28" t="s">
        <v>1475</v>
      </c>
      <c r="Z937" s="61"/>
      <c r="AA937" s="60"/>
      <c r="AB937" s="28" t="s">
        <v>7355</v>
      </c>
      <c r="AC937" s="28" t="s">
        <v>1466</v>
      </c>
    </row>
    <row r="938" spans="1:29" s="28" customFormat="1" x14ac:dyDescent="0.25">
      <c r="A938" s="61">
        <v>110071149439</v>
      </c>
      <c r="B938" s="28">
        <v>2022</v>
      </c>
      <c r="C938" s="68">
        <f t="shared" si="14"/>
        <v>44562</v>
      </c>
      <c r="D938" s="28" t="s">
        <v>6854</v>
      </c>
      <c r="E938" s="28" t="s">
        <v>7013</v>
      </c>
      <c r="F938" s="28" t="s">
        <v>968</v>
      </c>
      <c r="G938" s="28" t="s">
        <v>294</v>
      </c>
      <c r="H938" s="28">
        <v>22305</v>
      </c>
      <c r="I938" s="28">
        <v>38.837561999999998</v>
      </c>
      <c r="J938" s="28">
        <v>-77.048931999999994</v>
      </c>
      <c r="L938" s="61">
        <v>110071149439</v>
      </c>
      <c r="M938" s="28" t="s">
        <v>265</v>
      </c>
      <c r="N938" s="28">
        <v>1794</v>
      </c>
      <c r="O938" s="28" t="str">
        <f>IFERROR(VLOOKUP(N938, 'SIC &amp; NAICS Codes'!A:B, 2, FALSE), "")</f>
        <v>Excavation Work</v>
      </c>
      <c r="S938" s="28">
        <v>7.4829409122000007E-2</v>
      </c>
      <c r="T938" s="315">
        <f>_xlfn.MAXIFS('Raw Period DMR Data'!$O:$O,'Raw Period DMR Data'!$A:$A,'Raw Annual DMR Data_2021-2024'!#REF!,'Raw Period DMR Data'!$C:$C,X938)/S938</f>
        <v>0</v>
      </c>
      <c r="U938" s="28" t="str">
        <f>+IF(COUNTIFS('Raw Period DMR Data'!$A:$A,B938,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38" s="28" t="str" cm="1">
        <f t="array" ref="V938">IFERROR(INDEX('Raw Period DMR Data'!N:N,MATCH(1,(B938='Raw Period DMR Data'!$A:$A)*(U938='Raw Period DMR Data'!M:M)*(X938='Raw Period DMR Data'!C:C),0),1), "N/A")</f>
        <v>N/A</v>
      </c>
      <c r="W938" s="28" t="s">
        <v>1463</v>
      </c>
      <c r="X938" s="28" t="s">
        <v>7185</v>
      </c>
      <c r="Y938" s="28" t="s">
        <v>1475</v>
      </c>
      <c r="Z938" s="61"/>
      <c r="AA938" s="60"/>
      <c r="AB938" s="28" t="s">
        <v>7355</v>
      </c>
      <c r="AC938" s="28" t="s">
        <v>1466</v>
      </c>
    </row>
    <row r="939" spans="1:29" s="28" customFormat="1" x14ac:dyDescent="0.25">
      <c r="A939" s="61">
        <v>110056966699</v>
      </c>
      <c r="B939" s="28">
        <v>2024</v>
      </c>
      <c r="C939" s="68">
        <f t="shared" si="14"/>
        <v>45292</v>
      </c>
      <c r="D939" s="28" t="s">
        <v>1419</v>
      </c>
      <c r="E939" s="28" t="s">
        <v>2346</v>
      </c>
      <c r="F939" s="28" t="s">
        <v>1420</v>
      </c>
      <c r="G939" s="28" t="s">
        <v>427</v>
      </c>
      <c r="H939" s="28">
        <v>49221</v>
      </c>
      <c r="I939" s="28">
        <v>41.948850999999998</v>
      </c>
      <c r="J939" s="28">
        <v>-83.958619999999996</v>
      </c>
      <c r="K939" s="28" t="s">
        <v>739</v>
      </c>
      <c r="L939" s="61">
        <v>110056966699</v>
      </c>
      <c r="M939" s="28" t="s">
        <v>265</v>
      </c>
      <c r="N939" s="28">
        <v>2821</v>
      </c>
      <c r="O939" s="28" t="str">
        <f>IFERROR(VLOOKUP(N939, 'SIC &amp; NAICS Codes'!A:B, 2, FALSE), "")</f>
        <v>Plastics Materials, Synthetic and Resins, and Nonvulcanizable Elastomers</v>
      </c>
      <c r="S939" s="28">
        <v>3.5829376099999999E-5</v>
      </c>
      <c r="T939" s="315">
        <f>_xlfn.MAXIFS('Raw Period DMR Data'!$O:$O,'Raw Period DMR Data'!$A:$A,'Raw Annual DMR Data_2021-2024'!#REF!,'Raw Period DMR Data'!$C:$C,X939)/S939</f>
        <v>0</v>
      </c>
      <c r="U939" s="28" t="str">
        <f>+IF(COUNTIFS('Raw Period DMR Data'!$A:$A,B939,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39" s="28" t="str" cm="1">
        <f t="array" ref="V939">IFERROR(INDEX('Raw Period DMR Data'!N:N,MATCH(1,(B939='Raw Period DMR Data'!$A:$A)*(U939='Raw Period DMR Data'!M:M)*(X939='Raw Period DMR Data'!C:C),0),1), "N/A")</f>
        <v>N/A</v>
      </c>
      <c r="W939" s="28" t="s">
        <v>1463</v>
      </c>
      <c r="X939" s="28" t="s">
        <v>2347</v>
      </c>
      <c r="Y939" s="28" t="s">
        <v>2348</v>
      </c>
      <c r="Z939" s="61">
        <v>4100002000101</v>
      </c>
      <c r="AA939" s="60"/>
      <c r="AB939" s="28" t="s">
        <v>7355</v>
      </c>
      <c r="AC939" s="28" t="s">
        <v>1466</v>
      </c>
    </row>
    <row r="940" spans="1:29" s="28" customFormat="1" x14ac:dyDescent="0.25">
      <c r="A940" s="61">
        <v>110056966699</v>
      </c>
      <c r="B940" s="28">
        <v>2023</v>
      </c>
      <c r="C940" s="68">
        <f t="shared" si="14"/>
        <v>44927</v>
      </c>
      <c r="D940" s="28" t="s">
        <v>1419</v>
      </c>
      <c r="E940" s="28" t="s">
        <v>2346</v>
      </c>
      <c r="F940" s="28" t="s">
        <v>1420</v>
      </c>
      <c r="G940" s="28" t="s">
        <v>427</v>
      </c>
      <c r="H940" s="28">
        <v>49221</v>
      </c>
      <c r="I940" s="28">
        <v>41.948850999999998</v>
      </c>
      <c r="J940" s="28">
        <v>-83.958619999999996</v>
      </c>
      <c r="K940" s="28" t="s">
        <v>739</v>
      </c>
      <c r="L940" s="61">
        <v>110056966699</v>
      </c>
      <c r="M940" s="28" t="s">
        <v>265</v>
      </c>
      <c r="N940" s="28">
        <v>2821</v>
      </c>
      <c r="O940" s="28" t="str">
        <f>IFERROR(VLOOKUP(N940, 'SIC &amp; NAICS Codes'!A:B, 2, FALSE), "")</f>
        <v>Plastics Materials, Synthetic and Resins, and Nonvulcanizable Elastomers</v>
      </c>
      <c r="S940" s="28">
        <v>4.4919108500000003E-6</v>
      </c>
      <c r="T940" s="315">
        <f>_xlfn.MAXIFS('Raw Period DMR Data'!$O:$O,'Raw Period DMR Data'!$A:$A,'Raw Annual DMR Data_2021-2024'!#REF!,'Raw Period DMR Data'!$C:$C,X940)/S940</f>
        <v>0</v>
      </c>
      <c r="U940" s="28" t="str">
        <f>+IF(COUNTIFS('Raw Period DMR Data'!$A:$A,B940,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40" s="28" t="str" cm="1">
        <f t="array" ref="V940">IFERROR(INDEX('Raw Period DMR Data'!N:N,MATCH(1,(B940='Raw Period DMR Data'!$A:$A)*(U940='Raw Period DMR Data'!M:M)*(X940='Raw Period DMR Data'!C:C),0),1), "N/A")</f>
        <v>N/A</v>
      </c>
      <c r="W940" s="28" t="s">
        <v>1463</v>
      </c>
      <c r="X940" s="28" t="s">
        <v>2347</v>
      </c>
      <c r="Y940" s="28" t="s">
        <v>2348</v>
      </c>
      <c r="Z940" s="61" t="s">
        <v>2349</v>
      </c>
      <c r="AA940" s="60"/>
      <c r="AB940" s="28" t="s">
        <v>7355</v>
      </c>
      <c r="AC940" s="28" t="s">
        <v>1466</v>
      </c>
    </row>
    <row r="941" spans="1:29" s="28" customFormat="1" x14ac:dyDescent="0.25">
      <c r="A941" s="61">
        <v>110056966699</v>
      </c>
      <c r="B941" s="28">
        <v>2022</v>
      </c>
      <c r="C941" s="68">
        <f t="shared" si="14"/>
        <v>44562</v>
      </c>
      <c r="D941" s="28" t="s">
        <v>1419</v>
      </c>
      <c r="E941" s="28" t="s">
        <v>2346</v>
      </c>
      <c r="F941" s="28" t="s">
        <v>1420</v>
      </c>
      <c r="G941" s="28" t="s">
        <v>427</v>
      </c>
      <c r="H941" s="28">
        <v>49221</v>
      </c>
      <c r="I941" s="28">
        <v>41.948850999999998</v>
      </c>
      <c r="J941" s="28">
        <v>-83.958619999999996</v>
      </c>
      <c r="K941" s="28" t="s">
        <v>739</v>
      </c>
      <c r="L941" s="61">
        <v>110056966699</v>
      </c>
      <c r="M941" s="28" t="s">
        <v>265</v>
      </c>
      <c r="N941" s="28">
        <v>2821</v>
      </c>
      <c r="O941" s="28" t="str">
        <f>IFERROR(VLOOKUP(N941, 'SIC &amp; NAICS Codes'!A:B, 2, FALSE), "")</f>
        <v>Plastics Materials, Synthetic and Resins, and Nonvulcanizable Elastomers</v>
      </c>
      <c r="S941" s="28">
        <v>3.2354700000000002E-6</v>
      </c>
      <c r="T941" s="315">
        <f>_xlfn.MAXIFS('Raw Period DMR Data'!$O:$O,'Raw Period DMR Data'!$A:$A,'Raw Annual DMR Data_2021-2024'!#REF!,'Raw Period DMR Data'!$C:$C,X941)/S941</f>
        <v>0</v>
      </c>
      <c r="U941" s="28" t="str">
        <f>+IF(COUNTIFS('Raw Period DMR Data'!$A:$A,B941,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41" s="28" t="str" cm="1">
        <f t="array" ref="V941">IFERROR(INDEX('Raw Period DMR Data'!N:N,MATCH(1,(B941='Raw Period DMR Data'!$A:$A)*(U941='Raw Period DMR Data'!M:M)*(X941='Raw Period DMR Data'!C:C),0),1), "N/A")</f>
        <v>N/A</v>
      </c>
      <c r="W941" s="28" t="s">
        <v>1463</v>
      </c>
      <c r="X941" s="28" t="s">
        <v>2347</v>
      </c>
      <c r="Y941" s="28" t="s">
        <v>2348</v>
      </c>
      <c r="Z941" s="61">
        <v>4100002000101</v>
      </c>
      <c r="AA941" s="60"/>
      <c r="AB941" s="28" t="s">
        <v>7355</v>
      </c>
      <c r="AC941" s="28" t="s">
        <v>1466</v>
      </c>
    </row>
    <row r="942" spans="1:29" s="28" customFormat="1" x14ac:dyDescent="0.25">
      <c r="A942" s="61">
        <v>110010354810</v>
      </c>
      <c r="B942" s="28">
        <v>2024</v>
      </c>
      <c r="C942" s="68">
        <f t="shared" si="14"/>
        <v>45292</v>
      </c>
      <c r="D942" s="28" t="s">
        <v>1428</v>
      </c>
      <c r="E942" s="28" t="s">
        <v>2362</v>
      </c>
      <c r="F942" s="28" t="s">
        <v>337</v>
      </c>
      <c r="G942" s="28" t="s">
        <v>338</v>
      </c>
      <c r="H942" s="28">
        <v>8066</v>
      </c>
      <c r="I942" s="28">
        <v>39.837310000000002</v>
      </c>
      <c r="J942" s="28">
        <v>-75.224580000000003</v>
      </c>
      <c r="L942" s="61">
        <v>110010354810</v>
      </c>
      <c r="M942" s="28" t="s">
        <v>265</v>
      </c>
      <c r="N942" s="28">
        <v>4911</v>
      </c>
      <c r="O942" s="28" t="str">
        <f>IFERROR(VLOOKUP(N942, 'SIC &amp; NAICS Codes'!A:B, 2, FALSE), "")</f>
        <v>Electric Services (hydroelectric power generation)</v>
      </c>
      <c r="S942" s="28">
        <v>0.13052345400000001</v>
      </c>
      <c r="T942" s="315">
        <f>_xlfn.MAXIFS('Raw Period DMR Data'!$O:$O,'Raw Period DMR Data'!$A:$A,'Raw Annual DMR Data_2021-2024'!#REF!,'Raw Period DMR Data'!$C:$C,X942)/S942</f>
        <v>0</v>
      </c>
      <c r="U942" s="28" t="str">
        <f>+IF(COUNTIFS('Raw Period DMR Data'!$A:$A,B942,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42" s="28" t="str" cm="1">
        <f t="array" ref="V942">IFERROR(INDEX('Raw Period DMR Data'!N:N,MATCH(1,(B942='Raw Period DMR Data'!$A:$A)*(U942='Raw Period DMR Data'!M:M)*(X942='Raw Period DMR Data'!C:C),0),1), "N/A")</f>
        <v>N/A</v>
      </c>
      <c r="W942" s="28" t="s">
        <v>1463</v>
      </c>
      <c r="X942" s="28" t="s">
        <v>2363</v>
      </c>
      <c r="Y942" s="28" t="s">
        <v>783</v>
      </c>
      <c r="Z942" s="61">
        <v>2040202001766</v>
      </c>
      <c r="AA942" s="60"/>
      <c r="AB942" s="28" t="s">
        <v>7355</v>
      </c>
      <c r="AC942" s="28" t="s">
        <v>1466</v>
      </c>
    </row>
    <row r="943" spans="1:29" s="28" customFormat="1" x14ac:dyDescent="0.25">
      <c r="A943" s="61">
        <v>110010354810</v>
      </c>
      <c r="B943" s="28">
        <v>2023</v>
      </c>
      <c r="C943" s="68">
        <f t="shared" si="14"/>
        <v>44927</v>
      </c>
      <c r="D943" s="28" t="s">
        <v>1428</v>
      </c>
      <c r="E943" s="28" t="s">
        <v>2362</v>
      </c>
      <c r="F943" s="28" t="s">
        <v>337</v>
      </c>
      <c r="G943" s="28" t="s">
        <v>338</v>
      </c>
      <c r="H943" s="28" t="s">
        <v>1817</v>
      </c>
      <c r="I943" s="28">
        <v>39.837310000000002</v>
      </c>
      <c r="J943" s="28">
        <v>-75.224580000000003</v>
      </c>
      <c r="L943" s="61">
        <v>110010354810</v>
      </c>
      <c r="M943" s="28" t="s">
        <v>265</v>
      </c>
      <c r="N943" s="28">
        <v>4911</v>
      </c>
      <c r="O943" s="28" t="str">
        <f>IFERROR(VLOOKUP(N943, 'SIC &amp; NAICS Codes'!A:B, 2, FALSE), "")</f>
        <v>Electric Services (hydroelectric power generation)</v>
      </c>
      <c r="S943" s="28">
        <v>9.9005153400000004E-2</v>
      </c>
      <c r="T943" s="315">
        <f>_xlfn.MAXIFS('Raw Period DMR Data'!$O:$O,'Raw Period DMR Data'!$A:$A,'Raw Annual DMR Data_2021-2024'!#REF!,'Raw Period DMR Data'!$C:$C,X943)/S943</f>
        <v>0</v>
      </c>
      <c r="U943" s="28" t="str">
        <f>+IF(COUNTIFS('Raw Period DMR Data'!$A:$A,B943,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43" s="28" t="str" cm="1">
        <f t="array" ref="V943">IFERROR(INDEX('Raw Period DMR Data'!N:N,MATCH(1,(B943='Raw Period DMR Data'!$A:$A)*(U943='Raw Period DMR Data'!M:M)*(X943='Raw Period DMR Data'!C:C),0),1), "N/A")</f>
        <v>N/A</v>
      </c>
      <c r="W943" s="28" t="s">
        <v>1463</v>
      </c>
      <c r="X943" s="28" t="s">
        <v>2363</v>
      </c>
      <c r="Y943" s="28" t="s">
        <v>783</v>
      </c>
      <c r="Z943" s="61" t="s">
        <v>2364</v>
      </c>
      <c r="AA943" s="60"/>
      <c r="AB943" s="28" t="s">
        <v>7355</v>
      </c>
      <c r="AC943" s="28" t="s">
        <v>1466</v>
      </c>
    </row>
    <row r="944" spans="1:29" s="28" customFormat="1" x14ac:dyDescent="0.25">
      <c r="A944" s="61">
        <v>110010354810</v>
      </c>
      <c r="B944" s="28">
        <v>2022</v>
      </c>
      <c r="C944" s="68">
        <f t="shared" si="14"/>
        <v>44562</v>
      </c>
      <c r="D944" s="28" t="s">
        <v>1428</v>
      </c>
      <c r="E944" s="28" t="s">
        <v>2362</v>
      </c>
      <c r="F944" s="28" t="s">
        <v>337</v>
      </c>
      <c r="G944" s="28" t="s">
        <v>338</v>
      </c>
      <c r="H944" s="28">
        <v>8066</v>
      </c>
      <c r="I944" s="28">
        <v>39.837310000000002</v>
      </c>
      <c r="J944" s="28">
        <v>-75.224580000000003</v>
      </c>
      <c r="L944" s="61">
        <v>110010354810</v>
      </c>
      <c r="M944" s="28" t="s">
        <v>265</v>
      </c>
      <c r="N944" s="28">
        <v>4911</v>
      </c>
      <c r="O944" s="28" t="str">
        <f>IFERROR(VLOOKUP(N944, 'SIC &amp; NAICS Codes'!A:B, 2, FALSE), "")</f>
        <v>Electric Services (hydroelectric power generation)</v>
      </c>
      <c r="S944" s="28">
        <v>2.44316451E-2</v>
      </c>
      <c r="T944" s="315">
        <f>_xlfn.MAXIFS('Raw Period DMR Data'!$O:$O,'Raw Period DMR Data'!$A:$A,'Raw Annual DMR Data_2021-2024'!#REF!,'Raw Period DMR Data'!$C:$C,X944)/S944</f>
        <v>0</v>
      </c>
      <c r="U944" s="28" t="str">
        <f>+IF(COUNTIFS('Raw Period DMR Data'!$A:$A,B944,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44" s="28" t="str" cm="1">
        <f t="array" ref="V944">IFERROR(INDEX('Raw Period DMR Data'!N:N,MATCH(1,(B944='Raw Period DMR Data'!$A:$A)*(U944='Raw Period DMR Data'!M:M)*(X944='Raw Period DMR Data'!C:C),0),1), "N/A")</f>
        <v>N/A</v>
      </c>
      <c r="W944" s="28" t="s">
        <v>1463</v>
      </c>
      <c r="X944" s="28" t="s">
        <v>2363</v>
      </c>
      <c r="Y944" s="28" t="s">
        <v>783</v>
      </c>
      <c r="Z944" s="61">
        <v>2040202001766</v>
      </c>
      <c r="AA944" s="60"/>
      <c r="AB944" s="28" t="s">
        <v>7355</v>
      </c>
      <c r="AC944" s="28" t="s">
        <v>1466</v>
      </c>
    </row>
    <row r="945" spans="1:29" s="28" customFormat="1" x14ac:dyDescent="0.25">
      <c r="A945" s="61">
        <v>110010354810</v>
      </c>
      <c r="B945" s="28">
        <v>2021</v>
      </c>
      <c r="C945" s="68">
        <f t="shared" si="14"/>
        <v>44197</v>
      </c>
      <c r="D945" s="28" t="s">
        <v>1428</v>
      </c>
      <c r="E945" s="28" t="s">
        <v>2362</v>
      </c>
      <c r="F945" s="28" t="s">
        <v>337</v>
      </c>
      <c r="G945" s="28" t="s">
        <v>338</v>
      </c>
      <c r="H945" s="28">
        <v>8066</v>
      </c>
      <c r="I945" s="28">
        <v>39.837310000000002</v>
      </c>
      <c r="J945" s="28">
        <v>-75.224580000000003</v>
      </c>
      <c r="L945" s="61">
        <v>110010354810</v>
      </c>
      <c r="M945" s="28" t="s">
        <v>265</v>
      </c>
      <c r="N945" s="28">
        <v>4911</v>
      </c>
      <c r="O945" s="28" t="str">
        <f>IFERROR(VLOOKUP(N945, 'SIC &amp; NAICS Codes'!A:B, 2, FALSE), "")</f>
        <v>Electric Services (hydroelectric power generation)</v>
      </c>
      <c r="S945" s="28">
        <v>2.2057541699999999E-2</v>
      </c>
      <c r="T945" s="315">
        <f>_xlfn.MAXIFS('Raw Period DMR Data'!$O:$O,'Raw Period DMR Data'!$A:$A,'Raw Annual DMR Data_2021-2024'!#REF!,'Raw Period DMR Data'!$C:$C,X945)/S945</f>
        <v>0</v>
      </c>
      <c r="U945" s="28" t="str">
        <f>+IF(COUNTIFS('Raw Period DMR Data'!$A:$A,B945,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45" s="28" t="str" cm="1">
        <f t="array" ref="V945">IFERROR(INDEX('Raw Period DMR Data'!N:N,MATCH(1,(B945='Raw Period DMR Data'!$A:$A)*(U945='Raw Period DMR Data'!M:M)*(X945='Raw Period DMR Data'!C:C),0),1), "N/A")</f>
        <v>N/A</v>
      </c>
      <c r="W945" s="28" t="s">
        <v>1463</v>
      </c>
      <c r="X945" s="28" t="s">
        <v>2363</v>
      </c>
      <c r="Y945" s="28" t="s">
        <v>783</v>
      </c>
      <c r="Z945" s="61">
        <v>2040202001766</v>
      </c>
      <c r="AB945" s="28" t="s">
        <v>7355</v>
      </c>
      <c r="AC945" s="28" t="s">
        <v>1466</v>
      </c>
    </row>
    <row r="946" spans="1:29" s="28" customFormat="1" x14ac:dyDescent="0.25">
      <c r="A946" s="61">
        <v>110040330718</v>
      </c>
      <c r="B946" s="28">
        <v>2021</v>
      </c>
      <c r="C946" s="68">
        <f t="shared" si="14"/>
        <v>44197</v>
      </c>
      <c r="D946" s="28" t="s">
        <v>6821</v>
      </c>
      <c r="E946" s="28" t="s">
        <v>669</v>
      </c>
      <c r="F946" s="28" t="s">
        <v>348</v>
      </c>
      <c r="G946" s="28" t="s">
        <v>349</v>
      </c>
      <c r="H946" s="28">
        <v>63461</v>
      </c>
      <c r="I946" s="28">
        <v>39.828163000000004</v>
      </c>
      <c r="J946" s="28">
        <v>-91.436942000000002</v>
      </c>
      <c r="L946" s="61">
        <v>110040330718</v>
      </c>
      <c r="M946" s="28" t="s">
        <v>265</v>
      </c>
      <c r="N946" s="28">
        <v>9512</v>
      </c>
      <c r="O946" s="28" t="str">
        <f>IFERROR(VLOOKUP(N946, 'SIC &amp; NAICS Codes'!A:B, 2, FALSE), "")</f>
        <v>Land, Mineral, Wildlife, and Forest Conservation</v>
      </c>
      <c r="S946" s="28">
        <v>0.58471834425000002</v>
      </c>
      <c r="T946" s="315">
        <f>_xlfn.MAXIFS('Raw Period DMR Data'!$O:$O,'Raw Period DMR Data'!$A:$A,'Raw Annual DMR Data_2021-2024'!#REF!,'Raw Period DMR Data'!$C:$C,X946)/S946</f>
        <v>0</v>
      </c>
      <c r="U946" s="28" t="str">
        <f>+IF(COUNTIFS('Raw Period DMR Data'!$A:$A,B946,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46" s="28" t="str" cm="1">
        <f t="array" ref="V946">IFERROR(INDEX('Raw Period DMR Data'!N:N,MATCH(1,(B946='Raw Period DMR Data'!$A:$A)*(U946='Raw Period DMR Data'!M:M)*(X946='Raw Period DMR Data'!C:C),0),1), "N/A")</f>
        <v>N/A</v>
      </c>
      <c r="W946" s="28" t="s">
        <v>1463</v>
      </c>
      <c r="X946" s="28" t="s">
        <v>959</v>
      </c>
      <c r="Y946" s="28" t="s">
        <v>816</v>
      </c>
      <c r="Z946" s="61">
        <v>7110004001360</v>
      </c>
      <c r="AB946" s="28" t="s">
        <v>7355</v>
      </c>
      <c r="AC946" s="28" t="s">
        <v>1466</v>
      </c>
    </row>
    <row r="947" spans="1:29" s="28" customFormat="1" x14ac:dyDescent="0.25">
      <c r="A947" s="61">
        <v>110040330718</v>
      </c>
      <c r="B947" s="28">
        <v>2024</v>
      </c>
      <c r="C947" s="68">
        <f t="shared" si="14"/>
        <v>45292</v>
      </c>
      <c r="D947" s="28" t="s">
        <v>6821</v>
      </c>
      <c r="E947" s="28" t="s">
        <v>669</v>
      </c>
      <c r="F947" s="28" t="s">
        <v>348</v>
      </c>
      <c r="G947" s="28" t="s">
        <v>349</v>
      </c>
      <c r="H947" s="28">
        <v>63461</v>
      </c>
      <c r="I947" s="28">
        <v>39.828163000000004</v>
      </c>
      <c r="J947" s="28">
        <v>-91.436942000000002</v>
      </c>
      <c r="L947" s="61">
        <v>110040330718</v>
      </c>
      <c r="M947" s="28" t="s">
        <v>265</v>
      </c>
      <c r="N947" s="28">
        <v>9512</v>
      </c>
      <c r="O947" s="28" t="str">
        <f>IFERROR(VLOOKUP(N947, 'SIC &amp; NAICS Codes'!A:B, 2, FALSE), "")</f>
        <v>Land, Mineral, Wildlife, and Forest Conservation</v>
      </c>
      <c r="S947" s="28">
        <v>0.26725045418181798</v>
      </c>
      <c r="T947" s="315">
        <f>_xlfn.MAXIFS('Raw Period DMR Data'!$O:$O,'Raw Period DMR Data'!$A:$A,'Raw Annual DMR Data_2021-2024'!#REF!,'Raw Period DMR Data'!$C:$C,X947)/S947</f>
        <v>0</v>
      </c>
      <c r="U947" s="28" t="str">
        <f>+IF(COUNTIFS('Raw Period DMR Data'!$A:$A,B947,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47" s="28" t="str" cm="1">
        <f t="array" ref="V947">IFERROR(INDEX('Raw Period DMR Data'!N:N,MATCH(1,(B947='Raw Period DMR Data'!$A:$A)*(U947='Raw Period DMR Data'!M:M)*(X947='Raw Period DMR Data'!C:C),0),1), "N/A")</f>
        <v>N/A</v>
      </c>
      <c r="W947" s="28" t="s">
        <v>1463</v>
      </c>
      <c r="X947" s="28" t="s">
        <v>959</v>
      </c>
      <c r="Y947" s="28" t="s">
        <v>816</v>
      </c>
      <c r="Z947" s="61">
        <v>7110004001360</v>
      </c>
      <c r="AA947" s="60"/>
      <c r="AB947" s="28" t="s">
        <v>7355</v>
      </c>
      <c r="AC947" s="28" t="s">
        <v>1466</v>
      </c>
    </row>
    <row r="948" spans="1:29" s="28" customFormat="1" x14ac:dyDescent="0.25">
      <c r="A948" s="61">
        <v>110040330718</v>
      </c>
      <c r="B948" s="28">
        <v>2023</v>
      </c>
      <c r="C948" s="68">
        <f t="shared" si="14"/>
        <v>44927</v>
      </c>
      <c r="D948" s="28" t="s">
        <v>6821</v>
      </c>
      <c r="E948" s="28" t="s">
        <v>669</v>
      </c>
      <c r="F948" s="28" t="s">
        <v>348</v>
      </c>
      <c r="G948" s="28" t="s">
        <v>349</v>
      </c>
      <c r="H948" s="28">
        <v>63461</v>
      </c>
      <c r="I948" s="28">
        <v>39.828163000000004</v>
      </c>
      <c r="J948" s="28">
        <v>-91.436942000000002</v>
      </c>
      <c r="L948" s="61">
        <v>110040330718</v>
      </c>
      <c r="M948" s="28" t="s">
        <v>265</v>
      </c>
      <c r="N948" s="28">
        <v>9512</v>
      </c>
      <c r="O948" s="28" t="str">
        <f>IFERROR(VLOOKUP(N948, 'SIC &amp; NAICS Codes'!A:B, 2, FALSE), "")</f>
        <v>Land, Mineral, Wildlife, and Forest Conservation</v>
      </c>
      <c r="S948" s="28">
        <v>0.21726884099999999</v>
      </c>
      <c r="T948" s="315">
        <f>_xlfn.MAXIFS('Raw Period DMR Data'!$O:$O,'Raw Period DMR Data'!$A:$A,'Raw Annual DMR Data_2021-2024'!#REF!,'Raw Period DMR Data'!$C:$C,X948)/S948</f>
        <v>0</v>
      </c>
      <c r="U948" s="28" t="str">
        <f>+IF(COUNTIFS('Raw Period DMR Data'!$A:$A,B948,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48" s="28" t="str" cm="1">
        <f t="array" ref="V948">IFERROR(INDEX('Raw Period DMR Data'!N:N,MATCH(1,(B948='Raw Period DMR Data'!$A:$A)*(U948='Raw Period DMR Data'!M:M)*(X948='Raw Period DMR Data'!C:C),0),1), "N/A")</f>
        <v>N/A</v>
      </c>
      <c r="W948" s="28" t="s">
        <v>1463</v>
      </c>
      <c r="X948" s="28" t="s">
        <v>959</v>
      </c>
      <c r="Y948" s="28" t="s">
        <v>816</v>
      </c>
      <c r="Z948" s="61" t="s">
        <v>2385</v>
      </c>
      <c r="AA948" s="60"/>
      <c r="AB948" s="28" t="s">
        <v>7355</v>
      </c>
      <c r="AC948" s="28" t="s">
        <v>1466</v>
      </c>
    </row>
    <row r="949" spans="1:29" s="28" customFormat="1" x14ac:dyDescent="0.25">
      <c r="A949" s="61">
        <v>110040330718</v>
      </c>
      <c r="B949" s="28">
        <v>2022</v>
      </c>
      <c r="C949" s="68">
        <f t="shared" si="14"/>
        <v>44562</v>
      </c>
      <c r="D949" s="28" t="s">
        <v>6821</v>
      </c>
      <c r="E949" s="28" t="s">
        <v>669</v>
      </c>
      <c r="F949" s="28" t="s">
        <v>348</v>
      </c>
      <c r="G949" s="28" t="s">
        <v>349</v>
      </c>
      <c r="H949" s="28">
        <v>63461</v>
      </c>
      <c r="I949" s="28">
        <v>39.828163000000004</v>
      </c>
      <c r="J949" s="28">
        <v>-91.436942000000002</v>
      </c>
      <c r="L949" s="61">
        <v>110040330718</v>
      </c>
      <c r="M949" s="28" t="s">
        <v>265</v>
      </c>
      <c r="N949" s="28">
        <v>9512</v>
      </c>
      <c r="O949" s="28" t="str">
        <f>IFERROR(VLOOKUP(N949, 'SIC &amp; NAICS Codes'!A:B, 2, FALSE), "")</f>
        <v>Land, Mineral, Wildlife, and Forest Conservation</v>
      </c>
      <c r="S949" s="28">
        <v>7.1313942000000005E-2</v>
      </c>
      <c r="T949" s="315">
        <f>_xlfn.MAXIFS('Raw Period DMR Data'!$O:$O,'Raw Period DMR Data'!$A:$A,'Raw Annual DMR Data_2021-2024'!#REF!,'Raw Period DMR Data'!$C:$C,X949)/S949</f>
        <v>0</v>
      </c>
      <c r="U949" s="28" t="str">
        <f>+IF(COUNTIFS('Raw Period DMR Data'!$A:$A,B949,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49" s="28" t="str" cm="1">
        <f t="array" ref="V949">IFERROR(INDEX('Raw Period DMR Data'!N:N,MATCH(1,(B949='Raw Period DMR Data'!$A:$A)*(U949='Raw Period DMR Data'!M:M)*(X949='Raw Period DMR Data'!C:C),0),1), "N/A")</f>
        <v>N/A</v>
      </c>
      <c r="W949" s="28" t="s">
        <v>1463</v>
      </c>
      <c r="X949" s="28" t="s">
        <v>959</v>
      </c>
      <c r="Y949" s="28" t="s">
        <v>816</v>
      </c>
      <c r="Z949" s="61">
        <v>7110004001360</v>
      </c>
      <c r="AA949" s="60"/>
      <c r="AB949" s="28" t="s">
        <v>7355</v>
      </c>
      <c r="AC949" s="28" t="s">
        <v>1466</v>
      </c>
    </row>
    <row r="950" spans="1:29" s="28" customFormat="1" x14ac:dyDescent="0.25">
      <c r="A950" s="61">
        <v>110000327799</v>
      </c>
      <c r="B950" s="28">
        <v>2023</v>
      </c>
      <c r="C950" s="68">
        <f t="shared" si="14"/>
        <v>44927</v>
      </c>
      <c r="D950" s="28" t="s">
        <v>6773</v>
      </c>
      <c r="E950" s="28" t="s">
        <v>2386</v>
      </c>
      <c r="F950" s="28" t="s">
        <v>1443</v>
      </c>
      <c r="G950" s="28" t="s">
        <v>450</v>
      </c>
      <c r="H950" s="28">
        <v>14580</v>
      </c>
      <c r="I950" s="28">
        <v>43.227834000000001</v>
      </c>
      <c r="J950" s="28">
        <v>-77.411534000000003</v>
      </c>
      <c r="K950" s="28" t="s">
        <v>740</v>
      </c>
      <c r="L950" s="61">
        <v>110000327799</v>
      </c>
      <c r="M950" s="28" t="s">
        <v>265</v>
      </c>
      <c r="N950" s="28">
        <v>9511</v>
      </c>
      <c r="O950" s="28" t="str">
        <f>IFERROR(VLOOKUP(N950, 'SIC &amp; NAICS Codes'!A:B, 2, FALSE), "")</f>
        <v>Air and Water Resource and Solid Waste Management</v>
      </c>
      <c r="S950" s="28">
        <v>0.20819999311199999</v>
      </c>
      <c r="T950" s="315">
        <f>_xlfn.MAXIFS('Raw Period DMR Data'!$O:$O,'Raw Period DMR Data'!$A:$A,'Raw Annual DMR Data_2021-2024'!#REF!,'Raw Period DMR Data'!$C:$C,X950)/S950</f>
        <v>0</v>
      </c>
      <c r="U950" s="28" t="str">
        <f>+IF(COUNTIFS('Raw Period DMR Data'!$A:$A,B950,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50" s="28" t="str" cm="1">
        <f t="array" ref="V950">IFERROR(INDEX('Raw Period DMR Data'!N:N,MATCH(1,(B950='Raw Period DMR Data'!$A:$A)*(U950='Raw Period DMR Data'!M:M)*(X950='Raw Period DMR Data'!C:C),0),1), "N/A")</f>
        <v>N/A</v>
      </c>
      <c r="W950" s="28" t="s">
        <v>1463</v>
      </c>
      <c r="X950" s="28" t="s">
        <v>2387</v>
      </c>
      <c r="Y950" s="28" t="s">
        <v>2388</v>
      </c>
      <c r="Z950" s="61" t="s">
        <v>2389</v>
      </c>
      <c r="AA950" s="60"/>
      <c r="AB950" s="28" t="s">
        <v>7355</v>
      </c>
      <c r="AC950" s="28" t="s">
        <v>1466</v>
      </c>
    </row>
    <row r="951" spans="1:29" s="28" customFormat="1" x14ac:dyDescent="0.25">
      <c r="A951" s="61">
        <v>110000327799</v>
      </c>
      <c r="B951" s="28">
        <v>2022</v>
      </c>
      <c r="C951" s="68">
        <f t="shared" si="14"/>
        <v>44562</v>
      </c>
      <c r="D951" s="28" t="s">
        <v>6773</v>
      </c>
      <c r="E951" s="28" t="s">
        <v>2386</v>
      </c>
      <c r="F951" s="28" t="s">
        <v>1443</v>
      </c>
      <c r="G951" s="28" t="s">
        <v>450</v>
      </c>
      <c r="H951" s="28">
        <v>14580</v>
      </c>
      <c r="I951" s="28">
        <v>43.227834000000001</v>
      </c>
      <c r="J951" s="28">
        <v>-77.411534000000003</v>
      </c>
      <c r="K951" s="28" t="s">
        <v>740</v>
      </c>
      <c r="L951" s="61">
        <v>110000327799</v>
      </c>
      <c r="M951" s="28" t="s">
        <v>265</v>
      </c>
      <c r="N951" s="28">
        <v>9511</v>
      </c>
      <c r="O951" s="28" t="str">
        <f>IFERROR(VLOOKUP(N951, 'SIC &amp; NAICS Codes'!A:B, 2, FALSE), "")</f>
        <v>Air and Water Resource and Solid Waste Management</v>
      </c>
      <c r="S951" s="28">
        <v>0.16440868012599999</v>
      </c>
      <c r="T951" s="315">
        <f>_xlfn.MAXIFS('Raw Period DMR Data'!$O:$O,'Raw Period DMR Data'!$A:$A,'Raw Annual DMR Data_2021-2024'!#REF!,'Raw Period DMR Data'!$C:$C,X951)/S951</f>
        <v>0</v>
      </c>
      <c r="U951" s="28" t="str">
        <f>+IF(COUNTIFS('Raw Period DMR Data'!$A:$A,B951,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51" s="28" t="str" cm="1">
        <f t="array" ref="V951">IFERROR(INDEX('Raw Period DMR Data'!N:N,MATCH(1,(B951='Raw Period DMR Data'!$A:$A)*(U951='Raw Period DMR Data'!M:M)*(X951='Raw Period DMR Data'!C:C),0),1), "N/A")</f>
        <v>N/A</v>
      </c>
      <c r="W951" s="28" t="s">
        <v>1463</v>
      </c>
      <c r="X951" s="28" t="s">
        <v>2387</v>
      </c>
      <c r="Y951" s="28" t="s">
        <v>2388</v>
      </c>
      <c r="Z951" s="61">
        <v>4140101000567</v>
      </c>
      <c r="AA951" s="60"/>
      <c r="AB951" s="28" t="s">
        <v>7355</v>
      </c>
      <c r="AC951" s="28" t="s">
        <v>1466</v>
      </c>
    </row>
    <row r="952" spans="1:29" s="28" customFormat="1" x14ac:dyDescent="0.25">
      <c r="A952" s="61">
        <v>110000327799</v>
      </c>
      <c r="B952" s="28">
        <v>2021</v>
      </c>
      <c r="C952" s="68">
        <f t="shared" si="14"/>
        <v>44197</v>
      </c>
      <c r="D952" s="28" t="s">
        <v>6773</v>
      </c>
      <c r="E952" s="28" t="s">
        <v>2386</v>
      </c>
      <c r="F952" s="28" t="s">
        <v>1443</v>
      </c>
      <c r="G952" s="28" t="s">
        <v>450</v>
      </c>
      <c r="H952" s="28">
        <v>14580</v>
      </c>
      <c r="I952" s="28">
        <v>43.227834000000001</v>
      </c>
      <c r="J952" s="28">
        <v>-77.411534000000003</v>
      </c>
      <c r="K952" s="28" t="s">
        <v>740</v>
      </c>
      <c r="L952" s="61">
        <v>110000327799</v>
      </c>
      <c r="M952" s="28" t="s">
        <v>265</v>
      </c>
      <c r="N952" s="28">
        <v>9511</v>
      </c>
      <c r="O952" s="28" t="str">
        <f>IFERROR(VLOOKUP(N952, 'SIC &amp; NAICS Codes'!A:B, 2, FALSE), "")</f>
        <v>Air and Water Resource and Solid Waste Management</v>
      </c>
      <c r="S952" s="28">
        <v>0.12870121419800001</v>
      </c>
      <c r="T952" s="315">
        <f>_xlfn.MAXIFS('Raw Period DMR Data'!$O:$O,'Raw Period DMR Data'!$A:$A,'Raw Annual DMR Data_2021-2024'!#REF!,'Raw Period DMR Data'!$C:$C,X952)/S952</f>
        <v>0</v>
      </c>
      <c r="U952" s="28" t="str">
        <f>+IF(COUNTIFS('Raw Period DMR Data'!$A:$A,B952,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52" s="28" t="str" cm="1">
        <f t="array" ref="V952">IFERROR(INDEX('Raw Period DMR Data'!N:N,MATCH(1,(B952='Raw Period DMR Data'!$A:$A)*(U952='Raw Period DMR Data'!M:M)*(X952='Raw Period DMR Data'!C:C),0),1), "N/A")</f>
        <v>N/A</v>
      </c>
      <c r="W952" s="28" t="s">
        <v>1463</v>
      </c>
      <c r="X952" s="28" t="s">
        <v>2387</v>
      </c>
      <c r="Y952" s="28" t="s">
        <v>2388</v>
      </c>
      <c r="Z952" s="61">
        <v>4140101000567</v>
      </c>
      <c r="AB952" s="28" t="s">
        <v>7355</v>
      </c>
      <c r="AC952" s="28" t="s">
        <v>1466</v>
      </c>
    </row>
    <row r="953" spans="1:29" s="28" customFormat="1" x14ac:dyDescent="0.25">
      <c r="A953" s="61">
        <v>110000327799</v>
      </c>
      <c r="B953" s="28">
        <v>2024</v>
      </c>
      <c r="C953" s="68">
        <f t="shared" si="14"/>
        <v>45292</v>
      </c>
      <c r="D953" s="28" t="s">
        <v>6773</v>
      </c>
      <c r="E953" s="28" t="s">
        <v>2386</v>
      </c>
      <c r="F953" s="28" t="s">
        <v>1443</v>
      </c>
      <c r="G953" s="28" t="s">
        <v>450</v>
      </c>
      <c r="H953" s="28">
        <v>14580</v>
      </c>
      <c r="I953" s="28">
        <v>43.227834000000001</v>
      </c>
      <c r="J953" s="28">
        <v>-77.411534000000003</v>
      </c>
      <c r="K953" s="28" t="s">
        <v>740</v>
      </c>
      <c r="L953" s="61">
        <v>110000327799</v>
      </c>
      <c r="M953" s="28" t="s">
        <v>265</v>
      </c>
      <c r="N953" s="28">
        <v>9511</v>
      </c>
      <c r="O953" s="28" t="str">
        <f>IFERROR(VLOOKUP(N953, 'SIC &amp; NAICS Codes'!A:B, 2, FALSE), "")</f>
        <v>Air and Water Resource and Solid Waste Management</v>
      </c>
      <c r="S953" s="28">
        <v>0.116697415236</v>
      </c>
      <c r="T953" s="315">
        <f>_xlfn.MAXIFS('Raw Period DMR Data'!$O:$O,'Raw Period DMR Data'!$A:$A,'Raw Annual DMR Data_2021-2024'!#REF!,'Raw Period DMR Data'!$C:$C,X953)/S953</f>
        <v>0</v>
      </c>
      <c r="U953" s="28" t="str">
        <f>+IF(COUNTIFS('Raw Period DMR Data'!$A:$A,B953,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53" s="28" t="str" cm="1">
        <f t="array" ref="V953">IFERROR(INDEX('Raw Period DMR Data'!N:N,MATCH(1,(B953='Raw Period DMR Data'!$A:$A)*(U953='Raw Period DMR Data'!M:M)*(X953='Raw Period DMR Data'!C:C),0),1), "N/A")</f>
        <v>N/A</v>
      </c>
      <c r="W953" s="28" t="s">
        <v>1463</v>
      </c>
      <c r="X953" s="28" t="s">
        <v>2387</v>
      </c>
      <c r="Y953" s="28" t="s">
        <v>2388</v>
      </c>
      <c r="Z953" s="61">
        <v>4140101000567</v>
      </c>
      <c r="AA953" s="60" t="s">
        <v>7355</v>
      </c>
      <c r="AB953" s="28" t="s">
        <v>7355</v>
      </c>
      <c r="AC953" s="28" t="s">
        <v>1466</v>
      </c>
    </row>
    <row r="954" spans="1:29" s="28" customFormat="1" x14ac:dyDescent="0.25">
      <c r="A954" s="61">
        <v>110000327799</v>
      </c>
      <c r="B954" s="28">
        <v>2024</v>
      </c>
      <c r="C954" s="68">
        <f t="shared" si="14"/>
        <v>45292</v>
      </c>
      <c r="D954" s="28" t="s">
        <v>6773</v>
      </c>
      <c r="E954" s="28" t="s">
        <v>2386</v>
      </c>
      <c r="F954" s="28" t="s">
        <v>1443</v>
      </c>
      <c r="G954" s="28" t="s">
        <v>450</v>
      </c>
      <c r="H954" s="28">
        <v>14580</v>
      </c>
      <c r="I954" s="28">
        <v>43.227834000000001</v>
      </c>
      <c r="J954" s="28">
        <v>-77.411534000000003</v>
      </c>
      <c r="K954" s="28" t="s">
        <v>740</v>
      </c>
      <c r="L954" s="61">
        <v>110000327799</v>
      </c>
      <c r="M954" s="28" t="s">
        <v>265</v>
      </c>
      <c r="N954" s="28">
        <v>9511</v>
      </c>
      <c r="O954" s="28" t="str">
        <f>IFERROR(VLOOKUP(N954, 'SIC &amp; NAICS Codes'!A:B, 2, FALSE), "")</f>
        <v>Air and Water Resource and Solid Waste Management</v>
      </c>
      <c r="S954" s="28">
        <v>0.11551776850999999</v>
      </c>
      <c r="T954" s="315">
        <f>_xlfn.MAXIFS('Raw Period DMR Data'!$O:$O,'Raw Period DMR Data'!$A:$A,'Raw Annual DMR Data_2021-2024'!#REF!,'Raw Period DMR Data'!$C:$C,X954)/S954</f>
        <v>0</v>
      </c>
      <c r="U954" s="28" t="str">
        <f>+IF(COUNTIFS('Raw Period DMR Data'!$A:$A,B954,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54" s="28" t="str" cm="1">
        <f t="array" ref="V954">IFERROR(INDEX('Raw Period DMR Data'!N:N,MATCH(1,(B954='Raw Period DMR Data'!$A:$A)*(U954='Raw Period DMR Data'!M:M)*(X954='Raw Period DMR Data'!C:C),0),1), "N/A")</f>
        <v>N/A</v>
      </c>
      <c r="W954" s="28" t="s">
        <v>1463</v>
      </c>
      <c r="X954" s="28" t="s">
        <v>2387</v>
      </c>
      <c r="Y954" s="28" t="s">
        <v>2388</v>
      </c>
      <c r="Z954" s="61">
        <v>4140101000567</v>
      </c>
      <c r="AA954" s="60"/>
      <c r="AB954" s="28" t="s">
        <v>7355</v>
      </c>
      <c r="AC954" s="28" t="s">
        <v>1466</v>
      </c>
    </row>
    <row r="955" spans="1:29" s="28" customFormat="1" x14ac:dyDescent="0.25">
      <c r="A955" s="61">
        <v>110000327799</v>
      </c>
      <c r="B955" s="28">
        <v>2024</v>
      </c>
      <c r="C955" s="68">
        <f t="shared" si="14"/>
        <v>45292</v>
      </c>
      <c r="D955" s="28" t="s">
        <v>6773</v>
      </c>
      <c r="E955" s="28" t="s">
        <v>2386</v>
      </c>
      <c r="F955" s="28" t="s">
        <v>1443</v>
      </c>
      <c r="G955" s="28" t="s">
        <v>450</v>
      </c>
      <c r="H955" s="28">
        <v>14580</v>
      </c>
      <c r="I955" s="28">
        <v>43.227834000000001</v>
      </c>
      <c r="J955" s="28">
        <v>-77.411534000000003</v>
      </c>
      <c r="K955" s="28" t="s">
        <v>740</v>
      </c>
      <c r="L955" s="61">
        <v>110000327799</v>
      </c>
      <c r="M955" s="28" t="s">
        <v>265</v>
      </c>
      <c r="N955" s="28">
        <v>9511</v>
      </c>
      <c r="O955" s="28" t="str">
        <f>IFERROR(VLOOKUP(N955, 'SIC &amp; NAICS Codes'!A:B, 2, FALSE), "")</f>
        <v>Air and Water Resource and Solid Waste Management</v>
      </c>
      <c r="S955" s="28">
        <v>0.10359773613999999</v>
      </c>
      <c r="T955" s="315">
        <f>_xlfn.MAXIFS('Raw Period DMR Data'!$O:$O,'Raw Period DMR Data'!$A:$A,'Raw Annual DMR Data_2021-2024'!#REF!,'Raw Period DMR Data'!$C:$C,X955)/S955</f>
        <v>0</v>
      </c>
      <c r="U955" s="28" t="str">
        <f>+IF(COUNTIFS('Raw Period DMR Data'!$A:$A,B955,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55" s="28" t="str" cm="1">
        <f t="array" ref="V955">IFERROR(INDEX('Raw Period DMR Data'!N:N,MATCH(1,(B955='Raw Period DMR Data'!$A:$A)*(U955='Raw Period DMR Data'!M:M)*(X955='Raw Period DMR Data'!C:C),0),1), "N/A")</f>
        <v>N/A</v>
      </c>
      <c r="W955" s="28" t="s">
        <v>1463</v>
      </c>
      <c r="X955" s="28" t="s">
        <v>2387</v>
      </c>
      <c r="Y955" s="28" t="s">
        <v>2388</v>
      </c>
      <c r="Z955" s="61">
        <v>4140101000567</v>
      </c>
      <c r="AA955" s="60" t="s">
        <v>7355</v>
      </c>
      <c r="AB955" s="28" t="s">
        <v>7355</v>
      </c>
      <c r="AC955" s="28" t="s">
        <v>1466</v>
      </c>
    </row>
    <row r="956" spans="1:29" s="28" customFormat="1" x14ac:dyDescent="0.25">
      <c r="A956" s="61">
        <v>110000327799</v>
      </c>
      <c r="B956" s="28">
        <v>2022</v>
      </c>
      <c r="C956" s="68">
        <f t="shared" si="14"/>
        <v>44562</v>
      </c>
      <c r="D956" s="28" t="s">
        <v>6773</v>
      </c>
      <c r="E956" s="28" t="s">
        <v>2386</v>
      </c>
      <c r="F956" s="28" t="s">
        <v>1443</v>
      </c>
      <c r="G956" s="28" t="s">
        <v>450</v>
      </c>
      <c r="H956" s="28">
        <v>14580</v>
      </c>
      <c r="I956" s="28">
        <v>43.227834000000001</v>
      </c>
      <c r="J956" s="28">
        <v>-77.411534000000003</v>
      </c>
      <c r="K956" s="28" t="s">
        <v>740</v>
      </c>
      <c r="L956" s="61">
        <v>110000327799</v>
      </c>
      <c r="M956" s="28" t="s">
        <v>265</v>
      </c>
      <c r="N956" s="28">
        <v>9511</v>
      </c>
      <c r="O956" s="28" t="str">
        <f>IFERROR(VLOOKUP(N956, 'SIC &amp; NAICS Codes'!A:B, 2, FALSE), "")</f>
        <v>Air and Water Resource and Solid Waste Management</v>
      </c>
      <c r="S956" s="28">
        <v>0.103110467352</v>
      </c>
      <c r="T956" s="315">
        <f>_xlfn.MAXIFS('Raw Period DMR Data'!$O:$O,'Raw Period DMR Data'!$A:$A,'Raw Annual DMR Data_2021-2024'!#REF!,'Raw Period DMR Data'!$C:$C,X956)/S956</f>
        <v>0</v>
      </c>
      <c r="U956" s="28" t="str">
        <f>+IF(COUNTIFS('Raw Period DMR Data'!$A:$A,B956,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56" s="28" t="str" cm="1">
        <f t="array" ref="V956">IFERROR(INDEX('Raw Period DMR Data'!N:N,MATCH(1,(B956='Raw Period DMR Data'!$A:$A)*(U956='Raw Period DMR Data'!M:M)*(X956='Raw Period DMR Data'!C:C),0),1), "N/A")</f>
        <v>N/A</v>
      </c>
      <c r="W956" s="28" t="s">
        <v>1463</v>
      </c>
      <c r="X956" s="28" t="s">
        <v>2387</v>
      </c>
      <c r="Y956" s="28" t="s">
        <v>2388</v>
      </c>
      <c r="Z956" s="61">
        <v>4140101000567</v>
      </c>
      <c r="AA956" s="60"/>
      <c r="AB956" s="28" t="s">
        <v>7355</v>
      </c>
      <c r="AC956" s="28" t="s">
        <v>1466</v>
      </c>
    </row>
    <row r="957" spans="1:29" s="28" customFormat="1" x14ac:dyDescent="0.25">
      <c r="A957" s="61">
        <v>110000327799</v>
      </c>
      <c r="B957" s="28">
        <v>2021</v>
      </c>
      <c r="C957" s="68">
        <f t="shared" si="14"/>
        <v>44197</v>
      </c>
      <c r="D957" s="28" t="s">
        <v>6773</v>
      </c>
      <c r="E957" s="28" t="s">
        <v>2386</v>
      </c>
      <c r="F957" s="28" t="s">
        <v>1443</v>
      </c>
      <c r="G957" s="28" t="s">
        <v>450</v>
      </c>
      <c r="H957" s="28">
        <v>14580</v>
      </c>
      <c r="I957" s="28">
        <v>43.227834000000001</v>
      </c>
      <c r="J957" s="28">
        <v>-77.411534000000003</v>
      </c>
      <c r="K957" s="28" t="s">
        <v>740</v>
      </c>
      <c r="L957" s="61">
        <v>110000327799</v>
      </c>
      <c r="M957" s="28" t="s">
        <v>265</v>
      </c>
      <c r="N957" s="28">
        <v>9511</v>
      </c>
      <c r="O957" s="28" t="str">
        <f>IFERROR(VLOOKUP(N957, 'SIC &amp; NAICS Codes'!A:B, 2, FALSE), "")</f>
        <v>Air and Water Resource and Solid Waste Management</v>
      </c>
      <c r="S957" s="28">
        <v>0.1015059786</v>
      </c>
      <c r="T957" s="315">
        <f>_xlfn.MAXIFS('Raw Period DMR Data'!$O:$O,'Raw Period DMR Data'!$A:$A,'Raw Annual DMR Data_2021-2024'!#REF!,'Raw Period DMR Data'!$C:$C,X957)/S957</f>
        <v>0</v>
      </c>
      <c r="U957" s="28" t="str">
        <f>+IF(COUNTIFS('Raw Period DMR Data'!$A:$A,B957,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57" s="28" t="str" cm="1">
        <f t="array" ref="V957">IFERROR(INDEX('Raw Period DMR Data'!N:N,MATCH(1,(B957='Raw Period DMR Data'!$A:$A)*(U957='Raw Period DMR Data'!M:M)*(X957='Raw Period DMR Data'!C:C),0),1), "N/A")</f>
        <v>N/A</v>
      </c>
      <c r="W957" s="28" t="s">
        <v>1463</v>
      </c>
      <c r="X957" s="28" t="s">
        <v>2387</v>
      </c>
      <c r="Y957" s="28" t="s">
        <v>2388</v>
      </c>
      <c r="Z957" s="61">
        <v>4140101000567</v>
      </c>
      <c r="AA957" s="60"/>
      <c r="AB957" s="28" t="s">
        <v>7355</v>
      </c>
      <c r="AC957" s="28" t="s">
        <v>1466</v>
      </c>
    </row>
    <row r="958" spans="1:29" s="28" customFormat="1" x14ac:dyDescent="0.25">
      <c r="A958" s="61">
        <v>110000327799</v>
      </c>
      <c r="B958" s="28">
        <v>2023</v>
      </c>
      <c r="C958" s="68">
        <f t="shared" si="14"/>
        <v>44927</v>
      </c>
      <c r="D958" s="28" t="s">
        <v>6773</v>
      </c>
      <c r="E958" s="28" t="s">
        <v>2386</v>
      </c>
      <c r="F958" s="28" t="s">
        <v>1443</v>
      </c>
      <c r="G958" s="28" t="s">
        <v>450</v>
      </c>
      <c r="H958" s="28">
        <v>14580</v>
      </c>
      <c r="I958" s="28">
        <v>43.227834000000001</v>
      </c>
      <c r="J958" s="28">
        <v>-77.411534000000003</v>
      </c>
      <c r="K958" s="28" t="s">
        <v>740</v>
      </c>
      <c r="L958" s="61">
        <v>110000327799</v>
      </c>
      <c r="M958" s="28" t="s">
        <v>265</v>
      </c>
      <c r="N958" s="28">
        <v>9511</v>
      </c>
      <c r="O958" s="28" t="str">
        <f>IFERROR(VLOOKUP(N958, 'SIC &amp; NAICS Codes'!A:B, 2, FALSE), "")</f>
        <v>Air and Water Resource and Solid Waste Management</v>
      </c>
      <c r="S958" s="28">
        <v>9.4332797999999995E-2</v>
      </c>
      <c r="T958" s="315">
        <f>_xlfn.MAXIFS('Raw Period DMR Data'!$O:$O,'Raw Period DMR Data'!$A:$A,'Raw Annual DMR Data_2021-2024'!#REF!,'Raw Period DMR Data'!$C:$C,X958)/S958</f>
        <v>0</v>
      </c>
      <c r="U958" s="28" t="str">
        <f>+IF(COUNTIFS('Raw Period DMR Data'!$A:$A,B958,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58" s="28" t="str" cm="1">
        <f t="array" ref="V958">IFERROR(INDEX('Raw Period DMR Data'!N:N,MATCH(1,(B958='Raw Period DMR Data'!$A:$A)*(U958='Raw Period DMR Data'!M:M)*(X958='Raw Period DMR Data'!C:C),0),1), "N/A")</f>
        <v>N/A</v>
      </c>
      <c r="W958" s="28" t="s">
        <v>1463</v>
      </c>
      <c r="X958" s="28" t="s">
        <v>2387</v>
      </c>
      <c r="Y958" s="28" t="s">
        <v>2388</v>
      </c>
      <c r="Z958" s="61" t="s">
        <v>2389</v>
      </c>
      <c r="AA958" s="60" t="s">
        <v>7355</v>
      </c>
      <c r="AB958" s="28" t="s">
        <v>7355</v>
      </c>
      <c r="AC958" s="28" t="s">
        <v>1466</v>
      </c>
    </row>
    <row r="959" spans="1:29" s="28" customFormat="1" x14ac:dyDescent="0.25">
      <c r="A959" s="61">
        <v>110000327799</v>
      </c>
      <c r="B959" s="28">
        <v>2023</v>
      </c>
      <c r="C959" s="68">
        <f t="shared" si="14"/>
        <v>44927</v>
      </c>
      <c r="D959" s="28" t="s">
        <v>6773</v>
      </c>
      <c r="E959" s="28" t="s">
        <v>2386</v>
      </c>
      <c r="F959" s="28" t="s">
        <v>1443</v>
      </c>
      <c r="G959" s="28" t="s">
        <v>450</v>
      </c>
      <c r="H959" s="28">
        <v>14580</v>
      </c>
      <c r="I959" s="28">
        <v>43.227834000000001</v>
      </c>
      <c r="J959" s="28">
        <v>-77.411534000000003</v>
      </c>
      <c r="K959" s="28" t="s">
        <v>740</v>
      </c>
      <c r="L959" s="61">
        <v>110000327799</v>
      </c>
      <c r="M959" s="28" t="s">
        <v>265</v>
      </c>
      <c r="N959" s="28">
        <v>9511</v>
      </c>
      <c r="O959" s="28" t="str">
        <f>IFERROR(VLOOKUP(N959, 'SIC &amp; NAICS Codes'!A:B, 2, FALSE), "")</f>
        <v>Air and Water Resource and Solid Waste Management</v>
      </c>
      <c r="S959" s="28">
        <v>7.0190422144363607E-2</v>
      </c>
      <c r="T959" s="315">
        <f>_xlfn.MAXIFS('Raw Period DMR Data'!$O:$O,'Raw Period DMR Data'!$A:$A,'Raw Annual DMR Data_2021-2024'!#REF!,'Raw Period DMR Data'!$C:$C,X959)/S959</f>
        <v>0</v>
      </c>
      <c r="U959" s="28" t="str">
        <f>+IF(COUNTIFS('Raw Period DMR Data'!$A:$A,B959,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59" s="28" t="str" cm="1">
        <f t="array" ref="V959">IFERROR(INDEX('Raw Period DMR Data'!N:N,MATCH(1,(B959='Raw Period DMR Data'!$A:$A)*(U959='Raw Period DMR Data'!M:M)*(X959='Raw Period DMR Data'!C:C),0),1), "N/A")</f>
        <v>N/A</v>
      </c>
      <c r="W959" s="28" t="s">
        <v>1463</v>
      </c>
      <c r="X959" s="28" t="s">
        <v>2387</v>
      </c>
      <c r="Y959" s="28" t="s">
        <v>2388</v>
      </c>
      <c r="Z959" s="61" t="s">
        <v>2389</v>
      </c>
      <c r="AA959" s="60"/>
      <c r="AB959" s="28" t="s">
        <v>7355</v>
      </c>
      <c r="AC959" s="28" t="s">
        <v>1466</v>
      </c>
    </row>
    <row r="960" spans="1:29" s="28" customFormat="1" x14ac:dyDescent="0.25">
      <c r="A960" s="61">
        <v>110000327799</v>
      </c>
      <c r="B960" s="28">
        <v>2022</v>
      </c>
      <c r="C960" s="68">
        <f t="shared" si="14"/>
        <v>44562</v>
      </c>
      <c r="D960" s="28" t="s">
        <v>6773</v>
      </c>
      <c r="E960" s="28" t="s">
        <v>2386</v>
      </c>
      <c r="F960" s="28" t="s">
        <v>1443</v>
      </c>
      <c r="G960" s="28" t="s">
        <v>450</v>
      </c>
      <c r="H960" s="28">
        <v>14580</v>
      </c>
      <c r="I960" s="28">
        <v>43.227834000000001</v>
      </c>
      <c r="J960" s="28">
        <v>-77.411534000000003</v>
      </c>
      <c r="K960" s="28" t="s">
        <v>740</v>
      </c>
      <c r="L960" s="61">
        <v>110000327799</v>
      </c>
      <c r="M960" s="28" t="s">
        <v>265</v>
      </c>
      <c r="N960" s="28">
        <v>9511</v>
      </c>
      <c r="O960" s="28" t="str">
        <f>IFERROR(VLOOKUP(N960, 'SIC &amp; NAICS Codes'!A:B, 2, FALSE), "")</f>
        <v>Air and Water Resource and Solid Waste Management</v>
      </c>
      <c r="S960" s="28">
        <v>6.4679162509999999E-2</v>
      </c>
      <c r="T960" s="315">
        <f>_xlfn.MAXIFS('Raw Period DMR Data'!$O:$O,'Raw Period DMR Data'!$A:$A,'Raw Annual DMR Data_2021-2024'!#REF!,'Raw Period DMR Data'!$C:$C,X960)/S960</f>
        <v>0</v>
      </c>
      <c r="U960" s="28" t="str">
        <f>+IF(COUNTIFS('Raw Period DMR Data'!$A:$A,B960,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60" s="28" t="str" cm="1">
        <f t="array" ref="V960">IFERROR(INDEX('Raw Period DMR Data'!N:N,MATCH(1,(B960='Raw Period DMR Data'!$A:$A)*(U960='Raw Period DMR Data'!M:M)*(X960='Raw Period DMR Data'!C:C),0),1), "N/A")</f>
        <v>N/A</v>
      </c>
      <c r="W960" s="28" t="s">
        <v>1463</v>
      </c>
      <c r="X960" s="28" t="s">
        <v>2387</v>
      </c>
      <c r="Y960" s="28" t="s">
        <v>2388</v>
      </c>
      <c r="Z960" s="61">
        <v>4140101000567</v>
      </c>
      <c r="AA960" s="60"/>
      <c r="AB960" s="28" t="s">
        <v>7355</v>
      </c>
      <c r="AC960" s="28" t="s">
        <v>1466</v>
      </c>
    </row>
    <row r="961" spans="1:29" s="28" customFormat="1" x14ac:dyDescent="0.25">
      <c r="A961" s="61">
        <v>110000327799</v>
      </c>
      <c r="B961" s="28">
        <v>2021</v>
      </c>
      <c r="C961" s="68">
        <f t="shared" si="14"/>
        <v>44197</v>
      </c>
      <c r="D961" s="28" t="s">
        <v>6773</v>
      </c>
      <c r="E961" s="28" t="s">
        <v>2386</v>
      </c>
      <c r="F961" s="28" t="s">
        <v>1443</v>
      </c>
      <c r="G961" s="28" t="s">
        <v>450</v>
      </c>
      <c r="H961" s="28">
        <v>14580</v>
      </c>
      <c r="I961" s="28">
        <v>43.227834000000001</v>
      </c>
      <c r="J961" s="28">
        <v>-77.411534000000003</v>
      </c>
      <c r="K961" s="28" t="s">
        <v>740</v>
      </c>
      <c r="L961" s="61">
        <v>110000327799</v>
      </c>
      <c r="M961" s="28" t="s">
        <v>265</v>
      </c>
      <c r="N961" s="28">
        <v>9511</v>
      </c>
      <c r="O961" s="28" t="str">
        <f>IFERROR(VLOOKUP(N961, 'SIC &amp; NAICS Codes'!A:B, 2, FALSE), "")</f>
        <v>Air and Water Resource and Solid Waste Management</v>
      </c>
      <c r="S961" s="28">
        <v>4.2280278912000001E-2</v>
      </c>
      <c r="T961" s="315">
        <f>_xlfn.MAXIFS('Raw Period DMR Data'!$O:$O,'Raw Period DMR Data'!$A:$A,'Raw Annual DMR Data_2021-2024'!#REF!,'Raw Period DMR Data'!$C:$C,X961)/S961</f>
        <v>0</v>
      </c>
      <c r="U961" s="28" t="str">
        <f>+IF(COUNTIFS('Raw Period DMR Data'!$A:$A,B961,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61" s="28" t="str" cm="1">
        <f t="array" ref="V961">IFERROR(INDEX('Raw Period DMR Data'!N:N,MATCH(1,(B961='Raw Period DMR Data'!$A:$A)*(U961='Raw Period DMR Data'!M:M)*(X961='Raw Period DMR Data'!C:C),0),1), "N/A")</f>
        <v>N/A</v>
      </c>
      <c r="W961" s="28" t="s">
        <v>1463</v>
      </c>
      <c r="X961" s="28" t="s">
        <v>2387</v>
      </c>
      <c r="Y961" s="28" t="s">
        <v>2388</v>
      </c>
      <c r="Z961" s="61">
        <v>4140101000567</v>
      </c>
      <c r="AB961" s="28" t="s">
        <v>7355</v>
      </c>
      <c r="AC961" s="28" t="s">
        <v>1466</v>
      </c>
    </row>
    <row r="962" spans="1:29" s="28" customFormat="1" x14ac:dyDescent="0.25">
      <c r="A962" s="61">
        <v>110004143524</v>
      </c>
      <c r="B962" s="28">
        <v>2023</v>
      </c>
      <c r="C962" s="68">
        <f t="shared" ref="C962:C1007" si="15">DATE(B962, 1, 1)</f>
        <v>44927</v>
      </c>
      <c r="D962" s="28" t="s">
        <v>6879</v>
      </c>
      <c r="E962" s="28" t="s">
        <v>7054</v>
      </c>
      <c r="F962" s="28" t="s">
        <v>7055</v>
      </c>
      <c r="G962" s="28" t="s">
        <v>338</v>
      </c>
      <c r="H962" s="28" t="s">
        <v>7099</v>
      </c>
      <c r="I962" s="28">
        <v>40.823860000000003</v>
      </c>
      <c r="J962" s="28">
        <v>-73.989034000000004</v>
      </c>
      <c r="L962" s="61">
        <v>110004143524</v>
      </c>
      <c r="M962" s="28" t="s">
        <v>265</v>
      </c>
      <c r="N962" s="28">
        <v>5812</v>
      </c>
      <c r="O962" s="28" t="str">
        <f>IFERROR(VLOOKUP(N962, 'SIC &amp; NAICS Codes'!A:B, 2, FALSE), "")</f>
        <v>Eating Places (dinner theaters)</v>
      </c>
      <c r="S962" s="28">
        <v>1.086210216E-3</v>
      </c>
      <c r="T962" s="315">
        <f>_xlfn.MAXIFS('Raw Period DMR Data'!$O:$O,'Raw Period DMR Data'!$A:$A,'Raw Annual DMR Data_2021-2024'!#REF!,'Raw Period DMR Data'!$C:$C,X962)/S962</f>
        <v>0</v>
      </c>
      <c r="U962" s="28" t="str">
        <f>+IF(COUNTIFS('Raw Period DMR Data'!$A:$A,B962,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62" s="28" t="str" cm="1">
        <f t="array" ref="V962">IFERROR(INDEX('Raw Period DMR Data'!N:N,MATCH(1,(B962='Raw Period DMR Data'!$A:$A)*(U962='Raw Period DMR Data'!M:M)*(X962='Raw Period DMR Data'!C:C),0),1), "N/A")</f>
        <v>N/A</v>
      </c>
      <c r="W962" s="28" t="s">
        <v>1463</v>
      </c>
      <c r="X962" s="28" t="s">
        <v>7207</v>
      </c>
      <c r="Y962" s="28" t="s">
        <v>803</v>
      </c>
      <c r="Z962" s="61"/>
      <c r="AA962" s="60"/>
      <c r="AC962" s="28" t="s">
        <v>1466</v>
      </c>
    </row>
    <row r="963" spans="1:29" s="28" customFormat="1" x14ac:dyDescent="0.25">
      <c r="A963" s="61">
        <v>110004143524</v>
      </c>
      <c r="B963" s="28">
        <v>2024</v>
      </c>
      <c r="C963" s="68">
        <f t="shared" si="15"/>
        <v>45292</v>
      </c>
      <c r="D963" s="28" t="s">
        <v>6879</v>
      </c>
      <c r="E963" s="28" t="s">
        <v>7054</v>
      </c>
      <c r="F963" s="28" t="s">
        <v>7055</v>
      </c>
      <c r="G963" s="28" t="s">
        <v>338</v>
      </c>
      <c r="H963" s="28">
        <v>7010</v>
      </c>
      <c r="I963" s="28">
        <v>40.823860000000003</v>
      </c>
      <c r="J963" s="28">
        <v>-73.989034000000004</v>
      </c>
      <c r="L963" s="61">
        <v>110004143524</v>
      </c>
      <c r="M963" s="28" t="s">
        <v>265</v>
      </c>
      <c r="N963" s="28">
        <v>5812</v>
      </c>
      <c r="O963" s="28" t="str">
        <f>IFERROR(VLOOKUP(N963, 'SIC &amp; NAICS Codes'!A:B, 2, FALSE), "")</f>
        <v>Eating Places (dinner theaters)</v>
      </c>
      <c r="S963" s="28">
        <v>6.3089470079999996E-4</v>
      </c>
      <c r="T963" s="315">
        <f>_xlfn.MAXIFS('Raw Period DMR Data'!$O:$O,'Raw Period DMR Data'!$A:$A,'Raw Annual DMR Data_2021-2024'!#REF!,'Raw Period DMR Data'!$C:$C,X963)/S963</f>
        <v>0</v>
      </c>
      <c r="U963" s="28" t="str">
        <f>+IF(COUNTIFS('Raw Period DMR Data'!$A:$A,B963,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63" s="28" t="str" cm="1">
        <f t="array" ref="V963">IFERROR(INDEX('Raw Period DMR Data'!N:N,MATCH(1,(B963='Raw Period DMR Data'!$A:$A)*(U963='Raw Period DMR Data'!M:M)*(X963='Raw Period DMR Data'!C:C),0),1), "N/A")</f>
        <v>N/A</v>
      </c>
      <c r="W963" s="28" t="s">
        <v>1463</v>
      </c>
      <c r="X963" s="28" t="s">
        <v>7207</v>
      </c>
      <c r="Y963" s="28" t="s">
        <v>803</v>
      </c>
      <c r="Z963" s="61"/>
      <c r="AA963" s="60"/>
      <c r="AC963" s="28" t="s">
        <v>1466</v>
      </c>
    </row>
    <row r="964" spans="1:29" s="28" customFormat="1" x14ac:dyDescent="0.25">
      <c r="A964" s="61">
        <v>110004143524</v>
      </c>
      <c r="B964" s="28">
        <v>2022</v>
      </c>
      <c r="C964" s="68">
        <f t="shared" si="15"/>
        <v>44562</v>
      </c>
      <c r="D964" s="28" t="s">
        <v>6879</v>
      </c>
      <c r="E964" s="28" t="s">
        <v>7054</v>
      </c>
      <c r="F964" s="28" t="s">
        <v>7055</v>
      </c>
      <c r="G964" s="28" t="s">
        <v>338</v>
      </c>
      <c r="H964" s="28">
        <v>7010</v>
      </c>
      <c r="I964" s="28">
        <v>40.823860000000003</v>
      </c>
      <c r="J964" s="28">
        <v>-73.989034000000004</v>
      </c>
      <c r="L964" s="61">
        <v>110004143524</v>
      </c>
      <c r="M964" s="28" t="s">
        <v>265</v>
      </c>
      <c r="N964" s="28">
        <v>5812</v>
      </c>
      <c r="O964" s="28" t="str">
        <f>IFERROR(VLOOKUP(N964, 'SIC &amp; NAICS Codes'!A:B, 2, FALSE), "")</f>
        <v>Eating Places (dinner theaters)</v>
      </c>
      <c r="S964" s="28">
        <v>5.4756898559999996E-4</v>
      </c>
      <c r="T964" s="315">
        <f>_xlfn.MAXIFS('Raw Period DMR Data'!$O:$O,'Raw Period DMR Data'!$A:$A,'Raw Annual DMR Data_2021-2024'!#REF!,'Raw Period DMR Data'!$C:$C,X964)/S964</f>
        <v>0</v>
      </c>
      <c r="U964" s="28" t="str">
        <f>+IF(COUNTIFS('Raw Period DMR Data'!$A:$A,B964,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64" s="28" t="str" cm="1">
        <f t="array" ref="V964">IFERROR(INDEX('Raw Period DMR Data'!N:N,MATCH(1,(B964='Raw Period DMR Data'!$A:$A)*(U964='Raw Period DMR Data'!M:M)*(X964='Raw Period DMR Data'!C:C),0),1), "N/A")</f>
        <v>N/A</v>
      </c>
      <c r="W964" s="28" t="s">
        <v>1463</v>
      </c>
      <c r="X964" s="28" t="s">
        <v>7207</v>
      </c>
      <c r="Y964" s="28" t="s">
        <v>803</v>
      </c>
      <c r="Z964" s="61"/>
      <c r="AA964" s="60"/>
      <c r="AC964" s="28" t="s">
        <v>1466</v>
      </c>
    </row>
    <row r="965" spans="1:29" s="28" customFormat="1" x14ac:dyDescent="0.25">
      <c r="A965" s="61">
        <v>110000521221</v>
      </c>
      <c r="B965" s="28">
        <v>2023</v>
      </c>
      <c r="C965" s="68">
        <f t="shared" si="15"/>
        <v>44927</v>
      </c>
      <c r="D965" s="28" t="s">
        <v>128</v>
      </c>
      <c r="E965" s="28" t="s">
        <v>411</v>
      </c>
      <c r="F965" s="28" t="s">
        <v>412</v>
      </c>
      <c r="G965" s="28" t="s">
        <v>299</v>
      </c>
      <c r="H965" s="28">
        <v>71730</v>
      </c>
      <c r="I965" s="28">
        <v>33.2044</v>
      </c>
      <c r="J965" s="28">
        <v>-92.630799999999994</v>
      </c>
      <c r="K965" s="28" t="s">
        <v>413</v>
      </c>
      <c r="L965" s="61">
        <v>110000521221</v>
      </c>
      <c r="M965" s="28" t="s">
        <v>6752</v>
      </c>
      <c r="N965" s="28">
        <v>4953</v>
      </c>
      <c r="O965" s="28" t="str">
        <f>IFERROR(VLOOKUP(N965, 'SIC &amp; NAICS Codes'!A:B, 2, FALSE), "")</f>
        <v>Refuse Systems (hazardous waste treatment and disposal)</v>
      </c>
      <c r="S965" s="28">
        <v>6.0458200154000002E-3</v>
      </c>
      <c r="T965" s="315">
        <f>_xlfn.MAXIFS('Raw Period DMR Data'!$O:$O,'Raw Period DMR Data'!$A:$A,'Raw Annual DMR Data_2021-2024'!#REF!,'Raw Period DMR Data'!$C:$C,X965)/S965</f>
        <v>0</v>
      </c>
      <c r="U965" s="28" t="str">
        <f>+IF(COUNTIFS('Raw Period DMR Data'!$A:$A,B965,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65" s="28" t="str" cm="1">
        <f t="array" ref="V965">IFERROR(INDEX('Raw Period DMR Data'!N:N,MATCH(1,(B965='Raw Period DMR Data'!$A:$A)*(U965='Raw Period DMR Data'!M:M)*(X965='Raw Period DMR Data'!C:C),0),1), "N/A")</f>
        <v>N/A</v>
      </c>
      <c r="W965" s="28" t="s">
        <v>1463</v>
      </c>
      <c r="X965" s="28" t="s">
        <v>821</v>
      </c>
      <c r="Y965" s="28" t="s">
        <v>7253</v>
      </c>
      <c r="Z965" s="61" t="s">
        <v>7331</v>
      </c>
      <c r="AA965" s="60"/>
      <c r="AC965" s="28" t="s">
        <v>1466</v>
      </c>
    </row>
    <row r="966" spans="1:29" s="28" customFormat="1" x14ac:dyDescent="0.25">
      <c r="A966" s="61">
        <v>110000521221</v>
      </c>
      <c r="B966" s="28">
        <v>2024</v>
      </c>
      <c r="C966" s="68">
        <f t="shared" si="15"/>
        <v>45292</v>
      </c>
      <c r="D966" s="28" t="s">
        <v>128</v>
      </c>
      <c r="E966" s="28" t="s">
        <v>411</v>
      </c>
      <c r="F966" s="28" t="s">
        <v>412</v>
      </c>
      <c r="G966" s="28" t="s">
        <v>299</v>
      </c>
      <c r="H966" s="28">
        <v>71730</v>
      </c>
      <c r="I966" s="28">
        <v>33.2044</v>
      </c>
      <c r="J966" s="28">
        <v>-92.630799999999994</v>
      </c>
      <c r="K966" s="28" t="s">
        <v>413</v>
      </c>
      <c r="L966" s="61">
        <v>110000521221</v>
      </c>
      <c r="M966" s="28" t="s">
        <v>6752</v>
      </c>
      <c r="N966" s="28">
        <v>4953</v>
      </c>
      <c r="O966" s="28" t="str">
        <f>IFERROR(VLOOKUP(N966, 'SIC &amp; NAICS Codes'!A:B, 2, FALSE), "")</f>
        <v>Refuse Systems (hazardous waste treatment and disposal)</v>
      </c>
      <c r="S966" s="28">
        <v>5.8320188399999997E-3</v>
      </c>
      <c r="T966" s="315">
        <f>_xlfn.MAXIFS('Raw Period DMR Data'!$O:$O,'Raw Period DMR Data'!$A:$A,'Raw Annual DMR Data_2021-2024'!#REF!,'Raw Period DMR Data'!$C:$C,X966)/S966</f>
        <v>0</v>
      </c>
      <c r="U966" s="28" t="str">
        <f>+IF(COUNTIFS('Raw Period DMR Data'!$A:$A,B966,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66" s="28" t="str" cm="1">
        <f t="array" ref="V966">IFERROR(INDEX('Raw Period DMR Data'!N:N,MATCH(1,(B966='Raw Period DMR Data'!$A:$A)*(U966='Raw Period DMR Data'!M:M)*(X966='Raw Period DMR Data'!C:C),0),1), "N/A")</f>
        <v>N/A</v>
      </c>
      <c r="W966" s="28" t="s">
        <v>1463</v>
      </c>
      <c r="X966" s="28" t="s">
        <v>821</v>
      </c>
      <c r="Y966" s="28" t="s">
        <v>7253</v>
      </c>
      <c r="Z966" s="61">
        <v>8040202000533</v>
      </c>
      <c r="AA966" s="60"/>
      <c r="AC966" s="28" t="s">
        <v>1466</v>
      </c>
    </row>
    <row r="967" spans="1:29" s="28" customFormat="1" x14ac:dyDescent="0.25">
      <c r="A967" s="61">
        <v>110000521221</v>
      </c>
      <c r="B967" s="28">
        <v>2024</v>
      </c>
      <c r="C967" s="68">
        <f t="shared" si="15"/>
        <v>45292</v>
      </c>
      <c r="D967" s="28" t="s">
        <v>128</v>
      </c>
      <c r="E967" s="28" t="s">
        <v>411</v>
      </c>
      <c r="F967" s="28" t="s">
        <v>412</v>
      </c>
      <c r="G967" s="28" t="s">
        <v>299</v>
      </c>
      <c r="H967" s="28">
        <v>71730</v>
      </c>
      <c r="I967" s="28">
        <v>33.2044</v>
      </c>
      <c r="J967" s="28">
        <v>-92.630799999999994</v>
      </c>
      <c r="K967" s="28" t="s">
        <v>413</v>
      </c>
      <c r="L967" s="61">
        <v>110000521221</v>
      </c>
      <c r="M967" s="28" t="s">
        <v>6752</v>
      </c>
      <c r="N967" s="28">
        <v>4953</v>
      </c>
      <c r="O967" s="28" t="str">
        <f>IFERROR(VLOOKUP(N967, 'SIC &amp; NAICS Codes'!A:B, 2, FALSE), "")</f>
        <v>Refuse Systems (hazardous waste treatment and disposal)</v>
      </c>
      <c r="S967" s="28">
        <v>3.54774812533333E-3</v>
      </c>
      <c r="T967" s="315">
        <f>_xlfn.MAXIFS('Raw Period DMR Data'!$O:$O,'Raw Period DMR Data'!$A:$A,'Raw Annual DMR Data_2021-2024'!#REF!,'Raw Period DMR Data'!$C:$C,X967)/S967</f>
        <v>0</v>
      </c>
      <c r="U967" s="28" t="str">
        <f>+IF(COUNTIFS('Raw Period DMR Data'!$A:$A,B967,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67" s="28" t="str" cm="1">
        <f t="array" ref="V967">IFERROR(INDEX('Raw Period DMR Data'!N:N,MATCH(1,(B967='Raw Period DMR Data'!$A:$A)*(U967='Raw Period DMR Data'!M:M)*(X967='Raw Period DMR Data'!C:C),0),1), "N/A")</f>
        <v>N/A</v>
      </c>
      <c r="W967" s="28" t="s">
        <v>1463</v>
      </c>
      <c r="X967" s="28" t="s">
        <v>821</v>
      </c>
      <c r="Y967" s="28" t="s">
        <v>7253</v>
      </c>
      <c r="Z967" s="61">
        <v>8040202000533</v>
      </c>
      <c r="AA967" s="60"/>
      <c r="AC967" s="28" t="s">
        <v>1466</v>
      </c>
    </row>
    <row r="968" spans="1:29" s="28" customFormat="1" x14ac:dyDescent="0.25">
      <c r="A968" s="61">
        <v>110000521221</v>
      </c>
      <c r="B968" s="28">
        <v>2021</v>
      </c>
      <c r="C968" s="68">
        <f t="shared" si="15"/>
        <v>44197</v>
      </c>
      <c r="D968" s="28" t="s">
        <v>128</v>
      </c>
      <c r="E968" s="28" t="s">
        <v>411</v>
      </c>
      <c r="F968" s="28" t="s">
        <v>412</v>
      </c>
      <c r="G968" s="28" t="s">
        <v>299</v>
      </c>
      <c r="H968" s="28">
        <v>71730</v>
      </c>
      <c r="I968" s="28">
        <v>33.2044</v>
      </c>
      <c r="J968" s="28">
        <v>-92.630799999999994</v>
      </c>
      <c r="K968" s="28" t="s">
        <v>413</v>
      </c>
      <c r="L968" s="61">
        <v>110000521221</v>
      </c>
      <c r="M968" s="28" t="s">
        <v>6752</v>
      </c>
      <c r="N968" s="28">
        <v>4953</v>
      </c>
      <c r="O968" s="28" t="str">
        <f>IFERROR(VLOOKUP(N968, 'SIC &amp; NAICS Codes'!A:B, 2, FALSE), "")</f>
        <v>Refuse Systems (hazardous waste treatment and disposal)</v>
      </c>
      <c r="S968" s="28">
        <v>8.0938440000000004E-4</v>
      </c>
      <c r="T968" s="315">
        <f>_xlfn.MAXIFS('Raw Period DMR Data'!$O:$O,'Raw Period DMR Data'!$A:$A,'Raw Annual DMR Data_2021-2024'!#REF!,'Raw Period DMR Data'!$C:$C,X968)/S968</f>
        <v>0</v>
      </c>
      <c r="U968" s="28" t="str">
        <f>+IF(COUNTIFS('Raw Period DMR Data'!$A:$A,B968,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68" s="28" t="str" cm="1">
        <f t="array" ref="V968">IFERROR(INDEX('Raw Period DMR Data'!N:N,MATCH(1,(B968='Raw Period DMR Data'!$A:$A)*(U968='Raw Period DMR Data'!M:M)*(X968='Raw Period DMR Data'!C:C),0),1), "N/A")</f>
        <v>N/A</v>
      </c>
      <c r="W968" s="28" t="s">
        <v>1463</v>
      </c>
      <c r="X968" s="28" t="s">
        <v>821</v>
      </c>
      <c r="Y968" s="28" t="s">
        <v>7253</v>
      </c>
      <c r="Z968" s="61">
        <v>8040202000533</v>
      </c>
      <c r="AC968" s="28" t="s">
        <v>1466</v>
      </c>
    </row>
    <row r="969" spans="1:29" s="28" customFormat="1" x14ac:dyDescent="0.25">
      <c r="A969" s="61">
        <v>110012150858</v>
      </c>
      <c r="B969" s="28">
        <v>2023</v>
      </c>
      <c r="C969" s="68">
        <f t="shared" si="15"/>
        <v>44927</v>
      </c>
      <c r="D969" s="28" t="s">
        <v>6904</v>
      </c>
      <c r="E969" s="28" t="s">
        <v>7100</v>
      </c>
      <c r="F969" s="28" t="s">
        <v>7101</v>
      </c>
      <c r="G969" s="28" t="s">
        <v>1128</v>
      </c>
      <c r="H969" s="28" t="s">
        <v>7102</v>
      </c>
      <c r="I969" s="28">
        <v>40.49682</v>
      </c>
      <c r="J969" s="28">
        <v>-105.11552</v>
      </c>
      <c r="L969" s="61">
        <v>110012150858</v>
      </c>
      <c r="M969" s="28" t="s">
        <v>6752</v>
      </c>
      <c r="N969" s="28">
        <v>4953</v>
      </c>
      <c r="O969" s="28" t="str">
        <f>IFERROR(VLOOKUP(N969, 'SIC &amp; NAICS Codes'!A:B, 2, FALSE), "")</f>
        <v>Refuse Systems (hazardous waste treatment and disposal)</v>
      </c>
      <c r="S969" s="28">
        <v>1.8000771818181801E-3</v>
      </c>
      <c r="T969" s="315">
        <f>_xlfn.MAXIFS('Raw Period DMR Data'!$O:$O,'Raw Period DMR Data'!$A:$A,'Raw Annual DMR Data_2021-2024'!#REF!,'Raw Period DMR Data'!$C:$C,X969)/S969</f>
        <v>0</v>
      </c>
      <c r="U969" s="28" t="str">
        <f>+IF(COUNTIFS('Raw Period DMR Data'!$A:$A,B969,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69" s="28" t="str" cm="1">
        <f t="array" ref="V969">IFERROR(INDEX('Raw Period DMR Data'!N:N,MATCH(1,(B969='Raw Period DMR Data'!$A:$A)*(U969='Raw Period DMR Data'!M:M)*(X969='Raw Period DMR Data'!C:C),0),1), "N/A")</f>
        <v>N/A</v>
      </c>
      <c r="W969" s="28" t="s">
        <v>1463</v>
      </c>
      <c r="X969" s="28" t="s">
        <v>7234</v>
      </c>
      <c r="Y969" s="28" t="s">
        <v>7320</v>
      </c>
      <c r="Z969" s="61"/>
      <c r="AA969" s="60"/>
      <c r="AB969" s="28" t="s">
        <v>7355</v>
      </c>
      <c r="AC969" s="28" t="s">
        <v>1466</v>
      </c>
    </row>
    <row r="970" spans="1:29" s="28" customFormat="1" x14ac:dyDescent="0.25">
      <c r="A970" s="61">
        <v>110012150858</v>
      </c>
      <c r="B970" s="28">
        <v>2024</v>
      </c>
      <c r="C970" s="68">
        <f t="shared" si="15"/>
        <v>45292</v>
      </c>
      <c r="D970" s="28" t="s">
        <v>6904</v>
      </c>
      <c r="E970" s="28" t="s">
        <v>7100</v>
      </c>
      <c r="F970" s="28" t="s">
        <v>7101</v>
      </c>
      <c r="G970" s="28" t="s">
        <v>1128</v>
      </c>
      <c r="H970" s="28" t="s">
        <v>7102</v>
      </c>
      <c r="I970" s="28">
        <v>40.49682</v>
      </c>
      <c r="J970" s="28">
        <v>-105.11552</v>
      </c>
      <c r="L970" s="61">
        <v>110012150858</v>
      </c>
      <c r="M970" s="28" t="s">
        <v>6752</v>
      </c>
      <c r="N970" s="28">
        <v>4953</v>
      </c>
      <c r="O970" s="28" t="str">
        <f>IFERROR(VLOOKUP(N970, 'SIC &amp; NAICS Codes'!A:B, 2, FALSE), "")</f>
        <v>Refuse Systems (hazardous waste treatment and disposal)</v>
      </c>
      <c r="S970" s="28">
        <v>4.9999850000000004E-4</v>
      </c>
      <c r="T970" s="315">
        <f>_xlfn.MAXIFS('Raw Period DMR Data'!$O:$O,'Raw Period DMR Data'!$A:$A,'Raw Annual DMR Data_2021-2024'!#REF!,'Raw Period DMR Data'!$C:$C,X970)/S970</f>
        <v>0</v>
      </c>
      <c r="U970" s="28" t="str">
        <f>+IF(COUNTIFS('Raw Period DMR Data'!$A:$A,B970,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70" s="28" t="str" cm="1">
        <f t="array" ref="V970">IFERROR(INDEX('Raw Period DMR Data'!N:N,MATCH(1,(B970='Raw Period DMR Data'!$A:$A)*(U970='Raw Period DMR Data'!M:M)*(X970='Raw Period DMR Data'!C:C),0),1), "N/A")</f>
        <v>N/A</v>
      </c>
      <c r="W970" s="28" t="s">
        <v>1463</v>
      </c>
      <c r="X970" s="28" t="s">
        <v>7234</v>
      </c>
      <c r="Y970" s="28" t="s">
        <v>7320</v>
      </c>
      <c r="Z970" s="61"/>
      <c r="AA970" s="60"/>
      <c r="AB970" s="28" t="s">
        <v>7355</v>
      </c>
      <c r="AC970" s="28" t="s">
        <v>1466</v>
      </c>
    </row>
    <row r="971" spans="1:29" s="28" customFormat="1" x14ac:dyDescent="0.25">
      <c r="A971" s="61">
        <v>110012150858</v>
      </c>
      <c r="B971" s="28">
        <v>2024</v>
      </c>
      <c r="C971" s="68">
        <f t="shared" si="15"/>
        <v>45292</v>
      </c>
      <c r="D971" s="28" t="s">
        <v>6904</v>
      </c>
      <c r="E971" s="28" t="s">
        <v>7100</v>
      </c>
      <c r="F971" s="28" t="s">
        <v>7101</v>
      </c>
      <c r="G971" s="28" t="s">
        <v>1128</v>
      </c>
      <c r="H971" s="28" t="s">
        <v>7102</v>
      </c>
      <c r="I971" s="28">
        <v>40.49682</v>
      </c>
      <c r="J971" s="28">
        <v>-105.11552</v>
      </c>
      <c r="L971" s="61">
        <v>110012150858</v>
      </c>
      <c r="M971" s="28" t="s">
        <v>6752</v>
      </c>
      <c r="N971" s="28">
        <v>4953</v>
      </c>
      <c r="O971" s="28" t="str">
        <f>IFERROR(VLOOKUP(N971, 'SIC &amp; NAICS Codes'!A:B, 2, FALSE), "")</f>
        <v>Refuse Systems (hazardous waste treatment and disposal)</v>
      </c>
      <c r="S971" s="28">
        <v>3.5919649999999998E-5</v>
      </c>
      <c r="T971" s="315">
        <f>_xlfn.MAXIFS('Raw Period DMR Data'!$O:$O,'Raw Period DMR Data'!$A:$A,'Raw Annual DMR Data_2021-2024'!#REF!,'Raw Period DMR Data'!$C:$C,X971)/S971</f>
        <v>0</v>
      </c>
      <c r="U971" s="28" t="str">
        <f>+IF(COUNTIFS('Raw Period DMR Data'!$A:$A,B971,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71" s="28" t="str" cm="1">
        <f t="array" ref="V971">IFERROR(INDEX('Raw Period DMR Data'!N:N,MATCH(1,(B971='Raw Period DMR Data'!$A:$A)*(U971='Raw Period DMR Data'!M:M)*(X971='Raw Period DMR Data'!C:C),0),1), "N/A")</f>
        <v>N/A</v>
      </c>
      <c r="W971" s="28" t="s">
        <v>1463</v>
      </c>
      <c r="X971" s="28" t="s">
        <v>7234</v>
      </c>
      <c r="Y971" s="28" t="s">
        <v>7320</v>
      </c>
      <c r="Z971" s="61"/>
      <c r="AA971" s="60"/>
      <c r="AB971" s="28" t="s">
        <v>7355</v>
      </c>
      <c r="AC971" s="28" t="s">
        <v>1466</v>
      </c>
    </row>
    <row r="972" spans="1:29" s="28" customFormat="1" x14ac:dyDescent="0.25">
      <c r="A972" s="61">
        <v>110017413217</v>
      </c>
      <c r="B972" s="28">
        <v>2022</v>
      </c>
      <c r="C972" s="68">
        <f t="shared" si="15"/>
        <v>44562</v>
      </c>
      <c r="D972" s="28" t="s">
        <v>6865</v>
      </c>
      <c r="E972" s="28" t="s">
        <v>1493</v>
      </c>
      <c r="F972" s="28" t="s">
        <v>7030</v>
      </c>
      <c r="G972" s="28" t="s">
        <v>979</v>
      </c>
      <c r="H972" s="28" t="s">
        <v>7031</v>
      </c>
      <c r="I972" s="28">
        <v>35.377800000000001</v>
      </c>
      <c r="J972" s="28">
        <v>-86.045599999999993</v>
      </c>
      <c r="K972" s="28" t="s">
        <v>700</v>
      </c>
      <c r="L972" s="61">
        <v>110017413217</v>
      </c>
      <c r="M972" s="28" t="s">
        <v>6750</v>
      </c>
      <c r="N972" s="28">
        <v>9711</v>
      </c>
      <c r="O972" s="28" t="str">
        <f>IFERROR(VLOOKUP(N972, 'SIC &amp; NAICS Codes'!A:B, 2, FALSE), "")</f>
        <v>National Security</v>
      </c>
      <c r="S972" s="28">
        <v>12.1396127105</v>
      </c>
      <c r="T972" s="315">
        <f>_xlfn.MAXIFS('Raw Period DMR Data'!$O:$O,'Raw Period DMR Data'!$A:$A,'Raw Annual DMR Data_2021-2024'!B938,'Raw Period DMR Data'!$C:$C,X972)/S972</f>
        <v>0</v>
      </c>
      <c r="U972" s="28" t="str">
        <f>+IF(COUNTIFS('Raw Period DMR Data'!$A:$A,B972, 'Raw Period DMR Data'!C:C,'Raw Annual DMR Data_2021-2024'!X938, 'Raw Period DMR Data'!M:M, "&gt;0")&gt;0,_xlfn.MAXIFS('Raw Period DMR Data'!M:M,'Raw Period DMR Data'!$A:$A,'Raw Annual DMR Data_2021-2024'!B938,'Raw Period DMR Data'!C:C,'Raw Annual DMR Data_2021-2024'!X938), "N/A - Period DMR Data Not Available")</f>
        <v>N/A - Period DMR Data Not Available</v>
      </c>
      <c r="V972" s="28" t="str" cm="1">
        <f t="array" ref="V972">IFERROR(INDEX('Raw Period DMR Data'!N:N,MATCH(1,(B972='Raw Period DMR Data'!$A:$A)*(U972='Raw Period DMR Data'!M:M)*(X972='Raw Period DMR Data'!C:C),0),1), "N/A")</f>
        <v>N/A</v>
      </c>
      <c r="W972" s="28" t="s">
        <v>1463</v>
      </c>
      <c r="X972" s="28" t="s">
        <v>1494</v>
      </c>
      <c r="Y972" s="28" t="s">
        <v>1495</v>
      </c>
      <c r="Z972" s="61">
        <v>6030003000915</v>
      </c>
      <c r="AA972" s="60"/>
      <c r="AB972" s="28" t="s">
        <v>7355</v>
      </c>
      <c r="AC972" s="28" t="s">
        <v>7356</v>
      </c>
    </row>
    <row r="973" spans="1:29" s="28" customFormat="1" x14ac:dyDescent="0.25">
      <c r="A973" s="61">
        <v>110017413217</v>
      </c>
      <c r="B973" s="28">
        <v>2021</v>
      </c>
      <c r="C973" s="68">
        <f t="shared" si="15"/>
        <v>44197</v>
      </c>
      <c r="D973" s="28" t="s">
        <v>6865</v>
      </c>
      <c r="E973" s="28" t="s">
        <v>1493</v>
      </c>
      <c r="F973" s="28" t="s">
        <v>7030</v>
      </c>
      <c r="G973" s="28" t="s">
        <v>979</v>
      </c>
      <c r="H973" s="28" t="s">
        <v>7031</v>
      </c>
      <c r="I973" s="28">
        <v>35.377800000000001</v>
      </c>
      <c r="J973" s="28">
        <v>-86.045599999999993</v>
      </c>
      <c r="K973" s="28" t="s">
        <v>700</v>
      </c>
      <c r="L973" s="61">
        <v>110017413217</v>
      </c>
      <c r="M973" s="28" t="s">
        <v>6750</v>
      </c>
      <c r="N973" s="28">
        <v>9711</v>
      </c>
      <c r="O973" s="28" t="str">
        <f>IFERROR(VLOOKUP(N973, 'SIC &amp; NAICS Codes'!A:B, 2, FALSE), "")</f>
        <v>National Security</v>
      </c>
      <c r="S973" s="28">
        <v>11.139133123000001</v>
      </c>
      <c r="T973" s="315">
        <f>_xlfn.MAXIFS('Raw Period DMR Data'!$O:$O,'Raw Period DMR Data'!$A:$A,'Raw Annual DMR Data_2021-2024'!B944,'Raw Period DMR Data'!$C:$C,X973)/S973</f>
        <v>0</v>
      </c>
      <c r="U973" s="28" t="str">
        <f>+IF(COUNTIFS('Raw Period DMR Data'!$A:$A,B973, 'Raw Period DMR Data'!C:C,'Raw Annual DMR Data_2021-2024'!X944, 'Raw Period DMR Data'!M:M, "&gt;0")&gt;0,_xlfn.MAXIFS('Raw Period DMR Data'!M:M,'Raw Period DMR Data'!$A:$A,'Raw Annual DMR Data_2021-2024'!B944,'Raw Period DMR Data'!C:C,'Raw Annual DMR Data_2021-2024'!X944), "N/A - Period DMR Data Not Available")</f>
        <v>N/A - Period DMR Data Not Available</v>
      </c>
      <c r="V973" s="28" t="str" cm="1">
        <f t="array" ref="V973">IFERROR(INDEX('Raw Period DMR Data'!N:N,MATCH(1,(B973='Raw Period DMR Data'!$A:$A)*(U973='Raw Period DMR Data'!M:M)*(X973='Raw Period DMR Data'!C:C),0),1), "N/A")</f>
        <v>N/A</v>
      </c>
      <c r="W973" s="28" t="s">
        <v>1463</v>
      </c>
      <c r="X973" s="28" t="s">
        <v>1494</v>
      </c>
      <c r="Y973" s="28" t="s">
        <v>1495</v>
      </c>
      <c r="Z973" s="61">
        <v>6030003000915</v>
      </c>
      <c r="AA973" s="60"/>
      <c r="AB973" s="28" t="s">
        <v>7355</v>
      </c>
      <c r="AC973" s="28" t="s">
        <v>7356</v>
      </c>
    </row>
    <row r="974" spans="1:29" s="28" customFormat="1" x14ac:dyDescent="0.25">
      <c r="A974" s="61">
        <v>110017413217</v>
      </c>
      <c r="B974" s="28">
        <v>2023</v>
      </c>
      <c r="C974" s="68">
        <f t="shared" si="15"/>
        <v>44927</v>
      </c>
      <c r="D974" s="28" t="s">
        <v>6865</v>
      </c>
      <c r="E974" s="28" t="s">
        <v>1493</v>
      </c>
      <c r="F974" s="28" t="s">
        <v>7030</v>
      </c>
      <c r="G974" s="28" t="s">
        <v>979</v>
      </c>
      <c r="H974" s="28" t="s">
        <v>7031</v>
      </c>
      <c r="I974" s="28">
        <v>35.377800000000001</v>
      </c>
      <c r="J974" s="28">
        <v>-86.045599999999993</v>
      </c>
      <c r="K974" s="28" t="s">
        <v>700</v>
      </c>
      <c r="L974" s="61">
        <v>110017413217</v>
      </c>
      <c r="M974" s="28" t="s">
        <v>6750</v>
      </c>
      <c r="N974" s="28">
        <v>9711</v>
      </c>
      <c r="O974" s="28" t="str">
        <f>IFERROR(VLOOKUP(N974, 'SIC &amp; NAICS Codes'!A:B, 2, FALSE), "")</f>
        <v>National Security</v>
      </c>
      <c r="S974" s="28">
        <v>2.0197176350000001</v>
      </c>
      <c r="T974" s="315">
        <f>_xlfn.MAXIFS('Raw Period DMR Data'!$O:$O,'Raw Period DMR Data'!$A:$A,'Raw Annual DMR Data_2021-2024'!#REF!,'Raw Period DMR Data'!$C:$C,X974)/S974</f>
        <v>0</v>
      </c>
      <c r="U974" s="28" t="str">
        <f>+IF(COUNTIFS('Raw Period DMR Data'!$A:$A,B974,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74" s="28" t="str" cm="1">
        <f t="array" ref="V974">IFERROR(INDEX('Raw Period DMR Data'!N:N,MATCH(1,(B974='Raw Period DMR Data'!$A:$A)*(U974='Raw Period DMR Data'!M:M)*(X974='Raw Period DMR Data'!C:C),0),1), "N/A")</f>
        <v>N/A</v>
      </c>
      <c r="W974" s="28" t="s">
        <v>1463</v>
      </c>
      <c r="X974" s="28" t="s">
        <v>1494</v>
      </c>
      <c r="Y974" s="28" t="s">
        <v>1495</v>
      </c>
      <c r="Z974" s="61" t="s">
        <v>7346</v>
      </c>
      <c r="AA974" s="60"/>
      <c r="AB974" s="28" t="s">
        <v>7355</v>
      </c>
      <c r="AC974" s="28" t="s">
        <v>7356</v>
      </c>
    </row>
    <row r="975" spans="1:29" s="28" customFormat="1" x14ac:dyDescent="0.25">
      <c r="A975" s="61">
        <v>110000614746</v>
      </c>
      <c r="B975" s="28">
        <v>2024</v>
      </c>
      <c r="C975" s="68">
        <f t="shared" si="15"/>
        <v>45292</v>
      </c>
      <c r="D975" s="28" t="s">
        <v>1013</v>
      </c>
      <c r="E975" s="28" t="s">
        <v>1557</v>
      </c>
      <c r="F975" s="28" t="s">
        <v>1014</v>
      </c>
      <c r="G975" s="28" t="s">
        <v>349</v>
      </c>
      <c r="H975" s="28">
        <v>64068</v>
      </c>
      <c r="I975" s="28">
        <v>39.248446999999999</v>
      </c>
      <c r="J975" s="28">
        <v>-94.293233000000001</v>
      </c>
      <c r="L975" s="61">
        <v>110000614746</v>
      </c>
      <c r="M975" s="28" t="s">
        <v>6750</v>
      </c>
      <c r="N975" s="28">
        <v>4953</v>
      </c>
      <c r="O975" s="28" t="str">
        <f>IFERROR(VLOOKUP(N975, 'SIC &amp; NAICS Codes'!A:B, 2, FALSE), "")</f>
        <v>Refuse Systems (hazardous waste treatment and disposal)</v>
      </c>
      <c r="S975" s="28">
        <v>1.342494621255E-2</v>
      </c>
      <c r="T975" s="315">
        <f>_xlfn.MAXIFS('Raw Period DMR Data'!$O:$O,'Raw Period DMR Data'!$A:$A,'Raw Annual DMR Data_2021-2024'!#REF!,'Raw Period DMR Data'!$C:$C,X975)/S975</f>
        <v>0</v>
      </c>
      <c r="U975" s="28" t="str">
        <f>+IF(COUNTIFS('Raw Period DMR Data'!$A:$A,B975,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75" s="28" t="str" cm="1">
        <f t="array" ref="V975">IFERROR(INDEX('Raw Period DMR Data'!N:N,MATCH(1,(B975='Raw Period DMR Data'!$A:$A)*(U975='Raw Period DMR Data'!M:M)*(X975='Raw Period DMR Data'!C:C),0),1), "N/A")</f>
        <v>N/A</v>
      </c>
      <c r="W975" s="28" t="s">
        <v>1463</v>
      </c>
      <c r="X975" s="28" t="s">
        <v>1558</v>
      </c>
      <c r="Y975" s="28" t="s">
        <v>1559</v>
      </c>
      <c r="Z975" s="61">
        <v>10300101002099</v>
      </c>
      <c r="AA975" s="60"/>
      <c r="AB975" s="28" t="s">
        <v>7355</v>
      </c>
      <c r="AC975" s="28" t="s">
        <v>1466</v>
      </c>
    </row>
    <row r="976" spans="1:29" s="28" customFormat="1" x14ac:dyDescent="0.25">
      <c r="A976" s="61">
        <v>110000614746</v>
      </c>
      <c r="B976" s="28">
        <v>2022</v>
      </c>
      <c r="C976" s="68">
        <f t="shared" si="15"/>
        <v>44562</v>
      </c>
      <c r="D976" s="28" t="s">
        <v>1013</v>
      </c>
      <c r="E976" s="28" t="s">
        <v>1557</v>
      </c>
      <c r="F976" s="28" t="s">
        <v>1014</v>
      </c>
      <c r="G976" s="28" t="s">
        <v>349</v>
      </c>
      <c r="H976" s="28">
        <v>64068</v>
      </c>
      <c r="I976" s="28">
        <v>39.248446999999999</v>
      </c>
      <c r="J976" s="28">
        <v>-94.293233000000001</v>
      </c>
      <c r="L976" s="61">
        <v>110000614746</v>
      </c>
      <c r="M976" s="28" t="s">
        <v>6750</v>
      </c>
      <c r="N976" s="28">
        <v>4953</v>
      </c>
      <c r="O976" s="28" t="str">
        <f>IFERROR(VLOOKUP(N976, 'SIC &amp; NAICS Codes'!A:B, 2, FALSE), "")</f>
        <v>Refuse Systems (hazardous waste treatment and disposal)</v>
      </c>
      <c r="S976" s="28">
        <v>1.18266166775E-2</v>
      </c>
      <c r="T976" s="315">
        <f>_xlfn.MAXIFS('Raw Period DMR Data'!$O:$O,'Raw Period DMR Data'!$A:$A,'Raw Annual DMR Data_2021-2024'!#REF!,'Raw Period DMR Data'!$C:$C,X976)/S976</f>
        <v>0</v>
      </c>
      <c r="U976" s="28" t="str">
        <f>+IF(COUNTIFS('Raw Period DMR Data'!$A:$A,B976,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76" s="28" t="str" cm="1">
        <f t="array" ref="V976">IFERROR(INDEX('Raw Period DMR Data'!N:N,MATCH(1,(B976='Raw Period DMR Data'!$A:$A)*(U976='Raw Period DMR Data'!M:M)*(X976='Raw Period DMR Data'!C:C),0),1), "N/A")</f>
        <v>N/A</v>
      </c>
      <c r="W976" s="28" t="s">
        <v>1463</v>
      </c>
      <c r="X976" s="28" t="s">
        <v>1558</v>
      </c>
      <c r="Y976" s="28" t="s">
        <v>1559</v>
      </c>
      <c r="Z976" s="61">
        <v>10300101002099</v>
      </c>
      <c r="AA976" s="60"/>
      <c r="AB976" s="28" t="s">
        <v>7355</v>
      </c>
      <c r="AC976" s="28" t="s">
        <v>1466</v>
      </c>
    </row>
    <row r="977" spans="1:29" s="28" customFormat="1" x14ac:dyDescent="0.25">
      <c r="A977" s="61">
        <v>110000614746</v>
      </c>
      <c r="B977" s="28">
        <v>2021</v>
      </c>
      <c r="C977" s="68">
        <f t="shared" si="15"/>
        <v>44197</v>
      </c>
      <c r="D977" s="28" t="s">
        <v>1013</v>
      </c>
      <c r="E977" s="28" t="s">
        <v>1557</v>
      </c>
      <c r="F977" s="28" t="s">
        <v>1014</v>
      </c>
      <c r="G977" s="28" t="s">
        <v>349</v>
      </c>
      <c r="H977" s="28">
        <v>64068</v>
      </c>
      <c r="I977" s="28">
        <v>39.248446999999999</v>
      </c>
      <c r="J977" s="28">
        <v>-94.293233000000001</v>
      </c>
      <c r="L977" s="61">
        <v>110000614746</v>
      </c>
      <c r="M977" s="28" t="s">
        <v>6750</v>
      </c>
      <c r="N977" s="28">
        <v>4953</v>
      </c>
      <c r="O977" s="28" t="str">
        <f>IFERROR(VLOOKUP(N977, 'SIC &amp; NAICS Codes'!A:B, 2, FALSE), "")</f>
        <v>Refuse Systems (hazardous waste treatment and disposal)</v>
      </c>
      <c r="S977" s="28">
        <v>9.6289690123249998E-3</v>
      </c>
      <c r="T977" s="315">
        <f>_xlfn.MAXIFS('Raw Period DMR Data'!$O:$O,'Raw Period DMR Data'!$A:$A,'Raw Annual DMR Data_2021-2024'!#REF!,'Raw Period DMR Data'!$C:$C,X977)/S977</f>
        <v>0</v>
      </c>
      <c r="U977" s="28" t="str">
        <f>+IF(COUNTIFS('Raw Period DMR Data'!$A:$A,B977,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77" s="28" t="str" cm="1">
        <f t="array" ref="V977">IFERROR(INDEX('Raw Period DMR Data'!N:N,MATCH(1,(B977='Raw Period DMR Data'!$A:$A)*(U977='Raw Period DMR Data'!M:M)*(X977='Raw Period DMR Data'!C:C),0),1), "N/A")</f>
        <v>N/A</v>
      </c>
      <c r="W977" s="28" t="s">
        <v>1463</v>
      </c>
      <c r="X977" s="28" t="s">
        <v>1558</v>
      </c>
      <c r="Y977" s="28" t="s">
        <v>1559</v>
      </c>
      <c r="Z977" s="61">
        <v>10300101002099</v>
      </c>
      <c r="AA977" s="60"/>
      <c r="AB977" s="28" t="s">
        <v>7355</v>
      </c>
      <c r="AC977" s="28" t="s">
        <v>1466</v>
      </c>
    </row>
    <row r="978" spans="1:29" s="28" customFormat="1" x14ac:dyDescent="0.25">
      <c r="A978" s="61">
        <v>110000613685</v>
      </c>
      <c r="B978" s="28">
        <v>2022</v>
      </c>
      <c r="C978" s="68">
        <f t="shared" si="15"/>
        <v>44562</v>
      </c>
      <c r="D978" s="28" t="s">
        <v>1036</v>
      </c>
      <c r="E978" s="28" t="s">
        <v>1597</v>
      </c>
      <c r="F978" s="28" t="s">
        <v>446</v>
      </c>
      <c r="G978" s="28" t="s">
        <v>303</v>
      </c>
      <c r="H978" s="28">
        <v>70669</v>
      </c>
      <c r="I978" s="28">
        <v>30.318283999999998</v>
      </c>
      <c r="J978" s="28">
        <v>-93.303511999999998</v>
      </c>
      <c r="L978" s="61">
        <v>110000613685</v>
      </c>
      <c r="M978" s="28" t="s">
        <v>6750</v>
      </c>
      <c r="N978" s="28">
        <v>4953</v>
      </c>
      <c r="O978" s="28" t="str">
        <f>IFERROR(VLOOKUP(N978, 'SIC &amp; NAICS Codes'!A:B, 2, FALSE), "")</f>
        <v>Refuse Systems (hazardous waste treatment and disposal)</v>
      </c>
      <c r="S978" s="28">
        <v>0.47317231250000003</v>
      </c>
      <c r="T978" s="315">
        <f>_xlfn.MAXIFS('Raw Period DMR Data'!$O:$O,'Raw Period DMR Data'!$A:$A,'Raw Annual DMR Data_2021-2024'!#REF!,'Raw Period DMR Data'!$C:$C,X978)/S978</f>
        <v>0</v>
      </c>
      <c r="U978" s="28" t="str">
        <f>+IF(COUNTIFS('Raw Period DMR Data'!$A:$A,B978,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78" s="28" t="str" cm="1">
        <f t="array" ref="V978">IFERROR(INDEX('Raw Period DMR Data'!N:N,MATCH(1,(B978='Raw Period DMR Data'!$A:$A)*(U978='Raw Period DMR Data'!M:M)*(X978='Raw Period DMR Data'!C:C),0),1), "N/A")</f>
        <v>N/A</v>
      </c>
      <c r="W978" s="28" t="s">
        <v>1463</v>
      </c>
      <c r="X978" s="28" t="s">
        <v>1598</v>
      </c>
      <c r="Y978" s="28">
        <v>317</v>
      </c>
      <c r="Z978" s="61">
        <v>8080205000075</v>
      </c>
      <c r="AA978" s="60"/>
      <c r="AB978" s="28" t="s">
        <v>7355</v>
      </c>
      <c r="AC978" s="28" t="s">
        <v>1466</v>
      </c>
    </row>
    <row r="979" spans="1:29" s="28" customFormat="1" x14ac:dyDescent="0.25">
      <c r="A979" s="61">
        <v>110000613685</v>
      </c>
      <c r="B979" s="28">
        <v>2022</v>
      </c>
      <c r="C979" s="68">
        <f t="shared" si="15"/>
        <v>44562</v>
      </c>
      <c r="D979" s="28" t="s">
        <v>1036</v>
      </c>
      <c r="E979" s="28" t="s">
        <v>1597</v>
      </c>
      <c r="F979" s="28" t="s">
        <v>446</v>
      </c>
      <c r="G979" s="28" t="s">
        <v>303</v>
      </c>
      <c r="H979" s="28">
        <v>70669</v>
      </c>
      <c r="I979" s="28">
        <v>30.318283999999998</v>
      </c>
      <c r="J979" s="28">
        <v>-93.303511999999998</v>
      </c>
      <c r="L979" s="61">
        <v>110000613685</v>
      </c>
      <c r="M979" s="28" t="s">
        <v>6750</v>
      </c>
      <c r="N979" s="28">
        <v>4953</v>
      </c>
      <c r="O979" s="28" t="str">
        <f>IFERROR(VLOOKUP(N979, 'SIC &amp; NAICS Codes'!A:B, 2, FALSE), "")</f>
        <v>Refuse Systems (hazardous waste treatment and disposal)</v>
      </c>
      <c r="S979" s="28">
        <v>0.34883506250000001</v>
      </c>
      <c r="T979" s="315">
        <f>_xlfn.MAXIFS('Raw Period DMR Data'!$O:$O,'Raw Period DMR Data'!$A:$A,'Raw Annual DMR Data_2021-2024'!#REF!,'Raw Period DMR Data'!$C:$C,X979)/S979</f>
        <v>0</v>
      </c>
      <c r="U979" s="28" t="str">
        <f>+IF(COUNTIFS('Raw Period DMR Data'!$A:$A,B979,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79" s="28" t="str" cm="1">
        <f t="array" ref="V979">IFERROR(INDEX('Raw Period DMR Data'!N:N,MATCH(1,(B979='Raw Period DMR Data'!$A:$A)*(U979='Raw Period DMR Data'!M:M)*(X979='Raw Period DMR Data'!C:C),0),1), "N/A")</f>
        <v>N/A</v>
      </c>
      <c r="W979" s="28" t="s">
        <v>1463</v>
      </c>
      <c r="X979" s="28" t="s">
        <v>1598</v>
      </c>
      <c r="Y979" s="28">
        <v>317</v>
      </c>
      <c r="Z979" s="61">
        <v>8080205000075</v>
      </c>
      <c r="AA979" s="60"/>
      <c r="AB979" s="28" t="s">
        <v>7355</v>
      </c>
      <c r="AC979" s="28" t="s">
        <v>1466</v>
      </c>
    </row>
    <row r="980" spans="1:29" s="28" customFormat="1" x14ac:dyDescent="0.25">
      <c r="A980" s="61">
        <v>110000613685</v>
      </c>
      <c r="B980" s="28">
        <v>2021</v>
      </c>
      <c r="C980" s="68">
        <f t="shared" si="15"/>
        <v>44197</v>
      </c>
      <c r="D980" s="28" t="s">
        <v>1036</v>
      </c>
      <c r="E980" s="28" t="s">
        <v>1597</v>
      </c>
      <c r="F980" s="28" t="s">
        <v>446</v>
      </c>
      <c r="G980" s="28" t="s">
        <v>303</v>
      </c>
      <c r="H980" s="28">
        <v>70669</v>
      </c>
      <c r="I980" s="28">
        <v>30.318283999999998</v>
      </c>
      <c r="J980" s="28">
        <v>-93.303511999999998</v>
      </c>
      <c r="L980" s="61">
        <v>110000613685</v>
      </c>
      <c r="M980" s="28" t="s">
        <v>6750</v>
      </c>
      <c r="N980" s="28">
        <v>4953</v>
      </c>
      <c r="O980" s="28" t="str">
        <f>IFERROR(VLOOKUP(N980, 'SIC &amp; NAICS Codes'!A:B, 2, FALSE), "")</f>
        <v>Refuse Systems (hazardous waste treatment and disposal)</v>
      </c>
      <c r="S980" s="28">
        <v>0.30393550000000003</v>
      </c>
      <c r="T980" s="315">
        <f>_xlfn.MAXIFS('Raw Period DMR Data'!$O:$O,'Raw Period DMR Data'!$A:$A,'Raw Annual DMR Data_2021-2024'!#REF!,'Raw Period DMR Data'!$C:$C,X980)/S980</f>
        <v>0</v>
      </c>
      <c r="U980" s="28" t="str">
        <f>+IF(COUNTIFS('Raw Period DMR Data'!$A:$A,B980,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80" s="28" t="str" cm="1">
        <f t="array" ref="V980">IFERROR(INDEX('Raw Period DMR Data'!N:N,MATCH(1,(B980='Raw Period DMR Data'!$A:$A)*(U980='Raw Period DMR Data'!M:M)*(X980='Raw Period DMR Data'!C:C),0),1), "N/A")</f>
        <v>N/A</v>
      </c>
      <c r="W980" s="28" t="s">
        <v>1463</v>
      </c>
      <c r="X980" s="28" t="s">
        <v>1598</v>
      </c>
      <c r="Y980" s="28">
        <v>317</v>
      </c>
      <c r="Z980" s="61">
        <v>8080205000075</v>
      </c>
      <c r="AB980" s="28" t="s">
        <v>7355</v>
      </c>
      <c r="AC980" s="28" t="s">
        <v>1466</v>
      </c>
    </row>
    <row r="981" spans="1:29" s="28" customFormat="1" x14ac:dyDescent="0.25">
      <c r="A981" s="61">
        <v>110000613685</v>
      </c>
      <c r="B981" s="28">
        <v>2021</v>
      </c>
      <c r="C981" s="68">
        <f t="shared" si="15"/>
        <v>44197</v>
      </c>
      <c r="D981" s="28" t="s">
        <v>1036</v>
      </c>
      <c r="E981" s="28" t="s">
        <v>1597</v>
      </c>
      <c r="F981" s="28" t="s">
        <v>446</v>
      </c>
      <c r="G981" s="28" t="s">
        <v>303</v>
      </c>
      <c r="H981" s="28">
        <v>70669</v>
      </c>
      <c r="I981" s="28">
        <v>30.318283999999998</v>
      </c>
      <c r="J981" s="28">
        <v>-93.303511999999998</v>
      </c>
      <c r="L981" s="61">
        <v>110000613685</v>
      </c>
      <c r="M981" s="28" t="s">
        <v>6750</v>
      </c>
      <c r="N981" s="28">
        <v>4953</v>
      </c>
      <c r="O981" s="28" t="str">
        <f>IFERROR(VLOOKUP(N981, 'SIC &amp; NAICS Codes'!A:B, 2, FALSE), "")</f>
        <v>Refuse Systems (hazardous waste treatment and disposal)</v>
      </c>
      <c r="S981" s="28">
        <v>0.2244978125</v>
      </c>
      <c r="T981" s="315">
        <f>_xlfn.MAXIFS('Raw Period DMR Data'!$O:$O,'Raw Period DMR Data'!$A:$A,'Raw Annual DMR Data_2021-2024'!#REF!,'Raw Period DMR Data'!$C:$C,X981)/S981</f>
        <v>0</v>
      </c>
      <c r="U981" s="28" t="str">
        <f>+IF(COUNTIFS('Raw Period DMR Data'!$A:$A,B981,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81" s="28" t="str" cm="1">
        <f t="array" ref="V981">IFERROR(INDEX('Raw Period DMR Data'!N:N,MATCH(1,(B981='Raw Period DMR Data'!$A:$A)*(U981='Raw Period DMR Data'!M:M)*(X981='Raw Period DMR Data'!C:C),0),1), "N/A")</f>
        <v>N/A</v>
      </c>
      <c r="W981" s="28" t="s">
        <v>1463</v>
      </c>
      <c r="X981" s="28" t="s">
        <v>1598</v>
      </c>
      <c r="Y981" s="28">
        <v>317</v>
      </c>
      <c r="Z981" s="61">
        <v>8080205000075</v>
      </c>
      <c r="AB981" s="28" t="s">
        <v>7355</v>
      </c>
      <c r="AC981" s="28" t="s">
        <v>1466</v>
      </c>
    </row>
    <row r="982" spans="1:29" s="28" customFormat="1" x14ac:dyDescent="0.25">
      <c r="A982" s="61">
        <v>110000613685</v>
      </c>
      <c r="B982" s="28">
        <v>2022</v>
      </c>
      <c r="C982" s="68">
        <f t="shared" si="15"/>
        <v>44562</v>
      </c>
      <c r="D982" s="28" t="s">
        <v>1036</v>
      </c>
      <c r="E982" s="28" t="s">
        <v>1597</v>
      </c>
      <c r="F982" s="28" t="s">
        <v>446</v>
      </c>
      <c r="G982" s="28" t="s">
        <v>303</v>
      </c>
      <c r="H982" s="28">
        <v>70669</v>
      </c>
      <c r="I982" s="28">
        <v>30.318283999999998</v>
      </c>
      <c r="J982" s="28">
        <v>-93.303511999999998</v>
      </c>
      <c r="L982" s="61">
        <v>110000613685</v>
      </c>
      <c r="M982" s="28" t="s">
        <v>6750</v>
      </c>
      <c r="N982" s="28">
        <v>4953</v>
      </c>
      <c r="O982" s="28" t="str">
        <f>IFERROR(VLOOKUP(N982, 'SIC &amp; NAICS Codes'!A:B, 2, FALSE), "")</f>
        <v>Refuse Systems (hazardous waste treatment and disposal)</v>
      </c>
      <c r="S982" s="28">
        <v>0.1208834375</v>
      </c>
      <c r="T982" s="315">
        <f>_xlfn.MAXIFS('Raw Period DMR Data'!$O:$O,'Raw Period DMR Data'!$A:$A,'Raw Annual DMR Data_2021-2024'!#REF!,'Raw Period DMR Data'!$C:$C,X982)/S982</f>
        <v>0</v>
      </c>
      <c r="U982" s="28" t="str">
        <f>+IF(COUNTIFS('Raw Period DMR Data'!$A:$A,B982,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82" s="28" t="str" cm="1">
        <f t="array" ref="V982">IFERROR(INDEX('Raw Period DMR Data'!N:N,MATCH(1,(B982='Raw Period DMR Data'!$A:$A)*(U982='Raw Period DMR Data'!M:M)*(X982='Raw Period DMR Data'!C:C),0),1), "N/A")</f>
        <v>N/A</v>
      </c>
      <c r="W982" s="28" t="s">
        <v>1463</v>
      </c>
      <c r="X982" s="28" t="s">
        <v>1598</v>
      </c>
      <c r="Y982" s="28">
        <v>317</v>
      </c>
      <c r="Z982" s="61">
        <v>8080205000075</v>
      </c>
      <c r="AA982" s="60"/>
      <c r="AB982" s="28" t="s">
        <v>7355</v>
      </c>
      <c r="AC982" s="28" t="s">
        <v>1466</v>
      </c>
    </row>
    <row r="983" spans="1:29" s="28" customFormat="1" x14ac:dyDescent="0.25">
      <c r="A983" s="61">
        <v>110000613685</v>
      </c>
      <c r="B983" s="28">
        <v>2021</v>
      </c>
      <c r="C983" s="68">
        <f t="shared" si="15"/>
        <v>44197</v>
      </c>
      <c r="D983" s="28" t="s">
        <v>1036</v>
      </c>
      <c r="E983" s="28" t="s">
        <v>1597</v>
      </c>
      <c r="F983" s="28" t="s">
        <v>446</v>
      </c>
      <c r="G983" s="28" t="s">
        <v>303</v>
      </c>
      <c r="H983" s="28">
        <v>70669</v>
      </c>
      <c r="I983" s="28">
        <v>30.318283999999998</v>
      </c>
      <c r="J983" s="28">
        <v>-93.303511999999998</v>
      </c>
      <c r="L983" s="61">
        <v>110000613685</v>
      </c>
      <c r="M983" s="28" t="s">
        <v>6750</v>
      </c>
      <c r="N983" s="28">
        <v>4953</v>
      </c>
      <c r="O983" s="28" t="str">
        <f>IFERROR(VLOOKUP(N983, 'SIC &amp; NAICS Codes'!A:B, 2, FALSE), "")</f>
        <v>Refuse Systems (hazardous waste treatment and disposal)</v>
      </c>
      <c r="S983" s="28">
        <v>7.9437687500000007E-2</v>
      </c>
      <c r="T983" s="315">
        <f>_xlfn.MAXIFS('Raw Period DMR Data'!$O:$O,'Raw Period DMR Data'!$A:$A,'Raw Annual DMR Data_2021-2024'!#REF!,'Raw Period DMR Data'!$C:$C,X983)/S983</f>
        <v>0</v>
      </c>
      <c r="U983" s="28" t="str">
        <f>+IF(COUNTIFS('Raw Period DMR Data'!$A:$A,B983,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83" s="28" t="str" cm="1">
        <f t="array" ref="V983">IFERROR(INDEX('Raw Period DMR Data'!N:N,MATCH(1,(B983='Raw Period DMR Data'!$A:$A)*(U983='Raw Period DMR Data'!M:M)*(X983='Raw Period DMR Data'!C:C),0),1), "N/A")</f>
        <v>N/A</v>
      </c>
      <c r="W983" s="28" t="s">
        <v>1463</v>
      </c>
      <c r="X983" s="28" t="s">
        <v>1598</v>
      </c>
      <c r="Y983" s="28">
        <v>317</v>
      </c>
      <c r="Z983" s="61">
        <v>8080205000075</v>
      </c>
      <c r="AB983" s="28" t="s">
        <v>7355</v>
      </c>
      <c r="AC983" s="28" t="s">
        <v>1466</v>
      </c>
    </row>
    <row r="984" spans="1:29" s="28" customFormat="1" x14ac:dyDescent="0.25">
      <c r="A984" s="61">
        <v>110001847761</v>
      </c>
      <c r="B984" s="28">
        <v>2021</v>
      </c>
      <c r="C984" s="68">
        <f t="shared" si="15"/>
        <v>44197</v>
      </c>
      <c r="D984" s="28" t="s">
        <v>1118</v>
      </c>
      <c r="E984" s="28" t="s">
        <v>1769</v>
      </c>
      <c r="F984" s="28" t="s">
        <v>1119</v>
      </c>
      <c r="G984" s="28" t="s">
        <v>427</v>
      </c>
      <c r="H984" s="28">
        <v>49128</v>
      </c>
      <c r="I984" s="28">
        <v>41.775967999999999</v>
      </c>
      <c r="J984" s="28">
        <v>-86.654864000000003</v>
      </c>
      <c r="L984" s="61">
        <v>110001847761</v>
      </c>
      <c r="M984" s="28" t="s">
        <v>6750</v>
      </c>
      <c r="N984" s="28">
        <v>4953</v>
      </c>
      <c r="O984" s="28" t="str">
        <f>IFERROR(VLOOKUP(N984, 'SIC &amp; NAICS Codes'!A:B, 2, FALSE), "")</f>
        <v>Refuse Systems (hazardous waste treatment and disposal)</v>
      </c>
      <c r="S984" s="28">
        <v>1.7316375E-3</v>
      </c>
      <c r="T984" s="315">
        <f>_xlfn.MAXIFS('Raw Period DMR Data'!$O:$O,'Raw Period DMR Data'!$A:$A,'Raw Annual DMR Data_2021-2024'!#REF!,'Raw Period DMR Data'!$C:$C,X984)/S984</f>
        <v>0</v>
      </c>
      <c r="U984" s="28" t="str">
        <f>+IF(COUNTIFS('Raw Period DMR Data'!$A:$A,B984,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84" s="28" t="str" cm="1">
        <f t="array" ref="V984">IFERROR(INDEX('Raw Period DMR Data'!N:N,MATCH(1,(B984='Raw Period DMR Data'!$A:$A)*(U984='Raw Period DMR Data'!M:M)*(X984='Raw Period DMR Data'!C:C),0),1), "N/A")</f>
        <v>N/A</v>
      </c>
      <c r="W984" s="28" t="s">
        <v>1463</v>
      </c>
      <c r="X984" s="28" t="s">
        <v>1770</v>
      </c>
      <c r="Y984" s="28" t="s">
        <v>1771</v>
      </c>
      <c r="Z984" s="61">
        <v>4040001000153</v>
      </c>
      <c r="AB984" s="28" t="s">
        <v>7355</v>
      </c>
      <c r="AC984" s="28" t="s">
        <v>1466</v>
      </c>
    </row>
    <row r="985" spans="1:29" s="28" customFormat="1" x14ac:dyDescent="0.25">
      <c r="A985" s="61">
        <v>110037256867</v>
      </c>
      <c r="B985" s="28">
        <v>2022</v>
      </c>
      <c r="C985" s="68">
        <f t="shared" si="15"/>
        <v>44562</v>
      </c>
      <c r="D985" s="28" t="s">
        <v>1129</v>
      </c>
      <c r="E985" s="28" t="s">
        <v>1792</v>
      </c>
      <c r="F985" s="28" t="s">
        <v>1130</v>
      </c>
      <c r="G985" s="28" t="s">
        <v>366</v>
      </c>
      <c r="H985" s="28">
        <v>93420</v>
      </c>
      <c r="I985" s="28">
        <v>35.178620000000002</v>
      </c>
      <c r="J985" s="28">
        <v>-120.62067500000001</v>
      </c>
      <c r="L985" s="61">
        <v>110037256867</v>
      </c>
      <c r="M985" s="28" t="s">
        <v>6750</v>
      </c>
      <c r="N985" s="28">
        <v>2911</v>
      </c>
      <c r="O985" s="28" t="str">
        <f>IFERROR(VLOOKUP(N985, 'SIC &amp; NAICS Codes'!A:B, 2, FALSE), "")</f>
        <v>Petroleum Refining</v>
      </c>
      <c r="S985" s="28">
        <v>0.1623291875</v>
      </c>
      <c r="T985" s="315">
        <f>_xlfn.MAXIFS('Raw Period DMR Data'!$O:$O,'Raw Period DMR Data'!$A:$A,'Raw Annual DMR Data_2021-2024'!#REF!,'Raw Period DMR Data'!$C:$C,X985)/S985</f>
        <v>0</v>
      </c>
      <c r="U985" s="28" t="str">
        <f>+IF(COUNTIFS('Raw Period DMR Data'!$A:$A,B985,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85" s="28" t="str" cm="1">
        <f t="array" ref="V985">IFERROR(INDEX('Raw Period DMR Data'!N:N,MATCH(1,(B985='Raw Period DMR Data'!$A:$A)*(U985='Raw Period DMR Data'!M:M)*(X985='Raw Period DMR Data'!C:C),0),1), "N/A")</f>
        <v>N/A</v>
      </c>
      <c r="W985" s="28" t="s">
        <v>1463</v>
      </c>
      <c r="X985" s="28" t="s">
        <v>1793</v>
      </c>
      <c r="Y985" s="28" t="s">
        <v>1794</v>
      </c>
      <c r="Z985" s="61">
        <v>18060006000027</v>
      </c>
      <c r="AA985" s="60"/>
      <c r="AB985" s="28" t="s">
        <v>7355</v>
      </c>
      <c r="AC985" s="28" t="s">
        <v>1466</v>
      </c>
    </row>
    <row r="986" spans="1:29" s="28" customFormat="1" x14ac:dyDescent="0.25">
      <c r="A986" s="61">
        <v>110037256867</v>
      </c>
      <c r="B986" s="28">
        <v>2023</v>
      </c>
      <c r="C986" s="68">
        <f t="shared" si="15"/>
        <v>44927</v>
      </c>
      <c r="D986" s="28" t="s">
        <v>1129</v>
      </c>
      <c r="E986" s="28" t="s">
        <v>1792</v>
      </c>
      <c r="F986" s="28" t="s">
        <v>1130</v>
      </c>
      <c r="G986" s="28" t="s">
        <v>366</v>
      </c>
      <c r="H986" s="28">
        <v>93420</v>
      </c>
      <c r="I986" s="28">
        <v>35.178620000000002</v>
      </c>
      <c r="J986" s="28">
        <v>-120.62067500000001</v>
      </c>
      <c r="L986" s="61">
        <v>110037256867</v>
      </c>
      <c r="M986" s="28" t="s">
        <v>6750</v>
      </c>
      <c r="N986" s="28">
        <v>2911</v>
      </c>
      <c r="O986" s="28" t="str">
        <f>IFERROR(VLOOKUP(N986, 'SIC &amp; NAICS Codes'!A:B, 2, FALSE), "")</f>
        <v>Petroleum Refining</v>
      </c>
      <c r="S986" s="28">
        <v>2.4425361999999999E-2</v>
      </c>
      <c r="T986" s="315">
        <f>_xlfn.MAXIFS('Raw Period DMR Data'!$O:$O,'Raw Period DMR Data'!$A:$A,'Raw Annual DMR Data_2021-2024'!#REF!,'Raw Period DMR Data'!$C:$C,X986)/S986</f>
        <v>0</v>
      </c>
      <c r="U986" s="28" t="str">
        <f>+IF(COUNTIFS('Raw Period DMR Data'!$A:$A,B986,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86" s="28" t="str" cm="1">
        <f t="array" ref="V986">IFERROR(INDEX('Raw Period DMR Data'!N:N,MATCH(1,(B986='Raw Period DMR Data'!$A:$A)*(U986='Raw Period DMR Data'!M:M)*(X986='Raw Period DMR Data'!C:C),0),1), "N/A")</f>
        <v>N/A</v>
      </c>
      <c r="W986" s="28" t="s">
        <v>1463</v>
      </c>
      <c r="X986" s="28" t="s">
        <v>1793</v>
      </c>
      <c r="Y986" s="28" t="s">
        <v>1794</v>
      </c>
      <c r="Z986" s="61">
        <v>18060006000027</v>
      </c>
      <c r="AA986" s="60"/>
      <c r="AB986" s="28" t="s">
        <v>7355</v>
      </c>
      <c r="AC986" s="28" t="s">
        <v>1466</v>
      </c>
    </row>
    <row r="987" spans="1:29" s="28" customFormat="1" x14ac:dyDescent="0.25">
      <c r="A987" s="61">
        <v>110037256867</v>
      </c>
      <c r="B987" s="28">
        <v>2024</v>
      </c>
      <c r="C987" s="68">
        <f t="shared" si="15"/>
        <v>45292</v>
      </c>
      <c r="D987" s="28" t="s">
        <v>1129</v>
      </c>
      <c r="E987" s="28" t="s">
        <v>1792</v>
      </c>
      <c r="F987" s="28" t="s">
        <v>1130</v>
      </c>
      <c r="G987" s="28" t="s">
        <v>366</v>
      </c>
      <c r="H987" s="28">
        <v>93420</v>
      </c>
      <c r="I987" s="28">
        <v>35.178620000000002</v>
      </c>
      <c r="J987" s="28">
        <v>-120.62067500000001</v>
      </c>
      <c r="L987" s="61">
        <v>110037256867</v>
      </c>
      <c r="M987" s="28" t="s">
        <v>6750</v>
      </c>
      <c r="N987" s="28">
        <v>2911</v>
      </c>
      <c r="O987" s="28" t="str">
        <f>IFERROR(VLOOKUP(N987, 'SIC &amp; NAICS Codes'!A:B, 2, FALSE), "")</f>
        <v>Petroleum Refining</v>
      </c>
      <c r="S987" s="28">
        <v>1.4091555E-2</v>
      </c>
      <c r="T987" s="315">
        <f>_xlfn.MAXIFS('Raw Period DMR Data'!$O:$O,'Raw Period DMR Data'!$A:$A,'Raw Annual DMR Data_2021-2024'!#REF!,'Raw Period DMR Data'!$C:$C,X987)/S987</f>
        <v>0</v>
      </c>
      <c r="U987" s="28" t="str">
        <f>+IF(COUNTIFS('Raw Period DMR Data'!$A:$A,B987,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87" s="28" t="str" cm="1">
        <f t="array" ref="V987">IFERROR(INDEX('Raw Period DMR Data'!N:N,MATCH(1,(B987='Raw Period DMR Data'!$A:$A)*(U987='Raw Period DMR Data'!M:M)*(X987='Raw Period DMR Data'!C:C),0),1), "N/A")</f>
        <v>N/A</v>
      </c>
      <c r="W987" s="28" t="s">
        <v>1463</v>
      </c>
      <c r="X987" s="28" t="s">
        <v>1793</v>
      </c>
      <c r="Y987" s="28" t="s">
        <v>1794</v>
      </c>
      <c r="Z987" s="61">
        <v>18060006000027</v>
      </c>
      <c r="AA987" s="60"/>
      <c r="AB987" s="28" t="s">
        <v>7355</v>
      </c>
      <c r="AC987" s="28" t="s">
        <v>1466</v>
      </c>
    </row>
    <row r="988" spans="1:29" s="28" customFormat="1" x14ac:dyDescent="0.25">
      <c r="A988" s="61">
        <v>110070544905</v>
      </c>
      <c r="B988" s="28">
        <v>2021</v>
      </c>
      <c r="C988" s="68">
        <f t="shared" si="15"/>
        <v>44197</v>
      </c>
      <c r="D988" s="28" t="s">
        <v>1315</v>
      </c>
      <c r="E988" s="28" t="s">
        <v>2160</v>
      </c>
      <c r="F988" s="28" t="s">
        <v>1316</v>
      </c>
      <c r="G988" s="28" t="s">
        <v>294</v>
      </c>
      <c r="H988" s="28">
        <v>22801</v>
      </c>
      <c r="I988" s="28">
        <v>38.400409000000003</v>
      </c>
      <c r="J988" s="28">
        <v>-78.895222000000004</v>
      </c>
      <c r="L988" s="61">
        <v>110070544905</v>
      </c>
      <c r="M988" s="28" t="s">
        <v>6750</v>
      </c>
      <c r="N988" s="28">
        <v>4953</v>
      </c>
      <c r="O988" s="28" t="str">
        <f>IFERROR(VLOOKUP(N988, 'SIC &amp; NAICS Codes'!A:B, 2, FALSE), "")</f>
        <v>Refuse Systems (hazardous waste treatment and disposal)</v>
      </c>
      <c r="S988" s="28">
        <v>4.9779596875750003E-2</v>
      </c>
      <c r="T988" s="315">
        <f>_xlfn.MAXIFS('Raw Period DMR Data'!$O:$O,'Raw Period DMR Data'!$A:$A,'Raw Annual DMR Data_2021-2024'!#REF!,'Raw Period DMR Data'!$C:$C,X988)/S988</f>
        <v>0</v>
      </c>
      <c r="U988" s="28" t="str">
        <f>+IF(COUNTIFS('Raw Period DMR Data'!$A:$A,B988,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88" s="28" t="str" cm="1">
        <f t="array" ref="V988">IFERROR(INDEX('Raw Period DMR Data'!N:N,MATCH(1,(B988='Raw Period DMR Data'!$A:$A)*(U988='Raw Period DMR Data'!M:M)*(X988='Raw Period DMR Data'!C:C),0),1), "N/A")</f>
        <v>N/A</v>
      </c>
      <c r="W988" s="28" t="s">
        <v>1463</v>
      </c>
      <c r="X988" s="28" t="s">
        <v>2161</v>
      </c>
      <c r="Y988" s="28" t="s">
        <v>2162</v>
      </c>
      <c r="Z988" s="61"/>
      <c r="AA988" s="60"/>
      <c r="AB988" s="28" t="s">
        <v>7355</v>
      </c>
      <c r="AC988" s="28" t="s">
        <v>1466</v>
      </c>
    </row>
    <row r="989" spans="1:29" s="28" customFormat="1" x14ac:dyDescent="0.25">
      <c r="A989" s="61">
        <v>110070544905</v>
      </c>
      <c r="B989" s="28">
        <v>2022</v>
      </c>
      <c r="C989" s="68">
        <f t="shared" si="15"/>
        <v>44562</v>
      </c>
      <c r="D989" s="28" t="s">
        <v>1315</v>
      </c>
      <c r="E989" s="28" t="s">
        <v>2160</v>
      </c>
      <c r="F989" s="28" t="s">
        <v>1316</v>
      </c>
      <c r="G989" s="28" t="s">
        <v>294</v>
      </c>
      <c r="H989" s="28">
        <v>22801</v>
      </c>
      <c r="I989" s="28">
        <v>38.400409000000003</v>
      </c>
      <c r="J989" s="28">
        <v>-78.895222000000004</v>
      </c>
      <c r="L989" s="61">
        <v>110070544905</v>
      </c>
      <c r="M989" s="28" t="s">
        <v>6750</v>
      </c>
      <c r="N989" s="28">
        <v>4953</v>
      </c>
      <c r="O989" s="28" t="str">
        <f>IFERROR(VLOOKUP(N989, 'SIC &amp; NAICS Codes'!A:B, 2, FALSE), "")</f>
        <v>Refuse Systems (hazardous waste treatment and disposal)</v>
      </c>
      <c r="S989" s="28">
        <v>4.6002852528499998E-2</v>
      </c>
      <c r="T989" s="315">
        <f>_xlfn.MAXIFS('Raw Period DMR Data'!$O:$O,'Raw Period DMR Data'!$A:$A,'Raw Annual DMR Data_2021-2024'!#REF!,'Raw Period DMR Data'!$C:$C,X989)/S989</f>
        <v>0</v>
      </c>
      <c r="U989" s="28" t="str">
        <f>+IF(COUNTIFS('Raw Period DMR Data'!$A:$A,B989,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89" s="28" t="str" cm="1">
        <f t="array" ref="V989">IFERROR(INDEX('Raw Period DMR Data'!N:N,MATCH(1,(B989='Raw Period DMR Data'!$A:$A)*(U989='Raw Period DMR Data'!M:M)*(X989='Raw Period DMR Data'!C:C),0),1), "N/A")</f>
        <v>N/A</v>
      </c>
      <c r="W989" s="28" t="s">
        <v>1463</v>
      </c>
      <c r="X989" s="28" t="s">
        <v>2161</v>
      </c>
      <c r="Y989" s="28" t="s">
        <v>2162</v>
      </c>
      <c r="Z989" s="61"/>
      <c r="AA989" s="60"/>
      <c r="AB989" s="28" t="s">
        <v>7355</v>
      </c>
      <c r="AC989" s="28" t="s">
        <v>1466</v>
      </c>
    </row>
    <row r="990" spans="1:29" s="28" customFormat="1" x14ac:dyDescent="0.25">
      <c r="A990" s="61">
        <v>110070544905</v>
      </c>
      <c r="B990" s="28">
        <v>2023</v>
      </c>
      <c r="C990" s="68">
        <f t="shared" si="15"/>
        <v>44927</v>
      </c>
      <c r="D990" s="28" t="s">
        <v>1315</v>
      </c>
      <c r="E990" s="28" t="s">
        <v>2160</v>
      </c>
      <c r="F990" s="28" t="s">
        <v>1316</v>
      </c>
      <c r="G990" s="28" t="s">
        <v>294</v>
      </c>
      <c r="H990" s="28">
        <v>22801</v>
      </c>
      <c r="I990" s="28">
        <v>38.400409000000003</v>
      </c>
      <c r="J990" s="28">
        <v>-78.895222000000004</v>
      </c>
      <c r="L990" s="61">
        <v>110070544905</v>
      </c>
      <c r="M990" s="28" t="s">
        <v>6750</v>
      </c>
      <c r="N990" s="28">
        <v>4953</v>
      </c>
      <c r="O990" s="28" t="str">
        <f>IFERROR(VLOOKUP(N990, 'SIC &amp; NAICS Codes'!A:B, 2, FALSE), "")</f>
        <v>Refuse Systems (hazardous waste treatment and disposal)</v>
      </c>
      <c r="S990" s="28">
        <v>1.8750545943500001E-2</v>
      </c>
      <c r="T990" s="315">
        <f>_xlfn.MAXIFS('Raw Period DMR Data'!$O:$O,'Raw Period DMR Data'!$A:$A,'Raw Annual DMR Data_2021-2024'!#REF!,'Raw Period DMR Data'!$C:$C,X990)/S990</f>
        <v>0</v>
      </c>
      <c r="U990" s="28" t="str">
        <f>+IF(COUNTIFS('Raw Period DMR Data'!$A:$A,B990,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90" s="28" t="str" cm="1">
        <f t="array" ref="V990">IFERROR(INDEX('Raw Period DMR Data'!N:N,MATCH(1,(B990='Raw Period DMR Data'!$A:$A)*(U990='Raw Period DMR Data'!M:M)*(X990='Raw Period DMR Data'!C:C),0),1), "N/A")</f>
        <v>N/A</v>
      </c>
      <c r="W990" s="28" t="s">
        <v>1463</v>
      </c>
      <c r="X990" s="28" t="s">
        <v>2161</v>
      </c>
      <c r="Y990" s="28" t="s">
        <v>2162</v>
      </c>
      <c r="Z990" s="61"/>
      <c r="AA990" s="60"/>
      <c r="AB990" s="28" t="s">
        <v>7355</v>
      </c>
      <c r="AC990" s="28" t="s">
        <v>1466</v>
      </c>
    </row>
    <row r="991" spans="1:29" s="28" customFormat="1" x14ac:dyDescent="0.25">
      <c r="A991" s="61">
        <v>110070544905</v>
      </c>
      <c r="B991" s="28">
        <v>2024</v>
      </c>
      <c r="C991" s="68">
        <f t="shared" si="15"/>
        <v>45292</v>
      </c>
      <c r="D991" s="28" t="s">
        <v>1315</v>
      </c>
      <c r="E991" s="28" t="s">
        <v>2160</v>
      </c>
      <c r="F991" s="28" t="s">
        <v>1316</v>
      </c>
      <c r="G991" s="28" t="s">
        <v>294</v>
      </c>
      <c r="H991" s="28">
        <v>22801</v>
      </c>
      <c r="I991" s="28">
        <v>38.400409000000003</v>
      </c>
      <c r="J991" s="28">
        <v>-78.895222000000004</v>
      </c>
      <c r="L991" s="61">
        <v>110070544905</v>
      </c>
      <c r="M991" s="28" t="s">
        <v>6750</v>
      </c>
      <c r="N991" s="28">
        <v>4953</v>
      </c>
      <c r="O991" s="28" t="str">
        <f>IFERROR(VLOOKUP(N991, 'SIC &amp; NAICS Codes'!A:B, 2, FALSE), "")</f>
        <v>Refuse Systems (hazardous waste treatment and disposal)</v>
      </c>
      <c r="S991" s="28">
        <v>1.2155906000000001E-3</v>
      </c>
      <c r="T991" s="315">
        <f>_xlfn.MAXIFS('Raw Period DMR Data'!$O:$O,'Raw Period DMR Data'!$A:$A,'Raw Annual DMR Data_2021-2024'!#REF!,'Raw Period DMR Data'!$C:$C,X991)/S991</f>
        <v>0</v>
      </c>
      <c r="U991" s="28" t="str">
        <f>+IF(COUNTIFS('Raw Period DMR Data'!$A:$A,B991,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91" s="28" t="str" cm="1">
        <f t="array" ref="V991">IFERROR(INDEX('Raw Period DMR Data'!N:N,MATCH(1,(B991='Raw Period DMR Data'!$A:$A)*(U991='Raw Period DMR Data'!M:M)*(X991='Raw Period DMR Data'!C:C),0),1), "N/A")</f>
        <v>N/A</v>
      </c>
      <c r="W991" s="28" t="s">
        <v>1463</v>
      </c>
      <c r="X991" s="28" t="s">
        <v>2161</v>
      </c>
      <c r="Y991" s="28" t="s">
        <v>2162</v>
      </c>
      <c r="Z991" s="61"/>
      <c r="AA991" s="60"/>
      <c r="AB991" s="28" t="s">
        <v>7355</v>
      </c>
      <c r="AC991" s="28" t="s">
        <v>1466</v>
      </c>
    </row>
    <row r="992" spans="1:29" s="28" customFormat="1" x14ac:dyDescent="0.25">
      <c r="A992" s="61">
        <v>110054919406</v>
      </c>
      <c r="B992" s="28">
        <v>2023</v>
      </c>
      <c r="C992" s="68">
        <f t="shared" si="15"/>
        <v>44927</v>
      </c>
      <c r="D992" s="28" t="s">
        <v>1423</v>
      </c>
      <c r="E992" s="28" t="s">
        <v>2353</v>
      </c>
      <c r="F992" s="28" t="s">
        <v>1424</v>
      </c>
      <c r="G992" s="28" t="s">
        <v>294</v>
      </c>
      <c r="H992" s="28">
        <v>22610</v>
      </c>
      <c r="I992" s="28">
        <v>38.814979999999998</v>
      </c>
      <c r="J992" s="28">
        <v>-78.2834</v>
      </c>
      <c r="L992" s="61">
        <v>110054919406</v>
      </c>
      <c r="M992" s="28" t="s">
        <v>6750</v>
      </c>
      <c r="N992" s="28">
        <v>4953</v>
      </c>
      <c r="O992" s="28" t="str">
        <f>IFERROR(VLOOKUP(N992, 'SIC &amp; NAICS Codes'!A:B, 2, FALSE), "")</f>
        <v>Refuse Systems (hazardous waste treatment and disposal)</v>
      </c>
      <c r="S992" s="28">
        <v>9.2350309624999998E-3</v>
      </c>
      <c r="T992" s="315">
        <f>_xlfn.MAXIFS('Raw Period DMR Data'!$O:$O,'Raw Period DMR Data'!$A:$A,'Raw Annual DMR Data_2021-2024'!#REF!,'Raw Period DMR Data'!$C:$C,X992)/S992</f>
        <v>0</v>
      </c>
      <c r="U992" s="28" t="str">
        <f>+IF(COUNTIFS('Raw Period DMR Data'!$A:$A,B992,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92" s="28" t="str" cm="1">
        <f t="array" ref="V992">IFERROR(INDEX('Raw Period DMR Data'!N:N,MATCH(1,(B992='Raw Period DMR Data'!$A:$A)*(U992='Raw Period DMR Data'!M:M)*(X992='Raw Period DMR Data'!C:C),0),1), "N/A")</f>
        <v>N/A</v>
      </c>
      <c r="W992" s="28" t="s">
        <v>1463</v>
      </c>
      <c r="X992" s="28" t="s">
        <v>2354</v>
      </c>
      <c r="Y992" s="28" t="s">
        <v>2355</v>
      </c>
      <c r="Z992" s="61"/>
      <c r="AA992" s="60"/>
      <c r="AB992" s="28" t="s">
        <v>7355</v>
      </c>
      <c r="AC992" s="28" t="s">
        <v>1466</v>
      </c>
    </row>
    <row r="993" spans="1:29" s="28" customFormat="1" x14ac:dyDescent="0.25">
      <c r="A993" s="61">
        <v>110054919406</v>
      </c>
      <c r="B993" s="28">
        <v>2024</v>
      </c>
      <c r="C993" s="68">
        <f t="shared" si="15"/>
        <v>45292</v>
      </c>
      <c r="D993" s="28" t="s">
        <v>1423</v>
      </c>
      <c r="E993" s="28" t="s">
        <v>2353</v>
      </c>
      <c r="F993" s="28" t="s">
        <v>1424</v>
      </c>
      <c r="G993" s="28" t="s">
        <v>294</v>
      </c>
      <c r="H993" s="28">
        <v>22610</v>
      </c>
      <c r="I993" s="28">
        <v>38.814979999999998</v>
      </c>
      <c r="J993" s="28">
        <v>-78.2834</v>
      </c>
      <c r="L993" s="61">
        <v>110054919406</v>
      </c>
      <c r="M993" s="28" t="s">
        <v>6750</v>
      </c>
      <c r="N993" s="28">
        <v>4953</v>
      </c>
      <c r="O993" s="28" t="str">
        <f>IFERROR(VLOOKUP(N993, 'SIC &amp; NAICS Codes'!A:B, 2, FALSE), "")</f>
        <v>Refuse Systems (hazardous waste treatment and disposal)</v>
      </c>
      <c r="S993" s="28">
        <v>7.7539036875E-3</v>
      </c>
      <c r="T993" s="315">
        <f>_xlfn.MAXIFS('Raw Period DMR Data'!$O:$O,'Raw Period DMR Data'!$A:$A,'Raw Annual DMR Data_2021-2024'!#REF!,'Raw Period DMR Data'!$C:$C,X993)/S993</f>
        <v>0</v>
      </c>
      <c r="U993" s="28" t="str">
        <f>+IF(COUNTIFS('Raw Period DMR Data'!$A:$A,B993,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93" s="28" t="str" cm="1">
        <f t="array" ref="V993">IFERROR(INDEX('Raw Period DMR Data'!N:N,MATCH(1,(B993='Raw Period DMR Data'!$A:$A)*(U993='Raw Period DMR Data'!M:M)*(X993='Raw Period DMR Data'!C:C),0),1), "N/A")</f>
        <v>N/A</v>
      </c>
      <c r="W993" s="28" t="s">
        <v>1463</v>
      </c>
      <c r="X993" s="28" t="s">
        <v>2354</v>
      </c>
      <c r="Y993" s="28" t="s">
        <v>2355</v>
      </c>
      <c r="Z993" s="61"/>
      <c r="AA993" s="60"/>
      <c r="AB993" s="28" t="s">
        <v>7355</v>
      </c>
      <c r="AC993" s="28" t="s">
        <v>1466</v>
      </c>
    </row>
    <row r="994" spans="1:29" s="28" customFormat="1" x14ac:dyDescent="0.25">
      <c r="A994" s="61">
        <v>110054919406</v>
      </c>
      <c r="B994" s="28">
        <v>2022</v>
      </c>
      <c r="C994" s="68">
        <f t="shared" si="15"/>
        <v>44562</v>
      </c>
      <c r="D994" s="28" t="s">
        <v>1423</v>
      </c>
      <c r="E994" s="28" t="s">
        <v>2353</v>
      </c>
      <c r="F994" s="28" t="s">
        <v>1424</v>
      </c>
      <c r="G994" s="28" t="s">
        <v>294</v>
      </c>
      <c r="H994" s="28">
        <v>22610</v>
      </c>
      <c r="I994" s="28">
        <v>38.814979999999998</v>
      </c>
      <c r="J994" s="28">
        <v>-78.2834</v>
      </c>
      <c r="L994" s="61">
        <v>110054919406</v>
      </c>
      <c r="M994" s="28" t="s">
        <v>6750</v>
      </c>
      <c r="N994" s="28">
        <v>4953</v>
      </c>
      <c r="O994" s="28" t="str">
        <f>IFERROR(VLOOKUP(N994, 'SIC &amp; NAICS Codes'!A:B, 2, FALSE), "")</f>
        <v>Refuse Systems (hazardous waste treatment and disposal)</v>
      </c>
      <c r="S994" s="28">
        <v>1.6190685068979999E-3</v>
      </c>
      <c r="T994" s="315">
        <f>_xlfn.MAXIFS('Raw Period DMR Data'!$O:$O,'Raw Period DMR Data'!$A:$A,'Raw Annual DMR Data_2021-2024'!#REF!,'Raw Period DMR Data'!$C:$C,X994)/S994</f>
        <v>0</v>
      </c>
      <c r="U994" s="28" t="str">
        <f>+IF(COUNTIFS('Raw Period DMR Data'!$A:$A,B994,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94" s="28" t="str" cm="1">
        <f t="array" ref="V994">IFERROR(INDEX('Raw Period DMR Data'!N:N,MATCH(1,(B994='Raw Period DMR Data'!$A:$A)*(U994='Raw Period DMR Data'!M:M)*(X994='Raw Period DMR Data'!C:C),0),1), "N/A")</f>
        <v>N/A</v>
      </c>
      <c r="W994" s="28" t="s">
        <v>1463</v>
      </c>
      <c r="X994" s="28" t="s">
        <v>2354</v>
      </c>
      <c r="Y994" s="28" t="s">
        <v>2355</v>
      </c>
      <c r="Z994" s="61"/>
      <c r="AA994" s="60" t="s">
        <v>7355</v>
      </c>
      <c r="AB994" s="28" t="s">
        <v>7355</v>
      </c>
      <c r="AC994" s="28" t="s">
        <v>1466</v>
      </c>
    </row>
    <row r="995" spans="1:29" s="28" customFormat="1" x14ac:dyDescent="0.25">
      <c r="A995" s="61">
        <v>110054919406</v>
      </c>
      <c r="B995" s="28">
        <v>2021</v>
      </c>
      <c r="C995" s="68">
        <f t="shared" si="15"/>
        <v>44197</v>
      </c>
      <c r="D995" s="28" t="s">
        <v>1423</v>
      </c>
      <c r="E995" s="28" t="s">
        <v>2353</v>
      </c>
      <c r="F995" s="28" t="s">
        <v>1424</v>
      </c>
      <c r="G995" s="28" t="s">
        <v>294</v>
      </c>
      <c r="H995" s="28">
        <v>22610</v>
      </c>
      <c r="I995" s="28">
        <v>38.814979999999998</v>
      </c>
      <c r="J995" s="28">
        <v>-78.2834</v>
      </c>
      <c r="L995" s="61">
        <v>110054919406</v>
      </c>
      <c r="M995" s="28" t="s">
        <v>6750</v>
      </c>
      <c r="N995" s="28">
        <v>4953</v>
      </c>
      <c r="O995" s="28" t="str">
        <f>IFERROR(VLOOKUP(N995, 'SIC &amp; NAICS Codes'!A:B, 2, FALSE), "")</f>
        <v>Refuse Systems (hazardous waste treatment and disposal)</v>
      </c>
      <c r="S995" s="28">
        <v>5.0356756575000003E-4</v>
      </c>
      <c r="T995" s="315">
        <f>_xlfn.MAXIFS('Raw Period DMR Data'!$O:$O,'Raw Period DMR Data'!$A:$A,'Raw Annual DMR Data_2021-2024'!#REF!,'Raw Period DMR Data'!$C:$C,X995)/S995</f>
        <v>0</v>
      </c>
      <c r="U995" s="28" t="str">
        <f>+IF(COUNTIFS('Raw Period DMR Data'!$A:$A,B995,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95" s="28" t="str" cm="1">
        <f t="array" ref="V995">IFERROR(INDEX('Raw Period DMR Data'!N:N,MATCH(1,(B995='Raw Period DMR Data'!$A:$A)*(U995='Raw Period DMR Data'!M:M)*(X995='Raw Period DMR Data'!C:C),0),1), "N/A")</f>
        <v>N/A</v>
      </c>
      <c r="W995" s="28" t="s">
        <v>1463</v>
      </c>
      <c r="X995" s="28" t="s">
        <v>2354</v>
      </c>
      <c r="Y995" s="28" t="s">
        <v>2355</v>
      </c>
      <c r="Z995" s="61"/>
      <c r="AB995" s="28" t="s">
        <v>7355</v>
      </c>
      <c r="AC995" s="28" t="s">
        <v>1466</v>
      </c>
    </row>
    <row r="996" spans="1:29" s="28" customFormat="1" x14ac:dyDescent="0.25">
      <c r="A996" s="61">
        <v>110000817439</v>
      </c>
      <c r="B996" s="28">
        <v>2021</v>
      </c>
      <c r="C996" s="68">
        <f t="shared" si="15"/>
        <v>44197</v>
      </c>
      <c r="D996" s="28" t="s">
        <v>6853</v>
      </c>
      <c r="E996" s="28" t="s">
        <v>7012</v>
      </c>
      <c r="F996" s="28" t="s">
        <v>1147</v>
      </c>
      <c r="G996" s="28" t="s">
        <v>491</v>
      </c>
      <c r="H996" s="28">
        <v>19067</v>
      </c>
      <c r="I996" s="28">
        <v>40.159343999999997</v>
      </c>
      <c r="J996" s="28">
        <v>-74.776695000000004</v>
      </c>
      <c r="L996" s="61">
        <v>110000817439</v>
      </c>
      <c r="M996" s="28" t="s">
        <v>6750</v>
      </c>
      <c r="N996" s="28">
        <v>4953</v>
      </c>
      <c r="O996" s="28" t="str">
        <f>IFERROR(VLOOKUP(N996, 'SIC &amp; NAICS Codes'!A:B, 2, FALSE), "")</f>
        <v>Refuse Systems (hazardous waste treatment and disposal)</v>
      </c>
      <c r="S996" s="28">
        <v>4.9889643101249999E-2</v>
      </c>
      <c r="T996" s="315">
        <f>_xlfn.MAXIFS('Raw Period DMR Data'!$O:$O,'Raw Period DMR Data'!$A:$A,'Raw Annual DMR Data_2021-2024'!#REF!,'Raw Period DMR Data'!$C:$C,X996)/S996</f>
        <v>0</v>
      </c>
      <c r="U996" s="28" t="str">
        <f>+IF(COUNTIFS('Raw Period DMR Data'!$A:$A,B996,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96" s="28" t="str" cm="1">
        <f t="array" ref="V996">IFERROR(INDEX('Raw Period DMR Data'!N:N,MATCH(1,(B996='Raw Period DMR Data'!$A:$A)*(U996='Raw Period DMR Data'!M:M)*(X996='Raw Period DMR Data'!C:C),0),1), "N/A")</f>
        <v>N/A</v>
      </c>
      <c r="W996" s="28" t="s">
        <v>1463</v>
      </c>
      <c r="X996" s="28" t="s">
        <v>1828</v>
      </c>
      <c r="Y996" s="28" t="s">
        <v>1829</v>
      </c>
      <c r="Z996" s="61">
        <v>2040201000496</v>
      </c>
      <c r="AB996" s="28" t="s">
        <v>7355</v>
      </c>
      <c r="AC996" s="28" t="s">
        <v>1466</v>
      </c>
    </row>
    <row r="997" spans="1:29" s="28" customFormat="1" x14ac:dyDescent="0.25">
      <c r="A997" s="61">
        <v>110000817439</v>
      </c>
      <c r="B997" s="28">
        <v>2022</v>
      </c>
      <c r="C997" s="68">
        <f t="shared" si="15"/>
        <v>44562</v>
      </c>
      <c r="D997" s="28" t="s">
        <v>6853</v>
      </c>
      <c r="E997" s="28" t="s">
        <v>7068</v>
      </c>
      <c r="F997" s="28" t="s">
        <v>1147</v>
      </c>
      <c r="G997" s="28" t="s">
        <v>491</v>
      </c>
      <c r="H997" s="28">
        <v>19067</v>
      </c>
      <c r="I997" s="28">
        <v>40.159343999999997</v>
      </c>
      <c r="J997" s="28">
        <v>-74.776695000000004</v>
      </c>
      <c r="L997" s="61">
        <v>110000817439</v>
      </c>
      <c r="M997" s="28" t="s">
        <v>6750</v>
      </c>
      <c r="N997" s="28">
        <v>4953</v>
      </c>
      <c r="O997" s="28" t="str">
        <f>IFERROR(VLOOKUP(N997, 'SIC &amp; NAICS Codes'!A:B, 2, FALSE), "")</f>
        <v>Refuse Systems (hazardous waste treatment and disposal)</v>
      </c>
      <c r="S997" s="28">
        <v>3.7568094146250001E-2</v>
      </c>
      <c r="T997" s="315">
        <f>_xlfn.MAXIFS('Raw Period DMR Data'!$O:$O,'Raw Period DMR Data'!$A:$A,'Raw Annual DMR Data_2021-2024'!#REF!,'Raw Period DMR Data'!$C:$C,X997)/S997</f>
        <v>0</v>
      </c>
      <c r="U997" s="28" t="str">
        <f>+IF(COUNTIFS('Raw Period DMR Data'!$A:$A,B997,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97" s="28" t="str" cm="1">
        <f t="array" ref="V997">IFERROR(INDEX('Raw Period DMR Data'!N:N,MATCH(1,(B997='Raw Period DMR Data'!$A:$A)*(U997='Raw Period DMR Data'!M:M)*(X997='Raw Period DMR Data'!C:C),0),1), "N/A")</f>
        <v>N/A</v>
      </c>
      <c r="W997" s="28" t="s">
        <v>1463</v>
      </c>
      <c r="X997" s="28" t="s">
        <v>7215</v>
      </c>
      <c r="Y997" s="28" t="s">
        <v>7312</v>
      </c>
      <c r="Z997" s="61">
        <v>2040201000496</v>
      </c>
      <c r="AA997" s="60"/>
      <c r="AB997" s="28" t="s">
        <v>7355</v>
      </c>
      <c r="AC997" s="28" t="s">
        <v>1466</v>
      </c>
    </row>
    <row r="998" spans="1:29" s="28" customFormat="1" x14ac:dyDescent="0.25">
      <c r="A998" s="61">
        <v>110000817439</v>
      </c>
      <c r="B998" s="28">
        <v>2023</v>
      </c>
      <c r="C998" s="68">
        <f t="shared" si="15"/>
        <v>44927</v>
      </c>
      <c r="D998" s="28" t="s">
        <v>6853</v>
      </c>
      <c r="E998" s="28" t="s">
        <v>7068</v>
      </c>
      <c r="F998" s="28" t="s">
        <v>1147</v>
      </c>
      <c r="G998" s="28" t="s">
        <v>491</v>
      </c>
      <c r="H998" s="28">
        <v>19067</v>
      </c>
      <c r="I998" s="28">
        <v>40.159343999999997</v>
      </c>
      <c r="J998" s="28">
        <v>-74.776695000000004</v>
      </c>
      <c r="L998" s="61">
        <v>110000817439</v>
      </c>
      <c r="M998" s="28" t="s">
        <v>6750</v>
      </c>
      <c r="N998" s="28">
        <v>4953</v>
      </c>
      <c r="O998" s="28" t="str">
        <f>IFERROR(VLOOKUP(N998, 'SIC &amp; NAICS Codes'!A:B, 2, FALSE), "")</f>
        <v>Refuse Systems (hazardous waste treatment and disposal)</v>
      </c>
      <c r="S998" s="28">
        <v>3.4438608833750002E-2</v>
      </c>
      <c r="T998" s="315">
        <f>_xlfn.MAXIFS('Raw Period DMR Data'!$O:$O,'Raw Period DMR Data'!$A:$A,'Raw Annual DMR Data_2021-2024'!#REF!,'Raw Period DMR Data'!$C:$C,X998)/S998</f>
        <v>0</v>
      </c>
      <c r="U998" s="28" t="str">
        <f>+IF(COUNTIFS('Raw Period DMR Data'!$A:$A,B998,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98" s="28" t="str" cm="1">
        <f t="array" ref="V998">IFERROR(INDEX('Raw Period DMR Data'!N:N,MATCH(1,(B998='Raw Period DMR Data'!$A:$A)*(U998='Raw Period DMR Data'!M:M)*(X998='Raw Period DMR Data'!C:C),0),1), "N/A")</f>
        <v>N/A</v>
      </c>
      <c r="W998" s="28" t="s">
        <v>1463</v>
      </c>
      <c r="X998" s="28" t="s">
        <v>7215</v>
      </c>
      <c r="Y998" s="28" t="s">
        <v>7312</v>
      </c>
      <c r="Z998" s="61" t="s">
        <v>1830</v>
      </c>
      <c r="AA998" s="60"/>
      <c r="AB998" s="28" t="s">
        <v>7355</v>
      </c>
      <c r="AC998" s="28" t="s">
        <v>1466</v>
      </c>
    </row>
    <row r="999" spans="1:29" s="28" customFormat="1" x14ac:dyDescent="0.25">
      <c r="A999" s="61">
        <v>110000817439</v>
      </c>
      <c r="B999" s="28">
        <v>2024</v>
      </c>
      <c r="C999" s="68">
        <f t="shared" si="15"/>
        <v>45292</v>
      </c>
      <c r="D999" s="28" t="s">
        <v>6853</v>
      </c>
      <c r="E999" s="28" t="s">
        <v>7068</v>
      </c>
      <c r="F999" s="28" t="s">
        <v>1147</v>
      </c>
      <c r="G999" s="28" t="s">
        <v>491</v>
      </c>
      <c r="H999" s="28">
        <v>19067</v>
      </c>
      <c r="I999" s="28">
        <v>40.159343999999997</v>
      </c>
      <c r="J999" s="28">
        <v>-74.776695000000004</v>
      </c>
      <c r="L999" s="61">
        <v>110000817439</v>
      </c>
      <c r="M999" s="28" t="s">
        <v>6750</v>
      </c>
      <c r="N999" s="28">
        <v>4953</v>
      </c>
      <c r="O999" s="28" t="str">
        <f>IFERROR(VLOOKUP(N999, 'SIC &amp; NAICS Codes'!A:B, 2, FALSE), "")</f>
        <v>Refuse Systems (hazardous waste treatment and disposal)</v>
      </c>
      <c r="S999" s="28">
        <v>2.9666648319999999E-2</v>
      </c>
      <c r="T999" s="315">
        <f>_xlfn.MAXIFS('Raw Period DMR Data'!$O:$O,'Raw Period DMR Data'!$A:$A,'Raw Annual DMR Data_2021-2024'!#REF!,'Raw Period DMR Data'!$C:$C,X999)/S999</f>
        <v>0</v>
      </c>
      <c r="U999" s="28" t="str">
        <f>+IF(COUNTIFS('Raw Period DMR Data'!$A:$A,B999,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999" s="28" t="str" cm="1">
        <f t="array" ref="V999">IFERROR(INDEX('Raw Period DMR Data'!N:N,MATCH(1,(B999='Raw Period DMR Data'!$A:$A)*(U999='Raw Period DMR Data'!M:M)*(X999='Raw Period DMR Data'!C:C),0),1), "N/A")</f>
        <v>N/A</v>
      </c>
      <c r="W999" s="28" t="s">
        <v>1463</v>
      </c>
      <c r="X999" s="28" t="s">
        <v>7215</v>
      </c>
      <c r="Y999" s="28" t="s">
        <v>7312</v>
      </c>
      <c r="Z999" s="61">
        <v>2040201000496</v>
      </c>
      <c r="AA999" s="60"/>
      <c r="AB999" s="28" t="s">
        <v>7355</v>
      </c>
      <c r="AC999" s="28" t="s">
        <v>1466</v>
      </c>
    </row>
    <row r="1000" spans="1:29" s="28" customFormat="1" x14ac:dyDescent="0.25">
      <c r="A1000" s="61">
        <v>110054272210</v>
      </c>
      <c r="B1000" s="28">
        <v>2022</v>
      </c>
      <c r="C1000" s="68">
        <f t="shared" si="15"/>
        <v>44562</v>
      </c>
      <c r="D1000" s="28" t="s">
        <v>6835</v>
      </c>
      <c r="E1000" s="28" t="s">
        <v>6990</v>
      </c>
      <c r="F1000" s="28" t="s">
        <v>1072</v>
      </c>
      <c r="G1000" s="28" t="s">
        <v>366</v>
      </c>
      <c r="H1000" s="28">
        <v>96021</v>
      </c>
      <c r="I1000" s="28">
        <v>39.915689999999998</v>
      </c>
      <c r="J1000" s="28">
        <v>-122.10365</v>
      </c>
      <c r="L1000" s="61">
        <v>110054272210</v>
      </c>
      <c r="M1000" s="28" t="s">
        <v>6751</v>
      </c>
      <c r="N1000" s="28">
        <v>2033</v>
      </c>
      <c r="O1000" s="28" t="str">
        <f>IFERROR(VLOOKUP(N1000, 'SIC &amp; NAICS Codes'!A:B, 2, FALSE), "")</f>
        <v>Canned Fruits, Vegetables, Preserves, Jams, and Jellies</v>
      </c>
      <c r="S1000" s="28">
        <v>1.7565841826666599</v>
      </c>
      <c r="T1000" s="315">
        <f>_xlfn.MAXIFS('Raw Period DMR Data'!$O:$O,'Raw Period DMR Data'!$A:$A,'Raw Annual DMR Data_2021-2024'!#REF!,'Raw Period DMR Data'!$C:$C,X1000)/S1000</f>
        <v>0</v>
      </c>
      <c r="U1000" s="28" t="str">
        <f>+IF(COUNTIFS('Raw Period DMR Data'!$A:$A,B1000,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000" s="28" t="str" cm="1">
        <f t="array" ref="V1000">IFERROR(INDEX('Raw Period DMR Data'!N:N,MATCH(1,(B1000='Raw Period DMR Data'!$A:$A)*(U1000='Raw Period DMR Data'!M:M)*(X1000='Raw Period DMR Data'!C:C),0),1), "N/A")</f>
        <v>N/A</v>
      </c>
      <c r="W1000" s="28" t="s">
        <v>1463</v>
      </c>
      <c r="X1000" s="28" t="s">
        <v>7173</v>
      </c>
      <c r="Y1000" s="28" t="s">
        <v>818</v>
      </c>
      <c r="Z1000" s="61">
        <v>18020157005902</v>
      </c>
      <c r="AA1000" s="60"/>
      <c r="AB1000" s="28" t="s">
        <v>7355</v>
      </c>
      <c r="AC1000" s="28" t="s">
        <v>1466</v>
      </c>
    </row>
    <row r="1001" spans="1:29" s="28" customFormat="1" x14ac:dyDescent="0.25">
      <c r="A1001" s="61">
        <v>110054272210</v>
      </c>
      <c r="B1001" s="28">
        <v>2023</v>
      </c>
      <c r="C1001" s="68">
        <f t="shared" si="15"/>
        <v>44927</v>
      </c>
      <c r="D1001" s="28" t="s">
        <v>6835</v>
      </c>
      <c r="E1001" s="28" t="s">
        <v>6990</v>
      </c>
      <c r="F1001" s="28" t="s">
        <v>1072</v>
      </c>
      <c r="G1001" s="28" t="s">
        <v>366</v>
      </c>
      <c r="H1001" s="28">
        <v>96021</v>
      </c>
      <c r="I1001" s="28">
        <v>39.915689999999998</v>
      </c>
      <c r="J1001" s="28">
        <v>-122.10365</v>
      </c>
      <c r="L1001" s="61">
        <v>110054272210</v>
      </c>
      <c r="M1001" s="28" t="s">
        <v>6751</v>
      </c>
      <c r="N1001" s="28">
        <v>2033</v>
      </c>
      <c r="O1001" s="28" t="str">
        <f>IFERROR(VLOOKUP(N1001, 'SIC &amp; NAICS Codes'!A:B, 2, FALSE), "")</f>
        <v>Canned Fruits, Vegetables, Preserves, Jams, and Jellies</v>
      </c>
      <c r="S1001" s="28">
        <v>0.16759979999999999</v>
      </c>
      <c r="T1001" s="315">
        <f>_xlfn.MAXIFS('Raw Period DMR Data'!$O:$O,'Raw Period DMR Data'!$A:$A,'Raw Annual DMR Data_2021-2024'!#REF!,'Raw Period DMR Data'!$C:$C,X1001)/S1001</f>
        <v>0</v>
      </c>
      <c r="U1001" s="28" t="str">
        <f>+IF(COUNTIFS('Raw Period DMR Data'!$A:$A,B1001,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001" s="28" t="str" cm="1">
        <f t="array" ref="V1001">IFERROR(INDEX('Raw Period DMR Data'!N:N,MATCH(1,(B1001='Raw Period DMR Data'!$A:$A)*(U1001='Raw Period DMR Data'!M:M)*(X1001='Raw Period DMR Data'!C:C),0),1), "N/A")</f>
        <v>N/A</v>
      </c>
      <c r="W1001" s="28" t="s">
        <v>1463</v>
      </c>
      <c r="X1001" s="28" t="s">
        <v>7173</v>
      </c>
      <c r="Y1001" s="28" t="s">
        <v>818</v>
      </c>
      <c r="Z1001" s="61">
        <v>18020157005902</v>
      </c>
      <c r="AA1001" s="60"/>
      <c r="AB1001" s="28" t="s">
        <v>7355</v>
      </c>
      <c r="AC1001" s="28" t="s">
        <v>1466</v>
      </c>
    </row>
    <row r="1002" spans="1:29" s="28" customFormat="1" x14ac:dyDescent="0.25">
      <c r="A1002" s="61">
        <v>110000450039</v>
      </c>
      <c r="B1002" s="28">
        <v>2024</v>
      </c>
      <c r="C1002" s="68">
        <f t="shared" si="15"/>
        <v>45292</v>
      </c>
      <c r="D1002" s="28" t="s">
        <v>127</v>
      </c>
      <c r="E1002" s="28" t="s">
        <v>408</v>
      </c>
      <c r="F1002" s="28" t="s">
        <v>302</v>
      </c>
      <c r="G1002" s="28" t="s">
        <v>303</v>
      </c>
      <c r="H1002" s="28">
        <v>70807</v>
      </c>
      <c r="I1002" s="28">
        <v>30.567550000000001</v>
      </c>
      <c r="J1002" s="28">
        <v>-91.206370000000007</v>
      </c>
      <c r="K1002" s="28" t="s">
        <v>409</v>
      </c>
      <c r="L1002" s="61">
        <v>110000450039</v>
      </c>
      <c r="M1002" s="28" t="s">
        <v>6751</v>
      </c>
      <c r="N1002" s="28">
        <v>4953</v>
      </c>
      <c r="O1002" s="28" t="str">
        <f>IFERROR(VLOOKUP(N1002, 'SIC &amp; NAICS Codes'!A:B, 2, FALSE), "")</f>
        <v>Refuse Systems (hazardous waste treatment and disposal)</v>
      </c>
      <c r="S1002" s="28">
        <v>0.65951066666666602</v>
      </c>
      <c r="T1002" s="315">
        <f>_xlfn.MAXIFS('Raw Period DMR Data'!$O:$O,'Raw Period DMR Data'!$A:$A,'Raw Annual DMR Data_2021-2024'!#REF!,'Raw Period DMR Data'!$C:$C,X1002)/S1002</f>
        <v>0</v>
      </c>
      <c r="U1002" s="28" t="str">
        <f>+IF(COUNTIFS('Raw Period DMR Data'!$A:$A,B1002,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002" s="28" t="str" cm="1">
        <f t="array" ref="V1002">IFERROR(INDEX('Raw Period DMR Data'!N:N,MATCH(1,(B1002='Raw Period DMR Data'!$A:$A)*(U1002='Raw Period DMR Data'!M:M)*(X1002='Raw Period DMR Data'!C:C),0),1), "N/A")</f>
        <v>N/A</v>
      </c>
      <c r="W1002" s="28" t="s">
        <v>1463</v>
      </c>
      <c r="X1002" s="28" t="s">
        <v>820</v>
      </c>
      <c r="Y1002" s="28" t="s">
        <v>816</v>
      </c>
      <c r="Z1002" s="61">
        <v>8070201000273</v>
      </c>
      <c r="AA1002" s="60"/>
      <c r="AB1002" s="28" t="s">
        <v>7355</v>
      </c>
      <c r="AC1002" s="28" t="s">
        <v>1466</v>
      </c>
    </row>
    <row r="1003" spans="1:29" s="28" customFormat="1" x14ac:dyDescent="0.25">
      <c r="A1003" s="61">
        <v>110001063483</v>
      </c>
      <c r="B1003" s="28">
        <v>2021</v>
      </c>
      <c r="C1003" s="68">
        <f t="shared" si="15"/>
        <v>44197</v>
      </c>
      <c r="D1003" s="28" t="s">
        <v>6861</v>
      </c>
      <c r="E1003" s="28" t="s">
        <v>7023</v>
      </c>
      <c r="F1003" s="28" t="s">
        <v>7024</v>
      </c>
      <c r="G1003" s="28" t="s">
        <v>491</v>
      </c>
      <c r="H1003" s="28" t="s">
        <v>7025</v>
      </c>
      <c r="I1003" s="28">
        <v>40.080860000000001</v>
      </c>
      <c r="J1003" s="28">
        <v>-76.18674</v>
      </c>
      <c r="L1003" s="61">
        <v>110001063483</v>
      </c>
      <c r="M1003" s="28" t="s">
        <v>6751</v>
      </c>
      <c r="N1003" s="28">
        <v>3084</v>
      </c>
      <c r="O1003" s="28" t="str">
        <f>IFERROR(VLOOKUP(N1003, 'SIC &amp; NAICS Codes'!A:B, 2, FALSE), "")</f>
        <v>Plastics Pipe</v>
      </c>
      <c r="S1003" s="28">
        <v>421.36390127999999</v>
      </c>
      <c r="T1003" s="315">
        <f>_xlfn.MAXIFS('Raw Period DMR Data'!$O:$O,'Raw Period DMR Data'!$A:$A,'Raw Annual DMR Data_2021-2024'!B854,'Raw Period DMR Data'!$C:$C,X1003)/S1003</f>
        <v>0</v>
      </c>
      <c r="U1003" s="28" t="str">
        <f>+IF(COUNTIFS('Raw Period DMR Data'!$A:$A,B1003, 'Raw Period DMR Data'!C:C,'Raw Annual DMR Data_2021-2024'!X854, 'Raw Period DMR Data'!M:M, "&gt;0")&gt;0,_xlfn.MAXIFS('Raw Period DMR Data'!M:M,'Raw Period DMR Data'!$A:$A,'Raw Annual DMR Data_2021-2024'!B854,'Raw Period DMR Data'!C:C,'Raw Annual DMR Data_2021-2024'!X854), "N/A - Period DMR Data Not Available")</f>
        <v>N/A - Period DMR Data Not Available</v>
      </c>
      <c r="V1003" s="28" t="str" cm="1">
        <f t="array" ref="V1003">IFERROR(INDEX('Raw Period DMR Data'!N:N,MATCH(1,(B1003='Raw Period DMR Data'!$A:$A)*(U1003='Raw Period DMR Data'!M:M)*(X1003='Raw Period DMR Data'!C:C),0),1), "N/A")</f>
        <v>N/A</v>
      </c>
      <c r="W1003" s="28" t="s">
        <v>1463</v>
      </c>
      <c r="X1003" s="28" t="s">
        <v>7191</v>
      </c>
      <c r="Y1003" s="28" t="s">
        <v>7296</v>
      </c>
      <c r="Z1003" s="61">
        <v>2050306001321</v>
      </c>
      <c r="AC1003" s="28" t="s">
        <v>1466</v>
      </c>
    </row>
    <row r="1004" spans="1:29" s="28" customFormat="1" x14ac:dyDescent="0.25">
      <c r="A1004" s="61">
        <v>110001063483</v>
      </c>
      <c r="B1004" s="28">
        <v>2022</v>
      </c>
      <c r="C1004" s="68">
        <f t="shared" si="15"/>
        <v>44562</v>
      </c>
      <c r="D1004" s="28" t="s">
        <v>6861</v>
      </c>
      <c r="E1004" s="28" t="s">
        <v>7023</v>
      </c>
      <c r="F1004" s="28" t="s">
        <v>7024</v>
      </c>
      <c r="G1004" s="28" t="s">
        <v>491</v>
      </c>
      <c r="H1004" s="28" t="s">
        <v>7025</v>
      </c>
      <c r="I1004" s="28">
        <v>40.080860000000001</v>
      </c>
      <c r="J1004" s="28">
        <v>-76.18674</v>
      </c>
      <c r="L1004" s="61">
        <v>110001063483</v>
      </c>
      <c r="M1004" s="28" t="s">
        <v>6751</v>
      </c>
      <c r="N1004" s="28">
        <v>3084</v>
      </c>
      <c r="O1004" s="28" t="str">
        <f>IFERROR(VLOOKUP(N1004, 'SIC &amp; NAICS Codes'!A:B, 2, FALSE), "")</f>
        <v>Plastics Pipe</v>
      </c>
      <c r="S1004" s="28">
        <v>234.81470200000001</v>
      </c>
      <c r="T1004" s="315">
        <f>_xlfn.MAXIFS('Raw Period DMR Data'!$O:$O,'Raw Period DMR Data'!$A:$A,'Raw Annual DMR Data_2021-2024'!B865,'Raw Period DMR Data'!$C:$C,X1004)/S1004</f>
        <v>0</v>
      </c>
      <c r="U1004" s="28" t="str">
        <f>+IF(COUNTIFS('Raw Period DMR Data'!$A:$A,B1004, 'Raw Period DMR Data'!C:C,'Raw Annual DMR Data_2021-2024'!X865, 'Raw Period DMR Data'!M:M, "&gt;0")&gt;0,_xlfn.MAXIFS('Raw Period DMR Data'!M:M,'Raw Period DMR Data'!$A:$A,'Raw Annual DMR Data_2021-2024'!B865,'Raw Period DMR Data'!C:C,'Raw Annual DMR Data_2021-2024'!X865), "N/A - Period DMR Data Not Available")</f>
        <v>N/A - Period DMR Data Not Available</v>
      </c>
      <c r="V1004" s="28" t="str" cm="1">
        <f t="array" ref="V1004">IFERROR(INDEX('Raw Period DMR Data'!N:N,MATCH(1,(B1004='Raw Period DMR Data'!$A:$A)*(U1004='Raw Period DMR Data'!M:M)*(X1004='Raw Period DMR Data'!C:C),0),1), "N/A")</f>
        <v>N/A</v>
      </c>
      <c r="W1004" s="28" t="s">
        <v>1463</v>
      </c>
      <c r="X1004" s="28" t="s">
        <v>7191</v>
      </c>
      <c r="Y1004" s="28" t="s">
        <v>7296</v>
      </c>
      <c r="Z1004" s="61">
        <v>2050306001321</v>
      </c>
      <c r="AA1004" s="60" t="s">
        <v>7355</v>
      </c>
      <c r="AC1004" s="28" t="s">
        <v>1466</v>
      </c>
    </row>
    <row r="1005" spans="1:29" s="28" customFormat="1" x14ac:dyDescent="0.25">
      <c r="A1005" s="61">
        <v>110001063483</v>
      </c>
      <c r="B1005" s="28">
        <v>2024</v>
      </c>
      <c r="C1005" s="68">
        <f t="shared" si="15"/>
        <v>45292</v>
      </c>
      <c r="D1005" s="28" t="s">
        <v>6861</v>
      </c>
      <c r="E1005" s="28" t="s">
        <v>7023</v>
      </c>
      <c r="F1005" s="28" t="s">
        <v>7024</v>
      </c>
      <c r="G1005" s="28" t="s">
        <v>491</v>
      </c>
      <c r="H1005" s="28" t="s">
        <v>7025</v>
      </c>
      <c r="I1005" s="28">
        <v>40.080860000000001</v>
      </c>
      <c r="J1005" s="28">
        <v>-76.18674</v>
      </c>
      <c r="L1005" s="61">
        <v>110001063483</v>
      </c>
      <c r="M1005" s="28" t="s">
        <v>6751</v>
      </c>
      <c r="N1005" s="28">
        <v>3084</v>
      </c>
      <c r="O1005" s="28" t="str">
        <f>IFERROR(VLOOKUP(N1005, 'SIC &amp; NAICS Codes'!A:B, 2, FALSE), "")</f>
        <v>Plastics Pipe</v>
      </c>
      <c r="S1005" s="28">
        <v>0.468528</v>
      </c>
      <c r="T1005" s="315">
        <f>_xlfn.MAXIFS('Raw Period DMR Data'!$O:$O,'Raw Period DMR Data'!$A:$A,'Raw Annual DMR Data_2021-2024'!#REF!,'Raw Period DMR Data'!$C:$C,X1005)/S1005</f>
        <v>0</v>
      </c>
      <c r="U1005" s="28" t="str">
        <f>+IF(COUNTIFS('Raw Period DMR Data'!$A:$A,B1005,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005" s="28" t="str" cm="1">
        <f t="array" ref="V1005">IFERROR(INDEX('Raw Period DMR Data'!N:N,MATCH(1,(B1005='Raw Period DMR Data'!$A:$A)*(U1005='Raw Period DMR Data'!M:M)*(X1005='Raw Period DMR Data'!C:C),0),1), "N/A")</f>
        <v>N/A</v>
      </c>
      <c r="W1005" s="28" t="s">
        <v>1463</v>
      </c>
      <c r="X1005" s="28" t="s">
        <v>7191</v>
      </c>
      <c r="Y1005" s="28" t="s">
        <v>7296</v>
      </c>
      <c r="Z1005" s="61">
        <v>2050306001321</v>
      </c>
      <c r="AA1005" s="60"/>
      <c r="AC1005" s="28" t="s">
        <v>1466</v>
      </c>
    </row>
    <row r="1006" spans="1:29" s="28" customFormat="1" x14ac:dyDescent="0.25">
      <c r="A1006" s="61">
        <v>110001063483</v>
      </c>
      <c r="B1006" s="28">
        <v>2023</v>
      </c>
      <c r="C1006" s="68">
        <f t="shared" si="15"/>
        <v>44927</v>
      </c>
      <c r="D1006" s="28" t="s">
        <v>6861</v>
      </c>
      <c r="E1006" s="28" t="s">
        <v>7023</v>
      </c>
      <c r="F1006" s="28" t="s">
        <v>7024</v>
      </c>
      <c r="G1006" s="28" t="s">
        <v>491</v>
      </c>
      <c r="H1006" s="28" t="s">
        <v>7025</v>
      </c>
      <c r="I1006" s="28">
        <v>40.080860000000001</v>
      </c>
      <c r="J1006" s="28">
        <v>-76.18674</v>
      </c>
      <c r="L1006" s="61">
        <v>110001063483</v>
      </c>
      <c r="M1006" s="28" t="s">
        <v>6751</v>
      </c>
      <c r="N1006" s="28">
        <v>3084</v>
      </c>
      <c r="O1006" s="28" t="str">
        <f>IFERROR(VLOOKUP(N1006, 'SIC &amp; NAICS Codes'!A:B, 2, FALSE), "")</f>
        <v>Plastics Pipe</v>
      </c>
      <c r="S1006" s="28">
        <v>0.37137199999999998</v>
      </c>
      <c r="T1006" s="315">
        <f>_xlfn.MAXIFS('Raw Period DMR Data'!$O:$O,'Raw Period DMR Data'!$A:$A,'Raw Annual DMR Data_2021-2024'!#REF!,'Raw Period DMR Data'!$C:$C,X1006)/S1006</f>
        <v>0</v>
      </c>
      <c r="U1006" s="28" t="str">
        <f>+IF(COUNTIFS('Raw Period DMR Data'!$A:$A,B1006,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006" s="28" t="str" cm="1">
        <f t="array" ref="V1006">IFERROR(INDEX('Raw Period DMR Data'!N:N,MATCH(1,(B1006='Raw Period DMR Data'!$A:$A)*(U1006='Raw Period DMR Data'!M:M)*(X1006='Raw Period DMR Data'!C:C),0),1), "N/A")</f>
        <v>N/A</v>
      </c>
      <c r="W1006" s="28" t="s">
        <v>1463</v>
      </c>
      <c r="X1006" s="28" t="s">
        <v>7191</v>
      </c>
      <c r="Y1006" s="28" t="s">
        <v>7296</v>
      </c>
      <c r="Z1006" s="61">
        <v>2050306001321</v>
      </c>
      <c r="AA1006" s="60"/>
      <c r="AC1006" s="28" t="s">
        <v>1466</v>
      </c>
    </row>
    <row r="1007" spans="1:29" s="28" customFormat="1" x14ac:dyDescent="0.25">
      <c r="A1007" s="61">
        <v>110000520026</v>
      </c>
      <c r="B1007" s="28">
        <v>2021</v>
      </c>
      <c r="C1007" s="68">
        <f t="shared" si="15"/>
        <v>44197</v>
      </c>
      <c r="D1007" s="28" t="s">
        <v>6833</v>
      </c>
      <c r="E1007" s="28" t="s">
        <v>6987</v>
      </c>
      <c r="F1007" s="28" t="s">
        <v>6988</v>
      </c>
      <c r="G1007" s="28" t="s">
        <v>366</v>
      </c>
      <c r="H1007" s="28">
        <v>95954</v>
      </c>
      <c r="I1007" s="28">
        <v>39.814230000000002</v>
      </c>
      <c r="J1007" s="28">
        <v>-121.58031699999999</v>
      </c>
      <c r="L1007" s="61">
        <v>110000520026</v>
      </c>
      <c r="M1007" s="28" t="s">
        <v>6751</v>
      </c>
      <c r="N1007" s="28">
        <v>4941</v>
      </c>
      <c r="O1007" s="28" t="str">
        <f>IFERROR(VLOOKUP(N1007, 'SIC &amp; NAICS Codes'!A:B, 2, FALSE), "")</f>
        <v>Water Supply</v>
      </c>
      <c r="S1007" s="28">
        <v>1.1605553752499999E-2</v>
      </c>
      <c r="T1007" s="315">
        <f>_xlfn.MAXIFS('Raw Period DMR Data'!$O:$O,'Raw Period DMR Data'!$A:$A,'Raw Annual DMR Data_2021-2024'!#REF!,'Raw Period DMR Data'!$C:$C,X1007)/S1007</f>
        <v>0</v>
      </c>
      <c r="U1007" s="28" t="str">
        <f>+IF(COUNTIFS('Raw Period DMR Data'!$A:$A,B1007, 'Raw Period DMR Data'!C:C,'Raw Annual DMR Data_2021-2024'!#REF!, 'Raw Period DMR Data'!M:M, "&gt;0")&gt;0,_xlfn.MAXIFS('Raw Period DMR Data'!M:M,'Raw Period DMR Data'!$A:$A,'Raw Annual DMR Data_2021-2024'!#REF!,'Raw Period DMR Data'!C:C,'Raw Annual DMR Data_2021-2024'!#REF!), "N/A - Period DMR Data Not Available")</f>
        <v>N/A - Period DMR Data Not Available</v>
      </c>
      <c r="V1007" s="28" t="str" cm="1">
        <f t="array" ref="V1007">IFERROR(INDEX('Raw Period DMR Data'!N:N,MATCH(1,(B1007='Raw Period DMR Data'!$A:$A)*(U1007='Raw Period DMR Data'!M:M)*(X1007='Raw Period DMR Data'!C:C),0),1), "N/A")</f>
        <v>N/A</v>
      </c>
      <c r="W1007" s="28" t="s">
        <v>1463</v>
      </c>
      <c r="X1007" s="28" t="s">
        <v>7171</v>
      </c>
      <c r="Y1007" s="28" t="s">
        <v>7284</v>
      </c>
      <c r="Z1007" s="61">
        <v>18020158006557</v>
      </c>
      <c r="AA1007" s="60"/>
      <c r="AB1007" s="28" t="s">
        <v>7355</v>
      </c>
      <c r="AC1007" s="28" t="s">
        <v>1466</v>
      </c>
    </row>
  </sheetData>
  <sheetProtection formatCells="0" formatColumns="0" formatRows="0"/>
  <autoFilter ref="A1:AC1007" xr:uid="{B0F3129B-FC47-4DA9-9E9B-585494C3FF9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1A05E-889F-4F52-84FD-0D78CE089035}">
  <sheetPr>
    <tabColor theme="8" tint="0.59999389629810485"/>
  </sheetPr>
  <dimension ref="A1:AB1099"/>
  <sheetViews>
    <sheetView workbookViewId="0">
      <selection activeCell="E14" sqref="E14"/>
    </sheetView>
  </sheetViews>
  <sheetFormatPr defaultRowHeight="15" x14ac:dyDescent="0.25"/>
  <cols>
    <col min="1" max="17" width="14.5703125" customWidth="1"/>
    <col min="18" max="18" width="15" customWidth="1"/>
    <col min="19" max="27" width="14.5703125" customWidth="1"/>
  </cols>
  <sheetData>
    <row r="1" spans="1:28" s="189" customFormat="1" ht="45" customHeight="1" x14ac:dyDescent="0.25">
      <c r="A1" s="166" t="s">
        <v>1447</v>
      </c>
      <c r="B1" s="166" t="s">
        <v>1448</v>
      </c>
      <c r="C1" s="166" t="s">
        <v>276</v>
      </c>
      <c r="D1" s="166" t="s">
        <v>277</v>
      </c>
      <c r="E1" s="166" t="s">
        <v>278</v>
      </c>
      <c r="F1" s="166" t="s">
        <v>279</v>
      </c>
      <c r="G1" s="166" t="s">
        <v>280</v>
      </c>
      <c r="H1" s="166" t="s">
        <v>281</v>
      </c>
      <c r="I1" s="166" t="s">
        <v>282</v>
      </c>
      <c r="J1" s="166" t="s">
        <v>283</v>
      </c>
      <c r="K1" s="186" t="s">
        <v>284</v>
      </c>
      <c r="L1" s="166" t="s">
        <v>285</v>
      </c>
      <c r="M1" s="166" t="s">
        <v>1449</v>
      </c>
      <c r="N1" s="166" t="s">
        <v>1450</v>
      </c>
      <c r="O1" s="166" t="s">
        <v>288</v>
      </c>
      <c r="P1" s="166" t="s">
        <v>1451</v>
      </c>
      <c r="Q1" s="166" t="s">
        <v>291</v>
      </c>
      <c r="R1" s="298" t="s">
        <v>1452</v>
      </c>
      <c r="S1" s="166" t="s">
        <v>1453</v>
      </c>
      <c r="T1" s="166" t="s">
        <v>1454</v>
      </c>
      <c r="U1" s="166" t="s">
        <v>1455</v>
      </c>
      <c r="V1" s="166" t="s">
        <v>1456</v>
      </c>
      <c r="W1" s="166" t="s">
        <v>1457</v>
      </c>
      <c r="X1" s="166" t="s">
        <v>1458</v>
      </c>
      <c r="Y1" s="186" t="s">
        <v>746</v>
      </c>
      <c r="Z1" s="299" t="s">
        <v>1459</v>
      </c>
      <c r="AA1" s="289" t="s">
        <v>1460</v>
      </c>
      <c r="AB1" s="300" t="s">
        <v>1461</v>
      </c>
    </row>
    <row r="2" spans="1:28" x14ac:dyDescent="0.25">
      <c r="A2">
        <v>2015</v>
      </c>
      <c r="C2" t="s">
        <v>961</v>
      </c>
      <c r="D2" t="s">
        <v>1462</v>
      </c>
      <c r="E2" t="s">
        <v>962</v>
      </c>
      <c r="F2" t="s">
        <v>374</v>
      </c>
      <c r="G2">
        <v>85009</v>
      </c>
      <c r="H2">
        <v>33.424239999999998</v>
      </c>
      <c r="I2">
        <v>-112.10626999999999</v>
      </c>
      <c r="K2">
        <v>110000509851</v>
      </c>
      <c r="M2">
        <v>4952</v>
      </c>
      <c r="R2">
        <v>6.5850173380000001</v>
      </c>
      <c r="W2" t="s">
        <v>1464</v>
      </c>
      <c r="Y2">
        <v>15070102009185</v>
      </c>
      <c r="AA2" t="s">
        <v>1465</v>
      </c>
      <c r="AB2" t="s">
        <v>263</v>
      </c>
    </row>
    <row r="3" spans="1:28" x14ac:dyDescent="0.25">
      <c r="A3">
        <v>2015</v>
      </c>
      <c r="C3" t="s">
        <v>99</v>
      </c>
      <c r="D3" t="s">
        <v>297</v>
      </c>
      <c r="E3" t="s">
        <v>298</v>
      </c>
      <c r="F3" t="s">
        <v>299</v>
      </c>
      <c r="G3">
        <v>72903</v>
      </c>
      <c r="H3">
        <v>35.327162000000001</v>
      </c>
      <c r="I3">
        <v>-94.380183000000002</v>
      </c>
      <c r="K3">
        <v>110066929033</v>
      </c>
      <c r="M3">
        <v>3585</v>
      </c>
      <c r="R3">
        <v>4.1723356009070199E-4</v>
      </c>
      <c r="W3" t="s">
        <v>764</v>
      </c>
      <c r="X3" t="s">
        <v>765</v>
      </c>
      <c r="Y3">
        <v>11110104000749</v>
      </c>
      <c r="AA3" t="s">
        <v>1465</v>
      </c>
      <c r="AB3" t="s">
        <v>1466</v>
      </c>
    </row>
    <row r="4" spans="1:28" x14ac:dyDescent="0.25">
      <c r="A4">
        <v>2015</v>
      </c>
      <c r="C4" t="s">
        <v>963</v>
      </c>
      <c r="D4" t="s">
        <v>1467</v>
      </c>
      <c r="E4" t="s">
        <v>964</v>
      </c>
      <c r="F4" t="s">
        <v>374</v>
      </c>
      <c r="G4">
        <v>85705</v>
      </c>
      <c r="H4">
        <v>32.279809999999998</v>
      </c>
      <c r="I4">
        <v>-111.02198</v>
      </c>
      <c r="K4">
        <v>110002042021</v>
      </c>
      <c r="M4">
        <v>4952</v>
      </c>
      <c r="R4">
        <v>0.284603991</v>
      </c>
      <c r="W4" t="s">
        <v>1468</v>
      </c>
      <c r="Y4">
        <v>15050301001090</v>
      </c>
      <c r="AA4" t="s">
        <v>1465</v>
      </c>
      <c r="AB4" t="s">
        <v>1466</v>
      </c>
    </row>
    <row r="5" spans="1:28" x14ac:dyDescent="0.25">
      <c r="A5">
        <v>2015</v>
      </c>
      <c r="C5" t="s">
        <v>973</v>
      </c>
      <c r="D5" t="s">
        <v>1484</v>
      </c>
      <c r="E5" t="s">
        <v>974</v>
      </c>
      <c r="F5" t="s">
        <v>541</v>
      </c>
      <c r="G5" t="s">
        <v>1485</v>
      </c>
      <c r="H5">
        <v>33.071649999999998</v>
      </c>
      <c r="I5">
        <v>-81.476479999999995</v>
      </c>
      <c r="J5" t="s">
        <v>698</v>
      </c>
      <c r="K5">
        <v>110000604490</v>
      </c>
      <c r="M5">
        <v>2819</v>
      </c>
      <c r="R5">
        <v>0.82766439909296996</v>
      </c>
      <c r="W5" t="s">
        <v>1486</v>
      </c>
      <c r="X5" t="s">
        <v>1487</v>
      </c>
      <c r="Y5">
        <v>3060106002119</v>
      </c>
      <c r="AA5" t="s">
        <v>1465</v>
      </c>
      <c r="AB5" t="s">
        <v>1466</v>
      </c>
    </row>
    <row r="6" spans="1:28" x14ac:dyDescent="0.25">
      <c r="A6">
        <v>2015</v>
      </c>
      <c r="C6" t="s">
        <v>975</v>
      </c>
      <c r="D6" t="s">
        <v>1488</v>
      </c>
      <c r="E6" t="s">
        <v>976</v>
      </c>
      <c r="F6" t="s">
        <v>303</v>
      </c>
      <c r="G6">
        <v>71422</v>
      </c>
      <c r="H6">
        <v>32.039444000000003</v>
      </c>
      <c r="I6">
        <v>-92.655000000000001</v>
      </c>
      <c r="J6" t="s">
        <v>699</v>
      </c>
      <c r="K6">
        <v>110000597596</v>
      </c>
      <c r="M6">
        <v>2821</v>
      </c>
      <c r="R6">
        <v>0.29795918367346902</v>
      </c>
      <c r="W6" t="s">
        <v>1489</v>
      </c>
      <c r="X6" t="s">
        <v>1490</v>
      </c>
      <c r="Y6">
        <v>8040303000231</v>
      </c>
      <c r="AA6" t="s">
        <v>1465</v>
      </c>
      <c r="AB6" t="s">
        <v>1466</v>
      </c>
    </row>
    <row r="7" spans="1:28" x14ac:dyDescent="0.25">
      <c r="A7">
        <v>2015</v>
      </c>
      <c r="C7" t="s">
        <v>1491</v>
      </c>
      <c r="D7" t="s">
        <v>322</v>
      </c>
      <c r="E7" t="s">
        <v>323</v>
      </c>
      <c r="F7" t="s">
        <v>324</v>
      </c>
      <c r="G7">
        <v>42029</v>
      </c>
      <c r="H7">
        <v>37.056699000000002</v>
      </c>
      <c r="I7">
        <v>-88.365727000000007</v>
      </c>
      <c r="J7" t="s">
        <v>325</v>
      </c>
      <c r="K7">
        <v>110000380061</v>
      </c>
      <c r="M7">
        <v>2819</v>
      </c>
      <c r="R7">
        <v>20.5256235827664</v>
      </c>
      <c r="W7" t="s">
        <v>776</v>
      </c>
      <c r="X7" t="s">
        <v>777</v>
      </c>
      <c r="Y7">
        <v>6040006000329</v>
      </c>
      <c r="AA7" t="s">
        <v>1465</v>
      </c>
      <c r="AB7" t="s">
        <v>1466</v>
      </c>
    </row>
    <row r="8" spans="1:28" x14ac:dyDescent="0.25">
      <c r="A8">
        <v>2015</v>
      </c>
      <c r="C8" t="s">
        <v>986</v>
      </c>
      <c r="D8" t="s">
        <v>1508</v>
      </c>
      <c r="E8" t="s">
        <v>987</v>
      </c>
      <c r="F8" t="s">
        <v>324</v>
      </c>
      <c r="G8">
        <v>40216</v>
      </c>
      <c r="H8">
        <v>38.195278000000002</v>
      </c>
      <c r="I8">
        <v>-85.872221999999994</v>
      </c>
      <c r="J8" t="s">
        <v>701</v>
      </c>
      <c r="K8">
        <v>110000378467</v>
      </c>
      <c r="M8">
        <v>2869</v>
      </c>
      <c r="R8">
        <v>0.70408163265306101</v>
      </c>
      <c r="W8" t="s">
        <v>1509</v>
      </c>
      <c r="X8" t="s">
        <v>830</v>
      </c>
      <c r="Y8">
        <v>5140101000007</v>
      </c>
      <c r="AA8" t="s">
        <v>1465</v>
      </c>
      <c r="AB8" t="s">
        <v>1466</v>
      </c>
    </row>
    <row r="9" spans="1:28" x14ac:dyDescent="0.25">
      <c r="A9">
        <v>2015</v>
      </c>
      <c r="C9" t="s">
        <v>988</v>
      </c>
      <c r="D9" t="s">
        <v>1511</v>
      </c>
      <c r="E9" t="s">
        <v>314</v>
      </c>
      <c r="F9" t="s">
        <v>303</v>
      </c>
      <c r="G9">
        <v>70507</v>
      </c>
      <c r="H9">
        <v>30.275200000000002</v>
      </c>
      <c r="I9">
        <v>-92.036231000000001</v>
      </c>
      <c r="J9" t="s">
        <v>702</v>
      </c>
      <c r="K9">
        <v>110000449266</v>
      </c>
      <c r="M9">
        <v>4952</v>
      </c>
      <c r="R9">
        <v>3.0147525000000001E-2</v>
      </c>
      <c r="W9" t="s">
        <v>1512</v>
      </c>
      <c r="Y9">
        <v>8080103002791</v>
      </c>
      <c r="AA9" t="s">
        <v>1465</v>
      </c>
      <c r="AB9" t="s">
        <v>1466</v>
      </c>
    </row>
    <row r="10" spans="1:28" x14ac:dyDescent="0.25">
      <c r="A10">
        <v>2015</v>
      </c>
      <c r="C10" t="s">
        <v>989</v>
      </c>
      <c r="D10" t="s">
        <v>1513</v>
      </c>
      <c r="E10" t="s">
        <v>990</v>
      </c>
      <c r="F10" t="s">
        <v>362</v>
      </c>
      <c r="G10" t="s">
        <v>1514</v>
      </c>
      <c r="H10">
        <v>29.793299999999999</v>
      </c>
      <c r="I10">
        <v>-95.064959999999999</v>
      </c>
      <c r="J10" t="s">
        <v>703</v>
      </c>
      <c r="K10">
        <v>110000463533</v>
      </c>
      <c r="M10">
        <v>3731</v>
      </c>
      <c r="R10">
        <v>3.8456735499999999E-2</v>
      </c>
      <c r="W10" t="s">
        <v>1515</v>
      </c>
      <c r="X10" t="s">
        <v>1516</v>
      </c>
      <c r="Y10">
        <v>12040104000885</v>
      </c>
      <c r="AA10" t="s">
        <v>1465</v>
      </c>
      <c r="AB10" t="s">
        <v>1466</v>
      </c>
    </row>
    <row r="11" spans="1:28" x14ac:dyDescent="0.25">
      <c r="A11">
        <v>2015</v>
      </c>
      <c r="C11" t="s">
        <v>991</v>
      </c>
      <c r="D11" t="s">
        <v>1517</v>
      </c>
      <c r="E11" t="s">
        <v>992</v>
      </c>
      <c r="F11" t="s">
        <v>299</v>
      </c>
      <c r="G11">
        <v>723016413</v>
      </c>
      <c r="H11">
        <v>35.136057000000001</v>
      </c>
      <c r="I11">
        <v>-90.096892999999994</v>
      </c>
      <c r="J11" t="s">
        <v>704</v>
      </c>
      <c r="K11">
        <v>110000452082</v>
      </c>
      <c r="M11">
        <v>2869</v>
      </c>
      <c r="R11">
        <v>2.8798185941043001E-2</v>
      </c>
      <c r="W11" t="s">
        <v>1518</v>
      </c>
      <c r="X11" t="s">
        <v>1519</v>
      </c>
      <c r="Y11">
        <v>8010100000818</v>
      </c>
      <c r="AA11" t="s">
        <v>1465</v>
      </c>
      <c r="AB11" t="s">
        <v>1466</v>
      </c>
    </row>
    <row r="12" spans="1:28" x14ac:dyDescent="0.25">
      <c r="A12">
        <v>2015</v>
      </c>
      <c r="C12" t="s">
        <v>991</v>
      </c>
      <c r="D12" t="s">
        <v>1517</v>
      </c>
      <c r="E12" t="s">
        <v>992</v>
      </c>
      <c r="F12" t="s">
        <v>299</v>
      </c>
      <c r="G12">
        <v>723016413</v>
      </c>
      <c r="H12">
        <v>35.136057000000001</v>
      </c>
      <c r="I12">
        <v>-90.096892999999994</v>
      </c>
      <c r="J12" t="s">
        <v>704</v>
      </c>
      <c r="K12">
        <v>110000452082</v>
      </c>
      <c r="M12">
        <v>2869</v>
      </c>
      <c r="R12">
        <v>4.1723356009070199E-2</v>
      </c>
      <c r="W12" t="s">
        <v>1518</v>
      </c>
      <c r="X12" t="s">
        <v>1519</v>
      </c>
      <c r="Y12">
        <v>8010100000818</v>
      </c>
      <c r="AA12" t="s">
        <v>1465</v>
      </c>
      <c r="AB12" t="s">
        <v>1466</v>
      </c>
    </row>
    <row r="13" spans="1:28" x14ac:dyDescent="0.25">
      <c r="A13">
        <v>2015</v>
      </c>
      <c r="C13" t="s">
        <v>995</v>
      </c>
      <c r="D13" t="s">
        <v>1524</v>
      </c>
      <c r="E13" t="s">
        <v>615</v>
      </c>
      <c r="F13" t="s">
        <v>362</v>
      </c>
      <c r="G13">
        <v>77520</v>
      </c>
      <c r="H13">
        <v>29.739339999999999</v>
      </c>
      <c r="I13">
        <v>-95.022403999999995</v>
      </c>
      <c r="J13" t="s">
        <v>705</v>
      </c>
      <c r="K13">
        <v>110000463178</v>
      </c>
      <c r="M13">
        <v>2869</v>
      </c>
      <c r="R13">
        <v>16.785528750000001</v>
      </c>
      <c r="W13" t="s">
        <v>1525</v>
      </c>
      <c r="X13" t="s">
        <v>1526</v>
      </c>
      <c r="Y13">
        <v>12040104000831</v>
      </c>
      <c r="AA13" t="s">
        <v>1465</v>
      </c>
      <c r="AB13" t="s">
        <v>1466</v>
      </c>
    </row>
    <row r="14" spans="1:28" x14ac:dyDescent="0.25">
      <c r="A14">
        <v>2015</v>
      </c>
      <c r="C14" t="s">
        <v>1002</v>
      </c>
      <c r="D14" t="s">
        <v>1537</v>
      </c>
      <c r="E14" t="s">
        <v>1003</v>
      </c>
      <c r="F14" t="s">
        <v>303</v>
      </c>
      <c r="G14">
        <v>70726</v>
      </c>
      <c r="H14">
        <v>30.486615</v>
      </c>
      <c r="I14">
        <v>-90.925387999999998</v>
      </c>
      <c r="J14" t="s">
        <v>706</v>
      </c>
      <c r="K14">
        <v>110000597355</v>
      </c>
      <c r="M14">
        <v>2899</v>
      </c>
      <c r="R14">
        <v>1.6553287981859399E-2</v>
      </c>
      <c r="W14" t="s">
        <v>1538</v>
      </c>
      <c r="X14" t="s">
        <v>1539</v>
      </c>
      <c r="Y14">
        <v>8070202000867</v>
      </c>
      <c r="AA14" t="s">
        <v>1465</v>
      </c>
      <c r="AB14" t="s">
        <v>1466</v>
      </c>
    </row>
    <row r="15" spans="1:28" x14ac:dyDescent="0.25">
      <c r="A15">
        <v>2015</v>
      </c>
      <c r="C15" t="s">
        <v>44</v>
      </c>
      <c r="D15" t="s">
        <v>367</v>
      </c>
      <c r="E15" t="s">
        <v>368</v>
      </c>
      <c r="F15" t="s">
        <v>349</v>
      </c>
      <c r="G15">
        <v>63630</v>
      </c>
      <c r="H15">
        <v>37.983333000000002</v>
      </c>
      <c r="I15">
        <v>-90.690832999999998</v>
      </c>
      <c r="J15" t="s">
        <v>369</v>
      </c>
      <c r="K15">
        <v>110017980443</v>
      </c>
      <c r="M15">
        <v>2899</v>
      </c>
      <c r="R15">
        <v>0.15940960504000001</v>
      </c>
      <c r="W15" t="s">
        <v>796</v>
      </c>
      <c r="X15" t="s">
        <v>1564</v>
      </c>
      <c r="Y15">
        <v>7140104001615</v>
      </c>
      <c r="AA15" t="s">
        <v>1465</v>
      </c>
      <c r="AB15" t="s">
        <v>1466</v>
      </c>
    </row>
    <row r="16" spans="1:28" x14ac:dyDescent="0.25">
      <c r="A16">
        <v>2015</v>
      </c>
      <c r="C16" t="s">
        <v>1021</v>
      </c>
      <c r="D16" t="s">
        <v>1571</v>
      </c>
      <c r="E16" t="s">
        <v>657</v>
      </c>
      <c r="F16" t="s">
        <v>418</v>
      </c>
      <c r="G16">
        <v>89109</v>
      </c>
      <c r="H16">
        <v>36.116160999999998</v>
      </c>
      <c r="I16">
        <v>-115.172741</v>
      </c>
      <c r="K16">
        <v>110015972562</v>
      </c>
      <c r="M16">
        <v>7011</v>
      </c>
      <c r="R16">
        <v>0.240485955299999</v>
      </c>
      <c r="W16" t="s">
        <v>1572</v>
      </c>
      <c r="X16" t="s">
        <v>1573</v>
      </c>
      <c r="Y16">
        <v>15010015000432</v>
      </c>
      <c r="AA16" t="s">
        <v>1465</v>
      </c>
      <c r="AB16" t="s">
        <v>1466</v>
      </c>
    </row>
    <row r="17" spans="1:28" x14ac:dyDescent="0.25">
      <c r="A17">
        <v>2015</v>
      </c>
      <c r="C17" t="s">
        <v>1021</v>
      </c>
      <c r="D17" t="s">
        <v>1571</v>
      </c>
      <c r="E17" t="s">
        <v>657</v>
      </c>
      <c r="F17" t="s">
        <v>418</v>
      </c>
      <c r="G17">
        <v>89109</v>
      </c>
      <c r="H17">
        <v>36.116160999999998</v>
      </c>
      <c r="I17">
        <v>-115.172741</v>
      </c>
      <c r="K17">
        <v>110015972562</v>
      </c>
      <c r="M17">
        <v>7011</v>
      </c>
      <c r="R17">
        <v>1.07374507549999E-2</v>
      </c>
      <c r="W17" t="s">
        <v>1572</v>
      </c>
      <c r="X17" t="s">
        <v>1573</v>
      </c>
      <c r="Y17">
        <v>15010015000432</v>
      </c>
      <c r="AA17" t="s">
        <v>1465</v>
      </c>
      <c r="AB17" t="s">
        <v>1466</v>
      </c>
    </row>
    <row r="18" spans="1:28" x14ac:dyDescent="0.25">
      <c r="A18">
        <v>2015</v>
      </c>
      <c r="C18" t="s">
        <v>1022</v>
      </c>
      <c r="D18" t="s">
        <v>1574</v>
      </c>
      <c r="E18" t="s">
        <v>1023</v>
      </c>
      <c r="F18" t="s">
        <v>366</v>
      </c>
      <c r="G18">
        <v>92231</v>
      </c>
      <c r="H18">
        <v>32.664450000000002</v>
      </c>
      <c r="I18">
        <v>-115.55970499999999</v>
      </c>
      <c r="K18">
        <v>110000730825</v>
      </c>
      <c r="M18">
        <v>4952</v>
      </c>
      <c r="R18">
        <v>0.15852999374999999</v>
      </c>
      <c r="W18" t="s">
        <v>1575</v>
      </c>
      <c r="X18" t="s">
        <v>795</v>
      </c>
      <c r="Y18">
        <v>18100204012549</v>
      </c>
      <c r="AA18" t="s">
        <v>1465</v>
      </c>
      <c r="AB18" t="s">
        <v>263</v>
      </c>
    </row>
    <row r="19" spans="1:28" x14ac:dyDescent="0.25">
      <c r="A19">
        <v>2015</v>
      </c>
      <c r="C19" t="s">
        <v>1030</v>
      </c>
      <c r="D19" t="s">
        <v>1586</v>
      </c>
      <c r="E19" t="s">
        <v>1031</v>
      </c>
      <c r="F19" t="s">
        <v>450</v>
      </c>
      <c r="G19" t="s">
        <v>1587</v>
      </c>
      <c r="H19">
        <v>43.068139000000002</v>
      </c>
      <c r="I19">
        <v>-76.176861000000002</v>
      </c>
      <c r="K19">
        <v>110006700711</v>
      </c>
      <c r="M19">
        <v>5311</v>
      </c>
      <c r="R19">
        <v>4.3167007137499901E-2</v>
      </c>
      <c r="W19" t="s">
        <v>1588</v>
      </c>
      <c r="X19" t="s">
        <v>1589</v>
      </c>
      <c r="Y19">
        <v>4140201000441</v>
      </c>
      <c r="AA19" t="s">
        <v>1465</v>
      </c>
      <c r="AB19" t="s">
        <v>1466</v>
      </c>
    </row>
    <row r="20" spans="1:28" x14ac:dyDescent="0.25">
      <c r="A20">
        <v>2015</v>
      </c>
      <c r="C20" t="s">
        <v>1034</v>
      </c>
      <c r="D20" t="s">
        <v>1594</v>
      </c>
      <c r="E20" t="s">
        <v>1035</v>
      </c>
      <c r="F20" t="s">
        <v>374</v>
      </c>
      <c r="G20" t="s">
        <v>1595</v>
      </c>
      <c r="H20">
        <v>32.9011</v>
      </c>
      <c r="I20">
        <v>-111.78749999999999</v>
      </c>
      <c r="K20">
        <v>110022287210</v>
      </c>
      <c r="M20">
        <v>4952</v>
      </c>
      <c r="R20">
        <v>12.102159</v>
      </c>
      <c r="W20" t="s">
        <v>1596</v>
      </c>
      <c r="Y20">
        <v>15040005001144</v>
      </c>
      <c r="AA20" t="s">
        <v>1465</v>
      </c>
      <c r="AB20" t="s">
        <v>263</v>
      </c>
    </row>
    <row r="21" spans="1:28" x14ac:dyDescent="0.25">
      <c r="A21">
        <v>2015</v>
      </c>
      <c r="C21" t="s">
        <v>1040</v>
      </c>
      <c r="D21" t="s">
        <v>1610</v>
      </c>
      <c r="E21" t="s">
        <v>1041</v>
      </c>
      <c r="F21" t="s">
        <v>478</v>
      </c>
      <c r="G21">
        <v>19809</v>
      </c>
      <c r="H21">
        <v>39.752721999999999</v>
      </c>
      <c r="I21">
        <v>-75.495151000000007</v>
      </c>
      <c r="K21">
        <v>110000338830</v>
      </c>
      <c r="M21">
        <v>2816</v>
      </c>
      <c r="R21">
        <v>0.417233560090702</v>
      </c>
      <c r="W21" t="s">
        <v>1611</v>
      </c>
      <c r="X21" t="s">
        <v>783</v>
      </c>
      <c r="Y21">
        <v>2040205000834</v>
      </c>
      <c r="AA21" t="s">
        <v>1465</v>
      </c>
      <c r="AB21" t="s">
        <v>1466</v>
      </c>
    </row>
    <row r="22" spans="1:28" x14ac:dyDescent="0.25">
      <c r="A22">
        <v>2015</v>
      </c>
      <c r="C22" t="s">
        <v>1042</v>
      </c>
      <c r="D22" t="s">
        <v>1612</v>
      </c>
      <c r="E22" t="s">
        <v>1043</v>
      </c>
      <c r="F22" t="s">
        <v>345</v>
      </c>
      <c r="G22" t="s">
        <v>1613</v>
      </c>
      <c r="H22">
        <v>42.468611000000003</v>
      </c>
      <c r="I22">
        <v>-89.065550000000002</v>
      </c>
      <c r="J22" t="s">
        <v>708</v>
      </c>
      <c r="K22">
        <v>110000500459</v>
      </c>
      <c r="M22">
        <v>4225</v>
      </c>
      <c r="R22">
        <v>9.2420237500000002E-2</v>
      </c>
      <c r="W22" t="s">
        <v>1614</v>
      </c>
      <c r="X22" t="s">
        <v>1615</v>
      </c>
      <c r="Y22">
        <v>7090002008421</v>
      </c>
      <c r="AA22" t="s">
        <v>1465</v>
      </c>
      <c r="AB22" t="s">
        <v>1466</v>
      </c>
    </row>
    <row r="23" spans="1:28" x14ac:dyDescent="0.25">
      <c r="A23">
        <v>2015</v>
      </c>
      <c r="C23" t="s">
        <v>1044</v>
      </c>
      <c r="D23" t="s">
        <v>1617</v>
      </c>
      <c r="E23" t="s">
        <v>1045</v>
      </c>
      <c r="F23" t="s">
        <v>427</v>
      </c>
      <c r="G23" t="s">
        <v>1618</v>
      </c>
      <c r="H23">
        <v>42.592550000000003</v>
      </c>
      <c r="I23">
        <v>-83.889930000000007</v>
      </c>
      <c r="K23">
        <v>110000408265</v>
      </c>
      <c r="M23">
        <v>2899</v>
      </c>
      <c r="R23">
        <v>1.0545907045E-2</v>
      </c>
      <c r="W23" t="s">
        <v>1619</v>
      </c>
      <c r="X23" t="s">
        <v>1620</v>
      </c>
      <c r="Y23">
        <v>4080203000602</v>
      </c>
      <c r="AA23" t="s">
        <v>1465</v>
      </c>
      <c r="AB23" t="s">
        <v>1466</v>
      </c>
    </row>
    <row r="24" spans="1:28" x14ac:dyDescent="0.25">
      <c r="A24">
        <v>2015</v>
      </c>
      <c r="C24" t="s">
        <v>1048</v>
      </c>
      <c r="D24" t="s">
        <v>1625</v>
      </c>
      <c r="E24" t="s">
        <v>1049</v>
      </c>
      <c r="F24" t="s">
        <v>1050</v>
      </c>
      <c r="G24">
        <v>59404</v>
      </c>
      <c r="H24">
        <v>47.52131</v>
      </c>
      <c r="I24">
        <v>-111.29958000000001</v>
      </c>
      <c r="K24">
        <v>110064645460</v>
      </c>
      <c r="M24">
        <v>4952</v>
      </c>
      <c r="R24">
        <v>3.3097276433333298</v>
      </c>
      <c r="W24" t="s">
        <v>1626</v>
      </c>
      <c r="X24" t="s">
        <v>1627</v>
      </c>
      <c r="Y24">
        <v>10030102000105</v>
      </c>
      <c r="AA24" t="s">
        <v>1465</v>
      </c>
      <c r="AB24" t="s">
        <v>1466</v>
      </c>
    </row>
    <row r="25" spans="1:28" x14ac:dyDescent="0.25">
      <c r="A25">
        <v>2015</v>
      </c>
      <c r="C25" t="s">
        <v>1053</v>
      </c>
      <c r="D25" t="s">
        <v>1630</v>
      </c>
      <c r="E25" t="s">
        <v>1054</v>
      </c>
      <c r="F25" t="s">
        <v>374</v>
      </c>
      <c r="G25">
        <v>85383</v>
      </c>
      <c r="H25">
        <v>33.726889999999997</v>
      </c>
      <c r="I25">
        <v>-112.33074000000001</v>
      </c>
      <c r="K25">
        <v>110015317423</v>
      </c>
      <c r="M25">
        <v>4952</v>
      </c>
      <c r="R25">
        <v>0.5360317</v>
      </c>
      <c r="W25" t="s">
        <v>1631</v>
      </c>
      <c r="Y25">
        <v>15030104003460</v>
      </c>
      <c r="AA25" t="s">
        <v>1465</v>
      </c>
      <c r="AB25" t="s">
        <v>263</v>
      </c>
    </row>
    <row r="26" spans="1:28" x14ac:dyDescent="0.25">
      <c r="A26">
        <v>2015</v>
      </c>
      <c r="C26" t="s">
        <v>1056</v>
      </c>
      <c r="D26" t="s">
        <v>1635</v>
      </c>
      <c r="E26" t="s">
        <v>1057</v>
      </c>
      <c r="F26" t="s">
        <v>374</v>
      </c>
      <c r="G26">
        <v>85901</v>
      </c>
      <c r="H26">
        <v>34.26126</v>
      </c>
      <c r="I26">
        <v>-110.03482</v>
      </c>
      <c r="K26">
        <v>110006785149</v>
      </c>
      <c r="M26">
        <v>4952</v>
      </c>
      <c r="R26">
        <v>3.9718843750000001</v>
      </c>
      <c r="W26" t="s">
        <v>1636</v>
      </c>
      <c r="X26" t="s">
        <v>1637</v>
      </c>
      <c r="Y26">
        <v>15020005000364</v>
      </c>
      <c r="AA26" t="s">
        <v>1465</v>
      </c>
      <c r="AB26" t="s">
        <v>263</v>
      </c>
    </row>
    <row r="27" spans="1:28" x14ac:dyDescent="0.25">
      <c r="A27">
        <v>2015</v>
      </c>
      <c r="C27" t="s">
        <v>1061</v>
      </c>
      <c r="D27" t="s">
        <v>1643</v>
      </c>
      <c r="E27" t="s">
        <v>1062</v>
      </c>
      <c r="F27" t="s">
        <v>366</v>
      </c>
      <c r="G27">
        <v>92008</v>
      </c>
      <c r="H27">
        <v>33.139895000000003</v>
      </c>
      <c r="I27">
        <v>-117.339645</v>
      </c>
      <c r="K27">
        <v>110027363252</v>
      </c>
      <c r="M27">
        <v>4941</v>
      </c>
      <c r="R27">
        <v>150.53196324000001</v>
      </c>
      <c r="W27" t="s">
        <v>1644</v>
      </c>
      <c r="X27" t="s">
        <v>926</v>
      </c>
      <c r="Y27">
        <v>18070303000019</v>
      </c>
      <c r="AA27" t="s">
        <v>1465</v>
      </c>
      <c r="AB27" t="s">
        <v>1466</v>
      </c>
    </row>
    <row r="28" spans="1:28" x14ac:dyDescent="0.25">
      <c r="A28">
        <v>2015</v>
      </c>
      <c r="C28" t="s">
        <v>1073</v>
      </c>
      <c r="D28" t="s">
        <v>1663</v>
      </c>
      <c r="E28" t="s">
        <v>1074</v>
      </c>
      <c r="F28" t="s">
        <v>374</v>
      </c>
      <c r="G28" t="s">
        <v>1664</v>
      </c>
      <c r="H28">
        <v>34.729709999999997</v>
      </c>
      <c r="I28">
        <v>-112.04337599999999</v>
      </c>
      <c r="K28">
        <v>110055979455</v>
      </c>
      <c r="M28">
        <v>4952</v>
      </c>
      <c r="R28">
        <v>1.2046897999999999</v>
      </c>
      <c r="W28" t="s">
        <v>1665</v>
      </c>
      <c r="Y28">
        <v>15010007000406</v>
      </c>
      <c r="AA28" t="s">
        <v>1465</v>
      </c>
      <c r="AB28" t="s">
        <v>263</v>
      </c>
    </row>
    <row r="29" spans="1:28" x14ac:dyDescent="0.25">
      <c r="A29">
        <v>2015</v>
      </c>
      <c r="C29" t="s">
        <v>1075</v>
      </c>
      <c r="D29" t="s">
        <v>1666</v>
      </c>
      <c r="E29" t="s">
        <v>1076</v>
      </c>
      <c r="F29" t="s">
        <v>469</v>
      </c>
      <c r="G29" t="s">
        <v>1667</v>
      </c>
      <c r="H29">
        <v>39.728720000000003</v>
      </c>
      <c r="I29">
        <v>-86.137910000000005</v>
      </c>
      <c r="K29">
        <v>110002455370</v>
      </c>
      <c r="M29">
        <v>5014</v>
      </c>
      <c r="R29">
        <v>1.1700930074999999E-2</v>
      </c>
      <c r="W29" t="s">
        <v>1668</v>
      </c>
      <c r="X29" t="s">
        <v>1669</v>
      </c>
      <c r="Y29">
        <v>5120201000586</v>
      </c>
      <c r="AA29" t="s">
        <v>1465</v>
      </c>
      <c r="AB29" t="s">
        <v>1466</v>
      </c>
    </row>
    <row r="30" spans="1:28" x14ac:dyDescent="0.25">
      <c r="A30">
        <v>2015</v>
      </c>
      <c r="C30" t="s">
        <v>1079</v>
      </c>
      <c r="D30" t="s">
        <v>1673</v>
      </c>
      <c r="E30" t="s">
        <v>381</v>
      </c>
      <c r="F30" t="s">
        <v>338</v>
      </c>
      <c r="G30">
        <v>8014</v>
      </c>
      <c r="H30">
        <v>39.80142</v>
      </c>
      <c r="I30">
        <v>-75.354990000000001</v>
      </c>
      <c r="J30" t="s">
        <v>710</v>
      </c>
      <c r="K30">
        <v>110000582003</v>
      </c>
      <c r="M30">
        <v>2869</v>
      </c>
      <c r="R30">
        <v>0.121</v>
      </c>
      <c r="W30" t="s">
        <v>1674</v>
      </c>
      <c r="X30" t="s">
        <v>1675</v>
      </c>
      <c r="Y30">
        <v>2040202001854</v>
      </c>
      <c r="AA30" t="s">
        <v>1465</v>
      </c>
      <c r="AB30" t="s">
        <v>1466</v>
      </c>
    </row>
    <row r="31" spans="1:28" x14ac:dyDescent="0.25">
      <c r="A31">
        <v>2015</v>
      </c>
      <c r="C31" t="s">
        <v>136</v>
      </c>
      <c r="D31" t="s">
        <v>440</v>
      </c>
      <c r="E31" t="s">
        <v>441</v>
      </c>
      <c r="F31" t="s">
        <v>338</v>
      </c>
      <c r="G31" t="s">
        <v>442</v>
      </c>
      <c r="H31">
        <v>40.843611000000003</v>
      </c>
      <c r="I31">
        <v>-75.066389000000001</v>
      </c>
      <c r="J31" t="s">
        <v>443</v>
      </c>
      <c r="K31">
        <v>110040963286</v>
      </c>
      <c r="M31">
        <v>2833</v>
      </c>
      <c r="R31">
        <v>0.2110020165</v>
      </c>
      <c r="W31" t="s">
        <v>837</v>
      </c>
      <c r="X31" t="s">
        <v>838</v>
      </c>
      <c r="Y31">
        <v>2040105000142</v>
      </c>
      <c r="AA31" t="s">
        <v>1465</v>
      </c>
      <c r="AB31" t="s">
        <v>1466</v>
      </c>
    </row>
    <row r="32" spans="1:28" x14ac:dyDescent="0.25">
      <c r="A32">
        <v>2015</v>
      </c>
      <c r="C32" t="s">
        <v>138</v>
      </c>
      <c r="D32" t="s">
        <v>448</v>
      </c>
      <c r="E32" t="s">
        <v>449</v>
      </c>
      <c r="F32" t="s">
        <v>450</v>
      </c>
      <c r="G32">
        <v>14652</v>
      </c>
      <c r="H32">
        <v>43.197788000000003</v>
      </c>
      <c r="I32">
        <v>-77.629835999999997</v>
      </c>
      <c r="J32" t="s">
        <v>451</v>
      </c>
      <c r="K32">
        <v>110000492173</v>
      </c>
      <c r="M32">
        <v>3861</v>
      </c>
      <c r="R32">
        <v>3.6713364499999998E-2</v>
      </c>
      <c r="W32" t="s">
        <v>841</v>
      </c>
      <c r="X32" t="s">
        <v>842</v>
      </c>
      <c r="Y32">
        <v>4130003000001</v>
      </c>
      <c r="AA32" t="s">
        <v>1465</v>
      </c>
      <c r="AB32" t="s">
        <v>1466</v>
      </c>
    </row>
    <row r="33" spans="1:28" x14ac:dyDescent="0.25">
      <c r="A33">
        <v>2015</v>
      </c>
      <c r="C33" t="s">
        <v>1093</v>
      </c>
      <c r="D33" t="s">
        <v>1711</v>
      </c>
      <c r="E33" t="s">
        <v>1094</v>
      </c>
      <c r="F33" t="s">
        <v>366</v>
      </c>
      <c r="G33" t="s">
        <v>1712</v>
      </c>
      <c r="H33">
        <v>34.418880000000001</v>
      </c>
      <c r="I33">
        <v>-119.68471</v>
      </c>
      <c r="K33">
        <v>110000730638</v>
      </c>
      <c r="M33">
        <v>4952</v>
      </c>
      <c r="R33">
        <v>1.863677225</v>
      </c>
      <c r="W33" t="s">
        <v>1713</v>
      </c>
      <c r="X33" t="s">
        <v>926</v>
      </c>
      <c r="Y33">
        <v>18060013000019</v>
      </c>
      <c r="AA33" t="s">
        <v>1465</v>
      </c>
      <c r="AB33" t="s">
        <v>263</v>
      </c>
    </row>
    <row r="34" spans="1:28" x14ac:dyDescent="0.25">
      <c r="A34">
        <v>2015</v>
      </c>
      <c r="C34" t="s">
        <v>1095</v>
      </c>
      <c r="D34" t="s">
        <v>1714</v>
      </c>
      <c r="E34" t="s">
        <v>1096</v>
      </c>
      <c r="F34" t="s">
        <v>450</v>
      </c>
      <c r="G34">
        <v>14132</v>
      </c>
      <c r="H34">
        <v>43.129750000000001</v>
      </c>
      <c r="I34">
        <v>-78.939679999999996</v>
      </c>
      <c r="K34">
        <v>110000737365</v>
      </c>
      <c r="M34">
        <v>9511</v>
      </c>
      <c r="R34">
        <v>0.225638516874999</v>
      </c>
      <c r="W34" t="s">
        <v>1715</v>
      </c>
      <c r="X34" t="s">
        <v>1716</v>
      </c>
      <c r="Y34">
        <v>4120104000390</v>
      </c>
      <c r="AA34" t="s">
        <v>1465</v>
      </c>
      <c r="AB34" t="s">
        <v>1466</v>
      </c>
    </row>
    <row r="35" spans="1:28" x14ac:dyDescent="0.25">
      <c r="A35">
        <v>2015</v>
      </c>
      <c r="C35" t="s">
        <v>1097</v>
      </c>
      <c r="D35" t="s">
        <v>1718</v>
      </c>
      <c r="E35" t="s">
        <v>1098</v>
      </c>
      <c r="F35" t="s">
        <v>324</v>
      </c>
      <c r="G35" t="s">
        <v>1719</v>
      </c>
      <c r="H35">
        <v>38.643056000000001</v>
      </c>
      <c r="I35">
        <v>-83.740278000000004</v>
      </c>
      <c r="K35">
        <v>110000379787</v>
      </c>
      <c r="M35">
        <v>3566</v>
      </c>
      <c r="R35">
        <v>0.11353864499999999</v>
      </c>
      <c r="W35" t="s">
        <v>1720</v>
      </c>
      <c r="X35" t="s">
        <v>1721</v>
      </c>
      <c r="Y35">
        <v>5090201002312</v>
      </c>
      <c r="AA35" t="s">
        <v>1465</v>
      </c>
      <c r="AB35" t="s">
        <v>1466</v>
      </c>
    </row>
    <row r="36" spans="1:28" x14ac:dyDescent="0.25">
      <c r="A36">
        <v>2015</v>
      </c>
      <c r="C36" t="s">
        <v>1102</v>
      </c>
      <c r="D36" t="s">
        <v>1726</v>
      </c>
      <c r="E36" t="s">
        <v>1103</v>
      </c>
      <c r="F36" t="s">
        <v>345</v>
      </c>
      <c r="G36" t="s">
        <v>1727</v>
      </c>
      <c r="H36">
        <v>41.412897000000001</v>
      </c>
      <c r="I36">
        <v>-88.329773000000003</v>
      </c>
      <c r="J36" t="s">
        <v>712</v>
      </c>
      <c r="K36">
        <v>110000433013</v>
      </c>
      <c r="M36">
        <v>2821</v>
      </c>
      <c r="R36">
        <v>0.793197278911564</v>
      </c>
      <c r="W36" t="s">
        <v>1728</v>
      </c>
      <c r="X36" t="s">
        <v>1729</v>
      </c>
      <c r="Y36">
        <v>7120005000248</v>
      </c>
      <c r="AA36" t="s">
        <v>1465</v>
      </c>
      <c r="AB36" t="s">
        <v>1466</v>
      </c>
    </row>
    <row r="37" spans="1:28" x14ac:dyDescent="0.25">
      <c r="A37">
        <v>2015</v>
      </c>
      <c r="C37" t="s">
        <v>1102</v>
      </c>
      <c r="D37" t="s">
        <v>1726</v>
      </c>
      <c r="E37" t="s">
        <v>1103</v>
      </c>
      <c r="F37" t="s">
        <v>345</v>
      </c>
      <c r="G37" t="s">
        <v>1727</v>
      </c>
      <c r="H37">
        <v>41.412897000000001</v>
      </c>
      <c r="I37">
        <v>-88.329773000000003</v>
      </c>
      <c r="J37" t="s">
        <v>712</v>
      </c>
      <c r="K37">
        <v>110000433013</v>
      </c>
      <c r="M37">
        <v>2821</v>
      </c>
      <c r="R37">
        <v>0.41632653061224401</v>
      </c>
      <c r="W37" t="s">
        <v>1728</v>
      </c>
      <c r="X37" t="s">
        <v>1729</v>
      </c>
      <c r="Y37">
        <v>7120005000248</v>
      </c>
      <c r="AA37" t="s">
        <v>1465</v>
      </c>
      <c r="AB37" t="s">
        <v>1466</v>
      </c>
    </row>
    <row r="38" spans="1:28" x14ac:dyDescent="0.25">
      <c r="A38">
        <v>2015</v>
      </c>
      <c r="C38" t="s">
        <v>1104</v>
      </c>
      <c r="D38" t="s">
        <v>1731</v>
      </c>
      <c r="E38" t="s">
        <v>446</v>
      </c>
      <c r="F38" t="s">
        <v>303</v>
      </c>
      <c r="G38">
        <v>70669</v>
      </c>
      <c r="H38">
        <v>30.193916000000002</v>
      </c>
      <c r="I38">
        <v>-93.321347000000003</v>
      </c>
      <c r="J38" t="s">
        <v>713</v>
      </c>
      <c r="K38">
        <v>110000597266</v>
      </c>
      <c r="M38">
        <v>2821</v>
      </c>
      <c r="R38">
        <v>0.82766439909296996</v>
      </c>
      <c r="W38" t="s">
        <v>1732</v>
      </c>
      <c r="X38">
        <v>315</v>
      </c>
      <c r="Y38">
        <v>8080206000583</v>
      </c>
      <c r="AA38" t="s">
        <v>1465</v>
      </c>
      <c r="AB38" t="s">
        <v>1466</v>
      </c>
    </row>
    <row r="39" spans="1:28" x14ac:dyDescent="0.25">
      <c r="A39">
        <v>2015</v>
      </c>
      <c r="C39" t="s">
        <v>1105</v>
      </c>
      <c r="D39" t="s">
        <v>1735</v>
      </c>
      <c r="E39" t="s">
        <v>1106</v>
      </c>
      <c r="F39" t="s">
        <v>345</v>
      </c>
      <c r="G39">
        <v>61953</v>
      </c>
      <c r="H39">
        <v>39.795811999999998</v>
      </c>
      <c r="I39">
        <v>-88.347945999999993</v>
      </c>
      <c r="J39" t="s">
        <v>714</v>
      </c>
      <c r="K39">
        <v>110000746211</v>
      </c>
      <c r="M39">
        <v>2869</v>
      </c>
      <c r="R39">
        <v>5.5453514739229002</v>
      </c>
      <c r="W39" t="s">
        <v>1736</v>
      </c>
      <c r="X39" t="s">
        <v>1737</v>
      </c>
      <c r="Y39">
        <v>7140201000696</v>
      </c>
      <c r="AA39" t="s">
        <v>1465</v>
      </c>
      <c r="AB39" t="s">
        <v>1466</v>
      </c>
    </row>
    <row r="40" spans="1:28" x14ac:dyDescent="0.25">
      <c r="A40">
        <v>2015</v>
      </c>
      <c r="C40" t="s">
        <v>144</v>
      </c>
      <c r="D40" t="s">
        <v>467</v>
      </c>
      <c r="E40" t="s">
        <v>302</v>
      </c>
      <c r="F40" t="s">
        <v>303</v>
      </c>
      <c r="G40">
        <v>70805</v>
      </c>
      <c r="H40">
        <v>30.494948000000001</v>
      </c>
      <c r="I40">
        <v>-91.178173999999999</v>
      </c>
      <c r="K40">
        <v>110001143584</v>
      </c>
      <c r="M40">
        <v>2869</v>
      </c>
      <c r="R40">
        <v>2.2189562499999999E-2</v>
      </c>
      <c r="W40" t="s">
        <v>852</v>
      </c>
      <c r="X40">
        <v>701</v>
      </c>
      <c r="Y40">
        <v>8070201006480</v>
      </c>
      <c r="AA40" t="s">
        <v>1465</v>
      </c>
      <c r="AB40" t="s">
        <v>1466</v>
      </c>
    </row>
    <row r="41" spans="1:28" x14ac:dyDescent="0.25">
      <c r="A41">
        <v>2015</v>
      </c>
      <c r="C41" t="s">
        <v>145</v>
      </c>
      <c r="D41" t="s">
        <v>468</v>
      </c>
      <c r="E41" t="s">
        <v>314</v>
      </c>
      <c r="F41" t="s">
        <v>469</v>
      </c>
      <c r="G41">
        <v>479099201</v>
      </c>
      <c r="H41">
        <v>40.390543999999998</v>
      </c>
      <c r="I41">
        <v>-86.936173999999994</v>
      </c>
      <c r="J41" t="s">
        <v>470</v>
      </c>
      <c r="K41">
        <v>110000404296</v>
      </c>
      <c r="M41">
        <v>2833</v>
      </c>
      <c r="R41">
        <v>0.122344671201814</v>
      </c>
      <c r="W41" t="s">
        <v>853</v>
      </c>
      <c r="X41" t="s">
        <v>854</v>
      </c>
      <c r="Y41">
        <v>5120108000208</v>
      </c>
      <c r="AA41" t="s">
        <v>1465</v>
      </c>
      <c r="AB41" t="s">
        <v>1466</v>
      </c>
    </row>
    <row r="42" spans="1:28" x14ac:dyDescent="0.25">
      <c r="A42">
        <v>2015</v>
      </c>
      <c r="C42" t="s">
        <v>146</v>
      </c>
      <c r="D42" t="s">
        <v>471</v>
      </c>
      <c r="E42" t="s">
        <v>472</v>
      </c>
      <c r="F42" t="s">
        <v>450</v>
      </c>
      <c r="G42">
        <v>11222</v>
      </c>
      <c r="H42">
        <v>40.73095</v>
      </c>
      <c r="I42">
        <v>-73.942520000000002</v>
      </c>
      <c r="K42">
        <v>110037107154</v>
      </c>
      <c r="M42">
        <v>4959</v>
      </c>
      <c r="R42">
        <v>0.33509494475000001</v>
      </c>
      <c r="W42" t="s">
        <v>855</v>
      </c>
      <c r="X42" t="s">
        <v>856</v>
      </c>
      <c r="Y42">
        <v>2030101001969</v>
      </c>
      <c r="AA42" t="s">
        <v>1465</v>
      </c>
      <c r="AB42" t="s">
        <v>1466</v>
      </c>
    </row>
    <row r="43" spans="1:28" x14ac:dyDescent="0.25">
      <c r="A43">
        <v>2015</v>
      </c>
      <c r="C43" t="s">
        <v>1109</v>
      </c>
      <c r="D43" t="s">
        <v>1748</v>
      </c>
      <c r="E43" t="s">
        <v>1110</v>
      </c>
      <c r="F43" t="s">
        <v>338</v>
      </c>
      <c r="G43">
        <v>8536</v>
      </c>
      <c r="H43">
        <v>40.331944</v>
      </c>
      <c r="I43">
        <v>-74.619721999999996</v>
      </c>
      <c r="K43">
        <v>110000321651</v>
      </c>
      <c r="M43">
        <v>2869</v>
      </c>
      <c r="R43">
        <v>5.7349999999999996E-3</v>
      </c>
      <c r="W43" t="s">
        <v>1749</v>
      </c>
      <c r="X43" t="s">
        <v>1750</v>
      </c>
      <c r="Y43">
        <v>2060002000003</v>
      </c>
      <c r="AA43" t="s">
        <v>1465</v>
      </c>
      <c r="AB43" t="s">
        <v>1466</v>
      </c>
    </row>
    <row r="44" spans="1:28" x14ac:dyDescent="0.25">
      <c r="A44">
        <v>2015</v>
      </c>
      <c r="C44" t="s">
        <v>1116</v>
      </c>
      <c r="D44" t="s">
        <v>1766</v>
      </c>
      <c r="E44" t="s">
        <v>1117</v>
      </c>
      <c r="F44" t="s">
        <v>450</v>
      </c>
      <c r="G44">
        <v>14105</v>
      </c>
      <c r="H44">
        <v>43.207166999999998</v>
      </c>
      <c r="I44">
        <v>-78.468874999999997</v>
      </c>
      <c r="J44" t="s">
        <v>716</v>
      </c>
      <c r="K44">
        <v>110000326601</v>
      </c>
      <c r="M44">
        <v>2879</v>
      </c>
      <c r="R44">
        <v>8.6343079349999893E-2</v>
      </c>
      <c r="W44" t="s">
        <v>1767</v>
      </c>
      <c r="X44" t="s">
        <v>1768</v>
      </c>
      <c r="Y44">
        <v>4130001000130</v>
      </c>
      <c r="AA44" t="s">
        <v>1465</v>
      </c>
      <c r="AB44" t="s">
        <v>1466</v>
      </c>
    </row>
    <row r="45" spans="1:28" x14ac:dyDescent="0.25">
      <c r="A45">
        <v>2015</v>
      </c>
      <c r="C45" t="s">
        <v>148</v>
      </c>
      <c r="D45" t="s">
        <v>476</v>
      </c>
      <c r="E45" t="s">
        <v>477</v>
      </c>
      <c r="F45" t="s">
        <v>478</v>
      </c>
      <c r="G45">
        <v>19706</v>
      </c>
      <c r="H45">
        <v>39.585099999999997</v>
      </c>
      <c r="I45">
        <v>-75.649199999999993</v>
      </c>
      <c r="K45">
        <v>110000338536</v>
      </c>
      <c r="M45">
        <v>2821</v>
      </c>
      <c r="R45">
        <v>7.1360544217687005E-2</v>
      </c>
      <c r="W45" t="s">
        <v>859</v>
      </c>
      <c r="X45" t="s">
        <v>783</v>
      </c>
      <c r="Y45">
        <v>2040205000476</v>
      </c>
      <c r="AA45" t="s">
        <v>1465</v>
      </c>
      <c r="AB45" t="s">
        <v>1466</v>
      </c>
    </row>
    <row r="46" spans="1:28" x14ac:dyDescent="0.25">
      <c r="A46">
        <v>2015</v>
      </c>
      <c r="C46" t="s">
        <v>1131</v>
      </c>
      <c r="D46" t="s">
        <v>1795</v>
      </c>
      <c r="E46" t="s">
        <v>962</v>
      </c>
      <c r="F46" t="s">
        <v>374</v>
      </c>
      <c r="G46">
        <v>85001</v>
      </c>
      <c r="H46">
        <v>33.460380000000001</v>
      </c>
      <c r="I46">
        <v>-112.00823</v>
      </c>
      <c r="K46">
        <v>110043452019</v>
      </c>
      <c r="M46">
        <v>9999</v>
      </c>
      <c r="R46">
        <v>0.25314609900000001</v>
      </c>
      <c r="W46" t="s">
        <v>1796</v>
      </c>
      <c r="Y46">
        <v>15020015000457</v>
      </c>
      <c r="AA46" t="s">
        <v>1465</v>
      </c>
      <c r="AB46" t="s">
        <v>1466</v>
      </c>
    </row>
    <row r="47" spans="1:28" x14ac:dyDescent="0.25">
      <c r="A47">
        <v>2015</v>
      </c>
      <c r="C47" t="s">
        <v>1134</v>
      </c>
      <c r="D47" t="s">
        <v>1800</v>
      </c>
      <c r="E47" t="s">
        <v>1135</v>
      </c>
      <c r="F47" t="s">
        <v>299</v>
      </c>
      <c r="G47">
        <v>72501</v>
      </c>
      <c r="H47">
        <v>35.722341999999998</v>
      </c>
      <c r="I47">
        <v>-91.524983000000006</v>
      </c>
      <c r="J47" t="s">
        <v>718</v>
      </c>
      <c r="K47">
        <v>110017432937</v>
      </c>
      <c r="M47">
        <v>2865</v>
      </c>
      <c r="R47">
        <v>7.0317460317460299</v>
      </c>
      <c r="W47" t="s">
        <v>1801</v>
      </c>
      <c r="X47" t="s">
        <v>1802</v>
      </c>
      <c r="Y47">
        <v>11010004002024</v>
      </c>
      <c r="AA47" t="s">
        <v>1465</v>
      </c>
      <c r="AB47" t="s">
        <v>1466</v>
      </c>
    </row>
    <row r="48" spans="1:28" x14ac:dyDescent="0.25">
      <c r="A48">
        <v>2015</v>
      </c>
      <c r="C48" t="s">
        <v>1136</v>
      </c>
      <c r="D48" t="s">
        <v>1803</v>
      </c>
      <c r="E48" t="s">
        <v>1137</v>
      </c>
      <c r="F48" t="s">
        <v>427</v>
      </c>
      <c r="G48">
        <v>49022</v>
      </c>
      <c r="H48">
        <v>42.076250000000002</v>
      </c>
      <c r="I48">
        <v>-86.43656</v>
      </c>
      <c r="J48" t="s">
        <v>719</v>
      </c>
      <c r="K48">
        <v>110000593206</v>
      </c>
      <c r="M48">
        <v>3561</v>
      </c>
      <c r="R48">
        <v>4.0128570000000002E-2</v>
      </c>
      <c r="W48" t="s">
        <v>1804</v>
      </c>
      <c r="X48" t="s">
        <v>1805</v>
      </c>
      <c r="Y48">
        <v>4050001000919</v>
      </c>
      <c r="AA48" t="s">
        <v>1465</v>
      </c>
      <c r="AB48" t="s">
        <v>1466</v>
      </c>
    </row>
    <row r="49" spans="1:28" x14ac:dyDescent="0.25">
      <c r="A49">
        <v>2015</v>
      </c>
      <c r="C49" t="s">
        <v>151</v>
      </c>
      <c r="D49" t="s">
        <v>485</v>
      </c>
      <c r="E49" t="s">
        <v>486</v>
      </c>
      <c r="F49" t="s">
        <v>308</v>
      </c>
      <c r="G49">
        <v>1905</v>
      </c>
      <c r="H49">
        <v>42.452603000000003</v>
      </c>
      <c r="I49">
        <v>-70.973436000000007</v>
      </c>
      <c r="J49" t="s">
        <v>487</v>
      </c>
      <c r="K49">
        <v>110000310191</v>
      </c>
      <c r="M49">
        <v>3724</v>
      </c>
      <c r="R49">
        <v>4.5278062500000001E-2</v>
      </c>
      <c r="W49" t="s">
        <v>864</v>
      </c>
      <c r="X49" t="s">
        <v>865</v>
      </c>
      <c r="Y49">
        <v>1090001001195</v>
      </c>
      <c r="AA49" t="s">
        <v>1465</v>
      </c>
      <c r="AB49" t="s">
        <v>1466</v>
      </c>
    </row>
    <row r="50" spans="1:28" x14ac:dyDescent="0.25">
      <c r="A50">
        <v>2015</v>
      </c>
      <c r="C50" t="s">
        <v>151</v>
      </c>
      <c r="D50" t="s">
        <v>485</v>
      </c>
      <c r="E50" t="s">
        <v>486</v>
      </c>
      <c r="F50" t="s">
        <v>308</v>
      </c>
      <c r="G50">
        <v>1905</v>
      </c>
      <c r="H50">
        <v>42.452603000000003</v>
      </c>
      <c r="I50">
        <v>-70.973436000000007</v>
      </c>
      <c r="J50" t="s">
        <v>487</v>
      </c>
      <c r="K50">
        <v>110000310191</v>
      </c>
      <c r="M50">
        <v>3724</v>
      </c>
      <c r="R50">
        <v>4.87508E-4</v>
      </c>
      <c r="W50" t="s">
        <v>864</v>
      </c>
      <c r="X50" t="s">
        <v>865</v>
      </c>
      <c r="Y50">
        <v>1090001001195</v>
      </c>
      <c r="AA50" t="s">
        <v>1465</v>
      </c>
      <c r="AB50" t="s">
        <v>1466</v>
      </c>
    </row>
    <row r="51" spans="1:28" x14ac:dyDescent="0.25">
      <c r="A51">
        <v>2015</v>
      </c>
      <c r="C51" t="s">
        <v>1816</v>
      </c>
      <c r="D51" t="s">
        <v>497</v>
      </c>
      <c r="E51" t="s">
        <v>498</v>
      </c>
      <c r="F51" t="s">
        <v>338</v>
      </c>
      <c r="G51">
        <v>8066</v>
      </c>
      <c r="H51">
        <v>39.852891</v>
      </c>
      <c r="I51">
        <v>-75.225210000000004</v>
      </c>
      <c r="K51">
        <v>110064625730</v>
      </c>
      <c r="M51">
        <v>4952</v>
      </c>
      <c r="R51">
        <v>1.386145</v>
      </c>
      <c r="W51" t="s">
        <v>870</v>
      </c>
      <c r="X51" t="s">
        <v>871</v>
      </c>
      <c r="Y51">
        <v>2040202000030</v>
      </c>
      <c r="AA51" t="s">
        <v>1465</v>
      </c>
      <c r="AB51" t="s">
        <v>263</v>
      </c>
    </row>
    <row r="52" spans="1:28" x14ac:dyDescent="0.25">
      <c r="A52">
        <v>2015</v>
      </c>
      <c r="C52" t="s">
        <v>1150</v>
      </c>
      <c r="D52" t="s">
        <v>1835</v>
      </c>
      <c r="E52" t="s">
        <v>1151</v>
      </c>
      <c r="F52" t="s">
        <v>338</v>
      </c>
      <c r="G52">
        <v>8610</v>
      </c>
      <c r="H52">
        <v>40.183062999999997</v>
      </c>
      <c r="I52">
        <v>-74.710695000000001</v>
      </c>
      <c r="K52">
        <v>110056977080</v>
      </c>
      <c r="M52">
        <v>4952</v>
      </c>
      <c r="R52">
        <v>1.5121548124999999</v>
      </c>
      <c r="W52" t="s">
        <v>1836</v>
      </c>
      <c r="X52" t="s">
        <v>1837</v>
      </c>
      <c r="Y52">
        <v>2040201000021</v>
      </c>
      <c r="AA52" t="s">
        <v>1465</v>
      </c>
      <c r="AB52" t="s">
        <v>263</v>
      </c>
    </row>
    <row r="53" spans="1:28" x14ac:dyDescent="0.25">
      <c r="A53">
        <v>2015</v>
      </c>
      <c r="C53" t="s">
        <v>1160</v>
      </c>
      <c r="D53" t="s">
        <v>1856</v>
      </c>
      <c r="E53" t="s">
        <v>1103</v>
      </c>
      <c r="F53" t="s">
        <v>345</v>
      </c>
      <c r="G53" t="s">
        <v>1857</v>
      </c>
      <c r="H53">
        <v>41.304952</v>
      </c>
      <c r="I53">
        <v>-88.561650999999998</v>
      </c>
      <c r="J53" t="s">
        <v>720</v>
      </c>
      <c r="K53">
        <v>110000433022</v>
      </c>
      <c r="M53">
        <v>2821</v>
      </c>
      <c r="R53">
        <v>1.8291383219954601E-2</v>
      </c>
      <c r="W53" t="s">
        <v>1858</v>
      </c>
      <c r="X53" t="s">
        <v>1859</v>
      </c>
      <c r="Y53">
        <v>7120005000124</v>
      </c>
      <c r="AA53" t="s">
        <v>1465</v>
      </c>
      <c r="AB53" t="s">
        <v>1466</v>
      </c>
    </row>
    <row r="54" spans="1:28" x14ac:dyDescent="0.25">
      <c r="A54">
        <v>2015</v>
      </c>
      <c r="C54" t="s">
        <v>1169</v>
      </c>
      <c r="D54" t="s">
        <v>1882</v>
      </c>
      <c r="E54" t="s">
        <v>1170</v>
      </c>
      <c r="F54" t="s">
        <v>1171</v>
      </c>
      <c r="G54">
        <v>96706</v>
      </c>
      <c r="H54">
        <v>21.329699999999999</v>
      </c>
      <c r="I54">
        <v>-158.03559999999999</v>
      </c>
      <c r="K54">
        <v>110020728943</v>
      </c>
      <c r="M54">
        <v>4952</v>
      </c>
      <c r="R54">
        <v>0.30303079416000001</v>
      </c>
      <c r="W54" t="s">
        <v>1883</v>
      </c>
      <c r="X54" t="s">
        <v>926</v>
      </c>
      <c r="Y54">
        <v>20060000002243</v>
      </c>
      <c r="AA54" t="s">
        <v>1465</v>
      </c>
      <c r="AB54" t="s">
        <v>263</v>
      </c>
    </row>
    <row r="55" spans="1:28" x14ac:dyDescent="0.25">
      <c r="A55">
        <v>2015</v>
      </c>
      <c r="C55" t="s">
        <v>1179</v>
      </c>
      <c r="D55" t="s">
        <v>1897</v>
      </c>
      <c r="E55" t="s">
        <v>1180</v>
      </c>
      <c r="F55" t="s">
        <v>450</v>
      </c>
      <c r="G55">
        <v>13760</v>
      </c>
      <c r="H55">
        <v>42.107010000000002</v>
      </c>
      <c r="I55">
        <v>-76.051990000000004</v>
      </c>
      <c r="K55">
        <v>110041145926</v>
      </c>
      <c r="M55">
        <v>3471</v>
      </c>
      <c r="R55">
        <v>0.40981859410430799</v>
      </c>
      <c r="W55" t="s">
        <v>1898</v>
      </c>
      <c r="X55" t="s">
        <v>1899</v>
      </c>
      <c r="Y55">
        <v>2050103001134</v>
      </c>
      <c r="AA55" t="s">
        <v>1465</v>
      </c>
      <c r="AB55" t="s">
        <v>1466</v>
      </c>
    </row>
    <row r="56" spans="1:28" x14ac:dyDescent="0.25">
      <c r="A56">
        <v>2015</v>
      </c>
      <c r="C56" t="s">
        <v>1181</v>
      </c>
      <c r="D56" t="s">
        <v>1903</v>
      </c>
      <c r="E56" t="s">
        <v>1182</v>
      </c>
      <c r="F56" t="s">
        <v>345</v>
      </c>
      <c r="G56">
        <v>60439</v>
      </c>
      <c r="H56">
        <v>41.692782000000001</v>
      </c>
      <c r="I56">
        <v>-87.951100999999994</v>
      </c>
      <c r="K56">
        <v>110018199377</v>
      </c>
      <c r="M56">
        <v>4226</v>
      </c>
      <c r="R56">
        <v>1.3641234625000001</v>
      </c>
      <c r="W56" t="s">
        <v>1904</v>
      </c>
      <c r="X56" t="s">
        <v>1905</v>
      </c>
      <c r="Y56">
        <v>7120004000954</v>
      </c>
      <c r="AA56" t="s">
        <v>1465</v>
      </c>
      <c r="AB56" t="s">
        <v>1466</v>
      </c>
    </row>
    <row r="57" spans="1:28" x14ac:dyDescent="0.25">
      <c r="A57">
        <v>2015</v>
      </c>
      <c r="C57" t="s">
        <v>1183</v>
      </c>
      <c r="D57" t="s">
        <v>377</v>
      </c>
      <c r="E57" t="s">
        <v>480</v>
      </c>
      <c r="F57" t="s">
        <v>362</v>
      </c>
      <c r="G57">
        <v>77978</v>
      </c>
      <c r="H57">
        <v>28.642944</v>
      </c>
      <c r="I57">
        <v>-96.547611000000003</v>
      </c>
      <c r="K57">
        <v>110063004528</v>
      </c>
      <c r="M57">
        <v>4491</v>
      </c>
      <c r="R57">
        <v>8.2600055000000006E-2</v>
      </c>
      <c r="W57" t="s">
        <v>804</v>
      </c>
      <c r="X57" t="s">
        <v>805</v>
      </c>
      <c r="Y57">
        <v>12100401000758</v>
      </c>
      <c r="AA57" t="s">
        <v>1465</v>
      </c>
      <c r="AB57" t="s">
        <v>1466</v>
      </c>
    </row>
    <row r="58" spans="1:28" x14ac:dyDescent="0.25">
      <c r="A58">
        <v>2015</v>
      </c>
      <c r="C58" t="s">
        <v>1186</v>
      </c>
      <c r="D58" t="s">
        <v>1913</v>
      </c>
      <c r="E58" t="s">
        <v>1187</v>
      </c>
      <c r="F58" t="s">
        <v>478</v>
      </c>
      <c r="G58">
        <v>19973</v>
      </c>
      <c r="H58">
        <v>38.624206999999998</v>
      </c>
      <c r="I58">
        <v>-75.628699999999995</v>
      </c>
      <c r="K58">
        <v>110064631849</v>
      </c>
      <c r="M58">
        <v>2821</v>
      </c>
      <c r="R58">
        <v>9.1383219954648497E-4</v>
      </c>
      <c r="W58" t="s">
        <v>1914</v>
      </c>
      <c r="X58" t="s">
        <v>1915</v>
      </c>
      <c r="Y58">
        <v>2080109011489</v>
      </c>
      <c r="AA58" t="s">
        <v>1465</v>
      </c>
      <c r="AB58" t="s">
        <v>1466</v>
      </c>
    </row>
    <row r="59" spans="1:28" x14ac:dyDescent="0.25">
      <c r="A59">
        <v>2015</v>
      </c>
      <c r="C59" t="s">
        <v>1192</v>
      </c>
      <c r="D59" t="s">
        <v>1924</v>
      </c>
      <c r="E59" t="s">
        <v>323</v>
      </c>
      <c r="F59" t="s">
        <v>324</v>
      </c>
      <c r="G59">
        <v>420290037</v>
      </c>
      <c r="H59">
        <v>37.047736999999998</v>
      </c>
      <c r="I59">
        <v>-88.35866</v>
      </c>
      <c r="J59" t="s">
        <v>721</v>
      </c>
      <c r="K59">
        <v>110000741608</v>
      </c>
      <c r="M59">
        <v>2869</v>
      </c>
      <c r="R59">
        <v>4.7176870748299304</v>
      </c>
      <c r="W59" t="s">
        <v>1925</v>
      </c>
      <c r="X59" t="s">
        <v>1926</v>
      </c>
      <c r="Y59">
        <v>6040006000329</v>
      </c>
      <c r="AA59" t="s">
        <v>1465</v>
      </c>
      <c r="AB59" t="s">
        <v>1466</v>
      </c>
    </row>
    <row r="60" spans="1:28" x14ac:dyDescent="0.25">
      <c r="A60">
        <v>2015</v>
      </c>
      <c r="C60" t="s">
        <v>1196</v>
      </c>
      <c r="D60" t="s">
        <v>1932</v>
      </c>
      <c r="E60" t="s">
        <v>1197</v>
      </c>
      <c r="F60" t="s">
        <v>1171</v>
      </c>
      <c r="G60" t="s">
        <v>1933</v>
      </c>
      <c r="H60">
        <v>21.426439999999999</v>
      </c>
      <c r="I60">
        <v>-157.75324000000001</v>
      </c>
      <c r="K60">
        <v>110000867054</v>
      </c>
      <c r="M60">
        <v>4952</v>
      </c>
      <c r="R60">
        <v>0.3657504546</v>
      </c>
      <c r="W60" t="s">
        <v>1934</v>
      </c>
      <c r="X60" t="s">
        <v>926</v>
      </c>
      <c r="Y60">
        <v>20060000001124</v>
      </c>
      <c r="AA60" t="s">
        <v>1465</v>
      </c>
      <c r="AB60" t="s">
        <v>1466</v>
      </c>
    </row>
    <row r="61" spans="1:28" x14ac:dyDescent="0.25">
      <c r="A61">
        <v>2015</v>
      </c>
      <c r="C61" t="s">
        <v>1202</v>
      </c>
      <c r="D61" t="s">
        <v>1941</v>
      </c>
      <c r="E61" t="s">
        <v>1203</v>
      </c>
      <c r="F61" t="s">
        <v>491</v>
      </c>
      <c r="G61">
        <v>15774</v>
      </c>
      <c r="H61">
        <v>40.660400000000003</v>
      </c>
      <c r="I61">
        <v>-79.341099999999997</v>
      </c>
      <c r="J61" t="s">
        <v>722</v>
      </c>
      <c r="K61">
        <v>110000538525</v>
      </c>
      <c r="M61">
        <v>4911</v>
      </c>
      <c r="R61">
        <v>2.7619438337500002</v>
      </c>
      <c r="W61" t="s">
        <v>1942</v>
      </c>
      <c r="X61" t="s">
        <v>1943</v>
      </c>
      <c r="Y61">
        <v>5010006001748</v>
      </c>
      <c r="AA61" t="s">
        <v>1465</v>
      </c>
      <c r="AB61" t="s">
        <v>1466</v>
      </c>
    </row>
    <row r="62" spans="1:28" x14ac:dyDescent="0.25">
      <c r="A62">
        <v>2015</v>
      </c>
      <c r="C62" t="s">
        <v>1209</v>
      </c>
      <c r="D62" t="s">
        <v>1953</v>
      </c>
      <c r="E62" t="s">
        <v>446</v>
      </c>
      <c r="F62" t="s">
        <v>303</v>
      </c>
      <c r="G62">
        <v>70669</v>
      </c>
      <c r="H62">
        <v>30.258800000000001</v>
      </c>
      <c r="I62">
        <v>-93.293700000000001</v>
      </c>
      <c r="J62" t="s">
        <v>723</v>
      </c>
      <c r="K62">
        <v>110017418061</v>
      </c>
      <c r="M62">
        <v>2869</v>
      </c>
      <c r="R62">
        <v>0.87055000000000005</v>
      </c>
      <c r="W62" t="s">
        <v>1954</v>
      </c>
      <c r="X62">
        <v>315</v>
      </c>
      <c r="Y62">
        <v>8080206001238</v>
      </c>
      <c r="AA62" t="s">
        <v>1465</v>
      </c>
      <c r="AB62" t="s">
        <v>1466</v>
      </c>
    </row>
    <row r="63" spans="1:28" x14ac:dyDescent="0.25">
      <c r="A63">
        <v>2015</v>
      </c>
      <c r="C63" t="s">
        <v>1209</v>
      </c>
      <c r="D63" t="s">
        <v>1953</v>
      </c>
      <c r="E63" t="s">
        <v>446</v>
      </c>
      <c r="F63" t="s">
        <v>303</v>
      </c>
      <c r="G63">
        <v>70669</v>
      </c>
      <c r="H63">
        <v>30.258800000000001</v>
      </c>
      <c r="I63">
        <v>-93.293700000000001</v>
      </c>
      <c r="J63" t="s">
        <v>723</v>
      </c>
      <c r="K63">
        <v>110017418061</v>
      </c>
      <c r="M63">
        <v>2869</v>
      </c>
      <c r="R63">
        <v>2.4375399999999998</v>
      </c>
      <c r="W63" t="s">
        <v>1954</v>
      </c>
      <c r="X63">
        <v>315</v>
      </c>
      <c r="Y63">
        <v>8080206001238</v>
      </c>
      <c r="AA63" t="s">
        <v>1465</v>
      </c>
      <c r="AB63" t="s">
        <v>1466</v>
      </c>
    </row>
    <row r="64" spans="1:28" x14ac:dyDescent="0.25">
      <c r="A64">
        <v>2015</v>
      </c>
      <c r="C64" t="s">
        <v>1212</v>
      </c>
      <c r="D64" t="s">
        <v>1963</v>
      </c>
      <c r="E64" t="s">
        <v>1213</v>
      </c>
      <c r="F64" t="s">
        <v>1128</v>
      </c>
      <c r="G64">
        <v>80125</v>
      </c>
      <c r="H64">
        <v>39.496341999999999</v>
      </c>
      <c r="I64">
        <v>-105.10758800000001</v>
      </c>
      <c r="J64" t="s">
        <v>724</v>
      </c>
      <c r="K64">
        <v>110000610429</v>
      </c>
      <c r="M64">
        <v>3761</v>
      </c>
      <c r="R64">
        <v>4.9010697025000001E-2</v>
      </c>
      <c r="W64" t="s">
        <v>1964</v>
      </c>
      <c r="X64" t="s">
        <v>1965</v>
      </c>
      <c r="Y64">
        <v>10190002000856</v>
      </c>
      <c r="AA64" t="s">
        <v>1465</v>
      </c>
      <c r="AB64" t="s">
        <v>1466</v>
      </c>
    </row>
    <row r="65" spans="1:28" x14ac:dyDescent="0.25">
      <c r="A65">
        <v>2015</v>
      </c>
      <c r="C65" t="s">
        <v>1229</v>
      </c>
      <c r="D65" t="s">
        <v>1995</v>
      </c>
      <c r="E65" t="s">
        <v>358</v>
      </c>
      <c r="F65" t="s">
        <v>275</v>
      </c>
      <c r="G65">
        <v>83702</v>
      </c>
      <c r="H65">
        <v>43.626778999999999</v>
      </c>
      <c r="I65">
        <v>-116.229345</v>
      </c>
      <c r="K65">
        <v>110064411417</v>
      </c>
      <c r="M65">
        <v>3273</v>
      </c>
      <c r="R65">
        <v>0.82984312935791904</v>
      </c>
      <c r="W65" t="s">
        <v>1996</v>
      </c>
      <c r="Y65">
        <v>17050114000862</v>
      </c>
      <c r="AA65" t="s">
        <v>1465</v>
      </c>
      <c r="AB65" t="s">
        <v>1466</v>
      </c>
    </row>
    <row r="66" spans="1:28" x14ac:dyDescent="0.25">
      <c r="A66">
        <v>2015</v>
      </c>
      <c r="C66" t="s">
        <v>1230</v>
      </c>
      <c r="D66" t="s">
        <v>1997</v>
      </c>
      <c r="E66" t="s">
        <v>1231</v>
      </c>
      <c r="F66" t="s">
        <v>541</v>
      </c>
      <c r="G66" t="s">
        <v>1998</v>
      </c>
      <c r="H66">
        <v>34.807729999999999</v>
      </c>
      <c r="I66">
        <v>-82.006420000000006</v>
      </c>
      <c r="K66">
        <v>110000587384</v>
      </c>
      <c r="M66">
        <v>3674</v>
      </c>
      <c r="R66">
        <v>4.5139909999999998E-2</v>
      </c>
      <c r="W66" t="s">
        <v>1999</v>
      </c>
      <c r="X66" t="s">
        <v>2000</v>
      </c>
      <c r="Y66">
        <v>3050107000093</v>
      </c>
      <c r="AA66" t="s">
        <v>1465</v>
      </c>
      <c r="AB66" t="s">
        <v>1466</v>
      </c>
    </row>
    <row r="67" spans="1:28" x14ac:dyDescent="0.25">
      <c r="A67">
        <v>2015</v>
      </c>
      <c r="C67" t="s">
        <v>172</v>
      </c>
      <c r="D67" t="s">
        <v>558</v>
      </c>
      <c r="E67" t="s">
        <v>559</v>
      </c>
      <c r="F67" t="s">
        <v>338</v>
      </c>
      <c r="G67" t="s">
        <v>560</v>
      </c>
      <c r="H67">
        <v>39.766944000000002</v>
      </c>
      <c r="I67">
        <v>-75.421361000000005</v>
      </c>
      <c r="J67" t="s">
        <v>561</v>
      </c>
      <c r="K67">
        <v>110041022274</v>
      </c>
      <c r="M67">
        <v>2821</v>
      </c>
      <c r="R67">
        <v>3.1E-6</v>
      </c>
      <c r="W67" t="s">
        <v>902</v>
      </c>
      <c r="X67" t="s">
        <v>783</v>
      </c>
      <c r="Y67">
        <v>2040206001666</v>
      </c>
      <c r="AA67" t="s">
        <v>1465</v>
      </c>
      <c r="AB67" t="s">
        <v>1466</v>
      </c>
    </row>
    <row r="68" spans="1:28" x14ac:dyDescent="0.25">
      <c r="A68">
        <v>2015</v>
      </c>
      <c r="C68" t="s">
        <v>1235</v>
      </c>
      <c r="D68" t="s">
        <v>2012</v>
      </c>
      <c r="E68" t="s">
        <v>1236</v>
      </c>
      <c r="F68" t="s">
        <v>450</v>
      </c>
      <c r="G68">
        <v>13502</v>
      </c>
      <c r="H68">
        <v>43.107216000000001</v>
      </c>
      <c r="I68">
        <v>-75.225815999999995</v>
      </c>
      <c r="K68">
        <v>110002321345</v>
      </c>
      <c r="M68">
        <v>5169</v>
      </c>
      <c r="R68">
        <v>1.85859226674999E-2</v>
      </c>
      <c r="W68" t="s">
        <v>2013</v>
      </c>
      <c r="X68" t="s">
        <v>2014</v>
      </c>
      <c r="Y68">
        <v>2020004002623</v>
      </c>
      <c r="AA68" t="s">
        <v>1465</v>
      </c>
      <c r="AB68" t="s">
        <v>1466</v>
      </c>
    </row>
    <row r="69" spans="1:28" x14ac:dyDescent="0.25">
      <c r="A69">
        <v>2015</v>
      </c>
      <c r="C69" t="s">
        <v>1241</v>
      </c>
      <c r="D69" t="s">
        <v>2023</v>
      </c>
      <c r="E69" t="s">
        <v>1242</v>
      </c>
      <c r="F69" t="s">
        <v>338</v>
      </c>
      <c r="G69" t="s">
        <v>2024</v>
      </c>
      <c r="H69">
        <v>39.920290000000001</v>
      </c>
      <c r="I69">
        <v>-74.927520000000001</v>
      </c>
      <c r="K69">
        <v>110029618297</v>
      </c>
      <c r="M69">
        <v>4952</v>
      </c>
      <c r="R69">
        <v>0.96465834750000001</v>
      </c>
      <c r="W69" t="s">
        <v>2025</v>
      </c>
      <c r="X69" t="s">
        <v>1680</v>
      </c>
      <c r="Y69">
        <v>2040202011430</v>
      </c>
      <c r="AA69" t="s">
        <v>1465</v>
      </c>
      <c r="AB69" t="s">
        <v>263</v>
      </c>
    </row>
    <row r="70" spans="1:28" x14ac:dyDescent="0.25">
      <c r="A70">
        <v>2015</v>
      </c>
      <c r="C70" t="s">
        <v>1259</v>
      </c>
      <c r="D70" t="s">
        <v>2051</v>
      </c>
      <c r="E70" t="s">
        <v>1260</v>
      </c>
      <c r="F70" t="s">
        <v>374</v>
      </c>
      <c r="G70">
        <v>85648</v>
      </c>
      <c r="H70">
        <v>31.456666999999999</v>
      </c>
      <c r="I70">
        <v>-110.968056</v>
      </c>
      <c r="K70">
        <v>110028190419</v>
      </c>
      <c r="M70">
        <v>4952</v>
      </c>
      <c r="R70">
        <v>19.451872000000002</v>
      </c>
      <c r="W70" t="s">
        <v>2052</v>
      </c>
      <c r="Y70">
        <v>15010001000530</v>
      </c>
      <c r="AA70" t="s">
        <v>1465</v>
      </c>
      <c r="AB70" t="s">
        <v>1466</v>
      </c>
    </row>
    <row r="71" spans="1:28" x14ac:dyDescent="0.25">
      <c r="A71">
        <v>2015</v>
      </c>
      <c r="C71" t="s">
        <v>1261</v>
      </c>
      <c r="D71" t="s">
        <v>2053</v>
      </c>
      <c r="E71" t="s">
        <v>966</v>
      </c>
      <c r="F71" t="s">
        <v>491</v>
      </c>
      <c r="G71" t="s">
        <v>2054</v>
      </c>
      <c r="H71">
        <v>39.991410000000002</v>
      </c>
      <c r="I71">
        <v>-75.085030000000003</v>
      </c>
      <c r="K71">
        <v>110001076978</v>
      </c>
      <c r="M71">
        <v>4952</v>
      </c>
      <c r="R71">
        <v>537.65925000000004</v>
      </c>
      <c r="W71" t="s">
        <v>2055</v>
      </c>
      <c r="X71" t="s">
        <v>2056</v>
      </c>
      <c r="Y71">
        <v>2040202001980</v>
      </c>
      <c r="AA71" t="s">
        <v>1465</v>
      </c>
      <c r="AB71" t="s">
        <v>263</v>
      </c>
    </row>
    <row r="72" spans="1:28" x14ac:dyDescent="0.25">
      <c r="A72">
        <v>2015</v>
      </c>
      <c r="C72" t="s">
        <v>215</v>
      </c>
      <c r="D72" t="s">
        <v>2065</v>
      </c>
      <c r="E72" t="s">
        <v>1103</v>
      </c>
      <c r="F72" t="s">
        <v>345</v>
      </c>
      <c r="G72" t="s">
        <v>2066</v>
      </c>
      <c r="H72">
        <v>41.404808000000003</v>
      </c>
      <c r="I72">
        <v>-88.334732000000002</v>
      </c>
      <c r="J72" t="s">
        <v>727</v>
      </c>
      <c r="K72">
        <v>110000547196</v>
      </c>
      <c r="M72">
        <v>2869</v>
      </c>
      <c r="R72">
        <v>4.06303854875283E-2</v>
      </c>
      <c r="W72" t="s">
        <v>2067</v>
      </c>
      <c r="X72" t="s">
        <v>2068</v>
      </c>
      <c r="Y72">
        <v>7120005000849</v>
      </c>
      <c r="AA72" t="s">
        <v>1465</v>
      </c>
      <c r="AB72" t="s">
        <v>1466</v>
      </c>
    </row>
    <row r="73" spans="1:28" x14ac:dyDescent="0.25">
      <c r="A73">
        <v>2015</v>
      </c>
      <c r="C73" t="s">
        <v>1266</v>
      </c>
      <c r="D73" t="s">
        <v>2070</v>
      </c>
      <c r="E73" t="s">
        <v>1267</v>
      </c>
      <c r="F73" t="s">
        <v>491</v>
      </c>
      <c r="G73">
        <v>15061</v>
      </c>
      <c r="H73">
        <v>40.655278000000003</v>
      </c>
      <c r="I73">
        <v>-80.356388999999993</v>
      </c>
      <c r="J73" t="s">
        <v>728</v>
      </c>
      <c r="K73">
        <v>110059344473</v>
      </c>
      <c r="M73">
        <v>2821</v>
      </c>
      <c r="R73">
        <v>0.19201814058956901</v>
      </c>
      <c r="W73" t="s">
        <v>2071</v>
      </c>
      <c r="X73" t="s">
        <v>2072</v>
      </c>
      <c r="Y73">
        <v>5030101000019</v>
      </c>
      <c r="AA73" t="s">
        <v>1465</v>
      </c>
      <c r="AB73" t="s">
        <v>1466</v>
      </c>
    </row>
    <row r="74" spans="1:28" x14ac:dyDescent="0.25">
      <c r="A74">
        <v>2015</v>
      </c>
      <c r="C74" t="s">
        <v>1274</v>
      </c>
      <c r="D74" t="s">
        <v>2083</v>
      </c>
      <c r="E74" t="s">
        <v>1273</v>
      </c>
      <c r="F74" t="s">
        <v>324</v>
      </c>
      <c r="G74">
        <v>42303</v>
      </c>
      <c r="H74">
        <v>37.8125</v>
      </c>
      <c r="I74">
        <v>-87.05</v>
      </c>
      <c r="J74" t="s">
        <v>729</v>
      </c>
      <c r="K74">
        <v>110000747835</v>
      </c>
      <c r="M74">
        <v>2821</v>
      </c>
      <c r="R74">
        <v>1.07596371882086E-2</v>
      </c>
      <c r="W74" t="s">
        <v>2084</v>
      </c>
      <c r="X74" t="s">
        <v>2085</v>
      </c>
      <c r="Y74">
        <v>5140201000239</v>
      </c>
      <c r="AA74" t="s">
        <v>1465</v>
      </c>
      <c r="AB74" t="s">
        <v>1466</v>
      </c>
    </row>
    <row r="75" spans="1:28" x14ac:dyDescent="0.25">
      <c r="A75">
        <v>2015</v>
      </c>
      <c r="C75" t="s">
        <v>1275</v>
      </c>
      <c r="D75" t="s">
        <v>2087</v>
      </c>
      <c r="E75" t="s">
        <v>1276</v>
      </c>
      <c r="F75" t="s">
        <v>366</v>
      </c>
      <c r="G75">
        <v>93033</v>
      </c>
      <c r="H75">
        <v>34.141618999999999</v>
      </c>
      <c r="I75">
        <v>-119.184014</v>
      </c>
      <c r="K75">
        <v>110070097306</v>
      </c>
      <c r="M75">
        <v>4952</v>
      </c>
      <c r="R75">
        <v>12.408163265306101</v>
      </c>
      <c r="W75" t="s">
        <v>2088</v>
      </c>
      <c r="X75" t="s">
        <v>926</v>
      </c>
      <c r="Y75">
        <v>18070103000060</v>
      </c>
      <c r="AA75" t="s">
        <v>1465</v>
      </c>
      <c r="AB75" t="s">
        <v>263</v>
      </c>
    </row>
    <row r="76" spans="1:28" x14ac:dyDescent="0.25">
      <c r="A76">
        <v>2015</v>
      </c>
      <c r="C76" t="s">
        <v>1279</v>
      </c>
      <c r="D76" t="s">
        <v>2092</v>
      </c>
      <c r="E76" t="s">
        <v>1280</v>
      </c>
      <c r="F76" t="s">
        <v>374</v>
      </c>
      <c r="G76">
        <v>85138</v>
      </c>
      <c r="H76">
        <v>33.084569999999999</v>
      </c>
      <c r="I76">
        <v>-112.00959</v>
      </c>
      <c r="K76">
        <v>110015940776</v>
      </c>
      <c r="M76">
        <v>4952</v>
      </c>
      <c r="R76">
        <v>4.5300204749999997</v>
      </c>
      <c r="W76" t="s">
        <v>2093</v>
      </c>
      <c r="Y76">
        <v>15020008000253</v>
      </c>
      <c r="AA76" t="s">
        <v>1465</v>
      </c>
      <c r="AB76" t="s">
        <v>1466</v>
      </c>
    </row>
    <row r="77" spans="1:28" x14ac:dyDescent="0.25">
      <c r="A77">
        <v>2015</v>
      </c>
      <c r="C77" t="s">
        <v>1279</v>
      </c>
      <c r="D77" t="s">
        <v>2092</v>
      </c>
      <c r="E77" t="s">
        <v>1280</v>
      </c>
      <c r="F77" t="s">
        <v>374</v>
      </c>
      <c r="G77">
        <v>85138</v>
      </c>
      <c r="H77">
        <v>33.084569999999999</v>
      </c>
      <c r="I77">
        <v>-112.00959</v>
      </c>
      <c r="K77">
        <v>110015940776</v>
      </c>
      <c r="M77">
        <v>4952</v>
      </c>
      <c r="R77">
        <v>2.0852738350000002</v>
      </c>
      <c r="W77" t="s">
        <v>2093</v>
      </c>
      <c r="Y77">
        <v>15020008000253</v>
      </c>
      <c r="AA77" t="s">
        <v>1465</v>
      </c>
      <c r="AB77" t="s">
        <v>1466</v>
      </c>
    </row>
    <row r="78" spans="1:28" x14ac:dyDescent="0.25">
      <c r="A78">
        <v>2015</v>
      </c>
      <c r="C78" t="s">
        <v>1287</v>
      </c>
      <c r="D78" t="s">
        <v>2105</v>
      </c>
      <c r="E78" t="s">
        <v>1205</v>
      </c>
      <c r="F78" t="s">
        <v>374</v>
      </c>
      <c r="G78">
        <v>86401</v>
      </c>
      <c r="H78">
        <v>35.16666</v>
      </c>
      <c r="I78">
        <v>-113.78333000000001</v>
      </c>
      <c r="K78">
        <v>110010062644</v>
      </c>
      <c r="M78">
        <v>5541</v>
      </c>
      <c r="R78">
        <v>9.4634462500000002E-3</v>
      </c>
      <c r="W78" t="s">
        <v>2106</v>
      </c>
      <c r="Y78">
        <v>15060106000200</v>
      </c>
      <c r="AA78" t="s">
        <v>1465</v>
      </c>
      <c r="AB78" t="s">
        <v>1466</v>
      </c>
    </row>
    <row r="79" spans="1:28" x14ac:dyDescent="0.25">
      <c r="A79">
        <v>2015</v>
      </c>
      <c r="C79" t="s">
        <v>1288</v>
      </c>
      <c r="D79" t="s">
        <v>2107</v>
      </c>
      <c r="E79" t="s">
        <v>966</v>
      </c>
      <c r="F79" t="s">
        <v>491</v>
      </c>
      <c r="G79" t="s">
        <v>2108</v>
      </c>
      <c r="H79">
        <v>39.901820000000001</v>
      </c>
      <c r="I79">
        <v>-75.144549999999995</v>
      </c>
      <c r="K79">
        <v>110000540610</v>
      </c>
      <c r="M79">
        <v>4952</v>
      </c>
      <c r="R79">
        <v>265.36635000000001</v>
      </c>
      <c r="W79" t="s">
        <v>2109</v>
      </c>
      <c r="X79" t="s">
        <v>783</v>
      </c>
      <c r="Y79">
        <v>2040202000077</v>
      </c>
      <c r="AA79" t="s">
        <v>1465</v>
      </c>
      <c r="AB79" t="s">
        <v>263</v>
      </c>
    </row>
    <row r="80" spans="1:28" x14ac:dyDescent="0.25">
      <c r="A80">
        <v>2015</v>
      </c>
      <c r="C80" t="s">
        <v>1289</v>
      </c>
      <c r="D80" t="s">
        <v>2111</v>
      </c>
      <c r="E80" t="s">
        <v>966</v>
      </c>
      <c r="F80" t="s">
        <v>491</v>
      </c>
      <c r="G80">
        <v>19153</v>
      </c>
      <c r="H80">
        <v>39.886130000000001</v>
      </c>
      <c r="I80">
        <v>-75.218249999999998</v>
      </c>
      <c r="K80">
        <v>110000542119</v>
      </c>
      <c r="R80">
        <v>563.87037499999997</v>
      </c>
      <c r="W80" t="s">
        <v>2112</v>
      </c>
      <c r="X80" t="s">
        <v>2113</v>
      </c>
      <c r="Y80">
        <v>2040203009681</v>
      </c>
      <c r="AA80" t="s">
        <v>1465</v>
      </c>
      <c r="AB80" t="s">
        <v>263</v>
      </c>
    </row>
    <row r="81" spans="1:28" x14ac:dyDescent="0.25">
      <c r="A81">
        <v>2015</v>
      </c>
      <c r="C81" t="s">
        <v>1290</v>
      </c>
      <c r="D81" t="s">
        <v>2115</v>
      </c>
      <c r="E81" t="s">
        <v>544</v>
      </c>
      <c r="F81" t="s">
        <v>338</v>
      </c>
      <c r="G81">
        <v>7036</v>
      </c>
      <c r="H81">
        <v>40.636499999999998</v>
      </c>
      <c r="I81">
        <v>-74.219899999999996</v>
      </c>
      <c r="J81" t="s">
        <v>730</v>
      </c>
      <c r="K81">
        <v>110041133163</v>
      </c>
      <c r="M81">
        <v>2911</v>
      </c>
      <c r="R81">
        <v>1.845</v>
      </c>
      <c r="W81" t="s">
        <v>2116</v>
      </c>
      <c r="X81" t="s">
        <v>2117</v>
      </c>
      <c r="Y81">
        <v>2030104000282</v>
      </c>
      <c r="AA81" t="s">
        <v>1465</v>
      </c>
      <c r="AB81" t="s">
        <v>1466</v>
      </c>
    </row>
    <row r="82" spans="1:28" x14ac:dyDescent="0.25">
      <c r="A82">
        <v>2015</v>
      </c>
      <c r="C82" t="s">
        <v>1295</v>
      </c>
      <c r="D82" t="s">
        <v>2126</v>
      </c>
      <c r="E82" t="s">
        <v>964</v>
      </c>
      <c r="F82" t="s">
        <v>374</v>
      </c>
      <c r="G82" t="s">
        <v>2127</v>
      </c>
      <c r="H82">
        <v>32.334964999999997</v>
      </c>
      <c r="I82">
        <v>-111.06332500000001</v>
      </c>
      <c r="K82">
        <v>110039276404</v>
      </c>
      <c r="M82">
        <v>4952</v>
      </c>
      <c r="R82">
        <v>1.8324960164999999</v>
      </c>
      <c r="W82" t="s">
        <v>2128</v>
      </c>
      <c r="Y82">
        <v>15060106000338</v>
      </c>
      <c r="AA82" t="s">
        <v>1465</v>
      </c>
      <c r="AB82" t="s">
        <v>263</v>
      </c>
    </row>
    <row r="83" spans="1:28" x14ac:dyDescent="0.25">
      <c r="A83">
        <v>2015</v>
      </c>
      <c r="C83" t="s">
        <v>1296</v>
      </c>
      <c r="D83" t="s">
        <v>2129</v>
      </c>
      <c r="E83" t="s">
        <v>1297</v>
      </c>
      <c r="F83" t="s">
        <v>374</v>
      </c>
      <c r="G83">
        <v>86510</v>
      </c>
      <c r="H83">
        <v>35.092222</v>
      </c>
      <c r="I83">
        <v>-110.22666700000001</v>
      </c>
      <c r="K83">
        <v>110024409460</v>
      </c>
      <c r="M83">
        <v>4952</v>
      </c>
      <c r="R83">
        <v>0.68060356</v>
      </c>
      <c r="W83" t="s">
        <v>2130</v>
      </c>
      <c r="X83" t="s">
        <v>2131</v>
      </c>
      <c r="Y83">
        <v>15020011000140</v>
      </c>
      <c r="AA83" t="s">
        <v>1465</v>
      </c>
      <c r="AB83" t="s">
        <v>263</v>
      </c>
    </row>
    <row r="84" spans="1:28" x14ac:dyDescent="0.25">
      <c r="A84">
        <v>2015</v>
      </c>
      <c r="C84" t="s">
        <v>1303</v>
      </c>
      <c r="D84" t="s">
        <v>2142</v>
      </c>
      <c r="E84" t="s">
        <v>1304</v>
      </c>
      <c r="F84" t="s">
        <v>374</v>
      </c>
      <c r="G84">
        <v>85346</v>
      </c>
      <c r="H84">
        <v>33.708300000000001</v>
      </c>
      <c r="I84">
        <v>-114.2206</v>
      </c>
      <c r="K84">
        <v>110010062528</v>
      </c>
      <c r="M84">
        <v>4952</v>
      </c>
      <c r="R84">
        <v>0.29219253750000002</v>
      </c>
      <c r="W84" t="s">
        <v>2143</v>
      </c>
      <c r="Y84">
        <v>15060106000006</v>
      </c>
      <c r="AA84" t="s">
        <v>1465</v>
      </c>
      <c r="AB84" t="s">
        <v>263</v>
      </c>
    </row>
    <row r="85" spans="1:28" x14ac:dyDescent="0.25">
      <c r="A85">
        <v>2015</v>
      </c>
      <c r="C85" t="s">
        <v>1309</v>
      </c>
      <c r="D85" t="s">
        <v>2152</v>
      </c>
      <c r="E85" t="s">
        <v>1310</v>
      </c>
      <c r="F85" t="s">
        <v>366</v>
      </c>
      <c r="G85">
        <v>92316</v>
      </c>
      <c r="H85">
        <v>34.055900000000001</v>
      </c>
      <c r="I85">
        <v>-117.36134</v>
      </c>
      <c r="K85">
        <v>110000525842</v>
      </c>
      <c r="M85">
        <v>4952</v>
      </c>
      <c r="R85">
        <v>0.93800816249999996</v>
      </c>
      <c r="W85" t="s">
        <v>2153</v>
      </c>
      <c r="X85" t="s">
        <v>2154</v>
      </c>
      <c r="Y85">
        <v>18070203002243</v>
      </c>
      <c r="AA85" t="s">
        <v>1465</v>
      </c>
      <c r="AB85" t="s">
        <v>263</v>
      </c>
    </row>
    <row r="86" spans="1:28" x14ac:dyDescent="0.25">
      <c r="A86">
        <v>2015</v>
      </c>
      <c r="C86" t="s">
        <v>1313</v>
      </c>
      <c r="D86" t="s">
        <v>2158</v>
      </c>
      <c r="E86" t="s">
        <v>1314</v>
      </c>
      <c r="F86" t="s">
        <v>374</v>
      </c>
      <c r="G86">
        <v>86001</v>
      </c>
      <c r="H86">
        <v>35.188434999999998</v>
      </c>
      <c r="I86">
        <v>-111.63066000000001</v>
      </c>
      <c r="K86">
        <v>110064629442</v>
      </c>
      <c r="M86">
        <v>4952</v>
      </c>
      <c r="R86">
        <v>0.15127698749999999</v>
      </c>
      <c r="W86" t="s">
        <v>2159</v>
      </c>
      <c r="Y86">
        <v>15030108000333</v>
      </c>
      <c r="AA86" t="s">
        <v>1465</v>
      </c>
      <c r="AB86" t="s">
        <v>263</v>
      </c>
    </row>
    <row r="87" spans="1:28" x14ac:dyDescent="0.25">
      <c r="A87">
        <v>2015</v>
      </c>
      <c r="C87" t="s">
        <v>1317</v>
      </c>
      <c r="D87" t="s">
        <v>2163</v>
      </c>
      <c r="E87" t="s">
        <v>1318</v>
      </c>
      <c r="F87" t="s">
        <v>491</v>
      </c>
      <c r="G87">
        <v>19021</v>
      </c>
      <c r="H87">
        <v>40.095258000000001</v>
      </c>
      <c r="I87">
        <v>-74.877359999999996</v>
      </c>
      <c r="K87">
        <v>110064634686</v>
      </c>
      <c r="M87">
        <v>2821</v>
      </c>
      <c r="R87">
        <v>0.10095238095238</v>
      </c>
      <c r="W87" t="s">
        <v>2164</v>
      </c>
      <c r="X87" t="s">
        <v>2165</v>
      </c>
      <c r="Y87">
        <v>2040201000476</v>
      </c>
      <c r="AA87" t="s">
        <v>1465</v>
      </c>
      <c r="AB87" t="s">
        <v>1466</v>
      </c>
    </row>
    <row r="88" spans="1:28" x14ac:dyDescent="0.25">
      <c r="A88">
        <v>2015</v>
      </c>
      <c r="C88" t="s">
        <v>1323</v>
      </c>
      <c r="D88" t="s">
        <v>2175</v>
      </c>
      <c r="E88" t="s">
        <v>1324</v>
      </c>
      <c r="F88" t="s">
        <v>450</v>
      </c>
      <c r="G88">
        <v>12158</v>
      </c>
      <c r="H88">
        <v>42.574556000000001</v>
      </c>
      <c r="I88">
        <v>-73.851360999999997</v>
      </c>
      <c r="K88">
        <v>110000324391</v>
      </c>
      <c r="M88">
        <v>2821</v>
      </c>
      <c r="R88">
        <v>0.53492063492063402</v>
      </c>
      <c r="W88" t="s">
        <v>2176</v>
      </c>
      <c r="X88" t="s">
        <v>2177</v>
      </c>
      <c r="Y88">
        <v>2020006000238</v>
      </c>
      <c r="AA88" t="s">
        <v>1465</v>
      </c>
      <c r="AB88" t="s">
        <v>1466</v>
      </c>
    </row>
    <row r="89" spans="1:28" x14ac:dyDescent="0.25">
      <c r="A89">
        <v>2015</v>
      </c>
      <c r="C89" t="s">
        <v>1325</v>
      </c>
      <c r="D89" t="s">
        <v>2179</v>
      </c>
      <c r="E89" t="s">
        <v>1326</v>
      </c>
      <c r="F89" t="s">
        <v>469</v>
      </c>
      <c r="G89">
        <v>47620</v>
      </c>
      <c r="H89">
        <v>37.907200000000003</v>
      </c>
      <c r="I89">
        <v>-87.927099999999996</v>
      </c>
      <c r="J89" t="s">
        <v>732</v>
      </c>
      <c r="K89">
        <v>110000403670</v>
      </c>
      <c r="M89">
        <v>2821</v>
      </c>
      <c r="R89">
        <v>22.775510204081598</v>
      </c>
      <c r="W89" t="s">
        <v>2180</v>
      </c>
      <c r="X89" t="s">
        <v>830</v>
      </c>
      <c r="Y89">
        <v>5140202000333</v>
      </c>
      <c r="AA89" t="s">
        <v>1465</v>
      </c>
      <c r="AB89" t="s">
        <v>1466</v>
      </c>
    </row>
    <row r="90" spans="1:28" x14ac:dyDescent="0.25">
      <c r="A90">
        <v>2015</v>
      </c>
      <c r="C90" t="s">
        <v>1329</v>
      </c>
      <c r="D90" t="s">
        <v>2184</v>
      </c>
      <c r="E90" t="s">
        <v>1330</v>
      </c>
      <c r="F90" t="s">
        <v>374</v>
      </c>
      <c r="G90">
        <v>85603</v>
      </c>
      <c r="H90">
        <v>31.359059999999999</v>
      </c>
      <c r="I90">
        <v>-109.91528</v>
      </c>
      <c r="K90">
        <v>110039713067</v>
      </c>
      <c r="M90">
        <v>4952</v>
      </c>
      <c r="R90">
        <v>0.46695544999999999</v>
      </c>
      <c r="W90" t="s">
        <v>2185</v>
      </c>
      <c r="Y90">
        <v>15080301000134</v>
      </c>
      <c r="AA90" t="s">
        <v>1465</v>
      </c>
      <c r="AB90" t="s">
        <v>1466</v>
      </c>
    </row>
    <row r="91" spans="1:28" x14ac:dyDescent="0.25">
      <c r="A91">
        <v>2015</v>
      </c>
      <c r="C91" t="s">
        <v>1334</v>
      </c>
      <c r="D91" t="s">
        <v>2193</v>
      </c>
      <c r="E91" t="s">
        <v>1335</v>
      </c>
      <c r="F91" t="s">
        <v>366</v>
      </c>
      <c r="G91" t="s">
        <v>2194</v>
      </c>
      <c r="H91">
        <v>36.963245999999998</v>
      </c>
      <c r="I91">
        <v>-122.034009</v>
      </c>
      <c r="K91">
        <v>110013848453</v>
      </c>
      <c r="M91">
        <v>4952</v>
      </c>
      <c r="R91">
        <v>2.3917698875000002</v>
      </c>
      <c r="W91" t="s">
        <v>2195</v>
      </c>
      <c r="X91" t="s">
        <v>2196</v>
      </c>
      <c r="Y91">
        <v>18060015000054</v>
      </c>
      <c r="AA91" t="s">
        <v>1465</v>
      </c>
      <c r="AB91" t="s">
        <v>263</v>
      </c>
    </row>
    <row r="92" spans="1:28" x14ac:dyDescent="0.25">
      <c r="A92">
        <v>2015</v>
      </c>
      <c r="C92" t="s">
        <v>190</v>
      </c>
      <c r="D92" t="s">
        <v>622</v>
      </c>
      <c r="E92" t="s">
        <v>623</v>
      </c>
      <c r="F92" t="s">
        <v>338</v>
      </c>
      <c r="G92">
        <v>8086</v>
      </c>
      <c r="H92">
        <v>39.845474000000003</v>
      </c>
      <c r="I92">
        <v>-75.209485999999998</v>
      </c>
      <c r="J92" t="s">
        <v>624</v>
      </c>
      <c r="K92">
        <v>110013317614</v>
      </c>
      <c r="M92">
        <v>2821</v>
      </c>
      <c r="R92">
        <v>6.8153499999999996</v>
      </c>
      <c r="W92" t="s">
        <v>934</v>
      </c>
      <c r="X92" t="s">
        <v>935</v>
      </c>
      <c r="Y92">
        <v>2040202001763</v>
      </c>
      <c r="AA92" t="s">
        <v>1465</v>
      </c>
      <c r="AB92" t="s">
        <v>1466</v>
      </c>
    </row>
    <row r="93" spans="1:28" x14ac:dyDescent="0.25">
      <c r="A93">
        <v>2015</v>
      </c>
      <c r="C93" t="s">
        <v>1356</v>
      </c>
      <c r="D93" t="s">
        <v>2231</v>
      </c>
      <c r="E93" t="s">
        <v>1357</v>
      </c>
      <c r="F93" t="s">
        <v>418</v>
      </c>
      <c r="G93">
        <v>89434</v>
      </c>
      <c r="H93">
        <v>39.530619999999999</v>
      </c>
      <c r="I93">
        <v>-119.73309</v>
      </c>
      <c r="K93">
        <v>110009830200</v>
      </c>
      <c r="M93">
        <v>9511</v>
      </c>
      <c r="R93">
        <v>1.8857816249999999</v>
      </c>
      <c r="W93" t="s">
        <v>2232</v>
      </c>
      <c r="X93" t="s">
        <v>2233</v>
      </c>
      <c r="Y93">
        <v>16050102000423</v>
      </c>
      <c r="AA93" t="s">
        <v>1465</v>
      </c>
      <c r="AB93" t="s">
        <v>1466</v>
      </c>
    </row>
    <row r="94" spans="1:28" x14ac:dyDescent="0.25">
      <c r="A94">
        <v>2015</v>
      </c>
      <c r="C94" t="s">
        <v>191</v>
      </c>
      <c r="D94" t="s">
        <v>625</v>
      </c>
      <c r="E94" t="s">
        <v>626</v>
      </c>
      <c r="F94" t="s">
        <v>324</v>
      </c>
      <c r="G94">
        <v>42276</v>
      </c>
      <c r="H94">
        <v>36.985556000000003</v>
      </c>
      <c r="I94">
        <v>-86.787499999999994</v>
      </c>
      <c r="K94">
        <v>110046299778</v>
      </c>
      <c r="M94">
        <v>3532</v>
      </c>
      <c r="R94">
        <v>1.3789512E-2</v>
      </c>
      <c r="W94" t="s">
        <v>936</v>
      </c>
      <c r="X94" t="s">
        <v>937</v>
      </c>
      <c r="Y94">
        <v>5110003000734</v>
      </c>
      <c r="AA94" t="s">
        <v>1465</v>
      </c>
      <c r="AB94" t="s">
        <v>1466</v>
      </c>
    </row>
    <row r="95" spans="1:28" x14ac:dyDescent="0.25">
      <c r="A95">
        <v>2015</v>
      </c>
      <c r="C95" t="s">
        <v>191</v>
      </c>
      <c r="D95" t="s">
        <v>625</v>
      </c>
      <c r="E95" t="s">
        <v>626</v>
      </c>
      <c r="F95" t="s">
        <v>324</v>
      </c>
      <c r="G95">
        <v>42276</v>
      </c>
      <c r="H95">
        <v>36.985556000000003</v>
      </c>
      <c r="I95">
        <v>-86.787499999999994</v>
      </c>
      <c r="K95">
        <v>110046299778</v>
      </c>
      <c r="M95">
        <v>3532</v>
      </c>
      <c r="R95">
        <v>1.3663849999999999E-3</v>
      </c>
      <c r="W95" t="s">
        <v>936</v>
      </c>
      <c r="X95" t="s">
        <v>937</v>
      </c>
      <c r="Y95">
        <v>5110003000734</v>
      </c>
      <c r="AA95" t="s">
        <v>1465</v>
      </c>
      <c r="AB95" t="s">
        <v>1466</v>
      </c>
    </row>
    <row r="96" spans="1:28" x14ac:dyDescent="0.25">
      <c r="A96">
        <v>2015</v>
      </c>
      <c r="C96" t="s">
        <v>191</v>
      </c>
      <c r="D96" t="s">
        <v>625</v>
      </c>
      <c r="E96" t="s">
        <v>626</v>
      </c>
      <c r="F96" t="s">
        <v>324</v>
      </c>
      <c r="G96">
        <v>42276</v>
      </c>
      <c r="H96">
        <v>36.985556000000003</v>
      </c>
      <c r="I96">
        <v>-86.787499999999994</v>
      </c>
      <c r="K96">
        <v>110046299778</v>
      </c>
      <c r="M96">
        <v>3532</v>
      </c>
      <c r="R96">
        <v>2.7504333333333302E-3</v>
      </c>
      <c r="W96" t="s">
        <v>936</v>
      </c>
      <c r="X96" t="s">
        <v>937</v>
      </c>
      <c r="Y96">
        <v>5110003000734</v>
      </c>
      <c r="AA96" t="s">
        <v>1465</v>
      </c>
      <c r="AB96" t="s">
        <v>1466</v>
      </c>
    </row>
    <row r="97" spans="1:28" x14ac:dyDescent="0.25">
      <c r="A97">
        <v>2015</v>
      </c>
      <c r="C97" t="s">
        <v>1363</v>
      </c>
      <c r="D97" t="s">
        <v>2242</v>
      </c>
      <c r="E97" t="s">
        <v>1364</v>
      </c>
      <c r="F97" t="s">
        <v>303</v>
      </c>
      <c r="G97">
        <v>70776</v>
      </c>
      <c r="H97">
        <v>30.241299999999999</v>
      </c>
      <c r="I97">
        <v>-91.100899999999996</v>
      </c>
      <c r="J97" t="s">
        <v>735</v>
      </c>
      <c r="K97">
        <v>110000597426</v>
      </c>
      <c r="M97">
        <v>2819</v>
      </c>
      <c r="R97">
        <v>0.82766439909296996</v>
      </c>
      <c r="W97" t="s">
        <v>2243</v>
      </c>
      <c r="X97">
        <v>402</v>
      </c>
      <c r="Y97">
        <v>8070202002351</v>
      </c>
      <c r="AA97" t="s">
        <v>1465</v>
      </c>
      <c r="AB97" t="s">
        <v>1466</v>
      </c>
    </row>
    <row r="98" spans="1:28" x14ac:dyDescent="0.25">
      <c r="A98">
        <v>2015</v>
      </c>
      <c r="C98" t="s">
        <v>1367</v>
      </c>
      <c r="D98" t="s">
        <v>2251</v>
      </c>
      <c r="E98" t="s">
        <v>1364</v>
      </c>
      <c r="F98" t="s">
        <v>303</v>
      </c>
      <c r="G98">
        <v>70776</v>
      </c>
      <c r="H98">
        <v>30.250833</v>
      </c>
      <c r="I98">
        <v>-91.092277999999993</v>
      </c>
      <c r="J98" t="s">
        <v>736</v>
      </c>
      <c r="K98">
        <v>110056972432</v>
      </c>
      <c r="M98">
        <v>2869</v>
      </c>
      <c r="R98">
        <v>0.41383219954648498</v>
      </c>
      <c r="W98" t="s">
        <v>2252</v>
      </c>
      <c r="Y98">
        <v>8070202000842</v>
      </c>
      <c r="AA98" t="s">
        <v>1465</v>
      </c>
      <c r="AB98" t="s">
        <v>1466</v>
      </c>
    </row>
    <row r="99" spans="1:28" x14ac:dyDescent="0.25">
      <c r="A99">
        <v>2015</v>
      </c>
      <c r="C99" t="s">
        <v>1375</v>
      </c>
      <c r="D99" t="s">
        <v>2268</v>
      </c>
      <c r="E99" t="s">
        <v>657</v>
      </c>
      <c r="F99" t="s">
        <v>418</v>
      </c>
      <c r="G99">
        <v>89109</v>
      </c>
      <c r="H99">
        <v>36.137529999999998</v>
      </c>
      <c r="I99">
        <v>-115.15479000000001</v>
      </c>
      <c r="K99">
        <v>110020039402</v>
      </c>
      <c r="M99">
        <v>7011</v>
      </c>
      <c r="R99">
        <v>1.3915174000000001E-2</v>
      </c>
      <c r="W99" t="s">
        <v>2269</v>
      </c>
      <c r="X99" t="s">
        <v>2270</v>
      </c>
      <c r="Y99">
        <v>15010015000432</v>
      </c>
      <c r="AA99" t="s">
        <v>1465</v>
      </c>
      <c r="AB99" t="s">
        <v>1466</v>
      </c>
    </row>
    <row r="100" spans="1:28" x14ac:dyDescent="0.25">
      <c r="A100">
        <v>2015</v>
      </c>
      <c r="C100" t="s">
        <v>1379</v>
      </c>
      <c r="D100" t="s">
        <v>2278</v>
      </c>
      <c r="E100" t="s">
        <v>1380</v>
      </c>
      <c r="F100" t="s">
        <v>374</v>
      </c>
      <c r="G100">
        <v>85337</v>
      </c>
      <c r="H100">
        <v>32.970362000000002</v>
      </c>
      <c r="I100">
        <v>-112.73018399999999</v>
      </c>
      <c r="K100">
        <v>110010677829</v>
      </c>
      <c r="M100">
        <v>4952</v>
      </c>
      <c r="R100">
        <v>5.6433714403874999E-2</v>
      </c>
      <c r="W100" t="s">
        <v>2279</v>
      </c>
      <c r="Y100">
        <v>15070101000221</v>
      </c>
      <c r="AA100" t="s">
        <v>1465</v>
      </c>
      <c r="AB100" t="s">
        <v>263</v>
      </c>
    </row>
    <row r="101" spans="1:28" x14ac:dyDescent="0.25">
      <c r="A101">
        <v>2015</v>
      </c>
      <c r="C101" t="s">
        <v>196</v>
      </c>
      <c r="D101" t="s">
        <v>650</v>
      </c>
      <c r="E101" t="s">
        <v>651</v>
      </c>
      <c r="F101" t="s">
        <v>418</v>
      </c>
      <c r="G101">
        <v>89015</v>
      </c>
      <c r="H101">
        <v>36.035440000000001</v>
      </c>
      <c r="I101">
        <v>-114.99994</v>
      </c>
      <c r="J101" t="s">
        <v>652</v>
      </c>
      <c r="K101">
        <v>110043808467</v>
      </c>
      <c r="M101">
        <v>1799</v>
      </c>
      <c r="R101">
        <v>0.179535166666666</v>
      </c>
      <c r="W101" t="s">
        <v>947</v>
      </c>
      <c r="X101" t="s">
        <v>948</v>
      </c>
      <c r="Y101">
        <v>15010015000957</v>
      </c>
      <c r="AA101" t="s">
        <v>1465</v>
      </c>
      <c r="AB101" t="s">
        <v>1466</v>
      </c>
    </row>
    <row r="102" spans="1:28" x14ac:dyDescent="0.25">
      <c r="A102">
        <v>2015</v>
      </c>
      <c r="C102" t="s">
        <v>1384</v>
      </c>
      <c r="D102" t="s">
        <v>2285</v>
      </c>
      <c r="E102" t="s">
        <v>1385</v>
      </c>
      <c r="F102" t="s">
        <v>374</v>
      </c>
      <c r="G102">
        <v>86045</v>
      </c>
      <c r="H102">
        <v>36.091380999999998</v>
      </c>
      <c r="I102">
        <v>-111.289585</v>
      </c>
      <c r="K102">
        <v>110024409344</v>
      </c>
      <c r="M102">
        <v>4952</v>
      </c>
      <c r="R102">
        <v>1.5342876000000001</v>
      </c>
      <c r="W102" t="s">
        <v>2286</v>
      </c>
      <c r="X102" t="s">
        <v>2287</v>
      </c>
      <c r="Y102">
        <v>14080204013964</v>
      </c>
      <c r="AA102" t="s">
        <v>1465</v>
      </c>
      <c r="AB102" t="s">
        <v>263</v>
      </c>
    </row>
    <row r="103" spans="1:28" x14ac:dyDescent="0.25">
      <c r="A103">
        <v>2015</v>
      </c>
      <c r="C103" t="s">
        <v>1389</v>
      </c>
      <c r="D103" t="s">
        <v>2294</v>
      </c>
      <c r="E103" t="s">
        <v>358</v>
      </c>
      <c r="F103" t="s">
        <v>275</v>
      </c>
      <c r="G103">
        <v>83704</v>
      </c>
      <c r="H103">
        <v>43.605383000000003</v>
      </c>
      <c r="I103">
        <v>-116.27849000000001</v>
      </c>
      <c r="K103">
        <v>110062644367</v>
      </c>
      <c r="R103">
        <v>6.6055474532727199E-2</v>
      </c>
      <c r="W103" t="s">
        <v>2295</v>
      </c>
      <c r="X103" t="s">
        <v>2296</v>
      </c>
      <c r="Y103">
        <v>17050114001337</v>
      </c>
      <c r="AA103" t="s">
        <v>1465</v>
      </c>
      <c r="AB103" t="s">
        <v>1466</v>
      </c>
    </row>
    <row r="104" spans="1:28" x14ac:dyDescent="0.25">
      <c r="A104">
        <v>2015</v>
      </c>
      <c r="C104" t="s">
        <v>1391</v>
      </c>
      <c r="D104" t="s">
        <v>2300</v>
      </c>
      <c r="E104" t="s">
        <v>358</v>
      </c>
      <c r="F104" t="s">
        <v>275</v>
      </c>
      <c r="G104">
        <v>83704</v>
      </c>
      <c r="H104">
        <v>43.60971</v>
      </c>
      <c r="I104">
        <v>-116.28819</v>
      </c>
      <c r="K104">
        <v>110005791107</v>
      </c>
      <c r="R104">
        <v>0.14453857281749899</v>
      </c>
      <c r="W104" t="s">
        <v>2301</v>
      </c>
      <c r="X104" t="s">
        <v>2296</v>
      </c>
      <c r="Y104">
        <v>17050114001337</v>
      </c>
      <c r="AA104" t="s">
        <v>1465</v>
      </c>
      <c r="AB104" t="s">
        <v>1466</v>
      </c>
    </row>
    <row r="105" spans="1:28" x14ac:dyDescent="0.25">
      <c r="A105">
        <v>2015</v>
      </c>
      <c r="C105" t="s">
        <v>1394</v>
      </c>
      <c r="D105" t="s">
        <v>2304</v>
      </c>
      <c r="E105" t="s">
        <v>1395</v>
      </c>
      <c r="F105" t="s">
        <v>362</v>
      </c>
      <c r="G105">
        <v>78241</v>
      </c>
      <c r="H105">
        <v>29.378699999999998</v>
      </c>
      <c r="I105">
        <v>-98.551670000000001</v>
      </c>
      <c r="K105">
        <v>110042004915</v>
      </c>
      <c r="M105">
        <v>9711</v>
      </c>
      <c r="R105">
        <v>2.3839176526666599E-2</v>
      </c>
      <c r="W105" t="s">
        <v>2305</v>
      </c>
      <c r="X105" t="s">
        <v>2306</v>
      </c>
      <c r="Y105">
        <v>12100302000008</v>
      </c>
      <c r="AA105" t="s">
        <v>1465</v>
      </c>
      <c r="AB105" t="s">
        <v>1466</v>
      </c>
    </row>
    <row r="106" spans="1:28" x14ac:dyDescent="0.25">
      <c r="A106">
        <v>2015</v>
      </c>
      <c r="C106" t="s">
        <v>1396</v>
      </c>
      <c r="D106" t="s">
        <v>2307</v>
      </c>
      <c r="E106" t="s">
        <v>1397</v>
      </c>
      <c r="F106" t="s">
        <v>345</v>
      </c>
      <c r="G106" t="s">
        <v>2308</v>
      </c>
      <c r="H106">
        <v>41.715769999999999</v>
      </c>
      <c r="I106">
        <v>-87.978629999999995</v>
      </c>
      <c r="J106" t="s">
        <v>738</v>
      </c>
      <c r="K106">
        <v>110041963168</v>
      </c>
      <c r="M106">
        <v>8733</v>
      </c>
      <c r="R106">
        <v>4.76626125E-2</v>
      </c>
      <c r="W106" t="s">
        <v>2309</v>
      </c>
      <c r="X106" t="s">
        <v>2310</v>
      </c>
      <c r="Y106">
        <v>7120004000870</v>
      </c>
      <c r="AA106" t="s">
        <v>1465</v>
      </c>
      <c r="AB106" t="s">
        <v>1466</v>
      </c>
    </row>
    <row r="107" spans="1:28" x14ac:dyDescent="0.25">
      <c r="A107">
        <v>2015</v>
      </c>
      <c r="C107" t="s">
        <v>1408</v>
      </c>
      <c r="D107" t="s">
        <v>2327</v>
      </c>
      <c r="E107" t="s">
        <v>1409</v>
      </c>
      <c r="F107" t="s">
        <v>366</v>
      </c>
      <c r="G107" t="s">
        <v>2328</v>
      </c>
      <c r="H107">
        <v>34.616658000000001</v>
      </c>
      <c r="I107">
        <v>-117.355048</v>
      </c>
      <c r="K107">
        <v>110000517637</v>
      </c>
      <c r="M107">
        <v>4952</v>
      </c>
      <c r="R107">
        <v>1.86505875</v>
      </c>
      <c r="W107" t="s">
        <v>2329</v>
      </c>
      <c r="X107" t="s">
        <v>2330</v>
      </c>
      <c r="Y107">
        <v>18090208000542</v>
      </c>
      <c r="AA107" t="s">
        <v>1465</v>
      </c>
      <c r="AB107" t="s">
        <v>263</v>
      </c>
    </row>
    <row r="108" spans="1:28" x14ac:dyDescent="0.25">
      <c r="A108">
        <v>2015</v>
      </c>
      <c r="C108" t="s">
        <v>1421</v>
      </c>
      <c r="D108" t="s">
        <v>2350</v>
      </c>
      <c r="E108" t="s">
        <v>1422</v>
      </c>
      <c r="F108" t="s">
        <v>1171</v>
      </c>
      <c r="G108">
        <v>96746</v>
      </c>
      <c r="H108">
        <v>22.079093</v>
      </c>
      <c r="I108">
        <v>-159.35138900000001</v>
      </c>
      <c r="K108">
        <v>110010731262</v>
      </c>
      <c r="M108">
        <v>4952</v>
      </c>
      <c r="R108">
        <v>0.10465051875</v>
      </c>
      <c r="W108" t="s">
        <v>2351</v>
      </c>
      <c r="X108" t="s">
        <v>2352</v>
      </c>
      <c r="Y108">
        <v>20070000000062</v>
      </c>
      <c r="AA108" t="s">
        <v>1465</v>
      </c>
      <c r="AB108" t="s">
        <v>263</v>
      </c>
    </row>
    <row r="109" spans="1:28" x14ac:dyDescent="0.25">
      <c r="A109">
        <v>2015</v>
      </c>
      <c r="C109" t="s">
        <v>1428</v>
      </c>
      <c r="D109" t="s">
        <v>2362</v>
      </c>
      <c r="E109" t="s">
        <v>337</v>
      </c>
      <c r="F109" t="s">
        <v>338</v>
      </c>
      <c r="G109">
        <v>8066</v>
      </c>
      <c r="H109">
        <v>39.837310000000002</v>
      </c>
      <c r="I109">
        <v>-75.224580000000003</v>
      </c>
      <c r="K109">
        <v>110010354810</v>
      </c>
      <c r="M109">
        <v>4911</v>
      </c>
      <c r="R109">
        <v>0.39142956000000001</v>
      </c>
      <c r="W109" t="s">
        <v>2363</v>
      </c>
      <c r="X109" t="s">
        <v>783</v>
      </c>
      <c r="Y109">
        <v>2040202001766</v>
      </c>
      <c r="AA109" t="s">
        <v>1465</v>
      </c>
      <c r="AB109" t="s">
        <v>1466</v>
      </c>
    </row>
    <row r="110" spans="1:28" x14ac:dyDescent="0.25">
      <c r="A110">
        <v>2015</v>
      </c>
      <c r="C110" t="s">
        <v>1438</v>
      </c>
      <c r="D110" t="s">
        <v>2380</v>
      </c>
      <c r="E110" t="s">
        <v>1439</v>
      </c>
      <c r="F110" t="s">
        <v>374</v>
      </c>
      <c r="G110">
        <v>86504</v>
      </c>
      <c r="H110">
        <v>35.639485000000001</v>
      </c>
      <c r="I110">
        <v>-109.080939</v>
      </c>
      <c r="K110">
        <v>110024409433</v>
      </c>
      <c r="M110">
        <v>4952</v>
      </c>
      <c r="R110">
        <v>1.114304</v>
      </c>
      <c r="W110" t="s">
        <v>2381</v>
      </c>
      <c r="X110" t="s">
        <v>2037</v>
      </c>
      <c r="Y110">
        <v>14080204013964</v>
      </c>
      <c r="AA110" t="s">
        <v>1465</v>
      </c>
      <c r="AB110" t="s">
        <v>263</v>
      </c>
    </row>
    <row r="111" spans="1:28" x14ac:dyDescent="0.25">
      <c r="A111">
        <v>2015</v>
      </c>
      <c r="C111" t="s">
        <v>203</v>
      </c>
      <c r="D111" t="s">
        <v>669</v>
      </c>
      <c r="E111" t="s">
        <v>348</v>
      </c>
      <c r="F111" t="s">
        <v>349</v>
      </c>
      <c r="G111">
        <v>63461</v>
      </c>
      <c r="H111">
        <v>39.828163000000004</v>
      </c>
      <c r="I111">
        <v>-91.436942000000002</v>
      </c>
      <c r="K111">
        <v>110040330718</v>
      </c>
      <c r="M111">
        <v>9512</v>
      </c>
      <c r="R111">
        <v>6.2304884999999997E-2</v>
      </c>
      <c r="W111" t="s">
        <v>959</v>
      </c>
      <c r="X111" t="s">
        <v>960</v>
      </c>
      <c r="Y111">
        <v>7110004001360</v>
      </c>
      <c r="AA111" t="s">
        <v>1465</v>
      </c>
      <c r="AB111" t="s">
        <v>1466</v>
      </c>
    </row>
    <row r="112" spans="1:28" x14ac:dyDescent="0.25">
      <c r="A112">
        <v>2015</v>
      </c>
      <c r="C112" t="s">
        <v>1442</v>
      </c>
      <c r="D112" t="s">
        <v>2386</v>
      </c>
      <c r="E112" t="s">
        <v>1443</v>
      </c>
      <c r="F112" t="s">
        <v>450</v>
      </c>
      <c r="G112">
        <v>14580</v>
      </c>
      <c r="H112">
        <v>43.227834000000001</v>
      </c>
      <c r="I112">
        <v>-77.411534000000003</v>
      </c>
      <c r="J112" t="s">
        <v>740</v>
      </c>
      <c r="K112">
        <v>110000327799</v>
      </c>
      <c r="M112">
        <v>9511</v>
      </c>
      <c r="R112">
        <v>2.68709285467E-2</v>
      </c>
      <c r="W112" t="s">
        <v>2387</v>
      </c>
      <c r="X112" t="s">
        <v>2388</v>
      </c>
      <c r="Y112">
        <v>4140101000567</v>
      </c>
      <c r="AA112" t="s">
        <v>1465</v>
      </c>
      <c r="AB112" t="s">
        <v>1466</v>
      </c>
    </row>
    <row r="113" spans="1:28" x14ac:dyDescent="0.25">
      <c r="A113">
        <v>2015</v>
      </c>
      <c r="C113" t="s">
        <v>1442</v>
      </c>
      <c r="D113" t="s">
        <v>2386</v>
      </c>
      <c r="E113" t="s">
        <v>1443</v>
      </c>
      <c r="F113" t="s">
        <v>450</v>
      </c>
      <c r="G113">
        <v>14580</v>
      </c>
      <c r="H113">
        <v>43.227834000000001</v>
      </c>
      <c r="I113">
        <v>-77.411534000000003</v>
      </c>
      <c r="J113" t="s">
        <v>740</v>
      </c>
      <c r="K113">
        <v>110000327799</v>
      </c>
      <c r="M113">
        <v>9511</v>
      </c>
      <c r="R113">
        <v>3.0467491867500002E-2</v>
      </c>
      <c r="W113" t="s">
        <v>2387</v>
      </c>
      <c r="X113" t="s">
        <v>2388</v>
      </c>
      <c r="Y113">
        <v>4140101000567</v>
      </c>
      <c r="AA113" t="s">
        <v>1465</v>
      </c>
      <c r="AB113" t="s">
        <v>1466</v>
      </c>
    </row>
    <row r="114" spans="1:28" x14ac:dyDescent="0.25">
      <c r="A114">
        <v>2015</v>
      </c>
      <c r="C114" t="s">
        <v>1442</v>
      </c>
      <c r="D114" t="s">
        <v>2386</v>
      </c>
      <c r="E114" t="s">
        <v>1443</v>
      </c>
      <c r="F114" t="s">
        <v>450</v>
      </c>
      <c r="G114">
        <v>14580</v>
      </c>
      <c r="H114">
        <v>43.227834000000001</v>
      </c>
      <c r="I114">
        <v>-77.411534000000003</v>
      </c>
      <c r="J114" t="s">
        <v>740</v>
      </c>
      <c r="K114">
        <v>110000327799</v>
      </c>
      <c r="M114">
        <v>9511</v>
      </c>
      <c r="R114">
        <v>1.8177116560462499E-2</v>
      </c>
      <c r="W114" t="s">
        <v>2387</v>
      </c>
      <c r="X114" t="s">
        <v>2388</v>
      </c>
      <c r="Y114">
        <v>4140101000567</v>
      </c>
      <c r="AA114" t="s">
        <v>1465</v>
      </c>
      <c r="AB114" t="s">
        <v>1466</v>
      </c>
    </row>
    <row r="115" spans="1:28" x14ac:dyDescent="0.25">
      <c r="A115">
        <v>2016</v>
      </c>
      <c r="C115" t="s">
        <v>961</v>
      </c>
      <c r="D115" t="s">
        <v>1462</v>
      </c>
      <c r="E115" t="s">
        <v>962</v>
      </c>
      <c r="F115" t="s">
        <v>374</v>
      </c>
      <c r="G115">
        <v>85009</v>
      </c>
      <c r="H115">
        <v>33.424239999999998</v>
      </c>
      <c r="I115">
        <v>-112.10626999999999</v>
      </c>
      <c r="K115">
        <v>110000509851</v>
      </c>
      <c r="M115">
        <v>4952</v>
      </c>
      <c r="R115">
        <v>5.8702435550000001</v>
      </c>
      <c r="W115" t="s">
        <v>1464</v>
      </c>
      <c r="Y115">
        <v>15070102009185</v>
      </c>
      <c r="AA115" t="s">
        <v>1465</v>
      </c>
      <c r="AB115" t="s">
        <v>263</v>
      </c>
    </row>
    <row r="116" spans="1:28" x14ac:dyDescent="0.25">
      <c r="A116">
        <v>2016</v>
      </c>
      <c r="C116" t="s">
        <v>99</v>
      </c>
      <c r="D116" t="s">
        <v>297</v>
      </c>
      <c r="E116" t="s">
        <v>298</v>
      </c>
      <c r="F116" t="s">
        <v>299</v>
      </c>
      <c r="G116">
        <v>72903</v>
      </c>
      <c r="H116">
        <v>35.327162000000001</v>
      </c>
      <c r="I116">
        <v>-94.380183000000002</v>
      </c>
      <c r="K116">
        <v>110066929033</v>
      </c>
      <c r="M116">
        <v>3585</v>
      </c>
      <c r="R116">
        <v>5.4394557823129203E-3</v>
      </c>
      <c r="W116" t="s">
        <v>764</v>
      </c>
      <c r="X116" t="s">
        <v>765</v>
      </c>
      <c r="Y116">
        <v>11110104000749</v>
      </c>
      <c r="AA116" t="s">
        <v>1465</v>
      </c>
      <c r="AB116" t="s">
        <v>1466</v>
      </c>
    </row>
    <row r="117" spans="1:28" x14ac:dyDescent="0.25">
      <c r="A117">
        <v>2016</v>
      </c>
      <c r="C117" t="s">
        <v>963</v>
      </c>
      <c r="D117" t="s">
        <v>1467</v>
      </c>
      <c r="E117" t="s">
        <v>964</v>
      </c>
      <c r="F117" t="s">
        <v>374</v>
      </c>
      <c r="G117">
        <v>85705</v>
      </c>
      <c r="H117">
        <v>32.279809999999998</v>
      </c>
      <c r="I117">
        <v>-111.02198</v>
      </c>
      <c r="K117">
        <v>110002042021</v>
      </c>
      <c r="M117">
        <v>4952</v>
      </c>
      <c r="R117">
        <v>0.33897911175000001</v>
      </c>
      <c r="W117" t="s">
        <v>1468</v>
      </c>
      <c r="Y117">
        <v>15050301001090</v>
      </c>
      <c r="AA117" t="s">
        <v>1465</v>
      </c>
      <c r="AB117" t="s">
        <v>1466</v>
      </c>
    </row>
    <row r="118" spans="1:28" x14ac:dyDescent="0.25">
      <c r="A118">
        <v>2016</v>
      </c>
      <c r="C118" t="s">
        <v>965</v>
      </c>
      <c r="D118" t="s">
        <v>1469</v>
      </c>
      <c r="E118" t="s">
        <v>966</v>
      </c>
      <c r="F118" t="s">
        <v>491</v>
      </c>
      <c r="G118">
        <v>19112</v>
      </c>
      <c r="H118">
        <v>39.884791999999997</v>
      </c>
      <c r="I118">
        <v>-75.191112000000004</v>
      </c>
      <c r="K118">
        <v>110006368206</v>
      </c>
      <c r="M118">
        <v>3731</v>
      </c>
      <c r="R118">
        <v>0.61209670723200005</v>
      </c>
      <c r="W118" t="s">
        <v>1470</v>
      </c>
      <c r="X118" t="s">
        <v>1471</v>
      </c>
      <c r="Y118">
        <v>2040203000001</v>
      </c>
      <c r="AA118" t="s">
        <v>1465</v>
      </c>
      <c r="AB118" t="s">
        <v>1466</v>
      </c>
    </row>
    <row r="119" spans="1:28" x14ac:dyDescent="0.25">
      <c r="A119">
        <v>2016</v>
      </c>
      <c r="C119" t="s">
        <v>103</v>
      </c>
      <c r="D119" t="s">
        <v>313</v>
      </c>
      <c r="E119" t="s">
        <v>314</v>
      </c>
      <c r="F119" t="s">
        <v>303</v>
      </c>
      <c r="G119" t="s">
        <v>315</v>
      </c>
      <c r="H119">
        <v>30.27083</v>
      </c>
      <c r="I119">
        <v>-92.037279999999996</v>
      </c>
      <c r="K119">
        <v>110000846602</v>
      </c>
      <c r="M119">
        <v>2821</v>
      </c>
      <c r="R119">
        <v>2.6315615602500002E-3</v>
      </c>
      <c r="W119" t="s">
        <v>772</v>
      </c>
      <c r="X119" t="s">
        <v>773</v>
      </c>
      <c r="Y119">
        <v>8080103002791</v>
      </c>
      <c r="AA119" t="s">
        <v>1465</v>
      </c>
      <c r="AB119" t="s">
        <v>1466</v>
      </c>
    </row>
    <row r="120" spans="1:28" x14ac:dyDescent="0.25">
      <c r="A120">
        <v>2016</v>
      </c>
      <c r="C120" t="s">
        <v>970</v>
      </c>
      <c r="D120" t="s">
        <v>1479</v>
      </c>
      <c r="E120" t="s">
        <v>962</v>
      </c>
      <c r="F120" t="s">
        <v>374</v>
      </c>
      <c r="G120" t="s">
        <v>1480</v>
      </c>
      <c r="H120">
        <v>33.846469999999997</v>
      </c>
      <c r="I120">
        <v>-112.13712</v>
      </c>
      <c r="K120">
        <v>110015943559</v>
      </c>
      <c r="M120">
        <v>4952</v>
      </c>
      <c r="R120">
        <v>0.40510855000000001</v>
      </c>
      <c r="W120" t="s">
        <v>1481</v>
      </c>
      <c r="Y120">
        <v>15070104000290</v>
      </c>
      <c r="AA120" t="s">
        <v>1465</v>
      </c>
      <c r="AB120" t="s">
        <v>1466</v>
      </c>
    </row>
    <row r="121" spans="1:28" x14ac:dyDescent="0.25">
      <c r="A121">
        <v>2016</v>
      </c>
      <c r="C121" t="s">
        <v>971</v>
      </c>
      <c r="D121" t="s">
        <v>1482</v>
      </c>
      <c r="E121" t="s">
        <v>972</v>
      </c>
      <c r="F121" t="s">
        <v>374</v>
      </c>
      <c r="G121">
        <v>85220</v>
      </c>
      <c r="H121">
        <v>33.358879999999999</v>
      </c>
      <c r="I121">
        <v>-111.55722</v>
      </c>
      <c r="K121">
        <v>110010062314</v>
      </c>
      <c r="M121">
        <v>4952</v>
      </c>
      <c r="R121">
        <v>9.6361368749999995E-2</v>
      </c>
      <c r="W121" t="s">
        <v>1483</v>
      </c>
      <c r="Y121">
        <v>15070102000561</v>
      </c>
      <c r="AA121" t="s">
        <v>1465</v>
      </c>
      <c r="AB121" t="s">
        <v>263</v>
      </c>
    </row>
    <row r="122" spans="1:28" x14ac:dyDescent="0.25">
      <c r="A122">
        <v>2016</v>
      </c>
      <c r="C122" t="s">
        <v>973</v>
      </c>
      <c r="D122" t="s">
        <v>1484</v>
      </c>
      <c r="E122" t="s">
        <v>974</v>
      </c>
      <c r="F122" t="s">
        <v>541</v>
      </c>
      <c r="G122" t="s">
        <v>1485</v>
      </c>
      <c r="H122">
        <v>33.071649999999998</v>
      </c>
      <c r="I122">
        <v>-81.476479999999995</v>
      </c>
      <c r="J122" t="s">
        <v>698</v>
      </c>
      <c r="K122">
        <v>110000604490</v>
      </c>
      <c r="M122">
        <v>2819</v>
      </c>
      <c r="R122">
        <v>0.82766439909296996</v>
      </c>
      <c r="W122" t="s">
        <v>1486</v>
      </c>
      <c r="X122" t="s">
        <v>1487</v>
      </c>
      <c r="Y122">
        <v>3060106002119</v>
      </c>
      <c r="AA122" t="s">
        <v>1465</v>
      </c>
      <c r="AB122" t="s">
        <v>1466</v>
      </c>
    </row>
    <row r="123" spans="1:28" x14ac:dyDescent="0.25">
      <c r="A123">
        <v>2016</v>
      </c>
      <c r="C123" t="s">
        <v>1491</v>
      </c>
      <c r="D123" t="s">
        <v>322</v>
      </c>
      <c r="E123" t="s">
        <v>323</v>
      </c>
      <c r="F123" t="s">
        <v>324</v>
      </c>
      <c r="G123">
        <v>42029</v>
      </c>
      <c r="H123">
        <v>37.056699000000002</v>
      </c>
      <c r="I123">
        <v>-88.365727000000007</v>
      </c>
      <c r="J123" t="s">
        <v>325</v>
      </c>
      <c r="K123">
        <v>110000380061</v>
      </c>
      <c r="M123">
        <v>2819</v>
      </c>
      <c r="R123">
        <v>9.2503401360544206</v>
      </c>
      <c r="W123" t="s">
        <v>776</v>
      </c>
      <c r="X123" t="s">
        <v>777</v>
      </c>
      <c r="Y123">
        <v>6040006000329</v>
      </c>
      <c r="AA123" t="s">
        <v>1465</v>
      </c>
      <c r="AB123" t="s">
        <v>1466</v>
      </c>
    </row>
    <row r="124" spans="1:28" x14ac:dyDescent="0.25">
      <c r="A124">
        <v>2016</v>
      </c>
      <c r="C124" t="s">
        <v>980</v>
      </c>
      <c r="D124" t="s">
        <v>1497</v>
      </c>
      <c r="E124" t="s">
        <v>981</v>
      </c>
      <c r="F124" t="s">
        <v>324</v>
      </c>
      <c r="G124">
        <v>42206</v>
      </c>
      <c r="H124">
        <v>36.864350000000002</v>
      </c>
      <c r="I124">
        <v>-86.705910000000003</v>
      </c>
      <c r="K124">
        <v>110003250277</v>
      </c>
      <c r="M124">
        <v>4952</v>
      </c>
      <c r="R124">
        <v>0.1208834375</v>
      </c>
      <c r="W124" t="s">
        <v>1498</v>
      </c>
      <c r="X124" t="s">
        <v>1499</v>
      </c>
      <c r="Y124">
        <v>5110002001791</v>
      </c>
      <c r="AA124" t="s">
        <v>1465</v>
      </c>
      <c r="AB124" t="s">
        <v>263</v>
      </c>
    </row>
    <row r="125" spans="1:28" x14ac:dyDescent="0.25">
      <c r="A125">
        <v>2016</v>
      </c>
      <c r="C125" t="s">
        <v>982</v>
      </c>
      <c r="D125" t="s">
        <v>1501</v>
      </c>
      <c r="E125" t="s">
        <v>983</v>
      </c>
      <c r="F125" t="s">
        <v>374</v>
      </c>
      <c r="G125" t="s">
        <v>1502</v>
      </c>
      <c r="H125">
        <v>33.402509999999999</v>
      </c>
      <c r="I125">
        <v>-112.34045999999999</v>
      </c>
      <c r="K125">
        <v>110022421789</v>
      </c>
      <c r="M125">
        <v>4952</v>
      </c>
      <c r="R125">
        <v>7.8719294499999997</v>
      </c>
      <c r="W125" t="s">
        <v>1503</v>
      </c>
      <c r="Y125">
        <v>15050100000998</v>
      </c>
      <c r="AA125" t="s">
        <v>1465</v>
      </c>
      <c r="AB125" t="s">
        <v>263</v>
      </c>
    </row>
    <row r="126" spans="1:28" x14ac:dyDescent="0.25">
      <c r="A126">
        <v>2016</v>
      </c>
      <c r="C126" t="s">
        <v>108</v>
      </c>
      <c r="D126" t="s">
        <v>336</v>
      </c>
      <c r="E126" t="s">
        <v>337</v>
      </c>
      <c r="F126" t="s">
        <v>338</v>
      </c>
      <c r="G126" t="s">
        <v>339</v>
      </c>
      <c r="H126">
        <v>39.852224</v>
      </c>
      <c r="I126">
        <v>-75.234432999999996</v>
      </c>
      <c r="K126">
        <v>110000760310</v>
      </c>
      <c r="M126">
        <v>5171</v>
      </c>
      <c r="R126">
        <v>4.3554676299999998E-2</v>
      </c>
      <c r="W126" t="s">
        <v>782</v>
      </c>
      <c r="X126" t="s">
        <v>783</v>
      </c>
      <c r="Y126">
        <v>2040202000029</v>
      </c>
      <c r="AA126" t="s">
        <v>1465</v>
      </c>
      <c r="AB126" t="s">
        <v>1466</v>
      </c>
    </row>
    <row r="127" spans="1:28" x14ac:dyDescent="0.25">
      <c r="A127">
        <v>2016</v>
      </c>
      <c r="C127" t="s">
        <v>986</v>
      </c>
      <c r="D127" t="s">
        <v>1508</v>
      </c>
      <c r="E127" t="s">
        <v>987</v>
      </c>
      <c r="F127" t="s">
        <v>324</v>
      </c>
      <c r="G127">
        <v>40216</v>
      </c>
      <c r="H127">
        <v>38.195278000000002</v>
      </c>
      <c r="I127">
        <v>-85.872221999999994</v>
      </c>
      <c r="J127" t="s">
        <v>701</v>
      </c>
      <c r="K127">
        <v>110000378467</v>
      </c>
      <c r="M127">
        <v>2869</v>
      </c>
      <c r="R127">
        <v>0.61995464852607696</v>
      </c>
      <c r="W127" t="s">
        <v>1509</v>
      </c>
      <c r="X127" t="s">
        <v>830</v>
      </c>
      <c r="Y127">
        <v>5140101000007</v>
      </c>
      <c r="AA127" t="s">
        <v>1465</v>
      </c>
      <c r="AB127" t="s">
        <v>1466</v>
      </c>
    </row>
    <row r="128" spans="1:28" x14ac:dyDescent="0.25">
      <c r="A128">
        <v>2016</v>
      </c>
      <c r="C128" t="s">
        <v>989</v>
      </c>
      <c r="D128" t="s">
        <v>1513</v>
      </c>
      <c r="E128" t="s">
        <v>990</v>
      </c>
      <c r="F128" t="s">
        <v>362</v>
      </c>
      <c r="G128" t="s">
        <v>1514</v>
      </c>
      <c r="H128">
        <v>29.793299999999999</v>
      </c>
      <c r="I128">
        <v>-95.064959999999999</v>
      </c>
      <c r="J128" t="s">
        <v>703</v>
      </c>
      <c r="K128">
        <v>110000463533</v>
      </c>
      <c r="M128">
        <v>3731</v>
      </c>
      <c r="R128">
        <v>3.3061218000000003E-2</v>
      </c>
      <c r="W128" t="s">
        <v>1515</v>
      </c>
      <c r="X128" t="s">
        <v>1516</v>
      </c>
      <c r="Y128">
        <v>12040104000885</v>
      </c>
      <c r="AA128" t="s">
        <v>1465</v>
      </c>
      <c r="AB128" t="s">
        <v>1466</v>
      </c>
    </row>
    <row r="129" spans="1:28" x14ac:dyDescent="0.25">
      <c r="A129">
        <v>2016</v>
      </c>
      <c r="C129" t="s">
        <v>991</v>
      </c>
      <c r="D129" t="s">
        <v>1517</v>
      </c>
      <c r="E129" t="s">
        <v>992</v>
      </c>
      <c r="F129" t="s">
        <v>299</v>
      </c>
      <c r="G129">
        <v>723016413</v>
      </c>
      <c r="H129">
        <v>35.136057000000001</v>
      </c>
      <c r="I129">
        <v>-90.096892999999994</v>
      </c>
      <c r="J129" t="s">
        <v>704</v>
      </c>
      <c r="K129">
        <v>110000452082</v>
      </c>
      <c r="M129">
        <v>2869</v>
      </c>
      <c r="R129">
        <v>0.11517006802721</v>
      </c>
      <c r="W129" t="s">
        <v>1518</v>
      </c>
      <c r="X129" t="s">
        <v>1519</v>
      </c>
      <c r="Y129">
        <v>8010100000818</v>
      </c>
      <c r="AA129" t="s">
        <v>1465</v>
      </c>
      <c r="AB129" t="s">
        <v>1466</v>
      </c>
    </row>
    <row r="130" spans="1:28" x14ac:dyDescent="0.25">
      <c r="A130">
        <v>2016</v>
      </c>
      <c r="C130" t="s">
        <v>1002</v>
      </c>
      <c r="D130" t="s">
        <v>1537</v>
      </c>
      <c r="E130" t="s">
        <v>1003</v>
      </c>
      <c r="F130" t="s">
        <v>303</v>
      </c>
      <c r="G130">
        <v>70726</v>
      </c>
      <c r="H130">
        <v>30.486615</v>
      </c>
      <c r="I130">
        <v>-90.925387999999998</v>
      </c>
      <c r="J130" t="s">
        <v>706</v>
      </c>
      <c r="K130">
        <v>110000597355</v>
      </c>
      <c r="M130">
        <v>2899</v>
      </c>
      <c r="R130">
        <v>2.4829931972789099E-2</v>
      </c>
      <c r="W130" t="s">
        <v>1538</v>
      </c>
      <c r="X130" t="s">
        <v>1539</v>
      </c>
      <c r="Y130">
        <v>8070202000867</v>
      </c>
      <c r="AA130" t="s">
        <v>1465</v>
      </c>
      <c r="AB130" t="s">
        <v>1466</v>
      </c>
    </row>
    <row r="131" spans="1:28" x14ac:dyDescent="0.25">
      <c r="A131">
        <v>2016</v>
      </c>
      <c r="C131" t="s">
        <v>44</v>
      </c>
      <c r="D131" t="s">
        <v>367</v>
      </c>
      <c r="E131" t="s">
        <v>368</v>
      </c>
      <c r="F131" t="s">
        <v>349</v>
      </c>
      <c r="G131">
        <v>63630</v>
      </c>
      <c r="H131">
        <v>37.983333000000002</v>
      </c>
      <c r="I131">
        <v>-90.690832999999998</v>
      </c>
      <c r="J131" t="s">
        <v>369</v>
      </c>
      <c r="K131">
        <v>110017980443</v>
      </c>
      <c r="M131">
        <v>2899</v>
      </c>
      <c r="R131">
        <v>0.107437225</v>
      </c>
      <c r="W131" t="s">
        <v>796</v>
      </c>
      <c r="X131" t="s">
        <v>1564</v>
      </c>
      <c r="Y131">
        <v>7140104001615</v>
      </c>
      <c r="AA131" t="s">
        <v>1465</v>
      </c>
      <c r="AB131" t="s">
        <v>1466</v>
      </c>
    </row>
    <row r="132" spans="1:28" x14ac:dyDescent="0.25">
      <c r="A132">
        <v>2016</v>
      </c>
      <c r="C132" t="s">
        <v>1021</v>
      </c>
      <c r="D132" t="s">
        <v>1571</v>
      </c>
      <c r="E132" t="s">
        <v>657</v>
      </c>
      <c r="F132" t="s">
        <v>418</v>
      </c>
      <c r="G132">
        <v>89109</v>
      </c>
      <c r="H132">
        <v>36.116160999999998</v>
      </c>
      <c r="I132">
        <v>-115.172741</v>
      </c>
      <c r="K132">
        <v>110015972562</v>
      </c>
      <c r="M132">
        <v>7011</v>
      </c>
      <c r="R132">
        <v>1.9703091912499901E-2</v>
      </c>
      <c r="W132" t="s">
        <v>1572</v>
      </c>
      <c r="X132" t="s">
        <v>1573</v>
      </c>
      <c r="Y132">
        <v>15010015000432</v>
      </c>
      <c r="AA132" t="s">
        <v>1465</v>
      </c>
      <c r="AB132" t="s">
        <v>1466</v>
      </c>
    </row>
    <row r="133" spans="1:28" x14ac:dyDescent="0.25">
      <c r="A133">
        <v>2016</v>
      </c>
      <c r="C133" t="s">
        <v>1021</v>
      </c>
      <c r="D133" t="s">
        <v>1571</v>
      </c>
      <c r="E133" t="s">
        <v>657</v>
      </c>
      <c r="F133" t="s">
        <v>418</v>
      </c>
      <c r="G133">
        <v>89109</v>
      </c>
      <c r="H133">
        <v>36.116160999999998</v>
      </c>
      <c r="I133">
        <v>-115.172741</v>
      </c>
      <c r="K133">
        <v>110015972562</v>
      </c>
      <c r="M133">
        <v>7011</v>
      </c>
      <c r="R133">
        <v>0.21334909499999899</v>
      </c>
      <c r="W133" t="s">
        <v>1572</v>
      </c>
      <c r="X133" t="s">
        <v>1573</v>
      </c>
      <c r="Y133">
        <v>15010015000432</v>
      </c>
      <c r="AA133" t="s">
        <v>1465</v>
      </c>
      <c r="AB133" t="s">
        <v>1466</v>
      </c>
    </row>
    <row r="134" spans="1:28" x14ac:dyDescent="0.25">
      <c r="A134">
        <v>2016</v>
      </c>
      <c r="C134" t="s">
        <v>1022</v>
      </c>
      <c r="D134" t="s">
        <v>1574</v>
      </c>
      <c r="E134" t="s">
        <v>1023</v>
      </c>
      <c r="F134" t="s">
        <v>366</v>
      </c>
      <c r="G134">
        <v>92231</v>
      </c>
      <c r="H134">
        <v>32.664450000000002</v>
      </c>
      <c r="I134">
        <v>-115.55970499999999</v>
      </c>
      <c r="K134">
        <v>110000730825</v>
      </c>
      <c r="M134">
        <v>4952</v>
      </c>
      <c r="R134">
        <v>0.15380517825000001</v>
      </c>
      <c r="W134" t="s">
        <v>1575</v>
      </c>
      <c r="X134" t="s">
        <v>795</v>
      </c>
      <c r="Y134">
        <v>18100204012549</v>
      </c>
      <c r="AA134" t="s">
        <v>1465</v>
      </c>
      <c r="AB134" t="s">
        <v>263</v>
      </c>
    </row>
    <row r="135" spans="1:28" x14ac:dyDescent="0.25">
      <c r="A135">
        <v>2016</v>
      </c>
      <c r="C135" t="s">
        <v>1024</v>
      </c>
      <c r="D135" t="s">
        <v>1576</v>
      </c>
      <c r="E135" t="s">
        <v>1025</v>
      </c>
      <c r="F135" t="s">
        <v>366</v>
      </c>
      <c r="G135">
        <v>92233</v>
      </c>
      <c r="H135">
        <v>33.147531999999998</v>
      </c>
      <c r="I135">
        <v>-115.54533000000001</v>
      </c>
      <c r="K135">
        <v>110002043217</v>
      </c>
      <c r="M135">
        <v>4952</v>
      </c>
      <c r="R135">
        <v>4.35180375E-3</v>
      </c>
      <c r="W135" t="s">
        <v>1577</v>
      </c>
      <c r="X135" t="s">
        <v>1578</v>
      </c>
      <c r="Y135">
        <v>18100204011103</v>
      </c>
      <c r="AA135" t="s">
        <v>1465</v>
      </c>
      <c r="AB135" t="s">
        <v>263</v>
      </c>
    </row>
    <row r="136" spans="1:28" x14ac:dyDescent="0.25">
      <c r="A136">
        <v>2016</v>
      </c>
      <c r="C136" t="s">
        <v>1026</v>
      </c>
      <c r="D136" t="s">
        <v>1579</v>
      </c>
      <c r="E136" t="s">
        <v>1027</v>
      </c>
      <c r="F136" t="s">
        <v>349</v>
      </c>
      <c r="G136">
        <v>63353</v>
      </c>
      <c r="H136">
        <v>39.423425000000002</v>
      </c>
      <c r="I136">
        <v>-91.025666000000001</v>
      </c>
      <c r="K136">
        <v>110054612558</v>
      </c>
      <c r="M136">
        <v>2869</v>
      </c>
      <c r="R136">
        <v>7.4489795918367296E-2</v>
      </c>
      <c r="W136" t="s">
        <v>1580</v>
      </c>
      <c r="X136" t="s">
        <v>1581</v>
      </c>
      <c r="Y136">
        <v>7110004000345</v>
      </c>
      <c r="AA136" t="s">
        <v>1465</v>
      </c>
      <c r="AB136" t="s">
        <v>1466</v>
      </c>
    </row>
    <row r="137" spans="1:28" x14ac:dyDescent="0.25">
      <c r="A137">
        <v>2016</v>
      </c>
      <c r="C137" t="s">
        <v>1034</v>
      </c>
      <c r="D137" t="s">
        <v>1594</v>
      </c>
      <c r="E137" t="s">
        <v>1035</v>
      </c>
      <c r="F137" t="s">
        <v>374</v>
      </c>
      <c r="G137" t="s">
        <v>1595</v>
      </c>
      <c r="H137">
        <v>32.9011</v>
      </c>
      <c r="I137">
        <v>-111.78749999999999</v>
      </c>
      <c r="K137">
        <v>110022287210</v>
      </c>
      <c r="M137">
        <v>4952</v>
      </c>
      <c r="R137">
        <v>12.682399500000001</v>
      </c>
      <c r="W137" t="s">
        <v>1596</v>
      </c>
      <c r="Y137">
        <v>15040005001144</v>
      </c>
      <c r="AA137" t="s">
        <v>1465</v>
      </c>
      <c r="AB137" t="s">
        <v>263</v>
      </c>
    </row>
    <row r="138" spans="1:28" x14ac:dyDescent="0.25">
      <c r="A138">
        <v>2016</v>
      </c>
      <c r="C138" t="s">
        <v>1036</v>
      </c>
      <c r="D138" t="s">
        <v>1597</v>
      </c>
      <c r="E138" t="s">
        <v>446</v>
      </c>
      <c r="F138" t="s">
        <v>303</v>
      </c>
      <c r="G138">
        <v>70669</v>
      </c>
      <c r="H138">
        <v>30.318283999999998</v>
      </c>
      <c r="I138">
        <v>-93.303511999999998</v>
      </c>
      <c r="K138">
        <v>110000613685</v>
      </c>
      <c r="M138">
        <v>4953</v>
      </c>
      <c r="R138">
        <v>0.37646556250000002</v>
      </c>
      <c r="W138" t="s">
        <v>1598</v>
      </c>
      <c r="X138">
        <v>317</v>
      </c>
      <c r="Y138">
        <v>8080205000075</v>
      </c>
      <c r="AA138" t="s">
        <v>1465</v>
      </c>
      <c r="AB138" t="s">
        <v>1466</v>
      </c>
    </row>
    <row r="139" spans="1:28" x14ac:dyDescent="0.25">
      <c r="A139">
        <v>2016</v>
      </c>
      <c r="C139" t="s">
        <v>1036</v>
      </c>
      <c r="D139" t="s">
        <v>1597</v>
      </c>
      <c r="E139" t="s">
        <v>446</v>
      </c>
      <c r="F139" t="s">
        <v>303</v>
      </c>
      <c r="G139">
        <v>70669</v>
      </c>
      <c r="H139">
        <v>30.318283999999998</v>
      </c>
      <c r="I139">
        <v>-93.303511999999998</v>
      </c>
      <c r="K139">
        <v>110000613685</v>
      </c>
      <c r="M139">
        <v>4953</v>
      </c>
      <c r="R139">
        <v>1.0741356875000001</v>
      </c>
      <c r="W139" t="s">
        <v>1598</v>
      </c>
      <c r="X139">
        <v>317</v>
      </c>
      <c r="Y139">
        <v>8080205000075</v>
      </c>
      <c r="AA139" t="s">
        <v>1465</v>
      </c>
      <c r="AB139" t="s">
        <v>1466</v>
      </c>
    </row>
    <row r="140" spans="1:28" x14ac:dyDescent="0.25">
      <c r="A140">
        <v>2016</v>
      </c>
      <c r="C140" t="s">
        <v>1036</v>
      </c>
      <c r="D140" t="s">
        <v>1597</v>
      </c>
      <c r="E140" t="s">
        <v>446</v>
      </c>
      <c r="F140" t="s">
        <v>303</v>
      </c>
      <c r="G140">
        <v>70669</v>
      </c>
      <c r="H140">
        <v>30.318283999999998</v>
      </c>
      <c r="I140">
        <v>-93.303511999999998</v>
      </c>
      <c r="K140">
        <v>110000613685</v>
      </c>
      <c r="M140">
        <v>4953</v>
      </c>
      <c r="R140">
        <v>1.4540550624999999</v>
      </c>
      <c r="W140" t="s">
        <v>1598</v>
      </c>
      <c r="X140">
        <v>317</v>
      </c>
      <c r="Y140">
        <v>8080205000075</v>
      </c>
      <c r="AA140" t="s">
        <v>1465</v>
      </c>
      <c r="AB140" t="s">
        <v>1466</v>
      </c>
    </row>
    <row r="141" spans="1:28" x14ac:dyDescent="0.25">
      <c r="A141">
        <v>2016</v>
      </c>
      <c r="C141" t="s">
        <v>1040</v>
      </c>
      <c r="D141" t="s">
        <v>1610</v>
      </c>
      <c r="E141" t="s">
        <v>1041</v>
      </c>
      <c r="F141" t="s">
        <v>478</v>
      </c>
      <c r="G141">
        <v>19809</v>
      </c>
      <c r="H141">
        <v>39.752721999999999</v>
      </c>
      <c r="I141">
        <v>-75.495151000000007</v>
      </c>
      <c r="K141">
        <v>110000338830</v>
      </c>
      <c r="M141">
        <v>2816</v>
      </c>
      <c r="R141">
        <v>0.100136054421768</v>
      </c>
      <c r="W141" t="s">
        <v>1611</v>
      </c>
      <c r="X141" t="s">
        <v>783</v>
      </c>
      <c r="Y141">
        <v>2040205000834</v>
      </c>
      <c r="AA141" t="s">
        <v>1465</v>
      </c>
      <c r="AB141" t="s">
        <v>1466</v>
      </c>
    </row>
    <row r="142" spans="1:28" x14ac:dyDescent="0.25">
      <c r="A142">
        <v>2016</v>
      </c>
      <c r="C142" t="s">
        <v>1042</v>
      </c>
      <c r="D142" t="s">
        <v>1612</v>
      </c>
      <c r="E142" t="s">
        <v>1043</v>
      </c>
      <c r="F142" t="s">
        <v>345</v>
      </c>
      <c r="G142" t="s">
        <v>1613</v>
      </c>
      <c r="H142">
        <v>42.468611000000003</v>
      </c>
      <c r="I142">
        <v>-89.065550000000002</v>
      </c>
      <c r="J142" t="s">
        <v>708</v>
      </c>
      <c r="K142">
        <v>110000500459</v>
      </c>
      <c r="M142">
        <v>4225</v>
      </c>
      <c r="R142">
        <v>7.7017180000000005E-2</v>
      </c>
      <c r="W142" t="s">
        <v>1614</v>
      </c>
      <c r="X142" t="s">
        <v>1615</v>
      </c>
      <c r="Y142">
        <v>7090002008421</v>
      </c>
      <c r="AA142" t="s">
        <v>1465</v>
      </c>
      <c r="AB142" t="s">
        <v>1466</v>
      </c>
    </row>
    <row r="143" spans="1:28" x14ac:dyDescent="0.25">
      <c r="A143">
        <v>2016</v>
      </c>
      <c r="C143" t="s">
        <v>1044</v>
      </c>
      <c r="D143" t="s">
        <v>1617</v>
      </c>
      <c r="E143" t="s">
        <v>1045</v>
      </c>
      <c r="F143" t="s">
        <v>427</v>
      </c>
      <c r="G143" t="s">
        <v>1618</v>
      </c>
      <c r="H143">
        <v>42.592550000000003</v>
      </c>
      <c r="I143">
        <v>-83.889930000000007</v>
      </c>
      <c r="K143">
        <v>110000408265</v>
      </c>
      <c r="M143">
        <v>2899</v>
      </c>
      <c r="R143">
        <v>8.5713172079999993E-3</v>
      </c>
      <c r="W143" t="s">
        <v>1619</v>
      </c>
      <c r="X143" t="s">
        <v>1620</v>
      </c>
      <c r="Y143">
        <v>4080203000602</v>
      </c>
      <c r="AA143" t="s">
        <v>1465</v>
      </c>
      <c r="AB143" t="s">
        <v>1466</v>
      </c>
    </row>
    <row r="144" spans="1:28" x14ac:dyDescent="0.25">
      <c r="A144">
        <v>2016</v>
      </c>
      <c r="C144" t="s">
        <v>1046</v>
      </c>
      <c r="D144" t="s">
        <v>1622</v>
      </c>
      <c r="E144" t="s">
        <v>1047</v>
      </c>
      <c r="F144" t="s">
        <v>374</v>
      </c>
      <c r="G144">
        <v>86503</v>
      </c>
      <c r="H144">
        <v>36.179194000000003</v>
      </c>
      <c r="I144">
        <v>-109.58580600000001</v>
      </c>
      <c r="K144">
        <v>110010062680</v>
      </c>
      <c r="M144">
        <v>4952</v>
      </c>
      <c r="R144">
        <v>4.1089960000000003</v>
      </c>
      <c r="W144" t="s">
        <v>1623</v>
      </c>
      <c r="X144" t="s">
        <v>1624</v>
      </c>
      <c r="Y144">
        <v>14080204000110</v>
      </c>
      <c r="AA144" t="s">
        <v>1465</v>
      </c>
      <c r="AB144" t="s">
        <v>263</v>
      </c>
    </row>
    <row r="145" spans="1:28" x14ac:dyDescent="0.25">
      <c r="A145">
        <v>2016</v>
      </c>
      <c r="C145" t="s">
        <v>1048</v>
      </c>
      <c r="D145" t="s">
        <v>1625</v>
      </c>
      <c r="E145" t="s">
        <v>1049</v>
      </c>
      <c r="F145" t="s">
        <v>1050</v>
      </c>
      <c r="G145">
        <v>59404</v>
      </c>
      <c r="H145">
        <v>47.52131</v>
      </c>
      <c r="I145">
        <v>-111.29958000000001</v>
      </c>
      <c r="K145">
        <v>110064645460</v>
      </c>
      <c r="M145">
        <v>4952</v>
      </c>
      <c r="R145">
        <v>11.51133564</v>
      </c>
      <c r="W145" t="s">
        <v>1626</v>
      </c>
      <c r="X145" t="s">
        <v>1627</v>
      </c>
      <c r="Y145">
        <v>10030102000105</v>
      </c>
      <c r="AA145" t="s">
        <v>1465</v>
      </c>
      <c r="AB145" t="s">
        <v>1466</v>
      </c>
    </row>
    <row r="146" spans="1:28" x14ac:dyDescent="0.25">
      <c r="A146">
        <v>2016</v>
      </c>
      <c r="C146" t="s">
        <v>1051</v>
      </c>
      <c r="D146" t="s">
        <v>1628</v>
      </c>
      <c r="E146" t="s">
        <v>1052</v>
      </c>
      <c r="F146" t="s">
        <v>374</v>
      </c>
      <c r="G146">
        <v>85296</v>
      </c>
      <c r="H146">
        <v>33.270409999999998</v>
      </c>
      <c r="I146">
        <v>-111.73791</v>
      </c>
      <c r="K146">
        <v>110022853429</v>
      </c>
      <c r="M146">
        <v>4952</v>
      </c>
      <c r="R146">
        <v>1.2744568125</v>
      </c>
      <c r="W146" t="s">
        <v>1629</v>
      </c>
      <c r="Y146">
        <v>15030101001352</v>
      </c>
      <c r="AA146" t="s">
        <v>1465</v>
      </c>
      <c r="AB146" t="s">
        <v>263</v>
      </c>
    </row>
    <row r="147" spans="1:28" x14ac:dyDescent="0.25">
      <c r="A147">
        <v>2016</v>
      </c>
      <c r="C147" t="s">
        <v>1053</v>
      </c>
      <c r="D147" t="s">
        <v>1630</v>
      </c>
      <c r="E147" t="s">
        <v>1054</v>
      </c>
      <c r="F147" t="s">
        <v>374</v>
      </c>
      <c r="G147">
        <v>85383</v>
      </c>
      <c r="H147">
        <v>33.726889999999997</v>
      </c>
      <c r="I147">
        <v>-112.33074000000001</v>
      </c>
      <c r="K147">
        <v>110015317423</v>
      </c>
      <c r="M147">
        <v>4952</v>
      </c>
      <c r="R147">
        <v>1.009894775</v>
      </c>
      <c r="W147" t="s">
        <v>1631</v>
      </c>
      <c r="Y147">
        <v>15030104003460</v>
      </c>
      <c r="AA147" t="s">
        <v>1465</v>
      </c>
      <c r="AB147" t="s">
        <v>263</v>
      </c>
    </row>
    <row r="148" spans="1:28" x14ac:dyDescent="0.25">
      <c r="A148">
        <v>2016</v>
      </c>
      <c r="C148" t="s">
        <v>1055</v>
      </c>
      <c r="D148" t="s">
        <v>1632</v>
      </c>
      <c r="E148" t="s">
        <v>962</v>
      </c>
      <c r="F148" t="s">
        <v>374</v>
      </c>
      <c r="G148" t="s">
        <v>1633</v>
      </c>
      <c r="H148">
        <v>33.448250000000002</v>
      </c>
      <c r="I148">
        <v>-112.07706</v>
      </c>
      <c r="K148">
        <v>110009066278</v>
      </c>
      <c r="M148">
        <v>4941</v>
      </c>
      <c r="R148">
        <v>4.4761410000000003E-3</v>
      </c>
      <c r="W148" t="s">
        <v>1634</v>
      </c>
      <c r="Y148">
        <v>15050100002987</v>
      </c>
      <c r="AA148" t="s">
        <v>1465</v>
      </c>
      <c r="AB148" t="s">
        <v>1466</v>
      </c>
    </row>
    <row r="149" spans="1:28" x14ac:dyDescent="0.25">
      <c r="A149">
        <v>2016</v>
      </c>
      <c r="C149" t="s">
        <v>1055</v>
      </c>
      <c r="D149" t="s">
        <v>1632</v>
      </c>
      <c r="E149" t="s">
        <v>962</v>
      </c>
      <c r="F149" t="s">
        <v>374</v>
      </c>
      <c r="G149" t="s">
        <v>1633</v>
      </c>
      <c r="H149">
        <v>33.448250000000002</v>
      </c>
      <c r="I149">
        <v>-112.07706</v>
      </c>
      <c r="K149">
        <v>110009066278</v>
      </c>
      <c r="M149">
        <v>4941</v>
      </c>
      <c r="R149">
        <v>2.6359496999999999E-2</v>
      </c>
      <c r="W149" t="s">
        <v>1634</v>
      </c>
      <c r="Y149">
        <v>15050100002987</v>
      </c>
      <c r="AA149" t="s">
        <v>1465</v>
      </c>
      <c r="AB149" t="s">
        <v>1466</v>
      </c>
    </row>
    <row r="150" spans="1:28" x14ac:dyDescent="0.25">
      <c r="A150">
        <v>2016</v>
      </c>
      <c r="C150" t="s">
        <v>1055</v>
      </c>
      <c r="D150" t="s">
        <v>1632</v>
      </c>
      <c r="E150" t="s">
        <v>962</v>
      </c>
      <c r="F150" t="s">
        <v>374</v>
      </c>
      <c r="G150" t="s">
        <v>1633</v>
      </c>
      <c r="H150">
        <v>33.448250000000002</v>
      </c>
      <c r="I150">
        <v>-112.07706</v>
      </c>
      <c r="K150">
        <v>110009066278</v>
      </c>
      <c r="M150">
        <v>4941</v>
      </c>
      <c r="R150">
        <v>1.255806225E-2</v>
      </c>
      <c r="W150" t="s">
        <v>1634</v>
      </c>
      <c r="Y150">
        <v>15050100002987</v>
      </c>
      <c r="AA150" t="s">
        <v>1465</v>
      </c>
      <c r="AB150" t="s">
        <v>1466</v>
      </c>
    </row>
    <row r="151" spans="1:28" x14ac:dyDescent="0.25">
      <c r="A151">
        <v>2016</v>
      </c>
      <c r="C151" t="s">
        <v>1056</v>
      </c>
      <c r="D151" t="s">
        <v>1635</v>
      </c>
      <c r="E151" t="s">
        <v>1057</v>
      </c>
      <c r="F151" t="s">
        <v>374</v>
      </c>
      <c r="G151">
        <v>85901</v>
      </c>
      <c r="H151">
        <v>34.26126</v>
      </c>
      <c r="I151">
        <v>-110.03482</v>
      </c>
      <c r="K151">
        <v>110006785149</v>
      </c>
      <c r="M151">
        <v>4952</v>
      </c>
      <c r="R151">
        <v>1.5749385</v>
      </c>
      <c r="W151" t="s">
        <v>1636</v>
      </c>
      <c r="X151" t="s">
        <v>1637</v>
      </c>
      <c r="Y151">
        <v>15020005000364</v>
      </c>
      <c r="AA151" t="s">
        <v>1465</v>
      </c>
      <c r="AB151" t="s">
        <v>263</v>
      </c>
    </row>
    <row r="152" spans="1:28" x14ac:dyDescent="0.25">
      <c r="A152">
        <v>2016</v>
      </c>
      <c r="C152" t="s">
        <v>1058</v>
      </c>
      <c r="D152" t="s">
        <v>1638</v>
      </c>
      <c r="E152" t="s">
        <v>1059</v>
      </c>
      <c r="F152" t="s">
        <v>374</v>
      </c>
      <c r="G152">
        <v>85350</v>
      </c>
      <c r="H152">
        <v>32.589804000000001</v>
      </c>
      <c r="I152">
        <v>-114.726901</v>
      </c>
      <c r="K152">
        <v>110006785229</v>
      </c>
      <c r="M152">
        <v>4952</v>
      </c>
      <c r="R152">
        <v>1.3538945</v>
      </c>
      <c r="W152" t="s">
        <v>1639</v>
      </c>
      <c r="Y152">
        <v>15070102000451</v>
      </c>
      <c r="AA152" t="s">
        <v>1465</v>
      </c>
      <c r="AB152" t="s">
        <v>1466</v>
      </c>
    </row>
    <row r="153" spans="1:28" x14ac:dyDescent="0.25">
      <c r="A153">
        <v>2016</v>
      </c>
      <c r="C153" t="s">
        <v>1060</v>
      </c>
      <c r="D153" t="s">
        <v>1640</v>
      </c>
      <c r="E153" t="s">
        <v>657</v>
      </c>
      <c r="F153" t="s">
        <v>418</v>
      </c>
      <c r="G153">
        <v>89155</v>
      </c>
      <c r="H153">
        <v>36.166969999999999</v>
      </c>
      <c r="I153">
        <v>-115.14576</v>
      </c>
      <c r="K153">
        <v>110009001828</v>
      </c>
      <c r="M153">
        <v>9211</v>
      </c>
      <c r="R153">
        <v>2.820582E-2</v>
      </c>
      <c r="W153" t="s">
        <v>1641</v>
      </c>
      <c r="X153" t="s">
        <v>1642</v>
      </c>
      <c r="Y153">
        <v>15010015000125</v>
      </c>
      <c r="AA153" t="s">
        <v>1465</v>
      </c>
      <c r="AB153" t="s">
        <v>1466</v>
      </c>
    </row>
    <row r="154" spans="1:28" x14ac:dyDescent="0.25">
      <c r="A154">
        <v>2016</v>
      </c>
      <c r="C154" t="s">
        <v>1061</v>
      </c>
      <c r="D154" t="s">
        <v>1643</v>
      </c>
      <c r="E154" t="s">
        <v>1062</v>
      </c>
      <c r="F154" t="s">
        <v>366</v>
      </c>
      <c r="G154">
        <v>92008</v>
      </c>
      <c r="H154">
        <v>33.139895000000003</v>
      </c>
      <c r="I154">
        <v>-117.339645</v>
      </c>
      <c r="K154">
        <v>110027363252</v>
      </c>
      <c r="M154">
        <v>4941</v>
      </c>
      <c r="R154">
        <v>25.710736645000001</v>
      </c>
      <c r="W154" t="s">
        <v>1644</v>
      </c>
      <c r="X154" t="s">
        <v>926</v>
      </c>
      <c r="Y154">
        <v>18070303000019</v>
      </c>
      <c r="AA154" t="s">
        <v>1465</v>
      </c>
      <c r="AB154" t="s">
        <v>1466</v>
      </c>
    </row>
    <row r="155" spans="1:28" x14ac:dyDescent="0.25">
      <c r="A155">
        <v>2016</v>
      </c>
      <c r="C155" t="s">
        <v>1065</v>
      </c>
      <c r="D155" t="s">
        <v>1648</v>
      </c>
      <c r="E155" t="s">
        <v>1066</v>
      </c>
      <c r="F155" t="s">
        <v>324</v>
      </c>
      <c r="G155">
        <v>42728</v>
      </c>
      <c r="H155">
        <v>37.105556</v>
      </c>
      <c r="I155">
        <v>-85.304167000000007</v>
      </c>
      <c r="K155">
        <v>110009696356</v>
      </c>
      <c r="M155">
        <v>4952</v>
      </c>
      <c r="R155">
        <v>3.0946159999999998</v>
      </c>
      <c r="W155" t="s">
        <v>1649</v>
      </c>
      <c r="X155" t="s">
        <v>1650</v>
      </c>
      <c r="Y155">
        <v>5110001000213</v>
      </c>
      <c r="AA155" t="s">
        <v>1465</v>
      </c>
      <c r="AB155" t="s">
        <v>263</v>
      </c>
    </row>
    <row r="156" spans="1:28" x14ac:dyDescent="0.25">
      <c r="A156">
        <v>2016</v>
      </c>
      <c r="C156" t="s">
        <v>1069</v>
      </c>
      <c r="D156" t="s">
        <v>1656</v>
      </c>
      <c r="E156" t="s">
        <v>1070</v>
      </c>
      <c r="F156" t="s">
        <v>338</v>
      </c>
      <c r="G156">
        <v>79302221</v>
      </c>
      <c r="H156">
        <v>40.798532000000002</v>
      </c>
      <c r="I156">
        <v>-74.701402000000002</v>
      </c>
      <c r="K156">
        <v>110000616049</v>
      </c>
      <c r="M156">
        <v>1799</v>
      </c>
      <c r="R156">
        <v>4.4704634999999998E-3</v>
      </c>
      <c r="W156" t="s">
        <v>1657</v>
      </c>
      <c r="X156" t="s">
        <v>1658</v>
      </c>
      <c r="Y156">
        <v>2030105000068</v>
      </c>
      <c r="AA156" t="s">
        <v>1465</v>
      </c>
      <c r="AB156" t="s">
        <v>1466</v>
      </c>
    </row>
    <row r="157" spans="1:28" x14ac:dyDescent="0.25">
      <c r="A157">
        <v>2016</v>
      </c>
      <c r="C157" t="s">
        <v>1073</v>
      </c>
      <c r="D157" t="s">
        <v>1663</v>
      </c>
      <c r="E157" t="s">
        <v>1074</v>
      </c>
      <c r="F157" t="s">
        <v>374</v>
      </c>
      <c r="G157" t="s">
        <v>1664</v>
      </c>
      <c r="H157">
        <v>34.729709999999997</v>
      </c>
      <c r="I157">
        <v>-112.04337599999999</v>
      </c>
      <c r="K157">
        <v>110055979455</v>
      </c>
      <c r="M157">
        <v>4952</v>
      </c>
      <c r="R157">
        <v>1.2433725</v>
      </c>
      <c r="W157" t="s">
        <v>1665</v>
      </c>
      <c r="Y157">
        <v>15010007000406</v>
      </c>
      <c r="AA157" t="s">
        <v>1465</v>
      </c>
      <c r="AB157" t="s">
        <v>263</v>
      </c>
    </row>
    <row r="158" spans="1:28" x14ac:dyDescent="0.25">
      <c r="A158">
        <v>2016</v>
      </c>
      <c r="C158" t="s">
        <v>1075</v>
      </c>
      <c r="D158" t="s">
        <v>1666</v>
      </c>
      <c r="E158" t="s">
        <v>1076</v>
      </c>
      <c r="F158" t="s">
        <v>469</v>
      </c>
      <c r="G158" t="s">
        <v>1667</v>
      </c>
      <c r="H158">
        <v>39.728720000000003</v>
      </c>
      <c r="I158">
        <v>-86.137910000000005</v>
      </c>
      <c r="K158">
        <v>110002455370</v>
      </c>
      <c r="M158">
        <v>5014</v>
      </c>
      <c r="R158">
        <v>1.406760825125E-3</v>
      </c>
      <c r="W158" t="s">
        <v>1668</v>
      </c>
      <c r="X158" t="s">
        <v>1669</v>
      </c>
      <c r="Y158">
        <v>5120201000586</v>
      </c>
      <c r="AA158" t="s">
        <v>1465</v>
      </c>
      <c r="AB158" t="s">
        <v>1466</v>
      </c>
    </row>
    <row r="159" spans="1:28" x14ac:dyDescent="0.25">
      <c r="A159">
        <v>2016</v>
      </c>
      <c r="C159" t="s">
        <v>1079</v>
      </c>
      <c r="D159" t="s">
        <v>1673</v>
      </c>
      <c r="E159" t="s">
        <v>381</v>
      </c>
      <c r="F159" t="s">
        <v>338</v>
      </c>
      <c r="G159">
        <v>8014</v>
      </c>
      <c r="H159">
        <v>39.80142</v>
      </c>
      <c r="I159">
        <v>-75.354990000000001</v>
      </c>
      <c r="J159" t="s">
        <v>710</v>
      </c>
      <c r="K159">
        <v>110000582003</v>
      </c>
      <c r="M159">
        <v>2869</v>
      </c>
      <c r="R159">
        <v>0.39350000000000002</v>
      </c>
      <c r="W159" t="s">
        <v>1674</v>
      </c>
      <c r="X159" t="s">
        <v>1675</v>
      </c>
      <c r="Y159">
        <v>2040202001854</v>
      </c>
      <c r="AA159" t="s">
        <v>1465</v>
      </c>
      <c r="AB159" t="s">
        <v>1466</v>
      </c>
    </row>
    <row r="160" spans="1:28" x14ac:dyDescent="0.25">
      <c r="A160">
        <v>2016</v>
      </c>
      <c r="C160" t="s">
        <v>1682</v>
      </c>
      <c r="D160" t="s">
        <v>501</v>
      </c>
      <c r="E160" t="s">
        <v>502</v>
      </c>
      <c r="F160" t="s">
        <v>303</v>
      </c>
      <c r="G160">
        <v>70058</v>
      </c>
      <c r="H160">
        <v>29.910609999999998</v>
      </c>
      <c r="I160">
        <v>-90.085269999999994</v>
      </c>
      <c r="K160">
        <v>110070117180</v>
      </c>
      <c r="M160">
        <v>4226</v>
      </c>
      <c r="R160">
        <v>4.8292057999999999E-3</v>
      </c>
      <c r="W160" t="s">
        <v>873</v>
      </c>
      <c r="Y160">
        <v>8090100000658</v>
      </c>
      <c r="AA160" t="s">
        <v>1465</v>
      </c>
      <c r="AB160" t="s">
        <v>1466</v>
      </c>
    </row>
    <row r="161" spans="1:28" x14ac:dyDescent="0.25">
      <c r="A161">
        <v>2016</v>
      </c>
      <c r="C161" t="s">
        <v>1682</v>
      </c>
      <c r="D161" t="s">
        <v>501</v>
      </c>
      <c r="E161" t="s">
        <v>502</v>
      </c>
      <c r="F161" t="s">
        <v>303</v>
      </c>
      <c r="G161">
        <v>70058</v>
      </c>
      <c r="H161">
        <v>29.910609999999998</v>
      </c>
      <c r="I161">
        <v>-90.085269999999994</v>
      </c>
      <c r="K161">
        <v>110070117180</v>
      </c>
      <c r="M161">
        <v>4226</v>
      </c>
      <c r="R161">
        <v>8.7176119999999996E-3</v>
      </c>
      <c r="W161" t="s">
        <v>873</v>
      </c>
      <c r="Y161">
        <v>8090100000658</v>
      </c>
      <c r="AA161" t="s">
        <v>1465</v>
      </c>
      <c r="AB161" t="s">
        <v>1466</v>
      </c>
    </row>
    <row r="162" spans="1:28" x14ac:dyDescent="0.25">
      <c r="A162">
        <v>2016</v>
      </c>
      <c r="C162" t="s">
        <v>136</v>
      </c>
      <c r="D162" t="s">
        <v>440</v>
      </c>
      <c r="E162" t="s">
        <v>441</v>
      </c>
      <c r="F162" t="s">
        <v>338</v>
      </c>
      <c r="G162" t="s">
        <v>442</v>
      </c>
      <c r="H162">
        <v>40.843611000000003</v>
      </c>
      <c r="I162">
        <v>-75.066389000000001</v>
      </c>
      <c r="J162" t="s">
        <v>443</v>
      </c>
      <c r="K162">
        <v>110040963286</v>
      </c>
      <c r="M162">
        <v>2833</v>
      </c>
      <c r="R162">
        <v>0.22038105725000001</v>
      </c>
      <c r="W162" t="s">
        <v>837</v>
      </c>
      <c r="X162" t="s">
        <v>838</v>
      </c>
      <c r="Y162">
        <v>2040105000142</v>
      </c>
      <c r="AA162" t="s">
        <v>1465</v>
      </c>
      <c r="AB162" t="s">
        <v>1466</v>
      </c>
    </row>
    <row r="163" spans="1:28" x14ac:dyDescent="0.25">
      <c r="A163">
        <v>2016</v>
      </c>
      <c r="C163" t="s">
        <v>138</v>
      </c>
      <c r="D163" t="s">
        <v>448</v>
      </c>
      <c r="E163" t="s">
        <v>449</v>
      </c>
      <c r="F163" t="s">
        <v>450</v>
      </c>
      <c r="G163">
        <v>14652</v>
      </c>
      <c r="H163">
        <v>43.197788000000003</v>
      </c>
      <c r="I163">
        <v>-77.629835999999997</v>
      </c>
      <c r="J163" t="s">
        <v>451</v>
      </c>
      <c r="K163">
        <v>110000492173</v>
      </c>
      <c r="M163">
        <v>3861</v>
      </c>
      <c r="R163">
        <v>3.2407169999999999E-2</v>
      </c>
      <c r="W163" t="s">
        <v>841</v>
      </c>
      <c r="X163" t="s">
        <v>842</v>
      </c>
      <c r="Y163">
        <v>4130003000001</v>
      </c>
      <c r="AA163" t="s">
        <v>1465</v>
      </c>
      <c r="AB163" t="s">
        <v>1466</v>
      </c>
    </row>
    <row r="164" spans="1:28" x14ac:dyDescent="0.25">
      <c r="A164">
        <v>2016</v>
      </c>
      <c r="C164" t="s">
        <v>1091</v>
      </c>
      <c r="D164" t="s">
        <v>1708</v>
      </c>
      <c r="E164" t="s">
        <v>1092</v>
      </c>
      <c r="F164" t="s">
        <v>366</v>
      </c>
      <c r="G164">
        <v>95762</v>
      </c>
      <c r="H164">
        <v>38.63597</v>
      </c>
      <c r="I164">
        <v>-121.06135999999999</v>
      </c>
      <c r="K164">
        <v>110001103939</v>
      </c>
      <c r="M164">
        <v>4952</v>
      </c>
      <c r="R164">
        <v>0.39458625000000003</v>
      </c>
      <c r="W164" t="s">
        <v>1709</v>
      </c>
      <c r="X164" t="s">
        <v>1710</v>
      </c>
      <c r="Y164">
        <v>18040013000751</v>
      </c>
      <c r="AA164" t="s">
        <v>1465</v>
      </c>
      <c r="AB164" t="s">
        <v>263</v>
      </c>
    </row>
    <row r="165" spans="1:28" x14ac:dyDescent="0.25">
      <c r="A165">
        <v>2016</v>
      </c>
      <c r="C165" t="s">
        <v>1093</v>
      </c>
      <c r="D165" t="s">
        <v>1711</v>
      </c>
      <c r="E165" t="s">
        <v>1094</v>
      </c>
      <c r="F165" t="s">
        <v>366</v>
      </c>
      <c r="G165" t="s">
        <v>1712</v>
      </c>
      <c r="H165">
        <v>34.418880000000001</v>
      </c>
      <c r="I165">
        <v>-119.68471</v>
      </c>
      <c r="K165">
        <v>110000730638</v>
      </c>
      <c r="M165">
        <v>4952</v>
      </c>
      <c r="R165">
        <v>1.866440275</v>
      </c>
      <c r="W165" t="s">
        <v>1713</v>
      </c>
      <c r="X165" t="s">
        <v>926</v>
      </c>
      <c r="Y165">
        <v>18060013000019</v>
      </c>
      <c r="AA165" t="s">
        <v>1465</v>
      </c>
      <c r="AB165" t="s">
        <v>263</v>
      </c>
    </row>
    <row r="166" spans="1:28" x14ac:dyDescent="0.25">
      <c r="A166">
        <v>2016</v>
      </c>
      <c r="C166" t="s">
        <v>1095</v>
      </c>
      <c r="D166" t="s">
        <v>1714</v>
      </c>
      <c r="E166" t="s">
        <v>1096</v>
      </c>
      <c r="F166" t="s">
        <v>450</v>
      </c>
      <c r="G166">
        <v>14132</v>
      </c>
      <c r="H166">
        <v>43.129750000000001</v>
      </c>
      <c r="I166">
        <v>-78.939679999999996</v>
      </c>
      <c r="K166">
        <v>110000737365</v>
      </c>
      <c r="M166">
        <v>9511</v>
      </c>
      <c r="R166">
        <v>0.220183565412499</v>
      </c>
      <c r="W166" t="s">
        <v>1715</v>
      </c>
      <c r="X166" t="s">
        <v>1716</v>
      </c>
      <c r="Y166">
        <v>4120104000390</v>
      </c>
      <c r="AA166" t="s">
        <v>1465</v>
      </c>
      <c r="AB166" t="s">
        <v>1466</v>
      </c>
    </row>
    <row r="167" spans="1:28" x14ac:dyDescent="0.25">
      <c r="A167">
        <v>2016</v>
      </c>
      <c r="C167" t="s">
        <v>1097</v>
      </c>
      <c r="D167" t="s">
        <v>1718</v>
      </c>
      <c r="E167" t="s">
        <v>1098</v>
      </c>
      <c r="F167" t="s">
        <v>324</v>
      </c>
      <c r="G167" t="s">
        <v>1719</v>
      </c>
      <c r="H167">
        <v>38.643056000000001</v>
      </c>
      <c r="I167">
        <v>-83.740278000000004</v>
      </c>
      <c r="K167">
        <v>110000379787</v>
      </c>
      <c r="M167">
        <v>3566</v>
      </c>
      <c r="R167">
        <v>0.31024480384615299</v>
      </c>
      <c r="W167" t="s">
        <v>1720</v>
      </c>
      <c r="X167" t="s">
        <v>1721</v>
      </c>
      <c r="Y167">
        <v>5090201002312</v>
      </c>
      <c r="AA167" t="s">
        <v>1465</v>
      </c>
      <c r="AB167" t="s">
        <v>1466</v>
      </c>
    </row>
    <row r="168" spans="1:28" x14ac:dyDescent="0.25">
      <c r="A168">
        <v>2016</v>
      </c>
      <c r="C168" t="s">
        <v>1102</v>
      </c>
      <c r="D168" t="s">
        <v>1726</v>
      </c>
      <c r="E168" t="s">
        <v>1103</v>
      </c>
      <c r="F168" t="s">
        <v>345</v>
      </c>
      <c r="G168" t="s">
        <v>1727</v>
      </c>
      <c r="H168">
        <v>41.412897000000001</v>
      </c>
      <c r="I168">
        <v>-88.329773000000003</v>
      </c>
      <c r="J168" t="s">
        <v>712</v>
      </c>
      <c r="K168">
        <v>110000433013</v>
      </c>
      <c r="M168">
        <v>2821</v>
      </c>
      <c r="R168">
        <v>0.33333333333333298</v>
      </c>
      <c r="W168" t="s">
        <v>1728</v>
      </c>
      <c r="X168" t="s">
        <v>1729</v>
      </c>
      <c r="Y168">
        <v>7120005000248</v>
      </c>
      <c r="AA168" t="s">
        <v>1465</v>
      </c>
      <c r="AB168" t="s">
        <v>1466</v>
      </c>
    </row>
    <row r="169" spans="1:28" x14ac:dyDescent="0.25">
      <c r="A169">
        <v>2016</v>
      </c>
      <c r="C169" t="s">
        <v>1102</v>
      </c>
      <c r="D169" t="s">
        <v>1726</v>
      </c>
      <c r="E169" t="s">
        <v>1103</v>
      </c>
      <c r="F169" t="s">
        <v>345</v>
      </c>
      <c r="G169" t="s">
        <v>1727</v>
      </c>
      <c r="H169">
        <v>41.412897000000001</v>
      </c>
      <c r="I169">
        <v>-88.329773000000003</v>
      </c>
      <c r="J169" t="s">
        <v>712</v>
      </c>
      <c r="K169">
        <v>110000433013</v>
      </c>
      <c r="M169">
        <v>2821</v>
      </c>
      <c r="R169">
        <v>0.82993197278911501</v>
      </c>
      <c r="W169" t="s">
        <v>1728</v>
      </c>
      <c r="X169" t="s">
        <v>1729</v>
      </c>
      <c r="Y169">
        <v>7120005000248</v>
      </c>
      <c r="AA169" t="s">
        <v>1465</v>
      </c>
      <c r="AB169" t="s">
        <v>1466</v>
      </c>
    </row>
    <row r="170" spans="1:28" x14ac:dyDescent="0.25">
      <c r="A170">
        <v>2016</v>
      </c>
      <c r="C170" t="s">
        <v>1104</v>
      </c>
      <c r="D170" t="s">
        <v>1731</v>
      </c>
      <c r="E170" t="s">
        <v>446</v>
      </c>
      <c r="F170" t="s">
        <v>303</v>
      </c>
      <c r="G170">
        <v>70669</v>
      </c>
      <c r="H170">
        <v>30.193916000000002</v>
      </c>
      <c r="I170">
        <v>-93.321347000000003</v>
      </c>
      <c r="J170" t="s">
        <v>713</v>
      </c>
      <c r="K170">
        <v>110000597266</v>
      </c>
      <c r="M170">
        <v>2821</v>
      </c>
      <c r="R170">
        <v>0.82766439909296996</v>
      </c>
      <c r="W170" t="s">
        <v>1732</v>
      </c>
      <c r="X170">
        <v>315</v>
      </c>
      <c r="Y170">
        <v>8080206000583</v>
      </c>
      <c r="AA170" t="s">
        <v>1465</v>
      </c>
      <c r="AB170" t="s">
        <v>1466</v>
      </c>
    </row>
    <row r="171" spans="1:28" x14ac:dyDescent="0.25">
      <c r="A171">
        <v>2016</v>
      </c>
      <c r="C171" t="s">
        <v>1105</v>
      </c>
      <c r="D171" t="s">
        <v>1735</v>
      </c>
      <c r="E171" t="s">
        <v>1106</v>
      </c>
      <c r="F171" t="s">
        <v>345</v>
      </c>
      <c r="G171">
        <v>61953</v>
      </c>
      <c r="H171">
        <v>39.795811999999998</v>
      </c>
      <c r="I171">
        <v>-88.347945999999993</v>
      </c>
      <c r="J171" t="s">
        <v>714</v>
      </c>
      <c r="K171">
        <v>110000746211</v>
      </c>
      <c r="M171">
        <v>2869</v>
      </c>
      <c r="R171">
        <v>4.8004535147392202</v>
      </c>
      <c r="W171" t="s">
        <v>1736</v>
      </c>
      <c r="X171" t="s">
        <v>1737</v>
      </c>
      <c r="Y171">
        <v>7140201000696</v>
      </c>
      <c r="AA171" t="s">
        <v>1465</v>
      </c>
      <c r="AB171" t="s">
        <v>1466</v>
      </c>
    </row>
    <row r="172" spans="1:28" x14ac:dyDescent="0.25">
      <c r="A172">
        <v>2016</v>
      </c>
      <c r="C172" t="s">
        <v>1107</v>
      </c>
      <c r="D172" t="s">
        <v>1741</v>
      </c>
      <c r="E172" t="s">
        <v>1108</v>
      </c>
      <c r="F172" t="s">
        <v>338</v>
      </c>
      <c r="G172">
        <v>8872</v>
      </c>
      <c r="H172">
        <v>40.665252000000002</v>
      </c>
      <c r="I172">
        <v>-74.200059999999993</v>
      </c>
      <c r="K172">
        <v>110070212717</v>
      </c>
      <c r="M172">
        <v>2851</v>
      </c>
      <c r="R172">
        <v>7.1385099999999896E-4</v>
      </c>
      <c r="W172" t="s">
        <v>1742</v>
      </c>
      <c r="X172" t="s">
        <v>1743</v>
      </c>
      <c r="Y172">
        <v>2030104000356</v>
      </c>
      <c r="AA172" t="s">
        <v>1465</v>
      </c>
      <c r="AB172" t="s">
        <v>1466</v>
      </c>
    </row>
    <row r="173" spans="1:28" x14ac:dyDescent="0.25">
      <c r="A173">
        <v>2016</v>
      </c>
      <c r="C173" t="s">
        <v>145</v>
      </c>
      <c r="D173" t="s">
        <v>468</v>
      </c>
      <c r="E173" t="s">
        <v>314</v>
      </c>
      <c r="F173" t="s">
        <v>469</v>
      </c>
      <c r="G173">
        <v>479099201</v>
      </c>
      <c r="H173">
        <v>40.390543999999998</v>
      </c>
      <c r="I173">
        <v>-86.936173999999994</v>
      </c>
      <c r="J173" t="s">
        <v>470</v>
      </c>
      <c r="K173">
        <v>110000404296</v>
      </c>
      <c r="M173">
        <v>2833</v>
      </c>
      <c r="R173">
        <v>0.23648752834467099</v>
      </c>
      <c r="W173" t="s">
        <v>853</v>
      </c>
      <c r="X173" t="s">
        <v>854</v>
      </c>
      <c r="Y173">
        <v>5120108000208</v>
      </c>
      <c r="AA173" t="s">
        <v>1465</v>
      </c>
      <c r="AB173" t="s">
        <v>1466</v>
      </c>
    </row>
    <row r="174" spans="1:28" x14ac:dyDescent="0.25">
      <c r="A174">
        <v>2016</v>
      </c>
      <c r="C174" t="s">
        <v>146</v>
      </c>
      <c r="D174" t="s">
        <v>471</v>
      </c>
      <c r="E174" t="s">
        <v>472</v>
      </c>
      <c r="F174" t="s">
        <v>450</v>
      </c>
      <c r="G174">
        <v>11222</v>
      </c>
      <c r="H174">
        <v>40.73095</v>
      </c>
      <c r="I174">
        <v>-73.942520000000002</v>
      </c>
      <c r="K174">
        <v>110037107154</v>
      </c>
      <c r="M174">
        <v>4959</v>
      </c>
      <c r="R174">
        <v>0.3239532295</v>
      </c>
      <c r="W174" t="s">
        <v>855</v>
      </c>
      <c r="X174" t="s">
        <v>856</v>
      </c>
      <c r="Y174">
        <v>2030101001969</v>
      </c>
      <c r="AA174" t="s">
        <v>1465</v>
      </c>
      <c r="AB174" t="s">
        <v>1466</v>
      </c>
    </row>
    <row r="175" spans="1:28" x14ac:dyDescent="0.25">
      <c r="A175">
        <v>2016</v>
      </c>
      <c r="C175" t="s">
        <v>1109</v>
      </c>
      <c r="D175" t="s">
        <v>1748</v>
      </c>
      <c r="E175" t="s">
        <v>1110</v>
      </c>
      <c r="F175" t="s">
        <v>338</v>
      </c>
      <c r="G175">
        <v>8536</v>
      </c>
      <c r="H175">
        <v>40.331944</v>
      </c>
      <c r="I175">
        <v>-74.619721999999996</v>
      </c>
      <c r="K175">
        <v>110000321651</v>
      </c>
      <c r="M175">
        <v>2869</v>
      </c>
      <c r="R175">
        <v>1.8E-3</v>
      </c>
      <c r="W175" t="s">
        <v>1749</v>
      </c>
      <c r="X175" t="s">
        <v>1750</v>
      </c>
      <c r="Y175">
        <v>2060002000003</v>
      </c>
      <c r="AA175" t="s">
        <v>1465</v>
      </c>
      <c r="AB175" t="s">
        <v>1466</v>
      </c>
    </row>
    <row r="176" spans="1:28" x14ac:dyDescent="0.25">
      <c r="A176">
        <v>2016</v>
      </c>
      <c r="C176" t="s">
        <v>1111</v>
      </c>
      <c r="D176" t="s">
        <v>1753</v>
      </c>
      <c r="E176" t="s">
        <v>1112</v>
      </c>
      <c r="F176" t="s">
        <v>338</v>
      </c>
      <c r="G176">
        <v>7410</v>
      </c>
      <c r="H176">
        <v>40.9375</v>
      </c>
      <c r="I176">
        <v>-74.131939000000003</v>
      </c>
      <c r="J176" t="s">
        <v>715</v>
      </c>
      <c r="K176">
        <v>110000319904</v>
      </c>
      <c r="M176">
        <v>2899</v>
      </c>
      <c r="R176">
        <v>2.6624901199999999E-2</v>
      </c>
      <c r="W176" t="s">
        <v>1754</v>
      </c>
      <c r="X176" t="s">
        <v>1755</v>
      </c>
      <c r="Y176">
        <v>2030103000370</v>
      </c>
      <c r="AA176" t="s">
        <v>1465</v>
      </c>
      <c r="AB176" t="s">
        <v>1466</v>
      </c>
    </row>
    <row r="177" spans="1:28" x14ac:dyDescent="0.25">
      <c r="A177">
        <v>2016</v>
      </c>
      <c r="C177" t="s">
        <v>1116</v>
      </c>
      <c r="D177" t="s">
        <v>1766</v>
      </c>
      <c r="E177" t="s">
        <v>1117</v>
      </c>
      <c r="F177" t="s">
        <v>450</v>
      </c>
      <c r="G177">
        <v>14105</v>
      </c>
      <c r="H177">
        <v>43.207166999999998</v>
      </c>
      <c r="I177">
        <v>-78.468874999999997</v>
      </c>
      <c r="J177" t="s">
        <v>716</v>
      </c>
      <c r="K177">
        <v>110000326601</v>
      </c>
      <c r="M177">
        <v>2879</v>
      </c>
      <c r="R177">
        <v>1.72990813349999E-2</v>
      </c>
      <c r="W177" t="s">
        <v>1767</v>
      </c>
      <c r="X177" t="s">
        <v>1768</v>
      </c>
      <c r="Y177">
        <v>4130001000130</v>
      </c>
      <c r="AA177" t="s">
        <v>1465</v>
      </c>
      <c r="AB177" t="s">
        <v>1466</v>
      </c>
    </row>
    <row r="178" spans="1:28" x14ac:dyDescent="0.25">
      <c r="A178">
        <v>2016</v>
      </c>
      <c r="C178" t="s">
        <v>1118</v>
      </c>
      <c r="D178" t="s">
        <v>1769</v>
      </c>
      <c r="E178" t="s">
        <v>1119</v>
      </c>
      <c r="F178" t="s">
        <v>427</v>
      </c>
      <c r="G178">
        <v>49128</v>
      </c>
      <c r="H178">
        <v>41.775967999999999</v>
      </c>
      <c r="I178">
        <v>-86.654864000000003</v>
      </c>
      <c r="K178">
        <v>110001847761</v>
      </c>
      <c r="M178">
        <v>4953</v>
      </c>
      <c r="R178">
        <v>2.4640349999999998E-2</v>
      </c>
      <c r="W178" t="s">
        <v>1770</v>
      </c>
      <c r="X178" t="s">
        <v>1771</v>
      </c>
      <c r="Y178">
        <v>4040001000153</v>
      </c>
      <c r="AA178" t="s">
        <v>1465</v>
      </c>
      <c r="AB178" t="s">
        <v>1466</v>
      </c>
    </row>
    <row r="179" spans="1:28" x14ac:dyDescent="0.25">
      <c r="A179">
        <v>2016</v>
      </c>
      <c r="C179" t="s">
        <v>1120</v>
      </c>
      <c r="D179" t="s">
        <v>1773</v>
      </c>
      <c r="E179" t="s">
        <v>1121</v>
      </c>
      <c r="F179" t="s">
        <v>338</v>
      </c>
      <c r="G179">
        <v>8832</v>
      </c>
      <c r="H179">
        <v>40.515906999999999</v>
      </c>
      <c r="I179">
        <v>-74.325175999999999</v>
      </c>
      <c r="K179">
        <v>110070215141</v>
      </c>
      <c r="R179">
        <v>8.1320195099999892E-3</v>
      </c>
      <c r="W179" t="s">
        <v>1774</v>
      </c>
      <c r="X179" t="s">
        <v>1775</v>
      </c>
      <c r="Y179">
        <v>2030105000996</v>
      </c>
      <c r="AA179" t="s">
        <v>1465</v>
      </c>
      <c r="AB179" t="s">
        <v>1466</v>
      </c>
    </row>
    <row r="180" spans="1:28" x14ac:dyDescent="0.25">
      <c r="A180">
        <v>2016</v>
      </c>
      <c r="C180" t="s">
        <v>147</v>
      </c>
      <c r="D180" t="s">
        <v>473</v>
      </c>
      <c r="E180" t="s">
        <v>474</v>
      </c>
      <c r="F180" t="s">
        <v>338</v>
      </c>
      <c r="G180">
        <v>7470</v>
      </c>
      <c r="H180">
        <v>40.891950000000001</v>
      </c>
      <c r="I180">
        <v>-74.249369999999999</v>
      </c>
      <c r="K180">
        <v>110070213656</v>
      </c>
      <c r="M180">
        <v>9999</v>
      </c>
      <c r="R180">
        <v>1.0649349202499899E-3</v>
      </c>
      <c r="W180" t="s">
        <v>857</v>
      </c>
      <c r="X180" t="s">
        <v>858</v>
      </c>
      <c r="Y180">
        <v>2030103000043</v>
      </c>
      <c r="AA180" t="s">
        <v>1465</v>
      </c>
      <c r="AB180" t="s">
        <v>1466</v>
      </c>
    </row>
    <row r="181" spans="1:28" x14ac:dyDescent="0.25">
      <c r="A181">
        <v>2016</v>
      </c>
      <c r="C181" t="s">
        <v>148</v>
      </c>
      <c r="D181" t="s">
        <v>476</v>
      </c>
      <c r="E181" t="s">
        <v>477</v>
      </c>
      <c r="F181" t="s">
        <v>478</v>
      </c>
      <c r="G181">
        <v>19706</v>
      </c>
      <c r="H181">
        <v>39.585099999999997</v>
      </c>
      <c r="I181">
        <v>-75.649199999999993</v>
      </c>
      <c r="K181">
        <v>110000338536</v>
      </c>
      <c r="M181">
        <v>2821</v>
      </c>
      <c r="R181">
        <v>0.13185941043083799</v>
      </c>
      <c r="W181" t="s">
        <v>859</v>
      </c>
      <c r="X181" t="s">
        <v>783</v>
      </c>
      <c r="Y181">
        <v>2040205000476</v>
      </c>
      <c r="AA181" t="s">
        <v>1465</v>
      </c>
      <c r="AB181" t="s">
        <v>1466</v>
      </c>
    </row>
    <row r="182" spans="1:28" x14ac:dyDescent="0.25">
      <c r="A182">
        <v>2016</v>
      </c>
      <c r="C182" t="s">
        <v>1131</v>
      </c>
      <c r="D182" t="s">
        <v>1795</v>
      </c>
      <c r="E182" t="s">
        <v>962</v>
      </c>
      <c r="F182" t="s">
        <v>374</v>
      </c>
      <c r="G182">
        <v>85001</v>
      </c>
      <c r="H182">
        <v>33.460380000000001</v>
      </c>
      <c r="I182">
        <v>-112.00823</v>
      </c>
      <c r="K182">
        <v>110043452019</v>
      </c>
      <c r="M182">
        <v>9999</v>
      </c>
      <c r="R182">
        <v>0.33233473349999998</v>
      </c>
      <c r="W182" t="s">
        <v>1796</v>
      </c>
      <c r="Y182">
        <v>15020015000457</v>
      </c>
      <c r="AA182" t="s">
        <v>1465</v>
      </c>
      <c r="AB182" t="s">
        <v>1466</v>
      </c>
    </row>
    <row r="183" spans="1:28" x14ac:dyDescent="0.25">
      <c r="A183">
        <v>2016</v>
      </c>
      <c r="C183" t="s">
        <v>1134</v>
      </c>
      <c r="D183" t="s">
        <v>1800</v>
      </c>
      <c r="E183" t="s">
        <v>1135</v>
      </c>
      <c r="F183" t="s">
        <v>299</v>
      </c>
      <c r="G183">
        <v>72501</v>
      </c>
      <c r="H183">
        <v>35.722341999999998</v>
      </c>
      <c r="I183">
        <v>-91.524983000000006</v>
      </c>
      <c r="J183" t="s">
        <v>718</v>
      </c>
      <c r="K183">
        <v>110017432937</v>
      </c>
      <c r="M183">
        <v>2865</v>
      </c>
      <c r="R183">
        <v>7.0249433106575898</v>
      </c>
      <c r="W183" t="s">
        <v>1801</v>
      </c>
      <c r="X183" t="s">
        <v>1802</v>
      </c>
      <c r="Y183">
        <v>11010004002024</v>
      </c>
      <c r="AA183" t="s">
        <v>1465</v>
      </c>
      <c r="AB183" t="s">
        <v>1466</v>
      </c>
    </row>
    <row r="184" spans="1:28" x14ac:dyDescent="0.25">
      <c r="A184">
        <v>2016</v>
      </c>
      <c r="C184" t="s">
        <v>1136</v>
      </c>
      <c r="D184" t="s">
        <v>1803</v>
      </c>
      <c r="E184" t="s">
        <v>1137</v>
      </c>
      <c r="F184" t="s">
        <v>427</v>
      </c>
      <c r="G184">
        <v>49022</v>
      </c>
      <c r="H184">
        <v>42.076250000000002</v>
      </c>
      <c r="I184">
        <v>-86.43656</v>
      </c>
      <c r="J184" t="s">
        <v>719</v>
      </c>
      <c r="K184">
        <v>110000593206</v>
      </c>
      <c r="M184">
        <v>3561</v>
      </c>
      <c r="R184">
        <v>5.6105055000000001E-2</v>
      </c>
      <c r="W184" t="s">
        <v>1804</v>
      </c>
      <c r="X184" t="s">
        <v>1805</v>
      </c>
      <c r="Y184">
        <v>4050001000919</v>
      </c>
      <c r="AA184" t="s">
        <v>1465</v>
      </c>
      <c r="AB184" t="s">
        <v>1466</v>
      </c>
    </row>
    <row r="185" spans="1:28" x14ac:dyDescent="0.25">
      <c r="A185">
        <v>2016</v>
      </c>
      <c r="C185" t="s">
        <v>151</v>
      </c>
      <c r="D185" t="s">
        <v>485</v>
      </c>
      <c r="E185" t="s">
        <v>486</v>
      </c>
      <c r="F185" t="s">
        <v>308</v>
      </c>
      <c r="G185">
        <v>1905</v>
      </c>
      <c r="H185">
        <v>42.452603000000003</v>
      </c>
      <c r="I185">
        <v>-70.973436000000007</v>
      </c>
      <c r="J185" t="s">
        <v>487</v>
      </c>
      <c r="K185">
        <v>110000310191</v>
      </c>
      <c r="M185">
        <v>3724</v>
      </c>
      <c r="R185">
        <v>6.4110329999999993E-2</v>
      </c>
      <c r="W185" t="s">
        <v>864</v>
      </c>
      <c r="X185" t="s">
        <v>865</v>
      </c>
      <c r="Y185">
        <v>1090001001195</v>
      </c>
      <c r="AA185" t="s">
        <v>1465</v>
      </c>
      <c r="AB185" t="s">
        <v>1466</v>
      </c>
    </row>
    <row r="186" spans="1:28" x14ac:dyDescent="0.25">
      <c r="A186">
        <v>2016</v>
      </c>
      <c r="C186" t="s">
        <v>151</v>
      </c>
      <c r="D186" t="s">
        <v>485</v>
      </c>
      <c r="E186" t="s">
        <v>486</v>
      </c>
      <c r="F186" t="s">
        <v>308</v>
      </c>
      <c r="G186">
        <v>1905</v>
      </c>
      <c r="H186">
        <v>42.452603000000003</v>
      </c>
      <c r="I186">
        <v>-70.973436000000007</v>
      </c>
      <c r="J186" t="s">
        <v>487</v>
      </c>
      <c r="K186">
        <v>110000310191</v>
      </c>
      <c r="M186">
        <v>3724</v>
      </c>
      <c r="R186">
        <v>3.2645625000000001E-4</v>
      </c>
      <c r="W186" t="s">
        <v>864</v>
      </c>
      <c r="X186" t="s">
        <v>865</v>
      </c>
      <c r="Y186">
        <v>1090001001195</v>
      </c>
      <c r="AA186" t="s">
        <v>1465</v>
      </c>
      <c r="AB186" t="s">
        <v>1466</v>
      </c>
    </row>
    <row r="187" spans="1:28" x14ac:dyDescent="0.25">
      <c r="A187">
        <v>2016</v>
      </c>
      <c r="C187" t="s">
        <v>151</v>
      </c>
      <c r="D187" t="s">
        <v>485</v>
      </c>
      <c r="E187" t="s">
        <v>486</v>
      </c>
      <c r="F187" t="s">
        <v>308</v>
      </c>
      <c r="G187">
        <v>1905</v>
      </c>
      <c r="H187">
        <v>42.452603000000003</v>
      </c>
      <c r="I187">
        <v>-70.973436000000007</v>
      </c>
      <c r="J187" t="s">
        <v>487</v>
      </c>
      <c r="K187">
        <v>110000310191</v>
      </c>
      <c r="M187">
        <v>3724</v>
      </c>
      <c r="R187">
        <v>5.0247767499999998E-2</v>
      </c>
      <c r="W187" t="s">
        <v>864</v>
      </c>
      <c r="X187" t="s">
        <v>865</v>
      </c>
      <c r="Y187">
        <v>1090001001195</v>
      </c>
      <c r="AA187" t="s">
        <v>1465</v>
      </c>
      <c r="AB187" t="s">
        <v>1466</v>
      </c>
    </row>
    <row r="188" spans="1:28" x14ac:dyDescent="0.25">
      <c r="A188">
        <v>2016</v>
      </c>
      <c r="C188" t="s">
        <v>152</v>
      </c>
      <c r="D188" t="s">
        <v>489</v>
      </c>
      <c r="E188" t="s">
        <v>490</v>
      </c>
      <c r="F188" t="s">
        <v>491</v>
      </c>
      <c r="G188">
        <v>17356</v>
      </c>
      <c r="H188">
        <v>39.903748999999998</v>
      </c>
      <c r="I188">
        <v>-76.605096000000003</v>
      </c>
      <c r="J188" t="s">
        <v>492</v>
      </c>
      <c r="K188">
        <v>110000333318</v>
      </c>
      <c r="M188">
        <v>3489</v>
      </c>
      <c r="R188">
        <v>4.5268599999999999E-2</v>
      </c>
      <c r="W188" t="s">
        <v>866</v>
      </c>
      <c r="X188" t="s">
        <v>1809</v>
      </c>
      <c r="Y188">
        <v>2050306000429</v>
      </c>
      <c r="AA188" t="s">
        <v>1465</v>
      </c>
      <c r="AB188" t="s">
        <v>1466</v>
      </c>
    </row>
    <row r="189" spans="1:28" x14ac:dyDescent="0.25">
      <c r="A189">
        <v>2016</v>
      </c>
      <c r="C189" t="s">
        <v>152</v>
      </c>
      <c r="D189" t="s">
        <v>489</v>
      </c>
      <c r="E189" t="s">
        <v>490</v>
      </c>
      <c r="F189" t="s">
        <v>491</v>
      </c>
      <c r="G189">
        <v>17356</v>
      </c>
      <c r="H189">
        <v>39.903748999999998</v>
      </c>
      <c r="I189">
        <v>-76.605096000000003</v>
      </c>
      <c r="J189" t="s">
        <v>492</v>
      </c>
      <c r="K189">
        <v>110000333318</v>
      </c>
      <c r="M189">
        <v>3489</v>
      </c>
      <c r="R189">
        <v>2.08932E-3</v>
      </c>
      <c r="W189" t="s">
        <v>866</v>
      </c>
      <c r="X189" t="s">
        <v>1809</v>
      </c>
      <c r="Y189">
        <v>2050306000429</v>
      </c>
      <c r="AA189" t="s">
        <v>1465</v>
      </c>
      <c r="AB189" t="s">
        <v>1466</v>
      </c>
    </row>
    <row r="190" spans="1:28" x14ac:dyDescent="0.25">
      <c r="A190">
        <v>2016</v>
      </c>
      <c r="C190" t="s">
        <v>1816</v>
      </c>
      <c r="D190" t="s">
        <v>497</v>
      </c>
      <c r="E190" t="s">
        <v>498</v>
      </c>
      <c r="F190" t="s">
        <v>338</v>
      </c>
      <c r="G190">
        <v>8066</v>
      </c>
      <c r="H190">
        <v>39.852891</v>
      </c>
      <c r="I190">
        <v>-75.225210000000004</v>
      </c>
      <c r="K190">
        <v>110064625730</v>
      </c>
      <c r="M190">
        <v>4952</v>
      </c>
      <c r="R190">
        <v>3.0941000000000001</v>
      </c>
      <c r="W190" t="s">
        <v>870</v>
      </c>
      <c r="X190" t="s">
        <v>871</v>
      </c>
      <c r="Y190">
        <v>2040202000030</v>
      </c>
      <c r="AA190" t="s">
        <v>1465</v>
      </c>
      <c r="AB190" t="s">
        <v>263</v>
      </c>
    </row>
    <row r="191" spans="1:28" x14ac:dyDescent="0.25">
      <c r="A191">
        <v>2016</v>
      </c>
      <c r="C191" t="s">
        <v>1150</v>
      </c>
      <c r="D191" t="s">
        <v>1835</v>
      </c>
      <c r="E191" t="s">
        <v>1151</v>
      </c>
      <c r="F191" t="s">
        <v>338</v>
      </c>
      <c r="G191">
        <v>8610</v>
      </c>
      <c r="H191">
        <v>40.183062999999997</v>
      </c>
      <c r="I191">
        <v>-74.710695000000001</v>
      </c>
      <c r="K191">
        <v>110056977080</v>
      </c>
      <c r="M191">
        <v>4952</v>
      </c>
      <c r="R191">
        <v>1.8765273</v>
      </c>
      <c r="W191" t="s">
        <v>1836</v>
      </c>
      <c r="X191" t="s">
        <v>1837</v>
      </c>
      <c r="Y191">
        <v>2040201000021</v>
      </c>
      <c r="AA191" t="s">
        <v>1465</v>
      </c>
      <c r="AB191" t="s">
        <v>263</v>
      </c>
    </row>
    <row r="192" spans="1:28" x14ac:dyDescent="0.25">
      <c r="A192">
        <v>2016</v>
      </c>
      <c r="C192" t="s">
        <v>1160</v>
      </c>
      <c r="D192" t="s">
        <v>1856</v>
      </c>
      <c r="E192" t="s">
        <v>1103</v>
      </c>
      <c r="F192" t="s">
        <v>345</v>
      </c>
      <c r="G192" t="s">
        <v>1857</v>
      </c>
      <c r="H192">
        <v>41.304952</v>
      </c>
      <c r="I192">
        <v>-88.561650999999998</v>
      </c>
      <c r="J192" t="s">
        <v>720</v>
      </c>
      <c r="K192">
        <v>110000433022</v>
      </c>
      <c r="M192">
        <v>2821</v>
      </c>
      <c r="R192">
        <v>0.10263038548752799</v>
      </c>
      <c r="W192" t="s">
        <v>1858</v>
      </c>
      <c r="X192" t="s">
        <v>1859</v>
      </c>
      <c r="Y192">
        <v>7120005000124</v>
      </c>
      <c r="AA192" t="s">
        <v>1465</v>
      </c>
      <c r="AB192" t="s">
        <v>1466</v>
      </c>
    </row>
    <row r="193" spans="1:28" x14ac:dyDescent="0.25">
      <c r="A193">
        <v>2016</v>
      </c>
      <c r="C193" t="s">
        <v>1167</v>
      </c>
      <c r="D193" t="s">
        <v>1875</v>
      </c>
      <c r="E193" t="s">
        <v>1168</v>
      </c>
      <c r="F193" t="s">
        <v>338</v>
      </c>
      <c r="G193">
        <v>79621057</v>
      </c>
      <c r="H193">
        <v>40.792712999999999</v>
      </c>
      <c r="I193">
        <v>-74.434799999999996</v>
      </c>
      <c r="K193">
        <v>110070212650</v>
      </c>
      <c r="M193">
        <v>8731</v>
      </c>
      <c r="R193">
        <v>3.1722841999999897E-2</v>
      </c>
      <c r="W193" t="s">
        <v>1876</v>
      </c>
      <c r="X193" t="s">
        <v>1877</v>
      </c>
      <c r="Y193">
        <v>2030103000384</v>
      </c>
      <c r="AA193" t="s">
        <v>1465</v>
      </c>
      <c r="AB193" t="s">
        <v>1466</v>
      </c>
    </row>
    <row r="194" spans="1:28" x14ac:dyDescent="0.25">
      <c r="A194">
        <v>2016</v>
      </c>
      <c r="C194" t="s">
        <v>1880</v>
      </c>
      <c r="D194" t="s">
        <v>513</v>
      </c>
      <c r="E194" t="s">
        <v>302</v>
      </c>
      <c r="F194" t="s">
        <v>303</v>
      </c>
      <c r="G194">
        <v>70805</v>
      </c>
      <c r="H194">
        <v>30.474443999999998</v>
      </c>
      <c r="I194">
        <v>-91.183055999999993</v>
      </c>
      <c r="J194" t="s">
        <v>514</v>
      </c>
      <c r="K194">
        <v>110003266849</v>
      </c>
      <c r="M194">
        <v>2869</v>
      </c>
      <c r="R194">
        <v>11.341496598639401</v>
      </c>
      <c r="W194" t="s">
        <v>878</v>
      </c>
      <c r="X194" t="s">
        <v>816</v>
      </c>
      <c r="Y194">
        <v>8070100000180</v>
      </c>
      <c r="AA194" t="s">
        <v>1465</v>
      </c>
      <c r="AB194" t="s">
        <v>1466</v>
      </c>
    </row>
    <row r="195" spans="1:28" x14ac:dyDescent="0.25">
      <c r="A195">
        <v>2016</v>
      </c>
      <c r="C195" t="s">
        <v>1179</v>
      </c>
      <c r="D195" t="s">
        <v>1897</v>
      </c>
      <c r="E195" t="s">
        <v>1180</v>
      </c>
      <c r="F195" t="s">
        <v>450</v>
      </c>
      <c r="G195">
        <v>13760</v>
      </c>
      <c r="H195">
        <v>42.107010000000002</v>
      </c>
      <c r="I195">
        <v>-76.051990000000004</v>
      </c>
      <c r="K195">
        <v>110041145926</v>
      </c>
      <c r="M195">
        <v>3471</v>
      </c>
      <c r="R195">
        <v>0.241269841269841</v>
      </c>
      <c r="W195" t="s">
        <v>1898</v>
      </c>
      <c r="X195" t="s">
        <v>1899</v>
      </c>
      <c r="Y195">
        <v>2050103001134</v>
      </c>
      <c r="AA195" t="s">
        <v>1465</v>
      </c>
      <c r="AB195" t="s">
        <v>1466</v>
      </c>
    </row>
    <row r="196" spans="1:28" x14ac:dyDescent="0.25">
      <c r="A196">
        <v>2016</v>
      </c>
      <c r="C196" t="s">
        <v>1181</v>
      </c>
      <c r="D196" t="s">
        <v>1903</v>
      </c>
      <c r="E196" t="s">
        <v>1182</v>
      </c>
      <c r="F196" t="s">
        <v>345</v>
      </c>
      <c r="G196">
        <v>60439</v>
      </c>
      <c r="H196">
        <v>41.692782000000001</v>
      </c>
      <c r="I196">
        <v>-87.951100999999994</v>
      </c>
      <c r="K196">
        <v>110018199377</v>
      </c>
      <c r="M196">
        <v>4226</v>
      </c>
      <c r="R196">
        <v>1.3293866249999999</v>
      </c>
      <c r="W196" t="s">
        <v>1904</v>
      </c>
      <c r="X196" t="s">
        <v>1905</v>
      </c>
      <c r="Y196">
        <v>7120004000954</v>
      </c>
      <c r="AA196" t="s">
        <v>1465</v>
      </c>
      <c r="AB196" t="s">
        <v>1466</v>
      </c>
    </row>
    <row r="197" spans="1:28" x14ac:dyDescent="0.25">
      <c r="A197">
        <v>2016</v>
      </c>
      <c r="C197" t="s">
        <v>1907</v>
      </c>
      <c r="D197" t="s">
        <v>534</v>
      </c>
      <c r="E197" t="s">
        <v>446</v>
      </c>
      <c r="F197" t="s">
        <v>303</v>
      </c>
      <c r="G197">
        <v>70669</v>
      </c>
      <c r="H197">
        <v>30.190567999999999</v>
      </c>
      <c r="I197">
        <v>-93.325823</v>
      </c>
      <c r="J197" t="s">
        <v>536</v>
      </c>
      <c r="K197">
        <v>110000748040</v>
      </c>
      <c r="M197">
        <v>2869</v>
      </c>
      <c r="R197">
        <v>6.5300050125000004E-3</v>
      </c>
      <c r="W197" t="s">
        <v>888</v>
      </c>
      <c r="X197" t="s">
        <v>889</v>
      </c>
      <c r="Y197">
        <v>8080206000067</v>
      </c>
      <c r="AA197" t="s">
        <v>1465</v>
      </c>
      <c r="AB197" t="s">
        <v>1466</v>
      </c>
    </row>
    <row r="198" spans="1:28" x14ac:dyDescent="0.25">
      <c r="A198">
        <v>2016</v>
      </c>
      <c r="C198" t="s">
        <v>1183</v>
      </c>
      <c r="D198" t="s">
        <v>377</v>
      </c>
      <c r="E198" t="s">
        <v>480</v>
      </c>
      <c r="F198" t="s">
        <v>362</v>
      </c>
      <c r="G198">
        <v>77978</v>
      </c>
      <c r="H198">
        <v>28.642944</v>
      </c>
      <c r="I198">
        <v>-96.547611000000003</v>
      </c>
      <c r="K198">
        <v>110063004528</v>
      </c>
      <c r="M198">
        <v>4491</v>
      </c>
      <c r="R198">
        <v>14.816855625000001</v>
      </c>
      <c r="W198" t="s">
        <v>804</v>
      </c>
      <c r="X198" t="s">
        <v>805</v>
      </c>
      <c r="Y198">
        <v>12100401000758</v>
      </c>
      <c r="AA198" t="s">
        <v>1465</v>
      </c>
      <c r="AB198" t="s">
        <v>1466</v>
      </c>
    </row>
    <row r="199" spans="1:28" x14ac:dyDescent="0.25">
      <c r="A199">
        <v>2016</v>
      </c>
      <c r="C199" t="s">
        <v>1184</v>
      </c>
      <c r="D199" t="s">
        <v>1909</v>
      </c>
      <c r="E199" t="s">
        <v>500</v>
      </c>
      <c r="F199" t="s">
        <v>303</v>
      </c>
      <c r="G199">
        <v>70767</v>
      </c>
      <c r="H199">
        <v>30.44361</v>
      </c>
      <c r="I199">
        <v>-91.220929999999996</v>
      </c>
      <c r="K199">
        <v>110003363351</v>
      </c>
      <c r="M199">
        <v>2834</v>
      </c>
      <c r="R199">
        <v>1.0361437499999901E-3</v>
      </c>
      <c r="W199" t="s">
        <v>1910</v>
      </c>
      <c r="Y199">
        <v>8070300000427</v>
      </c>
      <c r="AA199" t="s">
        <v>1465</v>
      </c>
      <c r="AB199" t="s">
        <v>1466</v>
      </c>
    </row>
    <row r="200" spans="1:28" x14ac:dyDescent="0.25">
      <c r="A200">
        <v>2016</v>
      </c>
      <c r="C200" t="s">
        <v>1186</v>
      </c>
      <c r="D200" t="s">
        <v>1913</v>
      </c>
      <c r="E200" t="s">
        <v>1187</v>
      </c>
      <c r="F200" t="s">
        <v>478</v>
      </c>
      <c r="G200">
        <v>19973</v>
      </c>
      <c r="H200">
        <v>38.624206999999998</v>
      </c>
      <c r="I200">
        <v>-75.628699999999995</v>
      </c>
      <c r="K200">
        <v>110064631849</v>
      </c>
      <c r="M200">
        <v>2821</v>
      </c>
      <c r="R200">
        <v>4.2176870748299302E-4</v>
      </c>
      <c r="W200" t="s">
        <v>1914</v>
      </c>
      <c r="X200" t="s">
        <v>1915</v>
      </c>
      <c r="Y200">
        <v>2080109011489</v>
      </c>
      <c r="AA200" t="s">
        <v>1465</v>
      </c>
      <c r="AB200" t="s">
        <v>1466</v>
      </c>
    </row>
    <row r="201" spans="1:28" x14ac:dyDescent="0.25">
      <c r="A201">
        <v>2016</v>
      </c>
      <c r="C201" t="s">
        <v>1190</v>
      </c>
      <c r="D201" t="s">
        <v>1920</v>
      </c>
      <c r="E201" t="s">
        <v>1191</v>
      </c>
      <c r="F201" t="s">
        <v>491</v>
      </c>
      <c r="G201">
        <v>17853</v>
      </c>
      <c r="H201">
        <v>40.725278000000003</v>
      </c>
      <c r="I201">
        <v>-77.056944000000001</v>
      </c>
      <c r="K201">
        <v>110017796330</v>
      </c>
      <c r="M201">
        <v>3645</v>
      </c>
      <c r="R201">
        <v>1.548822E-3</v>
      </c>
      <c r="W201" t="s">
        <v>1921</v>
      </c>
      <c r="X201" t="s">
        <v>1922</v>
      </c>
      <c r="Y201">
        <v>2050301000478</v>
      </c>
      <c r="AA201" t="s">
        <v>1465</v>
      </c>
      <c r="AB201" t="s">
        <v>1466</v>
      </c>
    </row>
    <row r="202" spans="1:28" x14ac:dyDescent="0.25">
      <c r="A202">
        <v>2016</v>
      </c>
      <c r="C202" t="s">
        <v>1192</v>
      </c>
      <c r="D202" t="s">
        <v>1924</v>
      </c>
      <c r="E202" t="s">
        <v>323</v>
      </c>
      <c r="F202" t="s">
        <v>324</v>
      </c>
      <c r="G202">
        <v>420290037</v>
      </c>
      <c r="H202">
        <v>37.047736999999998</v>
      </c>
      <c r="I202">
        <v>-88.35866</v>
      </c>
      <c r="J202" t="s">
        <v>721</v>
      </c>
      <c r="K202">
        <v>110000741608</v>
      </c>
      <c r="M202">
        <v>2869</v>
      </c>
      <c r="R202">
        <v>4.5521541950113296</v>
      </c>
      <c r="W202" t="s">
        <v>1925</v>
      </c>
      <c r="X202" t="s">
        <v>1926</v>
      </c>
      <c r="Y202">
        <v>6040006000329</v>
      </c>
      <c r="AA202" t="s">
        <v>1465</v>
      </c>
      <c r="AB202" t="s">
        <v>1466</v>
      </c>
    </row>
    <row r="203" spans="1:28" x14ac:dyDescent="0.25">
      <c r="A203">
        <v>2016</v>
      </c>
      <c r="C203" t="s">
        <v>1202</v>
      </c>
      <c r="D203" t="s">
        <v>1941</v>
      </c>
      <c r="E203" t="s">
        <v>1203</v>
      </c>
      <c r="F203" t="s">
        <v>491</v>
      </c>
      <c r="G203">
        <v>15774</v>
      </c>
      <c r="H203">
        <v>40.660400000000003</v>
      </c>
      <c r="I203">
        <v>-79.341099999999997</v>
      </c>
      <c r="J203" t="s">
        <v>722</v>
      </c>
      <c r="K203">
        <v>110000538525</v>
      </c>
      <c r="M203">
        <v>4911</v>
      </c>
      <c r="R203">
        <v>2.5975007237500001</v>
      </c>
      <c r="W203" t="s">
        <v>1942</v>
      </c>
      <c r="X203" t="s">
        <v>1943</v>
      </c>
      <c r="Y203">
        <v>5010006001748</v>
      </c>
      <c r="AA203" t="s">
        <v>1465</v>
      </c>
      <c r="AB203" t="s">
        <v>1466</v>
      </c>
    </row>
    <row r="204" spans="1:28" x14ac:dyDescent="0.25">
      <c r="A204">
        <v>2016</v>
      </c>
      <c r="C204" t="s">
        <v>1209</v>
      </c>
      <c r="D204" t="s">
        <v>1953</v>
      </c>
      <c r="E204" t="s">
        <v>446</v>
      </c>
      <c r="F204" t="s">
        <v>303</v>
      </c>
      <c r="G204">
        <v>70669</v>
      </c>
      <c r="H204">
        <v>30.258800000000001</v>
      </c>
      <c r="I204">
        <v>-93.293700000000001</v>
      </c>
      <c r="J204" t="s">
        <v>723</v>
      </c>
      <c r="K204">
        <v>110017418061</v>
      </c>
      <c r="M204">
        <v>2869</v>
      </c>
      <c r="R204">
        <v>3.4053645000000001</v>
      </c>
      <c r="W204" t="s">
        <v>1954</v>
      </c>
      <c r="X204">
        <v>315</v>
      </c>
      <c r="Y204">
        <v>8080206001238</v>
      </c>
      <c r="AA204" t="s">
        <v>1465</v>
      </c>
      <c r="AB204" t="s">
        <v>1466</v>
      </c>
    </row>
    <row r="205" spans="1:28" x14ac:dyDescent="0.25">
      <c r="A205">
        <v>2016</v>
      </c>
      <c r="C205" t="s">
        <v>1209</v>
      </c>
      <c r="D205" t="s">
        <v>1953</v>
      </c>
      <c r="E205" t="s">
        <v>446</v>
      </c>
      <c r="F205" t="s">
        <v>303</v>
      </c>
      <c r="G205">
        <v>70669</v>
      </c>
      <c r="H205">
        <v>30.258800000000001</v>
      </c>
      <c r="I205">
        <v>-93.293700000000001</v>
      </c>
      <c r="J205" t="s">
        <v>723</v>
      </c>
      <c r="K205">
        <v>110017418061</v>
      </c>
      <c r="M205">
        <v>2869</v>
      </c>
      <c r="R205">
        <v>1.20299916666666</v>
      </c>
      <c r="W205" t="s">
        <v>1954</v>
      </c>
      <c r="X205">
        <v>315</v>
      </c>
      <c r="Y205">
        <v>8080206001238</v>
      </c>
      <c r="AA205" t="s">
        <v>1465</v>
      </c>
      <c r="AB205" t="s">
        <v>1466</v>
      </c>
    </row>
    <row r="206" spans="1:28" x14ac:dyDescent="0.25">
      <c r="A206">
        <v>2016</v>
      </c>
      <c r="C206" t="s">
        <v>1209</v>
      </c>
      <c r="D206" t="s">
        <v>1953</v>
      </c>
      <c r="E206" t="s">
        <v>446</v>
      </c>
      <c r="F206" t="s">
        <v>303</v>
      </c>
      <c r="G206">
        <v>70669</v>
      </c>
      <c r="H206">
        <v>30.258800000000001</v>
      </c>
      <c r="I206">
        <v>-93.293700000000001</v>
      </c>
      <c r="J206" t="s">
        <v>723</v>
      </c>
      <c r="K206">
        <v>110017418061</v>
      </c>
      <c r="M206">
        <v>2869</v>
      </c>
      <c r="R206">
        <v>1.3995983750000001</v>
      </c>
      <c r="W206" t="s">
        <v>1954</v>
      </c>
      <c r="X206">
        <v>315</v>
      </c>
      <c r="Y206">
        <v>8080206001238</v>
      </c>
      <c r="AA206" t="s">
        <v>1465</v>
      </c>
      <c r="AB206" t="s">
        <v>1466</v>
      </c>
    </row>
    <row r="207" spans="1:28" x14ac:dyDescent="0.25">
      <c r="A207">
        <v>2016</v>
      </c>
      <c r="C207" t="s">
        <v>1955</v>
      </c>
      <c r="D207" t="s">
        <v>604</v>
      </c>
      <c r="E207" t="s">
        <v>446</v>
      </c>
      <c r="F207" t="s">
        <v>303</v>
      </c>
      <c r="G207">
        <v>70669</v>
      </c>
      <c r="H207">
        <v>30.242155</v>
      </c>
      <c r="I207">
        <v>-93.274386000000007</v>
      </c>
      <c r="J207" t="s">
        <v>605</v>
      </c>
      <c r="K207">
        <v>110000539757</v>
      </c>
      <c r="M207">
        <v>2911</v>
      </c>
      <c r="R207">
        <v>6.8887000000000004E-2</v>
      </c>
      <c r="W207" t="s">
        <v>921</v>
      </c>
      <c r="X207" t="s">
        <v>922</v>
      </c>
      <c r="Y207">
        <v>8080206001238</v>
      </c>
      <c r="AA207" t="s">
        <v>1465</v>
      </c>
      <c r="AB207" t="s">
        <v>1466</v>
      </c>
    </row>
    <row r="208" spans="1:28" x14ac:dyDescent="0.25">
      <c r="A208">
        <v>2016</v>
      </c>
      <c r="C208" t="s">
        <v>1212</v>
      </c>
      <c r="D208" t="s">
        <v>1963</v>
      </c>
      <c r="E208" t="s">
        <v>1213</v>
      </c>
      <c r="F208" t="s">
        <v>1128</v>
      </c>
      <c r="G208">
        <v>80125</v>
      </c>
      <c r="H208">
        <v>39.496341999999999</v>
      </c>
      <c r="I208">
        <v>-105.10758800000001</v>
      </c>
      <c r="J208" t="s">
        <v>724</v>
      </c>
      <c r="K208">
        <v>110000610429</v>
      </c>
      <c r="M208">
        <v>3761</v>
      </c>
      <c r="R208">
        <v>5.0718015900000003E-2</v>
      </c>
      <c r="W208" t="s">
        <v>1964</v>
      </c>
      <c r="X208" t="s">
        <v>1965</v>
      </c>
      <c r="Y208">
        <v>10190002000856</v>
      </c>
      <c r="AA208" t="s">
        <v>1465</v>
      </c>
      <c r="AB208" t="s">
        <v>1466</v>
      </c>
    </row>
    <row r="209" spans="1:28" x14ac:dyDescent="0.25">
      <c r="A209">
        <v>2016</v>
      </c>
      <c r="C209" t="s">
        <v>168</v>
      </c>
      <c r="D209" t="s">
        <v>546</v>
      </c>
      <c r="E209" t="s">
        <v>547</v>
      </c>
      <c r="F209" t="s">
        <v>366</v>
      </c>
      <c r="G209">
        <v>93436</v>
      </c>
      <c r="H209">
        <v>34.661079999999998</v>
      </c>
      <c r="I209">
        <v>-120.48135000000001</v>
      </c>
      <c r="K209">
        <v>110009547222</v>
      </c>
      <c r="M209">
        <v>4952</v>
      </c>
      <c r="R209">
        <v>1.0257823125000001</v>
      </c>
      <c r="W209" t="s">
        <v>894</v>
      </c>
      <c r="X209" t="s">
        <v>895</v>
      </c>
      <c r="Y209">
        <v>18060010000006</v>
      </c>
      <c r="AA209" t="s">
        <v>1465</v>
      </c>
      <c r="AB209" t="s">
        <v>263</v>
      </c>
    </row>
    <row r="210" spans="1:28" x14ac:dyDescent="0.25">
      <c r="A210">
        <v>2016</v>
      </c>
      <c r="C210" t="s">
        <v>1216</v>
      </c>
      <c r="D210" t="s">
        <v>1970</v>
      </c>
      <c r="E210" t="s">
        <v>1217</v>
      </c>
      <c r="F210" t="s">
        <v>338</v>
      </c>
      <c r="G210">
        <v>7724</v>
      </c>
      <c r="H210">
        <v>40.298000000000002</v>
      </c>
      <c r="I210">
        <v>-74.055549999999997</v>
      </c>
      <c r="K210">
        <v>110070210646</v>
      </c>
      <c r="M210">
        <v>3694</v>
      </c>
      <c r="R210">
        <v>2.1331503000000002E-2</v>
      </c>
      <c r="W210" t="s">
        <v>1971</v>
      </c>
      <c r="X210" t="s">
        <v>1972</v>
      </c>
      <c r="Y210">
        <v>2030104000160</v>
      </c>
      <c r="AA210" t="s">
        <v>1465</v>
      </c>
      <c r="AB210" t="s">
        <v>1466</v>
      </c>
    </row>
    <row r="211" spans="1:28" x14ac:dyDescent="0.25">
      <c r="A211">
        <v>2016</v>
      </c>
      <c r="C211" t="s">
        <v>1224</v>
      </c>
      <c r="D211" t="s">
        <v>1985</v>
      </c>
      <c r="E211" t="s">
        <v>657</v>
      </c>
      <c r="F211" t="s">
        <v>418</v>
      </c>
      <c r="G211">
        <v>89101</v>
      </c>
      <c r="H211">
        <v>36.176639999999999</v>
      </c>
      <c r="I211">
        <v>-115.12891999999999</v>
      </c>
      <c r="K211">
        <v>110008995490</v>
      </c>
      <c r="M211">
        <v>6513</v>
      </c>
      <c r="R211">
        <v>0.19341349999999999</v>
      </c>
      <c r="W211" t="s">
        <v>1986</v>
      </c>
      <c r="X211" t="s">
        <v>952</v>
      </c>
      <c r="Y211">
        <v>15010015000125</v>
      </c>
      <c r="AA211" t="s">
        <v>1465</v>
      </c>
      <c r="AB211" t="s">
        <v>1466</v>
      </c>
    </row>
    <row r="212" spans="1:28" x14ac:dyDescent="0.25">
      <c r="A212">
        <v>2016</v>
      </c>
      <c r="C212" t="s">
        <v>1225</v>
      </c>
      <c r="D212" t="s">
        <v>1987</v>
      </c>
      <c r="E212" t="s">
        <v>1098</v>
      </c>
      <c r="F212" t="s">
        <v>324</v>
      </c>
      <c r="G212">
        <v>41056</v>
      </c>
      <c r="H212">
        <v>38.687221999999998</v>
      </c>
      <c r="I212">
        <v>-83.786666999999994</v>
      </c>
      <c r="K212">
        <v>110000761104</v>
      </c>
      <c r="M212">
        <v>4952</v>
      </c>
      <c r="R212">
        <v>1.11903525</v>
      </c>
      <c r="W212" t="s">
        <v>1988</v>
      </c>
      <c r="X212" t="s">
        <v>830</v>
      </c>
      <c r="Y212">
        <v>5090201002316</v>
      </c>
      <c r="AA212" t="s">
        <v>1465</v>
      </c>
      <c r="AB212" t="s">
        <v>263</v>
      </c>
    </row>
    <row r="213" spans="1:28" x14ac:dyDescent="0.25">
      <c r="A213">
        <v>2016</v>
      </c>
      <c r="C213" t="s">
        <v>1226</v>
      </c>
      <c r="D213" t="s">
        <v>1990</v>
      </c>
      <c r="E213" t="s">
        <v>657</v>
      </c>
      <c r="F213" t="s">
        <v>418</v>
      </c>
      <c r="G213">
        <v>89119</v>
      </c>
      <c r="H213">
        <v>36.075400000000002</v>
      </c>
      <c r="I213">
        <v>-115.1669</v>
      </c>
      <c r="K213">
        <v>110064134459</v>
      </c>
      <c r="M213">
        <v>4581</v>
      </c>
      <c r="R213">
        <v>5.1484894750000003E-2</v>
      </c>
      <c r="W213" t="s">
        <v>1991</v>
      </c>
      <c r="X213" t="s">
        <v>1992</v>
      </c>
      <c r="Y213">
        <v>15010015000139</v>
      </c>
      <c r="AA213" t="s">
        <v>1465</v>
      </c>
      <c r="AB213" t="s">
        <v>1466</v>
      </c>
    </row>
    <row r="214" spans="1:28" x14ac:dyDescent="0.25">
      <c r="A214">
        <v>2016</v>
      </c>
      <c r="C214" t="s">
        <v>1226</v>
      </c>
      <c r="D214" t="s">
        <v>1990</v>
      </c>
      <c r="E214" t="s">
        <v>657</v>
      </c>
      <c r="F214" t="s">
        <v>418</v>
      </c>
      <c r="G214">
        <v>89119</v>
      </c>
      <c r="H214">
        <v>36.075400000000002</v>
      </c>
      <c r="I214">
        <v>-115.1669</v>
      </c>
      <c r="K214">
        <v>110064134459</v>
      </c>
      <c r="M214">
        <v>4581</v>
      </c>
      <c r="R214">
        <v>7.3071317500000002E-3</v>
      </c>
      <c r="W214" t="s">
        <v>1991</v>
      </c>
      <c r="X214" t="s">
        <v>1992</v>
      </c>
      <c r="Y214">
        <v>15010015000139</v>
      </c>
      <c r="AA214" t="s">
        <v>1465</v>
      </c>
      <c r="AB214" t="s">
        <v>1466</v>
      </c>
    </row>
    <row r="215" spans="1:28" x14ac:dyDescent="0.25">
      <c r="A215">
        <v>2016</v>
      </c>
      <c r="C215" t="s">
        <v>1229</v>
      </c>
      <c r="D215" t="s">
        <v>1995</v>
      </c>
      <c r="E215" t="s">
        <v>358</v>
      </c>
      <c r="F215" t="s">
        <v>275</v>
      </c>
      <c r="G215">
        <v>83702</v>
      </c>
      <c r="H215">
        <v>43.626778999999999</v>
      </c>
      <c r="I215">
        <v>-116.229345</v>
      </c>
      <c r="K215">
        <v>110064411417</v>
      </c>
      <c r="M215">
        <v>3273</v>
      </c>
      <c r="R215">
        <v>0.359942966193599</v>
      </c>
      <c r="W215" t="s">
        <v>1996</v>
      </c>
      <c r="Y215">
        <v>17050114000862</v>
      </c>
      <c r="AA215" t="s">
        <v>1465</v>
      </c>
      <c r="AB215" t="s">
        <v>1466</v>
      </c>
    </row>
    <row r="216" spans="1:28" x14ac:dyDescent="0.25">
      <c r="A216">
        <v>2016</v>
      </c>
      <c r="C216" t="s">
        <v>1230</v>
      </c>
      <c r="D216" t="s">
        <v>1997</v>
      </c>
      <c r="E216" t="s">
        <v>1231</v>
      </c>
      <c r="F216" t="s">
        <v>541</v>
      </c>
      <c r="G216" t="s">
        <v>1998</v>
      </c>
      <c r="H216">
        <v>34.807729999999999</v>
      </c>
      <c r="I216">
        <v>-82.006420000000006</v>
      </c>
      <c r="K216">
        <v>110000587384</v>
      </c>
      <c r="M216">
        <v>3674</v>
      </c>
      <c r="R216">
        <v>4.1767096500000003E-2</v>
      </c>
      <c r="W216" t="s">
        <v>1999</v>
      </c>
      <c r="X216" t="s">
        <v>2000</v>
      </c>
      <c r="Y216">
        <v>3050107000093</v>
      </c>
      <c r="AA216" t="s">
        <v>1465</v>
      </c>
      <c r="AB216" t="s">
        <v>1466</v>
      </c>
    </row>
    <row r="217" spans="1:28" x14ac:dyDescent="0.25">
      <c r="A217">
        <v>2016</v>
      </c>
      <c r="C217" t="s">
        <v>172</v>
      </c>
      <c r="D217" t="s">
        <v>558</v>
      </c>
      <c r="E217" t="s">
        <v>559</v>
      </c>
      <c r="F217" t="s">
        <v>338</v>
      </c>
      <c r="G217" t="s">
        <v>560</v>
      </c>
      <c r="H217">
        <v>39.766944000000002</v>
      </c>
      <c r="I217">
        <v>-75.421361000000005</v>
      </c>
      <c r="J217" t="s">
        <v>561</v>
      </c>
      <c r="K217">
        <v>110041022274</v>
      </c>
      <c r="M217">
        <v>2821</v>
      </c>
      <c r="R217">
        <v>7.7500000000000003E-6</v>
      </c>
      <c r="W217" t="s">
        <v>902</v>
      </c>
      <c r="X217" t="s">
        <v>783</v>
      </c>
      <c r="Y217">
        <v>2040206001666</v>
      </c>
      <c r="AA217" t="s">
        <v>1465</v>
      </c>
      <c r="AB217" t="s">
        <v>1466</v>
      </c>
    </row>
    <row r="218" spans="1:28" x14ac:dyDescent="0.25">
      <c r="A218">
        <v>2016</v>
      </c>
      <c r="C218" t="s">
        <v>1235</v>
      </c>
      <c r="D218" t="s">
        <v>2012</v>
      </c>
      <c r="E218" t="s">
        <v>1236</v>
      </c>
      <c r="F218" t="s">
        <v>450</v>
      </c>
      <c r="G218">
        <v>13502</v>
      </c>
      <c r="H218">
        <v>43.107216000000001</v>
      </c>
      <c r="I218">
        <v>-75.225815999999995</v>
      </c>
      <c r="K218">
        <v>110002321345</v>
      </c>
      <c r="M218">
        <v>5169</v>
      </c>
      <c r="R218">
        <v>1.00241031599999E-2</v>
      </c>
      <c r="W218" t="s">
        <v>2013</v>
      </c>
      <c r="X218" t="s">
        <v>2014</v>
      </c>
      <c r="Y218">
        <v>2020004002623</v>
      </c>
      <c r="AA218" t="s">
        <v>1465</v>
      </c>
      <c r="AB218" t="s">
        <v>1466</v>
      </c>
    </row>
    <row r="219" spans="1:28" x14ac:dyDescent="0.25">
      <c r="A219">
        <v>2016</v>
      </c>
      <c r="C219" t="s">
        <v>1241</v>
      </c>
      <c r="D219" t="s">
        <v>2023</v>
      </c>
      <c r="E219" t="s">
        <v>1242</v>
      </c>
      <c r="F219" t="s">
        <v>338</v>
      </c>
      <c r="G219" t="s">
        <v>2024</v>
      </c>
      <c r="H219">
        <v>39.920290000000001</v>
      </c>
      <c r="I219">
        <v>-74.927520000000001</v>
      </c>
      <c r="K219">
        <v>110029618297</v>
      </c>
      <c r="M219">
        <v>4952</v>
      </c>
      <c r="R219">
        <v>0.95556110000000005</v>
      </c>
      <c r="W219" t="s">
        <v>2025</v>
      </c>
      <c r="X219" t="s">
        <v>1680</v>
      </c>
      <c r="Y219">
        <v>2040202011430</v>
      </c>
      <c r="AA219" t="s">
        <v>1465</v>
      </c>
      <c r="AB219" t="s">
        <v>263</v>
      </c>
    </row>
    <row r="220" spans="1:28" x14ac:dyDescent="0.25">
      <c r="A220">
        <v>2016</v>
      </c>
      <c r="C220" t="s">
        <v>1245</v>
      </c>
      <c r="D220" t="s">
        <v>2030</v>
      </c>
      <c r="E220" t="s">
        <v>1246</v>
      </c>
      <c r="F220" t="s">
        <v>366</v>
      </c>
      <c r="G220">
        <v>95391</v>
      </c>
      <c r="H220">
        <v>37.780340000000002</v>
      </c>
      <c r="I220">
        <v>-121.51779000000001</v>
      </c>
      <c r="K220">
        <v>110010058034</v>
      </c>
      <c r="M220">
        <v>4952</v>
      </c>
      <c r="R220">
        <v>5.2119355375000002E-2</v>
      </c>
      <c r="W220" t="s">
        <v>2031</v>
      </c>
      <c r="X220" t="s">
        <v>2032</v>
      </c>
      <c r="Y220">
        <v>18040003005711</v>
      </c>
      <c r="AA220" t="s">
        <v>1465</v>
      </c>
      <c r="AB220" t="s">
        <v>263</v>
      </c>
    </row>
    <row r="221" spans="1:28" x14ac:dyDescent="0.25">
      <c r="A221">
        <v>2016</v>
      </c>
      <c r="C221" t="s">
        <v>2033</v>
      </c>
      <c r="D221" t="s">
        <v>571</v>
      </c>
      <c r="E221" t="s">
        <v>572</v>
      </c>
      <c r="F221" t="s">
        <v>303</v>
      </c>
      <c r="G221">
        <v>70051</v>
      </c>
      <c r="H221">
        <v>30.048590999999998</v>
      </c>
      <c r="I221">
        <v>-90.630941000000007</v>
      </c>
      <c r="J221" t="s">
        <v>573</v>
      </c>
      <c r="K221">
        <v>110007015871</v>
      </c>
      <c r="M221">
        <v>2869</v>
      </c>
      <c r="R221">
        <v>0.16553287981859399</v>
      </c>
      <c r="W221" t="s">
        <v>907</v>
      </c>
      <c r="X221" t="s">
        <v>816</v>
      </c>
      <c r="Y221">
        <v>8070204000715</v>
      </c>
      <c r="AA221" t="s">
        <v>1465</v>
      </c>
      <c r="AB221" t="s">
        <v>1466</v>
      </c>
    </row>
    <row r="222" spans="1:28" x14ac:dyDescent="0.25">
      <c r="A222">
        <v>2016</v>
      </c>
      <c r="C222" t="s">
        <v>1247</v>
      </c>
      <c r="D222" t="s">
        <v>2035</v>
      </c>
      <c r="E222" t="s">
        <v>1248</v>
      </c>
      <c r="F222" t="s">
        <v>1249</v>
      </c>
      <c r="G222">
        <v>87328</v>
      </c>
      <c r="H222">
        <v>35.901389000000002</v>
      </c>
      <c r="I222">
        <v>-109.044167</v>
      </c>
      <c r="K222">
        <v>110022284240</v>
      </c>
      <c r="M222">
        <v>4952</v>
      </c>
      <c r="R222">
        <v>0.1102192</v>
      </c>
      <c r="W222" t="s">
        <v>2036</v>
      </c>
      <c r="X222" t="s">
        <v>2037</v>
      </c>
      <c r="Y222">
        <v>15020006001239</v>
      </c>
      <c r="AA222" t="s">
        <v>1465</v>
      </c>
      <c r="AB222" t="s">
        <v>263</v>
      </c>
    </row>
    <row r="223" spans="1:28" x14ac:dyDescent="0.25">
      <c r="A223">
        <v>2016</v>
      </c>
      <c r="C223" t="s">
        <v>1261</v>
      </c>
      <c r="D223" t="s">
        <v>2053</v>
      </c>
      <c r="E223" t="s">
        <v>966</v>
      </c>
      <c r="F223" t="s">
        <v>491</v>
      </c>
      <c r="G223" t="s">
        <v>2054</v>
      </c>
      <c r="H223">
        <v>39.991410000000002</v>
      </c>
      <c r="I223">
        <v>-75.085030000000003</v>
      </c>
      <c r="K223">
        <v>110001076978</v>
      </c>
      <c r="M223">
        <v>4952</v>
      </c>
      <c r="R223">
        <v>195.89362125</v>
      </c>
      <c r="W223" t="s">
        <v>2055</v>
      </c>
      <c r="X223" t="s">
        <v>2056</v>
      </c>
      <c r="Y223">
        <v>2040202001980</v>
      </c>
      <c r="AA223" t="s">
        <v>1465</v>
      </c>
      <c r="AB223" t="s">
        <v>263</v>
      </c>
    </row>
    <row r="224" spans="1:28" x14ac:dyDescent="0.25">
      <c r="A224">
        <v>2016</v>
      </c>
      <c r="C224" t="s">
        <v>215</v>
      </c>
      <c r="D224" t="s">
        <v>2065</v>
      </c>
      <c r="E224" t="s">
        <v>1103</v>
      </c>
      <c r="F224" t="s">
        <v>345</v>
      </c>
      <c r="G224" t="s">
        <v>2066</v>
      </c>
      <c r="H224">
        <v>41.404808000000003</v>
      </c>
      <c r="I224">
        <v>-88.334732000000002</v>
      </c>
      <c r="J224" t="s">
        <v>727</v>
      </c>
      <c r="K224">
        <v>110000547196</v>
      </c>
      <c r="M224">
        <v>2869</v>
      </c>
      <c r="R224">
        <v>4.68843537414965E-2</v>
      </c>
      <c r="W224" t="s">
        <v>2067</v>
      </c>
      <c r="X224" t="s">
        <v>2068</v>
      </c>
      <c r="Y224">
        <v>7120005000849</v>
      </c>
      <c r="AA224" t="s">
        <v>1465</v>
      </c>
      <c r="AB224" t="s">
        <v>1466</v>
      </c>
    </row>
    <row r="225" spans="1:28" x14ac:dyDescent="0.25">
      <c r="A225">
        <v>2016</v>
      </c>
      <c r="C225" t="s">
        <v>1266</v>
      </c>
      <c r="D225" t="s">
        <v>2070</v>
      </c>
      <c r="E225" t="s">
        <v>1267</v>
      </c>
      <c r="F225" t="s">
        <v>491</v>
      </c>
      <c r="G225">
        <v>15061</v>
      </c>
      <c r="H225">
        <v>40.655278000000003</v>
      </c>
      <c r="I225">
        <v>-80.356388999999993</v>
      </c>
      <c r="J225" t="s">
        <v>728</v>
      </c>
      <c r="K225">
        <v>110059344473</v>
      </c>
      <c r="M225">
        <v>2821</v>
      </c>
      <c r="R225">
        <v>0.21933106575963701</v>
      </c>
      <c r="W225" t="s">
        <v>2071</v>
      </c>
      <c r="X225" t="s">
        <v>2072</v>
      </c>
      <c r="Y225">
        <v>5030101000019</v>
      </c>
      <c r="AA225" t="s">
        <v>1465</v>
      </c>
      <c r="AB225" t="s">
        <v>1466</v>
      </c>
    </row>
    <row r="226" spans="1:28" x14ac:dyDescent="0.25">
      <c r="A226">
        <v>2016</v>
      </c>
      <c r="C226" t="s">
        <v>1270</v>
      </c>
      <c r="D226" t="s">
        <v>2076</v>
      </c>
      <c r="E226" t="s">
        <v>1271</v>
      </c>
      <c r="F226" t="s">
        <v>427</v>
      </c>
      <c r="G226">
        <v>49424</v>
      </c>
      <c r="H226">
        <v>42.813049999999997</v>
      </c>
      <c r="I226">
        <v>-86.197429999999997</v>
      </c>
      <c r="K226">
        <v>110006740161</v>
      </c>
      <c r="M226">
        <v>4953</v>
      </c>
      <c r="R226">
        <v>0.22757690999999999</v>
      </c>
      <c r="W226" t="s">
        <v>2077</v>
      </c>
      <c r="X226" t="s">
        <v>2078</v>
      </c>
      <c r="Y226">
        <v>4050002000163</v>
      </c>
      <c r="AA226" t="s">
        <v>1465</v>
      </c>
      <c r="AB226" t="s">
        <v>1466</v>
      </c>
    </row>
    <row r="227" spans="1:28" x14ac:dyDescent="0.25">
      <c r="A227">
        <v>2016</v>
      </c>
      <c r="C227" t="s">
        <v>1274</v>
      </c>
      <c r="D227" t="s">
        <v>2083</v>
      </c>
      <c r="E227" t="s">
        <v>1273</v>
      </c>
      <c r="F227" t="s">
        <v>324</v>
      </c>
      <c r="G227">
        <v>42303</v>
      </c>
      <c r="H227">
        <v>37.8125</v>
      </c>
      <c r="I227">
        <v>-87.05</v>
      </c>
      <c r="J227" t="s">
        <v>729</v>
      </c>
      <c r="K227">
        <v>110000747835</v>
      </c>
      <c r="M227">
        <v>2821</v>
      </c>
      <c r="R227">
        <v>2.59058956916099E-2</v>
      </c>
      <c r="W227" t="s">
        <v>2084</v>
      </c>
      <c r="X227" t="s">
        <v>2085</v>
      </c>
      <c r="Y227">
        <v>5140201000239</v>
      </c>
      <c r="AA227" t="s">
        <v>1465</v>
      </c>
      <c r="AB227" t="s">
        <v>1466</v>
      </c>
    </row>
    <row r="228" spans="1:28" x14ac:dyDescent="0.25">
      <c r="A228">
        <v>2016</v>
      </c>
      <c r="C228" t="s">
        <v>1275</v>
      </c>
      <c r="D228" t="s">
        <v>2087</v>
      </c>
      <c r="E228" t="s">
        <v>1276</v>
      </c>
      <c r="F228" t="s">
        <v>366</v>
      </c>
      <c r="G228">
        <v>93033</v>
      </c>
      <c r="H228">
        <v>34.141618999999999</v>
      </c>
      <c r="I228">
        <v>-119.184014</v>
      </c>
      <c r="K228">
        <v>110070097306</v>
      </c>
      <c r="M228">
        <v>4952</v>
      </c>
      <c r="R228">
        <v>2.0657596371881999</v>
      </c>
      <c r="W228" t="s">
        <v>2088</v>
      </c>
      <c r="X228" t="s">
        <v>926</v>
      </c>
      <c r="Y228">
        <v>18070103000060</v>
      </c>
      <c r="AA228" t="s">
        <v>1465</v>
      </c>
      <c r="AB228" t="s">
        <v>263</v>
      </c>
    </row>
    <row r="229" spans="1:28" x14ac:dyDescent="0.25">
      <c r="A229">
        <v>2016</v>
      </c>
      <c r="C229" t="s">
        <v>1279</v>
      </c>
      <c r="D229" t="s">
        <v>2092</v>
      </c>
      <c r="E229" t="s">
        <v>1280</v>
      </c>
      <c r="F229" t="s">
        <v>374</v>
      </c>
      <c r="G229">
        <v>85138</v>
      </c>
      <c r="H229">
        <v>33.084569999999999</v>
      </c>
      <c r="I229">
        <v>-112.00959</v>
      </c>
      <c r="K229">
        <v>110015940776</v>
      </c>
      <c r="M229">
        <v>4952</v>
      </c>
      <c r="R229">
        <v>0.38675792375000001</v>
      </c>
      <c r="W229" t="s">
        <v>2093</v>
      </c>
      <c r="Y229">
        <v>15020008000253</v>
      </c>
      <c r="AA229" t="s">
        <v>1465</v>
      </c>
      <c r="AB229" t="s">
        <v>1466</v>
      </c>
    </row>
    <row r="230" spans="1:28" x14ac:dyDescent="0.25">
      <c r="A230">
        <v>2016</v>
      </c>
      <c r="C230" t="s">
        <v>1279</v>
      </c>
      <c r="D230" t="s">
        <v>2092</v>
      </c>
      <c r="E230" t="s">
        <v>1280</v>
      </c>
      <c r="F230" t="s">
        <v>374</v>
      </c>
      <c r="G230">
        <v>85138</v>
      </c>
      <c r="H230">
        <v>33.084569999999999</v>
      </c>
      <c r="I230">
        <v>-112.00959</v>
      </c>
      <c r="K230">
        <v>110015940776</v>
      </c>
      <c r="M230">
        <v>4952</v>
      </c>
      <c r="R230">
        <v>0.28507768374999998</v>
      </c>
      <c r="W230" t="s">
        <v>2093</v>
      </c>
      <c r="Y230">
        <v>15020008000253</v>
      </c>
      <c r="AA230" t="s">
        <v>1465</v>
      </c>
      <c r="AB230" t="s">
        <v>1466</v>
      </c>
    </row>
    <row r="231" spans="1:28" x14ac:dyDescent="0.25">
      <c r="A231">
        <v>2016</v>
      </c>
      <c r="C231" t="s">
        <v>1281</v>
      </c>
      <c r="D231" t="s">
        <v>2094</v>
      </c>
      <c r="E231" t="s">
        <v>1282</v>
      </c>
      <c r="F231" t="s">
        <v>366</v>
      </c>
      <c r="G231">
        <v>92029</v>
      </c>
      <c r="H231">
        <v>33.116990000000001</v>
      </c>
      <c r="I231">
        <v>-117.11819</v>
      </c>
      <c r="K231">
        <v>110045402079</v>
      </c>
      <c r="M231">
        <v>4911</v>
      </c>
      <c r="R231">
        <v>0.53841224489795902</v>
      </c>
      <c r="W231" t="s">
        <v>2095</v>
      </c>
      <c r="X231" t="s">
        <v>926</v>
      </c>
      <c r="Y231">
        <v>18070303000010</v>
      </c>
      <c r="AA231" t="s">
        <v>1465</v>
      </c>
      <c r="AB231" t="s">
        <v>1466</v>
      </c>
    </row>
    <row r="232" spans="1:28" x14ac:dyDescent="0.25">
      <c r="A232">
        <v>2016</v>
      </c>
      <c r="C232" t="s">
        <v>180</v>
      </c>
      <c r="D232" t="s">
        <v>596</v>
      </c>
      <c r="E232" t="s">
        <v>597</v>
      </c>
      <c r="F232" t="s">
        <v>338</v>
      </c>
      <c r="G232">
        <v>8844</v>
      </c>
      <c r="H232">
        <v>40.52516</v>
      </c>
      <c r="I232">
        <v>-74.601039999999998</v>
      </c>
      <c r="K232">
        <v>110070217974</v>
      </c>
      <c r="M232">
        <v>2851</v>
      </c>
      <c r="R232">
        <v>4.9677557249999996E-4</v>
      </c>
      <c r="W232" t="s">
        <v>915</v>
      </c>
      <c r="X232" t="s">
        <v>916</v>
      </c>
      <c r="Y232">
        <v>2030105000369</v>
      </c>
      <c r="AA232" t="s">
        <v>1465</v>
      </c>
      <c r="AB232" t="s">
        <v>1466</v>
      </c>
    </row>
    <row r="233" spans="1:28" x14ac:dyDescent="0.25">
      <c r="A233">
        <v>2016</v>
      </c>
      <c r="C233" t="s">
        <v>1288</v>
      </c>
      <c r="D233" t="s">
        <v>2107</v>
      </c>
      <c r="E233" t="s">
        <v>966</v>
      </c>
      <c r="F233" t="s">
        <v>491</v>
      </c>
      <c r="G233" t="s">
        <v>2108</v>
      </c>
      <c r="H233">
        <v>39.901820000000001</v>
      </c>
      <c r="I233">
        <v>-75.144549999999995</v>
      </c>
      <c r="K233">
        <v>110000540610</v>
      </c>
      <c r="M233">
        <v>4952</v>
      </c>
      <c r="R233">
        <v>99.44046625</v>
      </c>
      <c r="W233" t="s">
        <v>2109</v>
      </c>
      <c r="X233" t="s">
        <v>783</v>
      </c>
      <c r="Y233">
        <v>2040202000077</v>
      </c>
      <c r="AA233" t="s">
        <v>1465</v>
      </c>
      <c r="AB233" t="s">
        <v>263</v>
      </c>
    </row>
    <row r="234" spans="1:28" x14ac:dyDescent="0.25">
      <c r="A234">
        <v>2016</v>
      </c>
      <c r="C234" t="s">
        <v>1289</v>
      </c>
      <c r="D234" t="s">
        <v>2111</v>
      </c>
      <c r="E234" t="s">
        <v>966</v>
      </c>
      <c r="F234" t="s">
        <v>491</v>
      </c>
      <c r="G234">
        <v>19153</v>
      </c>
      <c r="H234">
        <v>39.886130000000001</v>
      </c>
      <c r="I234">
        <v>-75.218249999999998</v>
      </c>
      <c r="K234">
        <v>110000542119</v>
      </c>
      <c r="R234">
        <v>206.76451975000001</v>
      </c>
      <c r="W234" t="s">
        <v>2112</v>
      </c>
      <c r="X234" t="s">
        <v>2113</v>
      </c>
      <c r="Y234">
        <v>2040203009681</v>
      </c>
      <c r="AA234" t="s">
        <v>1465</v>
      </c>
      <c r="AB234" t="s">
        <v>263</v>
      </c>
    </row>
    <row r="235" spans="1:28" x14ac:dyDescent="0.25">
      <c r="A235">
        <v>2016</v>
      </c>
      <c r="C235" t="s">
        <v>1290</v>
      </c>
      <c r="D235" t="s">
        <v>2115</v>
      </c>
      <c r="E235" t="s">
        <v>544</v>
      </c>
      <c r="F235" t="s">
        <v>338</v>
      </c>
      <c r="G235">
        <v>7036</v>
      </c>
      <c r="H235">
        <v>40.636499999999998</v>
      </c>
      <c r="I235">
        <v>-74.219899999999996</v>
      </c>
      <c r="J235" t="s">
        <v>730</v>
      </c>
      <c r="K235">
        <v>110041133163</v>
      </c>
      <c r="M235">
        <v>2911</v>
      </c>
      <c r="R235">
        <v>1.69</v>
      </c>
      <c r="W235" t="s">
        <v>2116</v>
      </c>
      <c r="X235" t="s">
        <v>2117</v>
      </c>
      <c r="Y235">
        <v>2030104000282</v>
      </c>
      <c r="AA235" t="s">
        <v>1465</v>
      </c>
      <c r="AB235" t="s">
        <v>1466</v>
      </c>
    </row>
    <row r="236" spans="1:28" x14ac:dyDescent="0.25">
      <c r="A236">
        <v>2016</v>
      </c>
      <c r="C236" t="s">
        <v>1295</v>
      </c>
      <c r="D236" t="s">
        <v>2126</v>
      </c>
      <c r="E236" t="s">
        <v>964</v>
      </c>
      <c r="F236" t="s">
        <v>374</v>
      </c>
      <c r="G236" t="s">
        <v>2127</v>
      </c>
      <c r="H236">
        <v>32.334964999999997</v>
      </c>
      <c r="I236">
        <v>-111.06332500000001</v>
      </c>
      <c r="K236">
        <v>110039276404</v>
      </c>
      <c r="M236">
        <v>4952</v>
      </c>
      <c r="R236">
        <v>1.8227789752500001</v>
      </c>
      <c r="W236" t="s">
        <v>2128</v>
      </c>
      <c r="Y236">
        <v>15060106000338</v>
      </c>
      <c r="AA236" t="s">
        <v>1465</v>
      </c>
      <c r="AB236" t="s">
        <v>263</v>
      </c>
    </row>
    <row r="237" spans="1:28" x14ac:dyDescent="0.25">
      <c r="A237">
        <v>2016</v>
      </c>
      <c r="C237" t="s">
        <v>1308</v>
      </c>
      <c r="D237" t="s">
        <v>2149</v>
      </c>
      <c r="E237" t="s">
        <v>657</v>
      </c>
      <c r="F237" t="s">
        <v>418</v>
      </c>
      <c r="G237">
        <v>89109</v>
      </c>
      <c r="H237">
        <v>36.132570000000001</v>
      </c>
      <c r="I237">
        <v>-115.16477</v>
      </c>
      <c r="K237">
        <v>110041253256</v>
      </c>
      <c r="M237">
        <v>7011</v>
      </c>
      <c r="R237">
        <v>3.3992422624999998E-2</v>
      </c>
      <c r="W237" t="s">
        <v>2150</v>
      </c>
      <c r="X237" t="s">
        <v>2151</v>
      </c>
      <c r="Y237">
        <v>15010015000432</v>
      </c>
      <c r="AA237" t="s">
        <v>1465</v>
      </c>
      <c r="AB237" t="s">
        <v>1466</v>
      </c>
    </row>
    <row r="238" spans="1:28" x14ac:dyDescent="0.25">
      <c r="A238">
        <v>2016</v>
      </c>
      <c r="C238" t="s">
        <v>1309</v>
      </c>
      <c r="D238" t="s">
        <v>2152</v>
      </c>
      <c r="E238" t="s">
        <v>1310</v>
      </c>
      <c r="F238" t="s">
        <v>366</v>
      </c>
      <c r="G238">
        <v>92316</v>
      </c>
      <c r="H238">
        <v>34.055900000000001</v>
      </c>
      <c r="I238">
        <v>-117.36134</v>
      </c>
      <c r="K238">
        <v>110000525842</v>
      </c>
      <c r="M238">
        <v>4952</v>
      </c>
      <c r="R238">
        <v>1.04871846625</v>
      </c>
      <c r="W238" t="s">
        <v>2153</v>
      </c>
      <c r="X238" t="s">
        <v>2154</v>
      </c>
      <c r="Y238">
        <v>18070203002243</v>
      </c>
      <c r="AA238" t="s">
        <v>1465</v>
      </c>
      <c r="AB238" t="s">
        <v>263</v>
      </c>
    </row>
    <row r="239" spans="1:28" x14ac:dyDescent="0.25">
      <c r="A239">
        <v>2016</v>
      </c>
      <c r="C239" t="s">
        <v>1313</v>
      </c>
      <c r="D239" t="s">
        <v>2158</v>
      </c>
      <c r="E239" t="s">
        <v>1314</v>
      </c>
      <c r="F239" t="s">
        <v>374</v>
      </c>
      <c r="G239">
        <v>86001</v>
      </c>
      <c r="H239">
        <v>35.188434999999998</v>
      </c>
      <c r="I239">
        <v>-111.63066000000001</v>
      </c>
      <c r="K239">
        <v>110064629442</v>
      </c>
      <c r="M239">
        <v>4952</v>
      </c>
      <c r="R239">
        <v>0.14727056499999999</v>
      </c>
      <c r="W239" t="s">
        <v>2159</v>
      </c>
      <c r="Y239">
        <v>15030108000333</v>
      </c>
      <c r="AA239" t="s">
        <v>1465</v>
      </c>
      <c r="AB239" t="s">
        <v>263</v>
      </c>
    </row>
    <row r="240" spans="1:28" x14ac:dyDescent="0.25">
      <c r="A240">
        <v>2016</v>
      </c>
      <c r="C240" t="s">
        <v>1317</v>
      </c>
      <c r="D240" t="s">
        <v>2163</v>
      </c>
      <c r="E240" t="s">
        <v>1318</v>
      </c>
      <c r="F240" t="s">
        <v>491</v>
      </c>
      <c r="G240">
        <v>19021</v>
      </c>
      <c r="H240">
        <v>40.095258000000001</v>
      </c>
      <c r="I240">
        <v>-74.877359999999996</v>
      </c>
      <c r="K240">
        <v>110064634686</v>
      </c>
      <c r="M240">
        <v>2821</v>
      </c>
      <c r="R240">
        <v>0.13195011337868401</v>
      </c>
      <c r="W240" t="s">
        <v>2164</v>
      </c>
      <c r="X240" t="s">
        <v>2165</v>
      </c>
      <c r="Y240">
        <v>2040201000476</v>
      </c>
      <c r="AA240" t="s">
        <v>1465</v>
      </c>
      <c r="AB240" t="s">
        <v>1466</v>
      </c>
    </row>
    <row r="241" spans="1:28" x14ac:dyDescent="0.25">
      <c r="A241">
        <v>2016</v>
      </c>
      <c r="C241" t="s">
        <v>1323</v>
      </c>
      <c r="D241" t="s">
        <v>2175</v>
      </c>
      <c r="E241" t="s">
        <v>1324</v>
      </c>
      <c r="F241" t="s">
        <v>450</v>
      </c>
      <c r="G241">
        <v>12158</v>
      </c>
      <c r="H241">
        <v>42.574556000000001</v>
      </c>
      <c r="I241">
        <v>-73.851360999999997</v>
      </c>
      <c r="K241">
        <v>110000324391</v>
      </c>
      <c r="M241">
        <v>2821</v>
      </c>
      <c r="R241">
        <v>0.37414965986394499</v>
      </c>
      <c r="W241" t="s">
        <v>2176</v>
      </c>
      <c r="X241" t="s">
        <v>2177</v>
      </c>
      <c r="Y241">
        <v>2020006000238</v>
      </c>
      <c r="AA241" t="s">
        <v>1465</v>
      </c>
      <c r="AB241" t="s">
        <v>1466</v>
      </c>
    </row>
    <row r="242" spans="1:28" x14ac:dyDescent="0.25">
      <c r="A242">
        <v>2016</v>
      </c>
      <c r="C242" t="s">
        <v>1325</v>
      </c>
      <c r="D242" t="s">
        <v>2179</v>
      </c>
      <c r="E242" t="s">
        <v>1326</v>
      </c>
      <c r="F242" t="s">
        <v>469</v>
      </c>
      <c r="G242">
        <v>47620</v>
      </c>
      <c r="H242">
        <v>37.907200000000003</v>
      </c>
      <c r="I242">
        <v>-87.927099999999996</v>
      </c>
      <c r="J242" t="s">
        <v>732</v>
      </c>
      <c r="K242">
        <v>110000403670</v>
      </c>
      <c r="M242">
        <v>2821</v>
      </c>
      <c r="R242">
        <v>21.088435374149601</v>
      </c>
      <c r="W242" t="s">
        <v>2180</v>
      </c>
      <c r="X242" t="s">
        <v>830</v>
      </c>
      <c r="Y242">
        <v>5140202000333</v>
      </c>
      <c r="AA242" t="s">
        <v>1465</v>
      </c>
      <c r="AB242" t="s">
        <v>1466</v>
      </c>
    </row>
    <row r="243" spans="1:28" x14ac:dyDescent="0.25">
      <c r="A243">
        <v>2016</v>
      </c>
      <c r="C243" t="s">
        <v>1329</v>
      </c>
      <c r="D243" t="s">
        <v>2184</v>
      </c>
      <c r="E243" t="s">
        <v>1330</v>
      </c>
      <c r="F243" t="s">
        <v>374</v>
      </c>
      <c r="G243">
        <v>85603</v>
      </c>
      <c r="H243">
        <v>31.359059999999999</v>
      </c>
      <c r="I243">
        <v>-109.91528</v>
      </c>
      <c r="K243">
        <v>110039713067</v>
      </c>
      <c r="M243">
        <v>4952</v>
      </c>
      <c r="R243">
        <v>0.53050560000000002</v>
      </c>
      <c r="W243" t="s">
        <v>2185</v>
      </c>
      <c r="Y243">
        <v>15080301000134</v>
      </c>
      <c r="AA243" t="s">
        <v>1465</v>
      </c>
      <c r="AB243" t="s">
        <v>1466</v>
      </c>
    </row>
    <row r="244" spans="1:28" x14ac:dyDescent="0.25">
      <c r="A244">
        <v>2016</v>
      </c>
      <c r="C244" t="s">
        <v>1334</v>
      </c>
      <c r="D244" t="s">
        <v>2193</v>
      </c>
      <c r="E244" t="s">
        <v>1335</v>
      </c>
      <c r="F244" t="s">
        <v>366</v>
      </c>
      <c r="G244" t="s">
        <v>2194</v>
      </c>
      <c r="H244">
        <v>36.963245999999998</v>
      </c>
      <c r="I244">
        <v>-122.034009</v>
      </c>
      <c r="K244">
        <v>110013848453</v>
      </c>
      <c r="M244">
        <v>4952</v>
      </c>
      <c r="R244">
        <v>1.623113223</v>
      </c>
      <c r="W244" t="s">
        <v>2195</v>
      </c>
      <c r="X244" t="s">
        <v>2196</v>
      </c>
      <c r="Y244">
        <v>18060015000054</v>
      </c>
      <c r="AA244" t="s">
        <v>1465</v>
      </c>
      <c r="AB244" t="s">
        <v>263</v>
      </c>
    </row>
    <row r="245" spans="1:28" x14ac:dyDescent="0.25">
      <c r="A245">
        <v>2016</v>
      </c>
      <c r="C245" t="s">
        <v>1336</v>
      </c>
      <c r="D245" t="s">
        <v>2197</v>
      </c>
      <c r="E245" t="s">
        <v>1337</v>
      </c>
      <c r="F245" t="s">
        <v>366</v>
      </c>
      <c r="G245" t="s">
        <v>2198</v>
      </c>
      <c r="H245">
        <v>38.368760000000002</v>
      </c>
      <c r="I245">
        <v>-122.76860000000001</v>
      </c>
      <c r="K245">
        <v>110000730460</v>
      </c>
      <c r="M245">
        <v>4952</v>
      </c>
      <c r="R245">
        <v>0.41729624999999998</v>
      </c>
      <c r="W245" t="s">
        <v>2199</v>
      </c>
      <c r="X245" t="s">
        <v>2200</v>
      </c>
      <c r="Y245">
        <v>18010110000032</v>
      </c>
      <c r="AA245" t="s">
        <v>1465</v>
      </c>
      <c r="AB245" t="s">
        <v>263</v>
      </c>
    </row>
    <row r="246" spans="1:28" x14ac:dyDescent="0.25">
      <c r="A246">
        <v>2016</v>
      </c>
      <c r="C246" t="s">
        <v>1350</v>
      </c>
      <c r="D246" t="s">
        <v>2220</v>
      </c>
      <c r="E246" t="s">
        <v>1351</v>
      </c>
      <c r="F246" t="s">
        <v>1352</v>
      </c>
      <c r="G246">
        <v>98290</v>
      </c>
      <c r="H246">
        <v>47.914602000000002</v>
      </c>
      <c r="I246">
        <v>-122.112173</v>
      </c>
      <c r="K246">
        <v>110015408600</v>
      </c>
      <c r="M246">
        <v>4952</v>
      </c>
      <c r="R246">
        <v>0.36790200000000001</v>
      </c>
      <c r="W246" t="s">
        <v>2221</v>
      </c>
      <c r="X246" t="s">
        <v>2222</v>
      </c>
      <c r="Y246">
        <v>17110011000245</v>
      </c>
      <c r="AA246" t="s">
        <v>1465</v>
      </c>
      <c r="AB246" t="s">
        <v>263</v>
      </c>
    </row>
    <row r="247" spans="1:28" x14ac:dyDescent="0.25">
      <c r="A247">
        <v>2016</v>
      </c>
      <c r="C247" t="s">
        <v>190</v>
      </c>
      <c r="D247" t="s">
        <v>622</v>
      </c>
      <c r="E247" t="s">
        <v>623</v>
      </c>
      <c r="F247" t="s">
        <v>338</v>
      </c>
      <c r="G247">
        <v>8086</v>
      </c>
      <c r="H247">
        <v>39.845474000000003</v>
      </c>
      <c r="I247">
        <v>-75.209485999999998</v>
      </c>
      <c r="J247" t="s">
        <v>624</v>
      </c>
      <c r="K247">
        <v>110013317614</v>
      </c>
      <c r="M247">
        <v>2821</v>
      </c>
      <c r="R247">
        <v>4.07E-2</v>
      </c>
      <c r="W247" t="s">
        <v>934</v>
      </c>
      <c r="X247" t="s">
        <v>935</v>
      </c>
      <c r="Y247">
        <v>2040202001763</v>
      </c>
      <c r="AA247" t="s">
        <v>1465</v>
      </c>
      <c r="AB247" t="s">
        <v>1466</v>
      </c>
    </row>
    <row r="248" spans="1:28" x14ac:dyDescent="0.25">
      <c r="A248">
        <v>2016</v>
      </c>
      <c r="C248" t="s">
        <v>1356</v>
      </c>
      <c r="D248" t="s">
        <v>2231</v>
      </c>
      <c r="E248" t="s">
        <v>1357</v>
      </c>
      <c r="F248" t="s">
        <v>418</v>
      </c>
      <c r="G248">
        <v>89434</v>
      </c>
      <c r="H248">
        <v>39.530619999999999</v>
      </c>
      <c r="I248">
        <v>-119.73309</v>
      </c>
      <c r="K248">
        <v>110009830200</v>
      </c>
      <c r="M248">
        <v>9511</v>
      </c>
      <c r="R248">
        <v>1.8443358750000001</v>
      </c>
      <c r="W248" t="s">
        <v>2232</v>
      </c>
      <c r="X248" t="s">
        <v>2233</v>
      </c>
      <c r="Y248">
        <v>16050102000423</v>
      </c>
      <c r="AA248" t="s">
        <v>1465</v>
      </c>
      <c r="AB248" t="s">
        <v>1466</v>
      </c>
    </row>
    <row r="249" spans="1:28" x14ac:dyDescent="0.25">
      <c r="A249">
        <v>2016</v>
      </c>
      <c r="C249" t="s">
        <v>191</v>
      </c>
      <c r="D249" t="s">
        <v>625</v>
      </c>
      <c r="E249" t="s">
        <v>626</v>
      </c>
      <c r="F249" t="s">
        <v>324</v>
      </c>
      <c r="G249">
        <v>42276</v>
      </c>
      <c r="H249">
        <v>36.985556000000003</v>
      </c>
      <c r="I249">
        <v>-86.787499999999994</v>
      </c>
      <c r="K249">
        <v>110046299778</v>
      </c>
      <c r="M249">
        <v>3532</v>
      </c>
      <c r="R249">
        <v>1.7032500000000001E-4</v>
      </c>
      <c r="W249" t="s">
        <v>936</v>
      </c>
      <c r="X249" t="s">
        <v>937</v>
      </c>
      <c r="Y249">
        <v>5110003000734</v>
      </c>
      <c r="AA249" t="s">
        <v>1465</v>
      </c>
      <c r="AB249" t="s">
        <v>1466</v>
      </c>
    </row>
    <row r="250" spans="1:28" x14ac:dyDescent="0.25">
      <c r="A250">
        <v>2016</v>
      </c>
      <c r="C250" t="s">
        <v>191</v>
      </c>
      <c r="D250" t="s">
        <v>625</v>
      </c>
      <c r="E250" t="s">
        <v>626</v>
      </c>
      <c r="F250" t="s">
        <v>324</v>
      </c>
      <c r="G250">
        <v>42276</v>
      </c>
      <c r="H250">
        <v>36.985556000000003</v>
      </c>
      <c r="I250">
        <v>-86.787499999999994</v>
      </c>
      <c r="K250">
        <v>110046299778</v>
      </c>
      <c r="M250">
        <v>3532</v>
      </c>
      <c r="R250">
        <v>1.7032500000000001E-4</v>
      </c>
      <c r="W250" t="s">
        <v>936</v>
      </c>
      <c r="X250" t="s">
        <v>937</v>
      </c>
      <c r="Y250">
        <v>5110003000734</v>
      </c>
      <c r="AA250" t="s">
        <v>1465</v>
      </c>
      <c r="AB250" t="s">
        <v>1466</v>
      </c>
    </row>
    <row r="251" spans="1:28" x14ac:dyDescent="0.25">
      <c r="A251">
        <v>2016</v>
      </c>
      <c r="C251" t="s">
        <v>191</v>
      </c>
      <c r="D251" t="s">
        <v>625</v>
      </c>
      <c r="E251" t="s">
        <v>626</v>
      </c>
      <c r="F251" t="s">
        <v>324</v>
      </c>
      <c r="G251">
        <v>42276</v>
      </c>
      <c r="H251">
        <v>36.985556000000003</v>
      </c>
      <c r="I251">
        <v>-86.787499999999994</v>
      </c>
      <c r="K251">
        <v>110046299778</v>
      </c>
      <c r="M251">
        <v>3532</v>
      </c>
      <c r="R251">
        <v>1.85673175E-2</v>
      </c>
      <c r="W251" t="s">
        <v>936</v>
      </c>
      <c r="X251" t="s">
        <v>937</v>
      </c>
      <c r="Y251">
        <v>5110003000734</v>
      </c>
      <c r="AA251" t="s">
        <v>1465</v>
      </c>
      <c r="AB251" t="s">
        <v>1466</v>
      </c>
    </row>
    <row r="252" spans="1:28" x14ac:dyDescent="0.25">
      <c r="A252">
        <v>2016</v>
      </c>
      <c r="C252" t="s">
        <v>1363</v>
      </c>
      <c r="D252" t="s">
        <v>2242</v>
      </c>
      <c r="E252" t="s">
        <v>1364</v>
      </c>
      <c r="F252" t="s">
        <v>303</v>
      </c>
      <c r="G252">
        <v>70776</v>
      </c>
      <c r="H252">
        <v>30.241299999999999</v>
      </c>
      <c r="I252">
        <v>-91.100899999999996</v>
      </c>
      <c r="J252" t="s">
        <v>735</v>
      </c>
      <c r="K252">
        <v>110000597426</v>
      </c>
      <c r="M252">
        <v>2819</v>
      </c>
      <c r="R252">
        <v>0.82766439909296996</v>
      </c>
      <c r="W252" t="s">
        <v>2243</v>
      </c>
      <c r="X252">
        <v>402</v>
      </c>
      <c r="Y252">
        <v>8070202002351</v>
      </c>
      <c r="AA252" t="s">
        <v>1465</v>
      </c>
      <c r="AB252" t="s">
        <v>1466</v>
      </c>
    </row>
    <row r="253" spans="1:28" x14ac:dyDescent="0.25">
      <c r="A253">
        <v>2016</v>
      </c>
      <c r="C253" t="s">
        <v>1375</v>
      </c>
      <c r="D253" t="s">
        <v>2268</v>
      </c>
      <c r="E253" t="s">
        <v>657</v>
      </c>
      <c r="F253" t="s">
        <v>418</v>
      </c>
      <c r="G253">
        <v>89109</v>
      </c>
      <c r="H253">
        <v>36.137529999999998</v>
      </c>
      <c r="I253">
        <v>-115.15479000000001</v>
      </c>
      <c r="K253">
        <v>110020039402</v>
      </c>
      <c r="M253">
        <v>7011</v>
      </c>
      <c r="R253">
        <v>1.5766091990000002E-2</v>
      </c>
      <c r="W253" t="s">
        <v>2269</v>
      </c>
      <c r="X253" t="s">
        <v>2270</v>
      </c>
      <c r="Y253">
        <v>15010015000432</v>
      </c>
      <c r="AA253" t="s">
        <v>1465</v>
      </c>
      <c r="AB253" t="s">
        <v>1466</v>
      </c>
    </row>
    <row r="254" spans="1:28" x14ac:dyDescent="0.25">
      <c r="A254">
        <v>2016</v>
      </c>
      <c r="C254" t="s">
        <v>1376</v>
      </c>
      <c r="D254" t="s">
        <v>2271</v>
      </c>
      <c r="E254" t="s">
        <v>1377</v>
      </c>
      <c r="F254" t="s">
        <v>601</v>
      </c>
      <c r="G254">
        <v>6812</v>
      </c>
      <c r="H254">
        <v>41.468741000000001</v>
      </c>
      <c r="I254">
        <v>-73.486214000000004</v>
      </c>
      <c r="K254">
        <v>110020069076</v>
      </c>
      <c r="M254">
        <v>5411</v>
      </c>
      <c r="R254">
        <v>1.26033686999999E-2</v>
      </c>
      <c r="W254" t="s">
        <v>2272</v>
      </c>
      <c r="X254" t="s">
        <v>2273</v>
      </c>
      <c r="Y254">
        <v>1100005000445</v>
      </c>
      <c r="AA254" t="s">
        <v>1465</v>
      </c>
      <c r="AB254" t="s">
        <v>1466</v>
      </c>
    </row>
    <row r="255" spans="1:28" x14ac:dyDescent="0.25">
      <c r="A255">
        <v>2016</v>
      </c>
      <c r="C255" t="s">
        <v>1378</v>
      </c>
      <c r="D255" t="s">
        <v>2274</v>
      </c>
      <c r="E255" t="s">
        <v>474</v>
      </c>
      <c r="F255" t="s">
        <v>338</v>
      </c>
      <c r="G255">
        <v>7470</v>
      </c>
      <c r="H255">
        <v>40.936109999999999</v>
      </c>
      <c r="I255">
        <v>-74.273809999999997</v>
      </c>
      <c r="K255">
        <v>110070212009</v>
      </c>
      <c r="R255">
        <v>8.4518277859999902E-4</v>
      </c>
      <c r="W255" t="s">
        <v>2275</v>
      </c>
      <c r="X255" t="s">
        <v>2276</v>
      </c>
      <c r="Y255">
        <v>2030103000052</v>
      </c>
      <c r="AA255" t="s">
        <v>1465</v>
      </c>
      <c r="AB255" t="s">
        <v>1466</v>
      </c>
    </row>
    <row r="256" spans="1:28" x14ac:dyDescent="0.25">
      <c r="A256">
        <v>2016</v>
      </c>
      <c r="C256" t="s">
        <v>1381</v>
      </c>
      <c r="D256" t="s">
        <v>2280</v>
      </c>
      <c r="E256" t="s">
        <v>1382</v>
      </c>
      <c r="F256" t="s">
        <v>374</v>
      </c>
      <c r="G256">
        <v>863148622</v>
      </c>
      <c r="H256">
        <v>34.591583999999997</v>
      </c>
      <c r="I256">
        <v>-112.31693</v>
      </c>
      <c r="K256">
        <v>110000914725</v>
      </c>
      <c r="M256">
        <v>4952</v>
      </c>
      <c r="R256">
        <v>2.7029442000000001</v>
      </c>
      <c r="W256" t="s">
        <v>2281</v>
      </c>
      <c r="Y256">
        <v>15070102009265</v>
      </c>
      <c r="AA256" t="s">
        <v>1465</v>
      </c>
      <c r="AB256" t="s">
        <v>263</v>
      </c>
    </row>
    <row r="257" spans="1:28" x14ac:dyDescent="0.25">
      <c r="A257">
        <v>2016</v>
      </c>
      <c r="C257" t="s">
        <v>196</v>
      </c>
      <c r="D257" t="s">
        <v>650</v>
      </c>
      <c r="E257" t="s">
        <v>651</v>
      </c>
      <c r="F257" t="s">
        <v>418</v>
      </c>
      <c r="G257">
        <v>89015</v>
      </c>
      <c r="H257">
        <v>36.035440000000001</v>
      </c>
      <c r="I257">
        <v>-114.99994</v>
      </c>
      <c r="J257" t="s">
        <v>652</v>
      </c>
      <c r="K257">
        <v>110043808467</v>
      </c>
      <c r="M257">
        <v>1799</v>
      </c>
      <c r="R257">
        <v>0.16900782</v>
      </c>
      <c r="W257" t="s">
        <v>947</v>
      </c>
      <c r="X257" t="s">
        <v>948</v>
      </c>
      <c r="Y257">
        <v>15010015000957</v>
      </c>
      <c r="AA257" t="s">
        <v>1465</v>
      </c>
      <c r="AB257" t="s">
        <v>1466</v>
      </c>
    </row>
    <row r="258" spans="1:28" x14ac:dyDescent="0.25">
      <c r="A258">
        <v>2016</v>
      </c>
      <c r="C258" t="s">
        <v>1389</v>
      </c>
      <c r="D258" t="s">
        <v>2294</v>
      </c>
      <c r="E258" t="s">
        <v>358</v>
      </c>
      <c r="F258" t="s">
        <v>275</v>
      </c>
      <c r="G258">
        <v>83704</v>
      </c>
      <c r="H258">
        <v>43.605383000000003</v>
      </c>
      <c r="I258">
        <v>-116.27849000000001</v>
      </c>
      <c r="K258">
        <v>110062644367</v>
      </c>
      <c r="R258">
        <v>4.8908748049999902E-3</v>
      </c>
      <c r="W258" t="s">
        <v>2295</v>
      </c>
      <c r="X258" t="s">
        <v>2296</v>
      </c>
      <c r="Y258">
        <v>17050114001337</v>
      </c>
      <c r="AA258" t="s">
        <v>1465</v>
      </c>
      <c r="AB258" t="s">
        <v>1466</v>
      </c>
    </row>
    <row r="259" spans="1:28" x14ac:dyDescent="0.25">
      <c r="A259">
        <v>2016</v>
      </c>
      <c r="C259" t="s">
        <v>1394</v>
      </c>
      <c r="D259" t="s">
        <v>2304</v>
      </c>
      <c r="E259" t="s">
        <v>1395</v>
      </c>
      <c r="F259" t="s">
        <v>362</v>
      </c>
      <c r="G259">
        <v>78241</v>
      </c>
      <c r="H259">
        <v>29.378699999999998</v>
      </c>
      <c r="I259">
        <v>-98.551670000000001</v>
      </c>
      <c r="K259">
        <v>110042004915</v>
      </c>
      <c r="M259">
        <v>9711</v>
      </c>
      <c r="R259">
        <v>2.1720368601E-2</v>
      </c>
      <c r="W259" t="s">
        <v>2305</v>
      </c>
      <c r="X259" t="s">
        <v>2306</v>
      </c>
      <c r="Y259">
        <v>12100302000008</v>
      </c>
      <c r="AA259" t="s">
        <v>1465</v>
      </c>
      <c r="AB259" t="s">
        <v>1466</v>
      </c>
    </row>
    <row r="260" spans="1:28" x14ac:dyDescent="0.25">
      <c r="A260">
        <v>2016</v>
      </c>
      <c r="C260" t="s">
        <v>198</v>
      </c>
      <c r="D260" t="s">
        <v>656</v>
      </c>
      <c r="E260" t="s">
        <v>657</v>
      </c>
      <c r="F260" t="s">
        <v>418</v>
      </c>
      <c r="G260">
        <v>89109</v>
      </c>
      <c r="H260">
        <v>36.122100000000003</v>
      </c>
      <c r="I260">
        <v>-115.17139</v>
      </c>
      <c r="K260">
        <v>110004306938</v>
      </c>
      <c r="M260">
        <v>7011</v>
      </c>
      <c r="R260">
        <v>4.3863418749999997E-3</v>
      </c>
      <c r="W260" t="s">
        <v>951</v>
      </c>
      <c r="X260" t="s">
        <v>952</v>
      </c>
      <c r="Y260">
        <v>15010015000432</v>
      </c>
      <c r="AA260" t="s">
        <v>1465</v>
      </c>
      <c r="AB260" t="s">
        <v>1466</v>
      </c>
    </row>
    <row r="261" spans="1:28" x14ac:dyDescent="0.25">
      <c r="A261">
        <v>2016</v>
      </c>
      <c r="C261" t="s">
        <v>198</v>
      </c>
      <c r="D261" t="s">
        <v>656</v>
      </c>
      <c r="E261" t="s">
        <v>657</v>
      </c>
      <c r="F261" t="s">
        <v>418</v>
      </c>
      <c r="G261">
        <v>89109</v>
      </c>
      <c r="H261">
        <v>36.122100000000003</v>
      </c>
      <c r="I261">
        <v>-115.17139</v>
      </c>
      <c r="K261">
        <v>110004306938</v>
      </c>
      <c r="M261">
        <v>7011</v>
      </c>
      <c r="R261">
        <v>4.4899562499999997E-3</v>
      </c>
      <c r="W261" t="s">
        <v>951</v>
      </c>
      <c r="X261" t="s">
        <v>952</v>
      </c>
      <c r="Y261">
        <v>15010015000432</v>
      </c>
      <c r="AA261" t="s">
        <v>1465</v>
      </c>
      <c r="AB261" t="s">
        <v>1466</v>
      </c>
    </row>
    <row r="262" spans="1:28" x14ac:dyDescent="0.25">
      <c r="A262">
        <v>2016</v>
      </c>
      <c r="C262" t="s">
        <v>198</v>
      </c>
      <c r="D262" t="s">
        <v>656</v>
      </c>
      <c r="E262" t="s">
        <v>657</v>
      </c>
      <c r="F262" t="s">
        <v>418</v>
      </c>
      <c r="G262">
        <v>89109</v>
      </c>
      <c r="H262">
        <v>36.122100000000003</v>
      </c>
      <c r="I262">
        <v>-115.17139</v>
      </c>
      <c r="K262">
        <v>110004306938</v>
      </c>
      <c r="M262">
        <v>7011</v>
      </c>
      <c r="R262">
        <v>5.9750956250000001E-2</v>
      </c>
      <c r="W262" t="s">
        <v>951</v>
      </c>
      <c r="X262" t="s">
        <v>952</v>
      </c>
      <c r="Y262">
        <v>15010015000432</v>
      </c>
      <c r="AA262" t="s">
        <v>1465</v>
      </c>
      <c r="AB262" t="s">
        <v>1466</v>
      </c>
    </row>
    <row r="263" spans="1:28" x14ac:dyDescent="0.25">
      <c r="A263">
        <v>2016</v>
      </c>
      <c r="C263" t="s">
        <v>198</v>
      </c>
      <c r="D263" t="s">
        <v>656</v>
      </c>
      <c r="E263" t="s">
        <v>657</v>
      </c>
      <c r="F263" t="s">
        <v>418</v>
      </c>
      <c r="G263">
        <v>89109</v>
      </c>
      <c r="H263">
        <v>36.122100000000003</v>
      </c>
      <c r="I263">
        <v>-115.17139</v>
      </c>
      <c r="K263">
        <v>110004306938</v>
      </c>
      <c r="M263">
        <v>7011</v>
      </c>
      <c r="R263">
        <v>2.0308417499999998E-2</v>
      </c>
      <c r="W263" t="s">
        <v>951</v>
      </c>
      <c r="X263" t="s">
        <v>952</v>
      </c>
      <c r="Y263">
        <v>15010015000432</v>
      </c>
      <c r="AA263" t="s">
        <v>1465</v>
      </c>
      <c r="AB263" t="s">
        <v>1466</v>
      </c>
    </row>
    <row r="264" spans="1:28" x14ac:dyDescent="0.25">
      <c r="A264">
        <v>2016</v>
      </c>
      <c r="C264" t="s">
        <v>198</v>
      </c>
      <c r="D264" t="s">
        <v>656</v>
      </c>
      <c r="E264" t="s">
        <v>657</v>
      </c>
      <c r="F264" t="s">
        <v>418</v>
      </c>
      <c r="G264">
        <v>89109</v>
      </c>
      <c r="H264">
        <v>36.122100000000003</v>
      </c>
      <c r="I264">
        <v>-115.17139</v>
      </c>
      <c r="K264">
        <v>110004306938</v>
      </c>
      <c r="M264">
        <v>7011</v>
      </c>
      <c r="R264">
        <v>3.5228887500000001E-3</v>
      </c>
      <c r="W264" t="s">
        <v>951</v>
      </c>
      <c r="X264" t="s">
        <v>952</v>
      </c>
      <c r="Y264">
        <v>15010015000432</v>
      </c>
      <c r="AA264" t="s">
        <v>1465</v>
      </c>
      <c r="AB264" t="s">
        <v>1466</v>
      </c>
    </row>
    <row r="265" spans="1:28" x14ac:dyDescent="0.25">
      <c r="A265">
        <v>2016</v>
      </c>
      <c r="C265" t="s">
        <v>198</v>
      </c>
      <c r="D265" t="s">
        <v>656</v>
      </c>
      <c r="E265" t="s">
        <v>657</v>
      </c>
      <c r="F265" t="s">
        <v>418</v>
      </c>
      <c r="G265">
        <v>89109</v>
      </c>
      <c r="H265">
        <v>36.122100000000003</v>
      </c>
      <c r="I265">
        <v>-115.17139</v>
      </c>
      <c r="K265">
        <v>110004306938</v>
      </c>
      <c r="M265">
        <v>7011</v>
      </c>
      <c r="R265">
        <v>0.27388733124999998</v>
      </c>
      <c r="W265" t="s">
        <v>951</v>
      </c>
      <c r="X265" t="s">
        <v>952</v>
      </c>
      <c r="Y265">
        <v>15010015000432</v>
      </c>
      <c r="AA265" t="s">
        <v>1465</v>
      </c>
      <c r="AB265" t="s">
        <v>1466</v>
      </c>
    </row>
    <row r="266" spans="1:28" x14ac:dyDescent="0.25">
      <c r="A266">
        <v>2016</v>
      </c>
      <c r="C266" t="s">
        <v>1408</v>
      </c>
      <c r="D266" t="s">
        <v>2327</v>
      </c>
      <c r="E266" t="s">
        <v>1409</v>
      </c>
      <c r="F266" t="s">
        <v>366</v>
      </c>
      <c r="G266" t="s">
        <v>2328</v>
      </c>
      <c r="H266">
        <v>34.616658000000001</v>
      </c>
      <c r="I266">
        <v>-117.355048</v>
      </c>
      <c r="K266">
        <v>110000517637</v>
      </c>
      <c r="M266">
        <v>4952</v>
      </c>
      <c r="R266">
        <v>0.87036075000000002</v>
      </c>
      <c r="W266" t="s">
        <v>2329</v>
      </c>
      <c r="X266" t="s">
        <v>2330</v>
      </c>
      <c r="Y266">
        <v>18090208000542</v>
      </c>
      <c r="AA266" t="s">
        <v>1465</v>
      </c>
      <c r="AB266" t="s">
        <v>263</v>
      </c>
    </row>
    <row r="267" spans="1:28" x14ac:dyDescent="0.25">
      <c r="A267">
        <v>2016</v>
      </c>
      <c r="C267" t="s">
        <v>1410</v>
      </c>
      <c r="D267" t="s">
        <v>2331</v>
      </c>
      <c r="E267" t="s">
        <v>657</v>
      </c>
      <c r="F267" t="s">
        <v>418</v>
      </c>
      <c r="G267">
        <v>89106</v>
      </c>
      <c r="H267">
        <v>36.19997</v>
      </c>
      <c r="I267">
        <v>-115.19658</v>
      </c>
      <c r="K267">
        <v>110064418553</v>
      </c>
      <c r="M267">
        <v>5541</v>
      </c>
      <c r="R267">
        <v>8.2926038125000004E-3</v>
      </c>
      <c r="W267" t="s">
        <v>2332</v>
      </c>
      <c r="X267" t="s">
        <v>1893</v>
      </c>
      <c r="Y267">
        <v>15010015000124</v>
      </c>
      <c r="AA267" t="s">
        <v>1465</v>
      </c>
      <c r="AB267" t="s">
        <v>1466</v>
      </c>
    </row>
    <row r="268" spans="1:28" x14ac:dyDescent="0.25">
      <c r="A268">
        <v>2016</v>
      </c>
      <c r="C268" t="s">
        <v>1421</v>
      </c>
      <c r="D268" t="s">
        <v>2350</v>
      </c>
      <c r="E268" t="s">
        <v>1422</v>
      </c>
      <c r="F268" t="s">
        <v>1171</v>
      </c>
      <c r="G268">
        <v>96746</v>
      </c>
      <c r="H268">
        <v>22.079093</v>
      </c>
      <c r="I268">
        <v>-159.35138900000001</v>
      </c>
      <c r="K268">
        <v>110010731262</v>
      </c>
      <c r="M268">
        <v>4952</v>
      </c>
      <c r="R268">
        <v>0.26456203750000001</v>
      </c>
      <c r="W268" t="s">
        <v>2351</v>
      </c>
      <c r="X268" t="s">
        <v>2352</v>
      </c>
      <c r="Y268">
        <v>20070000000062</v>
      </c>
      <c r="AA268" t="s">
        <v>1465</v>
      </c>
      <c r="AB268" t="s">
        <v>263</v>
      </c>
    </row>
    <row r="269" spans="1:28" x14ac:dyDescent="0.25">
      <c r="A269">
        <v>2016</v>
      </c>
      <c r="C269" t="s">
        <v>1425</v>
      </c>
      <c r="D269" t="s">
        <v>2356</v>
      </c>
      <c r="E269" t="s">
        <v>1426</v>
      </c>
      <c r="F269" t="s">
        <v>366</v>
      </c>
      <c r="G269" t="s">
        <v>2357</v>
      </c>
      <c r="H269">
        <v>36.889969999999998</v>
      </c>
      <c r="I269">
        <v>-121.78815</v>
      </c>
      <c r="K269">
        <v>110013819706</v>
      </c>
      <c r="M269">
        <v>4952</v>
      </c>
      <c r="R269">
        <v>5.36507936507936E-3</v>
      </c>
      <c r="W269" t="s">
        <v>2358</v>
      </c>
      <c r="X269" t="s">
        <v>926</v>
      </c>
      <c r="AA269" t="s">
        <v>1465</v>
      </c>
      <c r="AB269" t="s">
        <v>263</v>
      </c>
    </row>
    <row r="270" spans="1:28" x14ac:dyDescent="0.25">
      <c r="A270">
        <v>2016</v>
      </c>
      <c r="C270" t="s">
        <v>1428</v>
      </c>
      <c r="D270" t="s">
        <v>2362</v>
      </c>
      <c r="E270" t="s">
        <v>337</v>
      </c>
      <c r="F270" t="s">
        <v>338</v>
      </c>
      <c r="G270">
        <v>8066</v>
      </c>
      <c r="H270">
        <v>39.837310000000002</v>
      </c>
      <c r="I270">
        <v>-75.224580000000003</v>
      </c>
      <c r="K270">
        <v>110010354810</v>
      </c>
      <c r="M270">
        <v>4911</v>
      </c>
      <c r="R270">
        <v>0.16203585000000001</v>
      </c>
      <c r="W270" t="s">
        <v>2363</v>
      </c>
      <c r="X270" t="s">
        <v>783</v>
      </c>
      <c r="Y270">
        <v>2040202001766</v>
      </c>
      <c r="AA270" t="s">
        <v>1465</v>
      </c>
      <c r="AB270" t="s">
        <v>1466</v>
      </c>
    </row>
    <row r="271" spans="1:28" x14ac:dyDescent="0.25">
      <c r="A271">
        <v>2016</v>
      </c>
      <c r="C271" t="s">
        <v>1431</v>
      </c>
      <c r="D271" t="s">
        <v>2369</v>
      </c>
      <c r="E271" t="s">
        <v>1314</v>
      </c>
      <c r="F271" t="s">
        <v>374</v>
      </c>
      <c r="G271">
        <v>86004</v>
      </c>
      <c r="H271">
        <v>35.225619999999999</v>
      </c>
      <c r="I271">
        <v>-111.5582</v>
      </c>
      <c r="K271">
        <v>110043316612</v>
      </c>
      <c r="M271">
        <v>4952</v>
      </c>
      <c r="R271">
        <v>0.73524760499999997</v>
      </c>
      <c r="W271" t="s">
        <v>2370</v>
      </c>
      <c r="Y271">
        <v>15050301001323</v>
      </c>
      <c r="AA271" t="s">
        <v>1465</v>
      </c>
      <c r="AB271" t="s">
        <v>263</v>
      </c>
    </row>
    <row r="272" spans="1:28" x14ac:dyDescent="0.25">
      <c r="A272">
        <v>2016</v>
      </c>
      <c r="C272" t="s">
        <v>203</v>
      </c>
      <c r="D272" t="s">
        <v>669</v>
      </c>
      <c r="E272" t="s">
        <v>348</v>
      </c>
      <c r="F272" t="s">
        <v>349</v>
      </c>
      <c r="G272">
        <v>63461</v>
      </c>
      <c r="H272">
        <v>39.828163000000004</v>
      </c>
      <c r="I272">
        <v>-91.436942000000002</v>
      </c>
      <c r="K272">
        <v>110040330718</v>
      </c>
      <c r="M272">
        <v>9512</v>
      </c>
      <c r="R272">
        <v>5.6983932000000001E-2</v>
      </c>
      <c r="W272" t="s">
        <v>959</v>
      </c>
      <c r="X272" t="s">
        <v>960</v>
      </c>
      <c r="Y272">
        <v>7110004001360</v>
      </c>
      <c r="AA272" t="s">
        <v>1465</v>
      </c>
      <c r="AB272" t="s">
        <v>1466</v>
      </c>
    </row>
    <row r="273" spans="1:28" x14ac:dyDescent="0.25">
      <c r="A273">
        <v>2016</v>
      </c>
      <c r="C273" t="s">
        <v>1442</v>
      </c>
      <c r="D273" t="s">
        <v>2386</v>
      </c>
      <c r="E273" t="s">
        <v>1443</v>
      </c>
      <c r="F273" t="s">
        <v>450</v>
      </c>
      <c r="G273">
        <v>14580</v>
      </c>
      <c r="H273">
        <v>43.227834000000001</v>
      </c>
      <c r="I273">
        <v>-77.411534000000003</v>
      </c>
      <c r="J273" t="s">
        <v>740</v>
      </c>
      <c r="K273">
        <v>110000327799</v>
      </c>
      <c r="M273">
        <v>9511</v>
      </c>
      <c r="R273">
        <v>3.6247374603499999E-2</v>
      </c>
      <c r="W273" t="s">
        <v>2387</v>
      </c>
      <c r="X273" t="s">
        <v>2388</v>
      </c>
      <c r="Y273">
        <v>4140101000567</v>
      </c>
      <c r="AA273" t="s">
        <v>1465</v>
      </c>
      <c r="AB273" t="s">
        <v>1466</v>
      </c>
    </row>
    <row r="274" spans="1:28" x14ac:dyDescent="0.25">
      <c r="A274">
        <v>2016</v>
      </c>
      <c r="C274" t="s">
        <v>1442</v>
      </c>
      <c r="D274" t="s">
        <v>2386</v>
      </c>
      <c r="E274" t="s">
        <v>1443</v>
      </c>
      <c r="F274" t="s">
        <v>450</v>
      </c>
      <c r="G274">
        <v>14580</v>
      </c>
      <c r="H274">
        <v>43.227834000000001</v>
      </c>
      <c r="I274">
        <v>-77.411534000000003</v>
      </c>
      <c r="J274" t="s">
        <v>740</v>
      </c>
      <c r="K274">
        <v>110000327799</v>
      </c>
      <c r="M274">
        <v>9511</v>
      </c>
      <c r="R274">
        <v>6.4916270050000002E-2</v>
      </c>
      <c r="W274" t="s">
        <v>2387</v>
      </c>
      <c r="X274" t="s">
        <v>2388</v>
      </c>
      <c r="Y274">
        <v>4140101000567</v>
      </c>
      <c r="AA274" t="s">
        <v>1465</v>
      </c>
      <c r="AB274" t="s">
        <v>1466</v>
      </c>
    </row>
    <row r="275" spans="1:28" x14ac:dyDescent="0.25">
      <c r="A275">
        <v>2016</v>
      </c>
      <c r="C275" t="s">
        <v>1442</v>
      </c>
      <c r="D275" t="s">
        <v>2386</v>
      </c>
      <c r="E275" t="s">
        <v>1443</v>
      </c>
      <c r="F275" t="s">
        <v>450</v>
      </c>
      <c r="G275">
        <v>14580</v>
      </c>
      <c r="H275">
        <v>43.227834000000001</v>
      </c>
      <c r="I275">
        <v>-77.411534000000003</v>
      </c>
      <c r="J275" t="s">
        <v>740</v>
      </c>
      <c r="K275">
        <v>110000327799</v>
      </c>
      <c r="M275">
        <v>9511</v>
      </c>
      <c r="R275">
        <v>1.92049291375E-2</v>
      </c>
      <c r="W275" t="s">
        <v>2387</v>
      </c>
      <c r="X275" t="s">
        <v>2388</v>
      </c>
      <c r="Y275">
        <v>4140101000567</v>
      </c>
      <c r="AA275" t="s">
        <v>1465</v>
      </c>
      <c r="AB275" t="s">
        <v>1466</v>
      </c>
    </row>
    <row r="276" spans="1:28" x14ac:dyDescent="0.25">
      <c r="A276">
        <v>2017</v>
      </c>
      <c r="C276" t="s">
        <v>961</v>
      </c>
      <c r="D276" t="s">
        <v>1462</v>
      </c>
      <c r="E276" t="s">
        <v>962</v>
      </c>
      <c r="F276" t="s">
        <v>374</v>
      </c>
      <c r="G276">
        <v>85009</v>
      </c>
      <c r="H276">
        <v>33.424239999999998</v>
      </c>
      <c r="I276">
        <v>-112.10626999999999</v>
      </c>
      <c r="K276">
        <v>110000509851</v>
      </c>
      <c r="M276">
        <v>4952</v>
      </c>
      <c r="R276">
        <v>5.9932655175000003</v>
      </c>
      <c r="W276" t="s">
        <v>1464</v>
      </c>
      <c r="Y276">
        <v>15070102009185</v>
      </c>
      <c r="AA276" t="s">
        <v>1465</v>
      </c>
      <c r="AB276" t="s">
        <v>263</v>
      </c>
    </row>
    <row r="277" spans="1:28" x14ac:dyDescent="0.25">
      <c r="A277">
        <v>2017</v>
      </c>
      <c r="C277" t="s">
        <v>99</v>
      </c>
      <c r="D277" t="s">
        <v>297</v>
      </c>
      <c r="E277" t="s">
        <v>298</v>
      </c>
      <c r="F277" t="s">
        <v>299</v>
      </c>
      <c r="G277">
        <v>72903</v>
      </c>
      <c r="H277">
        <v>35.327162000000001</v>
      </c>
      <c r="I277">
        <v>-94.380183000000002</v>
      </c>
      <c r="K277">
        <v>110066929033</v>
      </c>
      <c r="M277">
        <v>3585</v>
      </c>
      <c r="R277">
        <v>1.1963718820861601E-3</v>
      </c>
      <c r="W277" t="s">
        <v>764</v>
      </c>
      <c r="X277" t="s">
        <v>765</v>
      </c>
      <c r="Y277">
        <v>11110104000749</v>
      </c>
      <c r="AA277" t="s">
        <v>1465</v>
      </c>
      <c r="AB277" t="s">
        <v>1466</v>
      </c>
    </row>
    <row r="278" spans="1:28" x14ac:dyDescent="0.25">
      <c r="A278">
        <v>2017</v>
      </c>
      <c r="C278" t="s">
        <v>963</v>
      </c>
      <c r="D278" t="s">
        <v>1467</v>
      </c>
      <c r="E278" t="s">
        <v>964</v>
      </c>
      <c r="F278" t="s">
        <v>374</v>
      </c>
      <c r="G278">
        <v>85705</v>
      </c>
      <c r="H278">
        <v>32.279809999999998</v>
      </c>
      <c r="I278">
        <v>-111.02198</v>
      </c>
      <c r="K278">
        <v>110002042021</v>
      </c>
      <c r="M278">
        <v>4952</v>
      </c>
      <c r="R278">
        <v>0.37827308925000003</v>
      </c>
      <c r="W278" t="s">
        <v>1468</v>
      </c>
      <c r="Y278">
        <v>15050301001090</v>
      </c>
      <c r="AA278" t="s">
        <v>1465</v>
      </c>
      <c r="AB278" t="s">
        <v>1466</v>
      </c>
    </row>
    <row r="279" spans="1:28" x14ac:dyDescent="0.25">
      <c r="A279">
        <v>2017</v>
      </c>
      <c r="C279" t="s">
        <v>965</v>
      </c>
      <c r="D279" t="s">
        <v>1469</v>
      </c>
      <c r="E279" t="s">
        <v>966</v>
      </c>
      <c r="F279" t="s">
        <v>491</v>
      </c>
      <c r="G279">
        <v>19112</v>
      </c>
      <c r="H279">
        <v>39.884791999999997</v>
      </c>
      <c r="I279">
        <v>-75.191112000000004</v>
      </c>
      <c r="K279">
        <v>110006368206</v>
      </c>
      <c r="M279">
        <v>3731</v>
      </c>
      <c r="R279">
        <v>0.60041955225599997</v>
      </c>
      <c r="W279" t="s">
        <v>1470</v>
      </c>
      <c r="X279" t="s">
        <v>1471</v>
      </c>
      <c r="Y279">
        <v>2040203000001</v>
      </c>
      <c r="AA279" t="s">
        <v>1465</v>
      </c>
      <c r="AB279" t="s">
        <v>1466</v>
      </c>
    </row>
    <row r="280" spans="1:28" x14ac:dyDescent="0.25">
      <c r="A280">
        <v>2017</v>
      </c>
      <c r="C280" t="s">
        <v>103</v>
      </c>
      <c r="D280" t="s">
        <v>313</v>
      </c>
      <c r="E280" t="s">
        <v>314</v>
      </c>
      <c r="F280" t="s">
        <v>303</v>
      </c>
      <c r="G280" t="s">
        <v>315</v>
      </c>
      <c r="H280">
        <v>30.27083</v>
      </c>
      <c r="I280">
        <v>-92.037279999999996</v>
      </c>
      <c r="K280">
        <v>110000846602</v>
      </c>
      <c r="M280">
        <v>2821</v>
      </c>
      <c r="R280">
        <v>2.6538591845000001E-3</v>
      </c>
      <c r="W280" t="s">
        <v>772</v>
      </c>
      <c r="X280" t="s">
        <v>773</v>
      </c>
      <c r="Y280">
        <v>8080103002791</v>
      </c>
      <c r="AA280" t="s">
        <v>1465</v>
      </c>
      <c r="AB280" t="s">
        <v>1466</v>
      </c>
    </row>
    <row r="281" spans="1:28" x14ac:dyDescent="0.25">
      <c r="A281">
        <v>2017</v>
      </c>
      <c r="C281" t="s">
        <v>971</v>
      </c>
      <c r="D281" t="s">
        <v>1482</v>
      </c>
      <c r="E281" t="s">
        <v>972</v>
      </c>
      <c r="F281" t="s">
        <v>374</v>
      </c>
      <c r="G281">
        <v>85220</v>
      </c>
      <c r="H281">
        <v>33.358879999999999</v>
      </c>
      <c r="I281">
        <v>-111.55722</v>
      </c>
      <c r="K281">
        <v>110010062314</v>
      </c>
      <c r="M281">
        <v>4952</v>
      </c>
      <c r="R281">
        <v>0.24411546749999999</v>
      </c>
      <c r="W281" t="s">
        <v>1483</v>
      </c>
      <c r="Y281">
        <v>15070102000561</v>
      </c>
      <c r="AA281" t="s">
        <v>1465</v>
      </c>
      <c r="AB281" t="s">
        <v>263</v>
      </c>
    </row>
    <row r="282" spans="1:28" x14ac:dyDescent="0.25">
      <c r="A282">
        <v>2017</v>
      </c>
      <c r="C282" t="s">
        <v>973</v>
      </c>
      <c r="D282" t="s">
        <v>1484</v>
      </c>
      <c r="E282" t="s">
        <v>974</v>
      </c>
      <c r="F282" t="s">
        <v>541</v>
      </c>
      <c r="G282" t="s">
        <v>1485</v>
      </c>
      <c r="H282">
        <v>33.071649999999998</v>
      </c>
      <c r="I282">
        <v>-81.476479999999995</v>
      </c>
      <c r="J282" t="s">
        <v>698</v>
      </c>
      <c r="K282">
        <v>110000604490</v>
      </c>
      <c r="M282">
        <v>2819</v>
      </c>
      <c r="R282">
        <v>0.82766439909296996</v>
      </c>
      <c r="W282" t="s">
        <v>1486</v>
      </c>
      <c r="X282" t="s">
        <v>1487</v>
      </c>
      <c r="Y282">
        <v>3060106002119</v>
      </c>
      <c r="AA282" t="s">
        <v>1465</v>
      </c>
      <c r="AB282" t="s">
        <v>1466</v>
      </c>
    </row>
    <row r="283" spans="1:28" x14ac:dyDescent="0.25">
      <c r="A283">
        <v>2017</v>
      </c>
      <c r="C283" t="s">
        <v>1491</v>
      </c>
      <c r="D283" t="s">
        <v>322</v>
      </c>
      <c r="E283" t="s">
        <v>323</v>
      </c>
      <c r="F283" t="s">
        <v>324</v>
      </c>
      <c r="G283">
        <v>42029</v>
      </c>
      <c r="H283">
        <v>37.056699000000002</v>
      </c>
      <c r="I283">
        <v>-88.365727000000007</v>
      </c>
      <c r="J283" t="s">
        <v>325</v>
      </c>
      <c r="K283">
        <v>110000380061</v>
      </c>
      <c r="M283">
        <v>2819</v>
      </c>
      <c r="R283">
        <v>72.164172335600895</v>
      </c>
      <c r="W283" t="s">
        <v>776</v>
      </c>
      <c r="X283" t="s">
        <v>777</v>
      </c>
      <c r="Y283">
        <v>6040006000329</v>
      </c>
      <c r="AA283" t="s">
        <v>1465</v>
      </c>
      <c r="AB283" t="s">
        <v>1466</v>
      </c>
    </row>
    <row r="284" spans="1:28" x14ac:dyDescent="0.25">
      <c r="A284">
        <v>2017</v>
      </c>
      <c r="C284" t="s">
        <v>980</v>
      </c>
      <c r="D284" t="s">
        <v>1497</v>
      </c>
      <c r="E284" t="s">
        <v>981</v>
      </c>
      <c r="F284" t="s">
        <v>324</v>
      </c>
      <c r="G284">
        <v>42206</v>
      </c>
      <c r="H284">
        <v>36.864350000000002</v>
      </c>
      <c r="I284">
        <v>-86.705910000000003</v>
      </c>
      <c r="K284">
        <v>110003250277</v>
      </c>
      <c r="M284">
        <v>4952</v>
      </c>
      <c r="R284">
        <v>0.161638425</v>
      </c>
      <c r="W284" t="s">
        <v>1498</v>
      </c>
      <c r="X284" t="s">
        <v>1499</v>
      </c>
      <c r="Y284">
        <v>5110002001791</v>
      </c>
      <c r="AA284" t="s">
        <v>1465</v>
      </c>
      <c r="AB284" t="s">
        <v>263</v>
      </c>
    </row>
    <row r="285" spans="1:28" x14ac:dyDescent="0.25">
      <c r="A285">
        <v>2017</v>
      </c>
      <c r="C285" t="s">
        <v>982</v>
      </c>
      <c r="D285" t="s">
        <v>1501</v>
      </c>
      <c r="E285" t="s">
        <v>983</v>
      </c>
      <c r="F285" t="s">
        <v>374</v>
      </c>
      <c r="G285" t="s">
        <v>1502</v>
      </c>
      <c r="H285">
        <v>33.402509999999999</v>
      </c>
      <c r="I285">
        <v>-112.34045999999999</v>
      </c>
      <c r="K285">
        <v>110022421789</v>
      </c>
      <c r="M285">
        <v>4952</v>
      </c>
      <c r="R285">
        <v>7.9092306250000002</v>
      </c>
      <c r="W285" t="s">
        <v>1503</v>
      </c>
      <c r="Y285">
        <v>15050100000998</v>
      </c>
      <c r="AA285" t="s">
        <v>1465</v>
      </c>
      <c r="AB285" t="s">
        <v>263</v>
      </c>
    </row>
    <row r="286" spans="1:28" x14ac:dyDescent="0.25">
      <c r="A286">
        <v>2017</v>
      </c>
      <c r="C286" t="s">
        <v>108</v>
      </c>
      <c r="D286" t="s">
        <v>336</v>
      </c>
      <c r="E286" t="s">
        <v>337</v>
      </c>
      <c r="F286" t="s">
        <v>338</v>
      </c>
      <c r="G286" t="s">
        <v>339</v>
      </c>
      <c r="H286">
        <v>39.852224</v>
      </c>
      <c r="I286">
        <v>-75.234432999999996</v>
      </c>
      <c r="K286">
        <v>110000760310</v>
      </c>
      <c r="M286">
        <v>5171</v>
      </c>
      <c r="R286">
        <v>9.0371454850000001E-3</v>
      </c>
      <c r="W286" t="s">
        <v>782</v>
      </c>
      <c r="X286" t="s">
        <v>783</v>
      </c>
      <c r="Y286">
        <v>2040202000029</v>
      </c>
      <c r="AA286" t="s">
        <v>1465</v>
      </c>
      <c r="AB286" t="s">
        <v>1466</v>
      </c>
    </row>
    <row r="287" spans="1:28" x14ac:dyDescent="0.25">
      <c r="A287">
        <v>2017</v>
      </c>
      <c r="C287" t="s">
        <v>986</v>
      </c>
      <c r="D287" t="s">
        <v>1508</v>
      </c>
      <c r="E287" t="s">
        <v>987</v>
      </c>
      <c r="F287" t="s">
        <v>324</v>
      </c>
      <c r="G287">
        <v>40216</v>
      </c>
      <c r="H287">
        <v>38.195278000000002</v>
      </c>
      <c r="I287">
        <v>-85.872221999999994</v>
      </c>
      <c r="J287" t="s">
        <v>701</v>
      </c>
      <c r="K287">
        <v>110000378467</v>
      </c>
      <c r="M287">
        <v>2869</v>
      </c>
      <c r="R287">
        <v>0.64081632653061205</v>
      </c>
      <c r="W287" t="s">
        <v>1509</v>
      </c>
      <c r="X287" t="s">
        <v>830</v>
      </c>
      <c r="Y287">
        <v>5140101000007</v>
      </c>
      <c r="AA287" t="s">
        <v>1465</v>
      </c>
      <c r="AB287" t="s">
        <v>1466</v>
      </c>
    </row>
    <row r="288" spans="1:28" x14ac:dyDescent="0.25">
      <c r="A288">
        <v>2017</v>
      </c>
      <c r="C288" t="s">
        <v>991</v>
      </c>
      <c r="D288" t="s">
        <v>1517</v>
      </c>
      <c r="E288" t="s">
        <v>992</v>
      </c>
      <c r="F288" t="s">
        <v>299</v>
      </c>
      <c r="G288">
        <v>723016413</v>
      </c>
      <c r="H288">
        <v>35.136057000000001</v>
      </c>
      <c r="I288">
        <v>-90.096892999999994</v>
      </c>
      <c r="J288" t="s">
        <v>704</v>
      </c>
      <c r="K288">
        <v>110000452082</v>
      </c>
      <c r="M288">
        <v>2869</v>
      </c>
      <c r="R288">
        <v>0.21866213151927399</v>
      </c>
      <c r="W288" t="s">
        <v>1518</v>
      </c>
      <c r="X288" t="s">
        <v>1519</v>
      </c>
      <c r="Y288">
        <v>8010100000818</v>
      </c>
      <c r="AA288" t="s">
        <v>1465</v>
      </c>
      <c r="AB288" t="s">
        <v>1466</v>
      </c>
    </row>
    <row r="289" spans="1:28" x14ac:dyDescent="0.25">
      <c r="A289">
        <v>2017</v>
      </c>
      <c r="C289" t="s">
        <v>1002</v>
      </c>
      <c r="D289" t="s">
        <v>1537</v>
      </c>
      <c r="E289" t="s">
        <v>1003</v>
      </c>
      <c r="F289" t="s">
        <v>303</v>
      </c>
      <c r="G289">
        <v>70726</v>
      </c>
      <c r="H289">
        <v>30.486615</v>
      </c>
      <c r="I289">
        <v>-90.925387999999998</v>
      </c>
      <c r="J289" t="s">
        <v>706</v>
      </c>
      <c r="K289">
        <v>110000597355</v>
      </c>
      <c r="M289">
        <v>2899</v>
      </c>
      <c r="R289">
        <v>1.6553287981859399E-2</v>
      </c>
      <c r="W289" t="s">
        <v>1538</v>
      </c>
      <c r="X289" t="s">
        <v>1539</v>
      </c>
      <c r="Y289">
        <v>8070202000867</v>
      </c>
      <c r="AA289" t="s">
        <v>1465</v>
      </c>
      <c r="AB289" t="s">
        <v>1466</v>
      </c>
    </row>
    <row r="290" spans="1:28" x14ac:dyDescent="0.25">
      <c r="A290">
        <v>2017</v>
      </c>
      <c r="C290" t="s">
        <v>111</v>
      </c>
      <c r="D290" t="s">
        <v>355</v>
      </c>
      <c r="E290" t="s">
        <v>356</v>
      </c>
      <c r="F290" t="s">
        <v>338</v>
      </c>
      <c r="G290">
        <v>8010</v>
      </c>
      <c r="H290">
        <v>40.067799999999998</v>
      </c>
      <c r="I290">
        <v>-74.923670000000001</v>
      </c>
      <c r="K290">
        <v>110029593731</v>
      </c>
      <c r="M290">
        <v>4952</v>
      </c>
      <c r="R290">
        <v>4.7391984999999998E-2</v>
      </c>
      <c r="W290" t="s">
        <v>788</v>
      </c>
      <c r="X290" t="s">
        <v>789</v>
      </c>
      <c r="Y290">
        <v>2040202001996</v>
      </c>
      <c r="AA290" t="s">
        <v>1465</v>
      </c>
      <c r="AB290" t="s">
        <v>263</v>
      </c>
    </row>
    <row r="291" spans="1:28" x14ac:dyDescent="0.25">
      <c r="A291">
        <v>2017</v>
      </c>
      <c r="C291" t="s">
        <v>44</v>
      </c>
      <c r="D291" t="s">
        <v>367</v>
      </c>
      <c r="E291" t="s">
        <v>368</v>
      </c>
      <c r="F291" t="s">
        <v>349</v>
      </c>
      <c r="G291">
        <v>63630</v>
      </c>
      <c r="H291">
        <v>37.983333000000002</v>
      </c>
      <c r="I291">
        <v>-90.690832999999998</v>
      </c>
      <c r="J291" t="s">
        <v>369</v>
      </c>
      <c r="K291">
        <v>110017980443</v>
      </c>
      <c r="M291">
        <v>2899</v>
      </c>
      <c r="R291">
        <v>0.15519940570999999</v>
      </c>
      <c r="W291" t="s">
        <v>796</v>
      </c>
      <c r="X291" t="s">
        <v>1564</v>
      </c>
      <c r="Y291">
        <v>7140104001615</v>
      </c>
      <c r="AA291" t="s">
        <v>1465</v>
      </c>
      <c r="AB291" t="s">
        <v>1466</v>
      </c>
    </row>
    <row r="292" spans="1:28" x14ac:dyDescent="0.25">
      <c r="A292">
        <v>2017</v>
      </c>
      <c r="C292" t="s">
        <v>1021</v>
      </c>
      <c r="D292" t="s">
        <v>1571</v>
      </c>
      <c r="E292" t="s">
        <v>657</v>
      </c>
      <c r="F292" t="s">
        <v>418</v>
      </c>
      <c r="G292">
        <v>89109</v>
      </c>
      <c r="H292">
        <v>36.116160999999998</v>
      </c>
      <c r="I292">
        <v>-115.172741</v>
      </c>
      <c r="K292">
        <v>110015972562</v>
      </c>
      <c r="M292">
        <v>7011</v>
      </c>
      <c r="R292">
        <v>0.156011218187499</v>
      </c>
      <c r="W292" t="s">
        <v>1572</v>
      </c>
      <c r="X292" t="s">
        <v>1573</v>
      </c>
      <c r="Y292">
        <v>15010015000432</v>
      </c>
      <c r="AA292" t="s">
        <v>1465</v>
      </c>
      <c r="AB292" t="s">
        <v>1466</v>
      </c>
    </row>
    <row r="293" spans="1:28" x14ac:dyDescent="0.25">
      <c r="A293">
        <v>2017</v>
      </c>
      <c r="C293" t="s">
        <v>1021</v>
      </c>
      <c r="D293" t="s">
        <v>1571</v>
      </c>
      <c r="E293" t="s">
        <v>657</v>
      </c>
      <c r="F293" t="s">
        <v>418</v>
      </c>
      <c r="G293">
        <v>89109</v>
      </c>
      <c r="H293">
        <v>36.116160999999998</v>
      </c>
      <c r="I293">
        <v>-115.172741</v>
      </c>
      <c r="K293">
        <v>110015972562</v>
      </c>
      <c r="M293">
        <v>7011</v>
      </c>
      <c r="R293">
        <v>2.10698080999999E-2</v>
      </c>
      <c r="W293" t="s">
        <v>1572</v>
      </c>
      <c r="X293" t="s">
        <v>1573</v>
      </c>
      <c r="Y293">
        <v>15010015000432</v>
      </c>
      <c r="AA293" t="s">
        <v>1465</v>
      </c>
      <c r="AB293" t="s">
        <v>1466</v>
      </c>
    </row>
    <row r="294" spans="1:28" x14ac:dyDescent="0.25">
      <c r="A294">
        <v>2017</v>
      </c>
      <c r="C294" t="s">
        <v>1022</v>
      </c>
      <c r="D294" t="s">
        <v>1574</v>
      </c>
      <c r="E294" t="s">
        <v>1023</v>
      </c>
      <c r="F294" t="s">
        <v>366</v>
      </c>
      <c r="G294">
        <v>92231</v>
      </c>
      <c r="H294">
        <v>32.664450000000002</v>
      </c>
      <c r="I294">
        <v>-115.55970499999999</v>
      </c>
      <c r="K294">
        <v>110000730825</v>
      </c>
      <c r="M294">
        <v>4952</v>
      </c>
      <c r="R294">
        <v>0.14174446499999999</v>
      </c>
      <c r="W294" t="s">
        <v>1575</v>
      </c>
      <c r="X294" t="s">
        <v>795</v>
      </c>
      <c r="Y294">
        <v>18100204012549</v>
      </c>
      <c r="AA294" t="s">
        <v>1465</v>
      </c>
      <c r="AB294" t="s">
        <v>263</v>
      </c>
    </row>
    <row r="295" spans="1:28" x14ac:dyDescent="0.25">
      <c r="A295">
        <v>2017</v>
      </c>
      <c r="C295" t="s">
        <v>1024</v>
      </c>
      <c r="D295" t="s">
        <v>1576</v>
      </c>
      <c r="E295" t="s">
        <v>1025</v>
      </c>
      <c r="F295" t="s">
        <v>366</v>
      </c>
      <c r="G295">
        <v>92233</v>
      </c>
      <c r="H295">
        <v>33.147531999999998</v>
      </c>
      <c r="I295">
        <v>-115.54533000000001</v>
      </c>
      <c r="K295">
        <v>110002043217</v>
      </c>
      <c r="M295">
        <v>4952</v>
      </c>
      <c r="R295">
        <v>4.2827274999999998E-3</v>
      </c>
      <c r="W295" t="s">
        <v>1577</v>
      </c>
      <c r="X295" t="s">
        <v>1578</v>
      </c>
      <c r="Y295">
        <v>18100204011103</v>
      </c>
      <c r="AA295" t="s">
        <v>1465</v>
      </c>
      <c r="AB295" t="s">
        <v>263</v>
      </c>
    </row>
    <row r="296" spans="1:28" x14ac:dyDescent="0.25">
      <c r="A296">
        <v>2017</v>
      </c>
      <c r="C296" t="s">
        <v>1026</v>
      </c>
      <c r="D296" t="s">
        <v>1579</v>
      </c>
      <c r="E296" t="s">
        <v>1027</v>
      </c>
      <c r="F296" t="s">
        <v>349</v>
      </c>
      <c r="G296">
        <v>63353</v>
      </c>
      <c r="H296">
        <v>39.423425000000002</v>
      </c>
      <c r="I296">
        <v>-91.025666000000001</v>
      </c>
      <c r="K296">
        <v>110054612558</v>
      </c>
      <c r="M296">
        <v>2869</v>
      </c>
      <c r="R296">
        <v>5.7936507936507897E-2</v>
      </c>
      <c r="W296" t="s">
        <v>1580</v>
      </c>
      <c r="X296" t="s">
        <v>1581</v>
      </c>
      <c r="Y296">
        <v>7110004000345</v>
      </c>
      <c r="AA296" t="s">
        <v>1465</v>
      </c>
      <c r="AB296" t="s">
        <v>1466</v>
      </c>
    </row>
    <row r="297" spans="1:28" x14ac:dyDescent="0.25">
      <c r="A297">
        <v>2017</v>
      </c>
      <c r="C297" t="s">
        <v>1032</v>
      </c>
      <c r="D297" t="s">
        <v>1590</v>
      </c>
      <c r="E297" t="s">
        <v>1033</v>
      </c>
      <c r="F297" t="s">
        <v>324</v>
      </c>
      <c r="G297">
        <v>41008</v>
      </c>
      <c r="H297">
        <v>38.627777999999999</v>
      </c>
      <c r="I297">
        <v>-85.115832999999995</v>
      </c>
      <c r="K297">
        <v>110015632216</v>
      </c>
      <c r="M297">
        <v>4952</v>
      </c>
      <c r="R297">
        <v>3.1740536874999998</v>
      </c>
      <c r="W297" t="s">
        <v>1591</v>
      </c>
      <c r="X297" t="s">
        <v>1592</v>
      </c>
      <c r="Y297">
        <v>5100205000002</v>
      </c>
      <c r="AA297" t="s">
        <v>1465</v>
      </c>
      <c r="AB297" t="s">
        <v>263</v>
      </c>
    </row>
    <row r="298" spans="1:28" x14ac:dyDescent="0.25">
      <c r="A298">
        <v>2017</v>
      </c>
      <c r="C298" t="s">
        <v>1034</v>
      </c>
      <c r="D298" t="s">
        <v>1594</v>
      </c>
      <c r="E298" t="s">
        <v>1035</v>
      </c>
      <c r="F298" t="s">
        <v>374</v>
      </c>
      <c r="G298" t="s">
        <v>1595</v>
      </c>
      <c r="H298">
        <v>32.9011</v>
      </c>
      <c r="I298">
        <v>-111.78749999999999</v>
      </c>
      <c r="K298">
        <v>110022287210</v>
      </c>
      <c r="M298">
        <v>4952</v>
      </c>
      <c r="R298">
        <v>12.323202999999999</v>
      </c>
      <c r="W298" t="s">
        <v>1596</v>
      </c>
      <c r="Y298">
        <v>15040005001144</v>
      </c>
      <c r="AA298" t="s">
        <v>1465</v>
      </c>
      <c r="AB298" t="s">
        <v>263</v>
      </c>
    </row>
    <row r="299" spans="1:28" x14ac:dyDescent="0.25">
      <c r="A299">
        <v>2017</v>
      </c>
      <c r="C299" t="s">
        <v>1037</v>
      </c>
      <c r="D299" t="s">
        <v>1601</v>
      </c>
      <c r="E299" t="s">
        <v>987</v>
      </c>
      <c r="F299" t="s">
        <v>324</v>
      </c>
      <c r="G299">
        <v>40291</v>
      </c>
      <c r="H299">
        <v>38.122354000000001</v>
      </c>
      <c r="I299">
        <v>-85.587648000000002</v>
      </c>
      <c r="K299">
        <v>110043485421</v>
      </c>
      <c r="M299">
        <v>4952</v>
      </c>
      <c r="R299">
        <v>15.9462523125</v>
      </c>
      <c r="W299" t="s">
        <v>1602</v>
      </c>
      <c r="X299" t="s">
        <v>1603</v>
      </c>
      <c r="Y299">
        <v>5140102000566</v>
      </c>
      <c r="AA299" t="s">
        <v>1465</v>
      </c>
      <c r="AB299" t="s">
        <v>263</v>
      </c>
    </row>
    <row r="300" spans="1:28" x14ac:dyDescent="0.25">
      <c r="A300">
        <v>2017</v>
      </c>
      <c r="C300" t="s">
        <v>119</v>
      </c>
      <c r="D300" t="s">
        <v>380</v>
      </c>
      <c r="E300" t="s">
        <v>381</v>
      </c>
      <c r="F300" t="s">
        <v>338</v>
      </c>
      <c r="G300">
        <v>8014</v>
      </c>
      <c r="H300">
        <v>39.799250000000001</v>
      </c>
      <c r="I300">
        <v>-75.33296</v>
      </c>
      <c r="K300">
        <v>110009721836</v>
      </c>
      <c r="M300">
        <v>4213</v>
      </c>
      <c r="R300">
        <v>4.1146337207314199E-2</v>
      </c>
      <c r="W300" t="s">
        <v>806</v>
      </c>
      <c r="X300" t="s">
        <v>807</v>
      </c>
      <c r="Y300">
        <v>2040202002003</v>
      </c>
      <c r="AA300" t="s">
        <v>1465</v>
      </c>
      <c r="AB300" t="s">
        <v>1466</v>
      </c>
    </row>
    <row r="301" spans="1:28" x14ac:dyDescent="0.25">
      <c r="A301">
        <v>2017</v>
      </c>
      <c r="C301" t="s">
        <v>1042</v>
      </c>
      <c r="D301" t="s">
        <v>1612</v>
      </c>
      <c r="E301" t="s">
        <v>1043</v>
      </c>
      <c r="F301" t="s">
        <v>345</v>
      </c>
      <c r="G301" t="s">
        <v>1613</v>
      </c>
      <c r="H301">
        <v>42.468611000000003</v>
      </c>
      <c r="I301">
        <v>-89.065550000000002</v>
      </c>
      <c r="J301" t="s">
        <v>708</v>
      </c>
      <c r="K301">
        <v>110000500459</v>
      </c>
      <c r="M301">
        <v>4225</v>
      </c>
      <c r="R301">
        <v>0.11565446</v>
      </c>
      <c r="W301" t="s">
        <v>1614</v>
      </c>
      <c r="X301" t="s">
        <v>1615</v>
      </c>
      <c r="Y301">
        <v>7090002008421</v>
      </c>
      <c r="AA301" t="s">
        <v>1465</v>
      </c>
      <c r="AB301" t="s">
        <v>1466</v>
      </c>
    </row>
    <row r="302" spans="1:28" x14ac:dyDescent="0.25">
      <c r="A302">
        <v>2017</v>
      </c>
      <c r="C302" t="s">
        <v>1044</v>
      </c>
      <c r="D302" t="s">
        <v>1617</v>
      </c>
      <c r="E302" t="s">
        <v>1045</v>
      </c>
      <c r="F302" t="s">
        <v>427</v>
      </c>
      <c r="G302" t="s">
        <v>1618</v>
      </c>
      <c r="H302">
        <v>42.592550000000003</v>
      </c>
      <c r="I302">
        <v>-83.889930000000007</v>
      </c>
      <c r="K302">
        <v>110000408265</v>
      </c>
      <c r="M302">
        <v>2899</v>
      </c>
      <c r="R302">
        <v>7.7366781524999999E-3</v>
      </c>
      <c r="W302" t="s">
        <v>1619</v>
      </c>
      <c r="X302" t="s">
        <v>1620</v>
      </c>
      <c r="Y302">
        <v>4080203000602</v>
      </c>
      <c r="AA302" t="s">
        <v>1465</v>
      </c>
      <c r="AB302" t="s">
        <v>1466</v>
      </c>
    </row>
    <row r="303" spans="1:28" x14ac:dyDescent="0.25">
      <c r="A303">
        <v>2017</v>
      </c>
      <c r="C303" t="s">
        <v>1048</v>
      </c>
      <c r="D303" t="s">
        <v>1625</v>
      </c>
      <c r="E303" t="s">
        <v>1049</v>
      </c>
      <c r="F303" t="s">
        <v>1050</v>
      </c>
      <c r="G303">
        <v>59404</v>
      </c>
      <c r="H303">
        <v>47.52131</v>
      </c>
      <c r="I303">
        <v>-111.29958000000001</v>
      </c>
      <c r="K303">
        <v>110064645460</v>
      </c>
      <c r="M303">
        <v>4952</v>
      </c>
      <c r="R303">
        <v>3.3764575087500002</v>
      </c>
      <c r="W303" t="s">
        <v>1626</v>
      </c>
      <c r="X303" t="s">
        <v>1627</v>
      </c>
      <c r="Y303">
        <v>10030102000105</v>
      </c>
      <c r="AA303" t="s">
        <v>1465</v>
      </c>
      <c r="AB303" t="s">
        <v>1466</v>
      </c>
    </row>
    <row r="304" spans="1:28" x14ac:dyDescent="0.25">
      <c r="A304">
        <v>2017</v>
      </c>
      <c r="C304" t="s">
        <v>1058</v>
      </c>
      <c r="D304" t="s">
        <v>1638</v>
      </c>
      <c r="E304" t="s">
        <v>1059</v>
      </c>
      <c r="F304" t="s">
        <v>374</v>
      </c>
      <c r="G304">
        <v>85350</v>
      </c>
      <c r="H304">
        <v>32.589804000000001</v>
      </c>
      <c r="I304">
        <v>-114.726901</v>
      </c>
      <c r="K304">
        <v>110006785229</v>
      </c>
      <c r="M304">
        <v>4952</v>
      </c>
      <c r="R304">
        <v>1.178440825</v>
      </c>
      <c r="W304" t="s">
        <v>1639</v>
      </c>
      <c r="Y304">
        <v>15070102000451</v>
      </c>
      <c r="AA304" t="s">
        <v>1465</v>
      </c>
      <c r="AB304" t="s">
        <v>1466</v>
      </c>
    </row>
    <row r="305" spans="1:28" x14ac:dyDescent="0.25">
      <c r="A305">
        <v>2017</v>
      </c>
      <c r="C305" t="s">
        <v>1060</v>
      </c>
      <c r="D305" t="s">
        <v>1640</v>
      </c>
      <c r="E305" t="s">
        <v>657</v>
      </c>
      <c r="F305" t="s">
        <v>418</v>
      </c>
      <c r="G305">
        <v>89155</v>
      </c>
      <c r="H305">
        <v>36.166969999999999</v>
      </c>
      <c r="I305">
        <v>-115.14576</v>
      </c>
      <c r="K305">
        <v>110009001828</v>
      </c>
      <c r="M305">
        <v>9211</v>
      </c>
      <c r="R305">
        <v>1.9819647833333301E-2</v>
      </c>
      <c r="W305" t="s">
        <v>1641</v>
      </c>
      <c r="X305" t="s">
        <v>1642</v>
      </c>
      <c r="Y305">
        <v>15010015000125</v>
      </c>
      <c r="AA305" t="s">
        <v>1465</v>
      </c>
      <c r="AB305" t="s">
        <v>1466</v>
      </c>
    </row>
    <row r="306" spans="1:28" x14ac:dyDescent="0.25">
      <c r="A306">
        <v>2017</v>
      </c>
      <c r="C306" t="s">
        <v>1061</v>
      </c>
      <c r="D306" t="s">
        <v>1643</v>
      </c>
      <c r="E306" t="s">
        <v>1062</v>
      </c>
      <c r="F306" t="s">
        <v>366</v>
      </c>
      <c r="G306">
        <v>92008</v>
      </c>
      <c r="H306">
        <v>33.139895000000003</v>
      </c>
      <c r="I306">
        <v>-117.339645</v>
      </c>
      <c r="K306">
        <v>110027363252</v>
      </c>
      <c r="M306">
        <v>4941</v>
      </c>
      <c r="R306">
        <v>8.9083608600000002</v>
      </c>
      <c r="W306" t="s">
        <v>1644</v>
      </c>
      <c r="X306" t="s">
        <v>926</v>
      </c>
      <c r="Y306">
        <v>18070303000019</v>
      </c>
      <c r="AA306" t="s">
        <v>1465</v>
      </c>
      <c r="AB306" t="s">
        <v>1466</v>
      </c>
    </row>
    <row r="307" spans="1:28" x14ac:dyDescent="0.25">
      <c r="A307">
        <v>2017</v>
      </c>
      <c r="C307" t="s">
        <v>1065</v>
      </c>
      <c r="D307" t="s">
        <v>1648</v>
      </c>
      <c r="E307" t="s">
        <v>1066</v>
      </c>
      <c r="F307" t="s">
        <v>324</v>
      </c>
      <c r="G307">
        <v>42728</v>
      </c>
      <c r="H307">
        <v>37.105556</v>
      </c>
      <c r="I307">
        <v>-85.304167000000007</v>
      </c>
      <c r="K307">
        <v>110009696356</v>
      </c>
      <c r="M307">
        <v>4952</v>
      </c>
      <c r="R307">
        <v>2.6343954843750002</v>
      </c>
      <c r="W307" t="s">
        <v>1649</v>
      </c>
      <c r="X307" t="s">
        <v>1650</v>
      </c>
      <c r="Y307">
        <v>5110001000213</v>
      </c>
      <c r="AA307" t="s">
        <v>1465</v>
      </c>
      <c r="AB307" t="s">
        <v>263</v>
      </c>
    </row>
    <row r="308" spans="1:28" x14ac:dyDescent="0.25">
      <c r="A308">
        <v>2017</v>
      </c>
      <c r="C308" t="s">
        <v>1069</v>
      </c>
      <c r="D308" t="s">
        <v>1656</v>
      </c>
      <c r="E308" t="s">
        <v>1070</v>
      </c>
      <c r="F308" t="s">
        <v>338</v>
      </c>
      <c r="G308">
        <v>79302221</v>
      </c>
      <c r="H308">
        <v>40.798532000000002</v>
      </c>
      <c r="I308">
        <v>-74.701402000000002</v>
      </c>
      <c r="K308">
        <v>110000616049</v>
      </c>
      <c r="M308">
        <v>1799</v>
      </c>
      <c r="R308">
        <v>3.9957298750000004E-3</v>
      </c>
      <c r="W308" t="s">
        <v>1657</v>
      </c>
      <c r="X308" t="s">
        <v>1658</v>
      </c>
      <c r="Y308">
        <v>2030105000068</v>
      </c>
      <c r="AA308" t="s">
        <v>1465</v>
      </c>
      <c r="AB308" t="s">
        <v>1466</v>
      </c>
    </row>
    <row r="309" spans="1:28" x14ac:dyDescent="0.25">
      <c r="A309">
        <v>2017</v>
      </c>
      <c r="C309" t="s">
        <v>1079</v>
      </c>
      <c r="D309" t="s">
        <v>1673</v>
      </c>
      <c r="E309" t="s">
        <v>381</v>
      </c>
      <c r="F309" t="s">
        <v>338</v>
      </c>
      <c r="G309">
        <v>8014</v>
      </c>
      <c r="H309">
        <v>39.80142</v>
      </c>
      <c r="I309">
        <v>-75.354990000000001</v>
      </c>
      <c r="J309" t="s">
        <v>710</v>
      </c>
      <c r="K309">
        <v>110000582003</v>
      </c>
      <c r="M309">
        <v>2869</v>
      </c>
      <c r="R309">
        <v>0.59</v>
      </c>
      <c r="W309" t="s">
        <v>1674</v>
      </c>
      <c r="X309" t="s">
        <v>1675</v>
      </c>
      <c r="Y309">
        <v>2040202001854</v>
      </c>
      <c r="AA309" t="s">
        <v>1465</v>
      </c>
      <c r="AB309" t="s">
        <v>1466</v>
      </c>
    </row>
    <row r="310" spans="1:28" x14ac:dyDescent="0.25">
      <c r="A310">
        <v>2017</v>
      </c>
      <c r="C310" t="s">
        <v>1682</v>
      </c>
      <c r="D310" t="s">
        <v>501</v>
      </c>
      <c r="E310" t="s">
        <v>502</v>
      </c>
      <c r="F310" t="s">
        <v>303</v>
      </c>
      <c r="G310">
        <v>70058</v>
      </c>
      <c r="H310">
        <v>29.910609999999998</v>
      </c>
      <c r="I310">
        <v>-90.085269999999994</v>
      </c>
      <c r="K310">
        <v>110070117180</v>
      </c>
      <c r="M310">
        <v>4226</v>
      </c>
      <c r="R310">
        <v>1.4353477E-2</v>
      </c>
      <c r="W310" t="s">
        <v>873</v>
      </c>
      <c r="Y310">
        <v>8090100000658</v>
      </c>
      <c r="AA310" t="s">
        <v>1465</v>
      </c>
      <c r="AB310" t="s">
        <v>1466</v>
      </c>
    </row>
    <row r="311" spans="1:28" x14ac:dyDescent="0.25">
      <c r="A311">
        <v>2017</v>
      </c>
      <c r="C311" t="s">
        <v>1682</v>
      </c>
      <c r="D311" t="s">
        <v>501</v>
      </c>
      <c r="E311" t="s">
        <v>502</v>
      </c>
      <c r="F311" t="s">
        <v>303</v>
      </c>
      <c r="G311">
        <v>70058</v>
      </c>
      <c r="H311">
        <v>29.910609999999998</v>
      </c>
      <c r="I311">
        <v>-90.085269999999994</v>
      </c>
      <c r="K311">
        <v>110070117180</v>
      </c>
      <c r="M311">
        <v>4226</v>
      </c>
      <c r="R311">
        <v>2.5923275749999999E-2</v>
      </c>
      <c r="W311" t="s">
        <v>873</v>
      </c>
      <c r="Y311">
        <v>8090100000658</v>
      </c>
      <c r="AA311" t="s">
        <v>1465</v>
      </c>
      <c r="AB311" t="s">
        <v>1466</v>
      </c>
    </row>
    <row r="312" spans="1:28" x14ac:dyDescent="0.25">
      <c r="A312">
        <v>2017</v>
      </c>
      <c r="C312" t="s">
        <v>136</v>
      </c>
      <c r="D312" t="s">
        <v>440</v>
      </c>
      <c r="E312" t="s">
        <v>441</v>
      </c>
      <c r="F312" t="s">
        <v>338</v>
      </c>
      <c r="G312" t="s">
        <v>442</v>
      </c>
      <c r="H312">
        <v>40.843611000000003</v>
      </c>
      <c r="I312">
        <v>-75.066389000000001</v>
      </c>
      <c r="J312" t="s">
        <v>443</v>
      </c>
      <c r="K312">
        <v>110040963286</v>
      </c>
      <c r="M312">
        <v>2833</v>
      </c>
      <c r="R312">
        <v>3.2528293027999999</v>
      </c>
      <c r="W312" t="s">
        <v>837</v>
      </c>
      <c r="X312" t="s">
        <v>838</v>
      </c>
      <c r="Y312">
        <v>2040105000142</v>
      </c>
      <c r="AA312" t="s">
        <v>1465</v>
      </c>
      <c r="AB312" t="s">
        <v>1466</v>
      </c>
    </row>
    <row r="313" spans="1:28" x14ac:dyDescent="0.25">
      <c r="A313">
        <v>2017</v>
      </c>
      <c r="C313" t="s">
        <v>1089</v>
      </c>
      <c r="D313" t="s">
        <v>1703</v>
      </c>
      <c r="E313" t="s">
        <v>1090</v>
      </c>
      <c r="F313" t="s">
        <v>324</v>
      </c>
      <c r="G313">
        <v>42038</v>
      </c>
      <c r="H313">
        <v>37.075277999999997</v>
      </c>
      <c r="I313">
        <v>-88.09</v>
      </c>
      <c r="K313">
        <v>110009938719</v>
      </c>
      <c r="M313">
        <v>4952</v>
      </c>
      <c r="R313">
        <v>1.1432119375000001</v>
      </c>
      <c r="W313" t="s">
        <v>1704</v>
      </c>
      <c r="X313" t="s">
        <v>1705</v>
      </c>
      <c r="Y313">
        <v>5130205000794</v>
      </c>
      <c r="AA313" t="s">
        <v>1465</v>
      </c>
      <c r="AB313" t="s">
        <v>263</v>
      </c>
    </row>
    <row r="314" spans="1:28" x14ac:dyDescent="0.25">
      <c r="A314">
        <v>2017</v>
      </c>
      <c r="C314" t="s">
        <v>1095</v>
      </c>
      <c r="D314" t="s">
        <v>1714</v>
      </c>
      <c r="E314" t="s">
        <v>1096</v>
      </c>
      <c r="F314" t="s">
        <v>450</v>
      </c>
      <c r="G314">
        <v>14132</v>
      </c>
      <c r="H314">
        <v>43.129750000000001</v>
      </c>
      <c r="I314">
        <v>-78.939679999999996</v>
      </c>
      <c r="K314">
        <v>110000737365</v>
      </c>
      <c r="M314">
        <v>9511</v>
      </c>
      <c r="R314">
        <v>0.123411616137999</v>
      </c>
      <c r="W314" t="s">
        <v>1715</v>
      </c>
      <c r="X314" t="s">
        <v>1716</v>
      </c>
      <c r="Y314">
        <v>4120104000390</v>
      </c>
      <c r="AA314" t="s">
        <v>1465</v>
      </c>
      <c r="AB314" t="s">
        <v>1466</v>
      </c>
    </row>
    <row r="315" spans="1:28" x14ac:dyDescent="0.25">
      <c r="A315">
        <v>2017</v>
      </c>
      <c r="C315" t="s">
        <v>1097</v>
      </c>
      <c r="D315" t="s">
        <v>1718</v>
      </c>
      <c r="E315" t="s">
        <v>1098</v>
      </c>
      <c r="F315" t="s">
        <v>324</v>
      </c>
      <c r="G315" t="s">
        <v>1719</v>
      </c>
      <c r="H315">
        <v>38.643056000000001</v>
      </c>
      <c r="I315">
        <v>-83.740278000000004</v>
      </c>
      <c r="K315">
        <v>110000379787</v>
      </c>
      <c r="M315">
        <v>3566</v>
      </c>
      <c r="R315">
        <v>0.39331827499999999</v>
      </c>
      <c r="W315" t="s">
        <v>1720</v>
      </c>
      <c r="X315" t="s">
        <v>1721</v>
      </c>
      <c r="Y315">
        <v>5090201002312</v>
      </c>
      <c r="AA315" t="s">
        <v>1465</v>
      </c>
      <c r="AB315" t="s">
        <v>1466</v>
      </c>
    </row>
    <row r="316" spans="1:28" x14ac:dyDescent="0.25">
      <c r="A316">
        <v>2017</v>
      </c>
      <c r="C316" t="s">
        <v>1099</v>
      </c>
      <c r="D316" t="s">
        <v>1723</v>
      </c>
      <c r="E316" t="s">
        <v>1100</v>
      </c>
      <c r="F316" t="s">
        <v>1101</v>
      </c>
      <c r="G316">
        <v>0</v>
      </c>
      <c r="H316">
        <v>37.041677</v>
      </c>
      <c r="I316">
        <v>-109.500685</v>
      </c>
      <c r="K316">
        <v>110010134185</v>
      </c>
      <c r="M316">
        <v>1311</v>
      </c>
      <c r="R316">
        <v>1.9632794999999998E-3</v>
      </c>
      <c r="W316" t="s">
        <v>1724</v>
      </c>
      <c r="X316" t="s">
        <v>1725</v>
      </c>
      <c r="Y316">
        <v>14080201000184</v>
      </c>
      <c r="AA316" t="s">
        <v>1465</v>
      </c>
      <c r="AB316" t="s">
        <v>1466</v>
      </c>
    </row>
    <row r="317" spans="1:28" x14ac:dyDescent="0.25">
      <c r="A317">
        <v>2017</v>
      </c>
      <c r="C317" t="s">
        <v>1099</v>
      </c>
      <c r="D317" t="s">
        <v>1723</v>
      </c>
      <c r="E317" t="s">
        <v>1100</v>
      </c>
      <c r="F317" t="s">
        <v>1101</v>
      </c>
      <c r="G317">
        <v>0</v>
      </c>
      <c r="H317">
        <v>37.041677</v>
      </c>
      <c r="I317">
        <v>-109.500685</v>
      </c>
      <c r="K317">
        <v>110010134185</v>
      </c>
      <c r="M317">
        <v>1311</v>
      </c>
      <c r="R317">
        <v>6.5442650000000001E-4</v>
      </c>
      <c r="W317" t="s">
        <v>1724</v>
      </c>
      <c r="X317" t="s">
        <v>1725</v>
      </c>
      <c r="Y317">
        <v>14080201000184</v>
      </c>
      <c r="AA317" t="s">
        <v>1465</v>
      </c>
      <c r="AB317" t="s">
        <v>1466</v>
      </c>
    </row>
    <row r="318" spans="1:28" x14ac:dyDescent="0.25">
      <c r="A318">
        <v>2017</v>
      </c>
      <c r="C318" t="s">
        <v>1102</v>
      </c>
      <c r="D318" t="s">
        <v>1726</v>
      </c>
      <c r="E318" t="s">
        <v>1103</v>
      </c>
      <c r="F318" t="s">
        <v>345</v>
      </c>
      <c r="G318" t="s">
        <v>1727</v>
      </c>
      <c r="H318">
        <v>41.412897000000001</v>
      </c>
      <c r="I318">
        <v>-88.329773000000003</v>
      </c>
      <c r="J318" t="s">
        <v>712</v>
      </c>
      <c r="K318">
        <v>110000433013</v>
      </c>
      <c r="M318">
        <v>2821</v>
      </c>
      <c r="R318">
        <v>1.2517006802721</v>
      </c>
      <c r="W318" t="s">
        <v>1728</v>
      </c>
      <c r="X318" t="s">
        <v>1729</v>
      </c>
      <c r="Y318">
        <v>7120005000248</v>
      </c>
      <c r="AA318" t="s">
        <v>1465</v>
      </c>
      <c r="AB318" t="s">
        <v>1466</v>
      </c>
    </row>
    <row r="319" spans="1:28" x14ac:dyDescent="0.25">
      <c r="A319">
        <v>2017</v>
      </c>
      <c r="C319" t="s">
        <v>1102</v>
      </c>
      <c r="D319" t="s">
        <v>1726</v>
      </c>
      <c r="E319" t="s">
        <v>1103</v>
      </c>
      <c r="F319" t="s">
        <v>345</v>
      </c>
      <c r="G319" t="s">
        <v>1727</v>
      </c>
      <c r="H319">
        <v>41.412897000000001</v>
      </c>
      <c r="I319">
        <v>-88.329773000000003</v>
      </c>
      <c r="J319" t="s">
        <v>712</v>
      </c>
      <c r="K319">
        <v>110000433013</v>
      </c>
      <c r="M319">
        <v>2821</v>
      </c>
      <c r="R319">
        <v>0.37551020408163199</v>
      </c>
      <c r="W319" t="s">
        <v>1728</v>
      </c>
      <c r="X319" t="s">
        <v>1729</v>
      </c>
      <c r="Y319">
        <v>7120005000248</v>
      </c>
      <c r="AA319" t="s">
        <v>1465</v>
      </c>
      <c r="AB319" t="s">
        <v>1466</v>
      </c>
    </row>
    <row r="320" spans="1:28" x14ac:dyDescent="0.25">
      <c r="A320">
        <v>2017</v>
      </c>
      <c r="C320" t="s">
        <v>1104</v>
      </c>
      <c r="D320" t="s">
        <v>1731</v>
      </c>
      <c r="E320" t="s">
        <v>446</v>
      </c>
      <c r="F320" t="s">
        <v>303</v>
      </c>
      <c r="G320">
        <v>70669</v>
      </c>
      <c r="H320">
        <v>30.193916000000002</v>
      </c>
      <c r="I320">
        <v>-93.321347000000003</v>
      </c>
      <c r="J320" t="s">
        <v>713</v>
      </c>
      <c r="K320">
        <v>110000597266</v>
      </c>
      <c r="M320">
        <v>2821</v>
      </c>
      <c r="R320">
        <v>0.82766439909296996</v>
      </c>
      <c r="W320" t="s">
        <v>1732</v>
      </c>
      <c r="X320">
        <v>315</v>
      </c>
      <c r="Y320">
        <v>8080206000583</v>
      </c>
      <c r="AA320" t="s">
        <v>1465</v>
      </c>
      <c r="AB320" t="s">
        <v>1466</v>
      </c>
    </row>
    <row r="321" spans="1:28" x14ac:dyDescent="0.25">
      <c r="A321">
        <v>2017</v>
      </c>
      <c r="C321" t="s">
        <v>1105</v>
      </c>
      <c r="D321" t="s">
        <v>1735</v>
      </c>
      <c r="E321" t="s">
        <v>1106</v>
      </c>
      <c r="F321" t="s">
        <v>345</v>
      </c>
      <c r="G321">
        <v>61953</v>
      </c>
      <c r="H321">
        <v>39.795811999999998</v>
      </c>
      <c r="I321">
        <v>-88.347945999999993</v>
      </c>
      <c r="J321" t="s">
        <v>714</v>
      </c>
      <c r="K321">
        <v>110000746211</v>
      </c>
      <c r="M321">
        <v>2869</v>
      </c>
      <c r="R321">
        <v>9.26984126984126</v>
      </c>
      <c r="W321" t="s">
        <v>1736</v>
      </c>
      <c r="X321" t="s">
        <v>1737</v>
      </c>
      <c r="Y321">
        <v>7140201000696</v>
      </c>
      <c r="AA321" t="s">
        <v>1465</v>
      </c>
      <c r="AB321" t="s">
        <v>1466</v>
      </c>
    </row>
    <row r="322" spans="1:28" x14ac:dyDescent="0.25">
      <c r="A322">
        <v>2017</v>
      </c>
      <c r="C322" t="s">
        <v>144</v>
      </c>
      <c r="D322" t="s">
        <v>467</v>
      </c>
      <c r="E322" t="s">
        <v>302</v>
      </c>
      <c r="F322" t="s">
        <v>303</v>
      </c>
      <c r="G322">
        <v>70805</v>
      </c>
      <c r="H322">
        <v>30.494948000000001</v>
      </c>
      <c r="I322">
        <v>-91.178173999999999</v>
      </c>
      <c r="K322">
        <v>110001143584</v>
      </c>
      <c r="M322">
        <v>2869</v>
      </c>
      <c r="R322">
        <v>0.29991961499999997</v>
      </c>
      <c r="W322" t="s">
        <v>852</v>
      </c>
      <c r="X322">
        <v>701</v>
      </c>
      <c r="Y322">
        <v>8070201006480</v>
      </c>
      <c r="AA322" t="s">
        <v>1465</v>
      </c>
      <c r="AB322" t="s">
        <v>1466</v>
      </c>
    </row>
    <row r="323" spans="1:28" x14ac:dyDescent="0.25">
      <c r="A323">
        <v>2017</v>
      </c>
      <c r="C323" t="s">
        <v>144</v>
      </c>
      <c r="D323" t="s">
        <v>467</v>
      </c>
      <c r="E323" t="s">
        <v>302</v>
      </c>
      <c r="F323" t="s">
        <v>303</v>
      </c>
      <c r="G323">
        <v>70805</v>
      </c>
      <c r="H323">
        <v>30.494948000000001</v>
      </c>
      <c r="I323">
        <v>-91.178173999999999</v>
      </c>
      <c r="K323">
        <v>110001143584</v>
      </c>
      <c r="M323">
        <v>2869</v>
      </c>
      <c r="R323">
        <v>4.5922443610000002E-2</v>
      </c>
      <c r="W323" t="s">
        <v>852</v>
      </c>
      <c r="X323">
        <v>701</v>
      </c>
      <c r="Y323">
        <v>8070201006480</v>
      </c>
      <c r="AA323" t="s">
        <v>1465</v>
      </c>
      <c r="AB323" t="s">
        <v>1466</v>
      </c>
    </row>
    <row r="324" spans="1:28" x14ac:dyDescent="0.25">
      <c r="A324">
        <v>2017</v>
      </c>
      <c r="C324" t="s">
        <v>145</v>
      </c>
      <c r="D324" t="s">
        <v>468</v>
      </c>
      <c r="E324" t="s">
        <v>314</v>
      </c>
      <c r="F324" t="s">
        <v>469</v>
      </c>
      <c r="G324">
        <v>479099201</v>
      </c>
      <c r="H324">
        <v>40.390543999999998</v>
      </c>
      <c r="I324">
        <v>-86.936173999999994</v>
      </c>
      <c r="J324" t="s">
        <v>470</v>
      </c>
      <c r="K324">
        <v>110000404296</v>
      </c>
      <c r="M324">
        <v>2833</v>
      </c>
      <c r="R324">
        <v>0.12529705215419501</v>
      </c>
      <c r="W324" t="s">
        <v>853</v>
      </c>
      <c r="X324" t="s">
        <v>854</v>
      </c>
      <c r="Y324">
        <v>5120108000208</v>
      </c>
      <c r="AA324" t="s">
        <v>1465</v>
      </c>
      <c r="AB324" t="s">
        <v>1466</v>
      </c>
    </row>
    <row r="325" spans="1:28" x14ac:dyDescent="0.25">
      <c r="A325">
        <v>2017</v>
      </c>
      <c r="C325" t="s">
        <v>146</v>
      </c>
      <c r="D325" t="s">
        <v>471</v>
      </c>
      <c r="E325" t="s">
        <v>472</v>
      </c>
      <c r="F325" t="s">
        <v>450</v>
      </c>
      <c r="G325">
        <v>11222</v>
      </c>
      <c r="H325">
        <v>40.73095</v>
      </c>
      <c r="I325">
        <v>-73.942520000000002</v>
      </c>
      <c r="K325">
        <v>110037107154</v>
      </c>
      <c r="M325">
        <v>4959</v>
      </c>
      <c r="R325">
        <v>0.36439377812500001</v>
      </c>
      <c r="W325" t="s">
        <v>855</v>
      </c>
      <c r="X325" t="s">
        <v>856</v>
      </c>
      <c r="Y325">
        <v>2030101001969</v>
      </c>
      <c r="AA325" t="s">
        <v>1465</v>
      </c>
      <c r="AB325" t="s">
        <v>1466</v>
      </c>
    </row>
    <row r="326" spans="1:28" x14ac:dyDescent="0.25">
      <c r="A326">
        <v>2017</v>
      </c>
      <c r="C326" t="s">
        <v>1109</v>
      </c>
      <c r="D326" t="s">
        <v>1748</v>
      </c>
      <c r="E326" t="s">
        <v>1110</v>
      </c>
      <c r="F326" t="s">
        <v>338</v>
      </c>
      <c r="G326">
        <v>8536</v>
      </c>
      <c r="H326">
        <v>40.331944</v>
      </c>
      <c r="I326">
        <v>-74.619721999999996</v>
      </c>
      <c r="K326">
        <v>110000321651</v>
      </c>
      <c r="M326">
        <v>2869</v>
      </c>
      <c r="R326">
        <v>1.7049999999999999E-3</v>
      </c>
      <c r="W326" t="s">
        <v>1749</v>
      </c>
      <c r="X326" t="s">
        <v>1750</v>
      </c>
      <c r="Y326">
        <v>2060002000003</v>
      </c>
      <c r="AA326" t="s">
        <v>1465</v>
      </c>
      <c r="AB326" t="s">
        <v>1466</v>
      </c>
    </row>
    <row r="327" spans="1:28" x14ac:dyDescent="0.25">
      <c r="A327">
        <v>2017</v>
      </c>
      <c r="C327" t="s">
        <v>1111</v>
      </c>
      <c r="D327" t="s">
        <v>1753</v>
      </c>
      <c r="E327" t="s">
        <v>1112</v>
      </c>
      <c r="F327" t="s">
        <v>338</v>
      </c>
      <c r="G327">
        <v>7410</v>
      </c>
      <c r="H327">
        <v>40.9375</v>
      </c>
      <c r="I327">
        <v>-74.131939000000003</v>
      </c>
      <c r="J327" t="s">
        <v>715</v>
      </c>
      <c r="K327">
        <v>110000319904</v>
      </c>
      <c r="M327">
        <v>2899</v>
      </c>
      <c r="R327">
        <v>8.15005125E-3</v>
      </c>
      <c r="W327" t="s">
        <v>1754</v>
      </c>
      <c r="X327" t="s">
        <v>1755</v>
      </c>
      <c r="Y327">
        <v>2030103000370</v>
      </c>
      <c r="AA327" t="s">
        <v>1465</v>
      </c>
      <c r="AB327" t="s">
        <v>1466</v>
      </c>
    </row>
    <row r="328" spans="1:28" x14ac:dyDescent="0.25">
      <c r="A328">
        <v>2017</v>
      </c>
      <c r="C328" t="s">
        <v>1115</v>
      </c>
      <c r="D328" t="s">
        <v>1762</v>
      </c>
      <c r="E328" t="s">
        <v>987</v>
      </c>
      <c r="F328" t="s">
        <v>324</v>
      </c>
      <c r="G328">
        <v>40245</v>
      </c>
      <c r="H328">
        <v>38.236699999999999</v>
      </c>
      <c r="I328">
        <v>-85.466710000000006</v>
      </c>
      <c r="K328">
        <v>110043486457</v>
      </c>
      <c r="M328">
        <v>4952</v>
      </c>
      <c r="R328">
        <v>9.8779037499999998</v>
      </c>
      <c r="W328" t="s">
        <v>1763</v>
      </c>
      <c r="X328" t="s">
        <v>1764</v>
      </c>
      <c r="Y328">
        <v>5140102000235</v>
      </c>
      <c r="AA328" t="s">
        <v>1465</v>
      </c>
      <c r="AB328" t="s">
        <v>263</v>
      </c>
    </row>
    <row r="329" spans="1:28" x14ac:dyDescent="0.25">
      <c r="A329">
        <v>2017</v>
      </c>
      <c r="C329" t="s">
        <v>1118</v>
      </c>
      <c r="D329" t="s">
        <v>1769</v>
      </c>
      <c r="E329" t="s">
        <v>1119</v>
      </c>
      <c r="F329" t="s">
        <v>427</v>
      </c>
      <c r="G329">
        <v>49128</v>
      </c>
      <c r="H329">
        <v>41.775967999999999</v>
      </c>
      <c r="I329">
        <v>-86.654864000000003</v>
      </c>
      <c r="K329">
        <v>110001847761</v>
      </c>
      <c r="M329">
        <v>4953</v>
      </c>
      <c r="R329">
        <v>2.07474775E-2</v>
      </c>
      <c r="W329" t="s">
        <v>1770</v>
      </c>
      <c r="X329" t="s">
        <v>1771</v>
      </c>
      <c r="Y329">
        <v>4040001000153</v>
      </c>
      <c r="AA329" t="s">
        <v>1465</v>
      </c>
      <c r="AB329" t="s">
        <v>1466</v>
      </c>
    </row>
    <row r="330" spans="1:28" x14ac:dyDescent="0.25">
      <c r="A330">
        <v>2017</v>
      </c>
      <c r="C330" t="s">
        <v>1120</v>
      </c>
      <c r="D330" t="s">
        <v>1773</v>
      </c>
      <c r="E330" t="s">
        <v>1121</v>
      </c>
      <c r="F330" t="s">
        <v>338</v>
      </c>
      <c r="G330">
        <v>8832</v>
      </c>
      <c r="H330">
        <v>40.515906999999999</v>
      </c>
      <c r="I330">
        <v>-74.325175999999999</v>
      </c>
      <c r="K330">
        <v>110070215141</v>
      </c>
      <c r="R330">
        <v>4.7552258932499897E-2</v>
      </c>
      <c r="W330" t="s">
        <v>1774</v>
      </c>
      <c r="X330" t="s">
        <v>1775</v>
      </c>
      <c r="Y330">
        <v>2030105000996</v>
      </c>
      <c r="AA330" t="s">
        <v>1465</v>
      </c>
      <c r="AB330" t="s">
        <v>1466</v>
      </c>
    </row>
    <row r="331" spans="1:28" x14ac:dyDescent="0.25">
      <c r="A331">
        <v>2017</v>
      </c>
      <c r="C331" t="s">
        <v>147</v>
      </c>
      <c r="D331" t="s">
        <v>473</v>
      </c>
      <c r="E331" t="s">
        <v>474</v>
      </c>
      <c r="F331" t="s">
        <v>338</v>
      </c>
      <c r="G331">
        <v>7470</v>
      </c>
      <c r="H331">
        <v>40.891950000000001</v>
      </c>
      <c r="I331">
        <v>-74.249369999999999</v>
      </c>
      <c r="K331">
        <v>110070213656</v>
      </c>
      <c r="M331">
        <v>9999</v>
      </c>
      <c r="R331">
        <v>5.3701674624999905E-4</v>
      </c>
      <c r="W331" t="s">
        <v>857</v>
      </c>
      <c r="X331" t="s">
        <v>858</v>
      </c>
      <c r="Y331">
        <v>2030103000043</v>
      </c>
      <c r="AA331" t="s">
        <v>1465</v>
      </c>
      <c r="AB331" t="s">
        <v>1466</v>
      </c>
    </row>
    <row r="332" spans="1:28" x14ac:dyDescent="0.25">
      <c r="A332">
        <v>2017</v>
      </c>
      <c r="C332" t="s">
        <v>148</v>
      </c>
      <c r="D332" t="s">
        <v>476</v>
      </c>
      <c r="E332" t="s">
        <v>477</v>
      </c>
      <c r="F332" t="s">
        <v>478</v>
      </c>
      <c r="G332">
        <v>19706</v>
      </c>
      <c r="H332">
        <v>39.585099999999997</v>
      </c>
      <c r="I332">
        <v>-75.649199999999993</v>
      </c>
      <c r="K332">
        <v>110000338536</v>
      </c>
      <c r="M332">
        <v>2821</v>
      </c>
      <c r="R332">
        <v>0.137165532879818</v>
      </c>
      <c r="W332" t="s">
        <v>859</v>
      </c>
      <c r="X332" t="s">
        <v>783</v>
      </c>
      <c r="Y332">
        <v>2040205000476</v>
      </c>
      <c r="AA332" t="s">
        <v>1465</v>
      </c>
      <c r="AB332" t="s">
        <v>1466</v>
      </c>
    </row>
    <row r="333" spans="1:28" x14ac:dyDescent="0.25">
      <c r="A333">
        <v>2017</v>
      </c>
      <c r="C333" t="s">
        <v>1129</v>
      </c>
      <c r="D333" t="s">
        <v>1792</v>
      </c>
      <c r="E333" t="s">
        <v>1130</v>
      </c>
      <c r="F333" t="s">
        <v>366</v>
      </c>
      <c r="G333">
        <v>93420</v>
      </c>
      <c r="H333">
        <v>35.178620000000002</v>
      </c>
      <c r="I333">
        <v>-120.62067500000001</v>
      </c>
      <c r="K333">
        <v>110037256867</v>
      </c>
      <c r="M333">
        <v>2911</v>
      </c>
      <c r="R333">
        <v>5.2898592250000001E-2</v>
      </c>
      <c r="W333" t="s">
        <v>1793</v>
      </c>
      <c r="X333" t="s">
        <v>1794</v>
      </c>
      <c r="Y333">
        <v>18060006000027</v>
      </c>
      <c r="AA333" t="s">
        <v>1465</v>
      </c>
      <c r="AB333" t="s">
        <v>1466</v>
      </c>
    </row>
    <row r="334" spans="1:28" x14ac:dyDescent="0.25">
      <c r="A334">
        <v>2017</v>
      </c>
      <c r="C334" t="s">
        <v>1134</v>
      </c>
      <c r="D334" t="s">
        <v>1800</v>
      </c>
      <c r="E334" t="s">
        <v>1135</v>
      </c>
      <c r="F334" t="s">
        <v>299</v>
      </c>
      <c r="G334">
        <v>72501</v>
      </c>
      <c r="H334">
        <v>35.722341999999998</v>
      </c>
      <c r="I334">
        <v>-91.524983000000006</v>
      </c>
      <c r="J334" t="s">
        <v>718</v>
      </c>
      <c r="K334">
        <v>110017432937</v>
      </c>
      <c r="M334">
        <v>2865</v>
      </c>
      <c r="R334">
        <v>5.3696145124716503</v>
      </c>
      <c r="W334" t="s">
        <v>1801</v>
      </c>
      <c r="X334" t="s">
        <v>1802</v>
      </c>
      <c r="Y334">
        <v>11010004002024</v>
      </c>
      <c r="AA334" t="s">
        <v>1465</v>
      </c>
      <c r="AB334" t="s">
        <v>1466</v>
      </c>
    </row>
    <row r="335" spans="1:28" x14ac:dyDescent="0.25">
      <c r="A335">
        <v>2017</v>
      </c>
      <c r="C335" t="s">
        <v>1136</v>
      </c>
      <c r="D335" t="s">
        <v>1803</v>
      </c>
      <c r="E335" t="s">
        <v>1137</v>
      </c>
      <c r="F335" t="s">
        <v>427</v>
      </c>
      <c r="G335">
        <v>49022</v>
      </c>
      <c r="H335">
        <v>42.076250000000002</v>
      </c>
      <c r="I335">
        <v>-86.43656</v>
      </c>
      <c r="J335" t="s">
        <v>719</v>
      </c>
      <c r="K335">
        <v>110000593206</v>
      </c>
      <c r="M335">
        <v>3561</v>
      </c>
      <c r="R335">
        <v>3.6500647499999997E-2</v>
      </c>
      <c r="W335" t="s">
        <v>1804</v>
      </c>
      <c r="X335" t="s">
        <v>1805</v>
      </c>
      <c r="Y335">
        <v>4050001000919</v>
      </c>
      <c r="AA335" t="s">
        <v>1465</v>
      </c>
      <c r="AB335" t="s">
        <v>1466</v>
      </c>
    </row>
    <row r="336" spans="1:28" x14ac:dyDescent="0.25">
      <c r="A336">
        <v>2017</v>
      </c>
      <c r="C336" t="s">
        <v>151</v>
      </c>
      <c r="D336" t="s">
        <v>485</v>
      </c>
      <c r="E336" t="s">
        <v>486</v>
      </c>
      <c r="F336" t="s">
        <v>308</v>
      </c>
      <c r="G336">
        <v>1905</v>
      </c>
      <c r="H336">
        <v>42.452603000000003</v>
      </c>
      <c r="I336">
        <v>-70.973436000000007</v>
      </c>
      <c r="J336" t="s">
        <v>487</v>
      </c>
      <c r="K336">
        <v>110000310191</v>
      </c>
      <c r="M336">
        <v>3724</v>
      </c>
      <c r="R336">
        <v>4.5022574999999999E-4</v>
      </c>
      <c r="W336" t="s">
        <v>864</v>
      </c>
      <c r="X336" t="s">
        <v>865</v>
      </c>
      <c r="Y336">
        <v>1090001001195</v>
      </c>
      <c r="AA336" t="s">
        <v>1465</v>
      </c>
      <c r="AB336" t="s">
        <v>1466</v>
      </c>
    </row>
    <row r="337" spans="1:28" x14ac:dyDescent="0.25">
      <c r="A337">
        <v>2017</v>
      </c>
      <c r="C337" t="s">
        <v>151</v>
      </c>
      <c r="D337" t="s">
        <v>485</v>
      </c>
      <c r="E337" t="s">
        <v>486</v>
      </c>
      <c r="F337" t="s">
        <v>308</v>
      </c>
      <c r="G337">
        <v>1905</v>
      </c>
      <c r="H337">
        <v>42.452603000000003</v>
      </c>
      <c r="I337">
        <v>-70.973436000000007</v>
      </c>
      <c r="J337" t="s">
        <v>487</v>
      </c>
      <c r="K337">
        <v>110000310191</v>
      </c>
      <c r="M337">
        <v>3724</v>
      </c>
      <c r="R337">
        <v>9.3281324999999998E-2</v>
      </c>
      <c r="W337" t="s">
        <v>864</v>
      </c>
      <c r="X337" t="s">
        <v>865</v>
      </c>
      <c r="Y337">
        <v>1090001001195</v>
      </c>
      <c r="AA337" t="s">
        <v>1465</v>
      </c>
      <c r="AB337" t="s">
        <v>1466</v>
      </c>
    </row>
    <row r="338" spans="1:28" x14ac:dyDescent="0.25">
      <c r="A338">
        <v>2017</v>
      </c>
      <c r="C338" t="s">
        <v>151</v>
      </c>
      <c r="D338" t="s">
        <v>485</v>
      </c>
      <c r="E338" t="s">
        <v>486</v>
      </c>
      <c r="F338" t="s">
        <v>308</v>
      </c>
      <c r="G338">
        <v>1905</v>
      </c>
      <c r="H338">
        <v>42.452603000000003</v>
      </c>
      <c r="I338">
        <v>-70.973436000000007</v>
      </c>
      <c r="J338" t="s">
        <v>487</v>
      </c>
      <c r="K338">
        <v>110000310191</v>
      </c>
      <c r="M338">
        <v>3724</v>
      </c>
      <c r="R338">
        <v>4.4621365000000003E-2</v>
      </c>
      <c r="W338" t="s">
        <v>864</v>
      </c>
      <c r="X338" t="s">
        <v>865</v>
      </c>
      <c r="Y338">
        <v>1090001001195</v>
      </c>
      <c r="AA338" t="s">
        <v>1465</v>
      </c>
      <c r="AB338" t="s">
        <v>1466</v>
      </c>
    </row>
    <row r="339" spans="1:28" x14ac:dyDescent="0.25">
      <c r="A339">
        <v>2017</v>
      </c>
      <c r="C339" t="s">
        <v>152</v>
      </c>
      <c r="D339" t="s">
        <v>489</v>
      </c>
      <c r="E339" t="s">
        <v>490</v>
      </c>
      <c r="F339" t="s">
        <v>491</v>
      </c>
      <c r="G339">
        <v>17356</v>
      </c>
      <c r="H339">
        <v>39.903748999999998</v>
      </c>
      <c r="I339">
        <v>-76.605096000000003</v>
      </c>
      <c r="J339" t="s">
        <v>492</v>
      </c>
      <c r="K339">
        <v>110000333318</v>
      </c>
      <c r="M339">
        <v>3489</v>
      </c>
      <c r="R339">
        <v>1.5499575E-3</v>
      </c>
      <c r="W339" t="s">
        <v>866</v>
      </c>
      <c r="X339" t="s">
        <v>1809</v>
      </c>
      <c r="Y339">
        <v>2050306000429</v>
      </c>
      <c r="AA339" t="s">
        <v>1465</v>
      </c>
      <c r="AB339" t="s">
        <v>1466</v>
      </c>
    </row>
    <row r="340" spans="1:28" x14ac:dyDescent="0.25">
      <c r="A340">
        <v>2017</v>
      </c>
      <c r="C340" t="s">
        <v>152</v>
      </c>
      <c r="D340" t="s">
        <v>489</v>
      </c>
      <c r="E340" t="s">
        <v>490</v>
      </c>
      <c r="F340" t="s">
        <v>491</v>
      </c>
      <c r="G340">
        <v>17356</v>
      </c>
      <c r="H340">
        <v>39.903748999999998</v>
      </c>
      <c r="I340">
        <v>-76.605096000000003</v>
      </c>
      <c r="J340" t="s">
        <v>492</v>
      </c>
      <c r="K340">
        <v>110000333318</v>
      </c>
      <c r="M340">
        <v>3489</v>
      </c>
      <c r="R340">
        <v>3.4613825000000001E-2</v>
      </c>
      <c r="W340" t="s">
        <v>866</v>
      </c>
      <c r="X340" t="s">
        <v>1809</v>
      </c>
      <c r="Y340">
        <v>2050306000429</v>
      </c>
      <c r="AA340" t="s">
        <v>1465</v>
      </c>
      <c r="AB340" t="s">
        <v>1466</v>
      </c>
    </row>
    <row r="341" spans="1:28" x14ac:dyDescent="0.25">
      <c r="A341">
        <v>2017</v>
      </c>
      <c r="C341" t="s">
        <v>153</v>
      </c>
      <c r="D341" t="s">
        <v>1811</v>
      </c>
      <c r="E341" t="s">
        <v>495</v>
      </c>
      <c r="F341" t="s">
        <v>427</v>
      </c>
      <c r="G341">
        <v>48380</v>
      </c>
      <c r="H341">
        <v>42.569099999999999</v>
      </c>
      <c r="I341">
        <v>-83.674499999999995</v>
      </c>
      <c r="K341">
        <v>110017422733</v>
      </c>
      <c r="M341">
        <v>8734</v>
      </c>
      <c r="R341">
        <v>4.1158090000000001E-2</v>
      </c>
      <c r="W341" t="s">
        <v>868</v>
      </c>
      <c r="X341" t="s">
        <v>869</v>
      </c>
      <c r="Y341">
        <v>4090005002033</v>
      </c>
      <c r="AA341" t="s">
        <v>1465</v>
      </c>
      <c r="AB341" t="s">
        <v>1466</v>
      </c>
    </row>
    <row r="342" spans="1:28" x14ac:dyDescent="0.25">
      <c r="A342">
        <v>2017</v>
      </c>
      <c r="C342" t="s">
        <v>1816</v>
      </c>
      <c r="D342" t="s">
        <v>497</v>
      </c>
      <c r="E342" t="s">
        <v>498</v>
      </c>
      <c r="F342" t="s">
        <v>338</v>
      </c>
      <c r="G342">
        <v>8066</v>
      </c>
      <c r="H342">
        <v>39.852891</v>
      </c>
      <c r="I342">
        <v>-75.225210000000004</v>
      </c>
      <c r="K342">
        <v>110064625730</v>
      </c>
      <c r="M342">
        <v>4952</v>
      </c>
      <c r="R342">
        <v>9.0215499999999995</v>
      </c>
      <c r="W342" t="s">
        <v>870</v>
      </c>
      <c r="X342" t="s">
        <v>871</v>
      </c>
      <c r="Y342">
        <v>2040202000030</v>
      </c>
      <c r="AA342" t="s">
        <v>1465</v>
      </c>
      <c r="AB342" t="s">
        <v>263</v>
      </c>
    </row>
    <row r="343" spans="1:28" x14ac:dyDescent="0.25">
      <c r="A343">
        <v>2017</v>
      </c>
      <c r="C343" t="s">
        <v>1146</v>
      </c>
      <c r="D343" t="s">
        <v>1827</v>
      </c>
      <c r="E343" t="s">
        <v>1147</v>
      </c>
      <c r="F343" t="s">
        <v>491</v>
      </c>
      <c r="G343">
        <v>19067</v>
      </c>
      <c r="H343">
        <v>40.159343999999997</v>
      </c>
      <c r="I343">
        <v>-74.776695000000004</v>
      </c>
      <c r="K343">
        <v>110000817439</v>
      </c>
      <c r="M343">
        <v>4953</v>
      </c>
      <c r="R343">
        <v>5.2611863359999997E-2</v>
      </c>
      <c r="W343" t="s">
        <v>1828</v>
      </c>
      <c r="X343" t="s">
        <v>1829</v>
      </c>
      <c r="Y343">
        <v>2040201000496</v>
      </c>
      <c r="AA343" t="s">
        <v>1465</v>
      </c>
      <c r="AB343" t="s">
        <v>1466</v>
      </c>
    </row>
    <row r="344" spans="1:28" x14ac:dyDescent="0.25">
      <c r="A344">
        <v>2017</v>
      </c>
      <c r="C344" t="s">
        <v>1148</v>
      </c>
      <c r="D344" t="s">
        <v>1831</v>
      </c>
      <c r="E344" t="s">
        <v>1149</v>
      </c>
      <c r="F344" t="s">
        <v>324</v>
      </c>
      <c r="G344">
        <v>42234</v>
      </c>
      <c r="H344">
        <v>36.644849999999998</v>
      </c>
      <c r="I344">
        <v>-87.187950000000001</v>
      </c>
      <c r="K344">
        <v>110009937499</v>
      </c>
      <c r="M344">
        <v>4952</v>
      </c>
      <c r="R344">
        <v>0.64931675</v>
      </c>
      <c r="W344" t="s">
        <v>1832</v>
      </c>
      <c r="X344" t="s">
        <v>1833</v>
      </c>
      <c r="Y344">
        <v>5130206000361</v>
      </c>
      <c r="AA344" t="s">
        <v>1465</v>
      </c>
      <c r="AB344" t="s">
        <v>263</v>
      </c>
    </row>
    <row r="345" spans="1:28" x14ac:dyDescent="0.25">
      <c r="A345">
        <v>2017</v>
      </c>
      <c r="C345" t="s">
        <v>1150</v>
      </c>
      <c r="D345" t="s">
        <v>1835</v>
      </c>
      <c r="E345" t="s">
        <v>1151</v>
      </c>
      <c r="F345" t="s">
        <v>338</v>
      </c>
      <c r="G345">
        <v>8610</v>
      </c>
      <c r="H345">
        <v>40.183062999999997</v>
      </c>
      <c r="I345">
        <v>-74.710695000000001</v>
      </c>
      <c r="K345">
        <v>110056977080</v>
      </c>
      <c r="M345">
        <v>4952</v>
      </c>
      <c r="R345">
        <v>1.2018756525000001</v>
      </c>
      <c r="W345" t="s">
        <v>1836</v>
      </c>
      <c r="X345" t="s">
        <v>1837</v>
      </c>
      <c r="Y345">
        <v>2040201000021</v>
      </c>
      <c r="AA345" t="s">
        <v>1465</v>
      </c>
      <c r="AB345" t="s">
        <v>263</v>
      </c>
    </row>
    <row r="346" spans="1:28" x14ac:dyDescent="0.25">
      <c r="A346">
        <v>2017</v>
      </c>
      <c r="C346" t="s">
        <v>1152</v>
      </c>
      <c r="D346" t="s">
        <v>1840</v>
      </c>
      <c r="E346" t="s">
        <v>1153</v>
      </c>
      <c r="F346" t="s">
        <v>338</v>
      </c>
      <c r="G346">
        <v>8038</v>
      </c>
      <c r="H346">
        <v>39.507057000000003</v>
      </c>
      <c r="I346">
        <v>-75.463615000000004</v>
      </c>
      <c r="K346">
        <v>110009838168</v>
      </c>
      <c r="M346">
        <v>4952</v>
      </c>
      <c r="R346">
        <v>2.2946562499999998E-3</v>
      </c>
      <c r="W346" t="s">
        <v>1841</v>
      </c>
      <c r="X346" t="s">
        <v>1842</v>
      </c>
      <c r="Y346">
        <v>2040206000172</v>
      </c>
      <c r="AA346" t="s">
        <v>1465</v>
      </c>
      <c r="AB346" t="s">
        <v>263</v>
      </c>
    </row>
    <row r="347" spans="1:28" x14ac:dyDescent="0.25">
      <c r="A347">
        <v>2017</v>
      </c>
      <c r="C347" t="s">
        <v>1154</v>
      </c>
      <c r="D347" t="s">
        <v>1845</v>
      </c>
      <c r="E347" t="s">
        <v>1155</v>
      </c>
      <c r="F347" t="s">
        <v>366</v>
      </c>
      <c r="G347" t="s">
        <v>1846</v>
      </c>
      <c r="H347">
        <v>38.730832999999997</v>
      </c>
      <c r="I347">
        <v>-120.846667</v>
      </c>
      <c r="K347">
        <v>110039757992</v>
      </c>
      <c r="M347">
        <v>4952</v>
      </c>
      <c r="R347">
        <v>5.0142449875000002E-2</v>
      </c>
      <c r="W347" t="s">
        <v>1847</v>
      </c>
      <c r="X347" t="s">
        <v>1848</v>
      </c>
      <c r="Y347">
        <v>18020129000291</v>
      </c>
      <c r="AA347" t="s">
        <v>1465</v>
      </c>
      <c r="AB347" t="s">
        <v>263</v>
      </c>
    </row>
    <row r="348" spans="1:28" x14ac:dyDescent="0.25">
      <c r="A348">
        <v>2017</v>
      </c>
      <c r="C348" t="s">
        <v>1160</v>
      </c>
      <c r="D348" t="s">
        <v>1856</v>
      </c>
      <c r="E348" t="s">
        <v>1103</v>
      </c>
      <c r="F348" t="s">
        <v>345</v>
      </c>
      <c r="G348" t="s">
        <v>1857</v>
      </c>
      <c r="H348">
        <v>41.304952</v>
      </c>
      <c r="I348">
        <v>-88.561650999999998</v>
      </c>
      <c r="J348" t="s">
        <v>720</v>
      </c>
      <c r="K348">
        <v>110000433022</v>
      </c>
      <c r="M348">
        <v>2821</v>
      </c>
      <c r="R348">
        <v>0.124811791383219</v>
      </c>
      <c r="W348" t="s">
        <v>1858</v>
      </c>
      <c r="X348" t="s">
        <v>1859</v>
      </c>
      <c r="Y348">
        <v>7120005000124</v>
      </c>
      <c r="AA348" t="s">
        <v>1465</v>
      </c>
      <c r="AB348" t="s">
        <v>1466</v>
      </c>
    </row>
    <row r="349" spans="1:28" x14ac:dyDescent="0.25">
      <c r="A349">
        <v>2017</v>
      </c>
      <c r="C349" t="s">
        <v>1161</v>
      </c>
      <c r="D349" t="s">
        <v>1861</v>
      </c>
      <c r="E349" t="s">
        <v>1162</v>
      </c>
      <c r="F349" t="s">
        <v>338</v>
      </c>
      <c r="G349">
        <v>80271164</v>
      </c>
      <c r="H349">
        <v>39.827696000000003</v>
      </c>
      <c r="I349">
        <v>-75.277782000000002</v>
      </c>
      <c r="K349">
        <v>110070210457</v>
      </c>
      <c r="M349">
        <v>2869</v>
      </c>
      <c r="R349">
        <v>5.0075550000000003E-3</v>
      </c>
      <c r="W349" t="s">
        <v>1862</v>
      </c>
      <c r="X349" t="s">
        <v>783</v>
      </c>
      <c r="Y349">
        <v>2040202001793</v>
      </c>
      <c r="AA349" t="s">
        <v>1465</v>
      </c>
      <c r="AB349" t="s">
        <v>1466</v>
      </c>
    </row>
    <row r="350" spans="1:28" x14ac:dyDescent="0.25">
      <c r="A350">
        <v>2017</v>
      </c>
      <c r="C350" t="s">
        <v>1165</v>
      </c>
      <c r="D350" t="s">
        <v>1871</v>
      </c>
      <c r="E350" t="s">
        <v>1166</v>
      </c>
      <c r="F350" t="s">
        <v>338</v>
      </c>
      <c r="G350" t="s">
        <v>1872</v>
      </c>
      <c r="H350">
        <v>39.973252000000002</v>
      </c>
      <c r="I350">
        <v>-75.018894000000003</v>
      </c>
      <c r="K350">
        <v>110014480445</v>
      </c>
      <c r="M350">
        <v>3714</v>
      </c>
      <c r="R350">
        <v>1.4625239999999999E-2</v>
      </c>
      <c r="W350" t="s">
        <v>1873</v>
      </c>
      <c r="X350" t="s">
        <v>1874</v>
      </c>
      <c r="Y350">
        <v>2040202001660</v>
      </c>
      <c r="AA350" t="s">
        <v>1465</v>
      </c>
      <c r="AB350" t="s">
        <v>1466</v>
      </c>
    </row>
    <row r="351" spans="1:28" x14ac:dyDescent="0.25">
      <c r="A351">
        <v>2017</v>
      </c>
      <c r="C351" t="s">
        <v>1167</v>
      </c>
      <c r="D351" t="s">
        <v>1875</v>
      </c>
      <c r="E351" t="s">
        <v>1168</v>
      </c>
      <c r="F351" t="s">
        <v>338</v>
      </c>
      <c r="G351">
        <v>79621057</v>
      </c>
      <c r="H351">
        <v>40.792712999999999</v>
      </c>
      <c r="I351">
        <v>-74.434799999999996</v>
      </c>
      <c r="K351">
        <v>110070212650</v>
      </c>
      <c r="M351">
        <v>8731</v>
      </c>
      <c r="R351">
        <v>3.0546963619999899E-2</v>
      </c>
      <c r="W351" t="s">
        <v>1876</v>
      </c>
      <c r="X351" t="s">
        <v>1877</v>
      </c>
      <c r="Y351">
        <v>2030103000384</v>
      </c>
      <c r="AA351" t="s">
        <v>1465</v>
      </c>
      <c r="AB351" t="s">
        <v>1466</v>
      </c>
    </row>
    <row r="352" spans="1:28" x14ac:dyDescent="0.25">
      <c r="A352">
        <v>2017</v>
      </c>
      <c r="C352" t="s">
        <v>1880</v>
      </c>
      <c r="D352" t="s">
        <v>513</v>
      </c>
      <c r="E352" t="s">
        <v>302</v>
      </c>
      <c r="F352" t="s">
        <v>303</v>
      </c>
      <c r="G352">
        <v>70805</v>
      </c>
      <c r="H352">
        <v>30.474443999999998</v>
      </c>
      <c r="I352">
        <v>-91.183055999999993</v>
      </c>
      <c r="J352" t="s">
        <v>514</v>
      </c>
      <c r="K352">
        <v>110003266849</v>
      </c>
      <c r="M352">
        <v>2869</v>
      </c>
      <c r="R352">
        <v>6.6258503401360498</v>
      </c>
      <c r="W352" t="s">
        <v>878</v>
      </c>
      <c r="X352" t="s">
        <v>816</v>
      </c>
      <c r="Y352">
        <v>8070100000180</v>
      </c>
      <c r="AA352" t="s">
        <v>1465</v>
      </c>
      <c r="AB352" t="s">
        <v>1466</v>
      </c>
    </row>
    <row r="353" spans="1:28" x14ac:dyDescent="0.25">
      <c r="A353">
        <v>2017</v>
      </c>
      <c r="C353" t="s">
        <v>1179</v>
      </c>
      <c r="D353" t="s">
        <v>1897</v>
      </c>
      <c r="E353" t="s">
        <v>1180</v>
      </c>
      <c r="F353" t="s">
        <v>450</v>
      </c>
      <c r="G353">
        <v>13760</v>
      </c>
      <c r="H353">
        <v>42.107010000000002</v>
      </c>
      <c r="I353">
        <v>-76.051990000000004</v>
      </c>
      <c r="K353">
        <v>110041145926</v>
      </c>
      <c r="M353">
        <v>3471</v>
      </c>
      <c r="R353">
        <v>0.12932247350000001</v>
      </c>
      <c r="W353" t="s">
        <v>1898</v>
      </c>
      <c r="X353" t="s">
        <v>1899</v>
      </c>
      <c r="Y353">
        <v>2050103001134</v>
      </c>
      <c r="AA353" t="s">
        <v>1465</v>
      </c>
      <c r="AB353" t="s">
        <v>1466</v>
      </c>
    </row>
    <row r="354" spans="1:28" x14ac:dyDescent="0.25">
      <c r="A354">
        <v>2017</v>
      </c>
      <c r="C354" t="s">
        <v>1181</v>
      </c>
      <c r="D354" t="s">
        <v>1903</v>
      </c>
      <c r="E354" t="s">
        <v>1182</v>
      </c>
      <c r="F354" t="s">
        <v>345</v>
      </c>
      <c r="G354">
        <v>60439</v>
      </c>
      <c r="H354">
        <v>41.692782000000001</v>
      </c>
      <c r="I354">
        <v>-87.951100999999994</v>
      </c>
      <c r="K354">
        <v>110018199377</v>
      </c>
      <c r="M354">
        <v>4226</v>
      </c>
      <c r="R354">
        <v>2.0652852500000001</v>
      </c>
      <c r="W354" t="s">
        <v>1904</v>
      </c>
      <c r="X354" t="s">
        <v>1905</v>
      </c>
      <c r="Y354">
        <v>7120004000954</v>
      </c>
      <c r="AA354" t="s">
        <v>1465</v>
      </c>
      <c r="AB354" t="s">
        <v>1466</v>
      </c>
    </row>
    <row r="355" spans="1:28" x14ac:dyDescent="0.25">
      <c r="A355">
        <v>2017</v>
      </c>
      <c r="C355" t="s">
        <v>1183</v>
      </c>
      <c r="D355" t="s">
        <v>377</v>
      </c>
      <c r="E355" t="s">
        <v>480</v>
      </c>
      <c r="F355" t="s">
        <v>362</v>
      </c>
      <c r="G355">
        <v>77978</v>
      </c>
      <c r="H355">
        <v>28.642944</v>
      </c>
      <c r="I355">
        <v>-96.547611000000003</v>
      </c>
      <c r="K355">
        <v>110063004528</v>
      </c>
      <c r="M355">
        <v>4491</v>
      </c>
      <c r="R355">
        <v>0.2010668457</v>
      </c>
      <c r="W355" t="s">
        <v>804</v>
      </c>
      <c r="X355" t="s">
        <v>805</v>
      </c>
      <c r="Y355">
        <v>12100401000758</v>
      </c>
      <c r="AA355" t="s">
        <v>1465</v>
      </c>
      <c r="AB355" t="s">
        <v>1466</v>
      </c>
    </row>
    <row r="356" spans="1:28" x14ac:dyDescent="0.25">
      <c r="A356">
        <v>2017</v>
      </c>
      <c r="C356" t="s">
        <v>1186</v>
      </c>
      <c r="D356" t="s">
        <v>1913</v>
      </c>
      <c r="E356" t="s">
        <v>1187</v>
      </c>
      <c r="F356" t="s">
        <v>478</v>
      </c>
      <c r="G356">
        <v>19973</v>
      </c>
      <c r="H356">
        <v>38.624206999999998</v>
      </c>
      <c r="I356">
        <v>-75.628699999999995</v>
      </c>
      <c r="K356">
        <v>110064631849</v>
      </c>
      <c r="M356">
        <v>2821</v>
      </c>
      <c r="R356">
        <v>1.7292517006802701E-3</v>
      </c>
      <c r="W356" t="s">
        <v>1914</v>
      </c>
      <c r="X356" t="s">
        <v>1915</v>
      </c>
      <c r="Y356">
        <v>2080109011489</v>
      </c>
      <c r="AA356" t="s">
        <v>1465</v>
      </c>
      <c r="AB356" t="s">
        <v>1466</v>
      </c>
    </row>
    <row r="357" spans="1:28" x14ac:dyDescent="0.25">
      <c r="A357">
        <v>2017</v>
      </c>
      <c r="C357" t="s">
        <v>1188</v>
      </c>
      <c r="D357" t="s">
        <v>1917</v>
      </c>
      <c r="E357" t="s">
        <v>1189</v>
      </c>
      <c r="F357" t="s">
        <v>324</v>
      </c>
      <c r="G357">
        <v>40336</v>
      </c>
      <c r="H357">
        <v>37.700833000000003</v>
      </c>
      <c r="I357">
        <v>-83.984443999999996</v>
      </c>
      <c r="K357">
        <v>110006749162</v>
      </c>
      <c r="M357">
        <v>8711</v>
      </c>
      <c r="R357">
        <v>0.39304386250000001</v>
      </c>
      <c r="W357" t="s">
        <v>1918</v>
      </c>
      <c r="X357" t="s">
        <v>1592</v>
      </c>
      <c r="Y357">
        <v>5100204000012</v>
      </c>
      <c r="AA357" t="s">
        <v>1465</v>
      </c>
      <c r="AB357" t="s">
        <v>263</v>
      </c>
    </row>
    <row r="358" spans="1:28" x14ac:dyDescent="0.25">
      <c r="A358">
        <v>2017</v>
      </c>
      <c r="C358" t="s">
        <v>1190</v>
      </c>
      <c r="D358" t="s">
        <v>1920</v>
      </c>
      <c r="E358" t="s">
        <v>1191</v>
      </c>
      <c r="F358" t="s">
        <v>491</v>
      </c>
      <c r="G358">
        <v>17853</v>
      </c>
      <c r="H358">
        <v>40.725278000000003</v>
      </c>
      <c r="I358">
        <v>-77.056944000000001</v>
      </c>
      <c r="K358">
        <v>110017796330</v>
      </c>
      <c r="M358">
        <v>3645</v>
      </c>
      <c r="R358">
        <v>4.5712391250000003E-3</v>
      </c>
      <c r="W358" t="s">
        <v>1921</v>
      </c>
      <c r="X358" t="s">
        <v>1922</v>
      </c>
      <c r="Y358">
        <v>2050301000478</v>
      </c>
      <c r="AA358" t="s">
        <v>1465</v>
      </c>
      <c r="AB358" t="s">
        <v>1466</v>
      </c>
    </row>
    <row r="359" spans="1:28" x14ac:dyDescent="0.25">
      <c r="A359">
        <v>2017</v>
      </c>
      <c r="C359" t="s">
        <v>1192</v>
      </c>
      <c r="D359" t="s">
        <v>1924</v>
      </c>
      <c r="E359" t="s">
        <v>323</v>
      </c>
      <c r="F359" t="s">
        <v>324</v>
      </c>
      <c r="G359">
        <v>420290037</v>
      </c>
      <c r="H359">
        <v>37.047736999999998</v>
      </c>
      <c r="I359">
        <v>-88.35866</v>
      </c>
      <c r="J359" t="s">
        <v>721</v>
      </c>
      <c r="K359">
        <v>110000741608</v>
      </c>
      <c r="M359">
        <v>2869</v>
      </c>
      <c r="R359">
        <v>3.8072562358276598</v>
      </c>
      <c r="W359" t="s">
        <v>1925</v>
      </c>
      <c r="X359" t="s">
        <v>1926</v>
      </c>
      <c r="Y359">
        <v>6040006000329</v>
      </c>
      <c r="AA359" t="s">
        <v>1465</v>
      </c>
      <c r="AB359" t="s">
        <v>1466</v>
      </c>
    </row>
    <row r="360" spans="1:28" x14ac:dyDescent="0.25">
      <c r="A360">
        <v>2017</v>
      </c>
      <c r="C360" t="s">
        <v>1198</v>
      </c>
      <c r="D360" t="s">
        <v>1935</v>
      </c>
      <c r="E360" t="s">
        <v>1199</v>
      </c>
      <c r="F360" t="s">
        <v>374</v>
      </c>
      <c r="G360">
        <v>86033</v>
      </c>
      <c r="H360">
        <v>36.733111000000001</v>
      </c>
      <c r="I360">
        <v>-110.230611</v>
      </c>
      <c r="K360">
        <v>110010062699</v>
      </c>
      <c r="M360">
        <v>4952</v>
      </c>
      <c r="R360">
        <v>0.40605479999999999</v>
      </c>
      <c r="W360" t="s">
        <v>1936</v>
      </c>
      <c r="X360" t="s">
        <v>1937</v>
      </c>
      <c r="Y360">
        <v>14080204000704</v>
      </c>
      <c r="AA360" t="s">
        <v>1465</v>
      </c>
      <c r="AB360" t="s">
        <v>263</v>
      </c>
    </row>
    <row r="361" spans="1:28" x14ac:dyDescent="0.25">
      <c r="A361">
        <v>2017</v>
      </c>
      <c r="C361" t="s">
        <v>1202</v>
      </c>
      <c r="D361" t="s">
        <v>1941</v>
      </c>
      <c r="E361" t="s">
        <v>1203</v>
      </c>
      <c r="F361" t="s">
        <v>491</v>
      </c>
      <c r="G361">
        <v>15774</v>
      </c>
      <c r="H361">
        <v>40.660400000000003</v>
      </c>
      <c r="I361">
        <v>-79.341099999999997</v>
      </c>
      <c r="J361" t="s">
        <v>722</v>
      </c>
      <c r="K361">
        <v>110000538525</v>
      </c>
      <c r="M361">
        <v>4911</v>
      </c>
      <c r="R361">
        <v>2.8546734950000001</v>
      </c>
      <c r="W361" t="s">
        <v>1942</v>
      </c>
      <c r="X361" t="s">
        <v>1943</v>
      </c>
      <c r="Y361">
        <v>5010006001748</v>
      </c>
      <c r="AA361" t="s">
        <v>1465</v>
      </c>
      <c r="AB361" t="s">
        <v>1466</v>
      </c>
    </row>
    <row r="362" spans="1:28" x14ac:dyDescent="0.25">
      <c r="A362">
        <v>2017</v>
      </c>
      <c r="C362" t="s">
        <v>1204</v>
      </c>
      <c r="D362" t="s">
        <v>1945</v>
      </c>
      <c r="E362" t="s">
        <v>1205</v>
      </c>
      <c r="F362" t="s">
        <v>374</v>
      </c>
      <c r="G362">
        <v>86401</v>
      </c>
      <c r="H362">
        <v>35.296455000000002</v>
      </c>
      <c r="I362">
        <v>-113.935008</v>
      </c>
      <c r="K362">
        <v>110015944077</v>
      </c>
      <c r="M362">
        <v>4952</v>
      </c>
      <c r="R362">
        <v>2.256030325E-3</v>
      </c>
      <c r="W362" t="s">
        <v>1946</v>
      </c>
      <c r="Y362">
        <v>15060106000281</v>
      </c>
      <c r="AA362" t="s">
        <v>1465</v>
      </c>
      <c r="AB362" t="s">
        <v>263</v>
      </c>
    </row>
    <row r="363" spans="1:28" x14ac:dyDescent="0.25">
      <c r="A363">
        <v>2017</v>
      </c>
      <c r="C363" t="s">
        <v>1210</v>
      </c>
      <c r="D363" t="s">
        <v>1956</v>
      </c>
      <c r="E363" t="s">
        <v>657</v>
      </c>
      <c r="F363" t="s">
        <v>418</v>
      </c>
      <c r="G363">
        <v>89101</v>
      </c>
      <c r="H363">
        <v>36.16478</v>
      </c>
      <c r="I363">
        <v>-115.14067</v>
      </c>
      <c r="K363">
        <v>110017237373</v>
      </c>
      <c r="M363">
        <v>8211</v>
      </c>
      <c r="R363">
        <v>1.7959825E-3</v>
      </c>
      <c r="W363" t="s">
        <v>1957</v>
      </c>
      <c r="X363" t="s">
        <v>1893</v>
      </c>
      <c r="Y363">
        <v>15010015000125</v>
      </c>
      <c r="AA363" t="s">
        <v>1465</v>
      </c>
      <c r="AB363" t="s">
        <v>1466</v>
      </c>
    </row>
    <row r="364" spans="1:28" x14ac:dyDescent="0.25">
      <c r="A364">
        <v>2017</v>
      </c>
      <c r="C364" t="s">
        <v>167</v>
      </c>
      <c r="D364" t="s">
        <v>543</v>
      </c>
      <c r="E364" t="s">
        <v>544</v>
      </c>
      <c r="F364" t="s">
        <v>338</v>
      </c>
      <c r="G364">
        <v>7036</v>
      </c>
      <c r="H364">
        <v>40.610097000000003</v>
      </c>
      <c r="I364">
        <v>-74.204927999999995</v>
      </c>
      <c r="K364">
        <v>110002468669</v>
      </c>
      <c r="M364">
        <v>2841</v>
      </c>
      <c r="R364">
        <v>0.59396743333333302</v>
      </c>
      <c r="W364" t="s">
        <v>892</v>
      </c>
      <c r="X364" t="s">
        <v>893</v>
      </c>
      <c r="Y364">
        <v>2030104000564</v>
      </c>
      <c r="AA364" t="s">
        <v>1465</v>
      </c>
      <c r="AB364" t="s">
        <v>1466</v>
      </c>
    </row>
    <row r="365" spans="1:28" x14ac:dyDescent="0.25">
      <c r="A365">
        <v>2017</v>
      </c>
      <c r="C365" t="s">
        <v>1212</v>
      </c>
      <c r="D365" t="s">
        <v>1963</v>
      </c>
      <c r="E365" t="s">
        <v>1213</v>
      </c>
      <c r="F365" t="s">
        <v>1128</v>
      </c>
      <c r="G365">
        <v>80125</v>
      </c>
      <c r="H365">
        <v>39.496341999999999</v>
      </c>
      <c r="I365">
        <v>-105.10758800000001</v>
      </c>
      <c r="J365" t="s">
        <v>724</v>
      </c>
      <c r="K365">
        <v>110000610429</v>
      </c>
      <c r="M365">
        <v>3761</v>
      </c>
      <c r="R365">
        <v>4.0544919999999998E-2</v>
      </c>
      <c r="W365" t="s">
        <v>1964</v>
      </c>
      <c r="X365" t="s">
        <v>1965</v>
      </c>
      <c r="Y365">
        <v>10190002000856</v>
      </c>
      <c r="AA365" t="s">
        <v>1465</v>
      </c>
      <c r="AB365" t="s">
        <v>1466</v>
      </c>
    </row>
    <row r="366" spans="1:28" x14ac:dyDescent="0.25">
      <c r="A366">
        <v>2017</v>
      </c>
      <c r="C366" t="s">
        <v>168</v>
      </c>
      <c r="D366" t="s">
        <v>546</v>
      </c>
      <c r="E366" t="s">
        <v>547</v>
      </c>
      <c r="F366" t="s">
        <v>366</v>
      </c>
      <c r="G366">
        <v>93436</v>
      </c>
      <c r="H366">
        <v>34.661079999999998</v>
      </c>
      <c r="I366">
        <v>-120.48135000000001</v>
      </c>
      <c r="K366">
        <v>110009547222</v>
      </c>
      <c r="M366">
        <v>4952</v>
      </c>
      <c r="R366">
        <v>1.00851325</v>
      </c>
      <c r="W366" t="s">
        <v>894</v>
      </c>
      <c r="X366" t="s">
        <v>895</v>
      </c>
      <c r="Y366">
        <v>18060010000006</v>
      </c>
      <c r="AA366" t="s">
        <v>1465</v>
      </c>
      <c r="AB366" t="s">
        <v>263</v>
      </c>
    </row>
    <row r="367" spans="1:28" x14ac:dyDescent="0.25">
      <c r="A367">
        <v>2017</v>
      </c>
      <c r="C367" t="s">
        <v>1216</v>
      </c>
      <c r="D367" t="s">
        <v>1970</v>
      </c>
      <c r="E367" t="s">
        <v>1217</v>
      </c>
      <c r="F367" t="s">
        <v>338</v>
      </c>
      <c r="G367">
        <v>7724</v>
      </c>
      <c r="H367">
        <v>40.298000000000002</v>
      </c>
      <c r="I367">
        <v>-74.055549999999997</v>
      </c>
      <c r="K367">
        <v>110070210646</v>
      </c>
      <c r="M367">
        <v>3694</v>
      </c>
      <c r="R367">
        <v>1.1435052750000001E-2</v>
      </c>
      <c r="W367" t="s">
        <v>1971</v>
      </c>
      <c r="X367" t="s">
        <v>1972</v>
      </c>
      <c r="Y367">
        <v>2030104000160</v>
      </c>
      <c r="AA367" t="s">
        <v>1465</v>
      </c>
      <c r="AB367" t="s">
        <v>1466</v>
      </c>
    </row>
    <row r="368" spans="1:28" x14ac:dyDescent="0.25">
      <c r="A368">
        <v>2017</v>
      </c>
      <c r="C368" t="s">
        <v>1220</v>
      </c>
      <c r="D368" t="s">
        <v>1978</v>
      </c>
      <c r="E368" t="s">
        <v>1221</v>
      </c>
      <c r="F368" t="s">
        <v>338</v>
      </c>
      <c r="G368">
        <v>8104</v>
      </c>
      <c r="H368">
        <v>39.919559</v>
      </c>
      <c r="I368">
        <v>-75.125825000000006</v>
      </c>
      <c r="K368">
        <v>110009834581</v>
      </c>
      <c r="M368">
        <v>2087</v>
      </c>
      <c r="R368">
        <v>6.5477419956250001E-3</v>
      </c>
      <c r="W368" t="s">
        <v>1979</v>
      </c>
      <c r="X368" t="s">
        <v>1980</v>
      </c>
      <c r="Y368">
        <v>2040202000065</v>
      </c>
      <c r="AA368" t="s">
        <v>1465</v>
      </c>
      <c r="AB368" t="s">
        <v>1466</v>
      </c>
    </row>
    <row r="369" spans="1:28" x14ac:dyDescent="0.25">
      <c r="A369">
        <v>2017</v>
      </c>
      <c r="C369" t="s">
        <v>169</v>
      </c>
      <c r="D369" t="s">
        <v>548</v>
      </c>
      <c r="E369" t="s">
        <v>549</v>
      </c>
      <c r="F369" t="s">
        <v>366</v>
      </c>
      <c r="G369">
        <v>95959</v>
      </c>
      <c r="H369">
        <v>39.368808999999999</v>
      </c>
      <c r="I369">
        <v>-120.898977</v>
      </c>
      <c r="K369">
        <v>110066354359</v>
      </c>
      <c r="M369">
        <v>1041</v>
      </c>
      <c r="R369">
        <v>1.56699E-2</v>
      </c>
      <c r="W369" t="s">
        <v>896</v>
      </c>
      <c r="X369" t="s">
        <v>897</v>
      </c>
      <c r="Y369">
        <v>18020125001502</v>
      </c>
      <c r="AA369" t="s">
        <v>1465</v>
      </c>
      <c r="AB369" t="s">
        <v>1466</v>
      </c>
    </row>
    <row r="370" spans="1:28" x14ac:dyDescent="0.25">
      <c r="A370">
        <v>2017</v>
      </c>
      <c r="C370" t="s">
        <v>1224</v>
      </c>
      <c r="D370" t="s">
        <v>1985</v>
      </c>
      <c r="E370" t="s">
        <v>657</v>
      </c>
      <c r="F370" t="s">
        <v>418</v>
      </c>
      <c r="G370">
        <v>89101</v>
      </c>
      <c r="H370">
        <v>36.176639999999999</v>
      </c>
      <c r="I370">
        <v>-115.12891999999999</v>
      </c>
      <c r="K370">
        <v>110008995490</v>
      </c>
      <c r="M370">
        <v>6513</v>
      </c>
      <c r="R370">
        <v>5.8714812499999998E-2</v>
      </c>
      <c r="W370" t="s">
        <v>1986</v>
      </c>
      <c r="X370" t="s">
        <v>952</v>
      </c>
      <c r="Y370">
        <v>15010015000125</v>
      </c>
      <c r="AA370" t="s">
        <v>1465</v>
      </c>
      <c r="AB370" t="s">
        <v>1466</v>
      </c>
    </row>
    <row r="371" spans="1:28" x14ac:dyDescent="0.25">
      <c r="A371">
        <v>2017</v>
      </c>
      <c r="C371" t="s">
        <v>1225</v>
      </c>
      <c r="D371" t="s">
        <v>1987</v>
      </c>
      <c r="E371" t="s">
        <v>1098</v>
      </c>
      <c r="F371" t="s">
        <v>324</v>
      </c>
      <c r="G371">
        <v>41056</v>
      </c>
      <c r="H371">
        <v>38.687221999999998</v>
      </c>
      <c r="I371">
        <v>-83.786666999999994</v>
      </c>
      <c r="K371">
        <v>110000761104</v>
      </c>
      <c r="M371">
        <v>4952</v>
      </c>
      <c r="R371">
        <v>0.88762981249999995</v>
      </c>
      <c r="W371" t="s">
        <v>1988</v>
      </c>
      <c r="X371" t="s">
        <v>830</v>
      </c>
      <c r="Y371">
        <v>5090201002316</v>
      </c>
      <c r="AA371" t="s">
        <v>1465</v>
      </c>
      <c r="AB371" t="s">
        <v>263</v>
      </c>
    </row>
    <row r="372" spans="1:28" x14ac:dyDescent="0.25">
      <c r="A372">
        <v>2017</v>
      </c>
      <c r="C372" t="s">
        <v>1226</v>
      </c>
      <c r="D372" t="s">
        <v>1990</v>
      </c>
      <c r="E372" t="s">
        <v>657</v>
      </c>
      <c r="F372" t="s">
        <v>418</v>
      </c>
      <c r="G372">
        <v>89119</v>
      </c>
      <c r="H372">
        <v>36.075400000000002</v>
      </c>
      <c r="I372">
        <v>-115.1669</v>
      </c>
      <c r="K372">
        <v>110064134459</v>
      </c>
      <c r="M372">
        <v>4581</v>
      </c>
      <c r="R372">
        <v>3.1396858875000003E-2</v>
      </c>
      <c r="W372" t="s">
        <v>1991</v>
      </c>
      <c r="X372" t="s">
        <v>1992</v>
      </c>
      <c r="Y372">
        <v>15010015000139</v>
      </c>
      <c r="AA372" t="s">
        <v>1465</v>
      </c>
      <c r="AB372" t="s">
        <v>1466</v>
      </c>
    </row>
    <row r="373" spans="1:28" x14ac:dyDescent="0.25">
      <c r="A373">
        <v>2017</v>
      </c>
      <c r="C373" t="s">
        <v>1226</v>
      </c>
      <c r="D373" t="s">
        <v>1990</v>
      </c>
      <c r="E373" t="s">
        <v>657</v>
      </c>
      <c r="F373" t="s">
        <v>418</v>
      </c>
      <c r="G373">
        <v>89119</v>
      </c>
      <c r="H373">
        <v>36.075400000000002</v>
      </c>
      <c r="I373">
        <v>-115.1669</v>
      </c>
      <c r="K373">
        <v>110064134459</v>
      </c>
      <c r="M373">
        <v>4581</v>
      </c>
      <c r="R373">
        <v>8.0375421249999999E-3</v>
      </c>
      <c r="W373" t="s">
        <v>1991</v>
      </c>
      <c r="X373" t="s">
        <v>1992</v>
      </c>
      <c r="Y373">
        <v>15010015000139</v>
      </c>
      <c r="AA373" t="s">
        <v>1465</v>
      </c>
      <c r="AB373" t="s">
        <v>1466</v>
      </c>
    </row>
    <row r="374" spans="1:28" x14ac:dyDescent="0.25">
      <c r="A374">
        <v>2017</v>
      </c>
      <c r="C374" t="s">
        <v>1230</v>
      </c>
      <c r="D374" t="s">
        <v>1997</v>
      </c>
      <c r="E374" t="s">
        <v>1231</v>
      </c>
      <c r="F374" t="s">
        <v>541</v>
      </c>
      <c r="G374" t="s">
        <v>1998</v>
      </c>
      <c r="H374">
        <v>34.807729999999999</v>
      </c>
      <c r="I374">
        <v>-82.006420000000006</v>
      </c>
      <c r="K374">
        <v>110000587384</v>
      </c>
      <c r="M374">
        <v>3674</v>
      </c>
      <c r="R374">
        <v>3.9402228499999997E-2</v>
      </c>
      <c r="W374" t="s">
        <v>1999</v>
      </c>
      <c r="X374" t="s">
        <v>2000</v>
      </c>
      <c r="Y374">
        <v>3050107000093</v>
      </c>
      <c r="AA374" t="s">
        <v>1465</v>
      </c>
      <c r="AB374" t="s">
        <v>1466</v>
      </c>
    </row>
    <row r="375" spans="1:28" x14ac:dyDescent="0.25">
      <c r="A375">
        <v>2017</v>
      </c>
      <c r="C375" t="s">
        <v>172</v>
      </c>
      <c r="D375" t="s">
        <v>558</v>
      </c>
      <c r="E375" t="s">
        <v>559</v>
      </c>
      <c r="F375" t="s">
        <v>338</v>
      </c>
      <c r="G375" t="s">
        <v>560</v>
      </c>
      <c r="H375">
        <v>39.766944000000002</v>
      </c>
      <c r="I375">
        <v>-75.421361000000005</v>
      </c>
      <c r="J375" t="s">
        <v>561</v>
      </c>
      <c r="K375">
        <v>110041022274</v>
      </c>
      <c r="M375">
        <v>2821</v>
      </c>
      <c r="R375">
        <v>1.5500000000000001E-5</v>
      </c>
      <c r="W375" t="s">
        <v>902</v>
      </c>
      <c r="X375" t="s">
        <v>783</v>
      </c>
      <c r="Y375">
        <v>2040206001666</v>
      </c>
      <c r="AA375" t="s">
        <v>1465</v>
      </c>
      <c r="AB375" t="s">
        <v>1466</v>
      </c>
    </row>
    <row r="376" spans="1:28" x14ac:dyDescent="0.25">
      <c r="A376">
        <v>2017</v>
      </c>
      <c r="C376" t="s">
        <v>1235</v>
      </c>
      <c r="D376" t="s">
        <v>2012</v>
      </c>
      <c r="E376" t="s">
        <v>1236</v>
      </c>
      <c r="F376" t="s">
        <v>450</v>
      </c>
      <c r="G376">
        <v>13502</v>
      </c>
      <c r="H376">
        <v>43.107216000000001</v>
      </c>
      <c r="I376">
        <v>-75.225815999999995</v>
      </c>
      <c r="K376">
        <v>110002321345</v>
      </c>
      <c r="M376">
        <v>5169</v>
      </c>
      <c r="R376">
        <v>1.02385763999999E-2</v>
      </c>
      <c r="W376" t="s">
        <v>2013</v>
      </c>
      <c r="X376" t="s">
        <v>2014</v>
      </c>
      <c r="Y376">
        <v>2020004002623</v>
      </c>
      <c r="AA376" t="s">
        <v>1465</v>
      </c>
      <c r="AB376" t="s">
        <v>1466</v>
      </c>
    </row>
    <row r="377" spans="1:28" x14ac:dyDescent="0.25">
      <c r="A377">
        <v>2017</v>
      </c>
      <c r="C377" t="s">
        <v>1237</v>
      </c>
      <c r="D377" t="s">
        <v>2016</v>
      </c>
      <c r="E377" t="s">
        <v>1238</v>
      </c>
      <c r="F377" t="s">
        <v>324</v>
      </c>
      <c r="G377">
        <v>40351</v>
      </c>
      <c r="H377">
        <v>38.151904999999999</v>
      </c>
      <c r="I377">
        <v>-83.513848999999993</v>
      </c>
      <c r="K377">
        <v>110045085457</v>
      </c>
      <c r="M377">
        <v>4952</v>
      </c>
      <c r="R377">
        <v>1.581846125</v>
      </c>
      <c r="W377" t="s">
        <v>2017</v>
      </c>
      <c r="X377" t="s">
        <v>2018</v>
      </c>
      <c r="Y377">
        <v>5100101000391</v>
      </c>
      <c r="AA377" t="s">
        <v>1465</v>
      </c>
      <c r="AB377" t="s">
        <v>263</v>
      </c>
    </row>
    <row r="378" spans="1:28" x14ac:dyDescent="0.25">
      <c r="A378">
        <v>2017</v>
      </c>
      <c r="C378" t="s">
        <v>1241</v>
      </c>
      <c r="D378" t="s">
        <v>2023</v>
      </c>
      <c r="E378" t="s">
        <v>1242</v>
      </c>
      <c r="F378" t="s">
        <v>338</v>
      </c>
      <c r="G378" t="s">
        <v>2024</v>
      </c>
      <c r="H378">
        <v>39.920290000000001</v>
      </c>
      <c r="I378">
        <v>-74.927520000000001</v>
      </c>
      <c r="K378">
        <v>110029618297</v>
      </c>
      <c r="M378">
        <v>4952</v>
      </c>
      <c r="R378">
        <v>1.0530059249999999</v>
      </c>
      <c r="W378" t="s">
        <v>2025</v>
      </c>
      <c r="X378" t="s">
        <v>1680</v>
      </c>
      <c r="Y378">
        <v>2040202011430</v>
      </c>
      <c r="AA378" t="s">
        <v>1465</v>
      </c>
      <c r="AB378" t="s">
        <v>263</v>
      </c>
    </row>
    <row r="379" spans="1:28" x14ac:dyDescent="0.25">
      <c r="A379">
        <v>2017</v>
      </c>
      <c r="C379" t="s">
        <v>2033</v>
      </c>
      <c r="D379" t="s">
        <v>571</v>
      </c>
      <c r="E379" t="s">
        <v>572</v>
      </c>
      <c r="F379" t="s">
        <v>303</v>
      </c>
      <c r="G379">
        <v>70051</v>
      </c>
      <c r="H379">
        <v>30.048590999999998</v>
      </c>
      <c r="I379">
        <v>-90.630941000000007</v>
      </c>
      <c r="J379" t="s">
        <v>573</v>
      </c>
      <c r="K379">
        <v>110007015871</v>
      </c>
      <c r="M379">
        <v>2869</v>
      </c>
      <c r="R379">
        <v>8.2766439909296996E-2</v>
      </c>
      <c r="W379" t="s">
        <v>907</v>
      </c>
      <c r="X379" t="s">
        <v>816</v>
      </c>
      <c r="Y379">
        <v>8070204000715</v>
      </c>
      <c r="AA379" t="s">
        <v>1465</v>
      </c>
      <c r="AB379" t="s">
        <v>1466</v>
      </c>
    </row>
    <row r="380" spans="1:28" x14ac:dyDescent="0.25">
      <c r="A380">
        <v>2017</v>
      </c>
      <c r="C380" t="s">
        <v>1254</v>
      </c>
      <c r="D380" t="s">
        <v>2043</v>
      </c>
      <c r="E380" t="s">
        <v>1255</v>
      </c>
      <c r="F380" t="s">
        <v>366</v>
      </c>
      <c r="G380">
        <v>93043</v>
      </c>
      <c r="H380">
        <v>34.147221999999999</v>
      </c>
      <c r="I380">
        <v>-119.211111</v>
      </c>
      <c r="K380">
        <v>110037256812</v>
      </c>
      <c r="M380">
        <v>9711</v>
      </c>
      <c r="R380">
        <v>8.5475504359999906E-3</v>
      </c>
      <c r="W380" t="s">
        <v>2044</v>
      </c>
      <c r="X380" t="s">
        <v>2045</v>
      </c>
      <c r="Y380">
        <v>18070103000061</v>
      </c>
      <c r="AA380" t="s">
        <v>1465</v>
      </c>
      <c r="AB380" t="s">
        <v>1466</v>
      </c>
    </row>
    <row r="381" spans="1:28" x14ac:dyDescent="0.25">
      <c r="A381">
        <v>2017</v>
      </c>
      <c r="C381" t="s">
        <v>1261</v>
      </c>
      <c r="D381" t="s">
        <v>2053</v>
      </c>
      <c r="E381" t="s">
        <v>966</v>
      </c>
      <c r="F381" t="s">
        <v>491</v>
      </c>
      <c r="G381" t="s">
        <v>2054</v>
      </c>
      <c r="H381">
        <v>39.991410000000002</v>
      </c>
      <c r="I381">
        <v>-75.085030000000003</v>
      </c>
      <c r="K381">
        <v>110001076978</v>
      </c>
      <c r="M381">
        <v>4952</v>
      </c>
      <c r="R381">
        <v>179.66259500000001</v>
      </c>
      <c r="W381" t="s">
        <v>2055</v>
      </c>
      <c r="X381" t="s">
        <v>2056</v>
      </c>
      <c r="Y381">
        <v>2040202001980</v>
      </c>
      <c r="AA381" t="s">
        <v>1465</v>
      </c>
      <c r="AB381" t="s">
        <v>263</v>
      </c>
    </row>
    <row r="382" spans="1:28" x14ac:dyDescent="0.25">
      <c r="A382">
        <v>2017</v>
      </c>
      <c r="C382" t="s">
        <v>215</v>
      </c>
      <c r="D382" t="s">
        <v>2065</v>
      </c>
      <c r="E382" t="s">
        <v>1103</v>
      </c>
      <c r="F382" t="s">
        <v>345</v>
      </c>
      <c r="G382" t="s">
        <v>2066</v>
      </c>
      <c r="H382">
        <v>41.404808000000003</v>
      </c>
      <c r="I382">
        <v>-88.334732000000002</v>
      </c>
      <c r="J382" t="s">
        <v>727</v>
      </c>
      <c r="K382">
        <v>110000547196</v>
      </c>
      <c r="M382">
        <v>2869</v>
      </c>
      <c r="R382">
        <v>0.35408843537414902</v>
      </c>
      <c r="W382" t="s">
        <v>2067</v>
      </c>
      <c r="X382" t="s">
        <v>2068</v>
      </c>
      <c r="Y382">
        <v>7120005000849</v>
      </c>
      <c r="AA382" t="s">
        <v>1465</v>
      </c>
      <c r="AB382" t="s">
        <v>1466</v>
      </c>
    </row>
    <row r="383" spans="1:28" x14ac:dyDescent="0.25">
      <c r="A383">
        <v>2017</v>
      </c>
      <c r="C383" t="s">
        <v>1266</v>
      </c>
      <c r="D383" t="s">
        <v>2070</v>
      </c>
      <c r="E383" t="s">
        <v>1267</v>
      </c>
      <c r="F383" t="s">
        <v>491</v>
      </c>
      <c r="G383">
        <v>15061</v>
      </c>
      <c r="H383">
        <v>40.655278000000003</v>
      </c>
      <c r="I383">
        <v>-80.356388999999993</v>
      </c>
      <c r="J383" t="s">
        <v>728</v>
      </c>
      <c r="K383">
        <v>110059344473</v>
      </c>
      <c r="M383">
        <v>2821</v>
      </c>
      <c r="R383">
        <v>0.54294784580498801</v>
      </c>
      <c r="W383" t="s">
        <v>2071</v>
      </c>
      <c r="X383" t="s">
        <v>2072</v>
      </c>
      <c r="Y383">
        <v>5030101000019</v>
      </c>
      <c r="AA383" t="s">
        <v>1465</v>
      </c>
      <c r="AB383" t="s">
        <v>1466</v>
      </c>
    </row>
    <row r="384" spans="1:28" x14ac:dyDescent="0.25">
      <c r="A384">
        <v>2017</v>
      </c>
      <c r="C384" t="s">
        <v>1270</v>
      </c>
      <c r="D384" t="s">
        <v>2076</v>
      </c>
      <c r="E384" t="s">
        <v>1271</v>
      </c>
      <c r="F384" t="s">
        <v>427</v>
      </c>
      <c r="G384">
        <v>49424</v>
      </c>
      <c r="H384">
        <v>42.813049999999997</v>
      </c>
      <c r="I384">
        <v>-86.197429999999997</v>
      </c>
      <c r="K384">
        <v>110006740161</v>
      </c>
      <c r="M384">
        <v>4953</v>
      </c>
      <c r="R384">
        <v>0.19767730250000001</v>
      </c>
      <c r="W384" t="s">
        <v>2077</v>
      </c>
      <c r="X384" t="s">
        <v>2078</v>
      </c>
      <c r="Y384">
        <v>4050002000163</v>
      </c>
      <c r="AA384" t="s">
        <v>1465</v>
      </c>
      <c r="AB384" t="s">
        <v>1466</v>
      </c>
    </row>
    <row r="385" spans="1:28" x14ac:dyDescent="0.25">
      <c r="A385">
        <v>2017</v>
      </c>
      <c r="C385" t="s">
        <v>1272</v>
      </c>
      <c r="D385" t="s">
        <v>2080</v>
      </c>
      <c r="E385" t="s">
        <v>1273</v>
      </c>
      <c r="F385" t="s">
        <v>324</v>
      </c>
      <c r="G385">
        <v>42303</v>
      </c>
      <c r="H385">
        <v>37.770769999999999</v>
      </c>
      <c r="I385">
        <v>-87.065669999999997</v>
      </c>
      <c r="K385">
        <v>110043734983</v>
      </c>
      <c r="M385">
        <v>4952</v>
      </c>
      <c r="R385">
        <v>12.2955725</v>
      </c>
      <c r="W385" t="s">
        <v>2081</v>
      </c>
      <c r="X385" t="s">
        <v>830</v>
      </c>
      <c r="Y385">
        <v>5140201000008</v>
      </c>
      <c r="AA385" t="s">
        <v>1465</v>
      </c>
      <c r="AB385" t="s">
        <v>263</v>
      </c>
    </row>
    <row r="386" spans="1:28" x14ac:dyDescent="0.25">
      <c r="A386">
        <v>2017</v>
      </c>
      <c r="C386" t="s">
        <v>1274</v>
      </c>
      <c r="D386" t="s">
        <v>2083</v>
      </c>
      <c r="E386" t="s">
        <v>1273</v>
      </c>
      <c r="F386" t="s">
        <v>324</v>
      </c>
      <c r="G386">
        <v>42303</v>
      </c>
      <c r="H386">
        <v>37.8125</v>
      </c>
      <c r="I386">
        <v>-87.05</v>
      </c>
      <c r="J386" t="s">
        <v>729</v>
      </c>
      <c r="K386">
        <v>110000747835</v>
      </c>
      <c r="M386">
        <v>2821</v>
      </c>
      <c r="R386">
        <v>4.07210884353741E-2</v>
      </c>
      <c r="W386" t="s">
        <v>2084</v>
      </c>
      <c r="X386" t="s">
        <v>2085</v>
      </c>
      <c r="Y386">
        <v>5140201000239</v>
      </c>
      <c r="AA386" t="s">
        <v>1465</v>
      </c>
      <c r="AB386" t="s">
        <v>1466</v>
      </c>
    </row>
    <row r="387" spans="1:28" x14ac:dyDescent="0.25">
      <c r="A387">
        <v>2017</v>
      </c>
      <c r="C387" t="s">
        <v>1275</v>
      </c>
      <c r="D387" t="s">
        <v>2087</v>
      </c>
      <c r="E387" t="s">
        <v>1276</v>
      </c>
      <c r="F387" t="s">
        <v>366</v>
      </c>
      <c r="G387">
        <v>93033</v>
      </c>
      <c r="H387">
        <v>34.141618999999999</v>
      </c>
      <c r="I387">
        <v>-119.184014</v>
      </c>
      <c r="K387">
        <v>110070097306</v>
      </c>
      <c r="M387">
        <v>4952</v>
      </c>
      <c r="R387">
        <v>2.4761904761904701</v>
      </c>
      <c r="W387" t="s">
        <v>2088</v>
      </c>
      <c r="X387" t="s">
        <v>926</v>
      </c>
      <c r="Y387">
        <v>18070103000060</v>
      </c>
      <c r="AA387" t="s">
        <v>1465</v>
      </c>
      <c r="AB387" t="s">
        <v>263</v>
      </c>
    </row>
    <row r="388" spans="1:28" x14ac:dyDescent="0.25">
      <c r="A388">
        <v>2017</v>
      </c>
      <c r="C388" t="s">
        <v>1285</v>
      </c>
      <c r="D388" t="s">
        <v>2101</v>
      </c>
      <c r="E388" t="s">
        <v>1286</v>
      </c>
      <c r="F388" t="s">
        <v>1171</v>
      </c>
      <c r="G388">
        <v>96818</v>
      </c>
      <c r="H388">
        <v>21.352499999999999</v>
      </c>
      <c r="I388">
        <v>-157.95813899999999</v>
      </c>
      <c r="K388">
        <v>110046184516</v>
      </c>
      <c r="M388">
        <v>3731</v>
      </c>
      <c r="R388">
        <v>1.9065045</v>
      </c>
      <c r="W388" t="s">
        <v>2102</v>
      </c>
      <c r="X388" t="s">
        <v>1253</v>
      </c>
      <c r="Y388">
        <v>20060000000166</v>
      </c>
      <c r="AA388" t="s">
        <v>1465</v>
      </c>
      <c r="AB388" t="s">
        <v>1466</v>
      </c>
    </row>
    <row r="389" spans="1:28" x14ac:dyDescent="0.25">
      <c r="A389">
        <v>2017</v>
      </c>
      <c r="C389" t="s">
        <v>1285</v>
      </c>
      <c r="D389" t="s">
        <v>2101</v>
      </c>
      <c r="E389" t="s">
        <v>1286</v>
      </c>
      <c r="F389" t="s">
        <v>1171</v>
      </c>
      <c r="G389">
        <v>96818</v>
      </c>
      <c r="H389">
        <v>21.352499999999999</v>
      </c>
      <c r="I389">
        <v>-157.95813899999999</v>
      </c>
      <c r="K389">
        <v>110046184516</v>
      </c>
      <c r="M389">
        <v>3731</v>
      </c>
      <c r="R389">
        <v>11.936375999999999</v>
      </c>
      <c r="W389" t="s">
        <v>2103</v>
      </c>
      <c r="X389" t="s">
        <v>2104</v>
      </c>
      <c r="Y389">
        <v>20060000000162</v>
      </c>
      <c r="AA389" t="s">
        <v>1465</v>
      </c>
      <c r="AB389" t="s">
        <v>1466</v>
      </c>
    </row>
    <row r="390" spans="1:28" x14ac:dyDescent="0.25">
      <c r="A390">
        <v>2017</v>
      </c>
      <c r="C390" t="s">
        <v>1285</v>
      </c>
      <c r="D390" t="s">
        <v>2101</v>
      </c>
      <c r="E390" t="s">
        <v>1286</v>
      </c>
      <c r="F390" t="s">
        <v>1171</v>
      </c>
      <c r="G390">
        <v>96818</v>
      </c>
      <c r="H390">
        <v>21.352499999999999</v>
      </c>
      <c r="I390">
        <v>-157.95813899999999</v>
      </c>
      <c r="K390">
        <v>110046184516</v>
      </c>
      <c r="M390">
        <v>3731</v>
      </c>
      <c r="R390">
        <v>11.936375999999999</v>
      </c>
      <c r="W390" t="s">
        <v>2103</v>
      </c>
      <c r="X390" t="s">
        <v>2104</v>
      </c>
      <c r="Y390">
        <v>20060000000162</v>
      </c>
      <c r="AA390" t="s">
        <v>1465</v>
      </c>
      <c r="AB390" t="s">
        <v>1466</v>
      </c>
    </row>
    <row r="391" spans="1:28" x14ac:dyDescent="0.25">
      <c r="A391">
        <v>2017</v>
      </c>
      <c r="C391" t="s">
        <v>180</v>
      </c>
      <c r="D391" t="s">
        <v>596</v>
      </c>
      <c r="E391" t="s">
        <v>597</v>
      </c>
      <c r="F391" t="s">
        <v>338</v>
      </c>
      <c r="G391">
        <v>8844</v>
      </c>
      <c r="H391">
        <v>40.52516</v>
      </c>
      <c r="I391">
        <v>-74.601039999999998</v>
      </c>
      <c r="K391">
        <v>110070217974</v>
      </c>
      <c r="M391">
        <v>2851</v>
      </c>
      <c r="R391">
        <v>9.6051395830909004E-4</v>
      </c>
      <c r="W391" t="s">
        <v>915</v>
      </c>
      <c r="X391" t="s">
        <v>916</v>
      </c>
      <c r="Y391">
        <v>2030105000369</v>
      </c>
      <c r="AA391" t="s">
        <v>1465</v>
      </c>
      <c r="AB391" t="s">
        <v>1466</v>
      </c>
    </row>
    <row r="392" spans="1:28" x14ac:dyDescent="0.25">
      <c r="A392">
        <v>2017</v>
      </c>
      <c r="C392" t="s">
        <v>1288</v>
      </c>
      <c r="D392" t="s">
        <v>2107</v>
      </c>
      <c r="E392" t="s">
        <v>966</v>
      </c>
      <c r="F392" t="s">
        <v>491</v>
      </c>
      <c r="G392" t="s">
        <v>2108</v>
      </c>
      <c r="H392">
        <v>39.901820000000001</v>
      </c>
      <c r="I392">
        <v>-75.144549999999995</v>
      </c>
      <c r="K392">
        <v>110000540610</v>
      </c>
      <c r="M392">
        <v>4952</v>
      </c>
      <c r="R392">
        <v>82.494074999999995</v>
      </c>
      <c r="W392" t="s">
        <v>2109</v>
      </c>
      <c r="X392" t="s">
        <v>783</v>
      </c>
      <c r="Y392">
        <v>2040202000077</v>
      </c>
      <c r="AA392" t="s">
        <v>1465</v>
      </c>
      <c r="AB392" t="s">
        <v>263</v>
      </c>
    </row>
    <row r="393" spans="1:28" x14ac:dyDescent="0.25">
      <c r="A393">
        <v>2017</v>
      </c>
      <c r="C393" t="s">
        <v>1289</v>
      </c>
      <c r="D393" t="s">
        <v>2111</v>
      </c>
      <c r="E393" t="s">
        <v>966</v>
      </c>
      <c r="F393" t="s">
        <v>491</v>
      </c>
      <c r="G393">
        <v>19153</v>
      </c>
      <c r="H393">
        <v>39.886130000000001</v>
      </c>
      <c r="I393">
        <v>-75.218249999999998</v>
      </c>
      <c r="K393">
        <v>110000542119</v>
      </c>
      <c r="R393">
        <v>177.82781625000001</v>
      </c>
      <c r="W393" t="s">
        <v>2112</v>
      </c>
      <c r="X393" t="s">
        <v>2113</v>
      </c>
      <c r="Y393">
        <v>2040203009681</v>
      </c>
      <c r="AA393" t="s">
        <v>1465</v>
      </c>
      <c r="AB393" t="s">
        <v>263</v>
      </c>
    </row>
    <row r="394" spans="1:28" x14ac:dyDescent="0.25">
      <c r="A394">
        <v>2017</v>
      </c>
      <c r="C394" t="s">
        <v>1290</v>
      </c>
      <c r="D394" t="s">
        <v>2115</v>
      </c>
      <c r="E394" t="s">
        <v>544</v>
      </c>
      <c r="F394" t="s">
        <v>338</v>
      </c>
      <c r="G394">
        <v>7036</v>
      </c>
      <c r="H394">
        <v>40.636499999999998</v>
      </c>
      <c r="I394">
        <v>-74.219899999999996</v>
      </c>
      <c r="J394" t="s">
        <v>730</v>
      </c>
      <c r="K394">
        <v>110041133163</v>
      </c>
      <c r="M394">
        <v>2911</v>
      </c>
      <c r="R394">
        <v>1.9950000000000001</v>
      </c>
      <c r="W394" t="s">
        <v>2116</v>
      </c>
      <c r="X394" t="s">
        <v>2117</v>
      </c>
      <c r="Y394">
        <v>2030104000282</v>
      </c>
      <c r="AA394" t="s">
        <v>1465</v>
      </c>
      <c r="AB394" t="s">
        <v>1466</v>
      </c>
    </row>
    <row r="395" spans="1:28" x14ac:dyDescent="0.25">
      <c r="A395">
        <v>2017</v>
      </c>
      <c r="C395" t="s">
        <v>1295</v>
      </c>
      <c r="D395" t="s">
        <v>2126</v>
      </c>
      <c r="E395" t="s">
        <v>964</v>
      </c>
      <c r="F395" t="s">
        <v>374</v>
      </c>
      <c r="G395" t="s">
        <v>2127</v>
      </c>
      <c r="H395">
        <v>32.334964999999997</v>
      </c>
      <c r="I395">
        <v>-111.06332500000001</v>
      </c>
      <c r="K395">
        <v>110039276404</v>
      </c>
      <c r="M395">
        <v>4952</v>
      </c>
      <c r="R395">
        <v>1.688186457</v>
      </c>
      <c r="W395" t="s">
        <v>2128</v>
      </c>
      <c r="Y395">
        <v>15060106000338</v>
      </c>
      <c r="AA395" t="s">
        <v>1465</v>
      </c>
      <c r="AB395" t="s">
        <v>263</v>
      </c>
    </row>
    <row r="396" spans="1:28" x14ac:dyDescent="0.25">
      <c r="A396">
        <v>2017</v>
      </c>
      <c r="C396" t="s">
        <v>1308</v>
      </c>
      <c r="D396" t="s">
        <v>2149</v>
      </c>
      <c r="E396" t="s">
        <v>657</v>
      </c>
      <c r="F396" t="s">
        <v>418</v>
      </c>
      <c r="G396">
        <v>89109</v>
      </c>
      <c r="H396">
        <v>36.132570000000001</v>
      </c>
      <c r="I396">
        <v>-115.16477</v>
      </c>
      <c r="K396">
        <v>110041253256</v>
      </c>
      <c r="M396">
        <v>7011</v>
      </c>
      <c r="R396">
        <v>0.10430513750000001</v>
      </c>
      <c r="W396" t="s">
        <v>2150</v>
      </c>
      <c r="X396" t="s">
        <v>2151</v>
      </c>
      <c r="Y396">
        <v>15010015000432</v>
      </c>
      <c r="AA396" t="s">
        <v>1465</v>
      </c>
      <c r="AB396" t="s">
        <v>1466</v>
      </c>
    </row>
    <row r="397" spans="1:28" x14ac:dyDescent="0.25">
      <c r="A397">
        <v>2017</v>
      </c>
      <c r="C397" t="s">
        <v>1309</v>
      </c>
      <c r="D397" t="s">
        <v>2152</v>
      </c>
      <c r="E397" t="s">
        <v>1310</v>
      </c>
      <c r="F397" t="s">
        <v>366</v>
      </c>
      <c r="G397">
        <v>92316</v>
      </c>
      <c r="H397">
        <v>34.055900000000001</v>
      </c>
      <c r="I397">
        <v>-117.36134</v>
      </c>
      <c r="K397">
        <v>110000525842</v>
      </c>
      <c r="M397">
        <v>4952</v>
      </c>
      <c r="R397">
        <v>1.0033088750000001</v>
      </c>
      <c r="W397" t="s">
        <v>2153</v>
      </c>
      <c r="X397" t="s">
        <v>2154</v>
      </c>
      <c r="Y397">
        <v>18070203002243</v>
      </c>
      <c r="AA397" t="s">
        <v>1465</v>
      </c>
      <c r="AB397" t="s">
        <v>263</v>
      </c>
    </row>
    <row r="398" spans="1:28" x14ac:dyDescent="0.25">
      <c r="A398">
        <v>2017</v>
      </c>
      <c r="C398" t="s">
        <v>1311</v>
      </c>
      <c r="D398" t="s">
        <v>2155</v>
      </c>
      <c r="E398" t="s">
        <v>1312</v>
      </c>
      <c r="F398" t="s">
        <v>506</v>
      </c>
      <c r="G398">
        <v>21157</v>
      </c>
      <c r="H398">
        <v>39.567390000000003</v>
      </c>
      <c r="I398">
        <v>-76.920410000000004</v>
      </c>
      <c r="K398">
        <v>110041245015</v>
      </c>
      <c r="R398">
        <v>1.16738862499999E-4</v>
      </c>
      <c r="W398" t="s">
        <v>2156</v>
      </c>
      <c r="Y398">
        <v>2060003000267</v>
      </c>
      <c r="AA398" t="s">
        <v>1465</v>
      </c>
      <c r="AB398" t="s">
        <v>1466</v>
      </c>
    </row>
    <row r="399" spans="1:28" x14ac:dyDescent="0.25">
      <c r="A399">
        <v>2017</v>
      </c>
      <c r="C399" t="s">
        <v>1311</v>
      </c>
      <c r="D399" t="s">
        <v>2155</v>
      </c>
      <c r="E399" t="s">
        <v>1312</v>
      </c>
      <c r="F399" t="s">
        <v>506</v>
      </c>
      <c r="G399">
        <v>21157</v>
      </c>
      <c r="H399">
        <v>39.567390000000003</v>
      </c>
      <c r="I399">
        <v>-76.920410000000004</v>
      </c>
      <c r="K399">
        <v>110041245015</v>
      </c>
      <c r="R399">
        <v>1.16738862499999E-4</v>
      </c>
      <c r="W399" t="s">
        <v>2156</v>
      </c>
      <c r="Y399">
        <v>2060003000267</v>
      </c>
      <c r="AA399" t="s">
        <v>1465</v>
      </c>
      <c r="AB399" t="s">
        <v>1466</v>
      </c>
    </row>
    <row r="400" spans="1:28" x14ac:dyDescent="0.25">
      <c r="A400">
        <v>2017</v>
      </c>
      <c r="C400" t="s">
        <v>1313</v>
      </c>
      <c r="D400" t="s">
        <v>2158</v>
      </c>
      <c r="E400" t="s">
        <v>1314</v>
      </c>
      <c r="F400" t="s">
        <v>374</v>
      </c>
      <c r="G400">
        <v>86001</v>
      </c>
      <c r="H400">
        <v>35.188434999999998</v>
      </c>
      <c r="I400">
        <v>-111.63066000000001</v>
      </c>
      <c r="K400">
        <v>110064629442</v>
      </c>
      <c r="M400">
        <v>4952</v>
      </c>
      <c r="R400">
        <v>4.2896351249999999E-2</v>
      </c>
      <c r="W400" t="s">
        <v>2159</v>
      </c>
      <c r="Y400">
        <v>15030108000333</v>
      </c>
      <c r="AA400" t="s">
        <v>1465</v>
      </c>
      <c r="AB400" t="s">
        <v>263</v>
      </c>
    </row>
    <row r="401" spans="1:28" x14ac:dyDescent="0.25">
      <c r="A401">
        <v>2017</v>
      </c>
      <c r="C401" t="s">
        <v>1317</v>
      </c>
      <c r="D401" t="s">
        <v>2163</v>
      </c>
      <c r="E401" t="s">
        <v>1318</v>
      </c>
      <c r="F401" t="s">
        <v>491</v>
      </c>
      <c r="G401">
        <v>19021</v>
      </c>
      <c r="H401">
        <v>40.095258000000001</v>
      </c>
      <c r="I401">
        <v>-74.877359999999996</v>
      </c>
      <c r="K401">
        <v>110064634686</v>
      </c>
      <c r="M401">
        <v>2821</v>
      </c>
      <c r="R401">
        <v>0.12750566893424001</v>
      </c>
      <c r="W401" t="s">
        <v>2164</v>
      </c>
      <c r="X401" t="s">
        <v>2165</v>
      </c>
      <c r="Y401">
        <v>2040201000476</v>
      </c>
      <c r="AA401" t="s">
        <v>1465</v>
      </c>
      <c r="AB401" t="s">
        <v>1466</v>
      </c>
    </row>
    <row r="402" spans="1:28" x14ac:dyDescent="0.25">
      <c r="A402">
        <v>2017</v>
      </c>
      <c r="C402" t="s">
        <v>1319</v>
      </c>
      <c r="D402" t="s">
        <v>2167</v>
      </c>
      <c r="E402" t="s">
        <v>1320</v>
      </c>
      <c r="F402" t="s">
        <v>324</v>
      </c>
      <c r="G402">
        <v>42629</v>
      </c>
      <c r="H402">
        <v>36.946111000000002</v>
      </c>
      <c r="I402">
        <v>-85.020832999999996</v>
      </c>
      <c r="K402">
        <v>110000719045</v>
      </c>
      <c r="M402">
        <v>4952</v>
      </c>
      <c r="R402">
        <v>0.4089314</v>
      </c>
      <c r="W402" t="s">
        <v>2168</v>
      </c>
      <c r="X402" t="s">
        <v>2169</v>
      </c>
      <c r="Y402">
        <v>5130103010237</v>
      </c>
      <c r="AA402" t="s">
        <v>1465</v>
      </c>
      <c r="AB402" t="s">
        <v>263</v>
      </c>
    </row>
    <row r="403" spans="1:28" x14ac:dyDescent="0.25">
      <c r="A403">
        <v>2017</v>
      </c>
      <c r="C403" t="s">
        <v>1322</v>
      </c>
      <c r="D403" t="s">
        <v>2173</v>
      </c>
      <c r="E403" t="s">
        <v>1273</v>
      </c>
      <c r="F403" t="s">
        <v>324</v>
      </c>
      <c r="G403">
        <v>42301</v>
      </c>
      <c r="H403">
        <v>37.790278000000001</v>
      </c>
      <c r="I403">
        <v>-87.140277999999995</v>
      </c>
      <c r="K403">
        <v>110039998214</v>
      </c>
      <c r="M403">
        <v>4952</v>
      </c>
      <c r="R403">
        <v>18.764563312500002</v>
      </c>
      <c r="W403" t="s">
        <v>2174</v>
      </c>
      <c r="X403" t="s">
        <v>830</v>
      </c>
      <c r="Y403">
        <v>5140201000008</v>
      </c>
      <c r="AA403" t="s">
        <v>1465</v>
      </c>
      <c r="AB403" t="s">
        <v>263</v>
      </c>
    </row>
    <row r="404" spans="1:28" x14ac:dyDescent="0.25">
      <c r="A404">
        <v>2017</v>
      </c>
      <c r="C404" t="s">
        <v>1323</v>
      </c>
      <c r="D404" t="s">
        <v>2175</v>
      </c>
      <c r="E404" t="s">
        <v>1324</v>
      </c>
      <c r="F404" t="s">
        <v>450</v>
      </c>
      <c r="G404">
        <v>12158</v>
      </c>
      <c r="H404">
        <v>42.574556000000001</v>
      </c>
      <c r="I404">
        <v>-73.851360999999997</v>
      </c>
      <c r="K404">
        <v>110000324391</v>
      </c>
      <c r="M404">
        <v>2821</v>
      </c>
      <c r="R404">
        <v>1.2312925170068001</v>
      </c>
      <c r="W404" t="s">
        <v>2176</v>
      </c>
      <c r="X404" t="s">
        <v>2177</v>
      </c>
      <c r="Y404">
        <v>2020006000238</v>
      </c>
      <c r="AA404" t="s">
        <v>1465</v>
      </c>
      <c r="AB404" t="s">
        <v>1466</v>
      </c>
    </row>
    <row r="405" spans="1:28" x14ac:dyDescent="0.25">
      <c r="A405">
        <v>2017</v>
      </c>
      <c r="C405" t="s">
        <v>1325</v>
      </c>
      <c r="D405" t="s">
        <v>2179</v>
      </c>
      <c r="E405" t="s">
        <v>1326</v>
      </c>
      <c r="F405" t="s">
        <v>469</v>
      </c>
      <c r="G405">
        <v>47620</v>
      </c>
      <c r="H405">
        <v>37.907200000000003</v>
      </c>
      <c r="I405">
        <v>-87.927099999999996</v>
      </c>
      <c r="J405" t="s">
        <v>732</v>
      </c>
      <c r="K405">
        <v>110000403670</v>
      </c>
      <c r="M405">
        <v>2821</v>
      </c>
      <c r="R405">
        <v>21.931972789115601</v>
      </c>
      <c r="W405" t="s">
        <v>2180</v>
      </c>
      <c r="X405" t="s">
        <v>830</v>
      </c>
      <c r="Y405">
        <v>5140202000333</v>
      </c>
      <c r="AA405" t="s">
        <v>1465</v>
      </c>
      <c r="AB405" t="s">
        <v>1466</v>
      </c>
    </row>
    <row r="406" spans="1:28" x14ac:dyDescent="0.25">
      <c r="A406">
        <v>2017</v>
      </c>
      <c r="C406" t="s">
        <v>1327</v>
      </c>
      <c r="D406" t="s">
        <v>2182</v>
      </c>
      <c r="E406" t="s">
        <v>1328</v>
      </c>
      <c r="F406" t="s">
        <v>366</v>
      </c>
      <c r="G406">
        <v>95683</v>
      </c>
      <c r="H406">
        <v>38.516390000000001</v>
      </c>
      <c r="I406">
        <v>-121.19723999999999</v>
      </c>
      <c r="K406">
        <v>110017972764</v>
      </c>
      <c r="M406">
        <v>4953</v>
      </c>
      <c r="R406">
        <v>1.001605625E-2</v>
      </c>
      <c r="W406" t="s">
        <v>2183</v>
      </c>
      <c r="X406" t="s">
        <v>1672</v>
      </c>
      <c r="Y406">
        <v>18040013009470</v>
      </c>
      <c r="AA406" t="s">
        <v>1465</v>
      </c>
      <c r="AB406" t="s">
        <v>1466</v>
      </c>
    </row>
    <row r="407" spans="1:28" x14ac:dyDescent="0.25">
      <c r="A407">
        <v>2017</v>
      </c>
      <c r="C407" t="s">
        <v>1334</v>
      </c>
      <c r="D407" t="s">
        <v>2193</v>
      </c>
      <c r="E407" t="s">
        <v>1335</v>
      </c>
      <c r="F407" t="s">
        <v>366</v>
      </c>
      <c r="G407" t="s">
        <v>2194</v>
      </c>
      <c r="H407">
        <v>36.963245999999998</v>
      </c>
      <c r="I407">
        <v>-122.034009</v>
      </c>
      <c r="K407">
        <v>110013848453</v>
      </c>
      <c r="M407">
        <v>4952</v>
      </c>
      <c r="R407">
        <v>2.7449577000000001</v>
      </c>
      <c r="W407" t="s">
        <v>2195</v>
      </c>
      <c r="X407" t="s">
        <v>2196</v>
      </c>
      <c r="Y407">
        <v>18060015000054</v>
      </c>
      <c r="AA407" t="s">
        <v>1465</v>
      </c>
      <c r="AB407" t="s">
        <v>263</v>
      </c>
    </row>
    <row r="408" spans="1:28" x14ac:dyDescent="0.25">
      <c r="A408">
        <v>2017</v>
      </c>
      <c r="C408" t="s">
        <v>1336</v>
      </c>
      <c r="D408" t="s">
        <v>2197</v>
      </c>
      <c r="E408" t="s">
        <v>1337</v>
      </c>
      <c r="F408" t="s">
        <v>366</v>
      </c>
      <c r="G408" t="s">
        <v>2198</v>
      </c>
      <c r="H408">
        <v>38.368760000000002</v>
      </c>
      <c r="I408">
        <v>-122.76860000000001</v>
      </c>
      <c r="K408">
        <v>110000730460</v>
      </c>
      <c r="M408">
        <v>4952</v>
      </c>
      <c r="R408">
        <v>1.93318875</v>
      </c>
      <c r="W408" t="s">
        <v>2199</v>
      </c>
      <c r="X408" t="s">
        <v>2200</v>
      </c>
      <c r="Y408">
        <v>18010110000032</v>
      </c>
      <c r="AA408" t="s">
        <v>1465</v>
      </c>
      <c r="AB408" t="s">
        <v>263</v>
      </c>
    </row>
    <row r="409" spans="1:28" x14ac:dyDescent="0.25">
      <c r="A409">
        <v>2017</v>
      </c>
      <c r="C409" t="s">
        <v>1338</v>
      </c>
      <c r="D409" t="s">
        <v>2201</v>
      </c>
      <c r="E409" t="s">
        <v>1339</v>
      </c>
      <c r="F409" t="s">
        <v>491</v>
      </c>
      <c r="G409" t="s">
        <v>2202</v>
      </c>
      <c r="H409">
        <v>41.452778000000002</v>
      </c>
      <c r="I409">
        <v>-79.690278000000006</v>
      </c>
      <c r="J409" t="s">
        <v>734</v>
      </c>
      <c r="K409">
        <v>110008476327</v>
      </c>
      <c r="M409">
        <v>2865</v>
      </c>
      <c r="R409">
        <v>0.182086167800453</v>
      </c>
      <c r="W409" t="s">
        <v>2203</v>
      </c>
      <c r="X409" t="s">
        <v>2204</v>
      </c>
      <c r="Y409">
        <v>5010003001287</v>
      </c>
      <c r="AA409" t="s">
        <v>1465</v>
      </c>
      <c r="AB409" t="s">
        <v>1466</v>
      </c>
    </row>
    <row r="410" spans="1:28" x14ac:dyDescent="0.25">
      <c r="A410">
        <v>2017</v>
      </c>
      <c r="C410" t="s">
        <v>1344</v>
      </c>
      <c r="D410" t="s">
        <v>2211</v>
      </c>
      <c r="E410" t="s">
        <v>1345</v>
      </c>
      <c r="F410" t="s">
        <v>366</v>
      </c>
      <c r="G410">
        <v>95589</v>
      </c>
      <c r="H410">
        <v>40.032722</v>
      </c>
      <c r="I410">
        <v>-124.07983299999999</v>
      </c>
      <c r="K410">
        <v>110039689851</v>
      </c>
      <c r="M410">
        <v>4952</v>
      </c>
      <c r="R410">
        <v>4.9044137500000001E-2</v>
      </c>
      <c r="W410" t="s">
        <v>2212</v>
      </c>
      <c r="X410" t="s">
        <v>926</v>
      </c>
      <c r="Y410">
        <v>18010107000005</v>
      </c>
      <c r="AA410" t="s">
        <v>1465</v>
      </c>
      <c r="AB410" t="s">
        <v>263</v>
      </c>
    </row>
    <row r="411" spans="1:28" x14ac:dyDescent="0.25">
      <c r="A411">
        <v>2017</v>
      </c>
      <c r="C411" t="s">
        <v>1346</v>
      </c>
      <c r="D411" t="s">
        <v>2213</v>
      </c>
      <c r="E411" t="s">
        <v>1347</v>
      </c>
      <c r="F411" t="s">
        <v>324</v>
      </c>
      <c r="G411">
        <v>40165</v>
      </c>
      <c r="H411">
        <v>37.985444000000001</v>
      </c>
      <c r="I411">
        <v>-85.720056</v>
      </c>
      <c r="K411">
        <v>110020941383</v>
      </c>
      <c r="M411">
        <v>4952</v>
      </c>
      <c r="R411">
        <v>1.6909866</v>
      </c>
      <c r="W411" t="s">
        <v>2214</v>
      </c>
      <c r="X411" t="s">
        <v>2215</v>
      </c>
      <c r="Y411">
        <v>5140102000052</v>
      </c>
      <c r="AA411" t="s">
        <v>1465</v>
      </c>
      <c r="AB411" t="s">
        <v>263</v>
      </c>
    </row>
    <row r="412" spans="1:28" x14ac:dyDescent="0.25">
      <c r="A412">
        <v>2017</v>
      </c>
      <c r="C412" t="s">
        <v>1348</v>
      </c>
      <c r="D412" t="s">
        <v>2217</v>
      </c>
      <c r="E412" t="s">
        <v>1349</v>
      </c>
      <c r="F412" t="s">
        <v>1249</v>
      </c>
      <c r="G412">
        <v>87420</v>
      </c>
      <c r="H412">
        <v>36.786963999999998</v>
      </c>
      <c r="I412">
        <v>-108.711493</v>
      </c>
      <c r="K412">
        <v>110024409362</v>
      </c>
      <c r="M412">
        <v>4952</v>
      </c>
      <c r="R412">
        <v>1.253592</v>
      </c>
      <c r="W412" t="s">
        <v>2218</v>
      </c>
      <c r="X412" t="s">
        <v>2219</v>
      </c>
      <c r="Y412">
        <v>14080105001216</v>
      </c>
      <c r="AA412" t="s">
        <v>1465</v>
      </c>
      <c r="AB412" t="s">
        <v>263</v>
      </c>
    </row>
    <row r="413" spans="1:28" x14ac:dyDescent="0.25">
      <c r="A413">
        <v>2017</v>
      </c>
      <c r="C413" t="s">
        <v>190</v>
      </c>
      <c r="D413" t="s">
        <v>622</v>
      </c>
      <c r="E413" t="s">
        <v>623</v>
      </c>
      <c r="F413" t="s">
        <v>338</v>
      </c>
      <c r="G413">
        <v>8086</v>
      </c>
      <c r="H413">
        <v>39.845474000000003</v>
      </c>
      <c r="I413">
        <v>-75.209485999999998</v>
      </c>
      <c r="J413" t="s">
        <v>624</v>
      </c>
      <c r="K413">
        <v>110013317614</v>
      </c>
      <c r="M413">
        <v>2821</v>
      </c>
      <c r="R413">
        <v>0.03</v>
      </c>
      <c r="W413" t="s">
        <v>934</v>
      </c>
      <c r="X413" t="s">
        <v>935</v>
      </c>
      <c r="Y413">
        <v>2040202001763</v>
      </c>
      <c r="AA413" t="s">
        <v>1465</v>
      </c>
      <c r="AB413" t="s">
        <v>1466</v>
      </c>
    </row>
    <row r="414" spans="1:28" x14ac:dyDescent="0.25">
      <c r="A414">
        <v>2017</v>
      </c>
      <c r="C414" t="s">
        <v>1356</v>
      </c>
      <c r="D414" t="s">
        <v>2231</v>
      </c>
      <c r="E414" t="s">
        <v>1357</v>
      </c>
      <c r="F414" t="s">
        <v>418</v>
      </c>
      <c r="G414">
        <v>89434</v>
      </c>
      <c r="H414">
        <v>39.530619999999999</v>
      </c>
      <c r="I414">
        <v>-119.73309</v>
      </c>
      <c r="K414">
        <v>110009830200</v>
      </c>
      <c r="M414">
        <v>9511</v>
      </c>
      <c r="R414">
        <v>2.8873872500000002</v>
      </c>
      <c r="W414" t="s">
        <v>2232</v>
      </c>
      <c r="X414" t="s">
        <v>2233</v>
      </c>
      <c r="Y414">
        <v>16050102000423</v>
      </c>
      <c r="AA414" t="s">
        <v>1465</v>
      </c>
      <c r="AB414" t="s">
        <v>1466</v>
      </c>
    </row>
    <row r="415" spans="1:28" x14ac:dyDescent="0.25">
      <c r="A415">
        <v>2017</v>
      </c>
      <c r="C415" t="s">
        <v>1358</v>
      </c>
      <c r="D415" t="s">
        <v>2234</v>
      </c>
      <c r="E415" t="s">
        <v>1359</v>
      </c>
      <c r="F415" t="s">
        <v>374</v>
      </c>
      <c r="G415">
        <v>86508</v>
      </c>
      <c r="H415">
        <v>35.359191000000003</v>
      </c>
      <c r="I415">
        <v>-109.05148</v>
      </c>
      <c r="K415">
        <v>110017206432</v>
      </c>
      <c r="M415">
        <v>5541</v>
      </c>
      <c r="R415">
        <v>2.4929830963499901E-5</v>
      </c>
      <c r="W415" t="s">
        <v>2235</v>
      </c>
      <c r="X415" t="s">
        <v>2236</v>
      </c>
      <c r="Y415">
        <v>15020006000047</v>
      </c>
      <c r="AA415" t="s">
        <v>1465</v>
      </c>
      <c r="AB415" t="s">
        <v>1466</v>
      </c>
    </row>
    <row r="416" spans="1:28" x14ac:dyDescent="0.25">
      <c r="A416">
        <v>2017</v>
      </c>
      <c r="C416" t="s">
        <v>1360</v>
      </c>
      <c r="D416" t="s">
        <v>2237</v>
      </c>
      <c r="E416" t="s">
        <v>1361</v>
      </c>
      <c r="F416" t="s">
        <v>366</v>
      </c>
      <c r="G416">
        <v>93561</v>
      </c>
      <c r="H416">
        <v>35.082410000000003</v>
      </c>
      <c r="I416">
        <v>-118.63708</v>
      </c>
      <c r="K416">
        <v>110006783463</v>
      </c>
      <c r="M416">
        <v>4952</v>
      </c>
      <c r="R416">
        <v>1.2276723200000001E-2</v>
      </c>
      <c r="W416" t="s">
        <v>2238</v>
      </c>
      <c r="X416" t="s">
        <v>2239</v>
      </c>
      <c r="Y416">
        <v>18030003001307</v>
      </c>
      <c r="AA416" t="s">
        <v>1465</v>
      </c>
      <c r="AB416" t="s">
        <v>263</v>
      </c>
    </row>
    <row r="417" spans="1:28" x14ac:dyDescent="0.25">
      <c r="A417">
        <v>2017</v>
      </c>
      <c r="C417" t="s">
        <v>1363</v>
      </c>
      <c r="D417" t="s">
        <v>2242</v>
      </c>
      <c r="E417" t="s">
        <v>1364</v>
      </c>
      <c r="F417" t="s">
        <v>303</v>
      </c>
      <c r="G417">
        <v>70776</v>
      </c>
      <c r="H417">
        <v>30.241299999999999</v>
      </c>
      <c r="I417">
        <v>-91.100899999999996</v>
      </c>
      <c r="J417" t="s">
        <v>735</v>
      </c>
      <c r="K417">
        <v>110000597426</v>
      </c>
      <c r="M417">
        <v>2819</v>
      </c>
      <c r="R417">
        <v>0.82766439909296996</v>
      </c>
      <c r="W417" t="s">
        <v>2243</v>
      </c>
      <c r="X417">
        <v>402</v>
      </c>
      <c r="Y417">
        <v>8070202002351</v>
      </c>
      <c r="AA417" t="s">
        <v>1465</v>
      </c>
      <c r="AB417" t="s">
        <v>1466</v>
      </c>
    </row>
    <row r="418" spans="1:28" x14ac:dyDescent="0.25">
      <c r="A418">
        <v>2017</v>
      </c>
      <c r="C418" t="s">
        <v>1365</v>
      </c>
      <c r="D418" t="s">
        <v>2246</v>
      </c>
      <c r="E418" t="s">
        <v>1366</v>
      </c>
      <c r="F418" t="s">
        <v>506</v>
      </c>
      <c r="G418" t="s">
        <v>2247</v>
      </c>
      <c r="H418">
        <v>38.082917000000002</v>
      </c>
      <c r="I418">
        <v>-75.602999999999994</v>
      </c>
      <c r="K418">
        <v>110008479397</v>
      </c>
      <c r="M418">
        <v>5149</v>
      </c>
      <c r="R418">
        <v>3.1270155999999901E-3</v>
      </c>
      <c r="W418" t="s">
        <v>2248</v>
      </c>
      <c r="X418" t="s">
        <v>2249</v>
      </c>
      <c r="Y418">
        <v>2080111014856</v>
      </c>
      <c r="AA418" t="s">
        <v>1465</v>
      </c>
      <c r="AB418" t="s">
        <v>1466</v>
      </c>
    </row>
    <row r="419" spans="1:28" x14ac:dyDescent="0.25">
      <c r="A419">
        <v>2017</v>
      </c>
      <c r="C419" t="s">
        <v>1368</v>
      </c>
      <c r="D419" t="s">
        <v>2253</v>
      </c>
      <c r="E419" t="s">
        <v>657</v>
      </c>
      <c r="F419" t="s">
        <v>418</v>
      </c>
      <c r="G419">
        <v>89119</v>
      </c>
      <c r="H419">
        <v>36.074100000000001</v>
      </c>
      <c r="I419">
        <v>-115.17274</v>
      </c>
      <c r="K419">
        <v>110041903223</v>
      </c>
      <c r="M419">
        <v>5541</v>
      </c>
      <c r="R419">
        <v>2.2387612625000002E-3</v>
      </c>
      <c r="W419" t="s">
        <v>2254</v>
      </c>
      <c r="X419" t="s">
        <v>2255</v>
      </c>
      <c r="Y419">
        <v>15010015000141</v>
      </c>
      <c r="AA419" t="s">
        <v>1465</v>
      </c>
      <c r="AB419" t="s">
        <v>1466</v>
      </c>
    </row>
    <row r="420" spans="1:28" x14ac:dyDescent="0.25">
      <c r="A420">
        <v>2017</v>
      </c>
      <c r="C420" t="s">
        <v>1375</v>
      </c>
      <c r="D420" t="s">
        <v>2268</v>
      </c>
      <c r="E420" t="s">
        <v>657</v>
      </c>
      <c r="F420" t="s">
        <v>418</v>
      </c>
      <c r="G420">
        <v>89109</v>
      </c>
      <c r="H420">
        <v>36.137529999999998</v>
      </c>
      <c r="I420">
        <v>-115.15479000000001</v>
      </c>
      <c r="K420">
        <v>110020039402</v>
      </c>
      <c r="M420">
        <v>7011</v>
      </c>
      <c r="R420">
        <v>1.4097232499999899E-8</v>
      </c>
      <c r="W420" t="s">
        <v>2269</v>
      </c>
      <c r="X420" t="s">
        <v>2270</v>
      </c>
      <c r="Y420">
        <v>15010015000432</v>
      </c>
      <c r="AA420" t="s">
        <v>1465</v>
      </c>
      <c r="AB420" t="s">
        <v>1466</v>
      </c>
    </row>
    <row r="421" spans="1:28" x14ac:dyDescent="0.25">
      <c r="A421">
        <v>2017</v>
      </c>
      <c r="C421" t="s">
        <v>1378</v>
      </c>
      <c r="D421" t="s">
        <v>2274</v>
      </c>
      <c r="E421" t="s">
        <v>474</v>
      </c>
      <c r="F421" t="s">
        <v>338</v>
      </c>
      <c r="G421">
        <v>7470</v>
      </c>
      <c r="H421">
        <v>40.936109999999999</v>
      </c>
      <c r="I421">
        <v>-74.273809999999997</v>
      </c>
      <c r="K421">
        <v>110070212009</v>
      </c>
      <c r="R421">
        <v>1.0042151175499901E-3</v>
      </c>
      <c r="W421" t="s">
        <v>2275</v>
      </c>
      <c r="X421" t="s">
        <v>2276</v>
      </c>
      <c r="Y421">
        <v>2030103000052</v>
      </c>
      <c r="AA421" t="s">
        <v>1465</v>
      </c>
      <c r="AB421" t="s">
        <v>1466</v>
      </c>
    </row>
    <row r="422" spans="1:28" x14ac:dyDescent="0.25">
      <c r="A422">
        <v>2017</v>
      </c>
      <c r="C422" t="s">
        <v>1381</v>
      </c>
      <c r="D422" t="s">
        <v>2280</v>
      </c>
      <c r="E422" t="s">
        <v>1382</v>
      </c>
      <c r="F422" t="s">
        <v>374</v>
      </c>
      <c r="G422">
        <v>863148622</v>
      </c>
      <c r="H422">
        <v>34.591583999999997</v>
      </c>
      <c r="I422">
        <v>-112.31693</v>
      </c>
      <c r="K422">
        <v>110000914725</v>
      </c>
      <c r="M422">
        <v>4952</v>
      </c>
      <c r="R422">
        <v>3.1067279999999999</v>
      </c>
      <c r="W422" t="s">
        <v>2281</v>
      </c>
      <c r="Y422">
        <v>15070102009265</v>
      </c>
      <c r="AA422" t="s">
        <v>1465</v>
      </c>
      <c r="AB422" t="s">
        <v>263</v>
      </c>
    </row>
    <row r="423" spans="1:28" x14ac:dyDescent="0.25">
      <c r="A423">
        <v>2017</v>
      </c>
      <c r="C423" t="s">
        <v>1383</v>
      </c>
      <c r="D423" t="s">
        <v>2282</v>
      </c>
      <c r="E423" t="s">
        <v>516</v>
      </c>
      <c r="F423" t="s">
        <v>303</v>
      </c>
      <c r="G423">
        <v>707340000</v>
      </c>
      <c r="H423">
        <v>30.233011999999999</v>
      </c>
      <c r="I423">
        <v>-91.022057000000004</v>
      </c>
      <c r="K423">
        <v>110000911309</v>
      </c>
      <c r="M423">
        <v>4789</v>
      </c>
      <c r="R423">
        <v>2.1814344095E-2</v>
      </c>
      <c r="W423" t="s">
        <v>2283</v>
      </c>
      <c r="X423" t="s">
        <v>795</v>
      </c>
      <c r="Y423">
        <v>8070204000034</v>
      </c>
      <c r="AA423" t="s">
        <v>1465</v>
      </c>
      <c r="AB423" t="s">
        <v>1466</v>
      </c>
    </row>
    <row r="424" spans="1:28" x14ac:dyDescent="0.25">
      <c r="A424">
        <v>2017</v>
      </c>
      <c r="C424" t="s">
        <v>196</v>
      </c>
      <c r="D424" t="s">
        <v>650</v>
      </c>
      <c r="E424" t="s">
        <v>651</v>
      </c>
      <c r="F424" t="s">
        <v>418</v>
      </c>
      <c r="G424">
        <v>89015</v>
      </c>
      <c r="H424">
        <v>36.035440000000001</v>
      </c>
      <c r="I424">
        <v>-114.99994</v>
      </c>
      <c r="J424" t="s">
        <v>652</v>
      </c>
      <c r="K424">
        <v>110043808467</v>
      </c>
      <c r="M424">
        <v>1799</v>
      </c>
      <c r="R424">
        <v>0.46911025049999999</v>
      </c>
      <c r="W424" t="s">
        <v>947</v>
      </c>
      <c r="X424" t="s">
        <v>948</v>
      </c>
      <c r="Y424">
        <v>15010015000957</v>
      </c>
      <c r="AA424" t="s">
        <v>1465</v>
      </c>
      <c r="AB424" t="s">
        <v>1466</v>
      </c>
    </row>
    <row r="425" spans="1:28" x14ac:dyDescent="0.25">
      <c r="A425">
        <v>2017</v>
      </c>
      <c r="C425" t="s">
        <v>1389</v>
      </c>
      <c r="D425" t="s">
        <v>2294</v>
      </c>
      <c r="E425" t="s">
        <v>358</v>
      </c>
      <c r="F425" t="s">
        <v>275</v>
      </c>
      <c r="G425">
        <v>83704</v>
      </c>
      <c r="H425">
        <v>43.605383000000003</v>
      </c>
      <c r="I425">
        <v>-116.27849000000001</v>
      </c>
      <c r="K425">
        <v>110062644367</v>
      </c>
      <c r="R425">
        <v>1.0918256419999901E-2</v>
      </c>
      <c r="W425" t="s">
        <v>2295</v>
      </c>
      <c r="X425" t="s">
        <v>2296</v>
      </c>
      <c r="Y425">
        <v>17050114001337</v>
      </c>
      <c r="AA425" t="s">
        <v>1465</v>
      </c>
      <c r="AB425" t="s">
        <v>1466</v>
      </c>
    </row>
    <row r="426" spans="1:28" x14ac:dyDescent="0.25">
      <c r="A426">
        <v>2017</v>
      </c>
      <c r="C426" t="s">
        <v>1394</v>
      </c>
      <c r="D426" t="s">
        <v>2304</v>
      </c>
      <c r="E426" t="s">
        <v>1395</v>
      </c>
      <c r="F426" t="s">
        <v>362</v>
      </c>
      <c r="G426">
        <v>78241</v>
      </c>
      <c r="H426">
        <v>29.378699999999998</v>
      </c>
      <c r="I426">
        <v>-98.551670000000001</v>
      </c>
      <c r="K426">
        <v>110042004915</v>
      </c>
      <c r="M426">
        <v>9711</v>
      </c>
      <c r="R426">
        <v>1.7013377422999999E-2</v>
      </c>
      <c r="W426" t="s">
        <v>2305</v>
      </c>
      <c r="X426" t="s">
        <v>2306</v>
      </c>
      <c r="Y426">
        <v>12100302000008</v>
      </c>
      <c r="AA426" t="s">
        <v>1465</v>
      </c>
      <c r="AB426" t="s">
        <v>1466</v>
      </c>
    </row>
    <row r="427" spans="1:28" x14ac:dyDescent="0.25">
      <c r="A427">
        <v>2017</v>
      </c>
      <c r="C427" t="s">
        <v>1398</v>
      </c>
      <c r="D427" t="s">
        <v>2311</v>
      </c>
      <c r="E427" t="s">
        <v>1399</v>
      </c>
      <c r="F427" t="s">
        <v>1171</v>
      </c>
      <c r="G427">
        <v>968633062</v>
      </c>
      <c r="H427">
        <v>21.438638999999998</v>
      </c>
      <c r="I427">
        <v>-157.75847200000001</v>
      </c>
      <c r="K427">
        <v>110041973460</v>
      </c>
      <c r="M427">
        <v>4952</v>
      </c>
      <c r="R427">
        <v>0.87795913749999999</v>
      </c>
      <c r="W427" t="s">
        <v>2312</v>
      </c>
      <c r="X427" t="s">
        <v>926</v>
      </c>
      <c r="Y427">
        <v>20060000000122</v>
      </c>
      <c r="AA427" t="s">
        <v>1465</v>
      </c>
      <c r="AB427" t="s">
        <v>1466</v>
      </c>
    </row>
    <row r="428" spans="1:28" x14ac:dyDescent="0.25">
      <c r="A428">
        <v>2017</v>
      </c>
      <c r="C428" t="s">
        <v>198</v>
      </c>
      <c r="D428" t="s">
        <v>656</v>
      </c>
      <c r="E428" t="s">
        <v>657</v>
      </c>
      <c r="F428" t="s">
        <v>418</v>
      </c>
      <c r="G428">
        <v>89109</v>
      </c>
      <c r="H428">
        <v>36.122100000000003</v>
      </c>
      <c r="I428">
        <v>-115.17139</v>
      </c>
      <c r="K428">
        <v>110004306938</v>
      </c>
      <c r="M428">
        <v>7011</v>
      </c>
      <c r="R428">
        <v>0.13325154006250001</v>
      </c>
      <c r="W428" t="s">
        <v>951</v>
      </c>
      <c r="X428" t="s">
        <v>952</v>
      </c>
      <c r="Y428">
        <v>15010015000432</v>
      </c>
      <c r="AA428" t="s">
        <v>1465</v>
      </c>
      <c r="AB428" t="s">
        <v>1466</v>
      </c>
    </row>
    <row r="429" spans="1:28" x14ac:dyDescent="0.25">
      <c r="A429">
        <v>2017</v>
      </c>
      <c r="C429" t="s">
        <v>198</v>
      </c>
      <c r="D429" t="s">
        <v>656</v>
      </c>
      <c r="E429" t="s">
        <v>657</v>
      </c>
      <c r="F429" t="s">
        <v>418</v>
      </c>
      <c r="G429">
        <v>89109</v>
      </c>
      <c r="H429">
        <v>36.122100000000003</v>
      </c>
      <c r="I429">
        <v>-115.17139</v>
      </c>
      <c r="K429">
        <v>110004306938</v>
      </c>
      <c r="M429">
        <v>7011</v>
      </c>
      <c r="R429">
        <v>0.13299941174999999</v>
      </c>
      <c r="W429" t="s">
        <v>951</v>
      </c>
      <c r="X429" t="s">
        <v>952</v>
      </c>
      <c r="Y429">
        <v>15010015000432</v>
      </c>
      <c r="AA429" t="s">
        <v>1465</v>
      </c>
      <c r="AB429" t="s">
        <v>1466</v>
      </c>
    </row>
    <row r="430" spans="1:28" x14ac:dyDescent="0.25">
      <c r="A430">
        <v>2017</v>
      </c>
      <c r="C430" t="s">
        <v>198</v>
      </c>
      <c r="D430" t="s">
        <v>656</v>
      </c>
      <c r="E430" t="s">
        <v>657</v>
      </c>
      <c r="F430" t="s">
        <v>418</v>
      </c>
      <c r="G430">
        <v>89109</v>
      </c>
      <c r="H430">
        <v>36.122100000000003</v>
      </c>
      <c r="I430">
        <v>-115.17139</v>
      </c>
      <c r="K430">
        <v>110004306938</v>
      </c>
      <c r="M430">
        <v>7011</v>
      </c>
      <c r="R430">
        <v>3.3156600000000001E-2</v>
      </c>
      <c r="W430" t="s">
        <v>951</v>
      </c>
      <c r="X430" t="s">
        <v>952</v>
      </c>
      <c r="Y430">
        <v>15010015000432</v>
      </c>
      <c r="AA430" t="s">
        <v>1465</v>
      </c>
      <c r="AB430" t="s">
        <v>1466</v>
      </c>
    </row>
    <row r="431" spans="1:28" x14ac:dyDescent="0.25">
      <c r="A431">
        <v>2017</v>
      </c>
      <c r="C431" t="s">
        <v>198</v>
      </c>
      <c r="D431" t="s">
        <v>656</v>
      </c>
      <c r="E431" t="s">
        <v>657</v>
      </c>
      <c r="F431" t="s">
        <v>418</v>
      </c>
      <c r="G431">
        <v>89109</v>
      </c>
      <c r="H431">
        <v>36.122100000000003</v>
      </c>
      <c r="I431">
        <v>-115.17139</v>
      </c>
      <c r="K431">
        <v>110004306938</v>
      </c>
      <c r="M431">
        <v>7011</v>
      </c>
      <c r="R431">
        <v>2.1068256249999999E-4</v>
      </c>
      <c r="W431" t="s">
        <v>951</v>
      </c>
      <c r="X431" t="s">
        <v>952</v>
      </c>
      <c r="Y431">
        <v>15010015000432</v>
      </c>
      <c r="AA431" t="s">
        <v>1465</v>
      </c>
      <c r="AB431" t="s">
        <v>1466</v>
      </c>
    </row>
    <row r="432" spans="1:28" x14ac:dyDescent="0.25">
      <c r="A432">
        <v>2017</v>
      </c>
      <c r="C432" t="s">
        <v>198</v>
      </c>
      <c r="D432" t="s">
        <v>656</v>
      </c>
      <c r="E432" t="s">
        <v>657</v>
      </c>
      <c r="F432" t="s">
        <v>418</v>
      </c>
      <c r="G432">
        <v>89109</v>
      </c>
      <c r="H432">
        <v>36.122100000000003</v>
      </c>
      <c r="I432">
        <v>-115.17139</v>
      </c>
      <c r="K432">
        <v>110004306938</v>
      </c>
      <c r="M432">
        <v>7011</v>
      </c>
      <c r="R432">
        <v>2.6939737500000002E-4</v>
      </c>
      <c r="W432" t="s">
        <v>951</v>
      </c>
      <c r="X432" t="s">
        <v>952</v>
      </c>
      <c r="Y432">
        <v>15010015000432</v>
      </c>
      <c r="AA432" t="s">
        <v>1465</v>
      </c>
      <c r="AB432" t="s">
        <v>1466</v>
      </c>
    </row>
    <row r="433" spans="1:28" x14ac:dyDescent="0.25">
      <c r="A433">
        <v>2017</v>
      </c>
      <c r="C433" t="s">
        <v>198</v>
      </c>
      <c r="D433" t="s">
        <v>656</v>
      </c>
      <c r="E433" t="s">
        <v>657</v>
      </c>
      <c r="F433" t="s">
        <v>418</v>
      </c>
      <c r="G433">
        <v>89109</v>
      </c>
      <c r="H433">
        <v>36.122100000000003</v>
      </c>
      <c r="I433">
        <v>-115.17139</v>
      </c>
      <c r="K433">
        <v>110004306938</v>
      </c>
      <c r="M433">
        <v>7011</v>
      </c>
      <c r="R433">
        <v>3.9445992562499997E-2</v>
      </c>
      <c r="W433" t="s">
        <v>951</v>
      </c>
      <c r="X433" t="s">
        <v>952</v>
      </c>
      <c r="Y433">
        <v>15010015000432</v>
      </c>
      <c r="AA433" t="s">
        <v>1465</v>
      </c>
      <c r="AB433" t="s">
        <v>1466</v>
      </c>
    </row>
    <row r="434" spans="1:28" x14ac:dyDescent="0.25">
      <c r="A434">
        <v>2017</v>
      </c>
      <c r="C434" t="s">
        <v>1408</v>
      </c>
      <c r="D434" t="s">
        <v>2327</v>
      </c>
      <c r="E434" t="s">
        <v>1409</v>
      </c>
      <c r="F434" t="s">
        <v>366</v>
      </c>
      <c r="G434" t="s">
        <v>2328</v>
      </c>
      <c r="H434">
        <v>34.616658000000001</v>
      </c>
      <c r="I434">
        <v>-117.355048</v>
      </c>
      <c r="K434">
        <v>110000517637</v>
      </c>
      <c r="M434">
        <v>4952</v>
      </c>
      <c r="R434">
        <v>0.46419240000000001</v>
      </c>
      <c r="W434" t="s">
        <v>2329</v>
      </c>
      <c r="X434" t="s">
        <v>2330</v>
      </c>
      <c r="Y434">
        <v>18090208000542</v>
      </c>
      <c r="AA434" t="s">
        <v>1465</v>
      </c>
      <c r="AB434" t="s">
        <v>263</v>
      </c>
    </row>
    <row r="435" spans="1:28" x14ac:dyDescent="0.25">
      <c r="A435">
        <v>2017</v>
      </c>
      <c r="C435" t="s">
        <v>1410</v>
      </c>
      <c r="D435" t="s">
        <v>2331</v>
      </c>
      <c r="E435" t="s">
        <v>657</v>
      </c>
      <c r="F435" t="s">
        <v>418</v>
      </c>
      <c r="G435">
        <v>89106</v>
      </c>
      <c r="H435">
        <v>36.19997</v>
      </c>
      <c r="I435">
        <v>-115.19658</v>
      </c>
      <c r="K435">
        <v>110064418553</v>
      </c>
      <c r="M435">
        <v>5541</v>
      </c>
      <c r="R435">
        <v>7.9852145000000006E-3</v>
      </c>
      <c r="W435" t="s">
        <v>2332</v>
      </c>
      <c r="X435" t="s">
        <v>1893</v>
      </c>
      <c r="Y435">
        <v>15010015000124</v>
      </c>
      <c r="AA435" t="s">
        <v>1465</v>
      </c>
      <c r="AB435" t="s">
        <v>1466</v>
      </c>
    </row>
    <row r="436" spans="1:28" x14ac:dyDescent="0.25">
      <c r="A436">
        <v>2017</v>
      </c>
      <c r="C436" t="s">
        <v>1421</v>
      </c>
      <c r="D436" t="s">
        <v>2350</v>
      </c>
      <c r="E436" t="s">
        <v>1422</v>
      </c>
      <c r="F436" t="s">
        <v>1171</v>
      </c>
      <c r="G436">
        <v>96746</v>
      </c>
      <c r="H436">
        <v>22.079093</v>
      </c>
      <c r="I436">
        <v>-159.35138900000001</v>
      </c>
      <c r="K436">
        <v>110010731262</v>
      </c>
      <c r="M436">
        <v>4952</v>
      </c>
      <c r="R436">
        <v>0.31222464999999999</v>
      </c>
      <c r="W436" t="s">
        <v>2351</v>
      </c>
      <c r="X436" t="s">
        <v>2352</v>
      </c>
      <c r="Y436">
        <v>20070000000062</v>
      </c>
      <c r="AA436" t="s">
        <v>1465</v>
      </c>
      <c r="AB436" t="s">
        <v>263</v>
      </c>
    </row>
    <row r="437" spans="1:28" x14ac:dyDescent="0.25">
      <c r="A437">
        <v>2017</v>
      </c>
      <c r="C437" t="s">
        <v>1428</v>
      </c>
      <c r="D437" t="s">
        <v>2362</v>
      </c>
      <c r="E437" t="s">
        <v>337</v>
      </c>
      <c r="F437" t="s">
        <v>338</v>
      </c>
      <c r="G437">
        <v>8066</v>
      </c>
      <c r="H437">
        <v>39.837310000000002</v>
      </c>
      <c r="I437">
        <v>-75.224580000000003</v>
      </c>
      <c r="K437">
        <v>110010354810</v>
      </c>
      <c r="M437">
        <v>4911</v>
      </c>
      <c r="R437">
        <v>2.863376724E-2</v>
      </c>
      <c r="W437" t="s">
        <v>2363</v>
      </c>
      <c r="X437" t="s">
        <v>783</v>
      </c>
      <c r="Y437">
        <v>2040202001766</v>
      </c>
      <c r="AA437" t="s">
        <v>1465</v>
      </c>
      <c r="AB437" t="s">
        <v>1466</v>
      </c>
    </row>
    <row r="438" spans="1:28" x14ac:dyDescent="0.25">
      <c r="A438">
        <v>2017</v>
      </c>
      <c r="C438" t="s">
        <v>1431</v>
      </c>
      <c r="D438" t="s">
        <v>2369</v>
      </c>
      <c r="E438" t="s">
        <v>1314</v>
      </c>
      <c r="F438" t="s">
        <v>374</v>
      </c>
      <c r="G438">
        <v>86004</v>
      </c>
      <c r="H438">
        <v>35.225619999999999</v>
      </c>
      <c r="I438">
        <v>-111.5582</v>
      </c>
      <c r="K438">
        <v>110043316612</v>
      </c>
      <c r="M438">
        <v>4952</v>
      </c>
      <c r="R438">
        <v>0.55931039625000001</v>
      </c>
      <c r="W438" t="s">
        <v>2370</v>
      </c>
      <c r="Y438">
        <v>15050301001323</v>
      </c>
      <c r="AA438" t="s">
        <v>1465</v>
      </c>
      <c r="AB438" t="s">
        <v>263</v>
      </c>
    </row>
    <row r="439" spans="1:28" x14ac:dyDescent="0.25">
      <c r="A439">
        <v>2017</v>
      </c>
      <c r="C439" t="s">
        <v>203</v>
      </c>
      <c r="D439" t="s">
        <v>669</v>
      </c>
      <c r="E439" t="s">
        <v>348</v>
      </c>
      <c r="F439" t="s">
        <v>349</v>
      </c>
      <c r="G439">
        <v>63461</v>
      </c>
      <c r="H439">
        <v>39.828163000000004</v>
      </c>
      <c r="I439">
        <v>-91.436942000000002</v>
      </c>
      <c r="K439">
        <v>110040330718</v>
      </c>
      <c r="M439">
        <v>9512</v>
      </c>
      <c r="R439">
        <v>0.12979067799999999</v>
      </c>
      <c r="W439" t="s">
        <v>959</v>
      </c>
      <c r="X439" t="s">
        <v>960</v>
      </c>
      <c r="Y439">
        <v>7110004001360</v>
      </c>
      <c r="AA439" t="s">
        <v>1465</v>
      </c>
      <c r="AB439" t="s">
        <v>1466</v>
      </c>
    </row>
    <row r="440" spans="1:28" x14ac:dyDescent="0.25">
      <c r="A440">
        <v>2017</v>
      </c>
      <c r="C440" t="s">
        <v>1442</v>
      </c>
      <c r="D440" t="s">
        <v>2386</v>
      </c>
      <c r="E440" t="s">
        <v>1443</v>
      </c>
      <c r="F440" t="s">
        <v>450</v>
      </c>
      <c r="G440">
        <v>14580</v>
      </c>
      <c r="H440">
        <v>43.227834000000001</v>
      </c>
      <c r="I440">
        <v>-77.411534000000003</v>
      </c>
      <c r="J440" t="s">
        <v>740</v>
      </c>
      <c r="K440">
        <v>110000327799</v>
      </c>
      <c r="M440">
        <v>9511</v>
      </c>
      <c r="R440">
        <v>0.10075249864999999</v>
      </c>
      <c r="W440" t="s">
        <v>2387</v>
      </c>
      <c r="X440" t="s">
        <v>2388</v>
      </c>
      <c r="Y440">
        <v>4140101000567</v>
      </c>
      <c r="AA440" t="s">
        <v>1465</v>
      </c>
      <c r="AB440" t="s">
        <v>1466</v>
      </c>
    </row>
    <row r="441" spans="1:28" x14ac:dyDescent="0.25">
      <c r="A441">
        <v>2017</v>
      </c>
      <c r="C441" t="s">
        <v>1442</v>
      </c>
      <c r="D441" t="s">
        <v>2386</v>
      </c>
      <c r="E441" t="s">
        <v>1443</v>
      </c>
      <c r="F441" t="s">
        <v>450</v>
      </c>
      <c r="G441">
        <v>14580</v>
      </c>
      <c r="H441">
        <v>43.227834000000001</v>
      </c>
      <c r="I441">
        <v>-77.411534000000003</v>
      </c>
      <c r="J441" t="s">
        <v>740</v>
      </c>
      <c r="K441">
        <v>110000327799</v>
      </c>
      <c r="M441">
        <v>9511</v>
      </c>
      <c r="R441">
        <v>6.0530377889775E-2</v>
      </c>
      <c r="W441" t="s">
        <v>2387</v>
      </c>
      <c r="X441" t="s">
        <v>2388</v>
      </c>
      <c r="Y441">
        <v>4140101000567</v>
      </c>
      <c r="AA441" t="s">
        <v>1465</v>
      </c>
      <c r="AB441" t="s">
        <v>1466</v>
      </c>
    </row>
    <row r="442" spans="1:28" x14ac:dyDescent="0.25">
      <c r="A442">
        <v>2017</v>
      </c>
      <c r="C442" t="s">
        <v>1442</v>
      </c>
      <c r="D442" t="s">
        <v>2386</v>
      </c>
      <c r="E442" t="s">
        <v>1443</v>
      </c>
      <c r="F442" t="s">
        <v>450</v>
      </c>
      <c r="G442">
        <v>14580</v>
      </c>
      <c r="H442">
        <v>43.227834000000001</v>
      </c>
      <c r="I442">
        <v>-77.411534000000003</v>
      </c>
      <c r="J442" t="s">
        <v>740</v>
      </c>
      <c r="K442">
        <v>110000327799</v>
      </c>
      <c r="M442">
        <v>9511</v>
      </c>
      <c r="R442">
        <v>3.4848702039500003E-2</v>
      </c>
      <c r="W442" t="s">
        <v>2387</v>
      </c>
      <c r="X442" t="s">
        <v>2388</v>
      </c>
      <c r="Y442">
        <v>4140101000567</v>
      </c>
      <c r="AA442" t="s">
        <v>1465</v>
      </c>
      <c r="AB442" t="s">
        <v>1466</v>
      </c>
    </row>
    <row r="443" spans="1:28" x14ac:dyDescent="0.25">
      <c r="A443">
        <v>2017</v>
      </c>
      <c r="C443" t="s">
        <v>1444</v>
      </c>
      <c r="D443" t="s">
        <v>2390</v>
      </c>
      <c r="E443" t="s">
        <v>1445</v>
      </c>
      <c r="F443" t="s">
        <v>366</v>
      </c>
      <c r="G443">
        <v>95991</v>
      </c>
      <c r="H443">
        <v>39.107500000000002</v>
      </c>
      <c r="I443">
        <v>-121.612278</v>
      </c>
      <c r="K443">
        <v>110000524987</v>
      </c>
      <c r="M443">
        <v>4952</v>
      </c>
      <c r="R443">
        <v>0.86468688360000001</v>
      </c>
      <c r="W443" t="s">
        <v>2391</v>
      </c>
      <c r="X443" t="s">
        <v>2392</v>
      </c>
      <c r="Y443">
        <v>18020159005373</v>
      </c>
      <c r="AA443" t="s">
        <v>1465</v>
      </c>
      <c r="AB443" t="s">
        <v>263</v>
      </c>
    </row>
    <row r="444" spans="1:28" x14ac:dyDescent="0.25">
      <c r="A444">
        <v>2018</v>
      </c>
      <c r="C444" t="s">
        <v>961</v>
      </c>
      <c r="D444" t="s">
        <v>1462</v>
      </c>
      <c r="E444" t="s">
        <v>962</v>
      </c>
      <c r="F444" t="s">
        <v>374</v>
      </c>
      <c r="G444">
        <v>85009</v>
      </c>
      <c r="H444">
        <v>33.424239999999998</v>
      </c>
      <c r="I444">
        <v>-112.10626999999999</v>
      </c>
      <c r="K444">
        <v>110000509851</v>
      </c>
      <c r="M444">
        <v>4952</v>
      </c>
      <c r="R444">
        <v>5.5338902870000002</v>
      </c>
      <c r="W444" t="s">
        <v>1464</v>
      </c>
      <c r="Y444">
        <v>15070102009185</v>
      </c>
      <c r="AA444" t="s">
        <v>1465</v>
      </c>
      <c r="AB444" t="s">
        <v>263</v>
      </c>
    </row>
    <row r="445" spans="1:28" x14ac:dyDescent="0.25">
      <c r="A445">
        <v>2018</v>
      </c>
      <c r="C445" t="s">
        <v>96</v>
      </c>
      <c r="D445" t="s">
        <v>292</v>
      </c>
      <c r="E445" t="s">
        <v>293</v>
      </c>
      <c r="F445" t="s">
        <v>294</v>
      </c>
      <c r="G445">
        <v>22203</v>
      </c>
      <c r="H445">
        <v>38.882449999999999</v>
      </c>
      <c r="I445">
        <v>-77.108000000000004</v>
      </c>
      <c r="K445">
        <v>110070549382</v>
      </c>
      <c r="M445">
        <v>1794</v>
      </c>
      <c r="R445" s="301">
        <v>7.2853679999999907E-2</v>
      </c>
      <c r="W445" t="s">
        <v>761</v>
      </c>
      <c r="X445" t="s">
        <v>762</v>
      </c>
      <c r="AA445" t="s">
        <v>1465</v>
      </c>
      <c r="AB445" t="s">
        <v>1466</v>
      </c>
    </row>
    <row r="446" spans="1:28" x14ac:dyDescent="0.25">
      <c r="A446">
        <v>2018</v>
      </c>
      <c r="C446" t="s">
        <v>99</v>
      </c>
      <c r="D446" t="s">
        <v>297</v>
      </c>
      <c r="E446" t="s">
        <v>298</v>
      </c>
      <c r="F446" t="s">
        <v>299</v>
      </c>
      <c r="G446">
        <v>72903</v>
      </c>
      <c r="H446">
        <v>35.327162000000001</v>
      </c>
      <c r="I446">
        <v>-94.380183000000002</v>
      </c>
      <c r="K446">
        <v>110066929033</v>
      </c>
      <c r="M446">
        <v>3585</v>
      </c>
      <c r="R446" s="301">
        <v>5.1768707482993095E-4</v>
      </c>
      <c r="W446" t="s">
        <v>764</v>
      </c>
      <c r="X446" t="s">
        <v>765</v>
      </c>
      <c r="Y446">
        <v>11110104000749</v>
      </c>
      <c r="AA446" t="s">
        <v>1465</v>
      </c>
      <c r="AB446" t="s">
        <v>1466</v>
      </c>
    </row>
    <row r="447" spans="1:28" x14ac:dyDescent="0.25">
      <c r="A447">
        <v>2018</v>
      </c>
      <c r="C447" t="s">
        <v>963</v>
      </c>
      <c r="D447" t="s">
        <v>1467</v>
      </c>
      <c r="E447" t="s">
        <v>964</v>
      </c>
      <c r="F447" t="s">
        <v>374</v>
      </c>
      <c r="G447">
        <v>85705</v>
      </c>
      <c r="H447">
        <v>32.279809999999998</v>
      </c>
      <c r="I447">
        <v>-111.02198</v>
      </c>
      <c r="K447">
        <v>110002042021</v>
      </c>
      <c r="M447">
        <v>4952</v>
      </c>
      <c r="R447">
        <v>0.80570447160000003</v>
      </c>
      <c r="W447" t="s">
        <v>1468</v>
      </c>
      <c r="Y447">
        <v>15050301001090</v>
      </c>
      <c r="AA447" t="s">
        <v>1465</v>
      </c>
      <c r="AB447" t="s">
        <v>1466</v>
      </c>
    </row>
    <row r="448" spans="1:28" x14ac:dyDescent="0.25">
      <c r="A448">
        <v>2018</v>
      </c>
      <c r="C448" t="s">
        <v>965</v>
      </c>
      <c r="D448" t="s">
        <v>1469</v>
      </c>
      <c r="E448" t="s">
        <v>966</v>
      </c>
      <c r="F448" t="s">
        <v>491</v>
      </c>
      <c r="G448">
        <v>19112</v>
      </c>
      <c r="H448">
        <v>39.884791999999997</v>
      </c>
      <c r="I448">
        <v>-75.191112000000004</v>
      </c>
      <c r="K448">
        <v>110006368206</v>
      </c>
      <c r="M448">
        <v>3731</v>
      </c>
      <c r="R448" s="301">
        <v>0.58253875200000005</v>
      </c>
      <c r="W448" t="s">
        <v>1470</v>
      </c>
      <c r="X448" t="s">
        <v>1471</v>
      </c>
      <c r="Y448" s="301" t="s">
        <v>1472</v>
      </c>
      <c r="AA448" t="s">
        <v>1465</v>
      </c>
      <c r="AB448" t="s">
        <v>1466</v>
      </c>
    </row>
    <row r="449" spans="1:28" x14ac:dyDescent="0.25">
      <c r="A449">
        <v>2018</v>
      </c>
      <c r="C449" t="s">
        <v>103</v>
      </c>
      <c r="D449" t="s">
        <v>313</v>
      </c>
      <c r="E449" t="s">
        <v>314</v>
      </c>
      <c r="F449" t="s">
        <v>303</v>
      </c>
      <c r="G449" t="s">
        <v>315</v>
      </c>
      <c r="H449">
        <v>30.27083</v>
      </c>
      <c r="I449">
        <v>-92.037279999999996</v>
      </c>
      <c r="K449">
        <v>110000846602</v>
      </c>
      <c r="M449">
        <v>2821</v>
      </c>
      <c r="R449">
        <v>5.9714998750000003E-3</v>
      </c>
      <c r="W449" t="s">
        <v>772</v>
      </c>
      <c r="X449" t="s">
        <v>773</v>
      </c>
      <c r="Y449" s="301" t="s">
        <v>1476</v>
      </c>
      <c r="AA449" t="s">
        <v>1465</v>
      </c>
      <c r="AB449" t="s">
        <v>1466</v>
      </c>
    </row>
    <row r="450" spans="1:28" x14ac:dyDescent="0.25">
      <c r="A450">
        <v>2018</v>
      </c>
      <c r="C450" t="s">
        <v>971</v>
      </c>
      <c r="D450" t="s">
        <v>1482</v>
      </c>
      <c r="E450" t="s">
        <v>972</v>
      </c>
      <c r="F450" t="s">
        <v>374</v>
      </c>
      <c r="G450">
        <v>85220</v>
      </c>
      <c r="H450">
        <v>33.358879999999999</v>
      </c>
      <c r="I450">
        <v>-111.55722</v>
      </c>
      <c r="K450">
        <v>110010062314</v>
      </c>
      <c r="M450">
        <v>4952</v>
      </c>
      <c r="R450">
        <v>0.22698455749999999</v>
      </c>
      <c r="W450" t="s">
        <v>1483</v>
      </c>
      <c r="Y450">
        <v>15070102000561</v>
      </c>
      <c r="AA450" t="s">
        <v>1465</v>
      </c>
      <c r="AB450" t="s">
        <v>263</v>
      </c>
    </row>
    <row r="451" spans="1:28" x14ac:dyDescent="0.25">
      <c r="A451">
        <v>2018</v>
      </c>
      <c r="C451" t="s">
        <v>1491</v>
      </c>
      <c r="D451" t="s">
        <v>322</v>
      </c>
      <c r="E451" t="s">
        <v>323</v>
      </c>
      <c r="F451" t="s">
        <v>324</v>
      </c>
      <c r="G451">
        <v>42029</v>
      </c>
      <c r="H451">
        <v>37.056699000000002</v>
      </c>
      <c r="I451">
        <v>-88.365727000000007</v>
      </c>
      <c r="J451" t="s">
        <v>325</v>
      </c>
      <c r="K451">
        <v>110000380061</v>
      </c>
      <c r="M451">
        <v>2819</v>
      </c>
      <c r="R451" s="301">
        <v>12.812244897959101</v>
      </c>
      <c r="W451" t="s">
        <v>776</v>
      </c>
      <c r="X451" t="s">
        <v>777</v>
      </c>
      <c r="Y451" s="301" t="s">
        <v>1492</v>
      </c>
      <c r="AA451" t="s">
        <v>1465</v>
      </c>
      <c r="AB451" t="s">
        <v>1466</v>
      </c>
    </row>
    <row r="452" spans="1:28" x14ac:dyDescent="0.25">
      <c r="A452">
        <v>2018</v>
      </c>
      <c r="C452" t="s">
        <v>107</v>
      </c>
      <c r="D452" t="s">
        <v>330</v>
      </c>
      <c r="E452" t="s">
        <v>331</v>
      </c>
      <c r="F452" t="s">
        <v>324</v>
      </c>
      <c r="G452">
        <v>41101</v>
      </c>
      <c r="H452">
        <v>38.474601999999997</v>
      </c>
      <c r="I452">
        <v>-82.623778999999999</v>
      </c>
      <c r="K452">
        <v>110000732244</v>
      </c>
      <c r="M452">
        <v>4952</v>
      </c>
      <c r="R452">
        <v>9.5048919999999999</v>
      </c>
      <c r="W452" t="s">
        <v>780</v>
      </c>
      <c r="X452" t="s">
        <v>781</v>
      </c>
      <c r="Y452" s="301" t="s">
        <v>1496</v>
      </c>
      <c r="AA452" t="s">
        <v>1465</v>
      </c>
      <c r="AB452" t="s">
        <v>263</v>
      </c>
    </row>
    <row r="453" spans="1:28" x14ac:dyDescent="0.25">
      <c r="A453">
        <v>2018</v>
      </c>
      <c r="C453" t="s">
        <v>980</v>
      </c>
      <c r="D453" t="s">
        <v>1497</v>
      </c>
      <c r="E453" t="s">
        <v>981</v>
      </c>
      <c r="F453" t="s">
        <v>324</v>
      </c>
      <c r="G453">
        <v>42206</v>
      </c>
      <c r="H453">
        <v>36.864350000000002</v>
      </c>
      <c r="I453">
        <v>-86.705910000000003</v>
      </c>
      <c r="K453">
        <v>110003250277</v>
      </c>
      <c r="M453">
        <v>4952</v>
      </c>
      <c r="R453">
        <v>0.1416063125</v>
      </c>
      <c r="W453" t="s">
        <v>1498</v>
      </c>
      <c r="X453" t="s">
        <v>1499</v>
      </c>
      <c r="Y453" s="301" t="s">
        <v>1500</v>
      </c>
      <c r="AA453" t="s">
        <v>1465</v>
      </c>
      <c r="AB453" t="s">
        <v>263</v>
      </c>
    </row>
    <row r="454" spans="1:28" x14ac:dyDescent="0.25">
      <c r="A454">
        <v>2018</v>
      </c>
      <c r="C454" t="s">
        <v>108</v>
      </c>
      <c r="D454" t="s">
        <v>336</v>
      </c>
      <c r="E454" t="s">
        <v>337</v>
      </c>
      <c r="F454" t="s">
        <v>338</v>
      </c>
      <c r="G454" t="s">
        <v>339</v>
      </c>
      <c r="H454">
        <v>39.852224</v>
      </c>
      <c r="I454">
        <v>-75.234432999999996</v>
      </c>
      <c r="K454">
        <v>110000760310</v>
      </c>
      <c r="M454">
        <v>5171</v>
      </c>
      <c r="R454">
        <v>9.5602040975000004E-3</v>
      </c>
      <c r="W454" t="s">
        <v>782</v>
      </c>
      <c r="X454" t="s">
        <v>783</v>
      </c>
      <c r="Y454" s="301" t="s">
        <v>1504</v>
      </c>
      <c r="AA454" t="s">
        <v>1465</v>
      </c>
      <c r="AB454" t="s">
        <v>1466</v>
      </c>
    </row>
    <row r="455" spans="1:28" x14ac:dyDescent="0.25">
      <c r="A455">
        <v>2018</v>
      </c>
      <c r="C455" t="s">
        <v>986</v>
      </c>
      <c r="D455" t="s">
        <v>1508</v>
      </c>
      <c r="E455" t="s">
        <v>987</v>
      </c>
      <c r="F455" t="s">
        <v>324</v>
      </c>
      <c r="G455">
        <v>40216</v>
      </c>
      <c r="H455">
        <v>38.195278000000002</v>
      </c>
      <c r="I455">
        <v>-85.872221999999994</v>
      </c>
      <c r="J455" t="s">
        <v>701</v>
      </c>
      <c r="K455">
        <v>110000378467</v>
      </c>
      <c r="M455">
        <v>2869</v>
      </c>
      <c r="R455" s="301">
        <v>0.51768707482993104</v>
      </c>
      <c r="W455" t="s">
        <v>1509</v>
      </c>
      <c r="X455" t="s">
        <v>830</v>
      </c>
      <c r="Y455" s="301" t="s">
        <v>1510</v>
      </c>
      <c r="AA455" t="s">
        <v>1465</v>
      </c>
      <c r="AB455" t="s">
        <v>1466</v>
      </c>
    </row>
    <row r="456" spans="1:28" x14ac:dyDescent="0.25">
      <c r="A456">
        <v>2018</v>
      </c>
      <c r="C456" t="s">
        <v>991</v>
      </c>
      <c r="D456" t="s">
        <v>1517</v>
      </c>
      <c r="E456" t="s">
        <v>992</v>
      </c>
      <c r="F456" t="s">
        <v>299</v>
      </c>
      <c r="G456">
        <v>723016413</v>
      </c>
      <c r="H456">
        <v>35.136057000000001</v>
      </c>
      <c r="I456">
        <v>-90.096892999999994</v>
      </c>
      <c r="J456" t="s">
        <v>704</v>
      </c>
      <c r="K456">
        <v>110000452082</v>
      </c>
      <c r="M456">
        <v>2869</v>
      </c>
      <c r="R456" s="301">
        <v>0.19040816326530599</v>
      </c>
      <c r="W456" t="s">
        <v>1518</v>
      </c>
      <c r="X456" t="s">
        <v>1519</v>
      </c>
      <c r="Y456" s="301" t="s">
        <v>1520</v>
      </c>
      <c r="AA456" t="s">
        <v>1465</v>
      </c>
      <c r="AB456" t="s">
        <v>1466</v>
      </c>
    </row>
    <row r="457" spans="1:28" x14ac:dyDescent="0.25">
      <c r="A457">
        <v>2018</v>
      </c>
      <c r="C457" t="s">
        <v>111</v>
      </c>
      <c r="D457" t="s">
        <v>355</v>
      </c>
      <c r="E457" t="s">
        <v>356</v>
      </c>
      <c r="F457" t="s">
        <v>338</v>
      </c>
      <c r="G457" s="301" t="s">
        <v>1543</v>
      </c>
      <c r="H457">
        <v>40.067799999999998</v>
      </c>
      <c r="I457">
        <v>-74.923670000000001</v>
      </c>
      <c r="K457">
        <v>110029593731</v>
      </c>
      <c r="M457">
        <v>4952</v>
      </c>
      <c r="R457">
        <v>0.13864398224999999</v>
      </c>
      <c r="W457" t="s">
        <v>788</v>
      </c>
      <c r="X457" t="s">
        <v>789</v>
      </c>
      <c r="Y457" s="301" t="s">
        <v>1544</v>
      </c>
      <c r="AA457" t="s">
        <v>1465</v>
      </c>
      <c r="AB457" t="s">
        <v>263</v>
      </c>
    </row>
    <row r="458" spans="1:28" x14ac:dyDescent="0.25">
      <c r="A458">
        <v>2018</v>
      </c>
      <c r="C458" t="s">
        <v>1009</v>
      </c>
      <c r="D458" t="s">
        <v>1550</v>
      </c>
      <c r="E458" t="s">
        <v>1010</v>
      </c>
      <c r="F458" t="s">
        <v>366</v>
      </c>
      <c r="G458">
        <v>95670</v>
      </c>
      <c r="H458">
        <v>38.538333000000002</v>
      </c>
      <c r="I458">
        <v>-121.316389</v>
      </c>
      <c r="K458">
        <v>110013682942</v>
      </c>
      <c r="M458">
        <v>9999</v>
      </c>
      <c r="R458">
        <v>0.120646875</v>
      </c>
      <c r="W458" t="s">
        <v>1551</v>
      </c>
      <c r="X458" t="s">
        <v>1552</v>
      </c>
      <c r="Y458">
        <v>18020163016075</v>
      </c>
      <c r="AA458" t="s">
        <v>1465</v>
      </c>
      <c r="AB458" t="s">
        <v>1466</v>
      </c>
    </row>
    <row r="459" spans="1:28" x14ac:dyDescent="0.25">
      <c r="A459">
        <v>2018</v>
      </c>
      <c r="C459" t="s">
        <v>44</v>
      </c>
      <c r="D459" t="s">
        <v>367</v>
      </c>
      <c r="E459" t="s">
        <v>368</v>
      </c>
      <c r="F459" t="s">
        <v>349</v>
      </c>
      <c r="G459">
        <v>63630</v>
      </c>
      <c r="H459">
        <v>37.983333000000002</v>
      </c>
      <c r="I459">
        <v>-90.690832999999998</v>
      </c>
      <c r="J459" t="s">
        <v>369</v>
      </c>
      <c r="K459">
        <v>110017980443</v>
      </c>
      <c r="M459">
        <v>2899</v>
      </c>
      <c r="R459">
        <v>6.1429399359999998E-2</v>
      </c>
      <c r="W459" t="s">
        <v>796</v>
      </c>
      <c r="X459" t="s">
        <v>1564</v>
      </c>
      <c r="Y459" s="301" t="s">
        <v>1565</v>
      </c>
      <c r="AA459" t="s">
        <v>1465</v>
      </c>
      <c r="AB459" t="s">
        <v>1466</v>
      </c>
    </row>
    <row r="460" spans="1:28" x14ac:dyDescent="0.25">
      <c r="A460">
        <v>2018</v>
      </c>
      <c r="C460" t="s">
        <v>44</v>
      </c>
      <c r="D460" t="s">
        <v>367</v>
      </c>
      <c r="E460" t="s">
        <v>368</v>
      </c>
      <c r="F460" t="s">
        <v>349</v>
      </c>
      <c r="G460">
        <v>63630</v>
      </c>
      <c r="H460">
        <v>37.983333000000002</v>
      </c>
      <c r="I460">
        <v>-90.690832999999998</v>
      </c>
      <c r="J460" t="s">
        <v>369</v>
      </c>
      <c r="K460">
        <v>110017980443</v>
      </c>
      <c r="M460">
        <v>2899</v>
      </c>
      <c r="R460">
        <v>3.4273402100000001E-3</v>
      </c>
      <c r="W460" t="s">
        <v>796</v>
      </c>
      <c r="X460" t="s">
        <v>1564</v>
      </c>
      <c r="Y460" s="301" t="s">
        <v>1565</v>
      </c>
      <c r="AA460" t="s">
        <v>1465</v>
      </c>
      <c r="AB460" t="s">
        <v>1466</v>
      </c>
    </row>
    <row r="461" spans="1:28" x14ac:dyDescent="0.25">
      <c r="A461">
        <v>2018</v>
      </c>
      <c r="C461" t="s">
        <v>1021</v>
      </c>
      <c r="D461" t="s">
        <v>1571</v>
      </c>
      <c r="E461" t="s">
        <v>657</v>
      </c>
      <c r="F461" t="s">
        <v>418</v>
      </c>
      <c r="G461">
        <v>89109</v>
      </c>
      <c r="H461">
        <v>36.116160999999998</v>
      </c>
      <c r="I461">
        <v>-115.172741</v>
      </c>
      <c r="K461">
        <v>110015972562</v>
      </c>
      <c r="M461">
        <v>7011</v>
      </c>
      <c r="R461" s="301">
        <v>0.25447569379999901</v>
      </c>
      <c r="W461" t="s">
        <v>1572</v>
      </c>
      <c r="X461" t="s">
        <v>1573</v>
      </c>
      <c r="Y461">
        <v>15010015000432</v>
      </c>
      <c r="AA461" t="s">
        <v>1465</v>
      </c>
      <c r="AB461" t="s">
        <v>1466</v>
      </c>
    </row>
    <row r="462" spans="1:28" x14ac:dyDescent="0.25">
      <c r="A462">
        <v>2018</v>
      </c>
      <c r="C462" t="s">
        <v>1021</v>
      </c>
      <c r="D462" t="s">
        <v>1571</v>
      </c>
      <c r="E462" t="s">
        <v>657</v>
      </c>
      <c r="F462" t="s">
        <v>418</v>
      </c>
      <c r="G462">
        <v>89109</v>
      </c>
      <c r="H462">
        <v>36.116160999999998</v>
      </c>
      <c r="I462">
        <v>-115.172741</v>
      </c>
      <c r="K462">
        <v>110015972562</v>
      </c>
      <c r="M462">
        <v>7011</v>
      </c>
      <c r="R462" s="301">
        <v>1.0105968924999899E-2</v>
      </c>
      <c r="W462" t="s">
        <v>1572</v>
      </c>
      <c r="X462" t="s">
        <v>1573</v>
      </c>
      <c r="Y462">
        <v>15010015000432</v>
      </c>
      <c r="AA462" t="s">
        <v>1465</v>
      </c>
      <c r="AB462" t="s">
        <v>1466</v>
      </c>
    </row>
    <row r="463" spans="1:28" x14ac:dyDescent="0.25">
      <c r="A463">
        <v>2018</v>
      </c>
      <c r="C463" t="s">
        <v>1022</v>
      </c>
      <c r="D463" t="s">
        <v>1574</v>
      </c>
      <c r="E463" t="s">
        <v>1023</v>
      </c>
      <c r="F463" t="s">
        <v>366</v>
      </c>
      <c r="G463">
        <v>92231</v>
      </c>
      <c r="H463">
        <v>32.664450000000002</v>
      </c>
      <c r="I463">
        <v>-115.55970499999999</v>
      </c>
      <c r="K463">
        <v>110000730825</v>
      </c>
      <c r="M463">
        <v>4952</v>
      </c>
      <c r="R463">
        <v>1.5573240562499999</v>
      </c>
      <c r="W463" t="s">
        <v>1575</v>
      </c>
      <c r="X463" t="s">
        <v>795</v>
      </c>
      <c r="Y463">
        <v>18100204012549</v>
      </c>
      <c r="AA463" t="s">
        <v>1465</v>
      </c>
      <c r="AB463" t="s">
        <v>263</v>
      </c>
    </row>
    <row r="464" spans="1:28" x14ac:dyDescent="0.25">
      <c r="A464">
        <v>2018</v>
      </c>
      <c r="C464" t="s">
        <v>1024</v>
      </c>
      <c r="D464" t="s">
        <v>1576</v>
      </c>
      <c r="E464" t="s">
        <v>1025</v>
      </c>
      <c r="F464" t="s">
        <v>366</v>
      </c>
      <c r="G464">
        <v>92233</v>
      </c>
      <c r="H464">
        <v>33.147531999999998</v>
      </c>
      <c r="I464">
        <v>-115.54533000000001</v>
      </c>
      <c r="K464">
        <v>110002043217</v>
      </c>
      <c r="M464">
        <v>4952</v>
      </c>
      <c r="R464">
        <v>4.0754987499999999E-3</v>
      </c>
      <c r="W464" t="s">
        <v>1577</v>
      </c>
      <c r="X464" t="s">
        <v>1578</v>
      </c>
      <c r="Y464">
        <v>18100204011103</v>
      </c>
      <c r="AA464" t="s">
        <v>1465</v>
      </c>
      <c r="AB464" t="s">
        <v>263</v>
      </c>
    </row>
    <row r="465" spans="1:28" x14ac:dyDescent="0.25">
      <c r="A465">
        <v>2018</v>
      </c>
      <c r="C465" t="s">
        <v>1026</v>
      </c>
      <c r="D465" t="s">
        <v>1579</v>
      </c>
      <c r="E465" t="s">
        <v>1027</v>
      </c>
      <c r="F465" t="s">
        <v>349</v>
      </c>
      <c r="G465">
        <v>63353</v>
      </c>
      <c r="H465">
        <v>39.423425000000002</v>
      </c>
      <c r="I465">
        <v>-91.025666000000001</v>
      </c>
      <c r="K465">
        <v>110054612558</v>
      </c>
      <c r="M465">
        <v>2869</v>
      </c>
      <c r="R465" s="301">
        <v>6.3183673469387705E-2</v>
      </c>
      <c r="W465" t="s">
        <v>1580</v>
      </c>
      <c r="X465" t="s">
        <v>1581</v>
      </c>
      <c r="Y465" s="301" t="s">
        <v>1582</v>
      </c>
      <c r="AA465" t="s">
        <v>1465</v>
      </c>
      <c r="AB465" t="s">
        <v>1466</v>
      </c>
    </row>
    <row r="466" spans="1:28" x14ac:dyDescent="0.25">
      <c r="A466">
        <v>2018</v>
      </c>
      <c r="C466" t="s">
        <v>1032</v>
      </c>
      <c r="D466" t="s">
        <v>1590</v>
      </c>
      <c r="E466" t="s">
        <v>1033</v>
      </c>
      <c r="F466" t="s">
        <v>324</v>
      </c>
      <c r="G466">
        <v>41008</v>
      </c>
      <c r="H466">
        <v>38.627777999999999</v>
      </c>
      <c r="I466">
        <v>-85.115832999999995</v>
      </c>
      <c r="K466">
        <v>110015632216</v>
      </c>
      <c r="M466">
        <v>4952</v>
      </c>
      <c r="R466">
        <v>4.6591930625</v>
      </c>
      <c r="W466" t="s">
        <v>1591</v>
      </c>
      <c r="X466" t="s">
        <v>1592</v>
      </c>
      <c r="Y466" s="301" t="s">
        <v>1593</v>
      </c>
      <c r="AA466" t="s">
        <v>1465</v>
      </c>
      <c r="AB466" t="s">
        <v>263</v>
      </c>
    </row>
    <row r="467" spans="1:28" x14ac:dyDescent="0.25">
      <c r="A467">
        <v>2018</v>
      </c>
      <c r="C467" t="s">
        <v>1034</v>
      </c>
      <c r="D467" t="s">
        <v>1594</v>
      </c>
      <c r="E467" t="s">
        <v>1035</v>
      </c>
      <c r="F467" t="s">
        <v>374</v>
      </c>
      <c r="G467" t="s">
        <v>1595</v>
      </c>
      <c r="H467">
        <v>32.9011</v>
      </c>
      <c r="I467">
        <v>-111.78749999999999</v>
      </c>
      <c r="K467">
        <v>110022287210</v>
      </c>
      <c r="M467">
        <v>4952</v>
      </c>
      <c r="R467">
        <v>9.9469799999999999</v>
      </c>
      <c r="W467" t="s">
        <v>1596</v>
      </c>
      <c r="Y467">
        <v>15040005001144</v>
      </c>
      <c r="AA467" t="s">
        <v>1465</v>
      </c>
      <c r="AB467" t="s">
        <v>263</v>
      </c>
    </row>
    <row r="468" spans="1:28" x14ac:dyDescent="0.25">
      <c r="A468">
        <v>2018</v>
      </c>
      <c r="C468" t="s">
        <v>1036</v>
      </c>
      <c r="D468" t="s">
        <v>1597</v>
      </c>
      <c r="E468" t="s">
        <v>446</v>
      </c>
      <c r="F468" t="s">
        <v>303</v>
      </c>
      <c r="G468">
        <v>70669</v>
      </c>
      <c r="H468">
        <v>30.318283999999998</v>
      </c>
      <c r="I468">
        <v>-93.303511999999998</v>
      </c>
      <c r="K468">
        <v>110000613685</v>
      </c>
      <c r="M468">
        <v>4953</v>
      </c>
      <c r="R468">
        <v>1.1121276250000001</v>
      </c>
      <c r="W468" t="s">
        <v>1598</v>
      </c>
      <c r="X468" s="301" t="s">
        <v>1599</v>
      </c>
      <c r="Y468" s="301" t="s">
        <v>1600</v>
      </c>
      <c r="AA468" t="s">
        <v>1465</v>
      </c>
      <c r="AB468" t="s">
        <v>1466</v>
      </c>
    </row>
    <row r="469" spans="1:28" x14ac:dyDescent="0.25">
      <c r="A469">
        <v>2018</v>
      </c>
      <c r="C469" t="s">
        <v>1036</v>
      </c>
      <c r="D469" t="s">
        <v>1597</v>
      </c>
      <c r="E469" t="s">
        <v>446</v>
      </c>
      <c r="F469" t="s">
        <v>303</v>
      </c>
      <c r="G469">
        <v>70669</v>
      </c>
      <c r="H469">
        <v>30.318283999999998</v>
      </c>
      <c r="I469">
        <v>-93.303511999999998</v>
      </c>
      <c r="K469">
        <v>110000613685</v>
      </c>
      <c r="M469">
        <v>4953</v>
      </c>
      <c r="R469">
        <v>0.82200737499999998</v>
      </c>
      <c r="W469" t="s">
        <v>1598</v>
      </c>
      <c r="X469" s="301" t="s">
        <v>1599</v>
      </c>
      <c r="Y469" s="301" t="s">
        <v>1600</v>
      </c>
      <c r="AA469" t="s">
        <v>1465</v>
      </c>
      <c r="AB469" t="s">
        <v>1466</v>
      </c>
    </row>
    <row r="470" spans="1:28" x14ac:dyDescent="0.25">
      <c r="A470">
        <v>2018</v>
      </c>
      <c r="C470" t="s">
        <v>1036</v>
      </c>
      <c r="D470" t="s">
        <v>1597</v>
      </c>
      <c r="E470" t="s">
        <v>446</v>
      </c>
      <c r="F470" t="s">
        <v>303</v>
      </c>
      <c r="G470">
        <v>70669</v>
      </c>
      <c r="H470">
        <v>30.318283999999998</v>
      </c>
      <c r="I470">
        <v>-93.303511999999998</v>
      </c>
      <c r="K470">
        <v>110000613685</v>
      </c>
      <c r="M470">
        <v>4953</v>
      </c>
      <c r="R470">
        <v>0.28666643749999998</v>
      </c>
      <c r="W470" t="s">
        <v>1598</v>
      </c>
      <c r="X470" s="301" t="s">
        <v>1599</v>
      </c>
      <c r="Y470" s="301" t="s">
        <v>1600</v>
      </c>
      <c r="AA470" t="s">
        <v>1465</v>
      </c>
      <c r="AB470" t="s">
        <v>1466</v>
      </c>
    </row>
    <row r="471" spans="1:28" x14ac:dyDescent="0.25">
      <c r="A471">
        <v>2018</v>
      </c>
      <c r="C471" t="s">
        <v>1037</v>
      </c>
      <c r="D471" t="s">
        <v>1601</v>
      </c>
      <c r="E471" t="s">
        <v>987</v>
      </c>
      <c r="F471" t="s">
        <v>324</v>
      </c>
      <c r="G471">
        <v>40291</v>
      </c>
      <c r="H471">
        <v>38.122354000000001</v>
      </c>
      <c r="I471">
        <v>-85.587648000000002</v>
      </c>
      <c r="K471">
        <v>110043485421</v>
      </c>
      <c r="M471">
        <v>4952</v>
      </c>
      <c r="R471">
        <v>26.356043187499999</v>
      </c>
      <c r="W471" t="s">
        <v>1602</v>
      </c>
      <c r="X471" t="s">
        <v>1603</v>
      </c>
      <c r="Y471" s="301" t="s">
        <v>1604</v>
      </c>
      <c r="AA471" t="s">
        <v>1465</v>
      </c>
      <c r="AB471" t="s">
        <v>263</v>
      </c>
    </row>
    <row r="472" spans="1:28" x14ac:dyDescent="0.25">
      <c r="A472">
        <v>2018</v>
      </c>
      <c r="C472" t="s">
        <v>119</v>
      </c>
      <c r="D472" t="s">
        <v>380</v>
      </c>
      <c r="E472" t="s">
        <v>381</v>
      </c>
      <c r="F472" t="s">
        <v>338</v>
      </c>
      <c r="G472" s="301" t="s">
        <v>1608</v>
      </c>
      <c r="H472">
        <v>39.799250000000001</v>
      </c>
      <c r="I472">
        <v>-75.33296</v>
      </c>
      <c r="K472">
        <v>110009721836</v>
      </c>
      <c r="M472">
        <v>4213</v>
      </c>
      <c r="R472" s="301">
        <v>5.2971456135736297E-2</v>
      </c>
      <c r="W472" t="s">
        <v>806</v>
      </c>
      <c r="X472" t="s">
        <v>807</v>
      </c>
      <c r="Y472" s="301" t="s">
        <v>1609</v>
      </c>
      <c r="AA472" t="s">
        <v>1465</v>
      </c>
      <c r="AB472" t="s">
        <v>1466</v>
      </c>
    </row>
    <row r="473" spans="1:28" x14ac:dyDescent="0.25">
      <c r="A473">
        <v>2018</v>
      </c>
      <c r="C473" t="s">
        <v>1042</v>
      </c>
      <c r="D473" t="s">
        <v>1612</v>
      </c>
      <c r="E473" t="s">
        <v>1043</v>
      </c>
      <c r="F473" t="s">
        <v>345</v>
      </c>
      <c r="G473" t="s">
        <v>1613</v>
      </c>
      <c r="H473">
        <v>42.468611000000003</v>
      </c>
      <c r="I473">
        <v>-89.065550000000002</v>
      </c>
      <c r="J473" t="s">
        <v>708</v>
      </c>
      <c r="K473">
        <v>110000500459</v>
      </c>
      <c r="M473">
        <v>4225</v>
      </c>
      <c r="R473">
        <v>0.1152892075</v>
      </c>
      <c r="W473" t="s">
        <v>1614</v>
      </c>
      <c r="X473" t="s">
        <v>1615</v>
      </c>
      <c r="Y473" s="301" t="s">
        <v>1616</v>
      </c>
      <c r="AA473" t="s">
        <v>1465</v>
      </c>
      <c r="AB473" t="s">
        <v>1466</v>
      </c>
    </row>
    <row r="474" spans="1:28" x14ac:dyDescent="0.25">
      <c r="A474">
        <v>2018</v>
      </c>
      <c r="C474" t="s">
        <v>1044</v>
      </c>
      <c r="D474" t="s">
        <v>1617</v>
      </c>
      <c r="E474" t="s">
        <v>1045</v>
      </c>
      <c r="F474" t="s">
        <v>427</v>
      </c>
      <c r="G474" t="s">
        <v>1618</v>
      </c>
      <c r="H474">
        <v>42.592550000000003</v>
      </c>
      <c r="I474">
        <v>-83.889930000000007</v>
      </c>
      <c r="K474">
        <v>110000408265</v>
      </c>
      <c r="M474">
        <v>2899</v>
      </c>
      <c r="R474">
        <v>7.2602545249999999E-3</v>
      </c>
      <c r="W474" t="s">
        <v>1619</v>
      </c>
      <c r="X474" t="s">
        <v>1620</v>
      </c>
      <c r="Y474" s="301" t="s">
        <v>1621</v>
      </c>
      <c r="AA474" t="s">
        <v>1465</v>
      </c>
      <c r="AB474" t="s">
        <v>1466</v>
      </c>
    </row>
    <row r="475" spans="1:28" x14ac:dyDescent="0.25">
      <c r="A475">
        <v>2018</v>
      </c>
      <c r="C475" t="s">
        <v>1046</v>
      </c>
      <c r="D475" t="s">
        <v>1622</v>
      </c>
      <c r="E475" t="s">
        <v>1047</v>
      </c>
      <c r="F475" t="s">
        <v>374</v>
      </c>
      <c r="G475">
        <v>86503</v>
      </c>
      <c r="H475">
        <v>36.179194000000003</v>
      </c>
      <c r="I475">
        <v>-109.58580600000001</v>
      </c>
      <c r="K475">
        <v>110010062680</v>
      </c>
      <c r="M475">
        <v>4952</v>
      </c>
      <c r="R475">
        <v>0.85419880000000004</v>
      </c>
      <c r="W475" t="s">
        <v>1623</v>
      </c>
      <c r="X475" t="s">
        <v>1624</v>
      </c>
      <c r="Y475">
        <v>14080204000110</v>
      </c>
      <c r="AA475" t="s">
        <v>1465</v>
      </c>
      <c r="AB475" t="s">
        <v>263</v>
      </c>
    </row>
    <row r="476" spans="1:28" x14ac:dyDescent="0.25">
      <c r="A476">
        <v>2018</v>
      </c>
      <c r="C476" t="s">
        <v>1048</v>
      </c>
      <c r="D476" t="s">
        <v>1625</v>
      </c>
      <c r="E476" t="s">
        <v>1049</v>
      </c>
      <c r="F476" t="s">
        <v>1050</v>
      </c>
      <c r="G476">
        <v>59404</v>
      </c>
      <c r="H476">
        <v>47.52131</v>
      </c>
      <c r="I476">
        <v>-111.29958000000001</v>
      </c>
      <c r="K476">
        <v>110064645460</v>
      </c>
      <c r="M476">
        <v>4952</v>
      </c>
      <c r="R476">
        <v>3.0390427375</v>
      </c>
      <c r="W476" t="s">
        <v>1626</v>
      </c>
      <c r="X476" t="s">
        <v>1627</v>
      </c>
      <c r="Y476">
        <v>10030102000105</v>
      </c>
      <c r="AA476" t="s">
        <v>1465</v>
      </c>
      <c r="AB476" t="s">
        <v>1466</v>
      </c>
    </row>
    <row r="477" spans="1:28" x14ac:dyDescent="0.25">
      <c r="A477">
        <v>2018</v>
      </c>
      <c r="C477" t="s">
        <v>1053</v>
      </c>
      <c r="D477" t="s">
        <v>1630</v>
      </c>
      <c r="E477" t="s">
        <v>1054</v>
      </c>
      <c r="F477" t="s">
        <v>374</v>
      </c>
      <c r="G477">
        <v>85383</v>
      </c>
      <c r="H477">
        <v>33.726889999999997</v>
      </c>
      <c r="I477">
        <v>-112.33074000000001</v>
      </c>
      <c r="K477">
        <v>110015317423</v>
      </c>
      <c r="M477">
        <v>4952</v>
      </c>
      <c r="R477">
        <v>1.183966925</v>
      </c>
      <c r="W477" t="s">
        <v>1631</v>
      </c>
      <c r="Y477">
        <v>15030104003460</v>
      </c>
      <c r="AA477" t="s">
        <v>1465</v>
      </c>
      <c r="AB477" t="s">
        <v>263</v>
      </c>
    </row>
    <row r="478" spans="1:28" x14ac:dyDescent="0.25">
      <c r="A478">
        <v>2018</v>
      </c>
      <c r="C478" t="s">
        <v>1058</v>
      </c>
      <c r="D478" t="s">
        <v>1638</v>
      </c>
      <c r="E478" t="s">
        <v>1059</v>
      </c>
      <c r="F478" t="s">
        <v>374</v>
      </c>
      <c r="G478">
        <v>85350</v>
      </c>
      <c r="H478">
        <v>32.589804000000001</v>
      </c>
      <c r="I478">
        <v>-114.726901</v>
      </c>
      <c r="K478">
        <v>110006785229</v>
      </c>
      <c r="M478">
        <v>4952</v>
      </c>
      <c r="R478">
        <v>1.0610112</v>
      </c>
      <c r="W478" t="s">
        <v>1639</v>
      </c>
      <c r="Y478">
        <v>15070102000451</v>
      </c>
      <c r="AA478" t="s">
        <v>1465</v>
      </c>
      <c r="AB478" t="s">
        <v>1466</v>
      </c>
    </row>
    <row r="479" spans="1:28" x14ac:dyDescent="0.25">
      <c r="A479">
        <v>2018</v>
      </c>
      <c r="C479" t="s">
        <v>1061</v>
      </c>
      <c r="D479" t="s">
        <v>1643</v>
      </c>
      <c r="E479" t="s">
        <v>1062</v>
      </c>
      <c r="F479" t="s">
        <v>366</v>
      </c>
      <c r="G479">
        <v>92008</v>
      </c>
      <c r="H479">
        <v>33.139895000000003</v>
      </c>
      <c r="I479">
        <v>-117.339645</v>
      </c>
      <c r="K479">
        <v>110027363252</v>
      </c>
      <c r="M479">
        <v>4941</v>
      </c>
      <c r="R479">
        <v>13.290873072</v>
      </c>
      <c r="W479" t="s">
        <v>1644</v>
      </c>
      <c r="X479" t="s">
        <v>926</v>
      </c>
      <c r="Y479">
        <v>18070303000019</v>
      </c>
      <c r="AA479" t="s">
        <v>1465</v>
      </c>
      <c r="AB479" t="s">
        <v>1466</v>
      </c>
    </row>
    <row r="480" spans="1:28" x14ac:dyDescent="0.25">
      <c r="A480">
        <v>2018</v>
      </c>
      <c r="C480" t="s">
        <v>1065</v>
      </c>
      <c r="D480" t="s">
        <v>1648</v>
      </c>
      <c r="E480" t="s">
        <v>1066</v>
      </c>
      <c r="F480" t="s">
        <v>324</v>
      </c>
      <c r="G480">
        <v>42728</v>
      </c>
      <c r="H480">
        <v>37.105556</v>
      </c>
      <c r="I480">
        <v>-85.304167000000007</v>
      </c>
      <c r="K480">
        <v>110009696356</v>
      </c>
      <c r="M480">
        <v>4952</v>
      </c>
      <c r="R480">
        <v>4.3414423124999999</v>
      </c>
      <c r="W480" t="s">
        <v>1649</v>
      </c>
      <c r="X480" t="s">
        <v>1650</v>
      </c>
      <c r="Y480" s="301" t="s">
        <v>1651</v>
      </c>
      <c r="AA480" t="s">
        <v>1465</v>
      </c>
      <c r="AB480" t="s">
        <v>263</v>
      </c>
    </row>
    <row r="481" spans="1:28" x14ac:dyDescent="0.25">
      <c r="A481">
        <v>2018</v>
      </c>
      <c r="C481" t="s">
        <v>1067</v>
      </c>
      <c r="D481" t="s">
        <v>1652</v>
      </c>
      <c r="E481" t="s">
        <v>1068</v>
      </c>
      <c r="F481" t="s">
        <v>349</v>
      </c>
      <c r="G481">
        <v>63401</v>
      </c>
      <c r="H481">
        <v>39.679130000000001</v>
      </c>
      <c r="I481">
        <v>-91.314239999999998</v>
      </c>
      <c r="J481" t="s">
        <v>709</v>
      </c>
      <c r="K481">
        <v>110000595981</v>
      </c>
      <c r="M481">
        <v>3241</v>
      </c>
      <c r="R481">
        <v>0.12433725</v>
      </c>
      <c r="W481" t="s">
        <v>1653</v>
      </c>
      <c r="X481" t="s">
        <v>1654</v>
      </c>
      <c r="Y481" s="301" t="s">
        <v>1655</v>
      </c>
      <c r="AA481" t="s">
        <v>1465</v>
      </c>
      <c r="AB481" t="s">
        <v>1466</v>
      </c>
    </row>
    <row r="482" spans="1:28" x14ac:dyDescent="0.25">
      <c r="A482">
        <v>2018</v>
      </c>
      <c r="C482" t="s">
        <v>1069</v>
      </c>
      <c r="D482" t="s">
        <v>1656</v>
      </c>
      <c r="E482" t="s">
        <v>1070</v>
      </c>
      <c r="F482" t="s">
        <v>338</v>
      </c>
      <c r="G482" s="301" t="s">
        <v>1659</v>
      </c>
      <c r="H482">
        <v>40.798532000000002</v>
      </c>
      <c r="I482">
        <v>-74.701402000000002</v>
      </c>
      <c r="K482">
        <v>110000616049</v>
      </c>
      <c r="M482">
        <v>1799</v>
      </c>
      <c r="R482">
        <v>5.0997197500000004E-3</v>
      </c>
      <c r="W482" t="s">
        <v>1657</v>
      </c>
      <c r="X482" t="s">
        <v>1658</v>
      </c>
      <c r="Y482" s="301" t="s">
        <v>1660</v>
      </c>
      <c r="AA482" t="s">
        <v>1465</v>
      </c>
      <c r="AB482" t="s">
        <v>1466</v>
      </c>
    </row>
    <row r="483" spans="1:28" x14ac:dyDescent="0.25">
      <c r="A483">
        <v>2018</v>
      </c>
      <c r="C483" t="s">
        <v>1073</v>
      </c>
      <c r="D483" t="s">
        <v>1663</v>
      </c>
      <c r="E483" t="s">
        <v>1074</v>
      </c>
      <c r="F483" t="s">
        <v>374</v>
      </c>
      <c r="G483" t="s">
        <v>1664</v>
      </c>
      <c r="H483">
        <v>34.729709999999997</v>
      </c>
      <c r="I483">
        <v>-112.04337599999999</v>
      </c>
      <c r="K483">
        <v>110055979455</v>
      </c>
      <c r="M483">
        <v>4952</v>
      </c>
      <c r="R483">
        <v>1.131468975</v>
      </c>
      <c r="W483" t="s">
        <v>1665</v>
      </c>
      <c r="Y483">
        <v>15010007000406</v>
      </c>
      <c r="AA483" t="s">
        <v>1465</v>
      </c>
      <c r="AB483" t="s">
        <v>263</v>
      </c>
    </row>
    <row r="484" spans="1:28" x14ac:dyDescent="0.25">
      <c r="A484">
        <v>2018</v>
      </c>
      <c r="C484" t="s">
        <v>1079</v>
      </c>
      <c r="D484" t="s">
        <v>1673</v>
      </c>
      <c r="E484" t="s">
        <v>381</v>
      </c>
      <c r="F484" t="s">
        <v>338</v>
      </c>
      <c r="G484" s="301" t="s">
        <v>1608</v>
      </c>
      <c r="H484">
        <v>39.80142</v>
      </c>
      <c r="I484">
        <v>-75.354990000000001</v>
      </c>
      <c r="J484" t="s">
        <v>710</v>
      </c>
      <c r="K484">
        <v>110000582003</v>
      </c>
      <c r="M484">
        <v>2869</v>
      </c>
      <c r="R484">
        <v>0.1825</v>
      </c>
      <c r="W484" t="s">
        <v>1674</v>
      </c>
      <c r="X484" t="s">
        <v>1675</v>
      </c>
      <c r="Y484" s="301" t="s">
        <v>1676</v>
      </c>
      <c r="AA484" t="s">
        <v>1465</v>
      </c>
      <c r="AB484" t="s">
        <v>1466</v>
      </c>
    </row>
    <row r="485" spans="1:28" x14ac:dyDescent="0.25">
      <c r="A485">
        <v>2018</v>
      </c>
      <c r="C485" t="s">
        <v>1080</v>
      </c>
      <c r="D485" t="s">
        <v>1677</v>
      </c>
      <c r="E485" t="s">
        <v>1081</v>
      </c>
      <c r="F485" t="s">
        <v>338</v>
      </c>
      <c r="G485" s="301" t="s">
        <v>1678</v>
      </c>
      <c r="H485">
        <v>40.038871999999998</v>
      </c>
      <c r="I485">
        <v>-74.975640999999996</v>
      </c>
      <c r="K485">
        <v>110006620095</v>
      </c>
      <c r="M485">
        <v>4952</v>
      </c>
      <c r="R485">
        <v>0.16988026249999999</v>
      </c>
      <c r="W485" t="s">
        <v>1679</v>
      </c>
      <c r="X485" t="s">
        <v>1680</v>
      </c>
      <c r="Y485" s="301" t="s">
        <v>1681</v>
      </c>
      <c r="AA485" t="s">
        <v>1465</v>
      </c>
      <c r="AB485" t="s">
        <v>263</v>
      </c>
    </row>
    <row r="486" spans="1:28" x14ac:dyDescent="0.25">
      <c r="A486">
        <v>2018</v>
      </c>
      <c r="C486" t="s">
        <v>1682</v>
      </c>
      <c r="D486" t="s">
        <v>501</v>
      </c>
      <c r="E486" t="s">
        <v>502</v>
      </c>
      <c r="F486" t="s">
        <v>303</v>
      </c>
      <c r="G486">
        <v>70058</v>
      </c>
      <c r="H486">
        <v>29.910609999999998</v>
      </c>
      <c r="I486">
        <v>-90.085269999999994</v>
      </c>
      <c r="K486">
        <v>110070117180</v>
      </c>
      <c r="M486">
        <v>4226</v>
      </c>
      <c r="R486">
        <v>2.5006738000000001E-2</v>
      </c>
      <c r="W486" t="s">
        <v>873</v>
      </c>
      <c r="Y486" s="301" t="s">
        <v>1683</v>
      </c>
      <c r="AA486" t="s">
        <v>1465</v>
      </c>
      <c r="AB486" t="s">
        <v>1466</v>
      </c>
    </row>
    <row r="487" spans="1:28" x14ac:dyDescent="0.25">
      <c r="A487">
        <v>2018</v>
      </c>
      <c r="C487" t="s">
        <v>1682</v>
      </c>
      <c r="D487" t="s">
        <v>501</v>
      </c>
      <c r="E487" t="s">
        <v>502</v>
      </c>
      <c r="F487" t="s">
        <v>303</v>
      </c>
      <c r="G487">
        <v>70058</v>
      </c>
      <c r="H487">
        <v>29.910609999999998</v>
      </c>
      <c r="I487">
        <v>-90.085269999999994</v>
      </c>
      <c r="K487">
        <v>110070117180</v>
      </c>
      <c r="M487">
        <v>4226</v>
      </c>
      <c r="R487">
        <v>1.7546692249999999E-2</v>
      </c>
      <c r="W487" t="s">
        <v>873</v>
      </c>
      <c r="Y487" s="301" t="s">
        <v>1683</v>
      </c>
      <c r="AA487" t="s">
        <v>1465</v>
      </c>
      <c r="AB487" t="s">
        <v>1466</v>
      </c>
    </row>
    <row r="488" spans="1:28" x14ac:dyDescent="0.25">
      <c r="A488">
        <v>2018</v>
      </c>
      <c r="C488" t="s">
        <v>1083</v>
      </c>
      <c r="D488" t="s">
        <v>1686</v>
      </c>
      <c r="E488" t="s">
        <v>1084</v>
      </c>
      <c r="F488" t="s">
        <v>491</v>
      </c>
      <c r="G488">
        <v>17961</v>
      </c>
      <c r="H488">
        <v>40.628785999999998</v>
      </c>
      <c r="I488">
        <v>-76.058580000000006</v>
      </c>
      <c r="K488">
        <v>110000584305</v>
      </c>
      <c r="M488">
        <v>3951</v>
      </c>
      <c r="R488" s="301">
        <v>7.5102040816326498E-3</v>
      </c>
      <c r="W488" t="s">
        <v>1687</v>
      </c>
      <c r="X488" t="s">
        <v>1688</v>
      </c>
      <c r="Y488" s="301" t="s">
        <v>1689</v>
      </c>
      <c r="AA488" t="s">
        <v>1465</v>
      </c>
      <c r="AB488" t="s">
        <v>1466</v>
      </c>
    </row>
    <row r="489" spans="1:28" x14ac:dyDescent="0.25">
      <c r="A489">
        <v>2018</v>
      </c>
      <c r="C489" t="s">
        <v>1085</v>
      </c>
      <c r="D489" t="s">
        <v>1690</v>
      </c>
      <c r="E489" t="s">
        <v>1086</v>
      </c>
      <c r="F489" t="s">
        <v>366</v>
      </c>
      <c r="G489">
        <v>95728</v>
      </c>
      <c r="H489">
        <v>39.325924000000001</v>
      </c>
      <c r="I489">
        <v>-120.393384</v>
      </c>
      <c r="K489">
        <v>110011373628</v>
      </c>
      <c r="M489">
        <v>4952</v>
      </c>
      <c r="R489">
        <v>1.14666575E-2</v>
      </c>
      <c r="W489" t="s">
        <v>1691</v>
      </c>
      <c r="X489" t="s">
        <v>1692</v>
      </c>
      <c r="Y489">
        <v>18020125000098</v>
      </c>
      <c r="AA489" t="s">
        <v>1465</v>
      </c>
      <c r="AB489" t="s">
        <v>263</v>
      </c>
    </row>
    <row r="490" spans="1:28" x14ac:dyDescent="0.25">
      <c r="A490">
        <v>2018</v>
      </c>
      <c r="C490" t="s">
        <v>136</v>
      </c>
      <c r="D490" t="s">
        <v>440</v>
      </c>
      <c r="E490" t="s">
        <v>441</v>
      </c>
      <c r="F490" t="s">
        <v>338</v>
      </c>
      <c r="G490" t="s">
        <v>442</v>
      </c>
      <c r="H490">
        <v>40.843611000000003</v>
      </c>
      <c r="I490">
        <v>-75.066389000000001</v>
      </c>
      <c r="J490" t="s">
        <v>443</v>
      </c>
      <c r="K490">
        <v>110040963286</v>
      </c>
      <c r="M490">
        <v>2833</v>
      </c>
      <c r="R490">
        <v>0.16792833800000001</v>
      </c>
      <c r="W490" t="s">
        <v>837</v>
      </c>
      <c r="X490" t="s">
        <v>838</v>
      </c>
      <c r="Y490" s="301" t="s">
        <v>1693</v>
      </c>
      <c r="AA490" t="s">
        <v>1465</v>
      </c>
      <c r="AB490" t="s">
        <v>1466</v>
      </c>
    </row>
    <row r="491" spans="1:28" x14ac:dyDescent="0.25">
      <c r="A491">
        <v>2018</v>
      </c>
      <c r="C491" t="s">
        <v>1087</v>
      </c>
      <c r="D491" t="s">
        <v>1695</v>
      </c>
      <c r="E491" t="s">
        <v>968</v>
      </c>
      <c r="F491" t="s">
        <v>324</v>
      </c>
      <c r="G491">
        <v>41001</v>
      </c>
      <c r="H491">
        <v>38.947969999999998</v>
      </c>
      <c r="I491">
        <v>-84.370490000000004</v>
      </c>
      <c r="K491">
        <v>110013680837</v>
      </c>
      <c r="M491">
        <v>4952</v>
      </c>
      <c r="R491">
        <v>4.2136512499999998</v>
      </c>
      <c r="W491" t="s">
        <v>1696</v>
      </c>
      <c r="X491" t="s">
        <v>1697</v>
      </c>
      <c r="Y491" s="301" t="s">
        <v>1698</v>
      </c>
      <c r="AA491" t="s">
        <v>1465</v>
      </c>
      <c r="AB491" t="s">
        <v>263</v>
      </c>
    </row>
    <row r="492" spans="1:28" x14ac:dyDescent="0.25">
      <c r="A492">
        <v>2018</v>
      </c>
      <c r="C492" t="s">
        <v>1088</v>
      </c>
      <c r="D492" t="s">
        <v>1699</v>
      </c>
      <c r="E492" t="s">
        <v>985</v>
      </c>
      <c r="F492" t="s">
        <v>979</v>
      </c>
      <c r="G492">
        <v>37660</v>
      </c>
      <c r="H492">
        <v>36.527054999999997</v>
      </c>
      <c r="I492">
        <v>-82.538579999999996</v>
      </c>
      <c r="J492" t="s">
        <v>711</v>
      </c>
      <c r="K492">
        <v>110000574423</v>
      </c>
      <c r="M492">
        <v>2869</v>
      </c>
      <c r="R492">
        <v>0.20415154499999999</v>
      </c>
      <c r="W492" t="s">
        <v>1700</v>
      </c>
      <c r="X492" t="s">
        <v>1701</v>
      </c>
      <c r="Y492" s="301" t="s">
        <v>1702</v>
      </c>
      <c r="AA492" t="s">
        <v>1465</v>
      </c>
      <c r="AB492" t="s">
        <v>1466</v>
      </c>
    </row>
    <row r="493" spans="1:28" x14ac:dyDescent="0.25">
      <c r="A493">
        <v>2018</v>
      </c>
      <c r="C493" t="s">
        <v>1089</v>
      </c>
      <c r="D493" t="s">
        <v>1703</v>
      </c>
      <c r="E493" t="s">
        <v>1090</v>
      </c>
      <c r="F493" t="s">
        <v>324</v>
      </c>
      <c r="G493">
        <v>42038</v>
      </c>
      <c r="H493">
        <v>37.075277999999997</v>
      </c>
      <c r="I493">
        <v>-88.09</v>
      </c>
      <c r="K493">
        <v>110009938719</v>
      </c>
      <c r="M493">
        <v>4952</v>
      </c>
      <c r="R493">
        <v>2.1966247499999998</v>
      </c>
      <c r="W493" t="s">
        <v>1704</v>
      </c>
      <c r="X493" t="s">
        <v>1705</v>
      </c>
      <c r="Y493" s="301" t="s">
        <v>1706</v>
      </c>
      <c r="AA493" t="s">
        <v>1465</v>
      </c>
      <c r="AB493" t="s">
        <v>263</v>
      </c>
    </row>
    <row r="494" spans="1:28" x14ac:dyDescent="0.25">
      <c r="A494">
        <v>2018</v>
      </c>
      <c r="C494" t="s">
        <v>140</v>
      </c>
      <c r="D494" t="s">
        <v>456</v>
      </c>
      <c r="E494" t="s">
        <v>457</v>
      </c>
      <c r="F494" t="s">
        <v>366</v>
      </c>
      <c r="G494">
        <v>92243</v>
      </c>
      <c r="H494">
        <v>32.802199999999999</v>
      </c>
      <c r="I494">
        <v>-115.54</v>
      </c>
      <c r="K494">
        <v>110002672484</v>
      </c>
      <c r="M494" s="301" t="s">
        <v>1707</v>
      </c>
      <c r="R494">
        <v>4.0409606250000002E-3</v>
      </c>
      <c r="W494" t="s">
        <v>845</v>
      </c>
      <c r="X494" t="s">
        <v>846</v>
      </c>
      <c r="Y494">
        <v>18100204011431</v>
      </c>
      <c r="AA494" t="s">
        <v>1465</v>
      </c>
      <c r="AB494" t="s">
        <v>1466</v>
      </c>
    </row>
    <row r="495" spans="1:28" x14ac:dyDescent="0.25">
      <c r="A495">
        <v>2018</v>
      </c>
      <c r="C495" t="s">
        <v>140</v>
      </c>
      <c r="D495" t="s">
        <v>456</v>
      </c>
      <c r="E495" t="s">
        <v>457</v>
      </c>
      <c r="F495" t="s">
        <v>366</v>
      </c>
      <c r="G495">
        <v>92243</v>
      </c>
      <c r="H495">
        <v>32.802199999999999</v>
      </c>
      <c r="I495">
        <v>-115.54</v>
      </c>
      <c r="K495">
        <v>110002672484</v>
      </c>
      <c r="M495" s="301" t="s">
        <v>1707</v>
      </c>
      <c r="R495">
        <v>2.9840940000000001E-3</v>
      </c>
      <c r="W495" t="s">
        <v>845</v>
      </c>
      <c r="X495" t="s">
        <v>846</v>
      </c>
      <c r="Y495">
        <v>18100204011431</v>
      </c>
      <c r="AA495" t="s">
        <v>1465</v>
      </c>
      <c r="AB495" t="s">
        <v>1466</v>
      </c>
    </row>
    <row r="496" spans="1:28" x14ac:dyDescent="0.25">
      <c r="A496">
        <v>2018</v>
      </c>
      <c r="C496" t="s">
        <v>1095</v>
      </c>
      <c r="D496" t="s">
        <v>1714</v>
      </c>
      <c r="E496" t="s">
        <v>1096</v>
      </c>
      <c r="F496" t="s">
        <v>450</v>
      </c>
      <c r="G496">
        <v>14132</v>
      </c>
      <c r="H496">
        <v>43.129750000000001</v>
      </c>
      <c r="I496">
        <v>-78.939679999999996</v>
      </c>
      <c r="K496">
        <v>110000737365</v>
      </c>
      <c r="M496">
        <v>9511</v>
      </c>
      <c r="R496" s="301">
        <v>3.1599345322799899E-2</v>
      </c>
      <c r="W496" t="s">
        <v>1715</v>
      </c>
      <c r="X496" t="s">
        <v>1716</v>
      </c>
      <c r="Y496" s="301" t="s">
        <v>1717</v>
      </c>
      <c r="AA496" t="s">
        <v>1465</v>
      </c>
      <c r="AB496" t="s">
        <v>1466</v>
      </c>
    </row>
    <row r="497" spans="1:28" x14ac:dyDescent="0.25">
      <c r="A497">
        <v>2018</v>
      </c>
      <c r="C497" t="s">
        <v>1097</v>
      </c>
      <c r="D497" t="s">
        <v>1718</v>
      </c>
      <c r="E497" t="s">
        <v>1098</v>
      </c>
      <c r="F497" t="s">
        <v>324</v>
      </c>
      <c r="G497" t="s">
        <v>1719</v>
      </c>
      <c r="H497">
        <v>38.643056000000001</v>
      </c>
      <c r="I497">
        <v>-83.740278000000004</v>
      </c>
      <c r="K497">
        <v>110000379787</v>
      </c>
      <c r="M497">
        <v>3566</v>
      </c>
      <c r="R497">
        <v>0.2910381125</v>
      </c>
      <c r="W497" t="s">
        <v>1720</v>
      </c>
      <c r="X497" t="s">
        <v>1721</v>
      </c>
      <c r="Y497" s="301" t="s">
        <v>1722</v>
      </c>
      <c r="AA497" t="s">
        <v>1465</v>
      </c>
      <c r="AB497" t="s">
        <v>1466</v>
      </c>
    </row>
    <row r="498" spans="1:28" x14ac:dyDescent="0.25">
      <c r="A498">
        <v>2018</v>
      </c>
      <c r="C498" t="s">
        <v>1102</v>
      </c>
      <c r="D498" t="s">
        <v>1726</v>
      </c>
      <c r="E498" t="s">
        <v>1103</v>
      </c>
      <c r="F498" t="s">
        <v>345</v>
      </c>
      <c r="G498" t="s">
        <v>1727</v>
      </c>
      <c r="H498">
        <v>41.412897000000001</v>
      </c>
      <c r="I498">
        <v>-88.329773000000003</v>
      </c>
      <c r="J498" t="s">
        <v>712</v>
      </c>
      <c r="K498">
        <v>110000433013</v>
      </c>
      <c r="M498">
        <v>2821</v>
      </c>
      <c r="R498" s="301">
        <v>0.72312925170067999</v>
      </c>
      <c r="W498" t="s">
        <v>1728</v>
      </c>
      <c r="X498" t="s">
        <v>1729</v>
      </c>
      <c r="Y498" s="301" t="s">
        <v>1730</v>
      </c>
      <c r="AA498" t="s">
        <v>1465</v>
      </c>
      <c r="AB498" t="s">
        <v>1466</v>
      </c>
    </row>
    <row r="499" spans="1:28" x14ac:dyDescent="0.25">
      <c r="A499">
        <v>2018</v>
      </c>
      <c r="C499" t="s">
        <v>1102</v>
      </c>
      <c r="D499" t="s">
        <v>1726</v>
      </c>
      <c r="E499" t="s">
        <v>1103</v>
      </c>
      <c r="F499" t="s">
        <v>345</v>
      </c>
      <c r="G499" t="s">
        <v>1727</v>
      </c>
      <c r="H499">
        <v>41.412897000000001</v>
      </c>
      <c r="I499">
        <v>-88.329773000000003</v>
      </c>
      <c r="J499" t="s">
        <v>712</v>
      </c>
      <c r="K499">
        <v>110000433013</v>
      </c>
      <c r="M499">
        <v>2821</v>
      </c>
      <c r="R499" s="301">
        <v>0.70476190476190403</v>
      </c>
      <c r="W499" t="s">
        <v>1728</v>
      </c>
      <c r="X499" t="s">
        <v>1729</v>
      </c>
      <c r="Y499" s="301" t="s">
        <v>1730</v>
      </c>
      <c r="AA499" t="s">
        <v>1465</v>
      </c>
      <c r="AB499" t="s">
        <v>1466</v>
      </c>
    </row>
    <row r="500" spans="1:28" x14ac:dyDescent="0.25">
      <c r="A500">
        <v>2018</v>
      </c>
      <c r="C500" t="s">
        <v>1104</v>
      </c>
      <c r="D500" t="s">
        <v>1731</v>
      </c>
      <c r="E500" t="s">
        <v>446</v>
      </c>
      <c r="F500" t="s">
        <v>303</v>
      </c>
      <c r="G500">
        <v>70669</v>
      </c>
      <c r="H500">
        <v>30.193916000000002</v>
      </c>
      <c r="I500">
        <v>-93.321347000000003</v>
      </c>
      <c r="J500" t="s">
        <v>713</v>
      </c>
      <c r="K500">
        <v>110000597266</v>
      </c>
      <c r="M500">
        <v>2821</v>
      </c>
      <c r="R500" s="301">
        <v>0.82766439909296996</v>
      </c>
      <c r="W500" t="s">
        <v>1732</v>
      </c>
      <c r="X500" s="301" t="s">
        <v>1733</v>
      </c>
      <c r="Y500" s="301" t="s">
        <v>1734</v>
      </c>
      <c r="AA500" t="s">
        <v>1465</v>
      </c>
      <c r="AB500" t="s">
        <v>1466</v>
      </c>
    </row>
    <row r="501" spans="1:28" x14ac:dyDescent="0.25">
      <c r="A501">
        <v>2018</v>
      </c>
      <c r="C501" t="s">
        <v>1105</v>
      </c>
      <c r="D501" t="s">
        <v>1735</v>
      </c>
      <c r="E501" t="s">
        <v>1106</v>
      </c>
      <c r="F501" t="s">
        <v>345</v>
      </c>
      <c r="G501">
        <v>61953</v>
      </c>
      <c r="H501">
        <v>39.795811999999998</v>
      </c>
      <c r="I501">
        <v>-88.347945999999993</v>
      </c>
      <c r="J501" t="s">
        <v>714</v>
      </c>
      <c r="K501">
        <v>110000746211</v>
      </c>
      <c r="M501">
        <v>2869</v>
      </c>
      <c r="R501" s="301">
        <v>9.26984126984126</v>
      </c>
      <c r="W501" t="s">
        <v>1736</v>
      </c>
      <c r="X501" t="s">
        <v>1737</v>
      </c>
      <c r="Y501" s="301" t="s">
        <v>1738</v>
      </c>
      <c r="AA501" t="s">
        <v>1465</v>
      </c>
      <c r="AB501" t="s">
        <v>1466</v>
      </c>
    </row>
    <row r="502" spans="1:28" x14ac:dyDescent="0.25">
      <c r="A502">
        <v>2018</v>
      </c>
      <c r="C502" t="s">
        <v>144</v>
      </c>
      <c r="D502" t="s">
        <v>467</v>
      </c>
      <c r="E502" t="s">
        <v>302</v>
      </c>
      <c r="F502" t="s">
        <v>303</v>
      </c>
      <c r="G502">
        <v>70805</v>
      </c>
      <c r="H502">
        <v>30.494948000000001</v>
      </c>
      <c r="I502">
        <v>-91.178173999999999</v>
      </c>
      <c r="K502">
        <v>110001143584</v>
      </c>
      <c r="M502">
        <v>2869</v>
      </c>
      <c r="R502">
        <v>6.9710843100000003E-2</v>
      </c>
      <c r="W502" t="s">
        <v>852</v>
      </c>
      <c r="X502" s="301" t="s">
        <v>1739</v>
      </c>
      <c r="Y502" s="301" t="s">
        <v>1740</v>
      </c>
      <c r="AA502" t="s">
        <v>1465</v>
      </c>
      <c r="AB502" t="s">
        <v>1466</v>
      </c>
    </row>
    <row r="503" spans="1:28" x14ac:dyDescent="0.25">
      <c r="A503">
        <v>2018</v>
      </c>
      <c r="C503" t="s">
        <v>144</v>
      </c>
      <c r="D503" t="s">
        <v>467</v>
      </c>
      <c r="E503" t="s">
        <v>302</v>
      </c>
      <c r="F503" t="s">
        <v>303</v>
      </c>
      <c r="G503">
        <v>70805</v>
      </c>
      <c r="H503">
        <v>30.494948000000001</v>
      </c>
      <c r="I503">
        <v>-91.178173999999999</v>
      </c>
      <c r="K503">
        <v>110001143584</v>
      </c>
      <c r="M503">
        <v>2869</v>
      </c>
      <c r="R503">
        <v>0.47827827750000002</v>
      </c>
      <c r="W503" t="s">
        <v>852</v>
      </c>
      <c r="X503" s="301" t="s">
        <v>1739</v>
      </c>
      <c r="Y503" s="301" t="s">
        <v>1740</v>
      </c>
      <c r="AA503" t="s">
        <v>1465</v>
      </c>
      <c r="AB503" t="s">
        <v>1466</v>
      </c>
    </row>
    <row r="504" spans="1:28" x14ac:dyDescent="0.25">
      <c r="A504">
        <v>2018</v>
      </c>
      <c r="C504" t="s">
        <v>1107</v>
      </c>
      <c r="D504" t="s">
        <v>1741</v>
      </c>
      <c r="E504" t="s">
        <v>1108</v>
      </c>
      <c r="F504" t="s">
        <v>338</v>
      </c>
      <c r="G504" s="301" t="s">
        <v>1744</v>
      </c>
      <c r="H504">
        <v>40.665252000000002</v>
      </c>
      <c r="I504">
        <v>-74.200059999999993</v>
      </c>
      <c r="K504">
        <v>110070212717</v>
      </c>
      <c r="M504">
        <v>2851</v>
      </c>
      <c r="R504" s="301">
        <v>1.77563812499999E-4</v>
      </c>
      <c r="W504" t="s">
        <v>1742</v>
      </c>
      <c r="X504" t="s">
        <v>1743</v>
      </c>
      <c r="Y504" s="301" t="s">
        <v>1745</v>
      </c>
      <c r="AA504" t="s">
        <v>1465</v>
      </c>
      <c r="AB504" t="s">
        <v>1466</v>
      </c>
    </row>
    <row r="505" spans="1:28" x14ac:dyDescent="0.25">
      <c r="A505">
        <v>2018</v>
      </c>
      <c r="C505" t="s">
        <v>145</v>
      </c>
      <c r="D505" t="s">
        <v>468</v>
      </c>
      <c r="E505" t="s">
        <v>314</v>
      </c>
      <c r="F505" t="s">
        <v>469</v>
      </c>
      <c r="G505">
        <v>479099201</v>
      </c>
      <c r="H505">
        <v>40.390543999999998</v>
      </c>
      <c r="I505">
        <v>-86.936173999999994</v>
      </c>
      <c r="J505" t="s">
        <v>470</v>
      </c>
      <c r="K505">
        <v>110000404296</v>
      </c>
      <c r="M505">
        <v>2833</v>
      </c>
      <c r="R505" s="301">
        <v>0.40134693877550998</v>
      </c>
      <c r="W505" t="s">
        <v>853</v>
      </c>
      <c r="X505" t="s">
        <v>854</v>
      </c>
      <c r="Y505" s="301" t="s">
        <v>1746</v>
      </c>
      <c r="AA505" t="s">
        <v>1465</v>
      </c>
      <c r="AB505" t="s">
        <v>1466</v>
      </c>
    </row>
    <row r="506" spans="1:28" x14ac:dyDescent="0.25">
      <c r="A506">
        <v>2018</v>
      </c>
      <c r="C506" t="s">
        <v>146</v>
      </c>
      <c r="D506" t="s">
        <v>471</v>
      </c>
      <c r="E506" t="s">
        <v>472</v>
      </c>
      <c r="F506" t="s">
        <v>450</v>
      </c>
      <c r="G506">
        <v>11222</v>
      </c>
      <c r="H506">
        <v>40.73095</v>
      </c>
      <c r="I506">
        <v>-73.942520000000002</v>
      </c>
      <c r="K506">
        <v>110037107154</v>
      </c>
      <c r="M506">
        <v>4959</v>
      </c>
      <c r="R506">
        <v>0.25551021000000002</v>
      </c>
      <c r="W506" t="s">
        <v>855</v>
      </c>
      <c r="X506" t="s">
        <v>856</v>
      </c>
      <c r="Y506" s="301" t="s">
        <v>1747</v>
      </c>
      <c r="AA506" t="s">
        <v>1465</v>
      </c>
      <c r="AB506" t="s">
        <v>1466</v>
      </c>
    </row>
    <row r="507" spans="1:28" x14ac:dyDescent="0.25">
      <c r="A507">
        <v>2018</v>
      </c>
      <c r="C507" t="s">
        <v>1109</v>
      </c>
      <c r="D507" t="s">
        <v>1748</v>
      </c>
      <c r="E507" t="s">
        <v>1110</v>
      </c>
      <c r="F507" t="s">
        <v>338</v>
      </c>
      <c r="G507" s="301" t="s">
        <v>1751</v>
      </c>
      <c r="H507">
        <v>40.331944</v>
      </c>
      <c r="I507">
        <v>-74.619721999999996</v>
      </c>
      <c r="K507">
        <v>110000321651</v>
      </c>
      <c r="M507">
        <v>2869</v>
      </c>
      <c r="R507">
        <v>1.5499999999999999E-3</v>
      </c>
      <c r="W507" t="s">
        <v>1749</v>
      </c>
      <c r="X507" t="s">
        <v>1750</v>
      </c>
      <c r="Y507" s="301" t="s">
        <v>1752</v>
      </c>
      <c r="AA507" t="s">
        <v>1465</v>
      </c>
      <c r="AB507" t="s">
        <v>1466</v>
      </c>
    </row>
    <row r="508" spans="1:28" x14ac:dyDescent="0.25">
      <c r="A508">
        <v>2018</v>
      </c>
      <c r="C508" t="s">
        <v>1111</v>
      </c>
      <c r="D508" t="s">
        <v>1753</v>
      </c>
      <c r="E508" t="s">
        <v>1112</v>
      </c>
      <c r="F508" t="s">
        <v>338</v>
      </c>
      <c r="G508" s="301" t="s">
        <v>1756</v>
      </c>
      <c r="H508">
        <v>40.9375</v>
      </c>
      <c r="I508">
        <v>-74.131939000000003</v>
      </c>
      <c r="J508" t="s">
        <v>715</v>
      </c>
      <c r="K508">
        <v>110000319904</v>
      </c>
      <c r="M508">
        <v>2899</v>
      </c>
      <c r="R508">
        <v>7.9766414750000007E-3</v>
      </c>
      <c r="W508" t="s">
        <v>1754</v>
      </c>
      <c r="X508" t="s">
        <v>1755</v>
      </c>
      <c r="Y508" s="301" t="s">
        <v>1757</v>
      </c>
      <c r="AA508" t="s">
        <v>1465</v>
      </c>
      <c r="AB508" t="s">
        <v>1466</v>
      </c>
    </row>
    <row r="509" spans="1:28" x14ac:dyDescent="0.25">
      <c r="A509">
        <v>2018</v>
      </c>
      <c r="C509" t="s">
        <v>1113</v>
      </c>
      <c r="D509" t="s">
        <v>1758</v>
      </c>
      <c r="E509" t="s">
        <v>1114</v>
      </c>
      <c r="F509" t="s">
        <v>324</v>
      </c>
      <c r="G509">
        <v>41041</v>
      </c>
      <c r="H509">
        <v>38.421495999999998</v>
      </c>
      <c r="I509">
        <v>-83.734424000000004</v>
      </c>
      <c r="K509">
        <v>110003251427</v>
      </c>
      <c r="M509">
        <v>4952</v>
      </c>
      <c r="R509">
        <v>0.39028081250000002</v>
      </c>
      <c r="W509" t="s">
        <v>1759</v>
      </c>
      <c r="X509" t="s">
        <v>1760</v>
      </c>
      <c r="Y509" s="301" t="s">
        <v>1761</v>
      </c>
      <c r="AA509" t="s">
        <v>1465</v>
      </c>
      <c r="AB509" t="s">
        <v>263</v>
      </c>
    </row>
    <row r="510" spans="1:28" x14ac:dyDescent="0.25">
      <c r="A510">
        <v>2018</v>
      </c>
      <c r="C510" t="s">
        <v>1115</v>
      </c>
      <c r="D510" t="s">
        <v>1762</v>
      </c>
      <c r="E510" t="s">
        <v>987</v>
      </c>
      <c r="F510" t="s">
        <v>324</v>
      </c>
      <c r="G510">
        <v>40245</v>
      </c>
      <c r="H510">
        <v>38.236699999999999</v>
      </c>
      <c r="I510">
        <v>-85.466710000000006</v>
      </c>
      <c r="K510">
        <v>110043486457</v>
      </c>
      <c r="M510">
        <v>4952</v>
      </c>
      <c r="R510">
        <v>16.647376250000001</v>
      </c>
      <c r="W510" t="s">
        <v>1763</v>
      </c>
      <c r="X510" t="s">
        <v>1764</v>
      </c>
      <c r="Y510" s="301" t="s">
        <v>1765</v>
      </c>
      <c r="AA510" t="s">
        <v>1465</v>
      </c>
      <c r="AB510" t="s">
        <v>263</v>
      </c>
    </row>
    <row r="511" spans="1:28" x14ac:dyDescent="0.25">
      <c r="A511">
        <v>2018</v>
      </c>
      <c r="C511" t="s">
        <v>1118</v>
      </c>
      <c r="D511" t="s">
        <v>1769</v>
      </c>
      <c r="E511" t="s">
        <v>1119</v>
      </c>
      <c r="F511" t="s">
        <v>427</v>
      </c>
      <c r="G511">
        <v>49128</v>
      </c>
      <c r="H511">
        <v>41.775967999999999</v>
      </c>
      <c r="I511">
        <v>-86.654864000000003</v>
      </c>
      <c r="K511">
        <v>110001847761</v>
      </c>
      <c r="M511">
        <v>4953</v>
      </c>
      <c r="R511" s="301">
        <v>2.1287528181818099E-2</v>
      </c>
      <c r="W511" t="s">
        <v>1770</v>
      </c>
      <c r="X511" t="s">
        <v>1771</v>
      </c>
      <c r="Y511" s="301" t="s">
        <v>1772</v>
      </c>
      <c r="AA511" t="s">
        <v>1465</v>
      </c>
      <c r="AB511" t="s">
        <v>1466</v>
      </c>
    </row>
    <row r="512" spans="1:28" x14ac:dyDescent="0.25">
      <c r="A512">
        <v>2018</v>
      </c>
      <c r="C512" t="s">
        <v>1120</v>
      </c>
      <c r="D512" t="s">
        <v>1773</v>
      </c>
      <c r="E512" t="s">
        <v>1121</v>
      </c>
      <c r="F512" t="s">
        <v>338</v>
      </c>
      <c r="G512" s="301" t="s">
        <v>1776</v>
      </c>
      <c r="H512">
        <v>40.515906999999999</v>
      </c>
      <c r="I512">
        <v>-74.325175999999999</v>
      </c>
      <c r="K512">
        <v>110070215141</v>
      </c>
      <c r="R512" s="301">
        <v>3.04533889574999E-2</v>
      </c>
      <c r="W512" t="s">
        <v>1774</v>
      </c>
      <c r="X512" t="s">
        <v>1775</v>
      </c>
      <c r="Y512" s="301" t="s">
        <v>1777</v>
      </c>
      <c r="AA512" t="s">
        <v>1465</v>
      </c>
      <c r="AB512" t="s">
        <v>1466</v>
      </c>
    </row>
    <row r="513" spans="1:28" x14ac:dyDescent="0.25">
      <c r="A513">
        <v>2018</v>
      </c>
      <c r="C513" t="s">
        <v>147</v>
      </c>
      <c r="D513" t="s">
        <v>473</v>
      </c>
      <c r="E513" t="s">
        <v>474</v>
      </c>
      <c r="F513" t="s">
        <v>338</v>
      </c>
      <c r="G513" s="301" t="s">
        <v>1778</v>
      </c>
      <c r="H513">
        <v>40.891950000000001</v>
      </c>
      <c r="I513">
        <v>-74.249369999999999</v>
      </c>
      <c r="K513">
        <v>110070213656</v>
      </c>
      <c r="M513">
        <v>9999</v>
      </c>
      <c r="R513" s="301">
        <v>8.9032376732499905E-4</v>
      </c>
      <c r="W513" t="s">
        <v>857</v>
      </c>
      <c r="X513" t="s">
        <v>858</v>
      </c>
      <c r="Y513" s="301" t="s">
        <v>1779</v>
      </c>
      <c r="AA513" t="s">
        <v>1465</v>
      </c>
      <c r="AB513" t="s">
        <v>1466</v>
      </c>
    </row>
    <row r="514" spans="1:28" x14ac:dyDescent="0.25">
      <c r="A514">
        <v>2018</v>
      </c>
      <c r="C514" t="s">
        <v>1122</v>
      </c>
      <c r="D514" t="s">
        <v>1780</v>
      </c>
      <c r="E514" t="s">
        <v>1123</v>
      </c>
      <c r="F514" t="s">
        <v>491</v>
      </c>
      <c r="G514" t="s">
        <v>1781</v>
      </c>
      <c r="H514">
        <v>39.859110000000001</v>
      </c>
      <c r="I514">
        <v>-77.236620000000002</v>
      </c>
      <c r="K514">
        <v>110071151044</v>
      </c>
      <c r="M514">
        <v>4959</v>
      </c>
      <c r="R514">
        <v>4.5617009250000003E-3</v>
      </c>
      <c r="W514" t="s">
        <v>1782</v>
      </c>
      <c r="X514" t="s">
        <v>1783</v>
      </c>
      <c r="Y514" s="301" t="s">
        <v>1784</v>
      </c>
      <c r="AA514" t="s">
        <v>1465</v>
      </c>
      <c r="AB514" t="s">
        <v>1466</v>
      </c>
    </row>
    <row r="515" spans="1:28" x14ac:dyDescent="0.25">
      <c r="A515">
        <v>2018</v>
      </c>
      <c r="C515" t="s">
        <v>148</v>
      </c>
      <c r="D515" t="s">
        <v>476</v>
      </c>
      <c r="E515" t="s">
        <v>477</v>
      </c>
      <c r="F515" t="s">
        <v>478</v>
      </c>
      <c r="G515">
        <v>19706</v>
      </c>
      <c r="H515">
        <v>39.585099999999997</v>
      </c>
      <c r="I515">
        <v>-75.649199999999993</v>
      </c>
      <c r="K515">
        <v>110000338536</v>
      </c>
      <c r="M515">
        <v>2821</v>
      </c>
      <c r="R515" s="301">
        <v>0.14126984126984099</v>
      </c>
      <c r="W515" t="s">
        <v>859</v>
      </c>
      <c r="X515" t="s">
        <v>783</v>
      </c>
      <c r="Y515" s="301" t="s">
        <v>1785</v>
      </c>
      <c r="AA515" t="s">
        <v>1465</v>
      </c>
      <c r="AB515" t="s">
        <v>1466</v>
      </c>
    </row>
    <row r="516" spans="1:28" x14ac:dyDescent="0.25">
      <c r="A516">
        <v>2018</v>
      </c>
      <c r="C516" t="s">
        <v>1129</v>
      </c>
      <c r="D516" t="s">
        <v>1792</v>
      </c>
      <c r="E516" t="s">
        <v>1130</v>
      </c>
      <c r="F516" t="s">
        <v>366</v>
      </c>
      <c r="G516">
        <v>93420</v>
      </c>
      <c r="H516">
        <v>35.178620000000002</v>
      </c>
      <c r="I516">
        <v>-120.62067500000001</v>
      </c>
      <c r="K516">
        <v>110037256867</v>
      </c>
      <c r="M516">
        <v>2911</v>
      </c>
      <c r="R516">
        <v>2.5715637273750001E-2</v>
      </c>
      <c r="W516" t="s">
        <v>1793</v>
      </c>
      <c r="X516" t="s">
        <v>1794</v>
      </c>
      <c r="Y516">
        <v>18060006000027</v>
      </c>
      <c r="AA516" t="s">
        <v>1465</v>
      </c>
      <c r="AB516" t="s">
        <v>1466</v>
      </c>
    </row>
    <row r="517" spans="1:28" x14ac:dyDescent="0.25">
      <c r="A517">
        <v>2018</v>
      </c>
      <c r="C517" t="s">
        <v>1134</v>
      </c>
      <c r="D517" t="s">
        <v>1800</v>
      </c>
      <c r="E517" t="s">
        <v>1135</v>
      </c>
      <c r="F517" t="s">
        <v>299</v>
      </c>
      <c r="G517">
        <v>72501</v>
      </c>
      <c r="H517">
        <v>35.722341999999998</v>
      </c>
      <c r="I517">
        <v>-91.524983000000006</v>
      </c>
      <c r="J517" t="s">
        <v>718</v>
      </c>
      <c r="K517">
        <v>110017432937</v>
      </c>
      <c r="M517">
        <v>2865</v>
      </c>
      <c r="R517" s="301">
        <v>4.55555555555555</v>
      </c>
      <c r="W517" t="s">
        <v>1801</v>
      </c>
      <c r="X517" t="s">
        <v>1802</v>
      </c>
      <c r="Y517">
        <v>11010004002024</v>
      </c>
      <c r="AA517" t="s">
        <v>1465</v>
      </c>
      <c r="AB517" t="s">
        <v>1466</v>
      </c>
    </row>
    <row r="518" spans="1:28" x14ac:dyDescent="0.25">
      <c r="A518">
        <v>2018</v>
      </c>
      <c r="C518" t="s">
        <v>1136</v>
      </c>
      <c r="D518" t="s">
        <v>1803</v>
      </c>
      <c r="E518" t="s">
        <v>1137</v>
      </c>
      <c r="F518" t="s">
        <v>427</v>
      </c>
      <c r="G518">
        <v>49022</v>
      </c>
      <c r="H518">
        <v>42.076250000000002</v>
      </c>
      <c r="I518">
        <v>-86.43656</v>
      </c>
      <c r="J518" t="s">
        <v>719</v>
      </c>
      <c r="K518">
        <v>110000593206</v>
      </c>
      <c r="M518">
        <v>3561</v>
      </c>
      <c r="R518">
        <v>1.7600250000000001E-5</v>
      </c>
      <c r="W518" t="s">
        <v>1804</v>
      </c>
      <c r="X518" t="s">
        <v>1805</v>
      </c>
      <c r="Y518" s="301" t="s">
        <v>1806</v>
      </c>
      <c r="AA518" t="s">
        <v>1465</v>
      </c>
      <c r="AB518" t="s">
        <v>1466</v>
      </c>
    </row>
    <row r="519" spans="1:28" x14ac:dyDescent="0.25">
      <c r="A519">
        <v>2018</v>
      </c>
      <c r="C519" t="s">
        <v>151</v>
      </c>
      <c r="D519" t="s">
        <v>485</v>
      </c>
      <c r="E519" t="s">
        <v>486</v>
      </c>
      <c r="F519" t="s">
        <v>308</v>
      </c>
      <c r="G519" s="301" t="s">
        <v>1807</v>
      </c>
      <c r="H519">
        <v>42.452603000000003</v>
      </c>
      <c r="I519">
        <v>-70.973436000000007</v>
      </c>
      <c r="J519" t="s">
        <v>487</v>
      </c>
      <c r="K519">
        <v>110000310191</v>
      </c>
      <c r="M519">
        <v>3724</v>
      </c>
      <c r="R519">
        <v>4.3514252500000003E-2</v>
      </c>
      <c r="W519" t="s">
        <v>864</v>
      </c>
      <c r="X519" t="s">
        <v>865</v>
      </c>
      <c r="Y519" s="301" t="s">
        <v>1808</v>
      </c>
      <c r="AA519" t="s">
        <v>1465</v>
      </c>
      <c r="AB519" t="s">
        <v>1466</v>
      </c>
    </row>
    <row r="520" spans="1:28" x14ac:dyDescent="0.25">
      <c r="A520">
        <v>2018</v>
      </c>
      <c r="C520" t="s">
        <v>151</v>
      </c>
      <c r="D520" t="s">
        <v>485</v>
      </c>
      <c r="E520" t="s">
        <v>486</v>
      </c>
      <c r="F520" t="s">
        <v>308</v>
      </c>
      <c r="G520" s="301" t="s">
        <v>1807</v>
      </c>
      <c r="H520">
        <v>42.452603000000003</v>
      </c>
      <c r="I520">
        <v>-70.973436000000007</v>
      </c>
      <c r="J520" t="s">
        <v>487</v>
      </c>
      <c r="K520">
        <v>110000310191</v>
      </c>
      <c r="M520">
        <v>3724</v>
      </c>
      <c r="R520">
        <v>0.12706434250000001</v>
      </c>
      <c r="W520" t="s">
        <v>864</v>
      </c>
      <c r="X520" t="s">
        <v>865</v>
      </c>
      <c r="Y520" s="301" t="s">
        <v>1808</v>
      </c>
      <c r="AA520" t="s">
        <v>1465</v>
      </c>
      <c r="AB520" t="s">
        <v>1466</v>
      </c>
    </row>
    <row r="521" spans="1:28" x14ac:dyDescent="0.25">
      <c r="A521">
        <v>2018</v>
      </c>
      <c r="C521" t="s">
        <v>151</v>
      </c>
      <c r="D521" t="s">
        <v>485</v>
      </c>
      <c r="E521" t="s">
        <v>486</v>
      </c>
      <c r="F521" t="s">
        <v>308</v>
      </c>
      <c r="G521" s="301" t="s">
        <v>1807</v>
      </c>
      <c r="H521">
        <v>42.452603000000003</v>
      </c>
      <c r="I521">
        <v>-70.973436000000007</v>
      </c>
      <c r="J521" t="s">
        <v>487</v>
      </c>
      <c r="K521">
        <v>110000310191</v>
      </c>
      <c r="M521">
        <v>3724</v>
      </c>
      <c r="R521">
        <v>3.8892767500000001E-3</v>
      </c>
      <c r="W521" t="s">
        <v>864</v>
      </c>
      <c r="X521" t="s">
        <v>865</v>
      </c>
      <c r="Y521" s="301" t="s">
        <v>1808</v>
      </c>
      <c r="AA521" t="s">
        <v>1465</v>
      </c>
      <c r="AB521" t="s">
        <v>1466</v>
      </c>
    </row>
    <row r="522" spans="1:28" x14ac:dyDescent="0.25">
      <c r="A522">
        <v>2018</v>
      </c>
      <c r="C522" t="s">
        <v>152</v>
      </c>
      <c r="D522" t="s">
        <v>489</v>
      </c>
      <c r="E522" t="s">
        <v>490</v>
      </c>
      <c r="F522" t="s">
        <v>491</v>
      </c>
      <c r="G522">
        <v>17356</v>
      </c>
      <c r="H522">
        <v>39.903748999999998</v>
      </c>
      <c r="I522">
        <v>-76.605096000000003</v>
      </c>
      <c r="J522" t="s">
        <v>492</v>
      </c>
      <c r="K522">
        <v>110000333318</v>
      </c>
      <c r="M522">
        <v>3489</v>
      </c>
      <c r="R522">
        <v>3.5306480000000001E-2</v>
      </c>
      <c r="W522" t="s">
        <v>866</v>
      </c>
      <c r="X522" t="s">
        <v>1809</v>
      </c>
      <c r="Y522" s="301" t="s">
        <v>1810</v>
      </c>
      <c r="AA522" t="s">
        <v>1465</v>
      </c>
      <c r="AB522" t="s">
        <v>1466</v>
      </c>
    </row>
    <row r="523" spans="1:28" x14ac:dyDescent="0.25">
      <c r="A523">
        <v>2018</v>
      </c>
      <c r="C523" t="s">
        <v>152</v>
      </c>
      <c r="D523" t="s">
        <v>489</v>
      </c>
      <c r="E523" t="s">
        <v>490</v>
      </c>
      <c r="F523" t="s">
        <v>491</v>
      </c>
      <c r="G523">
        <v>17356</v>
      </c>
      <c r="H523">
        <v>39.903748999999998</v>
      </c>
      <c r="I523">
        <v>-76.605096000000003</v>
      </c>
      <c r="J523" t="s">
        <v>492</v>
      </c>
      <c r="K523">
        <v>110000333318</v>
      </c>
      <c r="M523">
        <v>3489</v>
      </c>
      <c r="R523">
        <v>2.3856855E-3</v>
      </c>
      <c r="W523" t="s">
        <v>866</v>
      </c>
      <c r="X523" t="s">
        <v>1809</v>
      </c>
      <c r="Y523" s="301" t="s">
        <v>1810</v>
      </c>
      <c r="AA523" t="s">
        <v>1465</v>
      </c>
      <c r="AB523" t="s">
        <v>1466</v>
      </c>
    </row>
    <row r="524" spans="1:28" x14ac:dyDescent="0.25">
      <c r="A524">
        <v>2018</v>
      </c>
      <c r="C524" t="s">
        <v>153</v>
      </c>
      <c r="D524" t="s">
        <v>1811</v>
      </c>
      <c r="E524" t="s">
        <v>495</v>
      </c>
      <c r="F524" t="s">
        <v>427</v>
      </c>
      <c r="G524">
        <v>48380</v>
      </c>
      <c r="H524">
        <v>42.569099999999999</v>
      </c>
      <c r="I524">
        <v>-83.674499999999995</v>
      </c>
      <c r="K524">
        <v>110017422733</v>
      </c>
      <c r="M524">
        <v>8734</v>
      </c>
      <c r="R524">
        <v>1.4733112499999999E-2</v>
      </c>
      <c r="W524" t="s">
        <v>868</v>
      </c>
      <c r="X524" t="s">
        <v>869</v>
      </c>
      <c r="Y524" s="301" t="s">
        <v>1812</v>
      </c>
      <c r="AA524" t="s">
        <v>1465</v>
      </c>
      <c r="AB524" t="s">
        <v>1466</v>
      </c>
    </row>
    <row r="525" spans="1:28" x14ac:dyDescent="0.25">
      <c r="A525">
        <v>2018</v>
      </c>
      <c r="C525" t="s">
        <v>1816</v>
      </c>
      <c r="D525" t="s">
        <v>497</v>
      </c>
      <c r="E525" t="s">
        <v>498</v>
      </c>
      <c r="F525" t="s">
        <v>338</v>
      </c>
      <c r="G525" s="301" t="s">
        <v>1817</v>
      </c>
      <c r="H525">
        <v>39.852891</v>
      </c>
      <c r="I525">
        <v>-75.225210000000004</v>
      </c>
      <c r="K525">
        <v>110064625730</v>
      </c>
      <c r="M525">
        <v>4952</v>
      </c>
      <c r="R525">
        <v>5.2731000000000003</v>
      </c>
      <c r="W525" t="s">
        <v>870</v>
      </c>
      <c r="X525" t="s">
        <v>871</v>
      </c>
      <c r="Y525" s="301" t="s">
        <v>1818</v>
      </c>
      <c r="AA525" t="s">
        <v>1465</v>
      </c>
      <c r="AB525" t="s">
        <v>263</v>
      </c>
    </row>
    <row r="526" spans="1:28" x14ac:dyDescent="0.25">
      <c r="A526">
        <v>2018</v>
      </c>
      <c r="C526" t="s">
        <v>1140</v>
      </c>
      <c r="D526" t="s">
        <v>1819</v>
      </c>
      <c r="E526" t="s">
        <v>1141</v>
      </c>
      <c r="F526" t="s">
        <v>374</v>
      </c>
      <c r="G526">
        <v>85338</v>
      </c>
      <c r="H526">
        <v>33.398600000000002</v>
      </c>
      <c r="I526">
        <v>-112.3965</v>
      </c>
      <c r="K526">
        <v>110000510894</v>
      </c>
      <c r="M526">
        <v>4952</v>
      </c>
      <c r="R526">
        <v>2.917110760375E-2</v>
      </c>
      <c r="W526" t="s">
        <v>1820</v>
      </c>
      <c r="Y526">
        <v>15060106000281</v>
      </c>
      <c r="AA526" t="s">
        <v>1465</v>
      </c>
      <c r="AB526" t="s">
        <v>263</v>
      </c>
    </row>
    <row r="527" spans="1:28" x14ac:dyDescent="0.25">
      <c r="A527">
        <v>2018</v>
      </c>
      <c r="C527" t="s">
        <v>155</v>
      </c>
      <c r="D527" t="s">
        <v>499</v>
      </c>
      <c r="E527" t="s">
        <v>500</v>
      </c>
      <c r="F527" t="s">
        <v>303</v>
      </c>
      <c r="G527">
        <v>70805</v>
      </c>
      <c r="H527">
        <v>30.558889000000001</v>
      </c>
      <c r="I527">
        <v>-91.217500000000001</v>
      </c>
      <c r="K527">
        <v>110012254363</v>
      </c>
      <c r="M527">
        <v>4491</v>
      </c>
      <c r="R527" s="301">
        <v>6.6381329999999901E-5</v>
      </c>
      <c r="W527" t="s">
        <v>872</v>
      </c>
      <c r="Y527" s="301" t="s">
        <v>1821</v>
      </c>
      <c r="AA527" t="s">
        <v>1465</v>
      </c>
      <c r="AB527" t="s">
        <v>263</v>
      </c>
    </row>
    <row r="528" spans="1:28" x14ac:dyDescent="0.25">
      <c r="A528">
        <v>2018</v>
      </c>
      <c r="C528" t="s">
        <v>1146</v>
      </c>
      <c r="D528" t="s">
        <v>1827</v>
      </c>
      <c r="E528" t="s">
        <v>1147</v>
      </c>
      <c r="F528" t="s">
        <v>491</v>
      </c>
      <c r="G528">
        <v>19067</v>
      </c>
      <c r="H528">
        <v>40.159343999999997</v>
      </c>
      <c r="I528">
        <v>-74.776695000000004</v>
      </c>
      <c r="K528">
        <v>110000817439</v>
      </c>
      <c r="M528">
        <v>4953</v>
      </c>
      <c r="R528">
        <v>6.9978001647499996E-2</v>
      </c>
      <c r="W528" t="s">
        <v>1828</v>
      </c>
      <c r="X528" t="s">
        <v>1829</v>
      </c>
      <c r="Y528" s="301" t="s">
        <v>1830</v>
      </c>
      <c r="AA528" t="s">
        <v>1465</v>
      </c>
      <c r="AB528" t="s">
        <v>1466</v>
      </c>
    </row>
    <row r="529" spans="1:28" x14ac:dyDescent="0.25">
      <c r="A529">
        <v>2018</v>
      </c>
      <c r="C529" t="s">
        <v>1148</v>
      </c>
      <c r="D529" t="s">
        <v>1831</v>
      </c>
      <c r="E529" t="s">
        <v>1149</v>
      </c>
      <c r="F529" t="s">
        <v>324</v>
      </c>
      <c r="G529">
        <v>42234</v>
      </c>
      <c r="H529">
        <v>36.644849999999998</v>
      </c>
      <c r="I529">
        <v>-87.187950000000001</v>
      </c>
      <c r="K529">
        <v>110009937499</v>
      </c>
      <c r="M529">
        <v>4952</v>
      </c>
      <c r="R529">
        <v>0.82546118749999997</v>
      </c>
      <c r="W529" t="s">
        <v>1832</v>
      </c>
      <c r="X529" t="s">
        <v>1833</v>
      </c>
      <c r="Y529" s="301" t="s">
        <v>1834</v>
      </c>
      <c r="AA529" t="s">
        <v>1465</v>
      </c>
      <c r="AB529" t="s">
        <v>263</v>
      </c>
    </row>
    <row r="530" spans="1:28" x14ac:dyDescent="0.25">
      <c r="A530">
        <v>2018</v>
      </c>
      <c r="C530" t="s">
        <v>1150</v>
      </c>
      <c r="D530" t="s">
        <v>1835</v>
      </c>
      <c r="E530" t="s">
        <v>1151</v>
      </c>
      <c r="F530" t="s">
        <v>338</v>
      </c>
      <c r="G530" s="301" t="s">
        <v>1838</v>
      </c>
      <c r="H530">
        <v>40.183062999999997</v>
      </c>
      <c r="I530">
        <v>-74.710695000000001</v>
      </c>
      <c r="K530">
        <v>110056977080</v>
      </c>
      <c r="M530">
        <v>4952</v>
      </c>
      <c r="R530">
        <v>1.4284022249999999</v>
      </c>
      <c r="W530" t="s">
        <v>1836</v>
      </c>
      <c r="X530" t="s">
        <v>1837</v>
      </c>
      <c r="Y530" s="301" t="s">
        <v>1839</v>
      </c>
      <c r="AA530" t="s">
        <v>1465</v>
      </c>
      <c r="AB530" t="s">
        <v>263</v>
      </c>
    </row>
    <row r="531" spans="1:28" x14ac:dyDescent="0.25">
      <c r="A531">
        <v>2018</v>
      </c>
      <c r="C531" t="s">
        <v>1152</v>
      </c>
      <c r="D531" t="s">
        <v>1840</v>
      </c>
      <c r="E531" t="s">
        <v>1153</v>
      </c>
      <c r="F531" t="s">
        <v>338</v>
      </c>
      <c r="G531" s="301" t="s">
        <v>1843</v>
      </c>
      <c r="H531">
        <v>39.507057000000003</v>
      </c>
      <c r="I531">
        <v>-75.463615000000004</v>
      </c>
      <c r="K531">
        <v>110009838168</v>
      </c>
      <c r="M531">
        <v>4952</v>
      </c>
      <c r="R531">
        <v>3.145335E-3</v>
      </c>
      <c r="W531" t="s">
        <v>1841</v>
      </c>
      <c r="X531" t="s">
        <v>1842</v>
      </c>
      <c r="Y531" s="301" t="s">
        <v>1844</v>
      </c>
      <c r="AA531" t="s">
        <v>1465</v>
      </c>
      <c r="AB531" t="s">
        <v>263</v>
      </c>
    </row>
    <row r="532" spans="1:28" x14ac:dyDescent="0.25">
      <c r="A532">
        <v>2018</v>
      </c>
      <c r="C532" t="s">
        <v>1158</v>
      </c>
      <c r="D532" t="s">
        <v>1852</v>
      </c>
      <c r="E532" t="s">
        <v>1159</v>
      </c>
      <c r="F532" t="s">
        <v>324</v>
      </c>
      <c r="G532">
        <v>40330</v>
      </c>
      <c r="H532">
        <v>37.776316000000001</v>
      </c>
      <c r="I532">
        <v>-84.867384999999999</v>
      </c>
      <c r="K532">
        <v>110000732324</v>
      </c>
      <c r="M532">
        <v>4952</v>
      </c>
      <c r="R532">
        <v>1.7041110875000001</v>
      </c>
      <c r="W532" t="s">
        <v>1853</v>
      </c>
      <c r="X532" t="s">
        <v>1854</v>
      </c>
      <c r="Y532" s="301" t="s">
        <v>1855</v>
      </c>
      <c r="AA532" t="s">
        <v>1465</v>
      </c>
      <c r="AB532" t="s">
        <v>263</v>
      </c>
    </row>
    <row r="533" spans="1:28" x14ac:dyDescent="0.25">
      <c r="A533">
        <v>2018</v>
      </c>
      <c r="C533" t="s">
        <v>1160</v>
      </c>
      <c r="D533" t="s">
        <v>1856</v>
      </c>
      <c r="E533" t="s">
        <v>1103</v>
      </c>
      <c r="F533" t="s">
        <v>345</v>
      </c>
      <c r="G533" t="s">
        <v>1857</v>
      </c>
      <c r="H533">
        <v>41.304952</v>
      </c>
      <c r="I533">
        <v>-88.561650999999998</v>
      </c>
      <c r="J533" t="s">
        <v>720</v>
      </c>
      <c r="K533">
        <v>110000433022</v>
      </c>
      <c r="M533">
        <v>2821</v>
      </c>
      <c r="R533" s="301">
        <v>2.3398072562358201E-2</v>
      </c>
      <c r="W533" t="s">
        <v>1858</v>
      </c>
      <c r="X533" t="s">
        <v>1859</v>
      </c>
      <c r="Y533" s="301" t="s">
        <v>1860</v>
      </c>
      <c r="AA533" t="s">
        <v>1465</v>
      </c>
      <c r="AB533" t="s">
        <v>1466</v>
      </c>
    </row>
    <row r="534" spans="1:28" x14ac:dyDescent="0.25">
      <c r="A534">
        <v>2018</v>
      </c>
      <c r="C534" t="s">
        <v>1161</v>
      </c>
      <c r="D534" t="s">
        <v>1861</v>
      </c>
      <c r="E534" t="s">
        <v>1162</v>
      </c>
      <c r="F534" t="s">
        <v>338</v>
      </c>
      <c r="G534" s="301" t="s">
        <v>1863</v>
      </c>
      <c r="H534">
        <v>39.827696000000003</v>
      </c>
      <c r="I534">
        <v>-75.277782000000002</v>
      </c>
      <c r="K534">
        <v>110070210457</v>
      </c>
      <c r="M534">
        <v>2869</v>
      </c>
      <c r="R534">
        <v>5.0160712500000003E-3</v>
      </c>
      <c r="W534" t="s">
        <v>1862</v>
      </c>
      <c r="X534" t="s">
        <v>783</v>
      </c>
      <c r="Y534" s="301" t="s">
        <v>1864</v>
      </c>
      <c r="AA534" t="s">
        <v>1465</v>
      </c>
      <c r="AB534" t="s">
        <v>1466</v>
      </c>
    </row>
    <row r="535" spans="1:28" x14ac:dyDescent="0.25">
      <c r="A535">
        <v>2018</v>
      </c>
      <c r="C535" t="s">
        <v>1167</v>
      </c>
      <c r="D535" t="s">
        <v>1875</v>
      </c>
      <c r="E535" t="s">
        <v>1168</v>
      </c>
      <c r="F535" t="s">
        <v>338</v>
      </c>
      <c r="G535" s="301" t="s">
        <v>1878</v>
      </c>
      <c r="H535">
        <v>40.792712999999999</v>
      </c>
      <c r="I535">
        <v>-74.434799999999996</v>
      </c>
      <c r="K535">
        <v>110070212650</v>
      </c>
      <c r="M535">
        <v>8731</v>
      </c>
      <c r="R535" s="301">
        <v>2.1001956297499898E-2</v>
      </c>
      <c r="W535" t="s">
        <v>1876</v>
      </c>
      <c r="X535" t="s">
        <v>1877</v>
      </c>
      <c r="Y535" s="301" t="s">
        <v>1879</v>
      </c>
      <c r="AA535" t="s">
        <v>1465</v>
      </c>
      <c r="AB535" t="s">
        <v>1466</v>
      </c>
    </row>
    <row r="536" spans="1:28" x14ac:dyDescent="0.25">
      <c r="A536">
        <v>2018</v>
      </c>
      <c r="C536" t="s">
        <v>1880</v>
      </c>
      <c r="D536" t="s">
        <v>513</v>
      </c>
      <c r="E536" t="s">
        <v>302</v>
      </c>
      <c r="F536" t="s">
        <v>303</v>
      </c>
      <c r="G536">
        <v>70805</v>
      </c>
      <c r="H536">
        <v>30.474443999999998</v>
      </c>
      <c r="I536">
        <v>-91.183055999999993</v>
      </c>
      <c r="J536" t="s">
        <v>514</v>
      </c>
      <c r="K536">
        <v>110003266849</v>
      </c>
      <c r="M536">
        <v>2869</v>
      </c>
      <c r="R536" s="301">
        <v>6.2040816326530601</v>
      </c>
      <c r="W536" t="s">
        <v>878</v>
      </c>
      <c r="X536" t="s">
        <v>816</v>
      </c>
      <c r="Y536" s="301" t="s">
        <v>1881</v>
      </c>
      <c r="AA536" t="s">
        <v>1465</v>
      </c>
      <c r="AB536" t="s">
        <v>1466</v>
      </c>
    </row>
    <row r="537" spans="1:28" x14ac:dyDescent="0.25">
      <c r="A537">
        <v>2018</v>
      </c>
      <c r="C537" t="s">
        <v>1172</v>
      </c>
      <c r="D537" t="s">
        <v>1884</v>
      </c>
      <c r="E537" t="s">
        <v>1173</v>
      </c>
      <c r="F537" t="s">
        <v>324</v>
      </c>
      <c r="G537">
        <v>42240</v>
      </c>
      <c r="H537">
        <v>36.803610999999997</v>
      </c>
      <c r="I537">
        <v>-87.516389000000004</v>
      </c>
      <c r="K537">
        <v>110039994897</v>
      </c>
      <c r="M537">
        <v>4952</v>
      </c>
      <c r="R537">
        <v>16.4366936875</v>
      </c>
      <c r="W537" t="s">
        <v>1885</v>
      </c>
      <c r="X537" t="s">
        <v>1886</v>
      </c>
      <c r="Y537" s="301" t="s">
        <v>1887</v>
      </c>
      <c r="AA537" t="s">
        <v>1465</v>
      </c>
      <c r="AB537" t="s">
        <v>263</v>
      </c>
    </row>
    <row r="538" spans="1:28" x14ac:dyDescent="0.25">
      <c r="A538">
        <v>2018</v>
      </c>
      <c r="C538" t="s">
        <v>1179</v>
      </c>
      <c r="D538" t="s">
        <v>1897</v>
      </c>
      <c r="E538" t="s">
        <v>1180</v>
      </c>
      <c r="F538" t="s">
        <v>450</v>
      </c>
      <c r="G538">
        <v>13760</v>
      </c>
      <c r="H538">
        <v>42.107010000000002</v>
      </c>
      <c r="I538">
        <v>-76.051990000000004</v>
      </c>
      <c r="K538">
        <v>110041145926</v>
      </c>
      <c r="M538">
        <v>3471</v>
      </c>
      <c r="R538">
        <v>0.107933817</v>
      </c>
      <c r="W538" t="s">
        <v>1898</v>
      </c>
      <c r="X538" t="s">
        <v>1899</v>
      </c>
      <c r="Y538" s="301" t="s">
        <v>1900</v>
      </c>
      <c r="AA538" t="s">
        <v>1465</v>
      </c>
      <c r="AB538" t="s">
        <v>1466</v>
      </c>
    </row>
    <row r="539" spans="1:28" x14ac:dyDescent="0.25">
      <c r="A539">
        <v>2018</v>
      </c>
      <c r="C539" t="s">
        <v>164</v>
      </c>
      <c r="D539" t="s">
        <v>532</v>
      </c>
      <c r="E539" t="s">
        <v>533</v>
      </c>
      <c r="F539" t="s">
        <v>338</v>
      </c>
      <c r="G539" s="301" t="s">
        <v>1901</v>
      </c>
      <c r="H539">
        <v>40.650120999999999</v>
      </c>
      <c r="I539">
        <v>-74.095578000000003</v>
      </c>
      <c r="K539">
        <v>110070220480</v>
      </c>
      <c r="M539">
        <v>4226</v>
      </c>
      <c r="R539" s="301">
        <v>3.14736266991999E-3</v>
      </c>
      <c r="W539" t="s">
        <v>886</v>
      </c>
      <c r="X539" t="s">
        <v>887</v>
      </c>
      <c r="Y539" s="301" t="s">
        <v>1902</v>
      </c>
      <c r="AA539" t="s">
        <v>1465</v>
      </c>
      <c r="AB539" t="s">
        <v>1466</v>
      </c>
    </row>
    <row r="540" spans="1:28" x14ac:dyDescent="0.25">
      <c r="A540">
        <v>2018</v>
      </c>
      <c r="C540" t="s">
        <v>1181</v>
      </c>
      <c r="D540" t="s">
        <v>1903</v>
      </c>
      <c r="E540" t="s">
        <v>1182</v>
      </c>
      <c r="F540" t="s">
        <v>345</v>
      </c>
      <c r="G540">
        <v>60439</v>
      </c>
      <c r="H540">
        <v>41.692782000000001</v>
      </c>
      <c r="I540">
        <v>-87.951100999999994</v>
      </c>
      <c r="K540">
        <v>110018199377</v>
      </c>
      <c r="M540">
        <v>4226</v>
      </c>
      <c r="R540">
        <v>2.7112901250000001</v>
      </c>
      <c r="W540" t="s">
        <v>1904</v>
      </c>
      <c r="X540" t="s">
        <v>1905</v>
      </c>
      <c r="Y540" s="301" t="s">
        <v>1906</v>
      </c>
      <c r="AA540" t="s">
        <v>1465</v>
      </c>
      <c r="AB540" t="s">
        <v>1466</v>
      </c>
    </row>
    <row r="541" spans="1:28" x14ac:dyDescent="0.25">
      <c r="A541">
        <v>2018</v>
      </c>
      <c r="C541" t="s">
        <v>1907</v>
      </c>
      <c r="D541" t="s">
        <v>534</v>
      </c>
      <c r="E541" t="s">
        <v>446</v>
      </c>
      <c r="F541" t="s">
        <v>303</v>
      </c>
      <c r="G541">
        <v>70669</v>
      </c>
      <c r="H541">
        <v>30.190567999999999</v>
      </c>
      <c r="I541">
        <v>-93.325823</v>
      </c>
      <c r="J541" t="s">
        <v>536</v>
      </c>
      <c r="K541">
        <v>110000748040</v>
      </c>
      <c r="M541">
        <v>2869</v>
      </c>
      <c r="R541" s="301">
        <v>3.0871882086167699</v>
      </c>
      <c r="W541" t="s">
        <v>888</v>
      </c>
      <c r="X541" t="s">
        <v>889</v>
      </c>
      <c r="Y541" s="301" t="s">
        <v>1908</v>
      </c>
      <c r="AA541" t="s">
        <v>1465</v>
      </c>
      <c r="AB541" t="s">
        <v>1466</v>
      </c>
    </row>
    <row r="542" spans="1:28" x14ac:dyDescent="0.25">
      <c r="A542">
        <v>2018</v>
      </c>
      <c r="C542" t="s">
        <v>1183</v>
      </c>
      <c r="D542" t="s">
        <v>377</v>
      </c>
      <c r="E542" t="s">
        <v>480</v>
      </c>
      <c r="F542" t="s">
        <v>362</v>
      </c>
      <c r="G542">
        <v>77978</v>
      </c>
      <c r="H542">
        <v>28.642944</v>
      </c>
      <c r="I542">
        <v>-96.547611000000003</v>
      </c>
      <c r="K542">
        <v>110063004528</v>
      </c>
      <c r="M542">
        <v>4491</v>
      </c>
      <c r="R542">
        <v>0.35910187500000001</v>
      </c>
      <c r="W542" t="s">
        <v>804</v>
      </c>
      <c r="X542" t="s">
        <v>805</v>
      </c>
      <c r="Y542">
        <v>12100401000758</v>
      </c>
      <c r="AA542" t="s">
        <v>1465</v>
      </c>
      <c r="AB542" t="s">
        <v>1466</v>
      </c>
    </row>
    <row r="543" spans="1:28" x14ac:dyDescent="0.25">
      <c r="A543">
        <v>2018</v>
      </c>
      <c r="C543" t="s">
        <v>1186</v>
      </c>
      <c r="D543" t="s">
        <v>1913</v>
      </c>
      <c r="E543" t="s">
        <v>1187</v>
      </c>
      <c r="F543" t="s">
        <v>478</v>
      </c>
      <c r="G543">
        <v>19973</v>
      </c>
      <c r="H543">
        <v>38.624206999999998</v>
      </c>
      <c r="I543">
        <v>-75.628699999999995</v>
      </c>
      <c r="K543">
        <v>110064631849</v>
      </c>
      <c r="M543">
        <v>2821</v>
      </c>
      <c r="R543" s="301">
        <v>2.8117913832199502E-4</v>
      </c>
      <c r="W543" t="s">
        <v>1914</v>
      </c>
      <c r="X543" t="s">
        <v>1915</v>
      </c>
      <c r="Y543" s="301" t="s">
        <v>1916</v>
      </c>
      <c r="AA543" t="s">
        <v>1465</v>
      </c>
      <c r="AB543" t="s">
        <v>1466</v>
      </c>
    </row>
    <row r="544" spans="1:28" x14ac:dyDescent="0.25">
      <c r="A544">
        <v>2018</v>
      </c>
      <c r="C544" t="s">
        <v>1188</v>
      </c>
      <c r="D544" t="s">
        <v>1917</v>
      </c>
      <c r="E544" t="s">
        <v>1189</v>
      </c>
      <c r="F544" t="s">
        <v>324</v>
      </c>
      <c r="G544">
        <v>40336</v>
      </c>
      <c r="H544">
        <v>37.700833000000003</v>
      </c>
      <c r="I544">
        <v>-83.984443999999996</v>
      </c>
      <c r="K544">
        <v>110006749162</v>
      </c>
      <c r="M544">
        <v>8711</v>
      </c>
      <c r="R544">
        <v>0.69076249999999995</v>
      </c>
      <c r="W544" t="s">
        <v>1918</v>
      </c>
      <c r="X544" t="s">
        <v>1592</v>
      </c>
      <c r="Y544" s="301" t="s">
        <v>1919</v>
      </c>
      <c r="AA544" t="s">
        <v>1465</v>
      </c>
      <c r="AB544" t="s">
        <v>263</v>
      </c>
    </row>
    <row r="545" spans="1:28" x14ac:dyDescent="0.25">
      <c r="A545">
        <v>2018</v>
      </c>
      <c r="C545" t="s">
        <v>1190</v>
      </c>
      <c r="D545" t="s">
        <v>1920</v>
      </c>
      <c r="E545" t="s">
        <v>1191</v>
      </c>
      <c r="F545" t="s">
        <v>491</v>
      </c>
      <c r="G545">
        <v>17853</v>
      </c>
      <c r="H545">
        <v>40.725278000000003</v>
      </c>
      <c r="I545">
        <v>-77.056944000000001</v>
      </c>
      <c r="K545">
        <v>110017796330</v>
      </c>
      <c r="M545">
        <v>3645</v>
      </c>
      <c r="R545">
        <v>4.9359238749999996E-3</v>
      </c>
      <c r="W545" t="s">
        <v>1921</v>
      </c>
      <c r="X545" t="s">
        <v>1922</v>
      </c>
      <c r="Y545" s="301" t="s">
        <v>1923</v>
      </c>
      <c r="AA545" t="s">
        <v>1465</v>
      </c>
      <c r="AB545" t="s">
        <v>1466</v>
      </c>
    </row>
    <row r="546" spans="1:28" x14ac:dyDescent="0.25">
      <c r="A546">
        <v>2018</v>
      </c>
      <c r="C546" t="s">
        <v>1192</v>
      </c>
      <c r="D546" t="s">
        <v>1924</v>
      </c>
      <c r="E546" t="s">
        <v>323</v>
      </c>
      <c r="F546" t="s">
        <v>324</v>
      </c>
      <c r="G546">
        <v>420290037</v>
      </c>
      <c r="H546">
        <v>37.047736999999998</v>
      </c>
      <c r="I546">
        <v>-88.35866</v>
      </c>
      <c r="J546" t="s">
        <v>721</v>
      </c>
      <c r="K546">
        <v>110000741608</v>
      </c>
      <c r="M546">
        <v>2869</v>
      </c>
      <c r="R546" s="301">
        <v>4.3038548752834398</v>
      </c>
      <c r="W546" t="s">
        <v>1925</v>
      </c>
      <c r="X546" t="s">
        <v>1926</v>
      </c>
      <c r="Y546" s="301" t="s">
        <v>1492</v>
      </c>
      <c r="AA546" t="s">
        <v>1465</v>
      </c>
      <c r="AB546" t="s">
        <v>1466</v>
      </c>
    </row>
    <row r="547" spans="1:28" x14ac:dyDescent="0.25">
      <c r="A547">
        <v>2018</v>
      </c>
      <c r="C547" t="s">
        <v>1193</v>
      </c>
      <c r="D547" t="s">
        <v>1927</v>
      </c>
      <c r="E547" t="s">
        <v>293</v>
      </c>
      <c r="F547" t="s">
        <v>294</v>
      </c>
      <c r="G547">
        <v>22203</v>
      </c>
      <c r="H547">
        <v>38.861800000000002</v>
      </c>
      <c r="I547">
        <v>-77.086969999999994</v>
      </c>
      <c r="K547">
        <v>110070546877</v>
      </c>
      <c r="M547">
        <v>1794</v>
      </c>
      <c r="R547" s="301">
        <v>9.2994338729999893E-3</v>
      </c>
      <c r="W547" t="s">
        <v>1928</v>
      </c>
      <c r="X547" t="s">
        <v>1475</v>
      </c>
      <c r="AA547" t="s">
        <v>1465</v>
      </c>
      <c r="AB547" t="s">
        <v>1466</v>
      </c>
    </row>
    <row r="548" spans="1:28" x14ac:dyDescent="0.25">
      <c r="A548">
        <v>2018</v>
      </c>
      <c r="C548" t="s">
        <v>1198</v>
      </c>
      <c r="D548" t="s">
        <v>1935</v>
      </c>
      <c r="E548" t="s">
        <v>1199</v>
      </c>
      <c r="F548" t="s">
        <v>374</v>
      </c>
      <c r="G548">
        <v>86033</v>
      </c>
      <c r="H548">
        <v>36.733111000000001</v>
      </c>
      <c r="I548">
        <v>-110.230611</v>
      </c>
      <c r="K548">
        <v>110010062699</v>
      </c>
      <c r="M548">
        <v>4952</v>
      </c>
      <c r="R548">
        <v>0.57108080000000006</v>
      </c>
      <c r="W548" t="s">
        <v>1936</v>
      </c>
      <c r="X548" t="s">
        <v>1937</v>
      </c>
      <c r="Y548">
        <v>14080204000704</v>
      </c>
      <c r="AA548" t="s">
        <v>1465</v>
      </c>
      <c r="AB548" t="s">
        <v>263</v>
      </c>
    </row>
    <row r="549" spans="1:28" x14ac:dyDescent="0.25">
      <c r="A549">
        <v>2018</v>
      </c>
      <c r="C549" t="s">
        <v>1202</v>
      </c>
      <c r="D549" t="s">
        <v>1941</v>
      </c>
      <c r="E549" t="s">
        <v>1203</v>
      </c>
      <c r="F549" t="s">
        <v>491</v>
      </c>
      <c r="G549">
        <v>15774</v>
      </c>
      <c r="H549">
        <v>40.660400000000003</v>
      </c>
      <c r="I549">
        <v>-79.341099999999997</v>
      </c>
      <c r="J549" t="s">
        <v>722</v>
      </c>
      <c r="K549">
        <v>110000538525</v>
      </c>
      <c r="M549">
        <v>4911</v>
      </c>
      <c r="R549">
        <v>3.1764978512500002</v>
      </c>
      <c r="W549" t="s">
        <v>1942</v>
      </c>
      <c r="X549" t="s">
        <v>1943</v>
      </c>
      <c r="Y549" s="301" t="s">
        <v>1944</v>
      </c>
      <c r="AA549" t="s">
        <v>1465</v>
      </c>
      <c r="AB549" t="s">
        <v>1466</v>
      </c>
    </row>
    <row r="550" spans="1:28" x14ac:dyDescent="0.25">
      <c r="A550">
        <v>2018</v>
      </c>
      <c r="C550" t="s">
        <v>1204</v>
      </c>
      <c r="D550" t="s">
        <v>1945</v>
      </c>
      <c r="E550" t="s">
        <v>1205</v>
      </c>
      <c r="F550" t="s">
        <v>374</v>
      </c>
      <c r="G550">
        <v>86401</v>
      </c>
      <c r="H550">
        <v>35.296455000000002</v>
      </c>
      <c r="I550">
        <v>-113.935008</v>
      </c>
      <c r="K550">
        <v>110015944077</v>
      </c>
      <c r="M550">
        <v>4952</v>
      </c>
      <c r="R550">
        <v>2.3997089250000001</v>
      </c>
      <c r="W550" t="s">
        <v>1946</v>
      </c>
      <c r="Y550">
        <v>15060106000281</v>
      </c>
      <c r="AA550" t="s">
        <v>1465</v>
      </c>
      <c r="AB550" t="s">
        <v>263</v>
      </c>
    </row>
    <row r="551" spans="1:28" x14ac:dyDescent="0.25">
      <c r="A551">
        <v>2018</v>
      </c>
      <c r="C551" t="s">
        <v>1206</v>
      </c>
      <c r="D551" t="s">
        <v>1947</v>
      </c>
      <c r="E551" t="s">
        <v>1207</v>
      </c>
      <c r="F551" t="s">
        <v>324</v>
      </c>
      <c r="G551">
        <v>40031</v>
      </c>
      <c r="H551">
        <v>38.391995999999999</v>
      </c>
      <c r="I551">
        <v>-85.416021999999998</v>
      </c>
      <c r="K551">
        <v>110002108059</v>
      </c>
      <c r="M551">
        <v>9223</v>
      </c>
      <c r="R551">
        <v>2.7526885624999999</v>
      </c>
      <c r="W551" t="s">
        <v>1948</v>
      </c>
      <c r="X551" t="s">
        <v>1949</v>
      </c>
      <c r="Y551" s="301" t="s">
        <v>1950</v>
      </c>
      <c r="AA551" t="s">
        <v>1465</v>
      </c>
      <c r="AB551" t="s">
        <v>263</v>
      </c>
    </row>
    <row r="552" spans="1:28" x14ac:dyDescent="0.25">
      <c r="A552">
        <v>2018</v>
      </c>
      <c r="C552" t="s">
        <v>1210</v>
      </c>
      <c r="D552" t="s">
        <v>1956</v>
      </c>
      <c r="E552" t="s">
        <v>657</v>
      </c>
      <c r="F552" t="s">
        <v>418</v>
      </c>
      <c r="G552">
        <v>89101</v>
      </c>
      <c r="H552">
        <v>36.16478</v>
      </c>
      <c r="I552">
        <v>-115.14067</v>
      </c>
      <c r="K552">
        <v>110017237373</v>
      </c>
      <c r="M552">
        <v>8211</v>
      </c>
      <c r="R552">
        <v>2.9012025E-3</v>
      </c>
      <c r="W552" t="s">
        <v>1957</v>
      </c>
      <c r="X552" t="s">
        <v>1893</v>
      </c>
      <c r="Y552">
        <v>15010015000125</v>
      </c>
      <c r="AA552" t="s">
        <v>1465</v>
      </c>
      <c r="AB552" t="s">
        <v>1466</v>
      </c>
    </row>
    <row r="553" spans="1:28" x14ac:dyDescent="0.25">
      <c r="A553">
        <v>2018</v>
      </c>
      <c r="C553" t="s">
        <v>167</v>
      </c>
      <c r="D553" t="s">
        <v>543</v>
      </c>
      <c r="E553" t="s">
        <v>544</v>
      </c>
      <c r="F553" t="s">
        <v>338</v>
      </c>
      <c r="G553" s="301" t="s">
        <v>1961</v>
      </c>
      <c r="H553">
        <v>40.610097000000003</v>
      </c>
      <c r="I553">
        <v>-74.204927999999995</v>
      </c>
      <c r="K553">
        <v>110002468669</v>
      </c>
      <c r="M553">
        <v>2841</v>
      </c>
      <c r="R553">
        <v>0.33974538500000001</v>
      </c>
      <c r="W553" t="s">
        <v>892</v>
      </c>
      <c r="X553" t="s">
        <v>893</v>
      </c>
      <c r="Y553" s="301" t="s">
        <v>1962</v>
      </c>
      <c r="AA553" t="s">
        <v>1465</v>
      </c>
      <c r="AB553" t="s">
        <v>1466</v>
      </c>
    </row>
    <row r="554" spans="1:28" x14ac:dyDescent="0.25">
      <c r="A554">
        <v>2018</v>
      </c>
      <c r="C554" t="s">
        <v>1212</v>
      </c>
      <c r="D554" t="s">
        <v>1963</v>
      </c>
      <c r="E554" t="s">
        <v>1213</v>
      </c>
      <c r="F554" t="s">
        <v>1128</v>
      </c>
      <c r="G554">
        <v>80125</v>
      </c>
      <c r="H554">
        <v>39.496341999999999</v>
      </c>
      <c r="I554">
        <v>-105.10758800000001</v>
      </c>
      <c r="J554" t="s">
        <v>724</v>
      </c>
      <c r="K554">
        <v>110000610429</v>
      </c>
      <c r="M554">
        <v>3761</v>
      </c>
      <c r="R554">
        <v>3.5711474999999999E-2</v>
      </c>
      <c r="W554" t="s">
        <v>1964</v>
      </c>
      <c r="X554" t="s">
        <v>1965</v>
      </c>
      <c r="Y554">
        <v>10190002000856</v>
      </c>
      <c r="AA554" t="s">
        <v>1465</v>
      </c>
      <c r="AB554" t="s">
        <v>1466</v>
      </c>
    </row>
    <row r="555" spans="1:28" x14ac:dyDescent="0.25">
      <c r="A555">
        <v>2018</v>
      </c>
      <c r="C555" t="s">
        <v>168</v>
      </c>
      <c r="D555" t="s">
        <v>546</v>
      </c>
      <c r="E555" t="s">
        <v>547</v>
      </c>
      <c r="F555" t="s">
        <v>366</v>
      </c>
      <c r="G555">
        <v>93436</v>
      </c>
      <c r="H555">
        <v>34.661079999999998</v>
      </c>
      <c r="I555">
        <v>-120.48135000000001</v>
      </c>
      <c r="K555">
        <v>110009547222</v>
      </c>
      <c r="M555">
        <v>4952</v>
      </c>
      <c r="R555">
        <v>1.0223285</v>
      </c>
      <c r="W555" t="s">
        <v>894</v>
      </c>
      <c r="X555" t="s">
        <v>895</v>
      </c>
      <c r="Y555">
        <v>18060010000006</v>
      </c>
      <c r="AA555" t="s">
        <v>1465</v>
      </c>
      <c r="AB555" t="s">
        <v>263</v>
      </c>
    </row>
    <row r="556" spans="1:28" x14ac:dyDescent="0.25">
      <c r="A556">
        <v>2018</v>
      </c>
      <c r="C556" t="s">
        <v>1216</v>
      </c>
      <c r="D556" t="s">
        <v>1970</v>
      </c>
      <c r="E556" t="s">
        <v>1217</v>
      </c>
      <c r="F556" t="s">
        <v>338</v>
      </c>
      <c r="G556" s="301" t="s">
        <v>1973</v>
      </c>
      <c r="H556">
        <v>40.298000000000002</v>
      </c>
      <c r="I556">
        <v>-74.055549999999997</v>
      </c>
      <c r="K556">
        <v>110070210646</v>
      </c>
      <c r="M556">
        <v>3694</v>
      </c>
      <c r="R556">
        <v>1.5083225E-3</v>
      </c>
      <c r="W556" t="s">
        <v>1971</v>
      </c>
      <c r="X556" t="s">
        <v>1972</v>
      </c>
      <c r="Y556" s="301" t="s">
        <v>1974</v>
      </c>
      <c r="AA556" t="s">
        <v>1465</v>
      </c>
      <c r="AB556" t="s">
        <v>1466</v>
      </c>
    </row>
    <row r="557" spans="1:28" x14ac:dyDescent="0.25">
      <c r="A557">
        <v>2018</v>
      </c>
      <c r="C557" t="s">
        <v>1220</v>
      </c>
      <c r="D557" t="s">
        <v>1978</v>
      </c>
      <c r="E557" t="s">
        <v>1221</v>
      </c>
      <c r="F557" t="s">
        <v>338</v>
      </c>
      <c r="G557" s="301" t="s">
        <v>1981</v>
      </c>
      <c r="H557">
        <v>39.919559</v>
      </c>
      <c r="I557">
        <v>-75.125825000000006</v>
      </c>
      <c r="K557">
        <v>110009834581</v>
      </c>
      <c r="M557">
        <v>2087</v>
      </c>
      <c r="R557">
        <v>7.267309064775E-3</v>
      </c>
      <c r="W557" t="s">
        <v>1979</v>
      </c>
      <c r="X557" t="s">
        <v>1980</v>
      </c>
      <c r="Y557" s="301" t="s">
        <v>1982</v>
      </c>
      <c r="AA557" t="s">
        <v>1465</v>
      </c>
      <c r="AB557" t="s">
        <v>1466</v>
      </c>
    </row>
    <row r="558" spans="1:28" x14ac:dyDescent="0.25">
      <c r="A558">
        <v>2018</v>
      </c>
      <c r="C558" t="s">
        <v>1224</v>
      </c>
      <c r="D558" t="s">
        <v>1985</v>
      </c>
      <c r="E558" t="s">
        <v>657</v>
      </c>
      <c r="F558" t="s">
        <v>418</v>
      </c>
      <c r="G558">
        <v>89101</v>
      </c>
      <c r="H558">
        <v>36.176639999999999</v>
      </c>
      <c r="I558">
        <v>-115.12891999999999</v>
      </c>
      <c r="K558">
        <v>110008995490</v>
      </c>
      <c r="M558">
        <v>6513</v>
      </c>
      <c r="R558">
        <v>5.8714812499999998E-2</v>
      </c>
      <c r="W558" t="s">
        <v>1986</v>
      </c>
      <c r="X558" t="s">
        <v>952</v>
      </c>
      <c r="Y558">
        <v>15010015000125</v>
      </c>
      <c r="AA558" t="s">
        <v>1465</v>
      </c>
      <c r="AB558" t="s">
        <v>1466</v>
      </c>
    </row>
    <row r="559" spans="1:28" x14ac:dyDescent="0.25">
      <c r="A559">
        <v>2018</v>
      </c>
      <c r="C559" t="s">
        <v>1225</v>
      </c>
      <c r="D559" t="s">
        <v>1987</v>
      </c>
      <c r="E559" t="s">
        <v>1098</v>
      </c>
      <c r="F559" t="s">
        <v>324</v>
      </c>
      <c r="G559">
        <v>41056</v>
      </c>
      <c r="H559">
        <v>38.687221999999998</v>
      </c>
      <c r="I559">
        <v>-83.786666999999994</v>
      </c>
      <c r="K559">
        <v>110000761104</v>
      </c>
      <c r="M559">
        <v>4952</v>
      </c>
      <c r="R559">
        <v>1.1079830500000001</v>
      </c>
      <c r="W559" t="s">
        <v>1988</v>
      </c>
      <c r="X559" t="s">
        <v>830</v>
      </c>
      <c r="Y559" s="301" t="s">
        <v>1989</v>
      </c>
      <c r="AA559" t="s">
        <v>1465</v>
      </c>
      <c r="AB559" t="s">
        <v>263</v>
      </c>
    </row>
    <row r="560" spans="1:28" x14ac:dyDescent="0.25">
      <c r="A560">
        <v>2018</v>
      </c>
      <c r="C560" t="s">
        <v>1226</v>
      </c>
      <c r="D560" t="s">
        <v>1990</v>
      </c>
      <c r="E560" t="s">
        <v>657</v>
      </c>
      <c r="F560" t="s">
        <v>418</v>
      </c>
      <c r="G560">
        <v>89119</v>
      </c>
      <c r="H560">
        <v>36.075400000000002</v>
      </c>
      <c r="I560">
        <v>-115.1669</v>
      </c>
      <c r="K560">
        <v>110064134459</v>
      </c>
      <c r="M560">
        <v>4581</v>
      </c>
      <c r="R560">
        <v>4.4362471000000001E-2</v>
      </c>
      <c r="W560" t="s">
        <v>1991</v>
      </c>
      <c r="X560" t="s">
        <v>1992</v>
      </c>
      <c r="Y560">
        <v>15010015000139</v>
      </c>
      <c r="AA560" t="s">
        <v>1465</v>
      </c>
      <c r="AB560" t="s">
        <v>1466</v>
      </c>
    </row>
    <row r="561" spans="1:28" x14ac:dyDescent="0.25">
      <c r="A561">
        <v>2018</v>
      </c>
      <c r="C561" t="s">
        <v>1226</v>
      </c>
      <c r="D561" t="s">
        <v>1990</v>
      </c>
      <c r="E561" t="s">
        <v>657</v>
      </c>
      <c r="F561" t="s">
        <v>418</v>
      </c>
      <c r="G561">
        <v>89119</v>
      </c>
      <c r="H561">
        <v>36.075400000000002</v>
      </c>
      <c r="I561">
        <v>-115.1669</v>
      </c>
      <c r="K561">
        <v>110064134459</v>
      </c>
      <c r="M561">
        <v>4581</v>
      </c>
      <c r="R561">
        <v>1.402058625E-2</v>
      </c>
      <c r="W561" t="s">
        <v>1991</v>
      </c>
      <c r="X561" t="s">
        <v>1992</v>
      </c>
      <c r="Y561">
        <v>15010015000139</v>
      </c>
      <c r="AA561" t="s">
        <v>1465</v>
      </c>
      <c r="AB561" t="s">
        <v>1466</v>
      </c>
    </row>
    <row r="562" spans="1:28" x14ac:dyDescent="0.25">
      <c r="A562">
        <v>2018</v>
      </c>
      <c r="C562" t="s">
        <v>1230</v>
      </c>
      <c r="D562" t="s">
        <v>1997</v>
      </c>
      <c r="E562" t="s">
        <v>1231</v>
      </c>
      <c r="F562" t="s">
        <v>541</v>
      </c>
      <c r="G562" t="s">
        <v>1998</v>
      </c>
      <c r="H562">
        <v>34.807729999999999</v>
      </c>
      <c r="I562">
        <v>-82.006420000000006</v>
      </c>
      <c r="K562">
        <v>110000587384</v>
      </c>
      <c r="M562">
        <v>3674</v>
      </c>
      <c r="R562">
        <v>6.9188664499999997E-2</v>
      </c>
      <c r="W562" t="s">
        <v>1999</v>
      </c>
      <c r="X562" t="s">
        <v>2000</v>
      </c>
      <c r="Y562" s="301" t="s">
        <v>2001</v>
      </c>
      <c r="AA562" t="s">
        <v>1465</v>
      </c>
      <c r="AB562" t="s">
        <v>1466</v>
      </c>
    </row>
    <row r="563" spans="1:28" x14ac:dyDescent="0.25">
      <c r="A563">
        <v>2018</v>
      </c>
      <c r="C563" t="s">
        <v>171</v>
      </c>
      <c r="D563" t="s">
        <v>555</v>
      </c>
      <c r="E563" t="s">
        <v>556</v>
      </c>
      <c r="F563" t="s">
        <v>338</v>
      </c>
      <c r="G563" s="301" t="s">
        <v>2002</v>
      </c>
      <c r="H563">
        <v>40.612743000000002</v>
      </c>
      <c r="I563">
        <v>-74.260920999999996</v>
      </c>
      <c r="J563" t="s">
        <v>557</v>
      </c>
      <c r="K563">
        <v>110000492020</v>
      </c>
      <c r="M563">
        <v>2833</v>
      </c>
      <c r="R563" s="301">
        <v>6.9298784601818104</v>
      </c>
      <c r="W563" t="s">
        <v>900</v>
      </c>
      <c r="X563" t="s">
        <v>901</v>
      </c>
      <c r="Y563" s="301" t="s">
        <v>2003</v>
      </c>
      <c r="AA563" t="s">
        <v>1465</v>
      </c>
      <c r="AB563" t="s">
        <v>1466</v>
      </c>
    </row>
    <row r="564" spans="1:28" x14ac:dyDescent="0.25">
      <c r="A564">
        <v>2018</v>
      </c>
      <c r="C564" t="s">
        <v>172</v>
      </c>
      <c r="D564" t="s">
        <v>558</v>
      </c>
      <c r="E564" t="s">
        <v>559</v>
      </c>
      <c r="F564" t="s">
        <v>338</v>
      </c>
      <c r="G564" t="s">
        <v>560</v>
      </c>
      <c r="H564">
        <v>39.766944000000002</v>
      </c>
      <c r="I564">
        <v>-75.421361000000005</v>
      </c>
      <c r="J564" t="s">
        <v>561</v>
      </c>
      <c r="K564">
        <v>110041022274</v>
      </c>
      <c r="M564">
        <v>2821</v>
      </c>
      <c r="R564">
        <v>3.1000000000000001E-5</v>
      </c>
      <c r="W564" t="s">
        <v>902</v>
      </c>
      <c r="X564" t="s">
        <v>783</v>
      </c>
      <c r="Y564" s="301" t="s">
        <v>2011</v>
      </c>
      <c r="AA564" t="s">
        <v>1465</v>
      </c>
      <c r="AB564" t="s">
        <v>1466</v>
      </c>
    </row>
    <row r="565" spans="1:28" x14ac:dyDescent="0.25">
      <c r="A565">
        <v>2018</v>
      </c>
      <c r="C565" t="s">
        <v>1235</v>
      </c>
      <c r="D565" t="s">
        <v>2012</v>
      </c>
      <c r="E565" t="s">
        <v>1236</v>
      </c>
      <c r="F565" t="s">
        <v>450</v>
      </c>
      <c r="G565">
        <v>13502</v>
      </c>
      <c r="H565">
        <v>43.107216000000001</v>
      </c>
      <c r="I565">
        <v>-75.225815999999995</v>
      </c>
      <c r="K565">
        <v>110002321345</v>
      </c>
      <c r="M565">
        <v>5169</v>
      </c>
      <c r="R565" s="301">
        <v>9.3324473999999904E-3</v>
      </c>
      <c r="W565" t="s">
        <v>2013</v>
      </c>
      <c r="X565" t="s">
        <v>2014</v>
      </c>
      <c r="Y565" s="301" t="s">
        <v>2015</v>
      </c>
      <c r="AA565" t="s">
        <v>1465</v>
      </c>
      <c r="AB565" t="s">
        <v>1466</v>
      </c>
    </row>
    <row r="566" spans="1:28" x14ac:dyDescent="0.25">
      <c r="A566">
        <v>2018</v>
      </c>
      <c r="C566" t="s">
        <v>1237</v>
      </c>
      <c r="D566" t="s">
        <v>2016</v>
      </c>
      <c r="E566" t="s">
        <v>1238</v>
      </c>
      <c r="F566" t="s">
        <v>324</v>
      </c>
      <c r="G566">
        <v>40351</v>
      </c>
      <c r="H566">
        <v>38.151904999999999</v>
      </c>
      <c r="I566">
        <v>-83.513848999999993</v>
      </c>
      <c r="K566">
        <v>110045085457</v>
      </c>
      <c r="M566">
        <v>4952</v>
      </c>
      <c r="R566">
        <v>2.7112428125000001</v>
      </c>
      <c r="W566" t="s">
        <v>2017</v>
      </c>
      <c r="X566" t="s">
        <v>2018</v>
      </c>
      <c r="Y566" s="301" t="s">
        <v>2019</v>
      </c>
      <c r="AA566" t="s">
        <v>1465</v>
      </c>
      <c r="AB566" t="s">
        <v>263</v>
      </c>
    </row>
    <row r="567" spans="1:28" x14ac:dyDescent="0.25">
      <c r="A567">
        <v>2018</v>
      </c>
      <c r="C567" t="s">
        <v>1241</v>
      </c>
      <c r="D567" t="s">
        <v>2023</v>
      </c>
      <c r="E567" t="s">
        <v>1242</v>
      </c>
      <c r="F567" t="s">
        <v>338</v>
      </c>
      <c r="G567" t="s">
        <v>2024</v>
      </c>
      <c r="H567">
        <v>39.920290000000001</v>
      </c>
      <c r="I567">
        <v>-74.927520000000001</v>
      </c>
      <c r="K567">
        <v>110029618297</v>
      </c>
      <c r="M567">
        <v>4952</v>
      </c>
      <c r="R567">
        <v>1.0132180049999999</v>
      </c>
      <c r="W567" t="s">
        <v>2025</v>
      </c>
      <c r="X567" t="s">
        <v>1680</v>
      </c>
      <c r="Y567" s="301" t="s">
        <v>2026</v>
      </c>
      <c r="AA567" t="s">
        <v>1465</v>
      </c>
      <c r="AB567" t="s">
        <v>263</v>
      </c>
    </row>
    <row r="568" spans="1:28" x14ac:dyDescent="0.25">
      <c r="A568">
        <v>2018</v>
      </c>
      <c r="C568" t="s">
        <v>2033</v>
      </c>
      <c r="D568" t="s">
        <v>571</v>
      </c>
      <c r="E568" t="s">
        <v>572</v>
      </c>
      <c r="F568" t="s">
        <v>303</v>
      </c>
      <c r="G568">
        <v>70051</v>
      </c>
      <c r="H568">
        <v>30.048590999999998</v>
      </c>
      <c r="I568">
        <v>-90.630941000000007</v>
      </c>
      <c r="J568" t="s">
        <v>573</v>
      </c>
      <c r="K568">
        <v>110007015871</v>
      </c>
      <c r="M568">
        <v>2869</v>
      </c>
      <c r="R568" s="301">
        <v>0.16553287981859399</v>
      </c>
      <c r="W568" t="s">
        <v>907</v>
      </c>
      <c r="X568" t="s">
        <v>816</v>
      </c>
      <c r="Y568" s="301" t="s">
        <v>2034</v>
      </c>
      <c r="AA568" t="s">
        <v>1465</v>
      </c>
      <c r="AB568" t="s">
        <v>1466</v>
      </c>
    </row>
    <row r="569" spans="1:28" x14ac:dyDescent="0.25">
      <c r="A569">
        <v>2018</v>
      </c>
      <c r="C569" t="s">
        <v>1254</v>
      </c>
      <c r="D569" t="s">
        <v>2043</v>
      </c>
      <c r="E569" t="s">
        <v>1255</v>
      </c>
      <c r="F569" t="s">
        <v>366</v>
      </c>
      <c r="G569">
        <v>93043</v>
      </c>
      <c r="H569">
        <v>34.147221999999999</v>
      </c>
      <c r="I569">
        <v>-119.211111</v>
      </c>
      <c r="K569">
        <v>110037256812</v>
      </c>
      <c r="M569">
        <v>9711</v>
      </c>
      <c r="R569" s="301">
        <v>3.3310418993499902E-3</v>
      </c>
      <c r="W569" t="s">
        <v>2044</v>
      </c>
      <c r="X569" t="s">
        <v>2045</v>
      </c>
      <c r="Y569">
        <v>18070103000061</v>
      </c>
      <c r="AA569" t="s">
        <v>1465</v>
      </c>
      <c r="AB569" t="s">
        <v>1466</v>
      </c>
    </row>
    <row r="570" spans="1:28" x14ac:dyDescent="0.25">
      <c r="A570">
        <v>2018</v>
      </c>
      <c r="C570" t="s">
        <v>1261</v>
      </c>
      <c r="D570" t="s">
        <v>2053</v>
      </c>
      <c r="E570" t="s">
        <v>966</v>
      </c>
      <c r="F570" t="s">
        <v>491</v>
      </c>
      <c r="G570" t="s">
        <v>2054</v>
      </c>
      <c r="H570">
        <v>39.991410000000002</v>
      </c>
      <c r="I570">
        <v>-75.085030000000003</v>
      </c>
      <c r="K570">
        <v>110001076978</v>
      </c>
      <c r="M570">
        <v>4952</v>
      </c>
      <c r="R570">
        <v>69.124508750000004</v>
      </c>
      <c r="W570" t="s">
        <v>2055</v>
      </c>
      <c r="X570" t="s">
        <v>2056</v>
      </c>
      <c r="Y570" s="301" t="s">
        <v>2057</v>
      </c>
      <c r="AA570" t="s">
        <v>1465</v>
      </c>
      <c r="AB570" t="s">
        <v>263</v>
      </c>
    </row>
    <row r="571" spans="1:28" x14ac:dyDescent="0.25">
      <c r="A571">
        <v>2018</v>
      </c>
      <c r="C571" t="s">
        <v>1264</v>
      </c>
      <c r="D571" t="s">
        <v>2061</v>
      </c>
      <c r="E571" t="s">
        <v>1265</v>
      </c>
      <c r="F571" t="s">
        <v>324</v>
      </c>
      <c r="G571">
        <v>40475</v>
      </c>
      <c r="H571">
        <v>37.852220000000003</v>
      </c>
      <c r="I571">
        <v>-84.363079999999997</v>
      </c>
      <c r="K571">
        <v>110016759444</v>
      </c>
      <c r="M571">
        <v>4952</v>
      </c>
      <c r="R571">
        <v>0.82891499999999996</v>
      </c>
      <c r="W571" t="s">
        <v>2062</v>
      </c>
      <c r="X571" t="s">
        <v>2063</v>
      </c>
      <c r="Y571" s="301" t="s">
        <v>2064</v>
      </c>
      <c r="AA571" t="s">
        <v>1465</v>
      </c>
      <c r="AB571" t="s">
        <v>263</v>
      </c>
    </row>
    <row r="572" spans="1:28" x14ac:dyDescent="0.25">
      <c r="A572">
        <v>2018</v>
      </c>
      <c r="C572" t="s">
        <v>215</v>
      </c>
      <c r="D572" t="s">
        <v>2065</v>
      </c>
      <c r="E572" t="s">
        <v>1103</v>
      </c>
      <c r="F572" t="s">
        <v>345</v>
      </c>
      <c r="G572" t="s">
        <v>2066</v>
      </c>
      <c r="H572">
        <v>41.404808000000003</v>
      </c>
      <c r="I572">
        <v>-88.334732000000002</v>
      </c>
      <c r="J572" t="s">
        <v>727</v>
      </c>
      <c r="K572">
        <v>110000547196</v>
      </c>
      <c r="M572">
        <v>2869</v>
      </c>
      <c r="R572" s="301">
        <v>0.10791156462585</v>
      </c>
      <c r="W572" t="s">
        <v>2067</v>
      </c>
      <c r="X572" t="s">
        <v>2068</v>
      </c>
      <c r="Y572" s="301" t="s">
        <v>2069</v>
      </c>
      <c r="AA572" t="s">
        <v>1465</v>
      </c>
      <c r="AB572" t="s">
        <v>1466</v>
      </c>
    </row>
    <row r="573" spans="1:28" x14ac:dyDescent="0.25">
      <c r="A573">
        <v>2018</v>
      </c>
      <c r="C573" t="s">
        <v>1266</v>
      </c>
      <c r="D573" t="s">
        <v>2070</v>
      </c>
      <c r="E573" t="s">
        <v>1267</v>
      </c>
      <c r="F573" t="s">
        <v>491</v>
      </c>
      <c r="G573">
        <v>15061</v>
      </c>
      <c r="H573">
        <v>40.655278000000003</v>
      </c>
      <c r="I573">
        <v>-80.356388999999993</v>
      </c>
      <c r="J573" t="s">
        <v>728</v>
      </c>
      <c r="K573">
        <v>110059344473</v>
      </c>
      <c r="M573">
        <v>2821</v>
      </c>
      <c r="R573" s="301">
        <v>0.53798185941042997</v>
      </c>
      <c r="W573" t="s">
        <v>2071</v>
      </c>
      <c r="X573" t="s">
        <v>2072</v>
      </c>
      <c r="Y573" s="301" t="s">
        <v>2073</v>
      </c>
      <c r="AA573" t="s">
        <v>1465</v>
      </c>
      <c r="AB573" t="s">
        <v>1466</v>
      </c>
    </row>
    <row r="574" spans="1:28" x14ac:dyDescent="0.25">
      <c r="A574">
        <v>2018</v>
      </c>
      <c r="C574" t="s">
        <v>1270</v>
      </c>
      <c r="D574" t="s">
        <v>2076</v>
      </c>
      <c r="E574" t="s">
        <v>1271</v>
      </c>
      <c r="F574" t="s">
        <v>427</v>
      </c>
      <c r="G574">
        <v>49424</v>
      </c>
      <c r="H574">
        <v>42.813049999999997</v>
      </c>
      <c r="I574">
        <v>-86.197429999999997</v>
      </c>
      <c r="K574">
        <v>110006740161</v>
      </c>
      <c r="M574">
        <v>4953</v>
      </c>
      <c r="R574">
        <v>0.21678209000000001</v>
      </c>
      <c r="W574" t="s">
        <v>2077</v>
      </c>
      <c r="X574" t="s">
        <v>2078</v>
      </c>
      <c r="Y574" s="301" t="s">
        <v>2079</v>
      </c>
      <c r="AA574" t="s">
        <v>1465</v>
      </c>
      <c r="AB574" t="s">
        <v>1466</v>
      </c>
    </row>
    <row r="575" spans="1:28" x14ac:dyDescent="0.25">
      <c r="A575">
        <v>2018</v>
      </c>
      <c r="C575" t="s">
        <v>1272</v>
      </c>
      <c r="D575" t="s">
        <v>2080</v>
      </c>
      <c r="E575" t="s">
        <v>1273</v>
      </c>
      <c r="F575" t="s">
        <v>324</v>
      </c>
      <c r="G575">
        <v>42303</v>
      </c>
      <c r="H575">
        <v>37.770769999999999</v>
      </c>
      <c r="I575">
        <v>-87.065669999999997</v>
      </c>
      <c r="K575">
        <v>110043734983</v>
      </c>
      <c r="M575">
        <v>4952</v>
      </c>
      <c r="R575">
        <v>18.443358750000002</v>
      </c>
      <c r="W575" t="s">
        <v>2081</v>
      </c>
      <c r="X575" t="s">
        <v>830</v>
      </c>
      <c r="Y575" s="301" t="s">
        <v>2082</v>
      </c>
      <c r="AA575" t="s">
        <v>1465</v>
      </c>
      <c r="AB575" t="s">
        <v>263</v>
      </c>
    </row>
    <row r="576" spans="1:28" x14ac:dyDescent="0.25">
      <c r="A576">
        <v>2018</v>
      </c>
      <c r="C576" t="s">
        <v>1274</v>
      </c>
      <c r="D576" t="s">
        <v>2083</v>
      </c>
      <c r="E576" t="s">
        <v>1273</v>
      </c>
      <c r="F576" t="s">
        <v>324</v>
      </c>
      <c r="G576">
        <v>42303</v>
      </c>
      <c r="H576">
        <v>37.8125</v>
      </c>
      <c r="I576">
        <v>-87.05</v>
      </c>
      <c r="J576" t="s">
        <v>729</v>
      </c>
      <c r="K576">
        <v>110000747835</v>
      </c>
      <c r="M576">
        <v>2821</v>
      </c>
      <c r="R576" s="301">
        <v>3.72448979591836E-3</v>
      </c>
      <c r="W576" t="s">
        <v>2084</v>
      </c>
      <c r="X576" t="s">
        <v>2085</v>
      </c>
      <c r="Y576" s="301" t="s">
        <v>2086</v>
      </c>
      <c r="AA576" t="s">
        <v>1465</v>
      </c>
      <c r="AB576" t="s">
        <v>1466</v>
      </c>
    </row>
    <row r="577" spans="1:28" x14ac:dyDescent="0.25">
      <c r="A577">
        <v>2018</v>
      </c>
      <c r="C577" t="s">
        <v>1275</v>
      </c>
      <c r="D577" t="s">
        <v>2087</v>
      </c>
      <c r="E577" t="s">
        <v>1276</v>
      </c>
      <c r="F577" t="s">
        <v>366</v>
      </c>
      <c r="G577">
        <v>93033</v>
      </c>
      <c r="H577">
        <v>34.141618999999999</v>
      </c>
      <c r="I577">
        <v>-119.184014</v>
      </c>
      <c r="K577">
        <v>110070097306</v>
      </c>
      <c r="M577">
        <v>4952</v>
      </c>
      <c r="R577" s="301">
        <v>2.4625850340136002</v>
      </c>
      <c r="W577" t="s">
        <v>2088</v>
      </c>
      <c r="X577" t="s">
        <v>926</v>
      </c>
      <c r="Y577">
        <v>18070103000060</v>
      </c>
      <c r="AA577" t="s">
        <v>1465</v>
      </c>
      <c r="AB577" t="s">
        <v>263</v>
      </c>
    </row>
    <row r="578" spans="1:28" x14ac:dyDescent="0.25">
      <c r="A578">
        <v>2018</v>
      </c>
      <c r="C578" t="s">
        <v>1283</v>
      </c>
      <c r="D578" t="s">
        <v>2096</v>
      </c>
      <c r="E578" t="s">
        <v>1284</v>
      </c>
      <c r="F578" t="s">
        <v>324</v>
      </c>
      <c r="G578" t="s">
        <v>2097</v>
      </c>
      <c r="H578">
        <v>38.223610999999998</v>
      </c>
      <c r="I578">
        <v>-84.252778000000006</v>
      </c>
      <c r="K578">
        <v>110000551082</v>
      </c>
      <c r="M578">
        <v>4952</v>
      </c>
      <c r="R578">
        <v>7.6605561249999997E-3</v>
      </c>
      <c r="W578" t="s">
        <v>2098</v>
      </c>
      <c r="X578" t="s">
        <v>2099</v>
      </c>
      <c r="Y578" s="301" t="s">
        <v>2100</v>
      </c>
      <c r="AA578" t="s">
        <v>1465</v>
      </c>
      <c r="AB578" t="s">
        <v>263</v>
      </c>
    </row>
    <row r="579" spans="1:28" x14ac:dyDescent="0.25">
      <c r="A579">
        <v>2018</v>
      </c>
      <c r="C579" t="s">
        <v>1285</v>
      </c>
      <c r="D579" t="s">
        <v>2101</v>
      </c>
      <c r="E579" t="s">
        <v>1286</v>
      </c>
      <c r="F579" t="s">
        <v>1171</v>
      </c>
      <c r="G579">
        <v>96818</v>
      </c>
      <c r="H579">
        <v>21.352499999999999</v>
      </c>
      <c r="I579">
        <v>-157.95813899999999</v>
      </c>
      <c r="K579">
        <v>110046184516</v>
      </c>
      <c r="M579">
        <v>3731</v>
      </c>
      <c r="R579" s="301">
        <v>5.9681879999999996</v>
      </c>
      <c r="W579" t="s">
        <v>2103</v>
      </c>
      <c r="X579" t="s">
        <v>2104</v>
      </c>
      <c r="Y579">
        <v>20060000000162</v>
      </c>
      <c r="AA579" t="s">
        <v>1465</v>
      </c>
      <c r="AB579" t="s">
        <v>1466</v>
      </c>
    </row>
    <row r="580" spans="1:28" x14ac:dyDescent="0.25">
      <c r="A580">
        <v>2018</v>
      </c>
      <c r="C580" t="s">
        <v>1285</v>
      </c>
      <c r="D580" t="s">
        <v>2101</v>
      </c>
      <c r="E580" t="s">
        <v>1286</v>
      </c>
      <c r="F580" t="s">
        <v>1171</v>
      </c>
      <c r="G580">
        <v>96818</v>
      </c>
      <c r="H580">
        <v>21.352499999999999</v>
      </c>
      <c r="I580">
        <v>-157.95813899999999</v>
      </c>
      <c r="K580">
        <v>110046184516</v>
      </c>
      <c r="M580">
        <v>3731</v>
      </c>
      <c r="R580">
        <v>0.30393550000000003</v>
      </c>
      <c r="W580" t="s">
        <v>2102</v>
      </c>
      <c r="X580" t="s">
        <v>1253</v>
      </c>
      <c r="Y580">
        <v>20060000000166</v>
      </c>
      <c r="AA580" t="s">
        <v>1465</v>
      </c>
      <c r="AB580" t="s">
        <v>1466</v>
      </c>
    </row>
    <row r="581" spans="1:28" x14ac:dyDescent="0.25">
      <c r="A581">
        <v>2018</v>
      </c>
      <c r="C581" t="s">
        <v>1285</v>
      </c>
      <c r="D581" t="s">
        <v>2101</v>
      </c>
      <c r="E581" t="s">
        <v>1286</v>
      </c>
      <c r="F581" t="s">
        <v>1171</v>
      </c>
      <c r="G581">
        <v>96818</v>
      </c>
      <c r="H581">
        <v>21.352499999999999</v>
      </c>
      <c r="I581">
        <v>-157.95813899999999</v>
      </c>
      <c r="K581">
        <v>110046184516</v>
      </c>
      <c r="M581">
        <v>3731</v>
      </c>
      <c r="R581" s="301">
        <v>5.9681879999999996</v>
      </c>
      <c r="W581" t="s">
        <v>2103</v>
      </c>
      <c r="X581" t="s">
        <v>2104</v>
      </c>
      <c r="Y581">
        <v>20060000000162</v>
      </c>
      <c r="AA581" t="s">
        <v>1465</v>
      </c>
      <c r="AB581" t="s">
        <v>1466</v>
      </c>
    </row>
    <row r="582" spans="1:28" x14ac:dyDescent="0.25">
      <c r="A582">
        <v>2018</v>
      </c>
      <c r="C582" t="s">
        <v>1285</v>
      </c>
      <c r="D582" t="s">
        <v>2101</v>
      </c>
      <c r="E582" t="s">
        <v>1286</v>
      </c>
      <c r="F582" t="s">
        <v>1171</v>
      </c>
      <c r="G582">
        <v>96818</v>
      </c>
      <c r="H582">
        <v>21.352499999999999</v>
      </c>
      <c r="I582">
        <v>-157.95813899999999</v>
      </c>
      <c r="K582">
        <v>110046184516</v>
      </c>
      <c r="M582">
        <v>3731</v>
      </c>
      <c r="R582" s="301">
        <v>11.936375999999999</v>
      </c>
      <c r="W582" t="s">
        <v>2103</v>
      </c>
      <c r="X582" t="s">
        <v>2104</v>
      </c>
      <c r="Y582">
        <v>20060000000162</v>
      </c>
      <c r="AA582" t="s">
        <v>1465</v>
      </c>
      <c r="AB582" t="s">
        <v>1466</v>
      </c>
    </row>
    <row r="583" spans="1:28" x14ac:dyDescent="0.25">
      <c r="A583">
        <v>2018</v>
      </c>
      <c r="C583" t="s">
        <v>1288</v>
      </c>
      <c r="D583" t="s">
        <v>2107</v>
      </c>
      <c r="E583" t="s">
        <v>966</v>
      </c>
      <c r="F583" t="s">
        <v>491</v>
      </c>
      <c r="G583" t="s">
        <v>2108</v>
      </c>
      <c r="H583">
        <v>39.901820000000001</v>
      </c>
      <c r="I583">
        <v>-75.144549999999995</v>
      </c>
      <c r="K583">
        <v>110000540610</v>
      </c>
      <c r="M583">
        <v>4952</v>
      </c>
      <c r="R583">
        <v>76.746552500000007</v>
      </c>
      <c r="W583" t="s">
        <v>2109</v>
      </c>
      <c r="X583" t="s">
        <v>783</v>
      </c>
      <c r="Y583" s="301" t="s">
        <v>2110</v>
      </c>
      <c r="AA583" t="s">
        <v>1465</v>
      </c>
      <c r="AB583" t="s">
        <v>263</v>
      </c>
    </row>
    <row r="584" spans="1:28" x14ac:dyDescent="0.25">
      <c r="A584">
        <v>2018</v>
      </c>
      <c r="C584" t="s">
        <v>1289</v>
      </c>
      <c r="D584" t="s">
        <v>2111</v>
      </c>
      <c r="E584" t="s">
        <v>966</v>
      </c>
      <c r="F584" t="s">
        <v>491</v>
      </c>
      <c r="G584">
        <v>19153</v>
      </c>
      <c r="H584">
        <v>39.886130000000001</v>
      </c>
      <c r="I584">
        <v>-75.218249999999998</v>
      </c>
      <c r="K584">
        <v>110000542119</v>
      </c>
      <c r="R584">
        <v>97.374613249999996</v>
      </c>
      <c r="W584" t="s">
        <v>2112</v>
      </c>
      <c r="X584" t="s">
        <v>2113</v>
      </c>
      <c r="Y584" s="301" t="s">
        <v>2114</v>
      </c>
      <c r="AA584" t="s">
        <v>1465</v>
      </c>
      <c r="AB584" t="s">
        <v>263</v>
      </c>
    </row>
    <row r="585" spans="1:28" x14ac:dyDescent="0.25">
      <c r="A585">
        <v>2018</v>
      </c>
      <c r="C585" t="s">
        <v>1290</v>
      </c>
      <c r="D585" t="s">
        <v>2115</v>
      </c>
      <c r="E585" t="s">
        <v>544</v>
      </c>
      <c r="F585" t="s">
        <v>338</v>
      </c>
      <c r="G585" s="301" t="s">
        <v>1961</v>
      </c>
      <c r="H585">
        <v>40.636499999999998</v>
      </c>
      <c r="I585">
        <v>-74.219899999999996</v>
      </c>
      <c r="J585" t="s">
        <v>730</v>
      </c>
      <c r="K585">
        <v>110041133163</v>
      </c>
      <c r="M585">
        <v>2911</v>
      </c>
      <c r="R585">
        <v>2</v>
      </c>
      <c r="W585" t="s">
        <v>2116</v>
      </c>
      <c r="X585" t="s">
        <v>2117</v>
      </c>
      <c r="Y585" s="301" t="s">
        <v>2118</v>
      </c>
      <c r="AA585" t="s">
        <v>1465</v>
      </c>
      <c r="AB585" t="s">
        <v>1466</v>
      </c>
    </row>
    <row r="586" spans="1:28" x14ac:dyDescent="0.25">
      <c r="A586">
        <v>2018</v>
      </c>
      <c r="C586" t="s">
        <v>1291</v>
      </c>
      <c r="D586" t="s">
        <v>2119</v>
      </c>
      <c r="E586" t="s">
        <v>1292</v>
      </c>
      <c r="F586" t="s">
        <v>366</v>
      </c>
      <c r="G586">
        <v>90061</v>
      </c>
      <c r="H586">
        <v>33.907359999999997</v>
      </c>
      <c r="I586">
        <v>-118.2784</v>
      </c>
      <c r="K586">
        <v>110028004175</v>
      </c>
      <c r="M586">
        <v>2992</v>
      </c>
      <c r="R586" s="301">
        <v>1.3193563749999901E-3</v>
      </c>
      <c r="W586" t="s">
        <v>2120</v>
      </c>
      <c r="X586" t="s">
        <v>2121</v>
      </c>
      <c r="Y586">
        <v>18070105000116</v>
      </c>
      <c r="AA586" t="s">
        <v>1465</v>
      </c>
      <c r="AB586" t="s">
        <v>1466</v>
      </c>
    </row>
    <row r="587" spans="1:28" x14ac:dyDescent="0.25">
      <c r="A587">
        <v>2018</v>
      </c>
      <c r="C587" t="s">
        <v>1293</v>
      </c>
      <c r="D587" t="s">
        <v>2122</v>
      </c>
      <c r="E587" t="s">
        <v>1294</v>
      </c>
      <c r="F587" t="s">
        <v>324</v>
      </c>
      <c r="G587">
        <v>41501</v>
      </c>
      <c r="H587">
        <v>37.491857000000003</v>
      </c>
      <c r="I587">
        <v>-82.539703000000003</v>
      </c>
      <c r="K587">
        <v>110006644872</v>
      </c>
      <c r="M587">
        <v>4952</v>
      </c>
      <c r="R587">
        <v>8.3305957500000005</v>
      </c>
      <c r="W587" t="s">
        <v>2123</v>
      </c>
      <c r="X587" t="s">
        <v>2124</v>
      </c>
      <c r="Y587" s="301" t="s">
        <v>2125</v>
      </c>
      <c r="AA587" t="s">
        <v>1465</v>
      </c>
      <c r="AB587" t="s">
        <v>263</v>
      </c>
    </row>
    <row r="588" spans="1:28" x14ac:dyDescent="0.25">
      <c r="A588">
        <v>2018</v>
      </c>
      <c r="C588" t="s">
        <v>1295</v>
      </c>
      <c r="D588" t="s">
        <v>2126</v>
      </c>
      <c r="E588" t="s">
        <v>964</v>
      </c>
      <c r="F588" t="s">
        <v>374</v>
      </c>
      <c r="G588" t="s">
        <v>2127</v>
      </c>
      <c r="H588">
        <v>32.334964999999997</v>
      </c>
      <c r="I588">
        <v>-111.06332500000001</v>
      </c>
      <c r="K588">
        <v>110039276404</v>
      </c>
      <c r="M588">
        <v>4952</v>
      </c>
      <c r="R588">
        <v>3.4681822525000001</v>
      </c>
      <c r="W588" t="s">
        <v>2128</v>
      </c>
      <c r="Y588">
        <v>15060106000338</v>
      </c>
      <c r="AA588" t="s">
        <v>1465</v>
      </c>
      <c r="AB588" t="s">
        <v>263</v>
      </c>
    </row>
    <row r="589" spans="1:28" x14ac:dyDescent="0.25">
      <c r="A589">
        <v>2018</v>
      </c>
      <c r="C589" t="s">
        <v>1301</v>
      </c>
      <c r="D589" t="s">
        <v>2137</v>
      </c>
      <c r="E589" t="s">
        <v>1302</v>
      </c>
      <c r="F589" t="s">
        <v>345</v>
      </c>
      <c r="G589" t="s">
        <v>2138</v>
      </c>
      <c r="H589">
        <v>38.2774</v>
      </c>
      <c r="I589">
        <v>-89.666899999999998</v>
      </c>
      <c r="J589" t="s">
        <v>731</v>
      </c>
      <c r="K589">
        <v>110044852068</v>
      </c>
      <c r="M589">
        <v>4911</v>
      </c>
      <c r="R589">
        <v>1.5611232500000001</v>
      </c>
      <c r="W589" t="s">
        <v>2139</v>
      </c>
      <c r="X589" t="s">
        <v>2140</v>
      </c>
      <c r="Y589" s="301" t="s">
        <v>2141</v>
      </c>
      <c r="AA589" t="s">
        <v>1465</v>
      </c>
      <c r="AB589" t="s">
        <v>1466</v>
      </c>
    </row>
    <row r="590" spans="1:28" x14ac:dyDescent="0.25">
      <c r="A590">
        <v>2018</v>
      </c>
      <c r="C590" t="s">
        <v>1308</v>
      </c>
      <c r="D590" t="s">
        <v>2149</v>
      </c>
      <c r="E590" t="s">
        <v>657</v>
      </c>
      <c r="F590" t="s">
        <v>418</v>
      </c>
      <c r="G590">
        <v>89109</v>
      </c>
      <c r="H590">
        <v>36.132570000000001</v>
      </c>
      <c r="I590">
        <v>-115.16477</v>
      </c>
      <c r="K590">
        <v>110041253256</v>
      </c>
      <c r="M590">
        <v>7011</v>
      </c>
      <c r="R590">
        <v>0.11881115</v>
      </c>
      <c r="W590" t="s">
        <v>2150</v>
      </c>
      <c r="X590" t="s">
        <v>2151</v>
      </c>
      <c r="Y590">
        <v>15010015000432</v>
      </c>
      <c r="AA590" t="s">
        <v>1465</v>
      </c>
      <c r="AB590" t="s">
        <v>1466</v>
      </c>
    </row>
    <row r="591" spans="1:28" x14ac:dyDescent="0.25">
      <c r="A591">
        <v>2018</v>
      </c>
      <c r="C591" t="s">
        <v>1309</v>
      </c>
      <c r="D591" t="s">
        <v>2152</v>
      </c>
      <c r="E591" t="s">
        <v>1310</v>
      </c>
      <c r="F591" t="s">
        <v>366</v>
      </c>
      <c r="G591">
        <v>92316</v>
      </c>
      <c r="H591">
        <v>34.055900000000001</v>
      </c>
      <c r="I591">
        <v>-117.36134</v>
      </c>
      <c r="K591">
        <v>110000525842</v>
      </c>
      <c r="M591">
        <v>4952</v>
      </c>
      <c r="R591">
        <v>0.99492226125000005</v>
      </c>
      <c r="W591" t="s">
        <v>2153</v>
      </c>
      <c r="X591" t="s">
        <v>2154</v>
      </c>
      <c r="Y591">
        <v>18070203002243</v>
      </c>
      <c r="AA591" t="s">
        <v>1465</v>
      </c>
      <c r="AB591" t="s">
        <v>263</v>
      </c>
    </row>
    <row r="592" spans="1:28" x14ac:dyDescent="0.25">
      <c r="A592">
        <v>2018</v>
      </c>
      <c r="C592" t="s">
        <v>1311</v>
      </c>
      <c r="D592" t="s">
        <v>2155</v>
      </c>
      <c r="E592" t="s">
        <v>1312</v>
      </c>
      <c r="F592" t="s">
        <v>506</v>
      </c>
      <c r="G592">
        <v>21157</v>
      </c>
      <c r="H592">
        <v>39.567390000000003</v>
      </c>
      <c r="I592">
        <v>-76.920410000000004</v>
      </c>
      <c r="K592">
        <v>110041245015</v>
      </c>
      <c r="R592" s="301">
        <v>1.32626399999999E-4</v>
      </c>
      <c r="W592" t="s">
        <v>2156</v>
      </c>
      <c r="Y592" s="301" t="s">
        <v>2157</v>
      </c>
      <c r="AA592" t="s">
        <v>1465</v>
      </c>
      <c r="AB592" t="s">
        <v>1466</v>
      </c>
    </row>
    <row r="593" spans="1:28" x14ac:dyDescent="0.25">
      <c r="A593">
        <v>2018</v>
      </c>
      <c r="C593" t="s">
        <v>1311</v>
      </c>
      <c r="D593" t="s">
        <v>2155</v>
      </c>
      <c r="E593" t="s">
        <v>1312</v>
      </c>
      <c r="F593" t="s">
        <v>506</v>
      </c>
      <c r="G593">
        <v>21157</v>
      </c>
      <c r="H593">
        <v>39.567390000000003</v>
      </c>
      <c r="I593">
        <v>-76.920410000000004</v>
      </c>
      <c r="K593">
        <v>110041245015</v>
      </c>
      <c r="R593" s="301">
        <v>1.32626399999999E-4</v>
      </c>
      <c r="W593" t="s">
        <v>2156</v>
      </c>
      <c r="Y593" s="301" t="s">
        <v>2157</v>
      </c>
      <c r="AA593" t="s">
        <v>1465</v>
      </c>
      <c r="AB593" t="s">
        <v>1466</v>
      </c>
    </row>
    <row r="594" spans="1:28" x14ac:dyDescent="0.25">
      <c r="A594">
        <v>2018</v>
      </c>
      <c r="C594" t="s">
        <v>1313</v>
      </c>
      <c r="D594" t="s">
        <v>2158</v>
      </c>
      <c r="E594" t="s">
        <v>1314</v>
      </c>
      <c r="F594" t="s">
        <v>374</v>
      </c>
      <c r="G594">
        <v>86001</v>
      </c>
      <c r="H594">
        <v>35.188434999999998</v>
      </c>
      <c r="I594">
        <v>-111.63066000000001</v>
      </c>
      <c r="K594">
        <v>110064629442</v>
      </c>
      <c r="M594">
        <v>4952</v>
      </c>
      <c r="R594">
        <v>3.5712421250000001E-2</v>
      </c>
      <c r="W594" t="s">
        <v>2159</v>
      </c>
      <c r="Y594">
        <v>15030108000333</v>
      </c>
      <c r="AA594" t="s">
        <v>1465</v>
      </c>
      <c r="AB594" t="s">
        <v>263</v>
      </c>
    </row>
    <row r="595" spans="1:28" x14ac:dyDescent="0.25">
      <c r="A595">
        <v>2018</v>
      </c>
      <c r="C595" t="s">
        <v>1315</v>
      </c>
      <c r="D595" t="s">
        <v>2160</v>
      </c>
      <c r="E595" t="s">
        <v>1316</v>
      </c>
      <c r="F595" t="s">
        <v>294</v>
      </c>
      <c r="G595">
        <v>22801</v>
      </c>
      <c r="H595">
        <v>38.400409000000003</v>
      </c>
      <c r="I595">
        <v>-78.895222000000004</v>
      </c>
      <c r="K595">
        <v>110070544905</v>
      </c>
      <c r="M595">
        <v>4953</v>
      </c>
      <c r="R595" s="301">
        <v>0.121186956952799</v>
      </c>
      <c r="W595" t="s">
        <v>2161</v>
      </c>
      <c r="X595" t="s">
        <v>2162</v>
      </c>
      <c r="AA595" t="s">
        <v>1465</v>
      </c>
      <c r="AB595" t="s">
        <v>1466</v>
      </c>
    </row>
    <row r="596" spans="1:28" x14ac:dyDescent="0.25">
      <c r="A596">
        <v>2018</v>
      </c>
      <c r="C596" t="s">
        <v>1317</v>
      </c>
      <c r="D596" t="s">
        <v>2163</v>
      </c>
      <c r="E596" t="s">
        <v>1318</v>
      </c>
      <c r="F596" t="s">
        <v>491</v>
      </c>
      <c r="G596">
        <v>19021</v>
      </c>
      <c r="H596">
        <v>40.095258000000001</v>
      </c>
      <c r="I596">
        <v>-74.877359999999996</v>
      </c>
      <c r="K596">
        <v>110064634686</v>
      </c>
      <c r="M596">
        <v>2821</v>
      </c>
      <c r="R596" s="301">
        <v>0.16247165532879801</v>
      </c>
      <c r="W596" t="s">
        <v>2164</v>
      </c>
      <c r="X596" t="s">
        <v>2165</v>
      </c>
      <c r="Y596" s="301" t="s">
        <v>2166</v>
      </c>
      <c r="AA596" t="s">
        <v>1465</v>
      </c>
      <c r="AB596" t="s">
        <v>1466</v>
      </c>
    </row>
    <row r="597" spans="1:28" x14ac:dyDescent="0.25">
      <c r="A597">
        <v>2018</v>
      </c>
      <c r="C597" t="s">
        <v>1319</v>
      </c>
      <c r="D597" t="s">
        <v>2167</v>
      </c>
      <c r="E597" t="s">
        <v>1320</v>
      </c>
      <c r="F597" t="s">
        <v>324</v>
      </c>
      <c r="G597">
        <v>42629</v>
      </c>
      <c r="H597">
        <v>36.946111000000002</v>
      </c>
      <c r="I597">
        <v>-85.020832999999996</v>
      </c>
      <c r="K597">
        <v>110000719045</v>
      </c>
      <c r="M597">
        <v>4952</v>
      </c>
      <c r="R597">
        <v>0.84065796250000002</v>
      </c>
      <c r="W597" t="s">
        <v>2168</v>
      </c>
      <c r="X597" t="s">
        <v>2169</v>
      </c>
      <c r="Y597" s="301" t="s">
        <v>2170</v>
      </c>
      <c r="AA597" t="s">
        <v>1465</v>
      </c>
      <c r="AB597" t="s">
        <v>263</v>
      </c>
    </row>
    <row r="598" spans="1:28" x14ac:dyDescent="0.25">
      <c r="A598">
        <v>2018</v>
      </c>
      <c r="C598" t="s">
        <v>1322</v>
      </c>
      <c r="D598" t="s">
        <v>2173</v>
      </c>
      <c r="E598" t="s">
        <v>1273</v>
      </c>
      <c r="F598" t="s">
        <v>324</v>
      </c>
      <c r="G598">
        <v>42301</v>
      </c>
      <c r="H598">
        <v>37.790278000000001</v>
      </c>
      <c r="I598">
        <v>-87.140277999999995</v>
      </c>
      <c r="K598">
        <v>110039998214</v>
      </c>
      <c r="M598">
        <v>4952</v>
      </c>
      <c r="R598">
        <v>29.7822251875</v>
      </c>
      <c r="W598" t="s">
        <v>2174</v>
      </c>
      <c r="X598" t="s">
        <v>830</v>
      </c>
      <c r="Y598" s="301" t="s">
        <v>2082</v>
      </c>
      <c r="AA598" t="s">
        <v>1465</v>
      </c>
      <c r="AB598" t="s">
        <v>263</v>
      </c>
    </row>
    <row r="599" spans="1:28" x14ac:dyDescent="0.25">
      <c r="A599">
        <v>2018</v>
      </c>
      <c r="C599" t="s">
        <v>1323</v>
      </c>
      <c r="D599" t="s">
        <v>2175</v>
      </c>
      <c r="E599" t="s">
        <v>1324</v>
      </c>
      <c r="F599" t="s">
        <v>450</v>
      </c>
      <c r="G599">
        <v>12158</v>
      </c>
      <c r="H599">
        <v>42.574556000000001</v>
      </c>
      <c r="I599">
        <v>-73.851360999999997</v>
      </c>
      <c r="K599">
        <v>110000324391</v>
      </c>
      <c r="M599">
        <v>2821</v>
      </c>
      <c r="R599" s="301">
        <v>3.2907029478458001</v>
      </c>
      <c r="W599" t="s">
        <v>2176</v>
      </c>
      <c r="X599" t="s">
        <v>2177</v>
      </c>
      <c r="Y599" s="301" t="s">
        <v>2178</v>
      </c>
      <c r="AA599" t="s">
        <v>1465</v>
      </c>
      <c r="AB599" t="s">
        <v>1466</v>
      </c>
    </row>
    <row r="600" spans="1:28" x14ac:dyDescent="0.25">
      <c r="A600">
        <v>2018</v>
      </c>
      <c r="C600" t="s">
        <v>1325</v>
      </c>
      <c r="D600" t="s">
        <v>2179</v>
      </c>
      <c r="E600" t="s">
        <v>1326</v>
      </c>
      <c r="F600" t="s">
        <v>469</v>
      </c>
      <c r="G600">
        <v>47620</v>
      </c>
      <c r="H600">
        <v>37.907200000000003</v>
      </c>
      <c r="I600">
        <v>-87.927099999999996</v>
      </c>
      <c r="J600" t="s">
        <v>732</v>
      </c>
      <c r="K600">
        <v>110000403670</v>
      </c>
      <c r="M600">
        <v>2821</v>
      </c>
      <c r="R600" s="301">
        <v>9.1791383219954596</v>
      </c>
      <c r="W600" t="s">
        <v>2180</v>
      </c>
      <c r="X600" t="s">
        <v>830</v>
      </c>
      <c r="Y600" s="301" t="s">
        <v>2181</v>
      </c>
      <c r="AA600" t="s">
        <v>1465</v>
      </c>
      <c r="AB600" t="s">
        <v>1466</v>
      </c>
    </row>
    <row r="601" spans="1:28" x14ac:dyDescent="0.25">
      <c r="A601">
        <v>2018</v>
      </c>
      <c r="C601" t="s">
        <v>1329</v>
      </c>
      <c r="D601" t="s">
        <v>2184</v>
      </c>
      <c r="E601" t="s">
        <v>1330</v>
      </c>
      <c r="F601" t="s">
        <v>374</v>
      </c>
      <c r="G601">
        <v>85603</v>
      </c>
      <c r="H601">
        <v>31.359059999999999</v>
      </c>
      <c r="I601">
        <v>-109.91528</v>
      </c>
      <c r="K601">
        <v>110039713067</v>
      </c>
      <c r="M601">
        <v>4952</v>
      </c>
      <c r="R601">
        <v>9.6706749999999994E-2</v>
      </c>
      <c r="W601" t="s">
        <v>2185</v>
      </c>
      <c r="Y601">
        <v>15080301000134</v>
      </c>
      <c r="AA601" t="s">
        <v>1465</v>
      </c>
      <c r="AB601" t="s">
        <v>1466</v>
      </c>
    </row>
    <row r="602" spans="1:28" x14ac:dyDescent="0.25">
      <c r="A602">
        <v>2018</v>
      </c>
      <c r="C602" t="s">
        <v>1331</v>
      </c>
      <c r="D602" t="s">
        <v>2186</v>
      </c>
      <c r="E602" t="s">
        <v>1286</v>
      </c>
      <c r="F602" t="s">
        <v>1171</v>
      </c>
      <c r="G602" t="s">
        <v>2187</v>
      </c>
      <c r="H602">
        <v>21.304500000000001</v>
      </c>
      <c r="I602">
        <v>-157.88205600000001</v>
      </c>
      <c r="K602">
        <v>110005726802</v>
      </c>
      <c r="M602">
        <v>4952</v>
      </c>
      <c r="R602">
        <v>1.6146264960000001</v>
      </c>
      <c r="W602" t="s">
        <v>2188</v>
      </c>
      <c r="X602" t="s">
        <v>926</v>
      </c>
      <c r="Y602">
        <v>20060000003277</v>
      </c>
      <c r="AA602" t="s">
        <v>1465</v>
      </c>
      <c r="AB602" t="s">
        <v>263</v>
      </c>
    </row>
    <row r="603" spans="1:28" x14ac:dyDescent="0.25">
      <c r="A603">
        <v>2018</v>
      </c>
      <c r="C603" t="s">
        <v>1332</v>
      </c>
      <c r="D603" t="s">
        <v>2189</v>
      </c>
      <c r="E603" t="s">
        <v>1333</v>
      </c>
      <c r="F603" t="s">
        <v>491</v>
      </c>
      <c r="G603">
        <v>18370</v>
      </c>
      <c r="H603">
        <v>41.094749999999998</v>
      </c>
      <c r="I603">
        <v>-75.326319999999996</v>
      </c>
      <c r="J603" t="s">
        <v>733</v>
      </c>
      <c r="K603">
        <v>110006522735</v>
      </c>
      <c r="M603">
        <v>2834</v>
      </c>
      <c r="R603" s="301">
        <v>8.2766439909296996E-2</v>
      </c>
      <c r="W603" t="s">
        <v>2190</v>
      </c>
      <c r="X603" t="s">
        <v>2191</v>
      </c>
      <c r="Y603" s="301" t="s">
        <v>2192</v>
      </c>
      <c r="AA603" t="s">
        <v>1465</v>
      </c>
      <c r="AB603" t="s">
        <v>1466</v>
      </c>
    </row>
    <row r="604" spans="1:28" x14ac:dyDescent="0.25">
      <c r="A604">
        <v>2018</v>
      </c>
      <c r="C604" t="s">
        <v>1334</v>
      </c>
      <c r="D604" t="s">
        <v>2193</v>
      </c>
      <c r="E604" t="s">
        <v>1335</v>
      </c>
      <c r="F604" t="s">
        <v>366</v>
      </c>
      <c r="G604" t="s">
        <v>2194</v>
      </c>
      <c r="H604">
        <v>36.963245999999998</v>
      </c>
      <c r="I604">
        <v>-122.034009</v>
      </c>
      <c r="K604">
        <v>110013848453</v>
      </c>
      <c r="M604">
        <v>4952</v>
      </c>
      <c r="R604">
        <v>2.4487435999999998</v>
      </c>
      <c r="W604" t="s">
        <v>2195</v>
      </c>
      <c r="X604" t="s">
        <v>2196</v>
      </c>
      <c r="Y604">
        <v>18060015000054</v>
      </c>
      <c r="AA604" t="s">
        <v>1465</v>
      </c>
      <c r="AB604" t="s">
        <v>263</v>
      </c>
    </row>
    <row r="605" spans="1:28" x14ac:dyDescent="0.25">
      <c r="A605">
        <v>2018</v>
      </c>
      <c r="C605" t="s">
        <v>1338</v>
      </c>
      <c r="D605" t="s">
        <v>2201</v>
      </c>
      <c r="E605" t="s">
        <v>1339</v>
      </c>
      <c r="F605" t="s">
        <v>491</v>
      </c>
      <c r="G605" t="s">
        <v>2202</v>
      </c>
      <c r="H605">
        <v>41.452778000000002</v>
      </c>
      <c r="I605">
        <v>-79.690278000000006</v>
      </c>
      <c r="J605" t="s">
        <v>734</v>
      </c>
      <c r="K605">
        <v>110008476327</v>
      </c>
      <c r="M605">
        <v>2865</v>
      </c>
      <c r="R605" s="301">
        <v>8.2766439909296996E-3</v>
      </c>
      <c r="W605" t="s">
        <v>2203</v>
      </c>
      <c r="X605" t="s">
        <v>2204</v>
      </c>
      <c r="Y605" s="301" t="s">
        <v>2205</v>
      </c>
      <c r="AA605" t="s">
        <v>1465</v>
      </c>
      <c r="AB605" t="s">
        <v>1466</v>
      </c>
    </row>
    <row r="606" spans="1:28" x14ac:dyDescent="0.25">
      <c r="A606">
        <v>2018</v>
      </c>
      <c r="C606" t="s">
        <v>1344</v>
      </c>
      <c r="D606" t="s">
        <v>2211</v>
      </c>
      <c r="E606" t="s">
        <v>1345</v>
      </c>
      <c r="F606" t="s">
        <v>366</v>
      </c>
      <c r="G606">
        <v>95589</v>
      </c>
      <c r="H606">
        <v>40.032722</v>
      </c>
      <c r="I606">
        <v>-124.07983299999999</v>
      </c>
      <c r="K606">
        <v>110039689851</v>
      </c>
      <c r="M606">
        <v>4952</v>
      </c>
      <c r="R606">
        <v>7.6674637500000004E-2</v>
      </c>
      <c r="W606" t="s">
        <v>2212</v>
      </c>
      <c r="X606" t="s">
        <v>926</v>
      </c>
      <c r="Y606">
        <v>18010107000005</v>
      </c>
      <c r="AA606" t="s">
        <v>1465</v>
      </c>
      <c r="AB606" t="s">
        <v>263</v>
      </c>
    </row>
    <row r="607" spans="1:28" x14ac:dyDescent="0.25">
      <c r="A607">
        <v>2018</v>
      </c>
      <c r="C607" t="s">
        <v>1346</v>
      </c>
      <c r="D607" t="s">
        <v>2213</v>
      </c>
      <c r="E607" t="s">
        <v>1347</v>
      </c>
      <c r="F607" t="s">
        <v>324</v>
      </c>
      <c r="G607">
        <v>40165</v>
      </c>
      <c r="H607">
        <v>37.985444000000001</v>
      </c>
      <c r="I607">
        <v>-85.720056</v>
      </c>
      <c r="K607">
        <v>110020941383</v>
      </c>
      <c r="M607">
        <v>4952</v>
      </c>
      <c r="R607" s="301">
        <v>0.70859525714285698</v>
      </c>
      <c r="W607" t="s">
        <v>2214</v>
      </c>
      <c r="X607" t="s">
        <v>2215</v>
      </c>
      <c r="Y607" s="301" t="s">
        <v>2216</v>
      </c>
      <c r="AA607" t="s">
        <v>1465</v>
      </c>
      <c r="AB607" t="s">
        <v>263</v>
      </c>
    </row>
    <row r="608" spans="1:28" x14ac:dyDescent="0.25">
      <c r="A608">
        <v>2018</v>
      </c>
      <c r="C608" t="s">
        <v>1346</v>
      </c>
      <c r="D608" t="s">
        <v>2213</v>
      </c>
      <c r="E608" t="s">
        <v>1347</v>
      </c>
      <c r="F608" t="s">
        <v>324</v>
      </c>
      <c r="G608">
        <v>40165</v>
      </c>
      <c r="H608">
        <v>37.985444000000001</v>
      </c>
      <c r="I608">
        <v>-85.720056</v>
      </c>
      <c r="K608">
        <v>110020941383</v>
      </c>
      <c r="M608">
        <v>4952</v>
      </c>
      <c r="R608" s="301">
        <v>1.2117947857142799</v>
      </c>
      <c r="W608" t="s">
        <v>2214</v>
      </c>
      <c r="X608" t="s">
        <v>2215</v>
      </c>
      <c r="Y608" s="301" t="s">
        <v>2216</v>
      </c>
      <c r="AA608" t="s">
        <v>1465</v>
      </c>
      <c r="AB608" t="s">
        <v>263</v>
      </c>
    </row>
    <row r="609" spans="1:28" x14ac:dyDescent="0.25">
      <c r="A609">
        <v>2018</v>
      </c>
      <c r="C609" t="s">
        <v>1348</v>
      </c>
      <c r="D609" t="s">
        <v>2217</v>
      </c>
      <c r="E609" t="s">
        <v>1349</v>
      </c>
      <c r="F609" t="s">
        <v>1249</v>
      </c>
      <c r="G609">
        <v>87420</v>
      </c>
      <c r="H609">
        <v>36.786963999999998</v>
      </c>
      <c r="I609">
        <v>-108.711493</v>
      </c>
      <c r="K609">
        <v>110024409362</v>
      </c>
      <c r="M609">
        <v>4952</v>
      </c>
      <c r="R609">
        <v>1.1021920000000001</v>
      </c>
      <c r="W609" t="s">
        <v>2218</v>
      </c>
      <c r="X609" t="s">
        <v>2219</v>
      </c>
      <c r="Y609">
        <v>14080105001216</v>
      </c>
      <c r="AA609" t="s">
        <v>1465</v>
      </c>
      <c r="AB609" t="s">
        <v>263</v>
      </c>
    </row>
    <row r="610" spans="1:28" x14ac:dyDescent="0.25">
      <c r="A610">
        <v>2018</v>
      </c>
      <c r="C610" t="s">
        <v>190</v>
      </c>
      <c r="D610" t="s">
        <v>622</v>
      </c>
      <c r="E610" t="s">
        <v>623</v>
      </c>
      <c r="F610" t="s">
        <v>338</v>
      </c>
      <c r="G610" s="301" t="s">
        <v>2223</v>
      </c>
      <c r="H610">
        <v>39.845474000000003</v>
      </c>
      <c r="I610">
        <v>-75.209485999999998</v>
      </c>
      <c r="J610" t="s">
        <v>624</v>
      </c>
      <c r="K610">
        <v>110013317614</v>
      </c>
      <c r="M610">
        <v>2821</v>
      </c>
      <c r="R610">
        <v>1.4999999999999999E-2</v>
      </c>
      <c r="W610" t="s">
        <v>934</v>
      </c>
      <c r="X610" t="s">
        <v>935</v>
      </c>
      <c r="Y610" s="301" t="s">
        <v>2224</v>
      </c>
      <c r="AA610" t="s">
        <v>1465</v>
      </c>
      <c r="AB610" t="s">
        <v>1466</v>
      </c>
    </row>
    <row r="611" spans="1:28" x14ac:dyDescent="0.25">
      <c r="A611">
        <v>2018</v>
      </c>
      <c r="C611" t="s">
        <v>1356</v>
      </c>
      <c r="D611" t="s">
        <v>2231</v>
      </c>
      <c r="E611" t="s">
        <v>1357</v>
      </c>
      <c r="F611" t="s">
        <v>418</v>
      </c>
      <c r="G611">
        <v>89434</v>
      </c>
      <c r="H611">
        <v>39.530619999999999</v>
      </c>
      <c r="I611">
        <v>-119.73309</v>
      </c>
      <c r="K611">
        <v>110009830200</v>
      </c>
      <c r="M611">
        <v>9511</v>
      </c>
      <c r="R611">
        <v>3.7715632499999998</v>
      </c>
      <c r="W611" t="s">
        <v>2232</v>
      </c>
      <c r="X611" t="s">
        <v>2233</v>
      </c>
      <c r="Y611">
        <v>16050102000423</v>
      </c>
      <c r="AA611" t="s">
        <v>1465</v>
      </c>
      <c r="AB611" t="s">
        <v>1466</v>
      </c>
    </row>
    <row r="612" spans="1:28" x14ac:dyDescent="0.25">
      <c r="A612">
        <v>2018</v>
      </c>
      <c r="C612" t="s">
        <v>1358</v>
      </c>
      <c r="D612" t="s">
        <v>2234</v>
      </c>
      <c r="E612" t="s">
        <v>1359</v>
      </c>
      <c r="F612" t="s">
        <v>374</v>
      </c>
      <c r="G612">
        <v>86508</v>
      </c>
      <c r="H612">
        <v>35.359191000000003</v>
      </c>
      <c r="I612">
        <v>-109.05148</v>
      </c>
      <c r="K612">
        <v>110017206432</v>
      </c>
      <c r="M612">
        <v>5541</v>
      </c>
      <c r="R612" s="301">
        <v>9.9538066672908996E-5</v>
      </c>
      <c r="W612" t="s">
        <v>2235</v>
      </c>
      <c r="X612" t="s">
        <v>2236</v>
      </c>
      <c r="Y612">
        <v>15020006000047</v>
      </c>
      <c r="AA612" t="s">
        <v>1465</v>
      </c>
      <c r="AB612" t="s">
        <v>1466</v>
      </c>
    </row>
    <row r="613" spans="1:28" x14ac:dyDescent="0.25">
      <c r="A613">
        <v>2018</v>
      </c>
      <c r="C613" t="s">
        <v>1363</v>
      </c>
      <c r="D613" t="s">
        <v>2242</v>
      </c>
      <c r="E613" t="s">
        <v>1364</v>
      </c>
      <c r="F613" t="s">
        <v>303</v>
      </c>
      <c r="G613">
        <v>70776</v>
      </c>
      <c r="H613">
        <v>30.241299999999999</v>
      </c>
      <c r="I613">
        <v>-91.100899999999996</v>
      </c>
      <c r="J613" t="s">
        <v>735</v>
      </c>
      <c r="K613">
        <v>110000597426</v>
      </c>
      <c r="M613">
        <v>2819</v>
      </c>
      <c r="R613" s="301">
        <v>0.82766439909296996</v>
      </c>
      <c r="W613" t="s">
        <v>2243</v>
      </c>
      <c r="X613" s="301" t="s">
        <v>2244</v>
      </c>
      <c r="Y613" s="301" t="s">
        <v>2245</v>
      </c>
      <c r="AA613" t="s">
        <v>1465</v>
      </c>
      <c r="AB613" t="s">
        <v>1466</v>
      </c>
    </row>
    <row r="614" spans="1:28" x14ac:dyDescent="0.25">
      <c r="A614">
        <v>2018</v>
      </c>
      <c r="C614" t="s">
        <v>1365</v>
      </c>
      <c r="D614" t="s">
        <v>2246</v>
      </c>
      <c r="E614" t="s">
        <v>1366</v>
      </c>
      <c r="F614" t="s">
        <v>506</v>
      </c>
      <c r="G614" t="s">
        <v>2247</v>
      </c>
      <c r="H614">
        <v>38.082917000000002</v>
      </c>
      <c r="I614">
        <v>-75.602999999999994</v>
      </c>
      <c r="K614">
        <v>110008479397</v>
      </c>
      <c r="M614">
        <v>5149</v>
      </c>
      <c r="R614" s="301">
        <v>5.8821152074999897E-3</v>
      </c>
      <c r="W614" t="s">
        <v>2248</v>
      </c>
      <c r="X614" t="s">
        <v>2249</v>
      </c>
      <c r="Y614" s="301" t="s">
        <v>2250</v>
      </c>
      <c r="AA614" t="s">
        <v>1465</v>
      </c>
      <c r="AB614" t="s">
        <v>1466</v>
      </c>
    </row>
    <row r="615" spans="1:28" x14ac:dyDescent="0.25">
      <c r="A615">
        <v>2018</v>
      </c>
      <c r="C615" t="s">
        <v>1368</v>
      </c>
      <c r="D615" t="s">
        <v>2253</v>
      </c>
      <c r="E615" t="s">
        <v>657</v>
      </c>
      <c r="F615" t="s">
        <v>418</v>
      </c>
      <c r="G615">
        <v>89119</v>
      </c>
      <c r="H615">
        <v>36.074100000000001</v>
      </c>
      <c r="I615">
        <v>-115.17274</v>
      </c>
      <c r="K615">
        <v>110041903223</v>
      </c>
      <c r="M615">
        <v>5541</v>
      </c>
      <c r="R615">
        <v>3.16541915625E-3</v>
      </c>
      <c r="W615" t="s">
        <v>2254</v>
      </c>
      <c r="X615" t="s">
        <v>2255</v>
      </c>
      <c r="Y615">
        <v>15010015000141</v>
      </c>
      <c r="AA615" t="s">
        <v>1465</v>
      </c>
      <c r="AB615" t="s">
        <v>1466</v>
      </c>
    </row>
    <row r="616" spans="1:28" x14ac:dyDescent="0.25">
      <c r="A616">
        <v>2018</v>
      </c>
      <c r="C616" t="s">
        <v>1374</v>
      </c>
      <c r="D616" t="s">
        <v>2264</v>
      </c>
      <c r="E616" t="s">
        <v>293</v>
      </c>
      <c r="F616" t="s">
        <v>294</v>
      </c>
      <c r="G616">
        <v>222031606</v>
      </c>
      <c r="H616">
        <v>38.88223</v>
      </c>
      <c r="I616">
        <v>-77.112300000000005</v>
      </c>
      <c r="K616">
        <v>110010844426</v>
      </c>
      <c r="M616">
        <v>4959</v>
      </c>
      <c r="R616">
        <v>1.4581334E-4</v>
      </c>
      <c r="W616" t="s">
        <v>2265</v>
      </c>
      <c r="X616" t="s">
        <v>2266</v>
      </c>
      <c r="Y616" s="301" t="s">
        <v>2267</v>
      </c>
      <c r="AA616" t="s">
        <v>1465</v>
      </c>
      <c r="AB616" t="s">
        <v>1466</v>
      </c>
    </row>
    <row r="617" spans="1:28" x14ac:dyDescent="0.25">
      <c r="A617">
        <v>2018</v>
      </c>
      <c r="C617" t="s">
        <v>1375</v>
      </c>
      <c r="D617" t="s">
        <v>2268</v>
      </c>
      <c r="E617" t="s">
        <v>657</v>
      </c>
      <c r="F617" t="s">
        <v>418</v>
      </c>
      <c r="G617">
        <v>89109</v>
      </c>
      <c r="H617">
        <v>36.137529999999998</v>
      </c>
      <c r="I617">
        <v>-115.15479000000001</v>
      </c>
      <c r="K617">
        <v>110020039402</v>
      </c>
      <c r="M617">
        <v>7011</v>
      </c>
      <c r="R617" s="301">
        <v>6.0327222499999902E-8</v>
      </c>
      <c r="W617" t="s">
        <v>2269</v>
      </c>
      <c r="X617" t="s">
        <v>2270</v>
      </c>
      <c r="Y617">
        <v>15010015000432</v>
      </c>
      <c r="AA617" t="s">
        <v>1465</v>
      </c>
      <c r="AB617" t="s">
        <v>1466</v>
      </c>
    </row>
    <row r="618" spans="1:28" x14ac:dyDescent="0.25">
      <c r="A618">
        <v>2018</v>
      </c>
      <c r="C618" t="s">
        <v>1378</v>
      </c>
      <c r="D618" t="s">
        <v>2274</v>
      </c>
      <c r="E618" t="s">
        <v>474</v>
      </c>
      <c r="F618" t="s">
        <v>338</v>
      </c>
      <c r="G618" s="301" t="s">
        <v>1778</v>
      </c>
      <c r="H618">
        <v>40.936109999999999</v>
      </c>
      <c r="I618">
        <v>-74.273809999999997</v>
      </c>
      <c r="K618">
        <v>110070212009</v>
      </c>
      <c r="R618" s="301">
        <v>7.88708856424999E-4</v>
      </c>
      <c r="W618" t="s">
        <v>2275</v>
      </c>
      <c r="X618" t="s">
        <v>2276</v>
      </c>
      <c r="Y618" s="301" t="s">
        <v>2277</v>
      </c>
      <c r="AA618" t="s">
        <v>1465</v>
      </c>
      <c r="AB618" t="s">
        <v>1466</v>
      </c>
    </row>
    <row r="619" spans="1:28" x14ac:dyDescent="0.25">
      <c r="A619">
        <v>2018</v>
      </c>
      <c r="C619" t="s">
        <v>1381</v>
      </c>
      <c r="D619" t="s">
        <v>2280</v>
      </c>
      <c r="E619" t="s">
        <v>1382</v>
      </c>
      <c r="F619" t="s">
        <v>374</v>
      </c>
      <c r="G619">
        <v>863148622</v>
      </c>
      <c r="H619">
        <v>34.591583999999997</v>
      </c>
      <c r="I619">
        <v>-112.31693</v>
      </c>
      <c r="K619">
        <v>110000914725</v>
      </c>
      <c r="M619">
        <v>4952</v>
      </c>
      <c r="R619">
        <v>2.9150177500000001</v>
      </c>
      <c r="W619" t="s">
        <v>2281</v>
      </c>
      <c r="Y619">
        <v>15070102009265</v>
      </c>
      <c r="AA619" t="s">
        <v>1465</v>
      </c>
      <c r="AB619" t="s">
        <v>263</v>
      </c>
    </row>
    <row r="620" spans="1:28" x14ac:dyDescent="0.25">
      <c r="A620">
        <v>2018</v>
      </c>
      <c r="C620" t="s">
        <v>1383</v>
      </c>
      <c r="D620" t="s">
        <v>2282</v>
      </c>
      <c r="E620" t="s">
        <v>516</v>
      </c>
      <c r="F620" t="s">
        <v>303</v>
      </c>
      <c r="G620">
        <v>707340000</v>
      </c>
      <c r="H620">
        <v>30.233011999999999</v>
      </c>
      <c r="I620">
        <v>-91.022057000000004</v>
      </c>
      <c r="K620">
        <v>110000911309</v>
      </c>
      <c r="M620">
        <v>4789</v>
      </c>
      <c r="R620">
        <v>8.8001250000000004E-5</v>
      </c>
      <c r="W620" t="s">
        <v>2283</v>
      </c>
      <c r="X620" t="s">
        <v>795</v>
      </c>
      <c r="Y620" s="301" t="s">
        <v>2284</v>
      </c>
      <c r="AA620" t="s">
        <v>1465</v>
      </c>
      <c r="AB620" t="s">
        <v>1466</v>
      </c>
    </row>
    <row r="621" spans="1:28" x14ac:dyDescent="0.25">
      <c r="A621">
        <v>2018</v>
      </c>
      <c r="C621" t="s">
        <v>196</v>
      </c>
      <c r="D621" t="s">
        <v>650</v>
      </c>
      <c r="E621" t="s">
        <v>651</v>
      </c>
      <c r="F621" t="s">
        <v>418</v>
      </c>
      <c r="G621">
        <v>89015</v>
      </c>
      <c r="H621">
        <v>36.035440000000001</v>
      </c>
      <c r="I621">
        <v>-114.99994</v>
      </c>
      <c r="J621" t="s">
        <v>652</v>
      </c>
      <c r="K621">
        <v>110043808467</v>
      </c>
      <c r="M621">
        <v>1799</v>
      </c>
      <c r="R621">
        <v>0.30132858125</v>
      </c>
      <c r="W621" t="s">
        <v>947</v>
      </c>
      <c r="X621" t="s">
        <v>948</v>
      </c>
      <c r="Y621">
        <v>15010015000957</v>
      </c>
      <c r="AA621" t="s">
        <v>1465</v>
      </c>
      <c r="AB621" t="s">
        <v>1466</v>
      </c>
    </row>
    <row r="622" spans="1:28" x14ac:dyDescent="0.25">
      <c r="A622">
        <v>2018</v>
      </c>
      <c r="C622" t="s">
        <v>1386</v>
      </c>
      <c r="D622" t="s">
        <v>2288</v>
      </c>
      <c r="E622" t="s">
        <v>1314</v>
      </c>
      <c r="F622" t="s">
        <v>374</v>
      </c>
      <c r="G622">
        <v>86004</v>
      </c>
      <c r="H622">
        <v>35.167265999999998</v>
      </c>
      <c r="I622">
        <v>-111.258888</v>
      </c>
      <c r="K622">
        <v>110059716776</v>
      </c>
      <c r="M622">
        <v>4952</v>
      </c>
      <c r="R622">
        <v>6.2679600000000002E-2</v>
      </c>
      <c r="W622" t="s">
        <v>2289</v>
      </c>
      <c r="X622" t="s">
        <v>2290</v>
      </c>
      <c r="Y622">
        <v>15020015000049</v>
      </c>
      <c r="AA622" t="s">
        <v>1465</v>
      </c>
      <c r="AB622" t="s">
        <v>263</v>
      </c>
    </row>
    <row r="623" spans="1:28" x14ac:dyDescent="0.25">
      <c r="A623">
        <v>2018</v>
      </c>
      <c r="C623" t="s">
        <v>1389</v>
      </c>
      <c r="D623" t="s">
        <v>2294</v>
      </c>
      <c r="E623" t="s">
        <v>358</v>
      </c>
      <c r="F623" t="s">
        <v>275</v>
      </c>
      <c r="G623">
        <v>83704</v>
      </c>
      <c r="H623">
        <v>43.605383000000003</v>
      </c>
      <c r="I623">
        <v>-116.27849000000001</v>
      </c>
      <c r="K623">
        <v>110062644367</v>
      </c>
      <c r="R623" s="301">
        <v>7.1724538799999901E-3</v>
      </c>
      <c r="W623" t="s">
        <v>2295</v>
      </c>
      <c r="X623" t="s">
        <v>2296</v>
      </c>
      <c r="Y623">
        <v>17050114001337</v>
      </c>
      <c r="AA623" t="s">
        <v>1465</v>
      </c>
      <c r="AB623" t="s">
        <v>1466</v>
      </c>
    </row>
    <row r="624" spans="1:28" x14ac:dyDescent="0.25">
      <c r="A624">
        <v>2018</v>
      </c>
      <c r="C624" t="s">
        <v>1394</v>
      </c>
      <c r="D624" t="s">
        <v>2304</v>
      </c>
      <c r="E624" t="s">
        <v>1395</v>
      </c>
      <c r="F624" t="s">
        <v>362</v>
      </c>
      <c r="G624">
        <v>78241</v>
      </c>
      <c r="H624">
        <v>29.378699999999998</v>
      </c>
      <c r="I624">
        <v>-98.551670000000001</v>
      </c>
      <c r="K624">
        <v>110042004915</v>
      </c>
      <c r="M624">
        <v>9711</v>
      </c>
      <c r="R624">
        <v>2.1024224209499998E-2</v>
      </c>
      <c r="W624" t="s">
        <v>2305</v>
      </c>
      <c r="X624" t="s">
        <v>2306</v>
      </c>
      <c r="Y624">
        <v>12100302000008</v>
      </c>
      <c r="AA624" t="s">
        <v>1465</v>
      </c>
      <c r="AB624" t="s">
        <v>1466</v>
      </c>
    </row>
    <row r="625" spans="1:28" x14ac:dyDescent="0.25">
      <c r="A625">
        <v>2018</v>
      </c>
      <c r="C625" t="s">
        <v>198</v>
      </c>
      <c r="D625" t="s">
        <v>656</v>
      </c>
      <c r="E625" t="s">
        <v>657</v>
      </c>
      <c r="F625" t="s">
        <v>418</v>
      </c>
      <c r="G625">
        <v>89109</v>
      </c>
      <c r="H625">
        <v>36.122100000000003</v>
      </c>
      <c r="I625">
        <v>-115.17139</v>
      </c>
      <c r="K625">
        <v>110004306938</v>
      </c>
      <c r="M625">
        <v>7011</v>
      </c>
      <c r="R625">
        <v>0.2146371778125</v>
      </c>
      <c r="W625" t="s">
        <v>951</v>
      </c>
      <c r="X625" t="s">
        <v>952</v>
      </c>
      <c r="Y625">
        <v>15010015000432</v>
      </c>
      <c r="AA625" t="s">
        <v>1465</v>
      </c>
      <c r="AB625" t="s">
        <v>1466</v>
      </c>
    </row>
    <row r="626" spans="1:28" x14ac:dyDescent="0.25">
      <c r="A626">
        <v>2018</v>
      </c>
      <c r="C626" t="s">
        <v>198</v>
      </c>
      <c r="D626" t="s">
        <v>656</v>
      </c>
      <c r="E626" t="s">
        <v>657</v>
      </c>
      <c r="F626" t="s">
        <v>418</v>
      </c>
      <c r="G626">
        <v>89109</v>
      </c>
      <c r="H626">
        <v>36.122100000000003</v>
      </c>
      <c r="I626">
        <v>-115.17139</v>
      </c>
      <c r="K626">
        <v>110004306938</v>
      </c>
      <c r="M626">
        <v>7011</v>
      </c>
      <c r="R626">
        <v>1.282987729375E-2</v>
      </c>
      <c r="W626" t="s">
        <v>951</v>
      </c>
      <c r="X626" t="s">
        <v>952</v>
      </c>
      <c r="Y626">
        <v>15010015000432</v>
      </c>
      <c r="AA626" t="s">
        <v>1465</v>
      </c>
      <c r="AB626" t="s">
        <v>1466</v>
      </c>
    </row>
    <row r="627" spans="1:28" x14ac:dyDescent="0.25">
      <c r="A627">
        <v>2018</v>
      </c>
      <c r="C627" t="s">
        <v>198</v>
      </c>
      <c r="D627" t="s">
        <v>656</v>
      </c>
      <c r="E627" t="s">
        <v>657</v>
      </c>
      <c r="F627" t="s">
        <v>418</v>
      </c>
      <c r="G627">
        <v>89109</v>
      </c>
      <c r="H627">
        <v>36.122100000000003</v>
      </c>
      <c r="I627">
        <v>-115.17139</v>
      </c>
      <c r="K627">
        <v>110004306938</v>
      </c>
      <c r="M627">
        <v>7011</v>
      </c>
      <c r="R627">
        <v>4.082406375E-3</v>
      </c>
      <c r="W627" t="s">
        <v>951</v>
      </c>
      <c r="X627" t="s">
        <v>952</v>
      </c>
      <c r="Y627">
        <v>15010015000432</v>
      </c>
      <c r="AA627" t="s">
        <v>1465</v>
      </c>
      <c r="AB627" t="s">
        <v>1466</v>
      </c>
    </row>
    <row r="628" spans="1:28" x14ac:dyDescent="0.25">
      <c r="A628">
        <v>2018</v>
      </c>
      <c r="C628" t="s">
        <v>198</v>
      </c>
      <c r="D628" t="s">
        <v>656</v>
      </c>
      <c r="E628" t="s">
        <v>657</v>
      </c>
      <c r="F628" t="s">
        <v>418</v>
      </c>
      <c r="G628">
        <v>89109</v>
      </c>
      <c r="H628">
        <v>36.122100000000003</v>
      </c>
      <c r="I628">
        <v>-115.17139</v>
      </c>
      <c r="K628">
        <v>110004306938</v>
      </c>
      <c r="M628">
        <v>7011</v>
      </c>
      <c r="R628">
        <v>2.8839334375000002E-3</v>
      </c>
      <c r="W628" t="s">
        <v>951</v>
      </c>
      <c r="X628" t="s">
        <v>952</v>
      </c>
      <c r="Y628">
        <v>15010015000432</v>
      </c>
      <c r="AA628" t="s">
        <v>1465</v>
      </c>
      <c r="AB628" t="s">
        <v>1466</v>
      </c>
    </row>
    <row r="629" spans="1:28" x14ac:dyDescent="0.25">
      <c r="A629">
        <v>2018</v>
      </c>
      <c r="C629" t="s">
        <v>198</v>
      </c>
      <c r="D629" t="s">
        <v>656</v>
      </c>
      <c r="E629" t="s">
        <v>657</v>
      </c>
      <c r="F629" t="s">
        <v>418</v>
      </c>
      <c r="G629">
        <v>89109</v>
      </c>
      <c r="H629">
        <v>36.122100000000003</v>
      </c>
      <c r="I629">
        <v>-115.17139</v>
      </c>
      <c r="K629">
        <v>110004306938</v>
      </c>
      <c r="M629">
        <v>7011</v>
      </c>
      <c r="R629">
        <v>3.6907440375000003E-2</v>
      </c>
      <c r="W629" t="s">
        <v>951</v>
      </c>
      <c r="X629" t="s">
        <v>952</v>
      </c>
      <c r="Y629">
        <v>15010015000432</v>
      </c>
      <c r="AA629" t="s">
        <v>1465</v>
      </c>
      <c r="AB629" t="s">
        <v>1466</v>
      </c>
    </row>
    <row r="630" spans="1:28" x14ac:dyDescent="0.25">
      <c r="A630">
        <v>2018</v>
      </c>
      <c r="C630" t="s">
        <v>1408</v>
      </c>
      <c r="D630" t="s">
        <v>2327</v>
      </c>
      <c r="E630" t="s">
        <v>1409</v>
      </c>
      <c r="F630" t="s">
        <v>366</v>
      </c>
      <c r="G630" t="s">
        <v>2328</v>
      </c>
      <c r="H630">
        <v>34.616658000000001</v>
      </c>
      <c r="I630">
        <v>-117.355048</v>
      </c>
      <c r="K630">
        <v>110000517637</v>
      </c>
      <c r="M630">
        <v>4952</v>
      </c>
      <c r="R630">
        <v>0.43932494999999999</v>
      </c>
      <c r="W630" t="s">
        <v>2329</v>
      </c>
      <c r="X630" t="s">
        <v>2330</v>
      </c>
      <c r="Y630">
        <v>18090208000542</v>
      </c>
      <c r="AA630" t="s">
        <v>1465</v>
      </c>
      <c r="AB630" t="s">
        <v>263</v>
      </c>
    </row>
    <row r="631" spans="1:28" x14ac:dyDescent="0.25">
      <c r="A631">
        <v>2018</v>
      </c>
      <c r="C631" t="s">
        <v>1410</v>
      </c>
      <c r="D631" t="s">
        <v>2331</v>
      </c>
      <c r="E631" t="s">
        <v>657</v>
      </c>
      <c r="F631" t="s">
        <v>418</v>
      </c>
      <c r="G631">
        <v>89106</v>
      </c>
      <c r="H631">
        <v>36.19997</v>
      </c>
      <c r="I631">
        <v>-115.19658</v>
      </c>
      <c r="K631">
        <v>110064418553</v>
      </c>
      <c r="M631">
        <v>5541</v>
      </c>
      <c r="R631">
        <v>6.5415208749999999E-3</v>
      </c>
      <c r="W631" t="s">
        <v>2332</v>
      </c>
      <c r="X631" t="s">
        <v>1893</v>
      </c>
      <c r="Y631">
        <v>15010015000124</v>
      </c>
      <c r="AA631" t="s">
        <v>1465</v>
      </c>
      <c r="AB631" t="s">
        <v>1466</v>
      </c>
    </row>
    <row r="632" spans="1:28" x14ac:dyDescent="0.25">
      <c r="A632">
        <v>2018</v>
      </c>
      <c r="C632" t="s">
        <v>1416</v>
      </c>
      <c r="D632" t="s">
        <v>2340</v>
      </c>
      <c r="E632" t="s">
        <v>1417</v>
      </c>
      <c r="F632" t="s">
        <v>366</v>
      </c>
      <c r="G632" t="s">
        <v>2341</v>
      </c>
      <c r="H632">
        <v>33.762349999999998</v>
      </c>
      <c r="I632">
        <v>-118.241775</v>
      </c>
      <c r="K632">
        <v>110017217545</v>
      </c>
      <c r="M632">
        <v>5171</v>
      </c>
      <c r="R632">
        <v>7.9990297500000009E-3</v>
      </c>
      <c r="W632" t="s">
        <v>2342</v>
      </c>
      <c r="X632" t="s">
        <v>2343</v>
      </c>
      <c r="Y632">
        <v>18070106002148</v>
      </c>
      <c r="AA632" t="s">
        <v>1465</v>
      </c>
      <c r="AB632" t="s">
        <v>1466</v>
      </c>
    </row>
    <row r="633" spans="1:28" x14ac:dyDescent="0.25">
      <c r="A633">
        <v>2018</v>
      </c>
      <c r="C633" t="s">
        <v>1418</v>
      </c>
      <c r="D633" t="s">
        <v>2344</v>
      </c>
      <c r="E633" t="s">
        <v>1041</v>
      </c>
      <c r="F633" t="s">
        <v>366</v>
      </c>
      <c r="G633">
        <v>90744</v>
      </c>
      <c r="H633">
        <v>33.791108999999999</v>
      </c>
      <c r="I633">
        <v>-118.244609</v>
      </c>
      <c r="K633">
        <v>110028243791</v>
      </c>
      <c r="M633">
        <v>5171</v>
      </c>
      <c r="R633">
        <v>1.36598284375E-2</v>
      </c>
      <c r="W633" t="s">
        <v>2345</v>
      </c>
      <c r="X633" t="s">
        <v>1556</v>
      </c>
      <c r="Y633">
        <v>18070106002149</v>
      </c>
      <c r="AA633" t="s">
        <v>1465</v>
      </c>
      <c r="AB633" t="s">
        <v>1466</v>
      </c>
    </row>
    <row r="634" spans="1:28" x14ac:dyDescent="0.25">
      <c r="A634">
        <v>2018</v>
      </c>
      <c r="C634" t="s">
        <v>1419</v>
      </c>
      <c r="D634" t="s">
        <v>2346</v>
      </c>
      <c r="E634" t="s">
        <v>1420</v>
      </c>
      <c r="F634" t="s">
        <v>427</v>
      </c>
      <c r="G634">
        <v>49221</v>
      </c>
      <c r="H634">
        <v>41.948850999999998</v>
      </c>
      <c r="I634">
        <v>-83.958619999999996</v>
      </c>
      <c r="J634" t="s">
        <v>739</v>
      </c>
      <c r="K634">
        <v>110056966699</v>
      </c>
      <c r="M634">
        <v>2821</v>
      </c>
      <c r="R634" s="165">
        <v>3.8538807335799798E-7</v>
      </c>
      <c r="W634" t="s">
        <v>2347</v>
      </c>
      <c r="X634" t="s">
        <v>2348</v>
      </c>
      <c r="Y634" s="301" t="s">
        <v>2349</v>
      </c>
      <c r="AA634" t="s">
        <v>1465</v>
      </c>
      <c r="AB634" t="s">
        <v>1466</v>
      </c>
    </row>
    <row r="635" spans="1:28" x14ac:dyDescent="0.25">
      <c r="A635">
        <v>2018</v>
      </c>
      <c r="C635" t="s">
        <v>1421</v>
      </c>
      <c r="D635" t="s">
        <v>2350</v>
      </c>
      <c r="E635" t="s">
        <v>1422</v>
      </c>
      <c r="F635" t="s">
        <v>1171</v>
      </c>
      <c r="G635">
        <v>96746</v>
      </c>
      <c r="H635">
        <v>22.079093</v>
      </c>
      <c r="I635">
        <v>-159.35138900000001</v>
      </c>
      <c r="K635">
        <v>110010731262</v>
      </c>
      <c r="M635">
        <v>4952</v>
      </c>
      <c r="R635">
        <v>0.32742142499999999</v>
      </c>
      <c r="W635" t="s">
        <v>2351</v>
      </c>
      <c r="X635" t="s">
        <v>2352</v>
      </c>
      <c r="Y635">
        <v>20070000000062</v>
      </c>
      <c r="AA635" t="s">
        <v>1465</v>
      </c>
      <c r="AB635" t="s">
        <v>263</v>
      </c>
    </row>
    <row r="636" spans="1:28" x14ac:dyDescent="0.25">
      <c r="A636">
        <v>2018</v>
      </c>
      <c r="C636" t="s">
        <v>1423</v>
      </c>
      <c r="D636" t="s">
        <v>2353</v>
      </c>
      <c r="E636" t="s">
        <v>1424</v>
      </c>
      <c r="F636" t="s">
        <v>294</v>
      </c>
      <c r="G636">
        <v>22610</v>
      </c>
      <c r="H636">
        <v>38.814979999999998</v>
      </c>
      <c r="I636">
        <v>-78.2834</v>
      </c>
      <c r="K636">
        <v>110054919406</v>
      </c>
      <c r="M636">
        <v>4953</v>
      </c>
      <c r="R636" s="301">
        <v>9.1860519269999904E-4</v>
      </c>
      <c r="W636" t="s">
        <v>2354</v>
      </c>
      <c r="X636" t="s">
        <v>2355</v>
      </c>
      <c r="AA636" t="s">
        <v>1465</v>
      </c>
      <c r="AB636" t="s">
        <v>1466</v>
      </c>
    </row>
    <row r="637" spans="1:28" x14ac:dyDescent="0.25">
      <c r="A637">
        <v>2018</v>
      </c>
      <c r="C637" t="s">
        <v>1428</v>
      </c>
      <c r="D637" t="s">
        <v>2362</v>
      </c>
      <c r="E637" t="s">
        <v>337</v>
      </c>
      <c r="F637" t="s">
        <v>338</v>
      </c>
      <c r="G637" s="301" t="s">
        <v>1817</v>
      </c>
      <c r="H637">
        <v>39.837310000000002</v>
      </c>
      <c r="I637">
        <v>-75.224580000000003</v>
      </c>
      <c r="K637">
        <v>110010354810</v>
      </c>
      <c r="M637">
        <v>4911</v>
      </c>
      <c r="R637">
        <v>4.2172848499999999E-2</v>
      </c>
      <c r="W637" t="s">
        <v>2363</v>
      </c>
      <c r="X637" t="s">
        <v>783</v>
      </c>
      <c r="Y637" s="301" t="s">
        <v>2364</v>
      </c>
      <c r="AA637" t="s">
        <v>1465</v>
      </c>
      <c r="AB637" t="s">
        <v>1466</v>
      </c>
    </row>
    <row r="638" spans="1:28" x14ac:dyDescent="0.25">
      <c r="A638">
        <v>2018</v>
      </c>
      <c r="C638" t="s">
        <v>1429</v>
      </c>
      <c r="D638" t="s">
        <v>2365</v>
      </c>
      <c r="E638" t="s">
        <v>1430</v>
      </c>
      <c r="F638" t="s">
        <v>324</v>
      </c>
      <c r="G638">
        <v>41080</v>
      </c>
      <c r="H638">
        <v>39.00703</v>
      </c>
      <c r="I638">
        <v>-84.841210000000004</v>
      </c>
      <c r="K638">
        <v>110055043705</v>
      </c>
      <c r="M638">
        <v>4952</v>
      </c>
      <c r="R638">
        <v>35.436116249999998</v>
      </c>
      <c r="W638" t="s">
        <v>2366</v>
      </c>
      <c r="X638" t="s">
        <v>830</v>
      </c>
      <c r="Y638" s="301" t="s">
        <v>2367</v>
      </c>
      <c r="AA638" t="s">
        <v>1465</v>
      </c>
      <c r="AB638" t="s">
        <v>263</v>
      </c>
    </row>
    <row r="639" spans="1:28" x14ac:dyDescent="0.25">
      <c r="A639">
        <v>2018</v>
      </c>
      <c r="C639" t="s">
        <v>1431</v>
      </c>
      <c r="D639" t="s">
        <v>2369</v>
      </c>
      <c r="E639" t="s">
        <v>1314</v>
      </c>
      <c r="F639" t="s">
        <v>374</v>
      </c>
      <c r="G639">
        <v>86004</v>
      </c>
      <c r="H639">
        <v>35.225619999999999</v>
      </c>
      <c r="I639">
        <v>-111.5582</v>
      </c>
      <c r="K639">
        <v>110043316612</v>
      </c>
      <c r="M639">
        <v>4952</v>
      </c>
      <c r="R639">
        <v>0.63474166124999998</v>
      </c>
      <c r="W639" t="s">
        <v>2370</v>
      </c>
      <c r="Y639">
        <v>15050301001323</v>
      </c>
      <c r="AA639" t="s">
        <v>1465</v>
      </c>
      <c r="AB639" t="s">
        <v>263</v>
      </c>
    </row>
    <row r="640" spans="1:28" x14ac:dyDescent="0.25">
      <c r="A640">
        <v>2018</v>
      </c>
      <c r="C640" t="s">
        <v>1432</v>
      </c>
      <c r="D640" t="s">
        <v>2371</v>
      </c>
      <c r="E640" t="s">
        <v>1433</v>
      </c>
      <c r="F640" t="s">
        <v>324</v>
      </c>
      <c r="G640">
        <v>40769</v>
      </c>
      <c r="H640">
        <v>36.747222000000001</v>
      </c>
      <c r="I640">
        <v>-84.171943999999996</v>
      </c>
      <c r="K640">
        <v>110006751737</v>
      </c>
      <c r="M640">
        <v>4952</v>
      </c>
      <c r="R640">
        <v>6.1823243750000003</v>
      </c>
      <c r="W640" t="s">
        <v>2372</v>
      </c>
      <c r="X640" t="s">
        <v>785</v>
      </c>
      <c r="Y640" s="301" t="s">
        <v>2373</v>
      </c>
      <c r="AA640" t="s">
        <v>1465</v>
      </c>
      <c r="AB640" t="s">
        <v>263</v>
      </c>
    </row>
    <row r="641" spans="1:28" x14ac:dyDescent="0.25">
      <c r="A641">
        <v>2018</v>
      </c>
      <c r="C641" t="s">
        <v>1436</v>
      </c>
      <c r="D641" t="s">
        <v>2377</v>
      </c>
      <c r="E641" t="s">
        <v>1437</v>
      </c>
      <c r="F641" t="s">
        <v>324</v>
      </c>
      <c r="G641">
        <v>40392</v>
      </c>
      <c r="H641">
        <v>37.915556000000002</v>
      </c>
      <c r="I641">
        <v>-84.268332999999998</v>
      </c>
      <c r="K641">
        <v>110064596361</v>
      </c>
      <c r="M641">
        <v>4952</v>
      </c>
      <c r="R641">
        <v>4.4726871875000001</v>
      </c>
      <c r="W641" t="s">
        <v>2378</v>
      </c>
      <c r="X641" t="s">
        <v>1592</v>
      </c>
      <c r="Y641" s="301" t="s">
        <v>2379</v>
      </c>
      <c r="AA641" t="s">
        <v>1465</v>
      </c>
      <c r="AB641" t="s">
        <v>263</v>
      </c>
    </row>
    <row r="642" spans="1:28" x14ac:dyDescent="0.25">
      <c r="A642">
        <v>2018</v>
      </c>
      <c r="C642" t="s">
        <v>1440</v>
      </c>
      <c r="D642" t="s">
        <v>2382</v>
      </c>
      <c r="E642" t="s">
        <v>1441</v>
      </c>
      <c r="F642" t="s">
        <v>366</v>
      </c>
      <c r="G642">
        <v>95776</v>
      </c>
      <c r="H642">
        <v>38.662149999999997</v>
      </c>
      <c r="I642">
        <v>-121.71407000000001</v>
      </c>
      <c r="K642">
        <v>110039782349</v>
      </c>
      <c r="M642">
        <v>4952</v>
      </c>
      <c r="R642">
        <v>8.4731009999999995E-2</v>
      </c>
      <c r="W642" t="s">
        <v>2383</v>
      </c>
      <c r="X642" t="s">
        <v>2384</v>
      </c>
      <c r="Y642">
        <v>18020163012338</v>
      </c>
      <c r="AA642" t="s">
        <v>1465</v>
      </c>
      <c r="AB642" t="s">
        <v>263</v>
      </c>
    </row>
    <row r="643" spans="1:28" x14ac:dyDescent="0.25">
      <c r="A643">
        <v>2018</v>
      </c>
      <c r="C643" t="s">
        <v>203</v>
      </c>
      <c r="D643" t="s">
        <v>669</v>
      </c>
      <c r="E643" t="s">
        <v>348</v>
      </c>
      <c r="F643" t="s">
        <v>349</v>
      </c>
      <c r="G643">
        <v>63461</v>
      </c>
      <c r="H643">
        <v>39.828163000000004</v>
      </c>
      <c r="I643">
        <v>-91.436942000000002</v>
      </c>
      <c r="K643">
        <v>110040330718</v>
      </c>
      <c r="M643">
        <v>9512</v>
      </c>
      <c r="R643">
        <v>0.66900895435999996</v>
      </c>
      <c r="W643" t="s">
        <v>959</v>
      </c>
      <c r="X643" t="s">
        <v>960</v>
      </c>
      <c r="Y643" s="301" t="s">
        <v>2385</v>
      </c>
      <c r="AA643" t="s">
        <v>1465</v>
      </c>
      <c r="AB643" t="s">
        <v>1466</v>
      </c>
    </row>
    <row r="644" spans="1:28" x14ac:dyDescent="0.25">
      <c r="A644">
        <v>2018</v>
      </c>
      <c r="C644" t="s">
        <v>1442</v>
      </c>
      <c r="D644" t="s">
        <v>2386</v>
      </c>
      <c r="E644" t="s">
        <v>1443</v>
      </c>
      <c r="F644" t="s">
        <v>450</v>
      </c>
      <c r="G644">
        <v>14580</v>
      </c>
      <c r="H644">
        <v>43.227834000000001</v>
      </c>
      <c r="I644">
        <v>-77.411534000000003</v>
      </c>
      <c r="J644" t="s">
        <v>740</v>
      </c>
      <c r="K644">
        <v>110000327799</v>
      </c>
      <c r="M644">
        <v>9511</v>
      </c>
      <c r="R644">
        <v>3.814436702E-2</v>
      </c>
      <c r="W644" t="s">
        <v>2387</v>
      </c>
      <c r="X644" t="s">
        <v>2388</v>
      </c>
      <c r="Y644" s="301" t="s">
        <v>2389</v>
      </c>
      <c r="AA644" t="s">
        <v>1465</v>
      </c>
      <c r="AB644" t="s">
        <v>1466</v>
      </c>
    </row>
    <row r="645" spans="1:28" x14ac:dyDescent="0.25">
      <c r="A645">
        <v>2018</v>
      </c>
      <c r="C645" t="s">
        <v>1442</v>
      </c>
      <c r="D645" t="s">
        <v>2386</v>
      </c>
      <c r="E645" t="s">
        <v>1443</v>
      </c>
      <c r="F645" t="s">
        <v>450</v>
      </c>
      <c r="G645">
        <v>14580</v>
      </c>
      <c r="H645">
        <v>43.227834000000001</v>
      </c>
      <c r="I645">
        <v>-77.411534000000003</v>
      </c>
      <c r="J645" t="s">
        <v>740</v>
      </c>
      <c r="K645">
        <v>110000327799</v>
      </c>
      <c r="M645">
        <v>9511</v>
      </c>
      <c r="R645">
        <v>0.10050661748</v>
      </c>
      <c r="W645" t="s">
        <v>2387</v>
      </c>
      <c r="X645" t="s">
        <v>2388</v>
      </c>
      <c r="Y645" s="301" t="s">
        <v>2389</v>
      </c>
      <c r="AA645" t="s">
        <v>1465</v>
      </c>
      <c r="AB645" t="s">
        <v>1466</v>
      </c>
    </row>
    <row r="646" spans="1:28" x14ac:dyDescent="0.25">
      <c r="A646">
        <v>2018</v>
      </c>
      <c r="C646" t="s">
        <v>1442</v>
      </c>
      <c r="D646" t="s">
        <v>2386</v>
      </c>
      <c r="E646" t="s">
        <v>1443</v>
      </c>
      <c r="F646" t="s">
        <v>450</v>
      </c>
      <c r="G646">
        <v>14580</v>
      </c>
      <c r="H646">
        <v>43.227834000000001</v>
      </c>
      <c r="I646">
        <v>-77.411534000000003</v>
      </c>
      <c r="J646" t="s">
        <v>740</v>
      </c>
      <c r="K646">
        <v>110000327799</v>
      </c>
      <c r="M646">
        <v>9511</v>
      </c>
      <c r="R646">
        <v>6.4942272999999995E-2</v>
      </c>
      <c r="W646" t="s">
        <v>2387</v>
      </c>
      <c r="X646" t="s">
        <v>2388</v>
      </c>
      <c r="Y646" s="301" t="s">
        <v>2389</v>
      </c>
      <c r="AA646" t="s">
        <v>1465</v>
      </c>
      <c r="AB646" t="s">
        <v>1466</v>
      </c>
    </row>
    <row r="647" spans="1:28" x14ac:dyDescent="0.25">
      <c r="A647">
        <v>2018</v>
      </c>
      <c r="C647" t="s">
        <v>1446</v>
      </c>
      <c r="D647" t="s">
        <v>2393</v>
      </c>
      <c r="E647" t="s">
        <v>1228</v>
      </c>
      <c r="F647" t="s">
        <v>1128</v>
      </c>
      <c r="G647">
        <v>80248</v>
      </c>
      <c r="H647">
        <v>39.753309999999999</v>
      </c>
      <c r="I647">
        <v>-104.99733999999999</v>
      </c>
      <c r="K647">
        <v>110070159157</v>
      </c>
      <c r="M647">
        <v>7011</v>
      </c>
      <c r="R647">
        <v>5.4844650000000002E-4</v>
      </c>
      <c r="W647" t="s">
        <v>2394</v>
      </c>
      <c r="X647" t="s">
        <v>1965</v>
      </c>
      <c r="Y647">
        <v>10190003001175</v>
      </c>
      <c r="AA647" t="s">
        <v>1465</v>
      </c>
      <c r="AB647" t="s">
        <v>1466</v>
      </c>
    </row>
    <row r="648" spans="1:28" x14ac:dyDescent="0.25">
      <c r="A648">
        <v>2019</v>
      </c>
      <c r="C648" t="s">
        <v>96</v>
      </c>
      <c r="D648" t="s">
        <v>292</v>
      </c>
      <c r="E648" t="s">
        <v>293</v>
      </c>
      <c r="F648" t="s">
        <v>294</v>
      </c>
      <c r="G648">
        <v>22203</v>
      </c>
      <c r="H648">
        <v>38.882449999999999</v>
      </c>
      <c r="I648">
        <v>-77.108000000000004</v>
      </c>
      <c r="K648">
        <v>110070549382</v>
      </c>
      <c r="M648">
        <v>1794</v>
      </c>
      <c r="R648">
        <v>4.2240599999999904E-3</v>
      </c>
      <c r="W648" t="s">
        <v>761</v>
      </c>
      <c r="X648" t="s">
        <v>762</v>
      </c>
      <c r="AA648" t="s">
        <v>1465</v>
      </c>
      <c r="AB648" t="s">
        <v>1466</v>
      </c>
    </row>
    <row r="649" spans="1:28" x14ac:dyDescent="0.25">
      <c r="A649">
        <v>2019</v>
      </c>
      <c r="C649" t="s">
        <v>96</v>
      </c>
      <c r="D649" t="s">
        <v>292</v>
      </c>
      <c r="E649" t="s">
        <v>293</v>
      </c>
      <c r="F649" t="s">
        <v>294</v>
      </c>
      <c r="G649">
        <v>22203</v>
      </c>
      <c r="H649">
        <v>38.882449999999999</v>
      </c>
      <c r="I649">
        <v>-77.108000000000004</v>
      </c>
      <c r="K649">
        <v>110070549382</v>
      </c>
      <c r="M649">
        <v>1794</v>
      </c>
      <c r="R649">
        <v>4.1026647272727201E-2</v>
      </c>
      <c r="W649" t="s">
        <v>761</v>
      </c>
      <c r="X649" t="s">
        <v>762</v>
      </c>
      <c r="AA649" t="s">
        <v>1465</v>
      </c>
      <c r="AB649" t="s">
        <v>1466</v>
      </c>
    </row>
    <row r="650" spans="1:28" x14ac:dyDescent="0.25">
      <c r="A650">
        <v>2019</v>
      </c>
      <c r="C650" t="s">
        <v>99</v>
      </c>
      <c r="D650" t="s">
        <v>297</v>
      </c>
      <c r="E650" t="s">
        <v>298</v>
      </c>
      <c r="F650" t="s">
        <v>299</v>
      </c>
      <c r="G650">
        <v>72903</v>
      </c>
      <c r="H650">
        <v>35.327162000000001</v>
      </c>
      <c r="I650">
        <v>-94.380183000000002</v>
      </c>
      <c r="K650">
        <v>110066929033</v>
      </c>
      <c r="M650">
        <v>3585</v>
      </c>
      <c r="R650">
        <v>5.7823129251700597E-4</v>
      </c>
      <c r="W650" t="s">
        <v>764</v>
      </c>
      <c r="X650" t="s">
        <v>765</v>
      </c>
      <c r="Y650">
        <v>11110104000749</v>
      </c>
      <c r="AA650" t="s">
        <v>1465</v>
      </c>
      <c r="AB650" t="s">
        <v>1466</v>
      </c>
    </row>
    <row r="651" spans="1:28" x14ac:dyDescent="0.25">
      <c r="A651">
        <v>2019</v>
      </c>
      <c r="C651" t="s">
        <v>965</v>
      </c>
      <c r="D651" t="s">
        <v>1469</v>
      </c>
      <c r="E651" t="s">
        <v>966</v>
      </c>
      <c r="F651" t="s">
        <v>491</v>
      </c>
      <c r="G651">
        <v>19112</v>
      </c>
      <c r="H651">
        <v>39.884791999999997</v>
      </c>
      <c r="I651">
        <v>-75.191112000000004</v>
      </c>
      <c r="K651">
        <v>110006368206</v>
      </c>
      <c r="M651">
        <v>3731</v>
      </c>
      <c r="R651">
        <v>0.30695100526079999</v>
      </c>
      <c r="W651" t="s">
        <v>1470</v>
      </c>
      <c r="X651" t="s">
        <v>1471</v>
      </c>
      <c r="Y651">
        <v>2040203000001</v>
      </c>
      <c r="AA651" t="s">
        <v>1465</v>
      </c>
      <c r="AB651" t="s">
        <v>1466</v>
      </c>
    </row>
    <row r="652" spans="1:28" x14ac:dyDescent="0.25">
      <c r="A652">
        <v>2019</v>
      </c>
      <c r="C652" t="s">
        <v>969</v>
      </c>
      <c r="D652" t="s">
        <v>1477</v>
      </c>
      <c r="E652" t="s">
        <v>293</v>
      </c>
      <c r="F652" t="s">
        <v>294</v>
      </c>
      <c r="G652">
        <v>22205</v>
      </c>
      <c r="H652">
        <v>38.845162999999999</v>
      </c>
      <c r="I652">
        <v>-77.050687999999994</v>
      </c>
      <c r="K652">
        <v>110070545578</v>
      </c>
      <c r="M652">
        <v>1794</v>
      </c>
      <c r="R652">
        <v>0.60161238705749898</v>
      </c>
      <c r="W652" t="s">
        <v>1478</v>
      </c>
      <c r="X652" t="s">
        <v>1475</v>
      </c>
      <c r="AA652" t="s">
        <v>1465</v>
      </c>
      <c r="AB652" t="s">
        <v>1466</v>
      </c>
    </row>
    <row r="653" spans="1:28" x14ac:dyDescent="0.25">
      <c r="A653">
        <v>2019</v>
      </c>
      <c r="C653" t="s">
        <v>977</v>
      </c>
      <c r="D653" t="s">
        <v>1493</v>
      </c>
      <c r="E653" t="s">
        <v>978</v>
      </c>
      <c r="F653" t="s">
        <v>979</v>
      </c>
      <c r="G653">
        <v>37389</v>
      </c>
      <c r="H653">
        <v>35.377800000000001</v>
      </c>
      <c r="I653">
        <v>-86.045599999999993</v>
      </c>
      <c r="J653" t="s">
        <v>700</v>
      </c>
      <c r="K653">
        <v>110017413217</v>
      </c>
      <c r="M653">
        <v>9711</v>
      </c>
      <c r="R653">
        <v>14.0861662955</v>
      </c>
      <c r="W653" t="s">
        <v>1494</v>
      </c>
      <c r="X653" t="s">
        <v>1495</v>
      </c>
      <c r="Y653">
        <v>6030003000915</v>
      </c>
      <c r="AA653" t="s">
        <v>1465</v>
      </c>
      <c r="AB653" t="s">
        <v>1466</v>
      </c>
    </row>
    <row r="654" spans="1:28" x14ac:dyDescent="0.25">
      <c r="A654">
        <v>2019</v>
      </c>
      <c r="C654" t="s">
        <v>106</v>
      </c>
      <c r="D654" t="s">
        <v>326</v>
      </c>
      <c r="E654" t="s">
        <v>327</v>
      </c>
      <c r="F654" t="s">
        <v>328</v>
      </c>
      <c r="G654">
        <v>30340</v>
      </c>
      <c r="H654">
        <v>33.905000000000001</v>
      </c>
      <c r="I654">
        <v>-84.240278000000004</v>
      </c>
      <c r="K654">
        <v>110070381611</v>
      </c>
      <c r="R654">
        <v>2.5481187749999998E-2</v>
      </c>
      <c r="W654" t="s">
        <v>778</v>
      </c>
      <c r="X654" t="s">
        <v>779</v>
      </c>
      <c r="AA654" t="s">
        <v>1465</v>
      </c>
      <c r="AB654" t="s">
        <v>1466</v>
      </c>
    </row>
    <row r="655" spans="1:28" x14ac:dyDescent="0.25">
      <c r="A655">
        <v>2019</v>
      </c>
      <c r="C655" t="s">
        <v>107</v>
      </c>
      <c r="D655" t="s">
        <v>330</v>
      </c>
      <c r="E655" t="s">
        <v>331</v>
      </c>
      <c r="F655" t="s">
        <v>324</v>
      </c>
      <c r="G655">
        <v>41101</v>
      </c>
      <c r="H655">
        <v>38.474601999999997</v>
      </c>
      <c r="I655">
        <v>-82.623778999999999</v>
      </c>
      <c r="K655">
        <v>110000732244</v>
      </c>
      <c r="M655">
        <v>4952</v>
      </c>
      <c r="R655">
        <v>24.038535</v>
      </c>
      <c r="W655" t="s">
        <v>780</v>
      </c>
      <c r="X655" t="s">
        <v>781</v>
      </c>
      <c r="Y655">
        <v>5090103000899</v>
      </c>
      <c r="AA655" t="s">
        <v>1465</v>
      </c>
      <c r="AB655" t="s">
        <v>263</v>
      </c>
    </row>
    <row r="656" spans="1:28" x14ac:dyDescent="0.25">
      <c r="A656">
        <v>2019</v>
      </c>
      <c r="C656" t="s">
        <v>980</v>
      </c>
      <c r="D656" t="s">
        <v>1497</v>
      </c>
      <c r="E656" t="s">
        <v>981</v>
      </c>
      <c r="F656" t="s">
        <v>324</v>
      </c>
      <c r="G656">
        <v>42206</v>
      </c>
      <c r="H656">
        <v>36.864350000000002</v>
      </c>
      <c r="I656">
        <v>-86.705910000000003</v>
      </c>
      <c r="K656">
        <v>110003250277</v>
      </c>
      <c r="M656">
        <v>4952</v>
      </c>
      <c r="R656">
        <v>0.22104399999999999</v>
      </c>
      <c r="W656" t="s">
        <v>1498</v>
      </c>
      <c r="X656" t="s">
        <v>1499</v>
      </c>
      <c r="Y656">
        <v>5110002001791</v>
      </c>
      <c r="AA656" t="s">
        <v>1465</v>
      </c>
      <c r="AB656" t="s">
        <v>263</v>
      </c>
    </row>
    <row r="657" spans="1:28" x14ac:dyDescent="0.25">
      <c r="A657">
        <v>2019</v>
      </c>
      <c r="C657" t="s">
        <v>108</v>
      </c>
      <c r="D657" t="s">
        <v>336</v>
      </c>
      <c r="E657" t="s">
        <v>337</v>
      </c>
      <c r="F657" t="s">
        <v>338</v>
      </c>
      <c r="G657" t="s">
        <v>339</v>
      </c>
      <c r="H657">
        <v>39.852224</v>
      </c>
      <c r="I657">
        <v>-75.234432999999996</v>
      </c>
      <c r="K657">
        <v>110000760310</v>
      </c>
      <c r="M657">
        <v>5171</v>
      </c>
      <c r="R657">
        <v>1.8436557105000001E-2</v>
      </c>
      <c r="W657" t="s">
        <v>782</v>
      </c>
      <c r="X657" t="s">
        <v>783</v>
      </c>
      <c r="Y657">
        <v>2040202000029</v>
      </c>
      <c r="AA657" t="s">
        <v>1465</v>
      </c>
      <c r="AB657" t="s">
        <v>1466</v>
      </c>
    </row>
    <row r="658" spans="1:28" x14ac:dyDescent="0.25">
      <c r="A658">
        <v>2019</v>
      </c>
      <c r="C658" t="s">
        <v>984</v>
      </c>
      <c r="D658" t="s">
        <v>1505</v>
      </c>
      <c r="E658" t="s">
        <v>985</v>
      </c>
      <c r="F658" t="s">
        <v>979</v>
      </c>
      <c r="G658">
        <v>37660</v>
      </c>
      <c r="H658">
        <v>36.550454999999999</v>
      </c>
      <c r="I658">
        <v>-82.634793999999999</v>
      </c>
      <c r="K658">
        <v>110070828339</v>
      </c>
      <c r="M658">
        <v>2892</v>
      </c>
      <c r="R658">
        <v>4.5521541950113296</v>
      </c>
      <c r="W658" t="s">
        <v>1506</v>
      </c>
      <c r="X658" t="s">
        <v>1507</v>
      </c>
      <c r="Y658">
        <v>6010104000630</v>
      </c>
      <c r="AA658" t="s">
        <v>1465</v>
      </c>
      <c r="AB658" t="s">
        <v>1466</v>
      </c>
    </row>
    <row r="659" spans="1:28" x14ac:dyDescent="0.25">
      <c r="A659">
        <v>2019</v>
      </c>
      <c r="C659" t="s">
        <v>986</v>
      </c>
      <c r="D659" t="s">
        <v>1508</v>
      </c>
      <c r="E659" t="s">
        <v>987</v>
      </c>
      <c r="F659" t="s">
        <v>324</v>
      </c>
      <c r="G659">
        <v>40216</v>
      </c>
      <c r="H659">
        <v>38.195278000000002</v>
      </c>
      <c r="I659">
        <v>-85.872221999999994</v>
      </c>
      <c r="J659" t="s">
        <v>701</v>
      </c>
      <c r="K659">
        <v>110000378467</v>
      </c>
      <c r="M659">
        <v>2869</v>
      </c>
      <c r="R659">
        <v>0.72448979591836704</v>
      </c>
      <c r="W659" t="s">
        <v>1509</v>
      </c>
      <c r="X659" t="s">
        <v>830</v>
      </c>
      <c r="Y659">
        <v>5140101000007</v>
      </c>
      <c r="AA659" t="s">
        <v>1465</v>
      </c>
      <c r="AB659" t="s">
        <v>1466</v>
      </c>
    </row>
    <row r="660" spans="1:28" x14ac:dyDescent="0.25">
      <c r="A660">
        <v>2019</v>
      </c>
      <c r="C660" t="s">
        <v>991</v>
      </c>
      <c r="D660" t="s">
        <v>1517</v>
      </c>
      <c r="E660" t="s">
        <v>992</v>
      </c>
      <c r="F660" t="s">
        <v>299</v>
      </c>
      <c r="G660">
        <v>723016413</v>
      </c>
      <c r="H660">
        <v>35.136057000000001</v>
      </c>
      <c r="I660">
        <v>-90.096892999999994</v>
      </c>
      <c r="J660" t="s">
        <v>704</v>
      </c>
      <c r="K660">
        <v>110000452082</v>
      </c>
      <c r="M660">
        <v>2869</v>
      </c>
      <c r="R660">
        <v>3.0997732426303801E-2</v>
      </c>
      <c r="W660" t="s">
        <v>1518</v>
      </c>
      <c r="X660" t="s">
        <v>1519</v>
      </c>
      <c r="Y660">
        <v>8010100000818</v>
      </c>
      <c r="AA660" t="s">
        <v>1465</v>
      </c>
      <c r="AB660" t="s">
        <v>1466</v>
      </c>
    </row>
    <row r="661" spans="1:28" x14ac:dyDescent="0.25">
      <c r="A661">
        <v>2019</v>
      </c>
      <c r="C661" t="s">
        <v>997</v>
      </c>
      <c r="D661" t="s">
        <v>1530</v>
      </c>
      <c r="E661" t="s">
        <v>998</v>
      </c>
      <c r="F661" t="s">
        <v>999</v>
      </c>
      <c r="G661" t="s">
        <v>1531</v>
      </c>
      <c r="H661">
        <v>43.270670000000003</v>
      </c>
      <c r="I661">
        <v>-71.590410000000006</v>
      </c>
      <c r="K661">
        <v>110004087880</v>
      </c>
      <c r="R661">
        <v>6.6567552000000004E-3</v>
      </c>
      <c r="W661" t="s">
        <v>1532</v>
      </c>
      <c r="X661" t="s">
        <v>1533</v>
      </c>
      <c r="Y661">
        <v>1070006001950</v>
      </c>
      <c r="AA661" t="s">
        <v>1465</v>
      </c>
      <c r="AB661" t="s">
        <v>1466</v>
      </c>
    </row>
    <row r="662" spans="1:28" x14ac:dyDescent="0.25">
      <c r="A662">
        <v>2019</v>
      </c>
      <c r="C662" t="s">
        <v>1002</v>
      </c>
      <c r="D662" t="s">
        <v>1537</v>
      </c>
      <c r="E662" t="s">
        <v>1003</v>
      </c>
      <c r="F662" t="s">
        <v>303</v>
      </c>
      <c r="G662">
        <v>70726</v>
      </c>
      <c r="H662">
        <v>30.486615</v>
      </c>
      <c r="I662">
        <v>-90.925387999999998</v>
      </c>
      <c r="J662" t="s">
        <v>706</v>
      </c>
      <c r="K662">
        <v>110000597355</v>
      </c>
      <c r="M662">
        <v>2899</v>
      </c>
      <c r="R662">
        <v>3.3106575963718798E-2</v>
      </c>
      <c r="W662" t="s">
        <v>1538</v>
      </c>
      <c r="X662" t="s">
        <v>1539</v>
      </c>
      <c r="Y662">
        <v>8070202000867</v>
      </c>
      <c r="AA662" t="s">
        <v>1465</v>
      </c>
      <c r="AB662" t="s">
        <v>1466</v>
      </c>
    </row>
    <row r="663" spans="1:28" x14ac:dyDescent="0.25">
      <c r="A663">
        <v>2019</v>
      </c>
      <c r="C663" t="s">
        <v>1005</v>
      </c>
      <c r="D663" t="s">
        <v>1545</v>
      </c>
      <c r="E663" t="s">
        <v>446</v>
      </c>
      <c r="F663" t="s">
        <v>303</v>
      </c>
      <c r="G663">
        <v>70669</v>
      </c>
      <c r="H663">
        <v>30.23771</v>
      </c>
      <c r="I663">
        <v>-93.258650000000003</v>
      </c>
      <c r="K663">
        <v>110064611969</v>
      </c>
      <c r="M663">
        <v>2819</v>
      </c>
      <c r="R663">
        <v>2.3156629999999998</v>
      </c>
      <c r="W663" t="s">
        <v>1546</v>
      </c>
      <c r="Y663">
        <v>8080206001241</v>
      </c>
      <c r="AA663" t="s">
        <v>1465</v>
      </c>
      <c r="AB663" t="s">
        <v>1466</v>
      </c>
    </row>
    <row r="664" spans="1:28" x14ac:dyDescent="0.25">
      <c r="A664">
        <v>2019</v>
      </c>
      <c r="C664" t="s">
        <v>1006</v>
      </c>
      <c r="D664" t="s">
        <v>1547</v>
      </c>
      <c r="E664" t="s">
        <v>1007</v>
      </c>
      <c r="F664" t="s">
        <v>1008</v>
      </c>
      <c r="G664">
        <v>97230</v>
      </c>
      <c r="H664">
        <v>45.543847</v>
      </c>
      <c r="I664">
        <v>-122.46656299999999</v>
      </c>
      <c r="J664" t="s">
        <v>707</v>
      </c>
      <c r="K664">
        <v>110000487633</v>
      </c>
      <c r="M664">
        <v>3728</v>
      </c>
      <c r="R664">
        <v>9.9867679200000004E-3</v>
      </c>
      <c r="W664" t="s">
        <v>1548</v>
      </c>
      <c r="X664" t="s">
        <v>1549</v>
      </c>
      <c r="Y664">
        <v>17090012000380</v>
      </c>
      <c r="AA664" t="s">
        <v>1465</v>
      </c>
      <c r="AB664" t="s">
        <v>1466</v>
      </c>
    </row>
    <row r="665" spans="1:28" x14ac:dyDescent="0.25">
      <c r="A665">
        <v>2019</v>
      </c>
      <c r="C665" t="s">
        <v>1011</v>
      </c>
      <c r="D665" t="s">
        <v>1553</v>
      </c>
      <c r="E665" t="s">
        <v>1012</v>
      </c>
      <c r="F665" t="s">
        <v>366</v>
      </c>
      <c r="G665" t="s">
        <v>1554</v>
      </c>
      <c r="H665">
        <v>33.801231000000001</v>
      </c>
      <c r="I665">
        <v>-118.25785999999999</v>
      </c>
      <c r="K665">
        <v>110000746649</v>
      </c>
      <c r="M665">
        <v>5171</v>
      </c>
      <c r="R665">
        <v>7.034835538125E-3</v>
      </c>
      <c r="W665" t="s">
        <v>1555</v>
      </c>
      <c r="X665" t="s">
        <v>1556</v>
      </c>
      <c r="Y665">
        <v>18070106002149</v>
      </c>
      <c r="AA665" t="s">
        <v>1465</v>
      </c>
      <c r="AB665" t="s">
        <v>1466</v>
      </c>
    </row>
    <row r="666" spans="1:28" x14ac:dyDescent="0.25">
      <c r="A666">
        <v>2019</v>
      </c>
      <c r="C666" t="s">
        <v>1013</v>
      </c>
      <c r="D666" t="s">
        <v>1557</v>
      </c>
      <c r="E666" t="s">
        <v>1014</v>
      </c>
      <c r="F666" t="s">
        <v>349</v>
      </c>
      <c r="G666">
        <v>64068</v>
      </c>
      <c r="H666">
        <v>39.248446999999999</v>
      </c>
      <c r="I666">
        <v>-94.293233000000001</v>
      </c>
      <c r="K666">
        <v>110000614746</v>
      </c>
      <c r="M666">
        <v>4953</v>
      </c>
      <c r="R666">
        <v>3.6966123961249903E-2</v>
      </c>
      <c r="W666" t="s">
        <v>1558</v>
      </c>
      <c r="X666" t="s">
        <v>1559</v>
      </c>
      <c r="Y666">
        <v>10300101002099</v>
      </c>
      <c r="AA666" t="s">
        <v>1465</v>
      </c>
      <c r="AB666" t="s">
        <v>1466</v>
      </c>
    </row>
    <row r="667" spans="1:28" x14ac:dyDescent="0.25">
      <c r="A667">
        <v>2019</v>
      </c>
      <c r="C667" t="s">
        <v>1015</v>
      </c>
      <c r="D667" t="s">
        <v>1560</v>
      </c>
      <c r="E667" t="s">
        <v>1016</v>
      </c>
      <c r="F667" t="s">
        <v>366</v>
      </c>
      <c r="G667" t="s">
        <v>1561</v>
      </c>
      <c r="H667">
        <v>37.499200000000002</v>
      </c>
      <c r="I667">
        <v>-122.411</v>
      </c>
      <c r="K667">
        <v>110005972965</v>
      </c>
      <c r="M667">
        <v>4953</v>
      </c>
      <c r="R667">
        <v>2.4279058502499901E-4</v>
      </c>
      <c r="W667" t="s">
        <v>1562</v>
      </c>
      <c r="X667" t="s">
        <v>1563</v>
      </c>
      <c r="Y667">
        <v>18050006000165</v>
      </c>
      <c r="AA667" t="s">
        <v>1465</v>
      </c>
      <c r="AB667" t="s">
        <v>1466</v>
      </c>
    </row>
    <row r="668" spans="1:28" x14ac:dyDescent="0.25">
      <c r="A668">
        <v>2019</v>
      </c>
      <c r="C668" t="s">
        <v>44</v>
      </c>
      <c r="D668" t="s">
        <v>367</v>
      </c>
      <c r="E668" t="s">
        <v>368</v>
      </c>
      <c r="F668" t="s">
        <v>349</v>
      </c>
      <c r="G668">
        <v>63630</v>
      </c>
      <c r="H668">
        <v>37.983333000000002</v>
      </c>
      <c r="I668">
        <v>-90.690832999999998</v>
      </c>
      <c r="J668" t="s">
        <v>369</v>
      </c>
      <c r="K668">
        <v>110017980443</v>
      </c>
      <c r="M668">
        <v>2899</v>
      </c>
      <c r="R668">
        <v>0.1438499147775</v>
      </c>
      <c r="W668" t="s">
        <v>796</v>
      </c>
      <c r="X668" t="s">
        <v>1564</v>
      </c>
      <c r="Y668">
        <v>7140104001615</v>
      </c>
      <c r="AA668" t="s">
        <v>1465</v>
      </c>
      <c r="AB668" t="s">
        <v>1466</v>
      </c>
    </row>
    <row r="669" spans="1:28" x14ac:dyDescent="0.25">
      <c r="A669">
        <v>2019</v>
      </c>
      <c r="C669" t="s">
        <v>44</v>
      </c>
      <c r="D669" t="s">
        <v>367</v>
      </c>
      <c r="E669" t="s">
        <v>368</v>
      </c>
      <c r="F669" t="s">
        <v>349</v>
      </c>
      <c r="G669">
        <v>63630</v>
      </c>
      <c r="H669">
        <v>37.983333000000002</v>
      </c>
      <c r="I669">
        <v>-90.690832999999998</v>
      </c>
      <c r="J669" t="s">
        <v>369</v>
      </c>
      <c r="K669">
        <v>110017980443</v>
      </c>
      <c r="M669">
        <v>2899</v>
      </c>
      <c r="R669">
        <v>9.4349849425000003E-3</v>
      </c>
      <c r="W669" t="s">
        <v>796</v>
      </c>
      <c r="X669" t="s">
        <v>1564</v>
      </c>
      <c r="Y669">
        <v>7140104001615</v>
      </c>
      <c r="AA669" t="s">
        <v>1465</v>
      </c>
      <c r="AB669" t="s">
        <v>1466</v>
      </c>
    </row>
    <row r="670" spans="1:28" x14ac:dyDescent="0.25">
      <c r="A670">
        <v>2019</v>
      </c>
      <c r="C670" t="s">
        <v>1017</v>
      </c>
      <c r="D670" t="s">
        <v>1566</v>
      </c>
      <c r="E670" t="s">
        <v>1018</v>
      </c>
      <c r="F670" t="s">
        <v>308</v>
      </c>
      <c r="G670">
        <v>2135</v>
      </c>
      <c r="H670">
        <v>42.356434999999998</v>
      </c>
      <c r="I670">
        <v>-71.145904000000002</v>
      </c>
      <c r="K670">
        <v>110002014677</v>
      </c>
      <c r="R670">
        <v>8.08669035E-3</v>
      </c>
      <c r="W670" t="s">
        <v>1567</v>
      </c>
      <c r="X670" t="s">
        <v>1568</v>
      </c>
      <c r="Y670">
        <v>1090001000111</v>
      </c>
      <c r="AA670" t="s">
        <v>1465</v>
      </c>
      <c r="AB670" t="s">
        <v>1466</v>
      </c>
    </row>
    <row r="671" spans="1:28" x14ac:dyDescent="0.25">
      <c r="A671">
        <v>2019</v>
      </c>
      <c r="C671" t="s">
        <v>1019</v>
      </c>
      <c r="D671" t="s">
        <v>1569</v>
      </c>
      <c r="E671" t="s">
        <v>1020</v>
      </c>
      <c r="F671" t="s">
        <v>324</v>
      </c>
      <c r="G671">
        <v>42717</v>
      </c>
      <c r="H671">
        <v>36.787260000000003</v>
      </c>
      <c r="I671">
        <v>-85.369240000000005</v>
      </c>
      <c r="K671">
        <v>110009938265</v>
      </c>
      <c r="M671">
        <v>4952</v>
      </c>
      <c r="R671">
        <v>0.3134680225</v>
      </c>
      <c r="W671" t="s">
        <v>1570</v>
      </c>
      <c r="X671" t="s">
        <v>785</v>
      </c>
      <c r="Y671">
        <v>5130103000018</v>
      </c>
      <c r="AA671" t="s">
        <v>1465</v>
      </c>
      <c r="AB671" t="s">
        <v>263</v>
      </c>
    </row>
    <row r="672" spans="1:28" x14ac:dyDescent="0.25">
      <c r="A672">
        <v>2019</v>
      </c>
      <c r="C672" t="s">
        <v>1021</v>
      </c>
      <c r="D672" t="s">
        <v>1571</v>
      </c>
      <c r="E672" t="s">
        <v>657</v>
      </c>
      <c r="F672" t="s">
        <v>418</v>
      </c>
      <c r="G672">
        <v>89109</v>
      </c>
      <c r="H672">
        <v>36.116160999999998</v>
      </c>
      <c r="I672">
        <v>-115.172741</v>
      </c>
      <c r="K672">
        <v>110015972562</v>
      </c>
      <c r="M672">
        <v>7011</v>
      </c>
      <c r="R672">
        <v>0.25301521369999902</v>
      </c>
      <c r="W672" t="s">
        <v>1572</v>
      </c>
      <c r="X672" t="s">
        <v>1573</v>
      </c>
      <c r="Y672">
        <v>15010015000432</v>
      </c>
      <c r="AA672" t="s">
        <v>1465</v>
      </c>
      <c r="AB672" t="s">
        <v>1466</v>
      </c>
    </row>
    <row r="673" spans="1:28" x14ac:dyDescent="0.25">
      <c r="A673">
        <v>2019</v>
      </c>
      <c r="C673" t="s">
        <v>1021</v>
      </c>
      <c r="D673" t="s">
        <v>1571</v>
      </c>
      <c r="E673" t="s">
        <v>657</v>
      </c>
      <c r="F673" t="s">
        <v>418</v>
      </c>
      <c r="G673">
        <v>89109</v>
      </c>
      <c r="H673">
        <v>36.116160999999998</v>
      </c>
      <c r="I673">
        <v>-115.172741</v>
      </c>
      <c r="K673">
        <v>110015972562</v>
      </c>
      <c r="M673">
        <v>7011</v>
      </c>
      <c r="R673">
        <v>5.8473452512499899E-2</v>
      </c>
      <c r="W673" t="s">
        <v>1572</v>
      </c>
      <c r="X673" t="s">
        <v>1573</v>
      </c>
      <c r="Y673">
        <v>15010015000432</v>
      </c>
      <c r="AA673" t="s">
        <v>1465</v>
      </c>
      <c r="AB673" t="s">
        <v>1466</v>
      </c>
    </row>
    <row r="674" spans="1:28" x14ac:dyDescent="0.25">
      <c r="A674">
        <v>2019</v>
      </c>
      <c r="C674" t="s">
        <v>1022</v>
      </c>
      <c r="D674" t="s">
        <v>1574</v>
      </c>
      <c r="E674" t="s">
        <v>1023</v>
      </c>
      <c r="F674" t="s">
        <v>366</v>
      </c>
      <c r="G674">
        <v>92231</v>
      </c>
      <c r="H674">
        <v>32.664450000000002</v>
      </c>
      <c r="I674">
        <v>-115.55970499999999</v>
      </c>
      <c r="K674">
        <v>110000730825</v>
      </c>
      <c r="M674">
        <v>4952</v>
      </c>
      <c r="R674">
        <v>0.153245660625</v>
      </c>
      <c r="W674" t="s">
        <v>1575</v>
      </c>
      <c r="X674" t="s">
        <v>795</v>
      </c>
      <c r="Y674">
        <v>18100204012549</v>
      </c>
      <c r="AA674" t="s">
        <v>1465</v>
      </c>
      <c r="AB674" t="s">
        <v>263</v>
      </c>
    </row>
    <row r="675" spans="1:28" x14ac:dyDescent="0.25">
      <c r="A675">
        <v>2019</v>
      </c>
      <c r="C675" t="s">
        <v>1024</v>
      </c>
      <c r="D675" t="s">
        <v>1576</v>
      </c>
      <c r="E675" t="s">
        <v>1025</v>
      </c>
      <c r="F675" t="s">
        <v>366</v>
      </c>
      <c r="G675">
        <v>92233</v>
      </c>
      <c r="H675">
        <v>33.147531999999998</v>
      </c>
      <c r="I675">
        <v>-115.54533000000001</v>
      </c>
      <c r="K675">
        <v>110002043217</v>
      </c>
      <c r="M675">
        <v>4952</v>
      </c>
      <c r="R675">
        <v>4.1445750000000002E-3</v>
      </c>
      <c r="W675" t="s">
        <v>1577</v>
      </c>
      <c r="X675" t="s">
        <v>1578</v>
      </c>
      <c r="Y675">
        <v>18100204011103</v>
      </c>
      <c r="AA675" t="s">
        <v>1465</v>
      </c>
      <c r="AB675" t="s">
        <v>263</v>
      </c>
    </row>
    <row r="676" spans="1:28" x14ac:dyDescent="0.25">
      <c r="A676">
        <v>2019</v>
      </c>
      <c r="C676" t="s">
        <v>1026</v>
      </c>
      <c r="D676" t="s">
        <v>1579</v>
      </c>
      <c r="E676" t="s">
        <v>1027</v>
      </c>
      <c r="F676" t="s">
        <v>349</v>
      </c>
      <c r="G676">
        <v>63353</v>
      </c>
      <c r="H676">
        <v>39.423425000000002</v>
      </c>
      <c r="I676">
        <v>-91.025666000000001</v>
      </c>
      <c r="K676">
        <v>110054612558</v>
      </c>
      <c r="M676">
        <v>2869</v>
      </c>
      <c r="R676">
        <v>5.7142857142857099E-2</v>
      </c>
      <c r="W676" t="s">
        <v>1580</v>
      </c>
      <c r="X676" t="s">
        <v>1581</v>
      </c>
      <c r="Y676">
        <v>7110004000345</v>
      </c>
      <c r="AA676" t="s">
        <v>1465</v>
      </c>
      <c r="AB676" t="s">
        <v>1466</v>
      </c>
    </row>
    <row r="677" spans="1:28" x14ac:dyDescent="0.25">
      <c r="A677">
        <v>2019</v>
      </c>
      <c r="C677" t="s">
        <v>1032</v>
      </c>
      <c r="D677" t="s">
        <v>1590</v>
      </c>
      <c r="E677" t="s">
        <v>1033</v>
      </c>
      <c r="F677" t="s">
        <v>324</v>
      </c>
      <c r="G677">
        <v>41008</v>
      </c>
      <c r="H677">
        <v>38.627777999999999</v>
      </c>
      <c r="I677">
        <v>-85.115832999999995</v>
      </c>
      <c r="K677">
        <v>110015632216</v>
      </c>
      <c r="M677">
        <v>4952</v>
      </c>
      <c r="R677">
        <v>5.8714812500000004</v>
      </c>
      <c r="W677" t="s">
        <v>1591</v>
      </c>
      <c r="X677" t="s">
        <v>1592</v>
      </c>
      <c r="Y677">
        <v>5100205000002</v>
      </c>
      <c r="AA677" t="s">
        <v>1465</v>
      </c>
      <c r="AB677" t="s">
        <v>263</v>
      </c>
    </row>
    <row r="678" spans="1:28" x14ac:dyDescent="0.25">
      <c r="A678">
        <v>2019</v>
      </c>
      <c r="C678" t="s">
        <v>1037</v>
      </c>
      <c r="D678" t="s">
        <v>1601</v>
      </c>
      <c r="E678" t="s">
        <v>987</v>
      </c>
      <c r="F678" t="s">
        <v>324</v>
      </c>
      <c r="G678">
        <v>40291</v>
      </c>
      <c r="H678">
        <v>38.122354000000001</v>
      </c>
      <c r="I678">
        <v>-85.587648000000002</v>
      </c>
      <c r="K678">
        <v>110043485421</v>
      </c>
      <c r="M678">
        <v>4952</v>
      </c>
      <c r="R678">
        <v>27.7651986875</v>
      </c>
      <c r="W678" t="s">
        <v>1602</v>
      </c>
      <c r="X678" t="s">
        <v>1603</v>
      </c>
      <c r="Y678">
        <v>5140102000566</v>
      </c>
      <c r="AA678" t="s">
        <v>1465</v>
      </c>
      <c r="AB678" t="s">
        <v>263</v>
      </c>
    </row>
    <row r="679" spans="1:28" x14ac:dyDescent="0.25">
      <c r="A679">
        <v>2019</v>
      </c>
      <c r="C679" t="s">
        <v>1038</v>
      </c>
      <c r="D679" t="s">
        <v>1605</v>
      </c>
      <c r="E679" t="s">
        <v>1039</v>
      </c>
      <c r="F679" t="s">
        <v>324</v>
      </c>
      <c r="G679">
        <v>42330</v>
      </c>
      <c r="H679">
        <v>37.304611999999999</v>
      </c>
      <c r="I679">
        <v>-87.145292999999995</v>
      </c>
      <c r="K679">
        <v>110064265496</v>
      </c>
      <c r="M679">
        <v>4952</v>
      </c>
      <c r="R679">
        <v>5.6711601250000001</v>
      </c>
      <c r="W679" t="s">
        <v>1606</v>
      </c>
      <c r="X679" t="s">
        <v>1607</v>
      </c>
      <c r="Y679">
        <v>5110003001454</v>
      </c>
      <c r="AA679" t="s">
        <v>1465</v>
      </c>
      <c r="AB679" t="s">
        <v>263</v>
      </c>
    </row>
    <row r="680" spans="1:28" x14ac:dyDescent="0.25">
      <c r="A680">
        <v>2019</v>
      </c>
      <c r="C680" t="s">
        <v>119</v>
      </c>
      <c r="D680" t="s">
        <v>380</v>
      </c>
      <c r="E680" t="s">
        <v>381</v>
      </c>
      <c r="F680" t="s">
        <v>338</v>
      </c>
      <c r="G680">
        <v>8014</v>
      </c>
      <c r="H680">
        <v>39.799250000000001</v>
      </c>
      <c r="I680">
        <v>-75.33296</v>
      </c>
      <c r="K680">
        <v>110009721836</v>
      </c>
      <c r="M680">
        <v>4213</v>
      </c>
      <c r="R680">
        <v>2.9362426617225001E-2</v>
      </c>
      <c r="W680" t="s">
        <v>806</v>
      </c>
      <c r="X680" t="s">
        <v>807</v>
      </c>
      <c r="Y680">
        <v>2040202002003</v>
      </c>
      <c r="AA680" t="s">
        <v>1465</v>
      </c>
      <c r="AB680" t="s">
        <v>1466</v>
      </c>
    </row>
    <row r="681" spans="1:28" x14ac:dyDescent="0.25">
      <c r="A681">
        <v>2019</v>
      </c>
      <c r="C681" t="s">
        <v>1042</v>
      </c>
      <c r="D681" t="s">
        <v>1612</v>
      </c>
      <c r="E681" t="s">
        <v>1043</v>
      </c>
      <c r="F681" t="s">
        <v>345</v>
      </c>
      <c r="G681" t="s">
        <v>1613</v>
      </c>
      <c r="H681">
        <v>42.468611000000003</v>
      </c>
      <c r="I681">
        <v>-89.065550000000002</v>
      </c>
      <c r="J681" t="s">
        <v>708</v>
      </c>
      <c r="K681">
        <v>110000500459</v>
      </c>
      <c r="M681">
        <v>4225</v>
      </c>
      <c r="R681">
        <v>9.9973204999999996E-2</v>
      </c>
      <c r="W681" t="s">
        <v>1614</v>
      </c>
      <c r="X681" t="s">
        <v>1615</v>
      </c>
      <c r="Y681">
        <v>7090002008421</v>
      </c>
      <c r="AA681" t="s">
        <v>1465</v>
      </c>
      <c r="AB681" t="s">
        <v>1466</v>
      </c>
    </row>
    <row r="682" spans="1:28" x14ac:dyDescent="0.25">
      <c r="A682">
        <v>2019</v>
      </c>
      <c r="C682" t="s">
        <v>1044</v>
      </c>
      <c r="D682" t="s">
        <v>1617</v>
      </c>
      <c r="E682" t="s">
        <v>1045</v>
      </c>
      <c r="F682" t="s">
        <v>427</v>
      </c>
      <c r="G682" t="s">
        <v>1618</v>
      </c>
      <c r="H682">
        <v>42.592550000000003</v>
      </c>
      <c r="I682">
        <v>-83.889930000000007</v>
      </c>
      <c r="K682">
        <v>110000408265</v>
      </c>
      <c r="M682">
        <v>2899</v>
      </c>
      <c r="R682">
        <v>9.6483434999999999E-3</v>
      </c>
      <c r="W682" t="s">
        <v>1619</v>
      </c>
      <c r="X682" t="s">
        <v>1620</v>
      </c>
      <c r="Y682">
        <v>4080203000602</v>
      </c>
      <c r="AA682" t="s">
        <v>1465</v>
      </c>
      <c r="AB682" t="s">
        <v>1466</v>
      </c>
    </row>
    <row r="683" spans="1:28" x14ac:dyDescent="0.25">
      <c r="A683">
        <v>2019</v>
      </c>
      <c r="C683" t="s">
        <v>1048</v>
      </c>
      <c r="D683" t="s">
        <v>1625</v>
      </c>
      <c r="E683" t="s">
        <v>1049</v>
      </c>
      <c r="F683" t="s">
        <v>1050</v>
      </c>
      <c r="G683">
        <v>59404</v>
      </c>
      <c r="H683">
        <v>47.52131</v>
      </c>
      <c r="I683">
        <v>-111.29958000000001</v>
      </c>
      <c r="K683">
        <v>110064645460</v>
      </c>
      <c r="M683">
        <v>4952</v>
      </c>
      <c r="R683">
        <v>3.017564755</v>
      </c>
      <c r="W683" t="s">
        <v>1626</v>
      </c>
      <c r="X683" t="s">
        <v>1627</v>
      </c>
      <c r="Y683">
        <v>10030102000105</v>
      </c>
      <c r="AA683" t="s">
        <v>1465</v>
      </c>
      <c r="AB683" t="s">
        <v>1466</v>
      </c>
    </row>
    <row r="684" spans="1:28" x14ac:dyDescent="0.25">
      <c r="A684">
        <v>2019</v>
      </c>
      <c r="C684" t="s">
        <v>1061</v>
      </c>
      <c r="D684" t="s">
        <v>1643</v>
      </c>
      <c r="E684" t="s">
        <v>1062</v>
      </c>
      <c r="F684" t="s">
        <v>366</v>
      </c>
      <c r="G684">
        <v>92008</v>
      </c>
      <c r="H684">
        <v>33.139895000000003</v>
      </c>
      <c r="I684">
        <v>-117.339645</v>
      </c>
      <c r="K684">
        <v>110027363252</v>
      </c>
      <c r="M684">
        <v>4941</v>
      </c>
      <c r="R684">
        <v>4.0848249900000004</v>
      </c>
      <c r="W684" t="s">
        <v>1644</v>
      </c>
      <c r="X684" t="s">
        <v>926</v>
      </c>
      <c r="Y684">
        <v>18070303000019</v>
      </c>
      <c r="AA684" t="s">
        <v>1465</v>
      </c>
      <c r="AB684" t="s">
        <v>1466</v>
      </c>
    </row>
    <row r="685" spans="1:28" x14ac:dyDescent="0.25">
      <c r="A685">
        <v>2019</v>
      </c>
      <c r="C685" t="s">
        <v>1061</v>
      </c>
      <c r="D685" t="s">
        <v>1643</v>
      </c>
      <c r="E685" t="s">
        <v>1062</v>
      </c>
      <c r="F685" t="s">
        <v>366</v>
      </c>
      <c r="G685">
        <v>92008</v>
      </c>
      <c r="H685">
        <v>33.139895000000003</v>
      </c>
      <c r="I685">
        <v>-117.339645</v>
      </c>
      <c r="K685">
        <v>110027363252</v>
      </c>
      <c r="M685">
        <v>4941</v>
      </c>
      <c r="R685">
        <v>0.24899010550967701</v>
      </c>
      <c r="W685" t="s">
        <v>1644</v>
      </c>
      <c r="X685" t="s">
        <v>926</v>
      </c>
      <c r="Y685">
        <v>18070303000019</v>
      </c>
      <c r="AA685" t="s">
        <v>1465</v>
      </c>
      <c r="AB685" t="s">
        <v>1466</v>
      </c>
    </row>
    <row r="686" spans="1:28" x14ac:dyDescent="0.25">
      <c r="A686">
        <v>2019</v>
      </c>
      <c r="C686" t="s">
        <v>1063</v>
      </c>
      <c r="D686" t="s">
        <v>1645</v>
      </c>
      <c r="E686" t="s">
        <v>1064</v>
      </c>
      <c r="F686" t="s">
        <v>308</v>
      </c>
      <c r="G686">
        <v>1760</v>
      </c>
      <c r="H686">
        <v>42.30348</v>
      </c>
      <c r="I686">
        <v>-70.360669999999999</v>
      </c>
      <c r="K686">
        <v>110070670433</v>
      </c>
      <c r="R686">
        <v>1.54280385E-2</v>
      </c>
      <c r="W686" t="s">
        <v>1646</v>
      </c>
      <c r="X686" t="s">
        <v>1647</v>
      </c>
      <c r="AA686" t="s">
        <v>1465</v>
      </c>
      <c r="AB686" t="s">
        <v>1466</v>
      </c>
    </row>
    <row r="687" spans="1:28" x14ac:dyDescent="0.25">
      <c r="A687">
        <v>2019</v>
      </c>
      <c r="C687" t="s">
        <v>1065</v>
      </c>
      <c r="D687" t="s">
        <v>1648</v>
      </c>
      <c r="E687" t="s">
        <v>1066</v>
      </c>
      <c r="F687" t="s">
        <v>324</v>
      </c>
      <c r="G687">
        <v>42728</v>
      </c>
      <c r="H687">
        <v>37.105556</v>
      </c>
      <c r="I687">
        <v>-85.304167000000007</v>
      </c>
      <c r="K687">
        <v>110009696356</v>
      </c>
      <c r="M687">
        <v>4952</v>
      </c>
      <c r="R687">
        <v>4.6419240000000004</v>
      </c>
      <c r="W687" t="s">
        <v>1649</v>
      </c>
      <c r="X687" t="s">
        <v>1650</v>
      </c>
      <c r="Y687">
        <v>5110001000213</v>
      </c>
      <c r="AA687" t="s">
        <v>1465</v>
      </c>
      <c r="AB687" t="s">
        <v>263</v>
      </c>
    </row>
    <row r="688" spans="1:28" x14ac:dyDescent="0.25">
      <c r="A688">
        <v>2019</v>
      </c>
      <c r="C688" t="s">
        <v>1067</v>
      </c>
      <c r="D688" t="s">
        <v>1652</v>
      </c>
      <c r="E688" t="s">
        <v>1068</v>
      </c>
      <c r="F688" t="s">
        <v>349</v>
      </c>
      <c r="G688">
        <v>63401</v>
      </c>
      <c r="H688">
        <v>39.679130000000001</v>
      </c>
      <c r="I688">
        <v>-91.314239999999998</v>
      </c>
      <c r="J688" t="s">
        <v>709</v>
      </c>
      <c r="K688">
        <v>110000595981</v>
      </c>
      <c r="M688">
        <v>3241</v>
      </c>
      <c r="R688">
        <v>0.12433725</v>
      </c>
      <c r="W688" t="s">
        <v>1653</v>
      </c>
      <c r="X688" t="s">
        <v>1654</v>
      </c>
      <c r="Y688">
        <v>7110004001311</v>
      </c>
      <c r="AA688" t="s">
        <v>1465</v>
      </c>
      <c r="AB688" t="s">
        <v>1466</v>
      </c>
    </row>
    <row r="689" spans="1:28" x14ac:dyDescent="0.25">
      <c r="A689">
        <v>2019</v>
      </c>
      <c r="C689" t="s">
        <v>1069</v>
      </c>
      <c r="D689" t="s">
        <v>1656</v>
      </c>
      <c r="E689" t="s">
        <v>1070</v>
      </c>
      <c r="F689" t="s">
        <v>338</v>
      </c>
      <c r="G689">
        <v>79302221</v>
      </c>
      <c r="H689">
        <v>40.798532000000002</v>
      </c>
      <c r="I689">
        <v>-74.701402000000002</v>
      </c>
      <c r="K689">
        <v>110000616049</v>
      </c>
      <c r="M689">
        <v>1799</v>
      </c>
      <c r="R689">
        <v>3.7992883749999999E-3</v>
      </c>
      <c r="W689" t="s">
        <v>1657</v>
      </c>
      <c r="X689" t="s">
        <v>1658</v>
      </c>
      <c r="Y689">
        <v>2030105000068</v>
      </c>
      <c r="AA689" t="s">
        <v>1465</v>
      </c>
      <c r="AB689" t="s">
        <v>1466</v>
      </c>
    </row>
    <row r="690" spans="1:28" x14ac:dyDescent="0.25">
      <c r="A690">
        <v>2019</v>
      </c>
      <c r="C690" t="s">
        <v>1071</v>
      </c>
      <c r="D690" t="s">
        <v>1661</v>
      </c>
      <c r="E690" t="s">
        <v>1072</v>
      </c>
      <c r="F690" t="s">
        <v>366</v>
      </c>
      <c r="G690">
        <v>96021</v>
      </c>
      <c r="H690">
        <v>39.916111000000001</v>
      </c>
      <c r="I690">
        <v>-122.104444</v>
      </c>
      <c r="K690">
        <v>110000730451</v>
      </c>
      <c r="M690">
        <v>4952</v>
      </c>
      <c r="R690">
        <v>6.6041664099999994E-2</v>
      </c>
      <c r="W690" t="s">
        <v>1662</v>
      </c>
      <c r="X690" t="s">
        <v>818</v>
      </c>
      <c r="Y690">
        <v>18020157005020</v>
      </c>
      <c r="AA690" t="s">
        <v>1465</v>
      </c>
      <c r="AB690" t="s">
        <v>263</v>
      </c>
    </row>
    <row r="691" spans="1:28" x14ac:dyDescent="0.25">
      <c r="A691">
        <v>2019</v>
      </c>
      <c r="C691" t="s">
        <v>208</v>
      </c>
      <c r="D691" t="s">
        <v>647</v>
      </c>
      <c r="E691" t="s">
        <v>648</v>
      </c>
      <c r="F691" t="s">
        <v>328</v>
      </c>
      <c r="G691">
        <v>30721</v>
      </c>
      <c r="H691">
        <v>34.632592000000002</v>
      </c>
      <c r="I691">
        <v>-84.927667999999997</v>
      </c>
      <c r="J691" t="s">
        <v>649</v>
      </c>
      <c r="K691">
        <v>110000611703</v>
      </c>
      <c r="M691">
        <v>2821</v>
      </c>
      <c r="R691">
        <v>2.1088435374149599E-2</v>
      </c>
      <c r="W691" t="s">
        <v>945</v>
      </c>
      <c r="X691" t="s">
        <v>946</v>
      </c>
      <c r="Y691">
        <v>3150101000005</v>
      </c>
      <c r="AA691" t="s">
        <v>1465</v>
      </c>
      <c r="AB691" t="s">
        <v>1466</v>
      </c>
    </row>
    <row r="692" spans="1:28" x14ac:dyDescent="0.25">
      <c r="A692">
        <v>2019</v>
      </c>
      <c r="C692" t="s">
        <v>1079</v>
      </c>
      <c r="D692" t="s">
        <v>1673</v>
      </c>
      <c r="E692" t="s">
        <v>381</v>
      </c>
      <c r="F692" t="s">
        <v>338</v>
      </c>
      <c r="G692">
        <v>8014</v>
      </c>
      <c r="H692">
        <v>39.80142</v>
      </c>
      <c r="I692">
        <v>-75.354990000000001</v>
      </c>
      <c r="J692" t="s">
        <v>710</v>
      </c>
      <c r="K692">
        <v>110000582003</v>
      </c>
      <c r="M692">
        <v>2869</v>
      </c>
      <c r="R692">
        <v>0.2135</v>
      </c>
      <c r="W692" t="s">
        <v>1674</v>
      </c>
      <c r="X692" t="s">
        <v>1675</v>
      </c>
      <c r="Y692">
        <v>2040202001854</v>
      </c>
      <c r="AA692" t="s">
        <v>1465</v>
      </c>
      <c r="AB692" t="s">
        <v>1466</v>
      </c>
    </row>
    <row r="693" spans="1:28" x14ac:dyDescent="0.25">
      <c r="A693">
        <v>2019</v>
      </c>
      <c r="C693" t="s">
        <v>1080</v>
      </c>
      <c r="D693" t="s">
        <v>1677</v>
      </c>
      <c r="E693" t="s">
        <v>1081</v>
      </c>
      <c r="F693" t="s">
        <v>338</v>
      </c>
      <c r="G693">
        <v>8075</v>
      </c>
      <c r="H693">
        <v>40.038871999999998</v>
      </c>
      <c r="I693">
        <v>-74.975640999999996</v>
      </c>
      <c r="K693">
        <v>110006620095</v>
      </c>
      <c r="M693">
        <v>4952</v>
      </c>
      <c r="R693">
        <v>9.62147E-2</v>
      </c>
      <c r="W693" t="s">
        <v>1679</v>
      </c>
      <c r="X693" t="s">
        <v>1680</v>
      </c>
      <c r="Y693">
        <v>2040202001995</v>
      </c>
      <c r="AA693" t="s">
        <v>1465</v>
      </c>
      <c r="AB693" t="s">
        <v>263</v>
      </c>
    </row>
    <row r="694" spans="1:28" x14ac:dyDescent="0.25">
      <c r="A694">
        <v>2019</v>
      </c>
      <c r="C694" t="s">
        <v>1682</v>
      </c>
      <c r="D694" t="s">
        <v>501</v>
      </c>
      <c r="E694" t="s">
        <v>502</v>
      </c>
      <c r="F694" t="s">
        <v>303</v>
      </c>
      <c r="G694">
        <v>70058</v>
      </c>
      <c r="H694">
        <v>29.910609999999998</v>
      </c>
      <c r="I694">
        <v>-90.085269999999994</v>
      </c>
      <c r="K694">
        <v>110070117180</v>
      </c>
      <c r="M694">
        <v>4226</v>
      </c>
      <c r="R694">
        <v>7.9553640975000006E-2</v>
      </c>
      <c r="W694" t="s">
        <v>873</v>
      </c>
      <c r="Y694">
        <v>8090100000658</v>
      </c>
      <c r="AA694" t="s">
        <v>1465</v>
      </c>
      <c r="AB694" t="s">
        <v>1466</v>
      </c>
    </row>
    <row r="695" spans="1:28" x14ac:dyDescent="0.25">
      <c r="A695">
        <v>2019</v>
      </c>
      <c r="C695" t="s">
        <v>1682</v>
      </c>
      <c r="D695" t="s">
        <v>501</v>
      </c>
      <c r="E695" t="s">
        <v>502</v>
      </c>
      <c r="F695" t="s">
        <v>303</v>
      </c>
      <c r="G695">
        <v>70058</v>
      </c>
      <c r="H695">
        <v>29.910609999999998</v>
      </c>
      <c r="I695">
        <v>-90.085269999999994</v>
      </c>
      <c r="K695">
        <v>110070117180</v>
      </c>
      <c r="M695">
        <v>4226</v>
      </c>
      <c r="R695">
        <v>1.7734958150000001E-2</v>
      </c>
      <c r="W695" t="s">
        <v>873</v>
      </c>
      <c r="Y695">
        <v>8090100000658</v>
      </c>
      <c r="AA695" t="s">
        <v>1465</v>
      </c>
      <c r="AB695" t="s">
        <v>1466</v>
      </c>
    </row>
    <row r="696" spans="1:28" x14ac:dyDescent="0.25">
      <c r="A696">
        <v>2019</v>
      </c>
      <c r="C696" t="s">
        <v>1082</v>
      </c>
      <c r="D696" t="s">
        <v>1684</v>
      </c>
      <c r="E696" t="s">
        <v>987</v>
      </c>
      <c r="F696" t="s">
        <v>324</v>
      </c>
      <c r="G696">
        <v>40272</v>
      </c>
      <c r="H696">
        <v>38.08614</v>
      </c>
      <c r="I696">
        <v>-85.898780000000002</v>
      </c>
      <c r="K696">
        <v>110000732379</v>
      </c>
      <c r="M696">
        <v>4952</v>
      </c>
      <c r="R696">
        <v>212.68922756250001</v>
      </c>
      <c r="W696" t="s">
        <v>1685</v>
      </c>
      <c r="X696" t="s">
        <v>830</v>
      </c>
      <c r="Y696">
        <v>5140101000005</v>
      </c>
      <c r="AA696" t="s">
        <v>1465</v>
      </c>
      <c r="AB696" t="s">
        <v>263</v>
      </c>
    </row>
    <row r="697" spans="1:28" x14ac:dyDescent="0.25">
      <c r="A697">
        <v>2019</v>
      </c>
      <c r="C697" t="s">
        <v>1083</v>
      </c>
      <c r="D697" t="s">
        <v>1686</v>
      </c>
      <c r="E697" t="s">
        <v>1084</v>
      </c>
      <c r="F697" t="s">
        <v>491</v>
      </c>
      <c r="G697">
        <v>17961</v>
      </c>
      <c r="H697">
        <v>40.628785999999998</v>
      </c>
      <c r="I697">
        <v>-76.058580000000006</v>
      </c>
      <c r="K697">
        <v>110000584305</v>
      </c>
      <c r="M697">
        <v>3951</v>
      </c>
      <c r="R697">
        <v>7.2448979591836701E-3</v>
      </c>
      <c r="W697" t="s">
        <v>1687</v>
      </c>
      <c r="X697" t="s">
        <v>1688</v>
      </c>
      <c r="Y697">
        <v>2040203000412</v>
      </c>
      <c r="AA697" t="s">
        <v>1465</v>
      </c>
      <c r="AB697" t="s">
        <v>1466</v>
      </c>
    </row>
    <row r="698" spans="1:28" x14ac:dyDescent="0.25">
      <c r="A698">
        <v>2019</v>
      </c>
      <c r="C698" t="s">
        <v>136</v>
      </c>
      <c r="D698" t="s">
        <v>440</v>
      </c>
      <c r="E698" t="s">
        <v>441</v>
      </c>
      <c r="F698" t="s">
        <v>338</v>
      </c>
      <c r="G698" t="s">
        <v>442</v>
      </c>
      <c r="H698">
        <v>40.843611000000003</v>
      </c>
      <c r="I698">
        <v>-75.066389000000001</v>
      </c>
      <c r="J698" t="s">
        <v>443</v>
      </c>
      <c r="K698">
        <v>110040963286</v>
      </c>
      <c r="M698">
        <v>2833</v>
      </c>
      <c r="R698">
        <v>9.1836495874999993E-2</v>
      </c>
      <c r="W698" t="s">
        <v>837</v>
      </c>
      <c r="X698" t="s">
        <v>838</v>
      </c>
      <c r="Y698">
        <v>2040105000142</v>
      </c>
      <c r="AA698" t="s">
        <v>1465</v>
      </c>
      <c r="AB698" t="s">
        <v>1466</v>
      </c>
    </row>
    <row r="699" spans="1:28" x14ac:dyDescent="0.25">
      <c r="A699">
        <v>2019</v>
      </c>
      <c r="C699" t="s">
        <v>1088</v>
      </c>
      <c r="D699" t="s">
        <v>1699</v>
      </c>
      <c r="E699" t="s">
        <v>985</v>
      </c>
      <c r="F699" t="s">
        <v>979</v>
      </c>
      <c r="G699">
        <v>37660</v>
      </c>
      <c r="H699">
        <v>36.527054999999997</v>
      </c>
      <c r="I699">
        <v>-82.538579999999996</v>
      </c>
      <c r="J699" t="s">
        <v>711</v>
      </c>
      <c r="K699">
        <v>110000574423</v>
      </c>
      <c r="M699">
        <v>2869</v>
      </c>
      <c r="R699">
        <v>0.61316659350000002</v>
      </c>
      <c r="W699" t="s">
        <v>1700</v>
      </c>
      <c r="X699" t="s">
        <v>1701</v>
      </c>
      <c r="Y699">
        <v>6010102001273</v>
      </c>
      <c r="AA699" t="s">
        <v>1465</v>
      </c>
      <c r="AB699" t="s">
        <v>1466</v>
      </c>
    </row>
    <row r="700" spans="1:28" x14ac:dyDescent="0.25">
      <c r="A700">
        <v>2019</v>
      </c>
      <c r="C700" t="s">
        <v>1089</v>
      </c>
      <c r="D700" t="s">
        <v>1703</v>
      </c>
      <c r="E700" t="s">
        <v>1090</v>
      </c>
      <c r="F700" t="s">
        <v>324</v>
      </c>
      <c r="G700">
        <v>42038</v>
      </c>
      <c r="H700">
        <v>37.075277999999997</v>
      </c>
      <c r="I700">
        <v>-88.09</v>
      </c>
      <c r="K700">
        <v>110009938719</v>
      </c>
      <c r="M700">
        <v>4952</v>
      </c>
      <c r="R700">
        <v>1.8616049374999999</v>
      </c>
      <c r="W700" t="s">
        <v>1704</v>
      </c>
      <c r="X700" t="s">
        <v>1705</v>
      </c>
      <c r="Y700">
        <v>5130205000794</v>
      </c>
      <c r="AA700" t="s">
        <v>1465</v>
      </c>
      <c r="AB700" t="s">
        <v>263</v>
      </c>
    </row>
    <row r="701" spans="1:28" x14ac:dyDescent="0.25">
      <c r="A701">
        <v>2019</v>
      </c>
      <c r="C701" t="s">
        <v>140</v>
      </c>
      <c r="D701" t="s">
        <v>456</v>
      </c>
      <c r="E701" t="s">
        <v>457</v>
      </c>
      <c r="F701" t="s">
        <v>366</v>
      </c>
      <c r="G701">
        <v>92243</v>
      </c>
      <c r="H701">
        <v>32.802199999999999</v>
      </c>
      <c r="I701">
        <v>-115.54</v>
      </c>
      <c r="K701">
        <v>110002672484</v>
      </c>
      <c r="M701">
        <v>921</v>
      </c>
      <c r="R701">
        <v>1.678552875E-3</v>
      </c>
      <c r="W701" t="s">
        <v>845</v>
      </c>
      <c r="X701" t="s">
        <v>846</v>
      </c>
      <c r="Y701">
        <v>18100204011431</v>
      </c>
      <c r="AA701" t="s">
        <v>1465</v>
      </c>
      <c r="AB701" t="s">
        <v>1466</v>
      </c>
    </row>
    <row r="702" spans="1:28" x14ac:dyDescent="0.25">
      <c r="A702">
        <v>2019</v>
      </c>
      <c r="C702" t="s">
        <v>140</v>
      </c>
      <c r="D702" t="s">
        <v>456</v>
      </c>
      <c r="E702" t="s">
        <v>457</v>
      </c>
      <c r="F702" t="s">
        <v>366</v>
      </c>
      <c r="G702">
        <v>92243</v>
      </c>
      <c r="H702">
        <v>32.802199999999999</v>
      </c>
      <c r="I702">
        <v>-115.54</v>
      </c>
      <c r="K702">
        <v>110002672484</v>
      </c>
      <c r="M702">
        <v>921</v>
      </c>
      <c r="R702">
        <v>4.1031292500000004E-3</v>
      </c>
      <c r="W702" t="s">
        <v>845</v>
      </c>
      <c r="X702" t="s">
        <v>846</v>
      </c>
      <c r="Y702">
        <v>18100204011431</v>
      </c>
      <c r="AA702" t="s">
        <v>1465</v>
      </c>
      <c r="AB702" t="s">
        <v>1466</v>
      </c>
    </row>
    <row r="703" spans="1:28" x14ac:dyDescent="0.25">
      <c r="A703">
        <v>2019</v>
      </c>
      <c r="C703" t="s">
        <v>1095</v>
      </c>
      <c r="D703" t="s">
        <v>1714</v>
      </c>
      <c r="E703" t="s">
        <v>1096</v>
      </c>
      <c r="F703" t="s">
        <v>450</v>
      </c>
      <c r="G703">
        <v>14132</v>
      </c>
      <c r="H703">
        <v>43.129750000000001</v>
      </c>
      <c r="I703">
        <v>-78.939679999999996</v>
      </c>
      <c r="K703">
        <v>110000737365</v>
      </c>
      <c r="M703">
        <v>9511</v>
      </c>
      <c r="R703">
        <v>1.6588352903224898E-2</v>
      </c>
      <c r="W703" t="s">
        <v>1715</v>
      </c>
      <c r="X703" t="s">
        <v>1716</v>
      </c>
      <c r="Y703">
        <v>4120104000390</v>
      </c>
      <c r="AA703" t="s">
        <v>1465</v>
      </c>
      <c r="AB703" t="s">
        <v>1466</v>
      </c>
    </row>
    <row r="704" spans="1:28" x14ac:dyDescent="0.25">
      <c r="A704">
        <v>2019</v>
      </c>
      <c r="C704" t="s">
        <v>1097</v>
      </c>
      <c r="D704" t="s">
        <v>1718</v>
      </c>
      <c r="E704" t="s">
        <v>1098</v>
      </c>
      <c r="F704" t="s">
        <v>324</v>
      </c>
      <c r="G704" t="s">
        <v>1719</v>
      </c>
      <c r="H704">
        <v>38.643056000000001</v>
      </c>
      <c r="I704">
        <v>-83.740278000000004</v>
      </c>
      <c r="K704">
        <v>110000379787</v>
      </c>
      <c r="M704">
        <v>3566</v>
      </c>
      <c r="R704">
        <v>0.17549152500000001</v>
      </c>
      <c r="W704" t="s">
        <v>1720</v>
      </c>
      <c r="X704" t="s">
        <v>1721</v>
      </c>
      <c r="Y704">
        <v>5090201002312</v>
      </c>
      <c r="AA704" t="s">
        <v>1465</v>
      </c>
      <c r="AB704" t="s">
        <v>1466</v>
      </c>
    </row>
    <row r="705" spans="1:28" x14ac:dyDescent="0.25">
      <c r="A705">
        <v>2019</v>
      </c>
      <c r="C705" t="s">
        <v>1102</v>
      </c>
      <c r="D705" t="s">
        <v>1726</v>
      </c>
      <c r="E705" t="s">
        <v>1103</v>
      </c>
      <c r="F705" t="s">
        <v>345</v>
      </c>
      <c r="G705" t="s">
        <v>1727</v>
      </c>
      <c r="H705">
        <v>41.412897000000001</v>
      </c>
      <c r="I705">
        <v>-88.329773000000003</v>
      </c>
      <c r="J705" t="s">
        <v>712</v>
      </c>
      <c r="K705">
        <v>110000433013</v>
      </c>
      <c r="M705">
        <v>2821</v>
      </c>
      <c r="R705">
        <v>1.07891156462585</v>
      </c>
      <c r="W705" t="s">
        <v>1728</v>
      </c>
      <c r="X705" t="s">
        <v>1729</v>
      </c>
      <c r="Y705">
        <v>7120005000248</v>
      </c>
      <c r="AA705" t="s">
        <v>1465</v>
      </c>
      <c r="AB705" t="s">
        <v>1466</v>
      </c>
    </row>
    <row r="706" spans="1:28" x14ac:dyDescent="0.25">
      <c r="A706">
        <v>2019</v>
      </c>
      <c r="C706" t="s">
        <v>1102</v>
      </c>
      <c r="D706" t="s">
        <v>1726</v>
      </c>
      <c r="E706" t="s">
        <v>1103</v>
      </c>
      <c r="F706" t="s">
        <v>345</v>
      </c>
      <c r="G706" t="s">
        <v>1727</v>
      </c>
      <c r="H706">
        <v>41.412897000000001</v>
      </c>
      <c r="I706">
        <v>-88.329773000000003</v>
      </c>
      <c r="J706" t="s">
        <v>712</v>
      </c>
      <c r="K706">
        <v>110000433013</v>
      </c>
      <c r="M706">
        <v>2821</v>
      </c>
      <c r="R706">
        <v>0.176734693877551</v>
      </c>
      <c r="W706" t="s">
        <v>1728</v>
      </c>
      <c r="X706" t="s">
        <v>1729</v>
      </c>
      <c r="Y706">
        <v>7120005000248</v>
      </c>
      <c r="AA706" t="s">
        <v>1465</v>
      </c>
      <c r="AB706" t="s">
        <v>1466</v>
      </c>
    </row>
    <row r="707" spans="1:28" x14ac:dyDescent="0.25">
      <c r="A707">
        <v>2019</v>
      </c>
      <c r="C707" t="s">
        <v>1104</v>
      </c>
      <c r="D707" t="s">
        <v>1731</v>
      </c>
      <c r="E707" t="s">
        <v>446</v>
      </c>
      <c r="F707" t="s">
        <v>303</v>
      </c>
      <c r="G707">
        <v>70669</v>
      </c>
      <c r="H707">
        <v>30.193916000000002</v>
      </c>
      <c r="I707">
        <v>-93.321347000000003</v>
      </c>
      <c r="J707" t="s">
        <v>713</v>
      </c>
      <c r="K707">
        <v>110000597266</v>
      </c>
      <c r="M707">
        <v>2821</v>
      </c>
      <c r="R707">
        <v>0.41383219954648498</v>
      </c>
      <c r="W707" t="s">
        <v>1732</v>
      </c>
      <c r="X707">
        <v>315</v>
      </c>
      <c r="Y707">
        <v>8080206000583</v>
      </c>
      <c r="AA707" t="s">
        <v>1465</v>
      </c>
      <c r="AB707" t="s">
        <v>1466</v>
      </c>
    </row>
    <row r="708" spans="1:28" x14ac:dyDescent="0.25">
      <c r="A708">
        <v>2019</v>
      </c>
      <c r="C708" t="s">
        <v>1105</v>
      </c>
      <c r="D708" t="s">
        <v>1735</v>
      </c>
      <c r="E708" t="s">
        <v>1106</v>
      </c>
      <c r="F708" t="s">
        <v>345</v>
      </c>
      <c r="G708">
        <v>61953</v>
      </c>
      <c r="H708">
        <v>39.795811999999998</v>
      </c>
      <c r="I708">
        <v>-88.347945999999993</v>
      </c>
      <c r="J708" t="s">
        <v>714</v>
      </c>
      <c r="K708">
        <v>110000746211</v>
      </c>
      <c r="M708">
        <v>2869</v>
      </c>
      <c r="R708">
        <v>3.3934240362811701</v>
      </c>
      <c r="W708" t="s">
        <v>1736</v>
      </c>
      <c r="X708" t="s">
        <v>1737</v>
      </c>
      <c r="Y708">
        <v>7140201000696</v>
      </c>
      <c r="AA708" t="s">
        <v>1465</v>
      </c>
      <c r="AB708" t="s">
        <v>1466</v>
      </c>
    </row>
    <row r="709" spans="1:28" x14ac:dyDescent="0.25">
      <c r="A709">
        <v>2019</v>
      </c>
      <c r="C709" t="s">
        <v>144</v>
      </c>
      <c r="D709" t="s">
        <v>467</v>
      </c>
      <c r="E709" t="s">
        <v>302</v>
      </c>
      <c r="F709" t="s">
        <v>303</v>
      </c>
      <c r="G709">
        <v>70805</v>
      </c>
      <c r="H709">
        <v>30.494948000000001</v>
      </c>
      <c r="I709">
        <v>-91.178173999999999</v>
      </c>
      <c r="K709">
        <v>110001143584</v>
      </c>
      <c r="M709">
        <v>2869</v>
      </c>
      <c r="R709">
        <v>2.5131169875000001E-2</v>
      </c>
      <c r="W709" t="s">
        <v>852</v>
      </c>
      <c r="X709">
        <v>701</v>
      </c>
      <c r="Y709">
        <v>8070201006480</v>
      </c>
      <c r="AA709" t="s">
        <v>1465</v>
      </c>
      <c r="AB709" t="s">
        <v>1466</v>
      </c>
    </row>
    <row r="710" spans="1:28" x14ac:dyDescent="0.25">
      <c r="A710">
        <v>2019</v>
      </c>
      <c r="C710" t="s">
        <v>144</v>
      </c>
      <c r="D710" t="s">
        <v>467</v>
      </c>
      <c r="E710" t="s">
        <v>302</v>
      </c>
      <c r="F710" t="s">
        <v>303</v>
      </c>
      <c r="G710">
        <v>70805</v>
      </c>
      <c r="H710">
        <v>30.494948000000001</v>
      </c>
      <c r="I710">
        <v>-91.178173999999999</v>
      </c>
      <c r="K710">
        <v>110001143584</v>
      </c>
      <c r="M710">
        <v>2869</v>
      </c>
      <c r="R710">
        <v>3.4569256625000002</v>
      </c>
      <c r="W710" t="s">
        <v>852</v>
      </c>
      <c r="X710">
        <v>701</v>
      </c>
      <c r="Y710">
        <v>8070201006480</v>
      </c>
      <c r="AA710" t="s">
        <v>1465</v>
      </c>
      <c r="AB710" t="s">
        <v>1466</v>
      </c>
    </row>
    <row r="711" spans="1:28" x14ac:dyDescent="0.25">
      <c r="A711">
        <v>2019</v>
      </c>
      <c r="C711" t="s">
        <v>1107</v>
      </c>
      <c r="D711" t="s">
        <v>1741</v>
      </c>
      <c r="E711" t="s">
        <v>1108</v>
      </c>
      <c r="F711" t="s">
        <v>338</v>
      </c>
      <c r="G711">
        <v>8872</v>
      </c>
      <c r="H711">
        <v>40.665252000000002</v>
      </c>
      <c r="I711">
        <v>-74.200059999999993</v>
      </c>
      <c r="K711">
        <v>110070212717</v>
      </c>
      <c r="M711">
        <v>2851</v>
      </c>
      <c r="R711">
        <v>4.7532029999999901E-4</v>
      </c>
      <c r="W711" t="s">
        <v>1742</v>
      </c>
      <c r="X711" t="s">
        <v>1743</v>
      </c>
      <c r="Y711">
        <v>2030104000356</v>
      </c>
      <c r="AA711" t="s">
        <v>1465</v>
      </c>
      <c r="AB711" t="s">
        <v>1466</v>
      </c>
    </row>
    <row r="712" spans="1:28" x14ac:dyDescent="0.25">
      <c r="A712">
        <v>2019</v>
      </c>
      <c r="C712" t="s">
        <v>145</v>
      </c>
      <c r="D712" t="s">
        <v>468</v>
      </c>
      <c r="E712" t="s">
        <v>314</v>
      </c>
      <c r="F712" t="s">
        <v>469</v>
      </c>
      <c r="G712">
        <v>479099201</v>
      </c>
      <c r="H712">
        <v>40.390543999999998</v>
      </c>
      <c r="I712">
        <v>-86.936173999999994</v>
      </c>
      <c r="J712" t="s">
        <v>470</v>
      </c>
      <c r="K712">
        <v>110000404296</v>
      </c>
      <c r="M712">
        <v>2833</v>
      </c>
      <c r="R712">
        <v>0.62655555555555498</v>
      </c>
      <c r="W712" t="s">
        <v>853</v>
      </c>
      <c r="X712" t="s">
        <v>854</v>
      </c>
      <c r="Y712">
        <v>5120108000208</v>
      </c>
      <c r="AA712" t="s">
        <v>1465</v>
      </c>
      <c r="AB712" t="s">
        <v>1466</v>
      </c>
    </row>
    <row r="713" spans="1:28" x14ac:dyDescent="0.25">
      <c r="A713">
        <v>2019</v>
      </c>
      <c r="C713" t="s">
        <v>146</v>
      </c>
      <c r="D713" t="s">
        <v>471</v>
      </c>
      <c r="E713" t="s">
        <v>472</v>
      </c>
      <c r="F713" t="s">
        <v>450</v>
      </c>
      <c r="G713">
        <v>11222</v>
      </c>
      <c r="H713">
        <v>40.73095</v>
      </c>
      <c r="I713">
        <v>-73.942520000000002</v>
      </c>
      <c r="K713">
        <v>110037107154</v>
      </c>
      <c r="M713">
        <v>4959</v>
      </c>
      <c r="R713">
        <v>0.2731032685</v>
      </c>
      <c r="W713" t="s">
        <v>855</v>
      </c>
      <c r="X713" t="s">
        <v>856</v>
      </c>
      <c r="Y713">
        <v>2030101001969</v>
      </c>
      <c r="AA713" t="s">
        <v>1465</v>
      </c>
      <c r="AB713" t="s">
        <v>1466</v>
      </c>
    </row>
    <row r="714" spans="1:28" x14ac:dyDescent="0.25">
      <c r="A714">
        <v>2019</v>
      </c>
      <c r="C714" t="s">
        <v>1109</v>
      </c>
      <c r="D714" t="s">
        <v>1748</v>
      </c>
      <c r="E714" t="s">
        <v>1110</v>
      </c>
      <c r="F714" t="s">
        <v>338</v>
      </c>
      <c r="G714">
        <v>8536</v>
      </c>
      <c r="H714">
        <v>40.331944</v>
      </c>
      <c r="I714">
        <v>-74.619721999999996</v>
      </c>
      <c r="K714">
        <v>110000321651</v>
      </c>
      <c r="M714">
        <v>2869</v>
      </c>
      <c r="R714">
        <v>6.9199999999999999E-3</v>
      </c>
      <c r="W714" t="s">
        <v>1749</v>
      </c>
      <c r="X714" t="s">
        <v>1750</v>
      </c>
      <c r="Y714">
        <v>2060002000003</v>
      </c>
      <c r="AA714" t="s">
        <v>1465</v>
      </c>
      <c r="AB714" t="s">
        <v>1466</v>
      </c>
    </row>
    <row r="715" spans="1:28" x14ac:dyDescent="0.25">
      <c r="A715">
        <v>2019</v>
      </c>
      <c r="C715" t="s">
        <v>1111</v>
      </c>
      <c r="D715" t="s">
        <v>1753</v>
      </c>
      <c r="E715" t="s">
        <v>1112</v>
      </c>
      <c r="F715" t="s">
        <v>338</v>
      </c>
      <c r="G715">
        <v>7410</v>
      </c>
      <c r="H715">
        <v>40.9375</v>
      </c>
      <c r="I715">
        <v>-74.131939000000003</v>
      </c>
      <c r="J715" t="s">
        <v>715</v>
      </c>
      <c r="K715">
        <v>110000319904</v>
      </c>
      <c r="M715">
        <v>2899</v>
      </c>
      <c r="R715">
        <v>8.0880151000000001E-3</v>
      </c>
      <c r="W715" t="s">
        <v>1754</v>
      </c>
      <c r="X715" t="s">
        <v>1755</v>
      </c>
      <c r="Y715">
        <v>2030103000370</v>
      </c>
      <c r="AA715" t="s">
        <v>1465</v>
      </c>
      <c r="AB715" t="s">
        <v>1466</v>
      </c>
    </row>
    <row r="716" spans="1:28" x14ac:dyDescent="0.25">
      <c r="A716">
        <v>2019</v>
      </c>
      <c r="C716" t="s">
        <v>1113</v>
      </c>
      <c r="D716" t="s">
        <v>1758</v>
      </c>
      <c r="E716" t="s">
        <v>1114</v>
      </c>
      <c r="F716" t="s">
        <v>324</v>
      </c>
      <c r="G716">
        <v>41041</v>
      </c>
      <c r="H716">
        <v>38.421495999999998</v>
      </c>
      <c r="I716">
        <v>-83.734424000000004</v>
      </c>
      <c r="K716">
        <v>110003251427</v>
      </c>
      <c r="M716">
        <v>4952</v>
      </c>
      <c r="R716">
        <v>0.47524460000000002</v>
      </c>
      <c r="W716" t="s">
        <v>1759</v>
      </c>
      <c r="X716" t="s">
        <v>1760</v>
      </c>
      <c r="Y716">
        <v>5100101000962</v>
      </c>
      <c r="AA716" t="s">
        <v>1465</v>
      </c>
      <c r="AB716" t="s">
        <v>263</v>
      </c>
    </row>
    <row r="717" spans="1:28" x14ac:dyDescent="0.25">
      <c r="A717">
        <v>2019</v>
      </c>
      <c r="C717" t="s">
        <v>1115</v>
      </c>
      <c r="D717" t="s">
        <v>1762</v>
      </c>
      <c r="E717" t="s">
        <v>987</v>
      </c>
      <c r="F717" t="s">
        <v>324</v>
      </c>
      <c r="G717">
        <v>40245</v>
      </c>
      <c r="H717">
        <v>38.236699999999999</v>
      </c>
      <c r="I717">
        <v>-85.466710000000006</v>
      </c>
      <c r="K717">
        <v>110043486457</v>
      </c>
      <c r="M717">
        <v>4952</v>
      </c>
      <c r="R717">
        <v>15.645770625000001</v>
      </c>
      <c r="W717" t="s">
        <v>1763</v>
      </c>
      <c r="X717" t="s">
        <v>1764</v>
      </c>
      <c r="Y717">
        <v>5140102000235</v>
      </c>
      <c r="AA717" t="s">
        <v>1465</v>
      </c>
      <c r="AB717" t="s">
        <v>263</v>
      </c>
    </row>
    <row r="718" spans="1:28" x14ac:dyDescent="0.25">
      <c r="A718">
        <v>2019</v>
      </c>
      <c r="C718" t="s">
        <v>1118</v>
      </c>
      <c r="D718" t="s">
        <v>1769</v>
      </c>
      <c r="E718" t="s">
        <v>1119</v>
      </c>
      <c r="F718" t="s">
        <v>427</v>
      </c>
      <c r="G718">
        <v>49128</v>
      </c>
      <c r="H718">
        <v>41.775967999999999</v>
      </c>
      <c r="I718">
        <v>-86.654864000000003</v>
      </c>
      <c r="K718">
        <v>110001847761</v>
      </c>
      <c r="M718">
        <v>4953</v>
      </c>
      <c r="R718">
        <v>3.5931349090908997E-2</v>
      </c>
      <c r="W718" t="s">
        <v>1770</v>
      </c>
      <c r="X718" t="s">
        <v>1771</v>
      </c>
      <c r="Y718">
        <v>4040001000153</v>
      </c>
      <c r="AA718" t="s">
        <v>1465</v>
      </c>
      <c r="AB718" t="s">
        <v>1466</v>
      </c>
    </row>
    <row r="719" spans="1:28" x14ac:dyDescent="0.25">
      <c r="A719">
        <v>2019</v>
      </c>
      <c r="C719" t="s">
        <v>1120</v>
      </c>
      <c r="D719" t="s">
        <v>1773</v>
      </c>
      <c r="E719" t="s">
        <v>1121</v>
      </c>
      <c r="F719" t="s">
        <v>338</v>
      </c>
      <c r="G719">
        <v>8832</v>
      </c>
      <c r="H719">
        <v>40.515906999999999</v>
      </c>
      <c r="I719">
        <v>-74.325175999999999</v>
      </c>
      <c r="K719">
        <v>110070215141</v>
      </c>
      <c r="R719">
        <v>3.9682110324999898E-3</v>
      </c>
      <c r="W719" t="s">
        <v>1774</v>
      </c>
      <c r="X719" t="s">
        <v>1775</v>
      </c>
      <c r="Y719">
        <v>2030105000996</v>
      </c>
      <c r="AA719" t="s">
        <v>1465</v>
      </c>
      <c r="AB719" t="s">
        <v>1466</v>
      </c>
    </row>
    <row r="720" spans="1:28" x14ac:dyDescent="0.25">
      <c r="A720">
        <v>2019</v>
      </c>
      <c r="C720" t="s">
        <v>1120</v>
      </c>
      <c r="D720" t="s">
        <v>1773</v>
      </c>
      <c r="E720" t="s">
        <v>1121</v>
      </c>
      <c r="F720" t="s">
        <v>338</v>
      </c>
      <c r="G720">
        <v>8832</v>
      </c>
      <c r="H720">
        <v>40.515906999999999</v>
      </c>
      <c r="I720">
        <v>-74.325175999999999</v>
      </c>
      <c r="K720">
        <v>110070215141</v>
      </c>
      <c r="R720">
        <v>2.1165390149866601E-2</v>
      </c>
      <c r="W720" t="s">
        <v>1774</v>
      </c>
      <c r="X720" t="s">
        <v>1775</v>
      </c>
      <c r="Y720">
        <v>2030105000996</v>
      </c>
      <c r="AA720" t="s">
        <v>1465</v>
      </c>
      <c r="AB720" t="s">
        <v>1466</v>
      </c>
    </row>
    <row r="721" spans="1:28" x14ac:dyDescent="0.25">
      <c r="A721">
        <v>2019</v>
      </c>
      <c r="C721" t="s">
        <v>147</v>
      </c>
      <c r="D721" t="s">
        <v>473</v>
      </c>
      <c r="E721" t="s">
        <v>474</v>
      </c>
      <c r="F721" t="s">
        <v>338</v>
      </c>
      <c r="G721">
        <v>7470</v>
      </c>
      <c r="H721">
        <v>40.891950000000001</v>
      </c>
      <c r="I721">
        <v>-74.249369999999999</v>
      </c>
      <c r="K721">
        <v>110070213656</v>
      </c>
      <c r="M721">
        <v>9999</v>
      </c>
      <c r="R721">
        <v>1.13149056842499E-3</v>
      </c>
      <c r="W721" t="s">
        <v>857</v>
      </c>
      <c r="X721" t="s">
        <v>858</v>
      </c>
      <c r="Y721">
        <v>2030103000043</v>
      </c>
      <c r="AA721" t="s">
        <v>1465</v>
      </c>
      <c r="AB721" t="s">
        <v>1466</v>
      </c>
    </row>
    <row r="722" spans="1:28" x14ac:dyDescent="0.25">
      <c r="A722">
        <v>2019</v>
      </c>
      <c r="C722" t="s">
        <v>1122</v>
      </c>
      <c r="D722" t="s">
        <v>1780</v>
      </c>
      <c r="E722" t="s">
        <v>1123</v>
      </c>
      <c r="F722" t="s">
        <v>491</v>
      </c>
      <c r="G722" t="s">
        <v>1781</v>
      </c>
      <c r="H722">
        <v>39.859110000000001</v>
      </c>
      <c r="I722">
        <v>-77.236620000000002</v>
      </c>
      <c r="K722">
        <v>110071151044</v>
      </c>
      <c r="M722">
        <v>4959</v>
      </c>
      <c r="R722">
        <v>5.633385825E-3</v>
      </c>
      <c r="W722" t="s">
        <v>1782</v>
      </c>
      <c r="X722" t="s">
        <v>1783</v>
      </c>
      <c r="Y722">
        <v>2070009000809</v>
      </c>
      <c r="AA722" t="s">
        <v>1465</v>
      </c>
      <c r="AB722" t="s">
        <v>1466</v>
      </c>
    </row>
    <row r="723" spans="1:28" x14ac:dyDescent="0.25">
      <c r="A723">
        <v>2019</v>
      </c>
      <c r="C723" t="s">
        <v>148</v>
      </c>
      <c r="D723" t="s">
        <v>476</v>
      </c>
      <c r="E723" t="s">
        <v>477</v>
      </c>
      <c r="F723" t="s">
        <v>478</v>
      </c>
      <c r="G723">
        <v>19706</v>
      </c>
      <c r="H723">
        <v>39.585099999999997</v>
      </c>
      <c r="I723">
        <v>-75.649199999999993</v>
      </c>
      <c r="K723">
        <v>110000338536</v>
      </c>
      <c r="M723">
        <v>2821</v>
      </c>
      <c r="R723">
        <v>6.9070294784580405E-2</v>
      </c>
      <c r="W723" t="s">
        <v>859</v>
      </c>
      <c r="X723" t="s">
        <v>783</v>
      </c>
      <c r="Y723">
        <v>2040205000476</v>
      </c>
      <c r="AA723" t="s">
        <v>1465</v>
      </c>
      <c r="AB723" t="s">
        <v>1466</v>
      </c>
    </row>
    <row r="724" spans="1:28" x14ac:dyDescent="0.25">
      <c r="A724">
        <v>2019</v>
      </c>
      <c r="C724" t="s">
        <v>1124</v>
      </c>
      <c r="D724" t="s">
        <v>1786</v>
      </c>
      <c r="E724" t="s">
        <v>1125</v>
      </c>
      <c r="F724" t="s">
        <v>294</v>
      </c>
      <c r="G724">
        <v>22046</v>
      </c>
      <c r="H724">
        <v>38.890925000000003</v>
      </c>
      <c r="I724">
        <v>-77.184034999999994</v>
      </c>
      <c r="K724">
        <v>110070548118</v>
      </c>
      <c r="M724">
        <v>1794</v>
      </c>
      <c r="R724">
        <v>8.8746137999999905E-2</v>
      </c>
      <c r="W724" t="s">
        <v>1787</v>
      </c>
      <c r="X724" t="s">
        <v>1788</v>
      </c>
      <c r="AA724" t="s">
        <v>1465</v>
      </c>
      <c r="AB724" t="s">
        <v>1466</v>
      </c>
    </row>
    <row r="725" spans="1:28" x14ac:dyDescent="0.25">
      <c r="A725">
        <v>2019</v>
      </c>
      <c r="C725" t="s">
        <v>1124</v>
      </c>
      <c r="D725" t="s">
        <v>1786</v>
      </c>
      <c r="E725" t="s">
        <v>1125</v>
      </c>
      <c r="F725" t="s">
        <v>294</v>
      </c>
      <c r="G725">
        <v>22046</v>
      </c>
      <c r="H725">
        <v>38.890925000000003</v>
      </c>
      <c r="I725">
        <v>-77.184034999999994</v>
      </c>
      <c r="K725">
        <v>110070548118</v>
      </c>
      <c r="M725">
        <v>1794</v>
      </c>
      <c r="R725">
        <v>0.10015109999999899</v>
      </c>
      <c r="W725" t="s">
        <v>1787</v>
      </c>
      <c r="X725" t="s">
        <v>1788</v>
      </c>
      <c r="AA725" t="s">
        <v>1465</v>
      </c>
      <c r="AB725" t="s">
        <v>1466</v>
      </c>
    </row>
    <row r="726" spans="1:28" x14ac:dyDescent="0.25">
      <c r="A726">
        <v>2019</v>
      </c>
      <c r="C726" t="s">
        <v>1126</v>
      </c>
      <c r="D726" t="s">
        <v>1789</v>
      </c>
      <c r="E726" t="s">
        <v>1127</v>
      </c>
      <c r="F726" t="s">
        <v>1128</v>
      </c>
      <c r="G726">
        <v>80537</v>
      </c>
      <c r="H726">
        <v>40.393799999999999</v>
      </c>
      <c r="I726">
        <v>-105.074</v>
      </c>
      <c r="K726">
        <v>110070053140</v>
      </c>
      <c r="M726">
        <v>7521</v>
      </c>
      <c r="R726">
        <v>5.0143680000000003E-2</v>
      </c>
      <c r="W726" t="s">
        <v>1790</v>
      </c>
      <c r="X726" t="s">
        <v>1791</v>
      </c>
      <c r="AA726" t="s">
        <v>1465</v>
      </c>
      <c r="AB726" t="s">
        <v>1466</v>
      </c>
    </row>
    <row r="727" spans="1:28" x14ac:dyDescent="0.25">
      <c r="A727">
        <v>2019</v>
      </c>
      <c r="C727" t="s">
        <v>1129</v>
      </c>
      <c r="D727" t="s">
        <v>1792</v>
      </c>
      <c r="E727" t="s">
        <v>1130</v>
      </c>
      <c r="F727" t="s">
        <v>366</v>
      </c>
      <c r="G727">
        <v>93420</v>
      </c>
      <c r="H727">
        <v>35.178620000000002</v>
      </c>
      <c r="I727">
        <v>-120.62067500000001</v>
      </c>
      <c r="K727">
        <v>110037256867</v>
      </c>
      <c r="M727">
        <v>2911</v>
      </c>
      <c r="R727">
        <v>2.8633487150000001E-2</v>
      </c>
      <c r="W727" t="s">
        <v>1793</v>
      </c>
      <c r="X727" t="s">
        <v>1794</v>
      </c>
      <c r="Y727">
        <v>18060006000027</v>
      </c>
      <c r="AA727" t="s">
        <v>1465</v>
      </c>
      <c r="AB727" t="s">
        <v>1466</v>
      </c>
    </row>
    <row r="728" spans="1:28" x14ac:dyDescent="0.25">
      <c r="A728">
        <v>2019</v>
      </c>
      <c r="C728" t="s">
        <v>1132</v>
      </c>
      <c r="D728" t="s">
        <v>1797</v>
      </c>
      <c r="E728" t="s">
        <v>1133</v>
      </c>
      <c r="F728" t="s">
        <v>999</v>
      </c>
      <c r="G728" t="s">
        <v>1798</v>
      </c>
      <c r="H728">
        <v>43.585476</v>
      </c>
      <c r="I728">
        <v>-71.750524999999996</v>
      </c>
      <c r="J728" t="s">
        <v>717</v>
      </c>
      <c r="K728">
        <v>110007681758</v>
      </c>
      <c r="R728">
        <v>6.1684901999999996E-3</v>
      </c>
      <c r="W728" t="s">
        <v>1799</v>
      </c>
      <c r="Y728">
        <v>1070001000335</v>
      </c>
      <c r="AA728" t="s">
        <v>1465</v>
      </c>
      <c r="AB728" t="s">
        <v>1466</v>
      </c>
    </row>
    <row r="729" spans="1:28" x14ac:dyDescent="0.25">
      <c r="A729">
        <v>2019</v>
      </c>
      <c r="C729" t="s">
        <v>1134</v>
      </c>
      <c r="D729" t="s">
        <v>1800</v>
      </c>
      <c r="E729" t="s">
        <v>1135</v>
      </c>
      <c r="F729" t="s">
        <v>299</v>
      </c>
      <c r="G729">
        <v>72501</v>
      </c>
      <c r="H729">
        <v>35.722341999999998</v>
      </c>
      <c r="I729">
        <v>-91.524983000000006</v>
      </c>
      <c r="J729" t="s">
        <v>718</v>
      </c>
      <c r="K729">
        <v>110017432937</v>
      </c>
      <c r="M729">
        <v>2865</v>
      </c>
      <c r="R729">
        <v>5.8004535147392202</v>
      </c>
      <c r="W729" t="s">
        <v>1801</v>
      </c>
      <c r="X729" t="s">
        <v>1802</v>
      </c>
      <c r="Y729">
        <v>11010004002024</v>
      </c>
      <c r="AA729" t="s">
        <v>1465</v>
      </c>
      <c r="AB729" t="s">
        <v>1466</v>
      </c>
    </row>
    <row r="730" spans="1:28" x14ac:dyDescent="0.25">
      <c r="A730">
        <v>2019</v>
      </c>
      <c r="C730" t="s">
        <v>151</v>
      </c>
      <c r="D730" t="s">
        <v>485</v>
      </c>
      <c r="E730" t="s">
        <v>486</v>
      </c>
      <c r="F730" t="s">
        <v>308</v>
      </c>
      <c r="G730">
        <v>1905</v>
      </c>
      <c r="H730">
        <v>42.452603000000003</v>
      </c>
      <c r="I730">
        <v>-70.973436000000007</v>
      </c>
      <c r="J730" t="s">
        <v>487</v>
      </c>
      <c r="K730">
        <v>110000310191</v>
      </c>
      <c r="M730">
        <v>3724</v>
      </c>
      <c r="R730">
        <v>9.2280192499999997E-2</v>
      </c>
      <c r="W730" t="s">
        <v>864</v>
      </c>
      <c r="X730" t="s">
        <v>865</v>
      </c>
      <c r="Y730">
        <v>1090001001195</v>
      </c>
      <c r="AA730" t="s">
        <v>1465</v>
      </c>
      <c r="AB730" t="s">
        <v>1466</v>
      </c>
    </row>
    <row r="731" spans="1:28" x14ac:dyDescent="0.25">
      <c r="A731">
        <v>2019</v>
      </c>
      <c r="C731" t="s">
        <v>151</v>
      </c>
      <c r="D731" t="s">
        <v>485</v>
      </c>
      <c r="E731" t="s">
        <v>486</v>
      </c>
      <c r="F731" t="s">
        <v>308</v>
      </c>
      <c r="G731">
        <v>1905</v>
      </c>
      <c r="H731">
        <v>42.452603000000003</v>
      </c>
      <c r="I731">
        <v>-70.973436000000007</v>
      </c>
      <c r="J731" t="s">
        <v>487</v>
      </c>
      <c r="K731">
        <v>110000310191</v>
      </c>
      <c r="M731">
        <v>3724</v>
      </c>
      <c r="R731">
        <v>3.7740234999999998E-3</v>
      </c>
      <c r="W731" t="s">
        <v>864</v>
      </c>
      <c r="X731" t="s">
        <v>865</v>
      </c>
      <c r="Y731">
        <v>1090001001195</v>
      </c>
      <c r="AA731" t="s">
        <v>1465</v>
      </c>
      <c r="AB731" t="s">
        <v>1466</v>
      </c>
    </row>
    <row r="732" spans="1:28" x14ac:dyDescent="0.25">
      <c r="A732">
        <v>2019</v>
      </c>
      <c r="C732" t="s">
        <v>151</v>
      </c>
      <c r="D732" t="s">
        <v>485</v>
      </c>
      <c r="E732" t="s">
        <v>486</v>
      </c>
      <c r="F732" t="s">
        <v>308</v>
      </c>
      <c r="G732">
        <v>1905</v>
      </c>
      <c r="H732">
        <v>42.452603000000003</v>
      </c>
      <c r="I732">
        <v>-70.973436000000007</v>
      </c>
      <c r="J732" t="s">
        <v>487</v>
      </c>
      <c r="K732">
        <v>110000310191</v>
      </c>
      <c r="M732">
        <v>3724</v>
      </c>
      <c r="R732">
        <v>3.7513135000000003E-2</v>
      </c>
      <c r="W732" t="s">
        <v>864</v>
      </c>
      <c r="X732" t="s">
        <v>865</v>
      </c>
      <c r="Y732">
        <v>1090001001195</v>
      </c>
      <c r="AA732" t="s">
        <v>1465</v>
      </c>
      <c r="AB732" t="s">
        <v>1466</v>
      </c>
    </row>
    <row r="733" spans="1:28" x14ac:dyDescent="0.25">
      <c r="A733">
        <v>2019</v>
      </c>
      <c r="C733" t="s">
        <v>153</v>
      </c>
      <c r="D733" t="s">
        <v>1811</v>
      </c>
      <c r="E733" t="s">
        <v>495</v>
      </c>
      <c r="F733" t="s">
        <v>427</v>
      </c>
      <c r="G733">
        <v>48380</v>
      </c>
      <c r="H733">
        <v>42.569099999999999</v>
      </c>
      <c r="I733">
        <v>-83.674499999999995</v>
      </c>
      <c r="K733">
        <v>110017422733</v>
      </c>
      <c r="M733">
        <v>8734</v>
      </c>
      <c r="R733">
        <v>9.2278299999999994E-3</v>
      </c>
      <c r="W733" t="s">
        <v>868</v>
      </c>
      <c r="X733" t="s">
        <v>869</v>
      </c>
      <c r="Y733">
        <v>4090005002033</v>
      </c>
      <c r="AA733" t="s">
        <v>1465</v>
      </c>
      <c r="AB733" t="s">
        <v>1466</v>
      </c>
    </row>
    <row r="734" spans="1:28" x14ac:dyDescent="0.25">
      <c r="A734">
        <v>2019</v>
      </c>
      <c r="C734" t="s">
        <v>1138</v>
      </c>
      <c r="D734" t="s">
        <v>1813</v>
      </c>
      <c r="E734" t="s">
        <v>1139</v>
      </c>
      <c r="F734" t="s">
        <v>324</v>
      </c>
      <c r="G734">
        <v>42141</v>
      </c>
      <c r="H734">
        <v>36.983809999999998</v>
      </c>
      <c r="I734">
        <v>-85.957089999999994</v>
      </c>
      <c r="K734">
        <v>110001123276</v>
      </c>
      <c r="M734">
        <v>4952</v>
      </c>
      <c r="R734">
        <v>5.2014416250000002</v>
      </c>
      <c r="W734" t="s">
        <v>1814</v>
      </c>
      <c r="X734" t="s">
        <v>1815</v>
      </c>
      <c r="Y734">
        <v>5110002001123</v>
      </c>
      <c r="AA734" t="s">
        <v>1465</v>
      </c>
      <c r="AB734" t="s">
        <v>263</v>
      </c>
    </row>
    <row r="735" spans="1:28" x14ac:dyDescent="0.25">
      <c r="A735">
        <v>2019</v>
      </c>
      <c r="C735" t="s">
        <v>1816</v>
      </c>
      <c r="D735" t="s">
        <v>497</v>
      </c>
      <c r="E735" t="s">
        <v>498</v>
      </c>
      <c r="F735" t="s">
        <v>338</v>
      </c>
      <c r="G735">
        <v>8066</v>
      </c>
      <c r="H735">
        <v>39.852891</v>
      </c>
      <c r="I735">
        <v>-75.225210000000004</v>
      </c>
      <c r="K735">
        <v>110064625730</v>
      </c>
      <c r="M735">
        <v>4952</v>
      </c>
      <c r="R735">
        <v>6.5976999999999997</v>
      </c>
      <c r="W735" t="s">
        <v>870</v>
      </c>
      <c r="X735" t="s">
        <v>871</v>
      </c>
      <c r="Y735">
        <v>2040202000030</v>
      </c>
      <c r="AA735" t="s">
        <v>1465</v>
      </c>
      <c r="AB735" t="s">
        <v>263</v>
      </c>
    </row>
    <row r="736" spans="1:28" x14ac:dyDescent="0.25">
      <c r="A736">
        <v>2019</v>
      </c>
      <c r="C736" t="s">
        <v>155</v>
      </c>
      <c r="D736" t="s">
        <v>499</v>
      </c>
      <c r="E736" t="s">
        <v>500</v>
      </c>
      <c r="F736" t="s">
        <v>303</v>
      </c>
      <c r="G736">
        <v>70805</v>
      </c>
      <c r="H736">
        <v>30.558889000000001</v>
      </c>
      <c r="I736">
        <v>-91.217500000000001</v>
      </c>
      <c r="K736">
        <v>110012254363</v>
      </c>
      <c r="M736">
        <v>4491</v>
      </c>
      <c r="R736">
        <v>6.5672588749999901E-5</v>
      </c>
      <c r="W736" t="s">
        <v>872</v>
      </c>
      <c r="Y736">
        <v>8070201006484</v>
      </c>
      <c r="AA736" t="s">
        <v>1465</v>
      </c>
      <c r="AB736" t="s">
        <v>263</v>
      </c>
    </row>
    <row r="737" spans="1:28" x14ac:dyDescent="0.25">
      <c r="A737">
        <v>2019</v>
      </c>
      <c r="C737" t="s">
        <v>1146</v>
      </c>
      <c r="D737" t="s">
        <v>1827</v>
      </c>
      <c r="E737" t="s">
        <v>1147</v>
      </c>
      <c r="F737" t="s">
        <v>491</v>
      </c>
      <c r="G737">
        <v>19067</v>
      </c>
      <c r="H737">
        <v>40.159343999999997</v>
      </c>
      <c r="I737">
        <v>-74.776695000000004</v>
      </c>
      <c r="K737">
        <v>110000817439</v>
      </c>
      <c r="M737">
        <v>4953</v>
      </c>
      <c r="R737">
        <v>6.7976701822499999E-2</v>
      </c>
      <c r="W737" t="s">
        <v>1828</v>
      </c>
      <c r="X737" t="s">
        <v>1829</v>
      </c>
      <c r="Y737">
        <v>2040201000496</v>
      </c>
      <c r="AA737" t="s">
        <v>1465</v>
      </c>
      <c r="AB737" t="s">
        <v>1466</v>
      </c>
    </row>
    <row r="738" spans="1:28" x14ac:dyDescent="0.25">
      <c r="A738">
        <v>2019</v>
      </c>
      <c r="C738" t="s">
        <v>1148</v>
      </c>
      <c r="D738" t="s">
        <v>1831</v>
      </c>
      <c r="E738" t="s">
        <v>1149</v>
      </c>
      <c r="F738" t="s">
        <v>324</v>
      </c>
      <c r="G738">
        <v>42234</v>
      </c>
      <c r="H738">
        <v>36.644849999999998</v>
      </c>
      <c r="I738">
        <v>-87.187950000000001</v>
      </c>
      <c r="K738">
        <v>110009937499</v>
      </c>
      <c r="M738">
        <v>4952</v>
      </c>
      <c r="R738">
        <v>1.0534128125</v>
      </c>
      <c r="W738" t="s">
        <v>1832</v>
      </c>
      <c r="X738" t="s">
        <v>1833</v>
      </c>
      <c r="Y738">
        <v>5130206000361</v>
      </c>
      <c r="AA738" t="s">
        <v>1465</v>
      </c>
      <c r="AB738" t="s">
        <v>263</v>
      </c>
    </row>
    <row r="739" spans="1:28" x14ac:dyDescent="0.25">
      <c r="A739">
        <v>2019</v>
      </c>
      <c r="C739" t="s">
        <v>1150</v>
      </c>
      <c r="D739" t="s">
        <v>1835</v>
      </c>
      <c r="E739" t="s">
        <v>1151</v>
      </c>
      <c r="F739" t="s">
        <v>338</v>
      </c>
      <c r="G739">
        <v>8610</v>
      </c>
      <c r="H739">
        <v>40.183062999999997</v>
      </c>
      <c r="I739">
        <v>-74.710695000000001</v>
      </c>
      <c r="K739">
        <v>110056977080</v>
      </c>
      <c r="M739">
        <v>4952</v>
      </c>
      <c r="R739">
        <v>1.4415342824999999</v>
      </c>
      <c r="W739" t="s">
        <v>1836</v>
      </c>
      <c r="X739" t="s">
        <v>1837</v>
      </c>
      <c r="Y739">
        <v>2040201000021</v>
      </c>
      <c r="AA739" t="s">
        <v>1465</v>
      </c>
      <c r="AB739" t="s">
        <v>263</v>
      </c>
    </row>
    <row r="740" spans="1:28" x14ac:dyDescent="0.25">
      <c r="A740">
        <v>2019</v>
      </c>
      <c r="C740" t="s">
        <v>1152</v>
      </c>
      <c r="D740" t="s">
        <v>1840</v>
      </c>
      <c r="E740" t="s">
        <v>1153</v>
      </c>
      <c r="F740" t="s">
        <v>338</v>
      </c>
      <c r="G740">
        <v>8038</v>
      </c>
      <c r="H740">
        <v>39.507057000000003</v>
      </c>
      <c r="I740">
        <v>-75.463615000000004</v>
      </c>
      <c r="K740">
        <v>110009838168</v>
      </c>
      <c r="M740">
        <v>4952</v>
      </c>
      <c r="R740">
        <v>1.22881745454545E-3</v>
      </c>
      <c r="W740" t="s">
        <v>1841</v>
      </c>
      <c r="X740" t="s">
        <v>1842</v>
      </c>
      <c r="Y740">
        <v>2040206000172</v>
      </c>
      <c r="AA740" t="s">
        <v>1465</v>
      </c>
      <c r="AB740" t="s">
        <v>263</v>
      </c>
    </row>
    <row r="741" spans="1:28" x14ac:dyDescent="0.25">
      <c r="A741">
        <v>2019</v>
      </c>
      <c r="C741" t="s">
        <v>1156</v>
      </c>
      <c r="D741" t="s">
        <v>1849</v>
      </c>
      <c r="E741" t="s">
        <v>1157</v>
      </c>
      <c r="F741" t="s">
        <v>366</v>
      </c>
      <c r="G741">
        <v>956409626</v>
      </c>
      <c r="H741">
        <v>38.273180000000004</v>
      </c>
      <c r="I741">
        <v>-120.91082</v>
      </c>
      <c r="K741">
        <v>110064616296</v>
      </c>
      <c r="M741">
        <v>4952</v>
      </c>
      <c r="R741">
        <v>8.6345312500000007E-3</v>
      </c>
      <c r="W741" t="s">
        <v>1850</v>
      </c>
      <c r="X741" t="s">
        <v>1851</v>
      </c>
      <c r="Y741">
        <v>18040012024994</v>
      </c>
      <c r="AA741" t="s">
        <v>1465</v>
      </c>
      <c r="AB741" t="s">
        <v>263</v>
      </c>
    </row>
    <row r="742" spans="1:28" x14ac:dyDescent="0.25">
      <c r="A742">
        <v>2019</v>
      </c>
      <c r="C742" t="s">
        <v>1158</v>
      </c>
      <c r="D742" t="s">
        <v>1852</v>
      </c>
      <c r="E742" t="s">
        <v>1159</v>
      </c>
      <c r="F742" t="s">
        <v>324</v>
      </c>
      <c r="G742">
        <v>40330</v>
      </c>
      <c r="H742">
        <v>37.776316000000001</v>
      </c>
      <c r="I742">
        <v>-84.867384999999999</v>
      </c>
      <c r="K742">
        <v>110000732324</v>
      </c>
      <c r="M742">
        <v>4952</v>
      </c>
      <c r="R742">
        <v>1.8070347</v>
      </c>
      <c r="W742" t="s">
        <v>1853</v>
      </c>
      <c r="X742" t="s">
        <v>1854</v>
      </c>
      <c r="Y742">
        <v>5140102000788</v>
      </c>
      <c r="AA742" t="s">
        <v>1465</v>
      </c>
      <c r="AB742" t="s">
        <v>263</v>
      </c>
    </row>
    <row r="743" spans="1:28" x14ac:dyDescent="0.25">
      <c r="A743">
        <v>2019</v>
      </c>
      <c r="C743" t="s">
        <v>1160</v>
      </c>
      <c r="D743" t="s">
        <v>1856</v>
      </c>
      <c r="E743" t="s">
        <v>1103</v>
      </c>
      <c r="F743" t="s">
        <v>345</v>
      </c>
      <c r="G743" t="s">
        <v>1857</v>
      </c>
      <c r="H743">
        <v>41.304952</v>
      </c>
      <c r="I743">
        <v>-88.561650999999998</v>
      </c>
      <c r="J743" t="s">
        <v>720</v>
      </c>
      <c r="K743">
        <v>110000433022</v>
      </c>
      <c r="M743">
        <v>2821</v>
      </c>
      <c r="R743">
        <v>6.4475056689342294E-2</v>
      </c>
      <c r="W743" t="s">
        <v>1858</v>
      </c>
      <c r="X743" t="s">
        <v>1859</v>
      </c>
      <c r="Y743">
        <v>7120005000124</v>
      </c>
      <c r="AA743" t="s">
        <v>1465</v>
      </c>
      <c r="AB743" t="s">
        <v>1466</v>
      </c>
    </row>
    <row r="744" spans="1:28" x14ac:dyDescent="0.25">
      <c r="A744">
        <v>2019</v>
      </c>
      <c r="C744" t="s">
        <v>1161</v>
      </c>
      <c r="D744" t="s">
        <v>1861</v>
      </c>
      <c r="E744" t="s">
        <v>1162</v>
      </c>
      <c r="F744" t="s">
        <v>338</v>
      </c>
      <c r="G744">
        <v>80271164</v>
      </c>
      <c r="H744">
        <v>39.827696000000003</v>
      </c>
      <c r="I744">
        <v>-75.277782000000002</v>
      </c>
      <c r="K744">
        <v>110070210457</v>
      </c>
      <c r="M744">
        <v>2869</v>
      </c>
      <c r="R744">
        <v>4.9808707499999997E-3</v>
      </c>
      <c r="W744" t="s">
        <v>1862</v>
      </c>
      <c r="X744" t="s">
        <v>783</v>
      </c>
      <c r="Y744">
        <v>2040202001793</v>
      </c>
      <c r="AA744" t="s">
        <v>1465</v>
      </c>
      <c r="AB744" t="s">
        <v>1466</v>
      </c>
    </row>
    <row r="745" spans="1:28" x14ac:dyDescent="0.25">
      <c r="A745">
        <v>2019</v>
      </c>
      <c r="C745" t="s">
        <v>158</v>
      </c>
      <c r="D745" t="s">
        <v>508</v>
      </c>
      <c r="E745" t="s">
        <v>509</v>
      </c>
      <c r="F745" t="s">
        <v>294</v>
      </c>
      <c r="G745">
        <v>220034935</v>
      </c>
      <c r="H745">
        <v>38.824719999999999</v>
      </c>
      <c r="I745">
        <v>-77.214320000000001</v>
      </c>
      <c r="K745">
        <v>110070544907</v>
      </c>
      <c r="M745">
        <v>1794</v>
      </c>
      <c r="R745">
        <v>2.1119789024999901E-3</v>
      </c>
      <c r="W745" t="s">
        <v>876</v>
      </c>
      <c r="X745" t="s">
        <v>877</v>
      </c>
      <c r="AA745" t="s">
        <v>1465</v>
      </c>
      <c r="AB745" t="s">
        <v>1466</v>
      </c>
    </row>
    <row r="746" spans="1:28" x14ac:dyDescent="0.25">
      <c r="A746">
        <v>2019</v>
      </c>
      <c r="C746" t="s">
        <v>1163</v>
      </c>
      <c r="D746" t="s">
        <v>1865</v>
      </c>
      <c r="E746" t="s">
        <v>987</v>
      </c>
      <c r="F746" t="s">
        <v>324</v>
      </c>
      <c r="G746" t="s">
        <v>1866</v>
      </c>
      <c r="H746">
        <v>38.322221999999996</v>
      </c>
      <c r="I746">
        <v>-85.555000000000007</v>
      </c>
      <c r="K746">
        <v>110000732271</v>
      </c>
      <c r="M746">
        <v>4952</v>
      </c>
      <c r="R746">
        <v>14.512920125000001</v>
      </c>
      <c r="W746" t="s">
        <v>1867</v>
      </c>
      <c r="X746" t="s">
        <v>1868</v>
      </c>
      <c r="Y746">
        <v>5140101000441</v>
      </c>
      <c r="AA746" t="s">
        <v>1465</v>
      </c>
      <c r="AB746" t="s">
        <v>263</v>
      </c>
    </row>
    <row r="747" spans="1:28" x14ac:dyDescent="0.25">
      <c r="A747">
        <v>2019</v>
      </c>
      <c r="C747" t="s">
        <v>1164</v>
      </c>
      <c r="D747" t="s">
        <v>1869</v>
      </c>
      <c r="E747" t="s">
        <v>968</v>
      </c>
      <c r="F747" t="s">
        <v>294</v>
      </c>
      <c r="G747">
        <v>22314</v>
      </c>
      <c r="H747">
        <v>38.803621</v>
      </c>
      <c r="I747">
        <v>-77.069773999999995</v>
      </c>
      <c r="K747">
        <v>110070546529</v>
      </c>
      <c r="M747">
        <v>1794</v>
      </c>
      <c r="R747">
        <v>7.4323636363636298E-4</v>
      </c>
      <c r="W747" t="s">
        <v>1870</v>
      </c>
      <c r="X747" t="s">
        <v>1788</v>
      </c>
      <c r="AA747" t="s">
        <v>1465</v>
      </c>
      <c r="AB747" t="s">
        <v>1466</v>
      </c>
    </row>
    <row r="748" spans="1:28" x14ac:dyDescent="0.25">
      <c r="A748">
        <v>2019</v>
      </c>
      <c r="C748" t="s">
        <v>1167</v>
      </c>
      <c r="D748" t="s">
        <v>1875</v>
      </c>
      <c r="E748" t="s">
        <v>1168</v>
      </c>
      <c r="F748" t="s">
        <v>338</v>
      </c>
      <c r="G748">
        <v>79621057</v>
      </c>
      <c r="H748">
        <v>40.792712999999999</v>
      </c>
      <c r="I748">
        <v>-74.434799999999996</v>
      </c>
      <c r="K748">
        <v>110070212650</v>
      </c>
      <c r="M748">
        <v>8731</v>
      </c>
      <c r="R748">
        <v>3.4402584149999901E-2</v>
      </c>
      <c r="W748" t="s">
        <v>1876</v>
      </c>
      <c r="X748" t="s">
        <v>1877</v>
      </c>
      <c r="Y748">
        <v>2030103000384</v>
      </c>
      <c r="AA748" t="s">
        <v>1465</v>
      </c>
      <c r="AB748" t="s">
        <v>1466</v>
      </c>
    </row>
    <row r="749" spans="1:28" x14ac:dyDescent="0.25">
      <c r="A749">
        <v>2019</v>
      </c>
      <c r="C749" t="s">
        <v>1169</v>
      </c>
      <c r="D749" t="s">
        <v>1882</v>
      </c>
      <c r="E749" t="s">
        <v>1170</v>
      </c>
      <c r="F749" t="s">
        <v>1171</v>
      </c>
      <c r="G749">
        <v>96706</v>
      </c>
      <c r="H749">
        <v>21.329699999999999</v>
      </c>
      <c r="I749">
        <v>-158.03559999999999</v>
      </c>
      <c r="K749">
        <v>110020728943</v>
      </c>
      <c r="M749">
        <v>4952</v>
      </c>
      <c r="R749">
        <v>0.29187382536000001</v>
      </c>
      <c r="W749" t="s">
        <v>1883</v>
      </c>
      <c r="X749" t="s">
        <v>926</v>
      </c>
      <c r="Y749">
        <v>20060000002243</v>
      </c>
      <c r="AA749" t="s">
        <v>1465</v>
      </c>
      <c r="AB749" t="s">
        <v>263</v>
      </c>
    </row>
    <row r="750" spans="1:28" x14ac:dyDescent="0.25">
      <c r="A750">
        <v>2019</v>
      </c>
      <c r="C750" t="s">
        <v>1172</v>
      </c>
      <c r="D750" t="s">
        <v>1884</v>
      </c>
      <c r="E750" t="s">
        <v>1173</v>
      </c>
      <c r="F750" t="s">
        <v>324</v>
      </c>
      <c r="G750">
        <v>42240</v>
      </c>
      <c r="H750">
        <v>36.803610999999997</v>
      </c>
      <c r="I750">
        <v>-87.516389000000004</v>
      </c>
      <c r="K750">
        <v>110039994897</v>
      </c>
      <c r="M750">
        <v>4952</v>
      </c>
      <c r="R750">
        <v>5.709842825</v>
      </c>
      <c r="W750" t="s">
        <v>1885</v>
      </c>
      <c r="X750" t="s">
        <v>1886</v>
      </c>
      <c r="Y750">
        <v>5130205000237</v>
      </c>
      <c r="AA750" t="s">
        <v>1465</v>
      </c>
      <c r="AB750" t="s">
        <v>263</v>
      </c>
    </row>
    <row r="751" spans="1:28" x14ac:dyDescent="0.25">
      <c r="A751">
        <v>2019</v>
      </c>
      <c r="C751" t="s">
        <v>1174</v>
      </c>
      <c r="D751" t="s">
        <v>1888</v>
      </c>
      <c r="E751" t="s">
        <v>1175</v>
      </c>
      <c r="F751" t="s">
        <v>506</v>
      </c>
      <c r="G751">
        <v>21104</v>
      </c>
      <c r="H751">
        <v>39.307180000000002</v>
      </c>
      <c r="I751">
        <v>-76.898619999999994</v>
      </c>
      <c r="K751">
        <v>110043668563</v>
      </c>
      <c r="M751">
        <v>4953</v>
      </c>
      <c r="R751">
        <v>2.7814538433499898E-3</v>
      </c>
      <c r="W751" t="s">
        <v>1889</v>
      </c>
      <c r="X751" t="s">
        <v>1890</v>
      </c>
      <c r="Y751">
        <v>2060003000653</v>
      </c>
      <c r="AA751" t="s">
        <v>1465</v>
      </c>
      <c r="AB751" t="s">
        <v>1466</v>
      </c>
    </row>
    <row r="752" spans="1:28" x14ac:dyDescent="0.25">
      <c r="A752">
        <v>2019</v>
      </c>
      <c r="C752" t="s">
        <v>1177</v>
      </c>
      <c r="D752" t="s">
        <v>1894</v>
      </c>
      <c r="E752" t="s">
        <v>1178</v>
      </c>
      <c r="F752" t="s">
        <v>308</v>
      </c>
      <c r="G752">
        <v>1803</v>
      </c>
      <c r="H752">
        <v>42.482259999999997</v>
      </c>
      <c r="I752">
        <v>-71.191800000000001</v>
      </c>
      <c r="K752">
        <v>110024468128</v>
      </c>
      <c r="R752">
        <v>2.2209840637499999E-2</v>
      </c>
      <c r="W752" t="s">
        <v>1895</v>
      </c>
      <c r="X752" t="s">
        <v>1896</v>
      </c>
      <c r="Y752">
        <v>1070006000619</v>
      </c>
      <c r="AA752" t="s">
        <v>1465</v>
      </c>
      <c r="AB752" t="s">
        <v>1466</v>
      </c>
    </row>
    <row r="753" spans="1:28" x14ac:dyDescent="0.25">
      <c r="A753">
        <v>2019</v>
      </c>
      <c r="C753" t="s">
        <v>1179</v>
      </c>
      <c r="D753" t="s">
        <v>1897</v>
      </c>
      <c r="E753" t="s">
        <v>1180</v>
      </c>
      <c r="F753" t="s">
        <v>450</v>
      </c>
      <c r="G753">
        <v>13760</v>
      </c>
      <c r="H753">
        <v>42.107010000000002</v>
      </c>
      <c r="I753">
        <v>-76.051990000000004</v>
      </c>
      <c r="K753">
        <v>110041145926</v>
      </c>
      <c r="M753">
        <v>3471</v>
      </c>
      <c r="R753">
        <v>0.14769601697875001</v>
      </c>
      <c r="W753" t="s">
        <v>1898</v>
      </c>
      <c r="X753" t="s">
        <v>1899</v>
      </c>
      <c r="Y753">
        <v>2050103001134</v>
      </c>
      <c r="AA753" t="s">
        <v>1465</v>
      </c>
      <c r="AB753" t="s">
        <v>1466</v>
      </c>
    </row>
    <row r="754" spans="1:28" x14ac:dyDescent="0.25">
      <c r="A754">
        <v>2019</v>
      </c>
      <c r="C754" t="s">
        <v>1181</v>
      </c>
      <c r="D754" t="s">
        <v>1903</v>
      </c>
      <c r="E754" t="s">
        <v>1182</v>
      </c>
      <c r="F754" t="s">
        <v>345</v>
      </c>
      <c r="G754">
        <v>60439</v>
      </c>
      <c r="H754">
        <v>41.692782000000001</v>
      </c>
      <c r="I754">
        <v>-87.951100999999994</v>
      </c>
      <c r="K754">
        <v>110018199377</v>
      </c>
      <c r="M754">
        <v>4226</v>
      </c>
      <c r="R754">
        <v>2.9448246249999999</v>
      </c>
      <c r="W754" t="s">
        <v>1904</v>
      </c>
      <c r="X754" t="s">
        <v>1905</v>
      </c>
      <c r="Y754">
        <v>7120004000954</v>
      </c>
      <c r="AA754" t="s">
        <v>1465</v>
      </c>
      <c r="AB754" t="s">
        <v>1466</v>
      </c>
    </row>
    <row r="755" spans="1:28" x14ac:dyDescent="0.25">
      <c r="A755">
        <v>2019</v>
      </c>
      <c r="C755" t="s">
        <v>1183</v>
      </c>
      <c r="D755" t="s">
        <v>377</v>
      </c>
      <c r="E755" t="s">
        <v>480</v>
      </c>
      <c r="F755" t="s">
        <v>362</v>
      </c>
      <c r="G755">
        <v>77978</v>
      </c>
      <c r="H755">
        <v>28.642944</v>
      </c>
      <c r="I755">
        <v>-96.547611000000003</v>
      </c>
      <c r="K755">
        <v>110063004528</v>
      </c>
      <c r="M755">
        <v>4491</v>
      </c>
      <c r="R755">
        <v>6.5813579999999998E-3</v>
      </c>
      <c r="W755" t="s">
        <v>804</v>
      </c>
      <c r="X755" t="s">
        <v>805</v>
      </c>
      <c r="Y755">
        <v>12100401000758</v>
      </c>
      <c r="AA755" t="s">
        <v>1465</v>
      </c>
      <c r="AB755" t="s">
        <v>1466</v>
      </c>
    </row>
    <row r="756" spans="1:28" x14ac:dyDescent="0.25">
      <c r="A756">
        <v>2019</v>
      </c>
      <c r="C756" t="s">
        <v>1185</v>
      </c>
      <c r="D756" t="s">
        <v>1911</v>
      </c>
      <c r="E756" t="s">
        <v>968</v>
      </c>
      <c r="F756" t="s">
        <v>294</v>
      </c>
      <c r="G756">
        <v>22305</v>
      </c>
      <c r="H756">
        <v>38.840600000000002</v>
      </c>
      <c r="I756">
        <v>-77.068200000000004</v>
      </c>
      <c r="K756">
        <v>110070598729</v>
      </c>
      <c r="M756">
        <v>1794</v>
      </c>
      <c r="R756">
        <v>1.42196393999999E-4</v>
      </c>
      <c r="W756" t="s">
        <v>1912</v>
      </c>
      <c r="X756" t="s">
        <v>1475</v>
      </c>
      <c r="AA756" t="s">
        <v>1465</v>
      </c>
      <c r="AB756" t="s">
        <v>1466</v>
      </c>
    </row>
    <row r="757" spans="1:28" x14ac:dyDescent="0.25">
      <c r="A757">
        <v>2019</v>
      </c>
      <c r="C757" t="s">
        <v>1186</v>
      </c>
      <c r="D757" t="s">
        <v>1913</v>
      </c>
      <c r="E757" t="s">
        <v>1187</v>
      </c>
      <c r="F757" t="s">
        <v>478</v>
      </c>
      <c r="G757">
        <v>19973</v>
      </c>
      <c r="H757">
        <v>38.624206999999998</v>
      </c>
      <c r="I757">
        <v>-75.628699999999995</v>
      </c>
      <c r="K757">
        <v>110064631849</v>
      </c>
      <c r="M757">
        <v>2821</v>
      </c>
      <c r="R757">
        <v>1.8276643990929701E-4</v>
      </c>
      <c r="W757" t="s">
        <v>1914</v>
      </c>
      <c r="X757" t="s">
        <v>1915</v>
      </c>
      <c r="Y757">
        <v>2080109011489</v>
      </c>
      <c r="AA757" t="s">
        <v>1465</v>
      </c>
      <c r="AB757" t="s">
        <v>1466</v>
      </c>
    </row>
    <row r="758" spans="1:28" x14ac:dyDescent="0.25">
      <c r="A758">
        <v>2019</v>
      </c>
      <c r="C758" t="s">
        <v>1190</v>
      </c>
      <c r="D758" t="s">
        <v>1920</v>
      </c>
      <c r="E758" t="s">
        <v>1191</v>
      </c>
      <c r="F758" t="s">
        <v>491</v>
      </c>
      <c r="G758">
        <v>17853</v>
      </c>
      <c r="H758">
        <v>40.725278000000003</v>
      </c>
      <c r="I758">
        <v>-77.056944000000001</v>
      </c>
      <c r="K758">
        <v>110017796330</v>
      </c>
      <c r="M758">
        <v>3645</v>
      </c>
      <c r="R758">
        <v>4.3566038181818102E-3</v>
      </c>
      <c r="W758" t="s">
        <v>1921</v>
      </c>
      <c r="X758" t="s">
        <v>1922</v>
      </c>
      <c r="Y758">
        <v>2050301000478</v>
      </c>
      <c r="AA758" t="s">
        <v>1465</v>
      </c>
      <c r="AB758" t="s">
        <v>1466</v>
      </c>
    </row>
    <row r="759" spans="1:28" x14ac:dyDescent="0.25">
      <c r="A759">
        <v>2019</v>
      </c>
      <c r="C759" t="s">
        <v>1192</v>
      </c>
      <c r="D759" t="s">
        <v>1924</v>
      </c>
      <c r="E759" t="s">
        <v>323</v>
      </c>
      <c r="F759" t="s">
        <v>324</v>
      </c>
      <c r="G759">
        <v>420290037</v>
      </c>
      <c r="H759">
        <v>37.047736999999998</v>
      </c>
      <c r="I759">
        <v>-88.35866</v>
      </c>
      <c r="J759" t="s">
        <v>721</v>
      </c>
      <c r="K759">
        <v>110000741608</v>
      </c>
      <c r="M759">
        <v>2869</v>
      </c>
      <c r="R759">
        <v>4.3038548752834398</v>
      </c>
      <c r="W759" t="s">
        <v>1925</v>
      </c>
      <c r="X759" t="s">
        <v>1926</v>
      </c>
      <c r="Y759">
        <v>6040006000329</v>
      </c>
      <c r="AA759" t="s">
        <v>1465</v>
      </c>
      <c r="AB759" t="s">
        <v>1466</v>
      </c>
    </row>
    <row r="760" spans="1:28" x14ac:dyDescent="0.25">
      <c r="A760">
        <v>2019</v>
      </c>
      <c r="C760" t="s">
        <v>1193</v>
      </c>
      <c r="D760" t="s">
        <v>1927</v>
      </c>
      <c r="E760" t="s">
        <v>293</v>
      </c>
      <c r="F760" t="s">
        <v>294</v>
      </c>
      <c r="G760">
        <v>22203</v>
      </c>
      <c r="H760">
        <v>38.861800000000002</v>
      </c>
      <c r="I760">
        <v>-77.086969999999994</v>
      </c>
      <c r="K760">
        <v>110070546877</v>
      </c>
      <c r="M760">
        <v>1794</v>
      </c>
      <c r="R760">
        <v>4.4856072849999901E-4</v>
      </c>
      <c r="W760" t="s">
        <v>1928</v>
      </c>
      <c r="X760" t="s">
        <v>1475</v>
      </c>
      <c r="AA760" t="s">
        <v>1465</v>
      </c>
      <c r="AB760" t="s">
        <v>1466</v>
      </c>
    </row>
    <row r="761" spans="1:28" x14ac:dyDescent="0.25">
      <c r="A761">
        <v>2019</v>
      </c>
      <c r="C761" t="s">
        <v>1200</v>
      </c>
      <c r="D761" t="s">
        <v>1938</v>
      </c>
      <c r="E761" t="s">
        <v>1201</v>
      </c>
      <c r="F761" t="s">
        <v>324</v>
      </c>
      <c r="G761">
        <v>40359</v>
      </c>
      <c r="H761">
        <v>38.540579999999999</v>
      </c>
      <c r="I761">
        <v>-84.835340000000002</v>
      </c>
      <c r="K761">
        <v>110009938737</v>
      </c>
      <c r="M761">
        <v>4952</v>
      </c>
      <c r="R761">
        <v>0.65795128125000002</v>
      </c>
      <c r="W761" t="s">
        <v>1939</v>
      </c>
      <c r="X761" t="s">
        <v>1940</v>
      </c>
      <c r="Y761">
        <v>5100205000633</v>
      </c>
      <c r="AA761" t="s">
        <v>1465</v>
      </c>
      <c r="AB761" t="s">
        <v>1466</v>
      </c>
    </row>
    <row r="762" spans="1:28" x14ac:dyDescent="0.25">
      <c r="A762">
        <v>2019</v>
      </c>
      <c r="C762" t="s">
        <v>1208</v>
      </c>
      <c r="D762" t="s">
        <v>1951</v>
      </c>
      <c r="E762" t="s">
        <v>446</v>
      </c>
      <c r="F762" t="s">
        <v>303</v>
      </c>
      <c r="G762">
        <v>70669</v>
      </c>
      <c r="H762">
        <v>30.214192000000001</v>
      </c>
      <c r="I762">
        <v>-93.308589999999995</v>
      </c>
      <c r="K762">
        <v>110070227146</v>
      </c>
      <c r="M762">
        <v>2869</v>
      </c>
      <c r="R762">
        <v>4.8832199546485198</v>
      </c>
      <c r="W762" t="s">
        <v>1952</v>
      </c>
      <c r="Y762">
        <v>8080206000066</v>
      </c>
      <c r="AA762" t="s">
        <v>1465</v>
      </c>
      <c r="AB762" t="s">
        <v>1466</v>
      </c>
    </row>
    <row r="763" spans="1:28" x14ac:dyDescent="0.25">
      <c r="A763">
        <v>2019</v>
      </c>
      <c r="C763" t="s">
        <v>1210</v>
      </c>
      <c r="D763" t="s">
        <v>1956</v>
      </c>
      <c r="E763" t="s">
        <v>657</v>
      </c>
      <c r="F763" t="s">
        <v>418</v>
      </c>
      <c r="G763">
        <v>89101</v>
      </c>
      <c r="H763">
        <v>36.16478</v>
      </c>
      <c r="I763">
        <v>-115.14067</v>
      </c>
      <c r="K763">
        <v>110017237373</v>
      </c>
      <c r="M763">
        <v>8211</v>
      </c>
      <c r="R763">
        <v>5.1807187500000002E-4</v>
      </c>
      <c r="W763" t="s">
        <v>1957</v>
      </c>
      <c r="X763" t="s">
        <v>1893</v>
      </c>
      <c r="Y763">
        <v>15010015000125</v>
      </c>
      <c r="AA763" t="s">
        <v>1465</v>
      </c>
      <c r="AB763" t="s">
        <v>1466</v>
      </c>
    </row>
    <row r="764" spans="1:28" x14ac:dyDescent="0.25">
      <c r="A764">
        <v>2019</v>
      </c>
      <c r="C764" t="s">
        <v>167</v>
      </c>
      <c r="D764" t="s">
        <v>543</v>
      </c>
      <c r="E764" t="s">
        <v>544</v>
      </c>
      <c r="F764" t="s">
        <v>338</v>
      </c>
      <c r="G764">
        <v>7036</v>
      </c>
      <c r="H764">
        <v>40.610097000000003</v>
      </c>
      <c r="I764">
        <v>-74.204927999999995</v>
      </c>
      <c r="K764">
        <v>110002468669</v>
      </c>
      <c r="M764">
        <v>2841</v>
      </c>
      <c r="R764">
        <v>0.55881740000000002</v>
      </c>
      <c r="W764" t="s">
        <v>892</v>
      </c>
      <c r="X764" t="s">
        <v>893</v>
      </c>
      <c r="Y764">
        <v>2030104000564</v>
      </c>
      <c r="AA764" t="s">
        <v>1465</v>
      </c>
      <c r="AB764" t="s">
        <v>1466</v>
      </c>
    </row>
    <row r="765" spans="1:28" x14ac:dyDescent="0.25">
      <c r="A765">
        <v>2019</v>
      </c>
      <c r="C765" t="s">
        <v>1212</v>
      </c>
      <c r="D765" t="s">
        <v>1963</v>
      </c>
      <c r="E765" t="s">
        <v>1213</v>
      </c>
      <c r="F765" t="s">
        <v>1128</v>
      </c>
      <c r="G765">
        <v>80125</v>
      </c>
      <c r="H765">
        <v>39.496341999999999</v>
      </c>
      <c r="I765">
        <v>-105.10758800000001</v>
      </c>
      <c r="J765" t="s">
        <v>724</v>
      </c>
      <c r="K765">
        <v>110000610429</v>
      </c>
      <c r="M765">
        <v>3761</v>
      </c>
      <c r="R765">
        <v>3.9738715000000001E-2</v>
      </c>
      <c r="W765" t="s">
        <v>1964</v>
      </c>
      <c r="X765" t="s">
        <v>1965</v>
      </c>
      <c r="Y765">
        <v>10190002000856</v>
      </c>
      <c r="AA765" t="s">
        <v>1465</v>
      </c>
      <c r="AB765" t="s">
        <v>1466</v>
      </c>
    </row>
    <row r="766" spans="1:28" x14ac:dyDescent="0.25">
      <c r="A766">
        <v>2019</v>
      </c>
      <c r="C766" t="s">
        <v>168</v>
      </c>
      <c r="D766" t="s">
        <v>546</v>
      </c>
      <c r="E766" t="s">
        <v>547</v>
      </c>
      <c r="F766" t="s">
        <v>366</v>
      </c>
      <c r="G766">
        <v>93436</v>
      </c>
      <c r="H766">
        <v>34.661079999999998</v>
      </c>
      <c r="I766">
        <v>-120.48135000000001</v>
      </c>
      <c r="K766">
        <v>110009547222</v>
      </c>
      <c r="M766">
        <v>4952</v>
      </c>
      <c r="R766">
        <v>1.0603204374999999</v>
      </c>
      <c r="W766" t="s">
        <v>894</v>
      </c>
      <c r="X766" t="s">
        <v>895</v>
      </c>
      <c r="Y766">
        <v>18060010000006</v>
      </c>
      <c r="AA766" t="s">
        <v>1465</v>
      </c>
      <c r="AB766" t="s">
        <v>263</v>
      </c>
    </row>
    <row r="767" spans="1:28" x14ac:dyDescent="0.25">
      <c r="A767">
        <v>2019</v>
      </c>
      <c r="C767" t="s">
        <v>1220</v>
      </c>
      <c r="D767" t="s">
        <v>1978</v>
      </c>
      <c r="E767" t="s">
        <v>1221</v>
      </c>
      <c r="F767" t="s">
        <v>338</v>
      </c>
      <c r="G767">
        <v>8104</v>
      </c>
      <c r="H767">
        <v>39.919559</v>
      </c>
      <c r="I767">
        <v>-75.125825000000006</v>
      </c>
      <c r="K767">
        <v>110009834581</v>
      </c>
      <c r="M767">
        <v>2087</v>
      </c>
      <c r="R767">
        <v>1.0869705789724999E-2</v>
      </c>
      <c r="W767" t="s">
        <v>1979</v>
      </c>
      <c r="X767" t="s">
        <v>1980</v>
      </c>
      <c r="Y767">
        <v>2040202000065</v>
      </c>
      <c r="AA767" t="s">
        <v>1465</v>
      </c>
      <c r="AB767" t="s">
        <v>1466</v>
      </c>
    </row>
    <row r="768" spans="1:28" x14ac:dyDescent="0.25">
      <c r="A768">
        <v>2019</v>
      </c>
      <c r="C768" t="s">
        <v>169</v>
      </c>
      <c r="D768" t="s">
        <v>548</v>
      </c>
      <c r="E768" t="s">
        <v>549</v>
      </c>
      <c r="F768" t="s">
        <v>366</v>
      </c>
      <c r="G768">
        <v>95959</v>
      </c>
      <c r="H768">
        <v>39.368808999999999</v>
      </c>
      <c r="I768">
        <v>-120.898977</v>
      </c>
      <c r="K768">
        <v>110066354359</v>
      </c>
      <c r="M768">
        <v>1041</v>
      </c>
      <c r="R768">
        <v>1.3065772687500001E-3</v>
      </c>
      <c r="W768" t="s">
        <v>896</v>
      </c>
      <c r="X768" t="s">
        <v>897</v>
      </c>
      <c r="Y768">
        <v>18020125001502</v>
      </c>
      <c r="AA768" t="s">
        <v>1465</v>
      </c>
      <c r="AB768" t="s">
        <v>1466</v>
      </c>
    </row>
    <row r="769" spans="1:28" x14ac:dyDescent="0.25">
      <c r="A769">
        <v>2019</v>
      </c>
      <c r="C769" t="s">
        <v>1222</v>
      </c>
      <c r="D769" t="s">
        <v>1983</v>
      </c>
      <c r="E769" t="s">
        <v>1223</v>
      </c>
      <c r="F769" t="s">
        <v>324</v>
      </c>
      <c r="G769">
        <v>40962</v>
      </c>
      <c r="H769">
        <v>37.177222</v>
      </c>
      <c r="I769">
        <v>-83.761388999999994</v>
      </c>
      <c r="K769">
        <v>110009938808</v>
      </c>
      <c r="M769">
        <v>4952</v>
      </c>
      <c r="R769">
        <v>3.446904875</v>
      </c>
      <c r="W769" t="s">
        <v>1984</v>
      </c>
      <c r="X769" t="s">
        <v>1721</v>
      </c>
      <c r="Y769">
        <v>5100203000072</v>
      </c>
      <c r="AA769" t="s">
        <v>1465</v>
      </c>
      <c r="AB769" t="s">
        <v>263</v>
      </c>
    </row>
    <row r="770" spans="1:28" x14ac:dyDescent="0.25">
      <c r="A770">
        <v>2019</v>
      </c>
      <c r="C770" t="s">
        <v>1224</v>
      </c>
      <c r="D770" t="s">
        <v>1985</v>
      </c>
      <c r="E770" t="s">
        <v>657</v>
      </c>
      <c r="F770" t="s">
        <v>418</v>
      </c>
      <c r="G770">
        <v>89101</v>
      </c>
      <c r="H770">
        <v>36.176639999999999</v>
      </c>
      <c r="I770">
        <v>-115.12891999999999</v>
      </c>
      <c r="K770">
        <v>110008995490</v>
      </c>
      <c r="M770">
        <v>6513</v>
      </c>
      <c r="R770">
        <v>5.9291599187500002E-2</v>
      </c>
      <c r="W770" t="s">
        <v>1986</v>
      </c>
      <c r="X770" t="s">
        <v>952</v>
      </c>
      <c r="Y770">
        <v>15010015000125</v>
      </c>
      <c r="AA770" t="s">
        <v>1465</v>
      </c>
      <c r="AB770" t="s">
        <v>1466</v>
      </c>
    </row>
    <row r="771" spans="1:28" x14ac:dyDescent="0.25">
      <c r="A771">
        <v>2019</v>
      </c>
      <c r="C771" t="s">
        <v>1225</v>
      </c>
      <c r="D771" t="s">
        <v>1987</v>
      </c>
      <c r="E771" t="s">
        <v>1098</v>
      </c>
      <c r="F771" t="s">
        <v>324</v>
      </c>
      <c r="G771">
        <v>41056</v>
      </c>
      <c r="H771">
        <v>38.687221999999998</v>
      </c>
      <c r="I771">
        <v>-83.786666999999994</v>
      </c>
      <c r="K771">
        <v>110000761104</v>
      </c>
      <c r="M771">
        <v>4952</v>
      </c>
      <c r="R771">
        <v>0.46971849999999998</v>
      </c>
      <c r="W771" t="s">
        <v>1988</v>
      </c>
      <c r="X771" t="s">
        <v>830</v>
      </c>
      <c r="Y771">
        <v>5090201002316</v>
      </c>
      <c r="AA771" t="s">
        <v>1465</v>
      </c>
      <c r="AB771" t="s">
        <v>263</v>
      </c>
    </row>
    <row r="772" spans="1:28" x14ac:dyDescent="0.25">
      <c r="A772">
        <v>2019</v>
      </c>
      <c r="C772" t="s">
        <v>1226</v>
      </c>
      <c r="D772" t="s">
        <v>1990</v>
      </c>
      <c r="E772" t="s">
        <v>657</v>
      </c>
      <c r="F772" t="s">
        <v>418</v>
      </c>
      <c r="G772">
        <v>89119</v>
      </c>
      <c r="H772">
        <v>36.075400000000002</v>
      </c>
      <c r="I772">
        <v>-115.1669</v>
      </c>
      <c r="K772">
        <v>110064134459</v>
      </c>
      <c r="M772">
        <v>4581</v>
      </c>
      <c r="R772">
        <v>7.5289327499999999E-3</v>
      </c>
      <c r="W772" t="s">
        <v>1991</v>
      </c>
      <c r="X772" t="s">
        <v>1992</v>
      </c>
      <c r="Y772">
        <v>15010015000139</v>
      </c>
      <c r="AA772" t="s">
        <v>1465</v>
      </c>
      <c r="AB772" t="s">
        <v>1466</v>
      </c>
    </row>
    <row r="773" spans="1:28" x14ac:dyDescent="0.25">
      <c r="A773">
        <v>2019</v>
      </c>
      <c r="C773" t="s">
        <v>1226</v>
      </c>
      <c r="D773" t="s">
        <v>1990</v>
      </c>
      <c r="E773" t="s">
        <v>657</v>
      </c>
      <c r="F773" t="s">
        <v>418</v>
      </c>
      <c r="G773">
        <v>89119</v>
      </c>
      <c r="H773">
        <v>36.075400000000002</v>
      </c>
      <c r="I773">
        <v>-115.1669</v>
      </c>
      <c r="K773">
        <v>110064134459</v>
      </c>
      <c r="M773">
        <v>4581</v>
      </c>
      <c r="R773">
        <v>1.4024844375E-2</v>
      </c>
      <c r="W773" t="s">
        <v>1991</v>
      </c>
      <c r="X773" t="s">
        <v>1992</v>
      </c>
      <c r="Y773">
        <v>15010015000139</v>
      </c>
      <c r="AA773" t="s">
        <v>1465</v>
      </c>
      <c r="AB773" t="s">
        <v>1466</v>
      </c>
    </row>
    <row r="774" spans="1:28" x14ac:dyDescent="0.25">
      <c r="A774">
        <v>2019</v>
      </c>
      <c r="C774" t="s">
        <v>1227</v>
      </c>
      <c r="D774" t="s">
        <v>1993</v>
      </c>
      <c r="E774" t="s">
        <v>1228</v>
      </c>
      <c r="F774" t="s">
        <v>1128</v>
      </c>
      <c r="G774">
        <v>80216</v>
      </c>
      <c r="H774">
        <v>39.781474000000003</v>
      </c>
      <c r="I774">
        <v>-104.97438</v>
      </c>
      <c r="K774">
        <v>110070162955</v>
      </c>
      <c r="M774">
        <v>1629</v>
      </c>
      <c r="R774">
        <v>5.210026005E-4</v>
      </c>
      <c r="W774" t="s">
        <v>1994</v>
      </c>
      <c r="X774" t="s">
        <v>1965</v>
      </c>
      <c r="Y774">
        <v>10190003001246</v>
      </c>
      <c r="AA774" t="s">
        <v>1465</v>
      </c>
      <c r="AB774" t="s">
        <v>1466</v>
      </c>
    </row>
    <row r="775" spans="1:28" x14ac:dyDescent="0.25">
      <c r="A775">
        <v>2019</v>
      </c>
      <c r="C775" t="s">
        <v>1230</v>
      </c>
      <c r="D775" t="s">
        <v>1997</v>
      </c>
      <c r="E775" t="s">
        <v>1231</v>
      </c>
      <c r="F775" t="s">
        <v>541</v>
      </c>
      <c r="G775" t="s">
        <v>1998</v>
      </c>
      <c r="H775">
        <v>34.807729999999999</v>
      </c>
      <c r="I775">
        <v>-82.006420000000006</v>
      </c>
      <c r="K775">
        <v>110000587384</v>
      </c>
      <c r="M775">
        <v>3674</v>
      </c>
      <c r="R775">
        <v>3.0688022999999998E-2</v>
      </c>
      <c r="W775" t="s">
        <v>1999</v>
      </c>
      <c r="X775" t="s">
        <v>2000</v>
      </c>
      <c r="Y775">
        <v>3050107000093</v>
      </c>
      <c r="AA775" t="s">
        <v>1465</v>
      </c>
      <c r="AB775" t="s">
        <v>1466</v>
      </c>
    </row>
    <row r="776" spans="1:28" x14ac:dyDescent="0.25">
      <c r="A776">
        <v>2019</v>
      </c>
      <c r="C776" t="s">
        <v>171</v>
      </c>
      <c r="D776" t="s">
        <v>555</v>
      </c>
      <c r="E776" t="s">
        <v>556</v>
      </c>
      <c r="F776" t="s">
        <v>338</v>
      </c>
      <c r="G776">
        <v>7065</v>
      </c>
      <c r="H776">
        <v>40.612743000000002</v>
      </c>
      <c r="I776">
        <v>-74.260920999999996</v>
      </c>
      <c r="J776" t="s">
        <v>557</v>
      </c>
      <c r="K776">
        <v>110000492020</v>
      </c>
      <c r="M776">
        <v>2833</v>
      </c>
      <c r="R776">
        <v>2.8837183359499998</v>
      </c>
      <c r="W776" t="s">
        <v>900</v>
      </c>
      <c r="X776" t="s">
        <v>901</v>
      </c>
      <c r="Y776">
        <v>2030104000565</v>
      </c>
      <c r="AA776" t="s">
        <v>1465</v>
      </c>
      <c r="AB776" t="s">
        <v>1466</v>
      </c>
    </row>
    <row r="777" spans="1:28" x14ac:dyDescent="0.25">
      <c r="A777">
        <v>2019</v>
      </c>
      <c r="C777" t="s">
        <v>1234</v>
      </c>
      <c r="D777" t="s">
        <v>2008</v>
      </c>
      <c r="E777" t="s">
        <v>361</v>
      </c>
      <c r="F777" t="s">
        <v>362</v>
      </c>
      <c r="G777">
        <v>77571</v>
      </c>
      <c r="H777">
        <v>29.726065999999999</v>
      </c>
      <c r="I777">
        <v>-95.079583999999997</v>
      </c>
      <c r="J777" t="s">
        <v>725</v>
      </c>
      <c r="K777">
        <v>110000463677</v>
      </c>
      <c r="M777">
        <v>2821</v>
      </c>
      <c r="R777">
        <v>1.63877551020408E-3</v>
      </c>
      <c r="W777" t="s">
        <v>2009</v>
      </c>
      <c r="X777" t="s">
        <v>2010</v>
      </c>
      <c r="Y777">
        <v>12040104000661</v>
      </c>
      <c r="AA777" t="s">
        <v>1465</v>
      </c>
      <c r="AB777" t="s">
        <v>1466</v>
      </c>
    </row>
    <row r="778" spans="1:28" x14ac:dyDescent="0.25">
      <c r="A778">
        <v>2019</v>
      </c>
      <c r="C778" t="s">
        <v>1235</v>
      </c>
      <c r="D778" t="s">
        <v>2012</v>
      </c>
      <c r="E778" t="s">
        <v>1236</v>
      </c>
      <c r="F778" t="s">
        <v>450</v>
      </c>
      <c r="G778">
        <v>13502</v>
      </c>
      <c r="H778">
        <v>43.107216000000001</v>
      </c>
      <c r="I778">
        <v>-75.225815999999995</v>
      </c>
      <c r="K778">
        <v>110002321345</v>
      </c>
      <c r="M778">
        <v>5169</v>
      </c>
      <c r="R778">
        <v>7.0432793999999901E-3</v>
      </c>
      <c r="W778" t="s">
        <v>2013</v>
      </c>
      <c r="X778" t="s">
        <v>2014</v>
      </c>
      <c r="Y778">
        <v>2020004002623</v>
      </c>
      <c r="AA778" t="s">
        <v>1465</v>
      </c>
      <c r="AB778" t="s">
        <v>1466</v>
      </c>
    </row>
    <row r="779" spans="1:28" x14ac:dyDescent="0.25">
      <c r="A779">
        <v>2019</v>
      </c>
      <c r="C779" t="s">
        <v>1237</v>
      </c>
      <c r="D779" t="s">
        <v>2016</v>
      </c>
      <c r="E779" t="s">
        <v>1238</v>
      </c>
      <c r="F779" t="s">
        <v>324</v>
      </c>
      <c r="G779">
        <v>40351</v>
      </c>
      <c r="H779">
        <v>38.151904999999999</v>
      </c>
      <c r="I779">
        <v>-83.513848999999993</v>
      </c>
      <c r="K779">
        <v>110045085457</v>
      </c>
      <c r="M779">
        <v>4952</v>
      </c>
      <c r="R779">
        <v>2.3914197750000001</v>
      </c>
      <c r="W779" t="s">
        <v>2017</v>
      </c>
      <c r="X779" t="s">
        <v>2018</v>
      </c>
      <c r="Y779">
        <v>5100101000391</v>
      </c>
      <c r="AA779" t="s">
        <v>1465</v>
      </c>
      <c r="AB779" t="s">
        <v>263</v>
      </c>
    </row>
    <row r="780" spans="1:28" x14ac:dyDescent="0.25">
      <c r="A780">
        <v>2019</v>
      </c>
      <c r="C780" t="s">
        <v>1243</v>
      </c>
      <c r="D780" t="s">
        <v>2027</v>
      </c>
      <c r="E780" t="s">
        <v>1244</v>
      </c>
      <c r="F780" t="s">
        <v>324</v>
      </c>
      <c r="G780">
        <v>40353</v>
      </c>
      <c r="H780">
        <v>38.101582000000001</v>
      </c>
      <c r="I780">
        <v>-83.919770999999997</v>
      </c>
      <c r="K780">
        <v>110039705361</v>
      </c>
      <c r="M780">
        <v>4952</v>
      </c>
      <c r="R780">
        <v>11.086738125</v>
      </c>
      <c r="W780" t="s">
        <v>2028</v>
      </c>
      <c r="X780" t="s">
        <v>2029</v>
      </c>
      <c r="Y780">
        <v>5100102000126</v>
      </c>
      <c r="AA780" t="s">
        <v>1465</v>
      </c>
      <c r="AB780" t="s">
        <v>263</v>
      </c>
    </row>
    <row r="781" spans="1:28" x14ac:dyDescent="0.25">
      <c r="A781">
        <v>2019</v>
      </c>
      <c r="C781" t="s">
        <v>2033</v>
      </c>
      <c r="D781" t="s">
        <v>571</v>
      </c>
      <c r="E781" t="s">
        <v>572</v>
      </c>
      <c r="F781" t="s">
        <v>303</v>
      </c>
      <c r="G781">
        <v>70051</v>
      </c>
      <c r="H781">
        <v>30.048590999999998</v>
      </c>
      <c r="I781">
        <v>-90.630941000000007</v>
      </c>
      <c r="J781" t="s">
        <v>573</v>
      </c>
      <c r="K781">
        <v>110007015871</v>
      </c>
      <c r="M781">
        <v>2869</v>
      </c>
      <c r="R781">
        <v>8.2766439909296996E-2</v>
      </c>
      <c r="W781" t="s">
        <v>907</v>
      </c>
      <c r="X781" t="s">
        <v>816</v>
      </c>
      <c r="Y781">
        <v>8070204000715</v>
      </c>
      <c r="AA781" t="s">
        <v>1465</v>
      </c>
      <c r="AB781" t="s">
        <v>1466</v>
      </c>
    </row>
    <row r="782" spans="1:28" x14ac:dyDescent="0.25">
      <c r="A782">
        <v>2019</v>
      </c>
      <c r="C782" t="s">
        <v>1250</v>
      </c>
      <c r="D782" t="s">
        <v>2038</v>
      </c>
      <c r="E782" t="s">
        <v>1251</v>
      </c>
      <c r="F782" t="s">
        <v>366</v>
      </c>
      <c r="G782">
        <v>92672</v>
      </c>
      <c r="H782">
        <v>33.022727000000003</v>
      </c>
      <c r="I782">
        <v>-118.58829299999999</v>
      </c>
      <c r="J782" t="s">
        <v>726</v>
      </c>
      <c r="K782">
        <v>110071169347</v>
      </c>
      <c r="M782">
        <v>4952</v>
      </c>
      <c r="R782">
        <v>1.2307135675000001E-2</v>
      </c>
      <c r="W782" t="s">
        <v>2039</v>
      </c>
      <c r="X782" t="s">
        <v>926</v>
      </c>
      <c r="Y782">
        <v>18070107000163</v>
      </c>
      <c r="AA782" t="s">
        <v>1465</v>
      </c>
      <c r="AB782" t="s">
        <v>1466</v>
      </c>
    </row>
    <row r="783" spans="1:28" x14ac:dyDescent="0.25">
      <c r="A783">
        <v>2019</v>
      </c>
      <c r="C783" t="s">
        <v>1261</v>
      </c>
      <c r="D783" t="s">
        <v>2053</v>
      </c>
      <c r="E783" t="s">
        <v>966</v>
      </c>
      <c r="F783" t="s">
        <v>491</v>
      </c>
      <c r="G783" t="s">
        <v>2054</v>
      </c>
      <c r="H783">
        <v>39.991410000000002</v>
      </c>
      <c r="I783">
        <v>-75.085030000000003</v>
      </c>
      <c r="K783">
        <v>110001076978</v>
      </c>
      <c r="M783">
        <v>4952</v>
      </c>
      <c r="R783">
        <v>65.471037499999994</v>
      </c>
      <c r="W783" t="s">
        <v>2055</v>
      </c>
      <c r="X783" t="s">
        <v>2056</v>
      </c>
      <c r="Y783">
        <v>2040202001980</v>
      </c>
      <c r="AA783" t="s">
        <v>1465</v>
      </c>
      <c r="AB783" t="s">
        <v>263</v>
      </c>
    </row>
    <row r="784" spans="1:28" x14ac:dyDescent="0.25">
      <c r="A784">
        <v>2019</v>
      </c>
      <c r="C784" t="s">
        <v>1264</v>
      </c>
      <c r="D784" t="s">
        <v>2061</v>
      </c>
      <c r="E784" t="s">
        <v>1265</v>
      </c>
      <c r="F784" t="s">
        <v>324</v>
      </c>
      <c r="G784">
        <v>40475</v>
      </c>
      <c r="H784">
        <v>37.852220000000003</v>
      </c>
      <c r="I784">
        <v>-84.363079999999997</v>
      </c>
      <c r="K784">
        <v>110016759444</v>
      </c>
      <c r="M784">
        <v>4952</v>
      </c>
      <c r="R784">
        <v>0.97397512500000005</v>
      </c>
      <c r="W784" t="s">
        <v>2062</v>
      </c>
      <c r="X784" t="s">
        <v>2063</v>
      </c>
      <c r="Y784">
        <v>5100205000171</v>
      </c>
      <c r="AA784" t="s">
        <v>1465</v>
      </c>
      <c r="AB784" t="s">
        <v>263</v>
      </c>
    </row>
    <row r="785" spans="1:28" x14ac:dyDescent="0.25">
      <c r="A785">
        <v>2019</v>
      </c>
      <c r="C785" t="s">
        <v>215</v>
      </c>
      <c r="D785" t="s">
        <v>2065</v>
      </c>
      <c r="E785" t="s">
        <v>1103</v>
      </c>
      <c r="F785" t="s">
        <v>345</v>
      </c>
      <c r="G785" t="s">
        <v>2066</v>
      </c>
      <c r="H785">
        <v>41.404808000000003</v>
      </c>
      <c r="I785">
        <v>-88.334732000000002</v>
      </c>
      <c r="J785" t="s">
        <v>727</v>
      </c>
      <c r="K785">
        <v>110000547196</v>
      </c>
      <c r="M785">
        <v>2869</v>
      </c>
      <c r="R785">
        <v>4.21020408163265E-2</v>
      </c>
      <c r="W785" t="s">
        <v>2067</v>
      </c>
      <c r="X785" t="s">
        <v>2068</v>
      </c>
      <c r="Y785">
        <v>7120005000849</v>
      </c>
      <c r="AA785" t="s">
        <v>1465</v>
      </c>
      <c r="AB785" t="s">
        <v>1466</v>
      </c>
    </row>
    <row r="786" spans="1:28" x14ac:dyDescent="0.25">
      <c r="A786">
        <v>2019</v>
      </c>
      <c r="C786" t="s">
        <v>1266</v>
      </c>
      <c r="D786" t="s">
        <v>2070</v>
      </c>
      <c r="E786" t="s">
        <v>1267</v>
      </c>
      <c r="F786" t="s">
        <v>491</v>
      </c>
      <c r="G786">
        <v>15061</v>
      </c>
      <c r="H786">
        <v>40.655278000000003</v>
      </c>
      <c r="I786">
        <v>-80.356388999999993</v>
      </c>
      <c r="J786" t="s">
        <v>728</v>
      </c>
      <c r="K786">
        <v>110059344473</v>
      </c>
      <c r="M786">
        <v>2821</v>
      </c>
      <c r="R786">
        <v>0.57936507936507897</v>
      </c>
      <c r="W786" t="s">
        <v>2071</v>
      </c>
      <c r="X786" t="s">
        <v>2072</v>
      </c>
      <c r="Y786">
        <v>5030101000019</v>
      </c>
      <c r="AA786" t="s">
        <v>1465</v>
      </c>
      <c r="AB786" t="s">
        <v>1466</v>
      </c>
    </row>
    <row r="787" spans="1:28" x14ac:dyDescent="0.25">
      <c r="A787">
        <v>2019</v>
      </c>
      <c r="C787" t="s">
        <v>1270</v>
      </c>
      <c r="D787" t="s">
        <v>2076</v>
      </c>
      <c r="E787" t="s">
        <v>1271</v>
      </c>
      <c r="F787" t="s">
        <v>427</v>
      </c>
      <c r="G787">
        <v>49424</v>
      </c>
      <c r="H787">
        <v>42.813049999999997</v>
      </c>
      <c r="I787">
        <v>-86.197429999999997</v>
      </c>
      <c r="K787">
        <v>110006740161</v>
      </c>
      <c r="M787">
        <v>4953</v>
      </c>
      <c r="R787">
        <v>0.18207364000000001</v>
      </c>
      <c r="W787" t="s">
        <v>2077</v>
      </c>
      <c r="X787" t="s">
        <v>2078</v>
      </c>
      <c r="Y787">
        <v>4050002000163</v>
      </c>
      <c r="AA787" t="s">
        <v>1465</v>
      </c>
      <c r="AB787" t="s">
        <v>1466</v>
      </c>
    </row>
    <row r="788" spans="1:28" x14ac:dyDescent="0.25">
      <c r="A788">
        <v>2019</v>
      </c>
      <c r="C788" t="s">
        <v>1272</v>
      </c>
      <c r="D788" t="s">
        <v>2080</v>
      </c>
      <c r="E788" t="s">
        <v>1273</v>
      </c>
      <c r="F788" t="s">
        <v>324</v>
      </c>
      <c r="G788">
        <v>42303</v>
      </c>
      <c r="H788">
        <v>37.770769999999999</v>
      </c>
      <c r="I788">
        <v>-87.065669999999997</v>
      </c>
      <c r="K788">
        <v>110043734983</v>
      </c>
      <c r="M788">
        <v>4952</v>
      </c>
      <c r="R788">
        <v>18.236129999999999</v>
      </c>
      <c r="W788" t="s">
        <v>2081</v>
      </c>
      <c r="X788" t="s">
        <v>830</v>
      </c>
      <c r="Y788">
        <v>5140201000008</v>
      </c>
      <c r="AA788" t="s">
        <v>1465</v>
      </c>
      <c r="AB788" t="s">
        <v>263</v>
      </c>
    </row>
    <row r="789" spans="1:28" x14ac:dyDescent="0.25">
      <c r="A789">
        <v>2019</v>
      </c>
      <c r="C789" t="s">
        <v>1274</v>
      </c>
      <c r="D789" t="s">
        <v>2083</v>
      </c>
      <c r="E789" t="s">
        <v>1273</v>
      </c>
      <c r="F789" t="s">
        <v>324</v>
      </c>
      <c r="G789">
        <v>42303</v>
      </c>
      <c r="H789">
        <v>37.8125</v>
      </c>
      <c r="I789">
        <v>-87.05</v>
      </c>
      <c r="J789" t="s">
        <v>729</v>
      </c>
      <c r="K789">
        <v>110000747835</v>
      </c>
      <c r="M789">
        <v>2821</v>
      </c>
      <c r="R789">
        <v>9.6009070294784504E-2</v>
      </c>
      <c r="W789" t="s">
        <v>2084</v>
      </c>
      <c r="X789" t="s">
        <v>2085</v>
      </c>
      <c r="Y789">
        <v>5140201000239</v>
      </c>
      <c r="AA789" t="s">
        <v>1465</v>
      </c>
      <c r="AB789" t="s">
        <v>1466</v>
      </c>
    </row>
    <row r="790" spans="1:28" x14ac:dyDescent="0.25">
      <c r="A790">
        <v>2019</v>
      </c>
      <c r="C790" t="s">
        <v>1275</v>
      </c>
      <c r="D790" t="s">
        <v>2087</v>
      </c>
      <c r="E790" t="s">
        <v>1276</v>
      </c>
      <c r="F790" t="s">
        <v>366</v>
      </c>
      <c r="G790">
        <v>93033</v>
      </c>
      <c r="H790">
        <v>34.141618999999999</v>
      </c>
      <c r="I790">
        <v>-119.184014</v>
      </c>
      <c r="K790">
        <v>110070097306</v>
      </c>
      <c r="M790">
        <v>4952</v>
      </c>
      <c r="R790">
        <v>2.8749043200000002</v>
      </c>
      <c r="W790" t="s">
        <v>2088</v>
      </c>
      <c r="X790" t="s">
        <v>926</v>
      </c>
      <c r="Y790">
        <v>18070103000060</v>
      </c>
      <c r="AA790" t="s">
        <v>1465</v>
      </c>
      <c r="AB790" t="s">
        <v>263</v>
      </c>
    </row>
    <row r="791" spans="1:28" x14ac:dyDescent="0.25">
      <c r="A791">
        <v>2019</v>
      </c>
      <c r="C791" t="s">
        <v>1283</v>
      </c>
      <c r="D791" t="s">
        <v>2096</v>
      </c>
      <c r="E791" t="s">
        <v>1284</v>
      </c>
      <c r="F791" t="s">
        <v>324</v>
      </c>
      <c r="G791" t="s">
        <v>2097</v>
      </c>
      <c r="H791">
        <v>38.223610999999998</v>
      </c>
      <c r="I791">
        <v>-84.252778000000006</v>
      </c>
      <c r="K791">
        <v>110000551082</v>
      </c>
      <c r="M791">
        <v>4952</v>
      </c>
      <c r="R791">
        <v>8.2787885625000002E-3</v>
      </c>
      <c r="W791" t="s">
        <v>2098</v>
      </c>
      <c r="X791" t="s">
        <v>2099</v>
      </c>
      <c r="Y791">
        <v>5100102000062</v>
      </c>
      <c r="AA791" t="s">
        <v>1465</v>
      </c>
      <c r="AB791" t="s">
        <v>263</v>
      </c>
    </row>
    <row r="792" spans="1:28" x14ac:dyDescent="0.25">
      <c r="A792">
        <v>2019</v>
      </c>
      <c r="C792" t="s">
        <v>1285</v>
      </c>
      <c r="D792" t="s">
        <v>2101</v>
      </c>
      <c r="E792" t="s">
        <v>1286</v>
      </c>
      <c r="F792" t="s">
        <v>1171</v>
      </c>
      <c r="G792">
        <v>96818</v>
      </c>
      <c r="H792">
        <v>21.352499999999999</v>
      </c>
      <c r="I792">
        <v>-157.95813899999999</v>
      </c>
      <c r="K792">
        <v>110046184516</v>
      </c>
      <c r="M792">
        <v>3731</v>
      </c>
      <c r="R792">
        <v>0.26248975000000002</v>
      </c>
      <c r="W792" t="s">
        <v>2102</v>
      </c>
      <c r="X792" t="s">
        <v>1253</v>
      </c>
      <c r="Y792">
        <v>20060000000166</v>
      </c>
      <c r="AA792" t="s">
        <v>1465</v>
      </c>
      <c r="AB792" t="s">
        <v>1466</v>
      </c>
    </row>
    <row r="793" spans="1:28" x14ac:dyDescent="0.25">
      <c r="A793">
        <v>2019</v>
      </c>
      <c r="C793" t="s">
        <v>180</v>
      </c>
      <c r="D793" t="s">
        <v>596</v>
      </c>
      <c r="E793" t="s">
        <v>597</v>
      </c>
      <c r="F793" t="s">
        <v>338</v>
      </c>
      <c r="G793">
        <v>8844</v>
      </c>
      <c r="H793">
        <v>40.52516</v>
      </c>
      <c r="I793">
        <v>-74.601039999999998</v>
      </c>
      <c r="K793">
        <v>110070217974</v>
      </c>
      <c r="M793">
        <v>2851</v>
      </c>
      <c r="R793">
        <v>9.2434741619999998E-4</v>
      </c>
      <c r="W793" t="s">
        <v>915</v>
      </c>
      <c r="X793" t="s">
        <v>916</v>
      </c>
      <c r="Y793">
        <v>2030105000369</v>
      </c>
      <c r="AA793" t="s">
        <v>1465</v>
      </c>
      <c r="AB793" t="s">
        <v>1466</v>
      </c>
    </row>
    <row r="794" spans="1:28" x14ac:dyDescent="0.25">
      <c r="A794">
        <v>2019</v>
      </c>
      <c r="C794" t="s">
        <v>1288</v>
      </c>
      <c r="D794" t="s">
        <v>2107</v>
      </c>
      <c r="E794" t="s">
        <v>966</v>
      </c>
      <c r="F794" t="s">
        <v>491</v>
      </c>
      <c r="G794" t="s">
        <v>2108</v>
      </c>
      <c r="H794">
        <v>39.901820000000001</v>
      </c>
      <c r="I794">
        <v>-75.144549999999995</v>
      </c>
      <c r="K794">
        <v>110000540610</v>
      </c>
      <c r="M794">
        <v>4952</v>
      </c>
      <c r="R794">
        <v>28.497264999999999</v>
      </c>
      <c r="W794" t="s">
        <v>2109</v>
      </c>
      <c r="X794" t="s">
        <v>783</v>
      </c>
      <c r="Y794">
        <v>2040202000077</v>
      </c>
      <c r="AA794" t="s">
        <v>1465</v>
      </c>
      <c r="AB794" t="s">
        <v>263</v>
      </c>
    </row>
    <row r="795" spans="1:28" x14ac:dyDescent="0.25">
      <c r="A795">
        <v>2019</v>
      </c>
      <c r="C795" t="s">
        <v>1289</v>
      </c>
      <c r="D795" t="s">
        <v>2111</v>
      </c>
      <c r="E795" t="s">
        <v>966</v>
      </c>
      <c r="F795" t="s">
        <v>491</v>
      </c>
      <c r="G795">
        <v>19153</v>
      </c>
      <c r="H795">
        <v>39.886130000000001</v>
      </c>
      <c r="I795">
        <v>-75.218249999999998</v>
      </c>
      <c r="K795">
        <v>110000542119</v>
      </c>
      <c r="R795">
        <v>99.043041250000002</v>
      </c>
      <c r="W795" t="s">
        <v>2112</v>
      </c>
      <c r="X795" t="s">
        <v>2113</v>
      </c>
      <c r="Y795">
        <v>2040203009681</v>
      </c>
      <c r="AA795" t="s">
        <v>1465</v>
      </c>
      <c r="AB795" t="s">
        <v>263</v>
      </c>
    </row>
    <row r="796" spans="1:28" x14ac:dyDescent="0.25">
      <c r="A796">
        <v>2019</v>
      </c>
      <c r="C796" t="s">
        <v>1290</v>
      </c>
      <c r="D796" t="s">
        <v>2115</v>
      </c>
      <c r="E796" t="s">
        <v>544</v>
      </c>
      <c r="F796" t="s">
        <v>338</v>
      </c>
      <c r="G796">
        <v>7036</v>
      </c>
      <c r="H796">
        <v>40.636499999999998</v>
      </c>
      <c r="I796">
        <v>-74.219899999999996</v>
      </c>
      <c r="J796" t="s">
        <v>730</v>
      </c>
      <c r="K796">
        <v>110041133163</v>
      </c>
      <c r="M796">
        <v>2911</v>
      </c>
      <c r="R796">
        <v>2</v>
      </c>
      <c r="W796" t="s">
        <v>2116</v>
      </c>
      <c r="X796" t="s">
        <v>2117</v>
      </c>
      <c r="Y796">
        <v>2030104000282</v>
      </c>
      <c r="AA796" t="s">
        <v>1465</v>
      </c>
      <c r="AB796" t="s">
        <v>1466</v>
      </c>
    </row>
    <row r="797" spans="1:28" x14ac:dyDescent="0.25">
      <c r="A797">
        <v>2019</v>
      </c>
      <c r="C797" t="s">
        <v>1293</v>
      </c>
      <c r="D797" t="s">
        <v>2122</v>
      </c>
      <c r="E797" t="s">
        <v>1294</v>
      </c>
      <c r="F797" t="s">
        <v>324</v>
      </c>
      <c r="G797">
        <v>41501</v>
      </c>
      <c r="H797">
        <v>37.491857000000003</v>
      </c>
      <c r="I797">
        <v>-82.539703000000003</v>
      </c>
      <c r="K797">
        <v>110006644872</v>
      </c>
      <c r="M797">
        <v>4952</v>
      </c>
      <c r="R797">
        <v>7.6501946875</v>
      </c>
      <c r="W797" t="s">
        <v>2123</v>
      </c>
      <c r="X797" t="s">
        <v>2124</v>
      </c>
      <c r="Y797">
        <v>5070203000244</v>
      </c>
      <c r="AA797" t="s">
        <v>1465</v>
      </c>
      <c r="AB797" t="s">
        <v>263</v>
      </c>
    </row>
    <row r="798" spans="1:28" x14ac:dyDescent="0.25">
      <c r="A798">
        <v>2019</v>
      </c>
      <c r="C798" t="s">
        <v>1298</v>
      </c>
      <c r="D798" t="s">
        <v>2132</v>
      </c>
      <c r="E798" t="s">
        <v>1299</v>
      </c>
      <c r="F798" t="s">
        <v>366</v>
      </c>
      <c r="G798">
        <v>96122</v>
      </c>
      <c r="H798">
        <v>39.805480000000003</v>
      </c>
      <c r="I798">
        <v>-120.47149</v>
      </c>
      <c r="K798">
        <v>110010058757</v>
      </c>
      <c r="M798">
        <v>4952</v>
      </c>
      <c r="R798">
        <v>1.5032373525E-2</v>
      </c>
      <c r="W798" t="s">
        <v>2133</v>
      </c>
      <c r="X798" t="s">
        <v>2134</v>
      </c>
      <c r="Y798">
        <v>18020123000184</v>
      </c>
      <c r="AA798" t="s">
        <v>1465</v>
      </c>
      <c r="AB798" t="s">
        <v>263</v>
      </c>
    </row>
    <row r="799" spans="1:28" x14ac:dyDescent="0.25">
      <c r="A799">
        <v>2019</v>
      </c>
      <c r="C799" t="s">
        <v>1301</v>
      </c>
      <c r="D799" t="s">
        <v>2137</v>
      </c>
      <c r="E799" t="s">
        <v>1302</v>
      </c>
      <c r="F799" t="s">
        <v>345</v>
      </c>
      <c r="G799" t="s">
        <v>2138</v>
      </c>
      <c r="H799">
        <v>38.2774</v>
      </c>
      <c r="I799">
        <v>-89.666899999999998</v>
      </c>
      <c r="J799" t="s">
        <v>731</v>
      </c>
      <c r="K799">
        <v>110044852068</v>
      </c>
      <c r="M799">
        <v>4911</v>
      </c>
      <c r="R799">
        <v>2.0336048</v>
      </c>
      <c r="W799" t="s">
        <v>2139</v>
      </c>
      <c r="X799" t="s">
        <v>2140</v>
      </c>
      <c r="Y799">
        <v>7140204002294</v>
      </c>
      <c r="AA799" t="s">
        <v>1465</v>
      </c>
      <c r="AB799" t="s">
        <v>1466</v>
      </c>
    </row>
    <row r="800" spans="1:28" x14ac:dyDescent="0.25">
      <c r="A800">
        <v>2019</v>
      </c>
      <c r="C800" t="s">
        <v>1305</v>
      </c>
      <c r="D800" t="s">
        <v>2144</v>
      </c>
      <c r="E800" t="s">
        <v>293</v>
      </c>
      <c r="F800" t="s">
        <v>294</v>
      </c>
      <c r="G800">
        <v>22209</v>
      </c>
      <c r="H800">
        <v>38.89546</v>
      </c>
      <c r="I800">
        <v>-77.076479000000006</v>
      </c>
      <c r="K800">
        <v>110070602296</v>
      </c>
      <c r="M800">
        <v>1794</v>
      </c>
      <c r="R800">
        <v>2.5347387999999898E-3</v>
      </c>
      <c r="W800" t="s">
        <v>2145</v>
      </c>
      <c r="X800" t="s">
        <v>762</v>
      </c>
      <c r="AA800" t="s">
        <v>1465</v>
      </c>
      <c r="AB800" t="s">
        <v>1466</v>
      </c>
    </row>
    <row r="801" spans="1:28" x14ac:dyDescent="0.25">
      <c r="A801">
        <v>2019</v>
      </c>
      <c r="C801" t="s">
        <v>1306</v>
      </c>
      <c r="D801" t="s">
        <v>2146</v>
      </c>
      <c r="E801" t="s">
        <v>1307</v>
      </c>
      <c r="F801" t="s">
        <v>324</v>
      </c>
      <c r="G801">
        <v>40160</v>
      </c>
      <c r="H801">
        <v>37.845027999999999</v>
      </c>
      <c r="I801">
        <v>-85.940962999999996</v>
      </c>
      <c r="K801">
        <v>110000732253</v>
      </c>
      <c r="M801">
        <v>4952</v>
      </c>
      <c r="R801">
        <v>13.5216759375</v>
      </c>
      <c r="W801" t="s">
        <v>2147</v>
      </c>
      <c r="X801" t="s">
        <v>2148</v>
      </c>
      <c r="Y801">
        <v>5140102000422</v>
      </c>
      <c r="AA801" t="s">
        <v>1465</v>
      </c>
      <c r="AB801" t="s">
        <v>263</v>
      </c>
    </row>
    <row r="802" spans="1:28" x14ac:dyDescent="0.25">
      <c r="A802">
        <v>2019</v>
      </c>
      <c r="C802" t="s">
        <v>1308</v>
      </c>
      <c r="D802" t="s">
        <v>2149</v>
      </c>
      <c r="E802" t="s">
        <v>657</v>
      </c>
      <c r="F802" t="s">
        <v>418</v>
      </c>
      <c r="G802">
        <v>89109</v>
      </c>
      <c r="H802">
        <v>36.132570000000001</v>
      </c>
      <c r="I802">
        <v>-115.16477</v>
      </c>
      <c r="K802">
        <v>110041253256</v>
      </c>
      <c r="M802">
        <v>7011</v>
      </c>
      <c r="R802">
        <v>7.8746924999999995E-2</v>
      </c>
      <c r="W802" t="s">
        <v>2150</v>
      </c>
      <c r="X802" t="s">
        <v>2151</v>
      </c>
      <c r="Y802">
        <v>15010015000432</v>
      </c>
      <c r="AA802" t="s">
        <v>1465</v>
      </c>
      <c r="AB802" t="s">
        <v>1466</v>
      </c>
    </row>
    <row r="803" spans="1:28" x14ac:dyDescent="0.25">
      <c r="A803">
        <v>2019</v>
      </c>
      <c r="C803" t="s">
        <v>1309</v>
      </c>
      <c r="D803" t="s">
        <v>2152</v>
      </c>
      <c r="E803" t="s">
        <v>1310</v>
      </c>
      <c r="F803" t="s">
        <v>366</v>
      </c>
      <c r="G803">
        <v>92316</v>
      </c>
      <c r="H803">
        <v>34.055900000000001</v>
      </c>
      <c r="I803">
        <v>-117.36134</v>
      </c>
      <c r="K803">
        <v>110000525842</v>
      </c>
      <c r="M803">
        <v>4952</v>
      </c>
      <c r="R803">
        <v>1.627694303125</v>
      </c>
      <c r="W803" t="s">
        <v>2153</v>
      </c>
      <c r="X803" t="s">
        <v>2154</v>
      </c>
      <c r="Y803">
        <v>18070203002243</v>
      </c>
      <c r="AA803" t="s">
        <v>1465</v>
      </c>
      <c r="AB803" t="s">
        <v>263</v>
      </c>
    </row>
    <row r="804" spans="1:28" x14ac:dyDescent="0.25">
      <c r="A804">
        <v>2019</v>
      </c>
      <c r="C804" t="s">
        <v>1311</v>
      </c>
      <c r="D804" t="s">
        <v>2155</v>
      </c>
      <c r="E804" t="s">
        <v>1312</v>
      </c>
      <c r="F804" t="s">
        <v>506</v>
      </c>
      <c r="G804">
        <v>21157</v>
      </c>
      <c r="H804">
        <v>39.567390000000003</v>
      </c>
      <c r="I804">
        <v>-76.920410000000004</v>
      </c>
      <c r="K804">
        <v>110041245015</v>
      </c>
      <c r="R804">
        <v>6.9421631249999896E-4</v>
      </c>
      <c r="W804" t="s">
        <v>2156</v>
      </c>
      <c r="Y804">
        <v>2060003000267</v>
      </c>
      <c r="AA804" t="s">
        <v>1465</v>
      </c>
      <c r="AB804" t="s">
        <v>1466</v>
      </c>
    </row>
    <row r="805" spans="1:28" x14ac:dyDescent="0.25">
      <c r="A805">
        <v>2019</v>
      </c>
      <c r="C805" t="s">
        <v>1311</v>
      </c>
      <c r="D805" t="s">
        <v>2155</v>
      </c>
      <c r="E805" t="s">
        <v>1312</v>
      </c>
      <c r="F805" t="s">
        <v>506</v>
      </c>
      <c r="G805">
        <v>21157</v>
      </c>
      <c r="H805">
        <v>39.567390000000003</v>
      </c>
      <c r="I805">
        <v>-76.920410000000004</v>
      </c>
      <c r="K805">
        <v>110041245015</v>
      </c>
      <c r="R805">
        <v>6.9421631249999896E-4</v>
      </c>
      <c r="W805" t="s">
        <v>2156</v>
      </c>
      <c r="Y805">
        <v>2060003000267</v>
      </c>
      <c r="AA805" t="s">
        <v>1465</v>
      </c>
      <c r="AB805" t="s">
        <v>1466</v>
      </c>
    </row>
    <row r="806" spans="1:28" x14ac:dyDescent="0.25">
      <c r="A806">
        <v>2019</v>
      </c>
      <c r="C806" t="s">
        <v>1315</v>
      </c>
      <c r="D806" t="s">
        <v>2160</v>
      </c>
      <c r="E806" t="s">
        <v>1316</v>
      </c>
      <c r="F806" t="s">
        <v>294</v>
      </c>
      <c r="G806">
        <v>22801</v>
      </c>
      <c r="H806">
        <v>38.400409000000003</v>
      </c>
      <c r="I806">
        <v>-78.895222000000004</v>
      </c>
      <c r="K806">
        <v>110070544905</v>
      </c>
      <c r="M806">
        <v>4953</v>
      </c>
      <c r="R806">
        <v>5.5778246366499903E-2</v>
      </c>
      <c r="W806" t="s">
        <v>2161</v>
      </c>
      <c r="X806" t="s">
        <v>2162</v>
      </c>
      <c r="AA806" t="s">
        <v>1465</v>
      </c>
      <c r="AB806" t="s">
        <v>1466</v>
      </c>
    </row>
    <row r="807" spans="1:28" x14ac:dyDescent="0.25">
      <c r="A807">
        <v>2019</v>
      </c>
      <c r="C807" t="s">
        <v>1317</v>
      </c>
      <c r="D807" t="s">
        <v>2163</v>
      </c>
      <c r="E807" t="s">
        <v>1318</v>
      </c>
      <c r="F807" t="s">
        <v>491</v>
      </c>
      <c r="G807">
        <v>19021</v>
      </c>
      <c r="H807">
        <v>40.095258000000001</v>
      </c>
      <c r="I807">
        <v>-74.877359999999996</v>
      </c>
      <c r="K807">
        <v>110064634686</v>
      </c>
      <c r="M807">
        <v>2821</v>
      </c>
      <c r="R807">
        <v>0.26344671201814002</v>
      </c>
      <c r="W807" t="s">
        <v>2164</v>
      </c>
      <c r="X807" t="s">
        <v>2165</v>
      </c>
      <c r="Y807">
        <v>2040201000476</v>
      </c>
      <c r="AA807" t="s">
        <v>1465</v>
      </c>
      <c r="AB807" t="s">
        <v>1466</v>
      </c>
    </row>
    <row r="808" spans="1:28" x14ac:dyDescent="0.25">
      <c r="A808">
        <v>2019</v>
      </c>
      <c r="C808" t="s">
        <v>1319</v>
      </c>
      <c r="D808" t="s">
        <v>2167</v>
      </c>
      <c r="E808" t="s">
        <v>1320</v>
      </c>
      <c r="F808" t="s">
        <v>324</v>
      </c>
      <c r="G808">
        <v>42629</v>
      </c>
      <c r="H808">
        <v>36.946111000000002</v>
      </c>
      <c r="I808">
        <v>-85.020832999999996</v>
      </c>
      <c r="K808">
        <v>110000719045</v>
      </c>
      <c r="M808">
        <v>4952</v>
      </c>
      <c r="R808">
        <v>0.69628860000000004</v>
      </c>
      <c r="W808" t="s">
        <v>2168</v>
      </c>
      <c r="X808" t="s">
        <v>2169</v>
      </c>
      <c r="Y808">
        <v>5130103010237</v>
      </c>
      <c r="AA808" t="s">
        <v>1465</v>
      </c>
      <c r="AB808" t="s">
        <v>263</v>
      </c>
    </row>
    <row r="809" spans="1:28" x14ac:dyDescent="0.25">
      <c r="A809">
        <v>2019</v>
      </c>
      <c r="C809" t="s">
        <v>1321</v>
      </c>
      <c r="D809" t="s">
        <v>2171</v>
      </c>
      <c r="E809" t="s">
        <v>626</v>
      </c>
      <c r="F809" t="s">
        <v>324</v>
      </c>
      <c r="G809">
        <v>42276</v>
      </c>
      <c r="H809">
        <v>36.856732000000001</v>
      </c>
      <c r="I809">
        <v>-86.889048000000003</v>
      </c>
      <c r="K809">
        <v>110000736730</v>
      </c>
      <c r="M809">
        <v>4952</v>
      </c>
      <c r="R809">
        <v>1.4202077</v>
      </c>
      <c r="W809" t="s">
        <v>2172</v>
      </c>
      <c r="X809" t="s">
        <v>1760</v>
      </c>
      <c r="Y809">
        <v>5110003000994</v>
      </c>
      <c r="AA809" t="s">
        <v>1465</v>
      </c>
      <c r="AB809" t="s">
        <v>263</v>
      </c>
    </row>
    <row r="810" spans="1:28" x14ac:dyDescent="0.25">
      <c r="A810">
        <v>2019</v>
      </c>
      <c r="C810" t="s">
        <v>1322</v>
      </c>
      <c r="D810" t="s">
        <v>2173</v>
      </c>
      <c r="E810" t="s">
        <v>1273</v>
      </c>
      <c r="F810" t="s">
        <v>324</v>
      </c>
      <c r="G810">
        <v>42301</v>
      </c>
      <c r="H810">
        <v>37.790278000000001</v>
      </c>
      <c r="I810">
        <v>-87.140277999999995</v>
      </c>
      <c r="K810">
        <v>110039998214</v>
      </c>
      <c r="M810">
        <v>4952</v>
      </c>
      <c r="R810">
        <v>18.809462875000001</v>
      </c>
      <c r="W810" t="s">
        <v>2174</v>
      </c>
      <c r="X810" t="s">
        <v>830</v>
      </c>
      <c r="Y810">
        <v>5140201000008</v>
      </c>
      <c r="AA810" t="s">
        <v>1465</v>
      </c>
      <c r="AB810" t="s">
        <v>263</v>
      </c>
    </row>
    <row r="811" spans="1:28" x14ac:dyDescent="0.25">
      <c r="A811">
        <v>2019</v>
      </c>
      <c r="C811" t="s">
        <v>1323</v>
      </c>
      <c r="D811" t="s">
        <v>2175</v>
      </c>
      <c r="E811" t="s">
        <v>1324</v>
      </c>
      <c r="F811" t="s">
        <v>450</v>
      </c>
      <c r="G811">
        <v>12158</v>
      </c>
      <c r="H811">
        <v>42.574556000000001</v>
      </c>
      <c r="I811">
        <v>-73.851360999999997</v>
      </c>
      <c r="K811">
        <v>110000324391</v>
      </c>
      <c r="M811">
        <v>2821</v>
      </c>
      <c r="R811">
        <v>1.66893424036281</v>
      </c>
      <c r="W811" t="s">
        <v>2176</v>
      </c>
      <c r="X811" t="s">
        <v>2177</v>
      </c>
      <c r="Y811">
        <v>2020006000238</v>
      </c>
      <c r="AA811" t="s">
        <v>1465</v>
      </c>
      <c r="AB811" t="s">
        <v>1466</v>
      </c>
    </row>
    <row r="812" spans="1:28" x14ac:dyDescent="0.25">
      <c r="A812">
        <v>2019</v>
      </c>
      <c r="C812" t="s">
        <v>1323</v>
      </c>
      <c r="D812" t="s">
        <v>2175</v>
      </c>
      <c r="E812" t="s">
        <v>1324</v>
      </c>
      <c r="F812" t="s">
        <v>450</v>
      </c>
      <c r="G812">
        <v>12158</v>
      </c>
      <c r="H812">
        <v>42.574556000000001</v>
      </c>
      <c r="I812">
        <v>-73.851360999999997</v>
      </c>
      <c r="K812">
        <v>110000324391</v>
      </c>
      <c r="M812">
        <v>2821</v>
      </c>
      <c r="R812">
        <v>0.45283446712018099</v>
      </c>
      <c r="W812" t="s">
        <v>2176</v>
      </c>
      <c r="X812" t="s">
        <v>2177</v>
      </c>
      <c r="Y812">
        <v>2020006000238</v>
      </c>
      <c r="AA812" t="s">
        <v>1465</v>
      </c>
      <c r="AB812" t="s">
        <v>1466</v>
      </c>
    </row>
    <row r="813" spans="1:28" x14ac:dyDescent="0.25">
      <c r="A813">
        <v>2019</v>
      </c>
      <c r="C813" t="s">
        <v>1325</v>
      </c>
      <c r="D813" t="s">
        <v>2179</v>
      </c>
      <c r="E813" t="s">
        <v>1326</v>
      </c>
      <c r="F813" t="s">
        <v>469</v>
      </c>
      <c r="G813">
        <v>47620</v>
      </c>
      <c r="H813">
        <v>37.907200000000003</v>
      </c>
      <c r="I813">
        <v>-87.927099999999996</v>
      </c>
      <c r="J813" t="s">
        <v>732</v>
      </c>
      <c r="K813">
        <v>110000403670</v>
      </c>
      <c r="M813">
        <v>2821</v>
      </c>
      <c r="R813">
        <v>10.848072562358199</v>
      </c>
      <c r="W813" t="s">
        <v>2180</v>
      </c>
      <c r="X813" t="s">
        <v>830</v>
      </c>
      <c r="Y813">
        <v>5140202000333</v>
      </c>
      <c r="AA813" t="s">
        <v>1465</v>
      </c>
      <c r="AB813" t="s">
        <v>1466</v>
      </c>
    </row>
    <row r="814" spans="1:28" x14ac:dyDescent="0.25">
      <c r="A814">
        <v>2019</v>
      </c>
      <c r="C814" t="s">
        <v>1331</v>
      </c>
      <c r="D814" t="s">
        <v>2186</v>
      </c>
      <c r="E814" t="s">
        <v>1286</v>
      </c>
      <c r="F814" t="s">
        <v>1171</v>
      </c>
      <c r="G814" t="s">
        <v>2187</v>
      </c>
      <c r="H814">
        <v>21.304500000000001</v>
      </c>
      <c r="I814">
        <v>-157.88205600000001</v>
      </c>
      <c r="K814">
        <v>110005726802</v>
      </c>
      <c r="M814">
        <v>4952</v>
      </c>
      <c r="R814">
        <v>0.85369615200000004</v>
      </c>
      <c r="W814" t="s">
        <v>2188</v>
      </c>
      <c r="X814" t="s">
        <v>926</v>
      </c>
      <c r="Y814">
        <v>20060000003277</v>
      </c>
      <c r="AA814" t="s">
        <v>1465</v>
      </c>
      <c r="AB814" t="s">
        <v>263</v>
      </c>
    </row>
    <row r="815" spans="1:28" x14ac:dyDescent="0.25">
      <c r="A815">
        <v>2019</v>
      </c>
      <c r="C815" t="s">
        <v>1332</v>
      </c>
      <c r="D815" t="s">
        <v>2189</v>
      </c>
      <c r="E815" t="s">
        <v>1333</v>
      </c>
      <c r="F815" t="s">
        <v>491</v>
      </c>
      <c r="G815">
        <v>18370</v>
      </c>
      <c r="H815">
        <v>41.094749999999998</v>
      </c>
      <c r="I815">
        <v>-75.326319999999996</v>
      </c>
      <c r="J815" t="s">
        <v>733</v>
      </c>
      <c r="K815">
        <v>110006522735</v>
      </c>
      <c r="M815">
        <v>2834</v>
      </c>
      <c r="R815">
        <v>8.2766439909296996E-2</v>
      </c>
      <c r="W815" t="s">
        <v>2190</v>
      </c>
      <c r="X815" t="s">
        <v>2191</v>
      </c>
      <c r="Y815">
        <v>2040104000718</v>
      </c>
      <c r="AA815" t="s">
        <v>1465</v>
      </c>
      <c r="AB815" t="s">
        <v>1466</v>
      </c>
    </row>
    <row r="816" spans="1:28" x14ac:dyDescent="0.25">
      <c r="A816">
        <v>2019</v>
      </c>
      <c r="C816" t="s">
        <v>1334</v>
      </c>
      <c r="D816" t="s">
        <v>2193</v>
      </c>
      <c r="E816" t="s">
        <v>1335</v>
      </c>
      <c r="F816" t="s">
        <v>366</v>
      </c>
      <c r="G816" t="s">
        <v>2194</v>
      </c>
      <c r="H816">
        <v>36.963245999999998</v>
      </c>
      <c r="I816">
        <v>-122.034009</v>
      </c>
      <c r="K816">
        <v>110013848453</v>
      </c>
      <c r="M816">
        <v>4952</v>
      </c>
      <c r="R816">
        <v>1.6136022750000001</v>
      </c>
      <c r="W816" t="s">
        <v>2195</v>
      </c>
      <c r="X816" t="s">
        <v>2196</v>
      </c>
      <c r="Y816">
        <v>18060015000054</v>
      </c>
      <c r="AA816" t="s">
        <v>1465</v>
      </c>
      <c r="AB816" t="s">
        <v>263</v>
      </c>
    </row>
    <row r="817" spans="1:28" x14ac:dyDescent="0.25">
      <c r="A817">
        <v>2019</v>
      </c>
      <c r="C817" t="s">
        <v>1336</v>
      </c>
      <c r="D817" t="s">
        <v>2197</v>
      </c>
      <c r="E817" t="s">
        <v>1337</v>
      </c>
      <c r="F817" t="s">
        <v>366</v>
      </c>
      <c r="G817" t="s">
        <v>2198</v>
      </c>
      <c r="H817">
        <v>38.368760000000002</v>
      </c>
      <c r="I817">
        <v>-122.76860000000001</v>
      </c>
      <c r="K817">
        <v>110000730460</v>
      </c>
      <c r="M817">
        <v>4952</v>
      </c>
      <c r="R817">
        <v>2.2312574999999999</v>
      </c>
      <c r="W817" t="s">
        <v>2199</v>
      </c>
      <c r="X817" t="s">
        <v>2200</v>
      </c>
      <c r="Y817">
        <v>18010110000032</v>
      </c>
      <c r="AA817" t="s">
        <v>1465</v>
      </c>
      <c r="AB817" t="s">
        <v>263</v>
      </c>
    </row>
    <row r="818" spans="1:28" x14ac:dyDescent="0.25">
      <c r="A818">
        <v>2019</v>
      </c>
      <c r="C818" t="s">
        <v>1336</v>
      </c>
      <c r="D818" t="s">
        <v>2197</v>
      </c>
      <c r="E818" t="s">
        <v>1337</v>
      </c>
      <c r="F818" t="s">
        <v>366</v>
      </c>
      <c r="G818" t="s">
        <v>2198</v>
      </c>
      <c r="H818">
        <v>38.368760000000002</v>
      </c>
      <c r="I818">
        <v>-122.76860000000001</v>
      </c>
      <c r="K818">
        <v>110000730460</v>
      </c>
      <c r="M818">
        <v>4952</v>
      </c>
      <c r="R818">
        <v>2.51229375</v>
      </c>
      <c r="W818" t="s">
        <v>2199</v>
      </c>
      <c r="X818" t="s">
        <v>2200</v>
      </c>
      <c r="Y818">
        <v>18010110000032</v>
      </c>
      <c r="AA818" t="s">
        <v>1465</v>
      </c>
      <c r="AB818" t="s">
        <v>263</v>
      </c>
    </row>
    <row r="819" spans="1:28" x14ac:dyDescent="0.25">
      <c r="A819">
        <v>2019</v>
      </c>
      <c r="C819" t="s">
        <v>1336</v>
      </c>
      <c r="D819" t="s">
        <v>2197</v>
      </c>
      <c r="E819" t="s">
        <v>1337</v>
      </c>
      <c r="F819" t="s">
        <v>366</v>
      </c>
      <c r="G819" t="s">
        <v>2198</v>
      </c>
      <c r="H819">
        <v>38.368760000000002</v>
      </c>
      <c r="I819">
        <v>-122.76860000000001</v>
      </c>
      <c r="K819">
        <v>110000730460</v>
      </c>
      <c r="M819">
        <v>4952</v>
      </c>
      <c r="R819">
        <v>3.9515400000000001</v>
      </c>
      <c r="W819" t="s">
        <v>2199</v>
      </c>
      <c r="X819" t="s">
        <v>2200</v>
      </c>
      <c r="Y819">
        <v>18010110000032</v>
      </c>
      <c r="AA819" t="s">
        <v>1465</v>
      </c>
      <c r="AB819" t="s">
        <v>263</v>
      </c>
    </row>
    <row r="820" spans="1:28" x14ac:dyDescent="0.25">
      <c r="A820">
        <v>2019</v>
      </c>
      <c r="C820" t="s">
        <v>1336</v>
      </c>
      <c r="D820" t="s">
        <v>2197</v>
      </c>
      <c r="E820" t="s">
        <v>1337</v>
      </c>
      <c r="F820" t="s">
        <v>366</v>
      </c>
      <c r="G820" t="s">
        <v>2198</v>
      </c>
      <c r="H820">
        <v>38.368760000000002</v>
      </c>
      <c r="I820">
        <v>-122.76860000000001</v>
      </c>
      <c r="K820">
        <v>110000730460</v>
      </c>
      <c r="M820">
        <v>4952</v>
      </c>
      <c r="R820">
        <v>2.51229375</v>
      </c>
      <c r="W820" t="s">
        <v>2199</v>
      </c>
      <c r="X820" t="s">
        <v>2200</v>
      </c>
      <c r="Y820">
        <v>18010110000032</v>
      </c>
      <c r="AA820" t="s">
        <v>1465</v>
      </c>
      <c r="AB820" t="s">
        <v>263</v>
      </c>
    </row>
    <row r="821" spans="1:28" x14ac:dyDescent="0.25">
      <c r="A821">
        <v>2019</v>
      </c>
      <c r="C821" t="s">
        <v>1338</v>
      </c>
      <c r="D821" t="s">
        <v>2201</v>
      </c>
      <c r="E821" t="s">
        <v>1339</v>
      </c>
      <c r="F821" t="s">
        <v>491</v>
      </c>
      <c r="G821" t="s">
        <v>2202</v>
      </c>
      <c r="H821">
        <v>41.452778000000002</v>
      </c>
      <c r="I821">
        <v>-79.690278000000006</v>
      </c>
      <c r="J821" t="s">
        <v>734</v>
      </c>
      <c r="K821">
        <v>110008476327</v>
      </c>
      <c r="M821">
        <v>2865</v>
      </c>
      <c r="R821">
        <v>8.2766439909296996E-3</v>
      </c>
      <c r="W821" t="s">
        <v>2203</v>
      </c>
      <c r="X821" t="s">
        <v>2204</v>
      </c>
      <c r="Y821">
        <v>5010003001287</v>
      </c>
      <c r="AA821" t="s">
        <v>1465</v>
      </c>
      <c r="AB821" t="s">
        <v>1466</v>
      </c>
    </row>
    <row r="822" spans="1:28" x14ac:dyDescent="0.25">
      <c r="A822">
        <v>2019</v>
      </c>
      <c r="C822" t="s">
        <v>1340</v>
      </c>
      <c r="D822" t="s">
        <v>2206</v>
      </c>
      <c r="E822" t="s">
        <v>1341</v>
      </c>
      <c r="F822" t="s">
        <v>338</v>
      </c>
      <c r="G822">
        <v>7041</v>
      </c>
      <c r="H822">
        <v>40.723140000000001</v>
      </c>
      <c r="I822">
        <v>-74.310130000000001</v>
      </c>
      <c r="K822">
        <v>110070218704</v>
      </c>
      <c r="R822">
        <v>3.8544871928571398E-4</v>
      </c>
      <c r="W822" t="s">
        <v>2207</v>
      </c>
      <c r="X822" t="s">
        <v>2208</v>
      </c>
      <c r="Y822">
        <v>2030104000062</v>
      </c>
      <c r="AA822" t="s">
        <v>1465</v>
      </c>
      <c r="AB822" t="s">
        <v>1466</v>
      </c>
    </row>
    <row r="823" spans="1:28" x14ac:dyDescent="0.25">
      <c r="A823">
        <v>2019</v>
      </c>
      <c r="C823" t="s">
        <v>1342</v>
      </c>
      <c r="D823" t="s">
        <v>2209</v>
      </c>
      <c r="E823" t="s">
        <v>1343</v>
      </c>
      <c r="F823" t="s">
        <v>366</v>
      </c>
      <c r="G823">
        <v>94128</v>
      </c>
      <c r="H823">
        <v>37.636249999999997</v>
      </c>
      <c r="I823">
        <v>-122.38583</v>
      </c>
      <c r="K823">
        <v>110064622519</v>
      </c>
      <c r="M823">
        <v>4952</v>
      </c>
      <c r="R823">
        <v>1.0361437500000001E-2</v>
      </c>
      <c r="W823" t="s">
        <v>2210</v>
      </c>
      <c r="X823" t="s">
        <v>799</v>
      </c>
      <c r="Y823">
        <v>18050004001801</v>
      </c>
      <c r="AA823" t="s">
        <v>1465</v>
      </c>
      <c r="AB823" t="s">
        <v>263</v>
      </c>
    </row>
    <row r="824" spans="1:28" x14ac:dyDescent="0.25">
      <c r="A824">
        <v>2019</v>
      </c>
      <c r="C824" t="s">
        <v>1346</v>
      </c>
      <c r="D824" t="s">
        <v>2213</v>
      </c>
      <c r="E824" t="s">
        <v>1347</v>
      </c>
      <c r="F824" t="s">
        <v>324</v>
      </c>
      <c r="G824">
        <v>40165</v>
      </c>
      <c r="H824">
        <v>37.985444000000001</v>
      </c>
      <c r="I824">
        <v>-85.720056</v>
      </c>
      <c r="K824">
        <v>110020941383</v>
      </c>
      <c r="M824">
        <v>4952</v>
      </c>
      <c r="R824">
        <v>2.3485925000000001</v>
      </c>
      <c r="W824" t="s">
        <v>2214</v>
      </c>
      <c r="X824" t="s">
        <v>2215</v>
      </c>
      <c r="Y824">
        <v>5140102000052</v>
      </c>
      <c r="AA824" t="s">
        <v>1465</v>
      </c>
      <c r="AB824" t="s">
        <v>263</v>
      </c>
    </row>
    <row r="825" spans="1:28" x14ac:dyDescent="0.25">
      <c r="A825">
        <v>2019</v>
      </c>
      <c r="C825" t="s">
        <v>190</v>
      </c>
      <c r="D825" t="s">
        <v>622</v>
      </c>
      <c r="E825" t="s">
        <v>623</v>
      </c>
      <c r="F825" t="s">
        <v>338</v>
      </c>
      <c r="G825">
        <v>8086</v>
      </c>
      <c r="H825">
        <v>39.845474000000003</v>
      </c>
      <c r="I825">
        <v>-75.209485999999998</v>
      </c>
      <c r="J825" t="s">
        <v>624</v>
      </c>
      <c r="K825">
        <v>110013317614</v>
      </c>
      <c r="M825">
        <v>2821</v>
      </c>
      <c r="R825">
        <v>0.114745</v>
      </c>
      <c r="W825" t="s">
        <v>934</v>
      </c>
      <c r="X825" t="s">
        <v>935</v>
      </c>
      <c r="Y825">
        <v>2040202001763</v>
      </c>
      <c r="AA825" t="s">
        <v>1465</v>
      </c>
      <c r="AB825" t="s">
        <v>1466</v>
      </c>
    </row>
    <row r="826" spans="1:28" x14ac:dyDescent="0.25">
      <c r="A826">
        <v>2019</v>
      </c>
      <c r="C826" t="s">
        <v>1353</v>
      </c>
      <c r="D826" t="s">
        <v>2225</v>
      </c>
      <c r="E826" t="s">
        <v>612</v>
      </c>
      <c r="F826" t="s">
        <v>366</v>
      </c>
      <c r="G826" t="s">
        <v>2226</v>
      </c>
      <c r="H826">
        <v>32.544722</v>
      </c>
      <c r="I826">
        <v>-117.068056</v>
      </c>
      <c r="K826">
        <v>110002912750</v>
      </c>
      <c r="M826">
        <v>4952</v>
      </c>
      <c r="R826">
        <v>1.2517006802721</v>
      </c>
      <c r="W826" t="s">
        <v>2227</v>
      </c>
      <c r="X826" t="s">
        <v>926</v>
      </c>
      <c r="Y826">
        <v>18070304005658</v>
      </c>
      <c r="AA826" t="s">
        <v>1465</v>
      </c>
      <c r="AB826" t="s">
        <v>1466</v>
      </c>
    </row>
    <row r="827" spans="1:28" x14ac:dyDescent="0.25">
      <c r="A827">
        <v>2019</v>
      </c>
      <c r="C827" t="s">
        <v>1354</v>
      </c>
      <c r="D827" t="s">
        <v>2228</v>
      </c>
      <c r="E827" t="s">
        <v>1355</v>
      </c>
      <c r="F827" t="s">
        <v>366</v>
      </c>
      <c r="G827" t="s">
        <v>2229</v>
      </c>
      <c r="H827">
        <v>35.102089999999997</v>
      </c>
      <c r="I827">
        <v>-120.62509</v>
      </c>
      <c r="K827">
        <v>110000730629</v>
      </c>
      <c r="M827">
        <v>4952</v>
      </c>
      <c r="R827">
        <v>0.91043083900226696</v>
      </c>
      <c r="W827" t="s">
        <v>2230</v>
      </c>
      <c r="X827" t="s">
        <v>926</v>
      </c>
      <c r="Y827">
        <v>18060006000024</v>
      </c>
      <c r="AA827" t="s">
        <v>1465</v>
      </c>
      <c r="AB827" t="s">
        <v>263</v>
      </c>
    </row>
    <row r="828" spans="1:28" x14ac:dyDescent="0.25">
      <c r="A828">
        <v>2019</v>
      </c>
      <c r="C828" t="s">
        <v>1356</v>
      </c>
      <c r="D828" t="s">
        <v>2231</v>
      </c>
      <c r="E828" t="s">
        <v>1357</v>
      </c>
      <c r="F828" t="s">
        <v>418</v>
      </c>
      <c r="G828">
        <v>89434</v>
      </c>
      <c r="H828">
        <v>39.530619999999999</v>
      </c>
      <c r="I828">
        <v>-119.73309</v>
      </c>
      <c r="K828">
        <v>110009830200</v>
      </c>
      <c r="M828">
        <v>9511</v>
      </c>
      <c r="R828">
        <v>13.573483124999999</v>
      </c>
      <c r="W828" t="s">
        <v>2232</v>
      </c>
      <c r="X828" t="s">
        <v>2233</v>
      </c>
      <c r="Y828">
        <v>16050102000423</v>
      </c>
      <c r="AA828" t="s">
        <v>1465</v>
      </c>
      <c r="AB828" t="s">
        <v>1466</v>
      </c>
    </row>
    <row r="829" spans="1:28" x14ac:dyDescent="0.25">
      <c r="A829">
        <v>2019</v>
      </c>
      <c r="C829" t="s">
        <v>1362</v>
      </c>
      <c r="D829" t="s">
        <v>2240</v>
      </c>
      <c r="E829" t="s">
        <v>1282</v>
      </c>
      <c r="F829" t="s">
        <v>366</v>
      </c>
      <c r="G829">
        <v>92029</v>
      </c>
      <c r="H829">
        <v>33.115580000000001</v>
      </c>
      <c r="I829">
        <v>-117.1194</v>
      </c>
      <c r="K829">
        <v>110045515180</v>
      </c>
      <c r="M829">
        <v>2082</v>
      </c>
      <c r="R829">
        <v>9.9183673469387702E-3</v>
      </c>
      <c r="W829" t="s">
        <v>2241</v>
      </c>
      <c r="X829" t="s">
        <v>926</v>
      </c>
      <c r="Y829">
        <v>18070303000010</v>
      </c>
      <c r="AA829" t="s">
        <v>1465</v>
      </c>
      <c r="AB829" t="s">
        <v>1466</v>
      </c>
    </row>
    <row r="830" spans="1:28" x14ac:dyDescent="0.25">
      <c r="A830">
        <v>2019</v>
      </c>
      <c r="C830" t="s">
        <v>1363</v>
      </c>
      <c r="D830" t="s">
        <v>2242</v>
      </c>
      <c r="E830" t="s">
        <v>1364</v>
      </c>
      <c r="F830" t="s">
        <v>303</v>
      </c>
      <c r="G830">
        <v>70776</v>
      </c>
      <c r="H830">
        <v>30.241299999999999</v>
      </c>
      <c r="I830">
        <v>-91.100899999999996</v>
      </c>
      <c r="J830" t="s">
        <v>735</v>
      </c>
      <c r="K830">
        <v>110000597426</v>
      </c>
      <c r="M830">
        <v>2819</v>
      </c>
      <c r="R830">
        <v>0.82766439909296996</v>
      </c>
      <c r="W830" t="s">
        <v>2243</v>
      </c>
      <c r="X830">
        <v>402</v>
      </c>
      <c r="Y830">
        <v>8070202002351</v>
      </c>
      <c r="AA830" t="s">
        <v>1465</v>
      </c>
      <c r="AB830" t="s">
        <v>1466</v>
      </c>
    </row>
    <row r="831" spans="1:28" x14ac:dyDescent="0.25">
      <c r="A831">
        <v>2019</v>
      </c>
      <c r="C831" t="s">
        <v>1367</v>
      </c>
      <c r="D831" t="s">
        <v>2251</v>
      </c>
      <c r="E831" t="s">
        <v>1364</v>
      </c>
      <c r="F831" t="s">
        <v>303</v>
      </c>
      <c r="G831">
        <v>70776</v>
      </c>
      <c r="H831">
        <v>30.250833</v>
      </c>
      <c r="I831">
        <v>-91.092277999999993</v>
      </c>
      <c r="J831" t="s">
        <v>736</v>
      </c>
      <c r="K831">
        <v>110056972432</v>
      </c>
      <c r="M831">
        <v>2869</v>
      </c>
      <c r="R831">
        <v>0.41383219954648498</v>
      </c>
      <c r="W831" t="s">
        <v>2252</v>
      </c>
      <c r="Y831">
        <v>8070202000842</v>
      </c>
      <c r="AA831" t="s">
        <v>1465</v>
      </c>
      <c r="AB831" t="s">
        <v>1466</v>
      </c>
    </row>
    <row r="832" spans="1:28" x14ac:dyDescent="0.25">
      <c r="A832">
        <v>2019</v>
      </c>
      <c r="C832" t="s">
        <v>1368</v>
      </c>
      <c r="D832" t="s">
        <v>2253</v>
      </c>
      <c r="E832" t="s">
        <v>657</v>
      </c>
      <c r="F832" t="s">
        <v>418</v>
      </c>
      <c r="G832">
        <v>89119</v>
      </c>
      <c r="H832">
        <v>36.074100000000001</v>
      </c>
      <c r="I832">
        <v>-115.17274</v>
      </c>
      <c r="K832">
        <v>110041903223</v>
      </c>
      <c r="M832">
        <v>5541</v>
      </c>
      <c r="R832">
        <v>2.39176515625E-3</v>
      </c>
      <c r="W832" t="s">
        <v>2254</v>
      </c>
      <c r="X832" t="s">
        <v>2255</v>
      </c>
      <c r="Y832">
        <v>15010015000141</v>
      </c>
      <c r="AA832" t="s">
        <v>1465</v>
      </c>
      <c r="AB832" t="s">
        <v>1466</v>
      </c>
    </row>
    <row r="833" spans="1:28" x14ac:dyDescent="0.25">
      <c r="A833">
        <v>2019</v>
      </c>
      <c r="C833" t="s">
        <v>1369</v>
      </c>
      <c r="D833" t="s">
        <v>2256</v>
      </c>
      <c r="E833" t="s">
        <v>1370</v>
      </c>
      <c r="F833" t="s">
        <v>308</v>
      </c>
      <c r="G833">
        <v>2048</v>
      </c>
      <c r="H833">
        <v>42.020510000000002</v>
      </c>
      <c r="I833">
        <v>-71.267250000000004</v>
      </c>
      <c r="K833">
        <v>110070602569</v>
      </c>
      <c r="R833">
        <v>6.9159463224999999E-3</v>
      </c>
      <c r="W833" t="s">
        <v>2257</v>
      </c>
      <c r="X833" t="s">
        <v>2258</v>
      </c>
      <c r="AA833" t="s">
        <v>1465</v>
      </c>
      <c r="AB833" t="s">
        <v>1466</v>
      </c>
    </row>
    <row r="834" spans="1:28" x14ac:dyDescent="0.25">
      <c r="A834">
        <v>2019</v>
      </c>
      <c r="C834" t="s">
        <v>1371</v>
      </c>
      <c r="D834" t="s">
        <v>2259</v>
      </c>
      <c r="E834" t="s">
        <v>1372</v>
      </c>
      <c r="F834" t="s">
        <v>366</v>
      </c>
      <c r="G834">
        <v>91320</v>
      </c>
      <c r="H834">
        <v>34.189751999999999</v>
      </c>
      <c r="I834">
        <v>-118.94147599999999</v>
      </c>
      <c r="K834">
        <v>110040078279</v>
      </c>
      <c r="M834">
        <v>9999</v>
      </c>
      <c r="R834">
        <v>5.1020408163265296</v>
      </c>
      <c r="W834" t="s">
        <v>2260</v>
      </c>
      <c r="X834" t="s">
        <v>2261</v>
      </c>
      <c r="Y834">
        <v>18070103000071</v>
      </c>
      <c r="AA834" t="s">
        <v>1465</v>
      </c>
      <c r="AB834" t="s">
        <v>1466</v>
      </c>
    </row>
    <row r="835" spans="1:28" x14ac:dyDescent="0.25">
      <c r="A835">
        <v>2019</v>
      </c>
      <c r="C835" t="s">
        <v>1374</v>
      </c>
      <c r="D835" t="s">
        <v>2264</v>
      </c>
      <c r="E835" t="s">
        <v>293</v>
      </c>
      <c r="F835" t="s">
        <v>294</v>
      </c>
      <c r="G835">
        <v>222031606</v>
      </c>
      <c r="H835">
        <v>38.88223</v>
      </c>
      <c r="I835">
        <v>-77.112300000000005</v>
      </c>
      <c r="K835">
        <v>110010844426</v>
      </c>
      <c r="M835">
        <v>4959</v>
      </c>
      <c r="R835">
        <v>1.114304E-4</v>
      </c>
      <c r="W835" t="s">
        <v>2265</v>
      </c>
      <c r="X835" t="s">
        <v>2266</v>
      </c>
      <c r="Y835">
        <v>2070010001022</v>
      </c>
      <c r="AA835" t="s">
        <v>1465</v>
      </c>
      <c r="AB835" t="s">
        <v>1466</v>
      </c>
    </row>
    <row r="836" spans="1:28" x14ac:dyDescent="0.25">
      <c r="A836">
        <v>2019</v>
      </c>
      <c r="C836" t="s">
        <v>1375</v>
      </c>
      <c r="D836" t="s">
        <v>2268</v>
      </c>
      <c r="E836" t="s">
        <v>657</v>
      </c>
      <c r="F836" t="s">
        <v>418</v>
      </c>
      <c r="G836">
        <v>89109</v>
      </c>
      <c r="H836">
        <v>36.137529999999998</v>
      </c>
      <c r="I836">
        <v>-115.15479000000001</v>
      </c>
      <c r="K836">
        <v>110020039402</v>
      </c>
      <c r="M836">
        <v>7011</v>
      </c>
      <c r="R836">
        <v>1.8135196666666601E-8</v>
      </c>
      <c r="W836" t="s">
        <v>2269</v>
      </c>
      <c r="X836" t="s">
        <v>2270</v>
      </c>
      <c r="Y836">
        <v>15010015000432</v>
      </c>
      <c r="AA836" t="s">
        <v>1465</v>
      </c>
      <c r="AB836" t="s">
        <v>1466</v>
      </c>
    </row>
    <row r="837" spans="1:28" x14ac:dyDescent="0.25">
      <c r="A837">
        <v>2019</v>
      </c>
      <c r="C837" t="s">
        <v>1378</v>
      </c>
      <c r="D837" t="s">
        <v>2274</v>
      </c>
      <c r="E837" t="s">
        <v>474</v>
      </c>
      <c r="F837" t="s">
        <v>338</v>
      </c>
      <c r="G837">
        <v>7470</v>
      </c>
      <c r="H837">
        <v>40.936109999999999</v>
      </c>
      <c r="I837">
        <v>-74.273809999999997</v>
      </c>
      <c r="K837">
        <v>110070212009</v>
      </c>
      <c r="R837">
        <v>8.1052436629999898E-4</v>
      </c>
      <c r="W837" t="s">
        <v>2275</v>
      </c>
      <c r="X837" t="s">
        <v>2276</v>
      </c>
      <c r="Y837">
        <v>2030103000052</v>
      </c>
      <c r="AA837" t="s">
        <v>1465</v>
      </c>
      <c r="AB837" t="s">
        <v>1466</v>
      </c>
    </row>
    <row r="838" spans="1:28" x14ac:dyDescent="0.25">
      <c r="A838">
        <v>2019</v>
      </c>
      <c r="C838" t="s">
        <v>1383</v>
      </c>
      <c r="D838" t="s">
        <v>2282</v>
      </c>
      <c r="E838" t="s">
        <v>516</v>
      </c>
      <c r="F838" t="s">
        <v>303</v>
      </c>
      <c r="G838">
        <v>707340000</v>
      </c>
      <c r="H838">
        <v>30.233011999999999</v>
      </c>
      <c r="I838">
        <v>-91.022057000000004</v>
      </c>
      <c r="K838">
        <v>110000911309</v>
      </c>
      <c r="M838">
        <v>4789</v>
      </c>
      <c r="R838">
        <v>1.1140674375E-2</v>
      </c>
      <c r="W838" t="s">
        <v>2283</v>
      </c>
      <c r="X838" t="s">
        <v>795</v>
      </c>
      <c r="Y838">
        <v>8070204000034</v>
      </c>
      <c r="AA838" t="s">
        <v>1465</v>
      </c>
      <c r="AB838" t="s">
        <v>1466</v>
      </c>
    </row>
    <row r="839" spans="1:28" x14ac:dyDescent="0.25">
      <c r="A839">
        <v>2019</v>
      </c>
      <c r="C839" t="s">
        <v>196</v>
      </c>
      <c r="D839" t="s">
        <v>650</v>
      </c>
      <c r="E839" t="s">
        <v>651</v>
      </c>
      <c r="F839" t="s">
        <v>418</v>
      </c>
      <c r="G839">
        <v>89015</v>
      </c>
      <c r="H839">
        <v>36.035440000000001</v>
      </c>
      <c r="I839">
        <v>-114.99994</v>
      </c>
      <c r="J839" t="s">
        <v>652</v>
      </c>
      <c r="K839">
        <v>110043808467</v>
      </c>
      <c r="M839">
        <v>1799</v>
      </c>
      <c r="R839">
        <v>0.29663518124999999</v>
      </c>
      <c r="W839" t="s">
        <v>947</v>
      </c>
      <c r="X839" t="s">
        <v>948</v>
      </c>
      <c r="Y839">
        <v>15010015000957</v>
      </c>
      <c r="AA839" t="s">
        <v>1465</v>
      </c>
      <c r="AB839" t="s">
        <v>1466</v>
      </c>
    </row>
    <row r="840" spans="1:28" x14ac:dyDescent="0.25">
      <c r="A840">
        <v>2019</v>
      </c>
      <c r="C840" t="s">
        <v>1387</v>
      </c>
      <c r="D840" t="s">
        <v>2291</v>
      </c>
      <c r="E840" t="s">
        <v>1388</v>
      </c>
      <c r="F840" t="s">
        <v>294</v>
      </c>
      <c r="G840">
        <v>221822454</v>
      </c>
      <c r="H840">
        <v>38.920251999999998</v>
      </c>
      <c r="I840">
        <v>-77.231944999999996</v>
      </c>
      <c r="K840">
        <v>110070684897</v>
      </c>
      <c r="M840">
        <v>1794</v>
      </c>
      <c r="R840">
        <v>1.01377439999999E-2</v>
      </c>
      <c r="W840" t="s">
        <v>2292</v>
      </c>
      <c r="X840" t="s">
        <v>2293</v>
      </c>
      <c r="AA840" t="s">
        <v>1465</v>
      </c>
      <c r="AB840" t="s">
        <v>1466</v>
      </c>
    </row>
    <row r="841" spans="1:28" x14ac:dyDescent="0.25">
      <c r="A841">
        <v>2019</v>
      </c>
      <c r="C841" t="s">
        <v>1389</v>
      </c>
      <c r="D841" t="s">
        <v>2294</v>
      </c>
      <c r="E841" t="s">
        <v>358</v>
      </c>
      <c r="F841" t="s">
        <v>275</v>
      </c>
      <c r="G841">
        <v>83704</v>
      </c>
      <c r="H841">
        <v>43.605383000000003</v>
      </c>
      <c r="I841">
        <v>-116.27849000000001</v>
      </c>
      <c r="K841">
        <v>110062644367</v>
      </c>
      <c r="R841">
        <v>9.9584561199999901E-3</v>
      </c>
      <c r="W841" t="s">
        <v>2295</v>
      </c>
      <c r="X841" t="s">
        <v>2296</v>
      </c>
      <c r="Y841">
        <v>17050114001337</v>
      </c>
      <c r="AA841" t="s">
        <v>1465</v>
      </c>
      <c r="AB841" t="s">
        <v>1466</v>
      </c>
    </row>
    <row r="842" spans="1:28" x14ac:dyDescent="0.25">
      <c r="A842">
        <v>2019</v>
      </c>
      <c r="C842" t="s">
        <v>1390</v>
      </c>
      <c r="D842" t="s">
        <v>2297</v>
      </c>
      <c r="E842" t="s">
        <v>1007</v>
      </c>
      <c r="F842" t="s">
        <v>1008</v>
      </c>
      <c r="G842">
        <v>972101412</v>
      </c>
      <c r="H842">
        <v>45.548641000000003</v>
      </c>
      <c r="I842">
        <v>-122.72292299999999</v>
      </c>
      <c r="J842" t="s">
        <v>737</v>
      </c>
      <c r="K842">
        <v>110000487447</v>
      </c>
      <c r="M842">
        <v>5169</v>
      </c>
      <c r="R842">
        <v>4.10057262308571E-3</v>
      </c>
      <c r="W842" t="s">
        <v>2298</v>
      </c>
      <c r="X842" t="s">
        <v>2299</v>
      </c>
      <c r="Y842">
        <v>17090012000085</v>
      </c>
      <c r="AA842" t="s">
        <v>1465</v>
      </c>
      <c r="AB842" t="s">
        <v>1466</v>
      </c>
    </row>
    <row r="843" spans="1:28" x14ac:dyDescent="0.25">
      <c r="A843">
        <v>2019</v>
      </c>
      <c r="C843" t="s">
        <v>1392</v>
      </c>
      <c r="D843" t="s">
        <v>2302</v>
      </c>
      <c r="E843" t="s">
        <v>1393</v>
      </c>
      <c r="F843" t="s">
        <v>294</v>
      </c>
      <c r="G843">
        <v>22060</v>
      </c>
      <c r="H843">
        <v>38.711596</v>
      </c>
      <c r="I843">
        <v>-77.147887999999995</v>
      </c>
      <c r="K843">
        <v>110070596765</v>
      </c>
      <c r="M843">
        <v>3825</v>
      </c>
      <c r="R843">
        <v>1.20344831999999E-3</v>
      </c>
      <c r="W843" t="s">
        <v>2303</v>
      </c>
      <c r="X843" t="s">
        <v>877</v>
      </c>
      <c r="AA843" t="s">
        <v>1465</v>
      </c>
      <c r="AB843" t="s">
        <v>1466</v>
      </c>
    </row>
    <row r="844" spans="1:28" x14ac:dyDescent="0.25">
      <c r="A844">
        <v>2019</v>
      </c>
      <c r="C844" t="s">
        <v>1394</v>
      </c>
      <c r="D844" t="s">
        <v>2304</v>
      </c>
      <c r="E844" t="s">
        <v>1395</v>
      </c>
      <c r="F844" t="s">
        <v>362</v>
      </c>
      <c r="G844">
        <v>78241</v>
      </c>
      <c r="H844">
        <v>29.378699999999998</v>
      </c>
      <c r="I844">
        <v>-98.551670000000001</v>
      </c>
      <c r="K844">
        <v>110042004915</v>
      </c>
      <c r="M844">
        <v>9711</v>
      </c>
      <c r="R844">
        <v>1.81746819633E-2</v>
      </c>
      <c r="W844" t="s">
        <v>2305</v>
      </c>
      <c r="X844" t="s">
        <v>2306</v>
      </c>
      <c r="Y844">
        <v>12100302000008</v>
      </c>
      <c r="AA844" t="s">
        <v>1465</v>
      </c>
      <c r="AB844" t="s">
        <v>1466</v>
      </c>
    </row>
    <row r="845" spans="1:28" x14ac:dyDescent="0.25">
      <c r="A845">
        <v>2019</v>
      </c>
      <c r="C845" t="s">
        <v>1400</v>
      </c>
      <c r="D845" t="s">
        <v>2313</v>
      </c>
      <c r="E845" t="s">
        <v>1401</v>
      </c>
      <c r="F845" t="s">
        <v>324</v>
      </c>
      <c r="G845" t="s">
        <v>2314</v>
      </c>
      <c r="H845">
        <v>37.642310000000002</v>
      </c>
      <c r="I845">
        <v>-85.903570000000002</v>
      </c>
      <c r="K845">
        <v>110000571373</v>
      </c>
      <c r="M845">
        <v>4952</v>
      </c>
      <c r="R845">
        <v>33.847362500000003</v>
      </c>
      <c r="W845" t="s">
        <v>2315</v>
      </c>
      <c r="X845" t="s">
        <v>2316</v>
      </c>
      <c r="Y845">
        <v>5110001000593</v>
      </c>
      <c r="AA845" t="s">
        <v>1465</v>
      </c>
      <c r="AB845" t="s">
        <v>263</v>
      </c>
    </row>
    <row r="846" spans="1:28" x14ac:dyDescent="0.25">
      <c r="A846">
        <v>2019</v>
      </c>
      <c r="C846" t="s">
        <v>1402</v>
      </c>
      <c r="D846" t="s">
        <v>2317</v>
      </c>
      <c r="E846" t="s">
        <v>1403</v>
      </c>
      <c r="F846" t="s">
        <v>294</v>
      </c>
      <c r="G846">
        <v>23462</v>
      </c>
      <c r="H846">
        <v>36.844679999999997</v>
      </c>
      <c r="I846">
        <v>-76.184235000000001</v>
      </c>
      <c r="K846">
        <v>110070548097</v>
      </c>
      <c r="M846">
        <v>5541</v>
      </c>
      <c r="R846">
        <v>6.6024025999999902E-2</v>
      </c>
      <c r="W846" t="s">
        <v>2318</v>
      </c>
      <c r="X846" t="s">
        <v>2319</v>
      </c>
      <c r="AA846" t="s">
        <v>1465</v>
      </c>
      <c r="AB846" t="s">
        <v>1466</v>
      </c>
    </row>
    <row r="847" spans="1:28" x14ac:dyDescent="0.25">
      <c r="A847">
        <v>2019</v>
      </c>
      <c r="C847" t="s">
        <v>198</v>
      </c>
      <c r="D847" t="s">
        <v>656</v>
      </c>
      <c r="E847" t="s">
        <v>657</v>
      </c>
      <c r="F847" t="s">
        <v>418</v>
      </c>
      <c r="G847">
        <v>89109</v>
      </c>
      <c r="H847">
        <v>36.122100000000003</v>
      </c>
      <c r="I847">
        <v>-115.17139</v>
      </c>
      <c r="K847">
        <v>110004306938</v>
      </c>
      <c r="M847">
        <v>7011</v>
      </c>
      <c r="R847">
        <v>7.4878655000000004E-3</v>
      </c>
      <c r="W847" t="s">
        <v>951</v>
      </c>
      <c r="X847" t="s">
        <v>952</v>
      </c>
      <c r="Y847">
        <v>15010015000432</v>
      </c>
      <c r="AA847" t="s">
        <v>1465</v>
      </c>
      <c r="AB847" t="s">
        <v>1466</v>
      </c>
    </row>
    <row r="848" spans="1:28" x14ac:dyDescent="0.25">
      <c r="A848">
        <v>2019</v>
      </c>
      <c r="C848" t="s">
        <v>198</v>
      </c>
      <c r="D848" t="s">
        <v>656</v>
      </c>
      <c r="E848" t="s">
        <v>657</v>
      </c>
      <c r="F848" t="s">
        <v>418</v>
      </c>
      <c r="G848">
        <v>89109</v>
      </c>
      <c r="H848">
        <v>36.122100000000003</v>
      </c>
      <c r="I848">
        <v>-115.17139</v>
      </c>
      <c r="K848">
        <v>110004306938</v>
      </c>
      <c r="M848">
        <v>7011</v>
      </c>
      <c r="R848">
        <v>0.1224687374375</v>
      </c>
      <c r="W848" t="s">
        <v>951</v>
      </c>
      <c r="X848" t="s">
        <v>952</v>
      </c>
      <c r="Y848">
        <v>15010015000432</v>
      </c>
      <c r="AA848" t="s">
        <v>1465</v>
      </c>
      <c r="AB848" t="s">
        <v>1466</v>
      </c>
    </row>
    <row r="849" spans="1:28" x14ac:dyDescent="0.25">
      <c r="A849">
        <v>2019</v>
      </c>
      <c r="C849" t="s">
        <v>198</v>
      </c>
      <c r="D849" t="s">
        <v>656</v>
      </c>
      <c r="E849" t="s">
        <v>657</v>
      </c>
      <c r="F849" t="s">
        <v>418</v>
      </c>
      <c r="G849">
        <v>89109</v>
      </c>
      <c r="H849">
        <v>36.122100000000003</v>
      </c>
      <c r="I849">
        <v>-115.17139</v>
      </c>
      <c r="K849">
        <v>110004306938</v>
      </c>
      <c r="M849">
        <v>7011</v>
      </c>
      <c r="R849">
        <v>1.34456920625E-2</v>
      </c>
      <c r="W849" t="s">
        <v>951</v>
      </c>
      <c r="X849" t="s">
        <v>952</v>
      </c>
      <c r="Y849">
        <v>15010015000432</v>
      </c>
      <c r="AA849" t="s">
        <v>1465</v>
      </c>
      <c r="AB849" t="s">
        <v>1466</v>
      </c>
    </row>
    <row r="850" spans="1:28" x14ac:dyDescent="0.25">
      <c r="A850">
        <v>2019</v>
      </c>
      <c r="C850" t="s">
        <v>198</v>
      </c>
      <c r="D850" t="s">
        <v>656</v>
      </c>
      <c r="E850" t="s">
        <v>657</v>
      </c>
      <c r="F850" t="s">
        <v>418</v>
      </c>
      <c r="G850">
        <v>89109</v>
      </c>
      <c r="H850">
        <v>36.122100000000003</v>
      </c>
      <c r="I850">
        <v>-115.17139</v>
      </c>
      <c r="K850">
        <v>110004306938</v>
      </c>
      <c r="M850">
        <v>7011</v>
      </c>
      <c r="R850">
        <v>4.2723660624999996E-3</v>
      </c>
      <c r="W850" t="s">
        <v>951</v>
      </c>
      <c r="X850" t="s">
        <v>952</v>
      </c>
      <c r="Y850">
        <v>15010015000432</v>
      </c>
      <c r="AA850" t="s">
        <v>1465</v>
      </c>
      <c r="AB850" t="s">
        <v>1466</v>
      </c>
    </row>
    <row r="851" spans="1:28" x14ac:dyDescent="0.25">
      <c r="A851">
        <v>2019</v>
      </c>
      <c r="C851" t="s">
        <v>198</v>
      </c>
      <c r="D851" t="s">
        <v>656</v>
      </c>
      <c r="E851" t="s">
        <v>657</v>
      </c>
      <c r="F851" t="s">
        <v>418</v>
      </c>
      <c r="G851">
        <v>89109</v>
      </c>
      <c r="H851">
        <v>36.122100000000003</v>
      </c>
      <c r="I851">
        <v>-115.17139</v>
      </c>
      <c r="K851">
        <v>110004306938</v>
      </c>
      <c r="M851">
        <v>7011</v>
      </c>
      <c r="R851">
        <v>3.61579630625E-2</v>
      </c>
      <c r="W851" t="s">
        <v>951</v>
      </c>
      <c r="X851" t="s">
        <v>952</v>
      </c>
      <c r="Y851">
        <v>15010015000432</v>
      </c>
      <c r="AA851" t="s">
        <v>1465</v>
      </c>
      <c r="AB851" t="s">
        <v>1466</v>
      </c>
    </row>
    <row r="852" spans="1:28" x14ac:dyDescent="0.25">
      <c r="A852">
        <v>2019</v>
      </c>
      <c r="C852" t="s">
        <v>198</v>
      </c>
      <c r="D852" t="s">
        <v>656</v>
      </c>
      <c r="E852" t="s">
        <v>657</v>
      </c>
      <c r="F852" t="s">
        <v>418</v>
      </c>
      <c r="G852">
        <v>89109</v>
      </c>
      <c r="H852">
        <v>36.122100000000003</v>
      </c>
      <c r="I852">
        <v>-115.17139</v>
      </c>
      <c r="K852">
        <v>110004306938</v>
      </c>
      <c r="M852">
        <v>7011</v>
      </c>
      <c r="R852">
        <v>1.5086253000000001E-2</v>
      </c>
      <c r="W852" t="s">
        <v>951</v>
      </c>
      <c r="X852" t="s">
        <v>952</v>
      </c>
      <c r="Y852">
        <v>15010015000432</v>
      </c>
      <c r="AA852" t="s">
        <v>1465</v>
      </c>
      <c r="AB852" t="s">
        <v>1466</v>
      </c>
    </row>
    <row r="853" spans="1:28" x14ac:dyDescent="0.25">
      <c r="A853">
        <v>2019</v>
      </c>
      <c r="C853" t="s">
        <v>1404</v>
      </c>
      <c r="D853" t="s">
        <v>2320</v>
      </c>
      <c r="E853" t="s">
        <v>1405</v>
      </c>
      <c r="F853" t="s">
        <v>427</v>
      </c>
      <c r="G853" t="s">
        <v>2321</v>
      </c>
      <c r="H853">
        <v>42.338805999999998</v>
      </c>
      <c r="I853">
        <v>-85.144028000000006</v>
      </c>
      <c r="K853">
        <v>110006040989</v>
      </c>
      <c r="M853">
        <v>9999</v>
      </c>
      <c r="R853">
        <v>0.55194383999999996</v>
      </c>
      <c r="W853" t="s">
        <v>2322</v>
      </c>
      <c r="X853" t="s">
        <v>2323</v>
      </c>
      <c r="Y853">
        <v>4050003000125</v>
      </c>
      <c r="AA853" t="s">
        <v>1465</v>
      </c>
      <c r="AB853" t="s">
        <v>1466</v>
      </c>
    </row>
    <row r="854" spans="1:28" x14ac:dyDescent="0.25">
      <c r="A854">
        <v>2019</v>
      </c>
      <c r="C854" t="s">
        <v>1408</v>
      </c>
      <c r="D854" t="s">
        <v>2327</v>
      </c>
      <c r="E854" t="s">
        <v>1409</v>
      </c>
      <c r="F854" t="s">
        <v>366</v>
      </c>
      <c r="G854" t="s">
        <v>2328</v>
      </c>
      <c r="H854">
        <v>34.616658000000001</v>
      </c>
      <c r="I854">
        <v>-117.355048</v>
      </c>
      <c r="K854">
        <v>110000517637</v>
      </c>
      <c r="M854">
        <v>4952</v>
      </c>
      <c r="R854">
        <v>0.49044137500000001</v>
      </c>
      <c r="W854" t="s">
        <v>2329</v>
      </c>
      <c r="X854" t="s">
        <v>2330</v>
      </c>
      <c r="Y854">
        <v>18090208000542</v>
      </c>
      <c r="AA854" t="s">
        <v>1465</v>
      </c>
      <c r="AB854" t="s">
        <v>263</v>
      </c>
    </row>
    <row r="855" spans="1:28" x14ac:dyDescent="0.25">
      <c r="A855">
        <v>2019</v>
      </c>
      <c r="C855" t="s">
        <v>1413</v>
      </c>
      <c r="D855" t="s">
        <v>2338</v>
      </c>
      <c r="E855" t="s">
        <v>1414</v>
      </c>
      <c r="F855" t="s">
        <v>1415</v>
      </c>
      <c r="G855">
        <v>68601</v>
      </c>
      <c r="H855">
        <v>41.424084999999998</v>
      </c>
      <c r="I855">
        <v>-97.286036999999993</v>
      </c>
      <c r="K855">
        <v>110070246981</v>
      </c>
      <c r="M855">
        <v>2899</v>
      </c>
      <c r="R855">
        <v>0.27600000000000002</v>
      </c>
      <c r="W855" t="s">
        <v>2339</v>
      </c>
      <c r="AA855" t="s">
        <v>1465</v>
      </c>
      <c r="AB855" t="s">
        <v>1466</v>
      </c>
    </row>
    <row r="856" spans="1:28" x14ac:dyDescent="0.25">
      <c r="A856">
        <v>2019</v>
      </c>
      <c r="C856" t="s">
        <v>1416</v>
      </c>
      <c r="D856" t="s">
        <v>2340</v>
      </c>
      <c r="E856" t="s">
        <v>1417</v>
      </c>
      <c r="F856" t="s">
        <v>366</v>
      </c>
      <c r="G856" t="s">
        <v>2341</v>
      </c>
      <c r="H856">
        <v>33.762349999999998</v>
      </c>
      <c r="I856">
        <v>-118.241775</v>
      </c>
      <c r="K856">
        <v>110017217545</v>
      </c>
      <c r="M856">
        <v>5171</v>
      </c>
      <c r="R856">
        <v>8.5171016250000006E-3</v>
      </c>
      <c r="W856" t="s">
        <v>2342</v>
      </c>
      <c r="X856" t="s">
        <v>2343</v>
      </c>
      <c r="Y856">
        <v>18070106002148</v>
      </c>
      <c r="AA856" t="s">
        <v>1465</v>
      </c>
      <c r="AB856" t="s">
        <v>1466</v>
      </c>
    </row>
    <row r="857" spans="1:28" x14ac:dyDescent="0.25">
      <c r="A857">
        <v>2019</v>
      </c>
      <c r="C857" t="s">
        <v>1418</v>
      </c>
      <c r="D857" t="s">
        <v>2344</v>
      </c>
      <c r="E857" t="s">
        <v>1041</v>
      </c>
      <c r="F857" t="s">
        <v>366</v>
      </c>
      <c r="G857">
        <v>90744</v>
      </c>
      <c r="H857">
        <v>33.791108999999999</v>
      </c>
      <c r="I857">
        <v>-118.244609</v>
      </c>
      <c r="K857">
        <v>110028243791</v>
      </c>
      <c r="M857">
        <v>5171</v>
      </c>
      <c r="R857">
        <v>2.02980560625E-2</v>
      </c>
      <c r="W857" t="s">
        <v>2345</v>
      </c>
      <c r="X857" t="s">
        <v>1556</v>
      </c>
      <c r="Y857">
        <v>18070106002149</v>
      </c>
      <c r="AA857" t="s">
        <v>1465</v>
      </c>
      <c r="AB857" t="s">
        <v>1466</v>
      </c>
    </row>
    <row r="858" spans="1:28" x14ac:dyDescent="0.25">
      <c r="A858">
        <v>2019</v>
      </c>
      <c r="C858" t="s">
        <v>1419</v>
      </c>
      <c r="D858" t="s">
        <v>2346</v>
      </c>
      <c r="E858" t="s">
        <v>1420</v>
      </c>
      <c r="F858" t="s">
        <v>427</v>
      </c>
      <c r="G858">
        <v>49221</v>
      </c>
      <c r="H858">
        <v>41.948850999999998</v>
      </c>
      <c r="I858">
        <v>-83.958619999999996</v>
      </c>
      <c r="J858" t="s">
        <v>739</v>
      </c>
      <c r="K858">
        <v>110056966699</v>
      </c>
      <c r="M858">
        <v>2821</v>
      </c>
      <c r="R858">
        <v>3.8538807335799803E-6</v>
      </c>
      <c r="W858" t="s">
        <v>2347</v>
      </c>
      <c r="X858" t="s">
        <v>2348</v>
      </c>
      <c r="Y858">
        <v>4100002000101</v>
      </c>
      <c r="AA858" t="s">
        <v>1465</v>
      </c>
      <c r="AB858" t="s">
        <v>1466</v>
      </c>
    </row>
    <row r="859" spans="1:28" x14ac:dyDescent="0.25">
      <c r="A859">
        <v>2019</v>
      </c>
      <c r="C859" t="s">
        <v>1423</v>
      </c>
      <c r="D859" t="s">
        <v>2353</v>
      </c>
      <c r="E859" t="s">
        <v>1424</v>
      </c>
      <c r="F859" t="s">
        <v>294</v>
      </c>
      <c r="G859">
        <v>22610</v>
      </c>
      <c r="H859">
        <v>38.814979999999998</v>
      </c>
      <c r="I859">
        <v>-78.2834</v>
      </c>
      <c r="K859">
        <v>110054919406</v>
      </c>
      <c r="M859">
        <v>4953</v>
      </c>
      <c r="R859">
        <v>9.36183028686999E-4</v>
      </c>
      <c r="W859" t="s">
        <v>2354</v>
      </c>
      <c r="X859" t="s">
        <v>2355</v>
      </c>
      <c r="AA859" t="s">
        <v>1465</v>
      </c>
      <c r="AB859" t="s">
        <v>1466</v>
      </c>
    </row>
    <row r="860" spans="1:28" x14ac:dyDescent="0.25">
      <c r="A860">
        <v>2019</v>
      </c>
      <c r="C860" t="s">
        <v>1427</v>
      </c>
      <c r="D860" t="s">
        <v>2359</v>
      </c>
      <c r="E860" t="s">
        <v>1265</v>
      </c>
      <c r="F860" t="s">
        <v>366</v>
      </c>
      <c r="G860">
        <v>94806</v>
      </c>
      <c r="H860">
        <v>37.977150000000002</v>
      </c>
      <c r="I860">
        <v>-122.33269</v>
      </c>
      <c r="K860">
        <v>110064252419</v>
      </c>
      <c r="M860">
        <v>4952</v>
      </c>
      <c r="R860">
        <v>3.7646556250000001</v>
      </c>
      <c r="W860" t="s">
        <v>2360</v>
      </c>
      <c r="X860" t="s">
        <v>2361</v>
      </c>
      <c r="Y860">
        <v>18050002001022</v>
      </c>
      <c r="AA860" t="s">
        <v>1465</v>
      </c>
      <c r="AB860" t="s">
        <v>263</v>
      </c>
    </row>
    <row r="861" spans="1:28" x14ac:dyDescent="0.25">
      <c r="A861">
        <v>2019</v>
      </c>
      <c r="C861" t="s">
        <v>1428</v>
      </c>
      <c r="D861" t="s">
        <v>2362</v>
      </c>
      <c r="E861" t="s">
        <v>337</v>
      </c>
      <c r="F861" t="s">
        <v>338</v>
      </c>
      <c r="G861">
        <v>8066</v>
      </c>
      <c r="H861">
        <v>39.837310000000002</v>
      </c>
      <c r="I861">
        <v>-75.224580000000003</v>
      </c>
      <c r="K861">
        <v>110010354810</v>
      </c>
      <c r="M861">
        <v>4911</v>
      </c>
      <c r="R861">
        <v>0.11613061299999999</v>
      </c>
      <c r="W861" t="s">
        <v>2363</v>
      </c>
      <c r="X861" t="s">
        <v>783</v>
      </c>
      <c r="Y861">
        <v>2040202001766</v>
      </c>
      <c r="AA861" t="s">
        <v>1465</v>
      </c>
      <c r="AB861" t="s">
        <v>1466</v>
      </c>
    </row>
    <row r="862" spans="1:28" x14ac:dyDescent="0.25">
      <c r="A862">
        <v>2019</v>
      </c>
      <c r="C862" t="s">
        <v>1432</v>
      </c>
      <c r="D862" t="s">
        <v>2371</v>
      </c>
      <c r="E862" t="s">
        <v>1433</v>
      </c>
      <c r="F862" t="s">
        <v>324</v>
      </c>
      <c r="G862">
        <v>40769</v>
      </c>
      <c r="H862">
        <v>36.747222000000001</v>
      </c>
      <c r="I862">
        <v>-84.171943999999996</v>
      </c>
      <c r="K862">
        <v>110006751737</v>
      </c>
      <c r="M862">
        <v>4952</v>
      </c>
      <c r="R862">
        <v>5.1530882499999997</v>
      </c>
      <c r="W862" t="s">
        <v>2372</v>
      </c>
      <c r="X862" t="s">
        <v>785</v>
      </c>
      <c r="Y862">
        <v>5130101000083</v>
      </c>
      <c r="AA862" t="s">
        <v>1465</v>
      </c>
      <c r="AB862" t="s">
        <v>263</v>
      </c>
    </row>
    <row r="863" spans="1:28" x14ac:dyDescent="0.25">
      <c r="A863">
        <v>2019</v>
      </c>
      <c r="C863" t="s">
        <v>1436</v>
      </c>
      <c r="D863" t="s">
        <v>2377</v>
      </c>
      <c r="E863" t="s">
        <v>1437</v>
      </c>
      <c r="F863" t="s">
        <v>324</v>
      </c>
      <c r="G863">
        <v>40392</v>
      </c>
      <c r="H863">
        <v>37.915556000000002</v>
      </c>
      <c r="I863">
        <v>-84.268332999999998</v>
      </c>
      <c r="K863">
        <v>110064596361</v>
      </c>
      <c r="M863">
        <v>4952</v>
      </c>
      <c r="R863">
        <v>6.9836088749999998</v>
      </c>
      <c r="W863" t="s">
        <v>2378</v>
      </c>
      <c r="X863" t="s">
        <v>1592</v>
      </c>
      <c r="Y863">
        <v>5100205000175</v>
      </c>
      <c r="AA863" t="s">
        <v>1465</v>
      </c>
      <c r="AB863" t="s">
        <v>263</v>
      </c>
    </row>
    <row r="864" spans="1:28" x14ac:dyDescent="0.25">
      <c r="A864">
        <v>2019</v>
      </c>
      <c r="C864" t="s">
        <v>203</v>
      </c>
      <c r="D864" t="s">
        <v>669</v>
      </c>
      <c r="E864" t="s">
        <v>348</v>
      </c>
      <c r="F864" t="s">
        <v>349</v>
      </c>
      <c r="G864">
        <v>63461</v>
      </c>
      <c r="H864">
        <v>39.828163000000004</v>
      </c>
      <c r="I864">
        <v>-91.436942000000002</v>
      </c>
      <c r="K864">
        <v>110040330718</v>
      </c>
      <c r="M864">
        <v>9512</v>
      </c>
      <c r="R864">
        <v>0.72204173999999999</v>
      </c>
      <c r="W864" t="s">
        <v>959</v>
      </c>
      <c r="X864" t="s">
        <v>960</v>
      </c>
      <c r="Y864">
        <v>7110004001360</v>
      </c>
      <c r="AA864" t="s">
        <v>1465</v>
      </c>
      <c r="AB864" t="s">
        <v>1466</v>
      </c>
    </row>
    <row r="865" spans="1:28" x14ac:dyDescent="0.25">
      <c r="A865">
        <v>2019</v>
      </c>
      <c r="C865" t="s">
        <v>1442</v>
      </c>
      <c r="D865" t="s">
        <v>2386</v>
      </c>
      <c r="E865" t="s">
        <v>1443</v>
      </c>
      <c r="F865" t="s">
        <v>450</v>
      </c>
      <c r="G865">
        <v>14580</v>
      </c>
      <c r="H865">
        <v>43.227834000000001</v>
      </c>
      <c r="I865">
        <v>-77.411534000000003</v>
      </c>
      <c r="J865" t="s">
        <v>740</v>
      </c>
      <c r="K865">
        <v>110000327799</v>
      </c>
      <c r="M865">
        <v>9511</v>
      </c>
      <c r="R865">
        <v>6.7627579100000001E-2</v>
      </c>
      <c r="W865" t="s">
        <v>2387</v>
      </c>
      <c r="X865" t="s">
        <v>2388</v>
      </c>
      <c r="Y865">
        <v>4140101000567</v>
      </c>
      <c r="AA865" t="s">
        <v>1465</v>
      </c>
      <c r="AB865" t="s">
        <v>1466</v>
      </c>
    </row>
    <row r="866" spans="1:28" x14ac:dyDescent="0.25">
      <c r="A866">
        <v>2019</v>
      </c>
      <c r="C866" t="s">
        <v>1442</v>
      </c>
      <c r="D866" t="s">
        <v>2386</v>
      </c>
      <c r="E866" t="s">
        <v>1443</v>
      </c>
      <c r="F866" t="s">
        <v>450</v>
      </c>
      <c r="G866">
        <v>14580</v>
      </c>
      <c r="H866">
        <v>43.227834000000001</v>
      </c>
      <c r="I866">
        <v>-77.411534000000003</v>
      </c>
      <c r="J866" t="s">
        <v>740</v>
      </c>
      <c r="K866">
        <v>110000327799</v>
      </c>
      <c r="M866">
        <v>9511</v>
      </c>
      <c r="R866">
        <v>0.21448535199999999</v>
      </c>
      <c r="W866" t="s">
        <v>2387</v>
      </c>
      <c r="X866" t="s">
        <v>2388</v>
      </c>
      <c r="Y866">
        <v>4140101000567</v>
      </c>
      <c r="AA866" t="s">
        <v>1465</v>
      </c>
      <c r="AB866" t="s">
        <v>1466</v>
      </c>
    </row>
    <row r="867" spans="1:28" x14ac:dyDescent="0.25">
      <c r="A867">
        <v>2019</v>
      </c>
      <c r="C867" t="s">
        <v>1442</v>
      </c>
      <c r="D867" t="s">
        <v>2386</v>
      </c>
      <c r="E867" t="s">
        <v>1443</v>
      </c>
      <c r="F867" t="s">
        <v>450</v>
      </c>
      <c r="G867">
        <v>14580</v>
      </c>
      <c r="H867">
        <v>43.227834000000001</v>
      </c>
      <c r="I867">
        <v>-77.411534000000003</v>
      </c>
      <c r="J867" t="s">
        <v>740</v>
      </c>
      <c r="K867">
        <v>110000327799</v>
      </c>
      <c r="M867">
        <v>9511</v>
      </c>
      <c r="R867">
        <v>0.12497444718</v>
      </c>
      <c r="W867" t="s">
        <v>2387</v>
      </c>
      <c r="X867" t="s">
        <v>2388</v>
      </c>
      <c r="Y867">
        <v>4140101000567</v>
      </c>
      <c r="AA867" t="s">
        <v>1465</v>
      </c>
      <c r="AB867" t="s">
        <v>1466</v>
      </c>
    </row>
    <row r="868" spans="1:28" x14ac:dyDescent="0.25">
      <c r="A868">
        <v>2020</v>
      </c>
      <c r="C868" t="s">
        <v>96</v>
      </c>
      <c r="D868" t="s">
        <v>292</v>
      </c>
      <c r="E868" t="s">
        <v>293</v>
      </c>
      <c r="F868" t="s">
        <v>294</v>
      </c>
      <c r="G868">
        <v>22203</v>
      </c>
      <c r="H868">
        <v>38.882449999999999</v>
      </c>
      <c r="I868">
        <v>-77.108000000000004</v>
      </c>
      <c r="K868">
        <v>110070549382</v>
      </c>
      <c r="M868">
        <v>1794</v>
      </c>
      <c r="R868">
        <v>1.76002499999999E-5</v>
      </c>
      <c r="W868" t="s">
        <v>761</v>
      </c>
      <c r="X868" t="s">
        <v>762</v>
      </c>
      <c r="AA868" t="s">
        <v>1465</v>
      </c>
      <c r="AB868" t="s">
        <v>1466</v>
      </c>
    </row>
    <row r="869" spans="1:28" x14ac:dyDescent="0.25">
      <c r="A869">
        <v>2020</v>
      </c>
      <c r="C869" t="s">
        <v>965</v>
      </c>
      <c r="D869" t="s">
        <v>1469</v>
      </c>
      <c r="E869" t="s">
        <v>966</v>
      </c>
      <c r="F869" t="s">
        <v>491</v>
      </c>
      <c r="G869">
        <v>19112</v>
      </c>
      <c r="H869">
        <v>39.884791999999997</v>
      </c>
      <c r="I869">
        <v>-75.191112000000004</v>
      </c>
      <c r="K869">
        <v>110006368206</v>
      </c>
      <c r="M869">
        <v>3731</v>
      </c>
      <c r="R869">
        <v>0.12272661319680001</v>
      </c>
      <c r="W869" t="s">
        <v>1470</v>
      </c>
      <c r="X869" t="s">
        <v>1471</v>
      </c>
      <c r="Y869">
        <v>2040203000001</v>
      </c>
      <c r="AA869" t="s">
        <v>1465</v>
      </c>
      <c r="AB869" t="s">
        <v>1466</v>
      </c>
    </row>
    <row r="870" spans="1:28" x14ac:dyDescent="0.25">
      <c r="A870">
        <v>2020</v>
      </c>
      <c r="C870" t="s">
        <v>967</v>
      </c>
      <c r="D870" t="s">
        <v>1473</v>
      </c>
      <c r="E870" t="s">
        <v>968</v>
      </c>
      <c r="F870" t="s">
        <v>294</v>
      </c>
      <c r="G870">
        <v>22314</v>
      </c>
      <c r="H870">
        <v>38.810879999999997</v>
      </c>
      <c r="I870">
        <v>-77.042289999999994</v>
      </c>
      <c r="K870">
        <v>110070885683</v>
      </c>
      <c r="M870">
        <v>1794</v>
      </c>
      <c r="R870">
        <v>0.24413116692299899</v>
      </c>
      <c r="W870" t="s">
        <v>1474</v>
      </c>
      <c r="X870" t="s">
        <v>1475</v>
      </c>
      <c r="AA870" t="s">
        <v>1465</v>
      </c>
      <c r="AB870" t="s">
        <v>1466</v>
      </c>
    </row>
    <row r="871" spans="1:28" x14ac:dyDescent="0.25">
      <c r="A871">
        <v>2020</v>
      </c>
      <c r="C871" t="s">
        <v>969</v>
      </c>
      <c r="D871" t="s">
        <v>1477</v>
      </c>
      <c r="E871" t="s">
        <v>293</v>
      </c>
      <c r="F871" t="s">
        <v>294</v>
      </c>
      <c r="G871">
        <v>22205</v>
      </c>
      <c r="H871">
        <v>38.845162999999999</v>
      </c>
      <c r="I871">
        <v>-77.050687999999994</v>
      </c>
      <c r="K871">
        <v>110070545578</v>
      </c>
      <c r="M871">
        <v>1794</v>
      </c>
      <c r="R871">
        <v>7.2228360149999898E-3</v>
      </c>
      <c r="W871" t="s">
        <v>1478</v>
      </c>
      <c r="X871" t="s">
        <v>1475</v>
      </c>
      <c r="AA871" t="s">
        <v>1465</v>
      </c>
      <c r="AB871" t="s">
        <v>1466</v>
      </c>
    </row>
    <row r="872" spans="1:28" x14ac:dyDescent="0.25">
      <c r="A872">
        <v>2020</v>
      </c>
      <c r="C872" t="s">
        <v>977</v>
      </c>
      <c r="D872" t="s">
        <v>1493</v>
      </c>
      <c r="E872" t="s">
        <v>978</v>
      </c>
      <c r="F872" t="s">
        <v>979</v>
      </c>
      <c r="G872">
        <v>37389</v>
      </c>
      <c r="H872">
        <v>35.377800000000001</v>
      </c>
      <c r="I872">
        <v>-86.045599999999993</v>
      </c>
      <c r="J872" t="s">
        <v>700</v>
      </c>
      <c r="K872">
        <v>110017413217</v>
      </c>
      <c r="M872">
        <v>9711</v>
      </c>
      <c r="R872">
        <v>13.107383179625</v>
      </c>
      <c r="W872" t="s">
        <v>1494</v>
      </c>
      <c r="X872" t="s">
        <v>1495</v>
      </c>
      <c r="Y872">
        <v>6030003000915</v>
      </c>
      <c r="AA872" t="s">
        <v>1465</v>
      </c>
      <c r="AB872" t="s">
        <v>1466</v>
      </c>
    </row>
    <row r="873" spans="1:28" x14ac:dyDescent="0.25">
      <c r="A873">
        <v>2020</v>
      </c>
      <c r="C873" t="s">
        <v>106</v>
      </c>
      <c r="D873" t="s">
        <v>326</v>
      </c>
      <c r="E873" t="s">
        <v>327</v>
      </c>
      <c r="F873" t="s">
        <v>328</v>
      </c>
      <c r="G873">
        <v>30340</v>
      </c>
      <c r="H873">
        <v>33.905000000000001</v>
      </c>
      <c r="I873">
        <v>-84.240278000000004</v>
      </c>
      <c r="K873">
        <v>110070381611</v>
      </c>
      <c r="R873">
        <v>8.4865623525000003E-2</v>
      </c>
      <c r="W873" t="s">
        <v>778</v>
      </c>
      <c r="X873" t="s">
        <v>779</v>
      </c>
      <c r="AA873" t="s">
        <v>1465</v>
      </c>
      <c r="AB873" t="s">
        <v>1466</v>
      </c>
    </row>
    <row r="874" spans="1:28" x14ac:dyDescent="0.25">
      <c r="A874">
        <v>2020</v>
      </c>
      <c r="C874" t="s">
        <v>108</v>
      </c>
      <c r="D874" t="s">
        <v>336</v>
      </c>
      <c r="E874" t="s">
        <v>337</v>
      </c>
      <c r="F874" t="s">
        <v>338</v>
      </c>
      <c r="G874" t="s">
        <v>339</v>
      </c>
      <c r="H874">
        <v>39.852224</v>
      </c>
      <c r="I874">
        <v>-75.234432999999996</v>
      </c>
      <c r="K874">
        <v>110000760310</v>
      </c>
      <c r="M874">
        <v>5171</v>
      </c>
      <c r="R874">
        <v>9.3903124799999994E-3</v>
      </c>
      <c r="W874" t="s">
        <v>782</v>
      </c>
      <c r="X874" t="s">
        <v>783</v>
      </c>
      <c r="Y874">
        <v>2040202000029</v>
      </c>
      <c r="AA874" t="s">
        <v>1465</v>
      </c>
      <c r="AB874" t="s">
        <v>1466</v>
      </c>
    </row>
    <row r="875" spans="1:28" x14ac:dyDescent="0.25">
      <c r="A875">
        <v>2020</v>
      </c>
      <c r="C875" t="s">
        <v>984</v>
      </c>
      <c r="D875" t="s">
        <v>1505</v>
      </c>
      <c r="E875" t="s">
        <v>985</v>
      </c>
      <c r="F875" t="s">
        <v>979</v>
      </c>
      <c r="G875">
        <v>37660</v>
      </c>
      <c r="H875">
        <v>36.550454999999999</v>
      </c>
      <c r="I875">
        <v>-82.634793999999999</v>
      </c>
      <c r="K875">
        <v>110070828339</v>
      </c>
      <c r="M875">
        <v>2892</v>
      </c>
      <c r="R875">
        <v>1.2414965986394499</v>
      </c>
      <c r="W875" t="s">
        <v>1506</v>
      </c>
      <c r="X875" t="s">
        <v>1507</v>
      </c>
      <c r="Y875">
        <v>6010104000630</v>
      </c>
      <c r="AA875" t="s">
        <v>1465</v>
      </c>
      <c r="AB875" t="s">
        <v>1466</v>
      </c>
    </row>
    <row r="876" spans="1:28" x14ac:dyDescent="0.25">
      <c r="A876">
        <v>2020</v>
      </c>
      <c r="C876" t="s">
        <v>986</v>
      </c>
      <c r="D876" t="s">
        <v>1508</v>
      </c>
      <c r="E876" t="s">
        <v>987</v>
      </c>
      <c r="F876" t="s">
        <v>324</v>
      </c>
      <c r="G876">
        <v>40216</v>
      </c>
      <c r="H876">
        <v>38.195278000000002</v>
      </c>
      <c r="I876">
        <v>-85.872221999999994</v>
      </c>
      <c r="J876" t="s">
        <v>701</v>
      </c>
      <c r="K876">
        <v>110000378467</v>
      </c>
      <c r="M876">
        <v>2869</v>
      </c>
      <c r="R876">
        <v>0.48979591836734598</v>
      </c>
      <c r="W876" t="s">
        <v>1509</v>
      </c>
      <c r="X876" t="s">
        <v>830</v>
      </c>
      <c r="Y876">
        <v>5140101000007</v>
      </c>
      <c r="AA876" t="s">
        <v>1465</v>
      </c>
      <c r="AB876" t="s">
        <v>1466</v>
      </c>
    </row>
    <row r="877" spans="1:28" x14ac:dyDescent="0.25">
      <c r="A877">
        <v>2020</v>
      </c>
      <c r="C877" t="s">
        <v>986</v>
      </c>
      <c r="D877" t="s">
        <v>1508</v>
      </c>
      <c r="E877" t="s">
        <v>987</v>
      </c>
      <c r="F877" t="s">
        <v>324</v>
      </c>
      <c r="G877">
        <v>40216</v>
      </c>
      <c r="H877">
        <v>38.195278000000002</v>
      </c>
      <c r="I877">
        <v>-85.872221999999994</v>
      </c>
      <c r="J877" t="s">
        <v>701</v>
      </c>
      <c r="K877">
        <v>110000378467</v>
      </c>
      <c r="M877">
        <v>2869</v>
      </c>
      <c r="R877">
        <v>0.57936507936507897</v>
      </c>
      <c r="W877" t="s">
        <v>1509</v>
      </c>
      <c r="X877" t="s">
        <v>830</v>
      </c>
      <c r="Y877">
        <v>5140101000007</v>
      </c>
      <c r="AA877" t="s">
        <v>1465</v>
      </c>
      <c r="AB877" t="s">
        <v>1466</v>
      </c>
    </row>
    <row r="878" spans="1:28" x14ac:dyDescent="0.25">
      <c r="A878">
        <v>2020</v>
      </c>
      <c r="C878" t="s">
        <v>991</v>
      </c>
      <c r="D878" t="s">
        <v>1517</v>
      </c>
      <c r="E878" t="s">
        <v>992</v>
      </c>
      <c r="F878" t="s">
        <v>299</v>
      </c>
      <c r="G878">
        <v>723016413</v>
      </c>
      <c r="H878">
        <v>35.136057000000001</v>
      </c>
      <c r="I878">
        <v>-90.096892999999994</v>
      </c>
      <c r="J878" t="s">
        <v>704</v>
      </c>
      <c r="K878">
        <v>110000452082</v>
      </c>
      <c r="M878">
        <v>2869</v>
      </c>
      <c r="R878">
        <v>4.1519274376417198E-2</v>
      </c>
      <c r="W878" t="s">
        <v>1518</v>
      </c>
      <c r="X878" t="s">
        <v>1519</v>
      </c>
      <c r="Y878">
        <v>8010100000818</v>
      </c>
      <c r="AA878" t="s">
        <v>1465</v>
      </c>
      <c r="AB878" t="s">
        <v>1466</v>
      </c>
    </row>
    <row r="879" spans="1:28" x14ac:dyDescent="0.25">
      <c r="A879">
        <v>2020</v>
      </c>
      <c r="C879" t="s">
        <v>993</v>
      </c>
      <c r="D879" t="s">
        <v>1521</v>
      </c>
      <c r="E879" t="s">
        <v>994</v>
      </c>
      <c r="F879" t="s">
        <v>324</v>
      </c>
      <c r="G879">
        <v>40360</v>
      </c>
      <c r="H879">
        <v>38.127222000000003</v>
      </c>
      <c r="I879">
        <v>-83.769443999999993</v>
      </c>
      <c r="K879">
        <v>110030443544</v>
      </c>
      <c r="M879">
        <v>4952</v>
      </c>
      <c r="R879">
        <v>8.6345312499999993E-2</v>
      </c>
      <c r="W879" t="s">
        <v>1522</v>
      </c>
      <c r="X879" t="s">
        <v>1523</v>
      </c>
      <c r="Y879">
        <v>5100101000134</v>
      </c>
      <c r="AA879" t="s">
        <v>1465</v>
      </c>
      <c r="AB879" t="s">
        <v>263</v>
      </c>
    </row>
    <row r="880" spans="1:28" x14ac:dyDescent="0.25">
      <c r="A880">
        <v>2020</v>
      </c>
      <c r="C880" t="s">
        <v>996</v>
      </c>
      <c r="D880" t="s">
        <v>1527</v>
      </c>
      <c r="E880" t="s">
        <v>388</v>
      </c>
      <c r="F880" t="s">
        <v>366</v>
      </c>
      <c r="G880">
        <v>92223</v>
      </c>
      <c r="H880">
        <v>33.926245999999999</v>
      </c>
      <c r="I880">
        <v>-116.992552</v>
      </c>
      <c r="K880">
        <v>110055992993</v>
      </c>
      <c r="M880">
        <v>4952</v>
      </c>
      <c r="R880">
        <v>0.14352663225000001</v>
      </c>
      <c r="W880" t="s">
        <v>1528</v>
      </c>
      <c r="X880" t="s">
        <v>1529</v>
      </c>
      <c r="Y880">
        <v>18070203002360</v>
      </c>
      <c r="AA880" t="s">
        <v>1465</v>
      </c>
      <c r="AB880" t="s">
        <v>263</v>
      </c>
    </row>
    <row r="881" spans="1:28" x14ac:dyDescent="0.25">
      <c r="A881">
        <v>2020</v>
      </c>
      <c r="C881" t="s">
        <v>997</v>
      </c>
      <c r="D881" t="s">
        <v>1530</v>
      </c>
      <c r="E881" t="s">
        <v>998</v>
      </c>
      <c r="F881" t="s">
        <v>999</v>
      </c>
      <c r="G881" t="s">
        <v>1531</v>
      </c>
      <c r="H881">
        <v>43.270670000000003</v>
      </c>
      <c r="I881">
        <v>-71.590410000000006</v>
      </c>
      <c r="K881">
        <v>110004087880</v>
      </c>
      <c r="R881">
        <v>6.653791545E-3</v>
      </c>
      <c r="W881" t="s">
        <v>1532</v>
      </c>
      <c r="X881" t="s">
        <v>1533</v>
      </c>
      <c r="Y881">
        <v>1070006001950</v>
      </c>
      <c r="AA881" t="s">
        <v>1465</v>
      </c>
      <c r="AB881" t="s">
        <v>1466</v>
      </c>
    </row>
    <row r="882" spans="1:28" x14ac:dyDescent="0.25">
      <c r="A882">
        <v>2020</v>
      </c>
      <c r="C882" t="s">
        <v>1000</v>
      </c>
      <c r="D882" t="s">
        <v>1534</v>
      </c>
      <c r="E882" t="s">
        <v>1001</v>
      </c>
      <c r="F882" t="s">
        <v>324</v>
      </c>
      <c r="G882">
        <v>42025</v>
      </c>
      <c r="H882">
        <v>36.866140000000001</v>
      </c>
      <c r="I882">
        <v>-88.342470000000006</v>
      </c>
      <c r="K882">
        <v>110001855635</v>
      </c>
      <c r="M882">
        <v>4952</v>
      </c>
      <c r="R882">
        <v>2.8873872500000002</v>
      </c>
      <c r="W882" t="s">
        <v>1535</v>
      </c>
      <c r="X882" t="s">
        <v>1536</v>
      </c>
      <c r="Y882">
        <v>6040006000045</v>
      </c>
      <c r="AA882" t="s">
        <v>1465</v>
      </c>
      <c r="AB882" t="s">
        <v>263</v>
      </c>
    </row>
    <row r="883" spans="1:28" x14ac:dyDescent="0.25">
      <c r="A883">
        <v>2020</v>
      </c>
      <c r="C883" t="s">
        <v>1002</v>
      </c>
      <c r="D883" t="s">
        <v>1537</v>
      </c>
      <c r="E883" t="s">
        <v>1003</v>
      </c>
      <c r="F883" t="s">
        <v>303</v>
      </c>
      <c r="G883">
        <v>70726</v>
      </c>
      <c r="H883">
        <v>30.486615</v>
      </c>
      <c r="I883">
        <v>-90.925387999999998</v>
      </c>
      <c r="J883" t="s">
        <v>706</v>
      </c>
      <c r="K883">
        <v>110000597355</v>
      </c>
      <c r="M883">
        <v>2899</v>
      </c>
      <c r="R883">
        <v>3.3106575963718798E-2</v>
      </c>
      <c r="W883" t="s">
        <v>1538</v>
      </c>
      <c r="X883" t="s">
        <v>1539</v>
      </c>
      <c r="Y883">
        <v>8070202000867</v>
      </c>
      <c r="AA883" t="s">
        <v>1465</v>
      </c>
      <c r="AB883" t="s">
        <v>1466</v>
      </c>
    </row>
    <row r="884" spans="1:28" x14ac:dyDescent="0.25">
      <c r="A884">
        <v>2020</v>
      </c>
      <c r="C884" t="s">
        <v>1004</v>
      </c>
      <c r="D884" t="s">
        <v>1540</v>
      </c>
      <c r="E884" t="s">
        <v>608</v>
      </c>
      <c r="F884" t="s">
        <v>324</v>
      </c>
      <c r="G884">
        <v>40403</v>
      </c>
      <c r="H884">
        <v>37.608496000000002</v>
      </c>
      <c r="I884">
        <v>-84.287074000000004</v>
      </c>
      <c r="K884">
        <v>110040000398</v>
      </c>
      <c r="M884">
        <v>4952</v>
      </c>
      <c r="R884">
        <v>2.8480137874999998</v>
      </c>
      <c r="W884" t="s">
        <v>1541</v>
      </c>
      <c r="X884" t="s">
        <v>1542</v>
      </c>
      <c r="Y884">
        <v>5100205000154</v>
      </c>
      <c r="AA884" t="s">
        <v>1465</v>
      </c>
      <c r="AB884" t="s">
        <v>263</v>
      </c>
    </row>
    <row r="885" spans="1:28" x14ac:dyDescent="0.25">
      <c r="A885">
        <v>2020</v>
      </c>
      <c r="C885" t="s">
        <v>1005</v>
      </c>
      <c r="D885" t="s">
        <v>1545</v>
      </c>
      <c r="E885" t="s">
        <v>446</v>
      </c>
      <c r="F885" t="s">
        <v>303</v>
      </c>
      <c r="G885">
        <v>70669</v>
      </c>
      <c r="H885">
        <v>30.23771</v>
      </c>
      <c r="I885">
        <v>-93.258650000000003</v>
      </c>
      <c r="K885">
        <v>110064611969</v>
      </c>
      <c r="M885">
        <v>2819</v>
      </c>
      <c r="R885">
        <v>0.417233560090702</v>
      </c>
      <c r="W885" t="s">
        <v>1546</v>
      </c>
      <c r="Y885">
        <v>8080206001241</v>
      </c>
      <c r="AA885" t="s">
        <v>1465</v>
      </c>
      <c r="AB885" t="s">
        <v>1466</v>
      </c>
    </row>
    <row r="886" spans="1:28" x14ac:dyDescent="0.25">
      <c r="A886">
        <v>2020</v>
      </c>
      <c r="C886" t="s">
        <v>1005</v>
      </c>
      <c r="D886" t="s">
        <v>1545</v>
      </c>
      <c r="E886" t="s">
        <v>446</v>
      </c>
      <c r="F886" t="s">
        <v>303</v>
      </c>
      <c r="G886">
        <v>70669</v>
      </c>
      <c r="H886">
        <v>30.23771</v>
      </c>
      <c r="I886">
        <v>-93.258650000000003</v>
      </c>
      <c r="K886">
        <v>110064611969</v>
      </c>
      <c r="M886">
        <v>2819</v>
      </c>
      <c r="R886">
        <v>1.7032499999999999</v>
      </c>
      <c r="W886" t="s">
        <v>1546</v>
      </c>
      <c r="Y886">
        <v>8080206001241</v>
      </c>
      <c r="AA886" t="s">
        <v>1465</v>
      </c>
      <c r="AB886" t="s">
        <v>1466</v>
      </c>
    </row>
    <row r="887" spans="1:28" x14ac:dyDescent="0.25">
      <c r="A887">
        <v>2020</v>
      </c>
      <c r="C887" t="s">
        <v>1006</v>
      </c>
      <c r="D887" t="s">
        <v>1547</v>
      </c>
      <c r="E887" t="s">
        <v>1007</v>
      </c>
      <c r="F887" t="s">
        <v>1008</v>
      </c>
      <c r="G887">
        <v>97230</v>
      </c>
      <c r="H887">
        <v>45.543847</v>
      </c>
      <c r="I887">
        <v>-122.46656299999999</v>
      </c>
      <c r="J887" t="s">
        <v>707</v>
      </c>
      <c r="K887">
        <v>110000487633</v>
      </c>
      <c r="M887">
        <v>3728</v>
      </c>
      <c r="R887">
        <v>1.4124711599999999E-2</v>
      </c>
      <c r="W887" t="s">
        <v>1548</v>
      </c>
      <c r="X887" t="s">
        <v>1549</v>
      </c>
      <c r="Y887">
        <v>17090012000380</v>
      </c>
      <c r="AA887" t="s">
        <v>1465</v>
      </c>
      <c r="AB887" t="s">
        <v>1466</v>
      </c>
    </row>
    <row r="888" spans="1:28" x14ac:dyDescent="0.25">
      <c r="A888">
        <v>2020</v>
      </c>
      <c r="C888" t="s">
        <v>1013</v>
      </c>
      <c r="D888" t="s">
        <v>1557</v>
      </c>
      <c r="E888" t="s">
        <v>1014</v>
      </c>
      <c r="F888" t="s">
        <v>349</v>
      </c>
      <c r="G888">
        <v>64068</v>
      </c>
      <c r="H888">
        <v>39.248446999999999</v>
      </c>
      <c r="I888">
        <v>-94.293233000000001</v>
      </c>
      <c r="K888">
        <v>110000614746</v>
      </c>
      <c r="M888">
        <v>4953</v>
      </c>
      <c r="R888">
        <v>2.25365904142499E-2</v>
      </c>
      <c r="W888" t="s">
        <v>1558</v>
      </c>
      <c r="X888" t="s">
        <v>1559</v>
      </c>
      <c r="Y888">
        <v>10300101002099</v>
      </c>
      <c r="AA888" t="s">
        <v>1465</v>
      </c>
      <c r="AB888" t="s">
        <v>1466</v>
      </c>
    </row>
    <row r="889" spans="1:28" x14ac:dyDescent="0.25">
      <c r="A889">
        <v>2020</v>
      </c>
      <c r="C889" t="s">
        <v>44</v>
      </c>
      <c r="D889" t="s">
        <v>367</v>
      </c>
      <c r="E889" t="s">
        <v>368</v>
      </c>
      <c r="F889" t="s">
        <v>349</v>
      </c>
      <c r="G889">
        <v>63630</v>
      </c>
      <c r="H889">
        <v>37.983333000000002</v>
      </c>
      <c r="I889">
        <v>-90.690832999999998</v>
      </c>
      <c r="J889" t="s">
        <v>369</v>
      </c>
      <c r="K889">
        <v>110017980443</v>
      </c>
      <c r="M889">
        <v>2899</v>
      </c>
      <c r="R889">
        <v>2.38932263266666E-2</v>
      </c>
      <c r="W889" t="s">
        <v>796</v>
      </c>
      <c r="X889" t="s">
        <v>1564</v>
      </c>
      <c r="Y889">
        <v>7140104001615</v>
      </c>
      <c r="AA889" t="s">
        <v>1465</v>
      </c>
      <c r="AB889" t="s">
        <v>1466</v>
      </c>
    </row>
    <row r="890" spans="1:28" x14ac:dyDescent="0.25">
      <c r="A890">
        <v>2020</v>
      </c>
      <c r="C890" t="s">
        <v>44</v>
      </c>
      <c r="D890" t="s">
        <v>367</v>
      </c>
      <c r="E890" t="s">
        <v>368</v>
      </c>
      <c r="F890" t="s">
        <v>349</v>
      </c>
      <c r="G890">
        <v>63630</v>
      </c>
      <c r="H890">
        <v>37.983333000000002</v>
      </c>
      <c r="I890">
        <v>-90.690832999999998</v>
      </c>
      <c r="J890" t="s">
        <v>369</v>
      </c>
      <c r="K890">
        <v>110017980443</v>
      </c>
      <c r="M890">
        <v>2899</v>
      </c>
      <c r="R890">
        <v>1.7127882000000001E-3</v>
      </c>
      <c r="W890" t="s">
        <v>796</v>
      </c>
      <c r="X890" t="s">
        <v>1564</v>
      </c>
      <c r="Y890">
        <v>7140104001615</v>
      </c>
      <c r="AA890" t="s">
        <v>1465</v>
      </c>
      <c r="AB890" t="s">
        <v>1466</v>
      </c>
    </row>
    <row r="891" spans="1:28" x14ac:dyDescent="0.25">
      <c r="A891">
        <v>2020</v>
      </c>
      <c r="C891" t="s">
        <v>1017</v>
      </c>
      <c r="D891" t="s">
        <v>1566</v>
      </c>
      <c r="E891" t="s">
        <v>1018</v>
      </c>
      <c r="F891" t="s">
        <v>308</v>
      </c>
      <c r="G891">
        <v>2135</v>
      </c>
      <c r="H891">
        <v>42.356434999999998</v>
      </c>
      <c r="I891">
        <v>-71.145904000000002</v>
      </c>
      <c r="K891">
        <v>110002014677</v>
      </c>
      <c r="R891">
        <v>6.3054315E-3</v>
      </c>
      <c r="W891" t="s">
        <v>1567</v>
      </c>
      <c r="X891" t="s">
        <v>1568</v>
      </c>
      <c r="Y891">
        <v>1090001000111</v>
      </c>
      <c r="AA891" t="s">
        <v>1465</v>
      </c>
      <c r="AB891" t="s">
        <v>1466</v>
      </c>
    </row>
    <row r="892" spans="1:28" x14ac:dyDescent="0.25">
      <c r="A892">
        <v>2020</v>
      </c>
      <c r="C892" t="s">
        <v>1019</v>
      </c>
      <c r="D892" t="s">
        <v>1569</v>
      </c>
      <c r="E892" t="s">
        <v>1020</v>
      </c>
      <c r="F892" t="s">
        <v>324</v>
      </c>
      <c r="G892">
        <v>42717</v>
      </c>
      <c r="H892">
        <v>36.787260000000003</v>
      </c>
      <c r="I892">
        <v>-85.369240000000005</v>
      </c>
      <c r="K892">
        <v>110009938265</v>
      </c>
      <c r="M892">
        <v>4952</v>
      </c>
      <c r="R892">
        <v>0.29253791875000001</v>
      </c>
      <c r="W892" t="s">
        <v>1570</v>
      </c>
      <c r="X892" t="s">
        <v>785</v>
      </c>
      <c r="Y892">
        <v>5130103000018</v>
      </c>
      <c r="AA892" t="s">
        <v>1465</v>
      </c>
      <c r="AB892" t="s">
        <v>263</v>
      </c>
    </row>
    <row r="893" spans="1:28" x14ac:dyDescent="0.25">
      <c r="A893">
        <v>2020</v>
      </c>
      <c r="C893" t="s">
        <v>1021</v>
      </c>
      <c r="D893" t="s">
        <v>1571</v>
      </c>
      <c r="E893" t="s">
        <v>657</v>
      </c>
      <c r="F893" t="s">
        <v>418</v>
      </c>
      <c r="G893">
        <v>89109</v>
      </c>
      <c r="H893">
        <v>36.116160999999998</v>
      </c>
      <c r="I893">
        <v>-115.172741</v>
      </c>
      <c r="K893">
        <v>110015972562</v>
      </c>
      <c r="M893">
        <v>7011</v>
      </c>
      <c r="R893">
        <v>0.28724449216249898</v>
      </c>
      <c r="W893" t="s">
        <v>1572</v>
      </c>
      <c r="X893" t="s">
        <v>1573</v>
      </c>
      <c r="Y893">
        <v>15010015000432</v>
      </c>
      <c r="AA893" t="s">
        <v>1465</v>
      </c>
      <c r="AB893" t="s">
        <v>1466</v>
      </c>
    </row>
    <row r="894" spans="1:28" x14ac:dyDescent="0.25">
      <c r="A894">
        <v>2020</v>
      </c>
      <c r="C894" t="s">
        <v>1021</v>
      </c>
      <c r="D894" t="s">
        <v>1571</v>
      </c>
      <c r="E894" t="s">
        <v>657</v>
      </c>
      <c r="F894" t="s">
        <v>418</v>
      </c>
      <c r="G894">
        <v>89109</v>
      </c>
      <c r="H894">
        <v>36.116160999999998</v>
      </c>
      <c r="I894">
        <v>-115.172741</v>
      </c>
      <c r="K894">
        <v>110015972562</v>
      </c>
      <c r="M894">
        <v>7011</v>
      </c>
      <c r="R894">
        <v>3.1545571524999899E-2</v>
      </c>
      <c r="W894" t="s">
        <v>1572</v>
      </c>
      <c r="X894" t="s">
        <v>1573</v>
      </c>
      <c r="Y894">
        <v>15010015000432</v>
      </c>
      <c r="AA894" t="s">
        <v>1465</v>
      </c>
      <c r="AB894" t="s">
        <v>1466</v>
      </c>
    </row>
    <row r="895" spans="1:28" x14ac:dyDescent="0.25">
      <c r="A895">
        <v>2020</v>
      </c>
      <c r="C895" t="s">
        <v>1022</v>
      </c>
      <c r="D895" t="s">
        <v>1574</v>
      </c>
      <c r="E895" t="s">
        <v>1023</v>
      </c>
      <c r="F895" t="s">
        <v>366</v>
      </c>
      <c r="G895">
        <v>92231</v>
      </c>
      <c r="H895">
        <v>32.664450000000002</v>
      </c>
      <c r="I895">
        <v>-115.55970499999999</v>
      </c>
      <c r="K895">
        <v>110000730825</v>
      </c>
      <c r="M895">
        <v>4952</v>
      </c>
      <c r="R895">
        <v>0.14752614712500001</v>
      </c>
      <c r="W895" t="s">
        <v>1575</v>
      </c>
      <c r="X895" t="s">
        <v>795</v>
      </c>
      <c r="Y895">
        <v>18100204012549</v>
      </c>
      <c r="AA895" t="s">
        <v>1465</v>
      </c>
      <c r="AB895" t="s">
        <v>263</v>
      </c>
    </row>
    <row r="896" spans="1:28" x14ac:dyDescent="0.25">
      <c r="A896">
        <v>2020</v>
      </c>
      <c r="C896" t="s">
        <v>1026</v>
      </c>
      <c r="D896" t="s">
        <v>1579</v>
      </c>
      <c r="E896" t="s">
        <v>1027</v>
      </c>
      <c r="F896" t="s">
        <v>349</v>
      </c>
      <c r="G896">
        <v>63353</v>
      </c>
      <c r="H896">
        <v>39.423425000000002</v>
      </c>
      <c r="I896">
        <v>-91.025666000000001</v>
      </c>
      <c r="K896">
        <v>110054612558</v>
      </c>
      <c r="M896">
        <v>2869</v>
      </c>
      <c r="R896">
        <v>3.07233560090702E-2</v>
      </c>
      <c r="W896" t="s">
        <v>1580</v>
      </c>
      <c r="X896" t="s">
        <v>1581</v>
      </c>
      <c r="Y896">
        <v>7110004000345</v>
      </c>
      <c r="AA896" t="s">
        <v>1465</v>
      </c>
      <c r="AB896" t="s">
        <v>1466</v>
      </c>
    </row>
    <row r="897" spans="1:28" x14ac:dyDescent="0.25">
      <c r="A897">
        <v>2020</v>
      </c>
      <c r="C897" t="s">
        <v>1028</v>
      </c>
      <c r="D897" t="s">
        <v>1583</v>
      </c>
      <c r="E897" t="s">
        <v>1029</v>
      </c>
      <c r="F897" t="s">
        <v>324</v>
      </c>
      <c r="G897">
        <v>42718</v>
      </c>
      <c r="H897">
        <v>37.349167000000001</v>
      </c>
      <c r="I897">
        <v>-85.379444000000007</v>
      </c>
      <c r="K897">
        <v>110000736776</v>
      </c>
      <c r="M897">
        <v>4952</v>
      </c>
      <c r="R897">
        <v>2.0066650625000002</v>
      </c>
      <c r="W897" t="s">
        <v>1584</v>
      </c>
      <c r="X897" t="s">
        <v>1585</v>
      </c>
      <c r="Y897">
        <v>5110001002599</v>
      </c>
      <c r="AA897" t="s">
        <v>1465</v>
      </c>
      <c r="AB897" t="s">
        <v>263</v>
      </c>
    </row>
    <row r="898" spans="1:28" x14ac:dyDescent="0.25">
      <c r="A898">
        <v>2020</v>
      </c>
      <c r="C898" t="s">
        <v>1032</v>
      </c>
      <c r="D898" t="s">
        <v>1590</v>
      </c>
      <c r="E898" t="s">
        <v>1033</v>
      </c>
      <c r="F898" t="s">
        <v>324</v>
      </c>
      <c r="G898">
        <v>41008</v>
      </c>
      <c r="H898">
        <v>38.627777999999999</v>
      </c>
      <c r="I898">
        <v>-85.115832999999995</v>
      </c>
      <c r="K898">
        <v>110015632216</v>
      </c>
      <c r="M898">
        <v>4952</v>
      </c>
      <c r="R898">
        <v>3.557426875</v>
      </c>
      <c r="W898" t="s">
        <v>1591</v>
      </c>
      <c r="X898" t="s">
        <v>1592</v>
      </c>
      <c r="Y898">
        <v>5100205000002</v>
      </c>
      <c r="AA898" t="s">
        <v>1465</v>
      </c>
      <c r="AB898" t="s">
        <v>263</v>
      </c>
    </row>
    <row r="899" spans="1:28" x14ac:dyDescent="0.25">
      <c r="A899">
        <v>2020</v>
      </c>
      <c r="C899" t="s">
        <v>1036</v>
      </c>
      <c r="D899" t="s">
        <v>1597</v>
      </c>
      <c r="E899" t="s">
        <v>446</v>
      </c>
      <c r="F899" t="s">
        <v>303</v>
      </c>
      <c r="G899">
        <v>70669</v>
      </c>
      <c r="H899">
        <v>30.318283999999998</v>
      </c>
      <c r="I899">
        <v>-93.303511999999998</v>
      </c>
      <c r="K899">
        <v>110000613685</v>
      </c>
      <c r="M899">
        <v>4953</v>
      </c>
      <c r="R899">
        <v>0.38682699999999998</v>
      </c>
      <c r="W899" t="s">
        <v>1598</v>
      </c>
      <c r="X899">
        <v>317</v>
      </c>
      <c r="Y899">
        <v>8080205000075</v>
      </c>
      <c r="AA899" t="s">
        <v>1465</v>
      </c>
      <c r="AB899" t="s">
        <v>1466</v>
      </c>
    </row>
    <row r="900" spans="1:28" x14ac:dyDescent="0.25">
      <c r="A900">
        <v>2020</v>
      </c>
      <c r="C900" t="s">
        <v>1036</v>
      </c>
      <c r="D900" t="s">
        <v>1597</v>
      </c>
      <c r="E900" t="s">
        <v>446</v>
      </c>
      <c r="F900" t="s">
        <v>303</v>
      </c>
      <c r="G900">
        <v>70669</v>
      </c>
      <c r="H900">
        <v>30.318283999999998</v>
      </c>
      <c r="I900">
        <v>-93.303511999999998</v>
      </c>
      <c r="K900">
        <v>110000613685</v>
      </c>
      <c r="M900">
        <v>4953</v>
      </c>
      <c r="R900">
        <v>0.52152568749999995</v>
      </c>
      <c r="W900" t="s">
        <v>1598</v>
      </c>
      <c r="X900">
        <v>317</v>
      </c>
      <c r="Y900">
        <v>8080205000075</v>
      </c>
      <c r="AA900" t="s">
        <v>1465</v>
      </c>
      <c r="AB900" t="s">
        <v>1466</v>
      </c>
    </row>
    <row r="901" spans="1:28" x14ac:dyDescent="0.25">
      <c r="A901">
        <v>2020</v>
      </c>
      <c r="C901" t="s">
        <v>1036</v>
      </c>
      <c r="D901" t="s">
        <v>1597</v>
      </c>
      <c r="E901" t="s">
        <v>446</v>
      </c>
      <c r="F901" t="s">
        <v>303</v>
      </c>
      <c r="G901">
        <v>70669</v>
      </c>
      <c r="H901">
        <v>30.318283999999998</v>
      </c>
      <c r="I901">
        <v>-93.303511999999998</v>
      </c>
      <c r="K901">
        <v>110000613685</v>
      </c>
      <c r="M901">
        <v>4953</v>
      </c>
      <c r="R901">
        <v>0.1346986875</v>
      </c>
      <c r="W901" t="s">
        <v>1598</v>
      </c>
      <c r="X901">
        <v>317</v>
      </c>
      <c r="Y901">
        <v>8080205000075</v>
      </c>
      <c r="AA901" t="s">
        <v>1465</v>
      </c>
      <c r="AB901" t="s">
        <v>1466</v>
      </c>
    </row>
    <row r="902" spans="1:28" x14ac:dyDescent="0.25">
      <c r="A902">
        <v>2020</v>
      </c>
      <c r="C902" t="s">
        <v>1037</v>
      </c>
      <c r="D902" t="s">
        <v>1601</v>
      </c>
      <c r="E902" t="s">
        <v>987</v>
      </c>
      <c r="F902" t="s">
        <v>324</v>
      </c>
      <c r="G902">
        <v>40291</v>
      </c>
      <c r="H902">
        <v>38.122354000000001</v>
      </c>
      <c r="I902">
        <v>-85.587648000000002</v>
      </c>
      <c r="K902">
        <v>110043485421</v>
      </c>
      <c r="M902">
        <v>4952</v>
      </c>
      <c r="R902">
        <v>25.751626000000002</v>
      </c>
      <c r="W902" t="s">
        <v>1602</v>
      </c>
      <c r="X902" t="s">
        <v>1603</v>
      </c>
      <c r="Y902">
        <v>5140102000566</v>
      </c>
      <c r="AA902" t="s">
        <v>1465</v>
      </c>
      <c r="AB902" t="s">
        <v>263</v>
      </c>
    </row>
    <row r="903" spans="1:28" x14ac:dyDescent="0.25">
      <c r="A903">
        <v>2020</v>
      </c>
      <c r="C903" t="s">
        <v>1038</v>
      </c>
      <c r="D903" t="s">
        <v>1605</v>
      </c>
      <c r="E903" t="s">
        <v>1039</v>
      </c>
      <c r="F903" t="s">
        <v>324</v>
      </c>
      <c r="G903">
        <v>42330</v>
      </c>
      <c r="H903">
        <v>37.304611999999999</v>
      </c>
      <c r="I903">
        <v>-87.145292999999995</v>
      </c>
      <c r="K903">
        <v>110064265496</v>
      </c>
      <c r="M903">
        <v>4952</v>
      </c>
      <c r="R903">
        <v>3.5401578124999999</v>
      </c>
      <c r="W903" t="s">
        <v>1606</v>
      </c>
      <c r="X903" t="s">
        <v>1607</v>
      </c>
      <c r="Y903">
        <v>5110003001454</v>
      </c>
      <c r="AA903" t="s">
        <v>1465</v>
      </c>
      <c r="AB903" t="s">
        <v>263</v>
      </c>
    </row>
    <row r="904" spans="1:28" x14ac:dyDescent="0.25">
      <c r="A904">
        <v>2020</v>
      </c>
      <c r="C904" t="s">
        <v>119</v>
      </c>
      <c r="D904" t="s">
        <v>380</v>
      </c>
      <c r="E904" t="s">
        <v>381</v>
      </c>
      <c r="F904" t="s">
        <v>338</v>
      </c>
      <c r="G904">
        <v>8014</v>
      </c>
      <c r="H904">
        <v>39.799250000000001</v>
      </c>
      <c r="I904">
        <v>-75.33296</v>
      </c>
      <c r="K904">
        <v>110009721836</v>
      </c>
      <c r="M904">
        <v>4213</v>
      </c>
      <c r="R904">
        <v>0.10107306479655</v>
      </c>
      <c r="W904" t="s">
        <v>806</v>
      </c>
      <c r="X904" t="s">
        <v>807</v>
      </c>
      <c r="Y904">
        <v>2040202002003</v>
      </c>
      <c r="AA904" t="s">
        <v>1465</v>
      </c>
      <c r="AB904" t="s">
        <v>1466</v>
      </c>
    </row>
    <row r="905" spans="1:28" x14ac:dyDescent="0.25">
      <c r="A905">
        <v>2020</v>
      </c>
      <c r="C905" t="s">
        <v>1042</v>
      </c>
      <c r="D905" t="s">
        <v>1612</v>
      </c>
      <c r="E905" t="s">
        <v>1043</v>
      </c>
      <c r="F905" t="s">
        <v>345</v>
      </c>
      <c r="G905" t="s">
        <v>1613</v>
      </c>
      <c r="H905">
        <v>42.468611000000003</v>
      </c>
      <c r="I905">
        <v>-89.065550000000002</v>
      </c>
      <c r="J905" t="s">
        <v>708</v>
      </c>
      <c r="K905">
        <v>110000500459</v>
      </c>
      <c r="M905">
        <v>4225</v>
      </c>
      <c r="R905">
        <v>0.1101226825</v>
      </c>
      <c r="W905" t="s">
        <v>1614</v>
      </c>
      <c r="X905" t="s">
        <v>1615</v>
      </c>
      <c r="Y905">
        <v>7090002008421</v>
      </c>
      <c r="AA905" t="s">
        <v>1465</v>
      </c>
      <c r="AB905" t="s">
        <v>1466</v>
      </c>
    </row>
    <row r="906" spans="1:28" x14ac:dyDescent="0.25">
      <c r="A906">
        <v>2020</v>
      </c>
      <c r="C906" t="s">
        <v>1044</v>
      </c>
      <c r="D906" t="s">
        <v>1617</v>
      </c>
      <c r="E906" t="s">
        <v>1045</v>
      </c>
      <c r="F906" t="s">
        <v>427</v>
      </c>
      <c r="G906" t="s">
        <v>1618</v>
      </c>
      <c r="H906">
        <v>42.592550000000003</v>
      </c>
      <c r="I906">
        <v>-83.889930000000007</v>
      </c>
      <c r="K906">
        <v>110000408265</v>
      </c>
      <c r="M906">
        <v>2899</v>
      </c>
      <c r="R906">
        <v>4.5843919999999996E-3</v>
      </c>
      <c r="W906" t="s">
        <v>1619</v>
      </c>
      <c r="X906" t="s">
        <v>1620</v>
      </c>
      <c r="Y906">
        <v>4080203000602</v>
      </c>
      <c r="AA906" t="s">
        <v>1465</v>
      </c>
      <c r="AB906" t="s">
        <v>1466</v>
      </c>
    </row>
    <row r="907" spans="1:28" x14ac:dyDescent="0.25">
      <c r="A907">
        <v>2020</v>
      </c>
      <c r="C907" t="s">
        <v>125</v>
      </c>
      <c r="D907" t="s">
        <v>403</v>
      </c>
      <c r="E907" t="s">
        <v>404</v>
      </c>
      <c r="F907" t="s">
        <v>366</v>
      </c>
      <c r="G907" t="s">
        <v>405</v>
      </c>
      <c r="H907">
        <v>40.162275000000001</v>
      </c>
      <c r="I907">
        <v>-122.221378</v>
      </c>
      <c r="K907">
        <v>110000730745</v>
      </c>
      <c r="M907">
        <v>4952</v>
      </c>
      <c r="R907">
        <v>1.1003752000000001E-3</v>
      </c>
      <c r="W907" t="s">
        <v>817</v>
      </c>
      <c r="X907" t="s">
        <v>818</v>
      </c>
      <c r="Y907">
        <v>18020155005966</v>
      </c>
      <c r="AA907" t="s">
        <v>1465</v>
      </c>
      <c r="AB907" t="s">
        <v>263</v>
      </c>
    </row>
    <row r="908" spans="1:28" x14ac:dyDescent="0.25">
      <c r="A908">
        <v>2020</v>
      </c>
      <c r="C908" t="s">
        <v>1061</v>
      </c>
      <c r="D908" t="s">
        <v>1643</v>
      </c>
      <c r="E908" t="s">
        <v>1062</v>
      </c>
      <c r="F908" t="s">
        <v>366</v>
      </c>
      <c r="G908">
        <v>92008</v>
      </c>
      <c r="H908">
        <v>33.139895000000003</v>
      </c>
      <c r="I908">
        <v>-117.339645</v>
      </c>
      <c r="K908">
        <v>110027363252</v>
      </c>
      <c r="M908">
        <v>4941</v>
      </c>
      <c r="R908">
        <v>0.48759175106128999</v>
      </c>
      <c r="W908" t="s">
        <v>1644</v>
      </c>
      <c r="X908" t="s">
        <v>926</v>
      </c>
      <c r="Y908">
        <v>18070303000019</v>
      </c>
      <c r="AA908" t="s">
        <v>1465</v>
      </c>
      <c r="AB908" t="s">
        <v>1466</v>
      </c>
    </row>
    <row r="909" spans="1:28" x14ac:dyDescent="0.25">
      <c r="A909">
        <v>2020</v>
      </c>
      <c r="C909" t="s">
        <v>1063</v>
      </c>
      <c r="D909" t="s">
        <v>1645</v>
      </c>
      <c r="E909" t="s">
        <v>1064</v>
      </c>
      <c r="F909" t="s">
        <v>308</v>
      </c>
      <c r="G909">
        <v>1760</v>
      </c>
      <c r="H909">
        <v>42.30348</v>
      </c>
      <c r="I909">
        <v>-70.360669999999999</v>
      </c>
      <c r="K909">
        <v>110070670433</v>
      </c>
      <c r="R909">
        <v>1.3913588084999999E-2</v>
      </c>
      <c r="W909" t="s">
        <v>1646</v>
      </c>
      <c r="X909" t="s">
        <v>1647</v>
      </c>
      <c r="AA909" t="s">
        <v>1465</v>
      </c>
      <c r="AB909" t="s">
        <v>1466</v>
      </c>
    </row>
    <row r="910" spans="1:28" x14ac:dyDescent="0.25">
      <c r="A910">
        <v>2020</v>
      </c>
      <c r="C910" t="s">
        <v>1067</v>
      </c>
      <c r="D910" t="s">
        <v>1652</v>
      </c>
      <c r="E910" t="s">
        <v>1068</v>
      </c>
      <c r="F910" t="s">
        <v>349</v>
      </c>
      <c r="G910">
        <v>63401</v>
      </c>
      <c r="H910">
        <v>39.679130000000001</v>
      </c>
      <c r="I910">
        <v>-91.314239999999998</v>
      </c>
      <c r="J910" t="s">
        <v>709</v>
      </c>
      <c r="K910">
        <v>110000595981</v>
      </c>
      <c r="M910">
        <v>3241</v>
      </c>
      <c r="R910">
        <v>0.10361437499999999</v>
      </c>
      <c r="W910" t="s">
        <v>1653</v>
      </c>
      <c r="X910" t="s">
        <v>1654</v>
      </c>
      <c r="Y910">
        <v>7110004001311</v>
      </c>
      <c r="AA910" t="s">
        <v>1465</v>
      </c>
      <c r="AB910" t="s">
        <v>1466</v>
      </c>
    </row>
    <row r="911" spans="1:28" x14ac:dyDescent="0.25">
      <c r="A911">
        <v>2020</v>
      </c>
      <c r="C911" t="s">
        <v>1069</v>
      </c>
      <c r="D911" t="s">
        <v>1656</v>
      </c>
      <c r="E911" t="s">
        <v>1070</v>
      </c>
      <c r="F911" t="s">
        <v>338</v>
      </c>
      <c r="G911">
        <v>79302221</v>
      </c>
      <c r="H911">
        <v>40.798532000000002</v>
      </c>
      <c r="I911">
        <v>-74.701402000000002</v>
      </c>
      <c r="K911">
        <v>110000616049</v>
      </c>
      <c r="M911">
        <v>1799</v>
      </c>
      <c r="R911">
        <v>3.875556125E-3</v>
      </c>
      <c r="W911" t="s">
        <v>1657</v>
      </c>
      <c r="X911" t="s">
        <v>1658</v>
      </c>
      <c r="Y911">
        <v>2030105000068</v>
      </c>
      <c r="AA911" t="s">
        <v>1465</v>
      </c>
      <c r="AB911" t="s">
        <v>1466</v>
      </c>
    </row>
    <row r="912" spans="1:28" x14ac:dyDescent="0.25">
      <c r="A912">
        <v>2020</v>
      </c>
      <c r="C912" t="s">
        <v>1077</v>
      </c>
      <c r="D912" t="s">
        <v>1670</v>
      </c>
      <c r="E912" t="s">
        <v>1078</v>
      </c>
      <c r="F912" t="s">
        <v>366</v>
      </c>
      <c r="G912">
        <v>95682</v>
      </c>
      <c r="H912">
        <v>38.627777999999999</v>
      </c>
      <c r="I912">
        <v>-120.984167</v>
      </c>
      <c r="K912">
        <v>110070619860</v>
      </c>
      <c r="M912">
        <v>4952</v>
      </c>
      <c r="R912">
        <v>2.8728150000000001E-2</v>
      </c>
      <c r="W912" t="s">
        <v>1671</v>
      </c>
      <c r="X912" t="s">
        <v>1672</v>
      </c>
      <c r="AA912" t="s">
        <v>1465</v>
      </c>
      <c r="AB912" t="s">
        <v>1466</v>
      </c>
    </row>
    <row r="913" spans="1:28" x14ac:dyDescent="0.25">
      <c r="A913">
        <v>2020</v>
      </c>
      <c r="C913" t="s">
        <v>1079</v>
      </c>
      <c r="D913" t="s">
        <v>1673</v>
      </c>
      <c r="E913" t="s">
        <v>381</v>
      </c>
      <c r="F913" t="s">
        <v>338</v>
      </c>
      <c r="G913">
        <v>8014</v>
      </c>
      <c r="H913">
        <v>39.80142</v>
      </c>
      <c r="I913">
        <v>-75.354990000000001</v>
      </c>
      <c r="J913" t="s">
        <v>710</v>
      </c>
      <c r="K913">
        <v>110000582003</v>
      </c>
      <c r="M913">
        <v>2869</v>
      </c>
      <c r="R913">
        <v>0.22059999999999999</v>
      </c>
      <c r="W913" t="s">
        <v>1674</v>
      </c>
      <c r="X913" t="s">
        <v>1675</v>
      </c>
      <c r="Y913">
        <v>2040202001854</v>
      </c>
      <c r="AA913" t="s">
        <v>1465</v>
      </c>
      <c r="AB913" t="s">
        <v>1466</v>
      </c>
    </row>
    <row r="914" spans="1:28" x14ac:dyDescent="0.25">
      <c r="A914">
        <v>2020</v>
      </c>
      <c r="C914" t="s">
        <v>1080</v>
      </c>
      <c r="D914" t="s">
        <v>1677</v>
      </c>
      <c r="E914" t="s">
        <v>1081</v>
      </c>
      <c r="F914" t="s">
        <v>338</v>
      </c>
      <c r="G914">
        <v>8075</v>
      </c>
      <c r="H914">
        <v>40.038871999999998</v>
      </c>
      <c r="I914">
        <v>-74.975640999999996</v>
      </c>
      <c r="K914">
        <v>110006620095</v>
      </c>
      <c r="M914">
        <v>4952</v>
      </c>
      <c r="R914">
        <v>9.6589414999999998E-2</v>
      </c>
      <c r="W914" t="s">
        <v>1679</v>
      </c>
      <c r="X914" t="s">
        <v>1680</v>
      </c>
      <c r="Y914">
        <v>2040202001995</v>
      </c>
      <c r="AA914" t="s">
        <v>1465</v>
      </c>
      <c r="AB914" t="s">
        <v>263</v>
      </c>
    </row>
    <row r="915" spans="1:28" x14ac:dyDescent="0.25">
      <c r="A915">
        <v>2020</v>
      </c>
      <c r="C915" t="s">
        <v>1682</v>
      </c>
      <c r="D915" t="s">
        <v>501</v>
      </c>
      <c r="E915" t="s">
        <v>502</v>
      </c>
      <c r="F915" t="s">
        <v>303</v>
      </c>
      <c r="G915">
        <v>70058</v>
      </c>
      <c r="H915">
        <v>29.910609999999998</v>
      </c>
      <c r="I915">
        <v>-90.085269999999994</v>
      </c>
      <c r="K915">
        <v>110070117180</v>
      </c>
      <c r="M915">
        <v>4226</v>
      </c>
      <c r="R915">
        <v>2.6781070300000001E-2</v>
      </c>
      <c r="W915" t="s">
        <v>873</v>
      </c>
      <c r="Y915">
        <v>8090100000658</v>
      </c>
      <c r="AA915" t="s">
        <v>1465</v>
      </c>
      <c r="AB915" t="s">
        <v>1466</v>
      </c>
    </row>
    <row r="916" spans="1:28" x14ac:dyDescent="0.25">
      <c r="A916">
        <v>2020</v>
      </c>
      <c r="C916" t="s">
        <v>1682</v>
      </c>
      <c r="D916" t="s">
        <v>501</v>
      </c>
      <c r="E916" t="s">
        <v>502</v>
      </c>
      <c r="F916" t="s">
        <v>303</v>
      </c>
      <c r="G916">
        <v>70058</v>
      </c>
      <c r="H916">
        <v>29.910609999999998</v>
      </c>
      <c r="I916">
        <v>-90.085269999999994</v>
      </c>
      <c r="K916">
        <v>110070117180</v>
      </c>
      <c r="M916">
        <v>4226</v>
      </c>
      <c r="R916">
        <v>3.0570347349999999E-2</v>
      </c>
      <c r="W916" t="s">
        <v>873</v>
      </c>
      <c r="Y916">
        <v>8090100000658</v>
      </c>
      <c r="AA916" t="s">
        <v>1465</v>
      </c>
      <c r="AB916" t="s">
        <v>1466</v>
      </c>
    </row>
    <row r="917" spans="1:28" x14ac:dyDescent="0.25">
      <c r="A917">
        <v>2020</v>
      </c>
      <c r="C917" t="s">
        <v>1082</v>
      </c>
      <c r="D917" t="s">
        <v>1684</v>
      </c>
      <c r="E917" t="s">
        <v>987</v>
      </c>
      <c r="F917" t="s">
        <v>324</v>
      </c>
      <c r="G917">
        <v>40272</v>
      </c>
      <c r="H917">
        <v>38.08614</v>
      </c>
      <c r="I917">
        <v>-85.898780000000002</v>
      </c>
      <c r="K917">
        <v>110000732379</v>
      </c>
      <c r="M917">
        <v>4952</v>
      </c>
      <c r="R917">
        <v>167.30267749999999</v>
      </c>
      <c r="W917" t="s">
        <v>1685</v>
      </c>
      <c r="X917" t="s">
        <v>830</v>
      </c>
      <c r="Y917">
        <v>5140101000005</v>
      </c>
      <c r="AA917" t="s">
        <v>1465</v>
      </c>
      <c r="AB917" t="s">
        <v>263</v>
      </c>
    </row>
    <row r="918" spans="1:28" x14ac:dyDescent="0.25">
      <c r="A918">
        <v>2020</v>
      </c>
      <c r="C918" t="s">
        <v>1083</v>
      </c>
      <c r="D918" t="s">
        <v>1686</v>
      </c>
      <c r="E918" t="s">
        <v>1084</v>
      </c>
      <c r="F918" t="s">
        <v>491</v>
      </c>
      <c r="G918">
        <v>17961</v>
      </c>
      <c r="H918">
        <v>40.628785999999998</v>
      </c>
      <c r="I918">
        <v>-76.058580000000006</v>
      </c>
      <c r="K918">
        <v>110000584305</v>
      </c>
      <c r="M918">
        <v>3951</v>
      </c>
      <c r="R918">
        <v>5.9931972789115601E-3</v>
      </c>
      <c r="W918" t="s">
        <v>1687</v>
      </c>
      <c r="X918" t="s">
        <v>1688</v>
      </c>
      <c r="Y918">
        <v>2040203000412</v>
      </c>
      <c r="AA918" t="s">
        <v>1465</v>
      </c>
      <c r="AB918" t="s">
        <v>1466</v>
      </c>
    </row>
    <row r="919" spans="1:28" x14ac:dyDescent="0.25">
      <c r="A919">
        <v>2020</v>
      </c>
      <c r="C919" t="s">
        <v>136</v>
      </c>
      <c r="D919" t="s">
        <v>440</v>
      </c>
      <c r="E919" t="s">
        <v>441</v>
      </c>
      <c r="F919" t="s">
        <v>338</v>
      </c>
      <c r="G919" t="s">
        <v>442</v>
      </c>
      <c r="H919">
        <v>40.843611000000003</v>
      </c>
      <c r="I919">
        <v>-75.066389000000001</v>
      </c>
      <c r="J919" t="s">
        <v>443</v>
      </c>
      <c r="K919">
        <v>110040963286</v>
      </c>
      <c r="M919">
        <v>2833</v>
      </c>
      <c r="R919">
        <v>8.9447687750000004E-2</v>
      </c>
      <c r="W919" t="s">
        <v>837</v>
      </c>
      <c r="X919" t="s">
        <v>838</v>
      </c>
      <c r="Y919">
        <v>2040105000142</v>
      </c>
      <c r="AA919" t="s">
        <v>1465</v>
      </c>
      <c r="AB919" t="s">
        <v>1466</v>
      </c>
    </row>
    <row r="920" spans="1:28" x14ac:dyDescent="0.25">
      <c r="A920">
        <v>2020</v>
      </c>
      <c r="C920" t="s">
        <v>1087</v>
      </c>
      <c r="D920" t="s">
        <v>1695</v>
      </c>
      <c r="E920" t="s">
        <v>968</v>
      </c>
      <c r="F920" t="s">
        <v>324</v>
      </c>
      <c r="G920">
        <v>41001</v>
      </c>
      <c r="H920">
        <v>38.947969999999998</v>
      </c>
      <c r="I920">
        <v>-84.370490000000004</v>
      </c>
      <c r="K920">
        <v>110013680837</v>
      </c>
      <c r="M920">
        <v>4952</v>
      </c>
      <c r="R920">
        <v>7.5293112500000002E-4</v>
      </c>
      <c r="W920" t="s">
        <v>1696</v>
      </c>
      <c r="X920" t="s">
        <v>1697</v>
      </c>
      <c r="Y920">
        <v>5090201002390</v>
      </c>
      <c r="AA920" t="s">
        <v>1465</v>
      </c>
      <c r="AB920" t="s">
        <v>263</v>
      </c>
    </row>
    <row r="921" spans="1:28" x14ac:dyDescent="0.25">
      <c r="A921">
        <v>2020</v>
      </c>
      <c r="C921" t="s">
        <v>140</v>
      </c>
      <c r="D921" t="s">
        <v>456</v>
      </c>
      <c r="E921" t="s">
        <v>457</v>
      </c>
      <c r="F921" t="s">
        <v>366</v>
      </c>
      <c r="G921">
        <v>92243</v>
      </c>
      <c r="H921">
        <v>32.802199999999999</v>
      </c>
      <c r="I921">
        <v>-115.54</v>
      </c>
      <c r="K921">
        <v>110002672484</v>
      </c>
      <c r="M921">
        <v>921</v>
      </c>
      <c r="R921">
        <v>2.659435625E-3</v>
      </c>
      <c r="W921" t="s">
        <v>845</v>
      </c>
      <c r="X921" t="s">
        <v>846</v>
      </c>
      <c r="Y921">
        <v>18100204011431</v>
      </c>
      <c r="AA921" t="s">
        <v>1465</v>
      </c>
      <c r="AB921" t="s">
        <v>1466</v>
      </c>
    </row>
    <row r="922" spans="1:28" x14ac:dyDescent="0.25">
      <c r="A922">
        <v>2020</v>
      </c>
      <c r="C922" t="s">
        <v>1095</v>
      </c>
      <c r="D922" t="s">
        <v>1714</v>
      </c>
      <c r="E922" t="s">
        <v>1096</v>
      </c>
      <c r="F922" t="s">
        <v>450</v>
      </c>
      <c r="G922">
        <v>14132</v>
      </c>
      <c r="H922">
        <v>43.129750000000001</v>
      </c>
      <c r="I922">
        <v>-78.939679999999996</v>
      </c>
      <c r="K922">
        <v>110000737365</v>
      </c>
      <c r="M922">
        <v>9511</v>
      </c>
      <c r="R922">
        <v>8.3648012681249908E-3</v>
      </c>
      <c r="W922" t="s">
        <v>1715</v>
      </c>
      <c r="X922" t="s">
        <v>1716</v>
      </c>
      <c r="Y922">
        <v>4120104000390</v>
      </c>
      <c r="AA922" t="s">
        <v>1465</v>
      </c>
      <c r="AB922" t="s">
        <v>1466</v>
      </c>
    </row>
    <row r="923" spans="1:28" x14ac:dyDescent="0.25">
      <c r="A923">
        <v>2020</v>
      </c>
      <c r="C923" t="s">
        <v>1097</v>
      </c>
      <c r="D923" t="s">
        <v>1718</v>
      </c>
      <c r="E923" t="s">
        <v>1098</v>
      </c>
      <c r="F923" t="s">
        <v>324</v>
      </c>
      <c r="G923" t="s">
        <v>1719</v>
      </c>
      <c r="H923">
        <v>38.643056000000001</v>
      </c>
      <c r="I923">
        <v>-83.740278000000004</v>
      </c>
      <c r="K923">
        <v>110000379787</v>
      </c>
      <c r="M923">
        <v>3566</v>
      </c>
      <c r="R923">
        <v>5.6084237500000002E-2</v>
      </c>
      <c r="W923" t="s">
        <v>1720</v>
      </c>
      <c r="X923" t="s">
        <v>1721</v>
      </c>
      <c r="Y923">
        <v>5090201002312</v>
      </c>
      <c r="AA923" t="s">
        <v>1465</v>
      </c>
      <c r="AB923" t="s">
        <v>1466</v>
      </c>
    </row>
    <row r="924" spans="1:28" x14ac:dyDescent="0.25">
      <c r="A924">
        <v>2020</v>
      </c>
      <c r="C924" t="s">
        <v>142</v>
      </c>
      <c r="D924" t="s">
        <v>462</v>
      </c>
      <c r="E924" t="s">
        <v>463</v>
      </c>
      <c r="F924" t="s">
        <v>362</v>
      </c>
      <c r="G924">
        <v>77503</v>
      </c>
      <c r="H924">
        <v>29.741954</v>
      </c>
      <c r="I924">
        <v>-95.165228999999997</v>
      </c>
      <c r="K924">
        <v>110060340162</v>
      </c>
      <c r="M924">
        <v>2869</v>
      </c>
      <c r="R924">
        <v>0.75983875000000001</v>
      </c>
      <c r="W924" t="s">
        <v>848</v>
      </c>
      <c r="X924" t="s">
        <v>849</v>
      </c>
      <c r="Y924">
        <v>12040104000620</v>
      </c>
      <c r="AA924" t="s">
        <v>1465</v>
      </c>
      <c r="AB924" t="s">
        <v>1466</v>
      </c>
    </row>
    <row r="925" spans="1:28" x14ac:dyDescent="0.25">
      <c r="A925">
        <v>2020</v>
      </c>
      <c r="C925" t="s">
        <v>1102</v>
      </c>
      <c r="D925" t="s">
        <v>1726</v>
      </c>
      <c r="E925" t="s">
        <v>1103</v>
      </c>
      <c r="F925" t="s">
        <v>345</v>
      </c>
      <c r="G925" t="s">
        <v>1727</v>
      </c>
      <c r="H925">
        <v>41.412897000000001</v>
      </c>
      <c r="I925">
        <v>-88.329773000000003</v>
      </c>
      <c r="J925" t="s">
        <v>712</v>
      </c>
      <c r="K925">
        <v>110000433013</v>
      </c>
      <c r="M925">
        <v>2821</v>
      </c>
      <c r="R925">
        <v>0.82993197278911501</v>
      </c>
      <c r="W925" t="s">
        <v>1728</v>
      </c>
      <c r="X925" t="s">
        <v>1729</v>
      </c>
      <c r="Y925">
        <v>7120005000248</v>
      </c>
      <c r="AA925" t="s">
        <v>1465</v>
      </c>
      <c r="AB925" t="s">
        <v>1466</v>
      </c>
    </row>
    <row r="926" spans="1:28" x14ac:dyDescent="0.25">
      <c r="A926">
        <v>2020</v>
      </c>
      <c r="C926" t="s">
        <v>1102</v>
      </c>
      <c r="D926" t="s">
        <v>1726</v>
      </c>
      <c r="E926" t="s">
        <v>1103</v>
      </c>
      <c r="F926" t="s">
        <v>345</v>
      </c>
      <c r="G926" t="s">
        <v>1727</v>
      </c>
      <c r="H926">
        <v>41.412897000000001</v>
      </c>
      <c r="I926">
        <v>-88.329773000000003</v>
      </c>
      <c r="J926" t="s">
        <v>712</v>
      </c>
      <c r="K926">
        <v>110000433013</v>
      </c>
      <c r="M926">
        <v>2821</v>
      </c>
      <c r="R926">
        <v>0.82993197278911501</v>
      </c>
      <c r="W926" t="s">
        <v>1728</v>
      </c>
      <c r="X926" t="s">
        <v>1729</v>
      </c>
      <c r="Y926">
        <v>7120005000248</v>
      </c>
      <c r="AA926" t="s">
        <v>1465</v>
      </c>
      <c r="AB926" t="s">
        <v>1466</v>
      </c>
    </row>
    <row r="927" spans="1:28" x14ac:dyDescent="0.25">
      <c r="A927">
        <v>2020</v>
      </c>
      <c r="C927" t="s">
        <v>1104</v>
      </c>
      <c r="D927" t="s">
        <v>1731</v>
      </c>
      <c r="E927" t="s">
        <v>446</v>
      </c>
      <c r="F927" t="s">
        <v>303</v>
      </c>
      <c r="G927">
        <v>70669</v>
      </c>
      <c r="H927">
        <v>30.193916000000002</v>
      </c>
      <c r="I927">
        <v>-93.321347000000003</v>
      </c>
      <c r="J927" t="s">
        <v>713</v>
      </c>
      <c r="K927">
        <v>110000597266</v>
      </c>
      <c r="M927">
        <v>2821</v>
      </c>
      <c r="R927">
        <v>4.1383219954648496</v>
      </c>
      <c r="W927" t="s">
        <v>1732</v>
      </c>
      <c r="X927">
        <v>315</v>
      </c>
      <c r="Y927">
        <v>8080206000583</v>
      </c>
      <c r="AA927" t="s">
        <v>1465</v>
      </c>
      <c r="AB927" t="s">
        <v>1466</v>
      </c>
    </row>
    <row r="928" spans="1:28" x14ac:dyDescent="0.25">
      <c r="A928">
        <v>2020</v>
      </c>
      <c r="C928" t="s">
        <v>1105</v>
      </c>
      <c r="D928" t="s">
        <v>1735</v>
      </c>
      <c r="E928" t="s">
        <v>1106</v>
      </c>
      <c r="F928" t="s">
        <v>345</v>
      </c>
      <c r="G928">
        <v>61953</v>
      </c>
      <c r="H928">
        <v>39.795811999999998</v>
      </c>
      <c r="I928">
        <v>-88.347945999999993</v>
      </c>
      <c r="J928" t="s">
        <v>714</v>
      </c>
      <c r="K928">
        <v>110000746211</v>
      </c>
      <c r="M928">
        <v>2869</v>
      </c>
      <c r="R928">
        <v>7.6145124716553196</v>
      </c>
      <c r="W928" t="s">
        <v>1736</v>
      </c>
      <c r="X928" t="s">
        <v>1737</v>
      </c>
      <c r="Y928">
        <v>7140201000696</v>
      </c>
      <c r="AA928" t="s">
        <v>1465</v>
      </c>
      <c r="AB928" t="s">
        <v>1466</v>
      </c>
    </row>
    <row r="929" spans="1:28" x14ac:dyDescent="0.25">
      <c r="A929">
        <v>2020</v>
      </c>
      <c r="C929" t="s">
        <v>144</v>
      </c>
      <c r="D929" t="s">
        <v>467</v>
      </c>
      <c r="E929" t="s">
        <v>302</v>
      </c>
      <c r="F929" t="s">
        <v>303</v>
      </c>
      <c r="G929">
        <v>70805</v>
      </c>
      <c r="H929">
        <v>30.494948000000001</v>
      </c>
      <c r="I929">
        <v>-91.178173999999999</v>
      </c>
      <c r="K929">
        <v>110001143584</v>
      </c>
      <c r="M929">
        <v>2869</v>
      </c>
      <c r="R929">
        <v>1.02510993428571</v>
      </c>
      <c r="W929" t="s">
        <v>852</v>
      </c>
      <c r="X929">
        <v>701</v>
      </c>
      <c r="Y929">
        <v>8070201006480</v>
      </c>
      <c r="AA929" t="s">
        <v>1465</v>
      </c>
      <c r="AB929" t="s">
        <v>1466</v>
      </c>
    </row>
    <row r="930" spans="1:28" x14ac:dyDescent="0.25">
      <c r="A930">
        <v>2020</v>
      </c>
      <c r="C930" t="s">
        <v>144</v>
      </c>
      <c r="D930" t="s">
        <v>467</v>
      </c>
      <c r="E930" t="s">
        <v>302</v>
      </c>
      <c r="F930" t="s">
        <v>303</v>
      </c>
      <c r="G930">
        <v>70805</v>
      </c>
      <c r="H930">
        <v>30.494948000000001</v>
      </c>
      <c r="I930">
        <v>-91.178173999999999</v>
      </c>
      <c r="K930">
        <v>110001143584</v>
      </c>
      <c r="M930">
        <v>2869</v>
      </c>
      <c r="R930">
        <v>2.1882192112500001E-2</v>
      </c>
      <c r="W930" t="s">
        <v>852</v>
      </c>
      <c r="X930">
        <v>701</v>
      </c>
      <c r="Y930">
        <v>8070201006480</v>
      </c>
      <c r="AA930" t="s">
        <v>1465</v>
      </c>
      <c r="AB930" t="s">
        <v>1466</v>
      </c>
    </row>
    <row r="931" spans="1:28" x14ac:dyDescent="0.25">
      <c r="A931">
        <v>2020</v>
      </c>
      <c r="C931" t="s">
        <v>144</v>
      </c>
      <c r="D931" t="s">
        <v>467</v>
      </c>
      <c r="E931" t="s">
        <v>302</v>
      </c>
      <c r="F931" t="s">
        <v>303</v>
      </c>
      <c r="G931">
        <v>70805</v>
      </c>
      <c r="H931">
        <v>30.494948000000001</v>
      </c>
      <c r="I931">
        <v>-91.178173999999999</v>
      </c>
      <c r="K931">
        <v>110001143584</v>
      </c>
      <c r="M931">
        <v>2869</v>
      </c>
      <c r="R931">
        <v>0.64317964285714202</v>
      </c>
      <c r="W931" t="s">
        <v>852</v>
      </c>
      <c r="X931">
        <v>701</v>
      </c>
      <c r="Y931">
        <v>8070201006480</v>
      </c>
      <c r="AA931" t="s">
        <v>1465</v>
      </c>
      <c r="AB931" t="s">
        <v>1466</v>
      </c>
    </row>
    <row r="932" spans="1:28" x14ac:dyDescent="0.25">
      <c r="A932">
        <v>2020</v>
      </c>
      <c r="C932" t="s">
        <v>1107</v>
      </c>
      <c r="D932" t="s">
        <v>1741</v>
      </c>
      <c r="E932" t="s">
        <v>1108</v>
      </c>
      <c r="F932" t="s">
        <v>338</v>
      </c>
      <c r="G932">
        <v>8872</v>
      </c>
      <c r="H932">
        <v>40.665252000000002</v>
      </c>
      <c r="I932">
        <v>-74.200059999999993</v>
      </c>
      <c r="K932">
        <v>110070212717</v>
      </c>
      <c r="M932">
        <v>2851</v>
      </c>
      <c r="R932">
        <v>5.7286429199999902E-4</v>
      </c>
      <c r="W932" t="s">
        <v>1742</v>
      </c>
      <c r="X932" t="s">
        <v>1743</v>
      </c>
      <c r="Y932">
        <v>2030104000356</v>
      </c>
      <c r="AA932" t="s">
        <v>1465</v>
      </c>
      <c r="AB932" t="s">
        <v>1466</v>
      </c>
    </row>
    <row r="933" spans="1:28" x14ac:dyDescent="0.25">
      <c r="A933">
        <v>2020</v>
      </c>
      <c r="C933" t="s">
        <v>145</v>
      </c>
      <c r="D933" t="s">
        <v>468</v>
      </c>
      <c r="E933" t="s">
        <v>314</v>
      </c>
      <c r="F933" t="s">
        <v>469</v>
      </c>
      <c r="G933">
        <v>479099201</v>
      </c>
      <c r="H933">
        <v>40.390543999999998</v>
      </c>
      <c r="I933">
        <v>-86.936173999999994</v>
      </c>
      <c r="J933" t="s">
        <v>470</v>
      </c>
      <c r="K933">
        <v>110000404296</v>
      </c>
      <c r="M933">
        <v>2833</v>
      </c>
      <c r="R933">
        <v>0.72459863945578196</v>
      </c>
      <c r="W933" t="s">
        <v>853</v>
      </c>
      <c r="X933" t="s">
        <v>854</v>
      </c>
      <c r="Y933">
        <v>5120108000208</v>
      </c>
      <c r="AA933" t="s">
        <v>1465</v>
      </c>
      <c r="AB933" t="s">
        <v>1466</v>
      </c>
    </row>
    <row r="934" spans="1:28" x14ac:dyDescent="0.25">
      <c r="A934">
        <v>2020</v>
      </c>
      <c r="C934" t="s">
        <v>146</v>
      </c>
      <c r="D934" t="s">
        <v>471</v>
      </c>
      <c r="E934" t="s">
        <v>472</v>
      </c>
      <c r="F934" t="s">
        <v>450</v>
      </c>
      <c r="G934">
        <v>11222</v>
      </c>
      <c r="H934">
        <v>40.73095</v>
      </c>
      <c r="I934">
        <v>-73.942520000000002</v>
      </c>
      <c r="K934">
        <v>110037107154</v>
      </c>
      <c r="M934">
        <v>4959</v>
      </c>
      <c r="R934">
        <v>0.50330734700000002</v>
      </c>
      <c r="W934" t="s">
        <v>855</v>
      </c>
      <c r="X934" t="s">
        <v>856</v>
      </c>
      <c r="Y934">
        <v>2030101001969</v>
      </c>
      <c r="AA934" t="s">
        <v>1465</v>
      </c>
      <c r="AB934" t="s">
        <v>1466</v>
      </c>
    </row>
    <row r="935" spans="1:28" x14ac:dyDescent="0.25">
      <c r="A935">
        <v>2020</v>
      </c>
      <c r="C935" t="s">
        <v>1109</v>
      </c>
      <c r="D935" t="s">
        <v>1748</v>
      </c>
      <c r="E935" t="s">
        <v>1110</v>
      </c>
      <c r="F935" t="s">
        <v>338</v>
      </c>
      <c r="G935">
        <v>8536</v>
      </c>
      <c r="H935">
        <v>40.331944</v>
      </c>
      <c r="I935">
        <v>-74.619721999999996</v>
      </c>
      <c r="K935">
        <v>110000321651</v>
      </c>
      <c r="M935">
        <v>2869</v>
      </c>
      <c r="R935">
        <v>6.9199999999999999E-3</v>
      </c>
      <c r="W935" t="s">
        <v>1749</v>
      </c>
      <c r="X935" t="s">
        <v>1750</v>
      </c>
      <c r="Y935">
        <v>2060002000003</v>
      </c>
      <c r="AA935" t="s">
        <v>1465</v>
      </c>
      <c r="AB935" t="s">
        <v>1466</v>
      </c>
    </row>
    <row r="936" spans="1:28" x14ac:dyDescent="0.25">
      <c r="A936">
        <v>2020</v>
      </c>
      <c r="C936" t="s">
        <v>1111</v>
      </c>
      <c r="D936" t="s">
        <v>1753</v>
      </c>
      <c r="E936" t="s">
        <v>1112</v>
      </c>
      <c r="F936" t="s">
        <v>338</v>
      </c>
      <c r="G936">
        <v>7410</v>
      </c>
      <c r="H936">
        <v>40.9375</v>
      </c>
      <c r="I936">
        <v>-74.131939000000003</v>
      </c>
      <c r="J936" t="s">
        <v>715</v>
      </c>
      <c r="K936">
        <v>110000319904</v>
      </c>
      <c r="M936">
        <v>2899</v>
      </c>
      <c r="R936">
        <v>7.6737468499999996E-3</v>
      </c>
      <c r="W936" t="s">
        <v>1754</v>
      </c>
      <c r="X936" t="s">
        <v>1755</v>
      </c>
      <c r="Y936">
        <v>2030103000370</v>
      </c>
      <c r="AA936" t="s">
        <v>1465</v>
      </c>
      <c r="AB936" t="s">
        <v>1466</v>
      </c>
    </row>
    <row r="937" spans="1:28" x14ac:dyDescent="0.25">
      <c r="A937">
        <v>2020</v>
      </c>
      <c r="C937" t="s">
        <v>1113</v>
      </c>
      <c r="D937" t="s">
        <v>1758</v>
      </c>
      <c r="E937" t="s">
        <v>1114</v>
      </c>
      <c r="F937" t="s">
        <v>324</v>
      </c>
      <c r="G937">
        <v>41041</v>
      </c>
      <c r="H937">
        <v>38.421495999999998</v>
      </c>
      <c r="I937">
        <v>-83.734424000000004</v>
      </c>
      <c r="K937">
        <v>110003251427</v>
      </c>
      <c r="M937">
        <v>4952</v>
      </c>
      <c r="R937">
        <v>0.27008813749999999</v>
      </c>
      <c r="W937" t="s">
        <v>1759</v>
      </c>
      <c r="X937" t="s">
        <v>1760</v>
      </c>
      <c r="Y937">
        <v>5100101000962</v>
      </c>
      <c r="AA937" t="s">
        <v>1465</v>
      </c>
      <c r="AB937" t="s">
        <v>263</v>
      </c>
    </row>
    <row r="938" spans="1:28" x14ac:dyDescent="0.25">
      <c r="A938">
        <v>2020</v>
      </c>
      <c r="C938" t="s">
        <v>1115</v>
      </c>
      <c r="D938" t="s">
        <v>1762</v>
      </c>
      <c r="E938" t="s">
        <v>987</v>
      </c>
      <c r="F938" t="s">
        <v>324</v>
      </c>
      <c r="G938">
        <v>40245</v>
      </c>
      <c r="H938">
        <v>38.236699999999999</v>
      </c>
      <c r="I938">
        <v>-85.466710000000006</v>
      </c>
      <c r="K938">
        <v>110043486457</v>
      </c>
      <c r="M938">
        <v>4952</v>
      </c>
      <c r="R938">
        <v>12.509708874999999</v>
      </c>
      <c r="W938" t="s">
        <v>1763</v>
      </c>
      <c r="X938" t="s">
        <v>1764</v>
      </c>
      <c r="Y938">
        <v>5140102000235</v>
      </c>
      <c r="AA938" t="s">
        <v>1465</v>
      </c>
      <c r="AB938" t="s">
        <v>263</v>
      </c>
    </row>
    <row r="939" spans="1:28" x14ac:dyDescent="0.25">
      <c r="A939">
        <v>2020</v>
      </c>
      <c r="C939" t="s">
        <v>1118</v>
      </c>
      <c r="D939" t="s">
        <v>1769</v>
      </c>
      <c r="E939" t="s">
        <v>1119</v>
      </c>
      <c r="F939" t="s">
        <v>427</v>
      </c>
      <c r="G939">
        <v>49128</v>
      </c>
      <c r="H939">
        <v>41.775967999999999</v>
      </c>
      <c r="I939">
        <v>-86.654864000000003</v>
      </c>
      <c r="K939">
        <v>110001847761</v>
      </c>
      <c r="M939">
        <v>4953</v>
      </c>
      <c r="R939">
        <v>5.8307924999999997E-2</v>
      </c>
      <c r="W939" t="s">
        <v>1770</v>
      </c>
      <c r="X939" t="s">
        <v>1771</v>
      </c>
      <c r="Y939">
        <v>4040001000153</v>
      </c>
      <c r="AA939" t="s">
        <v>1465</v>
      </c>
      <c r="AB939" t="s">
        <v>1466</v>
      </c>
    </row>
    <row r="940" spans="1:28" x14ac:dyDescent="0.25">
      <c r="A940">
        <v>2020</v>
      </c>
      <c r="C940" t="s">
        <v>1120</v>
      </c>
      <c r="D940" t="s">
        <v>1773</v>
      </c>
      <c r="E940" t="s">
        <v>1121</v>
      </c>
      <c r="F940" t="s">
        <v>338</v>
      </c>
      <c r="G940">
        <v>8832</v>
      </c>
      <c r="H940">
        <v>40.515906999999999</v>
      </c>
      <c r="I940">
        <v>-74.325175999999999</v>
      </c>
      <c r="K940">
        <v>110070215141</v>
      </c>
      <c r="R940">
        <v>2.2810440648714899E-2</v>
      </c>
      <c r="W940" t="s">
        <v>1774</v>
      </c>
      <c r="X940" t="s">
        <v>1775</v>
      </c>
      <c r="Y940">
        <v>2030105000996</v>
      </c>
      <c r="AA940" t="s">
        <v>1465</v>
      </c>
      <c r="AB940" t="s">
        <v>1466</v>
      </c>
    </row>
    <row r="941" spans="1:28" x14ac:dyDescent="0.25">
      <c r="A941">
        <v>2020</v>
      </c>
      <c r="C941" t="s">
        <v>147</v>
      </c>
      <c r="D941" t="s">
        <v>473</v>
      </c>
      <c r="E941" t="s">
        <v>474</v>
      </c>
      <c r="F941" t="s">
        <v>338</v>
      </c>
      <c r="G941">
        <v>7470</v>
      </c>
      <c r="H941">
        <v>40.891950000000001</v>
      </c>
      <c r="I941">
        <v>-74.249369999999999</v>
      </c>
      <c r="K941">
        <v>110070213656</v>
      </c>
      <c r="M941">
        <v>9999</v>
      </c>
      <c r="R941">
        <v>1.0203523704249899E-3</v>
      </c>
      <c r="W941" t="s">
        <v>857</v>
      </c>
      <c r="X941" t="s">
        <v>858</v>
      </c>
      <c r="Y941">
        <v>2030103000043</v>
      </c>
      <c r="AA941" t="s">
        <v>1465</v>
      </c>
      <c r="AB941" t="s">
        <v>1466</v>
      </c>
    </row>
    <row r="942" spans="1:28" x14ac:dyDescent="0.25">
      <c r="A942">
        <v>2020</v>
      </c>
      <c r="C942" t="s">
        <v>1122</v>
      </c>
      <c r="D942" t="s">
        <v>1780</v>
      </c>
      <c r="E942" t="s">
        <v>1123</v>
      </c>
      <c r="F942" t="s">
        <v>491</v>
      </c>
      <c r="G942" t="s">
        <v>1781</v>
      </c>
      <c r="H942">
        <v>39.859110000000001</v>
      </c>
      <c r="I942">
        <v>-77.236620000000002</v>
      </c>
      <c r="K942">
        <v>110071151044</v>
      </c>
      <c r="M942">
        <v>4959</v>
      </c>
      <c r="R942">
        <v>6.5149789410000004E-3</v>
      </c>
      <c r="W942" t="s">
        <v>1782</v>
      </c>
      <c r="X942" t="s">
        <v>1783</v>
      </c>
      <c r="Y942">
        <v>2070009000809</v>
      </c>
      <c r="AA942" t="s">
        <v>1465</v>
      </c>
      <c r="AB942" t="s">
        <v>1466</v>
      </c>
    </row>
    <row r="943" spans="1:28" x14ac:dyDescent="0.25">
      <c r="A943">
        <v>2020</v>
      </c>
      <c r="C943" t="s">
        <v>148</v>
      </c>
      <c r="D943" t="s">
        <v>476</v>
      </c>
      <c r="E943" t="s">
        <v>477</v>
      </c>
      <c r="F943" t="s">
        <v>478</v>
      </c>
      <c r="G943">
        <v>19706</v>
      </c>
      <c r="H943">
        <v>39.585099999999997</v>
      </c>
      <c r="I943">
        <v>-75.649199999999993</v>
      </c>
      <c r="K943">
        <v>110000338536</v>
      </c>
      <c r="M943">
        <v>2821</v>
      </c>
      <c r="R943">
        <v>2.6836734693877502E-2</v>
      </c>
      <c r="W943" t="s">
        <v>859</v>
      </c>
      <c r="X943" t="s">
        <v>783</v>
      </c>
      <c r="Y943">
        <v>2040205000476</v>
      </c>
      <c r="AA943" t="s">
        <v>1465</v>
      </c>
      <c r="AB943" t="s">
        <v>1466</v>
      </c>
    </row>
    <row r="944" spans="1:28" x14ac:dyDescent="0.25">
      <c r="A944">
        <v>2020</v>
      </c>
      <c r="C944" t="s">
        <v>1124</v>
      </c>
      <c r="D944" t="s">
        <v>1786</v>
      </c>
      <c r="E944" t="s">
        <v>1125</v>
      </c>
      <c r="F944" t="s">
        <v>294</v>
      </c>
      <c r="G944">
        <v>22046</v>
      </c>
      <c r="H944">
        <v>38.890925000000003</v>
      </c>
      <c r="I944">
        <v>-77.184034999999994</v>
      </c>
      <c r="K944">
        <v>110070548118</v>
      </c>
      <c r="M944">
        <v>1794</v>
      </c>
      <c r="R944">
        <v>3.3792479999999903E-2</v>
      </c>
      <c r="W944" t="s">
        <v>1787</v>
      </c>
      <c r="X944" t="s">
        <v>1788</v>
      </c>
      <c r="AA944" t="s">
        <v>1465</v>
      </c>
      <c r="AB944" t="s">
        <v>1466</v>
      </c>
    </row>
    <row r="945" spans="1:28" x14ac:dyDescent="0.25">
      <c r="A945">
        <v>2020</v>
      </c>
      <c r="C945" t="s">
        <v>1124</v>
      </c>
      <c r="D945" t="s">
        <v>1786</v>
      </c>
      <c r="E945" t="s">
        <v>1125</v>
      </c>
      <c r="F945" t="s">
        <v>294</v>
      </c>
      <c r="G945">
        <v>22046</v>
      </c>
      <c r="H945">
        <v>38.890925000000003</v>
      </c>
      <c r="I945">
        <v>-77.184034999999994</v>
      </c>
      <c r="K945">
        <v>110070548118</v>
      </c>
      <c r="M945">
        <v>1794</v>
      </c>
      <c r="R945">
        <v>3.3792479999999903E-2</v>
      </c>
      <c r="W945" t="s">
        <v>1787</v>
      </c>
      <c r="X945" t="s">
        <v>1788</v>
      </c>
      <c r="AA945" t="s">
        <v>1465</v>
      </c>
      <c r="AB945" t="s">
        <v>1466</v>
      </c>
    </row>
    <row r="946" spans="1:28" x14ac:dyDescent="0.25">
      <c r="A946">
        <v>2020</v>
      </c>
      <c r="C946" t="s">
        <v>1126</v>
      </c>
      <c r="D946" t="s">
        <v>1789</v>
      </c>
      <c r="E946" t="s">
        <v>1127</v>
      </c>
      <c r="F946" t="s">
        <v>1128</v>
      </c>
      <c r="G946">
        <v>80537</v>
      </c>
      <c r="H946">
        <v>40.393799999999999</v>
      </c>
      <c r="I946">
        <v>-105.074</v>
      </c>
      <c r="K946">
        <v>110070053140</v>
      </c>
      <c r="M946">
        <v>7521</v>
      </c>
      <c r="R946">
        <v>5.4609980000000002E-2</v>
      </c>
      <c r="W946" t="s">
        <v>1790</v>
      </c>
      <c r="X946" t="s">
        <v>1791</v>
      </c>
      <c r="AA946" t="s">
        <v>1465</v>
      </c>
      <c r="AB946" t="s">
        <v>1466</v>
      </c>
    </row>
    <row r="947" spans="1:28" x14ac:dyDescent="0.25">
      <c r="A947">
        <v>2020</v>
      </c>
      <c r="C947" t="s">
        <v>1129</v>
      </c>
      <c r="D947" t="s">
        <v>1792</v>
      </c>
      <c r="E947" t="s">
        <v>1130</v>
      </c>
      <c r="F947" t="s">
        <v>366</v>
      </c>
      <c r="G947">
        <v>93420</v>
      </c>
      <c r="H947">
        <v>35.178620000000002</v>
      </c>
      <c r="I947">
        <v>-120.62067500000001</v>
      </c>
      <c r="K947">
        <v>110037256867</v>
      </c>
      <c r="M947">
        <v>2911</v>
      </c>
      <c r="R947">
        <v>2.6821617112500001E-2</v>
      </c>
      <c r="W947" t="s">
        <v>1793</v>
      </c>
      <c r="X947" t="s">
        <v>1794</v>
      </c>
      <c r="Y947">
        <v>18060006000027</v>
      </c>
      <c r="AA947" t="s">
        <v>1465</v>
      </c>
      <c r="AB947" t="s">
        <v>1466</v>
      </c>
    </row>
    <row r="948" spans="1:28" x14ac:dyDescent="0.25">
      <c r="A948">
        <v>2020</v>
      </c>
      <c r="C948" t="s">
        <v>1132</v>
      </c>
      <c r="D948" t="s">
        <v>1797</v>
      </c>
      <c r="E948" t="s">
        <v>1133</v>
      </c>
      <c r="F948" t="s">
        <v>999</v>
      </c>
      <c r="G948" t="s">
        <v>1798</v>
      </c>
      <c r="H948">
        <v>43.585476</v>
      </c>
      <c r="I948">
        <v>-71.750524999999996</v>
      </c>
      <c r="J948" t="s">
        <v>717</v>
      </c>
      <c r="K948">
        <v>110007681758</v>
      </c>
      <c r="R948">
        <v>5.844399575E-3</v>
      </c>
      <c r="W948" t="s">
        <v>1799</v>
      </c>
      <c r="Y948">
        <v>1070001000335</v>
      </c>
      <c r="AA948" t="s">
        <v>1465</v>
      </c>
      <c r="AB948" t="s">
        <v>1466</v>
      </c>
    </row>
    <row r="949" spans="1:28" x14ac:dyDescent="0.25">
      <c r="A949">
        <v>2020</v>
      </c>
      <c r="C949" t="s">
        <v>1134</v>
      </c>
      <c r="D949" t="s">
        <v>1800</v>
      </c>
      <c r="E949" t="s">
        <v>1135</v>
      </c>
      <c r="F949" t="s">
        <v>299</v>
      </c>
      <c r="G949">
        <v>72501</v>
      </c>
      <c r="H949">
        <v>35.722341999999998</v>
      </c>
      <c r="I949">
        <v>-91.524983000000006</v>
      </c>
      <c r="J949" t="s">
        <v>718</v>
      </c>
      <c r="K949">
        <v>110017432937</v>
      </c>
      <c r="M949">
        <v>2865</v>
      </c>
      <c r="R949">
        <v>4.9523809523809499</v>
      </c>
      <c r="W949" t="s">
        <v>1801</v>
      </c>
      <c r="X949" t="s">
        <v>1802</v>
      </c>
      <c r="Y949">
        <v>11010004002024</v>
      </c>
      <c r="AA949" t="s">
        <v>1465</v>
      </c>
      <c r="AB949" t="s">
        <v>1466</v>
      </c>
    </row>
    <row r="950" spans="1:28" x14ac:dyDescent="0.25">
      <c r="A950">
        <v>2020</v>
      </c>
      <c r="C950" t="s">
        <v>151</v>
      </c>
      <c r="D950" t="s">
        <v>485</v>
      </c>
      <c r="E950" t="s">
        <v>486</v>
      </c>
      <c r="F950" t="s">
        <v>308</v>
      </c>
      <c r="G950">
        <v>1905</v>
      </c>
      <c r="H950">
        <v>42.452603000000003</v>
      </c>
      <c r="I950">
        <v>-70.973436000000007</v>
      </c>
      <c r="J950" t="s">
        <v>487</v>
      </c>
      <c r="K950">
        <v>110000310191</v>
      </c>
      <c r="M950">
        <v>3724</v>
      </c>
      <c r="R950">
        <v>3.5348114999999999E-2</v>
      </c>
      <c r="W950" t="s">
        <v>864</v>
      </c>
      <c r="X950" t="s">
        <v>865</v>
      </c>
      <c r="Y950">
        <v>1090001001195</v>
      </c>
      <c r="AA950" t="s">
        <v>1465</v>
      </c>
      <c r="AB950" t="s">
        <v>1466</v>
      </c>
    </row>
    <row r="951" spans="1:28" x14ac:dyDescent="0.25">
      <c r="A951">
        <v>2020</v>
      </c>
      <c r="C951" t="s">
        <v>151</v>
      </c>
      <c r="D951" t="s">
        <v>485</v>
      </c>
      <c r="E951" t="s">
        <v>486</v>
      </c>
      <c r="F951" t="s">
        <v>308</v>
      </c>
      <c r="G951">
        <v>1905</v>
      </c>
      <c r="H951">
        <v>42.452603000000003</v>
      </c>
      <c r="I951">
        <v>-70.973436000000007</v>
      </c>
      <c r="J951" t="s">
        <v>487</v>
      </c>
      <c r="K951">
        <v>110000310191</v>
      </c>
      <c r="M951">
        <v>3724</v>
      </c>
      <c r="R951">
        <v>6.4691327500000007E-2</v>
      </c>
      <c r="W951" t="s">
        <v>864</v>
      </c>
      <c r="X951" t="s">
        <v>865</v>
      </c>
      <c r="Y951">
        <v>1090001001195</v>
      </c>
      <c r="AA951" t="s">
        <v>1465</v>
      </c>
      <c r="AB951" t="s">
        <v>1466</v>
      </c>
    </row>
    <row r="952" spans="1:28" x14ac:dyDescent="0.25">
      <c r="A952">
        <v>2020</v>
      </c>
      <c r="C952" t="s">
        <v>151</v>
      </c>
      <c r="D952" t="s">
        <v>485</v>
      </c>
      <c r="E952" t="s">
        <v>486</v>
      </c>
      <c r="F952" t="s">
        <v>308</v>
      </c>
      <c r="G952">
        <v>1905</v>
      </c>
      <c r="H952">
        <v>42.452603000000003</v>
      </c>
      <c r="I952">
        <v>-70.973436000000007</v>
      </c>
      <c r="J952" t="s">
        <v>487</v>
      </c>
      <c r="K952">
        <v>110000310191</v>
      </c>
      <c r="M952">
        <v>3724</v>
      </c>
      <c r="R952">
        <v>2.5813699999999999E-3</v>
      </c>
      <c r="W952" t="s">
        <v>864</v>
      </c>
      <c r="X952" t="s">
        <v>865</v>
      </c>
      <c r="Y952">
        <v>1090001001195</v>
      </c>
      <c r="AA952" t="s">
        <v>1465</v>
      </c>
      <c r="AB952" t="s">
        <v>1466</v>
      </c>
    </row>
    <row r="953" spans="1:28" x14ac:dyDescent="0.25">
      <c r="A953">
        <v>2020</v>
      </c>
      <c r="C953" t="s">
        <v>153</v>
      </c>
      <c r="D953" t="s">
        <v>1811</v>
      </c>
      <c r="E953" t="s">
        <v>495</v>
      </c>
      <c r="F953" t="s">
        <v>427</v>
      </c>
      <c r="G953">
        <v>48380</v>
      </c>
      <c r="H953">
        <v>42.569099999999999</v>
      </c>
      <c r="I953">
        <v>-83.674499999999995</v>
      </c>
      <c r="K953">
        <v>110017422733</v>
      </c>
      <c r="M953">
        <v>8734</v>
      </c>
      <c r="R953">
        <v>2.048442E-2</v>
      </c>
      <c r="W953" t="s">
        <v>868</v>
      </c>
      <c r="X953" t="s">
        <v>869</v>
      </c>
      <c r="Y953">
        <v>4090005002033</v>
      </c>
      <c r="AA953" t="s">
        <v>1465</v>
      </c>
      <c r="AB953" t="s">
        <v>1466</v>
      </c>
    </row>
    <row r="954" spans="1:28" x14ac:dyDescent="0.25">
      <c r="A954">
        <v>2020</v>
      </c>
      <c r="C954" t="s">
        <v>1138</v>
      </c>
      <c r="D954" t="s">
        <v>1813</v>
      </c>
      <c r="E954" t="s">
        <v>1139</v>
      </c>
      <c r="F954" t="s">
        <v>324</v>
      </c>
      <c r="G954">
        <v>42141</v>
      </c>
      <c r="H954">
        <v>36.983809999999998</v>
      </c>
      <c r="I954">
        <v>-85.957089999999994</v>
      </c>
      <c r="K954">
        <v>110001123276</v>
      </c>
      <c r="M954">
        <v>4952</v>
      </c>
      <c r="R954">
        <v>3.3446720249999999</v>
      </c>
      <c r="W954" t="s">
        <v>1814</v>
      </c>
      <c r="X954" t="s">
        <v>1815</v>
      </c>
      <c r="Y954">
        <v>5110002001123</v>
      </c>
      <c r="AA954" t="s">
        <v>1465</v>
      </c>
      <c r="AB954" t="s">
        <v>263</v>
      </c>
    </row>
    <row r="955" spans="1:28" x14ac:dyDescent="0.25">
      <c r="A955">
        <v>2020</v>
      </c>
      <c r="C955" t="s">
        <v>1816</v>
      </c>
      <c r="D955" t="s">
        <v>497</v>
      </c>
      <c r="E955" t="s">
        <v>498</v>
      </c>
      <c r="F955" t="s">
        <v>338</v>
      </c>
      <c r="G955">
        <v>8066</v>
      </c>
      <c r="H955">
        <v>39.852891</v>
      </c>
      <c r="I955">
        <v>-75.225210000000004</v>
      </c>
      <c r="K955">
        <v>110064625730</v>
      </c>
      <c r="M955">
        <v>4952</v>
      </c>
      <c r="R955">
        <v>6.4795499999999997</v>
      </c>
      <c r="W955" t="s">
        <v>870</v>
      </c>
      <c r="X955" t="s">
        <v>871</v>
      </c>
      <c r="Y955">
        <v>2040202000030</v>
      </c>
      <c r="AA955" t="s">
        <v>1465</v>
      </c>
      <c r="AB955" t="s">
        <v>263</v>
      </c>
    </row>
    <row r="956" spans="1:28" x14ac:dyDescent="0.25">
      <c r="A956">
        <v>2020</v>
      </c>
      <c r="C956" t="s">
        <v>155</v>
      </c>
      <c r="D956" t="s">
        <v>499</v>
      </c>
      <c r="E956" t="s">
        <v>500</v>
      </c>
      <c r="F956" t="s">
        <v>303</v>
      </c>
      <c r="G956">
        <v>70805</v>
      </c>
      <c r="H956">
        <v>30.558889000000001</v>
      </c>
      <c r="I956">
        <v>-91.217500000000001</v>
      </c>
      <c r="K956">
        <v>110012254363</v>
      </c>
      <c r="M956">
        <v>4491</v>
      </c>
      <c r="R956">
        <v>1.47191079999999E-4</v>
      </c>
      <c r="W956" t="s">
        <v>872</v>
      </c>
      <c r="Y956">
        <v>8070201006484</v>
      </c>
      <c r="AA956" t="s">
        <v>1465</v>
      </c>
      <c r="AB956" t="s">
        <v>263</v>
      </c>
    </row>
    <row r="957" spans="1:28" x14ac:dyDescent="0.25">
      <c r="A957">
        <v>2020</v>
      </c>
      <c r="C957" t="s">
        <v>1142</v>
      </c>
      <c r="D957" t="s">
        <v>1822</v>
      </c>
      <c r="E957" t="s">
        <v>1143</v>
      </c>
      <c r="F957" t="s">
        <v>308</v>
      </c>
      <c r="G957">
        <v>2145</v>
      </c>
      <c r="H957">
        <v>42.380989999999997</v>
      </c>
      <c r="I957">
        <v>-71.087580000000003</v>
      </c>
      <c r="K957">
        <v>110070741217</v>
      </c>
      <c r="R957">
        <v>5.7689929124999997E-3</v>
      </c>
      <c r="W957" t="s">
        <v>1823</v>
      </c>
      <c r="X957" t="s">
        <v>1824</v>
      </c>
      <c r="AA957" t="s">
        <v>1465</v>
      </c>
      <c r="AB957" t="s">
        <v>1466</v>
      </c>
    </row>
    <row r="958" spans="1:28" x14ac:dyDescent="0.25">
      <c r="A958">
        <v>2020</v>
      </c>
      <c r="C958" t="s">
        <v>1144</v>
      </c>
      <c r="D958" t="s">
        <v>1825</v>
      </c>
      <c r="E958" t="s">
        <v>1145</v>
      </c>
      <c r="F958" t="s">
        <v>324</v>
      </c>
      <c r="G958">
        <v>41144</v>
      </c>
      <c r="H958">
        <v>38.551630000000003</v>
      </c>
      <c r="I958">
        <v>-82.778199999999998</v>
      </c>
      <c r="K958">
        <v>110000759723</v>
      </c>
      <c r="M958">
        <v>4952</v>
      </c>
      <c r="R958">
        <v>1.3815249999999999</v>
      </c>
      <c r="W958" t="s">
        <v>1826</v>
      </c>
      <c r="X958" t="s">
        <v>830</v>
      </c>
      <c r="Y958">
        <v>5090103000913</v>
      </c>
      <c r="AA958" t="s">
        <v>1465</v>
      </c>
      <c r="AB958" t="s">
        <v>263</v>
      </c>
    </row>
    <row r="959" spans="1:28" x14ac:dyDescent="0.25">
      <c r="A959">
        <v>2020</v>
      </c>
      <c r="C959" t="s">
        <v>1146</v>
      </c>
      <c r="D959" t="s">
        <v>1827</v>
      </c>
      <c r="E959" t="s">
        <v>1147</v>
      </c>
      <c r="F959" t="s">
        <v>491</v>
      </c>
      <c r="G959">
        <v>19067</v>
      </c>
      <c r="H959">
        <v>40.159343999999997</v>
      </c>
      <c r="I959">
        <v>-74.776695000000004</v>
      </c>
      <c r="K959">
        <v>110000817439</v>
      </c>
      <c r="M959">
        <v>4953</v>
      </c>
      <c r="R959">
        <v>6.9193630419999999E-2</v>
      </c>
      <c r="W959" t="s">
        <v>1828</v>
      </c>
      <c r="X959" t="s">
        <v>1829</v>
      </c>
      <c r="Y959">
        <v>2040201000496</v>
      </c>
      <c r="AA959" t="s">
        <v>1465</v>
      </c>
      <c r="AB959" t="s">
        <v>1466</v>
      </c>
    </row>
    <row r="960" spans="1:28" x14ac:dyDescent="0.25">
      <c r="A960">
        <v>2020</v>
      </c>
      <c r="C960" t="s">
        <v>1148</v>
      </c>
      <c r="D960" t="s">
        <v>1831</v>
      </c>
      <c r="E960" t="s">
        <v>1149</v>
      </c>
      <c r="F960" t="s">
        <v>324</v>
      </c>
      <c r="G960">
        <v>42234</v>
      </c>
      <c r="H960">
        <v>36.644849999999998</v>
      </c>
      <c r="I960">
        <v>-87.187950000000001</v>
      </c>
      <c r="K960">
        <v>110009937499</v>
      </c>
      <c r="M960">
        <v>4952</v>
      </c>
      <c r="R960">
        <v>0.1540400375</v>
      </c>
      <c r="W960" t="s">
        <v>1832</v>
      </c>
      <c r="X960" t="s">
        <v>1833</v>
      </c>
      <c r="Y960">
        <v>5130206000361</v>
      </c>
      <c r="AA960" t="s">
        <v>1465</v>
      </c>
      <c r="AB960" t="s">
        <v>263</v>
      </c>
    </row>
    <row r="961" spans="1:28" x14ac:dyDescent="0.25">
      <c r="A961">
        <v>2020</v>
      </c>
      <c r="C961" t="s">
        <v>1150</v>
      </c>
      <c r="D961" t="s">
        <v>1835</v>
      </c>
      <c r="E961" t="s">
        <v>1151</v>
      </c>
      <c r="F961" t="s">
        <v>338</v>
      </c>
      <c r="G961">
        <v>8610</v>
      </c>
      <c r="H961">
        <v>40.183062999999997</v>
      </c>
      <c r="I961">
        <v>-74.710695000000001</v>
      </c>
      <c r="K961">
        <v>110056977080</v>
      </c>
      <c r="M961">
        <v>4952</v>
      </c>
      <c r="R961">
        <v>0.61603827300000003</v>
      </c>
      <c r="W961" t="s">
        <v>1836</v>
      </c>
      <c r="X961" t="s">
        <v>1837</v>
      </c>
      <c r="Y961">
        <v>2040201000021</v>
      </c>
      <c r="AA961" t="s">
        <v>1465</v>
      </c>
      <c r="AB961" t="s">
        <v>263</v>
      </c>
    </row>
    <row r="962" spans="1:28" x14ac:dyDescent="0.25">
      <c r="A962">
        <v>2020</v>
      </c>
      <c r="C962" t="s">
        <v>1156</v>
      </c>
      <c r="D962" t="s">
        <v>1849</v>
      </c>
      <c r="E962" t="s">
        <v>1157</v>
      </c>
      <c r="F962" t="s">
        <v>366</v>
      </c>
      <c r="G962">
        <v>956409626</v>
      </c>
      <c r="H962">
        <v>38.273180000000004</v>
      </c>
      <c r="I962">
        <v>-120.91082</v>
      </c>
      <c r="K962">
        <v>110064616296</v>
      </c>
      <c r="M962">
        <v>4952</v>
      </c>
      <c r="R962">
        <v>5.1807187500000004E-3</v>
      </c>
      <c r="W962" t="s">
        <v>1850</v>
      </c>
      <c r="X962" t="s">
        <v>1851</v>
      </c>
      <c r="Y962">
        <v>18040012024994</v>
      </c>
      <c r="AA962" t="s">
        <v>1465</v>
      </c>
      <c r="AB962" t="s">
        <v>263</v>
      </c>
    </row>
    <row r="963" spans="1:28" x14ac:dyDescent="0.25">
      <c r="A963">
        <v>2020</v>
      </c>
      <c r="C963" t="s">
        <v>1158</v>
      </c>
      <c r="D963" t="s">
        <v>1852</v>
      </c>
      <c r="E963" t="s">
        <v>1159</v>
      </c>
      <c r="F963" t="s">
        <v>324</v>
      </c>
      <c r="G963">
        <v>40330</v>
      </c>
      <c r="H963">
        <v>37.776316000000001</v>
      </c>
      <c r="I963">
        <v>-84.867384999999999</v>
      </c>
      <c r="K963">
        <v>110000732324</v>
      </c>
      <c r="M963">
        <v>4952</v>
      </c>
      <c r="R963">
        <v>1.24613555</v>
      </c>
      <c r="W963" t="s">
        <v>1853</v>
      </c>
      <c r="X963" t="s">
        <v>1854</v>
      </c>
      <c r="Y963">
        <v>5140102000788</v>
      </c>
      <c r="AA963" t="s">
        <v>1465</v>
      </c>
      <c r="AB963" t="s">
        <v>263</v>
      </c>
    </row>
    <row r="964" spans="1:28" x14ac:dyDescent="0.25">
      <c r="A964">
        <v>2020</v>
      </c>
      <c r="C964" t="s">
        <v>1160</v>
      </c>
      <c r="D964" t="s">
        <v>1856</v>
      </c>
      <c r="E964" t="s">
        <v>1103</v>
      </c>
      <c r="F964" t="s">
        <v>345</v>
      </c>
      <c r="G964" t="s">
        <v>1857</v>
      </c>
      <c r="H964">
        <v>41.304952</v>
      </c>
      <c r="I964">
        <v>-88.561650999999998</v>
      </c>
      <c r="J964" t="s">
        <v>720</v>
      </c>
      <c r="K964">
        <v>110000433022</v>
      </c>
      <c r="M964">
        <v>2821</v>
      </c>
      <c r="R964">
        <v>0.204433106575963</v>
      </c>
      <c r="W964" t="s">
        <v>1858</v>
      </c>
      <c r="X964" t="s">
        <v>1859</v>
      </c>
      <c r="Y964">
        <v>7120005000124</v>
      </c>
      <c r="AA964" t="s">
        <v>1465</v>
      </c>
      <c r="AB964" t="s">
        <v>1466</v>
      </c>
    </row>
    <row r="965" spans="1:28" x14ac:dyDescent="0.25">
      <c r="A965">
        <v>2020</v>
      </c>
      <c r="C965" t="s">
        <v>1161</v>
      </c>
      <c r="D965" t="s">
        <v>1861</v>
      </c>
      <c r="E965" t="s">
        <v>1162</v>
      </c>
      <c r="F965" t="s">
        <v>338</v>
      </c>
      <c r="G965">
        <v>80271164</v>
      </c>
      <c r="H965">
        <v>39.827696000000003</v>
      </c>
      <c r="I965">
        <v>-75.277782000000002</v>
      </c>
      <c r="K965">
        <v>110070210457</v>
      </c>
      <c r="M965">
        <v>2869</v>
      </c>
      <c r="R965">
        <v>4.6669996250000003E-3</v>
      </c>
      <c r="W965" t="s">
        <v>1862</v>
      </c>
      <c r="X965" t="s">
        <v>783</v>
      </c>
      <c r="Y965">
        <v>2040202001793</v>
      </c>
      <c r="AA965" t="s">
        <v>1465</v>
      </c>
      <c r="AB965" t="s">
        <v>1466</v>
      </c>
    </row>
    <row r="966" spans="1:28" x14ac:dyDescent="0.25">
      <c r="A966">
        <v>2020</v>
      </c>
      <c r="C966" t="s">
        <v>1163</v>
      </c>
      <c r="D966" t="s">
        <v>1865</v>
      </c>
      <c r="E966" t="s">
        <v>987</v>
      </c>
      <c r="F966" t="s">
        <v>324</v>
      </c>
      <c r="G966" t="s">
        <v>1866</v>
      </c>
      <c r="H966">
        <v>38.322221999999996</v>
      </c>
      <c r="I966">
        <v>-85.555000000000007</v>
      </c>
      <c r="K966">
        <v>110000732271</v>
      </c>
      <c r="M966">
        <v>4952</v>
      </c>
      <c r="R966">
        <v>14.022478749999999</v>
      </c>
      <c r="W966" t="s">
        <v>1867</v>
      </c>
      <c r="X966" t="s">
        <v>1868</v>
      </c>
      <c r="Y966">
        <v>5140101000441</v>
      </c>
      <c r="AA966" t="s">
        <v>1465</v>
      </c>
      <c r="AB966" t="s">
        <v>263</v>
      </c>
    </row>
    <row r="967" spans="1:28" x14ac:dyDescent="0.25">
      <c r="A967">
        <v>2020</v>
      </c>
      <c r="C967" t="s">
        <v>1164</v>
      </c>
      <c r="D967" t="s">
        <v>1869</v>
      </c>
      <c r="E967" t="s">
        <v>968</v>
      </c>
      <c r="F967" t="s">
        <v>294</v>
      </c>
      <c r="G967">
        <v>22314</v>
      </c>
      <c r="H967">
        <v>38.803621</v>
      </c>
      <c r="I967">
        <v>-77.069773999999995</v>
      </c>
      <c r="K967">
        <v>110070546529</v>
      </c>
      <c r="M967">
        <v>1794</v>
      </c>
      <c r="R967">
        <v>6.1468399999999894E-5</v>
      </c>
      <c r="W967" t="s">
        <v>1870</v>
      </c>
      <c r="X967" t="s">
        <v>1788</v>
      </c>
      <c r="AA967" t="s">
        <v>1465</v>
      </c>
      <c r="AB967" t="s">
        <v>1466</v>
      </c>
    </row>
    <row r="968" spans="1:28" x14ac:dyDescent="0.25">
      <c r="A968">
        <v>2020</v>
      </c>
      <c r="C968" t="s">
        <v>1164</v>
      </c>
      <c r="D968" t="s">
        <v>1869</v>
      </c>
      <c r="E968" t="s">
        <v>968</v>
      </c>
      <c r="F968" t="s">
        <v>294</v>
      </c>
      <c r="G968">
        <v>22314</v>
      </c>
      <c r="H968">
        <v>38.803621</v>
      </c>
      <c r="I968">
        <v>-77.069773999999995</v>
      </c>
      <c r="K968">
        <v>110070546529</v>
      </c>
      <c r="M968">
        <v>1794</v>
      </c>
      <c r="R968">
        <v>4.09082799999999E-5</v>
      </c>
      <c r="W968" t="s">
        <v>1870</v>
      </c>
      <c r="X968" t="s">
        <v>1788</v>
      </c>
      <c r="AA968" t="s">
        <v>1465</v>
      </c>
      <c r="AB968" t="s">
        <v>1466</v>
      </c>
    </row>
    <row r="969" spans="1:28" x14ac:dyDescent="0.25">
      <c r="A969">
        <v>2020</v>
      </c>
      <c r="C969" t="s">
        <v>1167</v>
      </c>
      <c r="D969" t="s">
        <v>1875</v>
      </c>
      <c r="E969" t="s">
        <v>1168</v>
      </c>
      <c r="F969" t="s">
        <v>338</v>
      </c>
      <c r="G969">
        <v>79621057</v>
      </c>
      <c r="H969">
        <v>40.792712999999999</v>
      </c>
      <c r="I969">
        <v>-74.434799999999996</v>
      </c>
      <c r="K969">
        <v>110070212650</v>
      </c>
      <c r="M969">
        <v>8731</v>
      </c>
      <c r="R969">
        <v>3.6855703209999903E-2</v>
      </c>
      <c r="W969" t="s">
        <v>1876</v>
      </c>
      <c r="X969" t="s">
        <v>1877</v>
      </c>
      <c r="Y969">
        <v>2030103000384</v>
      </c>
      <c r="AA969" t="s">
        <v>1465</v>
      </c>
      <c r="AB969" t="s">
        <v>1466</v>
      </c>
    </row>
    <row r="970" spans="1:28" x14ac:dyDescent="0.25">
      <c r="A970">
        <v>2020</v>
      </c>
      <c r="C970" t="s">
        <v>1172</v>
      </c>
      <c r="D970" t="s">
        <v>1884</v>
      </c>
      <c r="E970" t="s">
        <v>1173</v>
      </c>
      <c r="F970" t="s">
        <v>324</v>
      </c>
      <c r="G970">
        <v>42240</v>
      </c>
      <c r="H970">
        <v>36.803610999999997</v>
      </c>
      <c r="I970">
        <v>-87.516389000000004</v>
      </c>
      <c r="K970">
        <v>110039994897</v>
      </c>
      <c r="M970">
        <v>4952</v>
      </c>
      <c r="R970">
        <v>4.1459565249999999</v>
      </c>
      <c r="W970" t="s">
        <v>1885</v>
      </c>
      <c r="X970" t="s">
        <v>1886</v>
      </c>
      <c r="Y970">
        <v>5130205000237</v>
      </c>
      <c r="AA970" t="s">
        <v>1465</v>
      </c>
      <c r="AB970" t="s">
        <v>263</v>
      </c>
    </row>
    <row r="971" spans="1:28" x14ac:dyDescent="0.25">
      <c r="A971">
        <v>2020</v>
      </c>
      <c r="C971" t="s">
        <v>1176</v>
      </c>
      <c r="D971" t="s">
        <v>1891</v>
      </c>
      <c r="E971" t="s">
        <v>657</v>
      </c>
      <c r="F971" t="s">
        <v>418</v>
      </c>
      <c r="G971">
        <v>89169</v>
      </c>
      <c r="H971">
        <v>36.119079999999997</v>
      </c>
      <c r="I971">
        <v>-115.15727</v>
      </c>
      <c r="K971">
        <v>110037274133</v>
      </c>
      <c r="M971">
        <v>6512</v>
      </c>
      <c r="R971">
        <v>2.3036929374999999E-3</v>
      </c>
      <c r="W971" t="s">
        <v>1892</v>
      </c>
      <c r="X971" t="s">
        <v>1893</v>
      </c>
      <c r="Y971">
        <v>15010015000432</v>
      </c>
      <c r="AA971" t="s">
        <v>1465</v>
      </c>
      <c r="AB971" t="s">
        <v>1466</v>
      </c>
    </row>
    <row r="972" spans="1:28" x14ac:dyDescent="0.25">
      <c r="A972">
        <v>2020</v>
      </c>
      <c r="C972" t="s">
        <v>1177</v>
      </c>
      <c r="D972" t="s">
        <v>1894</v>
      </c>
      <c r="E972" t="s">
        <v>1178</v>
      </c>
      <c r="F972" t="s">
        <v>308</v>
      </c>
      <c r="G972">
        <v>1803</v>
      </c>
      <c r="H972">
        <v>42.482259999999997</v>
      </c>
      <c r="I972">
        <v>-71.191800000000001</v>
      </c>
      <c r="K972">
        <v>110024468128</v>
      </c>
      <c r="R972">
        <v>2.5678277052750002E-2</v>
      </c>
      <c r="W972" t="s">
        <v>1895</v>
      </c>
      <c r="X972" t="s">
        <v>1896</v>
      </c>
      <c r="Y972">
        <v>1070006000619</v>
      </c>
      <c r="AA972" t="s">
        <v>1465</v>
      </c>
      <c r="AB972" t="s">
        <v>1466</v>
      </c>
    </row>
    <row r="973" spans="1:28" x14ac:dyDescent="0.25">
      <c r="A973">
        <v>2020</v>
      </c>
      <c r="C973" t="s">
        <v>1179</v>
      </c>
      <c r="D973" t="s">
        <v>1897</v>
      </c>
      <c r="E973" t="s">
        <v>1180</v>
      </c>
      <c r="F973" t="s">
        <v>450</v>
      </c>
      <c r="G973">
        <v>13760</v>
      </c>
      <c r="H973">
        <v>42.107010000000002</v>
      </c>
      <c r="I973">
        <v>-76.051990000000004</v>
      </c>
      <c r="K973">
        <v>110041145926</v>
      </c>
      <c r="M973">
        <v>3471</v>
      </c>
      <c r="R973">
        <v>5.7027981877312499E-2</v>
      </c>
      <c r="W973" t="s">
        <v>1898</v>
      </c>
      <c r="X973" t="s">
        <v>1899</v>
      </c>
      <c r="Y973">
        <v>2050103001134</v>
      </c>
      <c r="AA973" t="s">
        <v>1465</v>
      </c>
      <c r="AB973" t="s">
        <v>1466</v>
      </c>
    </row>
    <row r="974" spans="1:28" x14ac:dyDescent="0.25">
      <c r="A974">
        <v>2020</v>
      </c>
      <c r="C974" t="s">
        <v>1181</v>
      </c>
      <c r="D974" t="s">
        <v>1903</v>
      </c>
      <c r="E974" t="s">
        <v>1182</v>
      </c>
      <c r="F974" t="s">
        <v>345</v>
      </c>
      <c r="G974">
        <v>60439</v>
      </c>
      <c r="H974">
        <v>41.692782000000001</v>
      </c>
      <c r="I974">
        <v>-87.951100999999994</v>
      </c>
      <c r="K974">
        <v>110018199377</v>
      </c>
      <c r="M974">
        <v>4226</v>
      </c>
      <c r="R974">
        <v>1.6779662</v>
      </c>
      <c r="W974" t="s">
        <v>1904</v>
      </c>
      <c r="X974" t="s">
        <v>1905</v>
      </c>
      <c r="Y974">
        <v>7120004000954</v>
      </c>
      <c r="AA974" t="s">
        <v>1465</v>
      </c>
      <c r="AB974" t="s">
        <v>1466</v>
      </c>
    </row>
    <row r="975" spans="1:28" x14ac:dyDescent="0.25">
      <c r="A975">
        <v>2020</v>
      </c>
      <c r="C975" t="s">
        <v>1183</v>
      </c>
      <c r="D975" t="s">
        <v>377</v>
      </c>
      <c r="E975" t="s">
        <v>480</v>
      </c>
      <c r="F975" t="s">
        <v>362</v>
      </c>
      <c r="G975">
        <v>77978</v>
      </c>
      <c r="H975">
        <v>28.642944</v>
      </c>
      <c r="I975">
        <v>-96.547611000000003</v>
      </c>
      <c r="K975">
        <v>110063004528</v>
      </c>
      <c r="M975">
        <v>4491</v>
      </c>
      <c r="R975">
        <v>0.14030409838999999</v>
      </c>
      <c r="W975" t="s">
        <v>804</v>
      </c>
      <c r="X975" t="s">
        <v>805</v>
      </c>
      <c r="Y975">
        <v>12100401000758</v>
      </c>
      <c r="AA975" t="s">
        <v>1465</v>
      </c>
      <c r="AB975" t="s">
        <v>1466</v>
      </c>
    </row>
    <row r="976" spans="1:28" x14ac:dyDescent="0.25">
      <c r="A976">
        <v>2020</v>
      </c>
      <c r="C976" t="s">
        <v>1185</v>
      </c>
      <c r="D976" t="s">
        <v>1911</v>
      </c>
      <c r="E976" t="s">
        <v>968</v>
      </c>
      <c r="F976" t="s">
        <v>294</v>
      </c>
      <c r="G976">
        <v>22305</v>
      </c>
      <c r="H976">
        <v>38.840600000000002</v>
      </c>
      <c r="I976">
        <v>-77.068200000000004</v>
      </c>
      <c r="K976">
        <v>110070598729</v>
      </c>
      <c r="M976">
        <v>1794</v>
      </c>
      <c r="R976">
        <v>1.5946051707499899E-3</v>
      </c>
      <c r="W976" t="s">
        <v>1912</v>
      </c>
      <c r="X976" t="s">
        <v>1475</v>
      </c>
      <c r="AA976" t="s">
        <v>1465</v>
      </c>
      <c r="AB976" t="s">
        <v>1466</v>
      </c>
    </row>
    <row r="977" spans="1:28" x14ac:dyDescent="0.25">
      <c r="A977">
        <v>2020</v>
      </c>
      <c r="C977" t="s">
        <v>1186</v>
      </c>
      <c r="D977" t="s">
        <v>1913</v>
      </c>
      <c r="E977" t="s">
        <v>1187</v>
      </c>
      <c r="F977" t="s">
        <v>478</v>
      </c>
      <c r="G977">
        <v>19973</v>
      </c>
      <c r="H977">
        <v>38.624206999999998</v>
      </c>
      <c r="I977">
        <v>-75.628699999999995</v>
      </c>
      <c r="K977">
        <v>110064631849</v>
      </c>
      <c r="M977">
        <v>2821</v>
      </c>
      <c r="R977">
        <v>7.02947845804988E-4</v>
      </c>
      <c r="W977" t="s">
        <v>1914</v>
      </c>
      <c r="X977" t="s">
        <v>1915</v>
      </c>
      <c r="Y977">
        <v>2080109011489</v>
      </c>
      <c r="AA977" t="s">
        <v>1465</v>
      </c>
      <c r="AB977" t="s">
        <v>1466</v>
      </c>
    </row>
    <row r="978" spans="1:28" x14ac:dyDescent="0.25">
      <c r="A978">
        <v>2020</v>
      </c>
      <c r="C978" t="s">
        <v>1188</v>
      </c>
      <c r="D978" t="s">
        <v>1917</v>
      </c>
      <c r="E978" t="s">
        <v>1189</v>
      </c>
      <c r="F978" t="s">
        <v>324</v>
      </c>
      <c r="G978">
        <v>40336</v>
      </c>
      <c r="H978">
        <v>37.700833000000003</v>
      </c>
      <c r="I978">
        <v>-83.984443999999996</v>
      </c>
      <c r="K978">
        <v>110006749162</v>
      </c>
      <c r="M978">
        <v>8711</v>
      </c>
      <c r="R978">
        <v>0.63481073750000006</v>
      </c>
      <c r="W978" t="s">
        <v>1918</v>
      </c>
      <c r="X978" t="s">
        <v>1592</v>
      </c>
      <c r="Y978">
        <v>5100204000012</v>
      </c>
      <c r="AA978" t="s">
        <v>1465</v>
      </c>
      <c r="AB978" t="s">
        <v>263</v>
      </c>
    </row>
    <row r="979" spans="1:28" x14ac:dyDescent="0.25">
      <c r="A979">
        <v>2020</v>
      </c>
      <c r="C979" t="s">
        <v>1190</v>
      </c>
      <c r="D979" t="s">
        <v>1920</v>
      </c>
      <c r="E979" t="s">
        <v>1191</v>
      </c>
      <c r="F979" t="s">
        <v>491</v>
      </c>
      <c r="G979">
        <v>17853</v>
      </c>
      <c r="H979">
        <v>40.725278000000003</v>
      </c>
      <c r="I979">
        <v>-77.056944000000001</v>
      </c>
      <c r="K979">
        <v>110017796330</v>
      </c>
      <c r="M979">
        <v>3645</v>
      </c>
      <c r="R979">
        <v>3.7446897499999999E-3</v>
      </c>
      <c r="W979" t="s">
        <v>1921</v>
      </c>
      <c r="X979" t="s">
        <v>1922</v>
      </c>
      <c r="Y979">
        <v>2050301000478</v>
      </c>
      <c r="AA979" t="s">
        <v>1465</v>
      </c>
      <c r="AB979" t="s">
        <v>1466</v>
      </c>
    </row>
    <row r="980" spans="1:28" x14ac:dyDescent="0.25">
      <c r="A980">
        <v>2020</v>
      </c>
      <c r="C980" t="s">
        <v>1192</v>
      </c>
      <c r="D980" t="s">
        <v>1924</v>
      </c>
      <c r="E980" t="s">
        <v>323</v>
      </c>
      <c r="F980" t="s">
        <v>324</v>
      </c>
      <c r="G980">
        <v>420290037</v>
      </c>
      <c r="H980">
        <v>37.047736999999998</v>
      </c>
      <c r="I980">
        <v>-88.35866</v>
      </c>
      <c r="J980" t="s">
        <v>721</v>
      </c>
      <c r="K980">
        <v>110000741608</v>
      </c>
      <c r="M980">
        <v>2869</v>
      </c>
      <c r="R980">
        <v>5.2970521541950104</v>
      </c>
      <c r="W980" t="s">
        <v>1925</v>
      </c>
      <c r="X980" t="s">
        <v>1926</v>
      </c>
      <c r="Y980">
        <v>6040006000329</v>
      </c>
      <c r="AA980" t="s">
        <v>1465</v>
      </c>
      <c r="AB980" t="s">
        <v>1466</v>
      </c>
    </row>
    <row r="981" spans="1:28" x14ac:dyDescent="0.25">
      <c r="A981">
        <v>2020</v>
      </c>
      <c r="C981" t="s">
        <v>1193</v>
      </c>
      <c r="D981" t="s">
        <v>1927</v>
      </c>
      <c r="E981" t="s">
        <v>293</v>
      </c>
      <c r="F981" t="s">
        <v>294</v>
      </c>
      <c r="G981">
        <v>22203</v>
      </c>
      <c r="H981">
        <v>38.861800000000002</v>
      </c>
      <c r="I981">
        <v>-77.086969999999994</v>
      </c>
      <c r="K981">
        <v>110070546877</v>
      </c>
      <c r="M981">
        <v>1794</v>
      </c>
      <c r="R981">
        <v>5.0372218299999901E-4</v>
      </c>
      <c r="W981" t="s">
        <v>1928</v>
      </c>
      <c r="X981" t="s">
        <v>1475</v>
      </c>
      <c r="AA981" t="s">
        <v>1465</v>
      </c>
      <c r="AB981" t="s">
        <v>1466</v>
      </c>
    </row>
    <row r="982" spans="1:28" x14ac:dyDescent="0.25">
      <c r="A982">
        <v>2020</v>
      </c>
      <c r="C982" t="s">
        <v>1194</v>
      </c>
      <c r="D982" t="s">
        <v>1929</v>
      </c>
      <c r="E982" t="s">
        <v>1195</v>
      </c>
      <c r="F982" t="s">
        <v>324</v>
      </c>
      <c r="G982">
        <v>40004</v>
      </c>
      <c r="H982">
        <v>37.780760000000001</v>
      </c>
      <c r="I982">
        <v>-85.510740999999996</v>
      </c>
      <c r="K982">
        <v>110009933402</v>
      </c>
      <c r="M982">
        <v>4952</v>
      </c>
      <c r="R982">
        <v>1.2212681000000001</v>
      </c>
      <c r="W982" t="s">
        <v>1930</v>
      </c>
      <c r="X982" t="s">
        <v>1931</v>
      </c>
      <c r="Y982">
        <v>5140103000201</v>
      </c>
      <c r="AA982" t="s">
        <v>1465</v>
      </c>
      <c r="AB982" t="s">
        <v>263</v>
      </c>
    </row>
    <row r="983" spans="1:28" x14ac:dyDescent="0.25">
      <c r="A983">
        <v>2020</v>
      </c>
      <c r="C983" t="s">
        <v>1206</v>
      </c>
      <c r="D983" t="s">
        <v>1947</v>
      </c>
      <c r="E983" t="s">
        <v>1207</v>
      </c>
      <c r="F983" t="s">
        <v>324</v>
      </c>
      <c r="G983">
        <v>40031</v>
      </c>
      <c r="H983">
        <v>38.391995999999999</v>
      </c>
      <c r="I983">
        <v>-85.416021999999998</v>
      </c>
      <c r="K983">
        <v>110002108059</v>
      </c>
      <c r="M983">
        <v>9223</v>
      </c>
      <c r="R983">
        <v>2.1137332500000001</v>
      </c>
      <c r="W983" t="s">
        <v>1948</v>
      </c>
      <c r="X983" t="s">
        <v>1949</v>
      </c>
      <c r="Y983">
        <v>5140101000459</v>
      </c>
      <c r="AA983" t="s">
        <v>1465</v>
      </c>
      <c r="AB983" t="s">
        <v>263</v>
      </c>
    </row>
    <row r="984" spans="1:28" x14ac:dyDescent="0.25">
      <c r="A984">
        <v>2020</v>
      </c>
      <c r="C984" t="s">
        <v>1210</v>
      </c>
      <c r="D984" t="s">
        <v>1956</v>
      </c>
      <c r="E984" t="s">
        <v>657</v>
      </c>
      <c r="F984" t="s">
        <v>418</v>
      </c>
      <c r="G984">
        <v>89101</v>
      </c>
      <c r="H984">
        <v>36.16478</v>
      </c>
      <c r="I984">
        <v>-115.14067</v>
      </c>
      <c r="K984">
        <v>110017237373</v>
      </c>
      <c r="M984">
        <v>8211</v>
      </c>
      <c r="R984">
        <v>3.3501981249999999E-3</v>
      </c>
      <c r="W984" t="s">
        <v>1957</v>
      </c>
      <c r="X984" t="s">
        <v>1893</v>
      </c>
      <c r="Y984">
        <v>15010015000125</v>
      </c>
      <c r="AA984" t="s">
        <v>1465</v>
      </c>
      <c r="AB984" t="s">
        <v>1466</v>
      </c>
    </row>
    <row r="985" spans="1:28" x14ac:dyDescent="0.25">
      <c r="A985">
        <v>2020</v>
      </c>
      <c r="C985" t="s">
        <v>1211</v>
      </c>
      <c r="D985" t="s">
        <v>1958</v>
      </c>
      <c r="E985" t="s">
        <v>657</v>
      </c>
      <c r="F985" t="s">
        <v>418</v>
      </c>
      <c r="G985">
        <v>89109</v>
      </c>
      <c r="H985">
        <v>36.131489999999999</v>
      </c>
      <c r="I985">
        <v>-115.15483</v>
      </c>
      <c r="K985">
        <v>110059844156</v>
      </c>
      <c r="M985">
        <v>1799</v>
      </c>
      <c r="R985">
        <v>4.5219040156249897E-2</v>
      </c>
      <c r="W985" t="s">
        <v>1959</v>
      </c>
      <c r="X985" t="s">
        <v>1960</v>
      </c>
      <c r="AA985" t="s">
        <v>1465</v>
      </c>
      <c r="AB985" t="s">
        <v>1466</v>
      </c>
    </row>
    <row r="986" spans="1:28" x14ac:dyDescent="0.25">
      <c r="A986">
        <v>2020</v>
      </c>
      <c r="C986" t="s">
        <v>1211</v>
      </c>
      <c r="D986" t="s">
        <v>1958</v>
      </c>
      <c r="E986" t="s">
        <v>657</v>
      </c>
      <c r="F986" t="s">
        <v>418</v>
      </c>
      <c r="G986">
        <v>89109</v>
      </c>
      <c r="H986">
        <v>36.131489999999999</v>
      </c>
      <c r="I986">
        <v>-115.15483</v>
      </c>
      <c r="K986">
        <v>110059844156</v>
      </c>
      <c r="M986">
        <v>1799</v>
      </c>
      <c r="R986">
        <v>1.8325238362499899E-2</v>
      </c>
      <c r="W986" t="s">
        <v>1959</v>
      </c>
      <c r="X986" t="s">
        <v>1960</v>
      </c>
      <c r="AA986" t="s">
        <v>1465</v>
      </c>
      <c r="AB986" t="s">
        <v>1466</v>
      </c>
    </row>
    <row r="987" spans="1:28" x14ac:dyDescent="0.25">
      <c r="A987">
        <v>2020</v>
      </c>
      <c r="C987" t="s">
        <v>167</v>
      </c>
      <c r="D987" t="s">
        <v>543</v>
      </c>
      <c r="E987" t="s">
        <v>544</v>
      </c>
      <c r="F987" t="s">
        <v>338</v>
      </c>
      <c r="G987">
        <v>7036</v>
      </c>
      <c r="H987">
        <v>40.610097000000003</v>
      </c>
      <c r="I987">
        <v>-74.204927999999995</v>
      </c>
      <c r="K987">
        <v>110002468669</v>
      </c>
      <c r="M987">
        <v>2841</v>
      </c>
      <c r="R987">
        <v>0.288208825</v>
      </c>
      <c r="W987" t="s">
        <v>892</v>
      </c>
      <c r="X987" t="s">
        <v>893</v>
      </c>
      <c r="Y987">
        <v>2030104000564</v>
      </c>
      <c r="AA987" t="s">
        <v>1465</v>
      </c>
      <c r="AB987" t="s">
        <v>1466</v>
      </c>
    </row>
    <row r="988" spans="1:28" x14ac:dyDescent="0.25">
      <c r="A988">
        <v>2020</v>
      </c>
      <c r="C988" t="s">
        <v>1212</v>
      </c>
      <c r="D988" t="s">
        <v>1963</v>
      </c>
      <c r="E988" t="s">
        <v>1213</v>
      </c>
      <c r="F988" t="s">
        <v>1128</v>
      </c>
      <c r="G988">
        <v>80125</v>
      </c>
      <c r="H988">
        <v>39.496341999999999</v>
      </c>
      <c r="I988">
        <v>-105.10758800000001</v>
      </c>
      <c r="J988" t="s">
        <v>724</v>
      </c>
      <c r="K988">
        <v>110000610429</v>
      </c>
      <c r="M988">
        <v>3761</v>
      </c>
      <c r="R988">
        <v>4.0860967499999998E-2</v>
      </c>
      <c r="W988" t="s">
        <v>1964</v>
      </c>
      <c r="X988" t="s">
        <v>1965</v>
      </c>
      <c r="Y988">
        <v>10190002000856</v>
      </c>
      <c r="AA988" t="s">
        <v>1465</v>
      </c>
      <c r="AB988" t="s">
        <v>1466</v>
      </c>
    </row>
    <row r="989" spans="1:28" x14ac:dyDescent="0.25">
      <c r="A989">
        <v>2020</v>
      </c>
      <c r="C989" t="s">
        <v>1214</v>
      </c>
      <c r="D989" t="s">
        <v>1966</v>
      </c>
      <c r="E989" t="s">
        <v>1215</v>
      </c>
      <c r="F989" t="s">
        <v>324</v>
      </c>
      <c r="G989" t="s">
        <v>1967</v>
      </c>
      <c r="H989">
        <v>37.106380000000001</v>
      </c>
      <c r="I989">
        <v>-84.066829999999996</v>
      </c>
      <c r="K989">
        <v>110000557013</v>
      </c>
      <c r="M989">
        <v>4952</v>
      </c>
      <c r="R989">
        <v>2.8348892999999999</v>
      </c>
      <c r="W989" t="s">
        <v>1968</v>
      </c>
      <c r="X989" t="s">
        <v>1969</v>
      </c>
      <c r="Y989">
        <v>5130101001074</v>
      </c>
      <c r="AA989" t="s">
        <v>1465</v>
      </c>
      <c r="AB989" t="s">
        <v>263</v>
      </c>
    </row>
    <row r="990" spans="1:28" x14ac:dyDescent="0.25">
      <c r="A990">
        <v>2020</v>
      </c>
      <c r="C990" t="s">
        <v>1218</v>
      </c>
      <c r="D990" t="s">
        <v>1975</v>
      </c>
      <c r="E990" t="s">
        <v>1219</v>
      </c>
      <c r="F990" t="s">
        <v>324</v>
      </c>
      <c r="G990">
        <v>42431</v>
      </c>
      <c r="H990">
        <v>37.318492999999997</v>
      </c>
      <c r="I990">
        <v>-87.549857000000003</v>
      </c>
      <c r="K990">
        <v>110002041380</v>
      </c>
      <c r="M990">
        <v>4952</v>
      </c>
      <c r="R990">
        <v>6.6741472750000002</v>
      </c>
      <c r="W990" t="s">
        <v>1976</v>
      </c>
      <c r="X990" t="s">
        <v>1977</v>
      </c>
      <c r="Y990">
        <v>5140205000228</v>
      </c>
      <c r="AA990" t="s">
        <v>1465</v>
      </c>
      <c r="AB990" t="s">
        <v>263</v>
      </c>
    </row>
    <row r="991" spans="1:28" x14ac:dyDescent="0.25">
      <c r="A991">
        <v>2020</v>
      </c>
      <c r="C991" t="s">
        <v>1220</v>
      </c>
      <c r="D991" t="s">
        <v>1978</v>
      </c>
      <c r="E991" t="s">
        <v>1221</v>
      </c>
      <c r="F991" t="s">
        <v>338</v>
      </c>
      <c r="G991">
        <v>8104</v>
      </c>
      <c r="H991">
        <v>39.919559</v>
      </c>
      <c r="I991">
        <v>-75.125825000000006</v>
      </c>
      <c r="K991">
        <v>110009834581</v>
      </c>
      <c r="M991">
        <v>2087</v>
      </c>
      <c r="R991">
        <v>5.8591856964250004E-3</v>
      </c>
      <c r="W991" t="s">
        <v>1979</v>
      </c>
      <c r="X991" t="s">
        <v>1980</v>
      </c>
      <c r="Y991">
        <v>2040202000065</v>
      </c>
      <c r="AA991" t="s">
        <v>1465</v>
      </c>
      <c r="AB991" t="s">
        <v>1466</v>
      </c>
    </row>
    <row r="992" spans="1:28" x14ac:dyDescent="0.25">
      <c r="A992">
        <v>2020</v>
      </c>
      <c r="C992" t="s">
        <v>1222</v>
      </c>
      <c r="D992" t="s">
        <v>1983</v>
      </c>
      <c r="E992" t="s">
        <v>1223</v>
      </c>
      <c r="F992" t="s">
        <v>324</v>
      </c>
      <c r="G992">
        <v>40962</v>
      </c>
      <c r="H992">
        <v>37.177222</v>
      </c>
      <c r="I992">
        <v>-83.761388999999994</v>
      </c>
      <c r="K992">
        <v>110009938808</v>
      </c>
      <c r="M992">
        <v>4952</v>
      </c>
      <c r="R992">
        <v>3.336382875</v>
      </c>
      <c r="W992" t="s">
        <v>1984</v>
      </c>
      <c r="X992" t="s">
        <v>1721</v>
      </c>
      <c r="Y992">
        <v>5100203000072</v>
      </c>
      <c r="AA992" t="s">
        <v>1465</v>
      </c>
      <c r="AB992" t="s">
        <v>263</v>
      </c>
    </row>
    <row r="993" spans="1:28" x14ac:dyDescent="0.25">
      <c r="A993">
        <v>2020</v>
      </c>
      <c r="C993" t="s">
        <v>1226</v>
      </c>
      <c r="D993" t="s">
        <v>1990</v>
      </c>
      <c r="E993" t="s">
        <v>657</v>
      </c>
      <c r="F993" t="s">
        <v>418</v>
      </c>
      <c r="G993">
        <v>89119</v>
      </c>
      <c r="H993">
        <v>36.075400000000002</v>
      </c>
      <c r="I993">
        <v>-115.1669</v>
      </c>
      <c r="K993">
        <v>110064134459</v>
      </c>
      <c r="M993">
        <v>4581</v>
      </c>
      <c r="R993">
        <v>1.9905693499999998E-2</v>
      </c>
      <c r="W993" t="s">
        <v>1991</v>
      </c>
      <c r="X993" t="s">
        <v>1992</v>
      </c>
      <c r="Y993">
        <v>15010015000139</v>
      </c>
      <c r="AA993" t="s">
        <v>1465</v>
      </c>
      <c r="AB993" t="s">
        <v>1466</v>
      </c>
    </row>
    <row r="994" spans="1:28" x14ac:dyDescent="0.25">
      <c r="A994">
        <v>2020</v>
      </c>
      <c r="C994" t="s">
        <v>1226</v>
      </c>
      <c r="D994" t="s">
        <v>1990</v>
      </c>
      <c r="E994" t="s">
        <v>657</v>
      </c>
      <c r="F994" t="s">
        <v>418</v>
      </c>
      <c r="G994">
        <v>89119</v>
      </c>
      <c r="H994">
        <v>36.075400000000002</v>
      </c>
      <c r="I994">
        <v>-115.1669</v>
      </c>
      <c r="K994">
        <v>110064134459</v>
      </c>
      <c r="M994">
        <v>4581</v>
      </c>
      <c r="R994">
        <v>2.847020225E-2</v>
      </c>
      <c r="W994" t="s">
        <v>1991</v>
      </c>
      <c r="X994" t="s">
        <v>1992</v>
      </c>
      <c r="Y994">
        <v>15010015000139</v>
      </c>
      <c r="AA994" t="s">
        <v>1465</v>
      </c>
      <c r="AB994" t="s">
        <v>1466</v>
      </c>
    </row>
    <row r="995" spans="1:28" x14ac:dyDescent="0.25">
      <c r="A995">
        <v>2020</v>
      </c>
      <c r="C995" t="s">
        <v>1227</v>
      </c>
      <c r="D995" t="s">
        <v>1993</v>
      </c>
      <c r="E995" t="s">
        <v>1228</v>
      </c>
      <c r="F995" t="s">
        <v>1128</v>
      </c>
      <c r="G995">
        <v>80216</v>
      </c>
      <c r="H995">
        <v>39.781474000000003</v>
      </c>
      <c r="I995">
        <v>-104.97438</v>
      </c>
      <c r="K995">
        <v>110070162955</v>
      </c>
      <c r="M995">
        <v>1629</v>
      </c>
      <c r="R995">
        <v>5.2232999999999999E-4</v>
      </c>
      <c r="W995" t="s">
        <v>1994</v>
      </c>
      <c r="X995" t="s">
        <v>1965</v>
      </c>
      <c r="Y995">
        <v>10190003001246</v>
      </c>
      <c r="AA995" t="s">
        <v>1465</v>
      </c>
      <c r="AB995" t="s">
        <v>1466</v>
      </c>
    </row>
    <row r="996" spans="1:28" x14ac:dyDescent="0.25">
      <c r="A996">
        <v>2020</v>
      </c>
      <c r="C996" t="s">
        <v>1230</v>
      </c>
      <c r="D996" t="s">
        <v>1997</v>
      </c>
      <c r="E996" t="s">
        <v>1231</v>
      </c>
      <c r="F996" t="s">
        <v>541</v>
      </c>
      <c r="G996" t="s">
        <v>1998</v>
      </c>
      <c r="H996">
        <v>34.807729999999999</v>
      </c>
      <c r="I996">
        <v>-82.006420000000006</v>
      </c>
      <c r="K996">
        <v>110000587384</v>
      </c>
      <c r="M996">
        <v>3674</v>
      </c>
      <c r="R996">
        <v>3.4297777500000001E-2</v>
      </c>
      <c r="W996" t="s">
        <v>1999</v>
      </c>
      <c r="X996" t="s">
        <v>2000</v>
      </c>
      <c r="Y996">
        <v>3050107000093</v>
      </c>
      <c r="AA996" t="s">
        <v>1465</v>
      </c>
      <c r="AB996" t="s">
        <v>1466</v>
      </c>
    </row>
    <row r="997" spans="1:28" x14ac:dyDescent="0.25">
      <c r="A997">
        <v>2020</v>
      </c>
      <c r="C997" t="s">
        <v>171</v>
      </c>
      <c r="D997" t="s">
        <v>555</v>
      </c>
      <c r="E997" t="s">
        <v>556</v>
      </c>
      <c r="F997" t="s">
        <v>338</v>
      </c>
      <c r="G997">
        <v>7065</v>
      </c>
      <c r="H997">
        <v>40.612743000000002</v>
      </c>
      <c r="I997">
        <v>-74.260920999999996</v>
      </c>
      <c r="J997" t="s">
        <v>557</v>
      </c>
      <c r="K997">
        <v>110000492020</v>
      </c>
      <c r="M997">
        <v>2833</v>
      </c>
      <c r="R997">
        <v>0.10024053954999999</v>
      </c>
      <c r="W997" t="s">
        <v>900</v>
      </c>
      <c r="X997" t="s">
        <v>901</v>
      </c>
      <c r="Y997">
        <v>2030104000565</v>
      </c>
      <c r="AA997" t="s">
        <v>1465</v>
      </c>
      <c r="AB997" t="s">
        <v>1466</v>
      </c>
    </row>
    <row r="998" spans="1:28" x14ac:dyDescent="0.25">
      <c r="A998">
        <v>2020</v>
      </c>
      <c r="C998" t="s">
        <v>1232</v>
      </c>
      <c r="D998" t="s">
        <v>2004</v>
      </c>
      <c r="E998" t="s">
        <v>968</v>
      </c>
      <c r="F998" t="s">
        <v>294</v>
      </c>
      <c r="G998">
        <v>22314</v>
      </c>
      <c r="H998">
        <v>38.803499000000002</v>
      </c>
      <c r="I998">
        <v>-77.069463999999996</v>
      </c>
      <c r="K998">
        <v>110070884090</v>
      </c>
      <c r="M998">
        <v>1794</v>
      </c>
      <c r="R998">
        <v>1.0046146999999901E-3</v>
      </c>
      <c r="W998" t="s">
        <v>2005</v>
      </c>
      <c r="X998" t="s">
        <v>1788</v>
      </c>
      <c r="AA998" t="s">
        <v>1465</v>
      </c>
      <c r="AB998" t="s">
        <v>1466</v>
      </c>
    </row>
    <row r="999" spans="1:28" x14ac:dyDescent="0.25">
      <c r="A999">
        <v>2020</v>
      </c>
      <c r="C999" t="s">
        <v>1232</v>
      </c>
      <c r="D999" t="s">
        <v>2004</v>
      </c>
      <c r="E999" t="s">
        <v>968</v>
      </c>
      <c r="F999" t="s">
        <v>294</v>
      </c>
      <c r="G999">
        <v>22314</v>
      </c>
      <c r="H999">
        <v>38.803499000000002</v>
      </c>
      <c r="I999">
        <v>-77.069463999999996</v>
      </c>
      <c r="K999">
        <v>110070884090</v>
      </c>
      <c r="M999">
        <v>1794</v>
      </c>
      <c r="R999">
        <v>1.0046146999999901E-3</v>
      </c>
      <c r="W999" t="s">
        <v>2005</v>
      </c>
      <c r="X999" t="s">
        <v>1788</v>
      </c>
      <c r="AA999" t="s">
        <v>1465</v>
      </c>
      <c r="AB999" t="s">
        <v>1466</v>
      </c>
    </row>
    <row r="1000" spans="1:28" x14ac:dyDescent="0.25">
      <c r="A1000">
        <v>2020</v>
      </c>
      <c r="C1000" t="s">
        <v>1233</v>
      </c>
      <c r="D1000" t="s">
        <v>2006</v>
      </c>
      <c r="E1000" t="s">
        <v>293</v>
      </c>
      <c r="F1000" t="s">
        <v>294</v>
      </c>
      <c r="G1000">
        <v>22202</v>
      </c>
      <c r="H1000">
        <v>38.86157</v>
      </c>
      <c r="I1000">
        <v>-77.053929999999994</v>
      </c>
      <c r="K1000">
        <v>110070882213</v>
      </c>
      <c r="M1000">
        <v>7521</v>
      </c>
      <c r="R1000">
        <v>0.155423897087999</v>
      </c>
      <c r="W1000" t="s">
        <v>2007</v>
      </c>
      <c r="X1000" t="s">
        <v>762</v>
      </c>
      <c r="AA1000" t="s">
        <v>1465</v>
      </c>
      <c r="AB1000" t="s">
        <v>1466</v>
      </c>
    </row>
    <row r="1001" spans="1:28" x14ac:dyDescent="0.25">
      <c r="A1001">
        <v>2020</v>
      </c>
      <c r="C1001" t="s">
        <v>1234</v>
      </c>
      <c r="D1001" t="s">
        <v>2008</v>
      </c>
      <c r="E1001" t="s">
        <v>361</v>
      </c>
      <c r="F1001" t="s">
        <v>362</v>
      </c>
      <c r="G1001">
        <v>77571</v>
      </c>
      <c r="H1001">
        <v>29.726065999999999</v>
      </c>
      <c r="I1001">
        <v>-95.079583999999997</v>
      </c>
      <c r="J1001" t="s">
        <v>725</v>
      </c>
      <c r="K1001">
        <v>110000463677</v>
      </c>
      <c r="M1001">
        <v>2821</v>
      </c>
      <c r="R1001">
        <v>1.3077097505668901E-3</v>
      </c>
      <c r="W1001" t="s">
        <v>2009</v>
      </c>
      <c r="X1001" t="s">
        <v>2010</v>
      </c>
      <c r="Y1001">
        <v>12040104000661</v>
      </c>
      <c r="AA1001" t="s">
        <v>1465</v>
      </c>
      <c r="AB1001" t="s">
        <v>1466</v>
      </c>
    </row>
    <row r="1002" spans="1:28" x14ac:dyDescent="0.25">
      <c r="A1002">
        <v>2020</v>
      </c>
      <c r="C1002" t="s">
        <v>172</v>
      </c>
      <c r="D1002" t="s">
        <v>558</v>
      </c>
      <c r="E1002" t="s">
        <v>559</v>
      </c>
      <c r="F1002" t="s">
        <v>338</v>
      </c>
      <c r="G1002" t="s">
        <v>560</v>
      </c>
      <c r="H1002">
        <v>39.766944000000002</v>
      </c>
      <c r="I1002">
        <v>-75.421361000000005</v>
      </c>
      <c r="J1002" t="s">
        <v>561</v>
      </c>
      <c r="K1002">
        <v>110041022274</v>
      </c>
      <c r="M1002">
        <v>2821</v>
      </c>
      <c r="R1002">
        <v>9.0000000000000002E-6</v>
      </c>
      <c r="W1002" t="s">
        <v>902</v>
      </c>
      <c r="X1002" t="s">
        <v>783</v>
      </c>
      <c r="Y1002">
        <v>2040206001666</v>
      </c>
      <c r="AA1002" t="s">
        <v>1465</v>
      </c>
      <c r="AB1002" t="s">
        <v>1466</v>
      </c>
    </row>
    <row r="1003" spans="1:28" x14ac:dyDescent="0.25">
      <c r="A1003">
        <v>2020</v>
      </c>
      <c r="C1003" t="s">
        <v>1235</v>
      </c>
      <c r="D1003" t="s">
        <v>2012</v>
      </c>
      <c r="E1003" t="s">
        <v>1236</v>
      </c>
      <c r="F1003" t="s">
        <v>450</v>
      </c>
      <c r="G1003">
        <v>13502</v>
      </c>
      <c r="H1003">
        <v>43.107216000000001</v>
      </c>
      <c r="I1003">
        <v>-75.225815999999995</v>
      </c>
      <c r="K1003">
        <v>110002321345</v>
      </c>
      <c r="M1003">
        <v>5169</v>
      </c>
      <c r="R1003">
        <v>2.7483641999999902E-3</v>
      </c>
      <c r="W1003" t="s">
        <v>2013</v>
      </c>
      <c r="X1003" t="s">
        <v>2014</v>
      </c>
      <c r="Y1003">
        <v>2020004002623</v>
      </c>
      <c r="AA1003" t="s">
        <v>1465</v>
      </c>
      <c r="AB1003" t="s">
        <v>1466</v>
      </c>
    </row>
    <row r="1004" spans="1:28" x14ac:dyDescent="0.25">
      <c r="A1004">
        <v>2020</v>
      </c>
      <c r="C1004" t="s">
        <v>1237</v>
      </c>
      <c r="D1004" t="s">
        <v>2016</v>
      </c>
      <c r="E1004" t="s">
        <v>1238</v>
      </c>
      <c r="F1004" t="s">
        <v>324</v>
      </c>
      <c r="G1004">
        <v>40351</v>
      </c>
      <c r="H1004">
        <v>38.151904999999999</v>
      </c>
      <c r="I1004">
        <v>-83.513848999999993</v>
      </c>
      <c r="K1004">
        <v>110045085457</v>
      </c>
      <c r="M1004">
        <v>4952</v>
      </c>
      <c r="R1004">
        <v>2.6352589375000002</v>
      </c>
      <c r="W1004" t="s">
        <v>2017</v>
      </c>
      <c r="X1004" t="s">
        <v>2018</v>
      </c>
      <c r="Y1004">
        <v>5100101000391</v>
      </c>
      <c r="AA1004" t="s">
        <v>1465</v>
      </c>
      <c r="AB1004" t="s">
        <v>263</v>
      </c>
    </row>
    <row r="1005" spans="1:28" x14ac:dyDescent="0.25">
      <c r="A1005">
        <v>2020</v>
      </c>
      <c r="C1005" t="s">
        <v>1239</v>
      </c>
      <c r="D1005" t="s">
        <v>2020</v>
      </c>
      <c r="E1005" t="s">
        <v>1240</v>
      </c>
      <c r="F1005" t="s">
        <v>324</v>
      </c>
      <c r="G1005">
        <v>42437</v>
      </c>
      <c r="H1005">
        <v>37.671391</v>
      </c>
      <c r="I1005">
        <v>-87.828888000000006</v>
      </c>
      <c r="K1005">
        <v>110064612557</v>
      </c>
      <c r="M1005">
        <v>4952</v>
      </c>
      <c r="R1005">
        <v>5.2463411874999997</v>
      </c>
      <c r="W1005" t="s">
        <v>2021</v>
      </c>
      <c r="X1005" t="s">
        <v>2022</v>
      </c>
      <c r="Y1005">
        <v>5140203000958</v>
      </c>
      <c r="AA1005" t="s">
        <v>1465</v>
      </c>
      <c r="AB1005" t="s">
        <v>263</v>
      </c>
    </row>
    <row r="1006" spans="1:28" x14ac:dyDescent="0.25">
      <c r="A1006">
        <v>2020</v>
      </c>
      <c r="C1006" t="s">
        <v>1243</v>
      </c>
      <c r="D1006" t="s">
        <v>2027</v>
      </c>
      <c r="E1006" t="s">
        <v>1244</v>
      </c>
      <c r="F1006" t="s">
        <v>324</v>
      </c>
      <c r="G1006">
        <v>40353</v>
      </c>
      <c r="H1006">
        <v>38.101582000000001</v>
      </c>
      <c r="I1006">
        <v>-83.919770999999997</v>
      </c>
      <c r="K1006">
        <v>110039705361</v>
      </c>
      <c r="M1006">
        <v>4952</v>
      </c>
      <c r="R1006">
        <v>6.7349343749999999</v>
      </c>
      <c r="W1006" t="s">
        <v>2028</v>
      </c>
      <c r="X1006" t="s">
        <v>2029</v>
      </c>
      <c r="Y1006">
        <v>5100102000126</v>
      </c>
      <c r="AA1006" t="s">
        <v>1465</v>
      </c>
      <c r="AB1006" t="s">
        <v>263</v>
      </c>
    </row>
    <row r="1007" spans="1:28" x14ac:dyDescent="0.25">
      <c r="A1007">
        <v>2020</v>
      </c>
      <c r="C1007" t="s">
        <v>2033</v>
      </c>
      <c r="D1007" t="s">
        <v>571</v>
      </c>
      <c r="E1007" t="s">
        <v>572</v>
      </c>
      <c r="F1007" t="s">
        <v>303</v>
      </c>
      <c r="G1007">
        <v>70051</v>
      </c>
      <c r="H1007">
        <v>30.048590999999998</v>
      </c>
      <c r="I1007">
        <v>-90.630941000000007</v>
      </c>
      <c r="J1007" t="s">
        <v>573</v>
      </c>
      <c r="K1007">
        <v>110007015871</v>
      </c>
      <c r="M1007">
        <v>2869</v>
      </c>
      <c r="R1007">
        <v>8.2766439909296996E-2</v>
      </c>
      <c r="W1007" t="s">
        <v>907</v>
      </c>
      <c r="X1007" t="s">
        <v>816</v>
      </c>
      <c r="Y1007">
        <v>8070204000715</v>
      </c>
      <c r="AA1007" t="s">
        <v>1465</v>
      </c>
      <c r="AB1007" t="s">
        <v>1466</v>
      </c>
    </row>
    <row r="1008" spans="1:28" x14ac:dyDescent="0.25">
      <c r="A1008">
        <v>2020</v>
      </c>
      <c r="C1008" t="s">
        <v>1252</v>
      </c>
      <c r="D1008" t="s">
        <v>2040</v>
      </c>
      <c r="E1008" t="s">
        <v>1253</v>
      </c>
      <c r="F1008" t="s">
        <v>1171</v>
      </c>
      <c r="G1008" t="s">
        <v>2041</v>
      </c>
      <c r="H1008">
        <v>21.348493999999999</v>
      </c>
      <c r="I1008">
        <v>-157.94398899999999</v>
      </c>
      <c r="K1008">
        <v>110022302417</v>
      </c>
      <c r="M1008">
        <v>4952</v>
      </c>
      <c r="R1008">
        <v>3.8682699999999999</v>
      </c>
      <c r="W1008" t="s">
        <v>2042</v>
      </c>
      <c r="X1008" t="s">
        <v>926</v>
      </c>
      <c r="Y1008">
        <v>20060000002470</v>
      </c>
      <c r="AA1008" t="s">
        <v>1465</v>
      </c>
      <c r="AB1008" t="s">
        <v>1466</v>
      </c>
    </row>
    <row r="1009" spans="1:28" x14ac:dyDescent="0.25">
      <c r="A1009">
        <v>2020</v>
      </c>
      <c r="C1009" t="s">
        <v>1256</v>
      </c>
      <c r="D1009" t="s">
        <v>2046</v>
      </c>
      <c r="E1009" t="s">
        <v>549</v>
      </c>
      <c r="F1009" t="s">
        <v>366</v>
      </c>
      <c r="G1009">
        <v>95959</v>
      </c>
      <c r="H1009">
        <v>39.259749999999997</v>
      </c>
      <c r="I1009">
        <v>-121.03075</v>
      </c>
      <c r="K1009">
        <v>110000519920</v>
      </c>
      <c r="M1009">
        <v>4952</v>
      </c>
      <c r="R1009">
        <v>6.7206460000000003E-3</v>
      </c>
      <c r="W1009" t="s">
        <v>2047</v>
      </c>
      <c r="X1009" t="s">
        <v>1672</v>
      </c>
      <c r="Y1009">
        <v>18020125000668</v>
      </c>
      <c r="AA1009" t="s">
        <v>1465</v>
      </c>
      <c r="AB1009" t="s">
        <v>263</v>
      </c>
    </row>
    <row r="1010" spans="1:28" x14ac:dyDescent="0.25">
      <c r="A1010">
        <v>2020</v>
      </c>
      <c r="C1010" t="s">
        <v>1257</v>
      </c>
      <c r="D1010" t="s">
        <v>2048</v>
      </c>
      <c r="E1010" t="s">
        <v>1258</v>
      </c>
      <c r="F1010" t="s">
        <v>366</v>
      </c>
      <c r="G1010">
        <v>92257</v>
      </c>
      <c r="H1010">
        <v>33.227348999999997</v>
      </c>
      <c r="I1010">
        <v>-115.528569</v>
      </c>
      <c r="K1010">
        <v>110001177958</v>
      </c>
      <c r="M1010">
        <v>4952</v>
      </c>
      <c r="R1010">
        <v>2.83212625E-2</v>
      </c>
      <c r="W1010" t="s">
        <v>2049</v>
      </c>
      <c r="X1010" t="s">
        <v>2050</v>
      </c>
      <c r="Y1010">
        <v>18100204011079</v>
      </c>
      <c r="AA1010" t="s">
        <v>1465</v>
      </c>
      <c r="AB1010" t="s">
        <v>263</v>
      </c>
    </row>
    <row r="1011" spans="1:28" x14ac:dyDescent="0.25">
      <c r="A1011">
        <v>2020</v>
      </c>
      <c r="C1011" t="s">
        <v>1261</v>
      </c>
      <c r="D1011" t="s">
        <v>2053</v>
      </c>
      <c r="E1011" t="s">
        <v>966</v>
      </c>
      <c r="F1011" t="s">
        <v>491</v>
      </c>
      <c r="G1011" t="s">
        <v>2054</v>
      </c>
      <c r="H1011">
        <v>39.991410000000002</v>
      </c>
      <c r="I1011">
        <v>-75.085030000000003</v>
      </c>
      <c r="K1011">
        <v>110001076978</v>
      </c>
      <c r="M1011">
        <v>4952</v>
      </c>
      <c r="R1011">
        <v>58.7980825</v>
      </c>
      <c r="W1011" t="s">
        <v>2055</v>
      </c>
      <c r="X1011" t="s">
        <v>2056</v>
      </c>
      <c r="Y1011">
        <v>2040202001980</v>
      </c>
      <c r="AA1011" t="s">
        <v>1465</v>
      </c>
      <c r="AB1011" t="s">
        <v>263</v>
      </c>
    </row>
    <row r="1012" spans="1:28" x14ac:dyDescent="0.25">
      <c r="A1012">
        <v>2020</v>
      </c>
      <c r="C1012" t="s">
        <v>1262</v>
      </c>
      <c r="D1012" t="s">
        <v>2058</v>
      </c>
      <c r="E1012" t="s">
        <v>1263</v>
      </c>
      <c r="F1012" t="s">
        <v>324</v>
      </c>
      <c r="G1012">
        <v>41018</v>
      </c>
      <c r="H1012">
        <v>39.058610999999999</v>
      </c>
      <c r="I1012">
        <v>-84.618055999999996</v>
      </c>
      <c r="K1012">
        <v>110039639736</v>
      </c>
      <c r="M1012">
        <v>4952</v>
      </c>
      <c r="R1012">
        <v>1.6944404125E-2</v>
      </c>
      <c r="W1012" t="s">
        <v>2059</v>
      </c>
      <c r="X1012" t="s">
        <v>2060</v>
      </c>
      <c r="Y1012">
        <v>5100101002662</v>
      </c>
      <c r="AA1012" t="s">
        <v>1465</v>
      </c>
      <c r="AB1012" t="s">
        <v>263</v>
      </c>
    </row>
    <row r="1013" spans="1:28" x14ac:dyDescent="0.25">
      <c r="A1013">
        <v>2020</v>
      </c>
      <c r="C1013" t="s">
        <v>1264</v>
      </c>
      <c r="D1013" t="s">
        <v>2061</v>
      </c>
      <c r="E1013" t="s">
        <v>1265</v>
      </c>
      <c r="F1013" t="s">
        <v>324</v>
      </c>
      <c r="G1013">
        <v>40475</v>
      </c>
      <c r="H1013">
        <v>37.852220000000003</v>
      </c>
      <c r="I1013">
        <v>-84.363079999999997</v>
      </c>
      <c r="K1013">
        <v>110016759444</v>
      </c>
      <c r="M1013">
        <v>4952</v>
      </c>
      <c r="R1013">
        <v>0.28597567499999998</v>
      </c>
      <c r="W1013" t="s">
        <v>2062</v>
      </c>
      <c r="X1013" t="s">
        <v>2063</v>
      </c>
      <c r="Y1013">
        <v>5100205000171</v>
      </c>
      <c r="AA1013" t="s">
        <v>1465</v>
      </c>
      <c r="AB1013" t="s">
        <v>263</v>
      </c>
    </row>
    <row r="1014" spans="1:28" x14ac:dyDescent="0.25">
      <c r="A1014">
        <v>2020</v>
      </c>
      <c r="C1014" t="s">
        <v>215</v>
      </c>
      <c r="D1014" t="s">
        <v>2065</v>
      </c>
      <c r="E1014" t="s">
        <v>1103</v>
      </c>
      <c r="F1014" t="s">
        <v>345</v>
      </c>
      <c r="G1014" t="s">
        <v>2066</v>
      </c>
      <c r="H1014">
        <v>41.404808000000003</v>
      </c>
      <c r="I1014">
        <v>-88.334732000000002</v>
      </c>
      <c r="J1014" t="s">
        <v>727</v>
      </c>
      <c r="K1014">
        <v>110000547196</v>
      </c>
      <c r="M1014">
        <v>2869</v>
      </c>
      <c r="R1014">
        <v>8.0235827664399004E-2</v>
      </c>
      <c r="W1014" t="s">
        <v>2067</v>
      </c>
      <c r="X1014" t="s">
        <v>2068</v>
      </c>
      <c r="Y1014">
        <v>7120005000849</v>
      </c>
      <c r="AA1014" t="s">
        <v>1465</v>
      </c>
      <c r="AB1014" t="s">
        <v>1466</v>
      </c>
    </row>
    <row r="1015" spans="1:28" x14ac:dyDescent="0.25">
      <c r="A1015">
        <v>2020</v>
      </c>
      <c r="C1015" t="s">
        <v>1266</v>
      </c>
      <c r="D1015" t="s">
        <v>2070</v>
      </c>
      <c r="E1015" t="s">
        <v>1267</v>
      </c>
      <c r="F1015" t="s">
        <v>491</v>
      </c>
      <c r="G1015">
        <v>15061</v>
      </c>
      <c r="H1015">
        <v>40.655278000000003</v>
      </c>
      <c r="I1015">
        <v>-80.356388999999993</v>
      </c>
      <c r="J1015" t="s">
        <v>728</v>
      </c>
      <c r="K1015">
        <v>110059344473</v>
      </c>
      <c r="M1015">
        <v>2821</v>
      </c>
      <c r="R1015">
        <v>0.41383219954648498</v>
      </c>
      <c r="W1015" t="s">
        <v>2071</v>
      </c>
      <c r="X1015" t="s">
        <v>2072</v>
      </c>
      <c r="Y1015">
        <v>5030101000019</v>
      </c>
      <c r="AA1015" t="s">
        <v>1465</v>
      </c>
      <c r="AB1015" t="s">
        <v>1466</v>
      </c>
    </row>
    <row r="1016" spans="1:28" x14ac:dyDescent="0.25">
      <c r="A1016">
        <v>2020</v>
      </c>
      <c r="C1016" t="s">
        <v>1268</v>
      </c>
      <c r="D1016" t="s">
        <v>2074</v>
      </c>
      <c r="E1016" t="s">
        <v>1269</v>
      </c>
      <c r="F1016" t="s">
        <v>324</v>
      </c>
      <c r="G1016">
        <v>40026</v>
      </c>
      <c r="H1016">
        <v>38.417499999999997</v>
      </c>
      <c r="I1016">
        <v>-85.611109999999996</v>
      </c>
      <c r="K1016">
        <v>110022905588</v>
      </c>
      <c r="M1016">
        <v>4952</v>
      </c>
      <c r="R1016">
        <v>2.1310023125000002</v>
      </c>
      <c r="W1016" t="s">
        <v>2075</v>
      </c>
      <c r="X1016" t="s">
        <v>830</v>
      </c>
      <c r="Y1016">
        <v>5140101000032</v>
      </c>
      <c r="AA1016" t="s">
        <v>1465</v>
      </c>
      <c r="AB1016" t="s">
        <v>263</v>
      </c>
    </row>
    <row r="1017" spans="1:28" x14ac:dyDescent="0.25">
      <c r="A1017">
        <v>2020</v>
      </c>
      <c r="C1017" t="s">
        <v>1270</v>
      </c>
      <c r="D1017" t="s">
        <v>2076</v>
      </c>
      <c r="E1017" t="s">
        <v>1271</v>
      </c>
      <c r="F1017" t="s">
        <v>427</v>
      </c>
      <c r="G1017">
        <v>49424</v>
      </c>
      <c r="H1017">
        <v>42.813049999999997</v>
      </c>
      <c r="I1017">
        <v>-86.197429999999997</v>
      </c>
      <c r="K1017">
        <v>110006740161</v>
      </c>
      <c r="M1017">
        <v>4953</v>
      </c>
      <c r="R1017">
        <v>0.1659211525</v>
      </c>
      <c r="W1017" t="s">
        <v>2077</v>
      </c>
      <c r="X1017" t="s">
        <v>2078</v>
      </c>
      <c r="Y1017">
        <v>4050002000163</v>
      </c>
      <c r="AA1017" t="s">
        <v>1465</v>
      </c>
      <c r="AB1017" t="s">
        <v>1466</v>
      </c>
    </row>
    <row r="1018" spans="1:28" x14ac:dyDescent="0.25">
      <c r="A1018">
        <v>2020</v>
      </c>
      <c r="C1018" t="s">
        <v>1272</v>
      </c>
      <c r="D1018" t="s">
        <v>2080</v>
      </c>
      <c r="E1018" t="s">
        <v>1273</v>
      </c>
      <c r="F1018" t="s">
        <v>324</v>
      </c>
      <c r="G1018">
        <v>42303</v>
      </c>
      <c r="H1018">
        <v>37.770769999999999</v>
      </c>
      <c r="I1018">
        <v>-87.065669999999997</v>
      </c>
      <c r="K1018">
        <v>110043734983</v>
      </c>
      <c r="M1018">
        <v>4952</v>
      </c>
      <c r="R1018">
        <v>14.98954625</v>
      </c>
      <c r="W1018" t="s">
        <v>2081</v>
      </c>
      <c r="X1018" t="s">
        <v>830</v>
      </c>
      <c r="Y1018">
        <v>5140201000008</v>
      </c>
      <c r="AA1018" t="s">
        <v>1465</v>
      </c>
      <c r="AB1018" t="s">
        <v>263</v>
      </c>
    </row>
    <row r="1019" spans="1:28" x14ac:dyDescent="0.25">
      <c r="A1019">
        <v>2020</v>
      </c>
      <c r="C1019" t="s">
        <v>1274</v>
      </c>
      <c r="D1019" t="s">
        <v>2083</v>
      </c>
      <c r="E1019" t="s">
        <v>1273</v>
      </c>
      <c r="F1019" t="s">
        <v>324</v>
      </c>
      <c r="G1019">
        <v>42303</v>
      </c>
      <c r="H1019">
        <v>37.8125</v>
      </c>
      <c r="I1019">
        <v>-87.05</v>
      </c>
      <c r="J1019" t="s">
        <v>729</v>
      </c>
      <c r="K1019">
        <v>110000747835</v>
      </c>
      <c r="M1019">
        <v>2821</v>
      </c>
      <c r="R1019">
        <v>0.33934240362811702</v>
      </c>
      <c r="W1019" t="s">
        <v>2084</v>
      </c>
      <c r="X1019" t="s">
        <v>2085</v>
      </c>
      <c r="Y1019">
        <v>5140201000239</v>
      </c>
      <c r="AA1019" t="s">
        <v>1465</v>
      </c>
      <c r="AB1019" t="s">
        <v>1466</v>
      </c>
    </row>
    <row r="1020" spans="1:28" x14ac:dyDescent="0.25">
      <c r="A1020">
        <v>2020</v>
      </c>
      <c r="C1020" t="s">
        <v>1275</v>
      </c>
      <c r="D1020" t="s">
        <v>2087</v>
      </c>
      <c r="E1020" t="s">
        <v>1276</v>
      </c>
      <c r="F1020" t="s">
        <v>366</v>
      </c>
      <c r="G1020">
        <v>93033</v>
      </c>
      <c r="H1020">
        <v>34.141618999999999</v>
      </c>
      <c r="I1020">
        <v>-119.184014</v>
      </c>
      <c r="K1020">
        <v>110070097306</v>
      </c>
      <c r="M1020">
        <v>4952</v>
      </c>
      <c r="R1020">
        <v>3.4469351549999998</v>
      </c>
      <c r="W1020" t="s">
        <v>2088</v>
      </c>
      <c r="X1020" t="s">
        <v>926</v>
      </c>
      <c r="Y1020">
        <v>18070103000060</v>
      </c>
      <c r="AA1020" t="s">
        <v>1465</v>
      </c>
      <c r="AB1020" t="s">
        <v>263</v>
      </c>
    </row>
    <row r="1021" spans="1:28" x14ac:dyDescent="0.25">
      <c r="A1021">
        <v>2020</v>
      </c>
      <c r="C1021" t="s">
        <v>1277</v>
      </c>
      <c r="D1021" t="s">
        <v>2089</v>
      </c>
      <c r="E1021" t="s">
        <v>1278</v>
      </c>
      <c r="F1021" t="s">
        <v>324</v>
      </c>
      <c r="G1021">
        <v>42001</v>
      </c>
      <c r="H1021">
        <v>37.021974</v>
      </c>
      <c r="I1021">
        <v>-88.512833000000001</v>
      </c>
      <c r="K1021">
        <v>110006367136</v>
      </c>
      <c r="M1021">
        <v>4952</v>
      </c>
      <c r="R1021">
        <v>0.49734899999999999</v>
      </c>
      <c r="W1021" t="s">
        <v>2090</v>
      </c>
      <c r="X1021" t="s">
        <v>2091</v>
      </c>
      <c r="Y1021">
        <v>6040006000343</v>
      </c>
      <c r="AA1021" t="s">
        <v>1465</v>
      </c>
      <c r="AB1021" t="s">
        <v>263</v>
      </c>
    </row>
    <row r="1022" spans="1:28" x14ac:dyDescent="0.25">
      <c r="A1022">
        <v>2020</v>
      </c>
      <c r="C1022" t="s">
        <v>1285</v>
      </c>
      <c r="D1022" t="s">
        <v>2101</v>
      </c>
      <c r="E1022" t="s">
        <v>1286</v>
      </c>
      <c r="F1022" t="s">
        <v>1171</v>
      </c>
      <c r="G1022">
        <v>96818</v>
      </c>
      <c r="H1022">
        <v>21.352499999999999</v>
      </c>
      <c r="I1022">
        <v>-157.95813899999999</v>
      </c>
      <c r="K1022">
        <v>110046184516</v>
      </c>
      <c r="M1022">
        <v>3731</v>
      </c>
      <c r="R1022">
        <v>0.46971849999999998</v>
      </c>
      <c r="W1022" t="s">
        <v>2102</v>
      </c>
      <c r="X1022" t="s">
        <v>1253</v>
      </c>
      <c r="Y1022">
        <v>20060000000166</v>
      </c>
      <c r="AA1022" t="s">
        <v>1465</v>
      </c>
      <c r="AB1022" t="s">
        <v>1466</v>
      </c>
    </row>
    <row r="1023" spans="1:28" x14ac:dyDescent="0.25">
      <c r="A1023">
        <v>2020</v>
      </c>
      <c r="C1023" t="s">
        <v>180</v>
      </c>
      <c r="D1023" t="s">
        <v>596</v>
      </c>
      <c r="E1023" t="s">
        <v>597</v>
      </c>
      <c r="F1023" t="s">
        <v>338</v>
      </c>
      <c r="G1023">
        <v>8844</v>
      </c>
      <c r="H1023">
        <v>40.52516</v>
      </c>
      <c r="I1023">
        <v>-74.601039999999998</v>
      </c>
      <c r="K1023">
        <v>110070217974</v>
      </c>
      <c r="M1023">
        <v>2851</v>
      </c>
      <c r="R1023">
        <v>9.6453594059999999E-4</v>
      </c>
      <c r="W1023" t="s">
        <v>915</v>
      </c>
      <c r="X1023" t="s">
        <v>916</v>
      </c>
      <c r="Y1023">
        <v>2030105000369</v>
      </c>
      <c r="AA1023" t="s">
        <v>1465</v>
      </c>
      <c r="AB1023" t="s">
        <v>1466</v>
      </c>
    </row>
    <row r="1024" spans="1:28" x14ac:dyDescent="0.25">
      <c r="A1024">
        <v>2020</v>
      </c>
      <c r="C1024" t="s">
        <v>1288</v>
      </c>
      <c r="D1024" t="s">
        <v>2107</v>
      </c>
      <c r="E1024" t="s">
        <v>966</v>
      </c>
      <c r="F1024" t="s">
        <v>491</v>
      </c>
      <c r="G1024" t="s">
        <v>2108</v>
      </c>
      <c r="H1024">
        <v>39.901820000000001</v>
      </c>
      <c r="I1024">
        <v>-75.144549999999995</v>
      </c>
      <c r="K1024">
        <v>110000540610</v>
      </c>
      <c r="M1024">
        <v>4952</v>
      </c>
      <c r="R1024">
        <v>32.280372499999999</v>
      </c>
      <c r="W1024" t="s">
        <v>2109</v>
      </c>
      <c r="X1024" t="s">
        <v>783</v>
      </c>
      <c r="Y1024">
        <v>2040202000077</v>
      </c>
      <c r="AA1024" t="s">
        <v>1465</v>
      </c>
      <c r="AB1024" t="s">
        <v>263</v>
      </c>
    </row>
    <row r="1025" spans="1:28" x14ac:dyDescent="0.25">
      <c r="A1025">
        <v>2020</v>
      </c>
      <c r="C1025" t="s">
        <v>1289</v>
      </c>
      <c r="D1025" t="s">
        <v>2111</v>
      </c>
      <c r="E1025" t="s">
        <v>966</v>
      </c>
      <c r="F1025" t="s">
        <v>491</v>
      </c>
      <c r="G1025">
        <v>19153</v>
      </c>
      <c r="H1025">
        <v>39.886130000000001</v>
      </c>
      <c r="I1025">
        <v>-75.218249999999998</v>
      </c>
      <c r="K1025">
        <v>110000542119</v>
      </c>
      <c r="R1025">
        <v>60.762497500000002</v>
      </c>
      <c r="W1025" t="s">
        <v>2112</v>
      </c>
      <c r="X1025" t="s">
        <v>2113</v>
      </c>
      <c r="Y1025">
        <v>2040203009681</v>
      </c>
      <c r="AA1025" t="s">
        <v>1465</v>
      </c>
      <c r="AB1025" t="s">
        <v>263</v>
      </c>
    </row>
    <row r="1026" spans="1:28" x14ac:dyDescent="0.25">
      <c r="A1026">
        <v>2020</v>
      </c>
      <c r="C1026" t="s">
        <v>1290</v>
      </c>
      <c r="D1026" t="s">
        <v>2115</v>
      </c>
      <c r="E1026" t="s">
        <v>544</v>
      </c>
      <c r="F1026" t="s">
        <v>338</v>
      </c>
      <c r="G1026">
        <v>7036</v>
      </c>
      <c r="H1026">
        <v>40.636499999999998</v>
      </c>
      <c r="I1026">
        <v>-74.219899999999996</v>
      </c>
      <c r="J1026" t="s">
        <v>730</v>
      </c>
      <c r="K1026">
        <v>110041133163</v>
      </c>
      <c r="M1026">
        <v>2911</v>
      </c>
      <c r="R1026">
        <v>2.3050000000000002</v>
      </c>
      <c r="W1026" t="s">
        <v>2116</v>
      </c>
      <c r="X1026" t="s">
        <v>2117</v>
      </c>
      <c r="Y1026">
        <v>2030104000282</v>
      </c>
      <c r="AA1026" t="s">
        <v>1465</v>
      </c>
      <c r="AB1026" t="s">
        <v>1466</v>
      </c>
    </row>
    <row r="1027" spans="1:28" x14ac:dyDescent="0.25">
      <c r="A1027">
        <v>2020</v>
      </c>
      <c r="C1027" t="s">
        <v>1293</v>
      </c>
      <c r="D1027" t="s">
        <v>2122</v>
      </c>
      <c r="E1027" t="s">
        <v>1294</v>
      </c>
      <c r="F1027" t="s">
        <v>324</v>
      </c>
      <c r="G1027">
        <v>41501</v>
      </c>
      <c r="H1027">
        <v>37.491857000000003</v>
      </c>
      <c r="I1027">
        <v>-82.539703000000003</v>
      </c>
      <c r="K1027">
        <v>110006644872</v>
      </c>
      <c r="M1027">
        <v>4952</v>
      </c>
      <c r="R1027">
        <v>1.3628744125000001</v>
      </c>
      <c r="W1027" t="s">
        <v>2123</v>
      </c>
      <c r="X1027" t="s">
        <v>2124</v>
      </c>
      <c r="Y1027">
        <v>5070203000244</v>
      </c>
      <c r="AA1027" t="s">
        <v>1465</v>
      </c>
      <c r="AB1027" t="s">
        <v>263</v>
      </c>
    </row>
    <row r="1028" spans="1:28" x14ac:dyDescent="0.25">
      <c r="A1028">
        <v>2020</v>
      </c>
      <c r="C1028" t="s">
        <v>1300</v>
      </c>
      <c r="D1028" t="s">
        <v>2135</v>
      </c>
      <c r="E1028" t="s">
        <v>968</v>
      </c>
      <c r="F1028" t="s">
        <v>294</v>
      </c>
      <c r="G1028">
        <v>22301</v>
      </c>
      <c r="H1028">
        <v>38.828830000000004</v>
      </c>
      <c r="I1028">
        <v>-77.049679999999995</v>
      </c>
      <c r="K1028">
        <v>110070884091</v>
      </c>
      <c r="M1028">
        <v>1794</v>
      </c>
      <c r="R1028">
        <v>0.24077141999999899</v>
      </c>
      <c r="W1028" t="s">
        <v>2136</v>
      </c>
      <c r="X1028" t="s">
        <v>1475</v>
      </c>
      <c r="AA1028" t="s">
        <v>1465</v>
      </c>
      <c r="AB1028" t="s">
        <v>1466</v>
      </c>
    </row>
    <row r="1029" spans="1:28" x14ac:dyDescent="0.25">
      <c r="A1029">
        <v>2020</v>
      </c>
      <c r="C1029" t="s">
        <v>1300</v>
      </c>
      <c r="D1029" t="s">
        <v>2135</v>
      </c>
      <c r="E1029" t="s">
        <v>968</v>
      </c>
      <c r="F1029" t="s">
        <v>294</v>
      </c>
      <c r="G1029">
        <v>22301</v>
      </c>
      <c r="H1029">
        <v>38.828830000000004</v>
      </c>
      <c r="I1029">
        <v>-77.049679999999995</v>
      </c>
      <c r="K1029">
        <v>110070884091</v>
      </c>
      <c r="M1029">
        <v>1794</v>
      </c>
      <c r="R1029">
        <v>0.24077141999999899</v>
      </c>
      <c r="W1029" t="s">
        <v>2136</v>
      </c>
      <c r="X1029" t="s">
        <v>1475</v>
      </c>
      <c r="AA1029" t="s">
        <v>1465</v>
      </c>
      <c r="AB1029" t="s">
        <v>1466</v>
      </c>
    </row>
    <row r="1030" spans="1:28" x14ac:dyDescent="0.25">
      <c r="A1030">
        <v>2020</v>
      </c>
      <c r="C1030" t="s">
        <v>1301</v>
      </c>
      <c r="D1030" t="s">
        <v>2137</v>
      </c>
      <c r="E1030" t="s">
        <v>1302</v>
      </c>
      <c r="F1030" t="s">
        <v>345</v>
      </c>
      <c r="G1030" t="s">
        <v>2138</v>
      </c>
      <c r="H1030">
        <v>38.2774</v>
      </c>
      <c r="I1030">
        <v>-89.666899999999998</v>
      </c>
      <c r="J1030" t="s">
        <v>731</v>
      </c>
      <c r="K1030">
        <v>110044852068</v>
      </c>
      <c r="M1030">
        <v>4911</v>
      </c>
      <c r="R1030">
        <v>2.0337429524999999</v>
      </c>
      <c r="W1030" t="s">
        <v>2139</v>
      </c>
      <c r="X1030" t="s">
        <v>2140</v>
      </c>
      <c r="Y1030">
        <v>7140204002294</v>
      </c>
      <c r="AA1030" t="s">
        <v>1465</v>
      </c>
      <c r="AB1030" t="s">
        <v>1466</v>
      </c>
    </row>
    <row r="1031" spans="1:28" x14ac:dyDescent="0.25">
      <c r="A1031">
        <v>2020</v>
      </c>
      <c r="C1031" t="s">
        <v>1305</v>
      </c>
      <c r="D1031" t="s">
        <v>2144</v>
      </c>
      <c r="E1031" t="s">
        <v>293</v>
      </c>
      <c r="F1031" t="s">
        <v>294</v>
      </c>
      <c r="G1031">
        <v>22209</v>
      </c>
      <c r="H1031">
        <v>38.89546</v>
      </c>
      <c r="I1031">
        <v>-77.076479000000006</v>
      </c>
      <c r="K1031">
        <v>110070602296</v>
      </c>
      <c r="M1031">
        <v>1794</v>
      </c>
      <c r="R1031">
        <v>3.9138868199999899E-3</v>
      </c>
      <c r="W1031" t="s">
        <v>2145</v>
      </c>
      <c r="X1031" t="s">
        <v>762</v>
      </c>
      <c r="AA1031" t="s">
        <v>1465</v>
      </c>
      <c r="AB1031" t="s">
        <v>1466</v>
      </c>
    </row>
    <row r="1032" spans="1:28" x14ac:dyDescent="0.25">
      <c r="A1032">
        <v>2020</v>
      </c>
      <c r="C1032" t="s">
        <v>1306</v>
      </c>
      <c r="D1032" t="s">
        <v>2146</v>
      </c>
      <c r="E1032" t="s">
        <v>1307</v>
      </c>
      <c r="F1032" t="s">
        <v>324</v>
      </c>
      <c r="G1032">
        <v>40160</v>
      </c>
      <c r="H1032">
        <v>37.845027999999999</v>
      </c>
      <c r="I1032">
        <v>-85.940962999999996</v>
      </c>
      <c r="K1032">
        <v>110000732253</v>
      </c>
      <c r="M1032">
        <v>4952</v>
      </c>
      <c r="R1032">
        <v>8.2511580625000001</v>
      </c>
      <c r="W1032" t="s">
        <v>2147</v>
      </c>
      <c r="X1032" t="s">
        <v>2148</v>
      </c>
      <c r="Y1032">
        <v>5140102000422</v>
      </c>
      <c r="AA1032" t="s">
        <v>1465</v>
      </c>
      <c r="AB1032" t="s">
        <v>263</v>
      </c>
    </row>
    <row r="1033" spans="1:28" x14ac:dyDescent="0.25">
      <c r="A1033">
        <v>2020</v>
      </c>
      <c r="C1033" t="s">
        <v>1308</v>
      </c>
      <c r="D1033" t="s">
        <v>2149</v>
      </c>
      <c r="E1033" t="s">
        <v>657</v>
      </c>
      <c r="F1033" t="s">
        <v>418</v>
      </c>
      <c r="G1033">
        <v>89109</v>
      </c>
      <c r="H1033">
        <v>36.132570000000001</v>
      </c>
      <c r="I1033">
        <v>-115.16477</v>
      </c>
      <c r="K1033">
        <v>110041253256</v>
      </c>
      <c r="M1033">
        <v>7011</v>
      </c>
      <c r="R1033">
        <v>0.1222649625</v>
      </c>
      <c r="W1033" t="s">
        <v>2150</v>
      </c>
      <c r="X1033" t="s">
        <v>2151</v>
      </c>
      <c r="Y1033">
        <v>15010015000432</v>
      </c>
      <c r="AA1033" t="s">
        <v>1465</v>
      </c>
      <c r="AB1033" t="s">
        <v>1466</v>
      </c>
    </row>
    <row r="1034" spans="1:28" x14ac:dyDescent="0.25">
      <c r="A1034">
        <v>2020</v>
      </c>
      <c r="C1034" t="s">
        <v>1309</v>
      </c>
      <c r="D1034" t="s">
        <v>2152</v>
      </c>
      <c r="E1034" t="s">
        <v>1310</v>
      </c>
      <c r="F1034" t="s">
        <v>366</v>
      </c>
      <c r="G1034">
        <v>92316</v>
      </c>
      <c r="H1034">
        <v>34.055900000000001</v>
      </c>
      <c r="I1034">
        <v>-117.36134</v>
      </c>
      <c r="K1034">
        <v>110000525842</v>
      </c>
      <c r="M1034">
        <v>4952</v>
      </c>
      <c r="R1034">
        <v>2.38767924875</v>
      </c>
      <c r="W1034" t="s">
        <v>2153</v>
      </c>
      <c r="X1034" t="s">
        <v>2154</v>
      </c>
      <c r="Y1034">
        <v>18070203002243</v>
      </c>
      <c r="AA1034" t="s">
        <v>1465</v>
      </c>
      <c r="AB1034" t="s">
        <v>263</v>
      </c>
    </row>
    <row r="1035" spans="1:28" x14ac:dyDescent="0.25">
      <c r="A1035">
        <v>2020</v>
      </c>
      <c r="C1035" t="s">
        <v>1311</v>
      </c>
      <c r="D1035" t="s">
        <v>2155</v>
      </c>
      <c r="E1035" t="s">
        <v>1312</v>
      </c>
      <c r="F1035" t="s">
        <v>506</v>
      </c>
      <c r="G1035">
        <v>21157</v>
      </c>
      <c r="H1035">
        <v>39.567390000000003</v>
      </c>
      <c r="I1035">
        <v>-76.920410000000004</v>
      </c>
      <c r="K1035">
        <v>110041245015</v>
      </c>
      <c r="R1035">
        <v>7.5638493749999899E-4</v>
      </c>
      <c r="W1035" t="s">
        <v>2156</v>
      </c>
      <c r="Y1035">
        <v>2060003000267</v>
      </c>
      <c r="AA1035" t="s">
        <v>1465</v>
      </c>
      <c r="AB1035" t="s">
        <v>1466</v>
      </c>
    </row>
    <row r="1036" spans="1:28" x14ac:dyDescent="0.25">
      <c r="A1036">
        <v>2020</v>
      </c>
      <c r="C1036" t="s">
        <v>1311</v>
      </c>
      <c r="D1036" t="s">
        <v>2155</v>
      </c>
      <c r="E1036" t="s">
        <v>1312</v>
      </c>
      <c r="F1036" t="s">
        <v>506</v>
      </c>
      <c r="G1036">
        <v>21157</v>
      </c>
      <c r="H1036">
        <v>39.567390000000003</v>
      </c>
      <c r="I1036">
        <v>-76.920410000000004</v>
      </c>
      <c r="K1036">
        <v>110041245015</v>
      </c>
      <c r="R1036">
        <v>7.5638493749999899E-4</v>
      </c>
      <c r="W1036" t="s">
        <v>2156</v>
      </c>
      <c r="Y1036">
        <v>2060003000267</v>
      </c>
      <c r="AA1036" t="s">
        <v>1465</v>
      </c>
      <c r="AB1036" t="s">
        <v>1466</v>
      </c>
    </row>
    <row r="1037" spans="1:28" x14ac:dyDescent="0.25">
      <c r="A1037">
        <v>2020</v>
      </c>
      <c r="C1037" t="s">
        <v>1315</v>
      </c>
      <c r="D1037" t="s">
        <v>2160</v>
      </c>
      <c r="E1037" t="s">
        <v>1316</v>
      </c>
      <c r="F1037" t="s">
        <v>294</v>
      </c>
      <c r="G1037">
        <v>22801</v>
      </c>
      <c r="H1037">
        <v>38.400409000000003</v>
      </c>
      <c r="I1037">
        <v>-78.895222000000004</v>
      </c>
      <c r="K1037">
        <v>110070544905</v>
      </c>
      <c r="M1037">
        <v>4953</v>
      </c>
      <c r="R1037">
        <v>4.0296476006499903E-2</v>
      </c>
      <c r="W1037" t="s">
        <v>2161</v>
      </c>
      <c r="X1037" t="s">
        <v>2162</v>
      </c>
      <c r="AA1037" t="s">
        <v>1465</v>
      </c>
      <c r="AB1037" t="s">
        <v>1466</v>
      </c>
    </row>
    <row r="1038" spans="1:28" x14ac:dyDescent="0.25">
      <c r="A1038">
        <v>2020</v>
      </c>
      <c r="C1038" t="s">
        <v>1317</v>
      </c>
      <c r="D1038" t="s">
        <v>2163</v>
      </c>
      <c r="E1038" t="s">
        <v>1318</v>
      </c>
      <c r="F1038" t="s">
        <v>491</v>
      </c>
      <c r="G1038">
        <v>19021</v>
      </c>
      <c r="H1038">
        <v>40.095258000000001</v>
      </c>
      <c r="I1038">
        <v>-74.877359999999996</v>
      </c>
      <c r="K1038">
        <v>110064634686</v>
      </c>
      <c r="M1038">
        <v>2821</v>
      </c>
      <c r="R1038">
        <v>0.33598639455782298</v>
      </c>
      <c r="W1038" t="s">
        <v>2164</v>
      </c>
      <c r="X1038" t="s">
        <v>2165</v>
      </c>
      <c r="Y1038">
        <v>2040201000476</v>
      </c>
      <c r="AA1038" t="s">
        <v>1465</v>
      </c>
      <c r="AB1038" t="s">
        <v>1466</v>
      </c>
    </row>
    <row r="1039" spans="1:28" x14ac:dyDescent="0.25">
      <c r="A1039">
        <v>2020</v>
      </c>
      <c r="C1039" t="s">
        <v>1319</v>
      </c>
      <c r="D1039" t="s">
        <v>2167</v>
      </c>
      <c r="E1039" t="s">
        <v>1320</v>
      </c>
      <c r="F1039" t="s">
        <v>324</v>
      </c>
      <c r="G1039">
        <v>42629</v>
      </c>
      <c r="H1039">
        <v>36.946111000000002</v>
      </c>
      <c r="I1039">
        <v>-85.020832999999996</v>
      </c>
      <c r="K1039">
        <v>110000719045</v>
      </c>
      <c r="M1039">
        <v>4952</v>
      </c>
      <c r="R1039">
        <v>0.5353409375</v>
      </c>
      <c r="W1039" t="s">
        <v>2168</v>
      </c>
      <c r="X1039" t="s">
        <v>2169</v>
      </c>
      <c r="Y1039">
        <v>5130103010237</v>
      </c>
      <c r="AA1039" t="s">
        <v>1465</v>
      </c>
      <c r="AB1039" t="s">
        <v>263</v>
      </c>
    </row>
    <row r="1040" spans="1:28" x14ac:dyDescent="0.25">
      <c r="A1040">
        <v>2020</v>
      </c>
      <c r="C1040" t="s">
        <v>1321</v>
      </c>
      <c r="D1040" t="s">
        <v>2171</v>
      </c>
      <c r="E1040" t="s">
        <v>626</v>
      </c>
      <c r="F1040" t="s">
        <v>324</v>
      </c>
      <c r="G1040">
        <v>42276</v>
      </c>
      <c r="H1040">
        <v>36.856732000000001</v>
      </c>
      <c r="I1040">
        <v>-86.889048000000003</v>
      </c>
      <c r="K1040">
        <v>110000736730</v>
      </c>
      <c r="M1040">
        <v>4952</v>
      </c>
      <c r="R1040">
        <v>0.6762564875</v>
      </c>
      <c r="W1040" t="s">
        <v>2172</v>
      </c>
      <c r="X1040" t="s">
        <v>1760</v>
      </c>
      <c r="Y1040">
        <v>5110003000994</v>
      </c>
      <c r="AA1040" t="s">
        <v>1465</v>
      </c>
      <c r="AB1040" t="s">
        <v>263</v>
      </c>
    </row>
    <row r="1041" spans="1:28" x14ac:dyDescent="0.25">
      <c r="A1041">
        <v>2020</v>
      </c>
      <c r="C1041" t="s">
        <v>1322</v>
      </c>
      <c r="D1041" t="s">
        <v>2173</v>
      </c>
      <c r="E1041" t="s">
        <v>1273</v>
      </c>
      <c r="F1041" t="s">
        <v>324</v>
      </c>
      <c r="G1041">
        <v>42301</v>
      </c>
      <c r="H1041">
        <v>37.790278000000001</v>
      </c>
      <c r="I1041">
        <v>-87.140277999999995</v>
      </c>
      <c r="K1041">
        <v>110039998214</v>
      </c>
      <c r="M1041">
        <v>4952</v>
      </c>
      <c r="R1041">
        <v>24.977972000000001</v>
      </c>
      <c r="W1041" t="s">
        <v>2174</v>
      </c>
      <c r="X1041" t="s">
        <v>830</v>
      </c>
      <c r="Y1041">
        <v>5140201000008</v>
      </c>
      <c r="AA1041" t="s">
        <v>1465</v>
      </c>
      <c r="AB1041" t="s">
        <v>263</v>
      </c>
    </row>
    <row r="1042" spans="1:28" x14ac:dyDescent="0.25">
      <c r="A1042">
        <v>2020</v>
      </c>
      <c r="C1042" t="s">
        <v>1323</v>
      </c>
      <c r="D1042" t="s">
        <v>2175</v>
      </c>
      <c r="E1042" t="s">
        <v>1324</v>
      </c>
      <c r="F1042" t="s">
        <v>450</v>
      </c>
      <c r="G1042">
        <v>12158</v>
      </c>
      <c r="H1042">
        <v>42.574556000000001</v>
      </c>
      <c r="I1042">
        <v>-73.851360999999997</v>
      </c>
      <c r="K1042">
        <v>110000324391</v>
      </c>
      <c r="M1042">
        <v>2821</v>
      </c>
      <c r="R1042">
        <v>0.82766439909296996</v>
      </c>
      <c r="W1042" t="s">
        <v>2176</v>
      </c>
      <c r="X1042" t="s">
        <v>2177</v>
      </c>
      <c r="Y1042">
        <v>2020006000238</v>
      </c>
      <c r="AA1042" t="s">
        <v>1465</v>
      </c>
      <c r="AB1042" t="s">
        <v>1466</v>
      </c>
    </row>
    <row r="1043" spans="1:28" x14ac:dyDescent="0.25">
      <c r="A1043">
        <v>2020</v>
      </c>
      <c r="C1043" t="s">
        <v>1323</v>
      </c>
      <c r="D1043" t="s">
        <v>2175</v>
      </c>
      <c r="E1043" t="s">
        <v>1324</v>
      </c>
      <c r="F1043" t="s">
        <v>450</v>
      </c>
      <c r="G1043">
        <v>12158</v>
      </c>
      <c r="H1043">
        <v>42.574556000000001</v>
      </c>
      <c r="I1043">
        <v>-73.851360999999997</v>
      </c>
      <c r="K1043">
        <v>110000324391</v>
      </c>
      <c r="M1043">
        <v>2821</v>
      </c>
      <c r="R1043">
        <v>0.20657596371882</v>
      </c>
      <c r="W1043" t="s">
        <v>2176</v>
      </c>
      <c r="X1043" t="s">
        <v>2177</v>
      </c>
      <c r="Y1043">
        <v>2020006000238</v>
      </c>
      <c r="AA1043" t="s">
        <v>1465</v>
      </c>
      <c r="AB1043" t="s">
        <v>1466</v>
      </c>
    </row>
    <row r="1044" spans="1:28" x14ac:dyDescent="0.25">
      <c r="A1044">
        <v>2020</v>
      </c>
      <c r="C1044" t="s">
        <v>1325</v>
      </c>
      <c r="D1044" t="s">
        <v>2179</v>
      </c>
      <c r="E1044" t="s">
        <v>1326</v>
      </c>
      <c r="F1044" t="s">
        <v>469</v>
      </c>
      <c r="G1044">
        <v>47620</v>
      </c>
      <c r="H1044">
        <v>37.907200000000003</v>
      </c>
      <c r="I1044">
        <v>-87.927099999999996</v>
      </c>
      <c r="J1044" t="s">
        <v>732</v>
      </c>
      <c r="K1044">
        <v>110000403670</v>
      </c>
      <c r="M1044">
        <v>2821</v>
      </c>
      <c r="R1044">
        <v>7.5102040816326499</v>
      </c>
      <c r="W1044" t="s">
        <v>2180</v>
      </c>
      <c r="X1044" t="s">
        <v>830</v>
      </c>
      <c r="Y1044">
        <v>5140202000333</v>
      </c>
      <c r="AA1044" t="s">
        <v>1465</v>
      </c>
      <c r="AB1044" t="s">
        <v>1466</v>
      </c>
    </row>
    <row r="1045" spans="1:28" x14ac:dyDescent="0.25">
      <c r="A1045">
        <v>2020</v>
      </c>
      <c r="C1045" t="s">
        <v>1331</v>
      </c>
      <c r="D1045" t="s">
        <v>2186</v>
      </c>
      <c r="E1045" t="s">
        <v>1286</v>
      </c>
      <c r="F1045" t="s">
        <v>1171</v>
      </c>
      <c r="G1045" t="s">
        <v>2187</v>
      </c>
      <c r="H1045">
        <v>21.304500000000001</v>
      </c>
      <c r="I1045">
        <v>-157.88205600000001</v>
      </c>
      <c r="K1045">
        <v>110005726802</v>
      </c>
      <c r="M1045">
        <v>4952</v>
      </c>
      <c r="R1045">
        <v>10.63046016</v>
      </c>
      <c r="W1045" t="s">
        <v>2188</v>
      </c>
      <c r="X1045" t="s">
        <v>926</v>
      </c>
      <c r="Y1045">
        <v>20060000003277</v>
      </c>
      <c r="AA1045" t="s">
        <v>1465</v>
      </c>
      <c r="AB1045" t="s">
        <v>263</v>
      </c>
    </row>
    <row r="1046" spans="1:28" x14ac:dyDescent="0.25">
      <c r="A1046">
        <v>2020</v>
      </c>
      <c r="C1046" t="s">
        <v>1332</v>
      </c>
      <c r="D1046" t="s">
        <v>2189</v>
      </c>
      <c r="E1046" t="s">
        <v>1333</v>
      </c>
      <c r="F1046" t="s">
        <v>491</v>
      </c>
      <c r="G1046">
        <v>18370</v>
      </c>
      <c r="H1046">
        <v>41.094749999999998</v>
      </c>
      <c r="I1046">
        <v>-75.326319999999996</v>
      </c>
      <c r="J1046" t="s">
        <v>733</v>
      </c>
      <c r="K1046">
        <v>110006522735</v>
      </c>
      <c r="M1046">
        <v>2834</v>
      </c>
      <c r="R1046">
        <v>4.5632653061224403E-2</v>
      </c>
      <c r="W1046" t="s">
        <v>2190</v>
      </c>
      <c r="X1046" t="s">
        <v>2191</v>
      </c>
      <c r="Y1046">
        <v>2040104000718</v>
      </c>
      <c r="AA1046" t="s">
        <v>1465</v>
      </c>
      <c r="AB1046" t="s">
        <v>1466</v>
      </c>
    </row>
    <row r="1047" spans="1:28" x14ac:dyDescent="0.25">
      <c r="A1047">
        <v>2020</v>
      </c>
      <c r="C1047" t="s">
        <v>1334</v>
      </c>
      <c r="D1047" t="s">
        <v>2193</v>
      </c>
      <c r="E1047" t="s">
        <v>1335</v>
      </c>
      <c r="F1047" t="s">
        <v>366</v>
      </c>
      <c r="G1047" t="s">
        <v>2194</v>
      </c>
      <c r="H1047">
        <v>36.963245999999998</v>
      </c>
      <c r="I1047">
        <v>-122.034009</v>
      </c>
      <c r="K1047">
        <v>110013848453</v>
      </c>
      <c r="M1047">
        <v>4952</v>
      </c>
      <c r="R1047">
        <v>8.1874920914999996E-2</v>
      </c>
      <c r="W1047" t="s">
        <v>2195</v>
      </c>
      <c r="X1047" t="s">
        <v>2196</v>
      </c>
      <c r="Y1047">
        <v>18060015000054</v>
      </c>
      <c r="AA1047" t="s">
        <v>1465</v>
      </c>
      <c r="AB1047" t="s">
        <v>263</v>
      </c>
    </row>
    <row r="1048" spans="1:28" x14ac:dyDescent="0.25">
      <c r="A1048">
        <v>2020</v>
      </c>
      <c r="C1048" t="s">
        <v>1338</v>
      </c>
      <c r="D1048" t="s">
        <v>2201</v>
      </c>
      <c r="E1048" t="s">
        <v>1339</v>
      </c>
      <c r="F1048" t="s">
        <v>491</v>
      </c>
      <c r="G1048" t="s">
        <v>2202</v>
      </c>
      <c r="H1048">
        <v>41.452778000000002</v>
      </c>
      <c r="I1048">
        <v>-79.690278000000006</v>
      </c>
      <c r="J1048" t="s">
        <v>734</v>
      </c>
      <c r="K1048">
        <v>110008476327</v>
      </c>
      <c r="M1048">
        <v>2865</v>
      </c>
      <c r="R1048">
        <v>3.3106575963718801E-3</v>
      </c>
      <c r="W1048" t="s">
        <v>2203</v>
      </c>
      <c r="X1048" t="s">
        <v>2204</v>
      </c>
      <c r="Y1048">
        <v>5010003001287</v>
      </c>
      <c r="AA1048" t="s">
        <v>1465</v>
      </c>
      <c r="AB1048" t="s">
        <v>1466</v>
      </c>
    </row>
    <row r="1049" spans="1:28" x14ac:dyDescent="0.25">
      <c r="A1049">
        <v>2020</v>
      </c>
      <c r="C1049" t="s">
        <v>1340</v>
      </c>
      <c r="D1049" t="s">
        <v>2206</v>
      </c>
      <c r="E1049" t="s">
        <v>1341</v>
      </c>
      <c r="F1049" t="s">
        <v>338</v>
      </c>
      <c r="G1049">
        <v>7041</v>
      </c>
      <c r="H1049">
        <v>40.723140000000001</v>
      </c>
      <c r="I1049">
        <v>-74.310130000000001</v>
      </c>
      <c r="K1049">
        <v>110070218704</v>
      </c>
      <c r="R1049">
        <v>1.67876104999999E-4</v>
      </c>
      <c r="W1049" t="s">
        <v>2207</v>
      </c>
      <c r="X1049" t="s">
        <v>2208</v>
      </c>
      <c r="Y1049">
        <v>2030104000062</v>
      </c>
      <c r="AA1049" t="s">
        <v>1465</v>
      </c>
      <c r="AB1049" t="s">
        <v>1466</v>
      </c>
    </row>
    <row r="1050" spans="1:28" x14ac:dyDescent="0.25">
      <c r="A1050">
        <v>2020</v>
      </c>
      <c r="C1050" t="s">
        <v>1346</v>
      </c>
      <c r="D1050" t="s">
        <v>2213</v>
      </c>
      <c r="E1050" t="s">
        <v>1347</v>
      </c>
      <c r="F1050" t="s">
        <v>324</v>
      </c>
      <c r="G1050">
        <v>40165</v>
      </c>
      <c r="H1050">
        <v>37.985444000000001</v>
      </c>
      <c r="I1050">
        <v>-85.720056</v>
      </c>
      <c r="K1050">
        <v>110020941383</v>
      </c>
      <c r="M1050">
        <v>4952</v>
      </c>
      <c r="R1050">
        <v>1.58875375</v>
      </c>
      <c r="W1050" t="s">
        <v>2214</v>
      </c>
      <c r="X1050" t="s">
        <v>2215</v>
      </c>
      <c r="Y1050">
        <v>5140102000052</v>
      </c>
      <c r="AA1050" t="s">
        <v>1465</v>
      </c>
      <c r="AB1050" t="s">
        <v>263</v>
      </c>
    </row>
    <row r="1051" spans="1:28" x14ac:dyDescent="0.25">
      <c r="A1051">
        <v>2020</v>
      </c>
      <c r="C1051" t="s">
        <v>190</v>
      </c>
      <c r="D1051" t="s">
        <v>622</v>
      </c>
      <c r="E1051" t="s">
        <v>623</v>
      </c>
      <c r="F1051" t="s">
        <v>338</v>
      </c>
      <c r="G1051">
        <v>8086</v>
      </c>
      <c r="H1051">
        <v>39.845474000000003</v>
      </c>
      <c r="I1051">
        <v>-75.209485999999998</v>
      </c>
      <c r="J1051" t="s">
        <v>624</v>
      </c>
      <c r="K1051">
        <v>110013317614</v>
      </c>
      <c r="M1051">
        <v>2821</v>
      </c>
      <c r="R1051">
        <v>1.5654999999999999E-2</v>
      </c>
      <c r="W1051" t="s">
        <v>934</v>
      </c>
      <c r="X1051" t="s">
        <v>935</v>
      </c>
      <c r="Y1051">
        <v>2040202001763</v>
      </c>
      <c r="AA1051" t="s">
        <v>1465</v>
      </c>
      <c r="AB1051" t="s">
        <v>1466</v>
      </c>
    </row>
    <row r="1052" spans="1:28" x14ac:dyDescent="0.25">
      <c r="A1052">
        <v>2020</v>
      </c>
      <c r="C1052" t="s">
        <v>1353</v>
      </c>
      <c r="D1052" t="s">
        <v>2225</v>
      </c>
      <c r="E1052" t="s">
        <v>612</v>
      </c>
      <c r="F1052" t="s">
        <v>366</v>
      </c>
      <c r="G1052" t="s">
        <v>2226</v>
      </c>
      <c r="H1052">
        <v>32.544722</v>
      </c>
      <c r="I1052">
        <v>-117.068056</v>
      </c>
      <c r="K1052">
        <v>110002912750</v>
      </c>
      <c r="M1052">
        <v>4952</v>
      </c>
      <c r="R1052">
        <v>4.55555555555555</v>
      </c>
      <c r="W1052" t="s">
        <v>2227</v>
      </c>
      <c r="X1052" t="s">
        <v>926</v>
      </c>
      <c r="Y1052">
        <v>18070304005658</v>
      </c>
      <c r="AA1052" t="s">
        <v>1465</v>
      </c>
      <c r="AB1052" t="s">
        <v>1466</v>
      </c>
    </row>
    <row r="1053" spans="1:28" x14ac:dyDescent="0.25">
      <c r="A1053">
        <v>2020</v>
      </c>
      <c r="C1053" t="s">
        <v>1354</v>
      </c>
      <c r="D1053" t="s">
        <v>2228</v>
      </c>
      <c r="E1053" t="s">
        <v>1355</v>
      </c>
      <c r="F1053" t="s">
        <v>366</v>
      </c>
      <c r="G1053" t="s">
        <v>2229</v>
      </c>
      <c r="H1053">
        <v>35.102089999999997</v>
      </c>
      <c r="I1053">
        <v>-120.62509</v>
      </c>
      <c r="K1053">
        <v>110000730629</v>
      </c>
      <c r="M1053">
        <v>4952</v>
      </c>
      <c r="R1053">
        <v>0.14401360544217601</v>
      </c>
      <c r="W1053" t="s">
        <v>2230</v>
      </c>
      <c r="X1053" t="s">
        <v>926</v>
      </c>
      <c r="Y1053">
        <v>18060006000024</v>
      </c>
      <c r="AA1053" t="s">
        <v>1465</v>
      </c>
      <c r="AB1053" t="s">
        <v>263</v>
      </c>
    </row>
    <row r="1054" spans="1:28" x14ac:dyDescent="0.25">
      <c r="A1054">
        <v>2020</v>
      </c>
      <c r="C1054" t="s">
        <v>1362</v>
      </c>
      <c r="D1054" t="s">
        <v>2240</v>
      </c>
      <c r="E1054" t="s">
        <v>1282</v>
      </c>
      <c r="F1054" t="s">
        <v>366</v>
      </c>
      <c r="G1054">
        <v>92029</v>
      </c>
      <c r="H1054">
        <v>33.115580000000001</v>
      </c>
      <c r="I1054">
        <v>-117.1194</v>
      </c>
      <c r="K1054">
        <v>110045515180</v>
      </c>
      <c r="M1054">
        <v>2082</v>
      </c>
      <c r="R1054">
        <v>9.4448979591836707E-3</v>
      </c>
      <c r="W1054" t="s">
        <v>2241</v>
      </c>
      <c r="X1054" t="s">
        <v>926</v>
      </c>
      <c r="Y1054">
        <v>18070303000010</v>
      </c>
      <c r="AA1054" t="s">
        <v>1465</v>
      </c>
      <c r="AB1054" t="s">
        <v>1466</v>
      </c>
    </row>
    <row r="1055" spans="1:28" x14ac:dyDescent="0.25">
      <c r="A1055">
        <v>2020</v>
      </c>
      <c r="C1055" t="s">
        <v>1363</v>
      </c>
      <c r="D1055" t="s">
        <v>2242</v>
      </c>
      <c r="E1055" t="s">
        <v>1364</v>
      </c>
      <c r="F1055" t="s">
        <v>303</v>
      </c>
      <c r="G1055">
        <v>70776</v>
      </c>
      <c r="H1055">
        <v>30.241299999999999</v>
      </c>
      <c r="I1055">
        <v>-91.100899999999996</v>
      </c>
      <c r="J1055" t="s">
        <v>735</v>
      </c>
      <c r="K1055">
        <v>110000597426</v>
      </c>
      <c r="M1055">
        <v>2819</v>
      </c>
      <c r="R1055">
        <v>0.82766439909296996</v>
      </c>
      <c r="W1055" t="s">
        <v>2243</v>
      </c>
      <c r="X1055">
        <v>402</v>
      </c>
      <c r="Y1055">
        <v>8070202002351</v>
      </c>
      <c r="AA1055" t="s">
        <v>1465</v>
      </c>
      <c r="AB1055" t="s">
        <v>1466</v>
      </c>
    </row>
    <row r="1056" spans="1:28" x14ac:dyDescent="0.25">
      <c r="A1056">
        <v>2020</v>
      </c>
      <c r="C1056" t="s">
        <v>1367</v>
      </c>
      <c r="D1056" t="s">
        <v>2251</v>
      </c>
      <c r="E1056" t="s">
        <v>1364</v>
      </c>
      <c r="F1056" t="s">
        <v>303</v>
      </c>
      <c r="G1056">
        <v>70776</v>
      </c>
      <c r="H1056">
        <v>30.250833</v>
      </c>
      <c r="I1056">
        <v>-91.092277999999993</v>
      </c>
      <c r="J1056" t="s">
        <v>736</v>
      </c>
      <c r="K1056">
        <v>110056972432</v>
      </c>
      <c r="M1056">
        <v>2869</v>
      </c>
      <c r="R1056">
        <v>0.41383219954648498</v>
      </c>
      <c r="W1056" t="s">
        <v>2252</v>
      </c>
      <c r="Y1056">
        <v>8070202000842</v>
      </c>
      <c r="AA1056" t="s">
        <v>1465</v>
      </c>
      <c r="AB1056" t="s">
        <v>1466</v>
      </c>
    </row>
    <row r="1057" spans="1:28" x14ac:dyDescent="0.25">
      <c r="A1057">
        <v>2020</v>
      </c>
      <c r="C1057" t="s">
        <v>1368</v>
      </c>
      <c r="D1057" t="s">
        <v>2253</v>
      </c>
      <c r="E1057" t="s">
        <v>657</v>
      </c>
      <c r="F1057" t="s">
        <v>418</v>
      </c>
      <c r="G1057">
        <v>89119</v>
      </c>
      <c r="H1057">
        <v>36.074100000000001</v>
      </c>
      <c r="I1057">
        <v>-115.17274</v>
      </c>
      <c r="K1057">
        <v>110041903223</v>
      </c>
      <c r="M1057">
        <v>5541</v>
      </c>
      <c r="R1057">
        <v>1.8132515625E-3</v>
      </c>
      <c r="W1057" t="s">
        <v>2254</v>
      </c>
      <c r="X1057" t="s">
        <v>2255</v>
      </c>
      <c r="Y1057">
        <v>15010015000141</v>
      </c>
      <c r="AA1057" t="s">
        <v>1465</v>
      </c>
      <c r="AB1057" t="s">
        <v>1466</v>
      </c>
    </row>
    <row r="1058" spans="1:28" x14ac:dyDescent="0.25">
      <c r="A1058">
        <v>2020</v>
      </c>
      <c r="C1058" t="s">
        <v>1369</v>
      </c>
      <c r="D1058" t="s">
        <v>2256</v>
      </c>
      <c r="E1058" t="s">
        <v>1370</v>
      </c>
      <c r="F1058" t="s">
        <v>308</v>
      </c>
      <c r="G1058">
        <v>2048</v>
      </c>
      <c r="H1058">
        <v>42.020510000000002</v>
      </c>
      <c r="I1058">
        <v>-71.267250000000004</v>
      </c>
      <c r="K1058">
        <v>110070602569</v>
      </c>
      <c r="R1058">
        <v>1.9756942999999999E-2</v>
      </c>
      <c r="W1058" t="s">
        <v>2257</v>
      </c>
      <c r="X1058" t="s">
        <v>2258</v>
      </c>
      <c r="AA1058" t="s">
        <v>1465</v>
      </c>
      <c r="AB1058" t="s">
        <v>1466</v>
      </c>
    </row>
    <row r="1059" spans="1:28" x14ac:dyDescent="0.25">
      <c r="A1059">
        <v>2020</v>
      </c>
      <c r="C1059" t="s">
        <v>1373</v>
      </c>
      <c r="D1059" t="s">
        <v>2262</v>
      </c>
      <c r="E1059" t="s">
        <v>657</v>
      </c>
      <c r="F1059" t="s">
        <v>418</v>
      </c>
      <c r="G1059">
        <v>89103</v>
      </c>
      <c r="H1059">
        <v>36.108890000000002</v>
      </c>
      <c r="I1059">
        <v>-115.18118</v>
      </c>
      <c r="K1059">
        <v>110059861065</v>
      </c>
      <c r="M1059">
        <v>6531</v>
      </c>
      <c r="R1059">
        <v>7.7365400000000003E-4</v>
      </c>
      <c r="W1059" t="s">
        <v>2263</v>
      </c>
      <c r="X1059" t="s">
        <v>1893</v>
      </c>
      <c r="Y1059">
        <v>15010015000432</v>
      </c>
      <c r="AA1059" t="s">
        <v>1465</v>
      </c>
      <c r="AB1059" t="s">
        <v>1466</v>
      </c>
    </row>
    <row r="1060" spans="1:28" x14ac:dyDescent="0.25">
      <c r="A1060">
        <v>2020</v>
      </c>
      <c r="C1060" t="s">
        <v>1373</v>
      </c>
      <c r="D1060" t="s">
        <v>2262</v>
      </c>
      <c r="E1060" t="s">
        <v>657</v>
      </c>
      <c r="F1060" t="s">
        <v>418</v>
      </c>
      <c r="G1060">
        <v>89103</v>
      </c>
      <c r="H1060">
        <v>36.108890000000002</v>
      </c>
      <c r="I1060">
        <v>-115.18118</v>
      </c>
      <c r="K1060">
        <v>110059861065</v>
      </c>
      <c r="M1060">
        <v>6531</v>
      </c>
      <c r="R1060">
        <v>7.0803156250000005E-4</v>
      </c>
      <c r="W1060" t="s">
        <v>2263</v>
      </c>
      <c r="X1060" t="s">
        <v>1893</v>
      </c>
      <c r="Y1060">
        <v>15010015000432</v>
      </c>
      <c r="AA1060" t="s">
        <v>1465</v>
      </c>
      <c r="AB1060" t="s">
        <v>1466</v>
      </c>
    </row>
    <row r="1061" spans="1:28" x14ac:dyDescent="0.25">
      <c r="A1061">
        <v>2020</v>
      </c>
      <c r="C1061" t="s">
        <v>1374</v>
      </c>
      <c r="D1061" t="s">
        <v>2264</v>
      </c>
      <c r="E1061" t="s">
        <v>293</v>
      </c>
      <c r="F1061" t="s">
        <v>294</v>
      </c>
      <c r="G1061">
        <v>222031606</v>
      </c>
      <c r="H1061">
        <v>38.88223</v>
      </c>
      <c r="I1061">
        <v>-77.112300000000005</v>
      </c>
      <c r="K1061">
        <v>110010844426</v>
      </c>
      <c r="M1061">
        <v>4959</v>
      </c>
      <c r="R1061">
        <v>8.2548957500000006E-5</v>
      </c>
      <c r="W1061" t="s">
        <v>2265</v>
      </c>
      <c r="X1061" t="s">
        <v>2266</v>
      </c>
      <c r="Y1061">
        <v>2070010001022</v>
      </c>
      <c r="AA1061" t="s">
        <v>1465</v>
      </c>
      <c r="AB1061" t="s">
        <v>1466</v>
      </c>
    </row>
    <row r="1062" spans="1:28" x14ac:dyDescent="0.25">
      <c r="A1062">
        <v>2020</v>
      </c>
      <c r="C1062" t="s">
        <v>1375</v>
      </c>
      <c r="D1062" t="s">
        <v>2268</v>
      </c>
      <c r="E1062" t="s">
        <v>657</v>
      </c>
      <c r="F1062" t="s">
        <v>418</v>
      </c>
      <c r="G1062">
        <v>89109</v>
      </c>
      <c r="H1062">
        <v>36.137529999999998</v>
      </c>
      <c r="I1062">
        <v>-115.15479000000001</v>
      </c>
      <c r="K1062">
        <v>110020039402</v>
      </c>
      <c r="M1062">
        <v>7011</v>
      </c>
      <c r="R1062">
        <v>2.0058607499999901E-8</v>
      </c>
      <c r="W1062" t="s">
        <v>2269</v>
      </c>
      <c r="X1062" t="s">
        <v>2270</v>
      </c>
      <c r="Y1062">
        <v>15010015000432</v>
      </c>
      <c r="AA1062" t="s">
        <v>1465</v>
      </c>
      <c r="AB1062" t="s">
        <v>1466</v>
      </c>
    </row>
    <row r="1063" spans="1:28" x14ac:dyDescent="0.25">
      <c r="A1063">
        <v>2020</v>
      </c>
      <c r="C1063" t="s">
        <v>1378</v>
      </c>
      <c r="D1063" t="s">
        <v>2274</v>
      </c>
      <c r="E1063" t="s">
        <v>474</v>
      </c>
      <c r="F1063" t="s">
        <v>338</v>
      </c>
      <c r="G1063">
        <v>7470</v>
      </c>
      <c r="H1063">
        <v>40.936109999999999</v>
      </c>
      <c r="I1063">
        <v>-74.273809999999997</v>
      </c>
      <c r="K1063">
        <v>110070212009</v>
      </c>
      <c r="R1063">
        <v>7.7118018077499903E-4</v>
      </c>
      <c r="W1063" t="s">
        <v>2275</v>
      </c>
      <c r="X1063" t="s">
        <v>2276</v>
      </c>
      <c r="Y1063">
        <v>2030103000052</v>
      </c>
      <c r="AA1063" t="s">
        <v>1465</v>
      </c>
      <c r="AB1063" t="s">
        <v>1466</v>
      </c>
    </row>
    <row r="1064" spans="1:28" x14ac:dyDescent="0.25">
      <c r="A1064">
        <v>2020</v>
      </c>
      <c r="C1064" t="s">
        <v>1383</v>
      </c>
      <c r="D1064" t="s">
        <v>2282</v>
      </c>
      <c r="E1064" t="s">
        <v>516</v>
      </c>
      <c r="F1064" t="s">
        <v>303</v>
      </c>
      <c r="G1064">
        <v>707340000</v>
      </c>
      <c r="H1064">
        <v>30.233011999999999</v>
      </c>
      <c r="I1064">
        <v>-91.022057000000004</v>
      </c>
      <c r="K1064">
        <v>110000911309</v>
      </c>
      <c r="M1064">
        <v>4789</v>
      </c>
      <c r="R1064">
        <v>2.3930662500000002E-2</v>
      </c>
      <c r="W1064" t="s">
        <v>2283</v>
      </c>
      <c r="X1064" t="s">
        <v>795</v>
      </c>
      <c r="Y1064">
        <v>8070204000034</v>
      </c>
      <c r="AA1064" t="s">
        <v>1465</v>
      </c>
      <c r="AB1064" t="s">
        <v>1466</v>
      </c>
    </row>
    <row r="1065" spans="1:28" x14ac:dyDescent="0.25">
      <c r="A1065">
        <v>2020</v>
      </c>
      <c r="C1065" t="s">
        <v>196</v>
      </c>
      <c r="D1065" t="s">
        <v>650</v>
      </c>
      <c r="E1065" t="s">
        <v>651</v>
      </c>
      <c r="F1065" t="s">
        <v>418</v>
      </c>
      <c r="G1065">
        <v>89015</v>
      </c>
      <c r="H1065">
        <v>36.035440000000001</v>
      </c>
      <c r="I1065">
        <v>-114.99994</v>
      </c>
      <c r="J1065" t="s">
        <v>652</v>
      </c>
      <c r="K1065">
        <v>110043808467</v>
      </c>
      <c r="M1065">
        <v>1799</v>
      </c>
      <c r="R1065">
        <v>0.33667480374999997</v>
      </c>
      <c r="W1065" t="s">
        <v>947</v>
      </c>
      <c r="X1065" t="s">
        <v>948</v>
      </c>
      <c r="Y1065">
        <v>15010015000957</v>
      </c>
      <c r="AA1065" t="s">
        <v>1465</v>
      </c>
      <c r="AB1065" t="s">
        <v>1466</v>
      </c>
    </row>
    <row r="1066" spans="1:28" x14ac:dyDescent="0.25">
      <c r="A1066">
        <v>2020</v>
      </c>
      <c r="C1066" t="s">
        <v>1384</v>
      </c>
      <c r="D1066" t="s">
        <v>2285</v>
      </c>
      <c r="E1066" t="s">
        <v>1385</v>
      </c>
      <c r="F1066" t="s">
        <v>374</v>
      </c>
      <c r="G1066">
        <v>86045</v>
      </c>
      <c r="H1066">
        <v>36.091380999999998</v>
      </c>
      <c r="I1066">
        <v>-111.289585</v>
      </c>
      <c r="K1066">
        <v>110024409344</v>
      </c>
      <c r="M1066">
        <v>4952</v>
      </c>
      <c r="R1066">
        <v>0.75772671999999996</v>
      </c>
      <c r="W1066" t="s">
        <v>2286</v>
      </c>
      <c r="X1066" t="s">
        <v>2287</v>
      </c>
      <c r="Y1066">
        <v>14080204013964</v>
      </c>
      <c r="AA1066" t="s">
        <v>1465</v>
      </c>
      <c r="AB1066" t="s">
        <v>263</v>
      </c>
    </row>
    <row r="1067" spans="1:28" x14ac:dyDescent="0.25">
      <c r="A1067">
        <v>2020</v>
      </c>
      <c r="C1067" t="s">
        <v>1387</v>
      </c>
      <c r="D1067" t="s">
        <v>2291</v>
      </c>
      <c r="E1067" t="s">
        <v>1388</v>
      </c>
      <c r="F1067" t="s">
        <v>294</v>
      </c>
      <c r="G1067">
        <v>221822454</v>
      </c>
      <c r="H1067">
        <v>38.920251999999998</v>
      </c>
      <c r="I1067">
        <v>-77.231944999999996</v>
      </c>
      <c r="K1067">
        <v>110070684897</v>
      </c>
      <c r="M1067">
        <v>1794</v>
      </c>
      <c r="R1067">
        <v>1.9963328727272699E-2</v>
      </c>
      <c r="W1067" t="s">
        <v>2292</v>
      </c>
      <c r="X1067" t="s">
        <v>2293</v>
      </c>
      <c r="AA1067" t="s">
        <v>1465</v>
      </c>
      <c r="AB1067" t="s">
        <v>1466</v>
      </c>
    </row>
    <row r="1068" spans="1:28" x14ac:dyDescent="0.25">
      <c r="A1068">
        <v>2020</v>
      </c>
      <c r="C1068" t="s">
        <v>1389</v>
      </c>
      <c r="D1068" t="s">
        <v>2294</v>
      </c>
      <c r="E1068" t="s">
        <v>358</v>
      </c>
      <c r="F1068" t="s">
        <v>275</v>
      </c>
      <c r="G1068">
        <v>83704</v>
      </c>
      <c r="H1068">
        <v>43.605383000000003</v>
      </c>
      <c r="I1068">
        <v>-116.27849000000001</v>
      </c>
      <c r="K1068">
        <v>110062644367</v>
      </c>
      <c r="R1068">
        <v>9.9774643899999908E-3</v>
      </c>
      <c r="W1068" t="s">
        <v>2295</v>
      </c>
      <c r="X1068" t="s">
        <v>2296</v>
      </c>
      <c r="Y1068">
        <v>17050114001337</v>
      </c>
      <c r="AA1068" t="s">
        <v>1465</v>
      </c>
      <c r="AB1068" t="s">
        <v>1466</v>
      </c>
    </row>
    <row r="1069" spans="1:28" x14ac:dyDescent="0.25">
      <c r="A1069">
        <v>2020</v>
      </c>
      <c r="C1069" t="s">
        <v>1390</v>
      </c>
      <c r="D1069" t="s">
        <v>2297</v>
      </c>
      <c r="E1069" t="s">
        <v>1007</v>
      </c>
      <c r="F1069" t="s">
        <v>1008</v>
      </c>
      <c r="G1069">
        <v>972101412</v>
      </c>
      <c r="H1069">
        <v>45.548641000000003</v>
      </c>
      <c r="I1069">
        <v>-122.72292299999999</v>
      </c>
      <c r="J1069" t="s">
        <v>737</v>
      </c>
      <c r="K1069">
        <v>110000487447</v>
      </c>
      <c r="M1069">
        <v>5169</v>
      </c>
      <c r="R1069">
        <v>3.919505274E-3</v>
      </c>
      <c r="W1069" t="s">
        <v>2298</v>
      </c>
      <c r="X1069" t="s">
        <v>2299</v>
      </c>
      <c r="Y1069">
        <v>17090012000085</v>
      </c>
      <c r="AA1069" t="s">
        <v>1465</v>
      </c>
      <c r="AB1069" t="s">
        <v>1466</v>
      </c>
    </row>
    <row r="1070" spans="1:28" x14ac:dyDescent="0.25">
      <c r="A1070">
        <v>2020</v>
      </c>
      <c r="C1070" t="s">
        <v>1392</v>
      </c>
      <c r="D1070" t="s">
        <v>2302</v>
      </c>
      <c r="E1070" t="s">
        <v>1393</v>
      </c>
      <c r="F1070" t="s">
        <v>294</v>
      </c>
      <c r="G1070">
        <v>22060</v>
      </c>
      <c r="H1070">
        <v>38.711596</v>
      </c>
      <c r="I1070">
        <v>-77.147887999999995</v>
      </c>
      <c r="K1070">
        <v>110070596765</v>
      </c>
      <c r="M1070">
        <v>3825</v>
      </c>
      <c r="R1070">
        <v>1.2917542624999901E-3</v>
      </c>
      <c r="W1070" t="s">
        <v>2303</v>
      </c>
      <c r="X1070" t="s">
        <v>877</v>
      </c>
      <c r="AA1070" t="s">
        <v>1465</v>
      </c>
      <c r="AB1070" t="s">
        <v>1466</v>
      </c>
    </row>
    <row r="1071" spans="1:28" x14ac:dyDescent="0.25">
      <c r="A1071">
        <v>2020</v>
      </c>
      <c r="C1071" t="s">
        <v>1394</v>
      </c>
      <c r="D1071" t="s">
        <v>2304</v>
      </c>
      <c r="E1071" t="s">
        <v>1395</v>
      </c>
      <c r="F1071" t="s">
        <v>362</v>
      </c>
      <c r="G1071">
        <v>78241</v>
      </c>
      <c r="H1071">
        <v>29.378699999999998</v>
      </c>
      <c r="I1071">
        <v>-98.551670000000001</v>
      </c>
      <c r="K1071">
        <v>110042004915</v>
      </c>
      <c r="M1071">
        <v>9711</v>
      </c>
      <c r="R1071">
        <v>2.0305705074374999E-2</v>
      </c>
      <c r="W1071" t="s">
        <v>2305</v>
      </c>
      <c r="X1071" t="s">
        <v>2306</v>
      </c>
      <c r="Y1071">
        <v>12100302000008</v>
      </c>
      <c r="AA1071" t="s">
        <v>1465</v>
      </c>
      <c r="AB1071" t="s">
        <v>1466</v>
      </c>
    </row>
    <row r="1072" spans="1:28" x14ac:dyDescent="0.25">
      <c r="A1072">
        <v>2020</v>
      </c>
      <c r="C1072" t="s">
        <v>1398</v>
      </c>
      <c r="D1072" t="s">
        <v>2311</v>
      </c>
      <c r="E1072" t="s">
        <v>1399</v>
      </c>
      <c r="F1072" t="s">
        <v>1171</v>
      </c>
      <c r="G1072">
        <v>968633062</v>
      </c>
      <c r="H1072">
        <v>21.438638999999998</v>
      </c>
      <c r="I1072">
        <v>-157.75847200000001</v>
      </c>
      <c r="K1072">
        <v>110041973460</v>
      </c>
      <c r="M1072">
        <v>4952</v>
      </c>
      <c r="R1072">
        <v>0.99055342499999999</v>
      </c>
      <c r="W1072" t="s">
        <v>2312</v>
      </c>
      <c r="X1072" t="s">
        <v>926</v>
      </c>
      <c r="Y1072">
        <v>20060000000122</v>
      </c>
      <c r="AA1072" t="s">
        <v>1465</v>
      </c>
      <c r="AB1072" t="s">
        <v>1466</v>
      </c>
    </row>
    <row r="1073" spans="1:28" x14ac:dyDescent="0.25">
      <c r="A1073">
        <v>2020</v>
      </c>
      <c r="C1073" t="s">
        <v>1400</v>
      </c>
      <c r="D1073" t="s">
        <v>2313</v>
      </c>
      <c r="E1073" t="s">
        <v>1401</v>
      </c>
      <c r="F1073" t="s">
        <v>324</v>
      </c>
      <c r="G1073" t="s">
        <v>2314</v>
      </c>
      <c r="H1073">
        <v>37.642310000000002</v>
      </c>
      <c r="I1073">
        <v>-85.903570000000002</v>
      </c>
      <c r="K1073">
        <v>110000571373</v>
      </c>
      <c r="M1073">
        <v>4952</v>
      </c>
      <c r="R1073">
        <v>20.377493749999999</v>
      </c>
      <c r="W1073" t="s">
        <v>2315</v>
      </c>
      <c r="X1073" t="s">
        <v>2316</v>
      </c>
      <c r="Y1073">
        <v>5110001000593</v>
      </c>
      <c r="AA1073" t="s">
        <v>1465</v>
      </c>
      <c r="AB1073" t="s">
        <v>263</v>
      </c>
    </row>
    <row r="1074" spans="1:28" x14ac:dyDescent="0.25">
      <c r="A1074">
        <v>2020</v>
      </c>
      <c r="C1074" t="s">
        <v>198</v>
      </c>
      <c r="D1074" t="s">
        <v>656</v>
      </c>
      <c r="E1074" t="s">
        <v>657</v>
      </c>
      <c r="F1074" t="s">
        <v>418</v>
      </c>
      <c r="G1074">
        <v>89109</v>
      </c>
      <c r="H1074">
        <v>36.122100000000003</v>
      </c>
      <c r="I1074">
        <v>-115.17139</v>
      </c>
      <c r="K1074">
        <v>110004306938</v>
      </c>
      <c r="M1074">
        <v>7011</v>
      </c>
      <c r="R1074">
        <v>2.5523674375E-3</v>
      </c>
      <c r="W1074" t="s">
        <v>951</v>
      </c>
      <c r="X1074" t="s">
        <v>952</v>
      </c>
      <c r="Y1074">
        <v>15010015000432</v>
      </c>
      <c r="AA1074" t="s">
        <v>1465</v>
      </c>
      <c r="AB1074" t="s">
        <v>1466</v>
      </c>
    </row>
    <row r="1075" spans="1:28" x14ac:dyDescent="0.25">
      <c r="A1075">
        <v>2020</v>
      </c>
      <c r="C1075" t="s">
        <v>198</v>
      </c>
      <c r="D1075" t="s">
        <v>656</v>
      </c>
      <c r="E1075" t="s">
        <v>657</v>
      </c>
      <c r="F1075" t="s">
        <v>418</v>
      </c>
      <c r="G1075">
        <v>89109</v>
      </c>
      <c r="H1075">
        <v>36.122100000000003</v>
      </c>
      <c r="I1075">
        <v>-115.17139</v>
      </c>
      <c r="K1075">
        <v>110004306938</v>
      </c>
      <c r="M1075">
        <v>7011</v>
      </c>
      <c r="R1075">
        <v>3.2673066249999999E-3</v>
      </c>
      <c r="W1075" t="s">
        <v>951</v>
      </c>
      <c r="X1075" t="s">
        <v>952</v>
      </c>
      <c r="Y1075">
        <v>15010015000432</v>
      </c>
      <c r="AA1075" t="s">
        <v>1465</v>
      </c>
      <c r="AB1075" t="s">
        <v>1466</v>
      </c>
    </row>
    <row r="1076" spans="1:28" x14ac:dyDescent="0.25">
      <c r="A1076">
        <v>2020</v>
      </c>
      <c r="C1076" t="s">
        <v>198</v>
      </c>
      <c r="D1076" t="s">
        <v>656</v>
      </c>
      <c r="E1076" t="s">
        <v>657</v>
      </c>
      <c r="F1076" t="s">
        <v>418</v>
      </c>
      <c r="G1076">
        <v>89109</v>
      </c>
      <c r="H1076">
        <v>36.122100000000003</v>
      </c>
      <c r="I1076">
        <v>-115.17139</v>
      </c>
      <c r="K1076">
        <v>110004306938</v>
      </c>
      <c r="M1076">
        <v>7011</v>
      </c>
      <c r="R1076">
        <v>3.1084312499999998E-4</v>
      </c>
      <c r="W1076" t="s">
        <v>951</v>
      </c>
      <c r="X1076" t="s">
        <v>952</v>
      </c>
      <c r="Y1076">
        <v>15010015000432</v>
      </c>
      <c r="AA1076" t="s">
        <v>1465</v>
      </c>
      <c r="AB1076" t="s">
        <v>1466</v>
      </c>
    </row>
    <row r="1077" spans="1:28" x14ac:dyDescent="0.25">
      <c r="A1077">
        <v>2020</v>
      </c>
      <c r="C1077" t="s">
        <v>198</v>
      </c>
      <c r="D1077" t="s">
        <v>656</v>
      </c>
      <c r="E1077" t="s">
        <v>657</v>
      </c>
      <c r="F1077" t="s">
        <v>418</v>
      </c>
      <c r="G1077">
        <v>89109</v>
      </c>
      <c r="H1077">
        <v>36.122100000000003</v>
      </c>
      <c r="I1077">
        <v>-115.17139</v>
      </c>
      <c r="K1077">
        <v>110004306938</v>
      </c>
      <c r="M1077">
        <v>7011</v>
      </c>
      <c r="R1077">
        <v>8.7864989999999997E-3</v>
      </c>
      <c r="W1077" t="s">
        <v>951</v>
      </c>
      <c r="X1077" t="s">
        <v>952</v>
      </c>
      <c r="Y1077">
        <v>15010015000432</v>
      </c>
      <c r="AA1077" t="s">
        <v>1465</v>
      </c>
      <c r="AB1077" t="s">
        <v>1466</v>
      </c>
    </row>
    <row r="1078" spans="1:28" x14ac:dyDescent="0.25">
      <c r="A1078">
        <v>2020</v>
      </c>
      <c r="C1078" t="s">
        <v>198</v>
      </c>
      <c r="D1078" t="s">
        <v>656</v>
      </c>
      <c r="E1078" t="s">
        <v>657</v>
      </c>
      <c r="F1078" t="s">
        <v>418</v>
      </c>
      <c r="G1078">
        <v>89109</v>
      </c>
      <c r="H1078">
        <v>36.122100000000003</v>
      </c>
      <c r="I1078">
        <v>-115.17139</v>
      </c>
      <c r="K1078">
        <v>110004306938</v>
      </c>
      <c r="M1078">
        <v>7011</v>
      </c>
      <c r="R1078">
        <v>6.6727657500000002E-3</v>
      </c>
      <c r="W1078" t="s">
        <v>951</v>
      </c>
      <c r="X1078" t="s">
        <v>952</v>
      </c>
      <c r="Y1078">
        <v>15010015000432</v>
      </c>
      <c r="AA1078" t="s">
        <v>1465</v>
      </c>
      <c r="AB1078" t="s">
        <v>1466</v>
      </c>
    </row>
    <row r="1079" spans="1:28" x14ac:dyDescent="0.25">
      <c r="A1079">
        <v>2020</v>
      </c>
      <c r="C1079" t="s">
        <v>198</v>
      </c>
      <c r="D1079" t="s">
        <v>656</v>
      </c>
      <c r="E1079" t="s">
        <v>657</v>
      </c>
      <c r="F1079" t="s">
        <v>418</v>
      </c>
      <c r="G1079">
        <v>89109</v>
      </c>
      <c r="H1079">
        <v>36.122100000000003</v>
      </c>
      <c r="I1079">
        <v>-115.17139</v>
      </c>
      <c r="K1079">
        <v>110004306938</v>
      </c>
      <c r="M1079">
        <v>7011</v>
      </c>
      <c r="R1079">
        <v>4.2388640812500003E-2</v>
      </c>
      <c r="W1079" t="s">
        <v>951</v>
      </c>
      <c r="X1079" t="s">
        <v>952</v>
      </c>
      <c r="Y1079">
        <v>15010015000432</v>
      </c>
      <c r="AA1079" t="s">
        <v>1465</v>
      </c>
      <c r="AB1079" t="s">
        <v>1466</v>
      </c>
    </row>
    <row r="1080" spans="1:28" x14ac:dyDescent="0.25">
      <c r="A1080">
        <v>2020</v>
      </c>
      <c r="C1080" t="s">
        <v>1404</v>
      </c>
      <c r="D1080" t="s">
        <v>2320</v>
      </c>
      <c r="E1080" t="s">
        <v>1405</v>
      </c>
      <c r="F1080" t="s">
        <v>427</v>
      </c>
      <c r="G1080" t="s">
        <v>2321</v>
      </c>
      <c r="H1080">
        <v>42.338805999999998</v>
      </c>
      <c r="I1080">
        <v>-85.144028000000006</v>
      </c>
      <c r="K1080">
        <v>110006040989</v>
      </c>
      <c r="M1080">
        <v>9999</v>
      </c>
      <c r="R1080">
        <v>0.90196549999999998</v>
      </c>
      <c r="W1080" t="s">
        <v>2322</v>
      </c>
      <c r="X1080" t="s">
        <v>2323</v>
      </c>
      <c r="Y1080">
        <v>4050003000125</v>
      </c>
      <c r="AA1080" t="s">
        <v>1465</v>
      </c>
      <c r="AB1080" t="s">
        <v>1466</v>
      </c>
    </row>
    <row r="1081" spans="1:28" x14ac:dyDescent="0.25">
      <c r="A1081">
        <v>2020</v>
      </c>
      <c r="C1081" t="s">
        <v>1406</v>
      </c>
      <c r="D1081" t="s">
        <v>2324</v>
      </c>
      <c r="E1081" t="s">
        <v>1407</v>
      </c>
      <c r="F1081" t="s">
        <v>324</v>
      </c>
      <c r="G1081">
        <v>40383</v>
      </c>
      <c r="H1081">
        <v>38.057777999999999</v>
      </c>
      <c r="I1081">
        <v>-84.743888999999996</v>
      </c>
      <c r="K1081">
        <v>110000732226</v>
      </c>
      <c r="M1081">
        <v>4952</v>
      </c>
      <c r="R1081">
        <v>5.636622</v>
      </c>
      <c r="W1081" t="s">
        <v>2325</v>
      </c>
      <c r="X1081" t="s">
        <v>2326</v>
      </c>
      <c r="Y1081">
        <v>5100205000239</v>
      </c>
      <c r="AA1081" t="s">
        <v>1465</v>
      </c>
      <c r="AB1081" t="s">
        <v>263</v>
      </c>
    </row>
    <row r="1082" spans="1:28" x14ac:dyDescent="0.25">
      <c r="A1082">
        <v>2020</v>
      </c>
      <c r="C1082" t="s">
        <v>1410</v>
      </c>
      <c r="D1082" t="s">
        <v>2331</v>
      </c>
      <c r="E1082" t="s">
        <v>657</v>
      </c>
      <c r="F1082" t="s">
        <v>418</v>
      </c>
      <c r="G1082">
        <v>89106</v>
      </c>
      <c r="H1082">
        <v>36.19997</v>
      </c>
      <c r="I1082">
        <v>-115.19658</v>
      </c>
      <c r="K1082">
        <v>110064418553</v>
      </c>
      <c r="M1082">
        <v>5541</v>
      </c>
      <c r="R1082">
        <v>7.2530062500000001E-3</v>
      </c>
      <c r="W1082" t="s">
        <v>2332</v>
      </c>
      <c r="X1082" t="s">
        <v>1893</v>
      </c>
      <c r="Y1082">
        <v>15010015000124</v>
      </c>
      <c r="AA1082" t="s">
        <v>1465</v>
      </c>
      <c r="AB1082" t="s">
        <v>1466</v>
      </c>
    </row>
    <row r="1083" spans="1:28" x14ac:dyDescent="0.25">
      <c r="A1083">
        <v>2020</v>
      </c>
      <c r="C1083" t="s">
        <v>1411</v>
      </c>
      <c r="D1083" t="s">
        <v>2333</v>
      </c>
      <c r="E1083" t="s">
        <v>1403</v>
      </c>
      <c r="F1083" t="s">
        <v>294</v>
      </c>
      <c r="G1083">
        <v>23452</v>
      </c>
      <c r="H1083">
        <v>36.844686000000003</v>
      </c>
      <c r="I1083">
        <v>-76.072886999999994</v>
      </c>
      <c r="K1083">
        <v>110070884632</v>
      </c>
      <c r="M1083">
        <v>5541</v>
      </c>
      <c r="R1083">
        <v>1.4628873599999899E-2</v>
      </c>
      <c r="W1083" t="s">
        <v>2334</v>
      </c>
      <c r="X1083" t="s">
        <v>2335</v>
      </c>
      <c r="AA1083" t="s">
        <v>1465</v>
      </c>
      <c r="AB1083" t="s">
        <v>1466</v>
      </c>
    </row>
    <row r="1084" spans="1:28" x14ac:dyDescent="0.25">
      <c r="A1084">
        <v>2020</v>
      </c>
      <c r="C1084" t="s">
        <v>1411</v>
      </c>
      <c r="D1084" t="s">
        <v>2333</v>
      </c>
      <c r="E1084" t="s">
        <v>1403</v>
      </c>
      <c r="F1084" t="s">
        <v>294</v>
      </c>
      <c r="G1084">
        <v>23452</v>
      </c>
      <c r="H1084">
        <v>36.844686000000003</v>
      </c>
      <c r="I1084">
        <v>-76.072886999999994</v>
      </c>
      <c r="K1084">
        <v>110070884632</v>
      </c>
      <c r="M1084">
        <v>5541</v>
      </c>
      <c r="R1084">
        <v>2.5344359999999902E-3</v>
      </c>
      <c r="W1084" t="s">
        <v>2334</v>
      </c>
      <c r="X1084" t="s">
        <v>2335</v>
      </c>
      <c r="AA1084" t="s">
        <v>1465</v>
      </c>
      <c r="AB1084" t="s">
        <v>1466</v>
      </c>
    </row>
    <row r="1085" spans="1:28" x14ac:dyDescent="0.25">
      <c r="A1085">
        <v>2020</v>
      </c>
      <c r="C1085" t="s">
        <v>1412</v>
      </c>
      <c r="D1085" t="s">
        <v>2336</v>
      </c>
      <c r="E1085" t="s">
        <v>1403</v>
      </c>
      <c r="F1085" t="s">
        <v>294</v>
      </c>
      <c r="G1085">
        <v>23451</v>
      </c>
      <c r="H1085">
        <v>36.910065000000003</v>
      </c>
      <c r="I1085">
        <v>-76.072417999999999</v>
      </c>
      <c r="K1085">
        <v>110070685409</v>
      </c>
      <c r="M1085">
        <v>5541</v>
      </c>
      <c r="R1085">
        <v>6.3360899999999904E-3</v>
      </c>
      <c r="W1085" t="s">
        <v>2337</v>
      </c>
      <c r="X1085" t="s">
        <v>2335</v>
      </c>
      <c r="AA1085" t="s">
        <v>1465</v>
      </c>
      <c r="AB1085" t="s">
        <v>1466</v>
      </c>
    </row>
    <row r="1086" spans="1:28" x14ac:dyDescent="0.25">
      <c r="A1086">
        <v>2020</v>
      </c>
      <c r="C1086" t="s">
        <v>1412</v>
      </c>
      <c r="D1086" t="s">
        <v>2336</v>
      </c>
      <c r="E1086" t="s">
        <v>1403</v>
      </c>
      <c r="F1086" t="s">
        <v>294</v>
      </c>
      <c r="G1086">
        <v>23451</v>
      </c>
      <c r="H1086">
        <v>36.910065000000003</v>
      </c>
      <c r="I1086">
        <v>-76.072417999999999</v>
      </c>
      <c r="K1086">
        <v>110070685409</v>
      </c>
      <c r="M1086">
        <v>5541</v>
      </c>
      <c r="R1086">
        <v>1.2038570999999901E-2</v>
      </c>
      <c r="W1086" t="s">
        <v>2337</v>
      </c>
      <c r="X1086" t="s">
        <v>2335</v>
      </c>
      <c r="AA1086" t="s">
        <v>1465</v>
      </c>
      <c r="AB1086" t="s">
        <v>1466</v>
      </c>
    </row>
    <row r="1087" spans="1:28" x14ac:dyDescent="0.25">
      <c r="A1087">
        <v>2020</v>
      </c>
      <c r="C1087" t="s">
        <v>1419</v>
      </c>
      <c r="D1087" t="s">
        <v>2346</v>
      </c>
      <c r="E1087" t="s">
        <v>1420</v>
      </c>
      <c r="F1087" t="s">
        <v>427</v>
      </c>
      <c r="G1087">
        <v>49221</v>
      </c>
      <c r="H1087">
        <v>41.948850999999998</v>
      </c>
      <c r="I1087">
        <v>-83.958619999999996</v>
      </c>
      <c r="J1087" t="s">
        <v>739</v>
      </c>
      <c r="K1087">
        <v>110056966699</v>
      </c>
      <c r="M1087">
        <v>2821</v>
      </c>
      <c r="R1087">
        <v>4.6246568802959696E-6</v>
      </c>
      <c r="W1087" t="s">
        <v>2347</v>
      </c>
      <c r="X1087" t="s">
        <v>2348</v>
      </c>
      <c r="Y1087">
        <v>4100002000101</v>
      </c>
      <c r="AA1087" t="s">
        <v>1465</v>
      </c>
      <c r="AB1087" t="s">
        <v>1466</v>
      </c>
    </row>
    <row r="1088" spans="1:28" x14ac:dyDescent="0.25">
      <c r="A1088">
        <v>2020</v>
      </c>
      <c r="C1088" t="s">
        <v>1421</v>
      </c>
      <c r="D1088" t="s">
        <v>2350</v>
      </c>
      <c r="E1088" t="s">
        <v>1422</v>
      </c>
      <c r="F1088" t="s">
        <v>1171</v>
      </c>
      <c r="G1088">
        <v>96746</v>
      </c>
      <c r="H1088">
        <v>22.079093</v>
      </c>
      <c r="I1088">
        <v>-159.35138900000001</v>
      </c>
      <c r="K1088">
        <v>110010731262</v>
      </c>
      <c r="M1088">
        <v>4952</v>
      </c>
      <c r="R1088">
        <v>0.1692368125</v>
      </c>
      <c r="W1088" t="s">
        <v>2351</v>
      </c>
      <c r="X1088" t="s">
        <v>2352</v>
      </c>
      <c r="Y1088">
        <v>20070000000062</v>
      </c>
      <c r="AA1088" t="s">
        <v>1465</v>
      </c>
      <c r="AB1088" t="s">
        <v>263</v>
      </c>
    </row>
    <row r="1089" spans="1:28" x14ac:dyDescent="0.25">
      <c r="A1089">
        <v>2020</v>
      </c>
      <c r="C1089" t="s">
        <v>1423</v>
      </c>
      <c r="D1089" t="s">
        <v>2353</v>
      </c>
      <c r="E1089" t="s">
        <v>1424</v>
      </c>
      <c r="F1089" t="s">
        <v>294</v>
      </c>
      <c r="G1089">
        <v>22610</v>
      </c>
      <c r="H1089">
        <v>38.814979999999998</v>
      </c>
      <c r="I1089">
        <v>-78.2834</v>
      </c>
      <c r="K1089">
        <v>110054919406</v>
      </c>
      <c r="M1089">
        <v>4953</v>
      </c>
      <c r="R1089">
        <v>6.3708873974999895E-4</v>
      </c>
      <c r="W1089" t="s">
        <v>2354</v>
      </c>
      <c r="X1089" t="s">
        <v>2355</v>
      </c>
      <c r="AA1089" t="s">
        <v>1465</v>
      </c>
      <c r="AB1089" t="s">
        <v>1466</v>
      </c>
    </row>
    <row r="1090" spans="1:28" x14ac:dyDescent="0.25">
      <c r="A1090">
        <v>2020</v>
      </c>
      <c r="C1090" t="s">
        <v>1428</v>
      </c>
      <c r="D1090" t="s">
        <v>2362</v>
      </c>
      <c r="E1090" t="s">
        <v>337</v>
      </c>
      <c r="F1090" t="s">
        <v>338</v>
      </c>
      <c r="G1090">
        <v>8066</v>
      </c>
      <c r="H1090">
        <v>39.837310000000002</v>
      </c>
      <c r="I1090">
        <v>-75.224580000000003</v>
      </c>
      <c r="K1090">
        <v>110010354810</v>
      </c>
      <c r="M1090">
        <v>4911</v>
      </c>
      <c r="R1090">
        <v>2.3940882E-2</v>
      </c>
      <c r="W1090" t="s">
        <v>2363</v>
      </c>
      <c r="X1090" t="s">
        <v>783</v>
      </c>
      <c r="Y1090">
        <v>2040202001766</v>
      </c>
      <c r="AA1090" t="s">
        <v>1465</v>
      </c>
      <c r="AB1090" t="s">
        <v>1466</v>
      </c>
    </row>
    <row r="1091" spans="1:28" x14ac:dyDescent="0.25">
      <c r="A1091">
        <v>2020</v>
      </c>
      <c r="C1091" t="s">
        <v>1429</v>
      </c>
      <c r="D1091" t="s">
        <v>2365</v>
      </c>
      <c r="E1091" t="s">
        <v>1430</v>
      </c>
      <c r="F1091" t="s">
        <v>324</v>
      </c>
      <c r="G1091">
        <v>41080</v>
      </c>
      <c r="H1091">
        <v>39.00703</v>
      </c>
      <c r="I1091">
        <v>-84.841210000000004</v>
      </c>
      <c r="K1091">
        <v>110055043705</v>
      </c>
      <c r="M1091">
        <v>4952</v>
      </c>
      <c r="R1091">
        <v>5.7747744999999996E-3</v>
      </c>
      <c r="W1091" t="s">
        <v>2366</v>
      </c>
      <c r="X1091" t="s">
        <v>830</v>
      </c>
      <c r="Y1091">
        <v>5090203000041</v>
      </c>
      <c r="AA1091" t="s">
        <v>1465</v>
      </c>
      <c r="AB1091" t="s">
        <v>263</v>
      </c>
    </row>
    <row r="1092" spans="1:28" x14ac:dyDescent="0.25">
      <c r="A1092">
        <v>2020</v>
      </c>
      <c r="C1092" t="s">
        <v>2368</v>
      </c>
      <c r="D1092" t="s">
        <v>665</v>
      </c>
      <c r="E1092" t="s">
        <v>516</v>
      </c>
      <c r="F1092" t="s">
        <v>303</v>
      </c>
      <c r="G1092">
        <v>70734</v>
      </c>
      <c r="H1092">
        <v>30.208604000000001</v>
      </c>
      <c r="I1092">
        <v>-91.011127999999999</v>
      </c>
      <c r="J1092" t="s">
        <v>666</v>
      </c>
      <c r="K1092">
        <v>110000746328</v>
      </c>
      <c r="M1092">
        <v>2869</v>
      </c>
      <c r="R1092">
        <v>5.3333333333333304</v>
      </c>
      <c r="W1092" t="s">
        <v>956</v>
      </c>
      <c r="X1092" t="s">
        <v>816</v>
      </c>
      <c r="Y1092">
        <v>8070204000982</v>
      </c>
      <c r="AA1092" t="s">
        <v>1465</v>
      </c>
      <c r="AB1092" t="s">
        <v>1466</v>
      </c>
    </row>
    <row r="1093" spans="1:28" x14ac:dyDescent="0.25">
      <c r="A1093">
        <v>2020</v>
      </c>
      <c r="C1093" t="s">
        <v>1432</v>
      </c>
      <c r="D1093" t="s">
        <v>2371</v>
      </c>
      <c r="E1093" t="s">
        <v>1433</v>
      </c>
      <c r="F1093" t="s">
        <v>324</v>
      </c>
      <c r="G1093">
        <v>40769</v>
      </c>
      <c r="H1093">
        <v>36.747222000000001</v>
      </c>
      <c r="I1093">
        <v>-84.171943999999996</v>
      </c>
      <c r="K1093">
        <v>110006751737</v>
      </c>
      <c r="M1093">
        <v>4952</v>
      </c>
      <c r="R1093">
        <v>5.4673851874999997</v>
      </c>
      <c r="W1093" t="s">
        <v>2372</v>
      </c>
      <c r="X1093" t="s">
        <v>785</v>
      </c>
      <c r="Y1093">
        <v>5130101000083</v>
      </c>
      <c r="AA1093" t="s">
        <v>1465</v>
      </c>
      <c r="AB1093" t="s">
        <v>263</v>
      </c>
    </row>
    <row r="1094" spans="1:28" x14ac:dyDescent="0.25">
      <c r="A1094">
        <v>2020</v>
      </c>
      <c r="C1094" t="s">
        <v>1434</v>
      </c>
      <c r="D1094" t="s">
        <v>2374</v>
      </c>
      <c r="E1094" t="s">
        <v>1435</v>
      </c>
      <c r="F1094" t="s">
        <v>324</v>
      </c>
      <c r="G1094">
        <v>41097</v>
      </c>
      <c r="H1094">
        <v>38.631208000000001</v>
      </c>
      <c r="I1094">
        <v>-84.618809999999996</v>
      </c>
      <c r="K1094">
        <v>110045091379</v>
      </c>
      <c r="M1094">
        <v>4952</v>
      </c>
      <c r="R1094">
        <v>2.0722874999999998</v>
      </c>
      <c r="W1094" t="s">
        <v>2375</v>
      </c>
      <c r="X1094" t="s">
        <v>2376</v>
      </c>
      <c r="Y1094">
        <v>5100205000416</v>
      </c>
      <c r="AA1094" t="s">
        <v>1465</v>
      </c>
      <c r="AB1094" t="s">
        <v>263</v>
      </c>
    </row>
    <row r="1095" spans="1:28" x14ac:dyDescent="0.25">
      <c r="A1095">
        <v>2020</v>
      </c>
      <c r="C1095" t="s">
        <v>1436</v>
      </c>
      <c r="D1095" t="s">
        <v>2377</v>
      </c>
      <c r="E1095" t="s">
        <v>1437</v>
      </c>
      <c r="F1095" t="s">
        <v>324</v>
      </c>
      <c r="G1095">
        <v>40392</v>
      </c>
      <c r="H1095">
        <v>37.915556000000002</v>
      </c>
      <c r="I1095">
        <v>-84.268332999999998</v>
      </c>
      <c r="K1095">
        <v>110064596361</v>
      </c>
      <c r="M1095">
        <v>4952</v>
      </c>
      <c r="R1095">
        <v>4.6971850000000002</v>
      </c>
      <c r="W1095" t="s">
        <v>2378</v>
      </c>
      <c r="X1095" t="s">
        <v>1592</v>
      </c>
      <c r="Y1095">
        <v>5100205000175</v>
      </c>
      <c r="AA1095" t="s">
        <v>1465</v>
      </c>
      <c r="AB1095" t="s">
        <v>263</v>
      </c>
    </row>
    <row r="1096" spans="1:28" x14ac:dyDescent="0.25">
      <c r="A1096">
        <v>2020</v>
      </c>
      <c r="C1096" t="s">
        <v>1438</v>
      </c>
      <c r="D1096" t="s">
        <v>2380</v>
      </c>
      <c r="E1096" t="s">
        <v>1439</v>
      </c>
      <c r="F1096" t="s">
        <v>374</v>
      </c>
      <c r="G1096">
        <v>86504</v>
      </c>
      <c r="H1096">
        <v>35.639485000000001</v>
      </c>
      <c r="I1096">
        <v>-109.080939</v>
      </c>
      <c r="K1096">
        <v>110024409433</v>
      </c>
      <c r="M1096">
        <v>4952</v>
      </c>
      <c r="R1096">
        <v>0.899316</v>
      </c>
      <c r="W1096" t="s">
        <v>2381</v>
      </c>
      <c r="X1096" t="s">
        <v>2037</v>
      </c>
      <c r="Y1096">
        <v>14080204013964</v>
      </c>
      <c r="AA1096" t="s">
        <v>1465</v>
      </c>
      <c r="AB1096" t="s">
        <v>263</v>
      </c>
    </row>
    <row r="1097" spans="1:28" x14ac:dyDescent="0.25">
      <c r="A1097">
        <v>2020</v>
      </c>
      <c r="C1097" t="s">
        <v>1442</v>
      </c>
      <c r="D1097" t="s">
        <v>2386</v>
      </c>
      <c r="E1097" t="s">
        <v>1443</v>
      </c>
      <c r="F1097" t="s">
        <v>450</v>
      </c>
      <c r="G1097">
        <v>14580</v>
      </c>
      <c r="H1097">
        <v>43.227834000000001</v>
      </c>
      <c r="I1097">
        <v>-77.411534000000003</v>
      </c>
      <c r="J1097" t="s">
        <v>740</v>
      </c>
      <c r="K1097">
        <v>110000327799</v>
      </c>
      <c r="M1097">
        <v>9511</v>
      </c>
      <c r="R1097">
        <v>0.21598643833699999</v>
      </c>
      <c r="W1097" t="s">
        <v>2387</v>
      </c>
      <c r="X1097" t="s">
        <v>2388</v>
      </c>
      <c r="Y1097">
        <v>4140101000567</v>
      </c>
      <c r="AA1097" t="s">
        <v>1465</v>
      </c>
      <c r="AB1097" t="s">
        <v>1466</v>
      </c>
    </row>
    <row r="1098" spans="1:28" x14ac:dyDescent="0.25">
      <c r="A1098">
        <v>2020</v>
      </c>
      <c r="C1098" t="s">
        <v>1442</v>
      </c>
      <c r="D1098" t="s">
        <v>2386</v>
      </c>
      <c r="E1098" t="s">
        <v>1443</v>
      </c>
      <c r="F1098" t="s">
        <v>450</v>
      </c>
      <c r="G1098">
        <v>14580</v>
      </c>
      <c r="H1098">
        <v>43.227834000000001</v>
      </c>
      <c r="I1098">
        <v>-77.411534000000003</v>
      </c>
      <c r="J1098" t="s">
        <v>740</v>
      </c>
      <c r="K1098">
        <v>110000327799</v>
      </c>
      <c r="M1098">
        <v>9511</v>
      </c>
      <c r="R1098">
        <v>6.0500317363000003E-2</v>
      </c>
      <c r="W1098" t="s">
        <v>2387</v>
      </c>
      <c r="X1098" t="s">
        <v>2388</v>
      </c>
      <c r="Y1098">
        <v>4140101000567</v>
      </c>
      <c r="AA1098" t="s">
        <v>1465</v>
      </c>
      <c r="AB1098" t="s">
        <v>1466</v>
      </c>
    </row>
    <row r="1099" spans="1:28" x14ac:dyDescent="0.25">
      <c r="A1099">
        <v>2020</v>
      </c>
      <c r="C1099" t="s">
        <v>1442</v>
      </c>
      <c r="D1099" t="s">
        <v>2386</v>
      </c>
      <c r="E1099" t="s">
        <v>1443</v>
      </c>
      <c r="F1099" t="s">
        <v>450</v>
      </c>
      <c r="G1099">
        <v>14580</v>
      </c>
      <c r="H1099">
        <v>43.227834000000001</v>
      </c>
      <c r="I1099">
        <v>-77.411534000000003</v>
      </c>
      <c r="J1099" t="s">
        <v>740</v>
      </c>
      <c r="K1099">
        <v>110000327799</v>
      </c>
      <c r="M1099">
        <v>9511</v>
      </c>
      <c r="R1099">
        <v>8.7600778074999996E-2</v>
      </c>
      <c r="W1099" t="s">
        <v>2387</v>
      </c>
      <c r="X1099" t="s">
        <v>2388</v>
      </c>
      <c r="Y1099">
        <v>4140101000567</v>
      </c>
      <c r="AA1099" t="s">
        <v>1465</v>
      </c>
      <c r="AB1099" t="s">
        <v>1466</v>
      </c>
    </row>
  </sheetData>
  <sheetProtection sheet="1" objects="1" scenarios="1" formatCells="0" formatColumns="0" formatRows="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3A876-DDD6-4157-97E1-F4EA335A5B77}">
  <sheetPr filterMode="1">
    <tabColor theme="8" tint="0.59999389629810485"/>
  </sheetPr>
  <dimension ref="A1:J331"/>
  <sheetViews>
    <sheetView workbookViewId="0"/>
  </sheetViews>
  <sheetFormatPr defaultColWidth="8.5703125" defaultRowHeight="15" x14ac:dyDescent="0.25"/>
  <cols>
    <col min="1" max="1" width="7.42578125" style="28" customWidth="1"/>
    <col min="2" max="2" width="17.5703125" style="28" bestFit="1" customWidth="1"/>
    <col min="3" max="3" width="59.42578125" style="28" customWidth="1"/>
    <col min="4" max="4" width="37.5703125" style="28" customWidth="1"/>
    <col min="5" max="5" width="20.85546875" style="28" customWidth="1"/>
    <col min="6" max="6" width="8.85546875" style="28" customWidth="1"/>
    <col min="7" max="7" width="29.85546875" style="28" bestFit="1" customWidth="1"/>
    <col min="8" max="8" width="17.5703125" style="28" bestFit="1" customWidth="1"/>
    <col min="9" max="9" width="17" style="28" bestFit="1" customWidth="1"/>
    <col min="10" max="10" width="20.85546875" style="221" bestFit="1" customWidth="1"/>
    <col min="11" max="11" width="13.140625" style="28" bestFit="1" customWidth="1"/>
    <col min="12" max="12" width="23.5703125" style="28" bestFit="1" customWidth="1"/>
    <col min="13" max="14" width="22.85546875" style="28" bestFit="1" customWidth="1"/>
    <col min="15" max="15" width="27.140625" style="28" bestFit="1" customWidth="1"/>
    <col min="16" max="16" width="23.42578125" style="28" bestFit="1" customWidth="1"/>
    <col min="17" max="17" width="25.5703125" style="28" bestFit="1" customWidth="1"/>
    <col min="18" max="18" width="14.140625" style="28" bestFit="1" customWidth="1"/>
    <col min="19" max="19" width="24.42578125" style="28" bestFit="1" customWidth="1"/>
    <col min="20" max="20" width="22.85546875" style="28" bestFit="1" customWidth="1"/>
    <col min="21" max="22" width="22.42578125" style="28" bestFit="1" customWidth="1"/>
    <col min="23" max="23" width="43.42578125" style="28" bestFit="1" customWidth="1"/>
    <col min="24" max="24" width="22.5703125" style="28" bestFit="1" customWidth="1"/>
    <col min="25" max="25" width="18.5703125" style="28" bestFit="1" customWidth="1"/>
    <col min="26" max="26" width="27.5703125" style="28" bestFit="1" customWidth="1"/>
    <col min="27" max="27" width="31.5703125" style="28" bestFit="1" customWidth="1"/>
    <col min="28" max="28" width="22.5703125" style="28" bestFit="1" customWidth="1"/>
    <col min="29" max="29" width="17.42578125" style="28" bestFit="1" customWidth="1"/>
    <col min="30" max="30" width="26.5703125" style="28" bestFit="1" customWidth="1"/>
    <col min="31" max="31" width="24.140625" style="28" bestFit="1" customWidth="1"/>
    <col min="32" max="32" width="40" style="28" bestFit="1" customWidth="1"/>
    <col min="33" max="33" width="17.85546875" style="28" bestFit="1" customWidth="1"/>
    <col min="34" max="34" width="28.42578125" style="28" bestFit="1" customWidth="1"/>
    <col min="35" max="35" width="22.5703125" style="28" bestFit="1" customWidth="1"/>
    <col min="36" max="36" width="18.5703125" style="28" bestFit="1" customWidth="1"/>
    <col min="37" max="37" width="24.5703125" style="28" bestFit="1" customWidth="1"/>
    <col min="38" max="38" width="30.140625" style="28" bestFit="1" customWidth="1"/>
    <col min="39" max="39" width="30.5703125" style="28" bestFit="1" customWidth="1"/>
    <col min="40" max="41" width="33.5703125" style="28" bestFit="1" customWidth="1"/>
    <col min="42" max="42" width="34" style="28" bestFit="1" customWidth="1"/>
    <col min="43" max="43" width="26.42578125" style="28" bestFit="1" customWidth="1"/>
    <col min="44" max="44" width="17.5703125" style="28" bestFit="1" customWidth="1"/>
    <col min="45" max="45" width="23.42578125" style="28" bestFit="1" customWidth="1"/>
    <col min="46" max="47" width="33.5703125" style="28" bestFit="1" customWidth="1"/>
    <col min="48" max="48" width="29.5703125" style="28" bestFit="1" customWidth="1"/>
    <col min="49" max="49" width="30" style="28" bestFit="1" customWidth="1"/>
    <col min="50" max="50" width="30.5703125" style="28" bestFit="1" customWidth="1"/>
    <col min="51" max="51" width="33.5703125" style="28" bestFit="1" customWidth="1"/>
    <col min="52" max="52" width="33.42578125" style="28" bestFit="1" customWidth="1"/>
    <col min="53" max="53" width="34" style="28" bestFit="1" customWidth="1"/>
    <col min="54" max="54" width="22.5703125" style="28" bestFit="1" customWidth="1"/>
    <col min="55" max="55" width="20" style="28" bestFit="1" customWidth="1"/>
    <col min="56" max="56" width="20.140625" style="28" bestFit="1" customWidth="1"/>
    <col min="57" max="57" width="28.140625" style="28" bestFit="1" customWidth="1"/>
    <col min="58" max="59" width="33.5703125" style="28" bestFit="1" customWidth="1"/>
    <col min="60" max="60" width="28.5703125" style="28" bestFit="1" customWidth="1"/>
    <col min="61" max="61" width="28.42578125" style="28" bestFit="1" customWidth="1"/>
    <col min="62" max="62" width="30.42578125" style="28" bestFit="1" customWidth="1"/>
    <col min="63" max="63" width="27" style="28" bestFit="1" customWidth="1"/>
    <col min="64" max="64" width="34.5703125" style="28" bestFit="1" customWidth="1"/>
    <col min="65" max="65" width="25.140625" style="28" bestFit="1" customWidth="1"/>
    <col min="66" max="66" width="23.5703125" style="28" bestFit="1" customWidth="1"/>
    <col min="67" max="67" width="19.42578125" style="28" bestFit="1" customWidth="1"/>
    <col min="68" max="68" width="20.5703125" style="28" bestFit="1" customWidth="1"/>
    <col min="69" max="69" width="25.5703125" style="28" bestFit="1" customWidth="1"/>
    <col min="70" max="70" width="27.42578125" style="28" bestFit="1" customWidth="1"/>
    <col min="71" max="71" width="18.5703125" style="28" bestFit="1" customWidth="1"/>
    <col min="72" max="72" width="25.140625" style="28" bestFit="1" customWidth="1"/>
    <col min="73" max="73" width="23.5703125" style="28" bestFit="1" customWidth="1"/>
    <col min="74" max="74" width="19.42578125" style="28" bestFit="1" customWidth="1"/>
    <col min="75" max="75" width="20.5703125" style="28" bestFit="1" customWidth="1"/>
    <col min="76" max="76" width="25.5703125" style="28" bestFit="1" customWidth="1"/>
    <col min="77" max="77" width="27.42578125" style="28" bestFit="1" customWidth="1"/>
    <col min="78" max="78" width="18.5703125" style="28" bestFit="1" customWidth="1"/>
    <col min="79" max="16384" width="8.5703125" style="28"/>
  </cols>
  <sheetData>
    <row r="1" spans="1:10" s="189" customFormat="1" x14ac:dyDescent="0.25">
      <c r="A1" s="166" t="s">
        <v>1447</v>
      </c>
      <c r="B1" s="166" t="s">
        <v>1448</v>
      </c>
      <c r="C1" s="166" t="s">
        <v>276</v>
      </c>
      <c r="D1" s="166" t="s">
        <v>277</v>
      </c>
      <c r="E1" s="166" t="s">
        <v>278</v>
      </c>
      <c r="F1" s="166" t="s">
        <v>279</v>
      </c>
      <c r="G1" s="166" t="s">
        <v>1452</v>
      </c>
      <c r="H1" s="166" t="s">
        <v>1457</v>
      </c>
      <c r="I1" s="188"/>
      <c r="J1" s="220"/>
    </row>
    <row r="2" spans="1:10" hidden="1" x14ac:dyDescent="0.25">
      <c r="A2" s="28">
        <v>2015</v>
      </c>
      <c r="B2" s="68">
        <f t="shared" ref="B2:B6" si="0">DATE(A2,1,1)</f>
        <v>42005</v>
      </c>
      <c r="C2" s="28" t="s">
        <v>202</v>
      </c>
      <c r="D2" s="28" t="s">
        <v>667</v>
      </c>
      <c r="E2" s="28" t="s">
        <v>323</v>
      </c>
      <c r="F2" s="28" t="s">
        <v>324</v>
      </c>
      <c r="G2" s="28">
        <v>750.56430242600004</v>
      </c>
      <c r="H2" s="28" t="s">
        <v>957</v>
      </c>
      <c r="I2" s="61">
        <f>SUM(G$2:G7)</f>
        <v>1349.0470305670251</v>
      </c>
      <c r="J2" s="192">
        <f>I2/SUMIF($A:$A, 2015,G:G)</f>
        <v>1</v>
      </c>
    </row>
    <row r="3" spans="1:10" hidden="1" x14ac:dyDescent="0.25">
      <c r="A3" s="28">
        <v>2015</v>
      </c>
      <c r="B3" s="68">
        <f t="shared" si="0"/>
        <v>42005</v>
      </c>
      <c r="C3" s="28" t="s">
        <v>128</v>
      </c>
      <c r="D3" s="28" t="s">
        <v>411</v>
      </c>
      <c r="E3" s="28" t="s">
        <v>412</v>
      </c>
      <c r="F3" s="28" t="s">
        <v>299</v>
      </c>
      <c r="G3" s="28">
        <v>358.444007935</v>
      </c>
      <c r="H3" s="28" t="s">
        <v>821</v>
      </c>
      <c r="I3" s="61">
        <f>SUM(G$3:G7)</f>
        <v>598.48272814102506</v>
      </c>
      <c r="J3" s="192">
        <f>I3/SUMIF($A:$A, 2015,G:G)</f>
        <v>0.44363370185061202</v>
      </c>
    </row>
    <row r="4" spans="1:10" hidden="1" x14ac:dyDescent="0.25">
      <c r="A4" s="28">
        <v>2015</v>
      </c>
      <c r="B4" s="68">
        <f t="shared" si="0"/>
        <v>42005</v>
      </c>
      <c r="C4" s="28" t="s">
        <v>150</v>
      </c>
      <c r="D4" s="28" t="s">
        <v>482</v>
      </c>
      <c r="E4" s="28" t="s">
        <v>302</v>
      </c>
      <c r="F4" s="28" t="s">
        <v>303</v>
      </c>
      <c r="G4" s="28">
        <v>97.959183673469298</v>
      </c>
      <c r="H4" s="28" t="s">
        <v>862</v>
      </c>
      <c r="I4" s="61">
        <f>SUM(G$4:G7)</f>
        <v>240.03872020602512</v>
      </c>
      <c r="J4" s="192">
        <f>I4/SUMIF($A:$A, 2015,G:G)</f>
        <v>0.17793206223887775</v>
      </c>
    </row>
    <row r="5" spans="1:10" hidden="1" x14ac:dyDescent="0.25">
      <c r="A5" s="28">
        <v>2015</v>
      </c>
      <c r="B5" s="68">
        <f t="shared" si="0"/>
        <v>42005</v>
      </c>
      <c r="C5" s="28" t="s">
        <v>135</v>
      </c>
      <c r="D5" s="28" t="s">
        <v>439</v>
      </c>
      <c r="E5" s="28" t="s">
        <v>426</v>
      </c>
      <c r="F5" s="28" t="s">
        <v>427</v>
      </c>
      <c r="G5" s="28">
        <v>72.614188532555801</v>
      </c>
      <c r="H5" s="28" t="s">
        <v>835</v>
      </c>
      <c r="I5" s="61">
        <f>SUM(G$5:G7)</f>
        <v>142.07953653255581</v>
      </c>
      <c r="J5" s="192">
        <f>I5/SUMIF($A:$A, 2015,G:G)</f>
        <v>0.10531844577192954</v>
      </c>
    </row>
    <row r="6" spans="1:10" hidden="1" x14ac:dyDescent="0.25">
      <c r="A6" s="28">
        <v>2015</v>
      </c>
      <c r="B6" s="68">
        <f t="shared" si="0"/>
        <v>42005</v>
      </c>
      <c r="C6" s="28" t="s">
        <v>179</v>
      </c>
      <c r="D6" s="28" t="s">
        <v>589</v>
      </c>
      <c r="E6" s="28" t="s">
        <v>590</v>
      </c>
      <c r="F6" s="28" t="s">
        <v>362</v>
      </c>
      <c r="G6" s="28">
        <v>69.465348000000006</v>
      </c>
      <c r="H6" s="28" t="s">
        <v>913</v>
      </c>
      <c r="I6" s="61">
        <f>SUM(G$6:G7)</f>
        <v>69.465348000000006</v>
      </c>
      <c r="J6" s="192">
        <f>I6/SUMIF($A:$A, 2015,G:G)</f>
        <v>5.1492161819445728E-2</v>
      </c>
    </row>
    <row r="49" spans="1:10" hidden="1" x14ac:dyDescent="0.25">
      <c r="A49" s="28">
        <v>2016</v>
      </c>
      <c r="B49" s="68">
        <f t="shared" ref="B49:B50" si="1">DATE(A49,1,1)</f>
        <v>42370</v>
      </c>
      <c r="C49" s="28" t="s">
        <v>137</v>
      </c>
      <c r="D49" s="28" t="s">
        <v>445</v>
      </c>
      <c r="E49" s="28" t="s">
        <v>446</v>
      </c>
      <c r="F49" s="28" t="s">
        <v>303</v>
      </c>
      <c r="G49" s="28">
        <v>4849.6683048499999</v>
      </c>
      <c r="H49" s="28" t="s">
        <v>839</v>
      </c>
      <c r="I49" s="61">
        <f>SUM(G$49:G49)</f>
        <v>4849.6683048499999</v>
      </c>
      <c r="J49" s="192">
        <f>I49/SUMIF($A:$A, 2016,G:G)</f>
        <v>0.93048162983737626</v>
      </c>
    </row>
    <row r="50" spans="1:10" hidden="1" x14ac:dyDescent="0.25">
      <c r="A50" s="28">
        <v>2016</v>
      </c>
      <c r="B50" s="68">
        <f t="shared" si="1"/>
        <v>42370</v>
      </c>
      <c r="C50" s="28" t="s">
        <v>202</v>
      </c>
      <c r="D50" s="28" t="s">
        <v>667</v>
      </c>
      <c r="E50" s="28" t="s">
        <v>323</v>
      </c>
      <c r="F50" s="28" t="s">
        <v>324</v>
      </c>
      <c r="G50" s="28">
        <v>362.32959960900001</v>
      </c>
      <c r="H50" s="28" t="s">
        <v>957</v>
      </c>
      <c r="I50" s="61">
        <f>SUM(G$49:G50)</f>
        <v>5211.997904459</v>
      </c>
      <c r="J50" s="192">
        <f>I50/SUMIF($A:$A, 2016,G:G)</f>
        <v>1</v>
      </c>
    </row>
    <row r="108" spans="1:10" hidden="1" x14ac:dyDescent="0.25">
      <c r="A108" s="169">
        <v>2017</v>
      </c>
      <c r="B108" s="168">
        <v>42736</v>
      </c>
      <c r="C108" s="169" t="s">
        <v>149</v>
      </c>
      <c r="D108" s="169" t="s">
        <v>479</v>
      </c>
      <c r="E108" s="169" t="s">
        <v>480</v>
      </c>
      <c r="F108" s="169" t="s">
        <v>362</v>
      </c>
      <c r="G108" s="169">
        <v>5989.5353999999998</v>
      </c>
      <c r="H108" s="169" t="s">
        <v>860</v>
      </c>
      <c r="I108" s="167">
        <f>SUM(G$108:G108)</f>
        <v>5989.5353999999998</v>
      </c>
      <c r="J108" s="193">
        <f>I108/SUMIF($A:$A, 2017,G:G)</f>
        <v>0.74483423676579175</v>
      </c>
    </row>
    <row r="109" spans="1:10" hidden="1" x14ac:dyDescent="0.25">
      <c r="A109" s="169">
        <v>2017</v>
      </c>
      <c r="B109" s="168">
        <f>DATE(A109,1,1)</f>
        <v>42736</v>
      </c>
      <c r="C109" s="169" t="s">
        <v>200</v>
      </c>
      <c r="D109" s="169" t="s">
        <v>661</v>
      </c>
      <c r="E109" s="169" t="s">
        <v>463</v>
      </c>
      <c r="F109" s="169" t="s">
        <v>362</v>
      </c>
      <c r="G109" s="169">
        <v>1118.5306122448901</v>
      </c>
      <c r="H109" s="169" t="s">
        <v>954</v>
      </c>
      <c r="I109" s="167">
        <f>SUM(G$108:G109)</f>
        <v>7108.0660122448899</v>
      </c>
      <c r="J109" s="193">
        <f>I109/SUMIF($A:$A, 2017,G:G)</f>
        <v>0.88393014975941009</v>
      </c>
    </row>
    <row r="110" spans="1:10" hidden="1" x14ac:dyDescent="0.25">
      <c r="A110" s="169">
        <v>2017</v>
      </c>
      <c r="B110" s="168">
        <v>42736</v>
      </c>
      <c r="C110" s="169" t="s">
        <v>202</v>
      </c>
      <c r="D110" s="169" t="s">
        <v>667</v>
      </c>
      <c r="E110" s="169" t="s">
        <v>323</v>
      </c>
      <c r="F110" s="169" t="s">
        <v>324</v>
      </c>
      <c r="G110" s="169">
        <v>933.36804697299999</v>
      </c>
      <c r="H110" s="169" t="s">
        <v>957</v>
      </c>
      <c r="I110" s="167">
        <f>SUM(G$108:G110)</f>
        <v>8041.4340592178896</v>
      </c>
      <c r="J110" s="193">
        <f>I110/SUMIF($A:$A, 2017,G:G)</f>
        <v>1</v>
      </c>
    </row>
    <row r="130" spans="2:10" hidden="1" x14ac:dyDescent="0.25">
      <c r="B130" s="68"/>
      <c r="C130" s="28" t="s">
        <v>136</v>
      </c>
      <c r="D130" s="28" t="s">
        <v>440</v>
      </c>
      <c r="E130" s="28" t="s">
        <v>441</v>
      </c>
      <c r="F130" s="28" t="s">
        <v>338</v>
      </c>
      <c r="G130" s="28">
        <v>3.1001643558</v>
      </c>
      <c r="H130" s="28" t="s">
        <v>837</v>
      </c>
      <c r="I130" s="61"/>
      <c r="J130" s="28"/>
    </row>
    <row r="131" spans="2:10" hidden="1" x14ac:dyDescent="0.25">
      <c r="B131" s="68"/>
      <c r="C131" s="28" t="s">
        <v>102</v>
      </c>
      <c r="D131" s="28" t="s">
        <v>309</v>
      </c>
      <c r="E131" s="28" t="s">
        <v>310</v>
      </c>
      <c r="F131" s="28" t="s">
        <v>311</v>
      </c>
      <c r="G131" s="28">
        <v>1.8369614512471599</v>
      </c>
      <c r="H131" s="28" t="s">
        <v>770</v>
      </c>
      <c r="I131" s="61"/>
      <c r="J131" s="28"/>
    </row>
    <row r="132" spans="2:10" hidden="1" x14ac:dyDescent="0.25">
      <c r="B132" s="68"/>
      <c r="C132" s="28" t="s">
        <v>102</v>
      </c>
      <c r="D132" s="28" t="s">
        <v>309</v>
      </c>
      <c r="E132" s="28" t="s">
        <v>310</v>
      </c>
      <c r="F132" s="28" t="s">
        <v>311</v>
      </c>
      <c r="G132" s="28">
        <v>1.6374572375000001</v>
      </c>
      <c r="H132" s="28" t="s">
        <v>770</v>
      </c>
      <c r="I132" s="61"/>
      <c r="J132" s="28"/>
    </row>
    <row r="133" spans="2:10" hidden="1" x14ac:dyDescent="0.25">
      <c r="B133" s="68"/>
      <c r="C133" s="28" t="s">
        <v>174</v>
      </c>
      <c r="D133" s="28" t="s">
        <v>568</v>
      </c>
      <c r="E133" s="28" t="s">
        <v>569</v>
      </c>
      <c r="F133" s="28" t="s">
        <v>311</v>
      </c>
      <c r="G133" s="28">
        <v>1.3446712018140501</v>
      </c>
      <c r="H133" s="28" t="s">
        <v>905</v>
      </c>
      <c r="I133" s="61"/>
      <c r="J133" s="28"/>
    </row>
    <row r="134" spans="2:10" hidden="1" x14ac:dyDescent="0.25">
      <c r="B134" s="68"/>
      <c r="C134" s="28" t="s">
        <v>100</v>
      </c>
      <c r="D134" s="28" t="s">
        <v>301</v>
      </c>
      <c r="E134" s="28" t="s">
        <v>302</v>
      </c>
      <c r="F134" s="28" t="s">
        <v>303</v>
      </c>
      <c r="G134" s="28">
        <v>1.2190476190476101</v>
      </c>
      <c r="H134" s="28" t="s">
        <v>766</v>
      </c>
      <c r="I134" s="61"/>
      <c r="J134" s="28"/>
    </row>
    <row r="135" spans="2:10" hidden="1" x14ac:dyDescent="0.25">
      <c r="B135" s="68"/>
      <c r="C135" s="28" t="s">
        <v>143</v>
      </c>
      <c r="D135" s="28" t="s">
        <v>464</v>
      </c>
      <c r="E135" s="28" t="s">
        <v>465</v>
      </c>
      <c r="F135" s="28" t="s">
        <v>362</v>
      </c>
      <c r="G135" s="28">
        <v>1.14217687074829</v>
      </c>
      <c r="H135" s="28" t="s">
        <v>850</v>
      </c>
      <c r="I135" s="61"/>
      <c r="J135" s="28"/>
    </row>
    <row r="136" spans="2:10" hidden="1" x14ac:dyDescent="0.25">
      <c r="B136" s="68"/>
      <c r="C136" s="28" t="s">
        <v>167</v>
      </c>
      <c r="D136" s="28" t="s">
        <v>543</v>
      </c>
      <c r="E136" s="28" t="s">
        <v>544</v>
      </c>
      <c r="F136" s="28" t="s">
        <v>338</v>
      </c>
      <c r="G136" s="28">
        <v>0.57935733333333295</v>
      </c>
      <c r="H136" s="28" t="s">
        <v>892</v>
      </c>
      <c r="I136" s="61"/>
      <c r="J136" s="28"/>
    </row>
    <row r="137" spans="2:10" hidden="1" x14ac:dyDescent="0.25">
      <c r="B137" s="68"/>
      <c r="C137" s="28" t="s">
        <v>192</v>
      </c>
      <c r="D137" s="28" t="s">
        <v>628</v>
      </c>
      <c r="E137" s="28" t="s">
        <v>629</v>
      </c>
      <c r="F137" s="28" t="s">
        <v>345</v>
      </c>
      <c r="G137" s="28">
        <v>0.49659863945578198</v>
      </c>
      <c r="H137" s="28" t="s">
        <v>938</v>
      </c>
      <c r="I137" s="61"/>
      <c r="J137" s="28"/>
    </row>
    <row r="138" spans="2:10" hidden="1" x14ac:dyDescent="0.25">
      <c r="B138" s="68"/>
      <c r="C138" s="28" t="s">
        <v>165</v>
      </c>
      <c r="D138" s="28" t="s">
        <v>534</v>
      </c>
      <c r="E138" s="28" t="s">
        <v>535</v>
      </c>
      <c r="F138" s="28" t="s">
        <v>303</v>
      </c>
      <c r="G138" s="28">
        <v>0.43038548752834399</v>
      </c>
      <c r="H138" s="28" t="s">
        <v>888</v>
      </c>
      <c r="I138" s="61"/>
      <c r="J138" s="28"/>
    </row>
    <row r="139" spans="2:10" hidden="1" x14ac:dyDescent="0.25">
      <c r="B139" s="68"/>
      <c r="C139" s="28" t="s">
        <v>113</v>
      </c>
      <c r="D139" s="28" t="s">
        <v>360</v>
      </c>
      <c r="E139" s="28" t="s">
        <v>361</v>
      </c>
      <c r="F139" s="28" t="s">
        <v>362</v>
      </c>
      <c r="G139" s="28">
        <v>0.39065759637188202</v>
      </c>
      <c r="H139" s="28" t="s">
        <v>792</v>
      </c>
      <c r="I139" s="61"/>
      <c r="J139" s="28"/>
    </row>
    <row r="140" spans="2:10" hidden="1" x14ac:dyDescent="0.25">
      <c r="B140" s="68"/>
      <c r="C140" s="28" t="s">
        <v>193</v>
      </c>
      <c r="D140" s="28" t="s">
        <v>633</v>
      </c>
      <c r="E140" s="28" t="s">
        <v>634</v>
      </c>
      <c r="F140" s="28" t="s">
        <v>345</v>
      </c>
      <c r="G140" s="28">
        <v>0.33106575963718798</v>
      </c>
      <c r="H140" s="28" t="s">
        <v>940</v>
      </c>
      <c r="I140" s="61"/>
      <c r="J140" s="28"/>
    </row>
    <row r="141" spans="2:10" hidden="1" x14ac:dyDescent="0.25">
      <c r="B141" s="68"/>
      <c r="C141" s="28" t="s">
        <v>181</v>
      </c>
      <c r="D141" s="28" t="s">
        <v>599</v>
      </c>
      <c r="E141" s="28" t="s">
        <v>600</v>
      </c>
      <c r="F141" s="28" t="s">
        <v>601</v>
      </c>
      <c r="G141" s="28">
        <v>0.30343887014999898</v>
      </c>
      <c r="H141" s="28" t="s">
        <v>917</v>
      </c>
      <c r="I141" s="61"/>
      <c r="J141" s="28"/>
    </row>
    <row r="142" spans="2:10" hidden="1" x14ac:dyDescent="0.25">
      <c r="B142" s="68"/>
      <c r="C142" s="28" t="s">
        <v>143</v>
      </c>
      <c r="D142" s="28" t="s">
        <v>464</v>
      </c>
      <c r="E142" s="28" t="s">
        <v>465</v>
      </c>
      <c r="F142" s="28" t="s">
        <v>362</v>
      </c>
      <c r="G142" s="28">
        <v>0.28140589569160901</v>
      </c>
      <c r="H142" s="28" t="s">
        <v>850</v>
      </c>
      <c r="I142" s="61"/>
      <c r="J142" s="28"/>
    </row>
    <row r="143" spans="2:10" hidden="1" x14ac:dyDescent="0.25">
      <c r="B143" s="68"/>
      <c r="C143" s="28" t="s">
        <v>146</v>
      </c>
      <c r="D143" s="28" t="s">
        <v>471</v>
      </c>
      <c r="E143" s="28" t="s">
        <v>472</v>
      </c>
      <c r="F143" s="28" t="s">
        <v>450</v>
      </c>
      <c r="G143" s="28">
        <v>0.274386478125</v>
      </c>
      <c r="H143" s="28" t="s">
        <v>855</v>
      </c>
      <c r="I143" s="61"/>
      <c r="J143" s="28"/>
    </row>
    <row r="144" spans="2:10" hidden="1" x14ac:dyDescent="0.25">
      <c r="B144" s="68"/>
      <c r="C144" s="28" t="s">
        <v>141</v>
      </c>
      <c r="D144" s="28" t="s">
        <v>459</v>
      </c>
      <c r="E144" s="28" t="s">
        <v>460</v>
      </c>
      <c r="F144" s="28" t="s">
        <v>311</v>
      </c>
      <c r="G144" s="28">
        <v>0.267120181405895</v>
      </c>
      <c r="H144" s="28" t="s">
        <v>847</v>
      </c>
      <c r="I144" s="61"/>
      <c r="J144" s="28"/>
    </row>
    <row r="145" spans="2:10" hidden="1" x14ac:dyDescent="0.25">
      <c r="B145" s="68"/>
      <c r="C145" s="28" t="s">
        <v>196</v>
      </c>
      <c r="D145" s="28" t="s">
        <v>650</v>
      </c>
      <c r="E145" s="28" t="s">
        <v>651</v>
      </c>
      <c r="F145" s="28" t="s">
        <v>418</v>
      </c>
      <c r="G145" s="28">
        <v>0.247375488</v>
      </c>
      <c r="H145" s="28" t="s">
        <v>947</v>
      </c>
      <c r="I145" s="61"/>
      <c r="J145" s="28"/>
    </row>
    <row r="146" spans="2:10" hidden="1" x14ac:dyDescent="0.25">
      <c r="B146" s="68"/>
      <c r="C146" s="28" t="s">
        <v>144</v>
      </c>
      <c r="D146" s="28" t="s">
        <v>467</v>
      </c>
      <c r="E146" s="28" t="s">
        <v>302</v>
      </c>
      <c r="F146" s="28" t="s">
        <v>303</v>
      </c>
      <c r="G146" s="28">
        <v>0.24335279000000001</v>
      </c>
      <c r="H146" s="28" t="s">
        <v>852</v>
      </c>
      <c r="I146" s="61"/>
      <c r="J146" s="28"/>
    </row>
    <row r="147" spans="2:10" hidden="1" x14ac:dyDescent="0.25">
      <c r="B147" s="68"/>
      <c r="C147" s="28" t="s">
        <v>139</v>
      </c>
      <c r="D147" s="28" t="s">
        <v>453</v>
      </c>
      <c r="E147" s="28" t="s">
        <v>454</v>
      </c>
      <c r="F147" s="28" t="s">
        <v>349</v>
      </c>
      <c r="G147" s="28">
        <v>0.13468049224799999</v>
      </c>
      <c r="H147" s="28" t="s">
        <v>843</v>
      </c>
      <c r="I147" s="61"/>
      <c r="J147" s="28"/>
    </row>
    <row r="148" spans="2:10" hidden="1" x14ac:dyDescent="0.25">
      <c r="B148" s="68"/>
      <c r="C148" s="28" t="s">
        <v>44</v>
      </c>
      <c r="D148" s="28" t="s">
        <v>367</v>
      </c>
      <c r="E148" s="28" t="s">
        <v>368</v>
      </c>
      <c r="F148" s="28" t="s">
        <v>349</v>
      </c>
      <c r="G148" s="28">
        <v>0.130298625</v>
      </c>
      <c r="H148" s="28" t="s">
        <v>796</v>
      </c>
      <c r="I148" s="61"/>
      <c r="J148" s="28"/>
    </row>
    <row r="149" spans="2:10" hidden="1" x14ac:dyDescent="0.25">
      <c r="B149" s="68"/>
      <c r="C149" s="28" t="s">
        <v>203</v>
      </c>
      <c r="D149" s="28" t="s">
        <v>669</v>
      </c>
      <c r="E149" s="28" t="s">
        <v>348</v>
      </c>
      <c r="F149" s="28" t="s">
        <v>349</v>
      </c>
      <c r="G149" s="28">
        <v>0.12288305300000001</v>
      </c>
      <c r="H149" s="28" t="s">
        <v>959</v>
      </c>
      <c r="I149" s="61"/>
      <c r="J149" s="28"/>
    </row>
    <row r="150" spans="2:10" hidden="1" x14ac:dyDescent="0.25">
      <c r="B150" s="68"/>
      <c r="C150" s="28" t="s">
        <v>143</v>
      </c>
      <c r="D150" s="28" t="s">
        <v>464</v>
      </c>
      <c r="E150" s="28" t="s">
        <v>465</v>
      </c>
      <c r="F150" s="28" t="s">
        <v>362</v>
      </c>
      <c r="G150" s="28">
        <v>9.9319727891156395E-2</v>
      </c>
      <c r="H150" s="28" t="s">
        <v>850</v>
      </c>
      <c r="I150" s="61"/>
      <c r="J150" s="28"/>
    </row>
    <row r="151" spans="2:10" hidden="1" x14ac:dyDescent="0.25">
      <c r="B151" s="68"/>
      <c r="C151" s="28" t="s">
        <v>195</v>
      </c>
      <c r="D151" s="28" t="s">
        <v>647</v>
      </c>
      <c r="E151" s="28" t="s">
        <v>648</v>
      </c>
      <c r="F151" s="28" t="s">
        <v>328</v>
      </c>
      <c r="G151" s="28">
        <v>5.0612244897959097E-2</v>
      </c>
      <c r="H151" s="28" t="s">
        <v>945</v>
      </c>
      <c r="I151" s="61"/>
      <c r="J151" s="28"/>
    </row>
    <row r="152" spans="2:10" hidden="1" x14ac:dyDescent="0.25">
      <c r="B152" s="68"/>
      <c r="C152" s="28" t="s">
        <v>163</v>
      </c>
      <c r="D152" s="28" t="s">
        <v>528</v>
      </c>
      <c r="E152" s="28" t="s">
        <v>529</v>
      </c>
      <c r="F152" s="28" t="s">
        <v>311</v>
      </c>
      <c r="G152" s="28">
        <v>3.8231292517006701E-2</v>
      </c>
      <c r="H152" s="28" t="s">
        <v>885</v>
      </c>
      <c r="I152" s="61"/>
      <c r="J152" s="28"/>
    </row>
    <row r="153" spans="2:10" hidden="1" x14ac:dyDescent="0.25">
      <c r="B153" s="68"/>
      <c r="C153" s="28" t="s">
        <v>114</v>
      </c>
      <c r="D153" s="28" t="s">
        <v>364</v>
      </c>
      <c r="E153" s="28" t="s">
        <v>365</v>
      </c>
      <c r="F153" s="28" t="s">
        <v>366</v>
      </c>
      <c r="G153" s="28">
        <v>3.3847362499999999E-2</v>
      </c>
      <c r="H153" s="28" t="s">
        <v>794</v>
      </c>
      <c r="I153" s="61"/>
      <c r="J153" s="28"/>
    </row>
    <row r="154" spans="2:10" hidden="1" x14ac:dyDescent="0.25">
      <c r="B154" s="68"/>
      <c r="C154" s="28" t="s">
        <v>153</v>
      </c>
      <c r="D154" s="28" t="s">
        <v>494</v>
      </c>
      <c r="E154" s="28" t="s">
        <v>495</v>
      </c>
      <c r="F154" s="28" t="s">
        <v>427</v>
      </c>
      <c r="G154" s="28">
        <v>3.2108154999999999E-2</v>
      </c>
      <c r="H154" s="28" t="s">
        <v>868</v>
      </c>
      <c r="I154" s="61"/>
      <c r="J154" s="28"/>
    </row>
    <row r="155" spans="2:10" hidden="1" x14ac:dyDescent="0.25">
      <c r="B155" s="68"/>
      <c r="C155" s="28" t="s">
        <v>144</v>
      </c>
      <c r="D155" s="28" t="s">
        <v>467</v>
      </c>
      <c r="E155" s="28" t="s">
        <v>302</v>
      </c>
      <c r="F155" s="28" t="s">
        <v>303</v>
      </c>
      <c r="G155" s="28">
        <v>2.8303268610000001E-2</v>
      </c>
      <c r="H155" s="28" t="s">
        <v>852</v>
      </c>
      <c r="I155" s="61"/>
      <c r="J155" s="28"/>
    </row>
    <row r="156" spans="2:10" hidden="1" x14ac:dyDescent="0.25">
      <c r="B156" s="68"/>
      <c r="C156" s="28" t="s">
        <v>191</v>
      </c>
      <c r="D156" s="28" t="s">
        <v>625</v>
      </c>
      <c r="E156" s="28" t="s">
        <v>626</v>
      </c>
      <c r="F156" s="28" t="s">
        <v>324</v>
      </c>
      <c r="G156" s="28">
        <v>2.7251999999999998E-2</v>
      </c>
      <c r="H156" s="28" t="s">
        <v>936</v>
      </c>
      <c r="I156" s="61"/>
      <c r="J156" s="28"/>
    </row>
    <row r="157" spans="2:10" hidden="1" x14ac:dyDescent="0.25">
      <c r="B157" s="68"/>
      <c r="C157" s="28" t="s">
        <v>188</v>
      </c>
      <c r="D157" s="28" t="s">
        <v>617</v>
      </c>
      <c r="E157" s="28" t="s">
        <v>618</v>
      </c>
      <c r="F157" s="28" t="s">
        <v>311</v>
      </c>
      <c r="G157" s="28">
        <v>2.3356009070294701E-2</v>
      </c>
      <c r="H157" s="28" t="s">
        <v>931</v>
      </c>
      <c r="I157" s="61"/>
      <c r="J157" s="28"/>
    </row>
    <row r="158" spans="2:10" hidden="1" x14ac:dyDescent="0.25">
      <c r="B158" s="68"/>
      <c r="C158" s="28" t="s">
        <v>166</v>
      </c>
      <c r="D158" s="28" t="s">
        <v>537</v>
      </c>
      <c r="E158" s="28" t="s">
        <v>538</v>
      </c>
      <c r="F158" s="28" t="s">
        <v>362</v>
      </c>
      <c r="G158" s="28">
        <v>1.6553287981859399E-2</v>
      </c>
      <c r="H158" s="28" t="s">
        <v>890</v>
      </c>
      <c r="I158" s="61"/>
      <c r="J158" s="28"/>
    </row>
    <row r="159" spans="2:10" hidden="1" x14ac:dyDescent="0.25">
      <c r="B159" s="68"/>
      <c r="C159" s="28" t="s">
        <v>166</v>
      </c>
      <c r="D159" s="28" t="s">
        <v>537</v>
      </c>
      <c r="E159" s="28" t="s">
        <v>538</v>
      </c>
      <c r="F159" s="28" t="s">
        <v>362</v>
      </c>
      <c r="G159" s="28">
        <v>1.6553287981859399E-2</v>
      </c>
      <c r="H159" s="28" t="s">
        <v>890</v>
      </c>
      <c r="I159" s="61"/>
      <c r="J159" s="28"/>
    </row>
    <row r="160" spans="2:10" hidden="1" x14ac:dyDescent="0.25">
      <c r="B160" s="68"/>
      <c r="C160" s="28" t="s">
        <v>188</v>
      </c>
      <c r="D160" s="28" t="s">
        <v>617</v>
      </c>
      <c r="E160" s="28" t="s">
        <v>618</v>
      </c>
      <c r="F160" s="28" t="s">
        <v>311</v>
      </c>
      <c r="G160" s="28">
        <v>8.3365571249999996E-3</v>
      </c>
      <c r="H160" s="28" t="s">
        <v>931</v>
      </c>
      <c r="I160" s="61"/>
      <c r="J160" s="28"/>
    </row>
    <row r="161" spans="1:10" hidden="1" x14ac:dyDescent="0.25">
      <c r="B161" s="68"/>
      <c r="C161" s="28" t="s">
        <v>108</v>
      </c>
      <c r="D161" s="28" t="s">
        <v>336</v>
      </c>
      <c r="E161" s="28" t="s">
        <v>337</v>
      </c>
      <c r="F161" s="28" t="s">
        <v>338</v>
      </c>
      <c r="G161" s="28">
        <v>5.7606791599999997E-3</v>
      </c>
      <c r="H161" s="28" t="s">
        <v>782</v>
      </c>
      <c r="I161" s="61"/>
      <c r="J161" s="28"/>
    </row>
    <row r="162" spans="1:10" hidden="1" x14ac:dyDescent="0.25">
      <c r="B162" s="68"/>
      <c r="C162" s="28" t="s">
        <v>99</v>
      </c>
      <c r="D162" s="28" t="s">
        <v>297</v>
      </c>
      <c r="E162" s="28" t="s">
        <v>298</v>
      </c>
      <c r="F162" s="28" t="s">
        <v>299</v>
      </c>
      <c r="G162" s="28">
        <v>1.0802721088435301E-3</v>
      </c>
      <c r="H162" s="28" t="s">
        <v>764</v>
      </c>
      <c r="I162" s="61"/>
      <c r="J162" s="28"/>
    </row>
    <row r="163" spans="1:10" hidden="1" x14ac:dyDescent="0.25">
      <c r="B163" s="68"/>
      <c r="C163" s="28" t="s">
        <v>133</v>
      </c>
      <c r="D163" s="28" t="s">
        <v>429</v>
      </c>
      <c r="E163" s="28" t="s">
        <v>430</v>
      </c>
      <c r="F163" s="28" t="s">
        <v>366</v>
      </c>
      <c r="G163" s="28">
        <v>8.7587301587301503E-4</v>
      </c>
      <c r="H163" s="28" t="s">
        <v>831</v>
      </c>
      <c r="I163" s="61"/>
      <c r="J163" s="28"/>
    </row>
    <row r="164" spans="1:10" hidden="1" x14ac:dyDescent="0.25">
      <c r="A164" s="28">
        <v>2018</v>
      </c>
      <c r="B164" s="68">
        <f>DATE(A164,1,1)</f>
        <v>43101</v>
      </c>
      <c r="C164" s="28" t="s">
        <v>202</v>
      </c>
      <c r="D164" s="28" t="s">
        <v>667</v>
      </c>
      <c r="E164" s="28" t="s">
        <v>323</v>
      </c>
      <c r="F164" s="28" t="s">
        <v>324</v>
      </c>
      <c r="G164" s="28">
        <v>1190.0702053274999</v>
      </c>
      <c r="H164" s="28" t="s">
        <v>957</v>
      </c>
      <c r="I164" s="61">
        <f>SUM(G$1:G164)</f>
        <v>15807.444875015379</v>
      </c>
      <c r="J164" s="192">
        <f t="shared" ref="J164:J170" si="2">I164/SUMIF($A:$A, 2018, G:G)</f>
        <v>10.955428421171984</v>
      </c>
    </row>
    <row r="165" spans="1:10" hidden="1" x14ac:dyDescent="0.25">
      <c r="A165" s="28">
        <v>2018</v>
      </c>
      <c r="B165" s="68">
        <v>43101</v>
      </c>
      <c r="C165" s="28" t="s">
        <v>179</v>
      </c>
      <c r="D165" s="28" t="s">
        <v>589</v>
      </c>
      <c r="E165" s="28" t="s">
        <v>590</v>
      </c>
      <c r="F165" s="28" t="s">
        <v>362</v>
      </c>
      <c r="G165" s="28">
        <v>73.125539345454499</v>
      </c>
      <c r="H165" s="28" t="s">
        <v>913</v>
      </c>
      <c r="I165" s="61">
        <f>SUM(G$164:G165)</f>
        <v>1263.1957446729543</v>
      </c>
      <c r="J165" s="192">
        <f t="shared" si="2"/>
        <v>0.87546410391515783</v>
      </c>
    </row>
    <row r="166" spans="1:10" hidden="1" x14ac:dyDescent="0.25">
      <c r="A166" s="28">
        <v>2018</v>
      </c>
      <c r="B166" s="68">
        <v>43101</v>
      </c>
      <c r="C166" s="28" t="s">
        <v>150</v>
      </c>
      <c r="D166" s="28" t="s">
        <v>482</v>
      </c>
      <c r="E166" s="28" t="s">
        <v>302</v>
      </c>
      <c r="F166" s="28" t="s">
        <v>303</v>
      </c>
      <c r="G166" s="28">
        <v>53.405895691609899</v>
      </c>
      <c r="H166" s="28" t="s">
        <v>862</v>
      </c>
      <c r="I166" s="61">
        <f>SUM(G$164:G166)</f>
        <v>1316.6016403645642</v>
      </c>
      <c r="J166" s="192">
        <f t="shared" si="2"/>
        <v>0.91247732598514408</v>
      </c>
    </row>
    <row r="167" spans="1:10" hidden="1" x14ac:dyDescent="0.25">
      <c r="A167" s="28">
        <v>2018</v>
      </c>
      <c r="B167" s="68">
        <v>43101</v>
      </c>
      <c r="C167" s="28" t="s">
        <v>201</v>
      </c>
      <c r="D167" s="28" t="s">
        <v>665</v>
      </c>
      <c r="E167" s="28" t="s">
        <v>516</v>
      </c>
      <c r="F167" s="28" t="s">
        <v>303</v>
      </c>
      <c r="G167" s="28">
        <v>45.667638483965</v>
      </c>
      <c r="H167" s="28" t="s">
        <v>956</v>
      </c>
      <c r="I167" s="61">
        <f>SUM(G$164:G167)</f>
        <v>1362.2692788485292</v>
      </c>
      <c r="J167" s="192">
        <f t="shared" si="2"/>
        <v>0.94412751034642595</v>
      </c>
    </row>
    <row r="168" spans="1:10" hidden="1" x14ac:dyDescent="0.25">
      <c r="A168" s="28">
        <v>2018</v>
      </c>
      <c r="B168" s="68">
        <f>DATE(A168,1,1)</f>
        <v>43101</v>
      </c>
      <c r="C168" s="28" t="s">
        <v>202</v>
      </c>
      <c r="D168" s="28" t="s">
        <v>667</v>
      </c>
      <c r="E168" s="28" t="s">
        <v>323</v>
      </c>
      <c r="F168" s="28" t="s">
        <v>324</v>
      </c>
      <c r="G168" s="28">
        <v>30.141496598639399</v>
      </c>
      <c r="H168" s="28" t="s">
        <v>957</v>
      </c>
      <c r="I168" s="61">
        <f>SUM(G$164:G168)</f>
        <v>1392.4107754471686</v>
      </c>
      <c r="J168" s="192">
        <f t="shared" si="2"/>
        <v>0.96501722472495366</v>
      </c>
    </row>
    <row r="169" spans="1:10" hidden="1" x14ac:dyDescent="0.25">
      <c r="A169" s="28">
        <v>2018</v>
      </c>
      <c r="B169" s="68">
        <v>43101</v>
      </c>
      <c r="C169" s="28" t="s">
        <v>178</v>
      </c>
      <c r="D169" s="28" t="s">
        <v>584</v>
      </c>
      <c r="E169" s="28" t="s">
        <v>516</v>
      </c>
      <c r="F169" s="28" t="s">
        <v>303</v>
      </c>
      <c r="G169" s="28">
        <v>25.306122448979501</v>
      </c>
      <c r="H169" s="28" t="s">
        <v>912</v>
      </c>
      <c r="I169" s="61">
        <f>SUM(G$164:G169)</f>
        <v>1417.7168978961481</v>
      </c>
      <c r="J169" s="192">
        <f t="shared" si="2"/>
        <v>0.98255575895988256</v>
      </c>
    </row>
    <row r="170" spans="1:10" hidden="1" x14ac:dyDescent="0.25">
      <c r="A170" s="28">
        <v>2018</v>
      </c>
      <c r="B170" s="68">
        <v>43101</v>
      </c>
      <c r="C170" s="28" t="s">
        <v>135</v>
      </c>
      <c r="D170" s="28" t="s">
        <v>439</v>
      </c>
      <c r="E170" s="28" t="s">
        <v>426</v>
      </c>
      <c r="F170" s="28" t="s">
        <v>427</v>
      </c>
      <c r="G170" s="28">
        <v>25.170068027210799</v>
      </c>
      <c r="H170" s="28" t="s">
        <v>835</v>
      </c>
      <c r="I170" s="61">
        <f>SUM(G$164:G170)</f>
        <v>1442.886965923359</v>
      </c>
      <c r="J170" s="192">
        <f t="shared" si="2"/>
        <v>1</v>
      </c>
    </row>
    <row r="219" spans="1:10" hidden="1" x14ac:dyDescent="0.25">
      <c r="A219" s="28">
        <v>2019</v>
      </c>
      <c r="B219" s="68">
        <v>43466</v>
      </c>
      <c r="C219" s="28" t="s">
        <v>202</v>
      </c>
      <c r="D219" s="28" t="s">
        <v>667</v>
      </c>
      <c r="E219" s="28" t="s">
        <v>323</v>
      </c>
      <c r="F219" s="28" t="s">
        <v>324</v>
      </c>
      <c r="G219" s="28">
        <v>209.206474574</v>
      </c>
      <c r="H219" s="28" t="s">
        <v>957</v>
      </c>
      <c r="I219" s="61">
        <f>SUM(G$219:G219)</f>
        <v>209.206474574</v>
      </c>
      <c r="J219" s="192">
        <f t="shared" ref="J219:J226" si="3">I219/SUMIF($A:$A, 2019, G:G)</f>
        <v>0.2757747431382786</v>
      </c>
    </row>
    <row r="220" spans="1:10" hidden="1" x14ac:dyDescent="0.25">
      <c r="A220" s="28">
        <v>2019</v>
      </c>
      <c r="B220" s="68">
        <v>43466</v>
      </c>
      <c r="C220" s="28" t="s">
        <v>135</v>
      </c>
      <c r="D220" s="28" t="s">
        <v>439</v>
      </c>
      <c r="E220" s="28" t="s">
        <v>426</v>
      </c>
      <c r="F220" s="28" t="s">
        <v>427</v>
      </c>
      <c r="G220" s="28">
        <v>188.027210884353</v>
      </c>
      <c r="H220" s="28" t="s">
        <v>835</v>
      </c>
      <c r="I220" s="61">
        <f>SUM(G$219:G220)</f>
        <v>397.23368545835297</v>
      </c>
      <c r="J220" s="192">
        <f t="shared" si="3"/>
        <v>0.5236311055679127</v>
      </c>
    </row>
    <row r="221" spans="1:10" hidden="1" x14ac:dyDescent="0.25">
      <c r="A221" s="28">
        <v>2019</v>
      </c>
      <c r="B221" s="68">
        <v>43466</v>
      </c>
      <c r="C221" s="28" t="s">
        <v>149</v>
      </c>
      <c r="D221" s="28" t="s">
        <v>479</v>
      </c>
      <c r="E221" s="28" t="s">
        <v>480</v>
      </c>
      <c r="F221" s="28" t="s">
        <v>362</v>
      </c>
      <c r="G221" s="28">
        <v>110.548752834467</v>
      </c>
      <c r="H221" s="28" t="s">
        <v>860</v>
      </c>
      <c r="I221" s="61">
        <f>SUM(G$219:G221)</f>
        <v>507.78243829281996</v>
      </c>
      <c r="J221" s="192">
        <f t="shared" si="3"/>
        <v>0.66935582072914712</v>
      </c>
    </row>
    <row r="222" spans="1:10" hidden="1" x14ac:dyDescent="0.25">
      <c r="A222" s="28">
        <v>2019</v>
      </c>
      <c r="B222" s="68">
        <v>43466</v>
      </c>
      <c r="C222" s="28" t="s">
        <v>178</v>
      </c>
      <c r="D222" s="28" t="s">
        <v>584</v>
      </c>
      <c r="E222" s="28" t="s">
        <v>516</v>
      </c>
      <c r="F222" s="28" t="s">
        <v>303</v>
      </c>
      <c r="G222" s="28">
        <v>74.231292517006693</v>
      </c>
      <c r="H222" s="28" t="s">
        <v>912</v>
      </c>
      <c r="I222" s="61">
        <f>SUM(G$219:G222)</f>
        <v>582.01373080982671</v>
      </c>
      <c r="J222" s="192">
        <f t="shared" si="3"/>
        <v>0.76720707350889306</v>
      </c>
    </row>
    <row r="223" spans="1:10" hidden="1" x14ac:dyDescent="0.25">
      <c r="A223" s="28">
        <v>2019</v>
      </c>
      <c r="B223" s="68">
        <v>43466</v>
      </c>
      <c r="C223" s="28" t="s">
        <v>179</v>
      </c>
      <c r="D223" s="28" t="s">
        <v>589</v>
      </c>
      <c r="E223" s="28" t="s">
        <v>590</v>
      </c>
      <c r="F223" s="28" t="s">
        <v>362</v>
      </c>
      <c r="G223" s="28">
        <v>65.076950181818106</v>
      </c>
      <c r="H223" s="28" t="s">
        <v>913</v>
      </c>
      <c r="I223" s="61">
        <f>SUM(G$219:G223)</f>
        <v>647.09068099164483</v>
      </c>
      <c r="J223" s="192">
        <f t="shared" si="3"/>
        <v>0.85299112611604799</v>
      </c>
    </row>
    <row r="224" spans="1:10" hidden="1" x14ac:dyDescent="0.25">
      <c r="A224" s="28">
        <v>2019</v>
      </c>
      <c r="B224" s="68">
        <v>43466</v>
      </c>
      <c r="C224" s="28" t="s">
        <v>105</v>
      </c>
      <c r="D224" s="28" t="s">
        <v>322</v>
      </c>
      <c r="E224" s="28" t="s">
        <v>323</v>
      </c>
      <c r="F224" s="28" t="s">
        <v>324</v>
      </c>
      <c r="G224" s="28">
        <v>62.121088435374098</v>
      </c>
      <c r="H224" s="28" t="s">
        <v>776</v>
      </c>
      <c r="I224" s="61">
        <f>SUM(G$219:G224)</f>
        <v>709.21176942701891</v>
      </c>
      <c r="J224" s="192">
        <f t="shared" si="3"/>
        <v>0.93487877917085771</v>
      </c>
    </row>
    <row r="225" spans="1:10" hidden="1" x14ac:dyDescent="0.25">
      <c r="A225" s="28">
        <v>2019</v>
      </c>
      <c r="B225" s="68">
        <v>43466</v>
      </c>
      <c r="C225" s="28" t="s">
        <v>137</v>
      </c>
      <c r="D225" s="28" t="s">
        <v>445</v>
      </c>
      <c r="E225" s="28" t="s">
        <v>446</v>
      </c>
      <c r="F225" s="28" t="s">
        <v>303</v>
      </c>
      <c r="G225" s="28">
        <v>35.813726774999999</v>
      </c>
      <c r="H225" s="28" t="s">
        <v>839</v>
      </c>
      <c r="I225" s="61">
        <f>SUM(G$219:G225)</f>
        <v>745.02549620201887</v>
      </c>
      <c r="J225" s="192">
        <f t="shared" si="3"/>
        <v>0.98208822296226683</v>
      </c>
    </row>
    <row r="226" spans="1:10" hidden="1" x14ac:dyDescent="0.25">
      <c r="A226" s="28">
        <v>2019</v>
      </c>
      <c r="B226" s="68">
        <v>43466</v>
      </c>
      <c r="C226" s="28" t="s">
        <v>202</v>
      </c>
      <c r="D226" s="28" t="s">
        <v>667</v>
      </c>
      <c r="E226" s="28" t="s">
        <v>323</v>
      </c>
      <c r="F226" s="28" t="s">
        <v>324</v>
      </c>
      <c r="G226" s="28">
        <v>13.5881179138321</v>
      </c>
      <c r="H226" s="28" t="s">
        <v>957</v>
      </c>
      <c r="I226" s="61">
        <f>SUM(G$219:G226)</f>
        <v>758.61361411585096</v>
      </c>
      <c r="J226" s="192">
        <f t="shared" si="3"/>
        <v>1</v>
      </c>
    </row>
    <row r="274" spans="1:10" hidden="1" x14ac:dyDescent="0.25">
      <c r="B274" s="68">
        <v>43831</v>
      </c>
      <c r="C274" s="28" t="s">
        <v>202</v>
      </c>
      <c r="D274" s="28" t="s">
        <v>584</v>
      </c>
      <c r="E274" s="28" t="s">
        <v>516</v>
      </c>
      <c r="F274" s="28" t="s">
        <v>303</v>
      </c>
      <c r="G274" s="28">
        <v>94.693877551020407</v>
      </c>
      <c r="H274" s="28" t="s">
        <v>912</v>
      </c>
      <c r="I274" s="61"/>
      <c r="J274" s="28"/>
    </row>
    <row r="275" spans="1:10" x14ac:dyDescent="0.25">
      <c r="A275" s="28">
        <v>2020</v>
      </c>
      <c r="B275" s="68">
        <v>43831</v>
      </c>
      <c r="C275" s="28" t="s">
        <v>137</v>
      </c>
      <c r="D275" s="28" t="s">
        <v>445</v>
      </c>
      <c r="E275" s="28" t="s">
        <v>446</v>
      </c>
      <c r="F275" s="28" t="s">
        <v>303</v>
      </c>
      <c r="G275" s="28">
        <v>64273.493855699999</v>
      </c>
      <c r="H275" s="28" t="s">
        <v>839</v>
      </c>
      <c r="I275" s="61"/>
      <c r="J275" s="222"/>
    </row>
    <row r="276" spans="1:10" x14ac:dyDescent="0.25">
      <c r="A276" s="28">
        <v>2020</v>
      </c>
      <c r="B276" s="68">
        <f>DATE(A276,1,1)</f>
        <v>43831</v>
      </c>
      <c r="C276" s="28" t="s">
        <v>202</v>
      </c>
      <c r="D276" s="28" t="s">
        <v>667</v>
      </c>
      <c r="E276" s="28" t="s">
        <v>323</v>
      </c>
      <c r="F276" s="28" t="s">
        <v>324</v>
      </c>
      <c r="G276" s="28">
        <v>461.84945441719998</v>
      </c>
      <c r="H276" s="28" t="s">
        <v>957</v>
      </c>
      <c r="I276" s="61">
        <f>SUM(G$276:G276)</f>
        <v>461.84945441719998</v>
      </c>
      <c r="J276" s="222">
        <f t="shared" ref="J276:J284" si="4">I276/SUMIF(A$276:A$542, 2020, G$276:G$542)</f>
        <v>0.56419955336071903</v>
      </c>
    </row>
    <row r="277" spans="1:10" x14ac:dyDescent="0.25">
      <c r="A277" s="28">
        <v>2020</v>
      </c>
      <c r="B277" s="68">
        <f>DATE(A277,1,1)</f>
        <v>43831</v>
      </c>
      <c r="C277" s="28" t="s">
        <v>135</v>
      </c>
      <c r="D277" s="28" t="s">
        <v>439</v>
      </c>
      <c r="E277" s="28" t="s">
        <v>426</v>
      </c>
      <c r="F277" s="28" t="s">
        <v>427</v>
      </c>
      <c r="G277" s="28">
        <v>102.494331065759</v>
      </c>
      <c r="H277" s="28" t="s">
        <v>835</v>
      </c>
      <c r="I277" s="61">
        <f>SUM(G$276:G277)</f>
        <v>564.34378548295899</v>
      </c>
      <c r="J277" s="222">
        <f t="shared" si="4"/>
        <v>0.68940757354183657</v>
      </c>
    </row>
    <row r="278" spans="1:10" x14ac:dyDescent="0.25">
      <c r="A278" s="28">
        <v>2020</v>
      </c>
      <c r="B278" s="68">
        <f>DATE(A278,1,1)</f>
        <v>43831</v>
      </c>
      <c r="C278" s="28" t="s">
        <v>178</v>
      </c>
      <c r="D278" s="28" t="s">
        <v>584</v>
      </c>
      <c r="E278" s="28" t="s">
        <v>516</v>
      </c>
      <c r="F278" s="28" t="s">
        <v>303</v>
      </c>
      <c r="G278" s="28">
        <v>94.693877551020407</v>
      </c>
      <c r="H278" s="28" t="s">
        <v>912</v>
      </c>
      <c r="I278" s="61">
        <f>SUM(G$276:G278)</f>
        <v>659.03766303397936</v>
      </c>
      <c r="J278" s="222">
        <f t="shared" si="4"/>
        <v>0.80508648776226799</v>
      </c>
    </row>
    <row r="279" spans="1:10" x14ac:dyDescent="0.25">
      <c r="A279" s="28">
        <v>2020</v>
      </c>
      <c r="B279" s="68">
        <v>43831</v>
      </c>
      <c r="C279" s="28" t="s">
        <v>179</v>
      </c>
      <c r="D279" s="28" t="s">
        <v>589</v>
      </c>
      <c r="E279" s="28" t="s">
        <v>590</v>
      </c>
      <c r="F279" s="28" t="s">
        <v>362</v>
      </c>
      <c r="G279" s="28">
        <v>57.4163304</v>
      </c>
      <c r="H279" s="28" t="s">
        <v>913</v>
      </c>
      <c r="I279" s="61">
        <f>SUM(G$276:G279)</f>
        <v>716.45399343397935</v>
      </c>
      <c r="J279" s="222">
        <f t="shared" si="4"/>
        <v>0.87522680655547569</v>
      </c>
    </row>
    <row r="280" spans="1:10" x14ac:dyDescent="0.25">
      <c r="A280" s="28">
        <v>2020</v>
      </c>
      <c r="B280" s="68">
        <f>DATE(A280,1,1)</f>
        <v>43831</v>
      </c>
      <c r="C280" s="28" t="s">
        <v>105</v>
      </c>
      <c r="D280" s="28" t="s">
        <v>322</v>
      </c>
      <c r="E280" s="28" t="s">
        <v>323</v>
      </c>
      <c r="F280" s="28" t="s">
        <v>324</v>
      </c>
      <c r="G280" s="28">
        <v>30.189569160997699</v>
      </c>
      <c r="H280" s="28" t="s">
        <v>776</v>
      </c>
      <c r="I280" s="61">
        <f>SUM(G$276:G280)</f>
        <v>746.64356259497708</v>
      </c>
      <c r="J280" s="222">
        <f t="shared" si="4"/>
        <v>0.91210666269448759</v>
      </c>
    </row>
    <row r="281" spans="1:10" x14ac:dyDescent="0.25">
      <c r="A281" s="28">
        <v>2020</v>
      </c>
      <c r="B281" s="68">
        <f>DATE(A281,1,1)</f>
        <v>43831</v>
      </c>
      <c r="C281" s="28" t="s">
        <v>149</v>
      </c>
      <c r="D281" s="28" t="s">
        <v>479</v>
      </c>
      <c r="E281" s="28" t="s">
        <v>480</v>
      </c>
      <c r="F281" s="28" t="s">
        <v>362</v>
      </c>
      <c r="G281" s="28">
        <v>24.816326530612201</v>
      </c>
      <c r="H281" s="28" t="s">
        <v>860</v>
      </c>
      <c r="I281" s="61">
        <f>SUM(G$276:G281)</f>
        <v>771.45988912558926</v>
      </c>
      <c r="J281" s="222">
        <f t="shared" si="4"/>
        <v>0.94242251607639371</v>
      </c>
    </row>
    <row r="282" spans="1:10" x14ac:dyDescent="0.25">
      <c r="A282" s="28">
        <v>2020</v>
      </c>
      <c r="B282" s="68">
        <v>43831</v>
      </c>
      <c r="C282" s="28" t="s">
        <v>202</v>
      </c>
      <c r="D282" s="28" t="s">
        <v>667</v>
      </c>
      <c r="E282" s="28" t="s">
        <v>323</v>
      </c>
      <c r="F282" s="28" t="s">
        <v>324</v>
      </c>
      <c r="G282" s="28">
        <v>16.735736961451199</v>
      </c>
      <c r="H282" s="28" t="s">
        <v>957</v>
      </c>
      <c r="I282" s="61">
        <f>SUM(G$276:G282)</f>
        <v>788.19562608704041</v>
      </c>
      <c r="J282" s="222">
        <f t="shared" si="4"/>
        <v>0.96286704670971068</v>
      </c>
    </row>
    <row r="283" spans="1:10" x14ac:dyDescent="0.25">
      <c r="A283" s="28">
        <v>2020</v>
      </c>
      <c r="B283" s="68">
        <v>43831</v>
      </c>
      <c r="C283" s="28" t="s">
        <v>150</v>
      </c>
      <c r="D283" s="28" t="s">
        <v>482</v>
      </c>
      <c r="E283" s="28" t="s">
        <v>302</v>
      </c>
      <c r="F283" s="28" t="s">
        <v>303</v>
      </c>
      <c r="G283" s="28">
        <v>16.4172335600907</v>
      </c>
      <c r="H283" s="28" t="s">
        <v>862</v>
      </c>
      <c r="I283" s="61">
        <f>SUM(G$276:G283)</f>
        <v>804.61285964713113</v>
      </c>
      <c r="J283" s="222">
        <f t="shared" si="4"/>
        <v>0.98292249065022619</v>
      </c>
    </row>
    <row r="284" spans="1:10" x14ac:dyDescent="0.25">
      <c r="A284" s="28">
        <v>2020</v>
      </c>
      <c r="B284" s="68">
        <f>DATE(A284,1,1)</f>
        <v>43831</v>
      </c>
      <c r="C284" s="28" t="s">
        <v>183</v>
      </c>
      <c r="D284" s="28" t="s">
        <v>604</v>
      </c>
      <c r="E284" s="28" t="s">
        <v>446</v>
      </c>
      <c r="F284" s="28" t="s">
        <v>303</v>
      </c>
      <c r="G284" s="28">
        <v>13.979519</v>
      </c>
      <c r="H284" s="28" t="s">
        <v>921</v>
      </c>
      <c r="I284" s="61">
        <f>SUM(G$276:G284)</f>
        <v>818.59237864713111</v>
      </c>
      <c r="J284" s="222">
        <f t="shared" si="4"/>
        <v>1</v>
      </c>
    </row>
    <row r="331" spans="3:8" hidden="1" x14ac:dyDescent="0.25">
      <c r="C331" s="28" t="s">
        <v>203</v>
      </c>
      <c r="D331" s="28" t="s">
        <v>669</v>
      </c>
      <c r="E331" s="28" t="s">
        <v>348</v>
      </c>
      <c r="F331" s="28" t="s">
        <v>349</v>
      </c>
      <c r="G331" s="28">
        <v>0.73822110100000005</v>
      </c>
      <c r="H331" s="28" t="s">
        <v>959</v>
      </c>
    </row>
  </sheetData>
  <autoFilter ref="A1:J598" xr:uid="{7B806EB5-5E51-4FEE-9367-C5C64547AAE5}">
    <filterColumn colId="0">
      <filters>
        <filter val="2020"/>
      </filters>
    </filterColumn>
    <sortState xmlns:xlrd2="http://schemas.microsoft.com/office/spreadsheetml/2017/richdata2" ref="A275:J598">
      <sortCondition descending="1" ref="G1:G598"/>
    </sortState>
  </autoFilter>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BE23B-276D-484F-9764-B2C75E12B269}">
  <sheetPr>
    <tabColor theme="8" tint="0.59999389629810485"/>
  </sheetPr>
  <dimension ref="A1:S2537"/>
  <sheetViews>
    <sheetView zoomScale="80" zoomScaleNormal="80" workbookViewId="0"/>
  </sheetViews>
  <sheetFormatPr defaultRowHeight="15" x14ac:dyDescent="0.25"/>
  <cols>
    <col min="1" max="1" width="13.140625" bestFit="1" customWidth="1"/>
    <col min="2" max="2" width="9.5703125" customWidth="1"/>
    <col min="3" max="3" width="37.140625" customWidth="1"/>
    <col min="4" max="4" width="13" bestFit="1" customWidth="1"/>
    <col min="8" max="8" width="13.7109375" bestFit="1" customWidth="1"/>
    <col min="9" max="9" width="15.140625" bestFit="1" customWidth="1"/>
    <col min="10" max="10" width="11.85546875" bestFit="1" customWidth="1"/>
    <col min="11" max="11" width="15.42578125" bestFit="1" customWidth="1"/>
    <col min="12" max="12" width="34.140625" customWidth="1"/>
    <col min="13" max="13" width="12.7109375" customWidth="1"/>
    <col min="14" max="14" width="36" customWidth="1"/>
    <col min="15" max="15" width="11.42578125" customWidth="1"/>
    <col min="16" max="16" width="24.42578125" customWidth="1"/>
    <col min="17" max="17" width="13.85546875" customWidth="1"/>
    <col min="18" max="18" width="25.5703125" customWidth="1"/>
    <col min="19" max="19" width="25.85546875" bestFit="1" customWidth="1"/>
  </cols>
  <sheetData>
    <row r="1" spans="1:19" x14ac:dyDescent="0.25">
      <c r="A1" t="s">
        <v>2395</v>
      </c>
      <c r="B1" t="s">
        <v>2396</v>
      </c>
      <c r="C1" t="s">
        <v>276</v>
      </c>
      <c r="D1" t="s">
        <v>277</v>
      </c>
      <c r="E1" t="s">
        <v>278</v>
      </c>
      <c r="F1" t="s">
        <v>279</v>
      </c>
      <c r="G1" t="s">
        <v>2397</v>
      </c>
      <c r="H1" t="s">
        <v>281</v>
      </c>
      <c r="I1" t="s">
        <v>282</v>
      </c>
      <c r="J1" t="s">
        <v>2398</v>
      </c>
      <c r="K1" t="s">
        <v>284</v>
      </c>
      <c r="L1" t="s">
        <v>285</v>
      </c>
      <c r="M1" t="s">
        <v>2399</v>
      </c>
      <c r="N1" t="s">
        <v>2400</v>
      </c>
      <c r="O1" t="s">
        <v>288</v>
      </c>
      <c r="P1" t="s">
        <v>1451</v>
      </c>
      <c r="Q1" t="s">
        <v>291</v>
      </c>
      <c r="R1" t="s">
        <v>2401</v>
      </c>
      <c r="S1" t="s">
        <v>2402</v>
      </c>
    </row>
    <row r="2" spans="1:19" x14ac:dyDescent="0.25">
      <c r="A2" s="28">
        <v>2018</v>
      </c>
      <c r="B2" s="28"/>
      <c r="C2" s="28" t="s">
        <v>96</v>
      </c>
      <c r="D2" s="28" t="s">
        <v>292</v>
      </c>
      <c r="E2" s="28" t="s">
        <v>293</v>
      </c>
      <c r="F2" s="28" t="s">
        <v>294</v>
      </c>
      <c r="G2" s="28">
        <v>22203</v>
      </c>
      <c r="H2" s="28">
        <v>38.882449999999999</v>
      </c>
      <c r="I2" s="28">
        <v>-77.108000000000004</v>
      </c>
      <c r="J2" s="28" t="s">
        <v>295</v>
      </c>
      <c r="K2" s="61">
        <v>110070549382</v>
      </c>
      <c r="L2" s="61" t="str">
        <f>INDEX('Facility Summary'!$K:$K,MATCH(K2,'Facility Summary'!$J:$J,0))</f>
        <v>Remediation</v>
      </c>
      <c r="M2" s="28"/>
      <c r="N2" s="28"/>
      <c r="O2" s="28"/>
      <c r="P2" s="28"/>
      <c r="Q2" s="28"/>
      <c r="R2" s="28"/>
      <c r="S2" s="28">
        <v>2.8342079999999902E-2</v>
      </c>
    </row>
    <row r="3" spans="1:19" x14ac:dyDescent="0.25">
      <c r="A3" s="28">
        <v>2016</v>
      </c>
      <c r="B3" s="28"/>
      <c r="C3" s="28" t="s">
        <v>99</v>
      </c>
      <c r="D3" s="28" t="s">
        <v>297</v>
      </c>
      <c r="E3" s="28" t="s">
        <v>298</v>
      </c>
      <c r="F3" s="28" t="s">
        <v>299</v>
      </c>
      <c r="G3" s="28">
        <v>72903</v>
      </c>
      <c r="H3" s="28">
        <v>35.327162000000001</v>
      </c>
      <c r="I3" s="28">
        <v>-94.380183000000002</v>
      </c>
      <c r="J3" s="28"/>
      <c r="K3" s="61">
        <v>110066929033</v>
      </c>
      <c r="L3" s="61" t="str">
        <f>INDEX('Facility Summary'!$K:$K,MATCH(K3,'Facility Summary'!$J:$J,0))</f>
        <v>Unknown</v>
      </c>
      <c r="M3" s="28"/>
      <c r="N3" s="28"/>
      <c r="O3" s="28"/>
      <c r="P3" s="28"/>
      <c r="Q3" s="28"/>
      <c r="R3" s="28"/>
      <c r="S3" s="28">
        <v>3.39138321995464E-3</v>
      </c>
    </row>
    <row r="4" spans="1:19" x14ac:dyDescent="0.25">
      <c r="A4" s="28">
        <v>2017</v>
      </c>
      <c r="B4" s="28"/>
      <c r="C4" s="28" t="s">
        <v>99</v>
      </c>
      <c r="D4" s="28" t="s">
        <v>297</v>
      </c>
      <c r="E4" s="28" t="s">
        <v>298</v>
      </c>
      <c r="F4" s="28" t="s">
        <v>299</v>
      </c>
      <c r="G4" s="28">
        <v>72903</v>
      </c>
      <c r="H4" s="28">
        <v>35.327162000000001</v>
      </c>
      <c r="I4" s="28">
        <v>-94.380183000000002</v>
      </c>
      <c r="J4" s="28"/>
      <c r="K4" s="61">
        <v>110066929033</v>
      </c>
      <c r="L4" s="61" t="str">
        <f>INDEX('Facility Summary'!$K:$K,MATCH(K4,'Facility Summary'!$J:$J,0))</f>
        <v>Unknown</v>
      </c>
      <c r="M4" s="28"/>
      <c r="N4" s="28"/>
      <c r="O4" s="28"/>
      <c r="P4" s="28"/>
      <c r="Q4" s="28"/>
      <c r="R4" s="28"/>
      <c r="S4" s="28">
        <v>1.0802721088435301E-3</v>
      </c>
    </row>
    <row r="5" spans="1:19" x14ac:dyDescent="0.25">
      <c r="A5" s="28">
        <v>2017</v>
      </c>
      <c r="B5" s="28"/>
      <c r="C5" s="28" t="s">
        <v>100</v>
      </c>
      <c r="D5" s="28" t="s">
        <v>301</v>
      </c>
      <c r="E5" s="28" t="s">
        <v>302</v>
      </c>
      <c r="F5" s="28" t="s">
        <v>303</v>
      </c>
      <c r="G5" s="28">
        <v>70805</v>
      </c>
      <c r="H5" s="28">
        <v>30.493749999999999</v>
      </c>
      <c r="I5" s="28">
        <v>-91.178740000000005</v>
      </c>
      <c r="J5" s="28" t="s">
        <v>304</v>
      </c>
      <c r="K5" s="61">
        <v>110000606602</v>
      </c>
      <c r="L5" s="61" t="str">
        <f>INDEX('Facility Summary'!$K:$K,MATCH(K5,'Facility Summary'!$J:$J,0))</f>
        <v>Processing into formulation, mixture, or reaction product</v>
      </c>
      <c r="M5" s="28"/>
      <c r="N5" s="28"/>
      <c r="O5" s="28"/>
      <c r="P5" s="28"/>
      <c r="Q5" s="28"/>
      <c r="R5" s="28"/>
      <c r="S5" s="28">
        <v>1.2190476190476101</v>
      </c>
    </row>
    <row r="6" spans="1:19" x14ac:dyDescent="0.25">
      <c r="A6" s="28">
        <v>2015</v>
      </c>
      <c r="B6" s="28" t="s">
        <v>2403</v>
      </c>
      <c r="C6" s="28" t="s">
        <v>683</v>
      </c>
      <c r="D6" s="28" t="s">
        <v>684</v>
      </c>
      <c r="E6" s="28" t="s">
        <v>685</v>
      </c>
      <c r="F6" s="28" t="s">
        <v>686</v>
      </c>
      <c r="G6" s="28">
        <v>53085</v>
      </c>
      <c r="H6" s="28">
        <v>43.674059999999997</v>
      </c>
      <c r="I6" s="28">
        <v>-87.781469999999999</v>
      </c>
      <c r="J6" s="28" t="s">
        <v>687</v>
      </c>
      <c r="K6" s="61">
        <v>110000605872</v>
      </c>
      <c r="L6" s="61" t="str">
        <f>INDEX('Facility Summary'!$K:$K,MATCH(K6,'Facility Summary'!$J:$J,0))</f>
        <v>Repackaging</v>
      </c>
      <c r="M6" s="28">
        <v>325199</v>
      </c>
      <c r="N6" s="28" t="s">
        <v>28</v>
      </c>
      <c r="O6" s="28"/>
      <c r="P6" s="28" t="s">
        <v>2404</v>
      </c>
      <c r="Q6" s="28"/>
      <c r="R6" s="28">
        <v>500</v>
      </c>
      <c r="S6" s="28">
        <v>226.79618500000001</v>
      </c>
    </row>
    <row r="7" spans="1:19" x14ac:dyDescent="0.25">
      <c r="A7" s="28">
        <v>2018</v>
      </c>
      <c r="B7" s="28" t="s">
        <v>2403</v>
      </c>
      <c r="C7" s="28" t="s">
        <v>683</v>
      </c>
      <c r="D7" s="28" t="s">
        <v>684</v>
      </c>
      <c r="E7" s="28" t="s">
        <v>685</v>
      </c>
      <c r="F7" s="28" t="s">
        <v>686</v>
      </c>
      <c r="G7" s="28">
        <v>53085</v>
      </c>
      <c r="H7" s="28">
        <v>43.674059999999997</v>
      </c>
      <c r="I7" s="28">
        <v>-87.781469999999999</v>
      </c>
      <c r="J7" s="28" t="s">
        <v>687</v>
      </c>
      <c r="K7" s="61">
        <v>110000605872</v>
      </c>
      <c r="L7" s="61" t="str">
        <f>INDEX('Facility Summary'!$K:$K,MATCH(K7,'Facility Summary'!$J:$J,0))</f>
        <v>Repackaging</v>
      </c>
      <c r="M7" s="28">
        <v>325199</v>
      </c>
      <c r="N7" s="28" t="s">
        <v>28</v>
      </c>
      <c r="O7" s="28"/>
      <c r="P7" s="28" t="s">
        <v>2404</v>
      </c>
      <c r="Q7" s="28"/>
      <c r="R7" s="28">
        <v>500</v>
      </c>
      <c r="S7" s="28">
        <v>226.79618500000001</v>
      </c>
    </row>
    <row r="8" spans="1:19" x14ac:dyDescent="0.25">
      <c r="A8" s="28">
        <v>2019</v>
      </c>
      <c r="B8" s="28"/>
      <c r="C8" s="28" t="s">
        <v>101</v>
      </c>
      <c r="D8" s="28" t="s">
        <v>306</v>
      </c>
      <c r="E8" s="28" t="s">
        <v>307</v>
      </c>
      <c r="F8" s="28" t="s">
        <v>308</v>
      </c>
      <c r="G8" s="28">
        <v>2129</v>
      </c>
      <c r="H8" s="28">
        <v>0</v>
      </c>
      <c r="I8" s="28">
        <v>0</v>
      </c>
      <c r="J8" s="28"/>
      <c r="K8" s="61">
        <v>110070549134</v>
      </c>
      <c r="L8" s="61" t="str">
        <f>INDEX('Facility Summary'!$K:$K,MATCH(K8,'Facility Summary'!$J:$J,0))</f>
        <v>Remediation</v>
      </c>
      <c r="M8" s="28"/>
      <c r="N8" s="28"/>
      <c r="O8" s="28"/>
      <c r="P8" s="28"/>
      <c r="Q8" s="28"/>
      <c r="R8" s="28"/>
      <c r="S8" s="28">
        <v>1.578672024E-2</v>
      </c>
    </row>
    <row r="9" spans="1:19" x14ac:dyDescent="0.25">
      <c r="A9" s="28">
        <v>2015</v>
      </c>
      <c r="B9" s="28" t="s">
        <v>2405</v>
      </c>
      <c r="C9" s="28" t="s">
        <v>105</v>
      </c>
      <c r="D9" s="28" t="s">
        <v>322</v>
      </c>
      <c r="E9" s="28" t="s">
        <v>323</v>
      </c>
      <c r="F9" s="28" t="s">
        <v>324</v>
      </c>
      <c r="G9" s="28">
        <v>42029</v>
      </c>
      <c r="H9" s="28">
        <v>37.056699000000002</v>
      </c>
      <c r="I9" s="28">
        <v>-88.365727000000007</v>
      </c>
      <c r="J9" s="28" t="s">
        <v>325</v>
      </c>
      <c r="K9" s="61">
        <v>110000380061</v>
      </c>
      <c r="L9" s="61" t="str">
        <f>IFERROR(INDEX('Facility Summary'!$K:$K,MATCH(K9,'Facility Summary'!$J:$J,0)),INDEX('Raw Annual DMR Data'!$M:$M,MATCH(K9,'Raw Annual DMR Data'!$L:$L,0)))</f>
        <v>Manufacturing</v>
      </c>
      <c r="M9" s="28">
        <v>325180</v>
      </c>
      <c r="N9" s="28" t="s">
        <v>674</v>
      </c>
      <c r="O9" s="28"/>
      <c r="P9" s="28" t="s">
        <v>2404</v>
      </c>
      <c r="Q9" s="28"/>
      <c r="R9" s="28">
        <v>58</v>
      </c>
      <c r="S9" s="28">
        <v>26.30835746</v>
      </c>
    </row>
    <row r="10" spans="1:19" x14ac:dyDescent="0.25">
      <c r="A10" s="28">
        <v>2016</v>
      </c>
      <c r="B10" s="28" t="s">
        <v>2405</v>
      </c>
      <c r="C10" s="28" t="s">
        <v>105</v>
      </c>
      <c r="D10" s="28" t="s">
        <v>322</v>
      </c>
      <c r="E10" s="28" t="s">
        <v>323</v>
      </c>
      <c r="F10" s="28" t="s">
        <v>324</v>
      </c>
      <c r="G10" s="28">
        <v>42029</v>
      </c>
      <c r="H10" s="28">
        <v>37.056699000000002</v>
      </c>
      <c r="I10" s="28">
        <v>-88.365727000000007</v>
      </c>
      <c r="J10" s="28" t="s">
        <v>325</v>
      </c>
      <c r="K10" s="61">
        <v>110000380061</v>
      </c>
      <c r="L10" s="61" t="str">
        <f>IFERROR(INDEX('Facility Summary'!$K:$K,MATCH(K10,'Facility Summary'!$J:$J,0)),INDEX('Raw Annual DMR Data'!$M:$M,MATCH(K10,'Raw Annual DMR Data'!$L:$L,0)))</f>
        <v>Manufacturing</v>
      </c>
      <c r="M10" s="28">
        <v>325180</v>
      </c>
      <c r="N10" s="28" t="s">
        <v>674</v>
      </c>
      <c r="O10" s="28"/>
      <c r="P10" s="28" t="s">
        <v>2404</v>
      </c>
      <c r="Q10" s="28"/>
      <c r="R10" s="28">
        <v>26</v>
      </c>
      <c r="S10" s="28">
        <v>11.793401620000001</v>
      </c>
    </row>
    <row r="11" spans="1:19" x14ac:dyDescent="0.25">
      <c r="A11" s="28">
        <v>2017</v>
      </c>
      <c r="B11" s="28" t="s">
        <v>2405</v>
      </c>
      <c r="C11" s="28" t="s">
        <v>105</v>
      </c>
      <c r="D11" s="28" t="s">
        <v>322</v>
      </c>
      <c r="E11" s="28" t="s">
        <v>323</v>
      </c>
      <c r="F11" s="28" t="s">
        <v>324</v>
      </c>
      <c r="G11" s="28">
        <v>42029</v>
      </c>
      <c r="H11" s="28">
        <v>37.056699000000002</v>
      </c>
      <c r="I11" s="28">
        <v>-88.365727000000007</v>
      </c>
      <c r="J11" s="28" t="s">
        <v>325</v>
      </c>
      <c r="K11" s="61">
        <v>110000380061</v>
      </c>
      <c r="L11" s="61" t="str">
        <f>IFERROR(INDEX('Facility Summary'!$K:$K,MATCH(K11,'Facility Summary'!$J:$J,0)),INDEX('Raw Annual DMR Data'!$M:$M,MATCH(K11,'Raw Annual DMR Data'!$L:$L,0)))</f>
        <v>Manufacturing</v>
      </c>
      <c r="M11" s="28">
        <v>325199</v>
      </c>
      <c r="N11" s="28" t="s">
        <v>28</v>
      </c>
      <c r="O11" s="28"/>
      <c r="P11" s="28" t="s">
        <v>2404</v>
      </c>
      <c r="Q11" s="28"/>
      <c r="R11" s="28">
        <v>160</v>
      </c>
      <c r="S11" s="28">
        <v>72.574779200000009</v>
      </c>
    </row>
    <row r="12" spans="1:19" x14ac:dyDescent="0.25">
      <c r="A12" s="28">
        <v>2018</v>
      </c>
      <c r="B12" s="28" t="s">
        <v>2405</v>
      </c>
      <c r="C12" s="28" t="s">
        <v>105</v>
      </c>
      <c r="D12" s="28" t="s">
        <v>322</v>
      </c>
      <c r="E12" s="28" t="s">
        <v>323</v>
      </c>
      <c r="F12" s="28" t="s">
        <v>324</v>
      </c>
      <c r="G12" s="28">
        <v>42029</v>
      </c>
      <c r="H12" s="28">
        <v>37.056699000000002</v>
      </c>
      <c r="I12" s="28">
        <v>-88.365727000000007</v>
      </c>
      <c r="J12" s="28" t="s">
        <v>325</v>
      </c>
      <c r="K12" s="61">
        <v>110000380061</v>
      </c>
      <c r="L12" s="61" t="str">
        <f>IFERROR(INDEX('Facility Summary'!$K:$K,MATCH(K12,'Facility Summary'!$J:$J,0)),INDEX('Raw Annual DMR Data'!$M:$M,MATCH(K12,'Raw Annual DMR Data'!$L:$L,0)))</f>
        <v>Manufacturing</v>
      </c>
      <c r="M12" s="28">
        <v>325199</v>
      </c>
      <c r="N12" s="28" t="s">
        <v>28</v>
      </c>
      <c r="O12" s="28"/>
      <c r="P12" s="28" t="s">
        <v>2404</v>
      </c>
      <c r="Q12" s="28"/>
      <c r="R12" s="28">
        <v>34</v>
      </c>
      <c r="S12" s="28">
        <v>15.422140580000001</v>
      </c>
    </row>
    <row r="13" spans="1:19" x14ac:dyDescent="0.25">
      <c r="A13" s="28">
        <v>2019</v>
      </c>
      <c r="B13" s="28" t="s">
        <v>2405</v>
      </c>
      <c r="C13" s="28" t="s">
        <v>105</v>
      </c>
      <c r="D13" s="28" t="s">
        <v>322</v>
      </c>
      <c r="E13" s="28" t="s">
        <v>323</v>
      </c>
      <c r="F13" s="28" t="s">
        <v>324</v>
      </c>
      <c r="G13" s="28">
        <v>42029</v>
      </c>
      <c r="H13" s="28">
        <v>37.056699000000002</v>
      </c>
      <c r="I13" s="28">
        <v>-88.365727000000007</v>
      </c>
      <c r="J13" s="28" t="s">
        <v>325</v>
      </c>
      <c r="K13" s="61">
        <v>110000380061</v>
      </c>
      <c r="L13" s="61" t="str">
        <f>IFERROR(INDEX('Facility Summary'!$K:$K,MATCH(K13,'Facility Summary'!$J:$J,0)),INDEX('Raw Annual DMR Data'!$M:$M,MATCH(K13,'Raw Annual DMR Data'!$L:$L,0)))</f>
        <v>Manufacturing</v>
      </c>
      <c r="M13" s="28">
        <v>325199</v>
      </c>
      <c r="N13" s="28" t="s">
        <v>28</v>
      </c>
      <c r="O13" s="28"/>
      <c r="P13" s="28" t="s">
        <v>2404</v>
      </c>
      <c r="Q13" s="28"/>
      <c r="R13" s="28">
        <v>140</v>
      </c>
      <c r="S13" s="28">
        <v>63.502931800000006</v>
      </c>
    </row>
    <row r="14" spans="1:19" x14ac:dyDescent="0.25">
      <c r="A14" s="28">
        <v>2020</v>
      </c>
      <c r="B14" s="28" t="s">
        <v>2405</v>
      </c>
      <c r="C14" s="28" t="s">
        <v>105</v>
      </c>
      <c r="D14" s="28" t="s">
        <v>322</v>
      </c>
      <c r="E14" s="28" t="s">
        <v>323</v>
      </c>
      <c r="F14" s="28" t="s">
        <v>324</v>
      </c>
      <c r="G14" s="28">
        <v>42029</v>
      </c>
      <c r="H14" s="28">
        <v>37.056699000000002</v>
      </c>
      <c r="I14" s="28">
        <v>-88.365727000000007</v>
      </c>
      <c r="J14" s="28" t="s">
        <v>325</v>
      </c>
      <c r="K14" s="61">
        <v>110000380061</v>
      </c>
      <c r="L14" s="61" t="str">
        <f>IFERROR(INDEX('Facility Summary'!$K:$K,MATCH(K14,'Facility Summary'!$J:$J,0)),INDEX('Raw Annual DMR Data'!$M:$M,MATCH(K14,'Raw Annual DMR Data'!$L:$L,0)))</f>
        <v>Manufacturing</v>
      </c>
      <c r="M14" s="28">
        <v>325199</v>
      </c>
      <c r="N14" s="28" t="s">
        <v>28</v>
      </c>
      <c r="O14" s="28"/>
      <c r="P14" s="28" t="s">
        <v>2404</v>
      </c>
      <c r="Q14" s="28"/>
      <c r="R14" s="28">
        <v>43</v>
      </c>
      <c r="S14" s="28">
        <v>19.504471909999999</v>
      </c>
    </row>
    <row r="15" spans="1:19" x14ac:dyDescent="0.25">
      <c r="A15" s="28">
        <v>2015</v>
      </c>
      <c r="B15" s="28" t="s">
        <v>2405</v>
      </c>
      <c r="C15" s="28" t="s">
        <v>204</v>
      </c>
      <c r="D15" s="28" t="s">
        <v>333</v>
      </c>
      <c r="E15" s="28" t="s">
        <v>334</v>
      </c>
      <c r="F15" s="28" t="s">
        <v>303</v>
      </c>
      <c r="G15" s="28">
        <v>70764</v>
      </c>
      <c r="H15" s="28">
        <v>30.262255</v>
      </c>
      <c r="I15" s="28">
        <v>-91.185837000000006</v>
      </c>
      <c r="J15" s="28" t="s">
        <v>335</v>
      </c>
      <c r="K15" s="61">
        <v>110000613747</v>
      </c>
      <c r="L15" s="61" t="str">
        <f>IFERROR(INDEX('Facility Summary'!$K:$K,MATCH(K15,'Facility Summary'!$J:$J,0)),INDEX('Raw Annual DMR Data'!$M:$M,MATCH(K15,'Raw Annual DMR Data'!$L:$L,0)))</f>
        <v>Manufacturing</v>
      </c>
      <c r="M15" s="28">
        <v>325211</v>
      </c>
      <c r="N15" s="28" t="s">
        <v>54</v>
      </c>
      <c r="O15" s="28"/>
      <c r="P15" s="28" t="s">
        <v>2404</v>
      </c>
      <c r="Q15" s="28"/>
      <c r="R15" s="28">
        <v>5</v>
      </c>
      <c r="S15" s="28">
        <v>2.2679618500000003</v>
      </c>
    </row>
    <row r="16" spans="1:19" x14ac:dyDescent="0.25">
      <c r="A16" s="28">
        <v>2017</v>
      </c>
      <c r="B16" s="28" t="s">
        <v>2405</v>
      </c>
      <c r="C16" s="28" t="s">
        <v>204</v>
      </c>
      <c r="D16" s="28" t="s">
        <v>333</v>
      </c>
      <c r="E16" s="28" t="s">
        <v>334</v>
      </c>
      <c r="F16" s="28" t="s">
        <v>303</v>
      </c>
      <c r="G16" s="28">
        <v>70764</v>
      </c>
      <c r="H16" s="28">
        <v>30.262255</v>
      </c>
      <c r="I16" s="28">
        <v>-91.185837000000006</v>
      </c>
      <c r="J16" s="28" t="s">
        <v>335</v>
      </c>
      <c r="K16" s="61">
        <v>110000613747</v>
      </c>
      <c r="L16" s="61" t="str">
        <f>IFERROR(INDEX('Facility Summary'!$K:$K,MATCH(K16,'Facility Summary'!$J:$J,0)),INDEX('Raw Annual DMR Data'!$M:$M,MATCH(K16,'Raw Annual DMR Data'!$L:$L,0)))</f>
        <v>Manufacturing</v>
      </c>
      <c r="M16" s="28">
        <v>325211</v>
      </c>
      <c r="N16" s="28" t="s">
        <v>54</v>
      </c>
      <c r="O16" s="28"/>
      <c r="P16" s="28" t="s">
        <v>2404</v>
      </c>
      <c r="Q16" s="28"/>
      <c r="R16" s="28">
        <v>1</v>
      </c>
      <c r="S16" s="28">
        <v>0.45359237000000002</v>
      </c>
    </row>
    <row r="17" spans="1:19" x14ac:dyDescent="0.25">
      <c r="A17" s="28">
        <v>2018</v>
      </c>
      <c r="B17" s="28" t="s">
        <v>2405</v>
      </c>
      <c r="C17" s="28" t="s">
        <v>204</v>
      </c>
      <c r="D17" s="28" t="s">
        <v>333</v>
      </c>
      <c r="E17" s="28" t="s">
        <v>334</v>
      </c>
      <c r="F17" s="28" t="s">
        <v>303</v>
      </c>
      <c r="G17" s="28">
        <v>70764</v>
      </c>
      <c r="H17" s="28">
        <v>30.262255</v>
      </c>
      <c r="I17" s="28">
        <v>-91.185837000000006</v>
      </c>
      <c r="J17" s="28" t="s">
        <v>335</v>
      </c>
      <c r="K17" s="61">
        <v>110000613747</v>
      </c>
      <c r="L17" s="61" t="str">
        <f>IFERROR(INDEX('Facility Summary'!$K:$K,MATCH(K17,'Facility Summary'!$J:$J,0)),INDEX('Raw Annual DMR Data'!$M:$M,MATCH(K17,'Raw Annual DMR Data'!$L:$L,0)))</f>
        <v>Manufacturing</v>
      </c>
      <c r="M17" s="28">
        <v>325211</v>
      </c>
      <c r="N17" s="28" t="s">
        <v>54</v>
      </c>
      <c r="O17" s="28"/>
      <c r="P17" s="28" t="s">
        <v>2404</v>
      </c>
      <c r="Q17" s="28"/>
      <c r="R17" s="28">
        <v>18</v>
      </c>
      <c r="S17" s="28">
        <v>8.1646626599999994</v>
      </c>
    </row>
    <row r="18" spans="1:19" x14ac:dyDescent="0.25">
      <c r="A18" s="28">
        <v>2019</v>
      </c>
      <c r="B18" s="28" t="s">
        <v>2405</v>
      </c>
      <c r="C18" s="28" t="s">
        <v>204</v>
      </c>
      <c r="D18" s="28" t="s">
        <v>333</v>
      </c>
      <c r="E18" s="28" t="s">
        <v>334</v>
      </c>
      <c r="F18" s="28" t="s">
        <v>303</v>
      </c>
      <c r="G18" s="28">
        <v>70764</v>
      </c>
      <c r="H18" s="28">
        <v>30.262255</v>
      </c>
      <c r="I18" s="28">
        <v>-91.185837000000006</v>
      </c>
      <c r="J18" s="28" t="s">
        <v>335</v>
      </c>
      <c r="K18" s="61">
        <v>110000613747</v>
      </c>
      <c r="L18" s="61" t="str">
        <f>IFERROR(INDEX('Facility Summary'!$K:$K,MATCH(K18,'Facility Summary'!$J:$J,0)),INDEX('Raw Annual DMR Data'!$M:$M,MATCH(K18,'Raw Annual DMR Data'!$L:$L,0)))</f>
        <v>Manufacturing</v>
      </c>
      <c r="M18" s="28">
        <v>325211</v>
      </c>
      <c r="N18" s="28" t="s">
        <v>54</v>
      </c>
      <c r="O18" s="28"/>
      <c r="P18" s="28" t="s">
        <v>2404</v>
      </c>
      <c r="Q18" s="28"/>
      <c r="R18" s="28">
        <v>22</v>
      </c>
      <c r="S18" s="28">
        <v>9.979032140000001</v>
      </c>
    </row>
    <row r="19" spans="1:19" x14ac:dyDescent="0.25">
      <c r="A19" s="28">
        <v>2020</v>
      </c>
      <c r="B19" s="28" t="s">
        <v>2405</v>
      </c>
      <c r="C19" s="28" t="s">
        <v>204</v>
      </c>
      <c r="D19" s="28" t="s">
        <v>333</v>
      </c>
      <c r="E19" s="28" t="s">
        <v>334</v>
      </c>
      <c r="F19" s="28" t="s">
        <v>303</v>
      </c>
      <c r="G19" s="28">
        <v>70764</v>
      </c>
      <c r="H19" s="28">
        <v>30.262255</v>
      </c>
      <c r="I19" s="28">
        <v>-91.185837000000006</v>
      </c>
      <c r="J19" s="28" t="s">
        <v>335</v>
      </c>
      <c r="K19" s="61">
        <v>110000613747</v>
      </c>
      <c r="L19" s="61" t="str">
        <f>IFERROR(INDEX('Facility Summary'!$K:$K,MATCH(K19,'Facility Summary'!$J:$J,0)),INDEX('Raw Annual DMR Data'!$M:$M,MATCH(K19,'Raw Annual DMR Data'!$L:$L,0)))</f>
        <v>Manufacturing</v>
      </c>
      <c r="M19" s="28">
        <v>325211</v>
      </c>
      <c r="N19" s="28" t="s">
        <v>54</v>
      </c>
      <c r="O19" s="28"/>
      <c r="P19" s="28" t="s">
        <v>2404</v>
      </c>
      <c r="Q19" s="28"/>
      <c r="R19" s="28">
        <v>3</v>
      </c>
      <c r="S19" s="28">
        <v>1.3607771099999999</v>
      </c>
    </row>
    <row r="20" spans="1:19" x14ac:dyDescent="0.25">
      <c r="A20" s="28">
        <v>2015</v>
      </c>
      <c r="B20" s="28" t="s">
        <v>2405</v>
      </c>
      <c r="C20" s="28" t="s">
        <v>2410</v>
      </c>
      <c r="D20" s="28" t="s">
        <v>2411</v>
      </c>
      <c r="E20" s="28" t="s">
        <v>446</v>
      </c>
      <c r="F20" s="28" t="s">
        <v>303</v>
      </c>
      <c r="G20" s="28">
        <v>70669</v>
      </c>
      <c r="H20" s="28">
        <v>30.223500000000001</v>
      </c>
      <c r="I20" s="28">
        <v>-93.286900000000003</v>
      </c>
      <c r="J20" s="28" t="s">
        <v>447</v>
      </c>
      <c r="K20" s="61">
        <v>110000494894</v>
      </c>
      <c r="L20" s="61" t="str">
        <f>IFERROR(INDEX('Facility Summary'!$K:$K,MATCH(K20,'Facility Summary'!$J:$J,0)),INDEX('Raw Annual DMR Data'!$M:$M,MATCH(K20,'Raw Annual DMR Data'!$L:$L,0)))</f>
        <v>Manufacturing</v>
      </c>
      <c r="M20" s="28">
        <v>325180</v>
      </c>
      <c r="N20" s="28" t="s">
        <v>674</v>
      </c>
      <c r="O20" s="28"/>
      <c r="P20" s="28" t="s">
        <v>2404</v>
      </c>
      <c r="Q20" s="28"/>
      <c r="R20" s="28">
        <v>18</v>
      </c>
      <c r="S20" s="28">
        <v>8.1646626599999994</v>
      </c>
    </row>
    <row r="21" spans="1:19" x14ac:dyDescent="0.25">
      <c r="A21" s="28">
        <v>2016</v>
      </c>
      <c r="B21" s="28" t="s">
        <v>2405</v>
      </c>
      <c r="C21" s="28" t="s">
        <v>2410</v>
      </c>
      <c r="D21" s="28" t="s">
        <v>2411</v>
      </c>
      <c r="E21" s="28" t="s">
        <v>446</v>
      </c>
      <c r="F21" s="28" t="s">
        <v>303</v>
      </c>
      <c r="G21" s="28">
        <v>70669</v>
      </c>
      <c r="H21" s="28">
        <v>30.223500000000001</v>
      </c>
      <c r="I21" s="28">
        <v>-93.286900000000003</v>
      </c>
      <c r="J21" s="28" t="s">
        <v>447</v>
      </c>
      <c r="K21" s="61">
        <v>110000494894</v>
      </c>
      <c r="L21" s="61" t="str">
        <f>IFERROR(INDEX('Facility Summary'!$K:$K,MATCH(K21,'Facility Summary'!$J:$J,0)),INDEX('Raw Annual DMR Data'!$M:$M,MATCH(K21,'Raw Annual DMR Data'!$L:$L,0)))</f>
        <v>Manufacturing</v>
      </c>
      <c r="M21" s="28">
        <v>325180</v>
      </c>
      <c r="N21" s="28" t="s">
        <v>674</v>
      </c>
      <c r="O21" s="28"/>
      <c r="P21" s="28" t="s">
        <v>2404</v>
      </c>
      <c r="Q21" s="28"/>
      <c r="R21" s="28">
        <v>320</v>
      </c>
      <c r="S21" s="28">
        <v>145.14955840000002</v>
      </c>
    </row>
    <row r="22" spans="1:19" x14ac:dyDescent="0.25">
      <c r="A22" s="28">
        <v>2017</v>
      </c>
      <c r="B22" s="28" t="s">
        <v>2405</v>
      </c>
      <c r="C22" s="28" t="s">
        <v>2410</v>
      </c>
      <c r="D22" s="28" t="s">
        <v>2411</v>
      </c>
      <c r="E22" s="28" t="s">
        <v>446</v>
      </c>
      <c r="F22" s="28" t="s">
        <v>303</v>
      </c>
      <c r="G22" s="28">
        <v>70669</v>
      </c>
      <c r="H22" s="28">
        <v>30.223500000000001</v>
      </c>
      <c r="I22" s="28">
        <v>-93.286900000000003</v>
      </c>
      <c r="J22" s="28" t="s">
        <v>447</v>
      </c>
      <c r="K22" s="61">
        <v>110000494894</v>
      </c>
      <c r="L22" s="61" t="str">
        <f>IFERROR(INDEX('Facility Summary'!$K:$K,MATCH(K22,'Facility Summary'!$J:$J,0)),INDEX('Raw Annual DMR Data'!$M:$M,MATCH(K22,'Raw Annual DMR Data'!$L:$L,0)))</f>
        <v>Manufacturing</v>
      </c>
      <c r="M22" s="28">
        <v>325180</v>
      </c>
      <c r="N22" s="28" t="s">
        <v>674</v>
      </c>
      <c r="O22" s="28"/>
      <c r="P22" s="28" t="s">
        <v>2404</v>
      </c>
      <c r="Q22" s="28"/>
      <c r="R22" s="28">
        <v>16</v>
      </c>
      <c r="S22" s="28">
        <v>7.2574779200000004</v>
      </c>
    </row>
    <row r="23" spans="1:19" x14ac:dyDescent="0.25">
      <c r="A23" s="28">
        <v>2015</v>
      </c>
      <c r="B23" s="28"/>
      <c r="C23" s="28" t="s">
        <v>103</v>
      </c>
      <c r="D23" s="28" t="s">
        <v>313</v>
      </c>
      <c r="E23" s="28" t="s">
        <v>314</v>
      </c>
      <c r="F23" s="28" t="s">
        <v>303</v>
      </c>
      <c r="G23" s="28" t="s">
        <v>315</v>
      </c>
      <c r="H23" s="28">
        <v>30.27083</v>
      </c>
      <c r="I23" s="28">
        <v>-92.037279999999996</v>
      </c>
      <c r="J23" s="28"/>
      <c r="K23" s="61">
        <v>110000846602</v>
      </c>
      <c r="L23" s="61" t="str">
        <f>IFERROR(INDEX('Facility Summary'!$K:$K,MATCH(K23,'Facility Summary'!$J:$J,0)),INDEX('Raw Annual DMR Data'!$M:$M,MATCH(K23,'Raw Annual DMR Data'!$L:$L,0)))</f>
        <v>Processing as a Reactant</v>
      </c>
      <c r="M23" s="28"/>
      <c r="N23" s="28"/>
      <c r="O23" s="28"/>
      <c r="P23" s="28"/>
      <c r="Q23" s="28"/>
      <c r="R23" s="28"/>
      <c r="S23" s="28">
        <v>1.0139258E-2</v>
      </c>
    </row>
    <row r="24" spans="1:19" x14ac:dyDescent="0.25">
      <c r="A24" s="28">
        <v>2019</v>
      </c>
      <c r="B24" s="28"/>
      <c r="C24" s="28" t="s">
        <v>103</v>
      </c>
      <c r="D24" s="28" t="s">
        <v>313</v>
      </c>
      <c r="E24" s="28" t="s">
        <v>314</v>
      </c>
      <c r="F24" s="28" t="s">
        <v>303</v>
      </c>
      <c r="G24" s="28" t="s">
        <v>315</v>
      </c>
      <c r="H24" s="28">
        <v>30.27083</v>
      </c>
      <c r="I24" s="28">
        <v>-92.037279999999996</v>
      </c>
      <c r="J24" s="28"/>
      <c r="K24" s="61">
        <v>110000846602</v>
      </c>
      <c r="L24" s="61" t="str">
        <f>IFERROR(INDEX('Facility Summary'!$K:$K,MATCH(K24,'Facility Summary'!$J:$J,0)),INDEX('Raw Annual DMR Data'!$M:$M,MATCH(K24,'Raw Annual DMR Data'!$L:$L,0)))</f>
        <v>Processing as a Reactant</v>
      </c>
      <c r="M24" s="28"/>
      <c r="N24" s="28"/>
      <c r="O24" s="28"/>
      <c r="P24" s="28"/>
      <c r="Q24" s="28"/>
      <c r="R24" s="28"/>
      <c r="S24" s="28">
        <v>7.9824892999999994E-3</v>
      </c>
    </row>
    <row r="25" spans="1:19" x14ac:dyDescent="0.25">
      <c r="A25" s="28">
        <v>2018</v>
      </c>
      <c r="B25" s="28" t="s">
        <v>2405</v>
      </c>
      <c r="C25" s="28" t="s">
        <v>2410</v>
      </c>
      <c r="D25" s="28" t="s">
        <v>2411</v>
      </c>
      <c r="E25" s="28" t="s">
        <v>446</v>
      </c>
      <c r="F25" s="28" t="s">
        <v>303</v>
      </c>
      <c r="G25" s="28">
        <v>70669</v>
      </c>
      <c r="H25" s="28">
        <v>30.223500000000001</v>
      </c>
      <c r="I25" s="28">
        <v>-93.286900000000003</v>
      </c>
      <c r="J25" s="28" t="s">
        <v>447</v>
      </c>
      <c r="K25" s="61">
        <v>110000494894</v>
      </c>
      <c r="L25" s="61" t="str">
        <f>IFERROR(INDEX('Facility Summary'!$K:$K,MATCH(K25,'Facility Summary'!$J:$J,0)),INDEX('Raw Annual DMR Data'!$M:$M,MATCH(K25,'Raw Annual DMR Data'!$L:$L,0)))</f>
        <v>Manufacturing</v>
      </c>
      <c r="M25" s="28">
        <v>325180</v>
      </c>
      <c r="N25" s="28" t="s">
        <v>674</v>
      </c>
      <c r="O25" s="28"/>
      <c r="P25" s="28" t="s">
        <v>2404</v>
      </c>
      <c r="Q25" s="28"/>
      <c r="R25" s="28">
        <v>220</v>
      </c>
      <c r="S25" s="28">
        <v>99.790321399999996</v>
      </c>
    </row>
    <row r="26" spans="1:19" x14ac:dyDescent="0.25">
      <c r="A26" s="28">
        <v>2019</v>
      </c>
      <c r="B26" s="28" t="s">
        <v>2405</v>
      </c>
      <c r="C26" s="28" t="s">
        <v>2410</v>
      </c>
      <c r="D26" s="28" t="s">
        <v>2411</v>
      </c>
      <c r="E26" s="28" t="s">
        <v>446</v>
      </c>
      <c r="F26" s="28" t="s">
        <v>303</v>
      </c>
      <c r="G26" s="28">
        <v>70669</v>
      </c>
      <c r="H26" s="28">
        <v>30.223500000000001</v>
      </c>
      <c r="I26" s="28">
        <v>-93.286900000000003</v>
      </c>
      <c r="J26" s="28" t="s">
        <v>447</v>
      </c>
      <c r="K26" s="61">
        <v>110000494894</v>
      </c>
      <c r="L26" s="61" t="str">
        <f>IFERROR(INDEX('Facility Summary'!$K:$K,MATCH(K26,'Facility Summary'!$J:$J,0)),INDEX('Raw Annual DMR Data'!$M:$M,MATCH(K26,'Raw Annual DMR Data'!$L:$L,0)))</f>
        <v>Manufacturing</v>
      </c>
      <c r="M26" s="28">
        <v>325180</v>
      </c>
      <c r="N26" s="28" t="s">
        <v>674</v>
      </c>
      <c r="O26" s="28"/>
      <c r="P26" s="28" t="s">
        <v>2404</v>
      </c>
      <c r="Q26" s="28"/>
      <c r="R26" s="28">
        <v>4</v>
      </c>
      <c r="S26" s="28">
        <v>1.8143694800000001</v>
      </c>
    </row>
    <row r="27" spans="1:19" x14ac:dyDescent="0.25">
      <c r="A27" s="28">
        <v>2020</v>
      </c>
      <c r="B27" s="28" t="s">
        <v>2405</v>
      </c>
      <c r="C27" s="28" t="s">
        <v>2410</v>
      </c>
      <c r="D27" s="28" t="s">
        <v>2411</v>
      </c>
      <c r="E27" s="28" t="s">
        <v>446</v>
      </c>
      <c r="F27" s="28" t="s">
        <v>303</v>
      </c>
      <c r="G27" s="28">
        <v>70669</v>
      </c>
      <c r="H27" s="28">
        <v>30.223500000000001</v>
      </c>
      <c r="I27" s="28">
        <v>-93.286900000000003</v>
      </c>
      <c r="J27" s="28" t="s">
        <v>447</v>
      </c>
      <c r="K27" s="61">
        <v>110000494894</v>
      </c>
      <c r="L27" s="61" t="str">
        <f>IFERROR(INDEX('Facility Summary'!$K:$K,MATCH(K27,'Facility Summary'!$J:$J,0)),INDEX('Raw Annual DMR Data'!$M:$M,MATCH(K27,'Raw Annual DMR Data'!$L:$L,0)))</f>
        <v>Manufacturing</v>
      </c>
      <c r="M27" s="28">
        <v>325180</v>
      </c>
      <c r="N27" s="28" t="s">
        <v>674</v>
      </c>
      <c r="O27" s="28"/>
      <c r="P27" s="28" t="s">
        <v>2404</v>
      </c>
      <c r="Q27" s="28"/>
      <c r="R27" s="28">
        <v>6400</v>
      </c>
      <c r="S27" s="28">
        <v>2902.991168</v>
      </c>
    </row>
    <row r="28" spans="1:19" x14ac:dyDescent="0.25">
      <c r="A28" s="28">
        <v>2015</v>
      </c>
      <c r="B28" s="28" t="s">
        <v>2405</v>
      </c>
      <c r="C28" s="28" t="s">
        <v>2412</v>
      </c>
      <c r="D28" s="28" t="s">
        <v>2413</v>
      </c>
      <c r="E28" s="28" t="s">
        <v>302</v>
      </c>
      <c r="F28" s="28" t="s">
        <v>303</v>
      </c>
      <c r="G28" s="28">
        <v>70805</v>
      </c>
      <c r="H28" s="28">
        <v>30.501336999999999</v>
      </c>
      <c r="I28" s="28">
        <v>-91.192340000000002</v>
      </c>
      <c r="J28" s="28" t="s">
        <v>483</v>
      </c>
      <c r="K28" s="61">
        <v>110000597444</v>
      </c>
      <c r="L28" s="61" t="str">
        <f>IFERROR(INDEX('Facility Summary'!$K:$K,MATCH(K28,'Facility Summary'!$J:$J,0)),INDEX('Raw Annual DMR Data'!$M:$M,MATCH(K28,'Raw Annual DMR Data'!$L:$L,0)))</f>
        <v>Manufacturing</v>
      </c>
      <c r="M28" s="28">
        <v>325211</v>
      </c>
      <c r="N28" s="28" t="s">
        <v>54</v>
      </c>
      <c r="O28" s="28"/>
      <c r="P28" s="28" t="s">
        <v>2404</v>
      </c>
      <c r="Q28" s="28"/>
      <c r="R28" s="28">
        <v>17</v>
      </c>
      <c r="S28" s="28">
        <v>7.7110702900000003</v>
      </c>
    </row>
    <row r="29" spans="1:19" x14ac:dyDescent="0.25">
      <c r="A29" s="28">
        <v>2017</v>
      </c>
      <c r="B29" s="28" t="s">
        <v>2405</v>
      </c>
      <c r="C29" s="28" t="s">
        <v>2412</v>
      </c>
      <c r="D29" s="28" t="s">
        <v>2413</v>
      </c>
      <c r="E29" s="28" t="s">
        <v>302</v>
      </c>
      <c r="F29" s="28" t="s">
        <v>303</v>
      </c>
      <c r="G29" s="28">
        <v>70805</v>
      </c>
      <c r="H29" s="28">
        <v>30.501336999999999</v>
      </c>
      <c r="I29" s="28">
        <v>-91.192340000000002</v>
      </c>
      <c r="J29" s="28" t="s">
        <v>483</v>
      </c>
      <c r="K29" s="61">
        <v>110000597444</v>
      </c>
      <c r="L29" s="61" t="str">
        <f>IFERROR(INDEX('Facility Summary'!$K:$K,MATCH(K29,'Facility Summary'!$J:$J,0)),INDEX('Raw Annual DMR Data'!$M:$M,MATCH(K29,'Raw Annual DMR Data'!$L:$L,0)))</f>
        <v>Manufacturing</v>
      </c>
      <c r="M29" s="28">
        <v>325211</v>
      </c>
      <c r="N29" s="28" t="s">
        <v>54</v>
      </c>
      <c r="O29" s="28"/>
      <c r="P29" s="28" t="s">
        <v>2404</v>
      </c>
      <c r="Q29" s="28"/>
      <c r="R29" s="28">
        <v>2</v>
      </c>
      <c r="S29" s="28">
        <v>0.90718474000000004</v>
      </c>
    </row>
    <row r="30" spans="1:19" x14ac:dyDescent="0.25">
      <c r="A30" s="28">
        <v>2018</v>
      </c>
      <c r="B30" s="28" t="s">
        <v>2405</v>
      </c>
      <c r="C30" s="28" t="s">
        <v>2412</v>
      </c>
      <c r="D30" s="28" t="s">
        <v>2413</v>
      </c>
      <c r="E30" s="28" t="s">
        <v>302</v>
      </c>
      <c r="F30" s="28" t="s">
        <v>303</v>
      </c>
      <c r="G30" s="28">
        <v>70805</v>
      </c>
      <c r="H30" s="28">
        <v>30.501336999999999</v>
      </c>
      <c r="I30" s="28">
        <v>-91.192340000000002</v>
      </c>
      <c r="J30" s="28" t="s">
        <v>483</v>
      </c>
      <c r="K30" s="61">
        <v>110000597444</v>
      </c>
      <c r="L30" s="61" t="str">
        <f>IFERROR(INDEX('Facility Summary'!$K:$K,MATCH(K30,'Facility Summary'!$J:$J,0)),INDEX('Raw Annual DMR Data'!$M:$M,MATCH(K30,'Raw Annual DMR Data'!$L:$L,0)))</f>
        <v>Manufacturing</v>
      </c>
      <c r="M30" s="28">
        <v>325211</v>
      </c>
      <c r="N30" s="28" t="s">
        <v>54</v>
      </c>
      <c r="O30" s="28"/>
      <c r="P30" s="28" t="s">
        <v>2404</v>
      </c>
      <c r="Q30" s="28"/>
      <c r="R30" s="28">
        <v>29</v>
      </c>
      <c r="S30" s="28">
        <v>13.15417873</v>
      </c>
    </row>
    <row r="31" spans="1:19" x14ac:dyDescent="0.25">
      <c r="A31" s="28">
        <v>2019</v>
      </c>
      <c r="B31" s="28" t="s">
        <v>2405</v>
      </c>
      <c r="C31" s="28" t="s">
        <v>2412</v>
      </c>
      <c r="D31" s="28" t="s">
        <v>2413</v>
      </c>
      <c r="E31" s="28" t="s">
        <v>302</v>
      </c>
      <c r="F31" s="28" t="s">
        <v>303</v>
      </c>
      <c r="G31" s="28">
        <v>70805</v>
      </c>
      <c r="H31" s="28">
        <v>30.501336999999999</v>
      </c>
      <c r="I31" s="28">
        <v>-91.192340000000002</v>
      </c>
      <c r="J31" s="28" t="s">
        <v>483</v>
      </c>
      <c r="K31" s="61">
        <v>110000597444</v>
      </c>
      <c r="L31" s="61" t="str">
        <f>IFERROR(INDEX('Facility Summary'!$K:$K,MATCH(K31,'Facility Summary'!$J:$J,0)),INDEX('Raw Annual DMR Data'!$M:$M,MATCH(K31,'Raw Annual DMR Data'!$L:$L,0)))</f>
        <v>Manufacturing</v>
      </c>
      <c r="M31" s="28">
        <v>325211</v>
      </c>
      <c r="N31" s="28" t="s">
        <v>54</v>
      </c>
      <c r="O31" s="28"/>
      <c r="P31" s="28" t="s">
        <v>2404</v>
      </c>
      <c r="Q31" s="28"/>
      <c r="R31" s="28">
        <v>5</v>
      </c>
      <c r="S31" s="28">
        <v>2.2679618500000003</v>
      </c>
    </row>
    <row r="32" spans="1:19" x14ac:dyDescent="0.25">
      <c r="A32" s="28">
        <v>2020</v>
      </c>
      <c r="B32" s="28" t="s">
        <v>2405</v>
      </c>
      <c r="C32" s="28" t="s">
        <v>2412</v>
      </c>
      <c r="D32" s="28" t="s">
        <v>2413</v>
      </c>
      <c r="E32" s="28" t="s">
        <v>302</v>
      </c>
      <c r="F32" s="28" t="s">
        <v>303</v>
      </c>
      <c r="G32" s="28">
        <v>70805</v>
      </c>
      <c r="H32" s="28">
        <v>30.498203</v>
      </c>
      <c r="I32" s="28">
        <v>-91.189148000000003</v>
      </c>
      <c r="J32" s="28" t="s">
        <v>483</v>
      </c>
      <c r="K32" s="61">
        <v>110000597444</v>
      </c>
      <c r="L32" s="61" t="str">
        <f>IFERROR(INDEX('Facility Summary'!$K:$K,MATCH(K32,'Facility Summary'!$J:$J,0)),INDEX('Raw Annual DMR Data'!$M:$M,MATCH(K32,'Raw Annual DMR Data'!$L:$L,0)))</f>
        <v>Manufacturing</v>
      </c>
      <c r="M32" s="28">
        <v>325211</v>
      </c>
      <c r="N32" s="28" t="s">
        <v>54</v>
      </c>
      <c r="O32" s="28"/>
      <c r="P32" s="28" t="s">
        <v>2404</v>
      </c>
      <c r="Q32" s="28"/>
      <c r="R32" s="28">
        <v>20</v>
      </c>
      <c r="S32" s="28">
        <v>9.0718474000000011</v>
      </c>
    </row>
    <row r="33" spans="1:19" x14ac:dyDescent="0.25">
      <c r="A33" s="28">
        <v>2020</v>
      </c>
      <c r="B33" s="28"/>
      <c r="C33" s="28" t="s">
        <v>106</v>
      </c>
      <c r="D33" s="28" t="s">
        <v>326</v>
      </c>
      <c r="E33" s="28" t="s">
        <v>327</v>
      </c>
      <c r="F33" s="28" t="s">
        <v>328</v>
      </c>
      <c r="G33" s="28">
        <v>30340</v>
      </c>
      <c r="H33" s="28">
        <v>33.905000000000001</v>
      </c>
      <c r="I33" s="28">
        <v>-84.240278000000004</v>
      </c>
      <c r="J33" s="28"/>
      <c r="K33" s="61">
        <v>110070381611</v>
      </c>
      <c r="L33" s="61" t="str">
        <f>IFERROR(INDEX('Facility Summary'!$K:$K,MATCH(K33,'Facility Summary'!$J:$J,0)),INDEX('Raw Annual DMR Data'!$M:$M,MATCH(K33,'Raw Annual DMR Data'!$L:$L,0)))</f>
        <v>Repackaging</v>
      </c>
      <c r="M33" s="28"/>
      <c r="N33" s="28"/>
      <c r="O33" s="28"/>
      <c r="P33" s="28"/>
      <c r="Q33" s="28"/>
      <c r="R33" s="28"/>
      <c r="S33" s="28">
        <v>8.0405019950000003E-2</v>
      </c>
    </row>
    <row r="34" spans="1:19" x14ac:dyDescent="0.25">
      <c r="A34" s="28">
        <v>2019</v>
      </c>
      <c r="B34" s="28"/>
      <c r="C34" s="28" t="s">
        <v>106</v>
      </c>
      <c r="D34" s="28" t="s">
        <v>326</v>
      </c>
      <c r="E34" s="28" t="s">
        <v>327</v>
      </c>
      <c r="F34" s="28" t="s">
        <v>328</v>
      </c>
      <c r="G34" s="28">
        <v>30340</v>
      </c>
      <c r="H34" s="28">
        <v>33.905000000000001</v>
      </c>
      <c r="I34" s="28">
        <v>-84.240278000000004</v>
      </c>
      <c r="J34" s="28"/>
      <c r="K34" s="61">
        <v>110070381611</v>
      </c>
      <c r="L34" s="61" t="str">
        <f>IFERROR(INDEX('Facility Summary'!$K:$K,MATCH(K34,'Facility Summary'!$J:$J,0)),INDEX('Raw Annual DMR Data'!$M:$M,MATCH(K34,'Raw Annual DMR Data'!$L:$L,0)))</f>
        <v>Repackaging</v>
      </c>
      <c r="M34" s="28"/>
      <c r="N34" s="28"/>
      <c r="O34" s="28"/>
      <c r="P34" s="28"/>
      <c r="Q34" s="28"/>
      <c r="R34" s="28"/>
      <c r="S34" s="28">
        <v>1.20737715E-2</v>
      </c>
    </row>
    <row r="35" spans="1:19" x14ac:dyDescent="0.25">
      <c r="A35" s="28">
        <v>2017</v>
      </c>
      <c r="B35" s="28"/>
      <c r="C35" s="28" t="s">
        <v>107</v>
      </c>
      <c r="D35" s="28" t="s">
        <v>330</v>
      </c>
      <c r="E35" s="28" t="s">
        <v>331</v>
      </c>
      <c r="F35" s="28" t="s">
        <v>324</v>
      </c>
      <c r="G35" s="28">
        <v>41101</v>
      </c>
      <c r="H35" s="28">
        <v>38.474601999999997</v>
      </c>
      <c r="I35" s="28">
        <v>-82.623778999999999</v>
      </c>
      <c r="J35" s="28"/>
      <c r="K35" s="61">
        <v>110000732244</v>
      </c>
      <c r="L35" s="61" t="str">
        <f>IFERROR(INDEX('Facility Summary'!$K:$K,MATCH(K35,'Facility Summary'!$J:$J,0)),INDEX('Raw Annual DMR Data'!$M:$M,MATCH(K35,'Raw Annual DMR Data'!$L:$L,0)))</f>
        <v>POTW</v>
      </c>
      <c r="M35" s="28"/>
      <c r="N35" s="28"/>
      <c r="O35" s="28"/>
      <c r="P35" s="28"/>
      <c r="Q35" s="28"/>
      <c r="R35" s="28"/>
      <c r="S35" s="28">
        <v>3.6817641249999999</v>
      </c>
    </row>
    <row r="36" spans="1:19" x14ac:dyDescent="0.25">
      <c r="A36" s="28">
        <v>2015</v>
      </c>
      <c r="B36" s="28" t="s">
        <v>2405</v>
      </c>
      <c r="C36" s="28" t="s">
        <v>2414</v>
      </c>
      <c r="D36" s="28" t="s">
        <v>2415</v>
      </c>
      <c r="E36" s="28" t="s">
        <v>480</v>
      </c>
      <c r="F36" s="28" t="s">
        <v>362</v>
      </c>
      <c r="G36" s="28">
        <v>77978</v>
      </c>
      <c r="H36" s="28">
        <v>28.6753</v>
      </c>
      <c r="I36" s="28">
        <v>-96.549499999999995</v>
      </c>
      <c r="J36" s="28" t="s">
        <v>481</v>
      </c>
      <c r="K36" s="61">
        <v>110018925957</v>
      </c>
      <c r="L36" s="61" t="str">
        <f>IFERROR(INDEX('Facility Summary'!$K:$K,MATCH(K36,'Facility Summary'!$J:$J,0)),INDEX('Raw Annual DMR Data'!$M:$M,MATCH(K36,'Raw Annual DMR Data'!$L:$L,0)))</f>
        <v>Manufacturing</v>
      </c>
      <c r="M36" s="28">
        <v>325211</v>
      </c>
      <c r="N36" s="28" t="s">
        <v>54</v>
      </c>
      <c r="O36" s="28"/>
      <c r="P36" s="28" t="s">
        <v>2404</v>
      </c>
      <c r="Q36" s="28"/>
      <c r="R36" s="28">
        <v>3</v>
      </c>
      <c r="S36" s="28">
        <v>1.3607771099999999</v>
      </c>
    </row>
    <row r="37" spans="1:19" x14ac:dyDescent="0.25">
      <c r="A37" s="28">
        <v>2016</v>
      </c>
      <c r="B37" s="28" t="s">
        <v>2405</v>
      </c>
      <c r="C37" s="28" t="s">
        <v>2414</v>
      </c>
      <c r="D37" s="28" t="s">
        <v>2415</v>
      </c>
      <c r="E37" s="28" t="s">
        <v>480</v>
      </c>
      <c r="F37" s="28" t="s">
        <v>362</v>
      </c>
      <c r="G37" s="28">
        <v>77978</v>
      </c>
      <c r="H37" s="28">
        <v>28.6753</v>
      </c>
      <c r="I37" s="28">
        <v>-96.549499999999995</v>
      </c>
      <c r="J37" s="28" t="s">
        <v>481</v>
      </c>
      <c r="K37" s="61">
        <v>110018925957</v>
      </c>
      <c r="L37" s="61" t="str">
        <f>IFERROR(INDEX('Facility Summary'!$K:$K,MATCH(K37,'Facility Summary'!$J:$J,0)),INDEX('Raw Annual DMR Data'!$M:$M,MATCH(K37,'Raw Annual DMR Data'!$L:$L,0)))</f>
        <v>Manufacturing</v>
      </c>
      <c r="M37" s="28">
        <v>325211</v>
      </c>
      <c r="N37" s="28" t="s">
        <v>54</v>
      </c>
      <c r="O37" s="28"/>
      <c r="P37" s="28" t="s">
        <v>2404</v>
      </c>
      <c r="Q37" s="28"/>
      <c r="R37" s="28">
        <v>46</v>
      </c>
      <c r="S37" s="28">
        <v>20.86524902</v>
      </c>
    </row>
    <row r="38" spans="1:19" x14ac:dyDescent="0.25">
      <c r="A38" s="28">
        <v>2017</v>
      </c>
      <c r="B38" s="28" t="s">
        <v>2405</v>
      </c>
      <c r="C38" s="28" t="s">
        <v>2414</v>
      </c>
      <c r="D38" s="28" t="s">
        <v>2415</v>
      </c>
      <c r="E38" s="28" t="s">
        <v>480</v>
      </c>
      <c r="F38" s="28" t="s">
        <v>362</v>
      </c>
      <c r="G38" s="28">
        <v>77978</v>
      </c>
      <c r="H38" s="28">
        <v>28.6753</v>
      </c>
      <c r="I38" s="28">
        <v>-96.549499999999995</v>
      </c>
      <c r="J38" s="28" t="s">
        <v>481</v>
      </c>
      <c r="K38" s="61">
        <v>110018925957</v>
      </c>
      <c r="L38" s="61" t="str">
        <f>IFERROR(INDEX('Facility Summary'!$K:$K,MATCH(K38,'Facility Summary'!$J:$J,0)),INDEX('Raw Annual DMR Data'!$M:$M,MATCH(K38,'Raw Annual DMR Data'!$L:$L,0)))</f>
        <v>Manufacturing</v>
      </c>
      <c r="M38" s="28">
        <v>325211</v>
      </c>
      <c r="N38" s="28" t="s">
        <v>54</v>
      </c>
      <c r="O38" s="28"/>
      <c r="P38" s="28" t="s">
        <v>2404</v>
      </c>
      <c r="Q38" s="28"/>
      <c r="R38" s="28">
        <v>163</v>
      </c>
      <c r="S38" s="28">
        <v>73.935556309999996</v>
      </c>
    </row>
    <row r="39" spans="1:19" x14ac:dyDescent="0.25">
      <c r="A39" s="28">
        <v>2018</v>
      </c>
      <c r="B39" s="28" t="s">
        <v>2405</v>
      </c>
      <c r="C39" s="28" t="s">
        <v>2414</v>
      </c>
      <c r="D39" s="28" t="s">
        <v>2415</v>
      </c>
      <c r="E39" s="28" t="s">
        <v>480</v>
      </c>
      <c r="F39" s="28" t="s">
        <v>362</v>
      </c>
      <c r="G39" s="28">
        <v>77978</v>
      </c>
      <c r="H39" s="28">
        <v>28.6753</v>
      </c>
      <c r="I39" s="28">
        <v>-96.549499999999995</v>
      </c>
      <c r="J39" s="28" t="s">
        <v>481</v>
      </c>
      <c r="K39" s="61">
        <v>110018925957</v>
      </c>
      <c r="L39" s="61" t="str">
        <f>IFERROR(INDEX('Facility Summary'!$K:$K,MATCH(K39,'Facility Summary'!$J:$J,0)),INDEX('Raw Annual DMR Data'!$M:$M,MATCH(K39,'Raw Annual DMR Data'!$L:$L,0)))</f>
        <v>Manufacturing</v>
      </c>
      <c r="M39" s="28">
        <v>325211</v>
      </c>
      <c r="N39" s="28" t="s">
        <v>54</v>
      </c>
      <c r="O39" s="28"/>
      <c r="P39" s="28" t="s">
        <v>2404</v>
      </c>
      <c r="Q39" s="28"/>
      <c r="R39" s="28">
        <v>5</v>
      </c>
      <c r="S39" s="28">
        <v>2.2679618500000003</v>
      </c>
    </row>
    <row r="40" spans="1:19" x14ac:dyDescent="0.25">
      <c r="A40" s="28">
        <v>2019</v>
      </c>
      <c r="B40" s="28" t="s">
        <v>2405</v>
      </c>
      <c r="C40" s="28" t="s">
        <v>2414</v>
      </c>
      <c r="D40" s="28" t="s">
        <v>2415</v>
      </c>
      <c r="E40" s="28" t="s">
        <v>480</v>
      </c>
      <c r="F40" s="28" t="s">
        <v>362</v>
      </c>
      <c r="G40" s="28">
        <v>77978</v>
      </c>
      <c r="H40" s="28">
        <v>28.6753</v>
      </c>
      <c r="I40" s="28">
        <v>-96.549499999999995</v>
      </c>
      <c r="J40" s="28" t="s">
        <v>481</v>
      </c>
      <c r="K40" s="61">
        <v>110018925957</v>
      </c>
      <c r="L40" s="61" t="str">
        <f>IFERROR(INDEX('Facility Summary'!$K:$K,MATCH(K40,'Facility Summary'!$J:$J,0)),INDEX('Raw Annual DMR Data'!$M:$M,MATCH(K40,'Raw Annual DMR Data'!$L:$L,0)))</f>
        <v>Manufacturing</v>
      </c>
      <c r="M40" s="28">
        <v>325211</v>
      </c>
      <c r="N40" s="28" t="s">
        <v>54</v>
      </c>
      <c r="O40" s="28"/>
      <c r="P40" s="28" t="s">
        <v>2404</v>
      </c>
      <c r="Q40" s="28"/>
      <c r="R40" s="28">
        <v>54</v>
      </c>
      <c r="S40" s="28">
        <v>24.49398798</v>
      </c>
    </row>
    <row r="41" spans="1:19" x14ac:dyDescent="0.25">
      <c r="A41" s="28">
        <v>2015</v>
      </c>
      <c r="B41" s="28"/>
      <c r="C41" s="28" t="s">
        <v>108</v>
      </c>
      <c r="D41" s="28" t="s">
        <v>336</v>
      </c>
      <c r="E41" s="28" t="s">
        <v>337</v>
      </c>
      <c r="F41" s="28" t="s">
        <v>338</v>
      </c>
      <c r="G41" s="28" t="s">
        <v>339</v>
      </c>
      <c r="H41" s="28">
        <v>39.852224</v>
      </c>
      <c r="I41" s="28">
        <v>-75.234432999999996</v>
      </c>
      <c r="J41" s="28"/>
      <c r="K41" s="61">
        <v>110000760310</v>
      </c>
      <c r="L41" s="61" t="str">
        <f>IFERROR(INDEX('Facility Summary'!$K:$K,MATCH(K41,'Facility Summary'!$J:$J,0)),INDEX('Raw Annual DMR Data'!$M:$M,MATCH(K41,'Raw Annual DMR Data'!$L:$L,0)))</f>
        <v>Remediation</v>
      </c>
      <c r="M41" s="28"/>
      <c r="N41" s="28"/>
      <c r="O41" s="28"/>
      <c r="P41" s="28"/>
      <c r="Q41" s="28"/>
      <c r="R41" s="28"/>
      <c r="S41" s="28">
        <v>9.4792410549999997E-2</v>
      </c>
    </row>
    <row r="42" spans="1:19" x14ac:dyDescent="0.25">
      <c r="A42" s="28">
        <v>2016</v>
      </c>
      <c r="B42" s="28"/>
      <c r="C42" s="28" t="s">
        <v>108</v>
      </c>
      <c r="D42" s="28" t="s">
        <v>336</v>
      </c>
      <c r="E42" s="28" t="s">
        <v>337</v>
      </c>
      <c r="F42" s="28" t="s">
        <v>338</v>
      </c>
      <c r="G42" s="28" t="s">
        <v>339</v>
      </c>
      <c r="H42" s="28">
        <v>39.852224</v>
      </c>
      <c r="I42" s="28">
        <v>-75.234432999999996</v>
      </c>
      <c r="J42" s="28"/>
      <c r="K42" s="61">
        <v>110000760310</v>
      </c>
      <c r="L42" s="61" t="str">
        <f>IFERROR(INDEX('Facility Summary'!$K:$K,MATCH(K42,'Facility Summary'!$J:$J,0)),INDEX('Raw Annual DMR Data'!$M:$M,MATCH(K42,'Raw Annual DMR Data'!$L:$L,0)))</f>
        <v>Remediation</v>
      </c>
      <c r="M42" s="28"/>
      <c r="N42" s="28"/>
      <c r="O42" s="28"/>
      <c r="P42" s="28"/>
      <c r="Q42" s="28"/>
      <c r="R42" s="28"/>
      <c r="S42" s="28">
        <v>4.0159001399999998E-2</v>
      </c>
    </row>
    <row r="43" spans="1:19" x14ac:dyDescent="0.25">
      <c r="A43" s="28">
        <v>2017</v>
      </c>
      <c r="B43" s="28"/>
      <c r="C43" s="28" t="s">
        <v>108</v>
      </c>
      <c r="D43" s="28" t="s">
        <v>336</v>
      </c>
      <c r="E43" s="28" t="s">
        <v>337</v>
      </c>
      <c r="F43" s="28" t="s">
        <v>338</v>
      </c>
      <c r="G43" s="28" t="s">
        <v>339</v>
      </c>
      <c r="H43" s="28">
        <v>39.852224</v>
      </c>
      <c r="I43" s="28">
        <v>-75.234432999999996</v>
      </c>
      <c r="J43" s="28"/>
      <c r="K43" s="61">
        <v>110000760310</v>
      </c>
      <c r="L43" s="61" t="str">
        <f>IFERROR(INDEX('Facility Summary'!$K:$K,MATCH(K43,'Facility Summary'!$J:$J,0)),INDEX('Raw Annual DMR Data'!$M:$M,MATCH(K43,'Raw Annual DMR Data'!$L:$L,0)))</f>
        <v>Remediation</v>
      </c>
      <c r="M43" s="28"/>
      <c r="N43" s="28"/>
      <c r="O43" s="28"/>
      <c r="P43" s="28"/>
      <c r="Q43" s="28"/>
      <c r="R43" s="28"/>
      <c r="S43" s="28">
        <v>5.7606791599999997E-3</v>
      </c>
    </row>
    <row r="44" spans="1:19" x14ac:dyDescent="0.25">
      <c r="A44" s="28">
        <v>2018</v>
      </c>
      <c r="B44" s="28"/>
      <c r="C44" s="28" t="s">
        <v>109</v>
      </c>
      <c r="D44" s="28" t="s">
        <v>341</v>
      </c>
      <c r="E44" s="28" t="s">
        <v>342</v>
      </c>
      <c r="F44" s="28" t="s">
        <v>324</v>
      </c>
      <c r="G44" s="28">
        <v>40906</v>
      </c>
      <c r="H44" s="28">
        <v>36.848332999999997</v>
      </c>
      <c r="I44" s="28">
        <v>-83.905000000000001</v>
      </c>
      <c r="J44" s="28"/>
      <c r="K44" s="61">
        <v>110006644765</v>
      </c>
      <c r="L44" s="61" t="str">
        <f>IFERROR(INDEX('Facility Summary'!$K:$K,MATCH(K44,'Facility Summary'!$J:$J,0)),INDEX('Raw Annual DMR Data'!$M:$M,MATCH(K44,'Raw Annual DMR Data'!$L:$L,0)))</f>
        <v>POTW</v>
      </c>
      <c r="M44" s="28"/>
      <c r="N44" s="28"/>
      <c r="O44" s="28"/>
      <c r="P44" s="28"/>
      <c r="Q44" s="28"/>
      <c r="R44" s="28"/>
      <c r="S44" s="28">
        <v>8.8417600000000007</v>
      </c>
    </row>
    <row r="45" spans="1:19" x14ac:dyDescent="0.25">
      <c r="A45" s="28">
        <v>2015</v>
      </c>
      <c r="B45" s="28" t="s">
        <v>2405</v>
      </c>
      <c r="C45" s="28" t="s">
        <v>206</v>
      </c>
      <c r="D45" s="28" t="s">
        <v>347</v>
      </c>
      <c r="E45" s="28" t="s">
        <v>348</v>
      </c>
      <c r="F45" s="28" t="s">
        <v>349</v>
      </c>
      <c r="G45" s="28">
        <v>63461</v>
      </c>
      <c r="H45" s="28">
        <v>39.834117999999997</v>
      </c>
      <c r="I45" s="28">
        <v>-91.436790999999999</v>
      </c>
      <c r="J45" s="28" t="s">
        <v>350</v>
      </c>
      <c r="K45" s="61">
        <v>110056953765</v>
      </c>
      <c r="L45" s="61" t="str">
        <f>IFERROR(INDEX('Facility Summary'!$K:$K,MATCH(K45,'Facility Summary'!$J:$J,0)),INDEX('Raw Annual DMR Data'!$M:$M,MATCH(K45,'Raw Annual DMR Data'!$L:$L,0)))</f>
        <v>Processing into formulation, mixture, or reaction product</v>
      </c>
      <c r="M45" s="28">
        <v>325320</v>
      </c>
      <c r="N45" s="28" t="s">
        <v>2406</v>
      </c>
      <c r="O45" s="28"/>
      <c r="P45" s="28" t="s">
        <v>2404</v>
      </c>
      <c r="Q45" s="28"/>
      <c r="R45" s="28">
        <v>5</v>
      </c>
      <c r="S45" s="28">
        <v>2.2679618500000003</v>
      </c>
    </row>
    <row r="46" spans="1:19" x14ac:dyDescent="0.25">
      <c r="A46" s="28">
        <v>2016</v>
      </c>
      <c r="B46" s="28" t="s">
        <v>2405</v>
      </c>
      <c r="C46" s="28" t="s">
        <v>206</v>
      </c>
      <c r="D46" s="28" t="s">
        <v>347</v>
      </c>
      <c r="E46" s="28" t="s">
        <v>348</v>
      </c>
      <c r="F46" s="28" t="s">
        <v>349</v>
      </c>
      <c r="G46" s="28">
        <v>63461</v>
      </c>
      <c r="H46" s="28">
        <v>39.834117999999997</v>
      </c>
      <c r="I46" s="28">
        <v>-91.436790999999999</v>
      </c>
      <c r="J46" s="28" t="s">
        <v>350</v>
      </c>
      <c r="K46" s="61">
        <v>110056953765</v>
      </c>
      <c r="L46" s="61" t="str">
        <f>IFERROR(INDEX('Facility Summary'!$K:$K,MATCH(K46,'Facility Summary'!$J:$J,0)),INDEX('Raw Annual DMR Data'!$M:$M,MATCH(K46,'Raw Annual DMR Data'!$L:$L,0)))</f>
        <v>Processing into formulation, mixture, or reaction product</v>
      </c>
      <c r="M46" s="28">
        <v>325320</v>
      </c>
      <c r="N46" s="28" t="s">
        <v>2406</v>
      </c>
      <c r="O46" s="28"/>
      <c r="P46" s="28" t="s">
        <v>2404</v>
      </c>
      <c r="Q46" s="28"/>
      <c r="R46" s="28">
        <v>5</v>
      </c>
      <c r="S46" s="28">
        <v>2.2679618500000003</v>
      </c>
    </row>
    <row r="47" spans="1:19" x14ac:dyDescent="0.25">
      <c r="A47" s="28">
        <v>2017</v>
      </c>
      <c r="B47" s="28" t="s">
        <v>2405</v>
      </c>
      <c r="C47" s="28" t="s">
        <v>206</v>
      </c>
      <c r="D47" s="28" t="s">
        <v>347</v>
      </c>
      <c r="E47" s="28" t="s">
        <v>348</v>
      </c>
      <c r="F47" s="28" t="s">
        <v>349</v>
      </c>
      <c r="G47" s="28">
        <v>63461</v>
      </c>
      <c r="H47" s="28">
        <v>39.834117999999997</v>
      </c>
      <c r="I47" s="28">
        <v>-91.436790999999999</v>
      </c>
      <c r="J47" s="28" t="s">
        <v>350</v>
      </c>
      <c r="K47" s="61">
        <v>110056953765</v>
      </c>
      <c r="L47" s="61" t="str">
        <f>IFERROR(INDEX('Facility Summary'!$K:$K,MATCH(K47,'Facility Summary'!$J:$J,0)),INDEX('Raw Annual DMR Data'!$M:$M,MATCH(K47,'Raw Annual DMR Data'!$L:$L,0)))</f>
        <v>Processing into formulation, mixture, or reaction product</v>
      </c>
      <c r="M47" s="28">
        <v>325320</v>
      </c>
      <c r="N47" s="28" t="s">
        <v>2406</v>
      </c>
      <c r="O47" s="28"/>
      <c r="P47" s="28" t="s">
        <v>2404</v>
      </c>
      <c r="Q47" s="28"/>
      <c r="R47" s="28">
        <v>5</v>
      </c>
      <c r="S47" s="28">
        <v>2.2679618500000003</v>
      </c>
    </row>
    <row r="48" spans="1:19" x14ac:dyDescent="0.25">
      <c r="A48" s="28">
        <v>2018</v>
      </c>
      <c r="B48" s="28" t="s">
        <v>2405</v>
      </c>
      <c r="C48" s="28" t="s">
        <v>206</v>
      </c>
      <c r="D48" s="28" t="s">
        <v>347</v>
      </c>
      <c r="E48" s="28" t="s">
        <v>348</v>
      </c>
      <c r="F48" s="28" t="s">
        <v>349</v>
      </c>
      <c r="G48" s="28">
        <v>63461</v>
      </c>
      <c r="H48" s="28">
        <v>39.834117999999997</v>
      </c>
      <c r="I48" s="28">
        <v>-91.436790999999999</v>
      </c>
      <c r="J48" s="28" t="s">
        <v>350</v>
      </c>
      <c r="K48" s="61">
        <v>110056953765</v>
      </c>
      <c r="L48" s="61" t="str">
        <f>IFERROR(INDEX('Facility Summary'!$K:$K,MATCH(K48,'Facility Summary'!$J:$J,0)),INDEX('Raw Annual DMR Data'!$M:$M,MATCH(K48,'Raw Annual DMR Data'!$L:$L,0)))</f>
        <v>Processing into formulation, mixture, or reaction product</v>
      </c>
      <c r="M48" s="28">
        <v>325320</v>
      </c>
      <c r="N48" s="28" t="s">
        <v>2406</v>
      </c>
      <c r="O48" s="28"/>
      <c r="P48" s="28" t="s">
        <v>2404</v>
      </c>
      <c r="Q48" s="28"/>
      <c r="R48" s="28">
        <v>5</v>
      </c>
      <c r="S48" s="28">
        <v>2.2679618500000003</v>
      </c>
    </row>
    <row r="49" spans="1:19" x14ac:dyDescent="0.25">
      <c r="A49" s="28">
        <v>2019</v>
      </c>
      <c r="B49" s="28" t="s">
        <v>2405</v>
      </c>
      <c r="C49" s="28" t="s">
        <v>206</v>
      </c>
      <c r="D49" s="28" t="s">
        <v>347</v>
      </c>
      <c r="E49" s="28" t="s">
        <v>348</v>
      </c>
      <c r="F49" s="28" t="s">
        <v>349</v>
      </c>
      <c r="G49" s="28">
        <v>63461</v>
      </c>
      <c r="H49" s="28">
        <v>39.834117999999997</v>
      </c>
      <c r="I49" s="28">
        <v>-91.436790999999999</v>
      </c>
      <c r="J49" s="28" t="s">
        <v>350</v>
      </c>
      <c r="K49" s="61">
        <v>110056953765</v>
      </c>
      <c r="L49" s="61" t="str">
        <f>IFERROR(INDEX('Facility Summary'!$K:$K,MATCH(K49,'Facility Summary'!$J:$J,0)),INDEX('Raw Annual DMR Data'!$M:$M,MATCH(K49,'Raw Annual DMR Data'!$L:$L,0)))</f>
        <v>Processing into formulation, mixture, or reaction product</v>
      </c>
      <c r="M49" s="28">
        <v>325320</v>
      </c>
      <c r="N49" s="28" t="s">
        <v>2406</v>
      </c>
      <c r="O49" s="28"/>
      <c r="P49" s="28" t="s">
        <v>2404</v>
      </c>
      <c r="Q49" s="28"/>
      <c r="R49" s="28">
        <v>5</v>
      </c>
      <c r="S49" s="28">
        <v>2.2679618500000003</v>
      </c>
    </row>
    <row r="50" spans="1:19" x14ac:dyDescent="0.25">
      <c r="A50" s="28">
        <v>2020</v>
      </c>
      <c r="B50" s="28" t="s">
        <v>2405</v>
      </c>
      <c r="C50" s="28" t="s">
        <v>206</v>
      </c>
      <c r="D50" s="28" t="s">
        <v>347</v>
      </c>
      <c r="E50" s="28" t="s">
        <v>348</v>
      </c>
      <c r="F50" s="28" t="s">
        <v>349</v>
      </c>
      <c r="G50" s="28">
        <v>63461</v>
      </c>
      <c r="H50" s="28">
        <v>39.834117999999997</v>
      </c>
      <c r="I50" s="28">
        <v>-91.436790999999999</v>
      </c>
      <c r="J50" s="28" t="s">
        <v>350</v>
      </c>
      <c r="K50" s="61">
        <v>110056953765</v>
      </c>
      <c r="L50" s="61" t="str">
        <f>IFERROR(INDEX('Facility Summary'!$K:$K,MATCH(K50,'Facility Summary'!$J:$J,0)),INDEX('Raw Annual DMR Data'!$M:$M,MATCH(K50,'Raw Annual DMR Data'!$L:$L,0)))</f>
        <v>Processing into formulation, mixture, or reaction product</v>
      </c>
      <c r="M50" s="28">
        <v>325320</v>
      </c>
      <c r="N50" s="28" t="s">
        <v>2406</v>
      </c>
      <c r="O50" s="28"/>
      <c r="P50" s="28" t="s">
        <v>2404</v>
      </c>
      <c r="Q50" s="28"/>
      <c r="R50" s="28">
        <v>5</v>
      </c>
      <c r="S50" s="28">
        <v>2.2679618500000003</v>
      </c>
    </row>
    <row r="51" spans="1:19" x14ac:dyDescent="0.25">
      <c r="A51" s="28">
        <v>2018</v>
      </c>
      <c r="B51" s="28"/>
      <c r="C51" s="28" t="s">
        <v>110</v>
      </c>
      <c r="D51" s="28" t="s">
        <v>351</v>
      </c>
      <c r="E51" s="28" t="s">
        <v>352</v>
      </c>
      <c r="F51" s="28" t="s">
        <v>349</v>
      </c>
      <c r="G51" s="28">
        <v>64120</v>
      </c>
      <c r="H51" s="28">
        <v>39.121471999999997</v>
      </c>
      <c r="I51" s="28">
        <v>-94.473416999999998</v>
      </c>
      <c r="J51" s="28" t="s">
        <v>353</v>
      </c>
      <c r="K51" s="61">
        <v>110000443226</v>
      </c>
      <c r="L51" s="61" t="str">
        <f>IFERROR(INDEX('Facility Summary'!$K:$K,MATCH(K51,'Facility Summary'!$J:$J,0)),INDEX('Raw Annual DMR Data'!$M:$M,MATCH(K51,'Raw Annual DMR Data'!$L:$L,0)))</f>
        <v>Processing into formulation, mixture, or reaction product</v>
      </c>
      <c r="M51" s="28"/>
      <c r="N51" s="28"/>
      <c r="O51" s="28"/>
      <c r="P51" s="28"/>
      <c r="Q51" s="28"/>
      <c r="R51" s="28"/>
      <c r="S51" s="28">
        <v>4.9659863945578202</v>
      </c>
    </row>
    <row r="52" spans="1:19" x14ac:dyDescent="0.25">
      <c r="A52" s="28">
        <v>2020</v>
      </c>
      <c r="B52" s="28"/>
      <c r="C52" s="28" t="s">
        <v>110</v>
      </c>
      <c r="D52" s="28" t="s">
        <v>351</v>
      </c>
      <c r="E52" s="28" t="s">
        <v>352</v>
      </c>
      <c r="F52" s="28" t="s">
        <v>349</v>
      </c>
      <c r="G52" s="28">
        <v>64120</v>
      </c>
      <c r="H52" s="28">
        <v>39.121471999999997</v>
      </c>
      <c r="I52" s="28">
        <v>-94.473416999999998</v>
      </c>
      <c r="J52" s="28" t="s">
        <v>353</v>
      </c>
      <c r="K52" s="61">
        <v>110000443226</v>
      </c>
      <c r="L52" s="61" t="str">
        <f>IFERROR(INDEX('Facility Summary'!$K:$K,MATCH(K52,'Facility Summary'!$J:$J,0)),INDEX('Raw Annual DMR Data'!$M:$M,MATCH(K52,'Raw Annual DMR Data'!$L:$L,0)))</f>
        <v>Processing into formulation, mixture, or reaction product</v>
      </c>
      <c r="M52" s="28"/>
      <c r="N52" s="28"/>
      <c r="O52" s="28"/>
      <c r="P52" s="28"/>
      <c r="Q52" s="28"/>
      <c r="R52" s="28"/>
      <c r="S52" s="28">
        <v>3.3106575963718798</v>
      </c>
    </row>
    <row r="53" spans="1:19" x14ac:dyDescent="0.25">
      <c r="A53" s="28">
        <v>2020</v>
      </c>
      <c r="B53" s="28"/>
      <c r="C53" s="28" t="s">
        <v>111</v>
      </c>
      <c r="D53" s="28" t="s">
        <v>355</v>
      </c>
      <c r="E53" s="28" t="s">
        <v>356</v>
      </c>
      <c r="F53" s="28" t="s">
        <v>338</v>
      </c>
      <c r="G53" s="28">
        <v>8010</v>
      </c>
      <c r="H53" s="28">
        <v>40.067799999999998</v>
      </c>
      <c r="I53" s="28">
        <v>-74.923670000000001</v>
      </c>
      <c r="J53" s="28"/>
      <c r="K53" s="61">
        <v>110029593731</v>
      </c>
      <c r="L53" s="61" t="str">
        <f>IFERROR(INDEX('Facility Summary'!$K:$K,MATCH(K53,'Facility Summary'!$J:$J,0)),INDEX('Raw Annual DMR Data'!$M:$M,MATCH(K53,'Raw Annual DMR Data'!$L:$L,0)))</f>
        <v>POTW</v>
      </c>
      <c r="M53" s="28"/>
      <c r="N53" s="28"/>
      <c r="O53" s="28"/>
      <c r="P53" s="28"/>
      <c r="Q53" s="28"/>
      <c r="R53" s="28"/>
      <c r="S53" s="28">
        <v>0.14601318799999999</v>
      </c>
    </row>
    <row r="54" spans="1:19" x14ac:dyDescent="0.25">
      <c r="A54" s="28">
        <v>2019</v>
      </c>
      <c r="B54" s="28"/>
      <c r="C54" s="28" t="s">
        <v>111</v>
      </c>
      <c r="D54" s="28" t="s">
        <v>355</v>
      </c>
      <c r="E54" s="28" t="s">
        <v>356</v>
      </c>
      <c r="F54" s="28" t="s">
        <v>338</v>
      </c>
      <c r="G54" s="28">
        <v>8010</v>
      </c>
      <c r="H54" s="28">
        <v>40.067799999999998</v>
      </c>
      <c r="I54" s="28">
        <v>-74.923670000000001</v>
      </c>
      <c r="J54" s="28"/>
      <c r="K54" s="61">
        <v>110029593731</v>
      </c>
      <c r="L54" s="61" t="str">
        <f>IFERROR(INDEX('Facility Summary'!$K:$K,MATCH(K54,'Facility Summary'!$J:$J,0)),INDEX('Raw Annual DMR Data'!$M:$M,MATCH(K54,'Raw Annual DMR Data'!$L:$L,0)))</f>
        <v>POTW</v>
      </c>
      <c r="M54" s="28"/>
      <c r="N54" s="28"/>
      <c r="O54" s="28"/>
      <c r="P54" s="28"/>
      <c r="Q54" s="28"/>
      <c r="R54" s="28"/>
      <c r="S54" s="28">
        <v>5.4931360909090898E-2</v>
      </c>
    </row>
    <row r="55" spans="1:19" x14ac:dyDescent="0.25">
      <c r="A55" s="28">
        <v>2016</v>
      </c>
      <c r="B55" s="28"/>
      <c r="C55" s="28" t="s">
        <v>112</v>
      </c>
      <c r="D55" s="28" t="s">
        <v>357</v>
      </c>
      <c r="E55" s="28" t="s">
        <v>358</v>
      </c>
      <c r="F55" s="28" t="s">
        <v>275</v>
      </c>
      <c r="G55" s="28">
        <v>83706</v>
      </c>
      <c r="H55" s="28">
        <v>43.603453999999999</v>
      </c>
      <c r="I55" s="28">
        <v>-116.202736</v>
      </c>
      <c r="J55" s="28"/>
      <c r="K55" s="61">
        <v>110042072351</v>
      </c>
      <c r="L55" s="61" t="str">
        <f>IFERROR(INDEX('Facility Summary'!$K:$K,MATCH(K55,'Facility Summary'!$J:$J,0)),INDEX('Raw Annual DMR Data'!$M:$M,MATCH(K55,'Raw Annual DMR Data'!$L:$L,0)))</f>
        <v>Remediation</v>
      </c>
      <c r="M55" s="28"/>
      <c r="N55" s="28"/>
      <c r="O55" s="28"/>
      <c r="P55" s="28"/>
      <c r="Q55" s="28"/>
      <c r="R55" s="28"/>
      <c r="S55" s="28">
        <v>2.16554210797038E-2</v>
      </c>
    </row>
    <row r="56" spans="1:19" x14ac:dyDescent="0.25">
      <c r="A56" s="28">
        <v>2018</v>
      </c>
      <c r="B56" s="28"/>
      <c r="C56" s="28" t="s">
        <v>113</v>
      </c>
      <c r="D56" s="28" t="s">
        <v>360</v>
      </c>
      <c r="E56" s="28" t="s">
        <v>361</v>
      </c>
      <c r="F56" s="28" t="s">
        <v>362</v>
      </c>
      <c r="G56" s="28">
        <v>77571</v>
      </c>
      <c r="H56" s="28">
        <v>29.704027</v>
      </c>
      <c r="I56" s="28">
        <v>-95.079931999999999</v>
      </c>
      <c r="J56" s="28" t="s">
        <v>363</v>
      </c>
      <c r="K56" s="61">
        <v>110000463631</v>
      </c>
      <c r="L56" s="61" t="str">
        <f>IFERROR(INDEX('Facility Summary'!$K:$K,MATCH(K56,'Facility Summary'!$J:$J,0)),INDEX('Raw Annual DMR Data'!$M:$M,MATCH(K56,'Raw Annual DMR Data'!$L:$L,0)))</f>
        <v>Processing as a Reactant</v>
      </c>
      <c r="M56" s="28"/>
      <c r="N56" s="28"/>
      <c r="O56" s="28"/>
      <c r="P56" s="28"/>
      <c r="Q56" s="28"/>
      <c r="R56" s="28"/>
      <c r="S56" s="28">
        <v>0.52804988662131502</v>
      </c>
    </row>
    <row r="57" spans="1:19" x14ac:dyDescent="0.25">
      <c r="A57" s="28">
        <v>2017</v>
      </c>
      <c r="B57" s="28"/>
      <c r="C57" s="28" t="s">
        <v>113</v>
      </c>
      <c r="D57" s="28" t="s">
        <v>360</v>
      </c>
      <c r="E57" s="28" t="s">
        <v>361</v>
      </c>
      <c r="F57" s="28" t="s">
        <v>362</v>
      </c>
      <c r="G57" s="28">
        <v>77571</v>
      </c>
      <c r="H57" s="28">
        <v>29.704027</v>
      </c>
      <c r="I57" s="28">
        <v>-95.079931999999999</v>
      </c>
      <c r="J57" s="28" t="s">
        <v>363</v>
      </c>
      <c r="K57" s="61">
        <v>110000463631</v>
      </c>
      <c r="L57" s="61" t="str">
        <f>IFERROR(INDEX('Facility Summary'!$K:$K,MATCH(K57,'Facility Summary'!$J:$J,0)),INDEX('Raw Annual DMR Data'!$M:$M,MATCH(K57,'Raw Annual DMR Data'!$L:$L,0)))</f>
        <v>Processing as a Reactant</v>
      </c>
      <c r="M57" s="28"/>
      <c r="N57" s="28"/>
      <c r="O57" s="28"/>
      <c r="P57" s="28"/>
      <c r="Q57" s="28"/>
      <c r="R57" s="28"/>
      <c r="S57" s="28">
        <v>0.39065759637188202</v>
      </c>
    </row>
    <row r="58" spans="1:19" x14ac:dyDescent="0.25">
      <c r="A58" s="28">
        <v>2020</v>
      </c>
      <c r="B58" s="28"/>
      <c r="C58" s="28" t="s">
        <v>113</v>
      </c>
      <c r="D58" s="28" t="s">
        <v>360</v>
      </c>
      <c r="E58" s="28" t="s">
        <v>361</v>
      </c>
      <c r="F58" s="28" t="s">
        <v>362</v>
      </c>
      <c r="G58" s="28">
        <v>77571</v>
      </c>
      <c r="H58" s="28">
        <v>29.704027</v>
      </c>
      <c r="I58" s="28">
        <v>-95.079931999999999</v>
      </c>
      <c r="J58" s="28" t="s">
        <v>363</v>
      </c>
      <c r="K58" s="61">
        <v>110000463631</v>
      </c>
      <c r="L58" s="61" t="str">
        <f>IFERROR(INDEX('Facility Summary'!$K:$K,MATCH(K58,'Facility Summary'!$J:$J,0)),INDEX('Raw Annual DMR Data'!$M:$M,MATCH(K58,'Raw Annual DMR Data'!$L:$L,0)))</f>
        <v>Processing as a Reactant</v>
      </c>
      <c r="M58" s="28"/>
      <c r="N58" s="28"/>
      <c r="O58" s="28"/>
      <c r="P58" s="28"/>
      <c r="Q58" s="28"/>
      <c r="R58" s="28"/>
      <c r="S58" s="28">
        <v>8.9387755102040806E-2</v>
      </c>
    </row>
    <row r="59" spans="1:19" x14ac:dyDescent="0.25">
      <c r="A59" s="28">
        <v>2018</v>
      </c>
      <c r="B59" s="28"/>
      <c r="C59" s="28" t="s">
        <v>114</v>
      </c>
      <c r="D59" s="28" t="s">
        <v>364</v>
      </c>
      <c r="E59" s="28" t="s">
        <v>365</v>
      </c>
      <c r="F59" s="28" t="s">
        <v>366</v>
      </c>
      <c r="G59" s="28">
        <v>92227</v>
      </c>
      <c r="H59" s="28">
        <v>33.017359999999996</v>
      </c>
      <c r="I59" s="28">
        <v>-115.50923</v>
      </c>
      <c r="J59" s="28"/>
      <c r="K59" s="61">
        <v>110030476465</v>
      </c>
      <c r="L59" s="61" t="str">
        <f>IFERROR(INDEX('Facility Summary'!$K:$K,MATCH(K59,'Facility Summary'!$J:$J,0)),INDEX('Raw Annual DMR Data'!$M:$M,MATCH(K59,'Raw Annual DMR Data'!$L:$L,0)))</f>
        <v>POTW</v>
      </c>
      <c r="M59" s="28"/>
      <c r="N59" s="28"/>
      <c r="O59" s="28"/>
      <c r="P59" s="28"/>
      <c r="Q59" s="28"/>
      <c r="R59" s="28"/>
      <c r="S59" s="28">
        <v>3.3709210000000003E-2</v>
      </c>
    </row>
    <row r="60" spans="1:19" x14ac:dyDescent="0.25">
      <c r="A60" s="28">
        <v>2019</v>
      </c>
      <c r="B60" s="28"/>
      <c r="C60" s="28" t="s">
        <v>114</v>
      </c>
      <c r="D60" s="28" t="s">
        <v>364</v>
      </c>
      <c r="E60" s="28" t="s">
        <v>365</v>
      </c>
      <c r="F60" s="28" t="s">
        <v>366</v>
      </c>
      <c r="G60" s="28">
        <v>92227</v>
      </c>
      <c r="H60" s="28">
        <v>33.017359999999996</v>
      </c>
      <c r="I60" s="28">
        <v>-115.50923</v>
      </c>
      <c r="J60" s="28"/>
      <c r="K60" s="61">
        <v>110030476465</v>
      </c>
      <c r="L60" s="61" t="str">
        <f>IFERROR(INDEX('Facility Summary'!$K:$K,MATCH(K60,'Facility Summary'!$J:$J,0)),INDEX('Raw Annual DMR Data'!$M:$M,MATCH(K60,'Raw Annual DMR Data'!$L:$L,0)))</f>
        <v>POTW</v>
      </c>
      <c r="M60" s="28"/>
      <c r="N60" s="28"/>
      <c r="O60" s="28"/>
      <c r="P60" s="28"/>
      <c r="Q60" s="28"/>
      <c r="R60" s="28"/>
      <c r="S60" s="28">
        <v>4.1860207500000003E-2</v>
      </c>
    </row>
    <row r="61" spans="1:19" x14ac:dyDescent="0.25">
      <c r="A61" s="28">
        <v>2017</v>
      </c>
      <c r="B61" s="28"/>
      <c r="C61" s="28" t="s">
        <v>114</v>
      </c>
      <c r="D61" s="28" t="s">
        <v>364</v>
      </c>
      <c r="E61" s="28" t="s">
        <v>365</v>
      </c>
      <c r="F61" s="28" t="s">
        <v>366</v>
      </c>
      <c r="G61" s="28">
        <v>92227</v>
      </c>
      <c r="H61" s="28">
        <v>33.017359999999996</v>
      </c>
      <c r="I61" s="28">
        <v>-115.50923</v>
      </c>
      <c r="J61" s="28"/>
      <c r="K61" s="61">
        <v>110030476465</v>
      </c>
      <c r="L61" s="61" t="str">
        <f>IFERROR(INDEX('Facility Summary'!$K:$K,MATCH(K61,'Facility Summary'!$J:$J,0)),INDEX('Raw Annual DMR Data'!$M:$M,MATCH(K61,'Raw Annual DMR Data'!$L:$L,0)))</f>
        <v>POTW</v>
      </c>
      <c r="M61" s="28"/>
      <c r="N61" s="28"/>
      <c r="O61" s="28"/>
      <c r="P61" s="28"/>
      <c r="Q61" s="28"/>
      <c r="R61" s="28"/>
      <c r="S61" s="28">
        <v>3.3847362499999999E-2</v>
      </c>
    </row>
    <row r="62" spans="1:19" x14ac:dyDescent="0.25">
      <c r="A62" s="28">
        <v>2020</v>
      </c>
      <c r="B62" s="28" t="s">
        <v>2405</v>
      </c>
      <c r="C62" s="28" t="s">
        <v>2414</v>
      </c>
      <c r="D62" s="28" t="s">
        <v>2415</v>
      </c>
      <c r="E62" s="28" t="s">
        <v>480</v>
      </c>
      <c r="F62" s="28" t="s">
        <v>362</v>
      </c>
      <c r="G62" s="28">
        <v>77978</v>
      </c>
      <c r="H62" s="28">
        <v>28.6753</v>
      </c>
      <c r="I62" s="28">
        <v>-96.549499999999995</v>
      </c>
      <c r="J62" s="28" t="s">
        <v>481</v>
      </c>
      <c r="K62" s="61">
        <v>110018925957</v>
      </c>
      <c r="L62" s="61" t="str">
        <f>IFERROR(INDEX('Facility Summary'!$K:$K,MATCH(K62,'Facility Summary'!$J:$J,0)),INDEX('Raw Annual DMR Data'!$M:$M,MATCH(K62,'Raw Annual DMR Data'!$L:$L,0)))</f>
        <v>Manufacturing</v>
      </c>
      <c r="M62" s="28">
        <v>325211</v>
      </c>
      <c r="N62" s="28" t="s">
        <v>54</v>
      </c>
      <c r="O62" s="28"/>
      <c r="P62" s="28" t="s">
        <v>2404</v>
      </c>
      <c r="Q62" s="28"/>
      <c r="R62" s="28">
        <v>14</v>
      </c>
      <c r="S62" s="28">
        <v>6.3502931800000004</v>
      </c>
    </row>
    <row r="63" spans="1:19" x14ac:dyDescent="0.25">
      <c r="A63" s="28">
        <v>2019</v>
      </c>
      <c r="B63" s="28"/>
      <c r="C63" s="28" t="s">
        <v>115</v>
      </c>
      <c r="D63" s="28" t="s">
        <v>370</v>
      </c>
      <c r="E63" s="28" t="s">
        <v>371</v>
      </c>
      <c r="F63" s="28" t="s">
        <v>366</v>
      </c>
      <c r="G63" s="28">
        <v>94010</v>
      </c>
      <c r="H63" s="28">
        <v>37.591898999999998</v>
      </c>
      <c r="I63" s="28">
        <v>-122.358101</v>
      </c>
      <c r="J63" s="28"/>
      <c r="K63" s="61">
        <v>110055988016</v>
      </c>
      <c r="L63" s="61" t="str">
        <f>IFERROR(INDEX('Facility Summary'!$K:$K,MATCH(K63,'Facility Summary'!$J:$J,0)),INDEX('Raw Annual DMR Data'!$M:$M,MATCH(K63,'Raw Annual DMR Data'!$L:$L,0)))</f>
        <v>POTW</v>
      </c>
      <c r="M63" s="28"/>
      <c r="N63" s="28"/>
      <c r="O63" s="28"/>
      <c r="P63" s="28"/>
      <c r="Q63" s="28"/>
      <c r="R63" s="28"/>
      <c r="S63" s="28">
        <v>1.0326899375</v>
      </c>
    </row>
    <row r="64" spans="1:19" x14ac:dyDescent="0.25">
      <c r="A64" s="28">
        <v>2016</v>
      </c>
      <c r="B64" s="28"/>
      <c r="C64" s="28" t="s">
        <v>116</v>
      </c>
      <c r="D64" s="28" t="s">
        <v>372</v>
      </c>
      <c r="E64" s="28" t="s">
        <v>373</v>
      </c>
      <c r="F64" s="28" t="s">
        <v>374</v>
      </c>
      <c r="G64" s="28">
        <v>86020</v>
      </c>
      <c r="H64" s="28">
        <v>36.30301</v>
      </c>
      <c r="I64" s="28">
        <v>-111.45966</v>
      </c>
      <c r="J64" s="28"/>
      <c r="K64" s="61">
        <v>110010062546</v>
      </c>
      <c r="L64" s="61" t="str">
        <f>IFERROR(INDEX('Facility Summary'!$K:$K,MATCH(K64,'Facility Summary'!$J:$J,0)),INDEX('Raw Annual DMR Data'!$M:$M,MATCH(K64,'Raw Annual DMR Data'!$L:$L,0)))</f>
        <v>POTW</v>
      </c>
      <c r="M64" s="28"/>
      <c r="N64" s="28"/>
      <c r="O64" s="28"/>
      <c r="P64" s="28"/>
      <c r="Q64" s="28"/>
      <c r="R64" s="28"/>
      <c r="S64" s="28">
        <v>9.4545908639999995E-2</v>
      </c>
    </row>
    <row r="65" spans="1:19" x14ac:dyDescent="0.25">
      <c r="A65" s="28">
        <v>2020</v>
      </c>
      <c r="B65" s="28"/>
      <c r="C65" s="28" t="s">
        <v>117</v>
      </c>
      <c r="D65" s="28" t="s">
        <v>375</v>
      </c>
      <c r="E65" s="28" t="s">
        <v>376</v>
      </c>
      <c r="F65" s="28" t="s">
        <v>338</v>
      </c>
      <c r="G65" s="28">
        <v>7305</v>
      </c>
      <c r="H65" s="28">
        <v>40.724868000000001</v>
      </c>
      <c r="I65" s="28">
        <v>-74.045564999999996</v>
      </c>
      <c r="J65" s="28"/>
      <c r="K65" s="61">
        <v>110001545070</v>
      </c>
      <c r="L65" s="61" t="str">
        <f>IFERROR(INDEX('Facility Summary'!$K:$K,MATCH(K65,'Facility Summary'!$J:$J,0)),INDEX('Raw Annual DMR Data'!$M:$M,MATCH(K65,'Raw Annual DMR Data'!$L:$L,0)))</f>
        <v>Industrial and commercial non-aerosol cleaning/degreasing</v>
      </c>
      <c r="M65" s="28"/>
      <c r="N65" s="28"/>
      <c r="O65" s="28"/>
      <c r="P65" s="28"/>
      <c r="Q65" s="28"/>
      <c r="R65" s="28"/>
      <c r="S65" s="28">
        <v>1.02466011046666E-4</v>
      </c>
    </row>
    <row r="66" spans="1:19" x14ac:dyDescent="0.25">
      <c r="A66" s="28">
        <v>2018</v>
      </c>
      <c r="B66" s="28" t="s">
        <v>2403</v>
      </c>
      <c r="C66" s="28" t="s">
        <v>688</v>
      </c>
      <c r="D66" s="28" t="s">
        <v>689</v>
      </c>
      <c r="E66" s="28" t="s">
        <v>690</v>
      </c>
      <c r="F66" s="28" t="s">
        <v>691</v>
      </c>
      <c r="G66" s="28">
        <v>74116</v>
      </c>
      <c r="H66" s="28">
        <v>36.194099999999999</v>
      </c>
      <c r="I66" s="28">
        <v>-95.811700000000002</v>
      </c>
      <c r="J66" s="28" t="s">
        <v>692</v>
      </c>
      <c r="K66" s="61">
        <v>110001988877</v>
      </c>
      <c r="L66" s="61" t="str">
        <f>IFERROR(INDEX('Facility Summary'!$K:$K,MATCH(K66,'Facility Summary'!$J:$J,0)),INDEX('Raw Annual DMR Data'!$M:$M,MATCH(K66,'Raw Annual DMR Data'!$L:$L,0)))</f>
        <v>Waste Handling, Disposal and Treatment (Incinerator)</v>
      </c>
      <c r="M66" s="28">
        <v>327310</v>
      </c>
      <c r="N66" s="28" t="s">
        <v>693</v>
      </c>
      <c r="O66" s="28"/>
      <c r="P66" s="28" t="s">
        <v>2404</v>
      </c>
      <c r="Q66" s="28"/>
      <c r="R66" s="28">
        <v>500</v>
      </c>
      <c r="S66" s="28">
        <v>226.79618500000001</v>
      </c>
    </row>
    <row r="67" spans="1:19" x14ac:dyDescent="0.25">
      <c r="A67" s="28">
        <v>2015</v>
      </c>
      <c r="B67" s="28"/>
      <c r="C67" s="28" t="s">
        <v>118</v>
      </c>
      <c r="D67" s="28" t="s">
        <v>377</v>
      </c>
      <c r="E67" s="28" t="s">
        <v>378</v>
      </c>
      <c r="F67" s="28" t="s">
        <v>362</v>
      </c>
      <c r="G67" s="28">
        <v>77979</v>
      </c>
      <c r="H67" s="28">
        <v>28.65</v>
      </c>
      <c r="I67" s="28">
        <v>-96.541700000000006</v>
      </c>
      <c r="J67" s="28"/>
      <c r="K67" s="61">
        <v>110001866641</v>
      </c>
      <c r="L67" s="61" t="str">
        <f>IFERROR(INDEX('Facility Summary'!$K:$K,MATCH(K67,'Facility Summary'!$J:$J,0)),INDEX('Raw Annual DMR Data'!$M:$M,MATCH(K67,'Raw Annual DMR Data'!$L:$L,0)))</f>
        <v>Repackaging</v>
      </c>
      <c r="M67" s="28"/>
      <c r="N67" s="28"/>
      <c r="O67" s="28"/>
      <c r="P67" s="28"/>
      <c r="Q67" s="28"/>
      <c r="R67" s="28"/>
      <c r="S67" s="28">
        <v>0.13293245510000001</v>
      </c>
    </row>
    <row r="68" spans="1:19" x14ac:dyDescent="0.25">
      <c r="A68" s="28">
        <v>2020</v>
      </c>
      <c r="B68" s="28"/>
      <c r="C68" s="28" t="s">
        <v>118</v>
      </c>
      <c r="D68" s="28" t="s">
        <v>377</v>
      </c>
      <c r="E68" s="28" t="s">
        <v>378</v>
      </c>
      <c r="F68" s="28" t="s">
        <v>362</v>
      </c>
      <c r="G68" s="28">
        <v>77979</v>
      </c>
      <c r="H68" s="28">
        <v>28.65</v>
      </c>
      <c r="I68" s="28">
        <v>-96.541700000000006</v>
      </c>
      <c r="J68" s="28"/>
      <c r="K68" s="61">
        <v>110001866641</v>
      </c>
      <c r="L68" s="61" t="str">
        <f>IFERROR(INDEX('Facility Summary'!$K:$K,MATCH(K68,'Facility Summary'!$J:$J,0)),INDEX('Raw Annual DMR Data'!$M:$M,MATCH(K68,'Raw Annual DMR Data'!$L:$L,0)))</f>
        <v>Repackaging</v>
      </c>
      <c r="M68" s="28"/>
      <c r="N68" s="28"/>
      <c r="O68" s="28"/>
      <c r="P68" s="28"/>
      <c r="Q68" s="28"/>
      <c r="R68" s="28"/>
      <c r="S68" s="28">
        <v>8.7584593263600005E-2</v>
      </c>
    </row>
    <row r="69" spans="1:19" x14ac:dyDescent="0.25">
      <c r="A69" s="28">
        <v>2020</v>
      </c>
      <c r="B69" s="28"/>
      <c r="C69" s="28" t="s">
        <v>119</v>
      </c>
      <c r="D69" s="28" t="s">
        <v>380</v>
      </c>
      <c r="E69" s="28" t="s">
        <v>381</v>
      </c>
      <c r="F69" s="28" t="s">
        <v>338</v>
      </c>
      <c r="G69" s="28">
        <v>8014</v>
      </c>
      <c r="H69" s="28">
        <v>39.799250000000001</v>
      </c>
      <c r="I69" s="28">
        <v>-75.33296</v>
      </c>
      <c r="J69" s="28"/>
      <c r="K69" s="61">
        <v>110009721836</v>
      </c>
      <c r="L69" s="61" t="str">
        <f>IFERROR(INDEX('Facility Summary'!$K:$K,MATCH(K69,'Facility Summary'!$J:$J,0)),INDEX('Raw Annual DMR Data'!$M:$M,MATCH(K69,'Raw Annual DMR Data'!$L:$L,0)))</f>
        <v>Repackaging</v>
      </c>
      <c r="M69" s="28"/>
      <c r="N69" s="28"/>
      <c r="O69" s="28"/>
      <c r="P69" s="28"/>
      <c r="Q69" s="28"/>
      <c r="R69" s="28"/>
      <c r="S69" s="28">
        <v>8.7584593263600005E-2</v>
      </c>
    </row>
    <row r="70" spans="1:19" x14ac:dyDescent="0.25">
      <c r="A70" s="28">
        <v>2019</v>
      </c>
      <c r="B70" s="28"/>
      <c r="C70" s="28" t="s">
        <v>119</v>
      </c>
      <c r="D70" s="28" t="s">
        <v>380</v>
      </c>
      <c r="E70" s="28" t="s">
        <v>381</v>
      </c>
      <c r="F70" s="28" t="s">
        <v>338</v>
      </c>
      <c r="G70" s="28">
        <v>8014</v>
      </c>
      <c r="H70" s="28">
        <v>39.799250000000001</v>
      </c>
      <c r="I70" s="28">
        <v>-75.33296</v>
      </c>
      <c r="J70" s="28"/>
      <c r="K70" s="61">
        <v>110009721836</v>
      </c>
      <c r="L70" s="61" t="str">
        <f>IFERROR(INDEX('Facility Summary'!$K:$K,MATCH(K70,'Facility Summary'!$J:$J,0)),INDEX('Raw Annual DMR Data'!$M:$M,MATCH(K70,'Raw Annual DMR Data'!$L:$L,0)))</f>
        <v>Repackaging</v>
      </c>
      <c r="M70" s="28"/>
      <c r="N70" s="28"/>
      <c r="O70" s="28"/>
      <c r="P70" s="28"/>
      <c r="Q70" s="28"/>
      <c r="R70" s="28"/>
      <c r="S70" s="28">
        <v>1.1472392531999999E-2</v>
      </c>
    </row>
    <row r="71" spans="1:19" x14ac:dyDescent="0.25">
      <c r="A71" s="28">
        <v>2019</v>
      </c>
      <c r="B71" s="28"/>
      <c r="C71" s="28" t="s">
        <v>120</v>
      </c>
      <c r="D71" s="28" t="s">
        <v>383</v>
      </c>
      <c r="E71" s="28" t="s">
        <v>384</v>
      </c>
      <c r="F71" s="28" t="s">
        <v>385</v>
      </c>
      <c r="G71" s="28">
        <v>67147</v>
      </c>
      <c r="H71" s="28">
        <v>37.845469999999999</v>
      </c>
      <c r="I71" s="28">
        <v>-97.188820000000007</v>
      </c>
      <c r="J71" s="28"/>
      <c r="K71" s="61">
        <v>110069343954</v>
      </c>
      <c r="L71" s="61" t="str">
        <f>IFERROR(INDEX('Facility Summary'!$K:$K,MATCH(K71,'Facility Summary'!$J:$J,0)),INDEX('Raw Annual DMR Data'!$M:$M,MATCH(K71,'Raw Annual DMR Data'!$L:$L,0)))</f>
        <v>Waste Handling, Disposal and Treatment (Incinerator)</v>
      </c>
      <c r="M71" s="28"/>
      <c r="N71" s="28"/>
      <c r="O71" s="28"/>
      <c r="P71" s="28"/>
      <c r="Q71" s="28"/>
      <c r="R71" s="28"/>
      <c r="S71" s="28">
        <v>3.9494960999999999E-3</v>
      </c>
    </row>
    <row r="72" spans="1:19" x14ac:dyDescent="0.25">
      <c r="A72" s="28">
        <v>2015</v>
      </c>
      <c r="B72" s="28"/>
      <c r="C72" s="28" t="s">
        <v>121</v>
      </c>
      <c r="D72" s="28" t="s">
        <v>387</v>
      </c>
      <c r="E72" s="28" t="s">
        <v>388</v>
      </c>
      <c r="F72" s="28" t="s">
        <v>362</v>
      </c>
      <c r="G72" s="28">
        <v>77705</v>
      </c>
      <c r="H72" s="28">
        <v>30.014764</v>
      </c>
      <c r="I72" s="28">
        <v>-94.028836999999996</v>
      </c>
      <c r="J72" s="28" t="s">
        <v>389</v>
      </c>
      <c r="K72" s="61">
        <v>110034393378</v>
      </c>
      <c r="L72" s="61" t="str">
        <f>IFERROR(INDEX('Facility Summary'!$K:$K,MATCH(K72,'Facility Summary'!$J:$J,0)),INDEX('Raw Annual DMR Data'!$M:$M,MATCH(K72,'Raw Annual DMR Data'!$L:$L,0)))</f>
        <v>Processing into formulation, mixture, or reaction product</v>
      </c>
      <c r="M72" s="28"/>
      <c r="N72" s="28"/>
      <c r="O72" s="28"/>
      <c r="P72" s="28"/>
      <c r="Q72" s="28"/>
      <c r="R72" s="28"/>
      <c r="S72" s="28">
        <v>7.1836734693877498</v>
      </c>
    </row>
    <row r="73" spans="1:19" x14ac:dyDescent="0.25">
      <c r="A73" s="28">
        <v>2018</v>
      </c>
      <c r="B73" s="28"/>
      <c r="C73" s="28" t="s">
        <v>122</v>
      </c>
      <c r="D73" s="28" t="s">
        <v>391</v>
      </c>
      <c r="E73" s="28" t="s">
        <v>392</v>
      </c>
      <c r="F73" s="28" t="s">
        <v>311</v>
      </c>
      <c r="G73" s="28">
        <v>26181</v>
      </c>
      <c r="H73" s="28">
        <v>39.271943999999998</v>
      </c>
      <c r="I73" s="28">
        <v>-81.661666999999994</v>
      </c>
      <c r="J73" s="28" t="s">
        <v>393</v>
      </c>
      <c r="K73" s="61">
        <v>110000586081</v>
      </c>
      <c r="L73" s="61" t="str">
        <f>IFERROR(INDEX('Facility Summary'!$K:$K,MATCH(K73,'Facility Summary'!$J:$J,0)),INDEX('Raw Annual DMR Data'!$M:$M,MATCH(K73,'Raw Annual DMR Data'!$L:$L,0)))</f>
        <v>Processing as a Reactant</v>
      </c>
      <c r="M73" s="28"/>
      <c r="N73" s="28"/>
      <c r="O73" s="28"/>
      <c r="P73" s="28"/>
      <c r="Q73" s="28"/>
      <c r="R73" s="28"/>
      <c r="S73" s="28">
        <v>9.4353741496598609</v>
      </c>
    </row>
    <row r="74" spans="1:19" x14ac:dyDescent="0.25">
      <c r="A74" s="28">
        <v>2018</v>
      </c>
      <c r="B74" s="28"/>
      <c r="C74" s="28" t="s">
        <v>122</v>
      </c>
      <c r="D74" s="28" t="s">
        <v>391</v>
      </c>
      <c r="E74" s="28" t="s">
        <v>392</v>
      </c>
      <c r="F74" s="28" t="s">
        <v>311</v>
      </c>
      <c r="G74" s="28">
        <v>26181</v>
      </c>
      <c r="H74" s="28">
        <v>39.271943999999998</v>
      </c>
      <c r="I74" s="28">
        <v>-81.661666999999994</v>
      </c>
      <c r="J74" s="28" t="s">
        <v>393</v>
      </c>
      <c r="K74" s="61">
        <v>110000586081</v>
      </c>
      <c r="L74" s="61" t="str">
        <f>IFERROR(INDEX('Facility Summary'!$K:$K,MATCH(K74,'Facility Summary'!$J:$J,0)),INDEX('Raw Annual DMR Data'!$M:$M,MATCH(K74,'Raw Annual DMR Data'!$L:$L,0)))</f>
        <v>Processing as a Reactant</v>
      </c>
      <c r="M74" s="28"/>
      <c r="N74" s="28"/>
      <c r="O74" s="28"/>
      <c r="P74" s="28"/>
      <c r="Q74" s="28"/>
      <c r="R74" s="28"/>
      <c r="S74" s="28">
        <v>1.15873015873015</v>
      </c>
    </row>
    <row r="75" spans="1:19" x14ac:dyDescent="0.25">
      <c r="A75" s="28">
        <v>2015</v>
      </c>
      <c r="B75" s="28" t="s">
        <v>2405</v>
      </c>
      <c r="C75" s="28" t="s">
        <v>2419</v>
      </c>
      <c r="D75" s="28" t="s">
        <v>2420</v>
      </c>
      <c r="E75" s="28" t="s">
        <v>2421</v>
      </c>
      <c r="F75" s="28" t="s">
        <v>362</v>
      </c>
      <c r="G75" s="28">
        <v>78359</v>
      </c>
      <c r="H75" s="28">
        <v>27.883610999999998</v>
      </c>
      <c r="I75" s="28">
        <v>-97.241382999999999</v>
      </c>
      <c r="J75" s="28" t="s">
        <v>583</v>
      </c>
      <c r="K75" s="61">
        <v>110000599807</v>
      </c>
      <c r="L75" s="61" t="str">
        <f>IFERROR(INDEX('Facility Summary'!$K:$K,MATCH(K75,'Facility Summary'!$J:$J,0)),INDEX('Raw Annual DMR Data'!$M:$M,MATCH(K75,'Raw Annual DMR Data'!$L:$L,0)))</f>
        <v>Manufacturing</v>
      </c>
      <c r="M75" s="28">
        <v>325199</v>
      </c>
      <c r="N75" s="28" t="s">
        <v>28</v>
      </c>
      <c r="O75" s="28"/>
      <c r="P75" s="28" t="s">
        <v>2404</v>
      </c>
      <c r="Q75" s="28"/>
      <c r="R75" s="28">
        <v>12</v>
      </c>
      <c r="S75" s="28">
        <v>5.4431084399999996</v>
      </c>
    </row>
    <row r="76" spans="1:19" x14ac:dyDescent="0.25">
      <c r="A76" s="28">
        <v>2016</v>
      </c>
      <c r="B76" s="28" t="s">
        <v>2405</v>
      </c>
      <c r="C76" s="28" t="s">
        <v>2419</v>
      </c>
      <c r="D76" s="28" t="s">
        <v>2420</v>
      </c>
      <c r="E76" s="28" t="s">
        <v>2421</v>
      </c>
      <c r="F76" s="28" t="s">
        <v>362</v>
      </c>
      <c r="G76" s="28">
        <v>78359</v>
      </c>
      <c r="H76" s="28">
        <v>27.883610999999998</v>
      </c>
      <c r="I76" s="28">
        <v>-97.241382999999999</v>
      </c>
      <c r="J76" s="28" t="s">
        <v>583</v>
      </c>
      <c r="K76" s="61">
        <v>110000599807</v>
      </c>
      <c r="L76" s="61" t="str">
        <f>IFERROR(INDEX('Facility Summary'!$K:$K,MATCH(K76,'Facility Summary'!$J:$J,0)),INDEX('Raw Annual DMR Data'!$M:$M,MATCH(K76,'Raw Annual DMR Data'!$L:$L,0)))</f>
        <v>Manufacturing</v>
      </c>
      <c r="M76" s="28">
        <v>325199</v>
      </c>
      <c r="N76" s="28" t="s">
        <v>28</v>
      </c>
      <c r="O76" s="28"/>
      <c r="P76" s="28" t="s">
        <v>2404</v>
      </c>
      <c r="Q76" s="28"/>
      <c r="R76" s="28">
        <v>4</v>
      </c>
      <c r="S76" s="28">
        <v>1.8143694800000001</v>
      </c>
    </row>
    <row r="77" spans="1:19" x14ac:dyDescent="0.25">
      <c r="A77" s="28">
        <v>2017</v>
      </c>
      <c r="B77" s="28" t="s">
        <v>2405</v>
      </c>
      <c r="C77" s="28" t="s">
        <v>2419</v>
      </c>
      <c r="D77" s="28" t="s">
        <v>2420</v>
      </c>
      <c r="E77" s="28" t="s">
        <v>2421</v>
      </c>
      <c r="F77" s="28" t="s">
        <v>362</v>
      </c>
      <c r="G77" s="28">
        <v>78359</v>
      </c>
      <c r="H77" s="28">
        <v>27.883610999999998</v>
      </c>
      <c r="I77" s="28">
        <v>-97.241382999999999</v>
      </c>
      <c r="J77" s="28" t="s">
        <v>583</v>
      </c>
      <c r="K77" s="61">
        <v>110000599807</v>
      </c>
      <c r="L77" s="61" t="str">
        <f>IFERROR(INDEX('Facility Summary'!$K:$K,MATCH(K77,'Facility Summary'!$J:$J,0)),INDEX('Raw Annual DMR Data'!$M:$M,MATCH(K77,'Raw Annual DMR Data'!$L:$L,0)))</f>
        <v>Manufacturing</v>
      </c>
      <c r="M77" s="28">
        <v>325199</v>
      </c>
      <c r="N77" s="28" t="s">
        <v>28</v>
      </c>
      <c r="O77" s="28"/>
      <c r="P77" s="28" t="s">
        <v>2404</v>
      </c>
      <c r="Q77" s="28"/>
      <c r="R77" s="28">
        <v>3</v>
      </c>
      <c r="S77" s="28">
        <v>1.3607771099999999</v>
      </c>
    </row>
    <row r="78" spans="1:19" x14ac:dyDescent="0.25">
      <c r="A78" s="28">
        <v>2018</v>
      </c>
      <c r="B78" s="28" t="s">
        <v>2405</v>
      </c>
      <c r="C78" s="28" t="s">
        <v>2419</v>
      </c>
      <c r="D78" s="28" t="s">
        <v>2420</v>
      </c>
      <c r="E78" s="28" t="s">
        <v>2421</v>
      </c>
      <c r="F78" s="28" t="s">
        <v>362</v>
      </c>
      <c r="G78" s="28">
        <v>78359</v>
      </c>
      <c r="H78" s="28">
        <v>27.883610999999998</v>
      </c>
      <c r="I78" s="28">
        <v>-97.241382999999999</v>
      </c>
      <c r="J78" s="28" t="s">
        <v>583</v>
      </c>
      <c r="K78" s="61">
        <v>110000599807</v>
      </c>
      <c r="L78" s="61" t="str">
        <f>IFERROR(INDEX('Facility Summary'!$K:$K,MATCH(K78,'Facility Summary'!$J:$J,0)),INDEX('Raw Annual DMR Data'!$M:$M,MATCH(K78,'Raw Annual DMR Data'!$L:$L,0)))</f>
        <v>Manufacturing</v>
      </c>
      <c r="M78" s="28">
        <v>325199</v>
      </c>
      <c r="N78" s="28" t="s">
        <v>28</v>
      </c>
      <c r="O78" s="28"/>
      <c r="P78" s="28" t="s">
        <v>2404</v>
      </c>
      <c r="Q78" s="28"/>
      <c r="R78" s="28">
        <v>4</v>
      </c>
      <c r="S78" s="28">
        <v>1.8143694800000001</v>
      </c>
    </row>
    <row r="79" spans="1:19" x14ac:dyDescent="0.25">
      <c r="A79" s="28">
        <v>2019</v>
      </c>
      <c r="B79" s="28" t="s">
        <v>2405</v>
      </c>
      <c r="C79" s="28" t="s">
        <v>2419</v>
      </c>
      <c r="D79" s="28" t="s">
        <v>2420</v>
      </c>
      <c r="E79" s="28" t="s">
        <v>2421</v>
      </c>
      <c r="F79" s="28" t="s">
        <v>362</v>
      </c>
      <c r="G79" s="28">
        <v>78359</v>
      </c>
      <c r="H79" s="28">
        <v>27.883610999999998</v>
      </c>
      <c r="I79" s="28">
        <v>-97.241382999999999</v>
      </c>
      <c r="J79" s="28" t="s">
        <v>583</v>
      </c>
      <c r="K79" s="61">
        <v>110000599807</v>
      </c>
      <c r="L79" s="61" t="str">
        <f>IFERROR(INDEX('Facility Summary'!$K:$K,MATCH(K79,'Facility Summary'!$J:$J,0)),INDEX('Raw Annual DMR Data'!$M:$M,MATCH(K79,'Raw Annual DMR Data'!$L:$L,0)))</f>
        <v>Manufacturing</v>
      </c>
      <c r="M79" s="28">
        <v>325199</v>
      </c>
      <c r="N79" s="28" t="s">
        <v>28</v>
      </c>
      <c r="O79" s="28"/>
      <c r="P79" s="28" t="s">
        <v>2404</v>
      </c>
      <c r="Q79" s="28"/>
      <c r="R79" s="28">
        <v>3</v>
      </c>
      <c r="S79" s="28">
        <v>1.3607771099999999</v>
      </c>
    </row>
    <row r="80" spans="1:19" x14ac:dyDescent="0.25">
      <c r="A80" s="28">
        <v>2019</v>
      </c>
      <c r="B80" s="28" t="s">
        <v>2405</v>
      </c>
      <c r="C80" s="28" t="s">
        <v>207</v>
      </c>
      <c r="D80" s="28" t="s">
        <v>400</v>
      </c>
      <c r="E80" s="28" t="s">
        <v>401</v>
      </c>
      <c r="F80" s="28" t="s">
        <v>385</v>
      </c>
      <c r="G80" s="28">
        <v>67460</v>
      </c>
      <c r="H80" s="28">
        <v>38.346800000000002</v>
      </c>
      <c r="I80" s="28">
        <v>-97.674499999999995</v>
      </c>
      <c r="J80" s="28" t="s">
        <v>402</v>
      </c>
      <c r="K80" s="61">
        <v>110016678969</v>
      </c>
      <c r="L80" s="61" t="str">
        <f>IFERROR(INDEX('Facility Summary'!$K:$K,MATCH(K80,'Facility Summary'!$J:$J,0)),INDEX('Raw Annual DMR Data'!$M:$M,MATCH(K80,'Raw Annual DMR Data'!$L:$L,0)))</f>
        <v>Processing into formulation, mixture, or reaction product</v>
      </c>
      <c r="M80" s="28">
        <v>324110</v>
      </c>
      <c r="N80" s="28" t="s">
        <v>2407</v>
      </c>
      <c r="O80" s="28"/>
      <c r="P80" s="28" t="s">
        <v>2404</v>
      </c>
      <c r="Q80" s="28"/>
      <c r="R80" s="28">
        <v>0.2</v>
      </c>
      <c r="S80" s="28">
        <v>9.0718474000000021E-2</v>
      </c>
    </row>
    <row r="81" spans="1:19" x14ac:dyDescent="0.25">
      <c r="A81" s="28">
        <v>2020</v>
      </c>
      <c r="B81" s="28"/>
      <c r="C81" s="28" t="s">
        <v>125</v>
      </c>
      <c r="D81" s="28" t="s">
        <v>403</v>
      </c>
      <c r="E81" s="28" t="s">
        <v>404</v>
      </c>
      <c r="F81" s="28" t="s">
        <v>366</v>
      </c>
      <c r="G81" s="28" t="s">
        <v>405</v>
      </c>
      <c r="H81" s="28">
        <v>40.162275000000001</v>
      </c>
      <c r="I81" s="28">
        <v>-122.221378</v>
      </c>
      <c r="J81" s="28"/>
      <c r="K81" s="61">
        <v>110000730745</v>
      </c>
      <c r="L81" s="61" t="str">
        <f>IFERROR(INDEX('Facility Summary'!$K:$K,MATCH(K81,'Facility Summary'!$J:$J,0)),INDEX('Raw Annual DMR Data'!$M:$M,MATCH(K81,'Raw Annual DMR Data'!$L:$L,0)))</f>
        <v>POTW</v>
      </c>
      <c r="M81" s="28"/>
      <c r="N81" s="28"/>
      <c r="O81" s="28"/>
      <c r="P81" s="28"/>
      <c r="Q81" s="28"/>
      <c r="R81" s="28"/>
      <c r="S81" s="28">
        <v>7.5215519999999997E-4</v>
      </c>
    </row>
    <row r="82" spans="1:19" x14ac:dyDescent="0.25">
      <c r="A82" s="28">
        <v>2020</v>
      </c>
      <c r="B82" s="28"/>
      <c r="C82" s="28" t="s">
        <v>126</v>
      </c>
      <c r="D82" s="28" t="s">
        <v>406</v>
      </c>
      <c r="E82" s="28" t="s">
        <v>407</v>
      </c>
      <c r="F82" s="28" t="s">
        <v>374</v>
      </c>
      <c r="G82" s="28">
        <v>85546</v>
      </c>
      <c r="H82" s="28">
        <v>32.802</v>
      </c>
      <c r="I82" s="28">
        <v>-109.711</v>
      </c>
      <c r="J82" s="28"/>
      <c r="K82" s="61">
        <v>110012330520</v>
      </c>
      <c r="L82" s="61" t="str">
        <f>IFERROR(INDEX('Facility Summary'!$K:$K,MATCH(K82,'Facility Summary'!$J:$J,0)),INDEX('Raw Annual DMR Data'!$M:$M,MATCH(K82,'Raw Annual DMR Data'!$L:$L,0)))</f>
        <v>POTW</v>
      </c>
      <c r="M82" s="28"/>
      <c r="N82" s="28"/>
      <c r="O82" s="28"/>
      <c r="P82" s="28"/>
      <c r="Q82" s="28"/>
      <c r="R82" s="28"/>
      <c r="S82" s="28">
        <v>0.283212625</v>
      </c>
    </row>
    <row r="83" spans="1:19" x14ac:dyDescent="0.25">
      <c r="A83" s="28">
        <v>2020</v>
      </c>
      <c r="B83" s="28"/>
      <c r="C83" s="28" t="s">
        <v>127</v>
      </c>
      <c r="D83" s="28" t="s">
        <v>408</v>
      </c>
      <c r="E83" s="28" t="s">
        <v>302</v>
      </c>
      <c r="F83" s="28" t="s">
        <v>303</v>
      </c>
      <c r="G83" s="28">
        <v>70807</v>
      </c>
      <c r="H83" s="28">
        <v>30.567550000000001</v>
      </c>
      <c r="I83" s="28">
        <v>-91.206370000000007</v>
      </c>
      <c r="J83" s="28" t="s">
        <v>409</v>
      </c>
      <c r="K83" s="61">
        <v>110000450039</v>
      </c>
      <c r="L83" s="61" t="str">
        <f>IFERROR(INDEX('Facility Summary'!$K:$K,MATCH(K83,'Facility Summary'!$J:$J,0)),INDEX('Raw Annual DMR Data'!$M:$M,MATCH(K83,'Raw Annual DMR Data'!$L:$L,0)))</f>
        <v>Waste Handling, Disposal and Treatment (non-POTW WWT)</v>
      </c>
      <c r="M83" s="28"/>
      <c r="N83" s="28"/>
      <c r="O83" s="28"/>
      <c r="P83" s="28"/>
      <c r="Q83" s="28"/>
      <c r="R83" s="28"/>
      <c r="S83" s="28">
        <v>1.6326530612244801</v>
      </c>
    </row>
    <row r="84" spans="1:19" x14ac:dyDescent="0.25">
      <c r="A84" s="28">
        <v>2015</v>
      </c>
      <c r="B84" s="28" t="s">
        <v>2405</v>
      </c>
      <c r="C84" s="28" t="s">
        <v>128</v>
      </c>
      <c r="D84" s="28" t="s">
        <v>2408</v>
      </c>
      <c r="E84" s="28" t="s">
        <v>412</v>
      </c>
      <c r="F84" s="28" t="s">
        <v>299</v>
      </c>
      <c r="G84" s="28">
        <v>71730</v>
      </c>
      <c r="H84" s="28">
        <v>33.2044</v>
      </c>
      <c r="I84" s="28">
        <v>-92.630799999999994</v>
      </c>
      <c r="J84" s="28" t="s">
        <v>413</v>
      </c>
      <c r="K84" s="61">
        <v>110000521221</v>
      </c>
      <c r="L84" s="61" t="str">
        <f>IFERROR(INDEX('Facility Summary'!$K:$K,MATCH(K84,'Facility Summary'!$J:$J,0)),INDEX('Raw Annual DMR Data'!$M:$M,MATCH(K84,'Raw Annual DMR Data'!$L:$L,0)))</f>
        <v>Waste Handling, Disposal and Treatment (Incinerator)</v>
      </c>
      <c r="M84" s="28">
        <v>562211</v>
      </c>
      <c r="N84" s="28" t="s">
        <v>2409</v>
      </c>
      <c r="O84" s="28"/>
      <c r="P84" s="28" t="s">
        <v>2404</v>
      </c>
      <c r="Q84" s="28"/>
      <c r="R84" s="28">
        <v>243</v>
      </c>
      <c r="S84" s="28">
        <v>110.22294591000001</v>
      </c>
    </row>
    <row r="85" spans="1:19" x14ac:dyDescent="0.25">
      <c r="A85" s="28">
        <v>2016</v>
      </c>
      <c r="B85" s="28" t="s">
        <v>2405</v>
      </c>
      <c r="C85" s="28" t="s">
        <v>128</v>
      </c>
      <c r="D85" s="28" t="s">
        <v>2408</v>
      </c>
      <c r="E85" s="28" t="s">
        <v>412</v>
      </c>
      <c r="F85" s="28" t="s">
        <v>299</v>
      </c>
      <c r="G85" s="28">
        <v>71730</v>
      </c>
      <c r="H85" s="28">
        <v>33.2044</v>
      </c>
      <c r="I85" s="28">
        <v>-92.630799999999994</v>
      </c>
      <c r="J85" s="28" t="s">
        <v>413</v>
      </c>
      <c r="K85" s="61">
        <v>110000521221</v>
      </c>
      <c r="L85" s="61" t="str">
        <f>IFERROR(INDEX('Facility Summary'!$K:$K,MATCH(K85,'Facility Summary'!$J:$J,0)),INDEX('Raw Annual DMR Data'!$M:$M,MATCH(K85,'Raw Annual DMR Data'!$L:$L,0)))</f>
        <v>Waste Handling, Disposal and Treatment (Incinerator)</v>
      </c>
      <c r="M85" s="28">
        <v>562211</v>
      </c>
      <c r="N85" s="28" t="s">
        <v>2409</v>
      </c>
      <c r="O85" s="28"/>
      <c r="P85" s="28" t="s">
        <v>2404</v>
      </c>
      <c r="Q85" s="28"/>
      <c r="R85" s="28">
        <v>173.2</v>
      </c>
      <c r="S85" s="28">
        <v>78.562198483999993</v>
      </c>
    </row>
    <row r="86" spans="1:19" x14ac:dyDescent="0.25">
      <c r="A86" s="28">
        <v>2017</v>
      </c>
      <c r="B86" s="28" t="s">
        <v>2405</v>
      </c>
      <c r="C86" s="28" t="s">
        <v>128</v>
      </c>
      <c r="D86" s="28" t="s">
        <v>2408</v>
      </c>
      <c r="E86" s="28" t="s">
        <v>412</v>
      </c>
      <c r="F86" s="28" t="s">
        <v>299</v>
      </c>
      <c r="G86" s="28">
        <v>71730</v>
      </c>
      <c r="H86" s="28">
        <v>33.2044</v>
      </c>
      <c r="I86" s="28">
        <v>-92.630799999999994</v>
      </c>
      <c r="J86" s="28" t="s">
        <v>413</v>
      </c>
      <c r="K86" s="61">
        <v>110000521221</v>
      </c>
      <c r="L86" s="61" t="str">
        <f>IFERROR(INDEX('Facility Summary'!$K:$K,MATCH(K86,'Facility Summary'!$J:$J,0)),INDEX('Raw Annual DMR Data'!$M:$M,MATCH(K86,'Raw Annual DMR Data'!$L:$L,0)))</f>
        <v>Waste Handling, Disposal and Treatment (Incinerator)</v>
      </c>
      <c r="M86" s="28">
        <v>562211</v>
      </c>
      <c r="N86" s="28" t="s">
        <v>2409</v>
      </c>
      <c r="O86" s="28"/>
      <c r="P86" s="28" t="s">
        <v>2404</v>
      </c>
      <c r="Q86" s="28"/>
      <c r="R86" s="28">
        <v>4.4000000000000004</v>
      </c>
      <c r="S86" s="28">
        <v>1.9958064280000003</v>
      </c>
    </row>
    <row r="87" spans="1:19" x14ac:dyDescent="0.25">
      <c r="A87" s="28">
        <v>2019</v>
      </c>
      <c r="B87" s="28"/>
      <c r="C87" s="28" t="s">
        <v>128</v>
      </c>
      <c r="D87" s="28" t="s">
        <v>411</v>
      </c>
      <c r="E87" s="28" t="s">
        <v>412</v>
      </c>
      <c r="F87" s="28" t="s">
        <v>299</v>
      </c>
      <c r="G87" s="28">
        <v>71730</v>
      </c>
      <c r="H87" s="28">
        <v>33.2044</v>
      </c>
      <c r="I87" s="28">
        <v>-92.630799999999994</v>
      </c>
      <c r="J87" s="28" t="s">
        <v>413</v>
      </c>
      <c r="K87" s="61">
        <v>110000521221</v>
      </c>
      <c r="L87" s="61" t="str">
        <f>IFERROR(INDEX('Facility Summary'!$K:$K,MATCH(K87,'Facility Summary'!$J:$J,0)),INDEX('Raw Annual DMR Data'!$M:$M,MATCH(K87,'Raw Annual DMR Data'!$L:$L,0)))</f>
        <v>Waste Handling, Disposal and Treatment (Incinerator)</v>
      </c>
      <c r="M87" s="28"/>
      <c r="N87" s="28"/>
      <c r="O87" s="28"/>
      <c r="P87" s="28"/>
      <c r="Q87" s="28"/>
      <c r="R87" s="28"/>
      <c r="S87" s="28">
        <v>1.9550463679999999E-5</v>
      </c>
    </row>
    <row r="88" spans="1:19" x14ac:dyDescent="0.25">
      <c r="A88" s="28">
        <v>2020</v>
      </c>
      <c r="B88" s="28"/>
      <c r="C88" s="28" t="s">
        <v>129</v>
      </c>
      <c r="D88" s="28" t="s">
        <v>414</v>
      </c>
      <c r="E88" s="28" t="s">
        <v>415</v>
      </c>
      <c r="F88" s="28" t="s">
        <v>366</v>
      </c>
      <c r="G88" s="28">
        <v>93619</v>
      </c>
      <c r="H88" s="28">
        <v>36.793849999999999</v>
      </c>
      <c r="I88" s="28">
        <v>-119.61344</v>
      </c>
      <c r="J88" s="28"/>
      <c r="K88" s="61">
        <v>110035769585</v>
      </c>
      <c r="L88" s="61" t="str">
        <f>IFERROR(INDEX('Facility Summary'!$K:$K,MATCH(K88,'Facility Summary'!$J:$J,0)),INDEX('Raw Annual DMR Data'!$M:$M,MATCH(K88,'Raw Annual DMR Data'!$L:$L,0)))</f>
        <v>POTW</v>
      </c>
      <c r="M88" s="28"/>
      <c r="N88" s="28"/>
      <c r="O88" s="28"/>
      <c r="P88" s="28"/>
      <c r="Q88" s="28"/>
      <c r="R88" s="28"/>
      <c r="S88" s="28">
        <v>11.416740920000001</v>
      </c>
    </row>
    <row r="89" spans="1:19" x14ac:dyDescent="0.25">
      <c r="A89" s="28">
        <v>2019</v>
      </c>
      <c r="B89" s="28"/>
      <c r="C89" s="28" t="s">
        <v>130</v>
      </c>
      <c r="D89" s="28" t="s">
        <v>416</v>
      </c>
      <c r="E89" s="28" t="s">
        <v>417</v>
      </c>
      <c r="F89" s="28" t="s">
        <v>418</v>
      </c>
      <c r="G89" s="28">
        <v>89501</v>
      </c>
      <c r="H89" s="28">
        <v>39.526260000000001</v>
      </c>
      <c r="I89" s="28">
        <v>-119.81308</v>
      </c>
      <c r="J89" s="28"/>
      <c r="K89" s="61">
        <v>110009830273</v>
      </c>
      <c r="L89" s="61" t="str">
        <f>IFERROR(INDEX('Facility Summary'!$K:$K,MATCH(K89,'Facility Summary'!$J:$J,0)),INDEX('Raw Annual DMR Data'!$M:$M,MATCH(K89,'Raw Annual DMR Data'!$L:$L,0)))</f>
        <v>Unknown</v>
      </c>
      <c r="M89" s="28"/>
      <c r="N89" s="28"/>
      <c r="O89" s="28"/>
      <c r="P89" s="28"/>
      <c r="Q89" s="28"/>
      <c r="R89" s="28"/>
      <c r="S89" s="28">
        <v>0.41401495609674999</v>
      </c>
    </row>
    <row r="90" spans="1:19" x14ac:dyDescent="0.25">
      <c r="A90" s="28">
        <v>2019</v>
      </c>
      <c r="B90" s="28"/>
      <c r="C90" s="28" t="s">
        <v>131</v>
      </c>
      <c r="D90" s="28" t="s">
        <v>420</v>
      </c>
      <c r="E90" s="28" t="s">
        <v>421</v>
      </c>
      <c r="F90" s="28" t="s">
        <v>366</v>
      </c>
      <c r="G90" s="28">
        <v>95932</v>
      </c>
      <c r="H90" s="28">
        <v>39.191054000000001</v>
      </c>
      <c r="I90" s="28">
        <v>-122.023129</v>
      </c>
      <c r="J90" s="28"/>
      <c r="K90" s="61">
        <v>110055984957</v>
      </c>
      <c r="L90" s="61" t="str">
        <f>IFERROR(INDEX('Facility Summary'!$K:$K,MATCH(K90,'Facility Summary'!$J:$J,0)),INDEX('Raw Annual DMR Data'!$M:$M,MATCH(K90,'Raw Annual DMR Data'!$L:$L,0)))</f>
        <v>POTW</v>
      </c>
      <c r="M90" s="28"/>
      <c r="N90" s="28"/>
      <c r="O90" s="28"/>
      <c r="P90" s="28"/>
      <c r="Q90" s="28"/>
      <c r="R90" s="28"/>
      <c r="S90" s="28">
        <v>7.7251345333333304E-2</v>
      </c>
    </row>
    <row r="91" spans="1:19" x14ac:dyDescent="0.25">
      <c r="A91" s="28">
        <v>2020</v>
      </c>
      <c r="B91" s="28" t="s">
        <v>2405</v>
      </c>
      <c r="C91" s="28" t="s">
        <v>2419</v>
      </c>
      <c r="D91" s="28" t="s">
        <v>2420</v>
      </c>
      <c r="E91" s="28" t="s">
        <v>2421</v>
      </c>
      <c r="F91" s="28" t="s">
        <v>362</v>
      </c>
      <c r="G91" s="28">
        <v>78359</v>
      </c>
      <c r="H91" s="28">
        <v>27.883610999999998</v>
      </c>
      <c r="I91" s="28">
        <v>-97.241382999999999</v>
      </c>
      <c r="J91" s="28" t="s">
        <v>583</v>
      </c>
      <c r="K91" s="61">
        <v>110000599807</v>
      </c>
      <c r="L91" s="61" t="str">
        <f>IFERROR(INDEX('Facility Summary'!$K:$K,MATCH(K91,'Facility Summary'!$J:$J,0)),INDEX('Raw Annual DMR Data'!$M:$M,MATCH(K91,'Raw Annual DMR Data'!$L:$L,0)))</f>
        <v>Manufacturing</v>
      </c>
      <c r="M91" s="28">
        <v>325199</v>
      </c>
      <c r="N91" s="28" t="s">
        <v>28</v>
      </c>
      <c r="O91" s="28"/>
      <c r="P91" s="28" t="s">
        <v>2404</v>
      </c>
      <c r="Q91" s="28"/>
      <c r="R91" s="28">
        <v>3</v>
      </c>
      <c r="S91" s="28">
        <v>1.3607771099999999</v>
      </c>
    </row>
    <row r="92" spans="1:19" x14ac:dyDescent="0.25">
      <c r="A92" s="28">
        <v>2019</v>
      </c>
      <c r="B92" s="28"/>
      <c r="C92" s="28" t="s">
        <v>133</v>
      </c>
      <c r="D92" s="28" t="s">
        <v>429</v>
      </c>
      <c r="E92" s="28" t="s">
        <v>430</v>
      </c>
      <c r="F92" s="28" t="s">
        <v>366</v>
      </c>
      <c r="G92" s="28" t="s">
        <v>431</v>
      </c>
      <c r="H92" s="28">
        <v>33.892391000000003</v>
      </c>
      <c r="I92" s="28">
        <v>-118.072909</v>
      </c>
      <c r="J92" s="28"/>
      <c r="K92" s="61">
        <v>110000781609</v>
      </c>
      <c r="L92" s="61" t="str">
        <f>IFERROR(INDEX('Facility Summary'!$K:$K,MATCH(K92,'Facility Summary'!$J:$J,0)),INDEX('Raw Annual DMR Data'!$M:$M,MATCH(K92,'Raw Annual DMR Data'!$L:$L,0)))</f>
        <v>Repackaging</v>
      </c>
      <c r="M92" s="28"/>
      <c r="N92" s="28"/>
      <c r="O92" s="28"/>
      <c r="P92" s="28"/>
      <c r="Q92" s="28"/>
      <c r="R92" s="28"/>
      <c r="S92" s="28">
        <v>1.5171428571428499E-3</v>
      </c>
    </row>
    <row r="93" spans="1:19" x14ac:dyDescent="0.25">
      <c r="A93" s="28">
        <v>2017</v>
      </c>
      <c r="B93" s="28"/>
      <c r="C93" s="28" t="s">
        <v>133</v>
      </c>
      <c r="D93" s="28" t="s">
        <v>429</v>
      </c>
      <c r="E93" s="28" t="s">
        <v>430</v>
      </c>
      <c r="F93" s="28" t="s">
        <v>366</v>
      </c>
      <c r="G93" s="28" t="s">
        <v>431</v>
      </c>
      <c r="H93" s="28">
        <v>33.892391000000003</v>
      </c>
      <c r="I93" s="28">
        <v>-118.072909</v>
      </c>
      <c r="J93" s="28"/>
      <c r="K93" s="61">
        <v>110000781609</v>
      </c>
      <c r="L93" s="61" t="str">
        <f>IFERROR(INDEX('Facility Summary'!$K:$K,MATCH(K93,'Facility Summary'!$J:$J,0)),INDEX('Raw Annual DMR Data'!$M:$M,MATCH(K93,'Raw Annual DMR Data'!$L:$L,0)))</f>
        <v>Repackaging</v>
      </c>
      <c r="M93" s="28"/>
      <c r="N93" s="28"/>
      <c r="O93" s="28"/>
      <c r="P93" s="28"/>
      <c r="Q93" s="28"/>
      <c r="R93" s="28"/>
      <c r="S93" s="28">
        <v>8.7587301587301503E-4</v>
      </c>
    </row>
    <row r="94" spans="1:19" x14ac:dyDescent="0.25">
      <c r="A94" s="28">
        <v>2020</v>
      </c>
      <c r="B94" s="28"/>
      <c r="C94" s="28" t="s">
        <v>133</v>
      </c>
      <c r="D94" s="28" t="s">
        <v>429</v>
      </c>
      <c r="E94" s="28" t="s">
        <v>430</v>
      </c>
      <c r="F94" s="28" t="s">
        <v>366</v>
      </c>
      <c r="G94" s="28" t="s">
        <v>431</v>
      </c>
      <c r="H94" s="28">
        <v>33.892391000000003</v>
      </c>
      <c r="I94" s="28">
        <v>-118.072909</v>
      </c>
      <c r="J94" s="28"/>
      <c r="K94" s="61">
        <v>110000781609</v>
      </c>
      <c r="L94" s="61" t="str">
        <f>IFERROR(INDEX('Facility Summary'!$K:$K,MATCH(K94,'Facility Summary'!$J:$J,0)),INDEX('Raw Annual DMR Data'!$M:$M,MATCH(K94,'Raw Annual DMR Data'!$L:$L,0)))</f>
        <v>Repackaging</v>
      </c>
      <c r="M94" s="28"/>
      <c r="N94" s="28"/>
      <c r="O94" s="28"/>
      <c r="P94" s="28"/>
      <c r="Q94" s="28"/>
      <c r="R94" s="28"/>
      <c r="S94" s="28">
        <v>5.71626468769325E-4</v>
      </c>
    </row>
    <row r="95" spans="1:19" x14ac:dyDescent="0.25">
      <c r="A95" s="28">
        <v>2016</v>
      </c>
      <c r="B95" s="28"/>
      <c r="C95" s="28" t="s">
        <v>133</v>
      </c>
      <c r="D95" s="28" t="s">
        <v>429</v>
      </c>
      <c r="E95" s="28" t="s">
        <v>430</v>
      </c>
      <c r="F95" s="28" t="s">
        <v>366</v>
      </c>
      <c r="G95" s="28" t="s">
        <v>431</v>
      </c>
      <c r="H95" s="28">
        <v>33.892391000000003</v>
      </c>
      <c r="I95" s="28">
        <v>-118.072909</v>
      </c>
      <c r="J95" s="28"/>
      <c r="K95" s="61">
        <v>110000781609</v>
      </c>
      <c r="L95" s="61" t="str">
        <f>IFERROR(INDEX('Facility Summary'!$K:$K,MATCH(K95,'Facility Summary'!$J:$J,0)),INDEX('Raw Annual DMR Data'!$M:$M,MATCH(K95,'Raw Annual DMR Data'!$L:$L,0)))</f>
        <v>Repackaging</v>
      </c>
      <c r="M95" s="28"/>
      <c r="N95" s="28"/>
      <c r="O95" s="28"/>
      <c r="P95" s="28"/>
      <c r="Q95" s="28"/>
      <c r="R95" s="28"/>
      <c r="S95" s="28">
        <v>2.12244897959183E-4</v>
      </c>
    </row>
    <row r="96" spans="1:19" x14ac:dyDescent="0.25">
      <c r="A96" s="28">
        <v>2018</v>
      </c>
      <c r="B96" s="28"/>
      <c r="C96" s="28" t="s">
        <v>133</v>
      </c>
      <c r="D96" s="28" t="s">
        <v>429</v>
      </c>
      <c r="E96" s="28" t="s">
        <v>430</v>
      </c>
      <c r="F96" s="28" t="s">
        <v>366</v>
      </c>
      <c r="G96" s="28" t="s">
        <v>431</v>
      </c>
      <c r="H96" s="28">
        <v>33.892391000000003</v>
      </c>
      <c r="I96" s="28">
        <v>-118.072909</v>
      </c>
      <c r="J96" s="28"/>
      <c r="K96" s="61">
        <v>110000781609</v>
      </c>
      <c r="L96" s="61" t="str">
        <f>IFERROR(INDEX('Facility Summary'!$K:$K,MATCH(K96,'Facility Summary'!$J:$J,0)),INDEX('Raw Annual DMR Data'!$M:$M,MATCH(K96,'Raw Annual DMR Data'!$L:$L,0)))</f>
        <v>Repackaging</v>
      </c>
      <c r="M96" s="28"/>
      <c r="N96" s="28"/>
      <c r="O96" s="28"/>
      <c r="P96" s="28"/>
      <c r="Q96" s="28"/>
      <c r="R96" s="28"/>
      <c r="S96" s="28">
        <v>1.86712018140589E-3</v>
      </c>
    </row>
    <row r="97" spans="1:19" x14ac:dyDescent="0.25">
      <c r="A97" s="28">
        <v>2018</v>
      </c>
      <c r="B97" s="28"/>
      <c r="C97" s="28" t="s">
        <v>134</v>
      </c>
      <c r="D97" s="28" t="s">
        <v>433</v>
      </c>
      <c r="E97" s="28" t="s">
        <v>434</v>
      </c>
      <c r="F97" s="28" t="s">
        <v>435</v>
      </c>
      <c r="G97" s="28">
        <v>28203</v>
      </c>
      <c r="H97" s="28">
        <v>35.215859999999999</v>
      </c>
      <c r="I97" s="28">
        <v>-80.856890000000007</v>
      </c>
      <c r="J97" s="28"/>
      <c r="K97" s="61">
        <v>110070048003</v>
      </c>
      <c r="L97" s="61" t="str">
        <f>IFERROR(INDEX('Facility Summary'!$K:$K,MATCH(K97,'Facility Summary'!$J:$J,0)),INDEX('Raw Annual DMR Data'!$M:$M,MATCH(K97,'Raw Annual DMR Data'!$L:$L,0)))</f>
        <v>Remediation</v>
      </c>
      <c r="M97" s="28"/>
      <c r="N97" s="28"/>
      <c r="O97" s="28"/>
      <c r="P97" s="28"/>
      <c r="Q97" s="28"/>
      <c r="R97" s="28"/>
      <c r="S97" s="28">
        <v>4.7309471999999998E-2</v>
      </c>
    </row>
    <row r="98" spans="1:19" x14ac:dyDescent="0.25">
      <c r="A98" s="28">
        <v>2020</v>
      </c>
      <c r="B98" s="28"/>
      <c r="C98" s="28" t="s">
        <v>134</v>
      </c>
      <c r="D98" s="28" t="s">
        <v>433</v>
      </c>
      <c r="E98" s="28" t="s">
        <v>434</v>
      </c>
      <c r="F98" s="28" t="s">
        <v>435</v>
      </c>
      <c r="G98" s="28">
        <v>28203</v>
      </c>
      <c r="H98" s="28">
        <v>35.215859999999999</v>
      </c>
      <c r="I98" s="28">
        <v>-80.856890000000007</v>
      </c>
      <c r="J98" s="28"/>
      <c r="K98" s="61">
        <v>110070048003</v>
      </c>
      <c r="L98" s="61" t="str">
        <f>IFERROR(INDEX('Facility Summary'!$K:$K,MATCH(K98,'Facility Summary'!$J:$J,0)),INDEX('Raw Annual DMR Data'!$M:$M,MATCH(K98,'Raw Annual DMR Data'!$L:$L,0)))</f>
        <v>Remediation</v>
      </c>
      <c r="M98" s="28"/>
      <c r="N98" s="28"/>
      <c r="O98" s="28"/>
      <c r="P98" s="28"/>
      <c r="Q98" s="28"/>
      <c r="R98" s="28"/>
      <c r="S98" s="28">
        <v>4.3603200000000002E-2</v>
      </c>
    </row>
    <row r="99" spans="1:19" x14ac:dyDescent="0.25">
      <c r="A99" s="28">
        <v>2019</v>
      </c>
      <c r="B99" s="28"/>
      <c r="C99" s="28" t="s">
        <v>134</v>
      </c>
      <c r="D99" s="28" t="s">
        <v>433</v>
      </c>
      <c r="E99" s="28" t="s">
        <v>434</v>
      </c>
      <c r="F99" s="28" t="s">
        <v>435</v>
      </c>
      <c r="G99" s="28">
        <v>28203</v>
      </c>
      <c r="H99" s="28">
        <v>35.215859999999999</v>
      </c>
      <c r="I99" s="28">
        <v>-80.856890000000007</v>
      </c>
      <c r="J99" s="28"/>
      <c r="K99" s="61">
        <v>110070048003</v>
      </c>
      <c r="L99" s="61" t="str">
        <f>IFERROR(INDEX('Facility Summary'!$K:$K,MATCH(K99,'Facility Summary'!$J:$J,0)),INDEX('Raw Annual DMR Data'!$M:$M,MATCH(K99,'Raw Annual DMR Data'!$L:$L,0)))</f>
        <v>Remediation</v>
      </c>
      <c r="M99" s="28"/>
      <c r="N99" s="28"/>
      <c r="O99" s="28"/>
      <c r="P99" s="28"/>
      <c r="Q99" s="28"/>
      <c r="R99" s="28"/>
      <c r="S99" s="28">
        <v>3.5432119290000001E-2</v>
      </c>
    </row>
    <row r="100" spans="1:19" x14ac:dyDescent="0.25">
      <c r="A100" s="28">
        <v>2015</v>
      </c>
      <c r="B100" s="28" t="s">
        <v>2405</v>
      </c>
      <c r="C100" s="28" t="s">
        <v>209</v>
      </c>
      <c r="D100" s="28" t="s">
        <v>436</v>
      </c>
      <c r="E100" s="28" t="s">
        <v>437</v>
      </c>
      <c r="F100" s="28" t="s">
        <v>362</v>
      </c>
      <c r="G100" s="28">
        <v>775413257</v>
      </c>
      <c r="H100" s="28">
        <v>28.979199999999999</v>
      </c>
      <c r="I100" s="28">
        <v>-95.354900000000001</v>
      </c>
      <c r="J100" s="28" t="s">
        <v>438</v>
      </c>
      <c r="K100" s="61">
        <v>110008170237</v>
      </c>
      <c r="L100" s="61" t="str">
        <f>IFERROR(INDEX('Facility Summary'!$K:$K,MATCH(K100,'Facility Summary'!$J:$J,0)),INDEX('Raw Annual DMR Data'!$M:$M,MATCH(K100,'Raw Annual DMR Data'!$L:$L,0)))</f>
        <v>Processing as a Reactant</v>
      </c>
      <c r="M100" s="28">
        <v>325199</v>
      </c>
      <c r="N100" s="28" t="s">
        <v>28</v>
      </c>
      <c r="O100" s="28"/>
      <c r="P100" s="28" t="s">
        <v>2404</v>
      </c>
      <c r="Q100" s="28"/>
      <c r="R100" s="28">
        <v>320</v>
      </c>
      <c r="S100" s="28">
        <v>145.14955840000002</v>
      </c>
    </row>
    <row r="101" spans="1:19" x14ac:dyDescent="0.25">
      <c r="A101" s="28">
        <v>2016</v>
      </c>
      <c r="B101" s="28" t="s">
        <v>2405</v>
      </c>
      <c r="C101" s="28" t="s">
        <v>209</v>
      </c>
      <c r="D101" s="28" t="s">
        <v>436</v>
      </c>
      <c r="E101" s="28" t="s">
        <v>437</v>
      </c>
      <c r="F101" s="28" t="s">
        <v>362</v>
      </c>
      <c r="G101" s="28">
        <v>775413257</v>
      </c>
      <c r="H101" s="28">
        <v>28.979199999999999</v>
      </c>
      <c r="I101" s="28">
        <v>-95.354900000000001</v>
      </c>
      <c r="J101" s="28" t="s">
        <v>438</v>
      </c>
      <c r="K101" s="61">
        <v>110008170237</v>
      </c>
      <c r="L101" s="61" t="str">
        <f>IFERROR(INDEX('Facility Summary'!$K:$K,MATCH(K101,'Facility Summary'!$J:$J,0)),INDEX('Raw Annual DMR Data'!$M:$M,MATCH(K101,'Raw Annual DMR Data'!$L:$L,0)))</f>
        <v>Processing as a Reactant</v>
      </c>
      <c r="M101" s="28">
        <v>325199</v>
      </c>
      <c r="N101" s="28" t="s">
        <v>28</v>
      </c>
      <c r="O101" s="28"/>
      <c r="P101" s="28" t="s">
        <v>2404</v>
      </c>
      <c r="Q101" s="28"/>
      <c r="R101" s="28">
        <v>606</v>
      </c>
      <c r="S101" s="28">
        <v>274.87697622000002</v>
      </c>
    </row>
    <row r="102" spans="1:19" x14ac:dyDescent="0.25">
      <c r="A102" s="28">
        <v>2017</v>
      </c>
      <c r="B102" s="28" t="s">
        <v>2405</v>
      </c>
      <c r="C102" s="28" t="s">
        <v>209</v>
      </c>
      <c r="D102" s="28" t="s">
        <v>436</v>
      </c>
      <c r="E102" s="28" t="s">
        <v>437</v>
      </c>
      <c r="F102" s="28" t="s">
        <v>362</v>
      </c>
      <c r="G102" s="28">
        <v>775413257</v>
      </c>
      <c r="H102" s="28">
        <v>28.979199999999999</v>
      </c>
      <c r="I102" s="28">
        <v>-95.354900000000001</v>
      </c>
      <c r="J102" s="28" t="s">
        <v>438</v>
      </c>
      <c r="K102" s="61">
        <v>110008170237</v>
      </c>
      <c r="L102" s="61" t="str">
        <f>IFERROR(INDEX('Facility Summary'!$K:$K,MATCH(K102,'Facility Summary'!$J:$J,0)),INDEX('Raw Annual DMR Data'!$M:$M,MATCH(K102,'Raw Annual DMR Data'!$L:$L,0)))</f>
        <v>Processing as a Reactant</v>
      </c>
      <c r="M102" s="28">
        <v>325199</v>
      </c>
      <c r="N102" s="28" t="s">
        <v>28</v>
      </c>
      <c r="O102" s="28"/>
      <c r="P102" s="28" t="s">
        <v>2404</v>
      </c>
      <c r="Q102" s="28"/>
      <c r="R102" s="28">
        <v>586</v>
      </c>
      <c r="S102" s="28">
        <v>265.80512881999999</v>
      </c>
    </row>
    <row r="103" spans="1:19" x14ac:dyDescent="0.25">
      <c r="A103" s="28">
        <v>2018</v>
      </c>
      <c r="B103" s="28" t="s">
        <v>2405</v>
      </c>
      <c r="C103" s="28" t="s">
        <v>209</v>
      </c>
      <c r="D103" s="28" t="s">
        <v>436</v>
      </c>
      <c r="E103" s="28" t="s">
        <v>437</v>
      </c>
      <c r="F103" s="28" t="s">
        <v>362</v>
      </c>
      <c r="G103" s="28">
        <v>775413257</v>
      </c>
      <c r="H103" s="28">
        <v>28.979199999999999</v>
      </c>
      <c r="I103" s="28">
        <v>-95.354900000000001</v>
      </c>
      <c r="J103" s="28" t="s">
        <v>438</v>
      </c>
      <c r="K103" s="61">
        <v>110008170237</v>
      </c>
      <c r="L103" s="61" t="str">
        <f>IFERROR(INDEX('Facility Summary'!$K:$K,MATCH(K103,'Facility Summary'!$J:$J,0)),INDEX('Raw Annual DMR Data'!$M:$M,MATCH(K103,'Raw Annual DMR Data'!$L:$L,0)))</f>
        <v>Processing as a Reactant</v>
      </c>
      <c r="M103" s="28">
        <v>325199</v>
      </c>
      <c r="N103" s="28" t="s">
        <v>28</v>
      </c>
      <c r="O103" s="28"/>
      <c r="P103" s="28" t="s">
        <v>2404</v>
      </c>
      <c r="Q103" s="28"/>
      <c r="R103" s="28">
        <v>397</v>
      </c>
      <c r="S103" s="28">
        <v>180.07617089000001</v>
      </c>
    </row>
    <row r="104" spans="1:19" x14ac:dyDescent="0.25">
      <c r="A104" s="28">
        <v>2019</v>
      </c>
      <c r="B104" s="28" t="s">
        <v>2405</v>
      </c>
      <c r="C104" s="28" t="s">
        <v>209</v>
      </c>
      <c r="D104" s="28" t="s">
        <v>436</v>
      </c>
      <c r="E104" s="28" t="s">
        <v>437</v>
      </c>
      <c r="F104" s="28" t="s">
        <v>362</v>
      </c>
      <c r="G104" s="28">
        <v>775413257</v>
      </c>
      <c r="H104" s="28">
        <v>28.979199999999999</v>
      </c>
      <c r="I104" s="28">
        <v>-95.354900000000001</v>
      </c>
      <c r="J104" s="28" t="s">
        <v>438</v>
      </c>
      <c r="K104" s="61">
        <v>110008170237</v>
      </c>
      <c r="L104" s="61" t="str">
        <f>IFERROR(INDEX('Facility Summary'!$K:$K,MATCH(K104,'Facility Summary'!$J:$J,0)),INDEX('Raw Annual DMR Data'!$M:$M,MATCH(K104,'Raw Annual DMR Data'!$L:$L,0)))</f>
        <v>Processing as a Reactant</v>
      </c>
      <c r="M104" s="28">
        <v>325199</v>
      </c>
      <c r="N104" s="28" t="s">
        <v>28</v>
      </c>
      <c r="O104" s="28"/>
      <c r="P104" s="28" t="s">
        <v>2404</v>
      </c>
      <c r="Q104" s="28"/>
      <c r="R104" s="28">
        <v>57</v>
      </c>
      <c r="S104" s="28">
        <v>25.854765090000001</v>
      </c>
    </row>
    <row r="105" spans="1:19" x14ac:dyDescent="0.25">
      <c r="A105" s="28">
        <v>2020</v>
      </c>
      <c r="B105" s="28" t="s">
        <v>2405</v>
      </c>
      <c r="C105" s="28" t="s">
        <v>209</v>
      </c>
      <c r="D105" s="28" t="s">
        <v>436</v>
      </c>
      <c r="E105" s="28" t="s">
        <v>437</v>
      </c>
      <c r="F105" s="28" t="s">
        <v>362</v>
      </c>
      <c r="G105" s="28">
        <v>775413257</v>
      </c>
      <c r="H105" s="28">
        <v>28.979199999999999</v>
      </c>
      <c r="I105" s="28">
        <v>-95.354900000000001</v>
      </c>
      <c r="J105" s="28" t="s">
        <v>438</v>
      </c>
      <c r="K105" s="61">
        <v>110008170237</v>
      </c>
      <c r="L105" s="61" t="str">
        <f>IFERROR(INDEX('Facility Summary'!$K:$K,MATCH(K105,'Facility Summary'!$J:$J,0)),INDEX('Raw Annual DMR Data'!$M:$M,MATCH(K105,'Raw Annual DMR Data'!$L:$L,0)))</f>
        <v>Processing as a Reactant</v>
      </c>
      <c r="M105" s="28">
        <v>325199</v>
      </c>
      <c r="N105" s="28" t="s">
        <v>28</v>
      </c>
      <c r="O105" s="28"/>
      <c r="P105" s="28" t="s">
        <v>2404</v>
      </c>
      <c r="Q105" s="28"/>
      <c r="R105" s="28">
        <v>88</v>
      </c>
      <c r="S105" s="28">
        <v>39.916128560000004</v>
      </c>
    </row>
    <row r="106" spans="1:19" x14ac:dyDescent="0.25">
      <c r="A106" s="28">
        <v>2015</v>
      </c>
      <c r="B106" s="28" t="s">
        <v>2405</v>
      </c>
      <c r="C106" s="28" t="s">
        <v>216</v>
      </c>
      <c r="D106" s="28" t="s">
        <v>586</v>
      </c>
      <c r="E106" s="28" t="s">
        <v>587</v>
      </c>
      <c r="F106" s="28" t="s">
        <v>303</v>
      </c>
      <c r="G106" s="28">
        <v>70723</v>
      </c>
      <c r="H106" s="28">
        <v>30.05509</v>
      </c>
      <c r="I106" s="28">
        <v>-90.830839999999995</v>
      </c>
      <c r="J106" s="28" t="s">
        <v>588</v>
      </c>
      <c r="K106" s="61">
        <v>110000597328</v>
      </c>
      <c r="L106" s="61" t="str">
        <f>IFERROR(INDEX('Facility Summary'!$K:$K,MATCH(K106,'Facility Summary'!$J:$J,0)),INDEX('Raw Annual DMR Data'!$M:$M,MATCH(K106,'Raw Annual DMR Data'!$L:$L,0)))</f>
        <v>Manufacturing</v>
      </c>
      <c r="M106" s="28">
        <v>325180</v>
      </c>
      <c r="N106" s="28" t="s">
        <v>674</v>
      </c>
      <c r="O106" s="28"/>
      <c r="P106" s="28" t="s">
        <v>2404</v>
      </c>
      <c r="Q106" s="28"/>
      <c r="R106" s="28">
        <v>1.26</v>
      </c>
      <c r="S106" s="28">
        <v>0.57152638620000007</v>
      </c>
    </row>
    <row r="107" spans="1:19" x14ac:dyDescent="0.25">
      <c r="A107" s="28">
        <v>2016</v>
      </c>
      <c r="B107" s="28" t="s">
        <v>2405</v>
      </c>
      <c r="C107" s="28" t="s">
        <v>216</v>
      </c>
      <c r="D107" s="28" t="s">
        <v>586</v>
      </c>
      <c r="E107" s="28" t="s">
        <v>587</v>
      </c>
      <c r="F107" s="28" t="s">
        <v>303</v>
      </c>
      <c r="G107" s="28">
        <v>70723</v>
      </c>
      <c r="H107" s="28">
        <v>30.05509</v>
      </c>
      <c r="I107" s="28">
        <v>-90.830839999999995</v>
      </c>
      <c r="J107" s="28" t="s">
        <v>588</v>
      </c>
      <c r="K107" s="61">
        <v>110000597328</v>
      </c>
      <c r="L107" s="61" t="str">
        <f>IFERROR(INDEX('Facility Summary'!$K:$K,MATCH(K107,'Facility Summary'!$J:$J,0)),INDEX('Raw Annual DMR Data'!$M:$M,MATCH(K107,'Raw Annual DMR Data'!$L:$L,0)))</f>
        <v>Manufacturing</v>
      </c>
      <c r="M107" s="28">
        <v>325180</v>
      </c>
      <c r="N107" s="28" t="s">
        <v>674</v>
      </c>
      <c r="O107" s="28"/>
      <c r="P107" s="28" t="s">
        <v>2404</v>
      </c>
      <c r="Q107" s="28"/>
      <c r="R107" s="28">
        <v>1.3609</v>
      </c>
      <c r="S107" s="28">
        <v>0.61729385633300005</v>
      </c>
    </row>
    <row r="108" spans="1:19" x14ac:dyDescent="0.25">
      <c r="A108" s="28">
        <v>2017</v>
      </c>
      <c r="B108" s="28" t="s">
        <v>2405</v>
      </c>
      <c r="C108" s="28" t="s">
        <v>216</v>
      </c>
      <c r="D108" s="28" t="s">
        <v>586</v>
      </c>
      <c r="E108" s="28" t="s">
        <v>587</v>
      </c>
      <c r="F108" s="28" t="s">
        <v>303</v>
      </c>
      <c r="G108" s="28">
        <v>70723</v>
      </c>
      <c r="H108" s="28">
        <v>30.05509</v>
      </c>
      <c r="I108" s="28">
        <v>-90.830839999999995</v>
      </c>
      <c r="J108" s="28" t="s">
        <v>588</v>
      </c>
      <c r="K108" s="61">
        <v>110000597328</v>
      </c>
      <c r="L108" s="61" t="str">
        <f>IFERROR(INDEX('Facility Summary'!$K:$K,MATCH(K108,'Facility Summary'!$J:$J,0)),INDEX('Raw Annual DMR Data'!$M:$M,MATCH(K108,'Raw Annual DMR Data'!$L:$L,0)))</f>
        <v>Manufacturing</v>
      </c>
      <c r="M108" s="28">
        <v>325180</v>
      </c>
      <c r="N108" s="28" t="s">
        <v>674</v>
      </c>
      <c r="O108" s="28"/>
      <c r="P108" s="28" t="s">
        <v>2404</v>
      </c>
      <c r="Q108" s="28"/>
      <c r="R108" s="28">
        <v>1.34</v>
      </c>
      <c r="S108" s="28">
        <v>0.60781377580000007</v>
      </c>
    </row>
    <row r="109" spans="1:19" x14ac:dyDescent="0.25">
      <c r="A109" s="28">
        <v>2018</v>
      </c>
      <c r="B109" s="28" t="s">
        <v>2405</v>
      </c>
      <c r="C109" s="28" t="s">
        <v>216</v>
      </c>
      <c r="D109" s="28" t="s">
        <v>586</v>
      </c>
      <c r="E109" s="28" t="s">
        <v>587</v>
      </c>
      <c r="F109" s="28" t="s">
        <v>303</v>
      </c>
      <c r="G109" s="28">
        <v>70723</v>
      </c>
      <c r="H109" s="28">
        <v>30.05509</v>
      </c>
      <c r="I109" s="28">
        <v>-90.830839999999995</v>
      </c>
      <c r="J109" s="28" t="s">
        <v>588</v>
      </c>
      <c r="K109" s="61">
        <v>110000597328</v>
      </c>
      <c r="L109" s="61" t="str">
        <f>IFERROR(INDEX('Facility Summary'!$K:$K,MATCH(K109,'Facility Summary'!$J:$J,0)),INDEX('Raw Annual DMR Data'!$M:$M,MATCH(K109,'Raw Annual DMR Data'!$L:$L,0)))</f>
        <v>Manufacturing</v>
      </c>
      <c r="M109" s="28">
        <v>325180</v>
      </c>
      <c r="N109" s="28" t="s">
        <v>674</v>
      </c>
      <c r="O109" s="28"/>
      <c r="P109" s="28" t="s">
        <v>2404</v>
      </c>
      <c r="Q109" s="28"/>
      <c r="R109" s="28">
        <v>1.26</v>
      </c>
      <c r="S109" s="28">
        <v>0.57152638620000007</v>
      </c>
    </row>
    <row r="110" spans="1:19" x14ac:dyDescent="0.25">
      <c r="A110" s="28">
        <v>2019</v>
      </c>
      <c r="B110" s="28" t="s">
        <v>2405</v>
      </c>
      <c r="C110" s="28" t="s">
        <v>216</v>
      </c>
      <c r="D110" s="28" t="s">
        <v>586</v>
      </c>
      <c r="E110" s="28" t="s">
        <v>587</v>
      </c>
      <c r="F110" s="28" t="s">
        <v>303</v>
      </c>
      <c r="G110" s="28">
        <v>70723</v>
      </c>
      <c r="H110" s="28">
        <v>30.05509</v>
      </c>
      <c r="I110" s="28">
        <v>-90.830839999999995</v>
      </c>
      <c r="J110" s="28" t="s">
        <v>588</v>
      </c>
      <c r="K110" s="61">
        <v>110000597328</v>
      </c>
      <c r="L110" s="61" t="str">
        <f>IFERROR(INDEX('Facility Summary'!$K:$K,MATCH(K110,'Facility Summary'!$J:$J,0)),INDEX('Raw Annual DMR Data'!$M:$M,MATCH(K110,'Raw Annual DMR Data'!$L:$L,0)))</f>
        <v>Manufacturing</v>
      </c>
      <c r="M110" s="28">
        <v>325180</v>
      </c>
      <c r="N110" s="28" t="s">
        <v>674</v>
      </c>
      <c r="O110" s="28"/>
      <c r="P110" s="28" t="s">
        <v>2404</v>
      </c>
      <c r="Q110" s="28"/>
      <c r="R110" s="28">
        <v>1</v>
      </c>
      <c r="S110" s="28">
        <v>0.45359237000000002</v>
      </c>
    </row>
    <row r="111" spans="1:19" x14ac:dyDescent="0.25">
      <c r="A111" s="28">
        <v>2017</v>
      </c>
      <c r="B111" s="28"/>
      <c r="C111" s="28" t="s">
        <v>136</v>
      </c>
      <c r="D111" s="28" t="s">
        <v>440</v>
      </c>
      <c r="E111" s="28" t="s">
        <v>441</v>
      </c>
      <c r="F111" s="28" t="s">
        <v>338</v>
      </c>
      <c r="G111" s="28" t="s">
        <v>442</v>
      </c>
      <c r="H111" s="28">
        <v>40.843611000000003</v>
      </c>
      <c r="I111" s="28">
        <v>-75.066389000000001</v>
      </c>
      <c r="J111" s="28" t="s">
        <v>443</v>
      </c>
      <c r="K111" s="61">
        <v>110040963286</v>
      </c>
      <c r="L111" s="61" t="str">
        <f>IFERROR(INDEX('Facility Summary'!$K:$K,MATCH(K111,'Facility Summary'!$J:$J,0)),INDEX('Raw Annual DMR Data'!$M:$M,MATCH(K111,'Raw Annual DMR Data'!$L:$L,0)))</f>
        <v>Processing into formulation, mixture, or reaction product</v>
      </c>
      <c r="M111" s="28"/>
      <c r="N111" s="28"/>
      <c r="O111" s="28"/>
      <c r="P111" s="28"/>
      <c r="Q111" s="28"/>
      <c r="R111" s="28"/>
      <c r="S111" s="28">
        <v>3.1001643558</v>
      </c>
    </row>
    <row r="112" spans="1:19" x14ac:dyDescent="0.25">
      <c r="A112" s="28">
        <v>2020</v>
      </c>
      <c r="B112" s="28" t="s">
        <v>2405</v>
      </c>
      <c r="C112" s="28" t="s">
        <v>216</v>
      </c>
      <c r="D112" s="28" t="s">
        <v>586</v>
      </c>
      <c r="E112" s="28" t="s">
        <v>587</v>
      </c>
      <c r="F112" s="28" t="s">
        <v>303</v>
      </c>
      <c r="G112" s="28">
        <v>70723</v>
      </c>
      <c r="H112" s="28">
        <v>30.05509</v>
      </c>
      <c r="I112" s="28">
        <v>-90.830839999999995</v>
      </c>
      <c r="J112" s="28" t="s">
        <v>588</v>
      </c>
      <c r="K112" s="61">
        <v>110000597328</v>
      </c>
      <c r="L112" s="61" t="str">
        <f>IFERROR(INDEX('Facility Summary'!$K:$K,MATCH(K112,'Facility Summary'!$J:$J,0)),INDEX('Raw Annual DMR Data'!$M:$M,MATCH(K112,'Raw Annual DMR Data'!$L:$L,0)))</f>
        <v>Manufacturing</v>
      </c>
      <c r="M112" s="28">
        <v>325180</v>
      </c>
      <c r="N112" s="28" t="s">
        <v>674</v>
      </c>
      <c r="O112" s="28"/>
      <c r="P112" s="28" t="s">
        <v>2404</v>
      </c>
      <c r="Q112" s="28"/>
      <c r="R112" s="28">
        <v>1</v>
      </c>
      <c r="S112" s="28">
        <v>0.45359237000000002</v>
      </c>
    </row>
    <row r="113" spans="1:19" x14ac:dyDescent="0.25">
      <c r="A113" s="28">
        <v>2015</v>
      </c>
      <c r="B113" s="28" t="s">
        <v>2405</v>
      </c>
      <c r="C113" s="28" t="s">
        <v>2422</v>
      </c>
      <c r="D113" s="28" t="s">
        <v>2423</v>
      </c>
      <c r="E113" s="28" t="s">
        <v>516</v>
      </c>
      <c r="F113" s="28" t="s">
        <v>303</v>
      </c>
      <c r="G113" s="28">
        <v>70734</v>
      </c>
      <c r="H113" s="28">
        <v>30.185099999999998</v>
      </c>
      <c r="I113" s="28">
        <v>-90.980400000000003</v>
      </c>
      <c r="J113" s="28" t="s">
        <v>585</v>
      </c>
      <c r="K113" s="61">
        <v>110000449774</v>
      </c>
      <c r="L113" s="61" t="str">
        <f>IFERROR(INDEX('Facility Summary'!$K:$K,MATCH(K113,'Facility Summary'!$J:$J,0)),INDEX('Raw Annual DMR Data'!$M:$M,MATCH(K113,'Raw Annual DMR Data'!$L:$L,0)))</f>
        <v>Manufacturing</v>
      </c>
      <c r="M113" s="28">
        <v>325199</v>
      </c>
      <c r="N113" s="28" t="s">
        <v>28</v>
      </c>
      <c r="O113" s="28"/>
      <c r="P113" s="28" t="s">
        <v>2404</v>
      </c>
      <c r="Q113" s="28"/>
      <c r="R113" s="28">
        <v>7.86</v>
      </c>
      <c r="S113" s="28">
        <v>3.5652360282000006</v>
      </c>
    </row>
    <row r="114" spans="1:19" x14ac:dyDescent="0.25">
      <c r="A114" s="28">
        <v>2016</v>
      </c>
      <c r="B114" s="28" t="s">
        <v>2405</v>
      </c>
      <c r="C114" s="28" t="s">
        <v>2422</v>
      </c>
      <c r="D114" s="28" t="s">
        <v>2423</v>
      </c>
      <c r="E114" s="28" t="s">
        <v>516</v>
      </c>
      <c r="F114" s="28" t="s">
        <v>303</v>
      </c>
      <c r="G114" s="28">
        <v>70734</v>
      </c>
      <c r="H114" s="28">
        <v>30.185099999999998</v>
      </c>
      <c r="I114" s="28">
        <v>-90.980400000000003</v>
      </c>
      <c r="J114" s="28" t="s">
        <v>585</v>
      </c>
      <c r="K114" s="61">
        <v>110000449774</v>
      </c>
      <c r="L114" s="61" t="str">
        <f>IFERROR(INDEX('Facility Summary'!$K:$K,MATCH(K114,'Facility Summary'!$J:$J,0)),INDEX('Raw Annual DMR Data'!$M:$M,MATCH(K114,'Raw Annual DMR Data'!$L:$L,0)))</f>
        <v>Manufacturing</v>
      </c>
      <c r="M114" s="28">
        <v>325199</v>
      </c>
      <c r="N114" s="28" t="s">
        <v>28</v>
      </c>
      <c r="O114" s="28"/>
      <c r="P114" s="28" t="s">
        <v>2404</v>
      </c>
      <c r="Q114" s="28"/>
      <c r="R114" s="28">
        <v>16.443000000000001</v>
      </c>
      <c r="S114" s="28">
        <v>7.4584193399100016</v>
      </c>
    </row>
    <row r="115" spans="1:19" x14ac:dyDescent="0.25">
      <c r="A115" s="28">
        <v>2017</v>
      </c>
      <c r="B115" s="28" t="s">
        <v>2405</v>
      </c>
      <c r="C115" s="28" t="s">
        <v>2422</v>
      </c>
      <c r="D115" s="28" t="s">
        <v>2423</v>
      </c>
      <c r="E115" s="28" t="s">
        <v>516</v>
      </c>
      <c r="F115" s="28" t="s">
        <v>303</v>
      </c>
      <c r="G115" s="28">
        <v>70734</v>
      </c>
      <c r="H115" s="28">
        <v>30.185099999999998</v>
      </c>
      <c r="I115" s="28">
        <v>-90.980400000000003</v>
      </c>
      <c r="J115" s="28" t="s">
        <v>585</v>
      </c>
      <c r="K115" s="61">
        <v>110000449774</v>
      </c>
      <c r="L115" s="61" t="str">
        <f>IFERROR(INDEX('Facility Summary'!$K:$K,MATCH(K115,'Facility Summary'!$J:$J,0)),INDEX('Raw Annual DMR Data'!$M:$M,MATCH(K115,'Raw Annual DMR Data'!$L:$L,0)))</f>
        <v>Manufacturing</v>
      </c>
      <c r="M115" s="28">
        <v>325199</v>
      </c>
      <c r="N115" s="28" t="s">
        <v>28</v>
      </c>
      <c r="O115" s="28"/>
      <c r="P115" s="28" t="s">
        <v>2404</v>
      </c>
      <c r="Q115" s="28"/>
      <c r="R115" s="28">
        <v>9.39</v>
      </c>
      <c r="S115" s="28">
        <v>4.2592323542999999</v>
      </c>
    </row>
    <row r="116" spans="1:19" x14ac:dyDescent="0.25">
      <c r="A116" s="28">
        <v>2018</v>
      </c>
      <c r="B116" s="28" t="s">
        <v>2405</v>
      </c>
      <c r="C116" s="28" t="s">
        <v>2422</v>
      </c>
      <c r="D116" s="28" t="s">
        <v>2423</v>
      </c>
      <c r="E116" s="28" t="s">
        <v>516</v>
      </c>
      <c r="F116" s="28" t="s">
        <v>303</v>
      </c>
      <c r="G116" s="28">
        <v>70734</v>
      </c>
      <c r="H116" s="28">
        <v>30.185099999999998</v>
      </c>
      <c r="I116" s="28">
        <v>-90.980400000000003</v>
      </c>
      <c r="J116" s="28" t="s">
        <v>585</v>
      </c>
      <c r="K116" s="61">
        <v>110000449774</v>
      </c>
      <c r="L116" s="61" t="str">
        <f>IFERROR(INDEX('Facility Summary'!$K:$K,MATCH(K116,'Facility Summary'!$J:$J,0)),INDEX('Raw Annual DMR Data'!$M:$M,MATCH(K116,'Raw Annual DMR Data'!$L:$L,0)))</f>
        <v>Manufacturing</v>
      </c>
      <c r="M116" s="28">
        <v>325199</v>
      </c>
      <c r="N116" s="28" t="s">
        <v>28</v>
      </c>
      <c r="O116" s="28"/>
      <c r="P116" s="28" t="s">
        <v>2404</v>
      </c>
      <c r="Q116" s="28"/>
      <c r="R116" s="28">
        <v>14.09</v>
      </c>
      <c r="S116" s="28">
        <v>6.3911164933000002</v>
      </c>
    </row>
    <row r="117" spans="1:19" x14ac:dyDescent="0.25">
      <c r="A117" s="28">
        <v>2019</v>
      </c>
      <c r="B117" s="28" t="s">
        <v>2405</v>
      </c>
      <c r="C117" s="28" t="s">
        <v>2422</v>
      </c>
      <c r="D117" s="28" t="s">
        <v>2423</v>
      </c>
      <c r="E117" s="28" t="s">
        <v>516</v>
      </c>
      <c r="F117" s="28" t="s">
        <v>303</v>
      </c>
      <c r="G117" s="28">
        <v>70734</v>
      </c>
      <c r="H117" s="28">
        <v>30.185099999999998</v>
      </c>
      <c r="I117" s="28">
        <v>-90.980400000000003</v>
      </c>
      <c r="J117" s="28" t="s">
        <v>585</v>
      </c>
      <c r="K117" s="61">
        <v>110000449774</v>
      </c>
      <c r="L117" s="61" t="str">
        <f>IFERROR(INDEX('Facility Summary'!$K:$K,MATCH(K117,'Facility Summary'!$J:$J,0)),INDEX('Raw Annual DMR Data'!$M:$M,MATCH(K117,'Raw Annual DMR Data'!$L:$L,0)))</f>
        <v>Manufacturing</v>
      </c>
      <c r="M117" s="28">
        <v>325199</v>
      </c>
      <c r="N117" s="28" t="s">
        <v>28</v>
      </c>
      <c r="O117" s="28"/>
      <c r="P117" s="28" t="s">
        <v>2404</v>
      </c>
      <c r="Q117" s="28"/>
      <c r="R117" s="28">
        <v>23</v>
      </c>
      <c r="S117" s="28">
        <v>10.43262451</v>
      </c>
    </row>
    <row r="118" spans="1:19" x14ac:dyDescent="0.25">
      <c r="A118" s="28">
        <v>2016</v>
      </c>
      <c r="B118" s="28"/>
      <c r="C118" s="28" t="s">
        <v>138</v>
      </c>
      <c r="D118" s="28" t="s">
        <v>448</v>
      </c>
      <c r="E118" s="28" t="s">
        <v>449</v>
      </c>
      <c r="F118" s="28" t="s">
        <v>450</v>
      </c>
      <c r="G118" s="28">
        <v>14652</v>
      </c>
      <c r="H118" s="28">
        <v>43.197788000000003</v>
      </c>
      <c r="I118" s="28">
        <v>-77.629835999999997</v>
      </c>
      <c r="J118" s="28" t="s">
        <v>451</v>
      </c>
      <c r="K118" s="61">
        <v>110000492173</v>
      </c>
      <c r="L118" s="61" t="str">
        <f>IFERROR(INDEX('Facility Summary'!$K:$K,MATCH(K118,'Facility Summary'!$J:$J,0)),INDEX('Raw Annual DMR Data'!$M:$M,MATCH(K118,'Raw Annual DMR Data'!$L:$L,0)))</f>
        <v>Unknown</v>
      </c>
      <c r="M118" s="28"/>
      <c r="N118" s="28"/>
      <c r="O118" s="28"/>
      <c r="P118" s="28"/>
      <c r="Q118" s="28"/>
      <c r="R118" s="28"/>
      <c r="S118" s="28">
        <v>2.716116E-2</v>
      </c>
    </row>
    <row r="119" spans="1:19" x14ac:dyDescent="0.25">
      <c r="A119" s="28">
        <v>2017</v>
      </c>
      <c r="B119" s="28"/>
      <c r="C119" s="28" t="s">
        <v>139</v>
      </c>
      <c r="D119" s="28" t="s">
        <v>453</v>
      </c>
      <c r="E119" s="28" t="s">
        <v>454</v>
      </c>
      <c r="F119" s="28" t="s">
        <v>349</v>
      </c>
      <c r="G119" s="28">
        <v>64801</v>
      </c>
      <c r="H119" s="28">
        <v>37.083666999999998</v>
      </c>
      <c r="I119" s="28">
        <v>-94.550888999999998</v>
      </c>
      <c r="J119" s="28"/>
      <c r="K119" s="61">
        <v>110000614791</v>
      </c>
      <c r="L119" s="61" t="str">
        <f>IFERROR(INDEX('Facility Summary'!$K:$K,MATCH(K119,'Facility Summary'!$J:$J,0)),INDEX('Raw Annual DMR Data'!$M:$M,MATCH(K119,'Raw Annual DMR Data'!$L:$L,0)))</f>
        <v>Unknown</v>
      </c>
      <c r="M119" s="28"/>
      <c r="N119" s="28"/>
      <c r="O119" s="28"/>
      <c r="P119" s="28"/>
      <c r="Q119" s="28"/>
      <c r="R119" s="28"/>
      <c r="S119" s="28">
        <v>0.13468049224799999</v>
      </c>
    </row>
    <row r="120" spans="1:19" x14ac:dyDescent="0.25">
      <c r="A120" s="28">
        <v>2018</v>
      </c>
      <c r="B120" s="28"/>
      <c r="C120" s="28" t="s">
        <v>139</v>
      </c>
      <c r="D120" s="28" t="s">
        <v>453</v>
      </c>
      <c r="E120" s="28" t="s">
        <v>454</v>
      </c>
      <c r="F120" s="28" t="s">
        <v>349</v>
      </c>
      <c r="G120" s="28">
        <v>64801</v>
      </c>
      <c r="H120" s="28">
        <v>37.083666999999998</v>
      </c>
      <c r="I120" s="28">
        <v>-94.550888999999998</v>
      </c>
      <c r="J120" s="28"/>
      <c r="K120" s="61">
        <v>110000614791</v>
      </c>
      <c r="L120" s="61" t="str">
        <f>IFERROR(INDEX('Facility Summary'!$K:$K,MATCH(K120,'Facility Summary'!$J:$J,0)),INDEX('Raw Annual DMR Data'!$M:$M,MATCH(K120,'Raw Annual DMR Data'!$L:$L,0)))</f>
        <v>Unknown</v>
      </c>
      <c r="M120" s="28"/>
      <c r="N120" s="28"/>
      <c r="O120" s="28"/>
      <c r="P120" s="28"/>
      <c r="Q120" s="28"/>
      <c r="R120" s="28"/>
      <c r="S120" s="28">
        <v>1.87650125163E-2</v>
      </c>
    </row>
    <row r="121" spans="1:19" x14ac:dyDescent="0.25">
      <c r="A121" s="28">
        <v>2020</v>
      </c>
      <c r="B121" s="28"/>
      <c r="C121" s="28" t="s">
        <v>140</v>
      </c>
      <c r="D121" s="28" t="s">
        <v>456</v>
      </c>
      <c r="E121" s="28" t="s">
        <v>457</v>
      </c>
      <c r="F121" s="28" t="s">
        <v>366</v>
      </c>
      <c r="G121" s="28">
        <v>92243</v>
      </c>
      <c r="H121" s="28">
        <v>32.802199999999999</v>
      </c>
      <c r="I121" s="28">
        <v>-115.54</v>
      </c>
      <c r="J121" s="28"/>
      <c r="K121" s="61">
        <v>110002672484</v>
      </c>
      <c r="L121" s="61" t="str">
        <f>IFERROR(INDEX('Facility Summary'!$K:$K,MATCH(K121,'Facility Summary'!$J:$J,0)),INDEX('Raw Annual DMR Data'!$M:$M,MATCH(K121,'Raw Annual DMR Data'!$L:$L,0)))</f>
        <v>Unknown</v>
      </c>
      <c r="M121" s="28"/>
      <c r="N121" s="28"/>
      <c r="O121" s="28"/>
      <c r="P121" s="28"/>
      <c r="Q121" s="28"/>
      <c r="R121" s="28"/>
      <c r="S121" s="28">
        <v>0.92064826</v>
      </c>
    </row>
    <row r="122" spans="1:19" x14ac:dyDescent="0.25">
      <c r="A122" s="28">
        <v>2015</v>
      </c>
      <c r="B122" s="28"/>
      <c r="C122" s="28" t="s">
        <v>141</v>
      </c>
      <c r="D122" s="28" t="s">
        <v>459</v>
      </c>
      <c r="E122" s="28" t="s">
        <v>460</v>
      </c>
      <c r="F122" s="28" t="s">
        <v>311</v>
      </c>
      <c r="G122" s="28" t="s">
        <v>461</v>
      </c>
      <c r="H122" s="28">
        <v>38.360185999999999</v>
      </c>
      <c r="I122" s="28">
        <v>-81.661257000000006</v>
      </c>
      <c r="J122" s="28"/>
      <c r="K122" s="61">
        <v>110001929904</v>
      </c>
      <c r="L122" s="61" t="str">
        <f>IFERROR(INDEX('Facility Summary'!$K:$K,MATCH(K122,'Facility Summary'!$J:$J,0)),INDEX('Raw Annual DMR Data'!$M:$M,MATCH(K122,'Raw Annual DMR Data'!$L:$L,0)))</f>
        <v>Processing into formulation, mixture, or reaction product</v>
      </c>
      <c r="M122" s="28"/>
      <c r="N122" s="28"/>
      <c r="O122" s="28"/>
      <c r="P122" s="28"/>
      <c r="Q122" s="28"/>
      <c r="R122" s="28"/>
      <c r="S122" s="28">
        <v>0.267120181405895</v>
      </c>
    </row>
    <row r="123" spans="1:19" x14ac:dyDescent="0.25">
      <c r="A123" s="28">
        <v>2017</v>
      </c>
      <c r="B123" s="28"/>
      <c r="C123" s="28" t="s">
        <v>141</v>
      </c>
      <c r="D123" s="28" t="s">
        <v>459</v>
      </c>
      <c r="E123" s="28" t="s">
        <v>460</v>
      </c>
      <c r="F123" s="28" t="s">
        <v>311</v>
      </c>
      <c r="G123" s="28" t="s">
        <v>461</v>
      </c>
      <c r="H123" s="28">
        <v>38.360185999999999</v>
      </c>
      <c r="I123" s="28">
        <v>-81.661257000000006</v>
      </c>
      <c r="J123" s="28"/>
      <c r="K123" s="61">
        <v>110001929904</v>
      </c>
      <c r="L123" s="61" t="str">
        <f>IFERROR(INDEX('Facility Summary'!$K:$K,MATCH(K123,'Facility Summary'!$J:$J,0)),INDEX('Raw Annual DMR Data'!$M:$M,MATCH(K123,'Raw Annual DMR Data'!$L:$L,0)))</f>
        <v>Processing into formulation, mixture, or reaction product</v>
      </c>
      <c r="M123" s="28"/>
      <c r="N123" s="28"/>
      <c r="O123" s="28"/>
      <c r="P123" s="28"/>
      <c r="Q123" s="28"/>
      <c r="R123" s="28"/>
      <c r="S123" s="28">
        <v>0.209818594104308</v>
      </c>
    </row>
    <row r="124" spans="1:19" x14ac:dyDescent="0.25">
      <c r="A124" s="28">
        <v>2016</v>
      </c>
      <c r="B124" s="28"/>
      <c r="C124" s="28" t="s">
        <v>141</v>
      </c>
      <c r="D124" s="28" t="s">
        <v>459</v>
      </c>
      <c r="E124" s="28" t="s">
        <v>460</v>
      </c>
      <c r="F124" s="28" t="s">
        <v>311</v>
      </c>
      <c r="G124" s="28" t="s">
        <v>461</v>
      </c>
      <c r="H124" s="28">
        <v>38.360185999999999</v>
      </c>
      <c r="I124" s="28">
        <v>-81.661257000000006</v>
      </c>
      <c r="J124" s="28"/>
      <c r="K124" s="61">
        <v>110001929904</v>
      </c>
      <c r="L124" s="61" t="str">
        <f>IFERROR(INDEX('Facility Summary'!$K:$K,MATCH(K124,'Facility Summary'!$J:$J,0)),INDEX('Raw Annual DMR Data'!$M:$M,MATCH(K124,'Raw Annual DMR Data'!$L:$L,0)))</f>
        <v>Processing into formulation, mixture, or reaction product</v>
      </c>
      <c r="M124" s="28"/>
      <c r="N124" s="28"/>
      <c r="O124" s="28"/>
      <c r="P124" s="28"/>
      <c r="Q124" s="28"/>
      <c r="R124" s="28"/>
      <c r="S124" s="28">
        <v>0.219319727891156</v>
      </c>
    </row>
    <row r="125" spans="1:19" x14ac:dyDescent="0.25">
      <c r="A125" s="28">
        <v>2018</v>
      </c>
      <c r="B125" s="28"/>
      <c r="C125" s="28" t="s">
        <v>141</v>
      </c>
      <c r="D125" s="28" t="s">
        <v>459</v>
      </c>
      <c r="E125" s="28" t="s">
        <v>460</v>
      </c>
      <c r="F125" s="28" t="s">
        <v>311</v>
      </c>
      <c r="G125" s="28" t="s">
        <v>461</v>
      </c>
      <c r="H125" s="28">
        <v>38.360185999999999</v>
      </c>
      <c r="I125" s="28">
        <v>-81.661257000000006</v>
      </c>
      <c r="J125" s="28"/>
      <c r="K125" s="61">
        <v>110001929904</v>
      </c>
      <c r="L125" s="61" t="str">
        <f>IFERROR(INDEX('Facility Summary'!$K:$K,MATCH(K125,'Facility Summary'!$J:$J,0)),INDEX('Raw Annual DMR Data'!$M:$M,MATCH(K125,'Raw Annual DMR Data'!$L:$L,0)))</f>
        <v>Processing into formulation, mixture, or reaction product</v>
      </c>
      <c r="M125" s="28"/>
      <c r="N125" s="28"/>
      <c r="O125" s="28"/>
      <c r="P125" s="28"/>
      <c r="Q125" s="28"/>
      <c r="R125" s="28"/>
      <c r="S125" s="28">
        <v>0.82891499999999996</v>
      </c>
    </row>
    <row r="126" spans="1:19" x14ac:dyDescent="0.25">
      <c r="A126" s="28">
        <v>2020</v>
      </c>
      <c r="B126" s="28" t="s">
        <v>2405</v>
      </c>
      <c r="C126" s="28" t="s">
        <v>2422</v>
      </c>
      <c r="D126" s="28" t="s">
        <v>2423</v>
      </c>
      <c r="E126" s="28" t="s">
        <v>516</v>
      </c>
      <c r="F126" s="28" t="s">
        <v>303</v>
      </c>
      <c r="G126" s="28">
        <v>70734</v>
      </c>
      <c r="H126" s="28">
        <v>30.185099999999998</v>
      </c>
      <c r="I126" s="28">
        <v>-90.980400000000003</v>
      </c>
      <c r="J126" s="28" t="s">
        <v>585</v>
      </c>
      <c r="K126" s="61">
        <v>110000449774</v>
      </c>
      <c r="L126" s="61" t="str">
        <f>IFERROR(INDEX('Facility Summary'!$K:$K,MATCH(K126,'Facility Summary'!$J:$J,0)),INDEX('Raw Annual DMR Data'!$M:$M,MATCH(K126,'Raw Annual DMR Data'!$L:$L,0)))</f>
        <v>Manufacturing</v>
      </c>
      <c r="M126" s="28">
        <v>325199</v>
      </c>
      <c r="N126" s="28" t="s">
        <v>28</v>
      </c>
      <c r="O126" s="28"/>
      <c r="P126" s="28" t="s">
        <v>2404</v>
      </c>
      <c r="Q126" s="28"/>
      <c r="R126" s="28">
        <v>38</v>
      </c>
      <c r="S126" s="28">
        <v>17.236510060000001</v>
      </c>
    </row>
    <row r="127" spans="1:19" x14ac:dyDescent="0.25">
      <c r="A127" s="28">
        <v>2015</v>
      </c>
      <c r="B127" s="28" t="s">
        <v>2405</v>
      </c>
      <c r="C127" s="28" t="s">
        <v>2424</v>
      </c>
      <c r="D127" s="28" t="s">
        <v>2425</v>
      </c>
      <c r="E127" s="28" t="s">
        <v>437</v>
      </c>
      <c r="F127" s="28" t="s">
        <v>362</v>
      </c>
      <c r="G127" s="28">
        <v>77541</v>
      </c>
      <c r="H127" s="28">
        <v>28.981691999999999</v>
      </c>
      <c r="I127" s="28">
        <v>-95.376501000000005</v>
      </c>
      <c r="J127" s="28" t="s">
        <v>484</v>
      </c>
      <c r="K127" s="61">
        <v>110066943605</v>
      </c>
      <c r="L127" s="61" t="str">
        <f>IFERROR(INDEX('Facility Summary'!$K:$K,MATCH(K127,'Facility Summary'!$J:$J,0)),INDEX('Raw Annual DMR Data'!$M:$M,MATCH(K127,'Raw Annual DMR Data'!$L:$L,0)))</f>
        <v>Manufacturing</v>
      </c>
      <c r="M127" s="28">
        <v>325199</v>
      </c>
      <c r="N127" s="28" t="s">
        <v>28</v>
      </c>
      <c r="O127" s="28"/>
      <c r="P127" s="28" t="s">
        <v>2404</v>
      </c>
      <c r="Q127" s="28"/>
      <c r="R127" s="28">
        <v>7</v>
      </c>
      <c r="S127" s="28">
        <v>3.1751465900000002</v>
      </c>
    </row>
    <row r="128" spans="1:19" x14ac:dyDescent="0.25">
      <c r="A128" s="28">
        <v>2015</v>
      </c>
      <c r="B128" s="28" t="s">
        <v>2405</v>
      </c>
      <c r="C128" s="28" t="s">
        <v>218</v>
      </c>
      <c r="D128" s="28" t="s">
        <v>594</v>
      </c>
      <c r="E128" s="28" t="s">
        <v>361</v>
      </c>
      <c r="F128" s="28" t="s">
        <v>362</v>
      </c>
      <c r="G128" s="28">
        <v>77571</v>
      </c>
      <c r="H128" s="28">
        <v>29.723759999999999</v>
      </c>
      <c r="I128" s="28">
        <v>-95.074219999999997</v>
      </c>
      <c r="J128" s="28" t="s">
        <v>595</v>
      </c>
      <c r="K128" s="61">
        <v>110017769734</v>
      </c>
      <c r="L128" s="61" t="str">
        <f>IFERROR(INDEX('Facility Summary'!$K:$K,MATCH(K128,'Facility Summary'!$J:$J,0)),INDEX('Raw Annual DMR Data'!$M:$M,MATCH(K128,'Raw Annual DMR Data'!$L:$L,0)))</f>
        <v>Manufacturing</v>
      </c>
      <c r="M128" s="28">
        <v>325199</v>
      </c>
      <c r="N128" s="28" t="s">
        <v>28</v>
      </c>
      <c r="O128" s="28"/>
      <c r="P128" s="28" t="s">
        <v>2404</v>
      </c>
      <c r="Q128" s="28"/>
      <c r="R128" s="28">
        <v>3.3</v>
      </c>
      <c r="S128" s="28">
        <v>1.4968548209999999</v>
      </c>
    </row>
    <row r="129" spans="1:19" x14ac:dyDescent="0.25">
      <c r="A129" s="28">
        <v>2016</v>
      </c>
      <c r="B129" s="28" t="s">
        <v>2405</v>
      </c>
      <c r="C129" s="28" t="s">
        <v>218</v>
      </c>
      <c r="D129" s="28" t="s">
        <v>594</v>
      </c>
      <c r="E129" s="28" t="s">
        <v>361</v>
      </c>
      <c r="F129" s="28" t="s">
        <v>362</v>
      </c>
      <c r="G129" s="28">
        <v>77571</v>
      </c>
      <c r="H129" s="28">
        <v>29.723759999999999</v>
      </c>
      <c r="I129" s="28">
        <v>-95.074219999999997</v>
      </c>
      <c r="J129" s="28" t="s">
        <v>595</v>
      </c>
      <c r="K129" s="61">
        <v>110017769734</v>
      </c>
      <c r="L129" s="61" t="str">
        <f>IFERROR(INDEX('Facility Summary'!$K:$K,MATCH(K129,'Facility Summary'!$J:$J,0)),INDEX('Raw Annual DMR Data'!$M:$M,MATCH(K129,'Raw Annual DMR Data'!$L:$L,0)))</f>
        <v>Manufacturing</v>
      </c>
      <c r="M129" s="28">
        <v>325199</v>
      </c>
      <c r="N129" s="28" t="s">
        <v>28</v>
      </c>
      <c r="O129" s="28"/>
      <c r="P129" s="28" t="s">
        <v>2404</v>
      </c>
      <c r="Q129" s="28"/>
      <c r="R129" s="28">
        <v>1.6</v>
      </c>
      <c r="S129" s="28">
        <v>0.72574779200000017</v>
      </c>
    </row>
    <row r="130" spans="1:19" x14ac:dyDescent="0.25">
      <c r="A130" s="28">
        <v>2017</v>
      </c>
      <c r="B130" s="28" t="s">
        <v>2405</v>
      </c>
      <c r="C130" s="28" t="s">
        <v>218</v>
      </c>
      <c r="D130" s="28" t="s">
        <v>594</v>
      </c>
      <c r="E130" s="28" t="s">
        <v>361</v>
      </c>
      <c r="F130" s="28" t="s">
        <v>362</v>
      </c>
      <c r="G130" s="28">
        <v>77571</v>
      </c>
      <c r="H130" s="28">
        <v>29.723759999999999</v>
      </c>
      <c r="I130" s="28">
        <v>-95.074219999999997</v>
      </c>
      <c r="J130" s="28" t="s">
        <v>595</v>
      </c>
      <c r="K130" s="61">
        <v>110017769734</v>
      </c>
      <c r="L130" s="61" t="str">
        <f>IFERROR(INDEX('Facility Summary'!$K:$K,MATCH(K130,'Facility Summary'!$J:$J,0)),INDEX('Raw Annual DMR Data'!$M:$M,MATCH(K130,'Raw Annual DMR Data'!$L:$L,0)))</f>
        <v>Manufacturing</v>
      </c>
      <c r="M130" s="28">
        <v>325199</v>
      </c>
      <c r="N130" s="28" t="s">
        <v>28</v>
      </c>
      <c r="O130" s="28"/>
      <c r="P130" s="28" t="s">
        <v>2404</v>
      </c>
      <c r="Q130" s="28"/>
      <c r="R130" s="28">
        <v>1.7</v>
      </c>
      <c r="S130" s="28">
        <v>0.77110702900000005</v>
      </c>
    </row>
    <row r="131" spans="1:19" x14ac:dyDescent="0.25">
      <c r="A131" s="28">
        <v>2018</v>
      </c>
      <c r="B131" s="28" t="s">
        <v>2405</v>
      </c>
      <c r="C131" s="28" t="s">
        <v>218</v>
      </c>
      <c r="D131" s="28" t="s">
        <v>594</v>
      </c>
      <c r="E131" s="28" t="s">
        <v>361</v>
      </c>
      <c r="F131" s="28" t="s">
        <v>362</v>
      </c>
      <c r="G131" s="28">
        <v>77571</v>
      </c>
      <c r="H131" s="28">
        <v>29.723759999999999</v>
      </c>
      <c r="I131" s="28">
        <v>-95.074219999999997</v>
      </c>
      <c r="J131" s="28" t="s">
        <v>595</v>
      </c>
      <c r="K131" s="61">
        <v>110017769734</v>
      </c>
      <c r="L131" s="61" t="str">
        <f>IFERROR(INDEX('Facility Summary'!$K:$K,MATCH(K131,'Facility Summary'!$J:$J,0)),INDEX('Raw Annual DMR Data'!$M:$M,MATCH(K131,'Raw Annual DMR Data'!$L:$L,0)))</f>
        <v>Manufacturing</v>
      </c>
      <c r="M131" s="28">
        <v>325199</v>
      </c>
      <c r="N131" s="28" t="s">
        <v>28</v>
      </c>
      <c r="O131" s="28"/>
      <c r="P131" s="28" t="s">
        <v>2404</v>
      </c>
      <c r="Q131" s="28"/>
      <c r="R131" s="28">
        <v>1.6</v>
      </c>
      <c r="S131" s="28">
        <v>0.72574779200000017</v>
      </c>
    </row>
    <row r="132" spans="1:19" x14ac:dyDescent="0.25">
      <c r="A132" s="28">
        <v>2019</v>
      </c>
      <c r="B132" s="28" t="s">
        <v>2405</v>
      </c>
      <c r="C132" s="28" t="s">
        <v>218</v>
      </c>
      <c r="D132" s="28" t="s">
        <v>594</v>
      </c>
      <c r="E132" s="28" t="s">
        <v>361</v>
      </c>
      <c r="F132" s="28" t="s">
        <v>362</v>
      </c>
      <c r="G132" s="28">
        <v>77571</v>
      </c>
      <c r="H132" s="28">
        <v>29.723759999999999</v>
      </c>
      <c r="I132" s="28">
        <v>-95.074219999999997</v>
      </c>
      <c r="J132" s="28" t="s">
        <v>595</v>
      </c>
      <c r="K132" s="61">
        <v>110017769734</v>
      </c>
      <c r="L132" s="61" t="str">
        <f>IFERROR(INDEX('Facility Summary'!$K:$K,MATCH(K132,'Facility Summary'!$J:$J,0)),INDEX('Raw Annual DMR Data'!$M:$M,MATCH(K132,'Raw Annual DMR Data'!$L:$L,0)))</f>
        <v>Manufacturing</v>
      </c>
      <c r="M132" s="28">
        <v>325199</v>
      </c>
      <c r="N132" s="28" t="s">
        <v>28</v>
      </c>
      <c r="O132" s="28"/>
      <c r="P132" s="28" t="s">
        <v>2404</v>
      </c>
      <c r="Q132" s="28"/>
      <c r="R132" s="28">
        <v>3.3</v>
      </c>
      <c r="S132" s="28">
        <v>1.4968548209999999</v>
      </c>
    </row>
    <row r="133" spans="1:19" x14ac:dyDescent="0.25">
      <c r="A133" s="28">
        <v>2020</v>
      </c>
      <c r="B133" s="28" t="s">
        <v>2405</v>
      </c>
      <c r="C133" s="28" t="s">
        <v>218</v>
      </c>
      <c r="D133" s="28" t="s">
        <v>594</v>
      </c>
      <c r="E133" s="28" t="s">
        <v>361</v>
      </c>
      <c r="F133" s="28" t="s">
        <v>362</v>
      </c>
      <c r="G133" s="28">
        <v>77571</v>
      </c>
      <c r="H133" s="28">
        <v>29.723759999999999</v>
      </c>
      <c r="I133" s="28">
        <v>-95.074219999999997</v>
      </c>
      <c r="J133" s="28" t="s">
        <v>595</v>
      </c>
      <c r="K133" s="61">
        <v>110017769734</v>
      </c>
      <c r="L133" s="61" t="str">
        <f>IFERROR(INDEX('Facility Summary'!$K:$K,MATCH(K133,'Facility Summary'!$J:$J,0)),INDEX('Raw Annual DMR Data'!$M:$M,MATCH(K133,'Raw Annual DMR Data'!$L:$L,0)))</f>
        <v>Manufacturing</v>
      </c>
      <c r="M133" s="28">
        <v>325199</v>
      </c>
      <c r="N133" s="28" t="s">
        <v>28</v>
      </c>
      <c r="O133" s="28"/>
      <c r="P133" s="28" t="s">
        <v>2404</v>
      </c>
      <c r="Q133" s="28"/>
      <c r="R133" s="28">
        <v>3.6</v>
      </c>
      <c r="S133" s="28">
        <v>1.6329325320000001</v>
      </c>
    </row>
    <row r="134" spans="1:19" x14ac:dyDescent="0.25">
      <c r="A134" s="28">
        <v>2018</v>
      </c>
      <c r="B134" s="28" t="s">
        <v>2405</v>
      </c>
      <c r="C134" s="28" t="s">
        <v>201</v>
      </c>
      <c r="D134" s="28" t="s">
        <v>665</v>
      </c>
      <c r="E134" s="28" t="s">
        <v>516</v>
      </c>
      <c r="F134" s="28" t="s">
        <v>303</v>
      </c>
      <c r="G134" s="28">
        <v>70734</v>
      </c>
      <c r="H134" s="28">
        <v>30.208604000000001</v>
      </c>
      <c r="I134" s="28">
        <v>-91.011127999999999</v>
      </c>
      <c r="J134" s="28" t="s">
        <v>666</v>
      </c>
      <c r="K134" s="61">
        <v>110000746328</v>
      </c>
      <c r="L134" s="61" t="str">
        <f>IFERROR(INDEX('Facility Summary'!$K:$K,MATCH(K134,'Facility Summary'!$J:$J,0)),INDEX('Raw Annual DMR Data'!$M:$M,MATCH(K134,'Raw Annual DMR Data'!$L:$L,0)))</f>
        <v>Manufacturing</v>
      </c>
      <c r="M134" s="28">
        <v>325211</v>
      </c>
      <c r="N134" s="28" t="s">
        <v>54</v>
      </c>
      <c r="O134" s="28"/>
      <c r="P134" s="28" t="s">
        <v>2404</v>
      </c>
      <c r="Q134" s="28"/>
      <c r="R134" s="28">
        <v>48</v>
      </c>
      <c r="S134" s="28">
        <v>45.667638483965</v>
      </c>
    </row>
    <row r="135" spans="1:19" x14ac:dyDescent="0.25">
      <c r="A135" s="28">
        <v>2017</v>
      </c>
      <c r="B135" s="28" t="s">
        <v>2405</v>
      </c>
      <c r="C135" s="28" t="s">
        <v>201</v>
      </c>
      <c r="D135" s="28" t="s">
        <v>665</v>
      </c>
      <c r="E135" s="28" t="s">
        <v>516</v>
      </c>
      <c r="F135" s="28" t="s">
        <v>303</v>
      </c>
      <c r="G135" s="28">
        <v>70734</v>
      </c>
      <c r="H135" s="28">
        <v>30.208604000000001</v>
      </c>
      <c r="I135" s="28">
        <v>-91.011127999999999</v>
      </c>
      <c r="J135" s="28" t="s">
        <v>666</v>
      </c>
      <c r="K135" s="61">
        <v>110000746328</v>
      </c>
      <c r="L135" s="61" t="str">
        <f>IFERROR(INDEX('Facility Summary'!$K:$K,MATCH(K135,'Facility Summary'!$J:$J,0)),INDEX('Raw Annual DMR Data'!$M:$M,MATCH(K135,'Raw Annual DMR Data'!$L:$L,0)))</f>
        <v>Manufacturing</v>
      </c>
      <c r="M135" s="28">
        <v>325211</v>
      </c>
      <c r="N135" s="28" t="s">
        <v>54</v>
      </c>
      <c r="O135" s="28"/>
      <c r="P135" s="28" t="s">
        <v>2404</v>
      </c>
      <c r="Q135" s="28"/>
      <c r="R135" s="28">
        <v>3</v>
      </c>
      <c r="S135" s="28">
        <v>18.557823129251599</v>
      </c>
    </row>
    <row r="136" spans="1:19" x14ac:dyDescent="0.25">
      <c r="A136" s="28">
        <v>2016</v>
      </c>
      <c r="B136" s="28" t="s">
        <v>2405</v>
      </c>
      <c r="C136" s="28" t="s">
        <v>201</v>
      </c>
      <c r="D136" s="28" t="s">
        <v>665</v>
      </c>
      <c r="E136" s="28" t="s">
        <v>516</v>
      </c>
      <c r="F136" s="28" t="s">
        <v>303</v>
      </c>
      <c r="G136" s="28">
        <v>70734</v>
      </c>
      <c r="H136" s="28">
        <v>30.208604000000001</v>
      </c>
      <c r="I136" s="28">
        <v>-91.011127999999999</v>
      </c>
      <c r="J136" s="28" t="s">
        <v>666</v>
      </c>
      <c r="K136" s="61">
        <v>110000746328</v>
      </c>
      <c r="L136" s="61" t="str">
        <f>IFERROR(INDEX('Facility Summary'!$K:$K,MATCH(K136,'Facility Summary'!$J:$J,0)),INDEX('Raw Annual DMR Data'!$M:$M,MATCH(K136,'Raw Annual DMR Data'!$L:$L,0)))</f>
        <v>Manufacturing</v>
      </c>
      <c r="M136" s="28">
        <v>325211</v>
      </c>
      <c r="N136" s="28" t="s">
        <v>54</v>
      </c>
      <c r="O136" s="28"/>
      <c r="P136" s="28" t="s">
        <v>2404</v>
      </c>
      <c r="Q136" s="28"/>
      <c r="R136" s="28">
        <v>14</v>
      </c>
      <c r="S136" s="28">
        <v>15.183673469387699</v>
      </c>
    </row>
    <row r="137" spans="1:19" x14ac:dyDescent="0.25">
      <c r="A137" s="28">
        <v>2019</v>
      </c>
      <c r="B137" s="28" t="s">
        <v>2405</v>
      </c>
      <c r="C137" s="28" t="s">
        <v>201</v>
      </c>
      <c r="D137" s="28" t="s">
        <v>665</v>
      </c>
      <c r="E137" s="28" t="s">
        <v>516</v>
      </c>
      <c r="F137" s="28" t="s">
        <v>303</v>
      </c>
      <c r="G137" s="28">
        <v>70734</v>
      </c>
      <c r="H137" s="28">
        <v>30.208604000000001</v>
      </c>
      <c r="I137" s="28">
        <v>-91.011127999999999</v>
      </c>
      <c r="J137" s="28" t="s">
        <v>666</v>
      </c>
      <c r="K137" s="61">
        <v>110000746328</v>
      </c>
      <c r="L137" s="61" t="str">
        <f>IFERROR(INDEX('Facility Summary'!$K:$K,MATCH(K137,'Facility Summary'!$J:$J,0)),INDEX('Raw Annual DMR Data'!$M:$M,MATCH(K137,'Raw Annual DMR Data'!$L:$L,0)))</f>
        <v>Manufacturing</v>
      </c>
      <c r="M137" s="28">
        <v>325211</v>
      </c>
      <c r="N137" s="28" t="s">
        <v>54</v>
      </c>
      <c r="O137" s="28"/>
      <c r="P137" s="28" t="s">
        <v>2404</v>
      </c>
      <c r="Q137" s="28"/>
      <c r="R137" s="28">
        <v>60</v>
      </c>
      <c r="S137" s="28">
        <v>11.6734693877551</v>
      </c>
    </row>
    <row r="138" spans="1:19" x14ac:dyDescent="0.25">
      <c r="A138" s="28">
        <v>2020</v>
      </c>
      <c r="B138" s="28" t="s">
        <v>2405</v>
      </c>
      <c r="C138" s="28" t="s">
        <v>201</v>
      </c>
      <c r="D138" s="28" t="s">
        <v>665</v>
      </c>
      <c r="E138" s="28" t="s">
        <v>516</v>
      </c>
      <c r="F138" s="28" t="s">
        <v>303</v>
      </c>
      <c r="G138" s="28">
        <v>70734</v>
      </c>
      <c r="H138" s="28">
        <v>30.208604000000001</v>
      </c>
      <c r="I138" s="28">
        <v>-91.011127999999999</v>
      </c>
      <c r="J138" s="28" t="s">
        <v>666</v>
      </c>
      <c r="K138" s="61">
        <v>110000746328</v>
      </c>
      <c r="L138" s="61" t="str">
        <f>IFERROR(INDEX('Facility Summary'!$K:$K,MATCH(K138,'Facility Summary'!$J:$J,0)),INDEX('Raw Annual DMR Data'!$M:$M,MATCH(K138,'Raw Annual DMR Data'!$L:$L,0)))</f>
        <v>Manufacturing</v>
      </c>
      <c r="M138" s="28">
        <v>325211</v>
      </c>
      <c r="N138" s="28" t="s">
        <v>54</v>
      </c>
      <c r="O138" s="28"/>
      <c r="P138" s="28" t="s">
        <v>2404</v>
      </c>
      <c r="Q138" s="28"/>
      <c r="R138" s="28">
        <v>9</v>
      </c>
      <c r="S138" s="28">
        <v>5.0612244897959098</v>
      </c>
    </row>
    <row r="139" spans="1:19" x14ac:dyDescent="0.25">
      <c r="A139" s="28">
        <v>2015</v>
      </c>
      <c r="B139" s="28" t="s">
        <v>2405</v>
      </c>
      <c r="C139" s="28" t="s">
        <v>201</v>
      </c>
      <c r="D139" s="28" t="s">
        <v>665</v>
      </c>
      <c r="E139" s="28" t="s">
        <v>516</v>
      </c>
      <c r="F139" s="28" t="s">
        <v>303</v>
      </c>
      <c r="G139" s="28">
        <v>70734</v>
      </c>
      <c r="H139" s="28">
        <v>30.208604000000001</v>
      </c>
      <c r="I139" s="28">
        <v>-91.011127999999999</v>
      </c>
      <c r="J139" s="28" t="s">
        <v>666</v>
      </c>
      <c r="K139" s="61">
        <v>110000746328</v>
      </c>
      <c r="L139" s="61" t="str">
        <f>IFERROR(INDEX('Facility Summary'!$K:$K,MATCH(K139,'Facility Summary'!$J:$J,0)),INDEX('Raw Annual DMR Data'!$M:$M,MATCH(K139,'Raw Annual DMR Data'!$L:$L,0)))</f>
        <v>Manufacturing</v>
      </c>
      <c r="M139" s="28">
        <v>325211</v>
      </c>
      <c r="N139" s="28" t="s">
        <v>54</v>
      </c>
      <c r="O139" s="28"/>
      <c r="P139" s="28" t="s">
        <v>2404</v>
      </c>
      <c r="Q139" s="28"/>
      <c r="R139" s="28">
        <v>3</v>
      </c>
      <c r="S139" s="28">
        <v>26.999244142101201</v>
      </c>
    </row>
    <row r="140" spans="1:19" x14ac:dyDescent="0.25">
      <c r="A140" s="28">
        <v>2018</v>
      </c>
      <c r="B140" s="28" t="s">
        <v>2405</v>
      </c>
      <c r="C140" s="28" t="s">
        <v>202</v>
      </c>
      <c r="D140" s="28" t="s">
        <v>2426</v>
      </c>
      <c r="E140" s="28" t="s">
        <v>323</v>
      </c>
      <c r="F140" s="28" t="s">
        <v>324</v>
      </c>
      <c r="G140" s="28">
        <v>42029</v>
      </c>
      <c r="H140" s="28">
        <v>37.051110999999999</v>
      </c>
      <c r="I140" s="28">
        <v>-88.334166999999994</v>
      </c>
      <c r="J140" s="28" t="s">
        <v>668</v>
      </c>
      <c r="K140" s="61">
        <v>110027373072</v>
      </c>
      <c r="L140" s="61" t="str">
        <f>IFERROR(INDEX('Facility Summary'!$K:$K,MATCH(K140,'Facility Summary'!$J:$J,0)),INDEX('Raw Annual DMR Data'!$M:$M,MATCH(K140,'Raw Annual DMR Data'!$L:$L,0)))</f>
        <v>Manufacturing</v>
      </c>
      <c r="M140" s="28">
        <v>325199</v>
      </c>
      <c r="N140" s="28" t="s">
        <v>28</v>
      </c>
      <c r="O140" s="28"/>
      <c r="P140" s="28" t="s">
        <v>2404</v>
      </c>
      <c r="Q140" s="28"/>
      <c r="R140" s="28">
        <v>1606</v>
      </c>
      <c r="S140" s="28">
        <v>1190.0702053274999</v>
      </c>
    </row>
    <row r="141" spans="1:19" x14ac:dyDescent="0.25">
      <c r="A141" s="28">
        <v>2018</v>
      </c>
      <c r="B141" s="28" t="s">
        <v>2405</v>
      </c>
      <c r="C141" s="28" t="s">
        <v>202</v>
      </c>
      <c r="D141" s="28" t="s">
        <v>2426</v>
      </c>
      <c r="E141" s="28" t="s">
        <v>323</v>
      </c>
      <c r="F141" s="28" t="s">
        <v>324</v>
      </c>
      <c r="G141" s="28">
        <v>42029</v>
      </c>
      <c r="H141" s="28">
        <v>37.051110999999999</v>
      </c>
      <c r="I141" s="28">
        <v>-88.334166999999994</v>
      </c>
      <c r="J141" s="28" t="s">
        <v>668</v>
      </c>
      <c r="K141" s="61">
        <v>110027373072</v>
      </c>
      <c r="L141" s="61" t="str">
        <f>IFERROR(INDEX('Facility Summary'!$K:$K,MATCH(K141,'Facility Summary'!$J:$J,0)),INDEX('Raw Annual DMR Data'!$M:$M,MATCH(K141,'Raw Annual DMR Data'!$L:$L,0)))</f>
        <v>Manufacturing</v>
      </c>
      <c r="M141" s="28">
        <v>325199</v>
      </c>
      <c r="N141" s="28" t="s">
        <v>28</v>
      </c>
      <c r="O141" s="28"/>
      <c r="P141" s="28" t="s">
        <v>2404</v>
      </c>
      <c r="Q141" s="28"/>
      <c r="R141" s="28">
        <v>981</v>
      </c>
      <c r="S141" s="28">
        <v>30.141496598639399</v>
      </c>
    </row>
    <row r="142" spans="1:19" x14ac:dyDescent="0.25">
      <c r="A142" s="28">
        <v>2015</v>
      </c>
      <c r="B142" s="28"/>
      <c r="C142" s="28" t="s">
        <v>144</v>
      </c>
      <c r="D142" s="28" t="s">
        <v>467</v>
      </c>
      <c r="E142" s="28" t="s">
        <v>302</v>
      </c>
      <c r="F142" s="28" t="s">
        <v>303</v>
      </c>
      <c r="G142" s="28">
        <v>70805</v>
      </c>
      <c r="H142" s="28">
        <v>30.498353999999999</v>
      </c>
      <c r="I142" s="28">
        <v>-91.181038000000001</v>
      </c>
      <c r="J142" s="28"/>
      <c r="K142" s="61">
        <v>110001143584</v>
      </c>
      <c r="L142" s="61" t="str">
        <f>IFERROR(INDEX('Facility Summary'!$K:$K,MATCH(K142,'Facility Summary'!$J:$J,0)),INDEX('Raw Annual DMR Data'!$M:$M,MATCH(K142,'Raw Annual DMR Data'!$L:$L,0)))</f>
        <v>Processing into formulation, mixture, or reaction product</v>
      </c>
      <c r="M142" s="28"/>
      <c r="N142" s="28"/>
      <c r="O142" s="28"/>
      <c r="P142" s="28"/>
      <c r="Q142" s="28"/>
      <c r="R142" s="28"/>
      <c r="S142" s="28">
        <v>9.4908874999999997E-3</v>
      </c>
    </row>
    <row r="143" spans="1:19" x14ac:dyDescent="0.25">
      <c r="A143" s="28">
        <v>2015</v>
      </c>
      <c r="B143" s="28"/>
      <c r="C143" s="28" t="s">
        <v>144</v>
      </c>
      <c r="D143" s="28" t="s">
        <v>467</v>
      </c>
      <c r="E143" s="28" t="s">
        <v>302</v>
      </c>
      <c r="F143" s="28" t="s">
        <v>303</v>
      </c>
      <c r="G143" s="28">
        <v>70805</v>
      </c>
      <c r="H143" s="28">
        <v>30.498353999999999</v>
      </c>
      <c r="I143" s="28">
        <v>-91.181038000000001</v>
      </c>
      <c r="J143" s="28"/>
      <c r="K143" s="61">
        <v>110001143584</v>
      </c>
      <c r="L143" s="61" t="str">
        <f>IFERROR(INDEX('Facility Summary'!$K:$K,MATCH(K143,'Facility Summary'!$J:$J,0)),INDEX('Raw Annual DMR Data'!$M:$M,MATCH(K143,'Raw Annual DMR Data'!$L:$L,0)))</f>
        <v>Processing into formulation, mixture, or reaction product</v>
      </c>
      <c r="M143" s="28"/>
      <c r="N143" s="28"/>
      <c r="O143" s="28"/>
      <c r="P143" s="28"/>
      <c r="Q143" s="28"/>
      <c r="R143" s="28"/>
      <c r="S143" s="28">
        <v>1.2407759899999999</v>
      </c>
    </row>
    <row r="144" spans="1:19" x14ac:dyDescent="0.25">
      <c r="A144" s="28">
        <v>2016</v>
      </c>
      <c r="B144" s="28"/>
      <c r="C144" s="28" t="s">
        <v>144</v>
      </c>
      <c r="D144" s="28" t="s">
        <v>467</v>
      </c>
      <c r="E144" s="28" t="s">
        <v>302</v>
      </c>
      <c r="F144" s="28" t="s">
        <v>303</v>
      </c>
      <c r="G144" s="28">
        <v>70805</v>
      </c>
      <c r="H144" s="28">
        <v>30.498353999999999</v>
      </c>
      <c r="I144" s="28">
        <v>-91.181038000000001</v>
      </c>
      <c r="J144" s="28"/>
      <c r="K144" s="61">
        <v>110001143584</v>
      </c>
      <c r="L144" s="61" t="str">
        <f>IFERROR(INDEX('Facility Summary'!$K:$K,MATCH(K144,'Facility Summary'!$J:$J,0)),INDEX('Raw Annual DMR Data'!$M:$M,MATCH(K144,'Raw Annual DMR Data'!$L:$L,0)))</f>
        <v>Processing into formulation, mixture, or reaction product</v>
      </c>
      <c r="M144" s="28"/>
      <c r="N144" s="28"/>
      <c r="O144" s="28"/>
      <c r="P144" s="28"/>
      <c r="Q144" s="28"/>
      <c r="R144" s="28"/>
      <c r="S144" s="28">
        <v>0.42782990500000001</v>
      </c>
    </row>
    <row r="145" spans="1:19" x14ac:dyDescent="0.25">
      <c r="A145" s="28">
        <v>2017</v>
      </c>
      <c r="B145" s="28"/>
      <c r="C145" s="28" t="s">
        <v>144</v>
      </c>
      <c r="D145" s="28" t="s">
        <v>467</v>
      </c>
      <c r="E145" s="28" t="s">
        <v>302</v>
      </c>
      <c r="F145" s="28" t="s">
        <v>303</v>
      </c>
      <c r="G145" s="28">
        <v>70805</v>
      </c>
      <c r="H145" s="28">
        <v>30.498353999999999</v>
      </c>
      <c r="I145" s="28">
        <v>-91.181038000000001</v>
      </c>
      <c r="J145" s="28"/>
      <c r="K145" s="61">
        <v>110001143584</v>
      </c>
      <c r="L145" s="61" t="str">
        <f>IFERROR(INDEX('Facility Summary'!$K:$K,MATCH(K145,'Facility Summary'!$J:$J,0)),INDEX('Raw Annual DMR Data'!$M:$M,MATCH(K145,'Raw Annual DMR Data'!$L:$L,0)))</f>
        <v>Processing into formulation, mixture, or reaction product</v>
      </c>
      <c r="M145" s="28"/>
      <c r="N145" s="28"/>
      <c r="O145" s="28"/>
      <c r="P145" s="28"/>
      <c r="Q145" s="28"/>
      <c r="R145" s="28"/>
      <c r="S145" s="28">
        <v>0.24335279000000001</v>
      </c>
    </row>
    <row r="146" spans="1:19" x14ac:dyDescent="0.25">
      <c r="A146" s="28">
        <v>2017</v>
      </c>
      <c r="B146" s="28"/>
      <c r="C146" s="28" t="s">
        <v>144</v>
      </c>
      <c r="D146" s="28" t="s">
        <v>467</v>
      </c>
      <c r="E146" s="28" t="s">
        <v>302</v>
      </c>
      <c r="F146" s="28" t="s">
        <v>303</v>
      </c>
      <c r="G146" s="28">
        <v>70805</v>
      </c>
      <c r="H146" s="28">
        <v>30.498353999999999</v>
      </c>
      <c r="I146" s="28">
        <v>-91.181038000000001</v>
      </c>
      <c r="J146" s="28"/>
      <c r="K146" s="61">
        <v>110001143584</v>
      </c>
      <c r="L146" s="61" t="str">
        <f>IFERROR(INDEX('Facility Summary'!$K:$K,MATCH(K146,'Facility Summary'!$J:$J,0)),INDEX('Raw Annual DMR Data'!$M:$M,MATCH(K146,'Raw Annual DMR Data'!$L:$L,0)))</f>
        <v>Processing into formulation, mixture, or reaction product</v>
      </c>
      <c r="M146" s="28"/>
      <c r="N146" s="28"/>
      <c r="O146" s="28"/>
      <c r="P146" s="28"/>
      <c r="Q146" s="28"/>
      <c r="R146" s="28"/>
      <c r="S146" s="28">
        <v>2.8303268610000001E-2</v>
      </c>
    </row>
    <row r="147" spans="1:19" x14ac:dyDescent="0.25">
      <c r="A147" s="28">
        <v>2016</v>
      </c>
      <c r="B147" s="28"/>
      <c r="C147" s="28" t="s">
        <v>144</v>
      </c>
      <c r="D147" s="28" t="s">
        <v>467</v>
      </c>
      <c r="E147" s="28" t="s">
        <v>302</v>
      </c>
      <c r="F147" s="28" t="s">
        <v>303</v>
      </c>
      <c r="G147" s="28">
        <v>70805</v>
      </c>
      <c r="H147" s="28">
        <v>30.498353999999999</v>
      </c>
      <c r="I147" s="28">
        <v>-91.181038000000001</v>
      </c>
      <c r="J147" s="28"/>
      <c r="K147" s="61">
        <v>110001143584</v>
      </c>
      <c r="L147" s="61" t="str">
        <f>IFERROR(INDEX('Facility Summary'!$K:$K,MATCH(K147,'Facility Summary'!$J:$J,0)),INDEX('Raw Annual DMR Data'!$M:$M,MATCH(K147,'Raw Annual DMR Data'!$L:$L,0)))</f>
        <v>Processing into formulation, mixture, or reaction product</v>
      </c>
      <c r="M147" s="28"/>
      <c r="N147" s="28"/>
      <c r="O147" s="28"/>
      <c r="P147" s="28"/>
      <c r="Q147" s="28"/>
      <c r="R147" s="28"/>
      <c r="S147" s="28">
        <v>5.6790139999999996E-3</v>
      </c>
    </row>
    <row r="148" spans="1:19" x14ac:dyDescent="0.25">
      <c r="A148" s="28">
        <v>2018</v>
      </c>
      <c r="B148" s="28"/>
      <c r="C148" s="28" t="s">
        <v>145</v>
      </c>
      <c r="D148" s="28" t="s">
        <v>468</v>
      </c>
      <c r="E148" s="28" t="s">
        <v>314</v>
      </c>
      <c r="F148" s="28" t="s">
        <v>469</v>
      </c>
      <c r="G148" s="28">
        <v>479099201</v>
      </c>
      <c r="H148" s="28">
        <v>40.390543999999998</v>
      </c>
      <c r="I148" s="28">
        <v>-86.936173999999994</v>
      </c>
      <c r="J148" s="28" t="s">
        <v>470</v>
      </c>
      <c r="K148" s="61">
        <v>110000404296</v>
      </c>
      <c r="L148" s="61" t="str">
        <f>IFERROR(INDEX('Facility Summary'!$K:$K,MATCH(K148,'Facility Summary'!$J:$J,0)),INDEX('Raw Annual DMR Data'!$M:$M,MATCH(K148,'Raw Annual DMR Data'!$L:$L,0)))</f>
        <v>Processing into formulation, mixture, or reaction product</v>
      </c>
      <c r="M148" s="28"/>
      <c r="N148" s="28"/>
      <c r="O148" s="28"/>
      <c r="P148" s="28"/>
      <c r="Q148" s="28"/>
      <c r="R148" s="28"/>
      <c r="S148" s="28">
        <v>0.104308390022675</v>
      </c>
    </row>
    <row r="149" spans="1:19" x14ac:dyDescent="0.25">
      <c r="A149" s="28">
        <v>2018</v>
      </c>
      <c r="B149" s="28"/>
      <c r="C149" s="28" t="s">
        <v>146</v>
      </c>
      <c r="D149" s="28" t="s">
        <v>471</v>
      </c>
      <c r="E149" s="28" t="s">
        <v>472</v>
      </c>
      <c r="F149" s="28" t="s">
        <v>450</v>
      </c>
      <c r="G149" s="28">
        <v>11222</v>
      </c>
      <c r="H149" s="28">
        <v>40.73095</v>
      </c>
      <c r="I149" s="28">
        <v>-73.942520000000002</v>
      </c>
      <c r="J149" s="28"/>
      <c r="K149" s="61">
        <v>110037107154</v>
      </c>
      <c r="L149" s="61" t="str">
        <f>IFERROR(INDEX('Facility Summary'!$K:$K,MATCH(K149,'Facility Summary'!$J:$J,0)),INDEX('Raw Annual DMR Data'!$M:$M,MATCH(K149,'Raw Annual DMR Data'!$L:$L,0)))</f>
        <v>Remediation</v>
      </c>
      <c r="M149" s="28"/>
      <c r="N149" s="28"/>
      <c r="O149" s="28"/>
      <c r="P149" s="28"/>
      <c r="Q149" s="28"/>
      <c r="R149" s="28"/>
      <c r="S149" s="28">
        <v>0.19730637249999999</v>
      </c>
    </row>
    <row r="150" spans="1:19" x14ac:dyDescent="0.25">
      <c r="A150" s="28">
        <v>2015</v>
      </c>
      <c r="B150" s="28"/>
      <c r="C150" s="28" t="s">
        <v>146</v>
      </c>
      <c r="D150" s="28" t="s">
        <v>471</v>
      </c>
      <c r="E150" s="28" t="s">
        <v>472</v>
      </c>
      <c r="F150" s="28" t="s">
        <v>450</v>
      </c>
      <c r="G150" s="28">
        <v>11222</v>
      </c>
      <c r="H150" s="28">
        <v>40.73095</v>
      </c>
      <c r="I150" s="28">
        <v>-73.942520000000002</v>
      </c>
      <c r="J150" s="28"/>
      <c r="K150" s="61">
        <v>110037107154</v>
      </c>
      <c r="L150" s="61" t="str">
        <f>IFERROR(INDEX('Facility Summary'!$K:$K,MATCH(K150,'Facility Summary'!$J:$J,0)),INDEX('Raw Annual DMR Data'!$M:$M,MATCH(K150,'Raw Annual DMR Data'!$L:$L,0)))</f>
        <v>Remediation</v>
      </c>
      <c r="M150" s="28"/>
      <c r="N150" s="28"/>
      <c r="O150" s="28"/>
      <c r="P150" s="28"/>
      <c r="Q150" s="28"/>
      <c r="R150" s="28"/>
      <c r="S150" s="28">
        <v>0.32415724099999998</v>
      </c>
    </row>
    <row r="151" spans="1:19" x14ac:dyDescent="0.25">
      <c r="A151" s="28">
        <v>2020</v>
      </c>
      <c r="B151" s="28"/>
      <c r="C151" s="28" t="s">
        <v>146</v>
      </c>
      <c r="D151" s="28" t="s">
        <v>471</v>
      </c>
      <c r="E151" s="28" t="s">
        <v>472</v>
      </c>
      <c r="F151" s="28" t="s">
        <v>450</v>
      </c>
      <c r="G151" s="28">
        <v>11222</v>
      </c>
      <c r="H151" s="28">
        <v>40.73095</v>
      </c>
      <c r="I151" s="28">
        <v>-73.942520000000002</v>
      </c>
      <c r="J151" s="28"/>
      <c r="K151" s="61">
        <v>110037107154</v>
      </c>
      <c r="L151" s="61" t="str">
        <f>IFERROR(INDEX('Facility Summary'!$K:$K,MATCH(K151,'Facility Summary'!$J:$J,0)),INDEX('Raw Annual DMR Data'!$M:$M,MATCH(K151,'Raw Annual DMR Data'!$L:$L,0)))</f>
        <v>Remediation</v>
      </c>
      <c r="M151" s="28"/>
      <c r="N151" s="28"/>
      <c r="O151" s="28"/>
      <c r="P151" s="28"/>
      <c r="Q151" s="28"/>
      <c r="R151" s="28"/>
      <c r="S151" s="28">
        <v>0.43039878450000002</v>
      </c>
    </row>
    <row r="152" spans="1:19" x14ac:dyDescent="0.25">
      <c r="A152" s="28">
        <v>2016</v>
      </c>
      <c r="B152" s="28"/>
      <c r="C152" s="28" t="s">
        <v>146</v>
      </c>
      <c r="D152" s="28" t="s">
        <v>471</v>
      </c>
      <c r="E152" s="28" t="s">
        <v>472</v>
      </c>
      <c r="F152" s="28" t="s">
        <v>450</v>
      </c>
      <c r="G152" s="28">
        <v>11222</v>
      </c>
      <c r="H152" s="28">
        <v>40.73095</v>
      </c>
      <c r="I152" s="28">
        <v>-73.942520000000002</v>
      </c>
      <c r="J152" s="28"/>
      <c r="K152" s="61">
        <v>110037107154</v>
      </c>
      <c r="L152" s="61" t="str">
        <f>IFERROR(INDEX('Facility Summary'!$K:$K,MATCH(K152,'Facility Summary'!$J:$J,0)),INDEX('Raw Annual DMR Data'!$M:$M,MATCH(K152,'Raw Annual DMR Data'!$L:$L,0)))</f>
        <v>Remediation</v>
      </c>
      <c r="M152" s="28"/>
      <c r="N152" s="28"/>
      <c r="O152" s="28"/>
      <c r="P152" s="28"/>
      <c r="Q152" s="28"/>
      <c r="R152" s="28"/>
      <c r="S152" s="28">
        <v>0.30854127725000002</v>
      </c>
    </row>
    <row r="153" spans="1:19" x14ac:dyDescent="0.25">
      <c r="A153" s="28">
        <v>2017</v>
      </c>
      <c r="B153" s="28"/>
      <c r="C153" s="28" t="s">
        <v>146</v>
      </c>
      <c r="D153" s="28" t="s">
        <v>471</v>
      </c>
      <c r="E153" s="28" t="s">
        <v>472</v>
      </c>
      <c r="F153" s="28" t="s">
        <v>450</v>
      </c>
      <c r="G153" s="28">
        <v>11222</v>
      </c>
      <c r="H153" s="28">
        <v>40.73095</v>
      </c>
      <c r="I153" s="28">
        <v>-73.942520000000002</v>
      </c>
      <c r="J153" s="28"/>
      <c r="K153" s="61">
        <v>110037107154</v>
      </c>
      <c r="L153" s="61" t="str">
        <f>IFERROR(INDEX('Facility Summary'!$K:$K,MATCH(K153,'Facility Summary'!$J:$J,0)),INDEX('Raw Annual DMR Data'!$M:$M,MATCH(K153,'Raw Annual DMR Data'!$L:$L,0)))</f>
        <v>Remediation</v>
      </c>
      <c r="M153" s="28"/>
      <c r="N153" s="28"/>
      <c r="O153" s="28"/>
      <c r="P153" s="28"/>
      <c r="Q153" s="28"/>
      <c r="R153" s="28"/>
      <c r="S153" s="28">
        <v>0.274386478125</v>
      </c>
    </row>
    <row r="154" spans="1:19" x14ac:dyDescent="0.25">
      <c r="A154" s="28">
        <v>2019</v>
      </c>
      <c r="B154" s="28"/>
      <c r="C154" s="28" t="s">
        <v>146</v>
      </c>
      <c r="D154" s="28" t="s">
        <v>471</v>
      </c>
      <c r="E154" s="28" t="s">
        <v>472</v>
      </c>
      <c r="F154" s="28" t="s">
        <v>450</v>
      </c>
      <c r="G154" s="28">
        <v>11222</v>
      </c>
      <c r="H154" s="28">
        <v>40.73095</v>
      </c>
      <c r="I154" s="28">
        <v>-73.942520000000002</v>
      </c>
      <c r="J154" s="28"/>
      <c r="K154" s="61">
        <v>110037107154</v>
      </c>
      <c r="L154" s="61" t="str">
        <f>IFERROR(INDEX('Facility Summary'!$K:$K,MATCH(K154,'Facility Summary'!$J:$J,0)),INDEX('Raw Annual DMR Data'!$M:$M,MATCH(K154,'Raw Annual DMR Data'!$L:$L,0)))</f>
        <v>Remediation</v>
      </c>
      <c r="M154" s="28"/>
      <c r="N154" s="28"/>
      <c r="O154" s="28"/>
      <c r="P154" s="28"/>
      <c r="Q154" s="28"/>
      <c r="R154" s="28"/>
      <c r="S154" s="28">
        <v>0.2635650685</v>
      </c>
    </row>
    <row r="155" spans="1:19" x14ac:dyDescent="0.25">
      <c r="A155" s="28">
        <v>2016</v>
      </c>
      <c r="B155" s="28"/>
      <c r="C155" s="28" t="s">
        <v>147</v>
      </c>
      <c r="D155" s="28" t="s">
        <v>473</v>
      </c>
      <c r="E155" s="28" t="s">
        <v>474</v>
      </c>
      <c r="F155" s="28" t="s">
        <v>338</v>
      </c>
      <c r="G155" s="28">
        <v>7470</v>
      </c>
      <c r="H155" s="28">
        <v>40.891950000000001</v>
      </c>
      <c r="I155" s="28">
        <v>-74.249369999999999</v>
      </c>
      <c r="J155" s="28"/>
      <c r="K155" s="61">
        <v>110070213656</v>
      </c>
      <c r="L155" s="61" t="str">
        <f>IFERROR(INDEX('Facility Summary'!$K:$K,MATCH(K155,'Facility Summary'!$J:$J,0)),INDEX('Raw Annual DMR Data'!$M:$M,MATCH(K155,'Raw Annual DMR Data'!$L:$L,0)))</f>
        <v>Unknown</v>
      </c>
      <c r="M155" s="28"/>
      <c r="N155" s="28"/>
      <c r="O155" s="28"/>
      <c r="P155" s="28"/>
      <c r="Q155" s="28"/>
      <c r="R155" s="28"/>
      <c r="S155" s="28">
        <v>7.9274705399999903E-4</v>
      </c>
    </row>
    <row r="156" spans="1:19" x14ac:dyDescent="0.25">
      <c r="A156" s="28">
        <v>2017</v>
      </c>
      <c r="B156" s="28" t="s">
        <v>2405</v>
      </c>
      <c r="C156" s="28" t="s">
        <v>202</v>
      </c>
      <c r="D156" s="28" t="s">
        <v>2426</v>
      </c>
      <c r="E156" s="28" t="s">
        <v>323</v>
      </c>
      <c r="F156" s="28" t="s">
        <v>324</v>
      </c>
      <c r="G156" s="28">
        <v>42029</v>
      </c>
      <c r="H156" s="28">
        <v>37.051110999999999</v>
      </c>
      <c r="I156" s="28">
        <v>-88.334166999999994</v>
      </c>
      <c r="J156" s="28" t="s">
        <v>668</v>
      </c>
      <c r="K156" s="61">
        <v>110027373072</v>
      </c>
      <c r="L156" s="61" t="str">
        <f>IFERROR(INDEX('Facility Summary'!$K:$K,MATCH(K156,'Facility Summary'!$J:$J,0)),INDEX('Raw Annual DMR Data'!$M:$M,MATCH(K156,'Raw Annual DMR Data'!$L:$L,0)))</f>
        <v>Manufacturing</v>
      </c>
      <c r="M156" s="28">
        <v>325199</v>
      </c>
      <c r="N156" s="28" t="s">
        <v>28</v>
      </c>
      <c r="O156" s="28"/>
      <c r="P156" s="28" t="s">
        <v>2404</v>
      </c>
      <c r="Q156" s="28"/>
      <c r="R156" s="28">
        <v>542</v>
      </c>
      <c r="S156" s="28">
        <v>933.36804697299999</v>
      </c>
    </row>
    <row r="157" spans="1:19" x14ac:dyDescent="0.25">
      <c r="A157" s="28">
        <v>2020</v>
      </c>
      <c r="B157" s="28" t="s">
        <v>2405</v>
      </c>
      <c r="C157" s="28" t="s">
        <v>202</v>
      </c>
      <c r="D157" s="28" t="s">
        <v>2426</v>
      </c>
      <c r="E157" s="28" t="s">
        <v>323</v>
      </c>
      <c r="F157" s="28" t="s">
        <v>324</v>
      </c>
      <c r="G157" s="28">
        <v>42029</v>
      </c>
      <c r="H157" s="28">
        <v>37.051110999999999</v>
      </c>
      <c r="I157" s="28">
        <v>-88.334166999999994</v>
      </c>
      <c r="J157" s="28" t="s">
        <v>668</v>
      </c>
      <c r="K157" s="61">
        <v>110027373072</v>
      </c>
      <c r="L157" s="61" t="str">
        <f>IFERROR(INDEX('Facility Summary'!$K:$K,MATCH(K157,'Facility Summary'!$J:$J,0)),INDEX('Raw Annual DMR Data'!$M:$M,MATCH(K157,'Raw Annual DMR Data'!$L:$L,0)))</f>
        <v>Manufacturing</v>
      </c>
      <c r="M157" s="28">
        <v>325199</v>
      </c>
      <c r="N157" s="28" t="s">
        <v>28</v>
      </c>
      <c r="O157" s="28"/>
      <c r="P157" s="28" t="s">
        <v>2404</v>
      </c>
      <c r="Q157" s="28"/>
      <c r="R157" s="28">
        <v>2485</v>
      </c>
      <c r="S157" s="28">
        <v>461.84945441719998</v>
      </c>
    </row>
    <row r="158" spans="1:19" x14ac:dyDescent="0.25">
      <c r="A158" s="28">
        <v>2016</v>
      </c>
      <c r="B158" s="28" t="s">
        <v>2405</v>
      </c>
      <c r="C158" s="28" t="s">
        <v>202</v>
      </c>
      <c r="D158" s="28" t="s">
        <v>2426</v>
      </c>
      <c r="E158" s="28" t="s">
        <v>323</v>
      </c>
      <c r="F158" s="28" t="s">
        <v>324</v>
      </c>
      <c r="G158" s="28">
        <v>42029</v>
      </c>
      <c r="H158" s="28">
        <v>37.051110999999999</v>
      </c>
      <c r="I158" s="28">
        <v>-88.334166999999994</v>
      </c>
      <c r="J158" s="28" t="s">
        <v>668</v>
      </c>
      <c r="K158" s="61">
        <v>110027373072</v>
      </c>
      <c r="L158" s="61" t="str">
        <f>IFERROR(INDEX('Facility Summary'!$K:$K,MATCH(K158,'Facility Summary'!$J:$J,0)),INDEX('Raw Annual DMR Data'!$M:$M,MATCH(K158,'Raw Annual DMR Data'!$L:$L,0)))</f>
        <v>Manufacturing</v>
      </c>
      <c r="M158" s="28">
        <v>325199</v>
      </c>
      <c r="N158" s="28" t="s">
        <v>28</v>
      </c>
      <c r="O158" s="28"/>
      <c r="P158" s="28" t="s">
        <v>2404</v>
      </c>
      <c r="Q158" s="28"/>
      <c r="R158" s="28">
        <v>468.22</v>
      </c>
      <c r="S158" s="28">
        <v>362.32959960900001</v>
      </c>
    </row>
    <row r="159" spans="1:19" x14ac:dyDescent="0.25">
      <c r="A159" s="28">
        <v>2019</v>
      </c>
      <c r="B159" s="28" t="s">
        <v>2405</v>
      </c>
      <c r="C159" s="28" t="s">
        <v>202</v>
      </c>
      <c r="D159" s="28" t="s">
        <v>2426</v>
      </c>
      <c r="E159" s="28" t="s">
        <v>323</v>
      </c>
      <c r="F159" s="28" t="s">
        <v>324</v>
      </c>
      <c r="G159" s="28">
        <v>42029</v>
      </c>
      <c r="H159" s="28">
        <v>37.051110999999999</v>
      </c>
      <c r="I159" s="28">
        <v>-88.334166999999994</v>
      </c>
      <c r="J159" s="28" t="s">
        <v>668</v>
      </c>
      <c r="K159" s="61">
        <v>110027373072</v>
      </c>
      <c r="L159" s="61" t="str">
        <f>IFERROR(INDEX('Facility Summary'!$K:$K,MATCH(K159,'Facility Summary'!$J:$J,0)),INDEX('Raw Annual DMR Data'!$M:$M,MATCH(K159,'Raw Annual DMR Data'!$L:$L,0)))</f>
        <v>Manufacturing</v>
      </c>
      <c r="M159" s="28">
        <v>325199</v>
      </c>
      <c r="N159" s="28" t="s">
        <v>28</v>
      </c>
      <c r="O159" s="28"/>
      <c r="P159" s="28" t="s">
        <v>2404</v>
      </c>
      <c r="Q159" s="28"/>
      <c r="R159" s="28">
        <v>159.80000000000001</v>
      </c>
      <c r="S159" s="28">
        <v>209.206474574</v>
      </c>
    </row>
    <row r="160" spans="1:19" x14ac:dyDescent="0.25">
      <c r="A160" s="28">
        <v>2021</v>
      </c>
      <c r="B160" s="28" t="s">
        <v>2405</v>
      </c>
      <c r="C160" s="28" t="s">
        <v>105</v>
      </c>
      <c r="D160" s="28" t="s">
        <v>322</v>
      </c>
      <c r="E160" s="28" t="s">
        <v>323</v>
      </c>
      <c r="F160" s="28" t="s">
        <v>324</v>
      </c>
      <c r="G160" s="28">
        <v>42029</v>
      </c>
      <c r="H160" s="28">
        <v>37.056699000000002</v>
      </c>
      <c r="I160" s="28">
        <v>-88.365727000000007</v>
      </c>
      <c r="J160" s="28" t="s">
        <v>325</v>
      </c>
      <c r="K160" s="61">
        <v>110000380061</v>
      </c>
      <c r="L160" s="61" t="str">
        <f>IFERROR(INDEX('Facility Summary'!$K:$K,MATCH(K160,'Facility Summary'!$J:$J,0)),INDEX('Raw Annual DMR Data'!$M:$M,MATCH(K160,'Raw Annual DMR Data'!$L:$L,0)))</f>
        <v>Manufacturing</v>
      </c>
      <c r="M160" s="28">
        <v>325180</v>
      </c>
      <c r="N160" s="28" t="str">
        <f>VLOOKUP(M160,'SIC &amp; NAICS Codes'!$D:$E,2,FALSE)</f>
        <v>Other Basic Inorganic Chemical Manufacturing</v>
      </c>
      <c r="O160" s="28"/>
      <c r="P160" s="28"/>
      <c r="Q160" s="28"/>
      <c r="R160" s="28">
        <v>27</v>
      </c>
      <c r="S160" s="28">
        <f t="shared" ref="S160:S166" si="0">CONVERT(R160,"lbm","g")/1000</f>
        <v>12.24699399</v>
      </c>
    </row>
    <row r="161" spans="1:19" x14ac:dyDescent="0.25">
      <c r="A161" s="28">
        <v>2021</v>
      </c>
      <c r="B161" s="28" t="s">
        <v>2405</v>
      </c>
      <c r="C161" s="28" t="s">
        <v>204</v>
      </c>
      <c r="D161" s="28" t="s">
        <v>333</v>
      </c>
      <c r="E161" s="28" t="s">
        <v>334</v>
      </c>
      <c r="F161" s="28" t="s">
        <v>303</v>
      </c>
      <c r="G161" s="28">
        <v>70764</v>
      </c>
      <c r="H161" s="28">
        <v>30.262255</v>
      </c>
      <c r="I161" s="28">
        <v>-91.185837000000006</v>
      </c>
      <c r="J161" s="28" t="s">
        <v>335</v>
      </c>
      <c r="K161" s="61">
        <v>110000613747</v>
      </c>
      <c r="L161" s="61" t="str">
        <f>IFERROR(INDEX('Facility Summary'!$K:$K,MATCH(K161,'Facility Summary'!$J:$J,0)),INDEX('Raw Annual DMR Data'!$M:$M,MATCH(K161,'Raw Annual DMR Data'!$L:$L,0)))</f>
        <v>Manufacturing</v>
      </c>
      <c r="M161" s="28">
        <v>325211</v>
      </c>
      <c r="N161" s="28" t="str">
        <f>VLOOKUP(M161,'SIC &amp; NAICS Codes'!$D:$E,2,FALSE)</f>
        <v>Plastics Material and Resin Manufacturing</v>
      </c>
      <c r="O161" s="28"/>
      <c r="P161" s="28"/>
      <c r="Q161" s="28"/>
      <c r="R161" s="28">
        <v>26</v>
      </c>
      <c r="S161" s="28">
        <f t="shared" si="0"/>
        <v>11.793401620000001</v>
      </c>
    </row>
    <row r="162" spans="1:19" x14ac:dyDescent="0.25">
      <c r="A162" s="28">
        <v>2021</v>
      </c>
      <c r="B162" s="28" t="s">
        <v>2405</v>
      </c>
      <c r="C162" s="28" t="s">
        <v>7359</v>
      </c>
      <c r="D162" s="28" t="s">
        <v>2470</v>
      </c>
      <c r="E162" s="28" t="s">
        <v>368</v>
      </c>
      <c r="F162" s="28" t="s">
        <v>349</v>
      </c>
      <c r="G162" s="28">
        <v>63630</v>
      </c>
      <c r="H162" s="28">
        <v>37.983333000000002</v>
      </c>
      <c r="I162" s="28">
        <v>-90.690832999999998</v>
      </c>
      <c r="J162" s="28" t="s">
        <v>369</v>
      </c>
      <c r="K162" s="61">
        <v>110017980443</v>
      </c>
      <c r="L162" s="61" t="str">
        <f>IFERROR(INDEX('Facility Summary'!$K:$K,MATCH(K162,'Facility Summary'!$J:$J,0)),INDEX('Raw Annual DMR Data'!$M:$M,MATCH(K162,'Raw Annual DMR Data'!$L:$L,0)))</f>
        <v>Manufacturing</v>
      </c>
      <c r="M162" s="28">
        <v>325998</v>
      </c>
      <c r="N162" s="28" t="str">
        <f>VLOOKUP(M162,'SIC &amp; NAICS Codes'!$D:$E,2,FALSE)</f>
        <v>All Other Miscellaneous Chemical Product and Preparation Manufacturing</v>
      </c>
      <c r="O162" s="28"/>
      <c r="P162" s="28"/>
      <c r="Q162" s="28"/>
      <c r="R162" s="28">
        <v>0</v>
      </c>
      <c r="S162" s="28">
        <f t="shared" si="0"/>
        <v>0</v>
      </c>
    </row>
    <row r="163" spans="1:19" x14ac:dyDescent="0.25">
      <c r="A163" s="28">
        <v>2021</v>
      </c>
      <c r="B163" s="28" t="s">
        <v>2405</v>
      </c>
      <c r="C163" s="28" t="s">
        <v>2410</v>
      </c>
      <c r="D163" s="28" t="s">
        <v>2411</v>
      </c>
      <c r="E163" s="28" t="s">
        <v>446</v>
      </c>
      <c r="F163" s="28" t="s">
        <v>303</v>
      </c>
      <c r="G163" s="28">
        <v>70669</v>
      </c>
      <c r="H163" s="28">
        <v>30.223500000000001</v>
      </c>
      <c r="I163" s="28">
        <v>-93.286900000000003</v>
      </c>
      <c r="J163" s="28" t="s">
        <v>447</v>
      </c>
      <c r="K163" s="61">
        <v>110000494894</v>
      </c>
      <c r="L163" s="61" t="str">
        <f>IFERROR(INDEX('Facility Summary'!$K:$K,MATCH(K163,'Facility Summary'!$J:$J,0)),INDEX('Raw Annual DMR Data'!$M:$M,MATCH(K163,'Raw Annual DMR Data'!$L:$L,0)))</f>
        <v>Manufacturing</v>
      </c>
      <c r="M163" s="28">
        <v>325180</v>
      </c>
      <c r="N163" s="28" t="str">
        <f>VLOOKUP(M163,'SIC &amp; NAICS Codes'!$D:$E,2,FALSE)</f>
        <v>Other Basic Inorganic Chemical Manufacturing</v>
      </c>
      <c r="O163" s="28"/>
      <c r="P163" s="28"/>
      <c r="Q163" s="28"/>
      <c r="R163" s="28">
        <v>420</v>
      </c>
      <c r="S163" s="28">
        <f t="shared" si="0"/>
        <v>190.5087954</v>
      </c>
    </row>
    <row r="164" spans="1:19" x14ac:dyDescent="0.25">
      <c r="A164" s="28">
        <v>2021</v>
      </c>
      <c r="B164" s="28" t="s">
        <v>2405</v>
      </c>
      <c r="C164" s="28" t="s">
        <v>2412</v>
      </c>
      <c r="D164" s="28" t="s">
        <v>2413</v>
      </c>
      <c r="E164" s="28" t="s">
        <v>302</v>
      </c>
      <c r="F164" s="28" t="s">
        <v>303</v>
      </c>
      <c r="G164" s="28">
        <v>70805</v>
      </c>
      <c r="H164" s="28">
        <v>30.498203</v>
      </c>
      <c r="I164" s="28">
        <v>-91.189148000000003</v>
      </c>
      <c r="J164" s="28" t="s">
        <v>483</v>
      </c>
      <c r="K164" s="61">
        <v>110000597444</v>
      </c>
      <c r="L164" s="61" t="str">
        <f>IFERROR(INDEX('Facility Summary'!$K:$K,MATCH(K164,'Facility Summary'!$J:$J,0)),INDEX('Raw Annual DMR Data'!$M:$M,MATCH(K164,'Raw Annual DMR Data'!$L:$L,0)))</f>
        <v>Manufacturing</v>
      </c>
      <c r="M164" s="28">
        <v>325211</v>
      </c>
      <c r="N164" s="28" t="str">
        <f>VLOOKUP(M164,'SIC &amp; NAICS Codes'!$D:$E,2,FALSE)</f>
        <v>Plastics Material and Resin Manufacturing</v>
      </c>
      <c r="O164" s="28"/>
      <c r="P164" s="28"/>
      <c r="Q164" s="28"/>
      <c r="R164" s="28">
        <v>27</v>
      </c>
      <c r="S164" s="28">
        <f t="shared" si="0"/>
        <v>12.24699399</v>
      </c>
    </row>
    <row r="165" spans="1:19" x14ac:dyDescent="0.25">
      <c r="A165" s="28">
        <v>2021</v>
      </c>
      <c r="B165" s="28" t="s">
        <v>2405</v>
      </c>
      <c r="C165" s="28" t="s">
        <v>2414</v>
      </c>
      <c r="D165" s="28" t="s">
        <v>2415</v>
      </c>
      <c r="E165" s="28" t="s">
        <v>480</v>
      </c>
      <c r="F165" s="28" t="s">
        <v>362</v>
      </c>
      <c r="G165" s="28">
        <v>77978</v>
      </c>
      <c r="H165" s="28">
        <v>28.6753</v>
      </c>
      <c r="I165" s="28">
        <v>-96.549499999999995</v>
      </c>
      <c r="J165" s="28" t="s">
        <v>481</v>
      </c>
      <c r="K165" s="61">
        <v>110018925957</v>
      </c>
      <c r="L165" s="61" t="str">
        <f>IFERROR(INDEX('Facility Summary'!$K:$K,MATCH(K165,'Facility Summary'!$J:$J,0)),INDEX('Raw Annual DMR Data'!$M:$M,MATCH(K165,'Raw Annual DMR Data'!$L:$L,0)))</f>
        <v>Manufacturing</v>
      </c>
      <c r="M165" s="28">
        <v>325211</v>
      </c>
      <c r="N165" s="28" t="str">
        <f>VLOOKUP(M165,'SIC &amp; NAICS Codes'!$D:$E,2,FALSE)</f>
        <v>Plastics Material and Resin Manufacturing</v>
      </c>
      <c r="O165" s="28"/>
      <c r="P165" s="28"/>
      <c r="Q165" s="28"/>
      <c r="R165" s="28">
        <v>32</v>
      </c>
      <c r="S165" s="28">
        <f t="shared" si="0"/>
        <v>14.514955840000001</v>
      </c>
    </row>
    <row r="166" spans="1:19" x14ac:dyDescent="0.25">
      <c r="A166" s="28">
        <v>2021</v>
      </c>
      <c r="B166" s="28" t="s">
        <v>2405</v>
      </c>
      <c r="C166" s="28" t="s">
        <v>210</v>
      </c>
      <c r="D166" s="28" t="s">
        <v>436</v>
      </c>
      <c r="E166" s="28" t="s">
        <v>437</v>
      </c>
      <c r="F166" s="28" t="s">
        <v>362</v>
      </c>
      <c r="G166" s="28">
        <v>77541</v>
      </c>
      <c r="H166" s="28">
        <v>28.969389</v>
      </c>
      <c r="I166" s="28">
        <v>-95.379527999999993</v>
      </c>
      <c r="J166" s="28" t="s">
        <v>484</v>
      </c>
      <c r="K166" s="61">
        <v>110066943605</v>
      </c>
      <c r="L166" s="61" t="str">
        <f>IFERROR(INDEX('Facility Summary'!$K:$K,MATCH(K166,'Facility Summary'!$J:$J,0)),INDEX('Raw Annual DMR Data'!$M:$M,MATCH(K166,'Raw Annual DMR Data'!$L:$L,0)))</f>
        <v>Manufacturing</v>
      </c>
      <c r="M166" s="28">
        <v>325199</v>
      </c>
      <c r="N166" s="28" t="str">
        <f>VLOOKUP(M166,'SIC &amp; NAICS Codes'!$D:$E,2,FALSE)</f>
        <v>All Other Basic Organic Chemical Manufacturing</v>
      </c>
      <c r="O166" s="28"/>
      <c r="P166" s="28"/>
      <c r="Q166" s="28"/>
      <c r="R166" s="28">
        <v>0</v>
      </c>
      <c r="S166" s="28">
        <f t="shared" si="0"/>
        <v>0</v>
      </c>
    </row>
    <row r="167" spans="1:19" x14ac:dyDescent="0.25">
      <c r="A167" s="28">
        <v>2015</v>
      </c>
      <c r="B167" s="28"/>
      <c r="C167" s="28" t="s">
        <v>148</v>
      </c>
      <c r="D167" s="28" t="s">
        <v>476</v>
      </c>
      <c r="E167" s="28" t="s">
        <v>477</v>
      </c>
      <c r="F167" s="28" t="s">
        <v>478</v>
      </c>
      <c r="G167" s="28">
        <v>19706</v>
      </c>
      <c r="H167" s="28">
        <v>39.585099999999997</v>
      </c>
      <c r="I167" s="28">
        <v>-75.649199999999993</v>
      </c>
      <c r="J167" s="28"/>
      <c r="K167" s="61">
        <v>110000338536</v>
      </c>
      <c r="L167" s="61" t="str">
        <f>IFERROR(INDEX('Facility Summary'!$K:$K,MATCH(K167,'Facility Summary'!$J:$J,0)),INDEX('Raw Annual DMR Data'!$M:$M,MATCH(K167,'Raw Annual DMR Data'!$L:$L,0)))</f>
        <v>Processing as a Reactant</v>
      </c>
      <c r="M167" s="28"/>
      <c r="N167" s="28"/>
      <c r="O167" s="28"/>
      <c r="P167" s="28"/>
      <c r="Q167" s="28"/>
      <c r="R167" s="28"/>
      <c r="S167" s="28">
        <v>2.3129251700680201E-2</v>
      </c>
    </row>
    <row r="168" spans="1:19" x14ac:dyDescent="0.25">
      <c r="A168" s="28">
        <v>2021</v>
      </c>
      <c r="B168" s="28" t="s">
        <v>2405</v>
      </c>
      <c r="C168" s="28" t="s">
        <v>213</v>
      </c>
      <c r="D168" s="28" t="s">
        <v>540</v>
      </c>
      <c r="E168" s="28" t="s">
        <v>460</v>
      </c>
      <c r="F168" s="28" t="s">
        <v>541</v>
      </c>
      <c r="G168" s="28">
        <v>29405</v>
      </c>
      <c r="H168" s="28">
        <v>32.835301999999999</v>
      </c>
      <c r="I168" s="28">
        <v>-79.958067999999997</v>
      </c>
      <c r="J168" s="28" t="s">
        <v>542</v>
      </c>
      <c r="K168" s="61">
        <v>110017326963</v>
      </c>
      <c r="L168" s="61" t="str">
        <f>IFERROR(INDEX('Facility Summary'!$K:$K,MATCH(K168,'Facility Summary'!$J:$J,0)),INDEX('Raw Annual DMR Data'!$M:$M,MATCH(K168,'Raw Annual DMR Data'!$L:$L,0)))</f>
        <v>Manufacturing</v>
      </c>
      <c r="M168" s="28">
        <v>325199</v>
      </c>
      <c r="N168" s="28" t="str">
        <f>VLOOKUP(M168,'SIC &amp; NAICS Codes'!$D:$E,2,FALSE)</f>
        <v>All Other Basic Organic Chemical Manufacturing</v>
      </c>
      <c r="O168" s="28"/>
      <c r="P168" s="28"/>
      <c r="Q168" s="28"/>
      <c r="R168" s="28">
        <v>0</v>
      </c>
      <c r="S168" s="28">
        <f t="shared" ref="S168:S180" si="1">CONVERT(R168,"lbm","g")/1000</f>
        <v>0</v>
      </c>
    </row>
    <row r="169" spans="1:19" x14ac:dyDescent="0.25">
      <c r="A169" s="28">
        <v>2021</v>
      </c>
      <c r="B169" s="28" t="s">
        <v>2405</v>
      </c>
      <c r="C169" s="28" t="s">
        <v>2419</v>
      </c>
      <c r="D169" s="28" t="s">
        <v>2420</v>
      </c>
      <c r="E169" s="28" t="s">
        <v>2421</v>
      </c>
      <c r="F169" s="28" t="s">
        <v>362</v>
      </c>
      <c r="G169" s="28">
        <v>78359</v>
      </c>
      <c r="H169" s="28">
        <v>27.883610999999998</v>
      </c>
      <c r="I169" s="28">
        <v>-97.241382999999999</v>
      </c>
      <c r="J169" s="28" t="s">
        <v>583</v>
      </c>
      <c r="K169" s="61">
        <v>110000599807</v>
      </c>
      <c r="L169" s="61" t="str">
        <f>IFERROR(INDEX('Facility Summary'!$K:$K,MATCH(K169,'Facility Summary'!$J:$J,0)),INDEX('Raw Annual DMR Data'!$M:$M,MATCH(K169,'Raw Annual DMR Data'!$L:$L,0)))</f>
        <v>Manufacturing</v>
      </c>
      <c r="M169" s="28">
        <v>325199</v>
      </c>
      <c r="N169" s="28" t="str">
        <f>VLOOKUP(M169,'SIC &amp; NAICS Codes'!$D:$E,2,FALSE)</f>
        <v>All Other Basic Organic Chemical Manufacturing</v>
      </c>
      <c r="O169" s="28"/>
      <c r="P169" s="28"/>
      <c r="Q169" s="28"/>
      <c r="R169" s="28">
        <v>4</v>
      </c>
      <c r="S169" s="28">
        <f t="shared" si="1"/>
        <v>1.8143694800000001</v>
      </c>
    </row>
    <row r="170" spans="1:19" x14ac:dyDescent="0.25">
      <c r="A170" s="28">
        <v>2021</v>
      </c>
      <c r="B170" s="28" t="s">
        <v>2405</v>
      </c>
      <c r="C170" s="28" t="s">
        <v>216</v>
      </c>
      <c r="D170" s="28" t="s">
        <v>586</v>
      </c>
      <c r="E170" s="28" t="s">
        <v>587</v>
      </c>
      <c r="F170" s="28" t="s">
        <v>303</v>
      </c>
      <c r="G170" s="28">
        <v>70723</v>
      </c>
      <c r="H170" s="28">
        <v>30.05509</v>
      </c>
      <c r="I170" s="28">
        <v>-90.830839999999995</v>
      </c>
      <c r="J170" s="28" t="s">
        <v>588</v>
      </c>
      <c r="K170" s="61">
        <v>110000597328</v>
      </c>
      <c r="L170" s="61" t="str">
        <f>IFERROR(INDEX('Facility Summary'!$K:$K,MATCH(K170,'Facility Summary'!$J:$J,0)),INDEX('Raw Annual DMR Data'!$M:$M,MATCH(K170,'Raw Annual DMR Data'!$L:$L,0)))</f>
        <v>Manufacturing</v>
      </c>
      <c r="M170" s="28">
        <v>325180</v>
      </c>
      <c r="N170" s="28" t="str">
        <f>VLOOKUP(M170,'SIC &amp; NAICS Codes'!$D:$E,2,FALSE)</f>
        <v>Other Basic Inorganic Chemical Manufacturing</v>
      </c>
      <c r="O170" s="28"/>
      <c r="P170" s="28"/>
      <c r="Q170" s="28"/>
      <c r="R170" s="28">
        <v>25</v>
      </c>
      <c r="S170" s="28">
        <f t="shared" si="1"/>
        <v>11.33980925</v>
      </c>
    </row>
    <row r="171" spans="1:19" x14ac:dyDescent="0.25">
      <c r="A171" s="28">
        <v>2021</v>
      </c>
      <c r="B171" s="28" t="s">
        <v>2405</v>
      </c>
      <c r="C171" s="28" t="s">
        <v>2422</v>
      </c>
      <c r="D171" s="28" t="s">
        <v>2423</v>
      </c>
      <c r="E171" s="28" t="s">
        <v>516</v>
      </c>
      <c r="F171" s="28" t="s">
        <v>303</v>
      </c>
      <c r="G171" s="28">
        <v>70734</v>
      </c>
      <c r="H171" s="28">
        <v>30.185099999999998</v>
      </c>
      <c r="I171" s="28">
        <v>-90.980400000000003</v>
      </c>
      <c r="J171" s="28" t="s">
        <v>585</v>
      </c>
      <c r="K171" s="61">
        <v>110000449774</v>
      </c>
      <c r="L171" s="61" t="str">
        <f>IFERROR(INDEX('Facility Summary'!$K:$K,MATCH(K171,'Facility Summary'!$J:$J,0)),INDEX('Raw Annual DMR Data'!$M:$M,MATCH(K171,'Raw Annual DMR Data'!$L:$L,0)))</f>
        <v>Manufacturing</v>
      </c>
      <c r="M171" s="28">
        <v>325199</v>
      </c>
      <c r="N171" s="28" t="str">
        <f>VLOOKUP(M171,'SIC &amp; NAICS Codes'!$D:$E,2,FALSE)</f>
        <v>All Other Basic Organic Chemical Manufacturing</v>
      </c>
      <c r="O171" s="28"/>
      <c r="P171" s="28"/>
      <c r="Q171" s="28"/>
      <c r="R171" s="28">
        <v>13</v>
      </c>
      <c r="S171" s="28">
        <f t="shared" si="1"/>
        <v>5.8967008100000005</v>
      </c>
    </row>
    <row r="172" spans="1:19" x14ac:dyDescent="0.25">
      <c r="A172" s="28">
        <v>2021</v>
      </c>
      <c r="B172" s="28" t="s">
        <v>2405</v>
      </c>
      <c r="C172" s="28" t="s">
        <v>217</v>
      </c>
      <c r="D172" s="28" t="s">
        <v>592</v>
      </c>
      <c r="E172" s="28" t="s">
        <v>590</v>
      </c>
      <c r="F172" s="28" t="s">
        <v>362</v>
      </c>
      <c r="G172" s="28">
        <v>77536</v>
      </c>
      <c r="H172" s="28">
        <v>29.710967</v>
      </c>
      <c r="I172" s="28">
        <v>-95.119144000000006</v>
      </c>
      <c r="J172" s="28" t="s">
        <v>593</v>
      </c>
      <c r="K172" s="61">
        <v>110015742204</v>
      </c>
      <c r="L172" s="61" t="str">
        <f>IFERROR(INDEX('Facility Summary'!$K:$K,MATCH(K172,'Facility Summary'!$J:$J,0)),INDEX('Raw Annual DMR Data'!$M:$M,MATCH(K172,'Raw Annual DMR Data'!$L:$L,0)))</f>
        <v>Manufacturing</v>
      </c>
      <c r="M172" s="28">
        <v>325199</v>
      </c>
      <c r="N172" s="28" t="str">
        <f>VLOOKUP(M172,'SIC &amp; NAICS Codes'!$D:$E,2,FALSE)</f>
        <v>All Other Basic Organic Chemical Manufacturing</v>
      </c>
      <c r="O172" s="28"/>
      <c r="P172" s="28"/>
      <c r="Q172" s="28"/>
      <c r="R172" s="28">
        <v>0</v>
      </c>
      <c r="S172" s="28">
        <f t="shared" si="1"/>
        <v>0</v>
      </c>
    </row>
    <row r="173" spans="1:19" x14ac:dyDescent="0.25">
      <c r="A173" s="28">
        <v>2021</v>
      </c>
      <c r="B173" s="28" t="s">
        <v>2405</v>
      </c>
      <c r="C173" s="28" t="s">
        <v>218</v>
      </c>
      <c r="D173" s="28" t="s">
        <v>594</v>
      </c>
      <c r="E173" s="28" t="s">
        <v>361</v>
      </c>
      <c r="F173" s="28" t="s">
        <v>362</v>
      </c>
      <c r="G173" s="28">
        <v>77571</v>
      </c>
      <c r="H173" s="28">
        <v>29.723759999999999</v>
      </c>
      <c r="I173" s="28">
        <v>-95.074219999999997</v>
      </c>
      <c r="J173" s="28" t="s">
        <v>595</v>
      </c>
      <c r="K173" s="61">
        <v>110017769734</v>
      </c>
      <c r="L173" s="61" t="str">
        <f>IFERROR(INDEX('Facility Summary'!$K:$K,MATCH(K173,'Facility Summary'!$J:$J,0)),INDEX('Raw Annual DMR Data'!$M:$M,MATCH(K173,'Raw Annual DMR Data'!$L:$L,0)))</f>
        <v>Manufacturing</v>
      </c>
      <c r="M173" s="28">
        <v>325199</v>
      </c>
      <c r="N173" s="28" t="str">
        <f>VLOOKUP(M173,'SIC &amp; NAICS Codes'!$D:$E,2,FALSE)</f>
        <v>All Other Basic Organic Chemical Manufacturing</v>
      </c>
      <c r="O173" s="28"/>
      <c r="P173" s="28"/>
      <c r="Q173" s="28"/>
      <c r="R173" s="28">
        <v>4.2</v>
      </c>
      <c r="S173" s="28">
        <f t="shared" si="1"/>
        <v>1.9050879540000001</v>
      </c>
    </row>
    <row r="174" spans="1:19" x14ac:dyDescent="0.25">
      <c r="A174" s="28">
        <v>2021</v>
      </c>
      <c r="B174" s="28" t="s">
        <v>2405</v>
      </c>
      <c r="C174" s="28" t="s">
        <v>221</v>
      </c>
      <c r="D174" s="28" t="s">
        <v>663</v>
      </c>
      <c r="E174" s="28" t="s">
        <v>446</v>
      </c>
      <c r="F174" s="28" t="s">
        <v>303</v>
      </c>
      <c r="G174" s="28">
        <v>70669</v>
      </c>
      <c r="H174" s="28">
        <v>30.252222</v>
      </c>
      <c r="I174" s="28">
        <v>-93.284443999999993</v>
      </c>
      <c r="J174" s="28" t="s">
        <v>664</v>
      </c>
      <c r="K174" s="61">
        <v>110002054482</v>
      </c>
      <c r="L174" s="61" t="str">
        <f>IFERROR(INDEX('Facility Summary'!$K:$K,MATCH(K174,'Facility Summary'!$J:$J,0)),INDEX('Raw Annual DMR Data'!$M:$M,MATCH(K174,'Raw Annual DMR Data'!$L:$L,0)))</f>
        <v>Manufacturing</v>
      </c>
      <c r="M174" s="28">
        <v>325110</v>
      </c>
      <c r="N174" s="28" t="str">
        <f>VLOOKUP(M174,'SIC &amp; NAICS Codes'!$D:$E,2,FALSE)</f>
        <v>Petrochemical Manufacturing</v>
      </c>
      <c r="O174" s="28"/>
      <c r="P174" s="28"/>
      <c r="Q174" s="28"/>
      <c r="R174" s="28">
        <v>0</v>
      </c>
      <c r="S174" s="28">
        <f t="shared" si="1"/>
        <v>0</v>
      </c>
    </row>
    <row r="175" spans="1:19" x14ac:dyDescent="0.25">
      <c r="A175" s="28">
        <v>2021</v>
      </c>
      <c r="B175" s="28" t="s">
        <v>2405</v>
      </c>
      <c r="C175" s="28" t="s">
        <v>201</v>
      </c>
      <c r="D175" s="28" t="s">
        <v>665</v>
      </c>
      <c r="E175" s="28" t="s">
        <v>516</v>
      </c>
      <c r="F175" s="28" t="s">
        <v>303</v>
      </c>
      <c r="G175" s="28">
        <v>70734</v>
      </c>
      <c r="H175" s="28">
        <v>30.208604000000001</v>
      </c>
      <c r="I175" s="28">
        <v>-91.011127999999999</v>
      </c>
      <c r="J175" s="28" t="s">
        <v>666</v>
      </c>
      <c r="K175" s="61">
        <v>110000746328</v>
      </c>
      <c r="L175" s="61" t="str">
        <f>IFERROR(INDEX('Facility Summary'!$K:$K,MATCH(K175,'Facility Summary'!$J:$J,0)),INDEX('Raw Annual DMR Data'!$M:$M,MATCH(K175,'Raw Annual DMR Data'!$L:$L,0)))</f>
        <v>Manufacturing</v>
      </c>
      <c r="M175" s="28">
        <v>325211</v>
      </c>
      <c r="N175" s="28" t="str">
        <f>VLOOKUP(M175,'SIC &amp; NAICS Codes'!$D:$E,2,FALSE)</f>
        <v>Plastics Material and Resin Manufacturing</v>
      </c>
      <c r="O175" s="28"/>
      <c r="P175" s="28"/>
      <c r="Q175" s="28"/>
      <c r="R175" s="28">
        <v>9</v>
      </c>
      <c r="S175" s="28">
        <f t="shared" si="1"/>
        <v>4.0823313299999997</v>
      </c>
    </row>
    <row r="176" spans="1:19" x14ac:dyDescent="0.25">
      <c r="A176" s="28">
        <v>2021</v>
      </c>
      <c r="B176" s="28" t="s">
        <v>2405</v>
      </c>
      <c r="C176" s="28" t="s">
        <v>202</v>
      </c>
      <c r="D176" s="28" t="s">
        <v>2426</v>
      </c>
      <c r="E176" s="28" t="s">
        <v>323</v>
      </c>
      <c r="F176" s="28" t="s">
        <v>324</v>
      </c>
      <c r="G176" s="28">
        <v>42029</v>
      </c>
      <c r="H176" s="28">
        <v>37.051110999999999</v>
      </c>
      <c r="I176" s="28">
        <v>-88.334166999999994</v>
      </c>
      <c r="J176" s="28" t="s">
        <v>668</v>
      </c>
      <c r="K176" s="61">
        <v>110027373072</v>
      </c>
      <c r="L176" s="61" t="str">
        <f>IFERROR(INDEX('Facility Summary'!$K:$K,MATCH(K176,'Facility Summary'!$J:$J,0)),INDEX('Raw Annual DMR Data'!$M:$M,MATCH(K176,'Raw Annual DMR Data'!$L:$L,0)))</f>
        <v>Manufacturing</v>
      </c>
      <c r="M176" s="28">
        <v>325199</v>
      </c>
      <c r="N176" s="28" t="str">
        <f>VLOOKUP(M176,'SIC &amp; NAICS Codes'!$D:$E,2,FALSE)</f>
        <v>All Other Basic Organic Chemical Manufacturing</v>
      </c>
      <c r="O176" s="28"/>
      <c r="P176" s="28"/>
      <c r="Q176" s="28"/>
      <c r="R176" s="28">
        <v>1755.942</v>
      </c>
      <c r="S176" s="28">
        <f t="shared" si="1"/>
        <v>796.48189336254006</v>
      </c>
    </row>
    <row r="177" spans="1:19" x14ac:dyDescent="0.25">
      <c r="A177" s="28">
        <v>2022</v>
      </c>
      <c r="B177" s="28" t="s">
        <v>2405</v>
      </c>
      <c r="C177" s="28" t="s">
        <v>217</v>
      </c>
      <c r="D177" s="28" t="s">
        <v>592</v>
      </c>
      <c r="E177" s="28" t="s">
        <v>590</v>
      </c>
      <c r="F177" s="28" t="s">
        <v>362</v>
      </c>
      <c r="G177" s="28">
        <v>77536</v>
      </c>
      <c r="H177" s="28">
        <v>29.728559000000001</v>
      </c>
      <c r="I177" s="28">
        <v>-95.110764000000003</v>
      </c>
      <c r="J177" s="28" t="s">
        <v>593</v>
      </c>
      <c r="K177" s="61">
        <v>110015742204</v>
      </c>
      <c r="L177" s="61" t="str">
        <f>IFERROR(INDEX('Facility Summary'!$K:$K,MATCH(K177,'Facility Summary'!$J:$J,0)),INDEX('Raw Annual DMR Data'!$M:$M,MATCH(K177,'Raw Annual DMR Data'!$L:$L,0)))</f>
        <v>Manufacturing</v>
      </c>
      <c r="M177" s="28">
        <v>325199</v>
      </c>
      <c r="N177" s="28" t="str">
        <f>VLOOKUP(M177,'SIC &amp; NAICS Codes'!$D:$E,2,FALSE)</f>
        <v>All Other Basic Organic Chemical Manufacturing</v>
      </c>
      <c r="O177" s="28"/>
      <c r="P177" s="28"/>
      <c r="Q177" s="28"/>
      <c r="R177" s="28">
        <v>0</v>
      </c>
      <c r="S177" s="28">
        <f t="shared" si="1"/>
        <v>0</v>
      </c>
    </row>
    <row r="178" spans="1:19" x14ac:dyDescent="0.25">
      <c r="A178" s="28">
        <v>2022</v>
      </c>
      <c r="B178" s="28" t="s">
        <v>2405</v>
      </c>
      <c r="C178" s="28" t="s">
        <v>213</v>
      </c>
      <c r="D178" s="28" t="s">
        <v>540</v>
      </c>
      <c r="E178" s="28" t="s">
        <v>460</v>
      </c>
      <c r="F178" s="28" t="s">
        <v>541</v>
      </c>
      <c r="G178" s="28">
        <v>29405</v>
      </c>
      <c r="H178" s="28">
        <v>32.833576999999998</v>
      </c>
      <c r="I178" s="28">
        <v>-79.964774000000006</v>
      </c>
      <c r="J178" s="28" t="s">
        <v>542</v>
      </c>
      <c r="K178" s="61">
        <v>110017326963</v>
      </c>
      <c r="L178" s="61" t="str">
        <f>IFERROR(INDEX('Facility Summary'!$K:$K,MATCH(K178,'Facility Summary'!$J:$J,0)),INDEX('Raw Annual DMR Data'!$M:$M,MATCH(K178,'Raw Annual DMR Data'!$L:$L,0)))</f>
        <v>Manufacturing</v>
      </c>
      <c r="M178" s="28">
        <v>325199</v>
      </c>
      <c r="N178" s="28" t="str">
        <f>VLOOKUP(M178,'SIC &amp; NAICS Codes'!$D:$E,2,FALSE)</f>
        <v>All Other Basic Organic Chemical Manufacturing</v>
      </c>
      <c r="O178" s="28"/>
      <c r="P178" s="28"/>
      <c r="Q178" s="28"/>
      <c r="R178" s="28">
        <v>0</v>
      </c>
      <c r="S178" s="28">
        <f t="shared" si="1"/>
        <v>0</v>
      </c>
    </row>
    <row r="179" spans="1:19" x14ac:dyDescent="0.25">
      <c r="A179" s="28">
        <v>2022</v>
      </c>
      <c r="B179" s="28" t="s">
        <v>2405</v>
      </c>
      <c r="C179" s="28" t="s">
        <v>210</v>
      </c>
      <c r="D179" s="28" t="s">
        <v>436</v>
      </c>
      <c r="E179" s="28" t="s">
        <v>437</v>
      </c>
      <c r="F179" s="28" t="s">
        <v>362</v>
      </c>
      <c r="G179" s="28">
        <v>77541</v>
      </c>
      <c r="H179" s="28">
        <v>28.969389</v>
      </c>
      <c r="I179" s="28">
        <v>-95.379527999999993</v>
      </c>
      <c r="J179" s="28" t="s">
        <v>484</v>
      </c>
      <c r="K179" s="61">
        <v>110066943605</v>
      </c>
      <c r="L179" s="61" t="str">
        <f>IFERROR(INDEX('Facility Summary'!$K:$K,MATCH(K179,'Facility Summary'!$J:$J,0)),INDEX('Raw Annual DMR Data'!$M:$M,MATCH(K179,'Raw Annual DMR Data'!$L:$L,0)))</f>
        <v>Manufacturing</v>
      </c>
      <c r="M179" s="28">
        <v>325199</v>
      </c>
      <c r="N179" s="28" t="str">
        <f>VLOOKUP(M179,'SIC &amp; NAICS Codes'!$D:$E,2,FALSE)</f>
        <v>All Other Basic Organic Chemical Manufacturing</v>
      </c>
      <c r="O179" s="28"/>
      <c r="P179" s="28"/>
      <c r="Q179" s="28"/>
      <c r="R179" s="28">
        <v>0</v>
      </c>
      <c r="S179" s="28">
        <f t="shared" si="1"/>
        <v>0</v>
      </c>
    </row>
    <row r="180" spans="1:19" x14ac:dyDescent="0.25">
      <c r="A180" s="28">
        <v>2022</v>
      </c>
      <c r="B180" s="28" t="s">
        <v>2405</v>
      </c>
      <c r="C180" s="28" t="s">
        <v>2412</v>
      </c>
      <c r="D180" s="28" t="s">
        <v>2413</v>
      </c>
      <c r="E180" s="28" t="s">
        <v>302</v>
      </c>
      <c r="F180" s="28" t="s">
        <v>303</v>
      </c>
      <c r="G180" s="28">
        <v>70805</v>
      </c>
      <c r="H180" s="28">
        <v>30.503799999999998</v>
      </c>
      <c r="I180" s="28">
        <v>-91.186496000000005</v>
      </c>
      <c r="J180" s="28" t="s">
        <v>483</v>
      </c>
      <c r="K180" s="61">
        <v>110000597444</v>
      </c>
      <c r="L180" s="61" t="str">
        <f>IFERROR(INDEX('Facility Summary'!$K:$K,MATCH(K180,'Facility Summary'!$J:$J,0)),INDEX('Raw Annual DMR Data'!$M:$M,MATCH(K180,'Raw Annual DMR Data'!$L:$L,0)))</f>
        <v>Manufacturing</v>
      </c>
      <c r="M180" s="28">
        <v>325211</v>
      </c>
      <c r="N180" s="28" t="str">
        <f>VLOOKUP(M180,'SIC &amp; NAICS Codes'!$D:$E,2,FALSE)</f>
        <v>Plastics Material and Resin Manufacturing</v>
      </c>
      <c r="O180" s="28"/>
      <c r="P180" s="28"/>
      <c r="Q180" s="28"/>
      <c r="R180" s="28">
        <v>7</v>
      </c>
      <c r="S180" s="28">
        <f t="shared" si="1"/>
        <v>3.1751465900000002</v>
      </c>
    </row>
    <row r="181" spans="1:19" x14ac:dyDescent="0.25">
      <c r="A181" s="28">
        <v>2015</v>
      </c>
      <c r="B181" s="28"/>
      <c r="C181" s="28" t="s">
        <v>151</v>
      </c>
      <c r="D181" s="28" t="s">
        <v>485</v>
      </c>
      <c r="E181" s="28" t="s">
        <v>486</v>
      </c>
      <c r="F181" s="28" t="s">
        <v>308</v>
      </c>
      <c r="G181" s="28">
        <v>1905</v>
      </c>
      <c r="H181" s="28">
        <v>42.452603000000003</v>
      </c>
      <c r="I181" s="28">
        <v>-70.973436000000007</v>
      </c>
      <c r="J181" s="28" t="s">
        <v>487</v>
      </c>
      <c r="K181" s="61">
        <v>110000310191</v>
      </c>
      <c r="L181" s="61" t="str">
        <f>IFERROR(INDEX('Facility Summary'!$K:$K,MATCH(K181,'Facility Summary'!$J:$J,0)),INDEX('Raw Annual DMR Data'!$M:$M,MATCH(K181,'Raw Annual DMR Data'!$L:$L,0)))</f>
        <v>Unknown</v>
      </c>
      <c r="M181" s="28"/>
      <c r="N181" s="28"/>
      <c r="O181" s="28"/>
      <c r="P181" s="28"/>
      <c r="Q181" s="28"/>
      <c r="R181" s="28"/>
      <c r="S181" s="28">
        <v>0.60590279999999996</v>
      </c>
    </row>
    <row r="182" spans="1:19" x14ac:dyDescent="0.25">
      <c r="A182" s="28">
        <v>2018</v>
      </c>
      <c r="B182" s="28"/>
      <c r="C182" s="28" t="s">
        <v>151</v>
      </c>
      <c r="D182" s="28" t="s">
        <v>485</v>
      </c>
      <c r="E182" s="28" t="s">
        <v>486</v>
      </c>
      <c r="F182" s="28" t="s">
        <v>308</v>
      </c>
      <c r="G182" s="28">
        <v>1905</v>
      </c>
      <c r="H182" s="28">
        <v>42.452603000000003</v>
      </c>
      <c r="I182" s="28">
        <v>-70.973436000000007</v>
      </c>
      <c r="J182" s="28" t="s">
        <v>487</v>
      </c>
      <c r="K182" s="61">
        <v>110000310191</v>
      </c>
      <c r="L182" s="61" t="str">
        <f>IFERROR(INDEX('Facility Summary'!$K:$K,MATCH(K182,'Facility Summary'!$J:$J,0)),INDEX('Raw Annual DMR Data'!$M:$M,MATCH(K182,'Raw Annual DMR Data'!$L:$L,0)))</f>
        <v>Unknown</v>
      </c>
      <c r="M182" s="28"/>
      <c r="N182" s="28"/>
      <c r="O182" s="28"/>
      <c r="P182" s="28"/>
      <c r="Q182" s="28"/>
      <c r="R182" s="28"/>
      <c r="S182" s="28">
        <v>7.0400999999999997E-3</v>
      </c>
    </row>
    <row r="183" spans="1:19" x14ac:dyDescent="0.25">
      <c r="A183" s="28">
        <v>2018</v>
      </c>
      <c r="B183" s="28"/>
      <c r="C183" s="28" t="s">
        <v>152</v>
      </c>
      <c r="D183" s="28" t="s">
        <v>489</v>
      </c>
      <c r="E183" s="28" t="s">
        <v>490</v>
      </c>
      <c r="F183" s="28" t="s">
        <v>491</v>
      </c>
      <c r="G183" s="28">
        <v>17356</v>
      </c>
      <c r="H183" s="28">
        <v>39.903748999999998</v>
      </c>
      <c r="I183" s="28">
        <v>-76.605096000000003</v>
      </c>
      <c r="J183" s="28" t="s">
        <v>492</v>
      </c>
      <c r="K183" s="61">
        <v>110000333318</v>
      </c>
      <c r="L183" s="61" t="str">
        <f>IFERROR(INDEX('Facility Summary'!$K:$K,MATCH(K183,'Facility Summary'!$J:$J,0)),INDEX('Raw Annual DMR Data'!$M:$M,MATCH(K183,'Raw Annual DMR Data'!$L:$L,0)))</f>
        <v>Unknown</v>
      </c>
      <c r="M183" s="28"/>
      <c r="N183" s="28"/>
      <c r="O183" s="28"/>
      <c r="P183" s="28"/>
      <c r="Q183" s="28"/>
      <c r="R183" s="28"/>
      <c r="S183" s="28">
        <v>1.3580580000000001E-3</v>
      </c>
    </row>
    <row r="184" spans="1:19" x14ac:dyDescent="0.25">
      <c r="A184" s="28">
        <v>2015</v>
      </c>
      <c r="B184" s="28"/>
      <c r="C184" s="28" t="s">
        <v>153</v>
      </c>
      <c r="D184" s="28" t="s">
        <v>494</v>
      </c>
      <c r="E184" s="28" t="s">
        <v>495</v>
      </c>
      <c r="F184" s="28" t="s">
        <v>427</v>
      </c>
      <c r="G184" s="28">
        <v>48380</v>
      </c>
      <c r="H184" s="28">
        <v>42.569099999999999</v>
      </c>
      <c r="I184" s="28">
        <v>-83.674499999999995</v>
      </c>
      <c r="J184" s="28"/>
      <c r="K184" s="61">
        <v>110017422733</v>
      </c>
      <c r="L184" s="61" t="str">
        <f>IFERROR(INDEX('Facility Summary'!$K:$K,MATCH(K184,'Facility Summary'!$J:$J,0)),INDEX('Raw Annual DMR Data'!$M:$M,MATCH(K184,'Raw Annual DMR Data'!$L:$L,0)))</f>
        <v>Laboratory Use</v>
      </c>
      <c r="M184" s="28"/>
      <c r="N184" s="28"/>
      <c r="O184" s="28"/>
      <c r="P184" s="28"/>
      <c r="Q184" s="28"/>
      <c r="R184" s="28"/>
      <c r="S184" s="28">
        <v>0.25451097</v>
      </c>
    </row>
    <row r="185" spans="1:19" x14ac:dyDescent="0.25">
      <c r="A185" s="28">
        <v>2016</v>
      </c>
      <c r="B185" s="28"/>
      <c r="C185" s="28" t="s">
        <v>153</v>
      </c>
      <c r="D185" s="28" t="s">
        <v>494</v>
      </c>
      <c r="E185" s="28" t="s">
        <v>495</v>
      </c>
      <c r="F185" s="28" t="s">
        <v>427</v>
      </c>
      <c r="G185" s="28">
        <v>48380</v>
      </c>
      <c r="H185" s="28">
        <v>42.569099999999999</v>
      </c>
      <c r="I185" s="28">
        <v>-83.674499999999995</v>
      </c>
      <c r="J185" s="28"/>
      <c r="K185" s="61">
        <v>110017422733</v>
      </c>
      <c r="L185" s="61" t="str">
        <f>IFERROR(INDEX('Facility Summary'!$K:$K,MATCH(K185,'Facility Summary'!$J:$J,0)),INDEX('Raw Annual DMR Data'!$M:$M,MATCH(K185,'Raw Annual DMR Data'!$L:$L,0)))</f>
        <v>Laboratory Use</v>
      </c>
      <c r="M185" s="28"/>
      <c r="N185" s="28"/>
      <c r="O185" s="28"/>
      <c r="P185" s="28"/>
      <c r="Q185" s="28"/>
      <c r="R185" s="28"/>
      <c r="S185" s="28">
        <v>4.1550216000000001E-2</v>
      </c>
    </row>
    <row r="186" spans="1:19" x14ac:dyDescent="0.25">
      <c r="A186" s="28">
        <v>2017</v>
      </c>
      <c r="B186" s="28"/>
      <c r="C186" s="28" t="s">
        <v>153</v>
      </c>
      <c r="D186" s="28" t="s">
        <v>494</v>
      </c>
      <c r="E186" s="28" t="s">
        <v>495</v>
      </c>
      <c r="F186" s="28" t="s">
        <v>427</v>
      </c>
      <c r="G186" s="28">
        <v>48380</v>
      </c>
      <c r="H186" s="28">
        <v>42.569099999999999</v>
      </c>
      <c r="I186" s="28">
        <v>-83.674499999999995</v>
      </c>
      <c r="J186" s="28"/>
      <c r="K186" s="61">
        <v>110017422733</v>
      </c>
      <c r="L186" s="61" t="str">
        <f>IFERROR(INDEX('Facility Summary'!$K:$K,MATCH(K186,'Facility Summary'!$J:$J,0)),INDEX('Raw Annual DMR Data'!$M:$M,MATCH(K186,'Raw Annual DMR Data'!$L:$L,0)))</f>
        <v>Laboratory Use</v>
      </c>
      <c r="M186" s="28"/>
      <c r="N186" s="28"/>
      <c r="O186" s="28"/>
      <c r="P186" s="28"/>
      <c r="Q186" s="28"/>
      <c r="R186" s="28"/>
      <c r="S186" s="28">
        <v>3.2108154999999999E-2</v>
      </c>
    </row>
    <row r="187" spans="1:19" x14ac:dyDescent="0.25">
      <c r="A187" s="28">
        <v>2019</v>
      </c>
      <c r="B187" s="28"/>
      <c r="C187" s="28" t="s">
        <v>154</v>
      </c>
      <c r="D187" s="28" t="s">
        <v>497</v>
      </c>
      <c r="E187" s="28" t="s">
        <v>498</v>
      </c>
      <c r="F187" s="28" t="s">
        <v>338</v>
      </c>
      <c r="G187" s="28">
        <v>8066</v>
      </c>
      <c r="H187" s="28">
        <v>39.852891</v>
      </c>
      <c r="I187" s="28">
        <v>-75.225210000000004</v>
      </c>
      <c r="J187" s="28"/>
      <c r="K187" s="61">
        <v>110064625730</v>
      </c>
      <c r="L187" s="61" t="str">
        <f>IFERROR(INDEX('Facility Summary'!$K:$K,MATCH(K187,'Facility Summary'!$J:$J,0)),INDEX('Raw Annual DMR Data'!$M:$M,MATCH(K187,'Raw Annual DMR Data'!$L:$L,0)))</f>
        <v>POTW</v>
      </c>
      <c r="M187" s="28"/>
      <c r="N187" s="28"/>
      <c r="O187" s="28"/>
      <c r="P187" s="28"/>
      <c r="Q187" s="28"/>
      <c r="R187" s="28"/>
      <c r="S187" s="28">
        <v>4.53</v>
      </c>
    </row>
    <row r="188" spans="1:19" x14ac:dyDescent="0.25">
      <c r="A188" s="28">
        <v>2016</v>
      </c>
      <c r="B188" s="28"/>
      <c r="C188" s="28" t="s">
        <v>154</v>
      </c>
      <c r="D188" s="28" t="s">
        <v>497</v>
      </c>
      <c r="E188" s="28" t="s">
        <v>498</v>
      </c>
      <c r="F188" s="28" t="s">
        <v>338</v>
      </c>
      <c r="G188" s="28">
        <v>8066</v>
      </c>
      <c r="H188" s="28">
        <v>39.852891</v>
      </c>
      <c r="I188" s="28">
        <v>-75.225210000000004</v>
      </c>
      <c r="J188" s="28"/>
      <c r="K188" s="61">
        <v>110064625730</v>
      </c>
      <c r="L188" s="61" t="str">
        <f>IFERROR(INDEX('Facility Summary'!$K:$K,MATCH(K188,'Facility Summary'!$J:$J,0)),INDEX('Raw Annual DMR Data'!$M:$M,MATCH(K188,'Raw Annual DMR Data'!$L:$L,0)))</f>
        <v>POTW</v>
      </c>
      <c r="M188" s="28"/>
      <c r="N188" s="28"/>
      <c r="O188" s="28"/>
      <c r="P188" s="28"/>
      <c r="Q188" s="28"/>
      <c r="R188" s="28"/>
      <c r="S188" s="28">
        <v>0.59519999999999995</v>
      </c>
    </row>
    <row r="189" spans="1:19" x14ac:dyDescent="0.25">
      <c r="A189" s="28">
        <v>2015</v>
      </c>
      <c r="B189" s="28" t="s">
        <v>2403</v>
      </c>
      <c r="C189" s="28" t="s">
        <v>671</v>
      </c>
      <c r="D189" s="28" t="s">
        <v>672</v>
      </c>
      <c r="E189" s="28" t="s">
        <v>412</v>
      </c>
      <c r="F189" s="28" t="s">
        <v>299</v>
      </c>
      <c r="G189" s="28">
        <v>71730</v>
      </c>
      <c r="H189" s="28">
        <v>33.109833000000002</v>
      </c>
      <c r="I189" s="28">
        <v>-92.678805999999994</v>
      </c>
      <c r="J189" s="28" t="s">
        <v>673</v>
      </c>
      <c r="K189" s="61">
        <v>110000451038</v>
      </c>
      <c r="L189" s="61" t="str">
        <f>IFERROR(INDEX('Facility Summary'!$K:$K,MATCH(K189,'Facility Summary'!$J:$J,0)),INDEX('Raw Annual DMR Data'!$M:$M,MATCH(K189,'Raw Annual DMR Data'!$L:$L,0)))</f>
        <v>Processing as a Reactant</v>
      </c>
      <c r="M189" s="28">
        <v>325180</v>
      </c>
      <c r="N189" s="28" t="s">
        <v>674</v>
      </c>
      <c r="O189" s="28"/>
      <c r="P189" s="28" t="s">
        <v>2404</v>
      </c>
      <c r="Q189" s="28"/>
      <c r="R189" s="28">
        <v>500</v>
      </c>
      <c r="S189" s="28">
        <v>226.79618500000001</v>
      </c>
    </row>
    <row r="190" spans="1:19" x14ac:dyDescent="0.25">
      <c r="A190" s="28">
        <v>2019</v>
      </c>
      <c r="B190" s="28"/>
      <c r="C190" s="28" t="s">
        <v>155</v>
      </c>
      <c r="D190" s="28" t="s">
        <v>499</v>
      </c>
      <c r="E190" s="28" t="s">
        <v>500</v>
      </c>
      <c r="F190" s="28" t="s">
        <v>303</v>
      </c>
      <c r="G190" s="28">
        <v>70805</v>
      </c>
      <c r="H190" s="28">
        <v>30.558889000000001</v>
      </c>
      <c r="I190" s="28">
        <v>-91.217500000000001</v>
      </c>
      <c r="J190" s="28"/>
      <c r="K190" s="61">
        <v>110012254363</v>
      </c>
      <c r="L190" s="61" t="str">
        <f>IFERROR(INDEX('Facility Summary'!$K:$K,MATCH(K190,'Facility Summary'!$J:$J,0)),INDEX('Raw Annual DMR Data'!$M:$M,MATCH(K190,'Raw Annual DMR Data'!$L:$L,0)))</f>
        <v>Repackaging</v>
      </c>
      <c r="M190" s="28"/>
      <c r="N190" s="28"/>
      <c r="O190" s="28"/>
      <c r="P190" s="28"/>
      <c r="Q190" s="28"/>
      <c r="R190" s="28"/>
      <c r="S190" s="28">
        <v>1.40801999999999E-5</v>
      </c>
    </row>
    <row r="191" spans="1:19" x14ac:dyDescent="0.25">
      <c r="A191" s="28">
        <v>2020</v>
      </c>
      <c r="B191" s="28"/>
      <c r="C191" s="28" t="s">
        <v>156</v>
      </c>
      <c r="D191" s="28" t="s">
        <v>501</v>
      </c>
      <c r="E191" s="28" t="s">
        <v>502</v>
      </c>
      <c r="F191" s="28" t="s">
        <v>303</v>
      </c>
      <c r="G191" s="28">
        <v>70058</v>
      </c>
      <c r="H191" s="28">
        <v>29.910609999999998</v>
      </c>
      <c r="I191" s="28">
        <v>-90.085269999999994</v>
      </c>
      <c r="J191" s="28"/>
      <c r="K191" s="61">
        <v>110070117180</v>
      </c>
      <c r="L191" s="61" t="str">
        <f>IFERROR(INDEX('Facility Summary'!$K:$K,MATCH(K191,'Facility Summary'!$J:$J,0)),INDEX('Raw Annual DMR Data'!$M:$M,MATCH(K191,'Raw Annual DMR Data'!$L:$L,0)))</f>
        <v>Repackaging</v>
      </c>
      <c r="M191" s="28"/>
      <c r="N191" s="28"/>
      <c r="O191" s="28"/>
      <c r="P191" s="28"/>
      <c r="Q191" s="28"/>
      <c r="R191" s="28"/>
      <c r="S191" s="28">
        <v>8.5503149999999997E-4</v>
      </c>
    </row>
    <row r="192" spans="1:19" x14ac:dyDescent="0.25">
      <c r="A192" s="28">
        <v>2020</v>
      </c>
      <c r="B192" s="28"/>
      <c r="C192" s="28" t="s">
        <v>157</v>
      </c>
      <c r="D192" s="28" t="s">
        <v>504</v>
      </c>
      <c r="E192" s="28" t="s">
        <v>505</v>
      </c>
      <c r="F192" s="28" t="s">
        <v>506</v>
      </c>
      <c r="G192" s="28">
        <v>20910</v>
      </c>
      <c r="H192" s="28">
        <v>38.987340000000003</v>
      </c>
      <c r="I192" s="28">
        <v>-77.026660000000007</v>
      </c>
      <c r="J192" s="28"/>
      <c r="K192" s="61">
        <v>110037096674</v>
      </c>
      <c r="L192" s="61" t="str">
        <f>IFERROR(INDEX('Facility Summary'!$K:$K,MATCH(K192,'Facility Summary'!$J:$J,0)),INDEX('Raw Annual DMR Data'!$M:$M,MATCH(K192,'Raw Annual DMR Data'!$L:$L,0)))</f>
        <v>Remediation</v>
      </c>
      <c r="M192" s="28"/>
      <c r="N192" s="28"/>
      <c r="O192" s="28"/>
      <c r="P192" s="28"/>
      <c r="Q192" s="28"/>
      <c r="R192" s="28"/>
      <c r="S192" s="28">
        <v>1.71789521117399</v>
      </c>
    </row>
    <row r="193" spans="1:19" x14ac:dyDescent="0.25">
      <c r="A193" s="28">
        <v>2019</v>
      </c>
      <c r="B193" s="28"/>
      <c r="C193" s="28" t="s">
        <v>157</v>
      </c>
      <c r="D193" s="28" t="s">
        <v>504</v>
      </c>
      <c r="E193" s="28" t="s">
        <v>505</v>
      </c>
      <c r="F193" s="28" t="s">
        <v>506</v>
      </c>
      <c r="G193" s="28">
        <v>20910</v>
      </c>
      <c r="H193" s="28">
        <v>38.987340000000003</v>
      </c>
      <c r="I193" s="28">
        <v>-77.026660000000007</v>
      </c>
      <c r="J193" s="28"/>
      <c r="K193" s="61">
        <v>110037096674</v>
      </c>
      <c r="L193" s="61" t="str">
        <f>IFERROR(INDEX('Facility Summary'!$K:$K,MATCH(K193,'Facility Summary'!$J:$J,0)),INDEX('Raw Annual DMR Data'!$M:$M,MATCH(K193,'Raw Annual DMR Data'!$L:$L,0)))</f>
        <v>Remediation</v>
      </c>
      <c r="M193" s="28"/>
      <c r="N193" s="28"/>
      <c r="O193" s="28"/>
      <c r="P193" s="28"/>
      <c r="Q193" s="28"/>
      <c r="R193" s="28"/>
      <c r="S193" s="28">
        <v>0.79768324827539905</v>
      </c>
    </row>
    <row r="194" spans="1:19" x14ac:dyDescent="0.25">
      <c r="A194" s="28">
        <v>2015</v>
      </c>
      <c r="B194" s="28"/>
      <c r="C194" s="28" t="s">
        <v>157</v>
      </c>
      <c r="D194" s="28" t="s">
        <v>504</v>
      </c>
      <c r="E194" s="28" t="s">
        <v>505</v>
      </c>
      <c r="F194" s="28" t="s">
        <v>506</v>
      </c>
      <c r="G194" s="28">
        <v>20910</v>
      </c>
      <c r="H194" s="28">
        <v>38.987340000000003</v>
      </c>
      <c r="I194" s="28">
        <v>-77.026660000000007</v>
      </c>
      <c r="J194" s="28"/>
      <c r="K194" s="61">
        <v>110037096674</v>
      </c>
      <c r="L194" s="61" t="str">
        <f>IFERROR(INDEX('Facility Summary'!$K:$K,MATCH(K194,'Facility Summary'!$J:$J,0)),INDEX('Raw Annual DMR Data'!$M:$M,MATCH(K194,'Raw Annual DMR Data'!$L:$L,0)))</f>
        <v>Remediation</v>
      </c>
      <c r="M194" s="28"/>
      <c r="N194" s="28"/>
      <c r="O194" s="28"/>
      <c r="P194" s="28"/>
      <c r="Q194" s="28"/>
      <c r="R194" s="28"/>
      <c r="S194" s="28">
        <v>0.85634993964799899</v>
      </c>
    </row>
    <row r="195" spans="1:19" x14ac:dyDescent="0.25">
      <c r="A195" s="28">
        <v>2019</v>
      </c>
      <c r="B195" s="28"/>
      <c r="C195" s="28" t="s">
        <v>158</v>
      </c>
      <c r="D195" s="28" t="s">
        <v>508</v>
      </c>
      <c r="E195" s="28" t="s">
        <v>509</v>
      </c>
      <c r="F195" s="28" t="s">
        <v>294</v>
      </c>
      <c r="G195" s="28">
        <v>220034935</v>
      </c>
      <c r="H195" s="28">
        <v>38.824719999999999</v>
      </c>
      <c r="I195" s="28">
        <v>-77.214320000000001</v>
      </c>
      <c r="J195" s="28"/>
      <c r="K195" s="61">
        <v>110070544907</v>
      </c>
      <c r="L195" s="61" t="str">
        <f>IFERROR(INDEX('Facility Summary'!$K:$K,MATCH(K195,'Facility Summary'!$J:$J,0)),INDEX('Raw Annual DMR Data'!$M:$M,MATCH(K195,'Raw Annual DMR Data'!$L:$L,0)))</f>
        <v>Remediation</v>
      </c>
      <c r="M195" s="28"/>
      <c r="N195" s="28"/>
      <c r="O195" s="28"/>
      <c r="P195" s="28"/>
      <c r="Q195" s="28"/>
      <c r="R195" s="28"/>
      <c r="S195" s="28">
        <v>6.8869778249999898E-4</v>
      </c>
    </row>
    <row r="196" spans="1:19" x14ac:dyDescent="0.25">
      <c r="A196" s="28">
        <v>2015</v>
      </c>
      <c r="B196" s="28" t="s">
        <v>2405</v>
      </c>
      <c r="C196" s="28" t="s">
        <v>211</v>
      </c>
      <c r="D196" s="28" t="s">
        <v>510</v>
      </c>
      <c r="E196" s="28" t="s">
        <v>511</v>
      </c>
      <c r="F196" s="28" t="s">
        <v>319</v>
      </c>
      <c r="G196" s="28">
        <v>43920</v>
      </c>
      <c r="H196" s="28">
        <v>40.631622</v>
      </c>
      <c r="I196" s="28">
        <v>-80.546319999999994</v>
      </c>
      <c r="J196" s="28" t="s">
        <v>512</v>
      </c>
      <c r="K196" s="61">
        <v>110027242320</v>
      </c>
      <c r="L196" s="61" t="str">
        <f>IFERROR(INDEX('Facility Summary'!$K:$K,MATCH(K196,'Facility Summary'!$J:$J,0)),INDEX('Raw Annual DMR Data'!$M:$M,MATCH(K196,'Raw Annual DMR Data'!$L:$L,0)))</f>
        <v>Waste Handling, Disposal and Treatment (Incinerator)</v>
      </c>
      <c r="M196" s="28">
        <v>562213</v>
      </c>
      <c r="N196" s="28" t="s">
        <v>2416</v>
      </c>
      <c r="O196" s="28"/>
      <c r="P196" s="28" t="s">
        <v>2404</v>
      </c>
      <c r="Q196" s="28"/>
      <c r="R196" s="28">
        <v>1E-3</v>
      </c>
      <c r="S196" s="28">
        <v>4.5359237000000004E-4</v>
      </c>
    </row>
    <row r="197" spans="1:19" x14ac:dyDescent="0.25">
      <c r="A197" s="28">
        <v>2020</v>
      </c>
      <c r="B197" s="28"/>
      <c r="C197" s="28" t="s">
        <v>159</v>
      </c>
      <c r="D197" s="28" t="s">
        <v>513</v>
      </c>
      <c r="E197" s="28" t="s">
        <v>302</v>
      </c>
      <c r="F197" s="28" t="s">
        <v>303</v>
      </c>
      <c r="G197" s="28">
        <v>70821</v>
      </c>
      <c r="H197" s="28">
        <v>30.474443999999998</v>
      </c>
      <c r="I197" s="28">
        <v>-91.183055999999993</v>
      </c>
      <c r="J197" s="28" t="s">
        <v>514</v>
      </c>
      <c r="K197" s="61">
        <v>110003266849</v>
      </c>
      <c r="L197" s="61" t="str">
        <f>IFERROR(INDEX('Facility Summary'!$K:$K,MATCH(K197,'Facility Summary'!$J:$J,0)),INDEX('Raw Annual DMR Data'!$M:$M,MATCH(K197,'Raw Annual DMR Data'!$L:$L,0)))</f>
        <v>Processing into formulation, mixture, or reaction product</v>
      </c>
      <c r="M197" s="28"/>
      <c r="N197" s="28"/>
      <c r="O197" s="28"/>
      <c r="P197" s="28"/>
      <c r="Q197" s="28"/>
      <c r="R197" s="28"/>
      <c r="S197" s="28">
        <v>8.4353741496598609</v>
      </c>
    </row>
    <row r="198" spans="1:19" x14ac:dyDescent="0.25">
      <c r="A198" s="28">
        <v>2016</v>
      </c>
      <c r="B198" s="28"/>
      <c r="C198" s="28" t="s">
        <v>159</v>
      </c>
      <c r="D198" s="28" t="s">
        <v>513</v>
      </c>
      <c r="E198" s="28" t="s">
        <v>302</v>
      </c>
      <c r="F198" s="28" t="s">
        <v>303</v>
      </c>
      <c r="G198" s="28">
        <v>70821</v>
      </c>
      <c r="H198" s="28">
        <v>30.474443999999998</v>
      </c>
      <c r="I198" s="28">
        <v>-91.183055999999993</v>
      </c>
      <c r="J198" s="28" t="s">
        <v>514</v>
      </c>
      <c r="K198" s="61">
        <v>110003266849</v>
      </c>
      <c r="L198" s="61" t="str">
        <f>IFERROR(INDEX('Facility Summary'!$K:$K,MATCH(K198,'Facility Summary'!$J:$J,0)),INDEX('Raw Annual DMR Data'!$M:$M,MATCH(K198,'Raw Annual DMR Data'!$L:$L,0)))</f>
        <v>Processing into formulation, mixture, or reaction product</v>
      </c>
      <c r="M198" s="28"/>
      <c r="N198" s="28"/>
      <c r="O198" s="28"/>
      <c r="P198" s="28"/>
      <c r="Q198" s="28"/>
      <c r="R198" s="28"/>
      <c r="S198" s="28">
        <v>1.3496598639455699</v>
      </c>
    </row>
    <row r="199" spans="1:19" x14ac:dyDescent="0.25">
      <c r="A199" s="28">
        <v>2015</v>
      </c>
      <c r="B199" s="28"/>
      <c r="C199" s="28" t="s">
        <v>159</v>
      </c>
      <c r="D199" s="28" t="s">
        <v>513</v>
      </c>
      <c r="E199" s="28" t="s">
        <v>302</v>
      </c>
      <c r="F199" s="28" t="s">
        <v>303</v>
      </c>
      <c r="G199" s="28">
        <v>70821</v>
      </c>
      <c r="H199" s="28">
        <v>30.474443999999998</v>
      </c>
      <c r="I199" s="28">
        <v>-91.183055999999993</v>
      </c>
      <c r="J199" s="28" t="s">
        <v>514</v>
      </c>
      <c r="K199" s="61">
        <v>110003266849</v>
      </c>
      <c r="L199" s="61" t="str">
        <f>IFERROR(INDEX('Facility Summary'!$K:$K,MATCH(K199,'Facility Summary'!$J:$J,0)),INDEX('Raw Annual DMR Data'!$M:$M,MATCH(K199,'Raw Annual DMR Data'!$L:$L,0)))</f>
        <v>Processing into formulation, mixture, or reaction product</v>
      </c>
      <c r="M199" s="28"/>
      <c r="N199" s="28"/>
      <c r="O199" s="28"/>
      <c r="P199" s="28"/>
      <c r="Q199" s="28"/>
      <c r="R199" s="28"/>
      <c r="S199" s="28">
        <v>3.37414965986394</v>
      </c>
    </row>
    <row r="200" spans="1:19" x14ac:dyDescent="0.25">
      <c r="A200" s="28">
        <v>2022</v>
      </c>
      <c r="B200" s="28" t="s">
        <v>2405</v>
      </c>
      <c r="C200" s="28" t="s">
        <v>105</v>
      </c>
      <c r="D200" s="28" t="s">
        <v>322</v>
      </c>
      <c r="E200" s="28" t="s">
        <v>323</v>
      </c>
      <c r="F200" s="28" t="s">
        <v>324</v>
      </c>
      <c r="G200" s="28">
        <v>42029</v>
      </c>
      <c r="H200" s="28">
        <v>37.056699000000002</v>
      </c>
      <c r="I200" s="28">
        <v>-88.365727000000007</v>
      </c>
      <c r="J200" s="28" t="s">
        <v>325</v>
      </c>
      <c r="K200" s="61">
        <v>110000380061</v>
      </c>
      <c r="L200" s="61" t="str">
        <f>IFERROR(INDEX('Facility Summary'!$K:$K,MATCH(K200,'Facility Summary'!$J:$J,0)),INDEX('Raw Annual DMR Data'!$M:$M,MATCH(K200,'Raw Annual DMR Data'!$L:$L,0)))</f>
        <v>Manufacturing</v>
      </c>
      <c r="M200" s="28">
        <v>325180</v>
      </c>
      <c r="N200" s="28" t="str">
        <f>VLOOKUP(M200,'SIC &amp; NAICS Codes'!$D:$E,2,FALSE)</f>
        <v>Other Basic Inorganic Chemical Manufacturing</v>
      </c>
      <c r="O200" s="28"/>
      <c r="P200" s="28"/>
      <c r="Q200" s="28"/>
      <c r="R200" s="28">
        <v>130</v>
      </c>
      <c r="S200" s="28">
        <f t="shared" ref="S200:S205" si="2">CONVERT(R200,"lbm","g")/1000</f>
        <v>58.967008100000001</v>
      </c>
    </row>
    <row r="201" spans="1:19" x14ac:dyDescent="0.25">
      <c r="A201" s="28">
        <v>2022</v>
      </c>
      <c r="B201" s="28" t="s">
        <v>2405</v>
      </c>
      <c r="C201" s="28" t="s">
        <v>218</v>
      </c>
      <c r="D201" s="28" t="s">
        <v>594</v>
      </c>
      <c r="E201" s="28" t="s">
        <v>361</v>
      </c>
      <c r="F201" s="28" t="s">
        <v>362</v>
      </c>
      <c r="G201" s="28">
        <v>77571</v>
      </c>
      <c r="H201" s="28">
        <v>29.723700000000001</v>
      </c>
      <c r="I201" s="28">
        <v>-95.074079999999995</v>
      </c>
      <c r="J201" s="28" t="s">
        <v>595</v>
      </c>
      <c r="K201" s="61">
        <v>110017769734</v>
      </c>
      <c r="L201" s="61" t="str">
        <f>IFERROR(INDEX('Facility Summary'!$K:$K,MATCH(K201,'Facility Summary'!$J:$J,0)),INDEX('Raw Annual DMR Data'!$M:$M,MATCH(K201,'Raw Annual DMR Data'!$L:$L,0)))</f>
        <v>Manufacturing</v>
      </c>
      <c r="M201" s="28">
        <v>325199</v>
      </c>
      <c r="N201" s="28" t="str">
        <f>VLOOKUP(M201,'SIC &amp; NAICS Codes'!$D:$E,2,FALSE)</f>
        <v>All Other Basic Organic Chemical Manufacturing</v>
      </c>
      <c r="O201" s="28"/>
      <c r="P201" s="28"/>
      <c r="Q201" s="28"/>
      <c r="R201" s="28">
        <v>3.4</v>
      </c>
      <c r="S201" s="28">
        <f t="shared" si="2"/>
        <v>1.5422140580000001</v>
      </c>
    </row>
    <row r="202" spans="1:19" x14ac:dyDescent="0.25">
      <c r="A202" s="28">
        <v>2022</v>
      </c>
      <c r="B202" s="28" t="s">
        <v>2405</v>
      </c>
      <c r="C202" s="28" t="s">
        <v>2414</v>
      </c>
      <c r="D202" s="28" t="s">
        <v>2415</v>
      </c>
      <c r="E202" s="28" t="s">
        <v>480</v>
      </c>
      <c r="F202" s="28" t="s">
        <v>362</v>
      </c>
      <c r="G202" s="28">
        <v>77978</v>
      </c>
      <c r="H202" s="28">
        <v>28.697590000000002</v>
      </c>
      <c r="I202" s="28">
        <v>-96.542101000000002</v>
      </c>
      <c r="J202" s="28" t="s">
        <v>481</v>
      </c>
      <c r="K202" s="61">
        <v>110018925957</v>
      </c>
      <c r="L202" s="61" t="str">
        <f>IFERROR(INDEX('Facility Summary'!$K:$K,MATCH(K202,'Facility Summary'!$J:$J,0)),INDEX('Raw Annual DMR Data'!$M:$M,MATCH(K202,'Raw Annual DMR Data'!$L:$L,0)))</f>
        <v>Manufacturing</v>
      </c>
      <c r="M202" s="28">
        <v>325199</v>
      </c>
      <c r="N202" s="28" t="str">
        <f>VLOOKUP(M202,'SIC &amp; NAICS Codes'!$D:$E,2,FALSE)</f>
        <v>All Other Basic Organic Chemical Manufacturing</v>
      </c>
      <c r="O202" s="28"/>
      <c r="P202" s="28"/>
      <c r="Q202" s="28"/>
      <c r="R202" s="28">
        <v>6</v>
      </c>
      <c r="S202" s="28">
        <f t="shared" si="2"/>
        <v>2.7215542199999998</v>
      </c>
    </row>
    <row r="203" spans="1:19" x14ac:dyDescent="0.25">
      <c r="A203" s="28">
        <v>2022</v>
      </c>
      <c r="B203" s="28" t="s">
        <v>2405</v>
      </c>
      <c r="C203" s="28" t="s">
        <v>7361</v>
      </c>
      <c r="D203" s="28" t="s">
        <v>2411</v>
      </c>
      <c r="E203" s="28" t="s">
        <v>446</v>
      </c>
      <c r="F203" s="28" t="s">
        <v>303</v>
      </c>
      <c r="G203" s="28">
        <v>70669</v>
      </c>
      <c r="H203" s="28">
        <v>30.223500000000001</v>
      </c>
      <c r="I203" s="28">
        <v>-93.286900000000003</v>
      </c>
      <c r="J203" s="28" t="s">
        <v>447</v>
      </c>
      <c r="K203" s="61">
        <v>110000494894</v>
      </c>
      <c r="L203" s="61" t="str">
        <f>IFERROR(INDEX('Facility Summary'!$K:$K,MATCH(K203,'Facility Summary'!$J:$J,0)),INDEX('Raw Annual DMR Data'!$M:$M,MATCH(K203,'Raw Annual DMR Data'!$L:$L,0)))</f>
        <v>Manufacturing</v>
      </c>
      <c r="M203" s="28">
        <v>325180</v>
      </c>
      <c r="N203" s="28" t="str">
        <f>VLOOKUP(M203,'SIC &amp; NAICS Codes'!$D:$E,2,FALSE)</f>
        <v>Other Basic Inorganic Chemical Manufacturing</v>
      </c>
      <c r="O203" s="28"/>
      <c r="P203" s="28"/>
      <c r="Q203" s="28"/>
      <c r="R203" s="28">
        <v>140</v>
      </c>
      <c r="S203" s="28">
        <f t="shared" si="2"/>
        <v>63.502931800000006</v>
      </c>
    </row>
    <row r="204" spans="1:19" x14ac:dyDescent="0.25">
      <c r="A204" s="28">
        <v>2022</v>
      </c>
      <c r="B204" s="28" t="s">
        <v>2405</v>
      </c>
      <c r="C204" s="28" t="s">
        <v>201</v>
      </c>
      <c r="D204" s="28" t="s">
        <v>665</v>
      </c>
      <c r="E204" s="28" t="s">
        <v>516</v>
      </c>
      <c r="F204" s="28" t="s">
        <v>303</v>
      </c>
      <c r="G204" s="28">
        <v>70734</v>
      </c>
      <c r="H204" s="28">
        <v>30.208604000000001</v>
      </c>
      <c r="I204" s="28">
        <v>-91.011127999999999</v>
      </c>
      <c r="J204" s="28" t="s">
        <v>666</v>
      </c>
      <c r="K204" s="61">
        <v>110000746328</v>
      </c>
      <c r="L204" s="61" t="str">
        <f>IFERROR(INDEX('Facility Summary'!$K:$K,MATCH(K204,'Facility Summary'!$J:$J,0)),INDEX('Raw Annual DMR Data'!$M:$M,MATCH(K204,'Raw Annual DMR Data'!$L:$L,0)))</f>
        <v>Manufacturing</v>
      </c>
      <c r="M204" s="28">
        <v>325211</v>
      </c>
      <c r="N204" s="28" t="str">
        <f>VLOOKUP(M204,'SIC &amp; NAICS Codes'!$D:$E,2,FALSE)</f>
        <v>Plastics Material and Resin Manufacturing</v>
      </c>
      <c r="O204" s="28"/>
      <c r="P204" s="28"/>
      <c r="Q204" s="28"/>
      <c r="R204" s="28">
        <v>4</v>
      </c>
      <c r="S204" s="28">
        <f t="shared" si="2"/>
        <v>1.8143694800000001</v>
      </c>
    </row>
    <row r="205" spans="1:19" x14ac:dyDescent="0.25">
      <c r="A205" s="28">
        <v>2022</v>
      </c>
      <c r="B205" s="28" t="s">
        <v>2405</v>
      </c>
      <c r="C205" s="28" t="s">
        <v>7362</v>
      </c>
      <c r="D205" s="28" t="s">
        <v>333</v>
      </c>
      <c r="E205" s="28" t="s">
        <v>334</v>
      </c>
      <c r="F205" s="28" t="s">
        <v>303</v>
      </c>
      <c r="G205" s="28">
        <v>70764</v>
      </c>
      <c r="H205" s="28">
        <v>30.262255</v>
      </c>
      <c r="I205" s="28">
        <v>-91.185837000000006</v>
      </c>
      <c r="J205" s="28" t="s">
        <v>335</v>
      </c>
      <c r="K205" s="61">
        <v>110000613747</v>
      </c>
      <c r="L205" s="61" t="str">
        <f>IFERROR(INDEX('Facility Summary'!$K:$K,MATCH(K205,'Facility Summary'!$J:$J,0)),INDEX('Raw Annual DMR Data'!$M:$M,MATCH(K205,'Raw Annual DMR Data'!$L:$L,0)))</f>
        <v>Manufacturing</v>
      </c>
      <c r="M205" s="28">
        <v>325211</v>
      </c>
      <c r="N205" s="28" t="str">
        <f>VLOOKUP(M205,'SIC &amp; NAICS Codes'!$D:$E,2,FALSE)</f>
        <v>Plastics Material and Resin Manufacturing</v>
      </c>
      <c r="O205" s="28"/>
      <c r="P205" s="28"/>
      <c r="Q205" s="28"/>
      <c r="R205" s="28">
        <v>407</v>
      </c>
      <c r="S205" s="28">
        <f t="shared" si="2"/>
        <v>184.61209459</v>
      </c>
    </row>
    <row r="206" spans="1:19" x14ac:dyDescent="0.25">
      <c r="A206" s="28">
        <v>2015</v>
      </c>
      <c r="B206" s="28" t="s">
        <v>2405</v>
      </c>
      <c r="C206" s="28" t="s">
        <v>2417</v>
      </c>
      <c r="D206" s="28" t="s">
        <v>2418</v>
      </c>
      <c r="E206" s="28" t="s">
        <v>302</v>
      </c>
      <c r="F206" s="28" t="s">
        <v>303</v>
      </c>
      <c r="G206" s="28">
        <v>70805</v>
      </c>
      <c r="H206" s="28">
        <v>30.474443999999998</v>
      </c>
      <c r="I206" s="28">
        <v>-91.183055999999993</v>
      </c>
      <c r="J206" s="28" t="s">
        <v>514</v>
      </c>
      <c r="K206" s="61">
        <v>110003266849</v>
      </c>
      <c r="L206" s="61" t="str">
        <f>IFERROR(INDEX('Facility Summary'!$K:$K,MATCH(K206,'Facility Summary'!$J:$J,0)),INDEX('Raw Annual DMR Data'!$M:$M,MATCH(K206,'Raw Annual DMR Data'!$L:$L,0)))</f>
        <v>Processing into formulation, mixture, or reaction product</v>
      </c>
      <c r="M206" s="28">
        <v>325199</v>
      </c>
      <c r="N206" s="28" t="s">
        <v>28</v>
      </c>
      <c r="O206" s="28"/>
      <c r="P206" s="28" t="s">
        <v>2404</v>
      </c>
      <c r="Q206" s="28"/>
      <c r="R206" s="28">
        <v>5</v>
      </c>
      <c r="S206" s="28">
        <v>2.2679618500000003</v>
      </c>
    </row>
    <row r="207" spans="1:19" x14ac:dyDescent="0.25">
      <c r="A207" s="28">
        <v>2016</v>
      </c>
      <c r="B207" s="28" t="s">
        <v>2405</v>
      </c>
      <c r="C207" s="28" t="s">
        <v>2417</v>
      </c>
      <c r="D207" s="28" t="s">
        <v>2418</v>
      </c>
      <c r="E207" s="28" t="s">
        <v>302</v>
      </c>
      <c r="F207" s="28" t="s">
        <v>303</v>
      </c>
      <c r="G207" s="28">
        <v>70805</v>
      </c>
      <c r="H207" s="28">
        <v>30.474443999999998</v>
      </c>
      <c r="I207" s="28">
        <v>-91.183055999999993</v>
      </c>
      <c r="J207" s="28" t="s">
        <v>514</v>
      </c>
      <c r="K207" s="61">
        <v>110003266849</v>
      </c>
      <c r="L207" s="61" t="str">
        <f>IFERROR(INDEX('Facility Summary'!$K:$K,MATCH(K207,'Facility Summary'!$J:$J,0)),INDEX('Raw Annual DMR Data'!$M:$M,MATCH(K207,'Raw Annual DMR Data'!$L:$L,0)))</f>
        <v>Processing into formulation, mixture, or reaction product</v>
      </c>
      <c r="M207" s="28">
        <v>325199</v>
      </c>
      <c r="N207" s="28" t="s">
        <v>28</v>
      </c>
      <c r="O207" s="28"/>
      <c r="P207" s="28" t="s">
        <v>2404</v>
      </c>
      <c r="Q207" s="28"/>
      <c r="R207" s="28">
        <v>61</v>
      </c>
      <c r="S207" s="28">
        <v>27.669134570000001</v>
      </c>
    </row>
    <row r="208" spans="1:19" x14ac:dyDescent="0.25">
      <c r="A208" s="28">
        <v>2017</v>
      </c>
      <c r="B208" s="28" t="s">
        <v>2405</v>
      </c>
      <c r="C208" s="28" t="s">
        <v>2417</v>
      </c>
      <c r="D208" s="28" t="s">
        <v>2418</v>
      </c>
      <c r="E208" s="28" t="s">
        <v>302</v>
      </c>
      <c r="F208" s="28" t="s">
        <v>303</v>
      </c>
      <c r="G208" s="28">
        <v>70805</v>
      </c>
      <c r="H208" s="28">
        <v>30.474443999999998</v>
      </c>
      <c r="I208" s="28">
        <v>-91.183055999999993</v>
      </c>
      <c r="J208" s="28" t="s">
        <v>514</v>
      </c>
      <c r="K208" s="61">
        <v>110003266849</v>
      </c>
      <c r="L208" s="61" t="str">
        <f>IFERROR(INDEX('Facility Summary'!$K:$K,MATCH(K208,'Facility Summary'!$J:$J,0)),INDEX('Raw Annual DMR Data'!$M:$M,MATCH(K208,'Raw Annual DMR Data'!$L:$L,0)))</f>
        <v>Processing into formulation, mixture, or reaction product</v>
      </c>
      <c r="M208" s="28">
        <v>325199</v>
      </c>
      <c r="N208" s="28" t="s">
        <v>28</v>
      </c>
      <c r="O208" s="28"/>
      <c r="P208" s="28" t="s">
        <v>2404</v>
      </c>
      <c r="Q208" s="28"/>
      <c r="R208" s="28">
        <v>3</v>
      </c>
      <c r="S208" s="28">
        <v>1.3607771099999999</v>
      </c>
    </row>
    <row r="209" spans="1:19" x14ac:dyDescent="0.25">
      <c r="A209" s="28">
        <v>2018</v>
      </c>
      <c r="B209" s="28" t="s">
        <v>2405</v>
      </c>
      <c r="C209" s="28" t="s">
        <v>2417</v>
      </c>
      <c r="D209" s="28" t="s">
        <v>2418</v>
      </c>
      <c r="E209" s="28" t="s">
        <v>302</v>
      </c>
      <c r="F209" s="28" t="s">
        <v>303</v>
      </c>
      <c r="G209" s="28">
        <v>70805</v>
      </c>
      <c r="H209" s="28">
        <v>30.474443999999998</v>
      </c>
      <c r="I209" s="28">
        <v>-91.183055999999993</v>
      </c>
      <c r="J209" s="28" t="s">
        <v>514</v>
      </c>
      <c r="K209" s="61">
        <v>110003266849</v>
      </c>
      <c r="L209" s="61" t="str">
        <f>IFERROR(INDEX('Facility Summary'!$K:$K,MATCH(K209,'Facility Summary'!$J:$J,0)),INDEX('Raw Annual DMR Data'!$M:$M,MATCH(K209,'Raw Annual DMR Data'!$L:$L,0)))</f>
        <v>Processing into formulation, mixture, or reaction product</v>
      </c>
      <c r="M209" s="28">
        <v>325199</v>
      </c>
      <c r="N209" s="28" t="s">
        <v>28</v>
      </c>
      <c r="O209" s="28"/>
      <c r="P209" s="28" t="s">
        <v>2404</v>
      </c>
      <c r="Q209" s="28"/>
      <c r="R209" s="28">
        <v>14</v>
      </c>
      <c r="S209" s="28">
        <v>6.3502931800000004</v>
      </c>
    </row>
    <row r="210" spans="1:19" x14ac:dyDescent="0.25">
      <c r="A210" s="28">
        <v>2018</v>
      </c>
      <c r="B210" s="28"/>
      <c r="C210" s="28" t="s">
        <v>161</v>
      </c>
      <c r="D210" s="28" t="s">
        <v>519</v>
      </c>
      <c r="E210" s="28" t="s">
        <v>520</v>
      </c>
      <c r="F210" s="28" t="s">
        <v>362</v>
      </c>
      <c r="G210" s="28">
        <v>77012</v>
      </c>
      <c r="H210" s="28">
        <v>29.718139000000001</v>
      </c>
      <c r="I210" s="28">
        <v>-95.268749999999997</v>
      </c>
      <c r="J210" s="28" t="s">
        <v>521</v>
      </c>
      <c r="K210" s="61">
        <v>110000460901</v>
      </c>
      <c r="L210" s="61" t="str">
        <f>IFERROR(INDEX('Facility Summary'!$K:$K,MATCH(K210,'Facility Summary'!$J:$J,0)),INDEX('Raw Annual DMR Data'!$M:$M,MATCH(K210,'Raw Annual DMR Data'!$L:$L,0)))</f>
        <v>Processing into formulation, mixture, or reaction product</v>
      </c>
      <c r="M210" s="28"/>
      <c r="N210" s="28"/>
      <c r="O210" s="28"/>
      <c r="P210" s="28"/>
      <c r="Q210" s="28"/>
      <c r="R210" s="28"/>
      <c r="S210" s="28">
        <v>14.058956916099699</v>
      </c>
    </row>
    <row r="211" spans="1:19" x14ac:dyDescent="0.25">
      <c r="A211" s="28">
        <v>2020</v>
      </c>
      <c r="B211" s="28"/>
      <c r="C211" s="28" t="s">
        <v>161</v>
      </c>
      <c r="D211" s="28" t="s">
        <v>519</v>
      </c>
      <c r="E211" s="28" t="s">
        <v>520</v>
      </c>
      <c r="F211" s="28" t="s">
        <v>362</v>
      </c>
      <c r="G211" s="28">
        <v>77012</v>
      </c>
      <c r="H211" s="28">
        <v>29.718139000000001</v>
      </c>
      <c r="I211" s="28">
        <v>-95.268749999999997</v>
      </c>
      <c r="J211" s="28" t="s">
        <v>521</v>
      </c>
      <c r="K211" s="61">
        <v>110000460901</v>
      </c>
      <c r="L211" s="61" t="str">
        <f>IFERROR(INDEX('Facility Summary'!$K:$K,MATCH(K211,'Facility Summary'!$J:$J,0)),INDEX('Raw Annual DMR Data'!$M:$M,MATCH(K211,'Raw Annual DMR Data'!$L:$L,0)))</f>
        <v>Processing into formulation, mixture, or reaction product</v>
      </c>
      <c r="M211" s="28"/>
      <c r="N211" s="28"/>
      <c r="O211" s="28"/>
      <c r="P211" s="28"/>
      <c r="Q211" s="28"/>
      <c r="R211" s="28"/>
      <c r="S211" s="28">
        <v>9.9319727891156404</v>
      </c>
    </row>
    <row r="212" spans="1:19" x14ac:dyDescent="0.25">
      <c r="A212" s="28">
        <v>2019</v>
      </c>
      <c r="B212" s="28"/>
      <c r="C212" s="28" t="s">
        <v>161</v>
      </c>
      <c r="D212" s="28" t="s">
        <v>519</v>
      </c>
      <c r="E212" s="28" t="s">
        <v>520</v>
      </c>
      <c r="F212" s="28" t="s">
        <v>362</v>
      </c>
      <c r="G212" s="28">
        <v>77012</v>
      </c>
      <c r="H212" s="28">
        <v>29.718139000000001</v>
      </c>
      <c r="I212" s="28">
        <v>-95.268749999999997</v>
      </c>
      <c r="J212" s="28" t="s">
        <v>521</v>
      </c>
      <c r="K212" s="61">
        <v>110000460901</v>
      </c>
      <c r="L212" s="61" t="str">
        <f>IFERROR(INDEX('Facility Summary'!$K:$K,MATCH(K212,'Facility Summary'!$J:$J,0)),INDEX('Raw Annual DMR Data'!$M:$M,MATCH(K212,'Raw Annual DMR Data'!$L:$L,0)))</f>
        <v>Processing into formulation, mixture, or reaction product</v>
      </c>
      <c r="M212" s="28"/>
      <c r="N212" s="28"/>
      <c r="O212" s="28"/>
      <c r="P212" s="28"/>
      <c r="Q212" s="28"/>
      <c r="R212" s="28"/>
      <c r="S212" s="28">
        <v>9.8503401360544203</v>
      </c>
    </row>
    <row r="213" spans="1:19" x14ac:dyDescent="0.25">
      <c r="A213" s="28">
        <v>2016</v>
      </c>
      <c r="B213" s="28"/>
      <c r="C213" s="28" t="s">
        <v>161</v>
      </c>
      <c r="D213" s="28" t="s">
        <v>519</v>
      </c>
      <c r="E213" s="28" t="s">
        <v>520</v>
      </c>
      <c r="F213" s="28" t="s">
        <v>362</v>
      </c>
      <c r="G213" s="28">
        <v>77012</v>
      </c>
      <c r="H213" s="28">
        <v>29.718139000000001</v>
      </c>
      <c r="I213" s="28">
        <v>-95.268749999999997</v>
      </c>
      <c r="J213" s="28" t="s">
        <v>521</v>
      </c>
      <c r="K213" s="61">
        <v>110000460901</v>
      </c>
      <c r="L213" s="61" t="str">
        <f>IFERROR(INDEX('Facility Summary'!$K:$K,MATCH(K213,'Facility Summary'!$J:$J,0)),INDEX('Raw Annual DMR Data'!$M:$M,MATCH(K213,'Raw Annual DMR Data'!$L:$L,0)))</f>
        <v>Processing into formulation, mixture, or reaction product</v>
      </c>
      <c r="M213" s="28"/>
      <c r="N213" s="28"/>
      <c r="O213" s="28"/>
      <c r="P213" s="28"/>
      <c r="Q213" s="28"/>
      <c r="R213" s="28"/>
      <c r="S213" s="28">
        <v>8.2721088435374099</v>
      </c>
    </row>
    <row r="214" spans="1:19" x14ac:dyDescent="0.25">
      <c r="A214" s="28">
        <v>2017</v>
      </c>
      <c r="B214" s="28"/>
      <c r="C214" s="28" t="s">
        <v>161</v>
      </c>
      <c r="D214" s="28" t="s">
        <v>519</v>
      </c>
      <c r="E214" s="28" t="s">
        <v>520</v>
      </c>
      <c r="F214" s="28" t="s">
        <v>362</v>
      </c>
      <c r="G214" s="28">
        <v>77012</v>
      </c>
      <c r="H214" s="28">
        <v>29.718139000000001</v>
      </c>
      <c r="I214" s="28">
        <v>-95.268749999999997</v>
      </c>
      <c r="J214" s="28" t="s">
        <v>521</v>
      </c>
      <c r="K214" s="61">
        <v>110000460901</v>
      </c>
      <c r="L214" s="61" t="str">
        <f>IFERROR(INDEX('Facility Summary'!$K:$K,MATCH(K214,'Facility Summary'!$J:$J,0)),INDEX('Raw Annual DMR Data'!$M:$M,MATCH(K214,'Raw Annual DMR Data'!$L:$L,0)))</f>
        <v>Processing into formulation, mixture, or reaction product</v>
      </c>
      <c r="M214" s="28"/>
      <c r="N214" s="28"/>
      <c r="O214" s="28"/>
      <c r="P214" s="28"/>
      <c r="Q214" s="28"/>
      <c r="R214" s="28"/>
      <c r="S214" s="28">
        <v>8.2539682539682495</v>
      </c>
    </row>
    <row r="215" spans="1:19" x14ac:dyDescent="0.25">
      <c r="A215" s="28">
        <v>2015</v>
      </c>
      <c r="B215" s="28"/>
      <c r="C215" s="28" t="s">
        <v>161</v>
      </c>
      <c r="D215" s="28" t="s">
        <v>519</v>
      </c>
      <c r="E215" s="28" t="s">
        <v>520</v>
      </c>
      <c r="F215" s="28" t="s">
        <v>362</v>
      </c>
      <c r="G215" s="28">
        <v>77012</v>
      </c>
      <c r="H215" s="28">
        <v>29.718139000000001</v>
      </c>
      <c r="I215" s="28">
        <v>-95.268749999999997</v>
      </c>
      <c r="J215" s="28" t="s">
        <v>521</v>
      </c>
      <c r="K215" s="61">
        <v>110000460901</v>
      </c>
      <c r="L215" s="61" t="str">
        <f>IFERROR(INDEX('Facility Summary'!$K:$K,MATCH(K215,'Facility Summary'!$J:$J,0)),INDEX('Raw Annual DMR Data'!$M:$M,MATCH(K215,'Raw Annual DMR Data'!$L:$L,0)))</f>
        <v>Processing into formulation, mixture, or reaction product</v>
      </c>
      <c r="M215" s="28"/>
      <c r="N215" s="28"/>
      <c r="O215" s="28"/>
      <c r="P215" s="28"/>
      <c r="Q215" s="28"/>
      <c r="R215" s="28"/>
      <c r="S215" s="28">
        <v>4.9795918367346896</v>
      </c>
    </row>
    <row r="216" spans="1:19" x14ac:dyDescent="0.25">
      <c r="A216" s="28">
        <v>2015</v>
      </c>
      <c r="B216" s="28" t="s">
        <v>2405</v>
      </c>
      <c r="C216" s="28" t="s">
        <v>212</v>
      </c>
      <c r="D216" s="28" t="s">
        <v>523</v>
      </c>
      <c r="E216" s="28" t="s">
        <v>437</v>
      </c>
      <c r="F216" s="28" t="s">
        <v>362</v>
      </c>
      <c r="G216" s="28">
        <v>77541</v>
      </c>
      <c r="H216" s="28">
        <v>28.952500000000001</v>
      </c>
      <c r="I216" s="28">
        <v>-95.313000000000002</v>
      </c>
      <c r="J216" s="28" t="s">
        <v>524</v>
      </c>
      <c r="K216" s="61">
        <v>110012256076</v>
      </c>
      <c r="L216" s="61" t="str">
        <f>IFERROR(INDEX('Facility Summary'!$K:$K,MATCH(K216,'Facility Summary'!$J:$J,0)),INDEX('Raw Annual DMR Data'!$M:$M,MATCH(K216,'Raw Annual DMR Data'!$L:$L,0)))</f>
        <v>Processing as a Reactant</v>
      </c>
      <c r="M216" s="28">
        <v>325199</v>
      </c>
      <c r="N216" s="28" t="s">
        <v>28</v>
      </c>
      <c r="O216" s="28"/>
      <c r="P216" s="28" t="s">
        <v>2404</v>
      </c>
      <c r="Q216" s="28"/>
      <c r="R216" s="28">
        <v>5</v>
      </c>
      <c r="S216" s="28">
        <v>2.2679618500000003</v>
      </c>
    </row>
    <row r="217" spans="1:19" x14ac:dyDescent="0.25">
      <c r="A217" s="28">
        <v>2016</v>
      </c>
      <c r="B217" s="28" t="s">
        <v>2405</v>
      </c>
      <c r="C217" s="28" t="s">
        <v>212</v>
      </c>
      <c r="D217" s="28" t="s">
        <v>523</v>
      </c>
      <c r="E217" s="28" t="s">
        <v>437</v>
      </c>
      <c r="F217" s="28" t="s">
        <v>362</v>
      </c>
      <c r="G217" s="28">
        <v>77541</v>
      </c>
      <c r="H217" s="28">
        <v>28.952500000000001</v>
      </c>
      <c r="I217" s="28">
        <v>-95.313000000000002</v>
      </c>
      <c r="J217" s="28" t="s">
        <v>524</v>
      </c>
      <c r="K217" s="61">
        <v>110012256076</v>
      </c>
      <c r="L217" s="61" t="str">
        <f>IFERROR(INDEX('Facility Summary'!$K:$K,MATCH(K217,'Facility Summary'!$J:$J,0)),INDEX('Raw Annual DMR Data'!$M:$M,MATCH(K217,'Raw Annual DMR Data'!$L:$L,0)))</f>
        <v>Processing as a Reactant</v>
      </c>
      <c r="M217" s="28">
        <v>325199</v>
      </c>
      <c r="N217" s="28" t="s">
        <v>28</v>
      </c>
      <c r="O217" s="28"/>
      <c r="P217" s="28" t="s">
        <v>2404</v>
      </c>
      <c r="Q217" s="28"/>
      <c r="R217" s="28">
        <v>5</v>
      </c>
      <c r="S217" s="28">
        <v>2.2679618500000003</v>
      </c>
    </row>
    <row r="218" spans="1:19" x14ac:dyDescent="0.25">
      <c r="A218" s="28">
        <v>2017</v>
      </c>
      <c r="B218" s="28" t="s">
        <v>2405</v>
      </c>
      <c r="C218" s="28" t="s">
        <v>212</v>
      </c>
      <c r="D218" s="28" t="s">
        <v>523</v>
      </c>
      <c r="E218" s="28" t="s">
        <v>437</v>
      </c>
      <c r="F218" s="28" t="s">
        <v>362</v>
      </c>
      <c r="G218" s="28">
        <v>77541</v>
      </c>
      <c r="H218" s="28">
        <v>28.952500000000001</v>
      </c>
      <c r="I218" s="28">
        <v>-95.313000000000002</v>
      </c>
      <c r="J218" s="28" t="s">
        <v>524</v>
      </c>
      <c r="K218" s="61">
        <v>110012256076</v>
      </c>
      <c r="L218" s="61" t="str">
        <f>IFERROR(INDEX('Facility Summary'!$K:$K,MATCH(K218,'Facility Summary'!$J:$J,0)),INDEX('Raw Annual DMR Data'!$M:$M,MATCH(K218,'Raw Annual DMR Data'!$L:$L,0)))</f>
        <v>Processing as a Reactant</v>
      </c>
      <c r="M218" s="28">
        <v>325199</v>
      </c>
      <c r="N218" s="28" t="s">
        <v>28</v>
      </c>
      <c r="O218" s="28"/>
      <c r="P218" s="28" t="s">
        <v>2404</v>
      </c>
      <c r="Q218" s="28"/>
      <c r="R218" s="28">
        <v>5</v>
      </c>
      <c r="S218" s="28">
        <v>2.2679618500000003</v>
      </c>
    </row>
    <row r="219" spans="1:19" x14ac:dyDescent="0.25">
      <c r="A219" s="28">
        <v>2018</v>
      </c>
      <c r="B219" s="28" t="s">
        <v>2405</v>
      </c>
      <c r="C219" s="28" t="s">
        <v>212</v>
      </c>
      <c r="D219" s="28" t="s">
        <v>523</v>
      </c>
      <c r="E219" s="28" t="s">
        <v>437</v>
      </c>
      <c r="F219" s="28" t="s">
        <v>362</v>
      </c>
      <c r="G219" s="28">
        <v>77541</v>
      </c>
      <c r="H219" s="28">
        <v>28.952500000000001</v>
      </c>
      <c r="I219" s="28">
        <v>-95.313000000000002</v>
      </c>
      <c r="J219" s="28" t="s">
        <v>524</v>
      </c>
      <c r="K219" s="61">
        <v>110012256076</v>
      </c>
      <c r="L219" s="61" t="str">
        <f>IFERROR(INDEX('Facility Summary'!$K:$K,MATCH(K219,'Facility Summary'!$J:$J,0)),INDEX('Raw Annual DMR Data'!$M:$M,MATCH(K219,'Raw Annual DMR Data'!$L:$L,0)))</f>
        <v>Processing as a Reactant</v>
      </c>
      <c r="M219" s="28">
        <v>325199</v>
      </c>
      <c r="N219" s="28" t="s">
        <v>28</v>
      </c>
      <c r="O219" s="28"/>
      <c r="P219" s="28" t="s">
        <v>2404</v>
      </c>
      <c r="Q219" s="28"/>
      <c r="R219" s="28">
        <v>5</v>
      </c>
      <c r="S219" s="28">
        <v>2.2679618500000003</v>
      </c>
    </row>
    <row r="220" spans="1:19" x14ac:dyDescent="0.25">
      <c r="A220" s="28">
        <v>2019</v>
      </c>
      <c r="B220" s="28" t="s">
        <v>2405</v>
      </c>
      <c r="C220" s="28" t="s">
        <v>212</v>
      </c>
      <c r="D220" s="28" t="s">
        <v>523</v>
      </c>
      <c r="E220" s="28" t="s">
        <v>437</v>
      </c>
      <c r="F220" s="28" t="s">
        <v>362</v>
      </c>
      <c r="G220" s="28">
        <v>77541</v>
      </c>
      <c r="H220" s="28">
        <v>28.952500000000001</v>
      </c>
      <c r="I220" s="28">
        <v>-95.313000000000002</v>
      </c>
      <c r="J220" s="28" t="s">
        <v>524</v>
      </c>
      <c r="K220" s="61">
        <v>110012256076</v>
      </c>
      <c r="L220" s="61" t="str">
        <f>IFERROR(INDEX('Facility Summary'!$K:$K,MATCH(K220,'Facility Summary'!$J:$J,0)),INDEX('Raw Annual DMR Data'!$M:$M,MATCH(K220,'Raw Annual DMR Data'!$L:$L,0)))</f>
        <v>Processing as a Reactant</v>
      </c>
      <c r="M220" s="28">
        <v>325199</v>
      </c>
      <c r="N220" s="28" t="s">
        <v>28</v>
      </c>
      <c r="O220" s="28"/>
      <c r="P220" s="28" t="s">
        <v>2404</v>
      </c>
      <c r="Q220" s="28"/>
      <c r="R220" s="28">
        <v>0.17</v>
      </c>
      <c r="S220" s="28">
        <v>7.7110702900000008E-2</v>
      </c>
    </row>
    <row r="221" spans="1:19" x14ac:dyDescent="0.25">
      <c r="A221" s="28">
        <v>2022</v>
      </c>
      <c r="B221" s="28" t="s">
        <v>2405</v>
      </c>
      <c r="C221" s="28" t="s">
        <v>2422</v>
      </c>
      <c r="D221" s="28" t="s">
        <v>2423</v>
      </c>
      <c r="E221" s="28" t="s">
        <v>516</v>
      </c>
      <c r="F221" s="28" t="s">
        <v>303</v>
      </c>
      <c r="G221" s="28">
        <v>70734</v>
      </c>
      <c r="H221" s="28">
        <v>30.181861999999999</v>
      </c>
      <c r="I221" s="28">
        <v>-90.986958999999999</v>
      </c>
      <c r="J221" s="28" t="s">
        <v>585</v>
      </c>
      <c r="K221" s="61">
        <v>110000449774</v>
      </c>
      <c r="L221" s="61" t="str">
        <f>IFERROR(INDEX('Facility Summary'!$K:$K,MATCH(K221,'Facility Summary'!$J:$J,0)),INDEX('Raw Annual DMR Data'!$M:$M,MATCH(K221,'Raw Annual DMR Data'!$L:$L,0)))</f>
        <v>Manufacturing</v>
      </c>
      <c r="M221" s="28">
        <v>325199</v>
      </c>
      <c r="N221" s="28" t="str">
        <f>VLOOKUP(M221,'SIC &amp; NAICS Codes'!$D:$E,2,FALSE)</f>
        <v>All Other Basic Organic Chemical Manufacturing</v>
      </c>
      <c r="O221" s="28"/>
      <c r="P221" s="28"/>
      <c r="Q221" s="28"/>
      <c r="R221" s="28">
        <v>39</v>
      </c>
      <c r="S221" s="28">
        <f>CONVERT(R221,"lbm","g")/1000</f>
        <v>17.69010243</v>
      </c>
    </row>
    <row r="222" spans="1:19" x14ac:dyDescent="0.25">
      <c r="A222" s="28">
        <v>2022</v>
      </c>
      <c r="B222" s="28" t="s">
        <v>2405</v>
      </c>
      <c r="C222" s="28" t="s">
        <v>216</v>
      </c>
      <c r="D222" s="28" t="s">
        <v>586</v>
      </c>
      <c r="E222" s="28" t="s">
        <v>587</v>
      </c>
      <c r="F222" s="28" t="s">
        <v>303</v>
      </c>
      <c r="G222" s="28">
        <v>70723</v>
      </c>
      <c r="H222" s="28">
        <v>30.05509</v>
      </c>
      <c r="I222" s="28">
        <v>-90.830839999999995</v>
      </c>
      <c r="J222" s="28" t="s">
        <v>588</v>
      </c>
      <c r="K222" s="61">
        <v>110000597328</v>
      </c>
      <c r="L222" s="61" t="str">
        <f>IFERROR(INDEX('Facility Summary'!$K:$K,MATCH(K222,'Facility Summary'!$J:$J,0)),INDEX('Raw Annual DMR Data'!$M:$M,MATCH(K222,'Raw Annual DMR Data'!$L:$L,0)))</f>
        <v>Manufacturing</v>
      </c>
      <c r="M222" s="28">
        <v>325180</v>
      </c>
      <c r="N222" s="28" t="str">
        <f>VLOOKUP(M222,'SIC &amp; NAICS Codes'!$D:$E,2,FALSE)</f>
        <v>Other Basic Inorganic Chemical Manufacturing</v>
      </c>
      <c r="O222" s="28"/>
      <c r="P222" s="28"/>
      <c r="Q222" s="28"/>
      <c r="R222" s="28">
        <v>1</v>
      </c>
      <c r="S222" s="28">
        <f>CONVERT(R222,"lbm","g")/1000</f>
        <v>0.45359237000000002</v>
      </c>
    </row>
    <row r="223" spans="1:19" x14ac:dyDescent="0.25">
      <c r="A223" s="28">
        <v>2019</v>
      </c>
      <c r="B223" s="28"/>
      <c r="C223" s="28" t="s">
        <v>163</v>
      </c>
      <c r="D223" s="28" t="s">
        <v>528</v>
      </c>
      <c r="E223" s="28" t="s">
        <v>529</v>
      </c>
      <c r="F223" s="28" t="s">
        <v>311</v>
      </c>
      <c r="G223" s="28" t="s">
        <v>530</v>
      </c>
      <c r="H223" s="28">
        <v>38.772219999999997</v>
      </c>
      <c r="I223" s="28">
        <v>-82.205560000000006</v>
      </c>
      <c r="J223" s="28" t="s">
        <v>531</v>
      </c>
      <c r="K223" s="61">
        <v>110000607772</v>
      </c>
      <c r="L223" s="61" t="str">
        <f>IFERROR(INDEX('Facility Summary'!$K:$K,MATCH(K223,'Facility Summary'!$J:$J,0)),INDEX('Raw Annual DMR Data'!$M:$M,MATCH(K223,'Raw Annual DMR Data'!$L:$L,0)))</f>
        <v>Processing as a Reactant</v>
      </c>
      <c r="M223" s="28"/>
      <c r="N223" s="28"/>
      <c r="O223" s="28"/>
      <c r="P223" s="28"/>
      <c r="Q223" s="28"/>
      <c r="R223" s="28"/>
      <c r="S223" s="28">
        <v>0.82587301587301498</v>
      </c>
    </row>
    <row r="224" spans="1:19" x14ac:dyDescent="0.25">
      <c r="A224" s="28">
        <v>2015</v>
      </c>
      <c r="B224" s="28"/>
      <c r="C224" s="28" t="s">
        <v>163</v>
      </c>
      <c r="D224" s="28" t="s">
        <v>528</v>
      </c>
      <c r="E224" s="28" t="s">
        <v>529</v>
      </c>
      <c r="F224" s="28" t="s">
        <v>311</v>
      </c>
      <c r="G224" s="28" t="s">
        <v>530</v>
      </c>
      <c r="H224" s="28">
        <v>38.772219999999997</v>
      </c>
      <c r="I224" s="28">
        <v>-82.205560000000006</v>
      </c>
      <c r="J224" s="28" t="s">
        <v>531</v>
      </c>
      <c r="K224" s="61">
        <v>110000607772</v>
      </c>
      <c r="L224" s="61" t="str">
        <f>IFERROR(INDEX('Facility Summary'!$K:$K,MATCH(K224,'Facility Summary'!$J:$J,0)),INDEX('Raw Annual DMR Data'!$M:$M,MATCH(K224,'Raw Annual DMR Data'!$L:$L,0)))</f>
        <v>Processing as a Reactant</v>
      </c>
      <c r="M224" s="28"/>
      <c r="N224" s="28"/>
      <c r="O224" s="28"/>
      <c r="P224" s="28"/>
      <c r="Q224" s="28"/>
      <c r="R224" s="28"/>
      <c r="S224" s="28">
        <v>6.6385487528344597E-2</v>
      </c>
    </row>
    <row r="225" spans="1:19" x14ac:dyDescent="0.25">
      <c r="A225" s="28">
        <v>2020</v>
      </c>
      <c r="B225" s="28"/>
      <c r="C225" s="28" t="s">
        <v>163</v>
      </c>
      <c r="D225" s="28" t="s">
        <v>528</v>
      </c>
      <c r="E225" s="28" t="s">
        <v>529</v>
      </c>
      <c r="F225" s="28" t="s">
        <v>311</v>
      </c>
      <c r="G225" s="28" t="s">
        <v>530</v>
      </c>
      <c r="H225" s="28">
        <v>38.772219999999997</v>
      </c>
      <c r="I225" s="28">
        <v>-82.205560000000006</v>
      </c>
      <c r="J225" s="28" t="s">
        <v>531</v>
      </c>
      <c r="K225" s="61">
        <v>110000607772</v>
      </c>
      <c r="L225" s="61" t="str">
        <f>IFERROR(INDEX('Facility Summary'!$K:$K,MATCH(K225,'Facility Summary'!$J:$J,0)),INDEX('Raw Annual DMR Data'!$M:$M,MATCH(K225,'Raw Annual DMR Data'!$L:$L,0)))</f>
        <v>Processing as a Reactant</v>
      </c>
      <c r="M225" s="28"/>
      <c r="N225" s="28"/>
      <c r="O225" s="28"/>
      <c r="P225" s="28"/>
      <c r="Q225" s="28"/>
      <c r="R225" s="28"/>
      <c r="S225" s="28">
        <v>0.14979591836734599</v>
      </c>
    </row>
    <row r="226" spans="1:19" x14ac:dyDescent="0.25">
      <c r="A226" s="28">
        <v>2016</v>
      </c>
      <c r="B226" s="28"/>
      <c r="C226" s="28" t="s">
        <v>163</v>
      </c>
      <c r="D226" s="28" t="s">
        <v>528</v>
      </c>
      <c r="E226" s="28" t="s">
        <v>529</v>
      </c>
      <c r="F226" s="28" t="s">
        <v>311</v>
      </c>
      <c r="G226" s="28" t="s">
        <v>530</v>
      </c>
      <c r="H226" s="28">
        <v>38.772219999999997</v>
      </c>
      <c r="I226" s="28">
        <v>-82.205560000000006</v>
      </c>
      <c r="J226" s="28" t="s">
        <v>531</v>
      </c>
      <c r="K226" s="61">
        <v>110000607772</v>
      </c>
      <c r="L226" s="61" t="str">
        <f>IFERROR(INDEX('Facility Summary'!$K:$K,MATCH(K226,'Facility Summary'!$J:$J,0)),INDEX('Raw Annual DMR Data'!$M:$M,MATCH(K226,'Raw Annual DMR Data'!$L:$L,0)))</f>
        <v>Processing as a Reactant</v>
      </c>
      <c r="M226" s="28"/>
      <c r="N226" s="28"/>
      <c r="O226" s="28"/>
      <c r="P226" s="28"/>
      <c r="Q226" s="28"/>
      <c r="R226" s="28"/>
      <c r="S226" s="28">
        <v>7.0469387755102003E-2</v>
      </c>
    </row>
    <row r="227" spans="1:19" x14ac:dyDescent="0.25">
      <c r="A227" s="28">
        <v>2017</v>
      </c>
      <c r="B227" s="28"/>
      <c r="C227" s="28" t="s">
        <v>163</v>
      </c>
      <c r="D227" s="28" t="s">
        <v>528</v>
      </c>
      <c r="E227" s="28" t="s">
        <v>529</v>
      </c>
      <c r="F227" s="28" t="s">
        <v>311</v>
      </c>
      <c r="G227" s="28" t="s">
        <v>530</v>
      </c>
      <c r="H227" s="28">
        <v>38.772219999999997</v>
      </c>
      <c r="I227" s="28">
        <v>-82.205560000000006</v>
      </c>
      <c r="J227" s="28" t="s">
        <v>531</v>
      </c>
      <c r="K227" s="61">
        <v>110000607772</v>
      </c>
      <c r="L227" s="61" t="str">
        <f>IFERROR(INDEX('Facility Summary'!$K:$K,MATCH(K227,'Facility Summary'!$J:$J,0)),INDEX('Raw Annual DMR Data'!$M:$M,MATCH(K227,'Raw Annual DMR Data'!$L:$L,0)))</f>
        <v>Processing as a Reactant</v>
      </c>
      <c r="M227" s="28"/>
      <c r="N227" s="28"/>
      <c r="O227" s="28"/>
      <c r="P227" s="28"/>
      <c r="Q227" s="28"/>
      <c r="R227" s="28"/>
      <c r="S227" s="28">
        <v>3.8231292517006701E-2</v>
      </c>
    </row>
    <row r="228" spans="1:19" x14ac:dyDescent="0.25">
      <c r="A228" s="28">
        <v>2018</v>
      </c>
      <c r="B228" s="28"/>
      <c r="C228" s="28" t="s">
        <v>163</v>
      </c>
      <c r="D228" s="28" t="s">
        <v>528</v>
      </c>
      <c r="E228" s="28" t="s">
        <v>529</v>
      </c>
      <c r="F228" s="28" t="s">
        <v>311</v>
      </c>
      <c r="G228" s="28" t="s">
        <v>530</v>
      </c>
      <c r="H228" s="28">
        <v>38.772219999999997</v>
      </c>
      <c r="I228" s="28">
        <v>-82.205560000000006</v>
      </c>
      <c r="J228" s="28" t="s">
        <v>531</v>
      </c>
      <c r="K228" s="61">
        <v>110000607772</v>
      </c>
      <c r="L228" s="61" t="str">
        <f>IFERROR(INDEX('Facility Summary'!$K:$K,MATCH(K228,'Facility Summary'!$J:$J,0)),INDEX('Raw Annual DMR Data'!$M:$M,MATCH(K228,'Raw Annual DMR Data'!$L:$L,0)))</f>
        <v>Processing as a Reactant</v>
      </c>
      <c r="M228" s="28"/>
      <c r="N228" s="28"/>
      <c r="O228" s="28"/>
      <c r="P228" s="28"/>
      <c r="Q228" s="28"/>
      <c r="R228" s="28"/>
      <c r="S228" s="28">
        <v>3.0263038548752799E-2</v>
      </c>
    </row>
    <row r="229" spans="1:19" x14ac:dyDescent="0.25">
      <c r="A229" s="28">
        <v>2019</v>
      </c>
      <c r="B229" s="28"/>
      <c r="C229" s="28" t="s">
        <v>164</v>
      </c>
      <c r="D229" s="28" t="s">
        <v>532</v>
      </c>
      <c r="E229" s="28" t="s">
        <v>533</v>
      </c>
      <c r="F229" s="28" t="s">
        <v>338</v>
      </c>
      <c r="G229" s="28">
        <v>7002</v>
      </c>
      <c r="H229" s="28">
        <v>40.650120999999999</v>
      </c>
      <c r="I229" s="28">
        <v>-74.095578000000003</v>
      </c>
      <c r="J229" s="28"/>
      <c r="K229" s="61">
        <v>110070220480</v>
      </c>
      <c r="L229" s="61" t="str">
        <f>IFERROR(INDEX('Facility Summary'!$K:$K,MATCH(K229,'Facility Summary'!$J:$J,0)),INDEX('Raw Annual DMR Data'!$M:$M,MATCH(K229,'Raw Annual DMR Data'!$L:$L,0)))</f>
        <v>Repackaging</v>
      </c>
      <c r="M229" s="28"/>
      <c r="N229" s="28"/>
      <c r="O229" s="28"/>
      <c r="P229" s="28"/>
      <c r="Q229" s="28"/>
      <c r="R229" s="28"/>
      <c r="S229" s="28">
        <v>0.82587301587301498</v>
      </c>
    </row>
    <row r="230" spans="1:19" x14ac:dyDescent="0.25">
      <c r="A230" s="28">
        <v>2015</v>
      </c>
      <c r="B230" s="28"/>
      <c r="C230" s="28" t="s">
        <v>164</v>
      </c>
      <c r="D230" s="28" t="s">
        <v>532</v>
      </c>
      <c r="E230" s="28" t="s">
        <v>533</v>
      </c>
      <c r="F230" s="28" t="s">
        <v>338</v>
      </c>
      <c r="G230" s="28">
        <v>7002</v>
      </c>
      <c r="H230" s="28">
        <v>40.650120999999999</v>
      </c>
      <c r="I230" s="28">
        <v>-74.095578000000003</v>
      </c>
      <c r="J230" s="28"/>
      <c r="K230" s="61">
        <v>110070220480</v>
      </c>
      <c r="L230" s="61" t="str">
        <f>IFERROR(INDEX('Facility Summary'!$K:$K,MATCH(K230,'Facility Summary'!$J:$J,0)),INDEX('Raw Annual DMR Data'!$M:$M,MATCH(K230,'Raw Annual DMR Data'!$L:$L,0)))</f>
        <v>Repackaging</v>
      </c>
      <c r="M230" s="28"/>
      <c r="N230" s="28"/>
      <c r="O230" s="28"/>
      <c r="P230" s="28"/>
      <c r="Q230" s="28"/>
      <c r="R230" s="28"/>
      <c r="S230" s="28">
        <v>6.6385487528344597E-2</v>
      </c>
    </row>
    <row r="231" spans="1:19" x14ac:dyDescent="0.25">
      <c r="A231" s="28">
        <v>2020</v>
      </c>
      <c r="B231" s="28"/>
      <c r="C231" s="28" t="s">
        <v>164</v>
      </c>
      <c r="D231" s="28" t="s">
        <v>532</v>
      </c>
      <c r="E231" s="28" t="s">
        <v>533</v>
      </c>
      <c r="F231" s="28" t="s">
        <v>338</v>
      </c>
      <c r="G231" s="28">
        <v>7002</v>
      </c>
      <c r="H231" s="28">
        <v>40.650120999999999</v>
      </c>
      <c r="I231" s="28">
        <v>-74.095578000000003</v>
      </c>
      <c r="J231" s="28"/>
      <c r="K231" s="61">
        <v>110070220480</v>
      </c>
      <c r="L231" s="61" t="str">
        <f>IFERROR(INDEX('Facility Summary'!$K:$K,MATCH(K231,'Facility Summary'!$J:$J,0)),INDEX('Raw Annual DMR Data'!$M:$M,MATCH(K231,'Raw Annual DMR Data'!$L:$L,0)))</f>
        <v>Repackaging</v>
      </c>
      <c r="M231" s="28"/>
      <c r="N231" s="28"/>
      <c r="O231" s="28"/>
      <c r="P231" s="28"/>
      <c r="Q231" s="28"/>
      <c r="R231" s="28"/>
      <c r="S231" s="28">
        <v>0.14979591836734599</v>
      </c>
    </row>
    <row r="232" spans="1:19" x14ac:dyDescent="0.25">
      <c r="A232" s="28">
        <v>2016</v>
      </c>
      <c r="B232" s="28"/>
      <c r="C232" s="28" t="s">
        <v>164</v>
      </c>
      <c r="D232" s="28" t="s">
        <v>532</v>
      </c>
      <c r="E232" s="28" t="s">
        <v>533</v>
      </c>
      <c r="F232" s="28" t="s">
        <v>338</v>
      </c>
      <c r="G232" s="28">
        <v>7002</v>
      </c>
      <c r="H232" s="28">
        <v>40.650120999999999</v>
      </c>
      <c r="I232" s="28">
        <v>-74.095578000000003</v>
      </c>
      <c r="J232" s="28"/>
      <c r="K232" s="61">
        <v>110070220480</v>
      </c>
      <c r="L232" s="61" t="str">
        <f>IFERROR(INDEX('Facility Summary'!$K:$K,MATCH(K232,'Facility Summary'!$J:$J,0)),INDEX('Raw Annual DMR Data'!$M:$M,MATCH(K232,'Raw Annual DMR Data'!$L:$L,0)))</f>
        <v>Repackaging</v>
      </c>
      <c r="M232" s="28"/>
      <c r="N232" s="28"/>
      <c r="O232" s="28"/>
      <c r="P232" s="28"/>
      <c r="Q232" s="28"/>
      <c r="R232" s="28"/>
      <c r="S232" s="28">
        <v>7.0469387755102003E-2</v>
      </c>
    </row>
    <row r="233" spans="1:19" x14ac:dyDescent="0.25">
      <c r="A233" s="28">
        <v>2017</v>
      </c>
      <c r="B233" s="28"/>
      <c r="C233" s="28" t="s">
        <v>164</v>
      </c>
      <c r="D233" s="28" t="s">
        <v>532</v>
      </c>
      <c r="E233" s="28" t="s">
        <v>533</v>
      </c>
      <c r="F233" s="28" t="s">
        <v>338</v>
      </c>
      <c r="G233" s="28">
        <v>7002</v>
      </c>
      <c r="H233" s="28">
        <v>40.650120999999999</v>
      </c>
      <c r="I233" s="28">
        <v>-74.095578000000003</v>
      </c>
      <c r="J233" s="28"/>
      <c r="K233" s="61">
        <v>110070220480</v>
      </c>
      <c r="L233" s="61" t="str">
        <f>IFERROR(INDEX('Facility Summary'!$K:$K,MATCH(K233,'Facility Summary'!$J:$J,0)),INDEX('Raw Annual DMR Data'!$M:$M,MATCH(K233,'Raw Annual DMR Data'!$L:$L,0)))</f>
        <v>Repackaging</v>
      </c>
      <c r="M233" s="28"/>
      <c r="N233" s="28"/>
      <c r="O233" s="28"/>
      <c r="P233" s="28"/>
      <c r="Q233" s="28"/>
      <c r="R233" s="28"/>
      <c r="S233" s="28">
        <v>3.8231292517006701E-2</v>
      </c>
    </row>
    <row r="234" spans="1:19" x14ac:dyDescent="0.25">
      <c r="A234" s="28">
        <v>2018</v>
      </c>
      <c r="B234" s="28"/>
      <c r="C234" s="28" t="s">
        <v>164</v>
      </c>
      <c r="D234" s="28" t="s">
        <v>532</v>
      </c>
      <c r="E234" s="28" t="s">
        <v>533</v>
      </c>
      <c r="F234" s="28" t="s">
        <v>338</v>
      </c>
      <c r="G234" s="28">
        <v>7002</v>
      </c>
      <c r="H234" s="28">
        <v>40.650120999999999</v>
      </c>
      <c r="I234" s="28">
        <v>-74.095578000000003</v>
      </c>
      <c r="J234" s="28"/>
      <c r="K234" s="61">
        <v>110070220480</v>
      </c>
      <c r="L234" s="61" t="str">
        <f>IFERROR(INDEX('Facility Summary'!$K:$K,MATCH(K234,'Facility Summary'!$J:$J,0)),INDEX('Raw Annual DMR Data'!$M:$M,MATCH(K234,'Raw Annual DMR Data'!$L:$L,0)))</f>
        <v>Repackaging</v>
      </c>
      <c r="M234" s="28"/>
      <c r="N234" s="28"/>
      <c r="O234" s="28"/>
      <c r="P234" s="28"/>
      <c r="Q234" s="28"/>
      <c r="R234" s="28"/>
      <c r="S234" s="28">
        <v>3.0263038548752799E-2</v>
      </c>
    </row>
    <row r="235" spans="1:19" x14ac:dyDescent="0.25">
      <c r="A235" s="28">
        <v>2022</v>
      </c>
      <c r="B235" s="28" t="s">
        <v>2405</v>
      </c>
      <c r="C235" s="28" t="s">
        <v>2419</v>
      </c>
      <c r="D235" s="28" t="s">
        <v>2420</v>
      </c>
      <c r="E235" s="28" t="s">
        <v>2421</v>
      </c>
      <c r="F235" s="28" t="s">
        <v>362</v>
      </c>
      <c r="G235" s="28">
        <v>78359</v>
      </c>
      <c r="H235" s="28">
        <v>27.883610999999998</v>
      </c>
      <c r="I235" s="28">
        <v>-97.241382999999999</v>
      </c>
      <c r="J235" s="28" t="s">
        <v>583</v>
      </c>
      <c r="K235" s="61">
        <v>110000599807</v>
      </c>
      <c r="L235" s="61" t="str">
        <f>IFERROR(INDEX('Facility Summary'!$K:$K,MATCH(K235,'Facility Summary'!$J:$J,0)),INDEX('Raw Annual DMR Data'!$M:$M,MATCH(K235,'Raw Annual DMR Data'!$L:$L,0)))</f>
        <v>Manufacturing</v>
      </c>
      <c r="M235" s="28">
        <v>325199</v>
      </c>
      <c r="N235" s="28" t="str">
        <f>VLOOKUP(M235,'SIC &amp; NAICS Codes'!$D:$E,2,FALSE)</f>
        <v>All Other Basic Organic Chemical Manufacturing</v>
      </c>
      <c r="O235" s="28"/>
      <c r="P235" s="28"/>
      <c r="Q235" s="28"/>
      <c r="R235" s="28">
        <v>237</v>
      </c>
      <c r="S235" s="28">
        <f t="shared" ref="S235:S246" si="3">CONVERT(R235,"lbm","g")/1000</f>
        <v>107.50139169000001</v>
      </c>
    </row>
    <row r="236" spans="1:19" x14ac:dyDescent="0.25">
      <c r="A236" s="28">
        <v>2022</v>
      </c>
      <c r="B236" s="28" t="s">
        <v>2405</v>
      </c>
      <c r="C236" s="28" t="s">
        <v>7359</v>
      </c>
      <c r="D236" s="28" t="s">
        <v>2470</v>
      </c>
      <c r="E236" s="28" t="s">
        <v>368</v>
      </c>
      <c r="F236" s="28" t="s">
        <v>349</v>
      </c>
      <c r="G236" s="28">
        <v>63630</v>
      </c>
      <c r="H236" s="28">
        <v>37.983333000000002</v>
      </c>
      <c r="I236" s="28">
        <v>-90.690832999999998</v>
      </c>
      <c r="J236" s="28" t="s">
        <v>369</v>
      </c>
      <c r="K236" s="61">
        <v>110017980443</v>
      </c>
      <c r="L236" s="61" t="str">
        <f>IFERROR(INDEX('Facility Summary'!$K:$K,MATCH(K236,'Facility Summary'!$J:$J,0)),INDEX('Raw Annual DMR Data'!$M:$M,MATCH(K236,'Raw Annual DMR Data'!$L:$L,0)))</f>
        <v>Manufacturing</v>
      </c>
      <c r="M236" s="28">
        <v>325998</v>
      </c>
      <c r="N236" s="28" t="str">
        <f>VLOOKUP(M236,'SIC &amp; NAICS Codes'!$D:$E,2,FALSE)</f>
        <v>All Other Miscellaneous Chemical Product and Preparation Manufacturing</v>
      </c>
      <c r="O236" s="28"/>
      <c r="P236" s="28"/>
      <c r="Q236" s="28"/>
      <c r="R236" s="28">
        <v>0</v>
      </c>
      <c r="S236" s="28">
        <f t="shared" si="3"/>
        <v>0</v>
      </c>
    </row>
    <row r="237" spans="1:19" x14ac:dyDescent="0.25">
      <c r="A237" s="28">
        <v>2022</v>
      </c>
      <c r="B237" s="28" t="s">
        <v>2405</v>
      </c>
      <c r="C237" s="28" t="s">
        <v>202</v>
      </c>
      <c r="D237" s="28" t="s">
        <v>2426</v>
      </c>
      <c r="E237" s="28" t="s">
        <v>323</v>
      </c>
      <c r="F237" s="28" t="s">
        <v>324</v>
      </c>
      <c r="G237" s="28">
        <v>42029</v>
      </c>
      <c r="H237" s="28">
        <v>37.051110999999999</v>
      </c>
      <c r="I237" s="28">
        <v>-88.334166999999994</v>
      </c>
      <c r="J237" s="28" t="s">
        <v>668</v>
      </c>
      <c r="K237" s="61">
        <v>110027373072</v>
      </c>
      <c r="L237" s="61" t="str">
        <f>IFERROR(INDEX('Facility Summary'!$K:$K,MATCH(K237,'Facility Summary'!$J:$J,0)),INDEX('Raw Annual DMR Data'!$M:$M,MATCH(K237,'Raw Annual DMR Data'!$L:$L,0)))</f>
        <v>Manufacturing</v>
      </c>
      <c r="M237" s="28">
        <v>325199</v>
      </c>
      <c r="N237" s="28" t="str">
        <f>VLOOKUP(M237,'SIC &amp; NAICS Codes'!$D:$E,2,FALSE)</f>
        <v>All Other Basic Organic Chemical Manufacturing</v>
      </c>
      <c r="O237" s="28"/>
      <c r="P237" s="28"/>
      <c r="Q237" s="28"/>
      <c r="R237" s="28">
        <v>442.56299999999999</v>
      </c>
      <c r="S237" s="28">
        <f t="shared" si="3"/>
        <v>200.74320004431002</v>
      </c>
    </row>
    <row r="238" spans="1:19" x14ac:dyDescent="0.25">
      <c r="A238" s="28">
        <v>2023</v>
      </c>
      <c r="B238" s="28" t="s">
        <v>2405</v>
      </c>
      <c r="C238" s="28" t="s">
        <v>7359</v>
      </c>
      <c r="D238" s="28" t="s">
        <v>2470</v>
      </c>
      <c r="E238" s="28" t="s">
        <v>368</v>
      </c>
      <c r="F238" s="28" t="s">
        <v>349</v>
      </c>
      <c r="G238" s="28">
        <v>63630</v>
      </c>
      <c r="H238" s="28">
        <v>37.983333000000002</v>
      </c>
      <c r="I238" s="28">
        <v>-90.690832999999998</v>
      </c>
      <c r="J238" s="28" t="s">
        <v>369</v>
      </c>
      <c r="K238" s="61">
        <v>110017980443</v>
      </c>
      <c r="L238" s="61" t="str">
        <f>IFERROR(INDEX('Facility Summary'!$K:$K,MATCH(K238,'Facility Summary'!$J:$J,0)),INDEX('Raw Annual DMR Data'!$M:$M,MATCH(K238,'Raw Annual DMR Data'!$L:$L,0)))</f>
        <v>Manufacturing</v>
      </c>
      <c r="M238" s="28">
        <v>325998</v>
      </c>
      <c r="N238" s="28" t="str">
        <f>VLOOKUP(M238,'SIC &amp; NAICS Codes'!$D:$E,2,FALSE)</f>
        <v>All Other Miscellaneous Chemical Product and Preparation Manufacturing</v>
      </c>
      <c r="O238" s="28"/>
      <c r="P238" s="28"/>
      <c r="Q238" s="28"/>
      <c r="R238" s="28">
        <v>0</v>
      </c>
      <c r="S238" s="28">
        <f t="shared" si="3"/>
        <v>0</v>
      </c>
    </row>
    <row r="239" spans="1:19" x14ac:dyDescent="0.25">
      <c r="A239" s="28">
        <v>2023</v>
      </c>
      <c r="B239" s="28" t="s">
        <v>2405</v>
      </c>
      <c r="C239" s="28" t="s">
        <v>213</v>
      </c>
      <c r="D239" s="28" t="s">
        <v>540</v>
      </c>
      <c r="E239" s="28" t="s">
        <v>460</v>
      </c>
      <c r="F239" s="28" t="s">
        <v>541</v>
      </c>
      <c r="G239" s="28">
        <v>29405</v>
      </c>
      <c r="H239" s="28">
        <v>32.833576999999998</v>
      </c>
      <c r="I239" s="28">
        <v>-79.964774000000006</v>
      </c>
      <c r="J239" s="28" t="s">
        <v>542</v>
      </c>
      <c r="K239" s="61">
        <v>110017326963</v>
      </c>
      <c r="L239" s="61" t="str">
        <f>IFERROR(INDEX('Facility Summary'!$K:$K,MATCH(K239,'Facility Summary'!$J:$J,0)),INDEX('Raw Annual DMR Data'!$M:$M,MATCH(K239,'Raw Annual DMR Data'!$L:$L,0)))</f>
        <v>Manufacturing</v>
      </c>
      <c r="M239" s="28">
        <v>325199</v>
      </c>
      <c r="N239" s="28" t="str">
        <f>VLOOKUP(M239,'SIC &amp; NAICS Codes'!$D:$E,2,FALSE)</f>
        <v>All Other Basic Organic Chemical Manufacturing</v>
      </c>
      <c r="O239" s="28"/>
      <c r="P239" s="28"/>
      <c r="Q239" s="28"/>
      <c r="R239" s="28">
        <v>0</v>
      </c>
      <c r="S239" s="28">
        <f t="shared" si="3"/>
        <v>0</v>
      </c>
    </row>
    <row r="240" spans="1:19" x14ac:dyDescent="0.25">
      <c r="A240" s="28">
        <v>2023</v>
      </c>
      <c r="B240" s="28" t="s">
        <v>2405</v>
      </c>
      <c r="C240" s="28" t="s">
        <v>105</v>
      </c>
      <c r="D240" s="28" t="s">
        <v>322</v>
      </c>
      <c r="E240" s="28" t="s">
        <v>323</v>
      </c>
      <c r="F240" s="28" t="s">
        <v>324</v>
      </c>
      <c r="G240" s="28">
        <v>42029</v>
      </c>
      <c r="H240" s="28">
        <v>37.056699000000002</v>
      </c>
      <c r="I240" s="28">
        <v>-88.365727000000007</v>
      </c>
      <c r="J240" s="28" t="s">
        <v>325</v>
      </c>
      <c r="K240" s="61">
        <v>110000380061</v>
      </c>
      <c r="L240" s="61" t="str">
        <f>IFERROR(INDEX('Facility Summary'!$K:$K,MATCH(K240,'Facility Summary'!$J:$J,0)),INDEX('Raw Annual DMR Data'!$M:$M,MATCH(K240,'Raw Annual DMR Data'!$L:$L,0)))</f>
        <v>Manufacturing</v>
      </c>
      <c r="M240" s="28">
        <v>325199</v>
      </c>
      <c r="N240" s="28" t="str">
        <f>VLOOKUP(M240,'SIC &amp; NAICS Codes'!$D:$E,2,FALSE)</f>
        <v>All Other Basic Organic Chemical Manufacturing</v>
      </c>
      <c r="O240" s="28"/>
      <c r="P240" s="28"/>
      <c r="Q240" s="28"/>
      <c r="R240" s="28">
        <v>12</v>
      </c>
      <c r="S240" s="28">
        <f t="shared" si="3"/>
        <v>5.4431084399999996</v>
      </c>
    </row>
    <row r="241" spans="1:19" x14ac:dyDescent="0.25">
      <c r="A241" s="28">
        <v>2023</v>
      </c>
      <c r="B241" s="28" t="s">
        <v>2405</v>
      </c>
      <c r="C241" s="28" t="s">
        <v>202</v>
      </c>
      <c r="D241" s="28" t="s">
        <v>2426</v>
      </c>
      <c r="E241" s="28" t="s">
        <v>323</v>
      </c>
      <c r="F241" s="28" t="s">
        <v>324</v>
      </c>
      <c r="G241" s="28">
        <v>42029</v>
      </c>
      <c r="H241" s="28">
        <v>37.051110999999999</v>
      </c>
      <c r="I241" s="28">
        <v>-88.334166999999994</v>
      </c>
      <c r="J241" s="28" t="s">
        <v>668</v>
      </c>
      <c r="K241" s="61">
        <v>110027373072</v>
      </c>
      <c r="L241" s="61" t="str">
        <f>IFERROR(INDEX('Facility Summary'!$K:$K,MATCH(K241,'Facility Summary'!$J:$J,0)),INDEX('Raw Annual DMR Data'!$M:$M,MATCH(K241,'Raw Annual DMR Data'!$L:$L,0)))</f>
        <v>Manufacturing</v>
      </c>
      <c r="M241" s="28">
        <v>325199</v>
      </c>
      <c r="N241" s="28" t="str">
        <f>VLOOKUP(M241,'SIC &amp; NAICS Codes'!$D:$E,2,FALSE)</f>
        <v>All Other Basic Organic Chemical Manufacturing</v>
      </c>
      <c r="O241" s="28"/>
      <c r="P241" s="28"/>
      <c r="Q241" s="28"/>
      <c r="R241" s="28">
        <v>761.93799999999999</v>
      </c>
      <c r="S241" s="28">
        <f t="shared" si="3"/>
        <v>345.60926321305999</v>
      </c>
    </row>
    <row r="242" spans="1:19" x14ac:dyDescent="0.25">
      <c r="A242" s="28">
        <v>2023</v>
      </c>
      <c r="B242" s="28" t="s">
        <v>2405</v>
      </c>
      <c r="C242" s="28" t="s">
        <v>7362</v>
      </c>
      <c r="D242" s="28" t="s">
        <v>663</v>
      </c>
      <c r="E242" s="28" t="s">
        <v>446</v>
      </c>
      <c r="F242" s="28" t="s">
        <v>303</v>
      </c>
      <c r="G242" s="28">
        <v>70669</v>
      </c>
      <c r="H242" s="28">
        <v>30.252222</v>
      </c>
      <c r="I242" s="28">
        <v>-93.284443999999993</v>
      </c>
      <c r="J242" s="28" t="s">
        <v>664</v>
      </c>
      <c r="K242" s="61">
        <v>110002054482</v>
      </c>
      <c r="L242" s="61" t="str">
        <f>IFERROR(INDEX('Facility Summary'!$K:$K,MATCH(K242,'Facility Summary'!$J:$J,0)),INDEX('Raw Annual DMR Data'!$M:$M,MATCH(K242,'Raw Annual DMR Data'!$L:$L,0)))</f>
        <v>Manufacturing</v>
      </c>
      <c r="M242" s="28">
        <v>325110</v>
      </c>
      <c r="N242" s="28" t="str">
        <f>VLOOKUP(M242,'SIC &amp; NAICS Codes'!$D:$E,2,FALSE)</f>
        <v>Petrochemical Manufacturing</v>
      </c>
      <c r="O242" s="28"/>
      <c r="P242" s="28"/>
      <c r="Q242" s="28"/>
      <c r="R242" s="28">
        <v>0</v>
      </c>
      <c r="S242" s="28">
        <f t="shared" si="3"/>
        <v>0</v>
      </c>
    </row>
    <row r="243" spans="1:19" x14ac:dyDescent="0.25">
      <c r="A243" s="28">
        <v>2023</v>
      </c>
      <c r="B243" s="28" t="s">
        <v>2405</v>
      </c>
      <c r="C243" s="28" t="s">
        <v>216</v>
      </c>
      <c r="D243" s="28" t="s">
        <v>586</v>
      </c>
      <c r="E243" s="28" t="s">
        <v>587</v>
      </c>
      <c r="F243" s="28" t="s">
        <v>303</v>
      </c>
      <c r="G243" s="28">
        <v>70723</v>
      </c>
      <c r="H243" s="28">
        <v>30.05509</v>
      </c>
      <c r="I243" s="28">
        <v>-90.830839999999995</v>
      </c>
      <c r="J243" s="28" t="s">
        <v>588</v>
      </c>
      <c r="K243" s="61">
        <v>110000597328</v>
      </c>
      <c r="L243" s="61" t="str">
        <f>IFERROR(INDEX('Facility Summary'!$K:$K,MATCH(K243,'Facility Summary'!$J:$J,0)),INDEX('Raw Annual DMR Data'!$M:$M,MATCH(K243,'Raw Annual DMR Data'!$L:$L,0)))</f>
        <v>Manufacturing</v>
      </c>
      <c r="M243" s="28">
        <v>325180</v>
      </c>
      <c r="N243" s="28" t="str">
        <f>VLOOKUP(M243,'SIC &amp; NAICS Codes'!$D:$E,2,FALSE)</f>
        <v>Other Basic Inorganic Chemical Manufacturing</v>
      </c>
      <c r="O243" s="28"/>
      <c r="P243" s="28"/>
      <c r="Q243" s="28"/>
      <c r="R243" s="28">
        <v>1</v>
      </c>
      <c r="S243" s="28">
        <f t="shared" si="3"/>
        <v>0.45359237000000002</v>
      </c>
    </row>
    <row r="244" spans="1:19" x14ac:dyDescent="0.25">
      <c r="A244" s="28">
        <v>2023</v>
      </c>
      <c r="B244" s="28" t="s">
        <v>2405</v>
      </c>
      <c r="C244" s="28" t="s">
        <v>2412</v>
      </c>
      <c r="D244" s="28" t="s">
        <v>2413</v>
      </c>
      <c r="E244" s="28" t="s">
        <v>302</v>
      </c>
      <c r="F244" s="28" t="s">
        <v>303</v>
      </c>
      <c r="G244" s="28">
        <v>70805</v>
      </c>
      <c r="H244" s="28">
        <v>30.503799999999998</v>
      </c>
      <c r="I244" s="28">
        <v>-91.186496000000005</v>
      </c>
      <c r="J244" s="28" t="s">
        <v>483</v>
      </c>
      <c r="K244" s="61">
        <v>110000597444</v>
      </c>
      <c r="L244" s="61" t="str">
        <f>IFERROR(INDEX('Facility Summary'!$K:$K,MATCH(K244,'Facility Summary'!$J:$J,0)),INDEX('Raw Annual DMR Data'!$M:$M,MATCH(K244,'Raw Annual DMR Data'!$L:$L,0)))</f>
        <v>Manufacturing</v>
      </c>
      <c r="M244" s="28">
        <v>325211</v>
      </c>
      <c r="N244" s="28" t="str">
        <f>VLOOKUP(M244,'SIC &amp; NAICS Codes'!$D:$E,2,FALSE)</f>
        <v>Plastics Material and Resin Manufacturing</v>
      </c>
      <c r="O244" s="28"/>
      <c r="P244" s="28"/>
      <c r="Q244" s="28"/>
      <c r="R244" s="28">
        <v>7</v>
      </c>
      <c r="S244" s="28">
        <f t="shared" si="3"/>
        <v>3.1751465900000002</v>
      </c>
    </row>
    <row r="245" spans="1:19" x14ac:dyDescent="0.25">
      <c r="A245" s="28">
        <v>2023</v>
      </c>
      <c r="B245" s="28" t="s">
        <v>2405</v>
      </c>
      <c r="C245" s="28" t="s">
        <v>217</v>
      </c>
      <c r="D245" s="28" t="s">
        <v>592</v>
      </c>
      <c r="E245" s="28" t="s">
        <v>590</v>
      </c>
      <c r="F245" s="28" t="s">
        <v>362</v>
      </c>
      <c r="G245" s="28">
        <v>77536</v>
      </c>
      <c r="H245" s="28">
        <v>29.728559000000001</v>
      </c>
      <c r="I245" s="28">
        <v>-95.110764000000003</v>
      </c>
      <c r="J245" s="28" t="s">
        <v>593</v>
      </c>
      <c r="K245" s="61">
        <v>110015742204</v>
      </c>
      <c r="L245" s="61" t="str">
        <f>IFERROR(INDEX('Facility Summary'!$K:$K,MATCH(K245,'Facility Summary'!$J:$J,0)),INDEX('Raw Annual DMR Data'!$M:$M,MATCH(K245,'Raw Annual DMR Data'!$L:$L,0)))</f>
        <v>Manufacturing</v>
      </c>
      <c r="M245" s="28">
        <v>325199</v>
      </c>
      <c r="N245" s="28" t="str">
        <f>VLOOKUP(M245,'SIC &amp; NAICS Codes'!$D:$E,2,FALSE)</f>
        <v>All Other Basic Organic Chemical Manufacturing</v>
      </c>
      <c r="O245" s="28"/>
      <c r="P245" s="28"/>
      <c r="Q245" s="28"/>
      <c r="R245" s="28">
        <v>0</v>
      </c>
      <c r="S245" s="28">
        <f t="shared" si="3"/>
        <v>0</v>
      </c>
    </row>
    <row r="246" spans="1:19" x14ac:dyDescent="0.25">
      <c r="A246" s="28">
        <v>2023</v>
      </c>
      <c r="B246" s="28" t="s">
        <v>2405</v>
      </c>
      <c r="C246" s="28" t="s">
        <v>210</v>
      </c>
      <c r="D246" s="28" t="s">
        <v>436</v>
      </c>
      <c r="E246" s="28" t="s">
        <v>437</v>
      </c>
      <c r="F246" s="28" t="s">
        <v>362</v>
      </c>
      <c r="G246" s="28">
        <v>77541</v>
      </c>
      <c r="H246" s="28">
        <v>28.969389</v>
      </c>
      <c r="I246" s="28">
        <v>-95.379527999999993</v>
      </c>
      <c r="J246" s="28" t="s">
        <v>484</v>
      </c>
      <c r="K246" s="61">
        <v>110066943605</v>
      </c>
      <c r="L246" s="61" t="str">
        <f>IFERROR(INDEX('Facility Summary'!$K:$K,MATCH(K246,'Facility Summary'!$J:$J,0)),INDEX('Raw Annual DMR Data'!$M:$M,MATCH(K246,'Raw Annual DMR Data'!$L:$L,0)))</f>
        <v>Manufacturing</v>
      </c>
      <c r="M246" s="28">
        <v>325199</v>
      </c>
      <c r="N246" s="28" t="str">
        <f>VLOOKUP(M246,'SIC &amp; NAICS Codes'!$D:$E,2,FALSE)</f>
        <v>All Other Basic Organic Chemical Manufacturing</v>
      </c>
      <c r="O246" s="28"/>
      <c r="P246" s="28"/>
      <c r="Q246" s="28"/>
      <c r="R246" s="28">
        <v>0</v>
      </c>
      <c r="S246" s="28">
        <f t="shared" si="3"/>
        <v>0</v>
      </c>
    </row>
    <row r="247" spans="1:19" x14ac:dyDescent="0.25">
      <c r="A247" s="28">
        <v>2018</v>
      </c>
      <c r="B247" s="28"/>
      <c r="C247" s="28" t="s">
        <v>167</v>
      </c>
      <c r="D247" s="28" t="s">
        <v>543</v>
      </c>
      <c r="E247" s="28" t="s">
        <v>544</v>
      </c>
      <c r="F247" s="28" t="s">
        <v>338</v>
      </c>
      <c r="G247" s="28">
        <v>7036</v>
      </c>
      <c r="H247" s="28">
        <v>40.610097000000003</v>
      </c>
      <c r="I247" s="28">
        <v>-74.204927999999995</v>
      </c>
      <c r="J247" s="28"/>
      <c r="K247" s="61">
        <v>110002468669</v>
      </c>
      <c r="L247" s="61" t="str">
        <f>IFERROR(INDEX('Facility Summary'!$K:$K,MATCH(K247,'Facility Summary'!$J:$J,0)),INDEX('Raw Annual DMR Data'!$M:$M,MATCH(K247,'Raw Annual DMR Data'!$L:$L,0)))</f>
        <v>Industrial and commercial non-aerosol cleaning/degreasing</v>
      </c>
      <c r="M247" s="28"/>
      <c r="N247" s="28"/>
      <c r="O247" s="28"/>
      <c r="P247" s="28"/>
      <c r="Q247" s="28"/>
      <c r="R247" s="28"/>
      <c r="S247" s="28">
        <v>0.32186125999999998</v>
      </c>
    </row>
    <row r="248" spans="1:19" x14ac:dyDescent="0.25">
      <c r="A248" s="28">
        <v>2017</v>
      </c>
      <c r="B248" s="28"/>
      <c r="C248" s="28" t="s">
        <v>167</v>
      </c>
      <c r="D248" s="28" t="s">
        <v>543</v>
      </c>
      <c r="E248" s="28" t="s">
        <v>544</v>
      </c>
      <c r="F248" s="28" t="s">
        <v>338</v>
      </c>
      <c r="G248" s="28">
        <v>7036</v>
      </c>
      <c r="H248" s="28">
        <v>40.610097000000003</v>
      </c>
      <c r="I248" s="28">
        <v>-74.204927999999995</v>
      </c>
      <c r="J248" s="28"/>
      <c r="K248" s="61">
        <v>110002468669</v>
      </c>
      <c r="L248" s="61" t="str">
        <f>IFERROR(INDEX('Facility Summary'!$K:$K,MATCH(K248,'Facility Summary'!$J:$J,0)),INDEX('Raw Annual DMR Data'!$M:$M,MATCH(K248,'Raw Annual DMR Data'!$L:$L,0)))</f>
        <v>Industrial and commercial non-aerosol cleaning/degreasing</v>
      </c>
      <c r="M248" s="28"/>
      <c r="N248" s="28"/>
      <c r="O248" s="28"/>
      <c r="P248" s="28"/>
      <c r="Q248" s="28"/>
      <c r="R248" s="28"/>
      <c r="S248" s="28">
        <v>0.57935733333333295</v>
      </c>
    </row>
    <row r="249" spans="1:19" x14ac:dyDescent="0.25">
      <c r="A249" s="28">
        <v>2019</v>
      </c>
      <c r="B249" s="28"/>
      <c r="C249" s="28" t="s">
        <v>167</v>
      </c>
      <c r="D249" s="28" t="s">
        <v>543</v>
      </c>
      <c r="E249" s="28" t="s">
        <v>544</v>
      </c>
      <c r="F249" s="28" t="s">
        <v>338</v>
      </c>
      <c r="G249" s="28">
        <v>7036</v>
      </c>
      <c r="H249" s="28">
        <v>40.610097000000003</v>
      </c>
      <c r="I249" s="28">
        <v>-74.204927999999995</v>
      </c>
      <c r="J249" s="28"/>
      <c r="K249" s="61">
        <v>110002468669</v>
      </c>
      <c r="L249" s="61" t="str">
        <f>IFERROR(INDEX('Facility Summary'!$K:$K,MATCH(K249,'Facility Summary'!$J:$J,0)),INDEX('Raw Annual DMR Data'!$M:$M,MATCH(K249,'Raw Annual DMR Data'!$L:$L,0)))</f>
        <v>Industrial and commercial non-aerosol cleaning/degreasing</v>
      </c>
      <c r="M249" s="28"/>
      <c r="N249" s="28"/>
      <c r="O249" s="28"/>
      <c r="P249" s="28"/>
      <c r="Q249" s="28"/>
      <c r="R249" s="28"/>
      <c r="S249" s="28">
        <v>0.52948364999999997</v>
      </c>
    </row>
    <row r="250" spans="1:19" x14ac:dyDescent="0.25">
      <c r="A250" s="28">
        <v>2020</v>
      </c>
      <c r="B250" s="28"/>
      <c r="C250" s="28" t="s">
        <v>167</v>
      </c>
      <c r="D250" s="28" t="s">
        <v>543</v>
      </c>
      <c r="E250" s="28" t="s">
        <v>544</v>
      </c>
      <c r="F250" s="28" t="s">
        <v>338</v>
      </c>
      <c r="G250" s="28">
        <v>7036</v>
      </c>
      <c r="H250" s="28">
        <v>40.610097000000003</v>
      </c>
      <c r="I250" s="28">
        <v>-74.204927999999995</v>
      </c>
      <c r="J250" s="28"/>
      <c r="K250" s="61">
        <v>110002468669</v>
      </c>
      <c r="L250" s="61" t="str">
        <f>IFERROR(INDEX('Facility Summary'!$K:$K,MATCH(K250,'Facility Summary'!$J:$J,0)),INDEX('Raw Annual DMR Data'!$M:$M,MATCH(K250,'Raw Annual DMR Data'!$L:$L,0)))</f>
        <v>Industrial and commercial non-aerosol cleaning/degreasing</v>
      </c>
      <c r="M250" s="28"/>
      <c r="N250" s="28"/>
      <c r="O250" s="28"/>
      <c r="P250" s="28"/>
      <c r="Q250" s="28"/>
      <c r="R250" s="28"/>
      <c r="S250" s="28">
        <v>0.25094549999999999</v>
      </c>
    </row>
    <row r="251" spans="1:19" x14ac:dyDescent="0.25">
      <c r="A251" s="28">
        <v>2015</v>
      </c>
      <c r="B251" s="28"/>
      <c r="C251" s="28" t="s">
        <v>168</v>
      </c>
      <c r="D251" s="28" t="s">
        <v>546</v>
      </c>
      <c r="E251" s="28" t="s">
        <v>547</v>
      </c>
      <c r="F251" s="28" t="s">
        <v>366</v>
      </c>
      <c r="G251" s="28">
        <v>93436</v>
      </c>
      <c r="H251" s="28">
        <v>34.661079999999998</v>
      </c>
      <c r="I251" s="28">
        <v>-120.48135000000001</v>
      </c>
      <c r="J251" s="28"/>
      <c r="K251" s="61">
        <v>110009547222</v>
      </c>
      <c r="L251" s="61" t="str">
        <f>IFERROR(INDEX('Facility Summary'!$K:$K,MATCH(K251,'Facility Summary'!$J:$J,0)),INDEX('Raw Annual DMR Data'!$M:$M,MATCH(K251,'Raw Annual DMR Data'!$L:$L,0)))</f>
        <v>POTW</v>
      </c>
      <c r="M251" s="28"/>
      <c r="N251" s="28"/>
      <c r="O251" s="28"/>
      <c r="P251" s="28"/>
      <c r="Q251" s="28"/>
      <c r="R251" s="28"/>
      <c r="S251" s="28">
        <v>2.1620866250000002</v>
      </c>
    </row>
    <row r="252" spans="1:19" x14ac:dyDescent="0.25">
      <c r="A252" s="28">
        <v>2018</v>
      </c>
      <c r="B252" s="28"/>
      <c r="C252" s="28" t="s">
        <v>169</v>
      </c>
      <c r="D252" s="28" t="s">
        <v>548</v>
      </c>
      <c r="E252" s="28" t="s">
        <v>549</v>
      </c>
      <c r="F252" s="28" t="s">
        <v>366</v>
      </c>
      <c r="G252" s="28">
        <v>95959</v>
      </c>
      <c r="H252" s="28">
        <v>39.368808999999999</v>
      </c>
      <c r="I252" s="28">
        <v>-120.898977</v>
      </c>
      <c r="J252" s="28"/>
      <c r="K252" s="61">
        <v>110066354359</v>
      </c>
      <c r="L252" s="61" t="str">
        <f>IFERROR(INDEX('Facility Summary'!$K:$K,MATCH(K252,'Facility Summary'!$J:$J,0)),INDEX('Raw Annual DMR Data'!$M:$M,MATCH(K252,'Raw Annual DMR Data'!$L:$L,0)))</f>
        <v>Unknown</v>
      </c>
      <c r="M252" s="28"/>
      <c r="N252" s="28"/>
      <c r="O252" s="28"/>
      <c r="P252" s="28"/>
      <c r="Q252" s="28"/>
      <c r="R252" s="28"/>
      <c r="S252" s="28">
        <v>7.5431265000000004E-4</v>
      </c>
    </row>
    <row r="253" spans="1:19" x14ac:dyDescent="0.25">
      <c r="A253" s="28">
        <v>2018</v>
      </c>
      <c r="B253" s="28"/>
      <c r="C253" s="28" t="s">
        <v>170</v>
      </c>
      <c r="D253" s="28" t="s">
        <v>551</v>
      </c>
      <c r="E253" s="28" t="s">
        <v>552</v>
      </c>
      <c r="F253" s="28" t="s">
        <v>553</v>
      </c>
      <c r="G253" s="28">
        <v>2903</v>
      </c>
      <c r="H253" s="28">
        <v>41.815800000000003</v>
      </c>
      <c r="I253" s="28">
        <v>-71.400130000000004</v>
      </c>
      <c r="J253" s="28"/>
      <c r="K253" s="61">
        <v>110070264880</v>
      </c>
      <c r="L253" s="61" t="str">
        <f>IFERROR(INDEX('Facility Summary'!$K:$K,MATCH(K253,'Facility Summary'!$J:$J,0)),INDEX('Raw Annual DMR Data'!$M:$M,MATCH(K253,'Raw Annual DMR Data'!$L:$L,0)))</f>
        <v>Repackaging</v>
      </c>
      <c r="M253" s="28"/>
      <c r="N253" s="28"/>
      <c r="O253" s="28"/>
      <c r="P253" s="28"/>
      <c r="Q253" s="28"/>
      <c r="R253" s="28"/>
      <c r="S253" s="28">
        <v>1.7811035135999999E-2</v>
      </c>
    </row>
    <row r="254" spans="1:19" x14ac:dyDescent="0.25">
      <c r="A254" s="28">
        <v>2019</v>
      </c>
      <c r="B254" s="28"/>
      <c r="C254" s="28" t="s">
        <v>170</v>
      </c>
      <c r="D254" s="28" t="s">
        <v>551</v>
      </c>
      <c r="E254" s="28" t="s">
        <v>552</v>
      </c>
      <c r="F254" s="28" t="s">
        <v>553</v>
      </c>
      <c r="G254" s="28">
        <v>2903</v>
      </c>
      <c r="H254" s="28">
        <v>41.815800000000003</v>
      </c>
      <c r="I254" s="28">
        <v>-71.400130000000004</v>
      </c>
      <c r="J254" s="28"/>
      <c r="K254" s="61">
        <v>110070264880</v>
      </c>
      <c r="L254" s="61" t="str">
        <f>IFERROR(INDEX('Facility Summary'!$K:$K,MATCH(K254,'Facility Summary'!$J:$J,0)),INDEX('Raw Annual DMR Data'!$M:$M,MATCH(K254,'Raw Annual DMR Data'!$L:$L,0)))</f>
        <v>Repackaging</v>
      </c>
      <c r="M254" s="28"/>
      <c r="N254" s="28"/>
      <c r="O254" s="28"/>
      <c r="P254" s="28"/>
      <c r="Q254" s="28"/>
      <c r="R254" s="28"/>
      <c r="S254" s="28">
        <v>7.0401726719999998E-3</v>
      </c>
    </row>
    <row r="255" spans="1:19" x14ac:dyDescent="0.25">
      <c r="A255" s="28">
        <v>2018</v>
      </c>
      <c r="B255" s="28"/>
      <c r="C255" s="28" t="s">
        <v>171</v>
      </c>
      <c r="D255" s="28" t="s">
        <v>555</v>
      </c>
      <c r="E255" s="28" t="s">
        <v>556</v>
      </c>
      <c r="F255" s="28" t="s">
        <v>338</v>
      </c>
      <c r="G255" s="28">
        <v>7065</v>
      </c>
      <c r="H255" s="28">
        <v>40.612743000000002</v>
      </c>
      <c r="I255" s="28">
        <v>-74.260920999999996</v>
      </c>
      <c r="J255" s="28" t="s">
        <v>557</v>
      </c>
      <c r="K255" s="61">
        <v>110000492020</v>
      </c>
      <c r="L255" s="61" t="str">
        <f>IFERROR(INDEX('Facility Summary'!$K:$K,MATCH(K255,'Facility Summary'!$J:$J,0)),INDEX('Raw Annual DMR Data'!$M:$M,MATCH(K255,'Raw Annual DMR Data'!$L:$L,0)))</f>
        <v>Processing into formulation, mixture, or reaction product</v>
      </c>
      <c r="M255" s="28"/>
      <c r="N255" s="28"/>
      <c r="O255" s="28"/>
      <c r="P255" s="28"/>
      <c r="Q255" s="28"/>
      <c r="R255" s="28"/>
      <c r="S255" s="28">
        <v>6.7204092654545402</v>
      </c>
    </row>
    <row r="256" spans="1:19" x14ac:dyDescent="0.25">
      <c r="A256" s="28">
        <v>2019</v>
      </c>
      <c r="B256" s="28"/>
      <c r="C256" s="28" t="s">
        <v>171</v>
      </c>
      <c r="D256" s="28" t="s">
        <v>555</v>
      </c>
      <c r="E256" s="28" t="s">
        <v>556</v>
      </c>
      <c r="F256" s="28" t="s">
        <v>338</v>
      </c>
      <c r="G256" s="28">
        <v>7065</v>
      </c>
      <c r="H256" s="28">
        <v>40.612743000000002</v>
      </c>
      <c r="I256" s="28">
        <v>-74.260920999999996</v>
      </c>
      <c r="J256" s="28" t="s">
        <v>557</v>
      </c>
      <c r="K256" s="61">
        <v>110000492020</v>
      </c>
      <c r="L256" s="61" t="str">
        <f>IFERROR(INDEX('Facility Summary'!$K:$K,MATCH(K256,'Facility Summary'!$J:$J,0)),INDEX('Raw Annual DMR Data'!$M:$M,MATCH(K256,'Raw Annual DMR Data'!$L:$L,0)))</f>
        <v>Processing into formulation, mixture, or reaction product</v>
      </c>
      <c r="M256" s="28"/>
      <c r="N256" s="28"/>
      <c r="O256" s="28"/>
      <c r="P256" s="28"/>
      <c r="Q256" s="28"/>
      <c r="R256" s="28"/>
      <c r="S256" s="28">
        <v>2.0190755097499999</v>
      </c>
    </row>
    <row r="257" spans="1:19" x14ac:dyDescent="0.25">
      <c r="A257" s="28">
        <v>2020</v>
      </c>
      <c r="B257" s="28"/>
      <c r="C257" s="28" t="s">
        <v>171</v>
      </c>
      <c r="D257" s="28" t="s">
        <v>555</v>
      </c>
      <c r="E257" s="28" t="s">
        <v>556</v>
      </c>
      <c r="F257" s="28" t="s">
        <v>338</v>
      </c>
      <c r="G257" s="28">
        <v>7065</v>
      </c>
      <c r="H257" s="28">
        <v>40.612743000000002</v>
      </c>
      <c r="I257" s="28">
        <v>-74.260920999999996</v>
      </c>
      <c r="J257" s="28" t="s">
        <v>557</v>
      </c>
      <c r="K257" s="61">
        <v>110000492020</v>
      </c>
      <c r="L257" s="61" t="str">
        <f>IFERROR(INDEX('Facility Summary'!$K:$K,MATCH(K257,'Facility Summary'!$J:$J,0)),INDEX('Raw Annual DMR Data'!$M:$M,MATCH(K257,'Raw Annual DMR Data'!$L:$L,0)))</f>
        <v>Processing into formulation, mixture, or reaction product</v>
      </c>
      <c r="M257" s="28"/>
      <c r="N257" s="28"/>
      <c r="O257" s="28"/>
      <c r="P257" s="28"/>
      <c r="Q257" s="28"/>
      <c r="R257" s="28"/>
      <c r="S257" s="28">
        <v>8.3487410400000003E-2</v>
      </c>
    </row>
    <row r="258" spans="1:19" x14ac:dyDescent="0.25">
      <c r="A258" s="28">
        <v>2019</v>
      </c>
      <c r="B258" s="28"/>
      <c r="C258" s="28" t="s">
        <v>172</v>
      </c>
      <c r="D258" s="28" t="s">
        <v>558</v>
      </c>
      <c r="E258" s="28" t="s">
        <v>559</v>
      </c>
      <c r="F258" s="28" t="s">
        <v>338</v>
      </c>
      <c r="G258" s="28" t="s">
        <v>560</v>
      </c>
      <c r="H258" s="28">
        <v>39.766944000000002</v>
      </c>
      <c r="I258" s="28">
        <v>-75.421361000000005</v>
      </c>
      <c r="J258" s="28" t="s">
        <v>561</v>
      </c>
      <c r="K258" s="61">
        <v>110041022274</v>
      </c>
      <c r="L258" s="61" t="str">
        <f>IFERROR(INDEX('Facility Summary'!$K:$K,MATCH(K258,'Facility Summary'!$J:$J,0)),INDEX('Raw Annual DMR Data'!$M:$M,MATCH(K258,'Raw Annual DMR Data'!$L:$L,0)))</f>
        <v>Processing as a Reactant</v>
      </c>
      <c r="M258" s="28"/>
      <c r="N258" s="28"/>
      <c r="O258" s="28"/>
      <c r="P258" s="28"/>
      <c r="Q258" s="28"/>
      <c r="R258" s="28"/>
      <c r="S258" s="28">
        <v>5.27E-5</v>
      </c>
    </row>
    <row r="259" spans="1:19" x14ac:dyDescent="0.25">
      <c r="A259" s="28">
        <v>2015</v>
      </c>
      <c r="B259" s="28" t="s">
        <v>2405</v>
      </c>
      <c r="C259" s="28" t="s">
        <v>214</v>
      </c>
      <c r="D259" s="28" t="s">
        <v>562</v>
      </c>
      <c r="E259" s="28" t="s">
        <v>563</v>
      </c>
      <c r="F259" s="28" t="s">
        <v>564</v>
      </c>
      <c r="G259" s="28">
        <v>52761</v>
      </c>
      <c r="H259" s="28">
        <v>41.350468999999997</v>
      </c>
      <c r="I259" s="28">
        <v>-91.081619000000003</v>
      </c>
      <c r="J259" s="28" t="s">
        <v>565</v>
      </c>
      <c r="K259" s="61">
        <v>110018869474</v>
      </c>
      <c r="L259" s="61" t="str">
        <f>IFERROR(INDEX('Facility Summary'!$K:$K,MATCH(K259,'Facility Summary'!$J:$J,0)),INDEX('Raw Annual DMR Data'!$M:$M,MATCH(K259,'Raw Annual DMR Data'!$L:$L,0)))</f>
        <v>Processing into formulation, mixture, or reaction product</v>
      </c>
      <c r="M259" s="28">
        <v>325320</v>
      </c>
      <c r="N259" s="28" t="s">
        <v>2406</v>
      </c>
      <c r="O259" s="28"/>
      <c r="P259" s="28" t="s">
        <v>2404</v>
      </c>
      <c r="Q259" s="28"/>
      <c r="R259" s="28">
        <v>50</v>
      </c>
      <c r="S259" s="28">
        <v>22.6796185</v>
      </c>
    </row>
    <row r="260" spans="1:19" x14ac:dyDescent="0.25">
      <c r="A260" s="28">
        <v>2016</v>
      </c>
      <c r="B260" s="28" t="s">
        <v>2405</v>
      </c>
      <c r="C260" s="28" t="s">
        <v>214</v>
      </c>
      <c r="D260" s="28" t="s">
        <v>562</v>
      </c>
      <c r="E260" s="28" t="s">
        <v>563</v>
      </c>
      <c r="F260" s="28" t="s">
        <v>564</v>
      </c>
      <c r="G260" s="28">
        <v>52761</v>
      </c>
      <c r="H260" s="28">
        <v>41.350468999999997</v>
      </c>
      <c r="I260" s="28">
        <v>-91.081619000000003</v>
      </c>
      <c r="J260" s="28" t="s">
        <v>565</v>
      </c>
      <c r="K260" s="61">
        <v>110018869474</v>
      </c>
      <c r="L260" s="61" t="str">
        <f>IFERROR(INDEX('Facility Summary'!$K:$K,MATCH(K260,'Facility Summary'!$J:$J,0)),INDEX('Raw Annual DMR Data'!$M:$M,MATCH(K260,'Raw Annual DMR Data'!$L:$L,0)))</f>
        <v>Processing into formulation, mixture, or reaction product</v>
      </c>
      <c r="M260" s="28">
        <v>325320</v>
      </c>
      <c r="N260" s="28" t="s">
        <v>2406</v>
      </c>
      <c r="O260" s="28"/>
      <c r="P260" s="28" t="s">
        <v>2404</v>
      </c>
      <c r="Q260" s="28"/>
      <c r="R260" s="28">
        <v>38</v>
      </c>
      <c r="S260" s="28">
        <v>17.236510060000001</v>
      </c>
    </row>
    <row r="261" spans="1:19" x14ac:dyDescent="0.25">
      <c r="A261" s="28">
        <v>2017</v>
      </c>
      <c r="B261" s="28" t="s">
        <v>2405</v>
      </c>
      <c r="C261" s="28" t="s">
        <v>214</v>
      </c>
      <c r="D261" s="28" t="s">
        <v>562</v>
      </c>
      <c r="E261" s="28" t="s">
        <v>563</v>
      </c>
      <c r="F261" s="28" t="s">
        <v>564</v>
      </c>
      <c r="G261" s="28">
        <v>52761</v>
      </c>
      <c r="H261" s="28">
        <v>41.350468999999997</v>
      </c>
      <c r="I261" s="28">
        <v>-91.081619000000003</v>
      </c>
      <c r="J261" s="28" t="s">
        <v>565</v>
      </c>
      <c r="K261" s="61">
        <v>110018869474</v>
      </c>
      <c r="L261" s="61" t="str">
        <f>IFERROR(INDEX('Facility Summary'!$K:$K,MATCH(K261,'Facility Summary'!$J:$J,0)),INDEX('Raw Annual DMR Data'!$M:$M,MATCH(K261,'Raw Annual DMR Data'!$L:$L,0)))</f>
        <v>Processing into formulation, mixture, or reaction product</v>
      </c>
      <c r="M261" s="28">
        <v>325320</v>
      </c>
      <c r="N261" s="28" t="s">
        <v>2406</v>
      </c>
      <c r="O261" s="28"/>
      <c r="P261" s="28" t="s">
        <v>2404</v>
      </c>
      <c r="Q261" s="28"/>
      <c r="R261" s="28">
        <v>7</v>
      </c>
      <c r="S261" s="28">
        <v>3.1751465900000002</v>
      </c>
    </row>
    <row r="262" spans="1:19" x14ac:dyDescent="0.25">
      <c r="A262" s="28">
        <v>2018</v>
      </c>
      <c r="B262" s="28" t="s">
        <v>2405</v>
      </c>
      <c r="C262" s="28" t="s">
        <v>214</v>
      </c>
      <c r="D262" s="28" t="s">
        <v>562</v>
      </c>
      <c r="E262" s="28" t="s">
        <v>563</v>
      </c>
      <c r="F262" s="28" t="s">
        <v>564</v>
      </c>
      <c r="G262" s="28">
        <v>52761</v>
      </c>
      <c r="H262" s="28">
        <v>41.350468999999997</v>
      </c>
      <c r="I262" s="28">
        <v>-91.081619000000003</v>
      </c>
      <c r="J262" s="28" t="s">
        <v>565</v>
      </c>
      <c r="K262" s="61">
        <v>110018869474</v>
      </c>
      <c r="L262" s="61" t="str">
        <f>IFERROR(INDEX('Facility Summary'!$K:$K,MATCH(K262,'Facility Summary'!$J:$J,0)),INDEX('Raw Annual DMR Data'!$M:$M,MATCH(K262,'Raw Annual DMR Data'!$L:$L,0)))</f>
        <v>Processing into formulation, mixture, or reaction product</v>
      </c>
      <c r="M262" s="28">
        <v>325320</v>
      </c>
      <c r="N262" s="28" t="s">
        <v>2406</v>
      </c>
      <c r="O262" s="28"/>
      <c r="P262" s="28" t="s">
        <v>2404</v>
      </c>
      <c r="Q262" s="28"/>
      <c r="R262" s="28">
        <v>30</v>
      </c>
      <c r="S262" s="28">
        <v>13.607771100000001</v>
      </c>
    </row>
    <row r="263" spans="1:19" x14ac:dyDescent="0.25">
      <c r="A263" s="28">
        <v>2019</v>
      </c>
      <c r="B263" s="28" t="s">
        <v>2405</v>
      </c>
      <c r="C263" s="28" t="s">
        <v>214</v>
      </c>
      <c r="D263" s="28" t="s">
        <v>562</v>
      </c>
      <c r="E263" s="28" t="s">
        <v>563</v>
      </c>
      <c r="F263" s="28" t="s">
        <v>564</v>
      </c>
      <c r="G263" s="28">
        <v>52761</v>
      </c>
      <c r="H263" s="28">
        <v>41.350468999999997</v>
      </c>
      <c r="I263" s="28">
        <v>-91.081619000000003</v>
      </c>
      <c r="J263" s="28" t="s">
        <v>565</v>
      </c>
      <c r="K263" s="61">
        <v>110018869474</v>
      </c>
      <c r="L263" s="61" t="str">
        <f>IFERROR(INDEX('Facility Summary'!$K:$K,MATCH(K263,'Facility Summary'!$J:$J,0)),INDEX('Raw Annual DMR Data'!$M:$M,MATCH(K263,'Raw Annual DMR Data'!$L:$L,0)))</f>
        <v>Processing into formulation, mixture, or reaction product</v>
      </c>
      <c r="M263" s="28">
        <v>325320</v>
      </c>
      <c r="N263" s="28" t="s">
        <v>2406</v>
      </c>
      <c r="O263" s="28"/>
      <c r="P263" s="28" t="s">
        <v>2404</v>
      </c>
      <c r="Q263" s="28"/>
      <c r="R263" s="28">
        <v>32</v>
      </c>
      <c r="S263" s="28">
        <v>14.514955840000001</v>
      </c>
    </row>
    <row r="264" spans="1:19" x14ac:dyDescent="0.25">
      <c r="A264" s="28">
        <v>2020</v>
      </c>
      <c r="B264" s="28" t="s">
        <v>2405</v>
      </c>
      <c r="C264" s="28" t="s">
        <v>214</v>
      </c>
      <c r="D264" s="28" t="s">
        <v>562</v>
      </c>
      <c r="E264" s="28" t="s">
        <v>563</v>
      </c>
      <c r="F264" s="28" t="s">
        <v>564</v>
      </c>
      <c r="G264" s="28">
        <v>52761</v>
      </c>
      <c r="H264" s="28">
        <v>41.350468999999997</v>
      </c>
      <c r="I264" s="28">
        <v>-91.081619000000003</v>
      </c>
      <c r="J264" s="28" t="s">
        <v>565</v>
      </c>
      <c r="K264" s="61">
        <v>110018869474</v>
      </c>
      <c r="L264" s="61" t="str">
        <f>IFERROR(INDEX('Facility Summary'!$K:$K,MATCH(K264,'Facility Summary'!$J:$J,0)),INDEX('Raw Annual DMR Data'!$M:$M,MATCH(K264,'Raw Annual DMR Data'!$L:$L,0)))</f>
        <v>Processing into formulation, mixture, or reaction product</v>
      </c>
      <c r="M264" s="28">
        <v>325320</v>
      </c>
      <c r="N264" s="28" t="s">
        <v>2406</v>
      </c>
      <c r="O264" s="28"/>
      <c r="P264" s="28" t="s">
        <v>2404</v>
      </c>
      <c r="Q264" s="28"/>
      <c r="R264" s="28">
        <v>8</v>
      </c>
      <c r="S264" s="28">
        <v>3.6287389600000002</v>
      </c>
    </row>
    <row r="265" spans="1:19" x14ac:dyDescent="0.25">
      <c r="A265" s="28">
        <v>2023</v>
      </c>
      <c r="B265" s="28" t="s">
        <v>2405</v>
      </c>
      <c r="C265" s="28" t="s">
        <v>2414</v>
      </c>
      <c r="D265" s="28" t="s">
        <v>2415</v>
      </c>
      <c r="E265" s="28" t="s">
        <v>480</v>
      </c>
      <c r="F265" s="28" t="s">
        <v>362</v>
      </c>
      <c r="G265" s="28">
        <v>77978</v>
      </c>
      <c r="H265" s="28">
        <v>28.697590000000002</v>
      </c>
      <c r="I265" s="28">
        <v>-96.542101000000002</v>
      </c>
      <c r="J265" s="28" t="s">
        <v>481</v>
      </c>
      <c r="K265" s="61">
        <v>110018925957</v>
      </c>
      <c r="L265" s="61" t="str">
        <f>IFERROR(INDEX('Facility Summary'!$K:$K,MATCH(K265,'Facility Summary'!$J:$J,0)),INDEX('Raw Annual DMR Data'!$M:$M,MATCH(K265,'Raw Annual DMR Data'!$L:$L,0)))</f>
        <v>Manufacturing</v>
      </c>
      <c r="M265" s="28">
        <v>325211</v>
      </c>
      <c r="N265" s="28" t="str">
        <f>VLOOKUP(M265,'SIC &amp; NAICS Codes'!$D:$E,2,FALSE)</f>
        <v>Plastics Material and Resin Manufacturing</v>
      </c>
      <c r="O265" s="28"/>
      <c r="P265" s="28"/>
      <c r="Q265" s="28"/>
      <c r="R265" s="28">
        <v>147</v>
      </c>
      <c r="S265" s="28">
        <f t="shared" ref="S265:S278" si="4">CONVERT(R265,"lbm","g")/1000</f>
        <v>66.67807839000001</v>
      </c>
    </row>
    <row r="266" spans="1:19" x14ac:dyDescent="0.25">
      <c r="A266" s="28">
        <v>2023</v>
      </c>
      <c r="B266" s="28" t="s">
        <v>2405</v>
      </c>
      <c r="C266" s="28" t="s">
        <v>2419</v>
      </c>
      <c r="D266" s="28" t="s">
        <v>2420</v>
      </c>
      <c r="E266" s="28" t="s">
        <v>2421</v>
      </c>
      <c r="F266" s="28" t="s">
        <v>362</v>
      </c>
      <c r="G266" s="28">
        <v>78359</v>
      </c>
      <c r="H266" s="28">
        <v>27.883610999999998</v>
      </c>
      <c r="I266" s="28">
        <v>-97.241382999999999</v>
      </c>
      <c r="J266" s="28" t="s">
        <v>583</v>
      </c>
      <c r="K266" s="61">
        <v>110000599807</v>
      </c>
      <c r="L266" s="61" t="str">
        <f>IFERROR(INDEX('Facility Summary'!$K:$K,MATCH(K266,'Facility Summary'!$J:$J,0)),INDEX('Raw Annual DMR Data'!$M:$M,MATCH(K266,'Raw Annual DMR Data'!$L:$L,0)))</f>
        <v>Manufacturing</v>
      </c>
      <c r="M266" s="28">
        <v>325199</v>
      </c>
      <c r="N266" s="28" t="str">
        <f>VLOOKUP(M266,'SIC &amp; NAICS Codes'!$D:$E,2,FALSE)</f>
        <v>All Other Basic Organic Chemical Manufacturing</v>
      </c>
      <c r="O266" s="28"/>
      <c r="P266" s="28"/>
      <c r="Q266" s="28"/>
      <c r="R266" s="28">
        <v>4</v>
      </c>
      <c r="S266" s="28">
        <f t="shared" si="4"/>
        <v>1.8143694800000001</v>
      </c>
    </row>
    <row r="267" spans="1:19" x14ac:dyDescent="0.25">
      <c r="A267" s="28">
        <v>2023</v>
      </c>
      <c r="B267" s="28" t="s">
        <v>2405</v>
      </c>
      <c r="C267" s="28" t="s">
        <v>218</v>
      </c>
      <c r="D267" s="28" t="s">
        <v>594</v>
      </c>
      <c r="E267" s="28" t="s">
        <v>361</v>
      </c>
      <c r="F267" s="28" t="s">
        <v>362</v>
      </c>
      <c r="G267" s="28">
        <v>77571</v>
      </c>
      <c r="H267" s="28">
        <v>29.723700000000001</v>
      </c>
      <c r="I267" s="28">
        <v>-95.074079999999995</v>
      </c>
      <c r="J267" s="28" t="s">
        <v>595</v>
      </c>
      <c r="K267" s="61">
        <v>110017769734</v>
      </c>
      <c r="L267" s="61" t="str">
        <f>IFERROR(INDEX('Facility Summary'!$K:$K,MATCH(K267,'Facility Summary'!$J:$J,0)),INDEX('Raw Annual DMR Data'!$M:$M,MATCH(K267,'Raw Annual DMR Data'!$L:$L,0)))</f>
        <v>Manufacturing</v>
      </c>
      <c r="M267" s="28">
        <v>325199</v>
      </c>
      <c r="N267" s="28" t="str">
        <f>VLOOKUP(M267,'SIC &amp; NAICS Codes'!$D:$E,2,FALSE)</f>
        <v>All Other Basic Organic Chemical Manufacturing</v>
      </c>
      <c r="O267" s="28"/>
      <c r="P267" s="28"/>
      <c r="Q267" s="28"/>
      <c r="R267" s="28">
        <v>13.74</v>
      </c>
      <c r="S267" s="28">
        <f t="shared" si="4"/>
        <v>6.2323591638000009</v>
      </c>
    </row>
    <row r="268" spans="1:19" x14ac:dyDescent="0.25">
      <c r="A268" s="28">
        <v>2023</v>
      </c>
      <c r="B268" s="28" t="s">
        <v>2405</v>
      </c>
      <c r="C268" s="28" t="s">
        <v>7362</v>
      </c>
      <c r="D268" s="28" t="s">
        <v>333</v>
      </c>
      <c r="E268" s="28" t="s">
        <v>334</v>
      </c>
      <c r="F268" s="28" t="s">
        <v>303</v>
      </c>
      <c r="G268" s="28">
        <v>70764</v>
      </c>
      <c r="H268" s="28">
        <v>30.262255</v>
      </c>
      <c r="I268" s="28">
        <v>-91.185837000000006</v>
      </c>
      <c r="J268" s="28" t="s">
        <v>335</v>
      </c>
      <c r="K268" s="61">
        <v>110000613747</v>
      </c>
      <c r="L268" s="61" t="str">
        <f>IFERROR(INDEX('Facility Summary'!$K:$K,MATCH(K268,'Facility Summary'!$J:$J,0)),INDEX('Raw Annual DMR Data'!$M:$M,MATCH(K268,'Raw Annual DMR Data'!$L:$L,0)))</f>
        <v>Manufacturing</v>
      </c>
      <c r="M268" s="28">
        <v>325211</v>
      </c>
      <c r="N268" s="28" t="str">
        <f>VLOOKUP(M268,'SIC &amp; NAICS Codes'!$D:$E,2,FALSE)</f>
        <v>Plastics Material and Resin Manufacturing</v>
      </c>
      <c r="O268" s="28"/>
      <c r="P268" s="28"/>
      <c r="Q268" s="28"/>
      <c r="R268" s="28">
        <v>16</v>
      </c>
      <c r="S268" s="28">
        <f t="shared" si="4"/>
        <v>7.2574779200000004</v>
      </c>
    </row>
    <row r="269" spans="1:19" x14ac:dyDescent="0.25">
      <c r="A269" s="28">
        <v>2023</v>
      </c>
      <c r="B269" s="28" t="s">
        <v>2405</v>
      </c>
      <c r="C269" s="28" t="s">
        <v>7361</v>
      </c>
      <c r="D269" s="28" t="s">
        <v>2411</v>
      </c>
      <c r="E269" s="28" t="s">
        <v>446</v>
      </c>
      <c r="F269" s="28" t="s">
        <v>303</v>
      </c>
      <c r="G269" s="28">
        <v>70669</v>
      </c>
      <c r="H269" s="28">
        <v>30.223500000000001</v>
      </c>
      <c r="I269" s="28">
        <v>-93.286900000000003</v>
      </c>
      <c r="J269" s="28" t="s">
        <v>447</v>
      </c>
      <c r="K269" s="61">
        <v>110000494894</v>
      </c>
      <c r="L269" s="61" t="str">
        <f>IFERROR(INDEX('Facility Summary'!$K:$K,MATCH(K269,'Facility Summary'!$J:$J,0)),INDEX('Raw Annual DMR Data'!$M:$M,MATCH(K269,'Raw Annual DMR Data'!$L:$L,0)))</f>
        <v>Manufacturing</v>
      </c>
      <c r="M269" s="28">
        <v>325180</v>
      </c>
      <c r="N269" s="28" t="str">
        <f>VLOOKUP(M269,'SIC &amp; NAICS Codes'!$D:$E,2,FALSE)</f>
        <v>Other Basic Inorganic Chemical Manufacturing</v>
      </c>
      <c r="O269" s="28"/>
      <c r="P269" s="28"/>
      <c r="Q269" s="28"/>
      <c r="R269" s="28">
        <v>9.1999999999999993</v>
      </c>
      <c r="S269" s="28">
        <f t="shared" si="4"/>
        <v>4.1730498040000006</v>
      </c>
    </row>
    <row r="270" spans="1:19" x14ac:dyDescent="0.25">
      <c r="A270" s="28">
        <v>2023</v>
      </c>
      <c r="B270" s="28" t="s">
        <v>2405</v>
      </c>
      <c r="C270" s="28" t="s">
        <v>201</v>
      </c>
      <c r="D270" s="28" t="s">
        <v>665</v>
      </c>
      <c r="E270" s="28" t="s">
        <v>516</v>
      </c>
      <c r="F270" s="28" t="s">
        <v>303</v>
      </c>
      <c r="G270" s="28">
        <v>70734</v>
      </c>
      <c r="H270" s="28">
        <v>30.208604000000001</v>
      </c>
      <c r="I270" s="28">
        <v>-91.011127999999999</v>
      </c>
      <c r="J270" s="28" t="s">
        <v>666</v>
      </c>
      <c r="K270" s="61">
        <v>110000746328</v>
      </c>
      <c r="L270" s="61" t="str">
        <f>IFERROR(INDEX('Facility Summary'!$K:$K,MATCH(K270,'Facility Summary'!$J:$J,0)),INDEX('Raw Annual DMR Data'!$M:$M,MATCH(K270,'Raw Annual DMR Data'!$L:$L,0)))</f>
        <v>Manufacturing</v>
      </c>
      <c r="M270" s="28">
        <v>325211</v>
      </c>
      <c r="N270" s="28" t="str">
        <f>VLOOKUP(M270,'SIC &amp; NAICS Codes'!$D:$E,2,FALSE)</f>
        <v>Plastics Material and Resin Manufacturing</v>
      </c>
      <c r="O270" s="28"/>
      <c r="P270" s="28"/>
      <c r="Q270" s="28"/>
      <c r="R270" s="28">
        <v>1</v>
      </c>
      <c r="S270" s="28">
        <f t="shared" si="4"/>
        <v>0.45359237000000002</v>
      </c>
    </row>
    <row r="271" spans="1:19" x14ac:dyDescent="0.25">
      <c r="A271" s="28">
        <v>2023</v>
      </c>
      <c r="B271" s="28" t="s">
        <v>2405</v>
      </c>
      <c r="C271" s="28" t="s">
        <v>2422</v>
      </c>
      <c r="D271" s="28" t="s">
        <v>2423</v>
      </c>
      <c r="E271" s="28" t="s">
        <v>516</v>
      </c>
      <c r="F271" s="28" t="s">
        <v>303</v>
      </c>
      <c r="G271" s="28">
        <v>70734</v>
      </c>
      <c r="H271" s="28">
        <v>30.181861999999999</v>
      </c>
      <c r="I271" s="28">
        <v>-90.986958999999999</v>
      </c>
      <c r="J271" s="28" t="s">
        <v>585</v>
      </c>
      <c r="K271" s="61">
        <v>110000449774</v>
      </c>
      <c r="L271" s="61" t="str">
        <f>IFERROR(INDEX('Facility Summary'!$K:$K,MATCH(K271,'Facility Summary'!$J:$J,0)),INDEX('Raw Annual DMR Data'!$M:$M,MATCH(K271,'Raw Annual DMR Data'!$L:$L,0)))</f>
        <v>Manufacturing</v>
      </c>
      <c r="M271" s="28">
        <v>325199</v>
      </c>
      <c r="N271" s="28" t="str">
        <f>VLOOKUP(M271,'SIC &amp; NAICS Codes'!$D:$E,2,FALSE)</f>
        <v>All Other Basic Organic Chemical Manufacturing</v>
      </c>
      <c r="O271" s="28"/>
      <c r="P271" s="28"/>
      <c r="Q271" s="28"/>
      <c r="R271" s="28">
        <v>9</v>
      </c>
      <c r="S271" s="28">
        <f t="shared" si="4"/>
        <v>4.0823313299999997</v>
      </c>
    </row>
    <row r="272" spans="1:19" x14ac:dyDescent="0.25">
      <c r="A272" s="28">
        <v>2024</v>
      </c>
      <c r="B272" s="28" t="s">
        <v>2405</v>
      </c>
      <c r="C272" s="28" t="s">
        <v>105</v>
      </c>
      <c r="D272" s="28" t="s">
        <v>322</v>
      </c>
      <c r="E272" s="28" t="s">
        <v>323</v>
      </c>
      <c r="F272" s="28" t="s">
        <v>324</v>
      </c>
      <c r="G272" s="28">
        <v>42029</v>
      </c>
      <c r="H272" s="28">
        <v>37.056699000000002</v>
      </c>
      <c r="I272" s="28">
        <v>-88.365727000000007</v>
      </c>
      <c r="J272" s="28" t="s">
        <v>325</v>
      </c>
      <c r="K272" s="61">
        <v>110000380061</v>
      </c>
      <c r="L272" s="61" t="str">
        <f>IFERROR(INDEX('Facility Summary'!$K:$K,MATCH(K272,'Facility Summary'!$J:$J,0)),INDEX('Raw Annual DMR Data'!$M:$M,MATCH(K272,'Raw Annual DMR Data'!$L:$L,0)))</f>
        <v>Manufacturing</v>
      </c>
      <c r="M272" s="28">
        <v>325180</v>
      </c>
      <c r="N272" s="28" t="str">
        <f>VLOOKUP(M272,'SIC &amp; NAICS Codes'!$D:$E,2,FALSE)</f>
        <v>Other Basic Inorganic Chemical Manufacturing</v>
      </c>
      <c r="O272" s="28"/>
      <c r="P272" s="28"/>
      <c r="Q272" s="28"/>
      <c r="R272" s="28">
        <v>11</v>
      </c>
      <c r="S272" s="28">
        <f t="shared" si="4"/>
        <v>4.9895160700000005</v>
      </c>
    </row>
    <row r="273" spans="1:19" x14ac:dyDescent="0.25">
      <c r="A273" s="28">
        <v>2024</v>
      </c>
      <c r="B273" s="28" t="s">
        <v>2405</v>
      </c>
      <c r="C273" s="28" t="s">
        <v>7359</v>
      </c>
      <c r="D273" s="28" t="s">
        <v>2470</v>
      </c>
      <c r="E273" s="28" t="s">
        <v>368</v>
      </c>
      <c r="F273" s="28" t="s">
        <v>349</v>
      </c>
      <c r="G273" s="28">
        <v>63630</v>
      </c>
      <c r="H273" s="28">
        <v>37.983333000000002</v>
      </c>
      <c r="I273" s="28">
        <v>-90.690832999999998</v>
      </c>
      <c r="J273" s="28" t="s">
        <v>369</v>
      </c>
      <c r="K273" s="61">
        <v>110017980443</v>
      </c>
      <c r="L273" s="61" t="str">
        <f>IFERROR(INDEX('Facility Summary'!$K:$K,MATCH(K273,'Facility Summary'!$J:$J,0)),INDEX('Raw Annual DMR Data'!$M:$M,MATCH(K273,'Raw Annual DMR Data'!$L:$L,0)))</f>
        <v>Manufacturing</v>
      </c>
      <c r="M273" s="28">
        <v>325998</v>
      </c>
      <c r="N273" s="28" t="str">
        <f>VLOOKUP(M273,'SIC &amp; NAICS Codes'!$D:$E,2,FALSE)</f>
        <v>All Other Miscellaneous Chemical Product and Preparation Manufacturing</v>
      </c>
      <c r="O273" s="28"/>
      <c r="P273" s="28"/>
      <c r="Q273" s="28"/>
      <c r="R273" s="28">
        <v>0</v>
      </c>
      <c r="S273" s="28">
        <f t="shared" si="4"/>
        <v>0</v>
      </c>
    </row>
    <row r="274" spans="1:19" x14ac:dyDescent="0.25">
      <c r="A274" s="28">
        <v>2024</v>
      </c>
      <c r="B274" s="28" t="s">
        <v>2405</v>
      </c>
      <c r="C274" s="28" t="s">
        <v>2412</v>
      </c>
      <c r="D274" s="28" t="s">
        <v>2413</v>
      </c>
      <c r="E274" s="28" t="s">
        <v>302</v>
      </c>
      <c r="F274" s="28" t="s">
        <v>303</v>
      </c>
      <c r="G274" s="28">
        <v>70805</v>
      </c>
      <c r="H274" s="28">
        <v>30.501300000000001</v>
      </c>
      <c r="I274" s="28">
        <v>-91.192329999999998</v>
      </c>
      <c r="J274" s="28" t="s">
        <v>483</v>
      </c>
      <c r="K274" s="61">
        <v>110000597444</v>
      </c>
      <c r="L274" s="61" t="str">
        <f>IFERROR(INDEX('Facility Summary'!$K:$K,MATCH(K274,'Facility Summary'!$J:$J,0)),INDEX('Raw Annual DMR Data'!$M:$M,MATCH(K274,'Raw Annual DMR Data'!$L:$L,0)))</f>
        <v>Manufacturing</v>
      </c>
      <c r="M274" s="28">
        <v>325211</v>
      </c>
      <c r="N274" s="28" t="str">
        <f>VLOOKUP(M274,'SIC &amp; NAICS Codes'!$D:$E,2,FALSE)</f>
        <v>Plastics Material and Resin Manufacturing</v>
      </c>
      <c r="O274" s="28"/>
      <c r="P274" s="28"/>
      <c r="Q274" s="28"/>
      <c r="R274" s="28">
        <v>106</v>
      </c>
      <c r="S274" s="28">
        <f t="shared" si="4"/>
        <v>48.080791220000002</v>
      </c>
    </row>
    <row r="275" spans="1:19" x14ac:dyDescent="0.25">
      <c r="A275" s="28">
        <v>2024</v>
      </c>
      <c r="B275" s="28" t="s">
        <v>2405</v>
      </c>
      <c r="C275" s="28" t="s">
        <v>2414</v>
      </c>
      <c r="D275" s="28" t="s">
        <v>2415</v>
      </c>
      <c r="E275" s="28" t="s">
        <v>480</v>
      </c>
      <c r="F275" s="28" t="s">
        <v>362</v>
      </c>
      <c r="G275" s="28">
        <v>77978</v>
      </c>
      <c r="H275" s="28">
        <v>28.697590000000002</v>
      </c>
      <c r="I275" s="28">
        <v>-96.542101000000002</v>
      </c>
      <c r="J275" s="28" t="s">
        <v>481</v>
      </c>
      <c r="K275" s="61">
        <v>110018925957</v>
      </c>
      <c r="L275" s="61" t="str">
        <f>IFERROR(INDEX('Facility Summary'!$K:$K,MATCH(K275,'Facility Summary'!$J:$J,0)),INDEX('Raw Annual DMR Data'!$M:$M,MATCH(K275,'Raw Annual DMR Data'!$L:$L,0)))</f>
        <v>Manufacturing</v>
      </c>
      <c r="M275" s="28">
        <v>325211</v>
      </c>
      <c r="N275" s="28" t="str">
        <f>VLOOKUP(M275,'SIC &amp; NAICS Codes'!$D:$E,2,FALSE)</f>
        <v>Plastics Material and Resin Manufacturing</v>
      </c>
      <c r="O275" s="28"/>
      <c r="P275" s="28"/>
      <c r="Q275" s="28"/>
      <c r="R275" s="28">
        <v>49</v>
      </c>
      <c r="S275" s="28">
        <f t="shared" si="4"/>
        <v>22.226026130000001</v>
      </c>
    </row>
    <row r="276" spans="1:19" x14ac:dyDescent="0.25">
      <c r="A276" s="28">
        <v>2024</v>
      </c>
      <c r="B276" s="28" t="s">
        <v>2405</v>
      </c>
      <c r="C276" s="28" t="s">
        <v>210</v>
      </c>
      <c r="D276" s="28" t="s">
        <v>436</v>
      </c>
      <c r="E276" s="28" t="s">
        <v>437</v>
      </c>
      <c r="F276" s="28" t="s">
        <v>362</v>
      </c>
      <c r="G276" s="28">
        <v>77541</v>
      </c>
      <c r="H276" s="28">
        <v>28.981691999999999</v>
      </c>
      <c r="I276" s="28">
        <v>-95.376501000000005</v>
      </c>
      <c r="J276" s="28" t="s">
        <v>484</v>
      </c>
      <c r="K276" s="61">
        <v>110066943605</v>
      </c>
      <c r="L276" s="61" t="str">
        <f>IFERROR(INDEX('Facility Summary'!$K:$K,MATCH(K276,'Facility Summary'!$J:$J,0)),INDEX('Raw Annual DMR Data'!$M:$M,MATCH(K276,'Raw Annual DMR Data'!$L:$L,0)))</f>
        <v>Manufacturing</v>
      </c>
      <c r="M276" s="28">
        <v>325199</v>
      </c>
      <c r="N276" s="28" t="str">
        <f>VLOOKUP(M276,'SIC &amp; NAICS Codes'!$D:$E,2,FALSE)</f>
        <v>All Other Basic Organic Chemical Manufacturing</v>
      </c>
      <c r="O276" s="28"/>
      <c r="P276" s="28"/>
      <c r="Q276" s="28"/>
      <c r="R276" s="28">
        <v>0</v>
      </c>
      <c r="S276" s="28">
        <f t="shared" si="4"/>
        <v>0</v>
      </c>
    </row>
    <row r="277" spans="1:19" x14ac:dyDescent="0.25">
      <c r="A277" s="28">
        <v>2024</v>
      </c>
      <c r="B277" s="28" t="s">
        <v>2405</v>
      </c>
      <c r="C277" s="28" t="s">
        <v>213</v>
      </c>
      <c r="D277" s="28" t="s">
        <v>540</v>
      </c>
      <c r="E277" s="28" t="s">
        <v>460</v>
      </c>
      <c r="F277" s="28" t="s">
        <v>541</v>
      </c>
      <c r="G277" s="28">
        <v>29405</v>
      </c>
      <c r="H277" s="28">
        <v>32.833576999999998</v>
      </c>
      <c r="I277" s="28">
        <v>-79.964774000000006</v>
      </c>
      <c r="J277" s="28" t="s">
        <v>542</v>
      </c>
      <c r="K277" s="61">
        <v>110017326963</v>
      </c>
      <c r="L277" s="61" t="str">
        <f>IFERROR(INDEX('Facility Summary'!$K:$K,MATCH(K277,'Facility Summary'!$J:$J,0)),INDEX('Raw Annual DMR Data'!$M:$M,MATCH(K277,'Raw Annual DMR Data'!$L:$L,0)))</f>
        <v>Manufacturing</v>
      </c>
      <c r="M277" s="28">
        <v>325199</v>
      </c>
      <c r="N277" s="28" t="str">
        <f>VLOOKUP(M277,'SIC &amp; NAICS Codes'!$D:$E,2,FALSE)</f>
        <v>All Other Basic Organic Chemical Manufacturing</v>
      </c>
      <c r="O277" s="28"/>
      <c r="P277" s="28"/>
      <c r="Q277" s="28"/>
      <c r="R277" s="28">
        <v>0</v>
      </c>
      <c r="S277" s="28">
        <f t="shared" si="4"/>
        <v>0</v>
      </c>
    </row>
    <row r="278" spans="1:19" x14ac:dyDescent="0.25">
      <c r="A278" s="28">
        <v>2024</v>
      </c>
      <c r="B278" s="28" t="s">
        <v>2405</v>
      </c>
      <c r="C278" s="28" t="s">
        <v>2419</v>
      </c>
      <c r="D278" s="28" t="s">
        <v>2420</v>
      </c>
      <c r="E278" s="28" t="s">
        <v>2421</v>
      </c>
      <c r="F278" s="28" t="s">
        <v>362</v>
      </c>
      <c r="G278" s="28">
        <v>78359</v>
      </c>
      <c r="H278" s="28">
        <v>27.883610999999998</v>
      </c>
      <c r="I278" s="28">
        <v>-97.241382999999999</v>
      </c>
      <c r="J278" s="28" t="s">
        <v>583</v>
      </c>
      <c r="K278" s="61">
        <v>110070725501</v>
      </c>
      <c r="L278" s="61" t="str">
        <f>IFERROR(INDEX('Facility Summary'!$K:$K,MATCH(K278,'Facility Summary'!$J:$J,0)),INDEX('Raw Annual DMR Data'!$M:$M,MATCH(K278,'Raw Annual DMR Data'!$L:$L,0)))</f>
        <v>Manufacturing</v>
      </c>
      <c r="M278" s="28">
        <v>325199</v>
      </c>
      <c r="N278" s="28" t="str">
        <f>VLOOKUP(M278,'SIC &amp; NAICS Codes'!$D:$E,2,FALSE)</f>
        <v>All Other Basic Organic Chemical Manufacturing</v>
      </c>
      <c r="O278" s="28"/>
      <c r="P278" s="28"/>
      <c r="Q278" s="28"/>
      <c r="R278" s="28">
        <v>4</v>
      </c>
      <c r="S278" s="28">
        <f t="shared" si="4"/>
        <v>1.8143694800000001</v>
      </c>
    </row>
    <row r="279" spans="1:19" x14ac:dyDescent="0.25">
      <c r="A279" s="28">
        <v>2018</v>
      </c>
      <c r="B279" s="28"/>
      <c r="C279" s="28" t="s">
        <v>176</v>
      </c>
      <c r="D279" s="28" t="s">
        <v>577</v>
      </c>
      <c r="E279" s="28" t="s">
        <v>578</v>
      </c>
      <c r="F279" s="28" t="s">
        <v>450</v>
      </c>
      <c r="G279" s="28">
        <v>14304</v>
      </c>
      <c r="H279" s="28">
        <v>43.086694000000001</v>
      </c>
      <c r="I279" s="28">
        <v>-79.003833</v>
      </c>
      <c r="J279" s="28" t="s">
        <v>579</v>
      </c>
      <c r="K279" s="61">
        <v>110000327361</v>
      </c>
      <c r="L279" s="61" t="str">
        <f>IFERROR(INDEX('Facility Summary'!$K:$K,MATCH(K279,'Facility Summary'!$J:$J,0)),INDEX('Raw Annual DMR Data'!$M:$M,MATCH(K279,'Raw Annual DMR Data'!$L:$L,0)))</f>
        <v>Remediation</v>
      </c>
      <c r="M279" s="28"/>
      <c r="N279" s="28"/>
      <c r="O279" s="28"/>
      <c r="P279" s="28"/>
      <c r="Q279" s="28"/>
      <c r="R279" s="28"/>
      <c r="S279" s="28">
        <v>1.08843537414965</v>
      </c>
    </row>
    <row r="280" spans="1:19" x14ac:dyDescent="0.25">
      <c r="A280" s="28">
        <v>2024</v>
      </c>
      <c r="B280" s="28" t="s">
        <v>2405</v>
      </c>
      <c r="C280" s="28" t="s">
        <v>216</v>
      </c>
      <c r="D280" s="28" t="s">
        <v>586</v>
      </c>
      <c r="E280" s="28" t="s">
        <v>587</v>
      </c>
      <c r="F280" s="28" t="s">
        <v>303</v>
      </c>
      <c r="G280" s="28">
        <v>70723</v>
      </c>
      <c r="H280" s="28">
        <v>30.05509</v>
      </c>
      <c r="I280" s="28">
        <v>-90.830839999999995</v>
      </c>
      <c r="J280" s="28" t="s">
        <v>588</v>
      </c>
      <c r="K280" s="61">
        <v>110000597328</v>
      </c>
      <c r="L280" s="61" t="str">
        <f>IFERROR(INDEX('Facility Summary'!$K:$K,MATCH(K280,'Facility Summary'!$J:$J,0)),INDEX('Raw Annual DMR Data'!$M:$M,MATCH(K280,'Raw Annual DMR Data'!$L:$L,0)))</f>
        <v>Manufacturing</v>
      </c>
      <c r="M280" s="28">
        <v>325180</v>
      </c>
      <c r="N280" s="28" t="str">
        <f>VLOOKUP(M280,'SIC &amp; NAICS Codes'!$D:$E,2,FALSE)</f>
        <v>Other Basic Inorganic Chemical Manufacturing</v>
      </c>
      <c r="O280" s="28"/>
      <c r="P280" s="28"/>
      <c r="Q280" s="28"/>
      <c r="R280" s="28">
        <v>1</v>
      </c>
      <c r="S280" s="28">
        <f t="shared" ref="S280:S289" si="5">CONVERT(R280,"lbm","g")/1000</f>
        <v>0.45359237000000002</v>
      </c>
    </row>
    <row r="281" spans="1:19" x14ac:dyDescent="0.25">
      <c r="A281" s="28">
        <v>2024</v>
      </c>
      <c r="B281" s="28" t="s">
        <v>2405</v>
      </c>
      <c r="C281" s="28" t="s">
        <v>2422</v>
      </c>
      <c r="D281" s="28" t="s">
        <v>2423</v>
      </c>
      <c r="E281" s="28" t="s">
        <v>516</v>
      </c>
      <c r="F281" s="28" t="s">
        <v>303</v>
      </c>
      <c r="G281" s="28">
        <v>70734</v>
      </c>
      <c r="H281" s="28">
        <v>30.181861999999999</v>
      </c>
      <c r="I281" s="28">
        <v>-90.986958999999999</v>
      </c>
      <c r="J281" s="28" t="s">
        <v>585</v>
      </c>
      <c r="K281" s="61">
        <v>110000449774</v>
      </c>
      <c r="L281" s="61" t="str">
        <f>IFERROR(INDEX('Facility Summary'!$K:$K,MATCH(K281,'Facility Summary'!$J:$J,0)),INDEX('Raw Annual DMR Data'!$M:$M,MATCH(K281,'Raw Annual DMR Data'!$L:$L,0)))</f>
        <v>Manufacturing</v>
      </c>
      <c r="M281" s="28">
        <v>325199</v>
      </c>
      <c r="N281" s="28" t="str">
        <f>VLOOKUP(M281,'SIC &amp; NAICS Codes'!$D:$E,2,FALSE)</f>
        <v>All Other Basic Organic Chemical Manufacturing</v>
      </c>
      <c r="O281" s="28"/>
      <c r="P281" s="28"/>
      <c r="Q281" s="28"/>
      <c r="R281" s="28">
        <v>12</v>
      </c>
      <c r="S281" s="28">
        <f t="shared" si="5"/>
        <v>5.4431084399999996</v>
      </c>
    </row>
    <row r="282" spans="1:19" x14ac:dyDescent="0.25">
      <c r="A282" s="28">
        <v>2024</v>
      </c>
      <c r="B282" s="28" t="s">
        <v>2405</v>
      </c>
      <c r="C282" s="28" t="s">
        <v>217</v>
      </c>
      <c r="D282" s="28" t="s">
        <v>592</v>
      </c>
      <c r="E282" s="28" t="s">
        <v>590</v>
      </c>
      <c r="F282" s="28" t="s">
        <v>362</v>
      </c>
      <c r="G282" s="28">
        <v>77536</v>
      </c>
      <c r="H282" s="28">
        <v>29.728559000000001</v>
      </c>
      <c r="I282" s="28">
        <v>-95.110764000000003</v>
      </c>
      <c r="J282" s="28" t="s">
        <v>593</v>
      </c>
      <c r="K282" s="61">
        <v>110070827819</v>
      </c>
      <c r="L282" s="61" t="str">
        <f>IFERROR(INDEX('Facility Summary'!$K:$K,MATCH(K282,'Facility Summary'!$J:$J,0)),INDEX('Raw Annual DMR Data'!$M:$M,MATCH(K282,'Raw Annual DMR Data'!$L:$L,0)))</f>
        <v>Manufacturing</v>
      </c>
      <c r="M282" s="28">
        <v>325199</v>
      </c>
      <c r="N282" s="28" t="str">
        <f>VLOOKUP(M282,'SIC &amp; NAICS Codes'!$D:$E,2,FALSE)</f>
        <v>All Other Basic Organic Chemical Manufacturing</v>
      </c>
      <c r="O282" s="28"/>
      <c r="P282" s="28"/>
      <c r="Q282" s="28"/>
      <c r="R282" s="28">
        <v>0</v>
      </c>
      <c r="S282" s="28">
        <f t="shared" si="5"/>
        <v>0</v>
      </c>
    </row>
    <row r="283" spans="1:19" x14ac:dyDescent="0.25">
      <c r="A283" s="28">
        <v>2024</v>
      </c>
      <c r="B283" s="28" t="s">
        <v>2405</v>
      </c>
      <c r="C283" s="28" t="s">
        <v>218</v>
      </c>
      <c r="D283" s="28" t="s">
        <v>594</v>
      </c>
      <c r="E283" s="28" t="s">
        <v>361</v>
      </c>
      <c r="F283" s="28" t="s">
        <v>362</v>
      </c>
      <c r="G283" s="28">
        <v>77571</v>
      </c>
      <c r="H283" s="28">
        <v>29.723700000000001</v>
      </c>
      <c r="I283" s="28">
        <v>-95.074079999999995</v>
      </c>
      <c r="J283" s="28" t="s">
        <v>595</v>
      </c>
      <c r="K283" s="61">
        <v>110017769734</v>
      </c>
      <c r="L283" s="61" t="str">
        <f>IFERROR(INDEX('Facility Summary'!$K:$K,MATCH(K283,'Facility Summary'!$J:$J,0)),INDEX('Raw Annual DMR Data'!$M:$M,MATCH(K283,'Raw Annual DMR Data'!$L:$L,0)))</f>
        <v>Manufacturing</v>
      </c>
      <c r="M283" s="28">
        <v>325199</v>
      </c>
      <c r="N283" s="28" t="str">
        <f>VLOOKUP(M283,'SIC &amp; NAICS Codes'!$D:$E,2,FALSE)</f>
        <v>All Other Basic Organic Chemical Manufacturing</v>
      </c>
      <c r="O283" s="28"/>
      <c r="P283" s="28"/>
      <c r="Q283" s="28"/>
      <c r="R283" s="28">
        <v>15.15</v>
      </c>
      <c r="S283" s="28">
        <f t="shared" si="5"/>
        <v>6.8719244055000006</v>
      </c>
    </row>
    <row r="284" spans="1:19" x14ac:dyDescent="0.25">
      <c r="A284" s="28">
        <v>2024</v>
      </c>
      <c r="B284" s="28" t="s">
        <v>2405</v>
      </c>
      <c r="C284" s="28" t="s">
        <v>86</v>
      </c>
      <c r="D284" s="28" t="s">
        <v>6269</v>
      </c>
      <c r="E284" s="28" t="s">
        <v>334</v>
      </c>
      <c r="F284" s="28" t="s">
        <v>303</v>
      </c>
      <c r="G284" s="28">
        <v>70764</v>
      </c>
      <c r="H284" s="28">
        <v>30.259399999999999</v>
      </c>
      <c r="I284" s="28">
        <v>-91.173699999999997</v>
      </c>
      <c r="J284" s="28" t="s">
        <v>6268</v>
      </c>
      <c r="K284" s="61">
        <v>110000572675</v>
      </c>
      <c r="L284" s="61" t="str">
        <f>IFERROR(INDEX('Facility Summary'!$K:$K,MATCH(K284,'Facility Summary'!$J:$J,0)),INDEX('Raw Annual DMR Data'!$M:$M,MATCH(K284,'Raw Annual DMR Data'!$L:$L,0)))</f>
        <v>Manufacturing</v>
      </c>
      <c r="M284" s="28">
        <v>325211</v>
      </c>
      <c r="N284" s="28" t="str">
        <f>VLOOKUP(M284,'SIC &amp; NAICS Codes'!$D:$E,2,FALSE)</f>
        <v>Plastics Material and Resin Manufacturing</v>
      </c>
      <c r="O284" s="28"/>
      <c r="P284" s="28"/>
      <c r="Q284" s="28"/>
      <c r="R284" s="28">
        <v>417.97</v>
      </c>
      <c r="S284" s="28">
        <f t="shared" si="5"/>
        <v>189.58800288890004</v>
      </c>
    </row>
    <row r="285" spans="1:19" x14ac:dyDescent="0.25">
      <c r="A285" s="28">
        <v>2024</v>
      </c>
      <c r="B285" s="28" t="s">
        <v>2405</v>
      </c>
      <c r="C285" s="28" t="s">
        <v>7362</v>
      </c>
      <c r="D285" s="28" t="s">
        <v>663</v>
      </c>
      <c r="E285" s="28" t="s">
        <v>446</v>
      </c>
      <c r="F285" s="28" t="s">
        <v>303</v>
      </c>
      <c r="G285" s="28">
        <v>70669</v>
      </c>
      <c r="H285" s="28">
        <v>30.252222</v>
      </c>
      <c r="I285" s="28">
        <v>-93.284443999999993</v>
      </c>
      <c r="J285" s="28" t="s">
        <v>664</v>
      </c>
      <c r="K285" s="61">
        <v>110070228618</v>
      </c>
      <c r="L285" s="61" t="str">
        <f>IFERROR(INDEX('Facility Summary'!$K:$K,MATCH(K285,'Facility Summary'!$J:$J,0)),INDEX('Raw Annual DMR Data'!$M:$M,MATCH(K285,'Raw Annual DMR Data'!$L:$L,0)))</f>
        <v>Manufacturing</v>
      </c>
      <c r="M285" s="28">
        <v>325110</v>
      </c>
      <c r="N285" s="28" t="str">
        <f>VLOOKUP(M285,'SIC &amp; NAICS Codes'!$D:$E,2,FALSE)</f>
        <v>Petrochemical Manufacturing</v>
      </c>
      <c r="O285" s="28"/>
      <c r="P285" s="28"/>
      <c r="Q285" s="28"/>
      <c r="R285" s="28">
        <v>0</v>
      </c>
      <c r="S285" s="28">
        <f t="shared" si="5"/>
        <v>0</v>
      </c>
    </row>
    <row r="286" spans="1:19" x14ac:dyDescent="0.25">
      <c r="A286" s="28">
        <v>2024</v>
      </c>
      <c r="B286" s="28" t="s">
        <v>2405</v>
      </c>
      <c r="C286" s="28" t="s">
        <v>7362</v>
      </c>
      <c r="D286" s="28" t="s">
        <v>333</v>
      </c>
      <c r="E286" s="28" t="s">
        <v>334</v>
      </c>
      <c r="F286" s="28" t="s">
        <v>303</v>
      </c>
      <c r="G286" s="28">
        <v>70764</v>
      </c>
      <c r="H286" s="28">
        <v>30.262255</v>
      </c>
      <c r="I286" s="28">
        <v>-91.185837000000006</v>
      </c>
      <c r="J286" s="28" t="s">
        <v>335</v>
      </c>
      <c r="K286" s="61">
        <v>110000613747</v>
      </c>
      <c r="L286" s="61" t="str">
        <f>IFERROR(INDEX('Facility Summary'!$K:$K,MATCH(K286,'Facility Summary'!$J:$J,0)),INDEX('Raw Annual DMR Data'!$M:$M,MATCH(K286,'Raw Annual DMR Data'!$L:$L,0)))</f>
        <v>Manufacturing</v>
      </c>
      <c r="M286" s="28">
        <v>325211</v>
      </c>
      <c r="N286" s="28" t="str">
        <f>VLOOKUP(M286,'SIC &amp; NAICS Codes'!$D:$E,2,FALSE)</f>
        <v>Plastics Material and Resin Manufacturing</v>
      </c>
      <c r="O286" s="28"/>
      <c r="P286" s="28"/>
      <c r="Q286" s="28"/>
      <c r="R286" s="28">
        <v>60</v>
      </c>
      <c r="S286" s="28">
        <f t="shared" si="5"/>
        <v>27.215542200000002</v>
      </c>
    </row>
    <row r="287" spans="1:19" x14ac:dyDescent="0.25">
      <c r="A287" s="28">
        <v>2024</v>
      </c>
      <c r="B287" s="28" t="s">
        <v>2405</v>
      </c>
      <c r="C287" s="28" t="s">
        <v>7361</v>
      </c>
      <c r="D287" s="28" t="s">
        <v>2411</v>
      </c>
      <c r="E287" s="28" t="s">
        <v>446</v>
      </c>
      <c r="F287" s="28" t="s">
        <v>303</v>
      </c>
      <c r="G287" s="28">
        <v>70669</v>
      </c>
      <c r="H287" s="28">
        <v>30.223500000000001</v>
      </c>
      <c r="I287" s="28">
        <v>-93.286900000000003</v>
      </c>
      <c r="J287" s="28" t="s">
        <v>447</v>
      </c>
      <c r="K287" s="61">
        <v>110000494894</v>
      </c>
      <c r="L287" s="61" t="str">
        <f>IFERROR(INDEX('Facility Summary'!$K:$K,MATCH(K287,'Facility Summary'!$J:$J,0)),INDEX('Raw Annual DMR Data'!$M:$M,MATCH(K287,'Raw Annual DMR Data'!$L:$L,0)))</f>
        <v>Manufacturing</v>
      </c>
      <c r="M287" s="28">
        <v>325180</v>
      </c>
      <c r="N287" s="28" t="str">
        <f>VLOOKUP(M287,'SIC &amp; NAICS Codes'!$D:$E,2,FALSE)</f>
        <v>Other Basic Inorganic Chemical Manufacturing</v>
      </c>
      <c r="O287" s="28"/>
      <c r="P287" s="28"/>
      <c r="Q287" s="28"/>
      <c r="R287" s="28">
        <v>720</v>
      </c>
      <c r="S287" s="28">
        <f t="shared" si="5"/>
        <v>326.58650640000002</v>
      </c>
    </row>
    <row r="288" spans="1:19" x14ac:dyDescent="0.25">
      <c r="A288" s="28">
        <v>2024</v>
      </c>
      <c r="B288" s="28" t="s">
        <v>2405</v>
      </c>
      <c r="C288" s="28" t="s">
        <v>201</v>
      </c>
      <c r="D288" s="28" t="s">
        <v>665</v>
      </c>
      <c r="E288" s="28" t="s">
        <v>516</v>
      </c>
      <c r="F288" s="28" t="s">
        <v>303</v>
      </c>
      <c r="G288" s="28">
        <v>70734</v>
      </c>
      <c r="H288" s="28">
        <v>30.208604000000001</v>
      </c>
      <c r="I288" s="28">
        <v>-91.011127999999999</v>
      </c>
      <c r="J288" s="28" t="s">
        <v>666</v>
      </c>
      <c r="K288" s="61">
        <v>110000746328</v>
      </c>
      <c r="L288" s="61" t="str">
        <f>IFERROR(INDEX('Facility Summary'!$K:$K,MATCH(K288,'Facility Summary'!$J:$J,0)),INDEX('Raw Annual DMR Data'!$M:$M,MATCH(K288,'Raw Annual DMR Data'!$L:$L,0)))</f>
        <v>Manufacturing</v>
      </c>
      <c r="M288" s="28">
        <v>325211</v>
      </c>
      <c r="N288" s="28" t="str">
        <f>VLOOKUP(M288,'SIC &amp; NAICS Codes'!$D:$E,2,FALSE)</f>
        <v>Plastics Material and Resin Manufacturing</v>
      </c>
      <c r="O288" s="28"/>
      <c r="P288" s="28"/>
      <c r="Q288" s="28"/>
      <c r="R288" s="28">
        <v>27</v>
      </c>
      <c r="S288" s="28">
        <f t="shared" si="5"/>
        <v>12.24699399</v>
      </c>
    </row>
    <row r="289" spans="1:19" x14ac:dyDescent="0.25">
      <c r="A289" s="28">
        <v>2024</v>
      </c>
      <c r="B289" s="28" t="s">
        <v>2405</v>
      </c>
      <c r="C289" s="28" t="s">
        <v>202</v>
      </c>
      <c r="D289" s="28" t="s">
        <v>2426</v>
      </c>
      <c r="E289" s="28" t="s">
        <v>323</v>
      </c>
      <c r="F289" s="28" t="s">
        <v>324</v>
      </c>
      <c r="G289" s="28">
        <v>42029</v>
      </c>
      <c r="H289" s="28">
        <v>37.051110999999999</v>
      </c>
      <c r="I289" s="28">
        <v>-88.334166999999994</v>
      </c>
      <c r="J289" s="28" t="s">
        <v>668</v>
      </c>
      <c r="K289" s="61">
        <v>110027373072</v>
      </c>
      <c r="L289" s="61" t="str">
        <f>IFERROR(INDEX('Facility Summary'!$K:$K,MATCH(K289,'Facility Summary'!$J:$J,0)),INDEX('Raw Annual DMR Data'!$M:$M,MATCH(K289,'Raw Annual DMR Data'!$L:$L,0)))</f>
        <v>Manufacturing</v>
      </c>
      <c r="M289" s="28">
        <v>325199</v>
      </c>
      <c r="N289" s="28" t="str">
        <f>VLOOKUP(M289,'SIC &amp; NAICS Codes'!$D:$E,2,FALSE)</f>
        <v>All Other Basic Organic Chemical Manufacturing</v>
      </c>
      <c r="O289" s="28"/>
      <c r="P289" s="28"/>
      <c r="Q289" s="28"/>
      <c r="R289" s="28">
        <v>902</v>
      </c>
      <c r="S289" s="28">
        <f t="shared" si="5"/>
        <v>409.14031774</v>
      </c>
    </row>
    <row r="290" spans="1:19" x14ac:dyDescent="0.25">
      <c r="A290" s="28">
        <v>2015</v>
      </c>
      <c r="B290" s="28"/>
      <c r="C290" s="28" t="s">
        <v>102</v>
      </c>
      <c r="D290" s="28" t="s">
        <v>309</v>
      </c>
      <c r="E290" s="28" t="s">
        <v>310</v>
      </c>
      <c r="F290" s="28" t="s">
        <v>311</v>
      </c>
      <c r="G290" s="28">
        <v>25112</v>
      </c>
      <c r="H290" s="28">
        <v>38.386439000000003</v>
      </c>
      <c r="I290" s="28">
        <v>-81.798439999999999</v>
      </c>
      <c r="J290" s="28"/>
      <c r="K290" s="61">
        <v>110064632312</v>
      </c>
      <c r="L290" s="61" t="str">
        <f>IFERROR(INDEX('Facility Summary'!$K:$K,MATCH(K290,'Facility Summary'!$J:$J,0)),INDEX('Raw Annual DMR Data'!$M:$M,MATCH(K290,'Raw Annual DMR Data'!$L:$L,0)))</f>
        <v>Manufacturing</v>
      </c>
      <c r="M290" s="28"/>
      <c r="N290" s="28"/>
      <c r="O290" s="28"/>
      <c r="P290" s="28"/>
      <c r="Q290" s="28"/>
      <c r="R290" s="28"/>
      <c r="S290" s="28">
        <v>0.25480725623582701</v>
      </c>
    </row>
    <row r="291" spans="1:19" x14ac:dyDescent="0.25">
      <c r="A291" s="28">
        <v>2015</v>
      </c>
      <c r="B291" s="28"/>
      <c r="C291" s="28" t="s">
        <v>102</v>
      </c>
      <c r="D291" s="28" t="s">
        <v>309</v>
      </c>
      <c r="E291" s="28" t="s">
        <v>310</v>
      </c>
      <c r="F291" s="28" t="s">
        <v>311</v>
      </c>
      <c r="G291" s="28">
        <v>25112</v>
      </c>
      <c r="H291" s="28">
        <v>38.386439000000003</v>
      </c>
      <c r="I291" s="28">
        <v>-81.798439999999999</v>
      </c>
      <c r="J291" s="28"/>
      <c r="K291" s="61">
        <v>110064632312</v>
      </c>
      <c r="L291" s="61" t="str">
        <f>IFERROR(INDEX('Facility Summary'!$K:$K,MATCH(K291,'Facility Summary'!$J:$J,0)),INDEX('Raw Annual DMR Data'!$M:$M,MATCH(K291,'Raw Annual DMR Data'!$L:$L,0)))</f>
        <v>Manufacturing</v>
      </c>
      <c r="M291" s="28"/>
      <c r="N291" s="28"/>
      <c r="O291" s="28"/>
      <c r="P291" s="28"/>
      <c r="Q291" s="28"/>
      <c r="R291" s="28"/>
      <c r="S291" s="28">
        <v>0.351383219954648</v>
      </c>
    </row>
    <row r="292" spans="1:19" x14ac:dyDescent="0.25">
      <c r="A292" s="28">
        <v>2015</v>
      </c>
      <c r="B292" s="28"/>
      <c r="C292" s="28" t="s">
        <v>102</v>
      </c>
      <c r="D292" s="28" t="s">
        <v>309</v>
      </c>
      <c r="E292" s="28" t="s">
        <v>310</v>
      </c>
      <c r="F292" s="28" t="s">
        <v>311</v>
      </c>
      <c r="G292" s="28">
        <v>25112</v>
      </c>
      <c r="H292" s="28">
        <v>38.386439000000003</v>
      </c>
      <c r="I292" s="28">
        <v>-81.798439999999999</v>
      </c>
      <c r="J292" s="28"/>
      <c r="K292" s="61">
        <v>110064632312</v>
      </c>
      <c r="L292" s="61" t="str">
        <f>IFERROR(INDEX('Facility Summary'!$K:$K,MATCH(K292,'Facility Summary'!$J:$J,0)),INDEX('Raw Annual DMR Data'!$M:$M,MATCH(K292,'Raw Annual DMR Data'!$L:$L,0)))</f>
        <v>Manufacturing</v>
      </c>
      <c r="M292" s="28"/>
      <c r="N292" s="28"/>
      <c r="O292" s="28"/>
      <c r="P292" s="28"/>
      <c r="Q292" s="28"/>
      <c r="R292" s="28"/>
      <c r="S292" s="28">
        <v>1.4375770649999999</v>
      </c>
    </row>
    <row r="293" spans="1:19" x14ac:dyDescent="0.25">
      <c r="A293" s="28">
        <v>2016</v>
      </c>
      <c r="B293" s="28"/>
      <c r="C293" s="28" t="s">
        <v>102</v>
      </c>
      <c r="D293" s="28" t="s">
        <v>309</v>
      </c>
      <c r="E293" s="28" t="s">
        <v>310</v>
      </c>
      <c r="F293" s="28" t="s">
        <v>311</v>
      </c>
      <c r="G293" s="28">
        <v>25112</v>
      </c>
      <c r="H293" s="28">
        <v>38.386439000000003</v>
      </c>
      <c r="I293" s="28">
        <v>-81.798439999999999</v>
      </c>
      <c r="J293" s="28"/>
      <c r="K293" s="61">
        <v>110064632312</v>
      </c>
      <c r="L293" s="61" t="str">
        <f>IFERROR(INDEX('Facility Summary'!$K:$K,MATCH(K293,'Facility Summary'!$J:$J,0)),INDEX('Raw Annual DMR Data'!$M:$M,MATCH(K293,'Raw Annual DMR Data'!$L:$L,0)))</f>
        <v>Manufacturing</v>
      </c>
      <c r="M293" s="28"/>
      <c r="N293" s="28"/>
      <c r="O293" s="28"/>
      <c r="P293" s="28"/>
      <c r="Q293" s="28"/>
      <c r="R293" s="28"/>
      <c r="S293" s="28">
        <v>4.6770582625000001</v>
      </c>
    </row>
    <row r="294" spans="1:19" x14ac:dyDescent="0.25">
      <c r="A294" s="28">
        <v>2016</v>
      </c>
      <c r="B294" s="28"/>
      <c r="C294" s="28" t="s">
        <v>102</v>
      </c>
      <c r="D294" s="28" t="s">
        <v>309</v>
      </c>
      <c r="E294" s="28" t="s">
        <v>310</v>
      </c>
      <c r="F294" s="28" t="s">
        <v>311</v>
      </c>
      <c r="G294" s="28">
        <v>25112</v>
      </c>
      <c r="H294" s="28">
        <v>38.386439000000003</v>
      </c>
      <c r="I294" s="28">
        <v>-81.798439999999999</v>
      </c>
      <c r="J294" s="28"/>
      <c r="K294" s="61">
        <v>110064632312</v>
      </c>
      <c r="L294" s="61" t="str">
        <f>IFERROR(INDEX('Facility Summary'!$K:$K,MATCH(K294,'Facility Summary'!$J:$J,0)),INDEX('Raw Annual DMR Data'!$M:$M,MATCH(K294,'Raw Annual DMR Data'!$L:$L,0)))</f>
        <v>Manufacturing</v>
      </c>
      <c r="M294" s="28"/>
      <c r="N294" s="28"/>
      <c r="O294" s="28"/>
      <c r="P294" s="28"/>
      <c r="Q294" s="28"/>
      <c r="R294" s="28"/>
      <c r="S294" s="28">
        <v>2.12650793650793</v>
      </c>
    </row>
    <row r="295" spans="1:19" x14ac:dyDescent="0.25">
      <c r="A295" s="28">
        <v>2017</v>
      </c>
      <c r="B295" s="28"/>
      <c r="C295" s="28" t="s">
        <v>102</v>
      </c>
      <c r="D295" s="28" t="s">
        <v>309</v>
      </c>
      <c r="E295" s="28" t="s">
        <v>310</v>
      </c>
      <c r="F295" s="28" t="s">
        <v>311</v>
      </c>
      <c r="G295" s="28">
        <v>25112</v>
      </c>
      <c r="H295" s="28">
        <v>38.386439000000003</v>
      </c>
      <c r="I295" s="28">
        <v>-81.798439999999999</v>
      </c>
      <c r="J295" s="28"/>
      <c r="K295" s="61">
        <v>110064632312</v>
      </c>
      <c r="L295" s="61" t="str">
        <f>IFERROR(INDEX('Facility Summary'!$K:$K,MATCH(K295,'Facility Summary'!$J:$J,0)),INDEX('Raw Annual DMR Data'!$M:$M,MATCH(K295,'Raw Annual DMR Data'!$L:$L,0)))</f>
        <v>Manufacturing</v>
      </c>
      <c r="M295" s="28"/>
      <c r="N295" s="28"/>
      <c r="O295" s="28"/>
      <c r="P295" s="28"/>
      <c r="Q295" s="28"/>
      <c r="R295" s="28"/>
      <c r="S295" s="28">
        <v>1.8369614512471599</v>
      </c>
    </row>
    <row r="296" spans="1:19" x14ac:dyDescent="0.25">
      <c r="A296" s="28">
        <v>2017</v>
      </c>
      <c r="B296" s="28"/>
      <c r="C296" s="28" t="s">
        <v>102</v>
      </c>
      <c r="D296" s="28" t="s">
        <v>309</v>
      </c>
      <c r="E296" s="28" t="s">
        <v>310</v>
      </c>
      <c r="F296" s="28" t="s">
        <v>311</v>
      </c>
      <c r="G296" s="28">
        <v>25112</v>
      </c>
      <c r="H296" s="28">
        <v>38.386439000000003</v>
      </c>
      <c r="I296" s="28">
        <v>-81.798439999999999</v>
      </c>
      <c r="J296" s="28"/>
      <c r="K296" s="61">
        <v>110064632312</v>
      </c>
      <c r="L296" s="61" t="str">
        <f>IFERROR(INDEX('Facility Summary'!$K:$K,MATCH(K296,'Facility Summary'!$J:$J,0)),INDEX('Raw Annual DMR Data'!$M:$M,MATCH(K296,'Raw Annual DMR Data'!$L:$L,0)))</f>
        <v>Manufacturing</v>
      </c>
      <c r="M296" s="28"/>
      <c r="N296" s="28"/>
      <c r="O296" s="28"/>
      <c r="P296" s="28"/>
      <c r="Q296" s="28"/>
      <c r="R296" s="28"/>
      <c r="S296" s="28">
        <v>1.6374572375000001</v>
      </c>
    </row>
    <row r="297" spans="1:19" x14ac:dyDescent="0.25">
      <c r="A297" s="28">
        <v>2019</v>
      </c>
      <c r="B297" s="28"/>
      <c r="C297" s="28" t="s">
        <v>102</v>
      </c>
      <c r="D297" s="28" t="s">
        <v>309</v>
      </c>
      <c r="E297" s="28" t="s">
        <v>310</v>
      </c>
      <c r="F297" s="28" t="s">
        <v>311</v>
      </c>
      <c r="G297" s="28">
        <v>25112</v>
      </c>
      <c r="H297" s="28">
        <v>38.386439000000003</v>
      </c>
      <c r="I297" s="28">
        <v>-81.798439999999999</v>
      </c>
      <c r="J297" s="28"/>
      <c r="K297" s="61">
        <v>110064632312</v>
      </c>
      <c r="L297" s="61" t="str">
        <f>IFERROR(INDEX('Facility Summary'!$K:$K,MATCH(K297,'Facility Summary'!$J:$J,0)),INDEX('Raw Annual DMR Data'!$M:$M,MATCH(K297,'Raw Annual DMR Data'!$L:$L,0)))</f>
        <v>Manufacturing</v>
      </c>
      <c r="M297" s="28"/>
      <c r="N297" s="28"/>
      <c r="O297" s="28"/>
      <c r="P297" s="28"/>
      <c r="Q297" s="28"/>
      <c r="R297" s="28"/>
      <c r="S297" s="28">
        <v>0.57910499999999998</v>
      </c>
    </row>
    <row r="298" spans="1:19" x14ac:dyDescent="0.25">
      <c r="A298" s="28">
        <v>2020</v>
      </c>
      <c r="B298" s="28"/>
      <c r="C298" s="28" t="s">
        <v>102</v>
      </c>
      <c r="D298" s="28" t="s">
        <v>309</v>
      </c>
      <c r="E298" s="28" t="s">
        <v>310</v>
      </c>
      <c r="F298" s="28" t="s">
        <v>311</v>
      </c>
      <c r="G298" s="28">
        <v>25112</v>
      </c>
      <c r="H298" s="28">
        <v>38.386439000000003</v>
      </c>
      <c r="I298" s="28">
        <v>-81.798439999999999</v>
      </c>
      <c r="J298" s="28"/>
      <c r="K298" s="61">
        <v>110064632312</v>
      </c>
      <c r="L298" s="61" t="str">
        <f>IFERROR(INDEX('Facility Summary'!$K:$K,MATCH(K298,'Facility Summary'!$J:$J,0)),INDEX('Raw Annual DMR Data'!$M:$M,MATCH(K298,'Raw Annual DMR Data'!$L:$L,0)))</f>
        <v>Manufacturing</v>
      </c>
      <c r="M298" s="28"/>
      <c r="N298" s="28"/>
      <c r="O298" s="28"/>
      <c r="P298" s="28"/>
      <c r="Q298" s="28"/>
      <c r="R298" s="28"/>
      <c r="S298" s="28">
        <v>0.206802721088435</v>
      </c>
    </row>
    <row r="299" spans="1:19" x14ac:dyDescent="0.25">
      <c r="A299" s="28">
        <v>2019</v>
      </c>
      <c r="B299" s="28"/>
      <c r="C299" s="28" t="s">
        <v>102</v>
      </c>
      <c r="D299" s="28" t="s">
        <v>309</v>
      </c>
      <c r="E299" s="28" t="s">
        <v>310</v>
      </c>
      <c r="F299" s="28" t="s">
        <v>311</v>
      </c>
      <c r="G299" s="28">
        <v>25112</v>
      </c>
      <c r="H299" s="28">
        <v>38.386439000000003</v>
      </c>
      <c r="I299" s="28">
        <v>-81.798439999999999</v>
      </c>
      <c r="J299" s="28"/>
      <c r="K299" s="61">
        <v>110064632312</v>
      </c>
      <c r="L299" s="61" t="str">
        <f>IFERROR(INDEX('Facility Summary'!$K:$K,MATCH(K299,'Facility Summary'!$J:$J,0)),INDEX('Raw Annual DMR Data'!$M:$M,MATCH(K299,'Raw Annual DMR Data'!$L:$L,0)))</f>
        <v>Manufacturing</v>
      </c>
      <c r="M299" s="28"/>
      <c r="N299" s="28"/>
      <c r="O299" s="28"/>
      <c r="P299" s="28"/>
      <c r="Q299" s="28"/>
      <c r="R299" s="28"/>
      <c r="S299" s="28">
        <v>0.16621315192743699</v>
      </c>
    </row>
    <row r="300" spans="1:19" x14ac:dyDescent="0.25">
      <c r="A300" s="28">
        <v>2019</v>
      </c>
      <c r="B300" s="28"/>
      <c r="C300" s="28" t="s">
        <v>102</v>
      </c>
      <c r="D300" s="28" t="s">
        <v>309</v>
      </c>
      <c r="E300" s="28" t="s">
        <v>310</v>
      </c>
      <c r="F300" s="28" t="s">
        <v>311</v>
      </c>
      <c r="G300" s="28">
        <v>25112</v>
      </c>
      <c r="H300" s="28">
        <v>38.386439000000003</v>
      </c>
      <c r="I300" s="28">
        <v>-81.798439999999999</v>
      </c>
      <c r="J300" s="28"/>
      <c r="K300" s="61">
        <v>110064632312</v>
      </c>
      <c r="L300" s="61" t="str">
        <f>IFERROR(INDEX('Facility Summary'!$K:$K,MATCH(K300,'Facility Summary'!$J:$J,0)),INDEX('Raw Annual DMR Data'!$M:$M,MATCH(K300,'Raw Annual DMR Data'!$L:$L,0)))</f>
        <v>Manufacturing</v>
      </c>
      <c r="M300" s="28"/>
      <c r="N300" s="28"/>
      <c r="O300" s="28"/>
      <c r="P300" s="28"/>
      <c r="Q300" s="28"/>
      <c r="R300" s="28"/>
      <c r="S300" s="28">
        <v>8.2176870748299297E-2</v>
      </c>
    </row>
    <row r="301" spans="1:19" x14ac:dyDescent="0.25">
      <c r="A301" s="28">
        <v>2015</v>
      </c>
      <c r="B301" s="28" t="s">
        <v>2403</v>
      </c>
      <c r="C301" s="28" t="s">
        <v>679</v>
      </c>
      <c r="D301" s="28" t="s">
        <v>680</v>
      </c>
      <c r="E301" s="28" t="s">
        <v>681</v>
      </c>
      <c r="F301" s="28" t="s">
        <v>328</v>
      </c>
      <c r="G301" s="28">
        <v>31535</v>
      </c>
      <c r="H301" s="28">
        <v>31.485279999999999</v>
      </c>
      <c r="I301" s="28">
        <v>-82.862380000000002</v>
      </c>
      <c r="J301" s="28" t="s">
        <v>682</v>
      </c>
      <c r="K301" s="61">
        <v>110000360644</v>
      </c>
      <c r="L301" s="61" t="str">
        <f>IFERROR(INDEX('Facility Summary'!$K:$K,MATCH(K301,'Facility Summary'!$J:$J,0)),INDEX('Raw Annual DMR Data'!$M:$M,MATCH(K301,'Raw Annual DMR Data'!$L:$L,0)))</f>
        <v>Processing as a Reactant</v>
      </c>
      <c r="M301" s="28">
        <v>325199</v>
      </c>
      <c r="N301" s="28" t="s">
        <v>28</v>
      </c>
      <c r="O301" s="28"/>
      <c r="P301" s="28" t="s">
        <v>2404</v>
      </c>
      <c r="Q301" s="28"/>
      <c r="R301" s="28">
        <v>500</v>
      </c>
      <c r="S301" s="28">
        <v>226.79618500000001</v>
      </c>
    </row>
    <row r="302" spans="1:19" x14ac:dyDescent="0.25">
      <c r="A302" s="28">
        <v>2016</v>
      </c>
      <c r="B302" s="28" t="s">
        <v>2403</v>
      </c>
      <c r="C302" s="28" t="s">
        <v>679</v>
      </c>
      <c r="D302" s="28" t="s">
        <v>680</v>
      </c>
      <c r="E302" s="28" t="s">
        <v>681</v>
      </c>
      <c r="F302" s="28" t="s">
        <v>328</v>
      </c>
      <c r="G302" s="28">
        <v>31535</v>
      </c>
      <c r="H302" s="28">
        <v>31.485279999999999</v>
      </c>
      <c r="I302" s="28">
        <v>-82.862380000000002</v>
      </c>
      <c r="J302" s="28" t="s">
        <v>682</v>
      </c>
      <c r="K302" s="61">
        <v>110000360644</v>
      </c>
      <c r="L302" s="61" t="str">
        <f>IFERROR(INDEX('Facility Summary'!$K:$K,MATCH(K302,'Facility Summary'!$J:$J,0)),INDEX('Raw Annual DMR Data'!$M:$M,MATCH(K302,'Raw Annual DMR Data'!$L:$L,0)))</f>
        <v>Processing as a Reactant</v>
      </c>
      <c r="M302" s="28">
        <v>325199</v>
      </c>
      <c r="N302" s="28" t="s">
        <v>28</v>
      </c>
      <c r="O302" s="28"/>
      <c r="P302" s="28" t="s">
        <v>2404</v>
      </c>
      <c r="Q302" s="28"/>
      <c r="R302" s="28">
        <v>500</v>
      </c>
      <c r="S302" s="28">
        <v>226.79618500000001</v>
      </c>
    </row>
    <row r="303" spans="1:19" x14ac:dyDescent="0.25">
      <c r="A303" s="28">
        <v>2017</v>
      </c>
      <c r="B303" s="28" t="s">
        <v>2403</v>
      </c>
      <c r="C303" s="28" t="s">
        <v>679</v>
      </c>
      <c r="D303" s="28" t="s">
        <v>680</v>
      </c>
      <c r="E303" s="28" t="s">
        <v>681</v>
      </c>
      <c r="F303" s="28" t="s">
        <v>328</v>
      </c>
      <c r="G303" s="28">
        <v>31535</v>
      </c>
      <c r="H303" s="28">
        <v>31.485279999999999</v>
      </c>
      <c r="I303" s="28">
        <v>-82.862380000000002</v>
      </c>
      <c r="J303" s="28" t="s">
        <v>682</v>
      </c>
      <c r="K303" s="61">
        <v>110000360644</v>
      </c>
      <c r="L303" s="61" t="str">
        <f>IFERROR(INDEX('Facility Summary'!$K:$K,MATCH(K303,'Facility Summary'!$J:$J,0)),INDEX('Raw Annual DMR Data'!$M:$M,MATCH(K303,'Raw Annual DMR Data'!$L:$L,0)))</f>
        <v>Processing as a Reactant</v>
      </c>
      <c r="M303" s="28">
        <v>325199</v>
      </c>
      <c r="N303" s="28" t="s">
        <v>28</v>
      </c>
      <c r="O303" s="28"/>
      <c r="P303" s="28" t="s">
        <v>2404</v>
      </c>
      <c r="Q303" s="28"/>
      <c r="R303" s="28">
        <v>500</v>
      </c>
      <c r="S303" s="28">
        <v>226.79618500000001</v>
      </c>
    </row>
    <row r="304" spans="1:19" x14ac:dyDescent="0.25">
      <c r="A304" s="28">
        <v>2018</v>
      </c>
      <c r="B304" s="28" t="s">
        <v>2403</v>
      </c>
      <c r="C304" s="28" t="s">
        <v>679</v>
      </c>
      <c r="D304" s="28" t="s">
        <v>680</v>
      </c>
      <c r="E304" s="28" t="s">
        <v>681</v>
      </c>
      <c r="F304" s="28" t="s">
        <v>328</v>
      </c>
      <c r="G304" s="28">
        <v>31535</v>
      </c>
      <c r="H304" s="28">
        <v>31.485279999999999</v>
      </c>
      <c r="I304" s="28">
        <v>-82.862380000000002</v>
      </c>
      <c r="J304" s="28" t="s">
        <v>682</v>
      </c>
      <c r="K304" s="61">
        <v>110000360644</v>
      </c>
      <c r="L304" s="61" t="str">
        <f>IFERROR(INDEX('Facility Summary'!$K:$K,MATCH(K304,'Facility Summary'!$J:$J,0)),INDEX('Raw Annual DMR Data'!$M:$M,MATCH(K304,'Raw Annual DMR Data'!$L:$L,0)))</f>
        <v>Processing as a Reactant</v>
      </c>
      <c r="M304" s="28">
        <v>325199</v>
      </c>
      <c r="N304" s="28" t="s">
        <v>28</v>
      </c>
      <c r="O304" s="28"/>
      <c r="P304" s="28" t="s">
        <v>2404</v>
      </c>
      <c r="Q304" s="28"/>
      <c r="R304" s="28">
        <v>500</v>
      </c>
      <c r="S304" s="28">
        <v>226.79618500000001</v>
      </c>
    </row>
    <row r="305" spans="1:19" x14ac:dyDescent="0.25">
      <c r="A305" s="28">
        <v>2019</v>
      </c>
      <c r="B305" s="28" t="s">
        <v>2403</v>
      </c>
      <c r="C305" s="28" t="s">
        <v>679</v>
      </c>
      <c r="D305" s="28" t="s">
        <v>680</v>
      </c>
      <c r="E305" s="28" t="s">
        <v>681</v>
      </c>
      <c r="F305" s="28" t="s">
        <v>328</v>
      </c>
      <c r="G305" s="28">
        <v>31535</v>
      </c>
      <c r="H305" s="28">
        <v>31.485279999999999</v>
      </c>
      <c r="I305" s="28">
        <v>-82.862380000000002</v>
      </c>
      <c r="J305" s="28" t="s">
        <v>682</v>
      </c>
      <c r="K305" s="61">
        <v>110000360644</v>
      </c>
      <c r="L305" s="61" t="str">
        <f>IFERROR(INDEX('Facility Summary'!$K:$K,MATCH(K305,'Facility Summary'!$J:$J,0)),INDEX('Raw Annual DMR Data'!$M:$M,MATCH(K305,'Raw Annual DMR Data'!$L:$L,0)))</f>
        <v>Processing as a Reactant</v>
      </c>
      <c r="M305" s="28">
        <v>325199</v>
      </c>
      <c r="N305" s="28" t="s">
        <v>28</v>
      </c>
      <c r="O305" s="28"/>
      <c r="P305" s="28" t="s">
        <v>2404</v>
      </c>
      <c r="Q305" s="28"/>
      <c r="R305" s="28">
        <v>500</v>
      </c>
      <c r="S305" s="28">
        <v>226.79618500000001</v>
      </c>
    </row>
    <row r="306" spans="1:19" x14ac:dyDescent="0.25">
      <c r="A306" s="28">
        <v>2020</v>
      </c>
      <c r="B306" s="28" t="s">
        <v>2403</v>
      </c>
      <c r="C306" s="28" t="s">
        <v>679</v>
      </c>
      <c r="D306" s="28" t="s">
        <v>680</v>
      </c>
      <c r="E306" s="28" t="s">
        <v>681</v>
      </c>
      <c r="F306" s="28" t="s">
        <v>328</v>
      </c>
      <c r="G306" s="28">
        <v>31535</v>
      </c>
      <c r="H306" s="28">
        <v>31.485279999999999</v>
      </c>
      <c r="I306" s="28">
        <v>-82.862380000000002</v>
      </c>
      <c r="J306" s="28" t="s">
        <v>682</v>
      </c>
      <c r="K306" s="61">
        <v>110000360644</v>
      </c>
      <c r="L306" s="61" t="str">
        <f>IFERROR(INDEX('Facility Summary'!$K:$K,MATCH(K306,'Facility Summary'!$J:$J,0)),INDEX('Raw Annual DMR Data'!$M:$M,MATCH(K306,'Raw Annual DMR Data'!$L:$L,0)))</f>
        <v>Processing as a Reactant</v>
      </c>
      <c r="M306" s="28">
        <v>325199</v>
      </c>
      <c r="N306" s="28" t="s">
        <v>28</v>
      </c>
      <c r="O306" s="28"/>
      <c r="P306" s="28" t="s">
        <v>2404</v>
      </c>
      <c r="Q306" s="28"/>
      <c r="R306" s="28">
        <v>500</v>
      </c>
      <c r="S306" s="28">
        <v>226.79618500000001</v>
      </c>
    </row>
    <row r="307" spans="1:19" x14ac:dyDescent="0.25">
      <c r="A307" s="28">
        <v>2018</v>
      </c>
      <c r="B307" s="28"/>
      <c r="C307" s="28" t="s">
        <v>179</v>
      </c>
      <c r="D307" s="28" t="s">
        <v>589</v>
      </c>
      <c r="E307" s="28" t="s">
        <v>590</v>
      </c>
      <c r="F307" s="28" t="s">
        <v>362</v>
      </c>
      <c r="G307" s="28">
        <v>77536</v>
      </c>
      <c r="H307" s="28">
        <v>29.726130000000001</v>
      </c>
      <c r="I307" s="28">
        <v>-95.108019999999996</v>
      </c>
      <c r="J307" s="28" t="s">
        <v>591</v>
      </c>
      <c r="K307" s="61">
        <v>110043782788</v>
      </c>
      <c r="L307" s="61" t="str">
        <f>IFERROR(INDEX('Facility Summary'!$K:$K,MATCH(K307,'Facility Summary'!$J:$J,0)),INDEX('Raw Annual DMR Data'!$M:$M,MATCH(K307,'Raw Annual DMR Data'!$L:$L,0)))</f>
        <v>Processing as a Reactant</v>
      </c>
      <c r="M307" s="28"/>
      <c r="N307" s="28"/>
      <c r="O307" s="28"/>
      <c r="P307" s="28"/>
      <c r="Q307" s="28"/>
      <c r="R307" s="28"/>
      <c r="S307" s="28">
        <v>73.125539345454499</v>
      </c>
    </row>
    <row r="308" spans="1:19" x14ac:dyDescent="0.25">
      <c r="A308" s="28">
        <v>2016</v>
      </c>
      <c r="B308" s="28"/>
      <c r="C308" s="28" t="s">
        <v>179</v>
      </c>
      <c r="D308" s="28" t="s">
        <v>589</v>
      </c>
      <c r="E308" s="28" t="s">
        <v>590</v>
      </c>
      <c r="F308" s="28" t="s">
        <v>362</v>
      </c>
      <c r="G308" s="28">
        <v>77536</v>
      </c>
      <c r="H308" s="28">
        <v>29.726130000000001</v>
      </c>
      <c r="I308" s="28">
        <v>-95.108019999999996</v>
      </c>
      <c r="J308" s="28" t="s">
        <v>591</v>
      </c>
      <c r="K308" s="61">
        <v>110043782788</v>
      </c>
      <c r="L308" s="61" t="str">
        <f>IFERROR(INDEX('Facility Summary'!$K:$K,MATCH(K308,'Facility Summary'!$J:$J,0)),INDEX('Raw Annual DMR Data'!$M:$M,MATCH(K308,'Raw Annual DMR Data'!$L:$L,0)))</f>
        <v>Processing as a Reactant</v>
      </c>
      <c r="M308" s="28"/>
      <c r="N308" s="28"/>
      <c r="O308" s="28"/>
      <c r="P308" s="28"/>
      <c r="Q308" s="28"/>
      <c r="R308" s="28"/>
      <c r="S308" s="28">
        <v>77.259987749999993</v>
      </c>
    </row>
    <row r="309" spans="1:19" x14ac:dyDescent="0.25">
      <c r="A309" s="28">
        <v>2017</v>
      </c>
      <c r="B309" s="28"/>
      <c r="C309" s="28" t="s">
        <v>179</v>
      </c>
      <c r="D309" s="28" t="s">
        <v>589</v>
      </c>
      <c r="E309" s="28" t="s">
        <v>590</v>
      </c>
      <c r="F309" s="28" t="s">
        <v>362</v>
      </c>
      <c r="G309" s="28">
        <v>77536</v>
      </c>
      <c r="H309" s="28">
        <v>29.726130000000001</v>
      </c>
      <c r="I309" s="28">
        <v>-95.108019999999996</v>
      </c>
      <c r="J309" s="28" t="s">
        <v>591</v>
      </c>
      <c r="K309" s="61">
        <v>110043782788</v>
      </c>
      <c r="L309" s="61" t="str">
        <f>IFERROR(INDEX('Facility Summary'!$K:$K,MATCH(K309,'Facility Summary'!$J:$J,0)),INDEX('Raw Annual DMR Data'!$M:$M,MATCH(K309,'Raw Annual DMR Data'!$L:$L,0)))</f>
        <v>Processing as a Reactant</v>
      </c>
      <c r="M309" s="28"/>
      <c r="N309" s="28"/>
      <c r="O309" s="28"/>
      <c r="P309" s="28"/>
      <c r="Q309" s="28"/>
      <c r="R309" s="28"/>
      <c r="S309" s="28">
        <v>71.433656142857103</v>
      </c>
    </row>
    <row r="310" spans="1:19" x14ac:dyDescent="0.25">
      <c r="A310" s="28">
        <v>2019</v>
      </c>
      <c r="B310" s="28"/>
      <c r="C310" s="28" t="s">
        <v>179</v>
      </c>
      <c r="D310" s="28" t="s">
        <v>589</v>
      </c>
      <c r="E310" s="28" t="s">
        <v>590</v>
      </c>
      <c r="F310" s="28" t="s">
        <v>362</v>
      </c>
      <c r="G310" s="28">
        <v>77536</v>
      </c>
      <c r="H310" s="28">
        <v>29.726130000000001</v>
      </c>
      <c r="I310" s="28">
        <v>-95.108019999999996</v>
      </c>
      <c r="J310" s="28" t="s">
        <v>591</v>
      </c>
      <c r="K310" s="61">
        <v>110043782788</v>
      </c>
      <c r="L310" s="61" t="str">
        <f>IFERROR(INDEX('Facility Summary'!$K:$K,MATCH(K310,'Facility Summary'!$J:$J,0)),INDEX('Raw Annual DMR Data'!$M:$M,MATCH(K310,'Raw Annual DMR Data'!$L:$L,0)))</f>
        <v>Processing as a Reactant</v>
      </c>
      <c r="M310" s="28"/>
      <c r="N310" s="28"/>
      <c r="O310" s="28"/>
      <c r="P310" s="28"/>
      <c r="Q310" s="28"/>
      <c r="R310" s="28"/>
      <c r="S310" s="28">
        <v>65.076950181818106</v>
      </c>
    </row>
    <row r="311" spans="1:19" x14ac:dyDescent="0.25">
      <c r="A311" s="28">
        <v>2020</v>
      </c>
      <c r="B311" s="28"/>
      <c r="C311" s="28" t="s">
        <v>179</v>
      </c>
      <c r="D311" s="28" t="s">
        <v>589</v>
      </c>
      <c r="E311" s="28" t="s">
        <v>590</v>
      </c>
      <c r="F311" s="28" t="s">
        <v>362</v>
      </c>
      <c r="G311" s="28">
        <v>77536</v>
      </c>
      <c r="H311" s="28">
        <v>29.726130000000001</v>
      </c>
      <c r="I311" s="28">
        <v>-95.108019999999996</v>
      </c>
      <c r="J311" s="28" t="s">
        <v>591</v>
      </c>
      <c r="K311" s="61">
        <v>110043782788</v>
      </c>
      <c r="L311" s="61" t="str">
        <f>IFERROR(INDEX('Facility Summary'!$K:$K,MATCH(K311,'Facility Summary'!$J:$J,0)),INDEX('Raw Annual DMR Data'!$M:$M,MATCH(K311,'Raw Annual DMR Data'!$L:$L,0)))</f>
        <v>Processing as a Reactant</v>
      </c>
      <c r="M311" s="28"/>
      <c r="N311" s="28"/>
      <c r="O311" s="28"/>
      <c r="P311" s="28"/>
      <c r="Q311" s="28"/>
      <c r="R311" s="28"/>
      <c r="S311" s="28">
        <v>57.4163304</v>
      </c>
    </row>
    <row r="312" spans="1:19" x14ac:dyDescent="0.25">
      <c r="A312" s="28">
        <v>2017</v>
      </c>
      <c r="B312" s="28"/>
      <c r="C312" s="28" t="s">
        <v>179</v>
      </c>
      <c r="D312" s="28" t="s">
        <v>589</v>
      </c>
      <c r="E312" s="28" t="s">
        <v>590</v>
      </c>
      <c r="F312" s="28" t="s">
        <v>362</v>
      </c>
      <c r="G312" s="28">
        <v>77536</v>
      </c>
      <c r="H312" s="28">
        <v>29.726130000000001</v>
      </c>
      <c r="I312" s="28">
        <v>-95.108019999999996</v>
      </c>
      <c r="J312" s="28" t="s">
        <v>591</v>
      </c>
      <c r="K312" s="61">
        <v>110043782788</v>
      </c>
      <c r="L312" s="61" t="str">
        <f>IFERROR(INDEX('Facility Summary'!$K:$K,MATCH(K312,'Facility Summary'!$J:$J,0)),INDEX('Raw Annual DMR Data'!$M:$M,MATCH(K312,'Raw Annual DMR Data'!$L:$L,0)))</f>
        <v>Processing as a Reactant</v>
      </c>
      <c r="M312" s="28"/>
      <c r="N312" s="28"/>
      <c r="O312" s="28"/>
      <c r="P312" s="28"/>
      <c r="Q312" s="28"/>
      <c r="R312" s="28"/>
      <c r="S312" s="28">
        <v>3.3106575963718798</v>
      </c>
    </row>
    <row r="313" spans="1:19" x14ac:dyDescent="0.25">
      <c r="A313" s="28">
        <v>2015</v>
      </c>
      <c r="B313" s="28"/>
      <c r="C313" s="28" t="s">
        <v>179</v>
      </c>
      <c r="D313" s="28" t="s">
        <v>589</v>
      </c>
      <c r="E313" s="28" t="s">
        <v>590</v>
      </c>
      <c r="F313" s="28" t="s">
        <v>362</v>
      </c>
      <c r="G313" s="28">
        <v>77536</v>
      </c>
      <c r="H313" s="28">
        <v>29.726130000000001</v>
      </c>
      <c r="I313" s="28">
        <v>-95.108019999999996</v>
      </c>
      <c r="J313" s="28" t="s">
        <v>591</v>
      </c>
      <c r="K313" s="61">
        <v>110043782788</v>
      </c>
      <c r="L313" s="61" t="str">
        <f>IFERROR(INDEX('Facility Summary'!$K:$K,MATCH(K313,'Facility Summary'!$J:$J,0)),INDEX('Raw Annual DMR Data'!$M:$M,MATCH(K313,'Raw Annual DMR Data'!$L:$L,0)))</f>
        <v>Processing as a Reactant</v>
      </c>
      <c r="M313" s="28"/>
      <c r="N313" s="28"/>
      <c r="O313" s="28"/>
      <c r="P313" s="28"/>
      <c r="Q313" s="28"/>
      <c r="R313" s="28"/>
      <c r="S313" s="28">
        <v>11.5873015873015</v>
      </c>
    </row>
    <row r="314" spans="1:19" x14ac:dyDescent="0.25">
      <c r="A314" s="28">
        <v>2015</v>
      </c>
      <c r="B314" s="28"/>
      <c r="C314" s="28" t="s">
        <v>179</v>
      </c>
      <c r="D314" s="28" t="s">
        <v>589</v>
      </c>
      <c r="E314" s="28" t="s">
        <v>590</v>
      </c>
      <c r="F314" s="28" t="s">
        <v>362</v>
      </c>
      <c r="G314" s="28">
        <v>77536</v>
      </c>
      <c r="H314" s="28">
        <v>29.726130000000001</v>
      </c>
      <c r="I314" s="28">
        <v>-95.108019999999996</v>
      </c>
      <c r="J314" s="28" t="s">
        <v>591</v>
      </c>
      <c r="K314" s="61">
        <v>110043782788</v>
      </c>
      <c r="L314" s="61" t="str">
        <f>IFERROR(INDEX('Facility Summary'!$K:$K,MATCH(K314,'Facility Summary'!$J:$J,0)),INDEX('Raw Annual DMR Data'!$M:$M,MATCH(K314,'Raw Annual DMR Data'!$L:$L,0)))</f>
        <v>Processing as a Reactant</v>
      </c>
      <c r="M314" s="28"/>
      <c r="N314" s="28"/>
      <c r="O314" s="28"/>
      <c r="P314" s="28"/>
      <c r="Q314" s="28"/>
      <c r="R314" s="28"/>
      <c r="S314" s="28">
        <v>69.465348000000006</v>
      </c>
    </row>
    <row r="315" spans="1:19" x14ac:dyDescent="0.25">
      <c r="A315" s="28">
        <v>2018</v>
      </c>
      <c r="B315" s="28"/>
      <c r="C315" s="28" t="s">
        <v>102</v>
      </c>
      <c r="D315" s="28" t="s">
        <v>309</v>
      </c>
      <c r="E315" s="28" t="s">
        <v>310</v>
      </c>
      <c r="F315" s="28" t="s">
        <v>311</v>
      </c>
      <c r="G315" s="28">
        <v>25112</v>
      </c>
      <c r="H315" s="28">
        <v>38.386439000000003</v>
      </c>
      <c r="I315" s="28">
        <v>-81.798439999999999</v>
      </c>
      <c r="J315" s="28"/>
      <c r="K315" s="61">
        <v>110064632312</v>
      </c>
      <c r="L315" s="61" t="str">
        <f>IFERROR(INDEX('Facility Summary'!$K:$K,MATCH(K315,'Facility Summary'!$J:$J,0)),INDEX('Raw Annual DMR Data'!$M:$M,MATCH(K315,'Raw Annual DMR Data'!$L:$L,0)))</f>
        <v>Manufacturing</v>
      </c>
      <c r="M315" s="28"/>
      <c r="N315" s="28"/>
      <c r="O315" s="28"/>
      <c r="P315" s="28"/>
      <c r="Q315" s="28"/>
      <c r="R315" s="28"/>
      <c r="S315" s="28">
        <v>1.0687799124999999</v>
      </c>
    </row>
    <row r="316" spans="1:19" x14ac:dyDescent="0.25">
      <c r="A316" s="28">
        <v>2018</v>
      </c>
      <c r="B316" s="28"/>
      <c r="C316" s="28" t="s">
        <v>102</v>
      </c>
      <c r="D316" s="28" t="s">
        <v>309</v>
      </c>
      <c r="E316" s="28" t="s">
        <v>310</v>
      </c>
      <c r="F316" s="28" t="s">
        <v>311</v>
      </c>
      <c r="G316" s="28">
        <v>25112</v>
      </c>
      <c r="H316" s="28">
        <v>38.386439000000003</v>
      </c>
      <c r="I316" s="28">
        <v>-81.798439999999999</v>
      </c>
      <c r="J316" s="28"/>
      <c r="K316" s="61">
        <v>110064632312</v>
      </c>
      <c r="L316" s="61" t="str">
        <f>IFERROR(INDEX('Facility Summary'!$K:$K,MATCH(K316,'Facility Summary'!$J:$J,0)),INDEX('Raw Annual DMR Data'!$M:$M,MATCH(K316,'Raw Annual DMR Data'!$L:$L,0)))</f>
        <v>Manufacturing</v>
      </c>
      <c r="M316" s="28"/>
      <c r="N316" s="28"/>
      <c r="O316" s="28"/>
      <c r="P316" s="28"/>
      <c r="Q316" s="28"/>
      <c r="R316" s="28"/>
      <c r="S316" s="28">
        <v>0.59589569160997702</v>
      </c>
    </row>
    <row r="317" spans="1:19" x14ac:dyDescent="0.25">
      <c r="A317" s="28">
        <v>2015</v>
      </c>
      <c r="B317" s="28"/>
      <c r="C317" s="28" t="s">
        <v>102</v>
      </c>
      <c r="D317" s="28" t="s">
        <v>309</v>
      </c>
      <c r="E317" s="28" t="s">
        <v>310</v>
      </c>
      <c r="F317" s="28" t="s">
        <v>311</v>
      </c>
      <c r="G317" s="28">
        <v>25112</v>
      </c>
      <c r="H317" s="28">
        <v>38.386439000000003</v>
      </c>
      <c r="I317" s="28">
        <v>-81.798439999999999</v>
      </c>
      <c r="J317" s="28"/>
      <c r="K317" s="61">
        <v>110064632312</v>
      </c>
      <c r="L317" s="61" t="str">
        <f>IFERROR(INDEX('Facility Summary'!$K:$K,MATCH(K317,'Facility Summary'!$J:$J,0)),INDEX('Raw Annual DMR Data'!$M:$M,MATCH(K317,'Raw Annual DMR Data'!$L:$L,0)))</f>
        <v>Manufacturing</v>
      </c>
      <c r="M317" s="28"/>
      <c r="N317" s="28"/>
      <c r="O317" s="28"/>
      <c r="P317" s="28"/>
      <c r="Q317" s="28"/>
      <c r="R317" s="28"/>
      <c r="S317" s="28">
        <v>4.3039992000000003E-3</v>
      </c>
    </row>
    <row r="318" spans="1:19" x14ac:dyDescent="0.25">
      <c r="A318" s="28">
        <v>2019</v>
      </c>
      <c r="B318" s="28"/>
      <c r="C318" s="28" t="s">
        <v>104</v>
      </c>
      <c r="D318" s="28" t="s">
        <v>317</v>
      </c>
      <c r="E318" s="28" t="s">
        <v>318</v>
      </c>
      <c r="F318" s="28" t="s">
        <v>319</v>
      </c>
      <c r="G318" s="28" t="s">
        <v>320</v>
      </c>
      <c r="H318" s="28">
        <v>40.506320000000002</v>
      </c>
      <c r="I318" s="28">
        <v>-81.474299999999999</v>
      </c>
      <c r="J318" s="28" t="s">
        <v>321</v>
      </c>
      <c r="K318" s="61">
        <v>110000496981</v>
      </c>
      <c r="L318" s="61" t="str">
        <f>IFERROR(INDEX('Facility Summary'!$K:$K,MATCH(K318,'Facility Summary'!$J:$J,0)),INDEX('Raw Annual DMR Data'!$M:$M,MATCH(K318,'Raw Annual DMR Data'!$L:$L,0)))</f>
        <v>Manufacturing</v>
      </c>
      <c r="M318" s="28"/>
      <c r="N318" s="28"/>
      <c r="O318" s="28"/>
      <c r="P318" s="28"/>
      <c r="Q318" s="28"/>
      <c r="R318" s="28"/>
      <c r="S318" s="28">
        <v>2.31636</v>
      </c>
    </row>
    <row r="319" spans="1:19" x14ac:dyDescent="0.25">
      <c r="A319" s="28">
        <v>2020</v>
      </c>
      <c r="B319" s="28"/>
      <c r="C319" s="28" t="s">
        <v>104</v>
      </c>
      <c r="D319" s="28" t="s">
        <v>317</v>
      </c>
      <c r="E319" s="28" t="s">
        <v>318</v>
      </c>
      <c r="F319" s="28" t="s">
        <v>319</v>
      </c>
      <c r="G319" s="28" t="s">
        <v>320</v>
      </c>
      <c r="H319" s="28">
        <v>40.506320000000002</v>
      </c>
      <c r="I319" s="28">
        <v>-81.474299999999999</v>
      </c>
      <c r="J319" s="28" t="s">
        <v>321</v>
      </c>
      <c r="K319" s="61">
        <v>110000496981</v>
      </c>
      <c r="L319" s="61" t="str">
        <f>IFERROR(INDEX('Facility Summary'!$K:$K,MATCH(K319,'Facility Summary'!$J:$J,0)),INDEX('Raw Annual DMR Data'!$M:$M,MATCH(K319,'Raw Annual DMR Data'!$L:$L,0)))</f>
        <v>Manufacturing</v>
      </c>
      <c r="M319" s="28"/>
      <c r="N319" s="28"/>
      <c r="O319" s="28"/>
      <c r="P319" s="28"/>
      <c r="Q319" s="28"/>
      <c r="R319" s="28"/>
      <c r="S319" s="28">
        <v>0.76859999999999995</v>
      </c>
    </row>
    <row r="320" spans="1:19" x14ac:dyDescent="0.25">
      <c r="A320" s="28">
        <v>2017</v>
      </c>
      <c r="B320" s="28"/>
      <c r="C320" s="28" t="s">
        <v>44</v>
      </c>
      <c r="D320" s="28" t="s">
        <v>367</v>
      </c>
      <c r="E320" s="28" t="s">
        <v>368</v>
      </c>
      <c r="F320" s="28" t="s">
        <v>349</v>
      </c>
      <c r="G320" s="28">
        <v>63630</v>
      </c>
      <c r="H320" s="28">
        <v>37.983333000000002</v>
      </c>
      <c r="I320" s="28">
        <v>-90.690832999999998</v>
      </c>
      <c r="J320" s="28" t="s">
        <v>369</v>
      </c>
      <c r="K320" s="61">
        <v>110017980443</v>
      </c>
      <c r="L320" s="61" t="str">
        <f>IFERROR(INDEX('Facility Summary'!$K:$K,MATCH(K320,'Facility Summary'!$J:$J,0)),INDEX('Raw Annual DMR Data'!$M:$M,MATCH(K320,'Raw Annual DMR Data'!$L:$L,0)))</f>
        <v>Manufacturing</v>
      </c>
      <c r="M320" s="28"/>
      <c r="N320" s="28"/>
      <c r="O320" s="28"/>
      <c r="P320" s="28"/>
      <c r="Q320" s="28"/>
      <c r="R320" s="28"/>
      <c r="S320" s="28">
        <v>0.130298625</v>
      </c>
    </row>
    <row r="321" spans="1:19" x14ac:dyDescent="0.25">
      <c r="A321" s="28">
        <v>2017</v>
      </c>
      <c r="B321" s="28"/>
      <c r="C321" s="28" t="s">
        <v>180</v>
      </c>
      <c r="D321" s="28" t="s">
        <v>596</v>
      </c>
      <c r="E321" s="28" t="s">
        <v>597</v>
      </c>
      <c r="F321" s="28" t="s">
        <v>338</v>
      </c>
      <c r="G321" s="28">
        <v>8844</v>
      </c>
      <c r="H321" s="28">
        <v>40.52516</v>
      </c>
      <c r="I321" s="28">
        <v>-74.601039999999998</v>
      </c>
      <c r="J321" s="28"/>
      <c r="K321" s="61">
        <v>110070217974</v>
      </c>
      <c r="L321" s="61" t="str">
        <f>IFERROR(INDEX('Facility Summary'!$K:$K,MATCH(K321,'Facility Summary'!$J:$J,0)),INDEX('Raw Annual DMR Data'!$M:$M,MATCH(K321,'Raw Annual DMR Data'!$L:$L,0)))</f>
        <v>Processing into formulation, mixture, or reaction product</v>
      </c>
      <c r="M321" s="28"/>
      <c r="N321" s="28"/>
      <c r="O321" s="28"/>
      <c r="P321" s="28"/>
      <c r="Q321" s="28"/>
      <c r="R321" s="28"/>
      <c r="S321" s="28">
        <v>6.9758790103636298E-4</v>
      </c>
    </row>
    <row r="322" spans="1:19" x14ac:dyDescent="0.25">
      <c r="A322" s="28">
        <v>2018</v>
      </c>
      <c r="B322" s="28"/>
      <c r="C322" s="28" t="s">
        <v>180</v>
      </c>
      <c r="D322" s="28" t="s">
        <v>596</v>
      </c>
      <c r="E322" s="28" t="s">
        <v>597</v>
      </c>
      <c r="F322" s="28" t="s">
        <v>338</v>
      </c>
      <c r="G322" s="28">
        <v>8844</v>
      </c>
      <c r="H322" s="28">
        <v>40.52516</v>
      </c>
      <c r="I322" s="28">
        <v>-74.601039999999998</v>
      </c>
      <c r="J322" s="28"/>
      <c r="K322" s="61">
        <v>110070217974</v>
      </c>
      <c r="L322" s="61" t="str">
        <f>IFERROR(INDEX('Facility Summary'!$K:$K,MATCH(K322,'Facility Summary'!$J:$J,0)),INDEX('Raw Annual DMR Data'!$M:$M,MATCH(K322,'Raw Annual DMR Data'!$L:$L,0)))</f>
        <v>Processing into formulation, mixture, or reaction product</v>
      </c>
      <c r="M322" s="28"/>
      <c r="N322" s="28"/>
      <c r="O322" s="28"/>
      <c r="P322" s="28"/>
      <c r="Q322" s="28"/>
      <c r="R322" s="28"/>
      <c r="S322" s="28">
        <v>2.4142252327000002E-3</v>
      </c>
    </row>
    <row r="323" spans="1:19" x14ac:dyDescent="0.25">
      <c r="A323" s="28">
        <v>2018</v>
      </c>
      <c r="B323" s="28"/>
      <c r="C323" s="28" t="s">
        <v>123</v>
      </c>
      <c r="D323" s="28" t="s">
        <v>394</v>
      </c>
      <c r="E323" s="28" t="s">
        <v>395</v>
      </c>
      <c r="F323" s="28" t="s">
        <v>338</v>
      </c>
      <c r="G323" s="28">
        <v>8023</v>
      </c>
      <c r="H323" s="28">
        <v>39.682361999999998</v>
      </c>
      <c r="I323" s="28">
        <v>-75.491378999999995</v>
      </c>
      <c r="J323" s="28" t="s">
        <v>396</v>
      </c>
      <c r="K323" s="61">
        <v>110007970142</v>
      </c>
      <c r="L323" s="61" t="str">
        <f>IFERROR(INDEX('Facility Summary'!$K:$K,MATCH(K323,'Facility Summary'!$J:$J,0)),INDEX('Raw Annual DMR Data'!$M:$M,MATCH(K323,'Raw Annual DMR Data'!$L:$L,0)))</f>
        <v>Manufacturing</v>
      </c>
      <c r="M323" s="28"/>
      <c r="N323" s="28"/>
      <c r="O323" s="28"/>
      <c r="P323" s="28"/>
      <c r="Q323" s="28"/>
      <c r="R323" s="28"/>
      <c r="S323" s="28">
        <v>6.2</v>
      </c>
    </row>
    <row r="324" spans="1:19" x14ac:dyDescent="0.25">
      <c r="A324" s="28">
        <v>2016</v>
      </c>
      <c r="B324" s="28"/>
      <c r="C324" s="28" t="s">
        <v>182</v>
      </c>
      <c r="D324" s="28" t="s">
        <v>602</v>
      </c>
      <c r="E324" s="28" t="s">
        <v>603</v>
      </c>
      <c r="F324" s="28" t="s">
        <v>362</v>
      </c>
      <c r="G324" s="28">
        <v>76067</v>
      </c>
      <c r="H324" s="28">
        <v>32.788812999999998</v>
      </c>
      <c r="I324" s="28">
        <v>-98.060989000000006</v>
      </c>
      <c r="J324" s="28"/>
      <c r="K324" s="61">
        <v>110009773192</v>
      </c>
      <c r="L324" s="61" t="str">
        <f>IFERROR(INDEX('Facility Summary'!$K:$K,MATCH(K324,'Facility Summary'!$J:$J,0)),INDEX('Raw Annual DMR Data'!$M:$M,MATCH(K324,'Raw Annual DMR Data'!$L:$L,0)))</f>
        <v>Unknown</v>
      </c>
      <c r="M324" s="28"/>
      <c r="N324" s="28"/>
      <c r="O324" s="28"/>
      <c r="P324" s="28"/>
      <c r="Q324" s="28"/>
      <c r="R324" s="28"/>
      <c r="S324" s="28">
        <v>8.1632653061224393E-3</v>
      </c>
    </row>
    <row r="325" spans="1:19" x14ac:dyDescent="0.25">
      <c r="A325" s="28">
        <v>2018</v>
      </c>
      <c r="B325" s="28"/>
      <c r="C325" s="28" t="s">
        <v>183</v>
      </c>
      <c r="D325" s="28" t="s">
        <v>604</v>
      </c>
      <c r="E325" s="28" t="s">
        <v>446</v>
      </c>
      <c r="F325" s="28" t="s">
        <v>303</v>
      </c>
      <c r="G325" s="28">
        <v>70669</v>
      </c>
      <c r="H325" s="28">
        <v>30.242155</v>
      </c>
      <c r="I325" s="28">
        <v>-93.274386000000007</v>
      </c>
      <c r="J325" s="28" t="s">
        <v>605</v>
      </c>
      <c r="K325" s="61">
        <v>110000539757</v>
      </c>
      <c r="L325" s="61" t="str">
        <f>IFERROR(INDEX('Facility Summary'!$K:$K,MATCH(K325,'Facility Summary'!$J:$J,0)),INDEX('Raw Annual DMR Data'!$M:$M,MATCH(K325,'Raw Annual DMR Data'!$L:$L,0)))</f>
        <v>Repackaging</v>
      </c>
      <c r="M325" s="28"/>
      <c r="N325" s="28"/>
      <c r="O325" s="28"/>
      <c r="P325" s="28"/>
      <c r="Q325" s="28"/>
      <c r="R325" s="28"/>
      <c r="S325" s="28">
        <v>2.9840939999999998</v>
      </c>
    </row>
    <row r="326" spans="1:19" x14ac:dyDescent="0.25">
      <c r="A326" s="28">
        <v>2020</v>
      </c>
      <c r="B326" s="28"/>
      <c r="C326" s="28" t="s">
        <v>183</v>
      </c>
      <c r="D326" s="28" t="s">
        <v>604</v>
      </c>
      <c r="E326" s="28" t="s">
        <v>446</v>
      </c>
      <c r="F326" s="28" t="s">
        <v>303</v>
      </c>
      <c r="G326" s="28">
        <v>70669</v>
      </c>
      <c r="H326" s="28">
        <v>30.242155</v>
      </c>
      <c r="I326" s="28">
        <v>-93.274386000000007</v>
      </c>
      <c r="J326" s="28" t="s">
        <v>605</v>
      </c>
      <c r="K326" s="61">
        <v>110000539757</v>
      </c>
      <c r="L326" s="61" t="str">
        <f>IFERROR(INDEX('Facility Summary'!$K:$K,MATCH(K326,'Facility Summary'!$J:$J,0)),INDEX('Raw Annual DMR Data'!$M:$M,MATCH(K326,'Raw Annual DMR Data'!$L:$L,0)))</f>
        <v>Repackaging</v>
      </c>
      <c r="M326" s="28"/>
      <c r="N326" s="28"/>
      <c r="O326" s="28"/>
      <c r="P326" s="28"/>
      <c r="Q326" s="28"/>
      <c r="R326" s="28"/>
      <c r="S326" s="28">
        <v>13.979519</v>
      </c>
    </row>
    <row r="327" spans="1:19" x14ac:dyDescent="0.25">
      <c r="A327" s="28">
        <v>2017</v>
      </c>
      <c r="B327" s="28"/>
      <c r="C327" s="28" t="s">
        <v>183</v>
      </c>
      <c r="D327" s="28" t="s">
        <v>604</v>
      </c>
      <c r="E327" s="28" t="s">
        <v>446</v>
      </c>
      <c r="F327" s="28" t="s">
        <v>303</v>
      </c>
      <c r="G327" s="28">
        <v>70669</v>
      </c>
      <c r="H327" s="28">
        <v>30.242155</v>
      </c>
      <c r="I327" s="28">
        <v>-93.274386000000007</v>
      </c>
      <c r="J327" s="28" t="s">
        <v>605</v>
      </c>
      <c r="K327" s="61">
        <v>110000539757</v>
      </c>
      <c r="L327" s="61" t="str">
        <f>IFERROR(INDEX('Facility Summary'!$K:$K,MATCH(K327,'Facility Summary'!$J:$J,0)),INDEX('Raw Annual DMR Data'!$M:$M,MATCH(K327,'Raw Annual DMR Data'!$L:$L,0)))</f>
        <v>Repackaging</v>
      </c>
      <c r="M327" s="28"/>
      <c r="N327" s="28"/>
      <c r="O327" s="28"/>
      <c r="P327" s="28"/>
      <c r="Q327" s="28"/>
      <c r="R327" s="28"/>
      <c r="S327" s="28">
        <v>3.900064</v>
      </c>
    </row>
    <row r="328" spans="1:19" x14ac:dyDescent="0.25">
      <c r="A328" s="28">
        <v>2018</v>
      </c>
      <c r="B328" s="28"/>
      <c r="C328" s="28" t="s">
        <v>183</v>
      </c>
      <c r="D328" s="28" t="s">
        <v>604</v>
      </c>
      <c r="E328" s="28" t="s">
        <v>446</v>
      </c>
      <c r="F328" s="28" t="s">
        <v>303</v>
      </c>
      <c r="G328" s="28">
        <v>70669</v>
      </c>
      <c r="H328" s="28">
        <v>30.242155</v>
      </c>
      <c r="I328" s="28">
        <v>-93.274386000000007</v>
      </c>
      <c r="J328" s="28" t="s">
        <v>605</v>
      </c>
      <c r="K328" s="61">
        <v>110000539757</v>
      </c>
      <c r="L328" s="61" t="str">
        <f>IFERROR(INDEX('Facility Summary'!$K:$K,MATCH(K328,'Facility Summary'!$J:$J,0)),INDEX('Raw Annual DMR Data'!$M:$M,MATCH(K328,'Raw Annual DMR Data'!$L:$L,0)))</f>
        <v>Repackaging</v>
      </c>
      <c r="M328" s="28"/>
      <c r="N328" s="28"/>
      <c r="O328" s="28"/>
      <c r="P328" s="28"/>
      <c r="Q328" s="28"/>
      <c r="R328" s="28"/>
      <c r="S328" s="28">
        <v>8.9520094800000005E-2</v>
      </c>
    </row>
    <row r="329" spans="1:19" x14ac:dyDescent="0.25">
      <c r="A329" s="28">
        <v>2019</v>
      </c>
      <c r="B329" s="28"/>
      <c r="C329" s="28" t="s">
        <v>183</v>
      </c>
      <c r="D329" s="28" t="s">
        <v>604</v>
      </c>
      <c r="E329" s="28" t="s">
        <v>446</v>
      </c>
      <c r="F329" s="28" t="s">
        <v>303</v>
      </c>
      <c r="G329" s="28">
        <v>70669</v>
      </c>
      <c r="H329" s="28">
        <v>30.242155</v>
      </c>
      <c r="I329" s="28">
        <v>-93.274386000000007</v>
      </c>
      <c r="J329" s="28" t="s">
        <v>605</v>
      </c>
      <c r="K329" s="61">
        <v>110000539757</v>
      </c>
      <c r="L329" s="61" t="str">
        <f>IFERROR(INDEX('Facility Summary'!$K:$K,MATCH(K329,'Facility Summary'!$J:$J,0)),INDEX('Raw Annual DMR Data'!$M:$M,MATCH(K329,'Raw Annual DMR Data'!$L:$L,0)))</f>
        <v>Repackaging</v>
      </c>
      <c r="M329" s="28"/>
      <c r="N329" s="28"/>
      <c r="O329" s="28"/>
      <c r="P329" s="28"/>
      <c r="Q329" s="28"/>
      <c r="R329" s="28"/>
      <c r="S329" s="28">
        <v>2.6464720000000002</v>
      </c>
    </row>
    <row r="330" spans="1:19" x14ac:dyDescent="0.25">
      <c r="A330" s="28">
        <v>2020</v>
      </c>
      <c r="B330" s="28" t="s">
        <v>2403</v>
      </c>
      <c r="C330" s="28" t="s">
        <v>694</v>
      </c>
      <c r="D330" s="28" t="s">
        <v>695</v>
      </c>
      <c r="E330" s="28" t="s">
        <v>293</v>
      </c>
      <c r="F330" s="28" t="s">
        <v>362</v>
      </c>
      <c r="G330" s="28">
        <v>76010</v>
      </c>
      <c r="H330" s="28">
        <v>32.712986000000001</v>
      </c>
      <c r="I330" s="28">
        <v>-97.056126000000006</v>
      </c>
      <c r="J330" s="28" t="s">
        <v>696</v>
      </c>
      <c r="K330" s="61">
        <v>110071045224</v>
      </c>
      <c r="L330" s="61" t="str">
        <f>IFERROR(INDEX('Facility Summary'!$K:$K,MATCH(K330,'Facility Summary'!$J:$J,0)),INDEX('Raw Annual DMR Data'!$M:$M,MATCH(K330,'Raw Annual DMR Data'!$L:$L,0)))</f>
        <v>Processing into formulation, mixture, or reaction product</v>
      </c>
      <c r="M330" s="28">
        <v>325510</v>
      </c>
      <c r="N330" s="28" t="s">
        <v>697</v>
      </c>
      <c r="O330" s="28"/>
      <c r="P330" s="28" t="s">
        <v>2404</v>
      </c>
      <c r="Q330" s="28"/>
      <c r="R330" s="28">
        <v>500</v>
      </c>
      <c r="S330" s="28">
        <v>226.79618500000001</v>
      </c>
    </row>
    <row r="331" spans="1:19" x14ac:dyDescent="0.25">
      <c r="A331" s="28">
        <v>2018</v>
      </c>
      <c r="B331" s="28"/>
      <c r="C331" s="28" t="s">
        <v>184</v>
      </c>
      <c r="D331" s="28" t="s">
        <v>607</v>
      </c>
      <c r="E331" s="28" t="s">
        <v>608</v>
      </c>
      <c r="F331" s="28" t="s">
        <v>324</v>
      </c>
      <c r="G331" s="28">
        <v>404039742</v>
      </c>
      <c r="H331" s="28">
        <v>37.640973000000002</v>
      </c>
      <c r="I331" s="28">
        <v>-84.312661000000006</v>
      </c>
      <c r="J331" s="28"/>
      <c r="K331" s="61">
        <v>110009933484</v>
      </c>
      <c r="L331" s="61" t="str">
        <f>IFERROR(INDEX('Facility Summary'!$K:$K,MATCH(K331,'Facility Summary'!$J:$J,0)),INDEX('Raw Annual DMR Data'!$M:$M,MATCH(K331,'Raw Annual DMR Data'!$L:$L,0)))</f>
        <v>POTW</v>
      </c>
      <c r="M331" s="28"/>
      <c r="N331" s="28"/>
      <c r="O331" s="28"/>
      <c r="P331" s="28"/>
      <c r="Q331" s="28"/>
      <c r="R331" s="28"/>
      <c r="S331" s="28">
        <v>3.1982303750000001</v>
      </c>
    </row>
    <row r="332" spans="1:19" x14ac:dyDescent="0.25">
      <c r="A332" s="28">
        <v>2019</v>
      </c>
      <c r="B332" s="28"/>
      <c r="C332" s="28" t="s">
        <v>184</v>
      </c>
      <c r="D332" s="28" t="s">
        <v>607</v>
      </c>
      <c r="E332" s="28" t="s">
        <v>608</v>
      </c>
      <c r="F332" s="28" t="s">
        <v>324</v>
      </c>
      <c r="G332" s="28">
        <v>404039742</v>
      </c>
      <c r="H332" s="28">
        <v>37.640973000000002</v>
      </c>
      <c r="I332" s="28">
        <v>-84.312661000000006</v>
      </c>
      <c r="J332" s="28"/>
      <c r="K332" s="61">
        <v>110009933484</v>
      </c>
      <c r="L332" s="61" t="str">
        <f>IFERROR(INDEX('Facility Summary'!$K:$K,MATCH(K332,'Facility Summary'!$J:$J,0)),INDEX('Raw Annual DMR Data'!$M:$M,MATCH(K332,'Raw Annual DMR Data'!$L:$L,0)))</f>
        <v>POTW</v>
      </c>
      <c r="M332" s="28"/>
      <c r="N332" s="28"/>
      <c r="O332" s="28"/>
      <c r="P332" s="28"/>
      <c r="Q332" s="28"/>
      <c r="R332" s="28"/>
      <c r="S332" s="28">
        <v>3.2327685000000002</v>
      </c>
    </row>
    <row r="333" spans="1:19" x14ac:dyDescent="0.25">
      <c r="A333" s="28">
        <v>2020</v>
      </c>
      <c r="B333" s="28"/>
      <c r="C333" s="28" t="s">
        <v>184</v>
      </c>
      <c r="D333" s="28" t="s">
        <v>607</v>
      </c>
      <c r="E333" s="28" t="s">
        <v>608</v>
      </c>
      <c r="F333" s="28" t="s">
        <v>324</v>
      </c>
      <c r="G333" s="28">
        <v>404039742</v>
      </c>
      <c r="H333" s="28">
        <v>37.640973000000002</v>
      </c>
      <c r="I333" s="28">
        <v>-84.312661000000006</v>
      </c>
      <c r="J333" s="28"/>
      <c r="K333" s="61">
        <v>110009933484</v>
      </c>
      <c r="L333" s="61" t="str">
        <f>IFERROR(INDEX('Facility Summary'!$K:$K,MATCH(K333,'Facility Summary'!$J:$J,0)),INDEX('Raw Annual DMR Data'!$M:$M,MATCH(K333,'Raw Annual DMR Data'!$L:$L,0)))</f>
        <v>POTW</v>
      </c>
      <c r="M333" s="28"/>
      <c r="N333" s="28"/>
      <c r="O333" s="28"/>
      <c r="P333" s="28"/>
      <c r="Q333" s="28"/>
      <c r="R333" s="28"/>
      <c r="S333" s="28">
        <v>2.5420060000000002</v>
      </c>
    </row>
    <row r="334" spans="1:19" x14ac:dyDescent="0.25">
      <c r="A334" s="28">
        <v>2018</v>
      </c>
      <c r="B334" s="28"/>
      <c r="C334" s="28" t="s">
        <v>185</v>
      </c>
      <c r="D334" s="28" t="s">
        <v>609</v>
      </c>
      <c r="E334" s="28" t="s">
        <v>610</v>
      </c>
      <c r="F334" s="28" t="s">
        <v>366</v>
      </c>
      <c r="G334" s="28">
        <v>93452</v>
      </c>
      <c r="H334" s="28">
        <v>35.611660000000001</v>
      </c>
      <c r="I334" s="28">
        <v>-121.14564</v>
      </c>
      <c r="J334" s="28"/>
      <c r="K334" s="61">
        <v>110055984546</v>
      </c>
      <c r="L334" s="61" t="str">
        <f>IFERROR(INDEX('Facility Summary'!$K:$K,MATCH(K334,'Facility Summary'!$J:$J,0)),INDEX('Raw Annual DMR Data'!$M:$M,MATCH(K334,'Raw Annual DMR Data'!$L:$L,0)))</f>
        <v>POTW</v>
      </c>
      <c r="M334" s="28"/>
      <c r="N334" s="28"/>
      <c r="O334" s="28"/>
      <c r="P334" s="28"/>
      <c r="Q334" s="28"/>
      <c r="R334" s="28"/>
      <c r="S334" s="28">
        <v>7.1685818250000005E-2</v>
      </c>
    </row>
    <row r="335" spans="1:19" x14ac:dyDescent="0.25">
      <c r="A335" s="28">
        <v>2015</v>
      </c>
      <c r="B335" s="28"/>
      <c r="C335" s="28" t="s">
        <v>186</v>
      </c>
      <c r="D335" s="28" t="s">
        <v>611</v>
      </c>
      <c r="E335" s="28" t="s">
        <v>612</v>
      </c>
      <c r="F335" s="28" t="s">
        <v>366</v>
      </c>
      <c r="G335" s="28">
        <v>92109</v>
      </c>
      <c r="H335" s="28">
        <v>32.761164000000001</v>
      </c>
      <c r="I335" s="28">
        <v>-117.230639</v>
      </c>
      <c r="J335" s="28"/>
      <c r="K335" s="61">
        <v>110017860894</v>
      </c>
      <c r="L335" s="61" t="str">
        <f>IFERROR(INDEX('Facility Summary'!$K:$K,MATCH(K335,'Facility Summary'!$J:$J,0)),INDEX('Raw Annual DMR Data'!$M:$M,MATCH(K335,'Raw Annual DMR Data'!$L:$L,0)))</f>
        <v>Waste Handling, Disposal and Treatment (non-POTW WWT)</v>
      </c>
      <c r="M335" s="28"/>
      <c r="N335" s="28"/>
      <c r="O335" s="28"/>
      <c r="P335" s="28"/>
      <c r="Q335" s="28"/>
      <c r="R335" s="28"/>
      <c r="S335" s="28">
        <v>4.1383219954648496</v>
      </c>
    </row>
    <row r="336" spans="1:19" x14ac:dyDescent="0.25">
      <c r="A336" s="28">
        <v>2015</v>
      </c>
      <c r="B336" s="28"/>
      <c r="C336" s="28" t="s">
        <v>186</v>
      </c>
      <c r="D336" s="28" t="s">
        <v>611</v>
      </c>
      <c r="E336" s="28" t="s">
        <v>612</v>
      </c>
      <c r="F336" s="28" t="s">
        <v>366</v>
      </c>
      <c r="G336" s="28">
        <v>92109</v>
      </c>
      <c r="H336" s="28">
        <v>32.761164000000001</v>
      </c>
      <c r="I336" s="28">
        <v>-117.230639</v>
      </c>
      <c r="J336" s="28"/>
      <c r="K336" s="61">
        <v>110017860894</v>
      </c>
      <c r="L336" s="61" t="str">
        <f>IFERROR(INDEX('Facility Summary'!$K:$K,MATCH(K336,'Facility Summary'!$J:$J,0)),INDEX('Raw Annual DMR Data'!$M:$M,MATCH(K336,'Raw Annual DMR Data'!$L:$L,0)))</f>
        <v>Waste Handling, Disposal and Treatment (non-POTW WWT)</v>
      </c>
      <c r="M336" s="28"/>
      <c r="N336" s="28"/>
      <c r="O336" s="28"/>
      <c r="P336" s="28"/>
      <c r="Q336" s="28"/>
      <c r="R336" s="28"/>
      <c r="S336" s="28">
        <v>2.1519274376417199</v>
      </c>
    </row>
    <row r="337" spans="1:19" x14ac:dyDescent="0.25">
      <c r="A337" s="28">
        <v>2017</v>
      </c>
      <c r="B337" s="28"/>
      <c r="C337" s="28" t="s">
        <v>123</v>
      </c>
      <c r="D337" s="28" t="s">
        <v>394</v>
      </c>
      <c r="E337" s="28" t="s">
        <v>395</v>
      </c>
      <c r="F337" s="28" t="s">
        <v>338</v>
      </c>
      <c r="G337" s="28">
        <v>8023</v>
      </c>
      <c r="H337" s="28">
        <v>39.682361999999998</v>
      </c>
      <c r="I337" s="28">
        <v>-75.491378999999995</v>
      </c>
      <c r="J337" s="28" t="s">
        <v>396</v>
      </c>
      <c r="K337" s="61">
        <v>110007970142</v>
      </c>
      <c r="L337" s="61" t="str">
        <f>IFERROR(INDEX('Facility Summary'!$K:$K,MATCH(K337,'Facility Summary'!$J:$J,0)),INDEX('Raw Annual DMR Data'!$M:$M,MATCH(K337,'Raw Annual DMR Data'!$L:$L,0)))</f>
        <v>Manufacturing</v>
      </c>
      <c r="M337" s="28"/>
      <c r="N337" s="28"/>
      <c r="O337" s="28"/>
      <c r="P337" s="28"/>
      <c r="Q337" s="28"/>
      <c r="R337" s="28"/>
      <c r="S337" s="28">
        <v>10.55</v>
      </c>
    </row>
    <row r="338" spans="1:19" x14ac:dyDescent="0.25">
      <c r="A338" s="28">
        <v>2019</v>
      </c>
      <c r="B338" s="28"/>
      <c r="C338" s="28" t="s">
        <v>123</v>
      </c>
      <c r="D338" s="28" t="s">
        <v>394</v>
      </c>
      <c r="E338" s="28" t="s">
        <v>395</v>
      </c>
      <c r="F338" s="28" t="s">
        <v>338</v>
      </c>
      <c r="G338" s="28">
        <v>8023</v>
      </c>
      <c r="H338" s="28">
        <v>39.682361999999998</v>
      </c>
      <c r="I338" s="28">
        <v>-75.491378999999995</v>
      </c>
      <c r="J338" s="28" t="s">
        <v>396</v>
      </c>
      <c r="K338" s="61">
        <v>110007970142</v>
      </c>
      <c r="L338" s="61" t="str">
        <f>IFERROR(INDEX('Facility Summary'!$K:$K,MATCH(K338,'Facility Summary'!$J:$J,0)),INDEX('Raw Annual DMR Data'!$M:$M,MATCH(K338,'Raw Annual DMR Data'!$L:$L,0)))</f>
        <v>Manufacturing</v>
      </c>
      <c r="M338" s="28"/>
      <c r="N338" s="28"/>
      <c r="O338" s="28"/>
      <c r="P338" s="28"/>
      <c r="Q338" s="28"/>
      <c r="R338" s="28"/>
      <c r="S338" s="28">
        <v>10.37</v>
      </c>
    </row>
    <row r="339" spans="1:19" x14ac:dyDescent="0.25">
      <c r="A339" s="28">
        <v>2020</v>
      </c>
      <c r="B339" s="28"/>
      <c r="C339" s="28" t="s">
        <v>123</v>
      </c>
      <c r="D339" s="28" t="s">
        <v>394</v>
      </c>
      <c r="E339" s="28" t="s">
        <v>395</v>
      </c>
      <c r="F339" s="28" t="s">
        <v>338</v>
      </c>
      <c r="G339" s="28">
        <v>8023</v>
      </c>
      <c r="H339" s="28">
        <v>39.682361999999998</v>
      </c>
      <c r="I339" s="28">
        <v>-75.491378999999995</v>
      </c>
      <c r="J339" s="28" t="s">
        <v>396</v>
      </c>
      <c r="K339" s="61">
        <v>110007970142</v>
      </c>
      <c r="L339" s="61" t="str">
        <f>IFERROR(INDEX('Facility Summary'!$K:$K,MATCH(K339,'Facility Summary'!$J:$J,0)),INDEX('Raw Annual DMR Data'!$M:$M,MATCH(K339,'Raw Annual DMR Data'!$L:$L,0)))</f>
        <v>Manufacturing</v>
      </c>
      <c r="M339" s="28"/>
      <c r="N339" s="28"/>
      <c r="O339" s="28"/>
      <c r="P339" s="28"/>
      <c r="Q339" s="28"/>
      <c r="R339" s="28"/>
      <c r="S339" s="28">
        <v>8.0540000000000003</v>
      </c>
    </row>
    <row r="340" spans="1:19" x14ac:dyDescent="0.25">
      <c r="A340" s="28">
        <v>2020</v>
      </c>
      <c r="B340" s="28"/>
      <c r="C340" s="28" t="s">
        <v>124</v>
      </c>
      <c r="D340" s="28" t="s">
        <v>397</v>
      </c>
      <c r="E340" s="28" t="s">
        <v>398</v>
      </c>
      <c r="F340" s="28" t="s">
        <v>303</v>
      </c>
      <c r="G340" s="28">
        <v>70037</v>
      </c>
      <c r="H340" s="28">
        <v>29.808250000000001</v>
      </c>
      <c r="I340" s="28">
        <v>-90.01</v>
      </c>
      <c r="J340" s="28" t="s">
        <v>399</v>
      </c>
      <c r="K340" s="61">
        <v>110000575244</v>
      </c>
      <c r="L340" s="61" t="str">
        <f>IFERROR(INDEX('Facility Summary'!$K:$K,MATCH(K340,'Facility Summary'!$J:$J,0)),INDEX('Raw Annual DMR Data'!$M:$M,MATCH(K340,'Raw Annual DMR Data'!$L:$L,0)))</f>
        <v>Manufacturing</v>
      </c>
      <c r="M340" s="28"/>
      <c r="N340" s="28"/>
      <c r="O340" s="28"/>
      <c r="P340" s="28"/>
      <c r="Q340" s="28"/>
      <c r="R340" s="28"/>
      <c r="S340" s="28">
        <v>3.1064280387500001E-2</v>
      </c>
    </row>
    <row r="341" spans="1:19" x14ac:dyDescent="0.25">
      <c r="A341" s="28">
        <v>2015</v>
      </c>
      <c r="B341" s="28"/>
      <c r="C341" s="28" t="s">
        <v>132</v>
      </c>
      <c r="D341" s="28" t="s">
        <v>422</v>
      </c>
      <c r="E341" s="28" t="s">
        <v>423</v>
      </c>
      <c r="F341" s="28" t="s">
        <v>311</v>
      </c>
      <c r="G341" s="28">
        <v>26134</v>
      </c>
      <c r="H341" s="28">
        <v>39.355575000000002</v>
      </c>
      <c r="I341" s="28">
        <v>-81.299837999999994</v>
      </c>
      <c r="J341" s="28" t="s">
        <v>424</v>
      </c>
      <c r="K341" s="61">
        <v>110000344850</v>
      </c>
      <c r="L341" s="61" t="str">
        <f>IFERROR(INDEX('Facility Summary'!$K:$K,MATCH(K341,'Facility Summary'!$J:$J,0)),INDEX('Raw Annual DMR Data'!$M:$M,MATCH(K341,'Raw Annual DMR Data'!$L:$L,0)))</f>
        <v>Manufacturing</v>
      </c>
      <c r="M341" s="28"/>
      <c r="N341" s="28"/>
      <c r="O341" s="28"/>
      <c r="P341" s="28"/>
      <c r="Q341" s="28"/>
      <c r="R341" s="28"/>
      <c r="S341" s="28">
        <v>1.0759637188208599</v>
      </c>
    </row>
    <row r="342" spans="1:19" x14ac:dyDescent="0.25">
      <c r="A342" s="28">
        <v>2018</v>
      </c>
      <c r="B342" s="28"/>
      <c r="C342" s="28" t="s">
        <v>135</v>
      </c>
      <c r="D342" s="28" t="s">
        <v>439</v>
      </c>
      <c r="E342" s="28" t="s">
        <v>426</v>
      </c>
      <c r="F342" s="28" t="s">
        <v>427</v>
      </c>
      <c r="G342" s="28">
        <v>48674</v>
      </c>
      <c r="H342" s="28">
        <v>43.606082999999998</v>
      </c>
      <c r="I342" s="28">
        <v>-84.219527999999997</v>
      </c>
      <c r="J342" s="28"/>
      <c r="K342" s="61">
        <v>110027360629</v>
      </c>
      <c r="L342" s="61" t="str">
        <f>IFERROR(INDEX('Facility Summary'!$K:$K,MATCH(K342,'Facility Summary'!$J:$J,0)),INDEX('Raw Annual DMR Data'!$M:$M,MATCH(K342,'Raw Annual DMR Data'!$L:$L,0)))</f>
        <v>Manufacturing</v>
      </c>
      <c r="M342" s="28"/>
      <c r="N342" s="28"/>
      <c r="O342" s="28"/>
      <c r="P342" s="28"/>
      <c r="Q342" s="28"/>
      <c r="R342" s="28"/>
      <c r="S342" s="28">
        <v>25.170068027210799</v>
      </c>
    </row>
    <row r="343" spans="1:19" x14ac:dyDescent="0.25">
      <c r="A343" s="28">
        <v>2019</v>
      </c>
      <c r="B343" s="28"/>
      <c r="C343" s="28" t="s">
        <v>135</v>
      </c>
      <c r="D343" s="28" t="s">
        <v>439</v>
      </c>
      <c r="E343" s="28" t="s">
        <v>426</v>
      </c>
      <c r="F343" s="28" t="s">
        <v>427</v>
      </c>
      <c r="G343" s="28">
        <v>48674</v>
      </c>
      <c r="H343" s="28">
        <v>43.606082999999998</v>
      </c>
      <c r="I343" s="28">
        <v>-84.219527999999997</v>
      </c>
      <c r="J343" s="28"/>
      <c r="K343" s="61">
        <v>110027360629</v>
      </c>
      <c r="L343" s="61" t="str">
        <f>IFERROR(INDEX('Facility Summary'!$K:$K,MATCH(K343,'Facility Summary'!$J:$J,0)),INDEX('Raw Annual DMR Data'!$M:$M,MATCH(K343,'Raw Annual DMR Data'!$L:$L,0)))</f>
        <v>Manufacturing</v>
      </c>
      <c r="M343" s="28"/>
      <c r="N343" s="28"/>
      <c r="O343" s="28"/>
      <c r="P343" s="28"/>
      <c r="Q343" s="28"/>
      <c r="R343" s="28"/>
      <c r="S343" s="28">
        <v>188.027210884353</v>
      </c>
    </row>
    <row r="344" spans="1:19" x14ac:dyDescent="0.25">
      <c r="A344" s="28">
        <v>2020</v>
      </c>
      <c r="B344" s="28"/>
      <c r="C344" s="28" t="s">
        <v>135</v>
      </c>
      <c r="D344" s="28" t="s">
        <v>439</v>
      </c>
      <c r="E344" s="28" t="s">
        <v>426</v>
      </c>
      <c r="F344" s="28" t="s">
        <v>427</v>
      </c>
      <c r="G344" s="28">
        <v>48674</v>
      </c>
      <c r="H344" s="28">
        <v>43.606082999999998</v>
      </c>
      <c r="I344" s="28">
        <v>-84.219527999999997</v>
      </c>
      <c r="J344" s="28"/>
      <c r="K344" s="61">
        <v>110027360629</v>
      </c>
      <c r="L344" s="61" t="str">
        <f>IFERROR(INDEX('Facility Summary'!$K:$K,MATCH(K344,'Facility Summary'!$J:$J,0)),INDEX('Raw Annual DMR Data'!$M:$M,MATCH(K344,'Raw Annual DMR Data'!$L:$L,0)))</f>
        <v>Manufacturing</v>
      </c>
      <c r="M344" s="28"/>
      <c r="N344" s="28"/>
      <c r="O344" s="28"/>
      <c r="P344" s="28"/>
      <c r="Q344" s="28"/>
      <c r="R344" s="28"/>
      <c r="S344" s="28">
        <v>102.494331065759</v>
      </c>
    </row>
    <row r="345" spans="1:19" x14ac:dyDescent="0.25">
      <c r="A345" s="28">
        <v>2017</v>
      </c>
      <c r="B345" s="28"/>
      <c r="C345" s="28" t="s">
        <v>135</v>
      </c>
      <c r="D345" s="28" t="s">
        <v>439</v>
      </c>
      <c r="E345" s="28" t="s">
        <v>426</v>
      </c>
      <c r="F345" s="28" t="s">
        <v>427</v>
      </c>
      <c r="G345" s="28">
        <v>48674</v>
      </c>
      <c r="H345" s="28">
        <v>43.606082999999998</v>
      </c>
      <c r="I345" s="28">
        <v>-84.219527999999997</v>
      </c>
      <c r="J345" s="28"/>
      <c r="K345" s="61">
        <v>110027360629</v>
      </c>
      <c r="L345" s="61" t="str">
        <f>IFERROR(INDEX('Facility Summary'!$K:$K,MATCH(K345,'Facility Summary'!$J:$J,0)),INDEX('Raw Annual DMR Data'!$M:$M,MATCH(K345,'Raw Annual DMR Data'!$L:$L,0)))</f>
        <v>Manufacturing</v>
      </c>
      <c r="M345" s="28"/>
      <c r="N345" s="28"/>
      <c r="O345" s="28"/>
      <c r="P345" s="28"/>
      <c r="Q345" s="28"/>
      <c r="R345" s="28"/>
      <c r="S345" s="28">
        <v>74.013605442176797</v>
      </c>
    </row>
    <row r="346" spans="1:19" x14ac:dyDescent="0.25">
      <c r="A346" s="28">
        <v>2015</v>
      </c>
      <c r="B346" s="28"/>
      <c r="C346" s="28" t="s">
        <v>135</v>
      </c>
      <c r="D346" s="28" t="s">
        <v>439</v>
      </c>
      <c r="E346" s="28" t="s">
        <v>426</v>
      </c>
      <c r="F346" s="28" t="s">
        <v>427</v>
      </c>
      <c r="G346" s="28">
        <v>48674</v>
      </c>
      <c r="H346" s="28">
        <v>43.606082999999998</v>
      </c>
      <c r="I346" s="28">
        <v>-84.219527999999997</v>
      </c>
      <c r="J346" s="28"/>
      <c r="K346" s="61">
        <v>110027360629</v>
      </c>
      <c r="L346" s="61" t="str">
        <f>IFERROR(INDEX('Facility Summary'!$K:$K,MATCH(K346,'Facility Summary'!$J:$J,0)),INDEX('Raw Annual DMR Data'!$M:$M,MATCH(K346,'Raw Annual DMR Data'!$L:$L,0)))</f>
        <v>Manufacturing</v>
      </c>
      <c r="M346" s="28"/>
      <c r="N346" s="28"/>
      <c r="O346" s="28"/>
      <c r="P346" s="28"/>
      <c r="Q346" s="28"/>
      <c r="R346" s="28"/>
      <c r="S346" s="28">
        <v>72.614188532555801</v>
      </c>
    </row>
    <row r="347" spans="1:19" x14ac:dyDescent="0.25">
      <c r="A347" s="28">
        <v>2019</v>
      </c>
      <c r="B347" s="28"/>
      <c r="C347" s="28" t="s">
        <v>142</v>
      </c>
      <c r="D347" s="28" t="s">
        <v>462</v>
      </c>
      <c r="E347" s="28" t="s">
        <v>463</v>
      </c>
      <c r="F347" s="28" t="s">
        <v>362</v>
      </c>
      <c r="G347" s="28">
        <v>77503</v>
      </c>
      <c r="H347" s="28">
        <v>29.741954</v>
      </c>
      <c r="I347" s="28">
        <v>-95.165228999999997</v>
      </c>
      <c r="J347" s="28"/>
      <c r="K347" s="61">
        <v>110060340162</v>
      </c>
      <c r="L347" s="61" t="str">
        <f>IFERROR(INDEX('Facility Summary'!$K:$K,MATCH(K347,'Facility Summary'!$J:$J,0)),INDEX('Raw Annual DMR Data'!$M:$M,MATCH(K347,'Raw Annual DMR Data'!$L:$L,0)))</f>
        <v>Manufacturing</v>
      </c>
      <c r="M347" s="28"/>
      <c r="N347" s="28"/>
      <c r="O347" s="28"/>
      <c r="P347" s="28"/>
      <c r="Q347" s="28"/>
      <c r="R347" s="28"/>
      <c r="S347" s="28">
        <v>0.82891499999999996</v>
      </c>
    </row>
    <row r="348" spans="1:19" x14ac:dyDescent="0.25">
      <c r="A348" s="28">
        <v>2018</v>
      </c>
      <c r="B348" s="28"/>
      <c r="C348" s="28" t="s">
        <v>143</v>
      </c>
      <c r="D348" s="28" t="s">
        <v>464</v>
      </c>
      <c r="E348" s="28" t="s">
        <v>465</v>
      </c>
      <c r="F348" s="28" t="s">
        <v>362</v>
      </c>
      <c r="G348" s="28">
        <v>77571</v>
      </c>
      <c r="H348" s="28">
        <v>29.717471</v>
      </c>
      <c r="I348" s="28">
        <v>-95.068008000000006</v>
      </c>
      <c r="J348" s="28" t="s">
        <v>466</v>
      </c>
      <c r="K348" s="61">
        <v>110034641635</v>
      </c>
      <c r="L348" s="61" t="str">
        <f>IFERROR(INDEX('Facility Summary'!$K:$K,MATCH(K348,'Facility Summary'!$J:$J,0)),INDEX('Raw Annual DMR Data'!$M:$M,MATCH(K348,'Raw Annual DMR Data'!$L:$L,0)))</f>
        <v>Manufacturing</v>
      </c>
      <c r="M348" s="28"/>
      <c r="N348" s="28"/>
      <c r="O348" s="28"/>
      <c r="P348" s="28"/>
      <c r="Q348" s="28"/>
      <c r="R348" s="28"/>
      <c r="S348" s="28">
        <v>24.167016825000001</v>
      </c>
    </row>
    <row r="349" spans="1:19" x14ac:dyDescent="0.25">
      <c r="A349" s="28">
        <v>2016</v>
      </c>
      <c r="B349" s="28"/>
      <c r="C349" s="28" t="s">
        <v>143</v>
      </c>
      <c r="D349" s="28" t="s">
        <v>464</v>
      </c>
      <c r="E349" s="28" t="s">
        <v>465</v>
      </c>
      <c r="F349" s="28" t="s">
        <v>362</v>
      </c>
      <c r="G349" s="28">
        <v>77571</v>
      </c>
      <c r="H349" s="28">
        <v>29.717471</v>
      </c>
      <c r="I349" s="28">
        <v>-95.068008000000006</v>
      </c>
      <c r="J349" s="28" t="s">
        <v>466</v>
      </c>
      <c r="K349" s="61">
        <v>110034641635</v>
      </c>
      <c r="L349" s="61" t="str">
        <f>IFERROR(INDEX('Facility Summary'!$K:$K,MATCH(K349,'Facility Summary'!$J:$J,0)),INDEX('Raw Annual DMR Data'!$M:$M,MATCH(K349,'Raw Annual DMR Data'!$L:$L,0)))</f>
        <v>Manufacturing</v>
      </c>
      <c r="M349" s="28"/>
      <c r="N349" s="28"/>
      <c r="O349" s="28"/>
      <c r="P349" s="28"/>
      <c r="Q349" s="28"/>
      <c r="R349" s="28"/>
      <c r="S349" s="28">
        <v>21.188208616779999</v>
      </c>
    </row>
    <row r="350" spans="1:19" x14ac:dyDescent="0.25">
      <c r="A350" s="28">
        <v>2019</v>
      </c>
      <c r="B350" s="28"/>
      <c r="C350" s="28" t="s">
        <v>143</v>
      </c>
      <c r="D350" s="28" t="s">
        <v>464</v>
      </c>
      <c r="E350" s="28" t="s">
        <v>465</v>
      </c>
      <c r="F350" s="28" t="s">
        <v>362</v>
      </c>
      <c r="G350" s="28">
        <v>77571</v>
      </c>
      <c r="H350" s="28">
        <v>29.717471</v>
      </c>
      <c r="I350" s="28">
        <v>-95.068008000000006</v>
      </c>
      <c r="J350" s="28" t="s">
        <v>466</v>
      </c>
      <c r="K350" s="61">
        <v>110034641635</v>
      </c>
      <c r="L350" s="61" t="str">
        <f>IFERROR(INDEX('Facility Summary'!$K:$K,MATCH(K350,'Facility Summary'!$J:$J,0)),INDEX('Raw Annual DMR Data'!$M:$M,MATCH(K350,'Raw Annual DMR Data'!$L:$L,0)))</f>
        <v>Manufacturing</v>
      </c>
      <c r="M350" s="28"/>
      <c r="N350" s="28"/>
      <c r="O350" s="28"/>
      <c r="P350" s="28"/>
      <c r="Q350" s="28"/>
      <c r="R350" s="28"/>
      <c r="S350" s="28">
        <v>4.4208800000000004</v>
      </c>
    </row>
    <row r="351" spans="1:19" x14ac:dyDescent="0.25">
      <c r="A351" s="28">
        <v>2016</v>
      </c>
      <c r="B351" s="28"/>
      <c r="C351" s="28" t="s">
        <v>189</v>
      </c>
      <c r="D351" s="28" t="s">
        <v>620</v>
      </c>
      <c r="E351" s="28" t="s">
        <v>621</v>
      </c>
      <c r="F351" s="28" t="s">
        <v>311</v>
      </c>
      <c r="G351" s="28">
        <v>25143</v>
      </c>
      <c r="H351" s="28">
        <v>38.439749999999997</v>
      </c>
      <c r="I351" s="28">
        <v>-81.845930999999993</v>
      </c>
      <c r="J351" s="28"/>
      <c r="K351" s="61">
        <v>110022421002</v>
      </c>
      <c r="L351" s="61" t="str">
        <f>IFERROR(INDEX('Facility Summary'!$K:$K,MATCH(K351,'Facility Summary'!$J:$J,0)),INDEX('Raw Annual DMR Data'!$M:$M,MATCH(K351,'Raw Annual DMR Data'!$L:$L,0)))</f>
        <v>Remediation</v>
      </c>
      <c r="M351" s="28"/>
      <c r="N351" s="28"/>
      <c r="O351" s="28"/>
      <c r="P351" s="28"/>
      <c r="Q351" s="28"/>
      <c r="R351" s="28"/>
      <c r="S351" s="28">
        <v>3.8886787200000002E-2</v>
      </c>
    </row>
    <row r="352" spans="1:19" x14ac:dyDescent="0.25">
      <c r="A352" s="28">
        <v>2015</v>
      </c>
      <c r="B352" s="28"/>
      <c r="C352" s="28" t="s">
        <v>189</v>
      </c>
      <c r="D352" s="28" t="s">
        <v>620</v>
      </c>
      <c r="E352" s="28" t="s">
        <v>621</v>
      </c>
      <c r="F352" s="28" t="s">
        <v>311</v>
      </c>
      <c r="G352" s="28">
        <v>25143</v>
      </c>
      <c r="H352" s="28">
        <v>38.439749999999997</v>
      </c>
      <c r="I352" s="28">
        <v>-81.845930999999993</v>
      </c>
      <c r="J352" s="28"/>
      <c r="K352" s="61">
        <v>110022421002</v>
      </c>
      <c r="L352" s="61" t="str">
        <f>IFERROR(INDEX('Facility Summary'!$K:$K,MATCH(K352,'Facility Summary'!$J:$J,0)),INDEX('Raw Annual DMR Data'!$M:$M,MATCH(K352,'Raw Annual DMR Data'!$L:$L,0)))</f>
        <v>Remediation</v>
      </c>
      <c r="M352" s="28"/>
      <c r="N352" s="28"/>
      <c r="O352" s="28"/>
      <c r="P352" s="28"/>
      <c r="Q352" s="28"/>
      <c r="R352" s="28"/>
      <c r="S352" s="28">
        <v>8.5099479749999998E-2</v>
      </c>
    </row>
    <row r="353" spans="1:19" x14ac:dyDescent="0.25">
      <c r="A353" s="28">
        <v>2019</v>
      </c>
      <c r="B353" s="28"/>
      <c r="C353" s="28" t="s">
        <v>190</v>
      </c>
      <c r="D353" s="28" t="s">
        <v>622</v>
      </c>
      <c r="E353" s="28" t="s">
        <v>623</v>
      </c>
      <c r="F353" s="28" t="s">
        <v>338</v>
      </c>
      <c r="G353" s="28">
        <v>8086</v>
      </c>
      <c r="H353" s="28">
        <v>39.845474000000003</v>
      </c>
      <c r="I353" s="28">
        <v>-75.209485999999998</v>
      </c>
      <c r="J353" s="28" t="s">
        <v>624</v>
      </c>
      <c r="K353" s="61">
        <v>110013317614</v>
      </c>
      <c r="L353" s="61" t="str">
        <f>IFERROR(INDEX('Facility Summary'!$K:$K,MATCH(K353,'Facility Summary'!$J:$J,0)),INDEX('Raw Annual DMR Data'!$M:$M,MATCH(K353,'Raw Annual DMR Data'!$L:$L,0)))</f>
        <v>Processing as a Reactant</v>
      </c>
      <c r="M353" s="28"/>
      <c r="N353" s="28"/>
      <c r="O353" s="28"/>
      <c r="P353" s="28"/>
      <c r="Q353" s="28"/>
      <c r="R353" s="28"/>
      <c r="S353" s="28">
        <v>9.9199999999999997E-2</v>
      </c>
    </row>
    <row r="354" spans="1:19" x14ac:dyDescent="0.25">
      <c r="A354" s="28">
        <v>2015</v>
      </c>
      <c r="B354" s="28"/>
      <c r="C354" s="28" t="s">
        <v>190</v>
      </c>
      <c r="D354" s="28" t="s">
        <v>622</v>
      </c>
      <c r="E354" s="28" t="s">
        <v>623</v>
      </c>
      <c r="F354" s="28" t="s">
        <v>338</v>
      </c>
      <c r="G354" s="28">
        <v>8086</v>
      </c>
      <c r="H354" s="28">
        <v>39.845474000000003</v>
      </c>
      <c r="I354" s="28">
        <v>-75.209485999999998</v>
      </c>
      <c r="J354" s="28" t="s">
        <v>624</v>
      </c>
      <c r="K354" s="61">
        <v>110013317614</v>
      </c>
      <c r="L354" s="61" t="str">
        <f>IFERROR(INDEX('Facility Summary'!$K:$K,MATCH(K354,'Facility Summary'!$J:$J,0)),INDEX('Raw Annual DMR Data'!$M:$M,MATCH(K354,'Raw Annual DMR Data'!$L:$L,0)))</f>
        <v>Processing as a Reactant</v>
      </c>
      <c r="M354" s="28"/>
      <c r="N354" s="28"/>
      <c r="O354" s="28"/>
      <c r="P354" s="28"/>
      <c r="Q354" s="28"/>
      <c r="R354" s="28"/>
      <c r="S354" s="28">
        <v>6.5595999999999997</v>
      </c>
    </row>
    <row r="355" spans="1:19" x14ac:dyDescent="0.25">
      <c r="A355" s="28">
        <v>2017</v>
      </c>
      <c r="B355" s="28"/>
      <c r="C355" s="28" t="s">
        <v>191</v>
      </c>
      <c r="D355" s="28" t="s">
        <v>625</v>
      </c>
      <c r="E355" s="28" t="s">
        <v>626</v>
      </c>
      <c r="F355" s="28" t="s">
        <v>324</v>
      </c>
      <c r="G355" s="28">
        <v>42276</v>
      </c>
      <c r="H355" s="28">
        <v>36.982500000000002</v>
      </c>
      <c r="I355" s="28">
        <v>-86.78</v>
      </c>
      <c r="J355" s="28"/>
      <c r="K355" s="61">
        <v>110046299778</v>
      </c>
      <c r="L355" s="61" t="str">
        <f>IFERROR(INDEX('Facility Summary'!$K:$K,MATCH(K355,'Facility Summary'!$J:$J,0)),INDEX('Raw Annual DMR Data'!$M:$M,MATCH(K355,'Raw Annual DMR Data'!$L:$L,0)))</f>
        <v>Unknown</v>
      </c>
      <c r="M355" s="28"/>
      <c r="N355" s="28"/>
      <c r="O355" s="28"/>
      <c r="P355" s="28"/>
      <c r="Q355" s="28"/>
      <c r="R355" s="28"/>
      <c r="S355" s="28">
        <v>2.7251999999999998E-2</v>
      </c>
    </row>
    <row r="356" spans="1:19" x14ac:dyDescent="0.25">
      <c r="A356" s="28">
        <v>2018</v>
      </c>
      <c r="B356" s="28"/>
      <c r="C356" s="28" t="s">
        <v>192</v>
      </c>
      <c r="D356" s="28" t="s">
        <v>628</v>
      </c>
      <c r="E356" s="28" t="s">
        <v>629</v>
      </c>
      <c r="F356" s="28" t="s">
        <v>345</v>
      </c>
      <c r="G356" s="28" t="s">
        <v>630</v>
      </c>
      <c r="H356" s="28">
        <v>41.441667000000002</v>
      </c>
      <c r="I356" s="28">
        <v>-88.159719999999993</v>
      </c>
      <c r="J356" s="28" t="s">
        <v>631</v>
      </c>
      <c r="K356" s="61">
        <v>110000432504</v>
      </c>
      <c r="L356" s="61" t="str">
        <f>IFERROR(INDEX('Facility Summary'!$K:$K,MATCH(K356,'Facility Summary'!$J:$J,0)),INDEX('Raw Annual DMR Data'!$M:$M,MATCH(K356,'Raw Annual DMR Data'!$L:$L,0)))</f>
        <v>Processing into formulation, mixture, or reaction product</v>
      </c>
      <c r="M356" s="28"/>
      <c r="N356" s="28"/>
      <c r="O356" s="28"/>
      <c r="P356" s="28"/>
      <c r="Q356" s="28"/>
      <c r="R356" s="28"/>
      <c r="S356" s="28">
        <v>0.49659863945578198</v>
      </c>
    </row>
    <row r="357" spans="1:19" x14ac:dyDescent="0.25">
      <c r="A357" s="28">
        <v>2016</v>
      </c>
      <c r="B357" s="28"/>
      <c r="C357" s="28" t="s">
        <v>192</v>
      </c>
      <c r="D357" s="28" t="s">
        <v>628</v>
      </c>
      <c r="E357" s="28" t="s">
        <v>629</v>
      </c>
      <c r="F357" s="28" t="s">
        <v>345</v>
      </c>
      <c r="G357" s="28" t="s">
        <v>630</v>
      </c>
      <c r="H357" s="28">
        <v>41.441667000000002</v>
      </c>
      <c r="I357" s="28">
        <v>-88.159719999999993</v>
      </c>
      <c r="J357" s="28" t="s">
        <v>631</v>
      </c>
      <c r="K357" s="61">
        <v>110000432504</v>
      </c>
      <c r="L357" s="61" t="str">
        <f>IFERROR(INDEX('Facility Summary'!$K:$K,MATCH(K357,'Facility Summary'!$J:$J,0)),INDEX('Raw Annual DMR Data'!$M:$M,MATCH(K357,'Raw Annual DMR Data'!$L:$L,0)))</f>
        <v>Processing into formulation, mixture, or reaction product</v>
      </c>
      <c r="M357" s="28"/>
      <c r="N357" s="28"/>
      <c r="O357" s="28"/>
      <c r="P357" s="28"/>
      <c r="Q357" s="28"/>
      <c r="R357" s="28"/>
      <c r="S357" s="28">
        <v>0.580045351473922</v>
      </c>
    </row>
    <row r="358" spans="1:19" x14ac:dyDescent="0.25">
      <c r="A358" s="28">
        <v>2019</v>
      </c>
      <c r="B358" s="28"/>
      <c r="C358" s="28" t="s">
        <v>192</v>
      </c>
      <c r="D358" s="28" t="s">
        <v>628</v>
      </c>
      <c r="E358" s="28" t="s">
        <v>629</v>
      </c>
      <c r="F358" s="28" t="s">
        <v>345</v>
      </c>
      <c r="G358" s="28" t="s">
        <v>630</v>
      </c>
      <c r="H358" s="28">
        <v>41.441667000000002</v>
      </c>
      <c r="I358" s="28">
        <v>-88.159719999999993</v>
      </c>
      <c r="J358" s="28" t="s">
        <v>631</v>
      </c>
      <c r="K358" s="61">
        <v>110000432504</v>
      </c>
      <c r="L358" s="61" t="str">
        <f>IFERROR(INDEX('Facility Summary'!$K:$K,MATCH(K358,'Facility Summary'!$J:$J,0)),INDEX('Raw Annual DMR Data'!$M:$M,MATCH(K358,'Raw Annual DMR Data'!$L:$L,0)))</f>
        <v>Processing into formulation, mixture, or reaction product</v>
      </c>
      <c r="M358" s="28"/>
      <c r="N358" s="28"/>
      <c r="O358" s="28"/>
      <c r="P358" s="28"/>
      <c r="Q358" s="28"/>
      <c r="R358" s="28"/>
      <c r="S358" s="28">
        <v>0.57868480725623495</v>
      </c>
    </row>
    <row r="359" spans="1:19" x14ac:dyDescent="0.25">
      <c r="A359" s="28">
        <v>2020</v>
      </c>
      <c r="B359" s="28"/>
      <c r="C359" s="28" t="s">
        <v>192</v>
      </c>
      <c r="D359" s="28" t="s">
        <v>628</v>
      </c>
      <c r="E359" s="28" t="s">
        <v>629</v>
      </c>
      <c r="F359" s="28" t="s">
        <v>345</v>
      </c>
      <c r="G359" s="28" t="s">
        <v>630</v>
      </c>
      <c r="H359" s="28">
        <v>41.441667000000002</v>
      </c>
      <c r="I359" s="28">
        <v>-88.159719999999993</v>
      </c>
      <c r="J359" s="28" t="s">
        <v>631</v>
      </c>
      <c r="K359" s="61">
        <v>110000432504</v>
      </c>
      <c r="L359" s="61" t="str">
        <f>IFERROR(INDEX('Facility Summary'!$K:$K,MATCH(K359,'Facility Summary'!$J:$J,0)),INDEX('Raw Annual DMR Data'!$M:$M,MATCH(K359,'Raw Annual DMR Data'!$L:$L,0)))</f>
        <v>Processing into formulation, mixture, or reaction product</v>
      </c>
      <c r="M359" s="28"/>
      <c r="N359" s="28"/>
      <c r="O359" s="28"/>
      <c r="P359" s="28"/>
      <c r="Q359" s="28"/>
      <c r="R359" s="28"/>
      <c r="S359" s="28">
        <v>0.57868480725623495</v>
      </c>
    </row>
    <row r="360" spans="1:19" x14ac:dyDescent="0.25">
      <c r="A360" s="28">
        <v>2017</v>
      </c>
      <c r="B360" s="28"/>
      <c r="C360" s="28" t="s">
        <v>192</v>
      </c>
      <c r="D360" s="28" t="s">
        <v>628</v>
      </c>
      <c r="E360" s="28" t="s">
        <v>629</v>
      </c>
      <c r="F360" s="28" t="s">
        <v>345</v>
      </c>
      <c r="G360" s="28" t="s">
        <v>630</v>
      </c>
      <c r="H360" s="28">
        <v>41.441667000000002</v>
      </c>
      <c r="I360" s="28">
        <v>-88.159719999999993</v>
      </c>
      <c r="J360" s="28" t="s">
        <v>631</v>
      </c>
      <c r="K360" s="61">
        <v>110000432504</v>
      </c>
      <c r="L360" s="61" t="str">
        <f>IFERROR(INDEX('Facility Summary'!$K:$K,MATCH(K360,'Facility Summary'!$J:$J,0)),INDEX('Raw Annual DMR Data'!$M:$M,MATCH(K360,'Raw Annual DMR Data'!$L:$L,0)))</f>
        <v>Processing into formulation, mixture, or reaction product</v>
      </c>
      <c r="M360" s="28"/>
      <c r="N360" s="28"/>
      <c r="O360" s="28"/>
      <c r="P360" s="28"/>
      <c r="Q360" s="28"/>
      <c r="R360" s="28"/>
      <c r="S360" s="28">
        <v>0.49659863945578198</v>
      </c>
    </row>
    <row r="361" spans="1:19" x14ac:dyDescent="0.25">
      <c r="A361" s="28">
        <v>2015</v>
      </c>
      <c r="B361" s="28"/>
      <c r="C361" s="28" t="s">
        <v>192</v>
      </c>
      <c r="D361" s="28" t="s">
        <v>628</v>
      </c>
      <c r="E361" s="28" t="s">
        <v>629</v>
      </c>
      <c r="F361" s="28" t="s">
        <v>345</v>
      </c>
      <c r="G361" s="28" t="s">
        <v>630</v>
      </c>
      <c r="H361" s="28">
        <v>41.441667000000002</v>
      </c>
      <c r="I361" s="28">
        <v>-88.159719999999993</v>
      </c>
      <c r="J361" s="28" t="s">
        <v>631</v>
      </c>
      <c r="K361" s="61">
        <v>110000432504</v>
      </c>
      <c r="L361" s="61" t="str">
        <f>IFERROR(INDEX('Facility Summary'!$K:$K,MATCH(K361,'Facility Summary'!$J:$J,0)),INDEX('Raw Annual DMR Data'!$M:$M,MATCH(K361,'Raw Annual DMR Data'!$L:$L,0)))</f>
        <v>Processing into formulation, mixture, or reaction product</v>
      </c>
      <c r="M361" s="28"/>
      <c r="N361" s="28"/>
      <c r="O361" s="28"/>
      <c r="P361" s="28"/>
      <c r="Q361" s="28"/>
      <c r="R361" s="28"/>
      <c r="S361" s="28">
        <v>1.15464852607709</v>
      </c>
    </row>
    <row r="362" spans="1:19" x14ac:dyDescent="0.25">
      <c r="A362" s="28">
        <v>2016</v>
      </c>
      <c r="B362" s="28"/>
      <c r="C362" s="28" t="s">
        <v>193</v>
      </c>
      <c r="D362" s="28" t="s">
        <v>633</v>
      </c>
      <c r="E362" s="28" t="s">
        <v>634</v>
      </c>
      <c r="F362" s="28" t="s">
        <v>345</v>
      </c>
      <c r="G362" s="28" t="s">
        <v>635</v>
      </c>
      <c r="H362" s="28">
        <v>41.412533000000003</v>
      </c>
      <c r="I362" s="28">
        <v>-88.197281000000004</v>
      </c>
      <c r="J362" s="28" t="s">
        <v>636</v>
      </c>
      <c r="K362" s="61">
        <v>110008458597</v>
      </c>
      <c r="L362" s="61" t="str">
        <f>IFERROR(INDEX('Facility Summary'!$K:$K,MATCH(K362,'Facility Summary'!$J:$J,0)),INDEX('Raw Annual DMR Data'!$M:$M,MATCH(K362,'Raw Annual DMR Data'!$L:$L,0)))</f>
        <v>Processing as a Reactant</v>
      </c>
      <c r="M362" s="28"/>
      <c r="N362" s="28"/>
      <c r="O362" s="28"/>
      <c r="P362" s="28"/>
      <c r="Q362" s="28"/>
      <c r="R362" s="28"/>
      <c r="S362" s="28">
        <v>0.33106575963718798</v>
      </c>
    </row>
    <row r="363" spans="1:19" x14ac:dyDescent="0.25">
      <c r="A363" s="28">
        <v>2017</v>
      </c>
      <c r="B363" s="28"/>
      <c r="C363" s="28" t="s">
        <v>193</v>
      </c>
      <c r="D363" s="28" t="s">
        <v>633</v>
      </c>
      <c r="E363" s="28" t="s">
        <v>634</v>
      </c>
      <c r="F363" s="28" t="s">
        <v>345</v>
      </c>
      <c r="G363" s="28" t="s">
        <v>635</v>
      </c>
      <c r="H363" s="28">
        <v>41.412533000000003</v>
      </c>
      <c r="I363" s="28">
        <v>-88.197281000000004</v>
      </c>
      <c r="J363" s="28" t="s">
        <v>636</v>
      </c>
      <c r="K363" s="61">
        <v>110008458597</v>
      </c>
      <c r="L363" s="61" t="str">
        <f>IFERROR(INDEX('Facility Summary'!$K:$K,MATCH(K363,'Facility Summary'!$J:$J,0)),INDEX('Raw Annual DMR Data'!$M:$M,MATCH(K363,'Raw Annual DMR Data'!$L:$L,0)))</f>
        <v>Processing as a Reactant</v>
      </c>
      <c r="M363" s="28"/>
      <c r="N363" s="28"/>
      <c r="O363" s="28"/>
      <c r="P363" s="28"/>
      <c r="Q363" s="28"/>
      <c r="R363" s="28"/>
      <c r="S363" s="28">
        <v>0.33106575963718798</v>
      </c>
    </row>
    <row r="364" spans="1:19" x14ac:dyDescent="0.25">
      <c r="A364" s="28">
        <v>2015</v>
      </c>
      <c r="B364" s="28"/>
      <c r="C364" s="28" t="s">
        <v>193</v>
      </c>
      <c r="D364" s="28" t="s">
        <v>633</v>
      </c>
      <c r="E364" s="28" t="s">
        <v>634</v>
      </c>
      <c r="F364" s="28" t="s">
        <v>345</v>
      </c>
      <c r="G364" s="28" t="s">
        <v>635</v>
      </c>
      <c r="H364" s="28">
        <v>41.412533000000003</v>
      </c>
      <c r="I364" s="28">
        <v>-88.197281000000004</v>
      </c>
      <c r="J364" s="28" t="s">
        <v>636</v>
      </c>
      <c r="K364" s="61">
        <v>110008458597</v>
      </c>
      <c r="L364" s="61" t="str">
        <f>IFERROR(INDEX('Facility Summary'!$K:$K,MATCH(K364,'Facility Summary'!$J:$J,0)),INDEX('Raw Annual DMR Data'!$M:$M,MATCH(K364,'Raw Annual DMR Data'!$L:$L,0)))</f>
        <v>Processing as a Reactant</v>
      </c>
      <c r="M364" s="28"/>
      <c r="N364" s="28"/>
      <c r="O364" s="28"/>
      <c r="P364" s="28"/>
      <c r="Q364" s="28"/>
      <c r="R364" s="28"/>
      <c r="S364" s="28">
        <v>0.16553287981859399</v>
      </c>
    </row>
    <row r="365" spans="1:19" x14ac:dyDescent="0.25">
      <c r="A365" s="28">
        <v>2015</v>
      </c>
      <c r="B365" s="28" t="s">
        <v>2405</v>
      </c>
      <c r="C365" s="28" t="s">
        <v>219</v>
      </c>
      <c r="D365" s="28" t="s">
        <v>641</v>
      </c>
      <c r="E365" s="28" t="s">
        <v>426</v>
      </c>
      <c r="F365" s="28" t="s">
        <v>427</v>
      </c>
      <c r="G365" s="28">
        <v>48667</v>
      </c>
      <c r="H365" s="28">
        <v>43.600299999999997</v>
      </c>
      <c r="I365" s="28">
        <v>-84.223399999999998</v>
      </c>
      <c r="J365" s="28" t="s">
        <v>642</v>
      </c>
      <c r="K365" s="61">
        <v>110043787408</v>
      </c>
      <c r="L365" s="61" t="str">
        <f>IFERROR(INDEX('Facility Summary'!$K:$K,MATCH(K365,'Facility Summary'!$J:$J,0)),INDEX('Raw Annual DMR Data'!$M:$M,MATCH(K365,'Raw Annual DMR Data'!$L:$L,0)))</f>
        <v>Processing into formulation, mixture, or reaction product</v>
      </c>
      <c r="M365" s="28">
        <v>325199</v>
      </c>
      <c r="N365" s="28" t="s">
        <v>28</v>
      </c>
      <c r="O365" s="28"/>
      <c r="P365" s="28" t="s">
        <v>2404</v>
      </c>
      <c r="Q365" s="28"/>
      <c r="R365" s="28">
        <v>140</v>
      </c>
      <c r="S365" s="28">
        <v>63.502931800000006</v>
      </c>
    </row>
    <row r="366" spans="1:19" x14ac:dyDescent="0.25">
      <c r="A366" s="28">
        <v>2016</v>
      </c>
      <c r="B366" s="28" t="s">
        <v>2405</v>
      </c>
      <c r="C366" s="28" t="s">
        <v>219</v>
      </c>
      <c r="D366" s="28" t="s">
        <v>641</v>
      </c>
      <c r="E366" s="28" t="s">
        <v>426</v>
      </c>
      <c r="F366" s="28" t="s">
        <v>427</v>
      </c>
      <c r="G366" s="28">
        <v>48667</v>
      </c>
      <c r="H366" s="28">
        <v>43.600299999999997</v>
      </c>
      <c r="I366" s="28">
        <v>-84.223399999999998</v>
      </c>
      <c r="J366" s="28" t="s">
        <v>642</v>
      </c>
      <c r="K366" s="61">
        <v>110043787408</v>
      </c>
      <c r="L366" s="61" t="str">
        <f>IFERROR(INDEX('Facility Summary'!$K:$K,MATCH(K366,'Facility Summary'!$J:$J,0)),INDEX('Raw Annual DMR Data'!$M:$M,MATCH(K366,'Raw Annual DMR Data'!$L:$L,0)))</f>
        <v>Processing into formulation, mixture, or reaction product</v>
      </c>
      <c r="M366" s="28">
        <v>325320</v>
      </c>
      <c r="N366" s="28" t="s">
        <v>2406</v>
      </c>
      <c r="O366" s="28"/>
      <c r="P366" s="28" t="s">
        <v>2404</v>
      </c>
      <c r="Q366" s="28"/>
      <c r="R366" s="28">
        <v>130</v>
      </c>
      <c r="S366" s="28">
        <v>58.967008100000001</v>
      </c>
    </row>
    <row r="367" spans="1:19" x14ac:dyDescent="0.25">
      <c r="A367" s="28">
        <v>2017</v>
      </c>
      <c r="B367" s="28" t="s">
        <v>2405</v>
      </c>
      <c r="C367" s="28" t="s">
        <v>219</v>
      </c>
      <c r="D367" s="28" t="s">
        <v>641</v>
      </c>
      <c r="E367" s="28" t="s">
        <v>426</v>
      </c>
      <c r="F367" s="28" t="s">
        <v>427</v>
      </c>
      <c r="G367" s="28">
        <v>48667</v>
      </c>
      <c r="H367" s="28">
        <v>43.600299999999997</v>
      </c>
      <c r="I367" s="28">
        <v>-84.223399999999998</v>
      </c>
      <c r="J367" s="28" t="s">
        <v>642</v>
      </c>
      <c r="K367" s="61">
        <v>110043787408</v>
      </c>
      <c r="L367" s="61" t="str">
        <f>IFERROR(INDEX('Facility Summary'!$K:$K,MATCH(K367,'Facility Summary'!$J:$J,0)),INDEX('Raw Annual DMR Data'!$M:$M,MATCH(K367,'Raw Annual DMR Data'!$L:$L,0)))</f>
        <v>Processing into formulation, mixture, or reaction product</v>
      </c>
      <c r="M367" s="28">
        <v>325320</v>
      </c>
      <c r="N367" s="28" t="s">
        <v>2406</v>
      </c>
      <c r="O367" s="28"/>
      <c r="P367" s="28" t="s">
        <v>2404</v>
      </c>
      <c r="Q367" s="28"/>
      <c r="R367" s="28">
        <v>58</v>
      </c>
      <c r="S367" s="28">
        <v>26.30835746</v>
      </c>
    </row>
    <row r="368" spans="1:19" x14ac:dyDescent="0.25">
      <c r="A368" s="28">
        <v>2018</v>
      </c>
      <c r="B368" s="28" t="s">
        <v>2405</v>
      </c>
      <c r="C368" s="28" t="s">
        <v>219</v>
      </c>
      <c r="D368" s="28" t="s">
        <v>641</v>
      </c>
      <c r="E368" s="28" t="s">
        <v>426</v>
      </c>
      <c r="F368" s="28" t="s">
        <v>427</v>
      </c>
      <c r="G368" s="28">
        <v>48667</v>
      </c>
      <c r="H368" s="28">
        <v>43.600299999999997</v>
      </c>
      <c r="I368" s="28">
        <v>-84.223399999999998</v>
      </c>
      <c r="J368" s="28" t="s">
        <v>642</v>
      </c>
      <c r="K368" s="61">
        <v>110043787408</v>
      </c>
      <c r="L368" s="61" t="str">
        <f>IFERROR(INDEX('Facility Summary'!$K:$K,MATCH(K368,'Facility Summary'!$J:$J,0)),INDEX('Raw Annual DMR Data'!$M:$M,MATCH(K368,'Raw Annual DMR Data'!$L:$L,0)))</f>
        <v>Processing into formulation, mixture, or reaction product</v>
      </c>
      <c r="M368" s="28">
        <v>325320</v>
      </c>
      <c r="N368" s="28" t="s">
        <v>2406</v>
      </c>
      <c r="O368" s="28"/>
      <c r="P368" s="28" t="s">
        <v>2404</v>
      </c>
      <c r="Q368" s="28"/>
      <c r="R368" s="28">
        <v>39</v>
      </c>
      <c r="S368" s="28">
        <v>17.69010243</v>
      </c>
    </row>
    <row r="369" spans="1:19" x14ac:dyDescent="0.25">
      <c r="A369" s="28">
        <v>2017</v>
      </c>
      <c r="B369" s="28" t="s">
        <v>2405</v>
      </c>
      <c r="C369" s="28" t="s">
        <v>220</v>
      </c>
      <c r="D369" s="28" t="s">
        <v>643</v>
      </c>
      <c r="E369" s="28" t="s">
        <v>334</v>
      </c>
      <c r="F369" s="28" t="s">
        <v>303</v>
      </c>
      <c r="G369" s="28">
        <v>70764</v>
      </c>
      <c r="H369" s="28">
        <v>30.320903000000001</v>
      </c>
      <c r="I369" s="28">
        <v>-91.239014999999995</v>
      </c>
      <c r="J369" s="28" t="s">
        <v>644</v>
      </c>
      <c r="K369" s="61">
        <v>110001244724</v>
      </c>
      <c r="L369" s="61" t="str">
        <f>IFERROR(INDEX('Facility Summary'!$K:$K,MATCH(K369,'Facility Summary'!$J:$J,0)),INDEX('Raw Annual DMR Data'!$M:$M,MATCH(K369,'Raw Annual DMR Data'!$L:$L,0)))</f>
        <v>Processing as a Reactant</v>
      </c>
      <c r="M369" s="28">
        <v>325199</v>
      </c>
      <c r="N369" s="28" t="s">
        <v>28</v>
      </c>
      <c r="O369" s="28"/>
      <c r="P369" s="28" t="s">
        <v>2404</v>
      </c>
      <c r="Q369" s="28"/>
      <c r="R369" s="28">
        <v>727</v>
      </c>
      <c r="S369" s="28">
        <v>329.76165299000002</v>
      </c>
    </row>
    <row r="370" spans="1:19" x14ac:dyDescent="0.25">
      <c r="A370" s="28">
        <v>2020</v>
      </c>
      <c r="B370" s="28"/>
      <c r="C370" s="28" t="s">
        <v>194</v>
      </c>
      <c r="D370" s="28" t="s">
        <v>645</v>
      </c>
      <c r="E370" s="28" t="s">
        <v>590</v>
      </c>
      <c r="F370" s="28" t="s">
        <v>362</v>
      </c>
      <c r="G370" s="28">
        <v>77536</v>
      </c>
      <c r="H370" s="28">
        <v>29.726111</v>
      </c>
      <c r="I370" s="28">
        <v>-95.089449999999999</v>
      </c>
      <c r="J370" s="28" t="s">
        <v>646</v>
      </c>
      <c r="K370" s="61">
        <v>110000619652</v>
      </c>
      <c r="L370" s="61" t="str">
        <f>IFERROR(INDEX('Facility Summary'!$K:$K,MATCH(K370,'Facility Summary'!$J:$J,0)),INDEX('Raw Annual DMR Data'!$M:$M,MATCH(K370,'Raw Annual DMR Data'!$L:$L,0)))</f>
        <v>Processing as a Reactant</v>
      </c>
      <c r="M370" s="28"/>
      <c r="N370" s="28"/>
      <c r="O370" s="28"/>
      <c r="P370" s="28"/>
      <c r="Q370" s="28"/>
      <c r="R370" s="28"/>
      <c r="S370" s="28">
        <v>0.16553287981859399</v>
      </c>
    </row>
    <row r="371" spans="1:19" x14ac:dyDescent="0.25">
      <c r="A371" s="28">
        <v>2017</v>
      </c>
      <c r="B371" s="28"/>
      <c r="C371" s="28" t="s">
        <v>195</v>
      </c>
      <c r="D371" s="28" t="s">
        <v>647</v>
      </c>
      <c r="E371" s="28" t="s">
        <v>648</v>
      </c>
      <c r="F371" s="28" t="s">
        <v>328</v>
      </c>
      <c r="G371" s="28">
        <v>307215466</v>
      </c>
      <c r="H371" s="28">
        <v>34.632592000000002</v>
      </c>
      <c r="I371" s="28">
        <v>-84.927667999999997</v>
      </c>
      <c r="J371" s="28" t="s">
        <v>649</v>
      </c>
      <c r="K371" s="61">
        <v>110000611703</v>
      </c>
      <c r="L371" s="61" t="str">
        <f>IFERROR(INDEX('Facility Summary'!$K:$K,MATCH(K371,'Facility Summary'!$J:$J,0)),INDEX('Raw Annual DMR Data'!$M:$M,MATCH(K371,'Raw Annual DMR Data'!$L:$L,0)))</f>
        <v>Processing as a Reactant</v>
      </c>
      <c r="M371" s="28"/>
      <c r="N371" s="28"/>
      <c r="O371" s="28"/>
      <c r="P371" s="28"/>
      <c r="Q371" s="28"/>
      <c r="R371" s="28"/>
      <c r="S371" s="28">
        <v>5.0612244897959097E-2</v>
      </c>
    </row>
    <row r="372" spans="1:19" x14ac:dyDescent="0.25">
      <c r="A372" s="28">
        <v>2020</v>
      </c>
      <c r="B372" s="28"/>
      <c r="C372" s="28" t="s">
        <v>195</v>
      </c>
      <c r="D372" s="28" t="s">
        <v>647</v>
      </c>
      <c r="E372" s="28" t="s">
        <v>648</v>
      </c>
      <c r="F372" s="28" t="s">
        <v>328</v>
      </c>
      <c r="G372" s="28">
        <v>307215466</v>
      </c>
      <c r="H372" s="28">
        <v>34.632592000000002</v>
      </c>
      <c r="I372" s="28">
        <v>-84.927667999999997</v>
      </c>
      <c r="J372" s="28" t="s">
        <v>649</v>
      </c>
      <c r="K372" s="61">
        <v>110000611703</v>
      </c>
      <c r="L372" s="61" t="str">
        <f>IFERROR(INDEX('Facility Summary'!$K:$K,MATCH(K372,'Facility Summary'!$J:$J,0)),INDEX('Raw Annual DMR Data'!$M:$M,MATCH(K372,'Raw Annual DMR Data'!$L:$L,0)))</f>
        <v>Processing as a Reactant</v>
      </c>
      <c r="M372" s="28"/>
      <c r="N372" s="28"/>
      <c r="O372" s="28"/>
      <c r="P372" s="28"/>
      <c r="Q372" s="28"/>
      <c r="R372" s="28"/>
      <c r="S372" s="28">
        <v>1.40589569160997E-2</v>
      </c>
    </row>
    <row r="373" spans="1:19" x14ac:dyDescent="0.25">
      <c r="A373" s="28">
        <v>2017</v>
      </c>
      <c r="B373" s="28"/>
      <c r="C373" s="28" t="s">
        <v>196</v>
      </c>
      <c r="D373" s="28" t="s">
        <v>650</v>
      </c>
      <c r="E373" s="28" t="s">
        <v>651</v>
      </c>
      <c r="F373" s="28" t="s">
        <v>418</v>
      </c>
      <c r="G373" s="28">
        <v>89015</v>
      </c>
      <c r="H373" s="28">
        <v>36.035440000000001</v>
      </c>
      <c r="I373" s="28">
        <v>-114.99994</v>
      </c>
      <c r="J373" s="28" t="s">
        <v>652</v>
      </c>
      <c r="K373" s="61">
        <v>110043808467</v>
      </c>
      <c r="L373" s="61" t="str">
        <f>IFERROR(INDEX('Facility Summary'!$K:$K,MATCH(K373,'Facility Summary'!$J:$J,0)),INDEX('Raw Annual DMR Data'!$M:$M,MATCH(K373,'Raw Annual DMR Data'!$L:$L,0)))</f>
        <v>Remediation</v>
      </c>
      <c r="M373" s="28"/>
      <c r="N373" s="28"/>
      <c r="O373" s="28"/>
      <c r="P373" s="28"/>
      <c r="Q373" s="28"/>
      <c r="R373" s="28"/>
      <c r="S373" s="28">
        <v>0.247375488</v>
      </c>
    </row>
    <row r="374" spans="1:19" x14ac:dyDescent="0.25">
      <c r="A374" s="28">
        <v>2015</v>
      </c>
      <c r="B374" s="28"/>
      <c r="C374" s="28" t="s">
        <v>197</v>
      </c>
      <c r="D374" s="28" t="s">
        <v>654</v>
      </c>
      <c r="E374" s="28" t="s">
        <v>434</v>
      </c>
      <c r="F374" s="28" t="s">
        <v>435</v>
      </c>
      <c r="G374" s="28">
        <v>28214</v>
      </c>
      <c r="H374" s="28">
        <v>35.259729999999998</v>
      </c>
      <c r="I374" s="28">
        <v>-81.000079999999997</v>
      </c>
      <c r="J374" s="28"/>
      <c r="K374" s="61">
        <v>110004018731</v>
      </c>
      <c r="L374" s="61" t="str">
        <f>IFERROR(INDEX('Facility Summary'!$K:$K,MATCH(K374,'Facility Summary'!$J:$J,0)),INDEX('Raw Annual DMR Data'!$M:$M,MATCH(K374,'Raw Annual DMR Data'!$L:$L,0)))</f>
        <v>Remediation</v>
      </c>
      <c r="M374" s="28"/>
      <c r="N374" s="28"/>
      <c r="O374" s="28"/>
      <c r="P374" s="28"/>
      <c r="Q374" s="28"/>
      <c r="R374" s="28"/>
      <c r="S374" s="28">
        <v>2.0100166800000002E-3</v>
      </c>
    </row>
    <row r="375" spans="1:19" x14ac:dyDescent="0.25">
      <c r="A375" s="28">
        <v>2015</v>
      </c>
      <c r="B375" s="28" t="s">
        <v>2403</v>
      </c>
      <c r="C375" s="28" t="s">
        <v>675</v>
      </c>
      <c r="D375" s="28" t="s">
        <v>676</v>
      </c>
      <c r="E375" s="28" t="s">
        <v>516</v>
      </c>
      <c r="F375" s="28" t="s">
        <v>303</v>
      </c>
      <c r="G375" s="28">
        <v>70734</v>
      </c>
      <c r="H375" s="28">
        <v>30.180099999999999</v>
      </c>
      <c r="I375" s="28">
        <v>-90.981899999999996</v>
      </c>
      <c r="J375" s="28" t="s">
        <v>677</v>
      </c>
      <c r="K375" s="61">
        <v>110007909095</v>
      </c>
      <c r="L375" s="61" t="str">
        <f>IFERROR(INDEX('Facility Summary'!$K:$K,MATCH(K375,'Facility Summary'!$J:$J,0)),INDEX('Raw Annual DMR Data'!$M:$M,MATCH(K375,'Raw Annual DMR Data'!$L:$L,0)))</f>
        <v>Repackaging</v>
      </c>
      <c r="M375" s="28">
        <v>424690</v>
      </c>
      <c r="N375" s="28" t="s">
        <v>678</v>
      </c>
      <c r="O375" s="28"/>
      <c r="P375" s="28" t="s">
        <v>2404</v>
      </c>
      <c r="Q375" s="28"/>
      <c r="R375" s="28">
        <v>500</v>
      </c>
      <c r="S375" s="28">
        <v>226.79618500000001</v>
      </c>
    </row>
    <row r="376" spans="1:19" x14ac:dyDescent="0.25">
      <c r="A376" s="28">
        <v>2016</v>
      </c>
      <c r="B376" s="28" t="s">
        <v>2403</v>
      </c>
      <c r="C376" s="28" t="s">
        <v>675</v>
      </c>
      <c r="D376" s="28" t="s">
        <v>676</v>
      </c>
      <c r="E376" s="28" t="s">
        <v>516</v>
      </c>
      <c r="F376" s="28" t="s">
        <v>303</v>
      </c>
      <c r="G376" s="28">
        <v>70734</v>
      </c>
      <c r="H376" s="28">
        <v>30.180099999999999</v>
      </c>
      <c r="I376" s="28">
        <v>-90.981899999999996</v>
      </c>
      <c r="J376" s="28" t="s">
        <v>677</v>
      </c>
      <c r="K376" s="61">
        <v>110007909095</v>
      </c>
      <c r="L376" s="61" t="str">
        <f>IFERROR(INDEX('Facility Summary'!$K:$K,MATCH(K376,'Facility Summary'!$J:$J,0)),INDEX('Raw Annual DMR Data'!$M:$M,MATCH(K376,'Raw Annual DMR Data'!$L:$L,0)))</f>
        <v>Repackaging</v>
      </c>
      <c r="M376" s="28">
        <v>424690</v>
      </c>
      <c r="N376" s="28" t="s">
        <v>678</v>
      </c>
      <c r="O376" s="28"/>
      <c r="P376" s="28" t="s">
        <v>2404</v>
      </c>
      <c r="Q376" s="28"/>
      <c r="R376" s="28">
        <v>500</v>
      </c>
      <c r="S376" s="28">
        <v>226.79618500000001</v>
      </c>
    </row>
    <row r="377" spans="1:19" x14ac:dyDescent="0.25">
      <c r="A377" s="28">
        <v>2017</v>
      </c>
      <c r="B377" s="28" t="s">
        <v>2403</v>
      </c>
      <c r="C377" s="28" t="s">
        <v>675</v>
      </c>
      <c r="D377" s="28" t="s">
        <v>676</v>
      </c>
      <c r="E377" s="28" t="s">
        <v>516</v>
      </c>
      <c r="F377" s="28" t="s">
        <v>303</v>
      </c>
      <c r="G377" s="28">
        <v>70734</v>
      </c>
      <c r="H377" s="28">
        <v>30.180099999999999</v>
      </c>
      <c r="I377" s="28">
        <v>-90.981899999999996</v>
      </c>
      <c r="J377" s="28" t="s">
        <v>677</v>
      </c>
      <c r="K377" s="61">
        <v>110007909095</v>
      </c>
      <c r="L377" s="61" t="str">
        <f>IFERROR(INDEX('Facility Summary'!$K:$K,MATCH(K377,'Facility Summary'!$J:$J,0)),INDEX('Raw Annual DMR Data'!$M:$M,MATCH(K377,'Raw Annual DMR Data'!$L:$L,0)))</f>
        <v>Repackaging</v>
      </c>
      <c r="M377" s="28">
        <v>424690</v>
      </c>
      <c r="N377" s="28" t="s">
        <v>678</v>
      </c>
      <c r="O377" s="28"/>
      <c r="P377" s="28" t="s">
        <v>2404</v>
      </c>
      <c r="Q377" s="28"/>
      <c r="R377" s="28">
        <v>500</v>
      </c>
      <c r="S377" s="28">
        <v>226.79618500000001</v>
      </c>
    </row>
    <row r="378" spans="1:19" x14ac:dyDescent="0.25">
      <c r="A378" s="28">
        <v>2018</v>
      </c>
      <c r="B378" s="28" t="s">
        <v>2403</v>
      </c>
      <c r="C378" s="28" t="s">
        <v>675</v>
      </c>
      <c r="D378" s="28" t="s">
        <v>676</v>
      </c>
      <c r="E378" s="28" t="s">
        <v>516</v>
      </c>
      <c r="F378" s="28" t="s">
        <v>303</v>
      </c>
      <c r="G378" s="28">
        <v>70734</v>
      </c>
      <c r="H378" s="28">
        <v>30.180099999999999</v>
      </c>
      <c r="I378" s="28">
        <v>-90.981899999999996</v>
      </c>
      <c r="J378" s="28" t="s">
        <v>677</v>
      </c>
      <c r="K378" s="61">
        <v>110007909095</v>
      </c>
      <c r="L378" s="61" t="str">
        <f>IFERROR(INDEX('Facility Summary'!$K:$K,MATCH(K378,'Facility Summary'!$J:$J,0)),INDEX('Raw Annual DMR Data'!$M:$M,MATCH(K378,'Raw Annual DMR Data'!$L:$L,0)))</f>
        <v>Repackaging</v>
      </c>
      <c r="M378" s="28">
        <v>424690</v>
      </c>
      <c r="N378" s="28" t="s">
        <v>678</v>
      </c>
      <c r="O378" s="28"/>
      <c r="P378" s="28" t="s">
        <v>2404</v>
      </c>
      <c r="Q378" s="28"/>
      <c r="R378" s="28">
        <v>500</v>
      </c>
      <c r="S378" s="28">
        <v>226.79618500000001</v>
      </c>
    </row>
    <row r="379" spans="1:19" x14ac:dyDescent="0.25">
      <c r="A379" s="28">
        <v>2019</v>
      </c>
      <c r="B379" s="28" t="s">
        <v>2403</v>
      </c>
      <c r="C379" s="28" t="s">
        <v>675</v>
      </c>
      <c r="D379" s="28" t="s">
        <v>676</v>
      </c>
      <c r="E379" s="28" t="s">
        <v>516</v>
      </c>
      <c r="F379" s="28" t="s">
        <v>303</v>
      </c>
      <c r="G379" s="28">
        <v>70734</v>
      </c>
      <c r="H379" s="28">
        <v>30.180099999999999</v>
      </c>
      <c r="I379" s="28">
        <v>-90.981899999999996</v>
      </c>
      <c r="J379" s="28" t="s">
        <v>677</v>
      </c>
      <c r="K379" s="61">
        <v>110007909095</v>
      </c>
      <c r="L379" s="61" t="str">
        <f>IFERROR(INDEX('Facility Summary'!$K:$K,MATCH(K379,'Facility Summary'!$J:$J,0)),INDEX('Raw Annual DMR Data'!$M:$M,MATCH(K379,'Raw Annual DMR Data'!$L:$L,0)))</f>
        <v>Repackaging</v>
      </c>
      <c r="M379" s="28">
        <v>424690</v>
      </c>
      <c r="N379" s="28" t="s">
        <v>678</v>
      </c>
      <c r="O379" s="28"/>
      <c r="P379" s="28" t="s">
        <v>2404</v>
      </c>
      <c r="Q379" s="28"/>
      <c r="R379" s="28">
        <v>500</v>
      </c>
      <c r="S379" s="28">
        <v>226.79618500000001</v>
      </c>
    </row>
    <row r="380" spans="1:19" x14ac:dyDescent="0.25">
      <c r="A380" s="28">
        <v>2018</v>
      </c>
      <c r="B380" s="28"/>
      <c r="C380" s="28" t="s">
        <v>198</v>
      </c>
      <c r="D380" s="28" t="s">
        <v>656</v>
      </c>
      <c r="E380" s="28" t="s">
        <v>657</v>
      </c>
      <c r="F380" s="28" t="s">
        <v>418</v>
      </c>
      <c r="G380" s="28">
        <v>89109</v>
      </c>
      <c r="H380" s="28">
        <v>36.122100000000003</v>
      </c>
      <c r="I380" s="28">
        <v>-115.17139</v>
      </c>
      <c r="J380" s="28"/>
      <c r="K380" s="61">
        <v>110004306938</v>
      </c>
      <c r="L380" s="61" t="str">
        <f>IFERROR(INDEX('Facility Summary'!$K:$K,MATCH(K380,'Facility Summary'!$J:$J,0)),INDEX('Raw Annual DMR Data'!$M:$M,MATCH(K380,'Raw Annual DMR Data'!$L:$L,0)))</f>
        <v>Unknown</v>
      </c>
      <c r="M380" s="28"/>
      <c r="N380" s="28"/>
      <c r="O380" s="28"/>
      <c r="P380" s="28"/>
      <c r="Q380" s="28"/>
      <c r="R380" s="28"/>
      <c r="S380" s="28">
        <v>1.7715295075000002E-2</v>
      </c>
    </row>
    <row r="381" spans="1:19" x14ac:dyDescent="0.25">
      <c r="A381" s="28">
        <v>2019</v>
      </c>
      <c r="B381" s="28"/>
      <c r="C381" s="28" t="s">
        <v>199</v>
      </c>
      <c r="D381" s="28" t="s">
        <v>658</v>
      </c>
      <c r="E381" s="28" t="s">
        <v>659</v>
      </c>
      <c r="F381" s="28" t="s">
        <v>303</v>
      </c>
      <c r="G381" s="28" t="s">
        <v>660</v>
      </c>
      <c r="H381" s="28">
        <v>29.924576999999999</v>
      </c>
      <c r="I381" s="28">
        <v>-90.145308</v>
      </c>
      <c r="J381" s="28"/>
      <c r="K381" s="61">
        <v>110000834688</v>
      </c>
      <c r="L381" s="61" t="str">
        <f>IFERROR(INDEX('Facility Summary'!$K:$K,MATCH(K381,'Facility Summary'!$J:$J,0)),INDEX('Raw Annual DMR Data'!$M:$M,MATCH(K381,'Raw Annual DMR Data'!$L:$L,0)))</f>
        <v>Repackaging</v>
      </c>
      <c r="M381" s="28"/>
      <c r="N381" s="28"/>
      <c r="O381" s="28"/>
      <c r="P381" s="28"/>
      <c r="Q381" s="28"/>
      <c r="R381" s="28"/>
      <c r="S381" s="28">
        <v>0.50139005525000002</v>
      </c>
    </row>
    <row r="382" spans="1:19" x14ac:dyDescent="0.25">
      <c r="A382" s="28">
        <v>2017</v>
      </c>
      <c r="B382" s="28"/>
      <c r="C382" s="28" t="s">
        <v>200</v>
      </c>
      <c r="D382" s="28" t="s">
        <v>661</v>
      </c>
      <c r="E382" s="28" t="s">
        <v>463</v>
      </c>
      <c r="F382" s="28" t="s">
        <v>362</v>
      </c>
      <c r="G382" s="28" t="s">
        <v>662</v>
      </c>
      <c r="H382" s="28">
        <v>29.721309999999999</v>
      </c>
      <c r="I382" s="28">
        <v>-95.220079999999996</v>
      </c>
      <c r="J382" s="28"/>
      <c r="K382" s="61">
        <v>110001869899</v>
      </c>
      <c r="L382" s="61" t="str">
        <f>IFERROR(INDEX('Facility Summary'!$K:$K,MATCH(K382,'Facility Summary'!$J:$J,0)),INDEX('Raw Annual DMR Data'!$M:$M,MATCH(K382,'Raw Annual DMR Data'!$L:$L,0)))</f>
        <v>POTW</v>
      </c>
      <c r="M382" s="28"/>
      <c r="N382" s="28"/>
      <c r="O382" s="28"/>
      <c r="P382" s="28"/>
      <c r="Q382" s="28"/>
      <c r="R382" s="28"/>
      <c r="S382" s="28">
        <v>1118.5306122448901</v>
      </c>
    </row>
    <row r="383" spans="1:19" x14ac:dyDescent="0.25">
      <c r="A383" s="28">
        <v>2017</v>
      </c>
      <c r="B383" s="28"/>
      <c r="C383" s="28" t="s">
        <v>200</v>
      </c>
      <c r="D383" s="28" t="s">
        <v>661</v>
      </c>
      <c r="E383" s="28" t="s">
        <v>463</v>
      </c>
      <c r="F383" s="28" t="s">
        <v>362</v>
      </c>
      <c r="G383" s="28" t="s">
        <v>662</v>
      </c>
      <c r="H383" s="28">
        <v>29.721309999999999</v>
      </c>
      <c r="I383" s="28">
        <v>-95.220079999999996</v>
      </c>
      <c r="J383" s="28"/>
      <c r="K383" s="61">
        <v>110001869899</v>
      </c>
      <c r="L383" s="61" t="str">
        <f>IFERROR(INDEX('Facility Summary'!$K:$K,MATCH(K383,'Facility Summary'!$J:$J,0)),INDEX('Raw Annual DMR Data'!$M:$M,MATCH(K383,'Raw Annual DMR Data'!$L:$L,0)))</f>
        <v>POTW</v>
      </c>
      <c r="M383" s="28"/>
      <c r="N383" s="28"/>
      <c r="O383" s="28"/>
      <c r="P383" s="28"/>
      <c r="Q383" s="28"/>
      <c r="R383" s="28"/>
      <c r="S383" s="28">
        <v>1118.5306122448901</v>
      </c>
    </row>
    <row r="384" spans="1:19" x14ac:dyDescent="0.25">
      <c r="A384" s="28">
        <v>2017</v>
      </c>
      <c r="B384" s="28"/>
      <c r="C384" s="28" t="s">
        <v>143</v>
      </c>
      <c r="D384" s="28" t="s">
        <v>464</v>
      </c>
      <c r="E384" s="28" t="s">
        <v>465</v>
      </c>
      <c r="F384" s="28" t="s">
        <v>362</v>
      </c>
      <c r="G384" s="28">
        <v>77571</v>
      </c>
      <c r="H384" s="28">
        <v>29.717471</v>
      </c>
      <c r="I384" s="28">
        <v>-95.068008000000006</v>
      </c>
      <c r="J384" s="28" t="s">
        <v>466</v>
      </c>
      <c r="K384" s="61">
        <v>110034641635</v>
      </c>
      <c r="L384" s="61" t="str">
        <f>IFERROR(INDEX('Facility Summary'!$K:$K,MATCH(K384,'Facility Summary'!$J:$J,0)),INDEX('Raw Annual DMR Data'!$M:$M,MATCH(K384,'Raw Annual DMR Data'!$L:$L,0)))</f>
        <v>Manufacturing</v>
      </c>
      <c r="M384" s="28"/>
      <c r="N384" s="28"/>
      <c r="O384" s="28"/>
      <c r="P384" s="28"/>
      <c r="Q384" s="28"/>
      <c r="R384" s="28"/>
      <c r="S384" s="28">
        <v>3.50631045</v>
      </c>
    </row>
    <row r="385" spans="1:19" x14ac:dyDescent="0.25">
      <c r="A385" s="28">
        <v>2019</v>
      </c>
      <c r="B385" s="28"/>
      <c r="C385" s="28" t="s">
        <v>143</v>
      </c>
      <c r="D385" s="28" t="s">
        <v>464</v>
      </c>
      <c r="E385" s="28" t="s">
        <v>465</v>
      </c>
      <c r="F385" s="28" t="s">
        <v>362</v>
      </c>
      <c r="G385" s="28">
        <v>77571</v>
      </c>
      <c r="H385" s="28">
        <v>29.717471</v>
      </c>
      <c r="I385" s="28">
        <v>-95.068008000000006</v>
      </c>
      <c r="J385" s="28" t="s">
        <v>466</v>
      </c>
      <c r="K385" s="61">
        <v>110034641635</v>
      </c>
      <c r="L385" s="61" t="str">
        <f>IFERROR(INDEX('Facility Summary'!$K:$K,MATCH(K385,'Facility Summary'!$J:$J,0)),INDEX('Raw Annual DMR Data'!$M:$M,MATCH(K385,'Raw Annual DMR Data'!$L:$L,0)))</f>
        <v>Manufacturing</v>
      </c>
      <c r="M385" s="28"/>
      <c r="N385" s="28"/>
      <c r="O385" s="28"/>
      <c r="P385" s="28"/>
      <c r="Q385" s="28"/>
      <c r="R385" s="28"/>
      <c r="S385" s="28">
        <v>2.3174603174603101</v>
      </c>
    </row>
    <row r="386" spans="1:19" x14ac:dyDescent="0.25">
      <c r="A386" s="28">
        <v>2019</v>
      </c>
      <c r="B386" s="28"/>
      <c r="C386" s="28" t="s">
        <v>143</v>
      </c>
      <c r="D386" s="28" t="s">
        <v>464</v>
      </c>
      <c r="E386" s="28" t="s">
        <v>465</v>
      </c>
      <c r="F386" s="28" t="s">
        <v>362</v>
      </c>
      <c r="G386" s="28">
        <v>77571</v>
      </c>
      <c r="H386" s="28">
        <v>29.717471</v>
      </c>
      <c r="I386" s="28">
        <v>-95.068008000000006</v>
      </c>
      <c r="J386" s="28" t="s">
        <v>466</v>
      </c>
      <c r="K386" s="61">
        <v>110034641635</v>
      </c>
      <c r="L386" s="61" t="str">
        <f>IFERROR(INDEX('Facility Summary'!$K:$K,MATCH(K386,'Facility Summary'!$J:$J,0)),INDEX('Raw Annual DMR Data'!$M:$M,MATCH(K386,'Raw Annual DMR Data'!$L:$L,0)))</f>
        <v>Manufacturing</v>
      </c>
      <c r="M386" s="28"/>
      <c r="N386" s="28"/>
      <c r="O386" s="28"/>
      <c r="P386" s="28"/>
      <c r="Q386" s="28"/>
      <c r="R386" s="28"/>
      <c r="S386" s="28">
        <v>1.8208616780045299</v>
      </c>
    </row>
    <row r="387" spans="1:19" x14ac:dyDescent="0.25">
      <c r="A387" s="28">
        <v>2016</v>
      </c>
      <c r="B387" s="28"/>
      <c r="C387" s="28" t="s">
        <v>143</v>
      </c>
      <c r="D387" s="28" t="s">
        <v>464</v>
      </c>
      <c r="E387" s="28" t="s">
        <v>465</v>
      </c>
      <c r="F387" s="28" t="s">
        <v>362</v>
      </c>
      <c r="G387" s="28">
        <v>77571</v>
      </c>
      <c r="H387" s="28">
        <v>29.717471</v>
      </c>
      <c r="I387" s="28">
        <v>-95.068008000000006</v>
      </c>
      <c r="J387" s="28" t="s">
        <v>466</v>
      </c>
      <c r="K387" s="61">
        <v>110034641635</v>
      </c>
      <c r="L387" s="61" t="str">
        <f>IFERROR(INDEX('Facility Summary'!$K:$K,MATCH(K387,'Facility Summary'!$J:$J,0)),INDEX('Raw Annual DMR Data'!$M:$M,MATCH(K387,'Raw Annual DMR Data'!$L:$L,0)))</f>
        <v>Manufacturing</v>
      </c>
      <c r="M387" s="28"/>
      <c r="N387" s="28"/>
      <c r="O387" s="28"/>
      <c r="P387" s="28"/>
      <c r="Q387" s="28"/>
      <c r="R387" s="28"/>
      <c r="S387" s="28">
        <v>1.39047619047619</v>
      </c>
    </row>
    <row r="388" spans="1:19" x14ac:dyDescent="0.25">
      <c r="A388" s="28">
        <v>2018</v>
      </c>
      <c r="B388" s="28"/>
      <c r="C388" s="28" t="s">
        <v>143</v>
      </c>
      <c r="D388" s="28" t="s">
        <v>464</v>
      </c>
      <c r="E388" s="28" t="s">
        <v>465</v>
      </c>
      <c r="F388" s="28" t="s">
        <v>362</v>
      </c>
      <c r="G388" s="28">
        <v>77571</v>
      </c>
      <c r="H388" s="28">
        <v>29.717471</v>
      </c>
      <c r="I388" s="28">
        <v>-95.068008000000006</v>
      </c>
      <c r="J388" s="28" t="s">
        <v>466</v>
      </c>
      <c r="K388" s="61">
        <v>110034641635</v>
      </c>
      <c r="L388" s="61" t="str">
        <f>IFERROR(INDEX('Facility Summary'!$K:$K,MATCH(K388,'Facility Summary'!$J:$J,0)),INDEX('Raw Annual DMR Data'!$M:$M,MATCH(K388,'Raw Annual DMR Data'!$L:$L,0)))</f>
        <v>Manufacturing</v>
      </c>
      <c r="M388" s="28"/>
      <c r="N388" s="28"/>
      <c r="O388" s="28"/>
      <c r="P388" s="28"/>
      <c r="Q388" s="28"/>
      <c r="R388" s="28"/>
      <c r="S388" s="28">
        <v>1.3242630385487499</v>
      </c>
    </row>
    <row r="389" spans="1:19" x14ac:dyDescent="0.25">
      <c r="A389" s="28">
        <v>2017</v>
      </c>
      <c r="B389" s="28"/>
      <c r="C389" s="28" t="s">
        <v>143</v>
      </c>
      <c r="D389" s="28" t="s">
        <v>464</v>
      </c>
      <c r="E389" s="28" t="s">
        <v>465</v>
      </c>
      <c r="F389" s="28" t="s">
        <v>362</v>
      </c>
      <c r="G389" s="28">
        <v>77571</v>
      </c>
      <c r="H389" s="28">
        <v>29.717471</v>
      </c>
      <c r="I389" s="28">
        <v>-95.068008000000006</v>
      </c>
      <c r="J389" s="28" t="s">
        <v>466</v>
      </c>
      <c r="K389" s="61">
        <v>110034641635</v>
      </c>
      <c r="L389" s="61" t="str">
        <f>IFERROR(INDEX('Facility Summary'!$K:$K,MATCH(K389,'Facility Summary'!$J:$J,0)),INDEX('Raw Annual DMR Data'!$M:$M,MATCH(K389,'Raw Annual DMR Data'!$L:$L,0)))</f>
        <v>Manufacturing</v>
      </c>
      <c r="M389" s="28"/>
      <c r="N389" s="28"/>
      <c r="O389" s="28"/>
      <c r="P389" s="28"/>
      <c r="Q389" s="28"/>
      <c r="R389" s="28"/>
      <c r="S389" s="28">
        <v>1.14217687074829</v>
      </c>
    </row>
    <row r="390" spans="1:19" x14ac:dyDescent="0.25">
      <c r="A390" s="28">
        <v>2018</v>
      </c>
      <c r="B390" s="28"/>
      <c r="C390" s="28" t="s">
        <v>143</v>
      </c>
      <c r="D390" s="28" t="s">
        <v>464</v>
      </c>
      <c r="E390" s="28" t="s">
        <v>465</v>
      </c>
      <c r="F390" s="28" t="s">
        <v>362</v>
      </c>
      <c r="G390" s="28">
        <v>77571</v>
      </c>
      <c r="H390" s="28">
        <v>29.717471</v>
      </c>
      <c r="I390" s="28">
        <v>-95.068008000000006</v>
      </c>
      <c r="J390" s="28" t="s">
        <v>466</v>
      </c>
      <c r="K390" s="61">
        <v>110034641635</v>
      </c>
      <c r="L390" s="61" t="str">
        <f>IFERROR(INDEX('Facility Summary'!$K:$K,MATCH(K390,'Facility Summary'!$J:$J,0)),INDEX('Raw Annual DMR Data'!$M:$M,MATCH(K390,'Raw Annual DMR Data'!$L:$L,0)))</f>
        <v>Manufacturing</v>
      </c>
      <c r="M390" s="28"/>
      <c r="N390" s="28"/>
      <c r="O390" s="28"/>
      <c r="P390" s="28"/>
      <c r="Q390" s="28"/>
      <c r="R390" s="28"/>
      <c r="S390" s="28">
        <v>1.2712925170067999</v>
      </c>
    </row>
    <row r="391" spans="1:19" x14ac:dyDescent="0.25">
      <c r="A391" s="28">
        <v>2016</v>
      </c>
      <c r="B391" s="28"/>
      <c r="C391" s="28" t="s">
        <v>143</v>
      </c>
      <c r="D391" s="28" t="s">
        <v>464</v>
      </c>
      <c r="E391" s="28" t="s">
        <v>465</v>
      </c>
      <c r="F391" s="28" t="s">
        <v>362</v>
      </c>
      <c r="G391" s="28">
        <v>77571</v>
      </c>
      <c r="H391" s="28">
        <v>29.717471</v>
      </c>
      <c r="I391" s="28">
        <v>-95.068008000000006</v>
      </c>
      <c r="J391" s="28" t="s">
        <v>466</v>
      </c>
      <c r="K391" s="61">
        <v>110034641635</v>
      </c>
      <c r="L391" s="61" t="str">
        <f>IFERROR(INDEX('Facility Summary'!$K:$K,MATCH(K391,'Facility Summary'!$J:$J,0)),INDEX('Raw Annual DMR Data'!$M:$M,MATCH(K391,'Raw Annual DMR Data'!$L:$L,0)))</f>
        <v>Manufacturing</v>
      </c>
      <c r="M391" s="28"/>
      <c r="N391" s="28"/>
      <c r="O391" s="28"/>
      <c r="P391" s="28"/>
      <c r="Q391" s="28"/>
      <c r="R391" s="28"/>
      <c r="S391" s="28">
        <v>1.11569160997732</v>
      </c>
    </row>
    <row r="392" spans="1:19" x14ac:dyDescent="0.25">
      <c r="A392" s="28">
        <v>2019</v>
      </c>
      <c r="B392" s="28"/>
      <c r="C392" s="28" t="s">
        <v>143</v>
      </c>
      <c r="D392" s="28" t="s">
        <v>464</v>
      </c>
      <c r="E392" s="28" t="s">
        <v>465</v>
      </c>
      <c r="F392" s="28" t="s">
        <v>362</v>
      </c>
      <c r="G392" s="28">
        <v>77571</v>
      </c>
      <c r="H392" s="28">
        <v>29.717471</v>
      </c>
      <c r="I392" s="28">
        <v>-95.068008000000006</v>
      </c>
      <c r="J392" s="28" t="s">
        <v>466</v>
      </c>
      <c r="K392" s="61">
        <v>110034641635</v>
      </c>
      <c r="L392" s="61" t="str">
        <f>IFERROR(INDEX('Facility Summary'!$K:$K,MATCH(K392,'Facility Summary'!$J:$J,0)),INDEX('Raw Annual DMR Data'!$M:$M,MATCH(K392,'Raw Annual DMR Data'!$L:$L,0)))</f>
        <v>Manufacturing</v>
      </c>
      <c r="M392" s="28"/>
      <c r="N392" s="28"/>
      <c r="O392" s="28"/>
      <c r="P392" s="28"/>
      <c r="Q392" s="28"/>
      <c r="R392" s="28"/>
      <c r="S392" s="28">
        <v>0.94353741496598598</v>
      </c>
    </row>
    <row r="393" spans="1:19" x14ac:dyDescent="0.25">
      <c r="A393" s="28">
        <v>2017</v>
      </c>
      <c r="B393" s="28"/>
      <c r="C393" s="28" t="s">
        <v>143</v>
      </c>
      <c r="D393" s="28" t="s">
        <v>464</v>
      </c>
      <c r="E393" s="28" t="s">
        <v>465</v>
      </c>
      <c r="F393" s="28" t="s">
        <v>362</v>
      </c>
      <c r="G393" s="28">
        <v>77571</v>
      </c>
      <c r="H393" s="28">
        <v>29.717471</v>
      </c>
      <c r="I393" s="28">
        <v>-95.068008000000006</v>
      </c>
      <c r="J393" s="28" t="s">
        <v>466</v>
      </c>
      <c r="K393" s="61">
        <v>110034641635</v>
      </c>
      <c r="L393" s="61" t="str">
        <f>IFERROR(INDEX('Facility Summary'!$K:$K,MATCH(K393,'Facility Summary'!$J:$J,0)),INDEX('Raw Annual DMR Data'!$M:$M,MATCH(K393,'Raw Annual DMR Data'!$L:$L,0)))</f>
        <v>Manufacturing</v>
      </c>
      <c r="M393" s="28"/>
      <c r="N393" s="28"/>
      <c r="O393" s="28"/>
      <c r="P393" s="28"/>
      <c r="Q393" s="28"/>
      <c r="R393" s="28"/>
      <c r="S393" s="28">
        <v>0.28140589569160901</v>
      </c>
    </row>
    <row r="394" spans="1:19" x14ac:dyDescent="0.25">
      <c r="A394" s="28">
        <v>2017</v>
      </c>
      <c r="B394" s="28"/>
      <c r="C394" s="28" t="s">
        <v>143</v>
      </c>
      <c r="D394" s="28" t="s">
        <v>464</v>
      </c>
      <c r="E394" s="28" t="s">
        <v>465</v>
      </c>
      <c r="F394" s="28" t="s">
        <v>362</v>
      </c>
      <c r="G394" s="28">
        <v>77571</v>
      </c>
      <c r="H394" s="28">
        <v>29.717471</v>
      </c>
      <c r="I394" s="28">
        <v>-95.068008000000006</v>
      </c>
      <c r="J394" s="28" t="s">
        <v>466</v>
      </c>
      <c r="K394" s="61">
        <v>110034641635</v>
      </c>
      <c r="L394" s="61" t="str">
        <f>IFERROR(INDEX('Facility Summary'!$K:$K,MATCH(K394,'Facility Summary'!$J:$J,0)),INDEX('Raw Annual DMR Data'!$M:$M,MATCH(K394,'Raw Annual DMR Data'!$L:$L,0)))</f>
        <v>Manufacturing</v>
      </c>
      <c r="M394" s="28"/>
      <c r="N394" s="28"/>
      <c r="O394" s="28"/>
      <c r="P394" s="28"/>
      <c r="Q394" s="28"/>
      <c r="R394" s="28"/>
      <c r="S394" s="28">
        <v>9.9319727891156395E-2</v>
      </c>
    </row>
    <row r="395" spans="1:19" x14ac:dyDescent="0.25">
      <c r="A395" s="28">
        <v>2018</v>
      </c>
      <c r="B395" s="28"/>
      <c r="C395" s="28" t="s">
        <v>143</v>
      </c>
      <c r="D395" s="28" t="s">
        <v>464</v>
      </c>
      <c r="E395" s="28" t="s">
        <v>465</v>
      </c>
      <c r="F395" s="28" t="s">
        <v>362</v>
      </c>
      <c r="G395" s="28">
        <v>77571</v>
      </c>
      <c r="H395" s="28">
        <v>29.717471</v>
      </c>
      <c r="I395" s="28">
        <v>-95.068008000000006</v>
      </c>
      <c r="J395" s="28" t="s">
        <v>466</v>
      </c>
      <c r="K395" s="61">
        <v>110034641635</v>
      </c>
      <c r="L395" s="61" t="str">
        <f>IFERROR(INDEX('Facility Summary'!$K:$K,MATCH(K395,'Facility Summary'!$J:$J,0)),INDEX('Raw Annual DMR Data'!$M:$M,MATCH(K395,'Raw Annual DMR Data'!$L:$L,0)))</f>
        <v>Manufacturing</v>
      </c>
      <c r="M395" s="28"/>
      <c r="N395" s="28"/>
      <c r="O395" s="28"/>
      <c r="P395" s="28"/>
      <c r="Q395" s="28"/>
      <c r="R395" s="28"/>
      <c r="S395" s="28">
        <v>1.12562358276643</v>
      </c>
    </row>
    <row r="396" spans="1:19" ht="16.5" customHeight="1" x14ac:dyDescent="0.25">
      <c r="A396" s="28">
        <v>2018</v>
      </c>
      <c r="B396" s="28"/>
      <c r="C396" s="28" t="s">
        <v>149</v>
      </c>
      <c r="D396" s="28" t="s">
        <v>479</v>
      </c>
      <c r="E396" s="28" t="s">
        <v>480</v>
      </c>
      <c r="F396" s="28" t="s">
        <v>362</v>
      </c>
      <c r="G396" s="28">
        <v>77978</v>
      </c>
      <c r="H396" s="28">
        <v>28.6753</v>
      </c>
      <c r="I396" s="28">
        <v>-96.549499999999995</v>
      </c>
      <c r="J396" s="28" t="s">
        <v>481</v>
      </c>
      <c r="K396" s="61">
        <v>110018925957</v>
      </c>
      <c r="L396" s="61" t="str">
        <f>IFERROR(INDEX('Facility Summary'!$K:$K,MATCH(K396,'Facility Summary'!$J:$J,0)),INDEX('Raw Annual DMR Data'!$M:$M,MATCH(K396,'Raw Annual DMR Data'!$L:$L,0)))</f>
        <v>Manufacturing</v>
      </c>
      <c r="M396" s="28"/>
      <c r="N396" s="28"/>
      <c r="O396" s="28"/>
      <c r="P396" s="28"/>
      <c r="Q396" s="28"/>
      <c r="R396" s="28"/>
      <c r="S396" s="28">
        <v>24.4897959183673</v>
      </c>
    </row>
    <row r="397" spans="1:19" ht="16.5" customHeight="1" x14ac:dyDescent="0.25">
      <c r="A397" s="28">
        <v>2017</v>
      </c>
      <c r="B397" s="28"/>
      <c r="C397" s="28" t="s">
        <v>149</v>
      </c>
      <c r="D397" s="28" t="s">
        <v>479</v>
      </c>
      <c r="E397" s="28" t="s">
        <v>480</v>
      </c>
      <c r="F397" s="28" t="s">
        <v>362</v>
      </c>
      <c r="G397" s="28">
        <v>77978</v>
      </c>
      <c r="H397" s="28">
        <v>28.6753</v>
      </c>
      <c r="I397" s="28">
        <v>-96.549499999999995</v>
      </c>
      <c r="J397" s="28" t="s">
        <v>481</v>
      </c>
      <c r="K397" s="61">
        <v>110018925957</v>
      </c>
      <c r="L397" s="61" t="str">
        <f>IFERROR(INDEX('Facility Summary'!$K:$K,MATCH(K397,'Facility Summary'!$J:$J,0)),INDEX('Raw Annual DMR Data'!$M:$M,MATCH(K397,'Raw Annual DMR Data'!$L:$L,0)))</f>
        <v>Manufacturing</v>
      </c>
      <c r="M397" s="28"/>
      <c r="N397" s="28"/>
      <c r="O397" s="28"/>
      <c r="P397" s="28"/>
      <c r="Q397" s="28"/>
      <c r="R397" s="28"/>
      <c r="S397" s="28">
        <v>5989.5353999999998</v>
      </c>
    </row>
    <row r="398" spans="1:19" ht="16.5" customHeight="1" x14ac:dyDescent="0.25">
      <c r="A398" s="28">
        <v>2019</v>
      </c>
      <c r="B398" s="28"/>
      <c r="C398" s="28" t="s">
        <v>149</v>
      </c>
      <c r="D398" s="28" t="s">
        <v>479</v>
      </c>
      <c r="E398" s="28" t="s">
        <v>480</v>
      </c>
      <c r="F398" s="28" t="s">
        <v>362</v>
      </c>
      <c r="G398" s="28">
        <v>77978</v>
      </c>
      <c r="H398" s="28">
        <v>28.6753</v>
      </c>
      <c r="I398" s="28">
        <v>-96.549499999999995</v>
      </c>
      <c r="J398" s="28" t="s">
        <v>481</v>
      </c>
      <c r="K398" s="61">
        <v>110018925957</v>
      </c>
      <c r="L398" s="61" t="str">
        <f>IFERROR(INDEX('Facility Summary'!$K:$K,MATCH(K398,'Facility Summary'!$J:$J,0)),INDEX('Raw Annual DMR Data'!$M:$M,MATCH(K398,'Raw Annual DMR Data'!$L:$L,0)))</f>
        <v>Manufacturing</v>
      </c>
      <c r="M398" s="28"/>
      <c r="N398" s="28"/>
      <c r="O398" s="28"/>
      <c r="P398" s="28"/>
      <c r="Q398" s="28"/>
      <c r="R398" s="28"/>
      <c r="S398" s="28">
        <v>110.548752834467</v>
      </c>
    </row>
    <row r="399" spans="1:19" ht="16.5" customHeight="1" x14ac:dyDescent="0.25">
      <c r="A399" s="28">
        <v>2016</v>
      </c>
      <c r="B399" s="28"/>
      <c r="C399" s="28" t="s">
        <v>149</v>
      </c>
      <c r="D399" s="28" t="s">
        <v>479</v>
      </c>
      <c r="E399" s="28" t="s">
        <v>480</v>
      </c>
      <c r="F399" s="28" t="s">
        <v>362</v>
      </c>
      <c r="G399" s="28">
        <v>77978</v>
      </c>
      <c r="H399" s="28">
        <v>28.6753</v>
      </c>
      <c r="I399" s="28">
        <v>-96.549499999999995</v>
      </c>
      <c r="J399" s="28" t="s">
        <v>481</v>
      </c>
      <c r="K399" s="61">
        <v>110018925957</v>
      </c>
      <c r="L399" s="61" t="str">
        <f>IFERROR(INDEX('Facility Summary'!$K:$K,MATCH(K399,'Facility Summary'!$J:$J,0)),INDEX('Raw Annual DMR Data'!$M:$M,MATCH(K399,'Raw Annual DMR Data'!$L:$L,0)))</f>
        <v>Manufacturing</v>
      </c>
      <c r="M399" s="28"/>
      <c r="N399" s="28"/>
      <c r="O399" s="28"/>
      <c r="P399" s="28"/>
      <c r="Q399" s="28"/>
      <c r="R399" s="28"/>
      <c r="S399" s="28">
        <v>64.952380952380906</v>
      </c>
    </row>
    <row r="400" spans="1:19" ht="16.5" customHeight="1" x14ac:dyDescent="0.25">
      <c r="A400" s="28">
        <v>2020</v>
      </c>
      <c r="B400" s="28"/>
      <c r="C400" s="28" t="s">
        <v>149</v>
      </c>
      <c r="D400" s="28" t="s">
        <v>479</v>
      </c>
      <c r="E400" s="28" t="s">
        <v>480</v>
      </c>
      <c r="F400" s="28" t="s">
        <v>362</v>
      </c>
      <c r="G400" s="28">
        <v>77978</v>
      </c>
      <c r="H400" s="28">
        <v>28.6753</v>
      </c>
      <c r="I400" s="28">
        <v>-96.549499999999995</v>
      </c>
      <c r="J400" s="28" t="s">
        <v>481</v>
      </c>
      <c r="K400" s="61">
        <v>110018925957</v>
      </c>
      <c r="L400" s="61" t="str">
        <f>IFERROR(INDEX('Facility Summary'!$K:$K,MATCH(K400,'Facility Summary'!$J:$J,0)),INDEX('Raw Annual DMR Data'!$M:$M,MATCH(K400,'Raw Annual DMR Data'!$L:$L,0)))</f>
        <v>Manufacturing</v>
      </c>
      <c r="M400" s="28"/>
      <c r="N400" s="28"/>
      <c r="O400" s="28"/>
      <c r="P400" s="28"/>
      <c r="Q400" s="28"/>
      <c r="R400" s="28"/>
      <c r="S400" s="28">
        <v>24.816326530612201</v>
      </c>
    </row>
    <row r="401" spans="1:19" ht="16.5" customHeight="1" x14ac:dyDescent="0.25">
      <c r="A401" s="28">
        <v>2017</v>
      </c>
      <c r="B401" s="28"/>
      <c r="C401" s="28" t="s">
        <v>149</v>
      </c>
      <c r="D401" s="28" t="s">
        <v>479</v>
      </c>
      <c r="E401" s="28" t="s">
        <v>480</v>
      </c>
      <c r="F401" s="28" t="s">
        <v>362</v>
      </c>
      <c r="G401" s="28">
        <v>77978</v>
      </c>
      <c r="H401" s="28">
        <v>28.6753</v>
      </c>
      <c r="I401" s="28">
        <v>-96.549499999999995</v>
      </c>
      <c r="J401" s="28" t="s">
        <v>481</v>
      </c>
      <c r="K401" s="61">
        <v>110018925957</v>
      </c>
      <c r="L401" s="61" t="str">
        <f>IFERROR(INDEX('Facility Summary'!$K:$K,MATCH(K401,'Facility Summary'!$J:$J,0)),INDEX('Raw Annual DMR Data'!$M:$M,MATCH(K401,'Raw Annual DMR Data'!$L:$L,0)))</f>
        <v>Manufacturing</v>
      </c>
      <c r="M401" s="28"/>
      <c r="N401" s="28"/>
      <c r="O401" s="28"/>
      <c r="P401" s="28"/>
      <c r="Q401" s="28"/>
      <c r="R401" s="28"/>
      <c r="S401" s="28">
        <v>13.3333333333333</v>
      </c>
    </row>
    <row r="402" spans="1:19" ht="16.5" customHeight="1" x14ac:dyDescent="0.25">
      <c r="A402" s="28">
        <v>2020</v>
      </c>
      <c r="B402" s="28"/>
      <c r="C402" s="28" t="s">
        <v>149</v>
      </c>
      <c r="D402" s="28" t="s">
        <v>479</v>
      </c>
      <c r="E402" s="28" t="s">
        <v>480</v>
      </c>
      <c r="F402" s="28" t="s">
        <v>362</v>
      </c>
      <c r="G402" s="28">
        <v>77978</v>
      </c>
      <c r="H402" s="28">
        <v>28.6753</v>
      </c>
      <c r="I402" s="28">
        <v>-96.549499999999995</v>
      </c>
      <c r="J402" s="28" t="s">
        <v>481</v>
      </c>
      <c r="K402" s="61">
        <v>110018925957</v>
      </c>
      <c r="L402" s="61" t="str">
        <f>IFERROR(INDEX('Facility Summary'!$K:$K,MATCH(K402,'Facility Summary'!$J:$J,0)),INDEX('Raw Annual DMR Data'!$M:$M,MATCH(K402,'Raw Annual DMR Data'!$L:$L,0)))</f>
        <v>Manufacturing</v>
      </c>
      <c r="M402" s="28"/>
      <c r="N402" s="28"/>
      <c r="O402" s="28"/>
      <c r="P402" s="28"/>
      <c r="Q402" s="28"/>
      <c r="R402" s="28"/>
      <c r="S402" s="28">
        <v>6.0343714285714203</v>
      </c>
    </row>
    <row r="403" spans="1:19" ht="16.5" customHeight="1" x14ac:dyDescent="0.25">
      <c r="A403" s="28">
        <v>2015</v>
      </c>
      <c r="B403" s="28"/>
      <c r="C403" s="28" t="s">
        <v>149</v>
      </c>
      <c r="D403" s="28" t="s">
        <v>479</v>
      </c>
      <c r="E403" s="28" t="s">
        <v>480</v>
      </c>
      <c r="F403" s="28" t="s">
        <v>362</v>
      </c>
      <c r="G403" s="28">
        <v>77978</v>
      </c>
      <c r="H403" s="28">
        <v>28.6753</v>
      </c>
      <c r="I403" s="28">
        <v>-96.549499999999995</v>
      </c>
      <c r="J403" s="28" t="s">
        <v>481</v>
      </c>
      <c r="K403" s="61">
        <v>110018925957</v>
      </c>
      <c r="L403" s="61" t="str">
        <f>IFERROR(INDEX('Facility Summary'!$K:$K,MATCH(K403,'Facility Summary'!$J:$J,0)),INDEX('Raw Annual DMR Data'!$M:$M,MATCH(K403,'Raw Annual DMR Data'!$L:$L,0)))</f>
        <v>Manufacturing</v>
      </c>
      <c r="M403" s="28"/>
      <c r="N403" s="28"/>
      <c r="O403" s="28"/>
      <c r="P403" s="28"/>
      <c r="Q403" s="28"/>
      <c r="R403" s="28"/>
      <c r="S403" s="28">
        <v>7.59183673469387</v>
      </c>
    </row>
    <row r="404" spans="1:19" ht="16.5" customHeight="1" x14ac:dyDescent="0.25">
      <c r="A404" s="28">
        <v>2018</v>
      </c>
      <c r="B404" s="28"/>
      <c r="C404" s="28" t="s">
        <v>150</v>
      </c>
      <c r="D404" s="28" t="s">
        <v>482</v>
      </c>
      <c r="E404" s="28" t="s">
        <v>302</v>
      </c>
      <c r="F404" s="28" t="s">
        <v>303</v>
      </c>
      <c r="G404" s="28">
        <v>70805</v>
      </c>
      <c r="H404" s="28">
        <v>30.498203</v>
      </c>
      <c r="I404" s="28">
        <v>-91.189148000000003</v>
      </c>
      <c r="J404" s="28" t="s">
        <v>483</v>
      </c>
      <c r="K404" s="61">
        <v>110000597444</v>
      </c>
      <c r="L404" s="61" t="str">
        <f>IFERROR(INDEX('Facility Summary'!$K:$K,MATCH(K404,'Facility Summary'!$J:$J,0)),INDEX('Raw Annual DMR Data'!$M:$M,MATCH(K404,'Raw Annual DMR Data'!$L:$L,0)))</f>
        <v>Manufacturing</v>
      </c>
      <c r="M404" s="28"/>
      <c r="N404" s="28"/>
      <c r="O404" s="28"/>
      <c r="P404" s="28"/>
      <c r="Q404" s="28"/>
      <c r="R404" s="28"/>
      <c r="S404" s="28">
        <v>53.405895691609899</v>
      </c>
    </row>
    <row r="405" spans="1:19" ht="16.5" customHeight="1" x14ac:dyDescent="0.25">
      <c r="A405" s="28">
        <v>2017</v>
      </c>
      <c r="B405" s="28"/>
      <c r="C405" s="28" t="s">
        <v>150</v>
      </c>
      <c r="D405" s="28" t="s">
        <v>482</v>
      </c>
      <c r="E405" s="28" t="s">
        <v>302</v>
      </c>
      <c r="F405" s="28" t="s">
        <v>303</v>
      </c>
      <c r="G405" s="28">
        <v>70805</v>
      </c>
      <c r="H405" s="28">
        <v>30.498203</v>
      </c>
      <c r="I405" s="28">
        <v>-91.189148000000003</v>
      </c>
      <c r="J405" s="28" t="s">
        <v>483</v>
      </c>
      <c r="K405" s="61">
        <v>110000597444</v>
      </c>
      <c r="L405" s="61" t="str">
        <f>IFERROR(INDEX('Facility Summary'!$K:$K,MATCH(K405,'Facility Summary'!$J:$J,0)),INDEX('Raw Annual DMR Data'!$M:$M,MATCH(K405,'Raw Annual DMR Data'!$L:$L,0)))</f>
        <v>Manufacturing</v>
      </c>
      <c r="M405" s="28"/>
      <c r="N405" s="28"/>
      <c r="O405" s="28"/>
      <c r="P405" s="28"/>
      <c r="Q405" s="28"/>
      <c r="R405" s="28"/>
      <c r="S405" s="28">
        <v>84.136054421768705</v>
      </c>
    </row>
    <row r="406" spans="1:19" ht="16.5" customHeight="1" x14ac:dyDescent="0.25">
      <c r="A406" s="28">
        <v>2020</v>
      </c>
      <c r="B406" s="28"/>
      <c r="C406" s="28" t="s">
        <v>150</v>
      </c>
      <c r="D406" s="28" t="s">
        <v>482</v>
      </c>
      <c r="E406" s="28" t="s">
        <v>302</v>
      </c>
      <c r="F406" s="28" t="s">
        <v>303</v>
      </c>
      <c r="G406" s="28">
        <v>70805</v>
      </c>
      <c r="H406" s="28">
        <v>30.498203</v>
      </c>
      <c r="I406" s="28">
        <v>-91.189148000000003</v>
      </c>
      <c r="J406" s="28" t="s">
        <v>483</v>
      </c>
      <c r="K406" s="61">
        <v>110000597444</v>
      </c>
      <c r="L406" s="61" t="str">
        <f>IFERROR(INDEX('Facility Summary'!$K:$K,MATCH(K406,'Facility Summary'!$J:$J,0)),INDEX('Raw Annual DMR Data'!$M:$M,MATCH(K406,'Raw Annual DMR Data'!$L:$L,0)))</f>
        <v>Manufacturing</v>
      </c>
      <c r="M406" s="28"/>
      <c r="N406" s="28"/>
      <c r="O406" s="28"/>
      <c r="P406" s="28"/>
      <c r="Q406" s="28"/>
      <c r="R406" s="28"/>
      <c r="S406" s="28">
        <v>16.4172335600907</v>
      </c>
    </row>
    <row r="407" spans="1:19" ht="16.5" customHeight="1" x14ac:dyDescent="0.25">
      <c r="A407" s="28">
        <v>2019</v>
      </c>
      <c r="B407" s="28"/>
      <c r="C407" s="28" t="s">
        <v>150</v>
      </c>
      <c r="D407" s="28" t="s">
        <v>482</v>
      </c>
      <c r="E407" s="28" t="s">
        <v>302</v>
      </c>
      <c r="F407" s="28" t="s">
        <v>303</v>
      </c>
      <c r="G407" s="28">
        <v>70805</v>
      </c>
      <c r="H407" s="28">
        <v>30.498203</v>
      </c>
      <c r="I407" s="28">
        <v>-91.189148000000003</v>
      </c>
      <c r="J407" s="28" t="s">
        <v>483</v>
      </c>
      <c r="K407" s="61">
        <v>110000597444</v>
      </c>
      <c r="L407" s="61" t="str">
        <f>IFERROR(INDEX('Facility Summary'!$K:$K,MATCH(K407,'Facility Summary'!$J:$J,0)),INDEX('Raw Annual DMR Data'!$M:$M,MATCH(K407,'Raw Annual DMR Data'!$L:$L,0)))</f>
        <v>Manufacturing</v>
      </c>
      <c r="M407" s="28"/>
      <c r="N407" s="28"/>
      <c r="O407" s="28"/>
      <c r="P407" s="28"/>
      <c r="Q407" s="28"/>
      <c r="R407" s="28"/>
      <c r="S407" s="28">
        <v>9.3061224489795897</v>
      </c>
    </row>
    <row r="408" spans="1:19" x14ac:dyDescent="0.25">
      <c r="A408" s="28">
        <v>2018</v>
      </c>
      <c r="B408" s="28"/>
      <c r="C408" s="28" t="s">
        <v>203</v>
      </c>
      <c r="D408" s="28" t="s">
        <v>669</v>
      </c>
      <c r="E408" s="28" t="s">
        <v>348</v>
      </c>
      <c r="F408" s="28" t="s">
        <v>349</v>
      </c>
      <c r="G408" s="28">
        <v>63461</v>
      </c>
      <c r="H408" s="28">
        <v>39.828163000000004</v>
      </c>
      <c r="I408" s="28">
        <v>-91.436942000000002</v>
      </c>
      <c r="J408" s="28"/>
      <c r="K408" s="61">
        <v>110040330718</v>
      </c>
      <c r="L408" s="61" t="str">
        <f>IFERROR(INDEX('Facility Summary'!$K:$K,MATCH(K408,'Facility Summary'!$J:$J,0)),INDEX('Raw Annual DMR Data'!$M:$M,MATCH(K408,'Raw Annual DMR Data'!$L:$L,0)))</f>
        <v>Unknown</v>
      </c>
      <c r="M408" s="28"/>
      <c r="N408" s="28"/>
      <c r="O408" s="28"/>
      <c r="P408" s="28"/>
      <c r="Q408" s="28"/>
      <c r="R408" s="28"/>
      <c r="S408" s="28">
        <v>0.66495900435999999</v>
      </c>
    </row>
    <row r="409" spans="1:19" x14ac:dyDescent="0.25">
      <c r="A409" s="28">
        <v>2020</v>
      </c>
      <c r="B409" s="28"/>
      <c r="C409" s="28" t="s">
        <v>203</v>
      </c>
      <c r="D409" s="28" t="s">
        <v>669</v>
      </c>
      <c r="E409" s="28" t="s">
        <v>348</v>
      </c>
      <c r="F409" s="28" t="s">
        <v>349</v>
      </c>
      <c r="G409" s="28">
        <v>63461</v>
      </c>
      <c r="H409" s="28">
        <v>39.828163000000004</v>
      </c>
      <c r="I409" s="28">
        <v>-91.436942000000002</v>
      </c>
      <c r="J409" s="28"/>
      <c r="K409" s="61">
        <v>110040330718</v>
      </c>
      <c r="L409" s="61" t="str">
        <f>IFERROR(INDEX('Facility Summary'!$K:$K,MATCH(K409,'Facility Summary'!$J:$J,0)),INDEX('Raw Annual DMR Data'!$M:$M,MATCH(K409,'Raw Annual DMR Data'!$L:$L,0)))</f>
        <v>Unknown</v>
      </c>
      <c r="M409" s="28"/>
      <c r="N409" s="28"/>
      <c r="O409" s="28"/>
      <c r="P409" s="28"/>
      <c r="Q409" s="28"/>
      <c r="R409" s="28"/>
      <c r="S409" s="28">
        <v>0.73822110100000005</v>
      </c>
    </row>
    <row r="410" spans="1:19" x14ac:dyDescent="0.25">
      <c r="A410" s="28">
        <v>2019</v>
      </c>
      <c r="B410" s="28"/>
      <c r="C410" s="28" t="s">
        <v>203</v>
      </c>
      <c r="D410" s="28" t="s">
        <v>669</v>
      </c>
      <c r="E410" s="28" t="s">
        <v>348</v>
      </c>
      <c r="F410" s="28" t="s">
        <v>349</v>
      </c>
      <c r="G410" s="28">
        <v>63461</v>
      </c>
      <c r="H410" s="28">
        <v>39.828163000000004</v>
      </c>
      <c r="I410" s="28">
        <v>-91.436942000000002</v>
      </c>
      <c r="J410" s="28"/>
      <c r="K410" s="61">
        <v>110040330718</v>
      </c>
      <c r="L410" s="61" t="str">
        <f>IFERROR(INDEX('Facility Summary'!$K:$K,MATCH(K410,'Facility Summary'!$J:$J,0)),INDEX('Raw Annual DMR Data'!$M:$M,MATCH(K410,'Raw Annual DMR Data'!$L:$L,0)))</f>
        <v>Unknown</v>
      </c>
      <c r="M410" s="28"/>
      <c r="N410" s="28"/>
      <c r="O410" s="28"/>
      <c r="P410" s="28"/>
      <c r="Q410" s="28"/>
      <c r="R410" s="28"/>
      <c r="S410" s="28">
        <v>0.71324161500000005</v>
      </c>
    </row>
    <row r="411" spans="1:19" x14ac:dyDescent="0.25">
      <c r="A411" s="28">
        <v>2017</v>
      </c>
      <c r="B411" s="28"/>
      <c r="C411" s="28" t="s">
        <v>203</v>
      </c>
      <c r="D411" s="28" t="s">
        <v>669</v>
      </c>
      <c r="E411" s="28" t="s">
        <v>348</v>
      </c>
      <c r="F411" s="28" t="s">
        <v>349</v>
      </c>
      <c r="G411" s="28">
        <v>63461</v>
      </c>
      <c r="H411" s="28">
        <v>39.828163000000004</v>
      </c>
      <c r="I411" s="28">
        <v>-91.436942000000002</v>
      </c>
      <c r="J411" s="28"/>
      <c r="K411" s="61">
        <v>110040330718</v>
      </c>
      <c r="L411" s="61" t="str">
        <f>IFERROR(INDEX('Facility Summary'!$K:$K,MATCH(K411,'Facility Summary'!$J:$J,0)),INDEX('Raw Annual DMR Data'!$M:$M,MATCH(K411,'Raw Annual DMR Data'!$L:$L,0)))</f>
        <v>Unknown</v>
      </c>
      <c r="M411" s="28"/>
      <c r="N411" s="28"/>
      <c r="O411" s="28"/>
      <c r="P411" s="28"/>
      <c r="Q411" s="28"/>
      <c r="R411" s="28"/>
      <c r="S411" s="28">
        <v>0.12288305300000001</v>
      </c>
    </row>
    <row r="412" spans="1:19" x14ac:dyDescent="0.25">
      <c r="A412" s="28">
        <v>2016</v>
      </c>
      <c r="B412" s="28"/>
      <c r="C412" s="28" t="s">
        <v>203</v>
      </c>
      <c r="D412" s="28" t="s">
        <v>669</v>
      </c>
      <c r="E412" s="28" t="s">
        <v>348</v>
      </c>
      <c r="F412" s="28" t="s">
        <v>349</v>
      </c>
      <c r="G412" s="28">
        <v>63461</v>
      </c>
      <c r="H412" s="28">
        <v>39.828163000000004</v>
      </c>
      <c r="I412" s="28">
        <v>-91.436942000000002</v>
      </c>
      <c r="J412" s="28"/>
      <c r="K412" s="61">
        <v>110040330718</v>
      </c>
      <c r="L412" s="61" t="str">
        <f>IFERROR(INDEX('Facility Summary'!$K:$K,MATCH(K412,'Facility Summary'!$J:$J,0)),INDEX('Raw Annual DMR Data'!$M:$M,MATCH(K412,'Raw Annual DMR Data'!$L:$L,0)))</f>
        <v>Unknown</v>
      </c>
      <c r="M412" s="28"/>
      <c r="N412" s="28"/>
      <c r="O412" s="28"/>
      <c r="P412" s="28"/>
      <c r="Q412" s="28"/>
      <c r="R412" s="28"/>
      <c r="S412" s="28">
        <v>3.6469231999999997E-2</v>
      </c>
    </row>
    <row r="413" spans="1:19" x14ac:dyDescent="0.25">
      <c r="A413" s="28">
        <v>2015</v>
      </c>
      <c r="B413" s="28"/>
      <c r="C413" s="28" t="s">
        <v>961</v>
      </c>
      <c r="D413" s="28" t="s">
        <v>1462</v>
      </c>
      <c r="E413" s="28" t="s">
        <v>962</v>
      </c>
      <c r="F413" s="28" t="s">
        <v>374</v>
      </c>
      <c r="G413" s="28">
        <v>85009</v>
      </c>
      <c r="H413" s="28">
        <v>33.424239999999998</v>
      </c>
      <c r="I413" s="28">
        <v>-112.10626999999999</v>
      </c>
      <c r="J413" s="28"/>
      <c r="K413" s="61">
        <v>110000509851</v>
      </c>
      <c r="L413" s="61" t="str">
        <f>IFERROR(INDEX('Facility Summary'!$K:$K,MATCH(K413,'Facility Summary'!$J:$J,0)),INDEX('Raw Annual DMR Data'!$M:$M,MATCH(K413,'Raw Annual DMR Data'!$L:$L,0)))</f>
        <v>POTW</v>
      </c>
      <c r="M413" s="28"/>
      <c r="N413" s="28"/>
      <c r="O413" s="28"/>
      <c r="P413" s="28"/>
      <c r="Q413" s="28"/>
      <c r="R413" s="28"/>
      <c r="S413" s="28">
        <v>6.5850173380000001</v>
      </c>
    </row>
    <row r="414" spans="1:19" x14ac:dyDescent="0.25">
      <c r="A414" s="28">
        <v>2016</v>
      </c>
      <c r="B414" s="28"/>
      <c r="C414" s="28" t="s">
        <v>961</v>
      </c>
      <c r="D414" s="28" t="s">
        <v>1462</v>
      </c>
      <c r="E414" s="28" t="s">
        <v>962</v>
      </c>
      <c r="F414" s="28" t="s">
        <v>374</v>
      </c>
      <c r="G414" s="28">
        <v>85009</v>
      </c>
      <c r="H414" s="28">
        <v>33.424239999999998</v>
      </c>
      <c r="I414" s="28">
        <v>-112.10626999999999</v>
      </c>
      <c r="J414" s="28"/>
      <c r="K414" s="61">
        <v>110000509851</v>
      </c>
      <c r="L414" s="61" t="str">
        <f>IFERROR(INDEX('Facility Summary'!$K:$K,MATCH(K414,'Facility Summary'!$J:$J,0)),INDEX('Raw Annual DMR Data'!$M:$M,MATCH(K414,'Raw Annual DMR Data'!$L:$L,0)))</f>
        <v>POTW</v>
      </c>
      <c r="M414" s="28"/>
      <c r="N414" s="28"/>
      <c r="O414" s="28"/>
      <c r="P414" s="28"/>
      <c r="Q414" s="28"/>
      <c r="R414" s="28"/>
      <c r="S414" s="28">
        <v>5.8702435550000001</v>
      </c>
    </row>
    <row r="415" spans="1:19" x14ac:dyDescent="0.25">
      <c r="A415" s="28">
        <v>2017</v>
      </c>
      <c r="B415" s="28"/>
      <c r="C415" s="28" t="s">
        <v>961</v>
      </c>
      <c r="D415" s="28" t="s">
        <v>1462</v>
      </c>
      <c r="E415" s="28" t="s">
        <v>962</v>
      </c>
      <c r="F415" s="28" t="s">
        <v>374</v>
      </c>
      <c r="G415" s="28">
        <v>85009</v>
      </c>
      <c r="H415" s="28">
        <v>33.424239999999998</v>
      </c>
      <c r="I415" s="28">
        <v>-112.10626999999999</v>
      </c>
      <c r="J415" s="28"/>
      <c r="K415" s="61">
        <v>110000509851</v>
      </c>
      <c r="L415" s="61" t="str">
        <f>IFERROR(INDEX('Facility Summary'!$K:$K,MATCH(K415,'Facility Summary'!$J:$J,0)),INDEX('Raw Annual DMR Data'!$M:$M,MATCH(K415,'Raw Annual DMR Data'!$L:$L,0)))</f>
        <v>POTW</v>
      </c>
      <c r="M415" s="28"/>
      <c r="N415" s="28"/>
      <c r="O415" s="28"/>
      <c r="P415" s="28"/>
      <c r="Q415" s="28"/>
      <c r="R415" s="28"/>
      <c r="S415" s="28">
        <v>5.9932655175000003</v>
      </c>
    </row>
    <row r="416" spans="1:19" x14ac:dyDescent="0.25">
      <c r="A416" s="28">
        <v>2018</v>
      </c>
      <c r="B416" s="28"/>
      <c r="C416" s="28" t="s">
        <v>961</v>
      </c>
      <c r="D416" s="28" t="s">
        <v>1462</v>
      </c>
      <c r="E416" s="28" t="s">
        <v>962</v>
      </c>
      <c r="F416" s="28" t="s">
        <v>374</v>
      </c>
      <c r="G416" s="28">
        <v>85009</v>
      </c>
      <c r="H416" s="28">
        <v>33.424239999999998</v>
      </c>
      <c r="I416" s="28">
        <v>-112.10626999999999</v>
      </c>
      <c r="J416" s="28"/>
      <c r="K416" s="61">
        <v>110000509851</v>
      </c>
      <c r="L416" s="61" t="str">
        <f>IFERROR(INDEX('Facility Summary'!$K:$K,MATCH(K416,'Facility Summary'!$J:$J,0)),INDEX('Raw Annual DMR Data'!$M:$M,MATCH(K416,'Raw Annual DMR Data'!$L:$L,0)))</f>
        <v>POTW</v>
      </c>
      <c r="M416" s="28"/>
      <c r="N416" s="28"/>
      <c r="O416" s="28"/>
      <c r="P416" s="28"/>
      <c r="Q416" s="28"/>
      <c r="R416" s="28"/>
      <c r="S416" s="28">
        <v>5.5338902870000002</v>
      </c>
    </row>
    <row r="417" spans="1:19" x14ac:dyDescent="0.25">
      <c r="A417" s="28">
        <v>2019</v>
      </c>
      <c r="B417" s="28"/>
      <c r="C417" s="28" t="s">
        <v>96</v>
      </c>
      <c r="D417" s="28" t="s">
        <v>292</v>
      </c>
      <c r="E417" s="28" t="s">
        <v>293</v>
      </c>
      <c r="F417" s="28" t="s">
        <v>294</v>
      </c>
      <c r="G417" s="28">
        <v>22203</v>
      </c>
      <c r="H417" s="28">
        <v>38.882449999999999</v>
      </c>
      <c r="I417" s="28">
        <v>-77.108000000000004</v>
      </c>
      <c r="J417" s="28"/>
      <c r="K417" s="61">
        <v>110070549382</v>
      </c>
      <c r="L417" s="61" t="str">
        <f>IFERROR(INDEX('Facility Summary'!$K:$K,MATCH(K417,'Facility Summary'!$J:$J,0)),INDEX('Raw Annual DMR Data'!$M:$M,MATCH(K417,'Raw Annual DMR Data'!$L:$L,0)))</f>
        <v>Remediation</v>
      </c>
      <c r="M417" s="28"/>
      <c r="N417" s="28"/>
      <c r="O417" s="28"/>
      <c r="P417" s="28"/>
      <c r="Q417" s="28"/>
      <c r="R417" s="28"/>
      <c r="S417" s="28">
        <v>4.2240599999999904E-3</v>
      </c>
    </row>
    <row r="418" spans="1:19" x14ac:dyDescent="0.25">
      <c r="A418" s="28">
        <v>2019</v>
      </c>
      <c r="B418" s="28"/>
      <c r="C418" s="28" t="s">
        <v>96</v>
      </c>
      <c r="D418" s="28" t="s">
        <v>292</v>
      </c>
      <c r="E418" s="28" t="s">
        <v>293</v>
      </c>
      <c r="F418" s="28" t="s">
        <v>294</v>
      </c>
      <c r="G418" s="28">
        <v>22203</v>
      </c>
      <c r="H418" s="28">
        <v>38.882449999999999</v>
      </c>
      <c r="I418" s="28">
        <v>-77.108000000000004</v>
      </c>
      <c r="J418" s="28"/>
      <c r="K418" s="61">
        <v>110070549382</v>
      </c>
      <c r="L418" s="61" t="str">
        <f>IFERROR(INDEX('Facility Summary'!$K:$K,MATCH(K418,'Facility Summary'!$J:$J,0)),INDEX('Raw Annual DMR Data'!$M:$M,MATCH(K418,'Raw Annual DMR Data'!$L:$L,0)))</f>
        <v>Remediation</v>
      </c>
      <c r="M418" s="28"/>
      <c r="N418" s="28"/>
      <c r="O418" s="28"/>
      <c r="P418" s="28"/>
      <c r="Q418" s="28"/>
      <c r="R418" s="28"/>
      <c r="S418" s="28">
        <v>4.1026647272727201E-2</v>
      </c>
    </row>
    <row r="419" spans="1:19" x14ac:dyDescent="0.25">
      <c r="A419" s="28">
        <v>2020</v>
      </c>
      <c r="B419" s="28"/>
      <c r="C419" s="28" t="s">
        <v>96</v>
      </c>
      <c r="D419" s="28" t="s">
        <v>292</v>
      </c>
      <c r="E419" s="28" t="s">
        <v>293</v>
      </c>
      <c r="F419" s="28" t="s">
        <v>294</v>
      </c>
      <c r="G419" s="28">
        <v>22203</v>
      </c>
      <c r="H419" s="28">
        <v>38.882449999999999</v>
      </c>
      <c r="I419" s="28">
        <v>-77.108000000000004</v>
      </c>
      <c r="J419" s="28"/>
      <c r="K419" s="61">
        <v>110070549382</v>
      </c>
      <c r="L419" s="61" t="str">
        <f>IFERROR(INDEX('Facility Summary'!$K:$K,MATCH(K419,'Facility Summary'!$J:$J,0)),INDEX('Raw Annual DMR Data'!$M:$M,MATCH(K419,'Raw Annual DMR Data'!$L:$L,0)))</f>
        <v>Remediation</v>
      </c>
      <c r="M419" s="28"/>
      <c r="N419" s="28"/>
      <c r="O419" s="28"/>
      <c r="P419" s="28"/>
      <c r="Q419" s="28"/>
      <c r="R419" s="28"/>
      <c r="S419" s="28">
        <v>1.76002499999999E-5</v>
      </c>
    </row>
    <row r="420" spans="1:19" x14ac:dyDescent="0.25">
      <c r="A420" s="28">
        <v>2015</v>
      </c>
      <c r="B420" s="28"/>
      <c r="C420" s="28" t="s">
        <v>99</v>
      </c>
      <c r="D420" s="28" t="s">
        <v>297</v>
      </c>
      <c r="E420" s="28" t="s">
        <v>298</v>
      </c>
      <c r="F420" s="28" t="s">
        <v>299</v>
      </c>
      <c r="G420" s="28">
        <v>72903</v>
      </c>
      <c r="H420" s="28">
        <v>35.327162000000001</v>
      </c>
      <c r="I420" s="28">
        <v>-94.380183000000002</v>
      </c>
      <c r="J420" s="28"/>
      <c r="K420" s="61">
        <v>110066929033</v>
      </c>
      <c r="L420" s="61" t="str">
        <f>IFERROR(INDEX('Facility Summary'!$K:$K,MATCH(K420,'Facility Summary'!$J:$J,0)),INDEX('Raw Annual DMR Data'!$M:$M,MATCH(K420,'Raw Annual DMR Data'!$L:$L,0)))</f>
        <v>Unknown</v>
      </c>
      <c r="M420" s="28"/>
      <c r="N420" s="28"/>
      <c r="O420" s="28"/>
      <c r="P420" s="28"/>
      <c r="Q420" s="28"/>
      <c r="R420" s="28"/>
      <c r="S420" s="28">
        <v>4.1723356009070199E-4</v>
      </c>
    </row>
    <row r="421" spans="1:19" x14ac:dyDescent="0.25">
      <c r="A421" s="28">
        <v>2018</v>
      </c>
      <c r="B421" s="28"/>
      <c r="C421" s="28" t="s">
        <v>99</v>
      </c>
      <c r="D421" s="28" t="s">
        <v>297</v>
      </c>
      <c r="E421" s="28" t="s">
        <v>298</v>
      </c>
      <c r="F421" s="28" t="s">
        <v>299</v>
      </c>
      <c r="G421" s="28">
        <v>72903</v>
      </c>
      <c r="H421" s="28">
        <v>35.327162000000001</v>
      </c>
      <c r="I421" s="28">
        <v>-94.380183000000002</v>
      </c>
      <c r="J421" s="28"/>
      <c r="K421" s="61">
        <v>110066929033</v>
      </c>
      <c r="L421" s="61" t="str">
        <f>IFERROR(INDEX('Facility Summary'!$K:$K,MATCH(K421,'Facility Summary'!$J:$J,0)),INDEX('Raw Annual DMR Data'!$M:$M,MATCH(K421,'Raw Annual DMR Data'!$L:$L,0)))</f>
        <v>Unknown</v>
      </c>
      <c r="M421" s="28"/>
      <c r="N421" s="28"/>
      <c r="O421" s="28"/>
      <c r="P421" s="28"/>
      <c r="Q421" s="28"/>
      <c r="R421" s="28"/>
      <c r="S421" s="302">
        <v>5.1768707482993095E-4</v>
      </c>
    </row>
    <row r="422" spans="1:19" x14ac:dyDescent="0.25">
      <c r="A422" s="28">
        <v>2019</v>
      </c>
      <c r="B422" s="28"/>
      <c r="C422" s="28" t="s">
        <v>99</v>
      </c>
      <c r="D422" s="28" t="s">
        <v>297</v>
      </c>
      <c r="E422" s="28" t="s">
        <v>298</v>
      </c>
      <c r="F422" s="28" t="s">
        <v>299</v>
      </c>
      <c r="G422" s="28">
        <v>72903</v>
      </c>
      <c r="H422" s="28">
        <v>35.327162000000001</v>
      </c>
      <c r="I422" s="28">
        <v>-94.380183000000002</v>
      </c>
      <c r="J422" s="28"/>
      <c r="K422" s="61">
        <v>110066929033</v>
      </c>
      <c r="L422" s="61" t="str">
        <f>IFERROR(INDEX('Facility Summary'!$K:$K,MATCH(K422,'Facility Summary'!$J:$J,0)),INDEX('Raw Annual DMR Data'!$M:$M,MATCH(K422,'Raw Annual DMR Data'!$L:$L,0)))</f>
        <v>Unknown</v>
      </c>
      <c r="M422" s="28"/>
      <c r="N422" s="28"/>
      <c r="O422" s="28"/>
      <c r="P422" s="28"/>
      <c r="Q422" s="28"/>
      <c r="R422" s="28"/>
      <c r="S422" s="28">
        <v>5.7823129251700597E-4</v>
      </c>
    </row>
    <row r="423" spans="1:19" x14ac:dyDescent="0.25">
      <c r="A423" s="28">
        <v>2015</v>
      </c>
      <c r="B423" s="28"/>
      <c r="C423" s="28" t="s">
        <v>963</v>
      </c>
      <c r="D423" s="28" t="s">
        <v>1467</v>
      </c>
      <c r="E423" s="28" t="s">
        <v>964</v>
      </c>
      <c r="F423" s="28" t="s">
        <v>374</v>
      </c>
      <c r="G423" s="28">
        <v>85705</v>
      </c>
      <c r="H423" s="28">
        <v>32.279809999999998</v>
      </c>
      <c r="I423" s="28">
        <v>-111.02198</v>
      </c>
      <c r="J423" s="28"/>
      <c r="K423" s="61">
        <v>110002042021</v>
      </c>
      <c r="L423" s="61" t="str">
        <f>IFERROR(INDEX('Facility Summary'!$K:$K,MATCH(K423,'Facility Summary'!$J:$J,0)),INDEX('Raw Annual DMR Data'!$M:$M,MATCH(K423,'Raw Annual DMR Data'!$L:$L,0)))</f>
        <v>POTW</v>
      </c>
      <c r="M423" s="28"/>
      <c r="N423" s="28"/>
      <c r="O423" s="28"/>
      <c r="P423" s="28"/>
      <c r="Q423" s="28"/>
      <c r="R423" s="28"/>
      <c r="S423" s="28">
        <v>0.284603991</v>
      </c>
    </row>
    <row r="424" spans="1:19" x14ac:dyDescent="0.25">
      <c r="A424" s="28">
        <v>2016</v>
      </c>
      <c r="B424" s="28"/>
      <c r="C424" s="28" t="s">
        <v>963</v>
      </c>
      <c r="D424" s="28" t="s">
        <v>1467</v>
      </c>
      <c r="E424" s="28" t="s">
        <v>964</v>
      </c>
      <c r="F424" s="28" t="s">
        <v>374</v>
      </c>
      <c r="G424" s="28">
        <v>85705</v>
      </c>
      <c r="H424" s="28">
        <v>32.279809999999998</v>
      </c>
      <c r="I424" s="28">
        <v>-111.02198</v>
      </c>
      <c r="J424" s="28"/>
      <c r="K424" s="61">
        <v>110002042021</v>
      </c>
      <c r="L424" s="61" t="str">
        <f>IFERROR(INDEX('Facility Summary'!$K:$K,MATCH(K424,'Facility Summary'!$J:$J,0)),INDEX('Raw Annual DMR Data'!$M:$M,MATCH(K424,'Raw Annual DMR Data'!$L:$L,0)))</f>
        <v>POTW</v>
      </c>
      <c r="M424" s="28"/>
      <c r="N424" s="28"/>
      <c r="O424" s="28"/>
      <c r="P424" s="28"/>
      <c r="Q424" s="28"/>
      <c r="R424" s="28"/>
      <c r="S424" s="28">
        <v>0.33897911175000001</v>
      </c>
    </row>
    <row r="425" spans="1:19" x14ac:dyDescent="0.25">
      <c r="A425" s="28">
        <v>2017</v>
      </c>
      <c r="B425" s="28"/>
      <c r="C425" s="28" t="s">
        <v>963</v>
      </c>
      <c r="D425" s="28" t="s">
        <v>1467</v>
      </c>
      <c r="E425" s="28" t="s">
        <v>964</v>
      </c>
      <c r="F425" s="28" t="s">
        <v>374</v>
      </c>
      <c r="G425" s="28">
        <v>85705</v>
      </c>
      <c r="H425" s="28">
        <v>32.279809999999998</v>
      </c>
      <c r="I425" s="28">
        <v>-111.02198</v>
      </c>
      <c r="J425" s="28"/>
      <c r="K425" s="61">
        <v>110002042021</v>
      </c>
      <c r="L425" s="61" t="str">
        <f>IFERROR(INDEX('Facility Summary'!$K:$K,MATCH(K425,'Facility Summary'!$J:$J,0)),INDEX('Raw Annual DMR Data'!$M:$M,MATCH(K425,'Raw Annual DMR Data'!$L:$L,0)))</f>
        <v>POTW</v>
      </c>
      <c r="M425" s="28"/>
      <c r="N425" s="28"/>
      <c r="O425" s="28"/>
      <c r="P425" s="28"/>
      <c r="Q425" s="28"/>
      <c r="R425" s="28"/>
      <c r="S425" s="28">
        <v>0.37827308925000003</v>
      </c>
    </row>
    <row r="426" spans="1:19" x14ac:dyDescent="0.25">
      <c r="A426" s="28">
        <v>2018</v>
      </c>
      <c r="B426" s="28"/>
      <c r="C426" s="28" t="s">
        <v>963</v>
      </c>
      <c r="D426" s="28" t="s">
        <v>1467</v>
      </c>
      <c r="E426" s="28" t="s">
        <v>964</v>
      </c>
      <c r="F426" s="28" t="s">
        <v>374</v>
      </c>
      <c r="G426" s="28">
        <v>85705</v>
      </c>
      <c r="H426" s="28">
        <v>32.279809999999998</v>
      </c>
      <c r="I426" s="28">
        <v>-111.02198</v>
      </c>
      <c r="J426" s="28"/>
      <c r="K426" s="61">
        <v>110002042021</v>
      </c>
      <c r="L426" s="61" t="str">
        <f>IFERROR(INDEX('Facility Summary'!$K:$K,MATCH(K426,'Facility Summary'!$J:$J,0)),INDEX('Raw Annual DMR Data'!$M:$M,MATCH(K426,'Raw Annual DMR Data'!$L:$L,0)))</f>
        <v>POTW</v>
      </c>
      <c r="M426" s="28"/>
      <c r="N426" s="28"/>
      <c r="O426" s="28"/>
      <c r="P426" s="28"/>
      <c r="Q426" s="28"/>
      <c r="R426" s="28"/>
      <c r="S426" s="28">
        <v>0.80570447160000003</v>
      </c>
    </row>
    <row r="427" spans="1:19" x14ac:dyDescent="0.25">
      <c r="A427" s="28">
        <v>2016</v>
      </c>
      <c r="B427" s="28"/>
      <c r="C427" s="28" t="s">
        <v>965</v>
      </c>
      <c r="D427" s="28" t="s">
        <v>1469</v>
      </c>
      <c r="E427" s="28" t="s">
        <v>966</v>
      </c>
      <c r="F427" s="28" t="s">
        <v>491</v>
      </c>
      <c r="G427" s="28">
        <v>19112</v>
      </c>
      <c r="H427" s="28">
        <v>39.884791999999997</v>
      </c>
      <c r="I427" s="28">
        <v>-75.191112000000004</v>
      </c>
      <c r="J427" s="28"/>
      <c r="K427" s="61">
        <v>110006368206</v>
      </c>
      <c r="L427" s="61" t="str">
        <f>IFERROR(INDEX('Facility Summary'!$K:$K,MATCH(K427,'Facility Summary'!$J:$J,0)),INDEX('Raw Annual DMR Data'!$M:$M,MATCH(K427,'Raw Annual DMR Data'!$L:$L,0)))</f>
        <v>Unknown</v>
      </c>
      <c r="M427" s="28"/>
      <c r="N427" s="28"/>
      <c r="O427" s="28"/>
      <c r="P427" s="28"/>
      <c r="Q427" s="28"/>
      <c r="R427" s="28"/>
      <c r="S427" s="28">
        <v>0.61209670723200005</v>
      </c>
    </row>
    <row r="428" spans="1:19" x14ac:dyDescent="0.25">
      <c r="A428" s="28">
        <v>2017</v>
      </c>
      <c r="B428" s="28"/>
      <c r="C428" s="28" t="s">
        <v>965</v>
      </c>
      <c r="D428" s="28" t="s">
        <v>1469</v>
      </c>
      <c r="E428" s="28" t="s">
        <v>966</v>
      </c>
      <c r="F428" s="28" t="s">
        <v>491</v>
      </c>
      <c r="G428" s="28">
        <v>19112</v>
      </c>
      <c r="H428" s="28">
        <v>39.884791999999997</v>
      </c>
      <c r="I428" s="28">
        <v>-75.191112000000004</v>
      </c>
      <c r="J428" s="28"/>
      <c r="K428" s="61">
        <v>110006368206</v>
      </c>
      <c r="L428" s="61" t="str">
        <f>IFERROR(INDEX('Facility Summary'!$K:$K,MATCH(K428,'Facility Summary'!$J:$J,0)),INDEX('Raw Annual DMR Data'!$M:$M,MATCH(K428,'Raw Annual DMR Data'!$L:$L,0)))</f>
        <v>Unknown</v>
      </c>
      <c r="M428" s="28"/>
      <c r="N428" s="28"/>
      <c r="O428" s="28"/>
      <c r="P428" s="28"/>
      <c r="Q428" s="28"/>
      <c r="R428" s="28"/>
      <c r="S428" s="28">
        <v>0.60041955225599997</v>
      </c>
    </row>
    <row r="429" spans="1:19" x14ac:dyDescent="0.25">
      <c r="A429" s="28">
        <v>2018</v>
      </c>
      <c r="B429" s="28"/>
      <c r="C429" s="28" t="s">
        <v>965</v>
      </c>
      <c r="D429" s="28" t="s">
        <v>1469</v>
      </c>
      <c r="E429" s="28" t="s">
        <v>966</v>
      </c>
      <c r="F429" s="28" t="s">
        <v>491</v>
      </c>
      <c r="G429" s="28">
        <v>19112</v>
      </c>
      <c r="H429" s="28">
        <v>39.884791999999997</v>
      </c>
      <c r="I429" s="28">
        <v>-75.191112000000004</v>
      </c>
      <c r="J429" s="28"/>
      <c r="K429" s="61">
        <v>110006368206</v>
      </c>
      <c r="L429" s="61" t="str">
        <f>IFERROR(INDEX('Facility Summary'!$K:$K,MATCH(K429,'Facility Summary'!$J:$J,0)),INDEX('Raw Annual DMR Data'!$M:$M,MATCH(K429,'Raw Annual DMR Data'!$L:$L,0)))</f>
        <v>Unknown</v>
      </c>
      <c r="M429" s="28"/>
      <c r="N429" s="28"/>
      <c r="O429" s="28"/>
      <c r="P429" s="28"/>
      <c r="Q429" s="28"/>
      <c r="R429" s="28"/>
      <c r="S429" s="302">
        <v>0.58253875200000005</v>
      </c>
    </row>
    <row r="430" spans="1:19" x14ac:dyDescent="0.25">
      <c r="A430" s="28">
        <v>2019</v>
      </c>
      <c r="B430" s="28"/>
      <c r="C430" s="28" t="s">
        <v>965</v>
      </c>
      <c r="D430" s="28" t="s">
        <v>1469</v>
      </c>
      <c r="E430" s="28" t="s">
        <v>966</v>
      </c>
      <c r="F430" s="28" t="s">
        <v>491</v>
      </c>
      <c r="G430" s="28">
        <v>19112</v>
      </c>
      <c r="H430" s="28">
        <v>39.884791999999997</v>
      </c>
      <c r="I430" s="28">
        <v>-75.191112000000004</v>
      </c>
      <c r="J430" s="28"/>
      <c r="K430" s="61">
        <v>110006368206</v>
      </c>
      <c r="L430" s="61" t="str">
        <f>IFERROR(INDEX('Facility Summary'!$K:$K,MATCH(K430,'Facility Summary'!$J:$J,0)),INDEX('Raw Annual DMR Data'!$M:$M,MATCH(K430,'Raw Annual DMR Data'!$L:$L,0)))</f>
        <v>Unknown</v>
      </c>
      <c r="M430" s="28"/>
      <c r="N430" s="28"/>
      <c r="O430" s="28"/>
      <c r="P430" s="28"/>
      <c r="Q430" s="28"/>
      <c r="R430" s="28"/>
      <c r="S430" s="28">
        <v>0.30695100526079999</v>
      </c>
    </row>
    <row r="431" spans="1:19" x14ac:dyDescent="0.25">
      <c r="A431" s="28">
        <v>2020</v>
      </c>
      <c r="B431" s="28"/>
      <c r="C431" s="28" t="s">
        <v>965</v>
      </c>
      <c r="D431" s="28" t="s">
        <v>1469</v>
      </c>
      <c r="E431" s="28" t="s">
        <v>966</v>
      </c>
      <c r="F431" s="28" t="s">
        <v>491</v>
      </c>
      <c r="G431" s="28">
        <v>19112</v>
      </c>
      <c r="H431" s="28">
        <v>39.884791999999997</v>
      </c>
      <c r="I431" s="28">
        <v>-75.191112000000004</v>
      </c>
      <c r="J431" s="28"/>
      <c r="K431" s="61">
        <v>110006368206</v>
      </c>
      <c r="L431" s="61" t="str">
        <f>IFERROR(INDEX('Facility Summary'!$K:$K,MATCH(K431,'Facility Summary'!$J:$J,0)),INDEX('Raw Annual DMR Data'!$M:$M,MATCH(K431,'Raw Annual DMR Data'!$L:$L,0)))</f>
        <v>Unknown</v>
      </c>
      <c r="M431" s="28"/>
      <c r="N431" s="28"/>
      <c r="O431" s="28"/>
      <c r="P431" s="28"/>
      <c r="Q431" s="28"/>
      <c r="R431" s="28"/>
      <c r="S431" s="28">
        <v>0.12272661319680001</v>
      </c>
    </row>
    <row r="432" spans="1:19" x14ac:dyDescent="0.25">
      <c r="A432" s="28">
        <v>2020</v>
      </c>
      <c r="B432" s="28"/>
      <c r="C432" s="28" t="s">
        <v>967</v>
      </c>
      <c r="D432" s="28" t="s">
        <v>1473</v>
      </c>
      <c r="E432" s="28" t="s">
        <v>968</v>
      </c>
      <c r="F432" s="28" t="s">
        <v>294</v>
      </c>
      <c r="G432" s="28">
        <v>22314</v>
      </c>
      <c r="H432" s="28">
        <v>38.810879999999997</v>
      </c>
      <c r="I432" s="28">
        <v>-77.042289999999994</v>
      </c>
      <c r="J432" s="28"/>
      <c r="K432" s="61">
        <v>110070885683</v>
      </c>
      <c r="L432" s="61" t="str">
        <f>IFERROR(INDEX('Facility Summary'!$K:$K,MATCH(K432,'Facility Summary'!$J:$J,0)),INDEX('Raw Annual DMR Data'!$M:$M,MATCH(K432,'Raw Annual DMR Data'!$L:$L,0)))</f>
        <v>Unknown</v>
      </c>
      <c r="M432" s="28"/>
      <c r="N432" s="28"/>
      <c r="O432" s="28"/>
      <c r="P432" s="28"/>
      <c r="Q432" s="28"/>
      <c r="R432" s="28"/>
      <c r="S432" s="28">
        <v>0.24413116692299899</v>
      </c>
    </row>
    <row r="433" spans="1:19" x14ac:dyDescent="0.25">
      <c r="A433" s="28">
        <v>2020</v>
      </c>
      <c r="B433" s="28"/>
      <c r="C433" s="28" t="s">
        <v>103</v>
      </c>
      <c r="D433" s="28" t="s">
        <v>313</v>
      </c>
      <c r="E433" s="28" t="s">
        <v>314</v>
      </c>
      <c r="F433" s="28" t="s">
        <v>303</v>
      </c>
      <c r="G433" s="28" t="s">
        <v>315</v>
      </c>
      <c r="H433" s="28">
        <v>30.27083</v>
      </c>
      <c r="I433" s="28">
        <v>-92.037279999999996</v>
      </c>
      <c r="J433" s="28"/>
      <c r="K433" s="61">
        <v>110000846602</v>
      </c>
      <c r="L433" s="61" t="str">
        <f>IFERROR(INDEX('Facility Summary'!$K:$K,MATCH(K433,'Facility Summary'!$J:$J,0)),INDEX('Raw Annual DMR Data'!$M:$M,MATCH(K433,'Raw Annual DMR Data'!$L:$L,0)))</f>
        <v>Processing as a Reactant</v>
      </c>
      <c r="M433" s="28"/>
      <c r="N433" s="28"/>
      <c r="O433" s="28"/>
      <c r="P433" s="28"/>
      <c r="Q433" s="28"/>
      <c r="R433" s="28"/>
      <c r="S433" s="28">
        <v>7.9824892999999994E-3</v>
      </c>
    </row>
    <row r="434" spans="1:19" x14ac:dyDescent="0.25">
      <c r="A434" s="28">
        <v>2016</v>
      </c>
      <c r="B434" s="28"/>
      <c r="C434" s="28" t="s">
        <v>103</v>
      </c>
      <c r="D434" s="28" t="s">
        <v>313</v>
      </c>
      <c r="E434" s="28" t="s">
        <v>314</v>
      </c>
      <c r="F434" s="28" t="s">
        <v>303</v>
      </c>
      <c r="G434" s="28" t="s">
        <v>315</v>
      </c>
      <c r="H434" s="28">
        <v>30.27083</v>
      </c>
      <c r="I434" s="28">
        <v>-92.037279999999996</v>
      </c>
      <c r="J434" s="28"/>
      <c r="K434" s="61">
        <v>110000846602</v>
      </c>
      <c r="L434" s="61" t="str">
        <f>IFERROR(INDEX('Facility Summary'!$K:$K,MATCH(K434,'Facility Summary'!$J:$J,0)),INDEX('Raw Annual DMR Data'!$M:$M,MATCH(K434,'Raw Annual DMR Data'!$L:$L,0)))</f>
        <v>Processing as a Reactant</v>
      </c>
      <c r="M434" s="28"/>
      <c r="N434" s="28"/>
      <c r="O434" s="28"/>
      <c r="P434" s="28"/>
      <c r="Q434" s="28"/>
      <c r="R434" s="28"/>
      <c r="S434" s="28">
        <v>2.6315615602500002E-3</v>
      </c>
    </row>
    <row r="435" spans="1:19" x14ac:dyDescent="0.25">
      <c r="A435" s="28">
        <v>2017</v>
      </c>
      <c r="B435" s="28"/>
      <c r="C435" s="28" t="s">
        <v>103</v>
      </c>
      <c r="D435" s="28" t="s">
        <v>313</v>
      </c>
      <c r="E435" s="28" t="s">
        <v>314</v>
      </c>
      <c r="F435" s="28" t="s">
        <v>303</v>
      </c>
      <c r="G435" s="28" t="s">
        <v>315</v>
      </c>
      <c r="H435" s="28">
        <v>30.27083</v>
      </c>
      <c r="I435" s="28">
        <v>-92.037279999999996</v>
      </c>
      <c r="J435" s="28"/>
      <c r="K435" s="61">
        <v>110000846602</v>
      </c>
      <c r="L435" s="61" t="str">
        <f>IFERROR(INDEX('Facility Summary'!$K:$K,MATCH(K435,'Facility Summary'!$J:$J,0)),INDEX('Raw Annual DMR Data'!$M:$M,MATCH(K435,'Raw Annual DMR Data'!$L:$L,0)))</f>
        <v>Processing as a Reactant</v>
      </c>
      <c r="M435" s="28"/>
      <c r="N435" s="28"/>
      <c r="O435" s="28"/>
      <c r="P435" s="28"/>
      <c r="Q435" s="28"/>
      <c r="R435" s="28"/>
      <c r="S435" s="28">
        <v>2.6538591845000001E-3</v>
      </c>
    </row>
    <row r="436" spans="1:19" x14ac:dyDescent="0.25">
      <c r="A436" s="28">
        <v>2018</v>
      </c>
      <c r="B436" s="28"/>
      <c r="C436" s="28" t="s">
        <v>103</v>
      </c>
      <c r="D436" s="28" t="s">
        <v>313</v>
      </c>
      <c r="E436" s="28" t="s">
        <v>314</v>
      </c>
      <c r="F436" s="28" t="s">
        <v>303</v>
      </c>
      <c r="G436" s="28" t="s">
        <v>315</v>
      </c>
      <c r="H436" s="28">
        <v>30.27083</v>
      </c>
      <c r="I436" s="28">
        <v>-92.037279999999996</v>
      </c>
      <c r="J436" s="28"/>
      <c r="K436" s="61">
        <v>110000846602</v>
      </c>
      <c r="L436" s="61" t="str">
        <f>IFERROR(INDEX('Facility Summary'!$K:$K,MATCH(K436,'Facility Summary'!$J:$J,0)),INDEX('Raw Annual DMR Data'!$M:$M,MATCH(K436,'Raw Annual DMR Data'!$L:$L,0)))</f>
        <v>Processing as a Reactant</v>
      </c>
      <c r="M436" s="28"/>
      <c r="N436" s="28"/>
      <c r="O436" s="28"/>
      <c r="P436" s="28"/>
      <c r="Q436" s="28"/>
      <c r="R436" s="28"/>
      <c r="S436" s="28">
        <v>5.9714998750000003E-3</v>
      </c>
    </row>
    <row r="437" spans="1:19" x14ac:dyDescent="0.25">
      <c r="A437" s="28">
        <v>2019</v>
      </c>
      <c r="B437" s="28"/>
      <c r="C437" s="28" t="s">
        <v>969</v>
      </c>
      <c r="D437" s="28" t="s">
        <v>1477</v>
      </c>
      <c r="E437" s="28" t="s">
        <v>293</v>
      </c>
      <c r="F437" s="28" t="s">
        <v>294</v>
      </c>
      <c r="G437" s="28">
        <v>22205</v>
      </c>
      <c r="H437" s="28">
        <v>38.845162999999999</v>
      </c>
      <c r="I437" s="28">
        <v>-77.050687999999994</v>
      </c>
      <c r="J437" s="28"/>
      <c r="K437" s="61">
        <v>110070545578</v>
      </c>
      <c r="L437" s="61" t="str">
        <f>IFERROR(INDEX('Facility Summary'!$K:$K,MATCH(K437,'Facility Summary'!$J:$J,0)),INDEX('Raw Annual DMR Data'!$M:$M,MATCH(K437,'Raw Annual DMR Data'!$L:$L,0)))</f>
        <v>Unknown</v>
      </c>
      <c r="M437" s="28"/>
      <c r="N437" s="28"/>
      <c r="O437" s="28"/>
      <c r="P437" s="28"/>
      <c r="Q437" s="28"/>
      <c r="R437" s="28"/>
      <c r="S437" s="28">
        <v>0.60161238705749898</v>
      </c>
    </row>
    <row r="438" spans="1:19" x14ac:dyDescent="0.25">
      <c r="A438" s="28">
        <v>2020</v>
      </c>
      <c r="B438" s="28"/>
      <c r="C438" s="28" t="s">
        <v>969</v>
      </c>
      <c r="D438" s="28" t="s">
        <v>1477</v>
      </c>
      <c r="E438" s="28" t="s">
        <v>293</v>
      </c>
      <c r="F438" s="28" t="s">
        <v>294</v>
      </c>
      <c r="G438" s="28">
        <v>22205</v>
      </c>
      <c r="H438" s="28">
        <v>38.845162999999999</v>
      </c>
      <c r="I438" s="28">
        <v>-77.050687999999994</v>
      </c>
      <c r="J438" s="28"/>
      <c r="K438" s="61">
        <v>110070545578</v>
      </c>
      <c r="L438" s="61" t="str">
        <f>IFERROR(INDEX('Facility Summary'!$K:$K,MATCH(K438,'Facility Summary'!$J:$J,0)),INDEX('Raw Annual DMR Data'!$M:$M,MATCH(K438,'Raw Annual DMR Data'!$L:$L,0)))</f>
        <v>Unknown</v>
      </c>
      <c r="M438" s="28"/>
      <c r="N438" s="28"/>
      <c r="O438" s="28"/>
      <c r="P438" s="28"/>
      <c r="Q438" s="28"/>
      <c r="R438" s="28"/>
      <c r="S438" s="28">
        <v>7.2228360149999898E-3</v>
      </c>
    </row>
    <row r="439" spans="1:19" x14ac:dyDescent="0.25">
      <c r="A439" s="28">
        <v>2015</v>
      </c>
      <c r="B439" s="28"/>
      <c r="C439" s="28" t="s">
        <v>150</v>
      </c>
      <c r="D439" s="28" t="s">
        <v>482</v>
      </c>
      <c r="E439" s="28" t="s">
        <v>302</v>
      </c>
      <c r="F439" s="28" t="s">
        <v>303</v>
      </c>
      <c r="G439" s="28">
        <v>70805</v>
      </c>
      <c r="H439" s="28">
        <v>30.498203</v>
      </c>
      <c r="I439" s="28">
        <v>-91.189148000000003</v>
      </c>
      <c r="J439" s="28" t="s">
        <v>483</v>
      </c>
      <c r="K439" s="61">
        <v>110000597444</v>
      </c>
      <c r="L439" s="61" t="str">
        <f>IFERROR(INDEX('Facility Summary'!$K:$K,MATCH(K439,'Facility Summary'!$J:$J,0)),INDEX('Raw Annual DMR Data'!$M:$M,MATCH(K439,'Raw Annual DMR Data'!$L:$L,0)))</f>
        <v>Manufacturing</v>
      </c>
      <c r="M439" s="28"/>
      <c r="N439" s="28"/>
      <c r="O439" s="28"/>
      <c r="P439" s="28"/>
      <c r="Q439" s="28"/>
      <c r="R439" s="28"/>
      <c r="S439" s="28">
        <v>97.959183673469298</v>
      </c>
    </row>
    <row r="440" spans="1:19" x14ac:dyDescent="0.25">
      <c r="A440" s="28">
        <v>2016</v>
      </c>
      <c r="B440" s="28"/>
      <c r="C440" s="28" t="s">
        <v>971</v>
      </c>
      <c r="D440" s="28" t="s">
        <v>1482</v>
      </c>
      <c r="E440" s="28" t="s">
        <v>972</v>
      </c>
      <c r="F440" s="28" t="s">
        <v>374</v>
      </c>
      <c r="G440" s="28">
        <v>85220</v>
      </c>
      <c r="H440" s="28">
        <v>33.358879999999999</v>
      </c>
      <c r="I440" s="28">
        <v>-111.55722</v>
      </c>
      <c r="J440" s="28"/>
      <c r="K440" s="61">
        <v>110010062314</v>
      </c>
      <c r="L440" s="61" t="str">
        <f>IFERROR(INDEX('Facility Summary'!$K:$K,MATCH(K440,'Facility Summary'!$J:$J,0)),INDEX('Raw Annual DMR Data'!$M:$M,MATCH(K440,'Raw Annual DMR Data'!$L:$L,0)))</f>
        <v>POTW</v>
      </c>
      <c r="M440" s="28"/>
      <c r="N440" s="28"/>
      <c r="O440" s="28"/>
      <c r="P440" s="28"/>
      <c r="Q440" s="28"/>
      <c r="R440" s="28"/>
      <c r="S440" s="28">
        <v>9.6361368749999995E-2</v>
      </c>
    </row>
    <row r="441" spans="1:19" x14ac:dyDescent="0.25">
      <c r="A441" s="28">
        <v>2017</v>
      </c>
      <c r="B441" s="28"/>
      <c r="C441" s="28" t="s">
        <v>971</v>
      </c>
      <c r="D441" s="28" t="s">
        <v>1482</v>
      </c>
      <c r="E441" s="28" t="s">
        <v>972</v>
      </c>
      <c r="F441" s="28" t="s">
        <v>374</v>
      </c>
      <c r="G441" s="28">
        <v>85220</v>
      </c>
      <c r="H441" s="28">
        <v>33.358879999999999</v>
      </c>
      <c r="I441" s="28">
        <v>-111.55722</v>
      </c>
      <c r="J441" s="28"/>
      <c r="K441" s="61">
        <v>110010062314</v>
      </c>
      <c r="L441" s="61" t="str">
        <f>IFERROR(INDEX('Facility Summary'!$K:$K,MATCH(K441,'Facility Summary'!$J:$J,0)),INDEX('Raw Annual DMR Data'!$M:$M,MATCH(K441,'Raw Annual DMR Data'!$L:$L,0)))</f>
        <v>POTW</v>
      </c>
      <c r="M441" s="28"/>
      <c r="N441" s="28"/>
      <c r="O441" s="28"/>
      <c r="P441" s="28"/>
      <c r="Q441" s="28"/>
      <c r="R441" s="28"/>
      <c r="S441" s="28">
        <v>0.24411546749999999</v>
      </c>
    </row>
    <row r="442" spans="1:19" x14ac:dyDescent="0.25">
      <c r="A442" s="28">
        <v>2018</v>
      </c>
      <c r="B442" s="28"/>
      <c r="C442" s="28" t="s">
        <v>971</v>
      </c>
      <c r="D442" s="28" t="s">
        <v>1482</v>
      </c>
      <c r="E442" s="28" t="s">
        <v>972</v>
      </c>
      <c r="F442" s="28" t="s">
        <v>374</v>
      </c>
      <c r="G442" s="28">
        <v>85220</v>
      </c>
      <c r="H442" s="28">
        <v>33.358879999999999</v>
      </c>
      <c r="I442" s="28">
        <v>-111.55722</v>
      </c>
      <c r="J442" s="28"/>
      <c r="K442" s="61">
        <v>110010062314</v>
      </c>
      <c r="L442" s="61" t="str">
        <f>IFERROR(INDEX('Facility Summary'!$K:$K,MATCH(K442,'Facility Summary'!$J:$J,0)),INDEX('Raw Annual DMR Data'!$M:$M,MATCH(K442,'Raw Annual DMR Data'!$L:$L,0)))</f>
        <v>POTW</v>
      </c>
      <c r="M442" s="28"/>
      <c r="N442" s="28"/>
      <c r="O442" s="28"/>
      <c r="P442" s="28"/>
      <c r="Q442" s="28"/>
      <c r="R442" s="28"/>
      <c r="S442" s="28">
        <v>0.22698455749999999</v>
      </c>
    </row>
    <row r="443" spans="1:19" x14ac:dyDescent="0.25">
      <c r="A443" s="28">
        <v>2018</v>
      </c>
      <c r="B443" s="28"/>
      <c r="C443" s="28" t="s">
        <v>160</v>
      </c>
      <c r="D443" s="28" t="s">
        <v>515</v>
      </c>
      <c r="E443" s="28" t="s">
        <v>516</v>
      </c>
      <c r="F443" s="28" t="s">
        <v>303</v>
      </c>
      <c r="G443" s="28" t="s">
        <v>517</v>
      </c>
      <c r="H443" s="28">
        <v>30.221900000000002</v>
      </c>
      <c r="I443" s="28">
        <v>-91.051500000000004</v>
      </c>
      <c r="J443" s="28" t="s">
        <v>518</v>
      </c>
      <c r="K443" s="61">
        <v>110033659878</v>
      </c>
      <c r="L443" s="61" t="str">
        <f>IFERROR(INDEX('Facility Summary'!$K:$K,MATCH(K443,'Facility Summary'!$J:$J,0)),INDEX('Raw Annual DMR Data'!$M:$M,MATCH(K443,'Raw Annual DMR Data'!$L:$L,0)))</f>
        <v>Manufacturing</v>
      </c>
      <c r="M443" s="28"/>
      <c r="N443" s="28"/>
      <c r="O443" s="28"/>
      <c r="P443" s="28"/>
      <c r="Q443" s="28"/>
      <c r="R443" s="28"/>
      <c r="S443" s="28">
        <v>4.4693877551020398</v>
      </c>
    </row>
    <row r="444" spans="1:19" x14ac:dyDescent="0.25">
      <c r="A444" s="28">
        <v>2017</v>
      </c>
      <c r="B444" s="28"/>
      <c r="C444" s="28" t="s">
        <v>160</v>
      </c>
      <c r="D444" s="28" t="s">
        <v>515</v>
      </c>
      <c r="E444" s="28" t="s">
        <v>516</v>
      </c>
      <c r="F444" s="28" t="s">
        <v>303</v>
      </c>
      <c r="G444" s="28" t="s">
        <v>517</v>
      </c>
      <c r="H444" s="28">
        <v>30.221900000000002</v>
      </c>
      <c r="I444" s="28">
        <v>-91.051500000000004</v>
      </c>
      <c r="J444" s="28" t="s">
        <v>518</v>
      </c>
      <c r="K444" s="61">
        <v>110033659878</v>
      </c>
      <c r="L444" s="61" t="str">
        <f>IFERROR(INDEX('Facility Summary'!$K:$K,MATCH(K444,'Facility Summary'!$J:$J,0)),INDEX('Raw Annual DMR Data'!$M:$M,MATCH(K444,'Raw Annual DMR Data'!$L:$L,0)))</f>
        <v>Manufacturing</v>
      </c>
      <c r="M444" s="28"/>
      <c r="N444" s="28"/>
      <c r="O444" s="28"/>
      <c r="P444" s="28"/>
      <c r="Q444" s="28"/>
      <c r="R444" s="28"/>
      <c r="S444" s="28">
        <v>4.9659863945578202</v>
      </c>
    </row>
    <row r="445" spans="1:19" x14ac:dyDescent="0.25">
      <c r="A445" s="28">
        <v>2016</v>
      </c>
      <c r="B445" s="28"/>
      <c r="C445" s="28" t="s">
        <v>160</v>
      </c>
      <c r="D445" s="28" t="s">
        <v>515</v>
      </c>
      <c r="E445" s="28" t="s">
        <v>516</v>
      </c>
      <c r="F445" s="28" t="s">
        <v>303</v>
      </c>
      <c r="G445" s="28" t="s">
        <v>517</v>
      </c>
      <c r="H445" s="28">
        <v>30.221900000000002</v>
      </c>
      <c r="I445" s="28">
        <v>-91.051500000000004</v>
      </c>
      <c r="J445" s="28" t="s">
        <v>518</v>
      </c>
      <c r="K445" s="61">
        <v>110033659878</v>
      </c>
      <c r="L445" s="61" t="str">
        <f>IFERROR(INDEX('Facility Summary'!$K:$K,MATCH(K445,'Facility Summary'!$J:$J,0)),INDEX('Raw Annual DMR Data'!$M:$M,MATCH(K445,'Raw Annual DMR Data'!$L:$L,0)))</f>
        <v>Manufacturing</v>
      </c>
      <c r="M445" s="28"/>
      <c r="N445" s="28"/>
      <c r="O445" s="28"/>
      <c r="P445" s="28"/>
      <c r="Q445" s="28"/>
      <c r="R445" s="28"/>
      <c r="S445" s="28">
        <v>4.4693877551020398</v>
      </c>
    </row>
    <row r="446" spans="1:19" x14ac:dyDescent="0.25">
      <c r="A446" s="28">
        <v>2015</v>
      </c>
      <c r="B446" s="28"/>
      <c r="C446" s="28" t="s">
        <v>975</v>
      </c>
      <c r="D446" s="28" t="s">
        <v>1488</v>
      </c>
      <c r="E446" s="28" t="s">
        <v>976</v>
      </c>
      <c r="F446" s="28" t="s">
        <v>303</v>
      </c>
      <c r="G446" s="28">
        <v>71422</v>
      </c>
      <c r="H446" s="28">
        <v>32.039444000000003</v>
      </c>
      <c r="I446" s="28">
        <v>-92.655000000000001</v>
      </c>
      <c r="J446" s="28" t="s">
        <v>699</v>
      </c>
      <c r="K446" s="61">
        <v>110000597596</v>
      </c>
      <c r="L446" s="61" t="str">
        <f>IFERROR(INDEX('Facility Summary'!$K:$K,MATCH(K446,'Facility Summary'!$J:$J,0)),INDEX('Raw Annual DMR Data'!$M:$M,MATCH(K446,'Raw Annual DMR Data'!$L:$L,0)))</f>
        <v>Unknown</v>
      </c>
      <c r="M446" s="28"/>
      <c r="N446" s="28"/>
      <c r="O446" s="28"/>
      <c r="P446" s="28"/>
      <c r="Q446" s="28"/>
      <c r="R446" s="28"/>
      <c r="S446" s="28">
        <v>0.29795918367346902</v>
      </c>
    </row>
    <row r="447" spans="1:19" x14ac:dyDescent="0.25">
      <c r="A447" s="28">
        <v>2019</v>
      </c>
      <c r="B447" s="28"/>
      <c r="C447" s="28" t="s">
        <v>977</v>
      </c>
      <c r="D447" s="28" t="s">
        <v>1493</v>
      </c>
      <c r="E447" s="28" t="s">
        <v>978</v>
      </c>
      <c r="F447" s="28" t="s">
        <v>979</v>
      </c>
      <c r="G447" s="28">
        <v>37389</v>
      </c>
      <c r="H447" s="28">
        <v>35.377800000000001</v>
      </c>
      <c r="I447" s="28">
        <v>-86.045599999999993</v>
      </c>
      <c r="J447" s="28" t="s">
        <v>700</v>
      </c>
      <c r="K447" s="61">
        <v>110017413217</v>
      </c>
      <c r="L447" s="61" t="str">
        <f>IFERROR(INDEX('Facility Summary'!$K:$K,MATCH(K447,'Facility Summary'!$J:$J,0)),INDEX('Raw Annual DMR Data'!$M:$M,MATCH(K447,'Raw Annual DMR Data'!$L:$L,0)))</f>
        <v>Waste Handling, Disposal and Treatment (Landfill)</v>
      </c>
      <c r="M447" s="28"/>
      <c r="N447" s="28"/>
      <c r="O447" s="28"/>
      <c r="P447" s="28"/>
      <c r="Q447" s="28"/>
      <c r="R447" s="28"/>
      <c r="S447" s="28">
        <v>14.0861662955</v>
      </c>
    </row>
    <row r="448" spans="1:19" x14ac:dyDescent="0.25">
      <c r="A448" s="28">
        <v>2020</v>
      </c>
      <c r="B448" s="28"/>
      <c r="C448" s="28" t="s">
        <v>977</v>
      </c>
      <c r="D448" s="28" t="s">
        <v>1493</v>
      </c>
      <c r="E448" s="28" t="s">
        <v>978</v>
      </c>
      <c r="F448" s="28" t="s">
        <v>979</v>
      </c>
      <c r="G448" s="28">
        <v>37389</v>
      </c>
      <c r="H448" s="28">
        <v>35.377800000000001</v>
      </c>
      <c r="I448" s="28">
        <v>-86.045599999999993</v>
      </c>
      <c r="J448" s="28" t="s">
        <v>700</v>
      </c>
      <c r="K448" s="61">
        <v>110017413217</v>
      </c>
      <c r="L448" s="61" t="str">
        <f>IFERROR(INDEX('Facility Summary'!$K:$K,MATCH(K448,'Facility Summary'!$J:$J,0)),INDEX('Raw Annual DMR Data'!$M:$M,MATCH(K448,'Raw Annual DMR Data'!$L:$L,0)))</f>
        <v>Waste Handling, Disposal and Treatment (Landfill)</v>
      </c>
      <c r="M448" s="28"/>
      <c r="N448" s="28"/>
      <c r="O448" s="28"/>
      <c r="P448" s="28"/>
      <c r="Q448" s="28"/>
      <c r="R448" s="28"/>
      <c r="S448" s="28">
        <v>13.107383179625</v>
      </c>
    </row>
    <row r="449" spans="1:19" x14ac:dyDescent="0.25">
      <c r="A449" s="28">
        <v>2018</v>
      </c>
      <c r="B449" s="28"/>
      <c r="C449" s="28" t="s">
        <v>107</v>
      </c>
      <c r="D449" s="28" t="s">
        <v>330</v>
      </c>
      <c r="E449" s="28" t="s">
        <v>331</v>
      </c>
      <c r="F449" s="28" t="s">
        <v>324</v>
      </c>
      <c r="G449" s="28">
        <v>41101</v>
      </c>
      <c r="H449" s="28">
        <v>38.474601999999997</v>
      </c>
      <c r="I449" s="28">
        <v>-82.623778999999999</v>
      </c>
      <c r="J449" s="28"/>
      <c r="K449" s="61">
        <v>110000732244</v>
      </c>
      <c r="L449" s="61" t="str">
        <f>IFERROR(INDEX('Facility Summary'!$K:$K,MATCH(K449,'Facility Summary'!$J:$J,0)),INDEX('Raw Annual DMR Data'!$M:$M,MATCH(K449,'Raw Annual DMR Data'!$L:$L,0)))</f>
        <v>POTW</v>
      </c>
      <c r="M449" s="28"/>
      <c r="N449" s="28"/>
      <c r="O449" s="28"/>
      <c r="P449" s="28"/>
      <c r="Q449" s="28"/>
      <c r="R449" s="28"/>
      <c r="S449" s="28">
        <v>9.5048919999999999</v>
      </c>
    </row>
    <row r="450" spans="1:19" x14ac:dyDescent="0.25">
      <c r="A450" s="28">
        <v>2019</v>
      </c>
      <c r="B450" s="28"/>
      <c r="C450" s="28" t="s">
        <v>107</v>
      </c>
      <c r="D450" s="28" t="s">
        <v>330</v>
      </c>
      <c r="E450" s="28" t="s">
        <v>331</v>
      </c>
      <c r="F450" s="28" t="s">
        <v>324</v>
      </c>
      <c r="G450" s="28">
        <v>41101</v>
      </c>
      <c r="H450" s="28">
        <v>38.474601999999997</v>
      </c>
      <c r="I450" s="28">
        <v>-82.623778999999999</v>
      </c>
      <c r="J450" s="28"/>
      <c r="K450" s="61">
        <v>110000732244</v>
      </c>
      <c r="L450" s="61" t="str">
        <f>IFERROR(INDEX('Facility Summary'!$K:$K,MATCH(K450,'Facility Summary'!$J:$J,0)),INDEX('Raw Annual DMR Data'!$M:$M,MATCH(K450,'Raw Annual DMR Data'!$L:$L,0)))</f>
        <v>POTW</v>
      </c>
      <c r="M450" s="28"/>
      <c r="N450" s="28"/>
      <c r="O450" s="28"/>
      <c r="P450" s="28"/>
      <c r="Q450" s="28"/>
      <c r="R450" s="28"/>
      <c r="S450" s="28">
        <v>24.038535</v>
      </c>
    </row>
    <row r="451" spans="1:19" x14ac:dyDescent="0.25">
      <c r="A451" s="28">
        <v>2016</v>
      </c>
      <c r="B451" s="28"/>
      <c r="C451" s="28" t="s">
        <v>980</v>
      </c>
      <c r="D451" s="28" t="s">
        <v>1497</v>
      </c>
      <c r="E451" s="28" t="s">
        <v>981</v>
      </c>
      <c r="F451" s="28" t="s">
        <v>324</v>
      </c>
      <c r="G451" s="28">
        <v>42206</v>
      </c>
      <c r="H451" s="28">
        <v>36.864350000000002</v>
      </c>
      <c r="I451" s="28">
        <v>-86.705910000000003</v>
      </c>
      <c r="J451" s="28"/>
      <c r="K451" s="61">
        <v>110003250277</v>
      </c>
      <c r="L451" s="61" t="str">
        <f>IFERROR(INDEX('Facility Summary'!$K:$K,MATCH(K451,'Facility Summary'!$J:$J,0)),INDEX('Raw Annual DMR Data'!$M:$M,MATCH(K451,'Raw Annual DMR Data'!$L:$L,0)))</f>
        <v>POTW</v>
      </c>
      <c r="M451" s="28"/>
      <c r="N451" s="28"/>
      <c r="O451" s="28"/>
      <c r="P451" s="28"/>
      <c r="Q451" s="28"/>
      <c r="R451" s="28"/>
      <c r="S451" s="28">
        <v>0.1208834375</v>
      </c>
    </row>
    <row r="452" spans="1:19" x14ac:dyDescent="0.25">
      <c r="A452" s="28">
        <v>2017</v>
      </c>
      <c r="B452" s="28"/>
      <c r="C452" s="28" t="s">
        <v>980</v>
      </c>
      <c r="D452" s="28" t="s">
        <v>1497</v>
      </c>
      <c r="E452" s="28" t="s">
        <v>981</v>
      </c>
      <c r="F452" s="28" t="s">
        <v>324</v>
      </c>
      <c r="G452" s="28">
        <v>42206</v>
      </c>
      <c r="H452" s="28">
        <v>36.864350000000002</v>
      </c>
      <c r="I452" s="28">
        <v>-86.705910000000003</v>
      </c>
      <c r="J452" s="28"/>
      <c r="K452" s="61">
        <v>110003250277</v>
      </c>
      <c r="L452" s="61" t="str">
        <f>IFERROR(INDEX('Facility Summary'!$K:$K,MATCH(K452,'Facility Summary'!$J:$J,0)),INDEX('Raw Annual DMR Data'!$M:$M,MATCH(K452,'Raw Annual DMR Data'!$L:$L,0)))</f>
        <v>POTW</v>
      </c>
      <c r="M452" s="28"/>
      <c r="N452" s="28"/>
      <c r="O452" s="28"/>
      <c r="P452" s="28"/>
      <c r="Q452" s="28"/>
      <c r="R452" s="28"/>
      <c r="S452" s="28">
        <v>0.161638425</v>
      </c>
    </row>
    <row r="453" spans="1:19" x14ac:dyDescent="0.25">
      <c r="A453" s="28">
        <v>2018</v>
      </c>
      <c r="B453" s="28"/>
      <c r="C453" s="28" t="s">
        <v>980</v>
      </c>
      <c r="D453" s="28" t="s">
        <v>1497</v>
      </c>
      <c r="E453" s="28" t="s">
        <v>981</v>
      </c>
      <c r="F453" s="28" t="s">
        <v>324</v>
      </c>
      <c r="G453" s="28">
        <v>42206</v>
      </c>
      <c r="H453" s="28">
        <v>36.864350000000002</v>
      </c>
      <c r="I453" s="28">
        <v>-86.705910000000003</v>
      </c>
      <c r="J453" s="28"/>
      <c r="K453" s="61">
        <v>110003250277</v>
      </c>
      <c r="L453" s="61" t="str">
        <f>IFERROR(INDEX('Facility Summary'!$K:$K,MATCH(K453,'Facility Summary'!$J:$J,0)),INDEX('Raw Annual DMR Data'!$M:$M,MATCH(K453,'Raw Annual DMR Data'!$L:$L,0)))</f>
        <v>POTW</v>
      </c>
      <c r="M453" s="28"/>
      <c r="N453" s="28"/>
      <c r="O453" s="28"/>
      <c r="P453" s="28"/>
      <c r="Q453" s="28"/>
      <c r="R453" s="28"/>
      <c r="S453" s="28">
        <v>0.1416063125</v>
      </c>
    </row>
    <row r="454" spans="1:19" x14ac:dyDescent="0.25">
      <c r="A454" s="28">
        <v>2019</v>
      </c>
      <c r="B454" s="28"/>
      <c r="C454" s="28" t="s">
        <v>980</v>
      </c>
      <c r="D454" s="28" t="s">
        <v>1497</v>
      </c>
      <c r="E454" s="28" t="s">
        <v>981</v>
      </c>
      <c r="F454" s="28" t="s">
        <v>324</v>
      </c>
      <c r="G454" s="28">
        <v>42206</v>
      </c>
      <c r="H454" s="28">
        <v>36.864350000000002</v>
      </c>
      <c r="I454" s="28">
        <v>-86.705910000000003</v>
      </c>
      <c r="J454" s="28"/>
      <c r="K454" s="61">
        <v>110003250277</v>
      </c>
      <c r="L454" s="61" t="str">
        <f>IFERROR(INDEX('Facility Summary'!$K:$K,MATCH(K454,'Facility Summary'!$J:$J,0)),INDEX('Raw Annual DMR Data'!$M:$M,MATCH(K454,'Raw Annual DMR Data'!$L:$L,0)))</f>
        <v>POTW</v>
      </c>
      <c r="M454" s="28"/>
      <c r="N454" s="28"/>
      <c r="O454" s="28"/>
      <c r="P454" s="28"/>
      <c r="Q454" s="28"/>
      <c r="R454" s="28"/>
      <c r="S454" s="28">
        <v>0.22104399999999999</v>
      </c>
    </row>
    <row r="455" spans="1:19" x14ac:dyDescent="0.25">
      <c r="A455" s="28">
        <v>2016</v>
      </c>
      <c r="B455" s="28"/>
      <c r="C455" s="28" t="s">
        <v>982</v>
      </c>
      <c r="D455" s="28" t="s">
        <v>1501</v>
      </c>
      <c r="E455" s="28" t="s">
        <v>983</v>
      </c>
      <c r="F455" s="28" t="s">
        <v>374</v>
      </c>
      <c r="G455" s="28" t="s">
        <v>1502</v>
      </c>
      <c r="H455" s="28">
        <v>33.402509999999999</v>
      </c>
      <c r="I455" s="28">
        <v>-112.34045999999999</v>
      </c>
      <c r="J455" s="28"/>
      <c r="K455" s="61">
        <v>110022421789</v>
      </c>
      <c r="L455" s="61" t="str">
        <f>IFERROR(INDEX('Facility Summary'!$K:$K,MATCH(K455,'Facility Summary'!$J:$J,0)),INDEX('Raw Annual DMR Data'!$M:$M,MATCH(K455,'Raw Annual DMR Data'!$L:$L,0)))</f>
        <v>POTW</v>
      </c>
      <c r="M455" s="28"/>
      <c r="N455" s="28"/>
      <c r="O455" s="28"/>
      <c r="P455" s="28"/>
      <c r="Q455" s="28"/>
      <c r="R455" s="28"/>
      <c r="S455" s="28">
        <v>7.8719294499999997</v>
      </c>
    </row>
    <row r="456" spans="1:19" x14ac:dyDescent="0.25">
      <c r="A456" s="28">
        <v>2017</v>
      </c>
      <c r="B456" s="28"/>
      <c r="C456" s="28" t="s">
        <v>982</v>
      </c>
      <c r="D456" s="28" t="s">
        <v>1501</v>
      </c>
      <c r="E456" s="28" t="s">
        <v>983</v>
      </c>
      <c r="F456" s="28" t="s">
        <v>374</v>
      </c>
      <c r="G456" s="28" t="s">
        <v>1502</v>
      </c>
      <c r="H456" s="28">
        <v>33.402509999999999</v>
      </c>
      <c r="I456" s="28">
        <v>-112.34045999999999</v>
      </c>
      <c r="J456" s="28"/>
      <c r="K456" s="61">
        <v>110022421789</v>
      </c>
      <c r="L456" s="61" t="str">
        <f>IFERROR(INDEX('Facility Summary'!$K:$K,MATCH(K456,'Facility Summary'!$J:$J,0)),INDEX('Raw Annual DMR Data'!$M:$M,MATCH(K456,'Raw Annual DMR Data'!$L:$L,0)))</f>
        <v>POTW</v>
      </c>
      <c r="M456" s="28"/>
      <c r="N456" s="28"/>
      <c r="O456" s="28"/>
      <c r="P456" s="28"/>
      <c r="Q456" s="28"/>
      <c r="R456" s="28"/>
      <c r="S456" s="28">
        <v>7.9092306250000002</v>
      </c>
    </row>
    <row r="457" spans="1:19" x14ac:dyDescent="0.25">
      <c r="A457" s="28">
        <v>2018</v>
      </c>
      <c r="B457" s="28"/>
      <c r="C457" s="28" t="s">
        <v>108</v>
      </c>
      <c r="D457" s="28" t="s">
        <v>336</v>
      </c>
      <c r="E457" s="28" t="s">
        <v>337</v>
      </c>
      <c r="F457" s="28" t="s">
        <v>338</v>
      </c>
      <c r="G457" s="28" t="s">
        <v>339</v>
      </c>
      <c r="H457" s="28">
        <v>39.852224</v>
      </c>
      <c r="I457" s="28">
        <v>-75.234432999999996</v>
      </c>
      <c r="J457" s="28"/>
      <c r="K457" s="61">
        <v>110000760310</v>
      </c>
      <c r="L457" s="61" t="str">
        <f>IFERROR(INDEX('Facility Summary'!$K:$K,MATCH(K457,'Facility Summary'!$J:$J,0)),INDEX('Raw Annual DMR Data'!$M:$M,MATCH(K457,'Raw Annual DMR Data'!$L:$L,0)))</f>
        <v>Remediation</v>
      </c>
      <c r="M457" s="28"/>
      <c r="N457" s="28"/>
      <c r="O457" s="28"/>
      <c r="P457" s="28"/>
      <c r="Q457" s="28"/>
      <c r="R457" s="28"/>
      <c r="S457" s="28">
        <v>9.5602040975000004E-3</v>
      </c>
    </row>
    <row r="458" spans="1:19" x14ac:dyDescent="0.25">
      <c r="A458" s="28">
        <v>2019</v>
      </c>
      <c r="B458" s="28"/>
      <c r="C458" s="28" t="s">
        <v>108</v>
      </c>
      <c r="D458" s="28" t="s">
        <v>336</v>
      </c>
      <c r="E458" s="28" t="s">
        <v>337</v>
      </c>
      <c r="F458" s="28" t="s">
        <v>338</v>
      </c>
      <c r="G458" s="28" t="s">
        <v>339</v>
      </c>
      <c r="H458" s="28">
        <v>39.852224</v>
      </c>
      <c r="I458" s="28">
        <v>-75.234432999999996</v>
      </c>
      <c r="J458" s="28"/>
      <c r="K458" s="61">
        <v>110000760310</v>
      </c>
      <c r="L458" s="61" t="str">
        <f>IFERROR(INDEX('Facility Summary'!$K:$K,MATCH(K458,'Facility Summary'!$J:$J,0)),INDEX('Raw Annual DMR Data'!$M:$M,MATCH(K458,'Raw Annual DMR Data'!$L:$L,0)))</f>
        <v>Remediation</v>
      </c>
      <c r="M458" s="28"/>
      <c r="N458" s="28"/>
      <c r="O458" s="28"/>
      <c r="P458" s="28"/>
      <c r="Q458" s="28"/>
      <c r="R458" s="28"/>
      <c r="S458" s="28">
        <v>1.8436557105000001E-2</v>
      </c>
    </row>
    <row r="459" spans="1:19" x14ac:dyDescent="0.25">
      <c r="A459" s="28">
        <v>2020</v>
      </c>
      <c r="B459" s="28"/>
      <c r="C459" s="28" t="s">
        <v>108</v>
      </c>
      <c r="D459" s="28" t="s">
        <v>336</v>
      </c>
      <c r="E459" s="28" t="s">
        <v>337</v>
      </c>
      <c r="F459" s="28" t="s">
        <v>338</v>
      </c>
      <c r="G459" s="28" t="s">
        <v>339</v>
      </c>
      <c r="H459" s="28">
        <v>39.852224</v>
      </c>
      <c r="I459" s="28">
        <v>-75.234432999999996</v>
      </c>
      <c r="J459" s="28"/>
      <c r="K459" s="61">
        <v>110000760310</v>
      </c>
      <c r="L459" s="61" t="str">
        <f>IFERROR(INDEX('Facility Summary'!$K:$K,MATCH(K459,'Facility Summary'!$J:$J,0)),INDEX('Raw Annual DMR Data'!$M:$M,MATCH(K459,'Raw Annual DMR Data'!$L:$L,0)))</f>
        <v>Remediation</v>
      </c>
      <c r="M459" s="28"/>
      <c r="N459" s="28"/>
      <c r="O459" s="28"/>
      <c r="P459" s="28"/>
      <c r="Q459" s="28"/>
      <c r="R459" s="28"/>
      <c r="S459" s="28">
        <v>9.3903124799999994E-3</v>
      </c>
    </row>
    <row r="460" spans="1:19" x14ac:dyDescent="0.25">
      <c r="A460" s="28">
        <v>2019</v>
      </c>
      <c r="B460" s="28"/>
      <c r="C460" s="28" t="s">
        <v>984</v>
      </c>
      <c r="D460" s="28" t="s">
        <v>1505</v>
      </c>
      <c r="E460" s="28" t="s">
        <v>985</v>
      </c>
      <c r="F460" s="28" t="s">
        <v>979</v>
      </c>
      <c r="G460" s="28">
        <v>37660</v>
      </c>
      <c r="H460" s="28">
        <v>36.550454999999999</v>
      </c>
      <c r="I460" s="28">
        <v>-82.634793999999999</v>
      </c>
      <c r="J460" s="28"/>
      <c r="K460" s="61">
        <v>110070828339</v>
      </c>
      <c r="L460" s="61" t="str">
        <f>IFERROR(INDEX('Facility Summary'!$K:$K,MATCH(K460,'Facility Summary'!$J:$J,0)),INDEX('Raw Annual DMR Data'!$M:$M,MATCH(K460,'Raw Annual DMR Data'!$L:$L,0)))</f>
        <v>Unknown</v>
      </c>
      <c r="M460" s="28"/>
      <c r="N460" s="28"/>
      <c r="O460" s="28"/>
      <c r="P460" s="28"/>
      <c r="Q460" s="28"/>
      <c r="R460" s="28"/>
      <c r="S460" s="28">
        <v>4.5521541950113296</v>
      </c>
    </row>
    <row r="461" spans="1:19" x14ac:dyDescent="0.25">
      <c r="A461" s="28">
        <v>2020</v>
      </c>
      <c r="B461" s="28"/>
      <c r="C461" s="28" t="s">
        <v>984</v>
      </c>
      <c r="D461" s="28" t="s">
        <v>1505</v>
      </c>
      <c r="E461" s="28" t="s">
        <v>985</v>
      </c>
      <c r="F461" s="28" t="s">
        <v>979</v>
      </c>
      <c r="G461" s="28">
        <v>37660</v>
      </c>
      <c r="H461" s="28">
        <v>36.550454999999999</v>
      </c>
      <c r="I461" s="28">
        <v>-82.634793999999999</v>
      </c>
      <c r="J461" s="28"/>
      <c r="K461" s="61">
        <v>110070828339</v>
      </c>
      <c r="L461" s="61" t="str">
        <f>IFERROR(INDEX('Facility Summary'!$K:$K,MATCH(K461,'Facility Summary'!$J:$J,0)),INDEX('Raw Annual DMR Data'!$M:$M,MATCH(K461,'Raw Annual DMR Data'!$L:$L,0)))</f>
        <v>Unknown</v>
      </c>
      <c r="M461" s="28"/>
      <c r="N461" s="28"/>
      <c r="O461" s="28"/>
      <c r="P461" s="28"/>
      <c r="Q461" s="28"/>
      <c r="R461" s="28"/>
      <c r="S461" s="28">
        <v>1.2414965986394499</v>
      </c>
    </row>
    <row r="462" spans="1:19" x14ac:dyDescent="0.25">
      <c r="A462" s="28">
        <v>2015</v>
      </c>
      <c r="B462" s="28"/>
      <c r="C462" s="28" t="s">
        <v>986</v>
      </c>
      <c r="D462" s="28" t="s">
        <v>1508</v>
      </c>
      <c r="E462" s="28" t="s">
        <v>987</v>
      </c>
      <c r="F462" s="28" t="s">
        <v>324</v>
      </c>
      <c r="G462" s="28">
        <v>40216</v>
      </c>
      <c r="H462" s="28">
        <v>38.195278000000002</v>
      </c>
      <c r="I462" s="28">
        <v>-85.872221999999994</v>
      </c>
      <c r="J462" s="28" t="s">
        <v>701</v>
      </c>
      <c r="K462" s="61">
        <v>110000378467</v>
      </c>
      <c r="L462" s="61" t="str">
        <f>IFERROR(INDEX('Facility Summary'!$K:$K,MATCH(K462,'Facility Summary'!$J:$J,0)),INDEX('Raw Annual DMR Data'!$M:$M,MATCH(K462,'Raw Annual DMR Data'!$L:$L,0)))</f>
        <v>Unknown</v>
      </c>
      <c r="M462" s="28"/>
      <c r="N462" s="28"/>
      <c r="O462" s="28"/>
      <c r="P462" s="28"/>
      <c r="Q462" s="28"/>
      <c r="R462" s="28"/>
      <c r="S462" s="28">
        <v>0.70408163265306101</v>
      </c>
    </row>
    <row r="463" spans="1:19" x14ac:dyDescent="0.25">
      <c r="A463" s="28">
        <v>2016</v>
      </c>
      <c r="B463" s="28"/>
      <c r="C463" s="28" t="s">
        <v>986</v>
      </c>
      <c r="D463" s="28" t="s">
        <v>1508</v>
      </c>
      <c r="E463" s="28" t="s">
        <v>987</v>
      </c>
      <c r="F463" s="28" t="s">
        <v>324</v>
      </c>
      <c r="G463" s="28">
        <v>40216</v>
      </c>
      <c r="H463" s="28">
        <v>38.195278000000002</v>
      </c>
      <c r="I463" s="28">
        <v>-85.872221999999994</v>
      </c>
      <c r="J463" s="28" t="s">
        <v>701</v>
      </c>
      <c r="K463" s="61">
        <v>110000378467</v>
      </c>
      <c r="L463" s="61" t="str">
        <f>IFERROR(INDEX('Facility Summary'!$K:$K,MATCH(K463,'Facility Summary'!$J:$J,0)),INDEX('Raw Annual DMR Data'!$M:$M,MATCH(K463,'Raw Annual DMR Data'!$L:$L,0)))</f>
        <v>Unknown</v>
      </c>
      <c r="M463" s="28"/>
      <c r="N463" s="28"/>
      <c r="O463" s="28"/>
      <c r="P463" s="28"/>
      <c r="Q463" s="28"/>
      <c r="R463" s="28"/>
      <c r="S463" s="28">
        <v>0.61995464852607696</v>
      </c>
    </row>
    <row r="464" spans="1:19" x14ac:dyDescent="0.25">
      <c r="A464" s="28">
        <v>2017</v>
      </c>
      <c r="B464" s="28"/>
      <c r="C464" s="28" t="s">
        <v>986</v>
      </c>
      <c r="D464" s="28" t="s">
        <v>1508</v>
      </c>
      <c r="E464" s="28" t="s">
        <v>987</v>
      </c>
      <c r="F464" s="28" t="s">
        <v>324</v>
      </c>
      <c r="G464" s="28">
        <v>40216</v>
      </c>
      <c r="H464" s="28">
        <v>38.195278000000002</v>
      </c>
      <c r="I464" s="28">
        <v>-85.872221999999994</v>
      </c>
      <c r="J464" s="28" t="s">
        <v>701</v>
      </c>
      <c r="K464" s="61">
        <v>110000378467</v>
      </c>
      <c r="L464" s="61" t="str">
        <f>IFERROR(INDEX('Facility Summary'!$K:$K,MATCH(K464,'Facility Summary'!$J:$J,0)),INDEX('Raw Annual DMR Data'!$M:$M,MATCH(K464,'Raw Annual DMR Data'!$L:$L,0)))</f>
        <v>Unknown</v>
      </c>
      <c r="M464" s="28"/>
      <c r="N464" s="28"/>
      <c r="O464" s="28"/>
      <c r="P464" s="28"/>
      <c r="Q464" s="28"/>
      <c r="R464" s="28"/>
      <c r="S464" s="28">
        <v>0.64081632653061205</v>
      </c>
    </row>
    <row r="465" spans="1:19" x14ac:dyDescent="0.25">
      <c r="A465" s="28">
        <v>2018</v>
      </c>
      <c r="B465" s="28"/>
      <c r="C465" s="28" t="s">
        <v>986</v>
      </c>
      <c r="D465" s="28" t="s">
        <v>1508</v>
      </c>
      <c r="E465" s="28" t="s">
        <v>987</v>
      </c>
      <c r="F465" s="28" t="s">
        <v>324</v>
      </c>
      <c r="G465" s="28">
        <v>40216</v>
      </c>
      <c r="H465" s="28">
        <v>38.195278000000002</v>
      </c>
      <c r="I465" s="28">
        <v>-85.872221999999994</v>
      </c>
      <c r="J465" s="28" t="s">
        <v>701</v>
      </c>
      <c r="K465" s="61">
        <v>110000378467</v>
      </c>
      <c r="L465" s="61" t="str">
        <f>IFERROR(INDEX('Facility Summary'!$K:$K,MATCH(K465,'Facility Summary'!$J:$J,0)),INDEX('Raw Annual DMR Data'!$M:$M,MATCH(K465,'Raw Annual DMR Data'!$L:$L,0)))</f>
        <v>Unknown</v>
      </c>
      <c r="M465" s="28"/>
      <c r="N465" s="28"/>
      <c r="O465" s="28"/>
      <c r="P465" s="28"/>
      <c r="Q465" s="28"/>
      <c r="R465" s="28"/>
      <c r="S465" s="302">
        <v>0.51768707482993104</v>
      </c>
    </row>
    <row r="466" spans="1:19" x14ac:dyDescent="0.25">
      <c r="A466" s="28">
        <v>2019</v>
      </c>
      <c r="B466" s="28"/>
      <c r="C466" s="28" t="s">
        <v>986</v>
      </c>
      <c r="D466" s="28" t="s">
        <v>1508</v>
      </c>
      <c r="E466" s="28" t="s">
        <v>987</v>
      </c>
      <c r="F466" s="28" t="s">
        <v>324</v>
      </c>
      <c r="G466" s="28">
        <v>40216</v>
      </c>
      <c r="H466" s="28">
        <v>38.195278000000002</v>
      </c>
      <c r="I466" s="28">
        <v>-85.872221999999994</v>
      </c>
      <c r="J466" s="28" t="s">
        <v>701</v>
      </c>
      <c r="K466" s="61">
        <v>110000378467</v>
      </c>
      <c r="L466" s="61" t="str">
        <f>IFERROR(INDEX('Facility Summary'!$K:$K,MATCH(K466,'Facility Summary'!$J:$J,0)),INDEX('Raw Annual DMR Data'!$M:$M,MATCH(K466,'Raw Annual DMR Data'!$L:$L,0)))</f>
        <v>Unknown</v>
      </c>
      <c r="M466" s="28"/>
      <c r="N466" s="28"/>
      <c r="O466" s="28"/>
      <c r="P466" s="28"/>
      <c r="Q466" s="28"/>
      <c r="R466" s="28"/>
      <c r="S466" s="28">
        <v>0.72448979591836704</v>
      </c>
    </row>
    <row r="467" spans="1:19" x14ac:dyDescent="0.25">
      <c r="A467" s="28">
        <v>2020</v>
      </c>
      <c r="B467" s="28"/>
      <c r="C467" s="28" t="s">
        <v>986</v>
      </c>
      <c r="D467" s="28" t="s">
        <v>1508</v>
      </c>
      <c r="E467" s="28" t="s">
        <v>987</v>
      </c>
      <c r="F467" s="28" t="s">
        <v>324</v>
      </c>
      <c r="G467" s="28">
        <v>40216</v>
      </c>
      <c r="H467" s="28">
        <v>38.195278000000002</v>
      </c>
      <c r="I467" s="28">
        <v>-85.872221999999994</v>
      </c>
      <c r="J467" s="28" t="s">
        <v>701</v>
      </c>
      <c r="K467" s="61">
        <v>110000378467</v>
      </c>
      <c r="L467" s="61" t="str">
        <f>IFERROR(INDEX('Facility Summary'!$K:$K,MATCH(K467,'Facility Summary'!$J:$J,0)),INDEX('Raw Annual DMR Data'!$M:$M,MATCH(K467,'Raw Annual DMR Data'!$L:$L,0)))</f>
        <v>Unknown</v>
      </c>
      <c r="M467" s="28"/>
      <c r="N467" s="28"/>
      <c r="O467" s="28"/>
      <c r="P467" s="28"/>
      <c r="Q467" s="28"/>
      <c r="R467" s="28"/>
      <c r="S467" s="28">
        <v>0.48979591836734598</v>
      </c>
    </row>
    <row r="468" spans="1:19" x14ac:dyDescent="0.25">
      <c r="A468" s="28">
        <v>2020</v>
      </c>
      <c r="B468" s="28"/>
      <c r="C468" s="28" t="s">
        <v>986</v>
      </c>
      <c r="D468" s="28" t="s">
        <v>1508</v>
      </c>
      <c r="E468" s="28" t="s">
        <v>987</v>
      </c>
      <c r="F468" s="28" t="s">
        <v>324</v>
      </c>
      <c r="G468" s="28">
        <v>40216</v>
      </c>
      <c r="H468" s="28">
        <v>38.195278000000002</v>
      </c>
      <c r="I468" s="28">
        <v>-85.872221999999994</v>
      </c>
      <c r="J468" s="28" t="s">
        <v>701</v>
      </c>
      <c r="K468" s="61">
        <v>110000378467</v>
      </c>
      <c r="L468" s="61" t="str">
        <f>IFERROR(INDEX('Facility Summary'!$K:$K,MATCH(K468,'Facility Summary'!$J:$J,0)),INDEX('Raw Annual DMR Data'!$M:$M,MATCH(K468,'Raw Annual DMR Data'!$L:$L,0)))</f>
        <v>Unknown</v>
      </c>
      <c r="M468" s="28"/>
      <c r="N468" s="28"/>
      <c r="O468" s="28"/>
      <c r="P468" s="28"/>
      <c r="Q468" s="28"/>
      <c r="R468" s="28"/>
      <c r="S468" s="28">
        <v>0.57936507936507897</v>
      </c>
    </row>
    <row r="469" spans="1:19" x14ac:dyDescent="0.25">
      <c r="A469" s="28">
        <v>2019</v>
      </c>
      <c r="B469" s="28"/>
      <c r="C469" s="28" t="s">
        <v>160</v>
      </c>
      <c r="D469" s="28" t="s">
        <v>515</v>
      </c>
      <c r="E469" s="28" t="s">
        <v>516</v>
      </c>
      <c r="F469" s="28" t="s">
        <v>303</v>
      </c>
      <c r="G469" s="28" t="s">
        <v>517</v>
      </c>
      <c r="H469" s="28">
        <v>30.221900000000002</v>
      </c>
      <c r="I469" s="28">
        <v>-91.051500000000004</v>
      </c>
      <c r="J469" s="28" t="s">
        <v>518</v>
      </c>
      <c r="K469" s="61">
        <v>110033659878</v>
      </c>
      <c r="L469" s="61" t="str">
        <f>IFERROR(INDEX('Facility Summary'!$K:$K,MATCH(K469,'Facility Summary'!$J:$J,0)),INDEX('Raw Annual DMR Data'!$M:$M,MATCH(K469,'Raw Annual DMR Data'!$L:$L,0)))</f>
        <v>Manufacturing</v>
      </c>
      <c r="M469" s="28"/>
      <c r="N469" s="28"/>
      <c r="O469" s="28"/>
      <c r="P469" s="28"/>
      <c r="Q469" s="28"/>
      <c r="R469" s="28"/>
      <c r="S469" s="28">
        <v>3.4761904761904701</v>
      </c>
    </row>
    <row r="470" spans="1:19" x14ac:dyDescent="0.25">
      <c r="A470" s="28">
        <v>2015</v>
      </c>
      <c r="B470" s="28"/>
      <c r="C470" s="28" t="s">
        <v>989</v>
      </c>
      <c r="D470" s="28" t="s">
        <v>1513</v>
      </c>
      <c r="E470" s="28" t="s">
        <v>990</v>
      </c>
      <c r="F470" s="28" t="s">
        <v>362</v>
      </c>
      <c r="G470" s="28" t="s">
        <v>1514</v>
      </c>
      <c r="H470" s="28">
        <v>29.793299999999999</v>
      </c>
      <c r="I470" s="28">
        <v>-95.064959999999999</v>
      </c>
      <c r="J470" s="28" t="s">
        <v>703</v>
      </c>
      <c r="K470" s="61">
        <v>110000463533</v>
      </c>
      <c r="L470" s="61" t="str">
        <f>IFERROR(INDEX('Facility Summary'!$K:$K,MATCH(K470,'Facility Summary'!$J:$J,0)),INDEX('Raw Annual DMR Data'!$M:$M,MATCH(K470,'Raw Annual DMR Data'!$L:$L,0)))</f>
        <v>Unknown</v>
      </c>
      <c r="M470" s="28"/>
      <c r="N470" s="28"/>
      <c r="O470" s="28"/>
      <c r="P470" s="28"/>
      <c r="Q470" s="28"/>
      <c r="R470" s="28"/>
      <c r="S470" s="28">
        <v>3.8456735499999999E-2</v>
      </c>
    </row>
    <row r="471" spans="1:19" x14ac:dyDescent="0.25">
      <c r="A471" s="28">
        <v>2016</v>
      </c>
      <c r="B471" s="28"/>
      <c r="C471" s="28" t="s">
        <v>989</v>
      </c>
      <c r="D471" s="28" t="s">
        <v>1513</v>
      </c>
      <c r="E471" s="28" t="s">
        <v>990</v>
      </c>
      <c r="F471" s="28" t="s">
        <v>362</v>
      </c>
      <c r="G471" s="28" t="s">
        <v>1514</v>
      </c>
      <c r="H471" s="28">
        <v>29.793299999999999</v>
      </c>
      <c r="I471" s="28">
        <v>-95.064959999999999</v>
      </c>
      <c r="J471" s="28" t="s">
        <v>703</v>
      </c>
      <c r="K471" s="61">
        <v>110000463533</v>
      </c>
      <c r="L471" s="61" t="str">
        <f>IFERROR(INDEX('Facility Summary'!$K:$K,MATCH(K471,'Facility Summary'!$J:$J,0)),INDEX('Raw Annual DMR Data'!$M:$M,MATCH(K471,'Raw Annual DMR Data'!$L:$L,0)))</f>
        <v>Unknown</v>
      </c>
      <c r="M471" s="28"/>
      <c r="N471" s="28"/>
      <c r="O471" s="28"/>
      <c r="P471" s="28"/>
      <c r="Q471" s="28"/>
      <c r="R471" s="28"/>
      <c r="S471" s="28">
        <v>3.3061218000000003E-2</v>
      </c>
    </row>
    <row r="472" spans="1:19" x14ac:dyDescent="0.25">
      <c r="A472" s="28">
        <v>2015</v>
      </c>
      <c r="B472" s="28"/>
      <c r="C472" s="28" t="s">
        <v>991</v>
      </c>
      <c r="D472" s="28" t="s">
        <v>1517</v>
      </c>
      <c r="E472" s="28" t="s">
        <v>992</v>
      </c>
      <c r="F472" s="28" t="s">
        <v>299</v>
      </c>
      <c r="G472" s="28">
        <v>723016413</v>
      </c>
      <c r="H472" s="28">
        <v>35.136057000000001</v>
      </c>
      <c r="I472" s="28">
        <v>-90.096892999999994</v>
      </c>
      <c r="J472" s="28" t="s">
        <v>704</v>
      </c>
      <c r="K472" s="61">
        <v>110000452082</v>
      </c>
      <c r="L472" s="61" t="str">
        <f>IFERROR(INDEX('Facility Summary'!$K:$K,MATCH(K472,'Facility Summary'!$J:$J,0)),INDEX('Raw Annual DMR Data'!$M:$M,MATCH(K472,'Raw Annual DMR Data'!$L:$L,0)))</f>
        <v>Processing into formulation, mixture, or reaction product</v>
      </c>
      <c r="M472" s="28"/>
      <c r="N472" s="28"/>
      <c r="O472" s="28"/>
      <c r="P472" s="28"/>
      <c r="Q472" s="28"/>
      <c r="R472" s="28"/>
      <c r="S472" s="28">
        <v>2.8798185941043001E-2</v>
      </c>
    </row>
    <row r="473" spans="1:19" x14ac:dyDescent="0.25">
      <c r="A473" s="28">
        <v>2015</v>
      </c>
      <c r="B473" s="28"/>
      <c r="C473" s="28" t="s">
        <v>991</v>
      </c>
      <c r="D473" s="28" t="s">
        <v>1517</v>
      </c>
      <c r="E473" s="28" t="s">
        <v>992</v>
      </c>
      <c r="F473" s="28" t="s">
        <v>299</v>
      </c>
      <c r="G473" s="28">
        <v>723016413</v>
      </c>
      <c r="H473" s="28">
        <v>35.136057000000001</v>
      </c>
      <c r="I473" s="28">
        <v>-90.096892999999994</v>
      </c>
      <c r="J473" s="28" t="s">
        <v>704</v>
      </c>
      <c r="K473" s="61">
        <v>110000452082</v>
      </c>
      <c r="L473" s="61" t="str">
        <f>IFERROR(INDEX('Facility Summary'!$K:$K,MATCH(K473,'Facility Summary'!$J:$J,0)),INDEX('Raw Annual DMR Data'!$M:$M,MATCH(K473,'Raw Annual DMR Data'!$L:$L,0)))</f>
        <v>Processing into formulation, mixture, or reaction product</v>
      </c>
      <c r="M473" s="28"/>
      <c r="N473" s="28"/>
      <c r="O473" s="28"/>
      <c r="P473" s="28"/>
      <c r="Q473" s="28"/>
      <c r="R473" s="28"/>
      <c r="S473" s="28">
        <v>4.1723356009070199E-2</v>
      </c>
    </row>
    <row r="474" spans="1:19" x14ac:dyDescent="0.25">
      <c r="A474" s="28">
        <v>2016</v>
      </c>
      <c r="B474" s="28"/>
      <c r="C474" s="28" t="s">
        <v>991</v>
      </c>
      <c r="D474" s="28" t="s">
        <v>1517</v>
      </c>
      <c r="E474" s="28" t="s">
        <v>992</v>
      </c>
      <c r="F474" s="28" t="s">
        <v>299</v>
      </c>
      <c r="G474" s="28">
        <v>723016413</v>
      </c>
      <c r="H474" s="28">
        <v>35.136057000000001</v>
      </c>
      <c r="I474" s="28">
        <v>-90.096892999999994</v>
      </c>
      <c r="J474" s="28" t="s">
        <v>704</v>
      </c>
      <c r="K474" s="61">
        <v>110000452082</v>
      </c>
      <c r="L474" s="61" t="str">
        <f>IFERROR(INDEX('Facility Summary'!$K:$K,MATCH(K474,'Facility Summary'!$J:$J,0)),INDEX('Raw Annual DMR Data'!$M:$M,MATCH(K474,'Raw Annual DMR Data'!$L:$L,0)))</f>
        <v>Processing into formulation, mixture, or reaction product</v>
      </c>
      <c r="M474" s="28"/>
      <c r="N474" s="28"/>
      <c r="O474" s="28"/>
      <c r="P474" s="28"/>
      <c r="Q474" s="28"/>
      <c r="R474" s="28"/>
      <c r="S474" s="28">
        <v>0.11517006802721</v>
      </c>
    </row>
    <row r="475" spans="1:19" x14ac:dyDescent="0.25">
      <c r="A475" s="28">
        <v>2017</v>
      </c>
      <c r="B475" s="28"/>
      <c r="C475" s="28" t="s">
        <v>991</v>
      </c>
      <c r="D475" s="28" t="s">
        <v>1517</v>
      </c>
      <c r="E475" s="28" t="s">
        <v>992</v>
      </c>
      <c r="F475" s="28" t="s">
        <v>299</v>
      </c>
      <c r="G475" s="28">
        <v>723016413</v>
      </c>
      <c r="H475" s="28">
        <v>35.136057000000001</v>
      </c>
      <c r="I475" s="28">
        <v>-90.096892999999994</v>
      </c>
      <c r="J475" s="28" t="s">
        <v>704</v>
      </c>
      <c r="K475" s="61">
        <v>110000452082</v>
      </c>
      <c r="L475" s="61" t="str">
        <f>IFERROR(INDEX('Facility Summary'!$K:$K,MATCH(K475,'Facility Summary'!$J:$J,0)),INDEX('Raw Annual DMR Data'!$M:$M,MATCH(K475,'Raw Annual DMR Data'!$L:$L,0)))</f>
        <v>Processing into formulation, mixture, or reaction product</v>
      </c>
      <c r="M475" s="28"/>
      <c r="N475" s="28"/>
      <c r="O475" s="28"/>
      <c r="P475" s="28"/>
      <c r="Q475" s="28"/>
      <c r="R475" s="28"/>
      <c r="S475" s="28">
        <v>0.21866213151927399</v>
      </c>
    </row>
    <row r="476" spans="1:19" x14ac:dyDescent="0.25">
      <c r="A476" s="28">
        <v>2018</v>
      </c>
      <c r="B476" s="28"/>
      <c r="C476" s="28" t="s">
        <v>991</v>
      </c>
      <c r="D476" s="28" t="s">
        <v>1517</v>
      </c>
      <c r="E476" s="28" t="s">
        <v>992</v>
      </c>
      <c r="F476" s="28" t="s">
        <v>299</v>
      </c>
      <c r="G476" s="28">
        <v>723016413</v>
      </c>
      <c r="H476" s="28">
        <v>35.136057000000001</v>
      </c>
      <c r="I476" s="28">
        <v>-90.096892999999994</v>
      </c>
      <c r="J476" s="28" t="s">
        <v>704</v>
      </c>
      <c r="K476" s="61">
        <v>110000452082</v>
      </c>
      <c r="L476" s="61" t="str">
        <f>IFERROR(INDEX('Facility Summary'!$K:$K,MATCH(K476,'Facility Summary'!$J:$J,0)),INDEX('Raw Annual DMR Data'!$M:$M,MATCH(K476,'Raw Annual DMR Data'!$L:$L,0)))</f>
        <v>Processing into formulation, mixture, or reaction product</v>
      </c>
      <c r="M476" s="28"/>
      <c r="N476" s="28"/>
      <c r="O476" s="28"/>
      <c r="P476" s="28"/>
      <c r="Q476" s="28"/>
      <c r="R476" s="28"/>
      <c r="S476" s="302">
        <v>0.19040816326530599</v>
      </c>
    </row>
    <row r="477" spans="1:19" x14ac:dyDescent="0.25">
      <c r="A477" s="28">
        <v>2019</v>
      </c>
      <c r="B477" s="28"/>
      <c r="C477" s="28" t="s">
        <v>991</v>
      </c>
      <c r="D477" s="28" t="s">
        <v>1517</v>
      </c>
      <c r="E477" s="28" t="s">
        <v>992</v>
      </c>
      <c r="F477" s="28" t="s">
        <v>299</v>
      </c>
      <c r="G477" s="28">
        <v>723016413</v>
      </c>
      <c r="H477" s="28">
        <v>35.136057000000001</v>
      </c>
      <c r="I477" s="28">
        <v>-90.096892999999994</v>
      </c>
      <c r="J477" s="28" t="s">
        <v>704</v>
      </c>
      <c r="K477" s="61">
        <v>110000452082</v>
      </c>
      <c r="L477" s="61" t="str">
        <f>IFERROR(INDEX('Facility Summary'!$K:$K,MATCH(K477,'Facility Summary'!$J:$J,0)),INDEX('Raw Annual DMR Data'!$M:$M,MATCH(K477,'Raw Annual DMR Data'!$L:$L,0)))</f>
        <v>Processing into formulation, mixture, or reaction product</v>
      </c>
      <c r="M477" s="28"/>
      <c r="N477" s="28"/>
      <c r="O477" s="28"/>
      <c r="P477" s="28"/>
      <c r="Q477" s="28"/>
      <c r="R477" s="28"/>
      <c r="S477" s="28">
        <v>3.0997732426303801E-2</v>
      </c>
    </row>
    <row r="478" spans="1:19" x14ac:dyDescent="0.25">
      <c r="A478" s="28">
        <v>2020</v>
      </c>
      <c r="B478" s="28"/>
      <c r="C478" s="28" t="s">
        <v>991</v>
      </c>
      <c r="D478" s="28" t="s">
        <v>1517</v>
      </c>
      <c r="E478" s="28" t="s">
        <v>992</v>
      </c>
      <c r="F478" s="28" t="s">
        <v>299</v>
      </c>
      <c r="G478" s="28">
        <v>723016413</v>
      </c>
      <c r="H478" s="28">
        <v>35.136057000000001</v>
      </c>
      <c r="I478" s="28">
        <v>-90.096892999999994</v>
      </c>
      <c r="J478" s="28" t="s">
        <v>704</v>
      </c>
      <c r="K478" s="61">
        <v>110000452082</v>
      </c>
      <c r="L478" s="61" t="str">
        <f>IFERROR(INDEX('Facility Summary'!$K:$K,MATCH(K478,'Facility Summary'!$J:$J,0)),INDEX('Raw Annual DMR Data'!$M:$M,MATCH(K478,'Raw Annual DMR Data'!$L:$L,0)))</f>
        <v>Processing into formulation, mixture, or reaction product</v>
      </c>
      <c r="M478" s="28"/>
      <c r="N478" s="28"/>
      <c r="O478" s="28"/>
      <c r="P478" s="28"/>
      <c r="Q478" s="28"/>
      <c r="R478" s="28"/>
      <c r="S478" s="28">
        <v>4.1519274376417198E-2</v>
      </c>
    </row>
    <row r="479" spans="1:19" x14ac:dyDescent="0.25">
      <c r="A479" s="28">
        <v>2020</v>
      </c>
      <c r="B479" s="28"/>
      <c r="C479" s="28" t="s">
        <v>993</v>
      </c>
      <c r="D479" s="28" t="s">
        <v>1521</v>
      </c>
      <c r="E479" s="28" t="s">
        <v>994</v>
      </c>
      <c r="F479" s="28" t="s">
        <v>324</v>
      </c>
      <c r="G479" s="28">
        <v>40360</v>
      </c>
      <c r="H479" s="28">
        <v>38.127222000000003</v>
      </c>
      <c r="I479" s="28">
        <v>-83.769443999999993</v>
      </c>
      <c r="J479" s="28"/>
      <c r="K479" s="61">
        <v>110030443544</v>
      </c>
      <c r="L479" s="61" t="str">
        <f>IFERROR(INDEX('Facility Summary'!$K:$K,MATCH(K479,'Facility Summary'!$J:$J,0)),INDEX('Raw Annual DMR Data'!$M:$M,MATCH(K479,'Raw Annual DMR Data'!$L:$L,0)))</f>
        <v>POTW</v>
      </c>
      <c r="M479" s="28"/>
      <c r="N479" s="28"/>
      <c r="O479" s="28"/>
      <c r="P479" s="28"/>
      <c r="Q479" s="28"/>
      <c r="R479" s="28"/>
      <c r="S479" s="28">
        <v>8.6345312499999993E-2</v>
      </c>
    </row>
    <row r="480" spans="1:19" x14ac:dyDescent="0.25">
      <c r="A480" s="28">
        <v>2015</v>
      </c>
      <c r="B480" s="28"/>
      <c r="C480" s="28" t="s">
        <v>995</v>
      </c>
      <c r="D480" s="28" t="s">
        <v>1524</v>
      </c>
      <c r="E480" s="28" t="s">
        <v>615</v>
      </c>
      <c r="F480" s="28" t="s">
        <v>362</v>
      </c>
      <c r="G480" s="28">
        <v>77520</v>
      </c>
      <c r="H480" s="28">
        <v>29.739339999999999</v>
      </c>
      <c r="I480" s="28">
        <v>-95.022403999999995</v>
      </c>
      <c r="J480" s="28" t="s">
        <v>705</v>
      </c>
      <c r="K480" s="61">
        <v>110000463178</v>
      </c>
      <c r="L480" s="61" t="str">
        <f>IFERROR(INDEX('Facility Summary'!$K:$K,MATCH(K480,'Facility Summary'!$J:$J,0)),INDEX('Raw Annual DMR Data'!$M:$M,MATCH(K480,'Raw Annual DMR Data'!$L:$L,0)))</f>
        <v>Unknown</v>
      </c>
      <c r="M480" s="28"/>
      <c r="N480" s="28"/>
      <c r="O480" s="28"/>
      <c r="P480" s="28"/>
      <c r="Q480" s="28"/>
      <c r="R480" s="28"/>
      <c r="S480" s="28">
        <v>16.785528750000001</v>
      </c>
    </row>
    <row r="481" spans="1:19" x14ac:dyDescent="0.25">
      <c r="A481" s="28">
        <v>2020</v>
      </c>
      <c r="B481" s="28"/>
      <c r="C481" s="28" t="s">
        <v>996</v>
      </c>
      <c r="D481" s="28" t="s">
        <v>1527</v>
      </c>
      <c r="E481" s="28" t="s">
        <v>388</v>
      </c>
      <c r="F481" s="28" t="s">
        <v>366</v>
      </c>
      <c r="G481" s="28">
        <v>92223</v>
      </c>
      <c r="H481" s="28">
        <v>33.926245999999999</v>
      </c>
      <c r="I481" s="28">
        <v>-116.992552</v>
      </c>
      <c r="J481" s="28"/>
      <c r="K481" s="61">
        <v>110055992993</v>
      </c>
      <c r="L481" s="61" t="str">
        <f>IFERROR(INDEX('Facility Summary'!$K:$K,MATCH(K481,'Facility Summary'!$J:$J,0)),INDEX('Raw Annual DMR Data'!$M:$M,MATCH(K481,'Raw Annual DMR Data'!$L:$L,0)))</f>
        <v>POTW</v>
      </c>
      <c r="M481" s="28"/>
      <c r="N481" s="28"/>
      <c r="O481" s="28"/>
      <c r="P481" s="28"/>
      <c r="Q481" s="28"/>
      <c r="R481" s="28"/>
      <c r="S481" s="28">
        <v>0.14352663225000001</v>
      </c>
    </row>
    <row r="482" spans="1:19" x14ac:dyDescent="0.25">
      <c r="A482" s="28">
        <v>2019</v>
      </c>
      <c r="B482" s="28"/>
      <c r="C482" s="28" t="s">
        <v>997</v>
      </c>
      <c r="D482" s="28" t="s">
        <v>1530</v>
      </c>
      <c r="E482" s="28" t="s">
        <v>998</v>
      </c>
      <c r="F482" s="28" t="s">
        <v>999</v>
      </c>
      <c r="G482" s="28" t="s">
        <v>1531</v>
      </c>
      <c r="H482" s="28">
        <v>43.270670000000003</v>
      </c>
      <c r="I482" s="28">
        <v>-71.590410000000006</v>
      </c>
      <c r="J482" s="28"/>
      <c r="K482" s="61">
        <v>110004087880</v>
      </c>
      <c r="L482" s="61" t="str">
        <f>IFERROR(INDEX('Facility Summary'!$K:$K,MATCH(K482,'Facility Summary'!$J:$J,0)),INDEX('Raw Annual DMR Data'!$M:$M,MATCH(K482,'Raw Annual DMR Data'!$L:$L,0)))</f>
        <v>Unknown</v>
      </c>
      <c r="M482" s="28"/>
      <c r="N482" s="28"/>
      <c r="O482" s="28"/>
      <c r="P482" s="28"/>
      <c r="Q482" s="28"/>
      <c r="R482" s="28"/>
      <c r="S482" s="28">
        <v>6.6567552000000004E-3</v>
      </c>
    </row>
    <row r="483" spans="1:19" x14ac:dyDescent="0.25">
      <c r="A483" s="28">
        <v>2020</v>
      </c>
      <c r="B483" s="28"/>
      <c r="C483" s="28" t="s">
        <v>997</v>
      </c>
      <c r="D483" s="28" t="s">
        <v>1530</v>
      </c>
      <c r="E483" s="28" t="s">
        <v>998</v>
      </c>
      <c r="F483" s="28" t="s">
        <v>999</v>
      </c>
      <c r="G483" s="28" t="s">
        <v>1531</v>
      </c>
      <c r="H483" s="28">
        <v>43.270670000000003</v>
      </c>
      <c r="I483" s="28">
        <v>-71.590410000000006</v>
      </c>
      <c r="J483" s="28"/>
      <c r="K483" s="61">
        <v>110004087880</v>
      </c>
      <c r="L483" s="61" t="str">
        <f>IFERROR(INDEX('Facility Summary'!$K:$K,MATCH(K483,'Facility Summary'!$J:$J,0)),INDEX('Raw Annual DMR Data'!$M:$M,MATCH(K483,'Raw Annual DMR Data'!$L:$L,0)))</f>
        <v>Unknown</v>
      </c>
      <c r="M483" s="28"/>
      <c r="N483" s="28"/>
      <c r="O483" s="28"/>
      <c r="P483" s="28"/>
      <c r="Q483" s="28"/>
      <c r="R483" s="28"/>
      <c r="S483" s="28">
        <v>6.653791545E-3</v>
      </c>
    </row>
    <row r="484" spans="1:19" x14ac:dyDescent="0.25">
      <c r="A484" s="28">
        <v>2020</v>
      </c>
      <c r="B484" s="28"/>
      <c r="C484" s="28" t="s">
        <v>1000</v>
      </c>
      <c r="D484" s="28" t="s">
        <v>1534</v>
      </c>
      <c r="E484" s="28" t="s">
        <v>1001</v>
      </c>
      <c r="F484" s="28" t="s">
        <v>324</v>
      </c>
      <c r="G484" s="28">
        <v>42025</v>
      </c>
      <c r="H484" s="28">
        <v>36.866140000000001</v>
      </c>
      <c r="I484" s="28">
        <v>-88.342470000000006</v>
      </c>
      <c r="J484" s="28"/>
      <c r="K484" s="61">
        <v>110001855635</v>
      </c>
      <c r="L484" s="61" t="str">
        <f>IFERROR(INDEX('Facility Summary'!$K:$K,MATCH(K484,'Facility Summary'!$J:$J,0)),INDEX('Raw Annual DMR Data'!$M:$M,MATCH(K484,'Raw Annual DMR Data'!$L:$L,0)))</f>
        <v>POTW</v>
      </c>
      <c r="M484" s="28"/>
      <c r="N484" s="28"/>
      <c r="O484" s="28"/>
      <c r="P484" s="28"/>
      <c r="Q484" s="28"/>
      <c r="R484" s="28"/>
      <c r="S484" s="28">
        <v>2.8873872500000002</v>
      </c>
    </row>
    <row r="485" spans="1:19" x14ac:dyDescent="0.25">
      <c r="A485" s="28">
        <v>2015</v>
      </c>
      <c r="B485" s="28"/>
      <c r="C485" s="28" t="s">
        <v>1002</v>
      </c>
      <c r="D485" s="28" t="s">
        <v>1537</v>
      </c>
      <c r="E485" s="28" t="s">
        <v>1003</v>
      </c>
      <c r="F485" s="28" t="s">
        <v>303</v>
      </c>
      <c r="G485" s="28">
        <v>70726</v>
      </c>
      <c r="H485" s="28">
        <v>30.486615</v>
      </c>
      <c r="I485" s="28">
        <v>-90.925387999999998</v>
      </c>
      <c r="J485" s="28" t="s">
        <v>706</v>
      </c>
      <c r="K485" s="61">
        <v>110000597355</v>
      </c>
      <c r="L485" s="61" t="str">
        <f>IFERROR(INDEX('Facility Summary'!$K:$K,MATCH(K485,'Facility Summary'!$J:$J,0)),INDEX('Raw Annual DMR Data'!$M:$M,MATCH(K485,'Raw Annual DMR Data'!$L:$L,0)))</f>
        <v>Unknown</v>
      </c>
      <c r="M485" s="28"/>
      <c r="N485" s="28"/>
      <c r="O485" s="28"/>
      <c r="P485" s="28"/>
      <c r="Q485" s="28"/>
      <c r="R485" s="28"/>
      <c r="S485" s="28">
        <v>1.6553287981859399E-2</v>
      </c>
    </row>
    <row r="486" spans="1:19" x14ac:dyDescent="0.25">
      <c r="A486" s="28">
        <v>2016</v>
      </c>
      <c r="B486" s="28"/>
      <c r="C486" s="28" t="s">
        <v>1002</v>
      </c>
      <c r="D486" s="28" t="s">
        <v>1537</v>
      </c>
      <c r="E486" s="28" t="s">
        <v>1003</v>
      </c>
      <c r="F486" s="28" t="s">
        <v>303</v>
      </c>
      <c r="G486" s="28">
        <v>70726</v>
      </c>
      <c r="H486" s="28">
        <v>30.486615</v>
      </c>
      <c r="I486" s="28">
        <v>-90.925387999999998</v>
      </c>
      <c r="J486" s="28" t="s">
        <v>706</v>
      </c>
      <c r="K486" s="61">
        <v>110000597355</v>
      </c>
      <c r="L486" s="61" t="str">
        <f>IFERROR(INDEX('Facility Summary'!$K:$K,MATCH(K486,'Facility Summary'!$J:$J,0)),INDEX('Raw Annual DMR Data'!$M:$M,MATCH(K486,'Raw Annual DMR Data'!$L:$L,0)))</f>
        <v>Unknown</v>
      </c>
      <c r="M486" s="28"/>
      <c r="N486" s="28"/>
      <c r="O486" s="28"/>
      <c r="P486" s="28"/>
      <c r="Q486" s="28"/>
      <c r="R486" s="28"/>
      <c r="S486" s="28">
        <v>2.4829931972789099E-2</v>
      </c>
    </row>
    <row r="487" spans="1:19" x14ac:dyDescent="0.25">
      <c r="A487" s="28">
        <v>2017</v>
      </c>
      <c r="B487" s="28"/>
      <c r="C487" s="28" t="s">
        <v>1002</v>
      </c>
      <c r="D487" s="28" t="s">
        <v>1537</v>
      </c>
      <c r="E487" s="28" t="s">
        <v>1003</v>
      </c>
      <c r="F487" s="28" t="s">
        <v>303</v>
      </c>
      <c r="G487" s="28">
        <v>70726</v>
      </c>
      <c r="H487" s="28">
        <v>30.486615</v>
      </c>
      <c r="I487" s="28">
        <v>-90.925387999999998</v>
      </c>
      <c r="J487" s="28" t="s">
        <v>706</v>
      </c>
      <c r="K487" s="61">
        <v>110000597355</v>
      </c>
      <c r="L487" s="61" t="str">
        <f>IFERROR(INDEX('Facility Summary'!$K:$K,MATCH(K487,'Facility Summary'!$J:$J,0)),INDEX('Raw Annual DMR Data'!$M:$M,MATCH(K487,'Raw Annual DMR Data'!$L:$L,0)))</f>
        <v>Unknown</v>
      </c>
      <c r="M487" s="28"/>
      <c r="N487" s="28"/>
      <c r="O487" s="28"/>
      <c r="P487" s="28"/>
      <c r="Q487" s="28"/>
      <c r="R487" s="28"/>
      <c r="S487" s="28">
        <v>1.6553287981859399E-2</v>
      </c>
    </row>
    <row r="488" spans="1:19" x14ac:dyDescent="0.25">
      <c r="A488" s="28">
        <v>2019</v>
      </c>
      <c r="B488" s="28"/>
      <c r="C488" s="28" t="s">
        <v>1002</v>
      </c>
      <c r="D488" s="28" t="s">
        <v>1537</v>
      </c>
      <c r="E488" s="28" t="s">
        <v>1003</v>
      </c>
      <c r="F488" s="28" t="s">
        <v>303</v>
      </c>
      <c r="G488" s="28">
        <v>70726</v>
      </c>
      <c r="H488" s="28">
        <v>30.486615</v>
      </c>
      <c r="I488" s="28">
        <v>-90.925387999999998</v>
      </c>
      <c r="J488" s="28" t="s">
        <v>706</v>
      </c>
      <c r="K488" s="61">
        <v>110000597355</v>
      </c>
      <c r="L488" s="61" t="str">
        <f>IFERROR(INDEX('Facility Summary'!$K:$K,MATCH(K488,'Facility Summary'!$J:$J,0)),INDEX('Raw Annual DMR Data'!$M:$M,MATCH(K488,'Raw Annual DMR Data'!$L:$L,0)))</f>
        <v>Unknown</v>
      </c>
      <c r="M488" s="28"/>
      <c r="N488" s="28"/>
      <c r="O488" s="28"/>
      <c r="P488" s="28"/>
      <c r="Q488" s="28"/>
      <c r="R488" s="28"/>
      <c r="S488" s="28">
        <v>3.3106575963718798E-2</v>
      </c>
    </row>
    <row r="489" spans="1:19" x14ac:dyDescent="0.25">
      <c r="A489" s="28">
        <v>2020</v>
      </c>
      <c r="B489" s="28"/>
      <c r="C489" s="28" t="s">
        <v>1002</v>
      </c>
      <c r="D489" s="28" t="s">
        <v>1537</v>
      </c>
      <c r="E489" s="28" t="s">
        <v>1003</v>
      </c>
      <c r="F489" s="28" t="s">
        <v>303</v>
      </c>
      <c r="G489" s="28">
        <v>70726</v>
      </c>
      <c r="H489" s="28">
        <v>30.486615</v>
      </c>
      <c r="I489" s="28">
        <v>-90.925387999999998</v>
      </c>
      <c r="J489" s="28" t="s">
        <v>706</v>
      </c>
      <c r="K489" s="61">
        <v>110000597355</v>
      </c>
      <c r="L489" s="61" t="str">
        <f>IFERROR(INDEX('Facility Summary'!$K:$K,MATCH(K489,'Facility Summary'!$J:$J,0)),INDEX('Raw Annual DMR Data'!$M:$M,MATCH(K489,'Raw Annual DMR Data'!$L:$L,0)))</f>
        <v>Unknown</v>
      </c>
      <c r="M489" s="28"/>
      <c r="N489" s="28"/>
      <c r="O489" s="28"/>
      <c r="P489" s="28"/>
      <c r="Q489" s="28"/>
      <c r="R489" s="28"/>
      <c r="S489" s="28">
        <v>3.3106575963718798E-2</v>
      </c>
    </row>
    <row r="490" spans="1:19" x14ac:dyDescent="0.25">
      <c r="A490" s="28">
        <v>2020</v>
      </c>
      <c r="B490" s="28"/>
      <c r="C490" s="28" t="s">
        <v>1004</v>
      </c>
      <c r="D490" s="28" t="s">
        <v>1540</v>
      </c>
      <c r="E490" s="28" t="s">
        <v>608</v>
      </c>
      <c r="F490" s="28" t="s">
        <v>324</v>
      </c>
      <c r="G490" s="28">
        <v>40403</v>
      </c>
      <c r="H490" s="28">
        <v>37.608496000000002</v>
      </c>
      <c r="I490" s="28">
        <v>-84.287074000000004</v>
      </c>
      <c r="J490" s="28"/>
      <c r="K490" s="61">
        <v>110040000398</v>
      </c>
      <c r="L490" s="61" t="str">
        <f>IFERROR(INDEX('Facility Summary'!$K:$K,MATCH(K490,'Facility Summary'!$J:$J,0)),INDEX('Raw Annual DMR Data'!$M:$M,MATCH(K490,'Raw Annual DMR Data'!$L:$L,0)))</f>
        <v>POTW</v>
      </c>
      <c r="M490" s="28"/>
      <c r="N490" s="28"/>
      <c r="O490" s="28"/>
      <c r="P490" s="28"/>
      <c r="Q490" s="28"/>
      <c r="R490" s="28"/>
      <c r="S490" s="28">
        <v>2.8480137874999998</v>
      </c>
    </row>
    <row r="491" spans="1:19" x14ac:dyDescent="0.25">
      <c r="A491" s="28">
        <v>2017</v>
      </c>
      <c r="B491" s="28"/>
      <c r="C491" s="28" t="s">
        <v>111</v>
      </c>
      <c r="D491" s="28" t="s">
        <v>355</v>
      </c>
      <c r="E491" s="28" t="s">
        <v>356</v>
      </c>
      <c r="F491" s="28" t="s">
        <v>338</v>
      </c>
      <c r="G491" s="28">
        <v>8010</v>
      </c>
      <c r="H491" s="28">
        <v>40.067799999999998</v>
      </c>
      <c r="I491" s="28">
        <v>-74.923670000000001</v>
      </c>
      <c r="J491" s="28"/>
      <c r="K491" s="61">
        <v>110029593731</v>
      </c>
      <c r="L491" s="61" t="str">
        <f>IFERROR(INDEX('Facility Summary'!$K:$K,MATCH(K491,'Facility Summary'!$J:$J,0)),INDEX('Raw Annual DMR Data'!$M:$M,MATCH(K491,'Raw Annual DMR Data'!$L:$L,0)))</f>
        <v>POTW</v>
      </c>
      <c r="M491" s="28"/>
      <c r="N491" s="28"/>
      <c r="O491" s="28"/>
      <c r="P491" s="28"/>
      <c r="Q491" s="28"/>
      <c r="R491" s="28"/>
      <c r="S491" s="28">
        <v>4.7391984999999998E-2</v>
      </c>
    </row>
    <row r="492" spans="1:19" x14ac:dyDescent="0.25">
      <c r="A492" s="28">
        <v>2018</v>
      </c>
      <c r="B492" s="28"/>
      <c r="C492" s="28" t="s">
        <v>111</v>
      </c>
      <c r="D492" s="28" t="s">
        <v>355</v>
      </c>
      <c r="E492" s="28" t="s">
        <v>356</v>
      </c>
      <c r="F492" s="28" t="s">
        <v>338</v>
      </c>
      <c r="G492" s="302" t="s">
        <v>1543</v>
      </c>
      <c r="H492" s="28">
        <v>40.067799999999998</v>
      </c>
      <c r="I492" s="28">
        <v>-74.923670000000001</v>
      </c>
      <c r="J492" s="28"/>
      <c r="K492" s="61">
        <v>110029593731</v>
      </c>
      <c r="L492" s="61" t="str">
        <f>IFERROR(INDEX('Facility Summary'!$K:$K,MATCH(K492,'Facility Summary'!$J:$J,0)),INDEX('Raw Annual DMR Data'!$M:$M,MATCH(K492,'Raw Annual DMR Data'!$L:$L,0)))</f>
        <v>POTW</v>
      </c>
      <c r="M492" s="28"/>
      <c r="N492" s="28"/>
      <c r="O492" s="28"/>
      <c r="P492" s="28"/>
      <c r="Q492" s="28"/>
      <c r="R492" s="28"/>
      <c r="S492" s="28">
        <v>0.13864398224999999</v>
      </c>
    </row>
    <row r="493" spans="1:19" x14ac:dyDescent="0.25">
      <c r="A493" s="28">
        <v>2019</v>
      </c>
      <c r="B493" s="28"/>
      <c r="C493" s="28" t="s">
        <v>1005</v>
      </c>
      <c r="D493" s="28" t="s">
        <v>1545</v>
      </c>
      <c r="E493" s="28" t="s">
        <v>446</v>
      </c>
      <c r="F493" s="28" t="s">
        <v>303</v>
      </c>
      <c r="G493" s="28">
        <v>70669</v>
      </c>
      <c r="H493" s="28">
        <v>30.23771</v>
      </c>
      <c r="I493" s="28">
        <v>-93.258650000000003</v>
      </c>
      <c r="J493" s="28"/>
      <c r="K493" s="61">
        <v>110064611969</v>
      </c>
      <c r="L493" s="61" t="str">
        <f>IFERROR(INDEX('Facility Summary'!$K:$K,MATCH(K493,'Facility Summary'!$J:$J,0)),INDEX('Raw Annual DMR Data'!$M:$M,MATCH(K493,'Raw Annual DMR Data'!$L:$L,0)))</f>
        <v>Unknown</v>
      </c>
      <c r="M493" s="28"/>
      <c r="N493" s="28"/>
      <c r="O493" s="28"/>
      <c r="P493" s="28"/>
      <c r="Q493" s="28"/>
      <c r="R493" s="28"/>
      <c r="S493" s="28">
        <v>2.3156629999999998</v>
      </c>
    </row>
    <row r="494" spans="1:19" x14ac:dyDescent="0.25">
      <c r="A494" s="28">
        <v>2020</v>
      </c>
      <c r="B494" s="28"/>
      <c r="C494" s="28" t="s">
        <v>1005</v>
      </c>
      <c r="D494" s="28" t="s">
        <v>1545</v>
      </c>
      <c r="E494" s="28" t="s">
        <v>446</v>
      </c>
      <c r="F494" s="28" t="s">
        <v>303</v>
      </c>
      <c r="G494" s="28">
        <v>70669</v>
      </c>
      <c r="H494" s="28">
        <v>30.23771</v>
      </c>
      <c r="I494" s="28">
        <v>-93.258650000000003</v>
      </c>
      <c r="J494" s="28"/>
      <c r="K494" s="61">
        <v>110064611969</v>
      </c>
      <c r="L494" s="61" t="str">
        <f>IFERROR(INDEX('Facility Summary'!$K:$K,MATCH(K494,'Facility Summary'!$J:$J,0)),INDEX('Raw Annual DMR Data'!$M:$M,MATCH(K494,'Raw Annual DMR Data'!$L:$L,0)))</f>
        <v>Unknown</v>
      </c>
      <c r="M494" s="28"/>
      <c r="N494" s="28"/>
      <c r="O494" s="28"/>
      <c r="P494" s="28"/>
      <c r="Q494" s="28"/>
      <c r="R494" s="28"/>
      <c r="S494" s="28">
        <v>0.417233560090702</v>
      </c>
    </row>
    <row r="495" spans="1:19" x14ac:dyDescent="0.25">
      <c r="A495" s="28">
        <v>2020</v>
      </c>
      <c r="B495" s="28"/>
      <c r="C495" s="28" t="s">
        <v>1005</v>
      </c>
      <c r="D495" s="28" t="s">
        <v>1545</v>
      </c>
      <c r="E495" s="28" t="s">
        <v>446</v>
      </c>
      <c r="F495" s="28" t="s">
        <v>303</v>
      </c>
      <c r="G495" s="28">
        <v>70669</v>
      </c>
      <c r="H495" s="28">
        <v>30.23771</v>
      </c>
      <c r="I495" s="28">
        <v>-93.258650000000003</v>
      </c>
      <c r="J495" s="28"/>
      <c r="K495" s="61">
        <v>110064611969</v>
      </c>
      <c r="L495" s="61" t="str">
        <f>IFERROR(INDEX('Facility Summary'!$K:$K,MATCH(K495,'Facility Summary'!$J:$J,0)),INDEX('Raw Annual DMR Data'!$M:$M,MATCH(K495,'Raw Annual DMR Data'!$L:$L,0)))</f>
        <v>Unknown</v>
      </c>
      <c r="M495" s="28"/>
      <c r="N495" s="28"/>
      <c r="O495" s="28"/>
      <c r="P495" s="28"/>
      <c r="Q495" s="28"/>
      <c r="R495" s="28"/>
      <c r="S495" s="28">
        <v>1.7032499999999999</v>
      </c>
    </row>
    <row r="496" spans="1:19" x14ac:dyDescent="0.25">
      <c r="A496" s="28">
        <v>2019</v>
      </c>
      <c r="B496" s="28"/>
      <c r="C496" s="28" t="s">
        <v>1006</v>
      </c>
      <c r="D496" s="28" t="s">
        <v>1547</v>
      </c>
      <c r="E496" s="28" t="s">
        <v>1007</v>
      </c>
      <c r="F496" s="28" t="s">
        <v>1008</v>
      </c>
      <c r="G496" s="28">
        <v>97230</v>
      </c>
      <c r="H496" s="28">
        <v>45.543847</v>
      </c>
      <c r="I496" s="28">
        <v>-122.46656299999999</v>
      </c>
      <c r="J496" s="28" t="s">
        <v>707</v>
      </c>
      <c r="K496" s="61">
        <v>110000487633</v>
      </c>
      <c r="L496" s="61" t="str">
        <f>IFERROR(INDEX('Facility Summary'!$K:$K,MATCH(K496,'Facility Summary'!$J:$J,0)),INDEX('Raw Annual DMR Data'!$M:$M,MATCH(K496,'Raw Annual DMR Data'!$L:$L,0)))</f>
        <v>Unknown</v>
      </c>
      <c r="M496" s="28"/>
      <c r="N496" s="28"/>
      <c r="O496" s="28"/>
      <c r="P496" s="28"/>
      <c r="Q496" s="28"/>
      <c r="R496" s="28"/>
      <c r="S496" s="28">
        <v>9.9867679200000004E-3</v>
      </c>
    </row>
    <row r="497" spans="1:19" x14ac:dyDescent="0.25">
      <c r="A497" s="28">
        <v>2020</v>
      </c>
      <c r="B497" s="28"/>
      <c r="C497" s="28" t="s">
        <v>1006</v>
      </c>
      <c r="D497" s="28" t="s">
        <v>1547</v>
      </c>
      <c r="E497" s="28" t="s">
        <v>1007</v>
      </c>
      <c r="F497" s="28" t="s">
        <v>1008</v>
      </c>
      <c r="G497" s="28">
        <v>97230</v>
      </c>
      <c r="H497" s="28">
        <v>45.543847</v>
      </c>
      <c r="I497" s="28">
        <v>-122.46656299999999</v>
      </c>
      <c r="J497" s="28" t="s">
        <v>707</v>
      </c>
      <c r="K497" s="61">
        <v>110000487633</v>
      </c>
      <c r="L497" s="61" t="str">
        <f>IFERROR(INDEX('Facility Summary'!$K:$K,MATCH(K497,'Facility Summary'!$J:$J,0)),INDEX('Raw Annual DMR Data'!$M:$M,MATCH(K497,'Raw Annual DMR Data'!$L:$L,0)))</f>
        <v>Unknown</v>
      </c>
      <c r="M497" s="28"/>
      <c r="N497" s="28"/>
      <c r="O497" s="28"/>
      <c r="P497" s="28"/>
      <c r="Q497" s="28"/>
      <c r="R497" s="28"/>
      <c r="S497" s="28">
        <v>1.4124711599999999E-2</v>
      </c>
    </row>
    <row r="498" spans="1:19" x14ac:dyDescent="0.25">
      <c r="A498" s="28">
        <v>2018</v>
      </c>
      <c r="B498" s="28"/>
      <c r="C498" s="28" t="s">
        <v>1009</v>
      </c>
      <c r="D498" s="28" t="s">
        <v>1550</v>
      </c>
      <c r="E498" s="28" t="s">
        <v>1010</v>
      </c>
      <c r="F498" s="28" t="s">
        <v>366</v>
      </c>
      <c r="G498" s="28">
        <v>95670</v>
      </c>
      <c r="H498" s="28">
        <v>38.538333000000002</v>
      </c>
      <c r="I498" s="28">
        <v>-121.316389</v>
      </c>
      <c r="J498" s="28"/>
      <c r="K498" s="61">
        <v>110013682942</v>
      </c>
      <c r="L498" s="61" t="str">
        <f>IFERROR(INDEX('Facility Summary'!$K:$K,MATCH(K498,'Facility Summary'!$J:$J,0)),INDEX('Raw Annual DMR Data'!$M:$M,MATCH(K498,'Raw Annual DMR Data'!$L:$L,0)))</f>
        <v>Unknown</v>
      </c>
      <c r="M498" s="28"/>
      <c r="N498" s="28"/>
      <c r="O498" s="28"/>
      <c r="P498" s="28"/>
      <c r="Q498" s="28"/>
      <c r="R498" s="28"/>
      <c r="S498" s="28">
        <v>0.120646875</v>
      </c>
    </row>
    <row r="499" spans="1:19" x14ac:dyDescent="0.25">
      <c r="A499" s="28">
        <v>2019</v>
      </c>
      <c r="B499" s="28"/>
      <c r="C499" s="28" t="s">
        <v>1011</v>
      </c>
      <c r="D499" s="28" t="s">
        <v>1553</v>
      </c>
      <c r="E499" s="28" t="s">
        <v>1012</v>
      </c>
      <c r="F499" s="28" t="s">
        <v>366</v>
      </c>
      <c r="G499" s="28" t="s">
        <v>1554</v>
      </c>
      <c r="H499" s="28">
        <v>33.801231000000001</v>
      </c>
      <c r="I499" s="28">
        <v>-118.25785999999999</v>
      </c>
      <c r="J499" s="28"/>
      <c r="K499" s="61">
        <v>110000746649</v>
      </c>
      <c r="L499" s="61" t="str">
        <f>IFERROR(INDEX('Facility Summary'!$K:$K,MATCH(K499,'Facility Summary'!$J:$J,0)),INDEX('Raw Annual DMR Data'!$M:$M,MATCH(K499,'Raw Annual DMR Data'!$L:$L,0)))</f>
        <v>Unknown</v>
      </c>
      <c r="M499" s="28"/>
      <c r="N499" s="28"/>
      <c r="O499" s="28"/>
      <c r="P499" s="28"/>
      <c r="Q499" s="28"/>
      <c r="R499" s="28"/>
      <c r="S499" s="28">
        <v>7.034835538125E-3</v>
      </c>
    </row>
    <row r="500" spans="1:19" x14ac:dyDescent="0.25">
      <c r="A500" s="28">
        <v>2019</v>
      </c>
      <c r="B500" s="28"/>
      <c r="C500" s="28" t="s">
        <v>1013</v>
      </c>
      <c r="D500" s="28" t="s">
        <v>1557</v>
      </c>
      <c r="E500" s="28" t="s">
        <v>1014</v>
      </c>
      <c r="F500" s="28" t="s">
        <v>349</v>
      </c>
      <c r="G500" s="28">
        <v>64068</v>
      </c>
      <c r="H500" s="28">
        <v>39.248446999999999</v>
      </c>
      <c r="I500" s="28">
        <v>-94.293233000000001</v>
      </c>
      <c r="J500" s="28"/>
      <c r="K500" s="61">
        <v>110000614746</v>
      </c>
      <c r="L500" s="61" t="str">
        <f>IFERROR(INDEX('Facility Summary'!$K:$K,MATCH(K500,'Facility Summary'!$J:$J,0)),INDEX('Raw Annual DMR Data'!$M:$M,MATCH(K500,'Raw Annual DMR Data'!$L:$L,0)))</f>
        <v>Waste Handling, Disposal and Treatment (Landfill)</v>
      </c>
      <c r="M500" s="28"/>
      <c r="N500" s="28"/>
      <c r="O500" s="28"/>
      <c r="P500" s="28"/>
      <c r="Q500" s="28"/>
      <c r="R500" s="28"/>
      <c r="S500" s="28">
        <v>3.6966123961249903E-2</v>
      </c>
    </row>
    <row r="501" spans="1:19" x14ac:dyDescent="0.25">
      <c r="A501" s="28">
        <v>2020</v>
      </c>
      <c r="B501" s="28"/>
      <c r="C501" s="28" t="s">
        <v>1013</v>
      </c>
      <c r="D501" s="28" t="s">
        <v>1557</v>
      </c>
      <c r="E501" s="28" t="s">
        <v>1014</v>
      </c>
      <c r="F501" s="28" t="s">
        <v>349</v>
      </c>
      <c r="G501" s="28">
        <v>64068</v>
      </c>
      <c r="H501" s="28">
        <v>39.248446999999999</v>
      </c>
      <c r="I501" s="28">
        <v>-94.293233000000001</v>
      </c>
      <c r="J501" s="28"/>
      <c r="K501" s="61">
        <v>110000614746</v>
      </c>
      <c r="L501" s="61" t="str">
        <f>IFERROR(INDEX('Facility Summary'!$K:$K,MATCH(K501,'Facility Summary'!$J:$J,0)),INDEX('Raw Annual DMR Data'!$M:$M,MATCH(K501,'Raw Annual DMR Data'!$L:$L,0)))</f>
        <v>Waste Handling, Disposal and Treatment (Landfill)</v>
      </c>
      <c r="M501" s="28"/>
      <c r="N501" s="28"/>
      <c r="O501" s="28"/>
      <c r="P501" s="28"/>
      <c r="Q501" s="28"/>
      <c r="R501" s="28"/>
      <c r="S501" s="28">
        <v>2.25365904142499E-2</v>
      </c>
    </row>
    <row r="502" spans="1:19" x14ac:dyDescent="0.25">
      <c r="A502" s="28">
        <v>2019</v>
      </c>
      <c r="B502" s="28"/>
      <c r="C502" s="28" t="s">
        <v>1015</v>
      </c>
      <c r="D502" s="28" t="s">
        <v>1560</v>
      </c>
      <c r="E502" s="28" t="s">
        <v>1016</v>
      </c>
      <c r="F502" s="28" t="s">
        <v>366</v>
      </c>
      <c r="G502" s="28" t="s">
        <v>1561</v>
      </c>
      <c r="H502" s="28">
        <v>37.499200000000002</v>
      </c>
      <c r="I502" s="28">
        <v>-122.411</v>
      </c>
      <c r="J502" s="28"/>
      <c r="K502" s="61">
        <v>110005972965</v>
      </c>
      <c r="L502" s="61" t="str">
        <f>IFERROR(INDEX('Facility Summary'!$K:$K,MATCH(K502,'Facility Summary'!$J:$J,0)),INDEX('Raw Annual DMR Data'!$M:$M,MATCH(K502,'Raw Annual DMR Data'!$L:$L,0)))</f>
        <v>Waste Handling, Disposal and Treatment (Landfill)</v>
      </c>
      <c r="M502" s="28"/>
      <c r="N502" s="28"/>
      <c r="O502" s="28"/>
      <c r="P502" s="28"/>
      <c r="Q502" s="28"/>
      <c r="R502" s="28"/>
      <c r="S502" s="28">
        <v>2.4279058502499901E-4</v>
      </c>
    </row>
    <row r="503" spans="1:19" x14ac:dyDescent="0.25">
      <c r="A503" s="28">
        <v>2020</v>
      </c>
      <c r="B503" s="28"/>
      <c r="C503" s="28" t="s">
        <v>160</v>
      </c>
      <c r="D503" s="28" t="s">
        <v>515</v>
      </c>
      <c r="E503" s="28" t="s">
        <v>516</v>
      </c>
      <c r="F503" s="28" t="s">
        <v>303</v>
      </c>
      <c r="G503" s="28" t="s">
        <v>517</v>
      </c>
      <c r="H503" s="28">
        <v>30.221900000000002</v>
      </c>
      <c r="I503" s="28">
        <v>-91.051500000000004</v>
      </c>
      <c r="J503" s="28" t="s">
        <v>518</v>
      </c>
      <c r="K503" s="61">
        <v>110033659878</v>
      </c>
      <c r="L503" s="61" t="str">
        <f>IFERROR(INDEX('Facility Summary'!$K:$K,MATCH(K503,'Facility Summary'!$J:$J,0)),INDEX('Raw Annual DMR Data'!$M:$M,MATCH(K503,'Raw Annual DMR Data'!$L:$L,0)))</f>
        <v>Manufacturing</v>
      </c>
      <c r="M503" s="28"/>
      <c r="N503" s="28"/>
      <c r="O503" s="28"/>
      <c r="P503" s="28"/>
      <c r="Q503" s="28"/>
      <c r="R503" s="28"/>
      <c r="S503" s="28">
        <v>3.1451247165532799</v>
      </c>
    </row>
    <row r="504" spans="1:19" x14ac:dyDescent="0.25">
      <c r="A504" s="28">
        <v>2015</v>
      </c>
      <c r="B504" s="28"/>
      <c r="C504" s="28" t="s">
        <v>160</v>
      </c>
      <c r="D504" s="28" t="s">
        <v>515</v>
      </c>
      <c r="E504" s="28" t="s">
        <v>516</v>
      </c>
      <c r="F504" s="28" t="s">
        <v>303</v>
      </c>
      <c r="G504" s="28" t="s">
        <v>517</v>
      </c>
      <c r="H504" s="28">
        <v>30.221900000000002</v>
      </c>
      <c r="I504" s="28">
        <v>-91.051500000000004</v>
      </c>
      <c r="J504" s="28" t="s">
        <v>518</v>
      </c>
      <c r="K504" s="61">
        <v>110033659878</v>
      </c>
      <c r="L504" s="61" t="str">
        <f>IFERROR(INDEX('Facility Summary'!$K:$K,MATCH(K504,'Facility Summary'!$J:$J,0)),INDEX('Raw Annual DMR Data'!$M:$M,MATCH(K504,'Raw Annual DMR Data'!$L:$L,0)))</f>
        <v>Manufacturing</v>
      </c>
      <c r="M504" s="28"/>
      <c r="N504" s="28"/>
      <c r="O504" s="28"/>
      <c r="P504" s="28"/>
      <c r="Q504" s="28"/>
      <c r="R504" s="28"/>
      <c r="S504" s="28">
        <v>4.4693877551020398</v>
      </c>
    </row>
    <row r="505" spans="1:19" x14ac:dyDescent="0.25">
      <c r="A505" s="28">
        <v>2020</v>
      </c>
      <c r="B505" s="28"/>
      <c r="C505" s="28" t="s">
        <v>162</v>
      </c>
      <c r="D505" s="28" t="s">
        <v>525</v>
      </c>
      <c r="E505" s="28" t="s">
        <v>526</v>
      </c>
      <c r="F505" s="28" t="s">
        <v>362</v>
      </c>
      <c r="G505" s="28">
        <v>77301</v>
      </c>
      <c r="H505" s="28">
        <v>30.311361000000002</v>
      </c>
      <c r="I505" s="28">
        <v>-95.387083000000004</v>
      </c>
      <c r="J505" s="28" t="s">
        <v>527</v>
      </c>
      <c r="K505" s="61">
        <v>110000748095</v>
      </c>
      <c r="L505" s="61" t="str">
        <f>IFERROR(INDEX('Facility Summary'!$K:$K,MATCH(K505,'Facility Summary'!$J:$J,0)),INDEX('Raw Annual DMR Data'!$M:$M,MATCH(K505,'Raw Annual DMR Data'!$L:$L,0)))</f>
        <v>Manufacturing</v>
      </c>
      <c r="M505" s="28"/>
      <c r="N505" s="28"/>
      <c r="O505" s="28"/>
      <c r="P505" s="28"/>
      <c r="Q505" s="28"/>
      <c r="R505" s="28"/>
      <c r="S505" s="28">
        <v>1.20839002267573</v>
      </c>
    </row>
    <row r="506" spans="1:19" x14ac:dyDescent="0.25">
      <c r="A506" s="28">
        <v>2020</v>
      </c>
      <c r="B506" s="28"/>
      <c r="C506" s="28" t="s">
        <v>162</v>
      </c>
      <c r="D506" s="28" t="s">
        <v>525</v>
      </c>
      <c r="E506" s="28" t="s">
        <v>526</v>
      </c>
      <c r="F506" s="28" t="s">
        <v>362</v>
      </c>
      <c r="G506" s="28">
        <v>77301</v>
      </c>
      <c r="H506" s="28">
        <v>30.311361000000002</v>
      </c>
      <c r="I506" s="28">
        <v>-95.387083000000004</v>
      </c>
      <c r="J506" s="28" t="s">
        <v>527</v>
      </c>
      <c r="K506" s="61">
        <v>110000748095</v>
      </c>
      <c r="L506" s="61" t="str">
        <f>IFERROR(INDEX('Facility Summary'!$K:$K,MATCH(K506,'Facility Summary'!$J:$J,0)),INDEX('Raw Annual DMR Data'!$M:$M,MATCH(K506,'Raw Annual DMR Data'!$L:$L,0)))</f>
        <v>Manufacturing</v>
      </c>
      <c r="M506" s="28"/>
      <c r="N506" s="28"/>
      <c r="O506" s="28"/>
      <c r="P506" s="28"/>
      <c r="Q506" s="28"/>
      <c r="R506" s="28"/>
      <c r="S506" s="28">
        <v>0.364172335600907</v>
      </c>
    </row>
    <row r="507" spans="1:19" x14ac:dyDescent="0.25">
      <c r="A507" s="28">
        <v>2017</v>
      </c>
      <c r="B507" s="28"/>
      <c r="C507" s="28" t="s">
        <v>165</v>
      </c>
      <c r="D507" s="28" t="s">
        <v>534</v>
      </c>
      <c r="E507" s="28" t="s">
        <v>535</v>
      </c>
      <c r="F507" s="28" t="s">
        <v>303</v>
      </c>
      <c r="G507" s="28">
        <v>70665</v>
      </c>
      <c r="H507" s="28">
        <v>30.190567999999999</v>
      </c>
      <c r="I507" s="28">
        <v>-93.325823</v>
      </c>
      <c r="J507" s="28" t="s">
        <v>536</v>
      </c>
      <c r="K507" s="61">
        <v>110000748040</v>
      </c>
      <c r="L507" s="61" t="str">
        <f>IFERROR(INDEX('Facility Summary'!$K:$K,MATCH(K507,'Facility Summary'!$J:$J,0)),INDEX('Raw Annual DMR Data'!$M:$M,MATCH(K507,'Raw Annual DMR Data'!$L:$L,0)))</f>
        <v>Manufacturing</v>
      </c>
      <c r="M507" s="28"/>
      <c r="N507" s="28"/>
      <c r="O507" s="28"/>
      <c r="P507" s="28"/>
      <c r="Q507" s="28"/>
      <c r="R507" s="28"/>
      <c r="S507" s="28">
        <v>0.43038548752834399</v>
      </c>
    </row>
    <row r="508" spans="1:19" x14ac:dyDescent="0.25">
      <c r="A508" s="28">
        <v>2015</v>
      </c>
      <c r="B508" s="28"/>
      <c r="C508" s="28" t="s">
        <v>165</v>
      </c>
      <c r="D508" s="28" t="s">
        <v>534</v>
      </c>
      <c r="E508" s="28" t="s">
        <v>535</v>
      </c>
      <c r="F508" s="28" t="s">
        <v>303</v>
      </c>
      <c r="G508" s="28">
        <v>70665</v>
      </c>
      <c r="H508" s="28">
        <v>30.190567999999999</v>
      </c>
      <c r="I508" s="28">
        <v>-93.325823</v>
      </c>
      <c r="J508" s="28" t="s">
        <v>536</v>
      </c>
      <c r="K508" s="61">
        <v>110000748040</v>
      </c>
      <c r="L508" s="61" t="str">
        <f>IFERROR(INDEX('Facility Summary'!$K:$K,MATCH(K508,'Facility Summary'!$J:$J,0)),INDEX('Raw Annual DMR Data'!$M:$M,MATCH(K508,'Raw Annual DMR Data'!$L:$L,0)))</f>
        <v>Manufacturing</v>
      </c>
      <c r="M508" s="28"/>
      <c r="N508" s="28"/>
      <c r="O508" s="28"/>
      <c r="P508" s="28"/>
      <c r="Q508" s="28"/>
      <c r="R508" s="28"/>
      <c r="S508" s="28">
        <v>4.8353375000000001E-3</v>
      </c>
    </row>
    <row r="509" spans="1:19" x14ac:dyDescent="0.25">
      <c r="A509" s="28">
        <v>2016</v>
      </c>
      <c r="B509" s="28"/>
      <c r="C509" s="28" t="s">
        <v>165</v>
      </c>
      <c r="D509" s="28" t="s">
        <v>534</v>
      </c>
      <c r="E509" s="28" t="s">
        <v>535</v>
      </c>
      <c r="F509" s="28" t="s">
        <v>303</v>
      </c>
      <c r="G509" s="28">
        <v>70665</v>
      </c>
      <c r="H509" s="28">
        <v>30.190567999999999</v>
      </c>
      <c r="I509" s="28">
        <v>-93.325823</v>
      </c>
      <c r="J509" s="28" t="s">
        <v>536</v>
      </c>
      <c r="K509" s="61">
        <v>110000748040</v>
      </c>
      <c r="L509" s="61" t="str">
        <f>IFERROR(INDEX('Facility Summary'!$K:$K,MATCH(K509,'Facility Summary'!$J:$J,0)),INDEX('Raw Annual DMR Data'!$M:$M,MATCH(K509,'Raw Annual DMR Data'!$L:$L,0)))</f>
        <v>Manufacturing</v>
      </c>
      <c r="M509" s="28"/>
      <c r="N509" s="28"/>
      <c r="O509" s="28"/>
      <c r="P509" s="28"/>
      <c r="Q509" s="28"/>
      <c r="R509" s="28"/>
      <c r="S509" s="28">
        <v>4.6754212499999998E-4</v>
      </c>
    </row>
    <row r="510" spans="1:19" x14ac:dyDescent="0.25">
      <c r="A510" s="28">
        <v>2015</v>
      </c>
      <c r="B510" s="28"/>
      <c r="C510" s="28" t="s">
        <v>166</v>
      </c>
      <c r="D510" s="28" t="s">
        <v>537</v>
      </c>
      <c r="E510" s="28" t="s">
        <v>538</v>
      </c>
      <c r="F510" s="28" t="s">
        <v>362</v>
      </c>
      <c r="G510" s="28">
        <v>77578</v>
      </c>
      <c r="H510" s="28">
        <v>29.458400000000001</v>
      </c>
      <c r="I510" s="28">
        <v>-95.330399999999997</v>
      </c>
      <c r="J510" s="28" t="s">
        <v>539</v>
      </c>
      <c r="K510" s="61">
        <v>110000599479</v>
      </c>
      <c r="L510" s="61" t="str">
        <f>IFERROR(INDEX('Facility Summary'!$K:$K,MATCH(K510,'Facility Summary'!$J:$J,0)),INDEX('Raw Annual DMR Data'!$M:$M,MATCH(K510,'Raw Annual DMR Data'!$L:$L,0)))</f>
        <v>Manufacturing</v>
      </c>
      <c r="M510" s="28"/>
      <c r="N510" s="28"/>
      <c r="O510" s="28"/>
      <c r="P510" s="28"/>
      <c r="Q510" s="28"/>
      <c r="R510" s="28"/>
      <c r="S510" s="28">
        <v>1.6553287981859399E-2</v>
      </c>
    </row>
    <row r="511" spans="1:19" x14ac:dyDescent="0.25">
      <c r="A511" s="28">
        <v>2019</v>
      </c>
      <c r="B511" s="28"/>
      <c r="C511" s="28" t="s">
        <v>1017</v>
      </c>
      <c r="D511" s="28" t="s">
        <v>1566</v>
      </c>
      <c r="E511" s="28" t="s">
        <v>1018</v>
      </c>
      <c r="F511" s="28" t="s">
        <v>308</v>
      </c>
      <c r="G511" s="28">
        <v>2135</v>
      </c>
      <c r="H511" s="28">
        <v>42.356434999999998</v>
      </c>
      <c r="I511" s="28">
        <v>-71.145904000000002</v>
      </c>
      <c r="J511" s="28"/>
      <c r="K511" s="61">
        <v>110002014677</v>
      </c>
      <c r="L511" s="61" t="str">
        <f>IFERROR(INDEX('Facility Summary'!$K:$K,MATCH(K511,'Facility Summary'!$J:$J,0)),INDEX('Raw Annual DMR Data'!$M:$M,MATCH(K511,'Raw Annual DMR Data'!$L:$L,0)))</f>
        <v>Unknown</v>
      </c>
      <c r="M511" s="28"/>
      <c r="N511" s="28"/>
      <c r="O511" s="28"/>
      <c r="P511" s="28"/>
      <c r="Q511" s="28"/>
      <c r="R511" s="28"/>
      <c r="S511" s="28">
        <v>8.08669035E-3</v>
      </c>
    </row>
    <row r="512" spans="1:19" x14ac:dyDescent="0.25">
      <c r="A512" s="28">
        <v>2020</v>
      </c>
      <c r="B512" s="28"/>
      <c r="C512" s="28" t="s">
        <v>1017</v>
      </c>
      <c r="D512" s="28" t="s">
        <v>1566</v>
      </c>
      <c r="E512" s="28" t="s">
        <v>1018</v>
      </c>
      <c r="F512" s="28" t="s">
        <v>308</v>
      </c>
      <c r="G512" s="28">
        <v>2135</v>
      </c>
      <c r="H512" s="28">
        <v>42.356434999999998</v>
      </c>
      <c r="I512" s="28">
        <v>-71.145904000000002</v>
      </c>
      <c r="J512" s="28"/>
      <c r="K512" s="61">
        <v>110002014677</v>
      </c>
      <c r="L512" s="61" t="str">
        <f>IFERROR(INDEX('Facility Summary'!$K:$K,MATCH(K512,'Facility Summary'!$J:$J,0)),INDEX('Raw Annual DMR Data'!$M:$M,MATCH(K512,'Raw Annual DMR Data'!$L:$L,0)))</f>
        <v>Unknown</v>
      </c>
      <c r="M512" s="28"/>
      <c r="N512" s="28"/>
      <c r="O512" s="28"/>
      <c r="P512" s="28"/>
      <c r="Q512" s="28"/>
      <c r="R512" s="28"/>
      <c r="S512" s="28">
        <v>6.3054315E-3</v>
      </c>
    </row>
    <row r="513" spans="1:19" x14ac:dyDescent="0.25">
      <c r="A513" s="28">
        <v>2019</v>
      </c>
      <c r="B513" s="28"/>
      <c r="C513" s="28" t="s">
        <v>1019</v>
      </c>
      <c r="D513" s="28" t="s">
        <v>1569</v>
      </c>
      <c r="E513" s="28" t="s">
        <v>1020</v>
      </c>
      <c r="F513" s="28" t="s">
        <v>324</v>
      </c>
      <c r="G513" s="28">
        <v>42717</v>
      </c>
      <c r="H513" s="28">
        <v>36.787260000000003</v>
      </c>
      <c r="I513" s="28">
        <v>-85.369240000000005</v>
      </c>
      <c r="J513" s="28"/>
      <c r="K513" s="61">
        <v>110009938265</v>
      </c>
      <c r="L513" s="61" t="str">
        <f>IFERROR(INDEX('Facility Summary'!$K:$K,MATCH(K513,'Facility Summary'!$J:$J,0)),INDEX('Raw Annual DMR Data'!$M:$M,MATCH(K513,'Raw Annual DMR Data'!$L:$L,0)))</f>
        <v>POTW</v>
      </c>
      <c r="M513" s="28"/>
      <c r="N513" s="28"/>
      <c r="O513" s="28"/>
      <c r="P513" s="28"/>
      <c r="Q513" s="28"/>
      <c r="R513" s="28"/>
      <c r="S513" s="28">
        <v>0.3134680225</v>
      </c>
    </row>
    <row r="514" spans="1:19" x14ac:dyDescent="0.25">
      <c r="A514" s="28">
        <v>2020</v>
      </c>
      <c r="B514" s="28"/>
      <c r="C514" s="28" t="s">
        <v>1019</v>
      </c>
      <c r="D514" s="28" t="s">
        <v>1569</v>
      </c>
      <c r="E514" s="28" t="s">
        <v>1020</v>
      </c>
      <c r="F514" s="28" t="s">
        <v>324</v>
      </c>
      <c r="G514" s="28">
        <v>42717</v>
      </c>
      <c r="H514" s="28">
        <v>36.787260000000003</v>
      </c>
      <c r="I514" s="28">
        <v>-85.369240000000005</v>
      </c>
      <c r="J514" s="28"/>
      <c r="K514" s="61">
        <v>110009938265</v>
      </c>
      <c r="L514" s="61" t="str">
        <f>IFERROR(INDEX('Facility Summary'!$K:$K,MATCH(K514,'Facility Summary'!$J:$J,0)),INDEX('Raw Annual DMR Data'!$M:$M,MATCH(K514,'Raw Annual DMR Data'!$L:$L,0)))</f>
        <v>POTW</v>
      </c>
      <c r="M514" s="28"/>
      <c r="N514" s="28"/>
      <c r="O514" s="28"/>
      <c r="P514" s="28"/>
      <c r="Q514" s="28"/>
      <c r="R514" s="28"/>
      <c r="S514" s="28">
        <v>0.29253791875000001</v>
      </c>
    </row>
    <row r="515" spans="1:19" x14ac:dyDescent="0.25">
      <c r="A515" s="28">
        <v>2015</v>
      </c>
      <c r="B515" s="28"/>
      <c r="C515" s="28" t="s">
        <v>1021</v>
      </c>
      <c r="D515" s="28" t="s">
        <v>1571</v>
      </c>
      <c r="E515" s="28" t="s">
        <v>657</v>
      </c>
      <c r="F515" s="28" t="s">
        <v>418</v>
      </c>
      <c r="G515" s="28">
        <v>89109</v>
      </c>
      <c r="H515" s="28">
        <v>36.116160999999998</v>
      </c>
      <c r="I515" s="28">
        <v>-115.172741</v>
      </c>
      <c r="J515" s="28"/>
      <c r="K515" s="61">
        <v>110015972562</v>
      </c>
      <c r="L515" s="61" t="str">
        <f>IFERROR(INDEX('Facility Summary'!$K:$K,MATCH(K515,'Facility Summary'!$J:$J,0)),INDEX('Raw Annual DMR Data'!$M:$M,MATCH(K515,'Raw Annual DMR Data'!$L:$L,0)))</f>
        <v>Remediation</v>
      </c>
      <c r="M515" s="28"/>
      <c r="N515" s="28"/>
      <c r="O515" s="28"/>
      <c r="P515" s="28"/>
      <c r="Q515" s="28"/>
      <c r="R515" s="28"/>
      <c r="S515" s="28">
        <v>0.240485955299999</v>
      </c>
    </row>
    <row r="516" spans="1:19" x14ac:dyDescent="0.25">
      <c r="A516" s="28">
        <v>2015</v>
      </c>
      <c r="B516" s="28"/>
      <c r="C516" s="28" t="s">
        <v>1021</v>
      </c>
      <c r="D516" s="28" t="s">
        <v>1571</v>
      </c>
      <c r="E516" s="28" t="s">
        <v>657</v>
      </c>
      <c r="F516" s="28" t="s">
        <v>418</v>
      </c>
      <c r="G516" s="28">
        <v>89109</v>
      </c>
      <c r="H516" s="28">
        <v>36.116160999999998</v>
      </c>
      <c r="I516" s="28">
        <v>-115.172741</v>
      </c>
      <c r="J516" s="28"/>
      <c r="K516" s="61">
        <v>110015972562</v>
      </c>
      <c r="L516" s="61" t="str">
        <f>IFERROR(INDEX('Facility Summary'!$K:$K,MATCH(K516,'Facility Summary'!$J:$J,0)),INDEX('Raw Annual DMR Data'!$M:$M,MATCH(K516,'Raw Annual DMR Data'!$L:$L,0)))</f>
        <v>Remediation</v>
      </c>
      <c r="M516" s="28"/>
      <c r="N516" s="28"/>
      <c r="O516" s="28"/>
      <c r="P516" s="28"/>
      <c r="Q516" s="28"/>
      <c r="R516" s="28"/>
      <c r="S516" s="28">
        <v>1.07374507549999E-2</v>
      </c>
    </row>
    <row r="517" spans="1:19" x14ac:dyDescent="0.25">
      <c r="A517" s="28">
        <v>2016</v>
      </c>
      <c r="B517" s="28"/>
      <c r="C517" s="28" t="s">
        <v>1021</v>
      </c>
      <c r="D517" s="28" t="s">
        <v>1571</v>
      </c>
      <c r="E517" s="28" t="s">
        <v>657</v>
      </c>
      <c r="F517" s="28" t="s">
        <v>418</v>
      </c>
      <c r="G517" s="28">
        <v>89109</v>
      </c>
      <c r="H517" s="28">
        <v>36.116160999999998</v>
      </c>
      <c r="I517" s="28">
        <v>-115.172741</v>
      </c>
      <c r="J517" s="28"/>
      <c r="K517" s="61">
        <v>110015972562</v>
      </c>
      <c r="L517" s="61" t="str">
        <f>IFERROR(INDEX('Facility Summary'!$K:$K,MATCH(K517,'Facility Summary'!$J:$J,0)),INDEX('Raw Annual DMR Data'!$M:$M,MATCH(K517,'Raw Annual DMR Data'!$L:$L,0)))</f>
        <v>Remediation</v>
      </c>
      <c r="M517" s="28"/>
      <c r="N517" s="28"/>
      <c r="O517" s="28"/>
      <c r="P517" s="28"/>
      <c r="Q517" s="28"/>
      <c r="R517" s="28"/>
      <c r="S517" s="28">
        <v>1.9703091912499901E-2</v>
      </c>
    </row>
    <row r="518" spans="1:19" x14ac:dyDescent="0.25">
      <c r="A518" s="28">
        <v>2016</v>
      </c>
      <c r="B518" s="28"/>
      <c r="C518" s="28" t="s">
        <v>1021</v>
      </c>
      <c r="D518" s="28" t="s">
        <v>1571</v>
      </c>
      <c r="E518" s="28" t="s">
        <v>657</v>
      </c>
      <c r="F518" s="28" t="s">
        <v>418</v>
      </c>
      <c r="G518" s="28">
        <v>89109</v>
      </c>
      <c r="H518" s="28">
        <v>36.116160999999998</v>
      </c>
      <c r="I518" s="28">
        <v>-115.172741</v>
      </c>
      <c r="J518" s="28"/>
      <c r="K518" s="61">
        <v>110015972562</v>
      </c>
      <c r="L518" s="61" t="str">
        <f>IFERROR(INDEX('Facility Summary'!$K:$K,MATCH(K518,'Facility Summary'!$J:$J,0)),INDEX('Raw Annual DMR Data'!$M:$M,MATCH(K518,'Raw Annual DMR Data'!$L:$L,0)))</f>
        <v>Remediation</v>
      </c>
      <c r="M518" s="28"/>
      <c r="N518" s="28"/>
      <c r="O518" s="28"/>
      <c r="P518" s="28"/>
      <c r="Q518" s="28"/>
      <c r="R518" s="28"/>
      <c r="S518" s="28">
        <v>0.21334909499999899</v>
      </c>
    </row>
    <row r="519" spans="1:19" x14ac:dyDescent="0.25">
      <c r="A519" s="28">
        <v>2017</v>
      </c>
      <c r="B519" s="28"/>
      <c r="C519" s="28" t="s">
        <v>1021</v>
      </c>
      <c r="D519" s="28" t="s">
        <v>1571</v>
      </c>
      <c r="E519" s="28" t="s">
        <v>657</v>
      </c>
      <c r="F519" s="28" t="s">
        <v>418</v>
      </c>
      <c r="G519" s="28">
        <v>89109</v>
      </c>
      <c r="H519" s="28">
        <v>36.116160999999998</v>
      </c>
      <c r="I519" s="28">
        <v>-115.172741</v>
      </c>
      <c r="J519" s="28"/>
      <c r="K519" s="61">
        <v>110015972562</v>
      </c>
      <c r="L519" s="61" t="str">
        <f>IFERROR(INDEX('Facility Summary'!$K:$K,MATCH(K519,'Facility Summary'!$J:$J,0)),INDEX('Raw Annual DMR Data'!$M:$M,MATCH(K519,'Raw Annual DMR Data'!$L:$L,0)))</f>
        <v>Remediation</v>
      </c>
      <c r="M519" s="28"/>
      <c r="N519" s="28"/>
      <c r="O519" s="28"/>
      <c r="P519" s="28"/>
      <c r="Q519" s="28"/>
      <c r="R519" s="28"/>
      <c r="S519" s="28">
        <v>0.156011218187499</v>
      </c>
    </row>
    <row r="520" spans="1:19" x14ac:dyDescent="0.25">
      <c r="A520" s="28">
        <v>2017</v>
      </c>
      <c r="B520" s="28"/>
      <c r="C520" s="28" t="s">
        <v>1021</v>
      </c>
      <c r="D520" s="28" t="s">
        <v>1571</v>
      </c>
      <c r="E520" s="28" t="s">
        <v>657</v>
      </c>
      <c r="F520" s="28" t="s">
        <v>418</v>
      </c>
      <c r="G520" s="28">
        <v>89109</v>
      </c>
      <c r="H520" s="28">
        <v>36.116160999999998</v>
      </c>
      <c r="I520" s="28">
        <v>-115.172741</v>
      </c>
      <c r="J520" s="28"/>
      <c r="K520" s="61">
        <v>110015972562</v>
      </c>
      <c r="L520" s="61" t="str">
        <f>IFERROR(INDEX('Facility Summary'!$K:$K,MATCH(K520,'Facility Summary'!$J:$J,0)),INDEX('Raw Annual DMR Data'!$M:$M,MATCH(K520,'Raw Annual DMR Data'!$L:$L,0)))</f>
        <v>Remediation</v>
      </c>
      <c r="M520" s="28"/>
      <c r="N520" s="28"/>
      <c r="O520" s="28"/>
      <c r="P520" s="28"/>
      <c r="Q520" s="28"/>
      <c r="R520" s="28"/>
      <c r="S520" s="28">
        <v>2.10698080999999E-2</v>
      </c>
    </row>
    <row r="521" spans="1:19" x14ac:dyDescent="0.25">
      <c r="A521" s="28">
        <v>2018</v>
      </c>
      <c r="B521" s="28"/>
      <c r="C521" s="28" t="s">
        <v>1021</v>
      </c>
      <c r="D521" s="28" t="s">
        <v>1571</v>
      </c>
      <c r="E521" s="28" t="s">
        <v>657</v>
      </c>
      <c r="F521" s="28" t="s">
        <v>418</v>
      </c>
      <c r="G521" s="28">
        <v>89109</v>
      </c>
      <c r="H521" s="28">
        <v>36.116160999999998</v>
      </c>
      <c r="I521" s="28">
        <v>-115.172741</v>
      </c>
      <c r="J521" s="28"/>
      <c r="K521" s="61">
        <v>110015972562</v>
      </c>
      <c r="L521" s="61" t="str">
        <f>IFERROR(INDEX('Facility Summary'!$K:$K,MATCH(K521,'Facility Summary'!$J:$J,0)),INDEX('Raw Annual DMR Data'!$M:$M,MATCH(K521,'Raw Annual DMR Data'!$L:$L,0)))</f>
        <v>Remediation</v>
      </c>
      <c r="M521" s="28"/>
      <c r="N521" s="28"/>
      <c r="O521" s="28"/>
      <c r="P521" s="28"/>
      <c r="Q521" s="28"/>
      <c r="R521" s="28"/>
      <c r="S521" s="302">
        <v>0.25447569379999901</v>
      </c>
    </row>
    <row r="522" spans="1:19" x14ac:dyDescent="0.25">
      <c r="A522" s="28">
        <v>2018</v>
      </c>
      <c r="B522" s="28"/>
      <c r="C522" s="28" t="s">
        <v>1021</v>
      </c>
      <c r="D522" s="28" t="s">
        <v>1571</v>
      </c>
      <c r="E522" s="28" t="s">
        <v>657</v>
      </c>
      <c r="F522" s="28" t="s">
        <v>418</v>
      </c>
      <c r="G522" s="28">
        <v>89109</v>
      </c>
      <c r="H522" s="28">
        <v>36.116160999999998</v>
      </c>
      <c r="I522" s="28">
        <v>-115.172741</v>
      </c>
      <c r="J522" s="28"/>
      <c r="K522" s="61">
        <v>110015972562</v>
      </c>
      <c r="L522" s="61" t="str">
        <f>IFERROR(INDEX('Facility Summary'!$K:$K,MATCH(K522,'Facility Summary'!$J:$J,0)),INDEX('Raw Annual DMR Data'!$M:$M,MATCH(K522,'Raw Annual DMR Data'!$L:$L,0)))</f>
        <v>Remediation</v>
      </c>
      <c r="M522" s="28"/>
      <c r="N522" s="28"/>
      <c r="O522" s="28"/>
      <c r="P522" s="28"/>
      <c r="Q522" s="28"/>
      <c r="R522" s="28"/>
      <c r="S522" s="302">
        <v>1.0105968924999899E-2</v>
      </c>
    </row>
    <row r="523" spans="1:19" x14ac:dyDescent="0.25">
      <c r="A523" s="28">
        <v>2019</v>
      </c>
      <c r="B523" s="28"/>
      <c r="C523" s="28" t="s">
        <v>1021</v>
      </c>
      <c r="D523" s="28" t="s">
        <v>1571</v>
      </c>
      <c r="E523" s="28" t="s">
        <v>657</v>
      </c>
      <c r="F523" s="28" t="s">
        <v>418</v>
      </c>
      <c r="G523" s="28">
        <v>89109</v>
      </c>
      <c r="H523" s="28">
        <v>36.116160999999998</v>
      </c>
      <c r="I523" s="28">
        <v>-115.172741</v>
      </c>
      <c r="J523" s="28"/>
      <c r="K523" s="61">
        <v>110015972562</v>
      </c>
      <c r="L523" s="61" t="str">
        <f>IFERROR(INDEX('Facility Summary'!$K:$K,MATCH(K523,'Facility Summary'!$J:$J,0)),INDEX('Raw Annual DMR Data'!$M:$M,MATCH(K523,'Raw Annual DMR Data'!$L:$L,0)))</f>
        <v>Remediation</v>
      </c>
      <c r="M523" s="28"/>
      <c r="N523" s="28"/>
      <c r="O523" s="28"/>
      <c r="P523" s="28"/>
      <c r="Q523" s="28"/>
      <c r="R523" s="28"/>
      <c r="S523" s="28">
        <v>0.25301521369999902</v>
      </c>
    </row>
    <row r="524" spans="1:19" x14ac:dyDescent="0.25">
      <c r="A524" s="28">
        <v>2019</v>
      </c>
      <c r="B524" s="28"/>
      <c r="C524" s="28" t="s">
        <v>1021</v>
      </c>
      <c r="D524" s="28" t="s">
        <v>1571</v>
      </c>
      <c r="E524" s="28" t="s">
        <v>657</v>
      </c>
      <c r="F524" s="28" t="s">
        <v>418</v>
      </c>
      <c r="G524" s="28">
        <v>89109</v>
      </c>
      <c r="H524" s="28">
        <v>36.116160999999998</v>
      </c>
      <c r="I524" s="28">
        <v>-115.172741</v>
      </c>
      <c r="J524" s="28"/>
      <c r="K524" s="61">
        <v>110015972562</v>
      </c>
      <c r="L524" s="61" t="str">
        <f>IFERROR(INDEX('Facility Summary'!$K:$K,MATCH(K524,'Facility Summary'!$J:$J,0)),INDEX('Raw Annual DMR Data'!$M:$M,MATCH(K524,'Raw Annual DMR Data'!$L:$L,0)))</f>
        <v>Remediation</v>
      </c>
      <c r="M524" s="28"/>
      <c r="N524" s="28"/>
      <c r="O524" s="28"/>
      <c r="P524" s="28"/>
      <c r="Q524" s="28"/>
      <c r="R524" s="28"/>
      <c r="S524" s="28">
        <v>5.8473452512499899E-2</v>
      </c>
    </row>
    <row r="525" spans="1:19" x14ac:dyDescent="0.25">
      <c r="A525" s="28">
        <v>2020</v>
      </c>
      <c r="B525" s="28"/>
      <c r="C525" s="28" t="s">
        <v>1021</v>
      </c>
      <c r="D525" s="28" t="s">
        <v>1571</v>
      </c>
      <c r="E525" s="28" t="s">
        <v>657</v>
      </c>
      <c r="F525" s="28" t="s">
        <v>418</v>
      </c>
      <c r="G525" s="28">
        <v>89109</v>
      </c>
      <c r="H525" s="28">
        <v>36.116160999999998</v>
      </c>
      <c r="I525" s="28">
        <v>-115.172741</v>
      </c>
      <c r="J525" s="28"/>
      <c r="K525" s="61">
        <v>110015972562</v>
      </c>
      <c r="L525" s="61" t="str">
        <f>IFERROR(INDEX('Facility Summary'!$K:$K,MATCH(K525,'Facility Summary'!$J:$J,0)),INDEX('Raw Annual DMR Data'!$M:$M,MATCH(K525,'Raw Annual DMR Data'!$L:$L,0)))</f>
        <v>Remediation</v>
      </c>
      <c r="M525" s="28"/>
      <c r="N525" s="28"/>
      <c r="O525" s="28"/>
      <c r="P525" s="28"/>
      <c r="Q525" s="28"/>
      <c r="R525" s="28"/>
      <c r="S525" s="28">
        <v>0.28724449216249898</v>
      </c>
    </row>
    <row r="526" spans="1:19" x14ac:dyDescent="0.25">
      <c r="A526" s="28">
        <v>2020</v>
      </c>
      <c r="B526" s="28"/>
      <c r="C526" s="28" t="s">
        <v>1021</v>
      </c>
      <c r="D526" s="28" t="s">
        <v>1571</v>
      </c>
      <c r="E526" s="28" t="s">
        <v>657</v>
      </c>
      <c r="F526" s="28" t="s">
        <v>418</v>
      </c>
      <c r="G526" s="28">
        <v>89109</v>
      </c>
      <c r="H526" s="28">
        <v>36.116160999999998</v>
      </c>
      <c r="I526" s="28">
        <v>-115.172741</v>
      </c>
      <c r="J526" s="28"/>
      <c r="K526" s="61">
        <v>110015972562</v>
      </c>
      <c r="L526" s="61" t="str">
        <f>IFERROR(INDEX('Facility Summary'!$K:$K,MATCH(K526,'Facility Summary'!$J:$J,0)),INDEX('Raw Annual DMR Data'!$M:$M,MATCH(K526,'Raw Annual DMR Data'!$L:$L,0)))</f>
        <v>Remediation</v>
      </c>
      <c r="M526" s="28"/>
      <c r="N526" s="28"/>
      <c r="O526" s="28"/>
      <c r="P526" s="28"/>
      <c r="Q526" s="28"/>
      <c r="R526" s="28"/>
      <c r="S526" s="28">
        <v>3.1545571524999899E-2</v>
      </c>
    </row>
    <row r="527" spans="1:19" x14ac:dyDescent="0.25">
      <c r="A527" s="28">
        <v>2015</v>
      </c>
      <c r="B527" s="28"/>
      <c r="C527" s="28" t="s">
        <v>1022</v>
      </c>
      <c r="D527" s="28" t="s">
        <v>1574</v>
      </c>
      <c r="E527" s="28" t="s">
        <v>1023</v>
      </c>
      <c r="F527" s="28" t="s">
        <v>366</v>
      </c>
      <c r="G527" s="28">
        <v>92231</v>
      </c>
      <c r="H527" s="28">
        <v>32.664450000000002</v>
      </c>
      <c r="I527" s="28">
        <v>-115.55970499999999</v>
      </c>
      <c r="J527" s="28"/>
      <c r="K527" s="61">
        <v>110000730825</v>
      </c>
      <c r="L527" s="61" t="str">
        <f>IFERROR(INDEX('Facility Summary'!$K:$K,MATCH(K527,'Facility Summary'!$J:$J,0)),INDEX('Raw Annual DMR Data'!$M:$M,MATCH(K527,'Raw Annual DMR Data'!$L:$L,0)))</f>
        <v>POTW</v>
      </c>
      <c r="M527" s="28"/>
      <c r="N527" s="28"/>
      <c r="O527" s="28"/>
      <c r="P527" s="28"/>
      <c r="Q527" s="28"/>
      <c r="R527" s="28"/>
      <c r="S527" s="28">
        <v>0.15852999374999999</v>
      </c>
    </row>
    <row r="528" spans="1:19" x14ac:dyDescent="0.25">
      <c r="A528" s="28">
        <v>2016</v>
      </c>
      <c r="B528" s="28"/>
      <c r="C528" s="28" t="s">
        <v>1022</v>
      </c>
      <c r="D528" s="28" t="s">
        <v>1574</v>
      </c>
      <c r="E528" s="28" t="s">
        <v>1023</v>
      </c>
      <c r="F528" s="28" t="s">
        <v>366</v>
      </c>
      <c r="G528" s="28">
        <v>92231</v>
      </c>
      <c r="H528" s="28">
        <v>32.664450000000002</v>
      </c>
      <c r="I528" s="28">
        <v>-115.55970499999999</v>
      </c>
      <c r="J528" s="28"/>
      <c r="K528" s="61">
        <v>110000730825</v>
      </c>
      <c r="L528" s="61" t="str">
        <f>IFERROR(INDEX('Facility Summary'!$K:$K,MATCH(K528,'Facility Summary'!$J:$J,0)),INDEX('Raw Annual DMR Data'!$M:$M,MATCH(K528,'Raw Annual DMR Data'!$L:$L,0)))</f>
        <v>POTW</v>
      </c>
      <c r="M528" s="28"/>
      <c r="N528" s="28"/>
      <c r="O528" s="28"/>
      <c r="P528" s="28"/>
      <c r="Q528" s="28"/>
      <c r="R528" s="28"/>
      <c r="S528" s="28">
        <v>0.15380517825000001</v>
      </c>
    </row>
    <row r="529" spans="1:19" x14ac:dyDescent="0.25">
      <c r="A529" s="28">
        <v>2017</v>
      </c>
      <c r="B529" s="28"/>
      <c r="C529" s="28" t="s">
        <v>1022</v>
      </c>
      <c r="D529" s="28" t="s">
        <v>1574</v>
      </c>
      <c r="E529" s="28" t="s">
        <v>1023</v>
      </c>
      <c r="F529" s="28" t="s">
        <v>366</v>
      </c>
      <c r="G529" s="28">
        <v>92231</v>
      </c>
      <c r="H529" s="28">
        <v>32.664450000000002</v>
      </c>
      <c r="I529" s="28">
        <v>-115.55970499999999</v>
      </c>
      <c r="J529" s="28"/>
      <c r="K529" s="61">
        <v>110000730825</v>
      </c>
      <c r="L529" s="61" t="str">
        <f>IFERROR(INDEX('Facility Summary'!$K:$K,MATCH(K529,'Facility Summary'!$J:$J,0)),INDEX('Raw Annual DMR Data'!$M:$M,MATCH(K529,'Raw Annual DMR Data'!$L:$L,0)))</f>
        <v>POTW</v>
      </c>
      <c r="M529" s="28"/>
      <c r="N529" s="28"/>
      <c r="O529" s="28"/>
      <c r="P529" s="28"/>
      <c r="Q529" s="28"/>
      <c r="R529" s="28"/>
      <c r="S529" s="28">
        <v>0.14174446499999999</v>
      </c>
    </row>
    <row r="530" spans="1:19" x14ac:dyDescent="0.25">
      <c r="A530" s="28">
        <v>2018</v>
      </c>
      <c r="B530" s="28"/>
      <c r="C530" s="28" t="s">
        <v>1022</v>
      </c>
      <c r="D530" s="28" t="s">
        <v>1574</v>
      </c>
      <c r="E530" s="28" t="s">
        <v>1023</v>
      </c>
      <c r="F530" s="28" t="s">
        <v>366</v>
      </c>
      <c r="G530" s="28">
        <v>92231</v>
      </c>
      <c r="H530" s="28">
        <v>32.664450000000002</v>
      </c>
      <c r="I530" s="28">
        <v>-115.55970499999999</v>
      </c>
      <c r="J530" s="28"/>
      <c r="K530" s="61">
        <v>110000730825</v>
      </c>
      <c r="L530" s="61" t="str">
        <f>IFERROR(INDEX('Facility Summary'!$K:$K,MATCH(K530,'Facility Summary'!$J:$J,0)),INDEX('Raw Annual DMR Data'!$M:$M,MATCH(K530,'Raw Annual DMR Data'!$L:$L,0)))</f>
        <v>POTW</v>
      </c>
      <c r="M530" s="28"/>
      <c r="N530" s="28"/>
      <c r="O530" s="28"/>
      <c r="P530" s="28"/>
      <c r="Q530" s="28"/>
      <c r="R530" s="28"/>
      <c r="S530" s="28">
        <v>1.5573240562499999</v>
      </c>
    </row>
    <row r="531" spans="1:19" x14ac:dyDescent="0.25">
      <c r="A531" s="28">
        <v>2019</v>
      </c>
      <c r="B531" s="28"/>
      <c r="C531" s="28" t="s">
        <v>1022</v>
      </c>
      <c r="D531" s="28" t="s">
        <v>1574</v>
      </c>
      <c r="E531" s="28" t="s">
        <v>1023</v>
      </c>
      <c r="F531" s="28" t="s">
        <v>366</v>
      </c>
      <c r="G531" s="28">
        <v>92231</v>
      </c>
      <c r="H531" s="28">
        <v>32.664450000000002</v>
      </c>
      <c r="I531" s="28">
        <v>-115.55970499999999</v>
      </c>
      <c r="J531" s="28"/>
      <c r="K531" s="61">
        <v>110000730825</v>
      </c>
      <c r="L531" s="61" t="str">
        <f>IFERROR(INDEX('Facility Summary'!$K:$K,MATCH(K531,'Facility Summary'!$J:$J,0)),INDEX('Raw Annual DMR Data'!$M:$M,MATCH(K531,'Raw Annual DMR Data'!$L:$L,0)))</f>
        <v>POTW</v>
      </c>
      <c r="M531" s="28"/>
      <c r="N531" s="28"/>
      <c r="O531" s="28"/>
      <c r="P531" s="28"/>
      <c r="Q531" s="28"/>
      <c r="R531" s="28"/>
      <c r="S531" s="28">
        <v>0.153245660625</v>
      </c>
    </row>
    <row r="532" spans="1:19" x14ac:dyDescent="0.25">
      <c r="A532" s="28">
        <v>2020</v>
      </c>
      <c r="B532" s="28"/>
      <c r="C532" s="28" t="s">
        <v>1022</v>
      </c>
      <c r="D532" s="28" t="s">
        <v>1574</v>
      </c>
      <c r="E532" s="28" t="s">
        <v>1023</v>
      </c>
      <c r="F532" s="28" t="s">
        <v>366</v>
      </c>
      <c r="G532" s="28">
        <v>92231</v>
      </c>
      <c r="H532" s="28">
        <v>32.664450000000002</v>
      </c>
      <c r="I532" s="28">
        <v>-115.55970499999999</v>
      </c>
      <c r="J532" s="28"/>
      <c r="K532" s="61">
        <v>110000730825</v>
      </c>
      <c r="L532" s="61" t="str">
        <f>IFERROR(INDEX('Facility Summary'!$K:$K,MATCH(K532,'Facility Summary'!$J:$J,0)),INDEX('Raw Annual DMR Data'!$M:$M,MATCH(K532,'Raw Annual DMR Data'!$L:$L,0)))</f>
        <v>POTW</v>
      </c>
      <c r="M532" s="28"/>
      <c r="N532" s="28"/>
      <c r="O532" s="28"/>
      <c r="P532" s="28"/>
      <c r="Q532" s="28"/>
      <c r="R532" s="28"/>
      <c r="S532" s="28">
        <v>0.14752614712500001</v>
      </c>
    </row>
    <row r="533" spans="1:19" x14ac:dyDescent="0.25">
      <c r="A533" s="28">
        <v>2016</v>
      </c>
      <c r="B533" s="28"/>
      <c r="C533" s="28" t="s">
        <v>1024</v>
      </c>
      <c r="D533" s="28" t="s">
        <v>1576</v>
      </c>
      <c r="E533" s="28" t="s">
        <v>1025</v>
      </c>
      <c r="F533" s="28" t="s">
        <v>366</v>
      </c>
      <c r="G533" s="28">
        <v>92233</v>
      </c>
      <c r="H533" s="28">
        <v>33.147531999999998</v>
      </c>
      <c r="I533" s="28">
        <v>-115.54533000000001</v>
      </c>
      <c r="J533" s="28"/>
      <c r="K533" s="61">
        <v>110002043217</v>
      </c>
      <c r="L533" s="61" t="str">
        <f>IFERROR(INDEX('Facility Summary'!$K:$K,MATCH(K533,'Facility Summary'!$J:$J,0)),INDEX('Raw Annual DMR Data'!$M:$M,MATCH(K533,'Raw Annual DMR Data'!$L:$L,0)))</f>
        <v>POTW</v>
      </c>
      <c r="M533" s="28"/>
      <c r="N533" s="28"/>
      <c r="O533" s="28"/>
      <c r="P533" s="28"/>
      <c r="Q533" s="28"/>
      <c r="R533" s="28"/>
      <c r="S533" s="28">
        <v>4.35180375E-3</v>
      </c>
    </row>
    <row r="534" spans="1:19" x14ac:dyDescent="0.25">
      <c r="A534" s="28">
        <v>2017</v>
      </c>
      <c r="B534" s="28"/>
      <c r="C534" s="28" t="s">
        <v>1024</v>
      </c>
      <c r="D534" s="28" t="s">
        <v>1576</v>
      </c>
      <c r="E534" s="28" t="s">
        <v>1025</v>
      </c>
      <c r="F534" s="28" t="s">
        <v>366</v>
      </c>
      <c r="G534" s="28">
        <v>92233</v>
      </c>
      <c r="H534" s="28">
        <v>33.147531999999998</v>
      </c>
      <c r="I534" s="28">
        <v>-115.54533000000001</v>
      </c>
      <c r="J534" s="28"/>
      <c r="K534" s="61">
        <v>110002043217</v>
      </c>
      <c r="L534" s="61" t="str">
        <f>IFERROR(INDEX('Facility Summary'!$K:$K,MATCH(K534,'Facility Summary'!$J:$J,0)),INDEX('Raw Annual DMR Data'!$M:$M,MATCH(K534,'Raw Annual DMR Data'!$L:$L,0)))</f>
        <v>POTW</v>
      </c>
      <c r="M534" s="28"/>
      <c r="N534" s="28"/>
      <c r="O534" s="28"/>
      <c r="P534" s="28"/>
      <c r="Q534" s="28"/>
      <c r="R534" s="28"/>
      <c r="S534" s="28">
        <v>4.2827274999999998E-3</v>
      </c>
    </row>
    <row r="535" spans="1:19" x14ac:dyDescent="0.25">
      <c r="A535" s="28">
        <v>2018</v>
      </c>
      <c r="B535" s="28"/>
      <c r="C535" s="28" t="s">
        <v>1024</v>
      </c>
      <c r="D535" s="28" t="s">
        <v>1576</v>
      </c>
      <c r="E535" s="28" t="s">
        <v>1025</v>
      </c>
      <c r="F535" s="28" t="s">
        <v>366</v>
      </c>
      <c r="G535" s="28">
        <v>92233</v>
      </c>
      <c r="H535" s="28">
        <v>33.147531999999998</v>
      </c>
      <c r="I535" s="28">
        <v>-115.54533000000001</v>
      </c>
      <c r="J535" s="28"/>
      <c r="K535" s="61">
        <v>110002043217</v>
      </c>
      <c r="L535" s="61" t="str">
        <f>IFERROR(INDEX('Facility Summary'!$K:$K,MATCH(K535,'Facility Summary'!$J:$J,0)),INDEX('Raw Annual DMR Data'!$M:$M,MATCH(K535,'Raw Annual DMR Data'!$L:$L,0)))</f>
        <v>POTW</v>
      </c>
      <c r="M535" s="28"/>
      <c r="N535" s="28"/>
      <c r="O535" s="28"/>
      <c r="P535" s="28"/>
      <c r="Q535" s="28"/>
      <c r="R535" s="28"/>
      <c r="S535" s="28">
        <v>4.0754987499999999E-3</v>
      </c>
    </row>
    <row r="536" spans="1:19" x14ac:dyDescent="0.25">
      <c r="A536" s="28">
        <v>2019</v>
      </c>
      <c r="B536" s="28"/>
      <c r="C536" s="28" t="s">
        <v>1024</v>
      </c>
      <c r="D536" s="28" t="s">
        <v>1576</v>
      </c>
      <c r="E536" s="28" t="s">
        <v>1025</v>
      </c>
      <c r="F536" s="28" t="s">
        <v>366</v>
      </c>
      <c r="G536" s="28">
        <v>92233</v>
      </c>
      <c r="H536" s="28">
        <v>33.147531999999998</v>
      </c>
      <c r="I536" s="28">
        <v>-115.54533000000001</v>
      </c>
      <c r="J536" s="28"/>
      <c r="K536" s="61">
        <v>110002043217</v>
      </c>
      <c r="L536" s="61" t="str">
        <f>IFERROR(INDEX('Facility Summary'!$K:$K,MATCH(K536,'Facility Summary'!$J:$J,0)),INDEX('Raw Annual DMR Data'!$M:$M,MATCH(K536,'Raw Annual DMR Data'!$L:$L,0)))</f>
        <v>POTW</v>
      </c>
      <c r="M536" s="28"/>
      <c r="N536" s="28"/>
      <c r="O536" s="28"/>
      <c r="P536" s="28"/>
      <c r="Q536" s="28"/>
      <c r="R536" s="28"/>
      <c r="S536" s="28">
        <v>4.1445750000000002E-3</v>
      </c>
    </row>
    <row r="537" spans="1:19" x14ac:dyDescent="0.25">
      <c r="A537" s="28">
        <v>2016</v>
      </c>
      <c r="B537" s="28"/>
      <c r="C537" s="28" t="s">
        <v>1026</v>
      </c>
      <c r="D537" s="28" t="s">
        <v>1579</v>
      </c>
      <c r="E537" s="28" t="s">
        <v>1027</v>
      </c>
      <c r="F537" s="28" t="s">
        <v>349</v>
      </c>
      <c r="G537" s="28">
        <v>63353</v>
      </c>
      <c r="H537" s="28">
        <v>39.423425000000002</v>
      </c>
      <c r="I537" s="28">
        <v>-91.025666000000001</v>
      </c>
      <c r="J537" s="28"/>
      <c r="K537" s="61">
        <v>110054612558</v>
      </c>
      <c r="L537" s="61" t="str">
        <f>IFERROR(INDEX('Facility Summary'!$K:$K,MATCH(K537,'Facility Summary'!$J:$J,0)),INDEX('Raw Annual DMR Data'!$M:$M,MATCH(K537,'Raw Annual DMR Data'!$L:$L,0)))</f>
        <v>Unknown</v>
      </c>
      <c r="M537" s="28"/>
      <c r="N537" s="28"/>
      <c r="O537" s="28"/>
      <c r="P537" s="28"/>
      <c r="Q537" s="28"/>
      <c r="R537" s="28"/>
      <c r="S537" s="28">
        <v>7.4489795918367296E-2</v>
      </c>
    </row>
    <row r="538" spans="1:19" x14ac:dyDescent="0.25">
      <c r="A538" s="28">
        <v>2017</v>
      </c>
      <c r="B538" s="28"/>
      <c r="C538" s="28" t="s">
        <v>1026</v>
      </c>
      <c r="D538" s="28" t="s">
        <v>1579</v>
      </c>
      <c r="E538" s="28" t="s">
        <v>1027</v>
      </c>
      <c r="F538" s="28" t="s">
        <v>349</v>
      </c>
      <c r="G538" s="28">
        <v>63353</v>
      </c>
      <c r="H538" s="28">
        <v>39.423425000000002</v>
      </c>
      <c r="I538" s="28">
        <v>-91.025666000000001</v>
      </c>
      <c r="J538" s="28"/>
      <c r="K538" s="61">
        <v>110054612558</v>
      </c>
      <c r="L538" s="61" t="str">
        <f>IFERROR(INDEX('Facility Summary'!$K:$K,MATCH(K538,'Facility Summary'!$J:$J,0)),INDEX('Raw Annual DMR Data'!$M:$M,MATCH(K538,'Raw Annual DMR Data'!$L:$L,0)))</f>
        <v>Unknown</v>
      </c>
      <c r="M538" s="28"/>
      <c r="N538" s="28"/>
      <c r="O538" s="28"/>
      <c r="P538" s="28"/>
      <c r="Q538" s="28"/>
      <c r="R538" s="28"/>
      <c r="S538" s="28">
        <v>5.7936507936507897E-2</v>
      </c>
    </row>
    <row r="539" spans="1:19" x14ac:dyDescent="0.25">
      <c r="A539" s="28">
        <v>2018</v>
      </c>
      <c r="B539" s="28"/>
      <c r="C539" s="28" t="s">
        <v>1026</v>
      </c>
      <c r="D539" s="28" t="s">
        <v>1579</v>
      </c>
      <c r="E539" s="28" t="s">
        <v>1027</v>
      </c>
      <c r="F539" s="28" t="s">
        <v>349</v>
      </c>
      <c r="G539" s="28">
        <v>63353</v>
      </c>
      <c r="H539" s="28">
        <v>39.423425000000002</v>
      </c>
      <c r="I539" s="28">
        <v>-91.025666000000001</v>
      </c>
      <c r="J539" s="28"/>
      <c r="K539" s="61">
        <v>110054612558</v>
      </c>
      <c r="L539" s="61" t="str">
        <f>IFERROR(INDEX('Facility Summary'!$K:$K,MATCH(K539,'Facility Summary'!$J:$J,0)),INDEX('Raw Annual DMR Data'!$M:$M,MATCH(K539,'Raw Annual DMR Data'!$L:$L,0)))</f>
        <v>Unknown</v>
      </c>
      <c r="M539" s="28"/>
      <c r="N539" s="28"/>
      <c r="O539" s="28"/>
      <c r="P539" s="28"/>
      <c r="Q539" s="28"/>
      <c r="R539" s="28"/>
      <c r="S539" s="302">
        <v>6.3183673469387705E-2</v>
      </c>
    </row>
    <row r="540" spans="1:19" x14ac:dyDescent="0.25">
      <c r="A540" s="28">
        <v>2019</v>
      </c>
      <c r="B540" s="28"/>
      <c r="C540" s="28" t="s">
        <v>1026</v>
      </c>
      <c r="D540" s="28" t="s">
        <v>1579</v>
      </c>
      <c r="E540" s="28" t="s">
        <v>1027</v>
      </c>
      <c r="F540" s="28" t="s">
        <v>349</v>
      </c>
      <c r="G540" s="28">
        <v>63353</v>
      </c>
      <c r="H540" s="28">
        <v>39.423425000000002</v>
      </c>
      <c r="I540" s="28">
        <v>-91.025666000000001</v>
      </c>
      <c r="J540" s="28"/>
      <c r="K540" s="61">
        <v>110054612558</v>
      </c>
      <c r="L540" s="61" t="str">
        <f>IFERROR(INDEX('Facility Summary'!$K:$K,MATCH(K540,'Facility Summary'!$J:$J,0)),INDEX('Raw Annual DMR Data'!$M:$M,MATCH(K540,'Raw Annual DMR Data'!$L:$L,0)))</f>
        <v>Unknown</v>
      </c>
      <c r="M540" s="28"/>
      <c r="N540" s="28"/>
      <c r="O540" s="28"/>
      <c r="P540" s="28"/>
      <c r="Q540" s="28"/>
      <c r="R540" s="28"/>
      <c r="S540" s="28">
        <v>5.7142857142857099E-2</v>
      </c>
    </row>
    <row r="541" spans="1:19" x14ac:dyDescent="0.25">
      <c r="A541" s="28">
        <v>2020</v>
      </c>
      <c r="B541" s="28"/>
      <c r="C541" s="28" t="s">
        <v>1026</v>
      </c>
      <c r="D541" s="28" t="s">
        <v>1579</v>
      </c>
      <c r="E541" s="28" t="s">
        <v>1027</v>
      </c>
      <c r="F541" s="28" t="s">
        <v>349</v>
      </c>
      <c r="G541" s="28">
        <v>63353</v>
      </c>
      <c r="H541" s="28">
        <v>39.423425000000002</v>
      </c>
      <c r="I541" s="28">
        <v>-91.025666000000001</v>
      </c>
      <c r="J541" s="28"/>
      <c r="K541" s="61">
        <v>110054612558</v>
      </c>
      <c r="L541" s="61" t="str">
        <f>IFERROR(INDEX('Facility Summary'!$K:$K,MATCH(K541,'Facility Summary'!$J:$J,0)),INDEX('Raw Annual DMR Data'!$M:$M,MATCH(K541,'Raw Annual DMR Data'!$L:$L,0)))</f>
        <v>Unknown</v>
      </c>
      <c r="M541" s="28"/>
      <c r="N541" s="28"/>
      <c r="O541" s="28"/>
      <c r="P541" s="28"/>
      <c r="Q541" s="28"/>
      <c r="R541" s="28"/>
      <c r="S541" s="28">
        <v>3.07233560090702E-2</v>
      </c>
    </row>
    <row r="542" spans="1:19" x14ac:dyDescent="0.25">
      <c r="A542" s="28">
        <v>2020</v>
      </c>
      <c r="B542" s="28"/>
      <c r="C542" s="28" t="s">
        <v>1028</v>
      </c>
      <c r="D542" s="28" t="s">
        <v>1583</v>
      </c>
      <c r="E542" s="28" t="s">
        <v>1029</v>
      </c>
      <c r="F542" s="28" t="s">
        <v>324</v>
      </c>
      <c r="G542" s="28">
        <v>42718</v>
      </c>
      <c r="H542" s="28">
        <v>37.349167000000001</v>
      </c>
      <c r="I542" s="28">
        <v>-85.379444000000007</v>
      </c>
      <c r="J542" s="28"/>
      <c r="K542" s="61">
        <v>110000736776</v>
      </c>
      <c r="L542" s="61" t="str">
        <f>IFERROR(INDEX('Facility Summary'!$K:$K,MATCH(K542,'Facility Summary'!$J:$J,0)),INDEX('Raw Annual DMR Data'!$M:$M,MATCH(K542,'Raw Annual DMR Data'!$L:$L,0)))</f>
        <v>POTW</v>
      </c>
      <c r="M542" s="28"/>
      <c r="N542" s="28"/>
      <c r="O542" s="28"/>
      <c r="P542" s="28"/>
      <c r="Q542" s="28"/>
      <c r="R542" s="28"/>
      <c r="S542" s="28">
        <v>2.0066650625000002</v>
      </c>
    </row>
    <row r="543" spans="1:19" x14ac:dyDescent="0.25">
      <c r="A543" s="28">
        <v>2015</v>
      </c>
      <c r="B543" s="28"/>
      <c r="C543" s="28" t="s">
        <v>1030</v>
      </c>
      <c r="D543" s="28" t="s">
        <v>1586</v>
      </c>
      <c r="E543" s="28" t="s">
        <v>1031</v>
      </c>
      <c r="F543" s="28" t="s">
        <v>450</v>
      </c>
      <c r="G543" s="28" t="s">
        <v>1587</v>
      </c>
      <c r="H543" s="28">
        <v>43.068139000000002</v>
      </c>
      <c r="I543" s="28">
        <v>-76.176861000000002</v>
      </c>
      <c r="J543" s="28"/>
      <c r="K543" s="61">
        <v>110006700711</v>
      </c>
      <c r="L543" s="61" t="str">
        <f>IFERROR(INDEX('Facility Summary'!$K:$K,MATCH(K543,'Facility Summary'!$J:$J,0)),INDEX('Raw Annual DMR Data'!$M:$M,MATCH(K543,'Raw Annual DMR Data'!$L:$L,0)))</f>
        <v>Unknown</v>
      </c>
      <c r="M543" s="28"/>
      <c r="N543" s="28"/>
      <c r="O543" s="28"/>
      <c r="P543" s="28"/>
      <c r="Q543" s="28"/>
      <c r="R543" s="28"/>
      <c r="S543" s="28">
        <v>4.3167007137499901E-2</v>
      </c>
    </row>
    <row r="544" spans="1:19" x14ac:dyDescent="0.25">
      <c r="A544" s="28">
        <v>2017</v>
      </c>
      <c r="B544" s="28"/>
      <c r="C544" s="28" t="s">
        <v>1032</v>
      </c>
      <c r="D544" s="28" t="s">
        <v>1590</v>
      </c>
      <c r="E544" s="28" t="s">
        <v>1033</v>
      </c>
      <c r="F544" s="28" t="s">
        <v>324</v>
      </c>
      <c r="G544" s="28">
        <v>41008</v>
      </c>
      <c r="H544" s="28">
        <v>38.627777999999999</v>
      </c>
      <c r="I544" s="28">
        <v>-85.115832999999995</v>
      </c>
      <c r="J544" s="28"/>
      <c r="K544" s="61">
        <v>110015632216</v>
      </c>
      <c r="L544" s="61" t="str">
        <f>IFERROR(INDEX('Facility Summary'!$K:$K,MATCH(K544,'Facility Summary'!$J:$J,0)),INDEX('Raw Annual DMR Data'!$M:$M,MATCH(K544,'Raw Annual DMR Data'!$L:$L,0)))</f>
        <v>POTW</v>
      </c>
      <c r="M544" s="28"/>
      <c r="N544" s="28"/>
      <c r="O544" s="28"/>
      <c r="P544" s="28"/>
      <c r="Q544" s="28"/>
      <c r="R544" s="28"/>
      <c r="S544" s="28">
        <v>3.1740536874999998</v>
      </c>
    </row>
    <row r="545" spans="1:19" x14ac:dyDescent="0.25">
      <c r="A545" s="28">
        <v>2018</v>
      </c>
      <c r="B545" s="28"/>
      <c r="C545" s="28" t="s">
        <v>1032</v>
      </c>
      <c r="D545" s="28" t="s">
        <v>1590</v>
      </c>
      <c r="E545" s="28" t="s">
        <v>1033</v>
      </c>
      <c r="F545" s="28" t="s">
        <v>324</v>
      </c>
      <c r="G545" s="28">
        <v>41008</v>
      </c>
      <c r="H545" s="28">
        <v>38.627777999999999</v>
      </c>
      <c r="I545" s="28">
        <v>-85.115832999999995</v>
      </c>
      <c r="J545" s="28"/>
      <c r="K545" s="61">
        <v>110015632216</v>
      </c>
      <c r="L545" s="61" t="str">
        <f>IFERROR(INDEX('Facility Summary'!$K:$K,MATCH(K545,'Facility Summary'!$J:$J,0)),INDEX('Raw Annual DMR Data'!$M:$M,MATCH(K545,'Raw Annual DMR Data'!$L:$L,0)))</f>
        <v>POTW</v>
      </c>
      <c r="M545" s="28"/>
      <c r="N545" s="28"/>
      <c r="O545" s="28"/>
      <c r="P545" s="28"/>
      <c r="Q545" s="28"/>
      <c r="R545" s="28"/>
      <c r="S545" s="28">
        <v>4.6591930625</v>
      </c>
    </row>
    <row r="546" spans="1:19" x14ac:dyDescent="0.25">
      <c r="A546" s="28">
        <v>2019</v>
      </c>
      <c r="B546" s="28"/>
      <c r="C546" s="28" t="s">
        <v>1032</v>
      </c>
      <c r="D546" s="28" t="s">
        <v>1590</v>
      </c>
      <c r="E546" s="28" t="s">
        <v>1033</v>
      </c>
      <c r="F546" s="28" t="s">
        <v>324</v>
      </c>
      <c r="G546" s="28">
        <v>41008</v>
      </c>
      <c r="H546" s="28">
        <v>38.627777999999999</v>
      </c>
      <c r="I546" s="28">
        <v>-85.115832999999995</v>
      </c>
      <c r="J546" s="28"/>
      <c r="K546" s="61">
        <v>110015632216</v>
      </c>
      <c r="L546" s="61" t="str">
        <f>IFERROR(INDEX('Facility Summary'!$K:$K,MATCH(K546,'Facility Summary'!$J:$J,0)),INDEX('Raw Annual DMR Data'!$M:$M,MATCH(K546,'Raw Annual DMR Data'!$L:$L,0)))</f>
        <v>POTW</v>
      </c>
      <c r="M546" s="28"/>
      <c r="N546" s="28"/>
      <c r="O546" s="28"/>
      <c r="P546" s="28"/>
      <c r="Q546" s="28"/>
      <c r="R546" s="28"/>
      <c r="S546" s="28">
        <v>5.8714812500000004</v>
      </c>
    </row>
    <row r="547" spans="1:19" x14ac:dyDescent="0.25">
      <c r="A547" s="28">
        <v>2020</v>
      </c>
      <c r="B547" s="28"/>
      <c r="C547" s="28" t="s">
        <v>1032</v>
      </c>
      <c r="D547" s="28" t="s">
        <v>1590</v>
      </c>
      <c r="E547" s="28" t="s">
        <v>1033</v>
      </c>
      <c r="F547" s="28" t="s">
        <v>324</v>
      </c>
      <c r="G547" s="28">
        <v>41008</v>
      </c>
      <c r="H547" s="28">
        <v>38.627777999999999</v>
      </c>
      <c r="I547" s="28">
        <v>-85.115832999999995</v>
      </c>
      <c r="J547" s="28"/>
      <c r="K547" s="61">
        <v>110015632216</v>
      </c>
      <c r="L547" s="61" t="str">
        <f>IFERROR(INDEX('Facility Summary'!$K:$K,MATCH(K547,'Facility Summary'!$J:$J,0)),INDEX('Raw Annual DMR Data'!$M:$M,MATCH(K547,'Raw Annual DMR Data'!$L:$L,0)))</f>
        <v>POTW</v>
      </c>
      <c r="M547" s="28"/>
      <c r="N547" s="28"/>
      <c r="O547" s="28"/>
      <c r="P547" s="28"/>
      <c r="Q547" s="28"/>
      <c r="R547" s="28"/>
      <c r="S547" s="28">
        <v>3.557426875</v>
      </c>
    </row>
    <row r="548" spans="1:19" x14ac:dyDescent="0.25">
      <c r="A548" s="28">
        <v>2016</v>
      </c>
      <c r="B548" s="28"/>
      <c r="C548" s="28" t="s">
        <v>166</v>
      </c>
      <c r="D548" s="28" t="s">
        <v>537</v>
      </c>
      <c r="E548" s="28" t="s">
        <v>538</v>
      </c>
      <c r="F548" s="28" t="s">
        <v>362</v>
      </c>
      <c r="G548" s="28">
        <v>77578</v>
      </c>
      <c r="H548" s="28">
        <v>29.458400000000001</v>
      </c>
      <c r="I548" s="28">
        <v>-95.330399999999997</v>
      </c>
      <c r="J548" s="28" t="s">
        <v>539</v>
      </c>
      <c r="K548" s="61">
        <v>110000599479</v>
      </c>
      <c r="L548" s="61" t="str">
        <f>IFERROR(INDEX('Facility Summary'!$K:$K,MATCH(K548,'Facility Summary'!$J:$J,0)),INDEX('Raw Annual DMR Data'!$M:$M,MATCH(K548,'Raw Annual DMR Data'!$L:$L,0)))</f>
        <v>Manufacturing</v>
      </c>
      <c r="M548" s="28"/>
      <c r="N548" s="28"/>
      <c r="O548" s="28"/>
      <c r="P548" s="28"/>
      <c r="Q548" s="28"/>
      <c r="R548" s="28"/>
      <c r="S548" s="28">
        <v>1.6553287981859399E-2</v>
      </c>
    </row>
    <row r="549" spans="1:19" x14ac:dyDescent="0.25">
      <c r="A549" s="28">
        <v>2016</v>
      </c>
      <c r="B549" s="28"/>
      <c r="C549" s="28" t="s">
        <v>166</v>
      </c>
      <c r="D549" s="28" t="s">
        <v>537</v>
      </c>
      <c r="E549" s="28" t="s">
        <v>538</v>
      </c>
      <c r="F549" s="28" t="s">
        <v>362</v>
      </c>
      <c r="G549" s="28">
        <v>77578</v>
      </c>
      <c r="H549" s="28">
        <v>29.458400000000001</v>
      </c>
      <c r="I549" s="28">
        <v>-95.330399999999997</v>
      </c>
      <c r="J549" s="28" t="s">
        <v>539</v>
      </c>
      <c r="K549" s="61">
        <v>110000599479</v>
      </c>
      <c r="L549" s="61" t="str">
        <f>IFERROR(INDEX('Facility Summary'!$K:$K,MATCH(K549,'Facility Summary'!$J:$J,0)),INDEX('Raw Annual DMR Data'!$M:$M,MATCH(K549,'Raw Annual DMR Data'!$L:$L,0)))</f>
        <v>Manufacturing</v>
      </c>
      <c r="M549" s="28"/>
      <c r="N549" s="28"/>
      <c r="O549" s="28"/>
      <c r="P549" s="28"/>
      <c r="Q549" s="28"/>
      <c r="R549" s="28"/>
      <c r="S549" s="28">
        <v>1.6553287981859399E-2</v>
      </c>
    </row>
    <row r="550" spans="1:19" x14ac:dyDescent="0.25">
      <c r="A550" s="28">
        <v>2017</v>
      </c>
      <c r="B550" s="28"/>
      <c r="C550" s="28" t="s">
        <v>166</v>
      </c>
      <c r="D550" s="28" t="s">
        <v>537</v>
      </c>
      <c r="E550" s="28" t="s">
        <v>538</v>
      </c>
      <c r="F550" s="28" t="s">
        <v>362</v>
      </c>
      <c r="G550" s="28">
        <v>77578</v>
      </c>
      <c r="H550" s="28">
        <v>29.458400000000001</v>
      </c>
      <c r="I550" s="28">
        <v>-95.330399999999997</v>
      </c>
      <c r="J550" s="28" t="s">
        <v>539</v>
      </c>
      <c r="K550" s="61">
        <v>110000599479</v>
      </c>
      <c r="L550" s="61" t="str">
        <f>IFERROR(INDEX('Facility Summary'!$K:$K,MATCH(K550,'Facility Summary'!$J:$J,0)),INDEX('Raw Annual DMR Data'!$M:$M,MATCH(K550,'Raw Annual DMR Data'!$L:$L,0)))</f>
        <v>Manufacturing</v>
      </c>
      <c r="M550" s="28"/>
      <c r="N550" s="28"/>
      <c r="O550" s="28"/>
      <c r="P550" s="28"/>
      <c r="Q550" s="28"/>
      <c r="R550" s="28"/>
      <c r="S550" s="28">
        <v>1.6553287981859399E-2</v>
      </c>
    </row>
    <row r="551" spans="1:19" x14ac:dyDescent="0.25">
      <c r="A551" s="28">
        <v>2017</v>
      </c>
      <c r="B551" s="28"/>
      <c r="C551" s="28" t="s">
        <v>166</v>
      </c>
      <c r="D551" s="28" t="s">
        <v>537</v>
      </c>
      <c r="E551" s="28" t="s">
        <v>538</v>
      </c>
      <c r="F551" s="28" t="s">
        <v>362</v>
      </c>
      <c r="G551" s="28">
        <v>77578</v>
      </c>
      <c r="H551" s="28">
        <v>29.458400000000001</v>
      </c>
      <c r="I551" s="28">
        <v>-95.330399999999997</v>
      </c>
      <c r="J551" s="28" t="s">
        <v>539</v>
      </c>
      <c r="K551" s="61">
        <v>110000599479</v>
      </c>
      <c r="L551" s="61" t="str">
        <f>IFERROR(INDEX('Facility Summary'!$K:$K,MATCH(K551,'Facility Summary'!$J:$J,0)),INDEX('Raw Annual DMR Data'!$M:$M,MATCH(K551,'Raw Annual DMR Data'!$L:$L,0)))</f>
        <v>Manufacturing</v>
      </c>
      <c r="M551" s="28"/>
      <c r="N551" s="28"/>
      <c r="O551" s="28"/>
      <c r="P551" s="28"/>
      <c r="Q551" s="28"/>
      <c r="R551" s="28"/>
      <c r="S551" s="28">
        <v>1.6553287981859399E-2</v>
      </c>
    </row>
    <row r="552" spans="1:19" x14ac:dyDescent="0.25">
      <c r="A552" s="28">
        <v>2016</v>
      </c>
      <c r="B552" s="28"/>
      <c r="C552" s="28" t="s">
        <v>1036</v>
      </c>
      <c r="D552" s="28" t="s">
        <v>1597</v>
      </c>
      <c r="E552" s="28" t="s">
        <v>446</v>
      </c>
      <c r="F552" s="28" t="s">
        <v>303</v>
      </c>
      <c r="G552" s="28">
        <v>70669</v>
      </c>
      <c r="H552" s="28">
        <v>30.318283999999998</v>
      </c>
      <c r="I552" s="28">
        <v>-93.303511999999998</v>
      </c>
      <c r="J552" s="28"/>
      <c r="K552" s="61">
        <v>110000613685</v>
      </c>
      <c r="L552" s="61" t="str">
        <f>IFERROR(INDEX('Facility Summary'!$K:$K,MATCH(K552,'Facility Summary'!$J:$J,0)),INDEX('Raw Annual DMR Data'!$M:$M,MATCH(K552,'Raw Annual DMR Data'!$L:$L,0)))</f>
        <v>Waste Handling, Disposal and Treatment (Landfill)</v>
      </c>
      <c r="M552" s="28"/>
      <c r="N552" s="28"/>
      <c r="O552" s="28"/>
      <c r="P552" s="28"/>
      <c r="Q552" s="28"/>
      <c r="R552" s="28"/>
      <c r="S552" s="28">
        <v>0.37646556250000002</v>
      </c>
    </row>
    <row r="553" spans="1:19" x14ac:dyDescent="0.25">
      <c r="A553" s="28">
        <v>2016</v>
      </c>
      <c r="B553" s="28"/>
      <c r="C553" s="28" t="s">
        <v>1036</v>
      </c>
      <c r="D553" s="28" t="s">
        <v>1597</v>
      </c>
      <c r="E553" s="28" t="s">
        <v>446</v>
      </c>
      <c r="F553" s="28" t="s">
        <v>303</v>
      </c>
      <c r="G553" s="28">
        <v>70669</v>
      </c>
      <c r="H553" s="28">
        <v>30.318283999999998</v>
      </c>
      <c r="I553" s="28">
        <v>-93.303511999999998</v>
      </c>
      <c r="J553" s="28"/>
      <c r="K553" s="61">
        <v>110000613685</v>
      </c>
      <c r="L553" s="61" t="str">
        <f>IFERROR(INDEX('Facility Summary'!$K:$K,MATCH(K553,'Facility Summary'!$J:$J,0)),INDEX('Raw Annual DMR Data'!$M:$M,MATCH(K553,'Raw Annual DMR Data'!$L:$L,0)))</f>
        <v>Waste Handling, Disposal and Treatment (Landfill)</v>
      </c>
      <c r="M553" s="28"/>
      <c r="N553" s="28"/>
      <c r="O553" s="28"/>
      <c r="P553" s="28"/>
      <c r="Q553" s="28"/>
      <c r="R553" s="28"/>
      <c r="S553" s="28">
        <v>1.0741356875000001</v>
      </c>
    </row>
    <row r="554" spans="1:19" x14ac:dyDescent="0.25">
      <c r="A554" s="28">
        <v>2016</v>
      </c>
      <c r="B554" s="28"/>
      <c r="C554" s="28" t="s">
        <v>1036</v>
      </c>
      <c r="D554" s="28" t="s">
        <v>1597</v>
      </c>
      <c r="E554" s="28" t="s">
        <v>446</v>
      </c>
      <c r="F554" s="28" t="s">
        <v>303</v>
      </c>
      <c r="G554" s="28">
        <v>70669</v>
      </c>
      <c r="H554" s="28">
        <v>30.318283999999998</v>
      </c>
      <c r="I554" s="28">
        <v>-93.303511999999998</v>
      </c>
      <c r="J554" s="28"/>
      <c r="K554" s="61">
        <v>110000613685</v>
      </c>
      <c r="L554" s="61" t="str">
        <f>IFERROR(INDEX('Facility Summary'!$K:$K,MATCH(K554,'Facility Summary'!$J:$J,0)),INDEX('Raw Annual DMR Data'!$M:$M,MATCH(K554,'Raw Annual DMR Data'!$L:$L,0)))</f>
        <v>Waste Handling, Disposal and Treatment (Landfill)</v>
      </c>
      <c r="M554" s="28"/>
      <c r="N554" s="28"/>
      <c r="O554" s="28"/>
      <c r="P554" s="28"/>
      <c r="Q554" s="28"/>
      <c r="R554" s="28"/>
      <c r="S554" s="28">
        <v>1.4540550624999999</v>
      </c>
    </row>
    <row r="555" spans="1:19" x14ac:dyDescent="0.25">
      <c r="A555" s="28">
        <v>2018</v>
      </c>
      <c r="B555" s="28"/>
      <c r="C555" s="28" t="s">
        <v>1036</v>
      </c>
      <c r="D555" s="28" t="s">
        <v>1597</v>
      </c>
      <c r="E555" s="28" t="s">
        <v>446</v>
      </c>
      <c r="F555" s="28" t="s">
        <v>303</v>
      </c>
      <c r="G555" s="28">
        <v>70669</v>
      </c>
      <c r="H555" s="28">
        <v>30.318283999999998</v>
      </c>
      <c r="I555" s="28">
        <v>-93.303511999999998</v>
      </c>
      <c r="J555" s="28"/>
      <c r="K555" s="61">
        <v>110000613685</v>
      </c>
      <c r="L555" s="61" t="str">
        <f>IFERROR(INDEX('Facility Summary'!$K:$K,MATCH(K555,'Facility Summary'!$J:$J,0)),INDEX('Raw Annual DMR Data'!$M:$M,MATCH(K555,'Raw Annual DMR Data'!$L:$L,0)))</f>
        <v>Waste Handling, Disposal and Treatment (Landfill)</v>
      </c>
      <c r="M555" s="28"/>
      <c r="N555" s="28"/>
      <c r="O555" s="28"/>
      <c r="P555" s="28"/>
      <c r="Q555" s="28"/>
      <c r="R555" s="28"/>
      <c r="S555" s="28">
        <v>1.1121276250000001</v>
      </c>
    </row>
    <row r="556" spans="1:19" x14ac:dyDescent="0.25">
      <c r="A556" s="28">
        <v>2018</v>
      </c>
      <c r="B556" s="28"/>
      <c r="C556" s="28" t="s">
        <v>1036</v>
      </c>
      <c r="D556" s="28" t="s">
        <v>1597</v>
      </c>
      <c r="E556" s="28" t="s">
        <v>446</v>
      </c>
      <c r="F556" s="28" t="s">
        <v>303</v>
      </c>
      <c r="G556" s="28">
        <v>70669</v>
      </c>
      <c r="H556" s="28">
        <v>30.318283999999998</v>
      </c>
      <c r="I556" s="28">
        <v>-93.303511999999998</v>
      </c>
      <c r="J556" s="28"/>
      <c r="K556" s="61">
        <v>110000613685</v>
      </c>
      <c r="L556" s="61" t="str">
        <f>IFERROR(INDEX('Facility Summary'!$K:$K,MATCH(K556,'Facility Summary'!$J:$J,0)),INDEX('Raw Annual DMR Data'!$M:$M,MATCH(K556,'Raw Annual DMR Data'!$L:$L,0)))</f>
        <v>Waste Handling, Disposal and Treatment (Landfill)</v>
      </c>
      <c r="M556" s="28"/>
      <c r="N556" s="28"/>
      <c r="O556" s="28"/>
      <c r="P556" s="28"/>
      <c r="Q556" s="28"/>
      <c r="R556" s="28"/>
      <c r="S556" s="28">
        <v>0.82200737499999998</v>
      </c>
    </row>
    <row r="557" spans="1:19" x14ac:dyDescent="0.25">
      <c r="A557" s="28">
        <v>2018</v>
      </c>
      <c r="B557" s="28"/>
      <c r="C557" s="28" t="s">
        <v>1036</v>
      </c>
      <c r="D557" s="28" t="s">
        <v>1597</v>
      </c>
      <c r="E557" s="28" t="s">
        <v>446</v>
      </c>
      <c r="F557" s="28" t="s">
        <v>303</v>
      </c>
      <c r="G557" s="28">
        <v>70669</v>
      </c>
      <c r="H557" s="28">
        <v>30.318283999999998</v>
      </c>
      <c r="I557" s="28">
        <v>-93.303511999999998</v>
      </c>
      <c r="J557" s="28"/>
      <c r="K557" s="61">
        <v>110000613685</v>
      </c>
      <c r="L557" s="61" t="str">
        <f>IFERROR(INDEX('Facility Summary'!$K:$K,MATCH(K557,'Facility Summary'!$J:$J,0)),INDEX('Raw Annual DMR Data'!$M:$M,MATCH(K557,'Raw Annual DMR Data'!$L:$L,0)))</f>
        <v>Waste Handling, Disposal and Treatment (Landfill)</v>
      </c>
      <c r="M557" s="28"/>
      <c r="N557" s="28"/>
      <c r="O557" s="28"/>
      <c r="P557" s="28"/>
      <c r="Q557" s="28"/>
      <c r="R557" s="28"/>
      <c r="S557" s="28">
        <v>0.28666643749999998</v>
      </c>
    </row>
    <row r="558" spans="1:19" x14ac:dyDescent="0.25">
      <c r="A558" s="28">
        <v>2020</v>
      </c>
      <c r="B558" s="28"/>
      <c r="C558" s="28" t="s">
        <v>1036</v>
      </c>
      <c r="D558" s="28" t="s">
        <v>1597</v>
      </c>
      <c r="E558" s="28" t="s">
        <v>446</v>
      </c>
      <c r="F558" s="28" t="s">
        <v>303</v>
      </c>
      <c r="G558" s="28">
        <v>70669</v>
      </c>
      <c r="H558" s="28">
        <v>30.318283999999998</v>
      </c>
      <c r="I558" s="28">
        <v>-93.303511999999998</v>
      </c>
      <c r="J558" s="28"/>
      <c r="K558" s="61">
        <v>110000613685</v>
      </c>
      <c r="L558" s="61" t="str">
        <f>IFERROR(INDEX('Facility Summary'!$K:$K,MATCH(K558,'Facility Summary'!$J:$J,0)),INDEX('Raw Annual DMR Data'!$M:$M,MATCH(K558,'Raw Annual DMR Data'!$L:$L,0)))</f>
        <v>Waste Handling, Disposal and Treatment (Landfill)</v>
      </c>
      <c r="M558" s="28"/>
      <c r="N558" s="28"/>
      <c r="O558" s="28"/>
      <c r="P558" s="28"/>
      <c r="Q558" s="28"/>
      <c r="R558" s="28"/>
      <c r="S558" s="28">
        <v>0.38682699999999998</v>
      </c>
    </row>
    <row r="559" spans="1:19" x14ac:dyDescent="0.25">
      <c r="A559" s="28">
        <v>2020</v>
      </c>
      <c r="B559" s="28"/>
      <c r="C559" s="28" t="s">
        <v>1036</v>
      </c>
      <c r="D559" s="28" t="s">
        <v>1597</v>
      </c>
      <c r="E559" s="28" t="s">
        <v>446</v>
      </c>
      <c r="F559" s="28" t="s">
        <v>303</v>
      </c>
      <c r="G559" s="28">
        <v>70669</v>
      </c>
      <c r="H559" s="28">
        <v>30.318283999999998</v>
      </c>
      <c r="I559" s="28">
        <v>-93.303511999999998</v>
      </c>
      <c r="J559" s="28"/>
      <c r="K559" s="61">
        <v>110000613685</v>
      </c>
      <c r="L559" s="61" t="str">
        <f>IFERROR(INDEX('Facility Summary'!$K:$K,MATCH(K559,'Facility Summary'!$J:$J,0)),INDEX('Raw Annual DMR Data'!$M:$M,MATCH(K559,'Raw Annual DMR Data'!$L:$L,0)))</f>
        <v>Waste Handling, Disposal and Treatment (Landfill)</v>
      </c>
      <c r="M559" s="28"/>
      <c r="N559" s="28"/>
      <c r="O559" s="28"/>
      <c r="P559" s="28"/>
      <c r="Q559" s="28"/>
      <c r="R559" s="28"/>
      <c r="S559" s="28">
        <v>0.52152568749999995</v>
      </c>
    </row>
    <row r="560" spans="1:19" x14ac:dyDescent="0.25">
      <c r="A560" s="28">
        <v>2020</v>
      </c>
      <c r="B560" s="28"/>
      <c r="C560" s="28" t="s">
        <v>1036</v>
      </c>
      <c r="D560" s="28" t="s">
        <v>1597</v>
      </c>
      <c r="E560" s="28" t="s">
        <v>446</v>
      </c>
      <c r="F560" s="28" t="s">
        <v>303</v>
      </c>
      <c r="G560" s="28">
        <v>70669</v>
      </c>
      <c r="H560" s="28">
        <v>30.318283999999998</v>
      </c>
      <c r="I560" s="28">
        <v>-93.303511999999998</v>
      </c>
      <c r="J560" s="28"/>
      <c r="K560" s="61">
        <v>110000613685</v>
      </c>
      <c r="L560" s="61" t="str">
        <f>IFERROR(INDEX('Facility Summary'!$K:$K,MATCH(K560,'Facility Summary'!$J:$J,0)),INDEX('Raw Annual DMR Data'!$M:$M,MATCH(K560,'Raw Annual DMR Data'!$L:$L,0)))</f>
        <v>Waste Handling, Disposal and Treatment (Landfill)</v>
      </c>
      <c r="M560" s="28"/>
      <c r="N560" s="28"/>
      <c r="O560" s="28"/>
      <c r="P560" s="28"/>
      <c r="Q560" s="28"/>
      <c r="R560" s="28"/>
      <c r="S560" s="28">
        <v>0.1346986875</v>
      </c>
    </row>
    <row r="561" spans="1:19" x14ac:dyDescent="0.25">
      <c r="A561" s="28">
        <v>2017</v>
      </c>
      <c r="B561" s="28"/>
      <c r="C561" s="28" t="s">
        <v>1037</v>
      </c>
      <c r="D561" s="28" t="s">
        <v>1601</v>
      </c>
      <c r="E561" s="28" t="s">
        <v>987</v>
      </c>
      <c r="F561" s="28" t="s">
        <v>324</v>
      </c>
      <c r="G561" s="28">
        <v>40291</v>
      </c>
      <c r="H561" s="28">
        <v>38.122354000000001</v>
      </c>
      <c r="I561" s="28">
        <v>-85.587648000000002</v>
      </c>
      <c r="J561" s="28"/>
      <c r="K561" s="61">
        <v>110043485421</v>
      </c>
      <c r="L561" s="61" t="str">
        <f>IFERROR(INDEX('Facility Summary'!$K:$K,MATCH(K561,'Facility Summary'!$J:$J,0)),INDEX('Raw Annual DMR Data'!$M:$M,MATCH(K561,'Raw Annual DMR Data'!$L:$L,0)))</f>
        <v>POTW</v>
      </c>
      <c r="M561" s="28"/>
      <c r="N561" s="28"/>
      <c r="O561" s="28"/>
      <c r="P561" s="28"/>
      <c r="Q561" s="28"/>
      <c r="R561" s="28"/>
      <c r="S561" s="28">
        <v>15.9462523125</v>
      </c>
    </row>
    <row r="562" spans="1:19" x14ac:dyDescent="0.25">
      <c r="A562" s="28">
        <v>2018</v>
      </c>
      <c r="B562" s="28"/>
      <c r="C562" s="28" t="s">
        <v>1037</v>
      </c>
      <c r="D562" s="28" t="s">
        <v>1601</v>
      </c>
      <c r="E562" s="28" t="s">
        <v>987</v>
      </c>
      <c r="F562" s="28" t="s">
        <v>324</v>
      </c>
      <c r="G562" s="28">
        <v>40291</v>
      </c>
      <c r="H562" s="28">
        <v>38.122354000000001</v>
      </c>
      <c r="I562" s="28">
        <v>-85.587648000000002</v>
      </c>
      <c r="J562" s="28"/>
      <c r="K562" s="61">
        <v>110043485421</v>
      </c>
      <c r="L562" s="61" t="str">
        <f>IFERROR(INDEX('Facility Summary'!$K:$K,MATCH(K562,'Facility Summary'!$J:$J,0)),INDEX('Raw Annual DMR Data'!$M:$M,MATCH(K562,'Raw Annual DMR Data'!$L:$L,0)))</f>
        <v>POTW</v>
      </c>
      <c r="M562" s="28"/>
      <c r="N562" s="28"/>
      <c r="O562" s="28"/>
      <c r="P562" s="28"/>
      <c r="Q562" s="28"/>
      <c r="R562" s="28"/>
      <c r="S562" s="28">
        <v>26.356043187499999</v>
      </c>
    </row>
    <row r="563" spans="1:19" x14ac:dyDescent="0.25">
      <c r="A563" s="28">
        <v>2019</v>
      </c>
      <c r="B563" s="28"/>
      <c r="C563" s="28" t="s">
        <v>1037</v>
      </c>
      <c r="D563" s="28" t="s">
        <v>1601</v>
      </c>
      <c r="E563" s="28" t="s">
        <v>987</v>
      </c>
      <c r="F563" s="28" t="s">
        <v>324</v>
      </c>
      <c r="G563" s="28">
        <v>40291</v>
      </c>
      <c r="H563" s="28">
        <v>38.122354000000001</v>
      </c>
      <c r="I563" s="28">
        <v>-85.587648000000002</v>
      </c>
      <c r="J563" s="28"/>
      <c r="K563" s="61">
        <v>110043485421</v>
      </c>
      <c r="L563" s="61" t="str">
        <f>IFERROR(INDEX('Facility Summary'!$K:$K,MATCH(K563,'Facility Summary'!$J:$J,0)),INDEX('Raw Annual DMR Data'!$M:$M,MATCH(K563,'Raw Annual DMR Data'!$L:$L,0)))</f>
        <v>POTW</v>
      </c>
      <c r="M563" s="28"/>
      <c r="N563" s="28"/>
      <c r="O563" s="28"/>
      <c r="P563" s="28"/>
      <c r="Q563" s="28"/>
      <c r="R563" s="28"/>
      <c r="S563" s="28">
        <v>27.7651986875</v>
      </c>
    </row>
    <row r="564" spans="1:19" x14ac:dyDescent="0.25">
      <c r="A564" s="28">
        <v>2020</v>
      </c>
      <c r="B564" s="28"/>
      <c r="C564" s="28" t="s">
        <v>1037</v>
      </c>
      <c r="D564" s="28" t="s">
        <v>1601</v>
      </c>
      <c r="E564" s="28" t="s">
        <v>987</v>
      </c>
      <c r="F564" s="28" t="s">
        <v>324</v>
      </c>
      <c r="G564" s="28">
        <v>40291</v>
      </c>
      <c r="H564" s="28">
        <v>38.122354000000001</v>
      </c>
      <c r="I564" s="28">
        <v>-85.587648000000002</v>
      </c>
      <c r="J564" s="28"/>
      <c r="K564" s="61">
        <v>110043485421</v>
      </c>
      <c r="L564" s="61" t="str">
        <f>IFERROR(INDEX('Facility Summary'!$K:$K,MATCH(K564,'Facility Summary'!$J:$J,0)),INDEX('Raw Annual DMR Data'!$M:$M,MATCH(K564,'Raw Annual DMR Data'!$L:$L,0)))</f>
        <v>POTW</v>
      </c>
      <c r="M564" s="28"/>
      <c r="N564" s="28"/>
      <c r="O564" s="28"/>
      <c r="P564" s="28"/>
      <c r="Q564" s="28"/>
      <c r="R564" s="28"/>
      <c r="S564" s="28">
        <v>25.751626000000002</v>
      </c>
    </row>
    <row r="565" spans="1:19" x14ac:dyDescent="0.25">
      <c r="A565" s="28">
        <v>2019</v>
      </c>
      <c r="B565" s="28"/>
      <c r="C565" s="28" t="s">
        <v>1038</v>
      </c>
      <c r="D565" s="28" t="s">
        <v>1605</v>
      </c>
      <c r="E565" s="28" t="s">
        <v>1039</v>
      </c>
      <c r="F565" s="28" t="s">
        <v>324</v>
      </c>
      <c r="G565" s="28">
        <v>42330</v>
      </c>
      <c r="H565" s="28">
        <v>37.304611999999999</v>
      </c>
      <c r="I565" s="28">
        <v>-87.145292999999995</v>
      </c>
      <c r="J565" s="28"/>
      <c r="K565" s="61">
        <v>110064265496</v>
      </c>
      <c r="L565" s="61" t="str">
        <f>IFERROR(INDEX('Facility Summary'!$K:$K,MATCH(K565,'Facility Summary'!$J:$J,0)),INDEX('Raw Annual DMR Data'!$M:$M,MATCH(K565,'Raw Annual DMR Data'!$L:$L,0)))</f>
        <v>POTW</v>
      </c>
      <c r="M565" s="28"/>
      <c r="N565" s="28"/>
      <c r="O565" s="28"/>
      <c r="P565" s="28"/>
      <c r="Q565" s="28"/>
      <c r="R565" s="28"/>
      <c r="S565" s="28">
        <v>5.6711601250000001</v>
      </c>
    </row>
    <row r="566" spans="1:19" x14ac:dyDescent="0.25">
      <c r="A566" s="28">
        <v>2020</v>
      </c>
      <c r="B566" s="28"/>
      <c r="C566" s="28" t="s">
        <v>1038</v>
      </c>
      <c r="D566" s="28" t="s">
        <v>1605</v>
      </c>
      <c r="E566" s="28" t="s">
        <v>1039</v>
      </c>
      <c r="F566" s="28" t="s">
        <v>324</v>
      </c>
      <c r="G566" s="28">
        <v>42330</v>
      </c>
      <c r="H566" s="28">
        <v>37.304611999999999</v>
      </c>
      <c r="I566" s="28">
        <v>-87.145292999999995</v>
      </c>
      <c r="J566" s="28"/>
      <c r="K566" s="61">
        <v>110064265496</v>
      </c>
      <c r="L566" s="61" t="str">
        <f>IFERROR(INDEX('Facility Summary'!$K:$K,MATCH(K566,'Facility Summary'!$J:$J,0)),INDEX('Raw Annual DMR Data'!$M:$M,MATCH(K566,'Raw Annual DMR Data'!$L:$L,0)))</f>
        <v>POTW</v>
      </c>
      <c r="M566" s="28"/>
      <c r="N566" s="28"/>
      <c r="O566" s="28"/>
      <c r="P566" s="28"/>
      <c r="Q566" s="28"/>
      <c r="R566" s="28"/>
      <c r="S566" s="28">
        <v>3.5401578124999999</v>
      </c>
    </row>
    <row r="567" spans="1:19" x14ac:dyDescent="0.25">
      <c r="A567" s="28">
        <v>2017</v>
      </c>
      <c r="B567" s="28"/>
      <c r="C567" s="28" t="s">
        <v>119</v>
      </c>
      <c r="D567" s="28" t="s">
        <v>380</v>
      </c>
      <c r="E567" s="28" t="s">
        <v>381</v>
      </c>
      <c r="F567" s="28" t="s">
        <v>338</v>
      </c>
      <c r="G567" s="28">
        <v>8014</v>
      </c>
      <c r="H567" s="28">
        <v>39.799250000000001</v>
      </c>
      <c r="I567" s="28">
        <v>-75.33296</v>
      </c>
      <c r="J567" s="28"/>
      <c r="K567" s="61">
        <v>110009721836</v>
      </c>
      <c r="L567" s="61" t="str">
        <f>IFERROR(INDEX('Facility Summary'!$K:$K,MATCH(K567,'Facility Summary'!$J:$J,0)),INDEX('Raw Annual DMR Data'!$M:$M,MATCH(K567,'Raw Annual DMR Data'!$L:$L,0)))</f>
        <v>Repackaging</v>
      </c>
      <c r="M567" s="28"/>
      <c r="N567" s="28"/>
      <c r="O567" s="28"/>
      <c r="P567" s="28"/>
      <c r="Q567" s="28"/>
      <c r="R567" s="28"/>
      <c r="S567" s="28">
        <v>4.1146337207314199E-2</v>
      </c>
    </row>
    <row r="568" spans="1:19" x14ac:dyDescent="0.25">
      <c r="A568" s="28">
        <v>2018</v>
      </c>
      <c r="B568" s="28"/>
      <c r="C568" s="28" t="s">
        <v>119</v>
      </c>
      <c r="D568" s="28" t="s">
        <v>380</v>
      </c>
      <c r="E568" s="28" t="s">
        <v>381</v>
      </c>
      <c r="F568" s="28" t="s">
        <v>338</v>
      </c>
      <c r="G568" s="302" t="s">
        <v>1608</v>
      </c>
      <c r="H568" s="28">
        <v>39.799250000000001</v>
      </c>
      <c r="I568" s="28">
        <v>-75.33296</v>
      </c>
      <c r="J568" s="28"/>
      <c r="K568" s="61">
        <v>110009721836</v>
      </c>
      <c r="L568" s="61" t="str">
        <f>IFERROR(INDEX('Facility Summary'!$K:$K,MATCH(K568,'Facility Summary'!$J:$J,0)),INDEX('Raw Annual DMR Data'!$M:$M,MATCH(K568,'Raw Annual DMR Data'!$L:$L,0)))</f>
        <v>Repackaging</v>
      </c>
      <c r="M568" s="28"/>
      <c r="N568" s="28"/>
      <c r="O568" s="28"/>
      <c r="P568" s="28"/>
      <c r="Q568" s="28"/>
      <c r="R568" s="28"/>
      <c r="S568" s="302">
        <v>5.2971456135736297E-2</v>
      </c>
    </row>
    <row r="569" spans="1:19" x14ac:dyDescent="0.25">
      <c r="A569" s="28">
        <v>2015</v>
      </c>
      <c r="B569" s="28"/>
      <c r="C569" s="28" t="s">
        <v>1040</v>
      </c>
      <c r="D569" s="28" t="s">
        <v>1610</v>
      </c>
      <c r="E569" s="28" t="s">
        <v>1041</v>
      </c>
      <c r="F569" s="28" t="s">
        <v>478</v>
      </c>
      <c r="G569" s="28">
        <v>19809</v>
      </c>
      <c r="H569" s="28">
        <v>39.752721999999999</v>
      </c>
      <c r="I569" s="28">
        <v>-75.495151000000007</v>
      </c>
      <c r="J569" s="28"/>
      <c r="K569" s="61">
        <v>110000338830</v>
      </c>
      <c r="L569" s="61" t="str">
        <f>IFERROR(INDEX('Facility Summary'!$K:$K,MATCH(K569,'Facility Summary'!$J:$J,0)),INDEX('Raw Annual DMR Data'!$M:$M,MATCH(K569,'Raw Annual DMR Data'!$L:$L,0)))</f>
        <v>Unknown</v>
      </c>
      <c r="M569" s="28"/>
      <c r="N569" s="28"/>
      <c r="O569" s="28"/>
      <c r="P569" s="28"/>
      <c r="Q569" s="28"/>
      <c r="R569" s="28"/>
      <c r="S569" s="28">
        <v>0.417233560090702</v>
      </c>
    </row>
    <row r="570" spans="1:19" x14ac:dyDescent="0.25">
      <c r="A570" s="28">
        <v>2016</v>
      </c>
      <c r="B570" s="28"/>
      <c r="C570" s="28" t="s">
        <v>1040</v>
      </c>
      <c r="D570" s="28" t="s">
        <v>1610</v>
      </c>
      <c r="E570" s="28" t="s">
        <v>1041</v>
      </c>
      <c r="F570" s="28" t="s">
        <v>478</v>
      </c>
      <c r="G570" s="28">
        <v>19809</v>
      </c>
      <c r="H570" s="28">
        <v>39.752721999999999</v>
      </c>
      <c r="I570" s="28">
        <v>-75.495151000000007</v>
      </c>
      <c r="J570" s="28"/>
      <c r="K570" s="61">
        <v>110000338830</v>
      </c>
      <c r="L570" s="61" t="str">
        <f>IFERROR(INDEX('Facility Summary'!$K:$K,MATCH(K570,'Facility Summary'!$J:$J,0)),INDEX('Raw Annual DMR Data'!$M:$M,MATCH(K570,'Raw Annual DMR Data'!$L:$L,0)))</f>
        <v>Unknown</v>
      </c>
      <c r="M570" s="28"/>
      <c r="N570" s="28"/>
      <c r="O570" s="28"/>
      <c r="P570" s="28"/>
      <c r="Q570" s="28"/>
      <c r="R570" s="28"/>
      <c r="S570" s="28">
        <v>0.100136054421768</v>
      </c>
    </row>
    <row r="571" spans="1:19" x14ac:dyDescent="0.25">
      <c r="A571" s="28">
        <v>2015</v>
      </c>
      <c r="B571" s="28"/>
      <c r="C571" s="28" t="s">
        <v>1042</v>
      </c>
      <c r="D571" s="28" t="s">
        <v>1612</v>
      </c>
      <c r="E571" s="28" t="s">
        <v>1043</v>
      </c>
      <c r="F571" s="28" t="s">
        <v>345</v>
      </c>
      <c r="G571" s="28" t="s">
        <v>1613</v>
      </c>
      <c r="H571" s="28">
        <v>42.468611000000003</v>
      </c>
      <c r="I571" s="28">
        <v>-89.065550000000002</v>
      </c>
      <c r="J571" s="28" t="s">
        <v>708</v>
      </c>
      <c r="K571" s="61">
        <v>110000500459</v>
      </c>
      <c r="L571" s="61" t="str">
        <f>IFERROR(INDEX('Facility Summary'!$K:$K,MATCH(K571,'Facility Summary'!$J:$J,0)),INDEX('Raw Annual DMR Data'!$M:$M,MATCH(K571,'Raw Annual DMR Data'!$L:$L,0)))</f>
        <v>Unknown</v>
      </c>
      <c r="M571" s="28"/>
      <c r="N571" s="28"/>
      <c r="O571" s="28"/>
      <c r="P571" s="28"/>
      <c r="Q571" s="28"/>
      <c r="R571" s="28"/>
      <c r="S571" s="28">
        <v>9.2420237500000002E-2</v>
      </c>
    </row>
    <row r="572" spans="1:19" x14ac:dyDescent="0.25">
      <c r="A572" s="28">
        <v>2016</v>
      </c>
      <c r="B572" s="28"/>
      <c r="C572" s="28" t="s">
        <v>1042</v>
      </c>
      <c r="D572" s="28" t="s">
        <v>1612</v>
      </c>
      <c r="E572" s="28" t="s">
        <v>1043</v>
      </c>
      <c r="F572" s="28" t="s">
        <v>345</v>
      </c>
      <c r="G572" s="28" t="s">
        <v>1613</v>
      </c>
      <c r="H572" s="28">
        <v>42.468611000000003</v>
      </c>
      <c r="I572" s="28">
        <v>-89.065550000000002</v>
      </c>
      <c r="J572" s="28" t="s">
        <v>708</v>
      </c>
      <c r="K572" s="61">
        <v>110000500459</v>
      </c>
      <c r="L572" s="61" t="str">
        <f>IFERROR(INDEX('Facility Summary'!$K:$K,MATCH(K572,'Facility Summary'!$J:$J,0)),INDEX('Raw Annual DMR Data'!$M:$M,MATCH(K572,'Raw Annual DMR Data'!$L:$L,0)))</f>
        <v>Unknown</v>
      </c>
      <c r="M572" s="28"/>
      <c r="N572" s="28"/>
      <c r="O572" s="28"/>
      <c r="P572" s="28"/>
      <c r="Q572" s="28"/>
      <c r="R572" s="28"/>
      <c r="S572" s="28">
        <v>7.7017180000000005E-2</v>
      </c>
    </row>
    <row r="573" spans="1:19" x14ac:dyDescent="0.25">
      <c r="A573" s="28">
        <v>2017</v>
      </c>
      <c r="B573" s="28"/>
      <c r="C573" s="28" t="s">
        <v>1042</v>
      </c>
      <c r="D573" s="28" t="s">
        <v>1612</v>
      </c>
      <c r="E573" s="28" t="s">
        <v>1043</v>
      </c>
      <c r="F573" s="28" t="s">
        <v>345</v>
      </c>
      <c r="G573" s="28" t="s">
        <v>1613</v>
      </c>
      <c r="H573" s="28">
        <v>42.468611000000003</v>
      </c>
      <c r="I573" s="28">
        <v>-89.065550000000002</v>
      </c>
      <c r="J573" s="28" t="s">
        <v>708</v>
      </c>
      <c r="K573" s="61">
        <v>110000500459</v>
      </c>
      <c r="L573" s="61" t="str">
        <f>IFERROR(INDEX('Facility Summary'!$K:$K,MATCH(K573,'Facility Summary'!$J:$J,0)),INDEX('Raw Annual DMR Data'!$M:$M,MATCH(K573,'Raw Annual DMR Data'!$L:$L,0)))</f>
        <v>Unknown</v>
      </c>
      <c r="M573" s="28"/>
      <c r="N573" s="28"/>
      <c r="O573" s="28"/>
      <c r="P573" s="28"/>
      <c r="Q573" s="28"/>
      <c r="R573" s="28"/>
      <c r="S573" s="28">
        <v>0.11565446</v>
      </c>
    </row>
    <row r="574" spans="1:19" x14ac:dyDescent="0.25">
      <c r="A574" s="28">
        <v>2018</v>
      </c>
      <c r="B574" s="28"/>
      <c r="C574" s="28" t="s">
        <v>1042</v>
      </c>
      <c r="D574" s="28" t="s">
        <v>1612</v>
      </c>
      <c r="E574" s="28" t="s">
        <v>1043</v>
      </c>
      <c r="F574" s="28" t="s">
        <v>345</v>
      </c>
      <c r="G574" s="28" t="s">
        <v>1613</v>
      </c>
      <c r="H574" s="28">
        <v>42.468611000000003</v>
      </c>
      <c r="I574" s="28">
        <v>-89.065550000000002</v>
      </c>
      <c r="J574" s="28" t="s">
        <v>708</v>
      </c>
      <c r="K574" s="61">
        <v>110000500459</v>
      </c>
      <c r="L574" s="61" t="str">
        <f>IFERROR(INDEX('Facility Summary'!$K:$K,MATCH(K574,'Facility Summary'!$J:$J,0)),INDEX('Raw Annual DMR Data'!$M:$M,MATCH(K574,'Raw Annual DMR Data'!$L:$L,0)))</f>
        <v>Unknown</v>
      </c>
      <c r="M574" s="28"/>
      <c r="N574" s="28"/>
      <c r="O574" s="28"/>
      <c r="P574" s="28"/>
      <c r="Q574" s="28"/>
      <c r="R574" s="28"/>
      <c r="S574" s="28">
        <v>0.1152892075</v>
      </c>
    </row>
    <row r="575" spans="1:19" x14ac:dyDescent="0.25">
      <c r="A575" s="28">
        <v>2019</v>
      </c>
      <c r="B575" s="28"/>
      <c r="C575" s="28" t="s">
        <v>1042</v>
      </c>
      <c r="D575" s="28" t="s">
        <v>1612</v>
      </c>
      <c r="E575" s="28" t="s">
        <v>1043</v>
      </c>
      <c r="F575" s="28" t="s">
        <v>345</v>
      </c>
      <c r="G575" s="28" t="s">
        <v>1613</v>
      </c>
      <c r="H575" s="28">
        <v>42.468611000000003</v>
      </c>
      <c r="I575" s="28">
        <v>-89.065550000000002</v>
      </c>
      <c r="J575" s="28" t="s">
        <v>708</v>
      </c>
      <c r="K575" s="61">
        <v>110000500459</v>
      </c>
      <c r="L575" s="61" t="str">
        <f>IFERROR(INDEX('Facility Summary'!$K:$K,MATCH(K575,'Facility Summary'!$J:$J,0)),INDEX('Raw Annual DMR Data'!$M:$M,MATCH(K575,'Raw Annual DMR Data'!$L:$L,0)))</f>
        <v>Unknown</v>
      </c>
      <c r="M575" s="28"/>
      <c r="N575" s="28"/>
      <c r="O575" s="28"/>
      <c r="P575" s="28"/>
      <c r="Q575" s="28"/>
      <c r="R575" s="28"/>
      <c r="S575" s="28">
        <v>9.9973204999999996E-2</v>
      </c>
    </row>
    <row r="576" spans="1:19" x14ac:dyDescent="0.25">
      <c r="A576" s="28">
        <v>2020</v>
      </c>
      <c r="B576" s="28"/>
      <c r="C576" s="28" t="s">
        <v>1042</v>
      </c>
      <c r="D576" s="28" t="s">
        <v>1612</v>
      </c>
      <c r="E576" s="28" t="s">
        <v>1043</v>
      </c>
      <c r="F576" s="28" t="s">
        <v>345</v>
      </c>
      <c r="G576" s="28" t="s">
        <v>1613</v>
      </c>
      <c r="H576" s="28">
        <v>42.468611000000003</v>
      </c>
      <c r="I576" s="28">
        <v>-89.065550000000002</v>
      </c>
      <c r="J576" s="28" t="s">
        <v>708</v>
      </c>
      <c r="K576" s="61">
        <v>110000500459</v>
      </c>
      <c r="L576" s="61" t="str">
        <f>IFERROR(INDEX('Facility Summary'!$K:$K,MATCH(K576,'Facility Summary'!$J:$J,0)),INDEX('Raw Annual DMR Data'!$M:$M,MATCH(K576,'Raw Annual DMR Data'!$L:$L,0)))</f>
        <v>Unknown</v>
      </c>
      <c r="M576" s="28"/>
      <c r="N576" s="28"/>
      <c r="O576" s="28"/>
      <c r="P576" s="28"/>
      <c r="Q576" s="28"/>
      <c r="R576" s="28"/>
      <c r="S576" s="28">
        <v>0.1101226825</v>
      </c>
    </row>
    <row r="577" spans="1:19" x14ac:dyDescent="0.25">
      <c r="A577" s="28">
        <v>2015</v>
      </c>
      <c r="B577" s="28"/>
      <c r="C577" s="28" t="s">
        <v>1044</v>
      </c>
      <c r="D577" s="28" t="s">
        <v>1617</v>
      </c>
      <c r="E577" s="28" t="s">
        <v>1045</v>
      </c>
      <c r="F577" s="28" t="s">
        <v>427</v>
      </c>
      <c r="G577" s="28" t="s">
        <v>1618</v>
      </c>
      <c r="H577" s="28">
        <v>42.592550000000003</v>
      </c>
      <c r="I577" s="28">
        <v>-83.889930000000007</v>
      </c>
      <c r="J577" s="28"/>
      <c r="K577" s="61">
        <v>110000408265</v>
      </c>
      <c r="L577" s="61" t="str">
        <f>IFERROR(INDEX('Facility Summary'!$K:$K,MATCH(K577,'Facility Summary'!$J:$J,0)),INDEX('Raw Annual DMR Data'!$M:$M,MATCH(K577,'Raw Annual DMR Data'!$L:$L,0)))</f>
        <v>Unknown</v>
      </c>
      <c r="M577" s="28"/>
      <c r="N577" s="28"/>
      <c r="O577" s="28"/>
      <c r="P577" s="28"/>
      <c r="Q577" s="28"/>
      <c r="R577" s="28"/>
      <c r="S577" s="28">
        <v>1.0545907045E-2</v>
      </c>
    </row>
    <row r="578" spans="1:19" x14ac:dyDescent="0.25">
      <c r="A578" s="28">
        <v>2016</v>
      </c>
      <c r="B578" s="28"/>
      <c r="C578" s="28" t="s">
        <v>1044</v>
      </c>
      <c r="D578" s="28" t="s">
        <v>1617</v>
      </c>
      <c r="E578" s="28" t="s">
        <v>1045</v>
      </c>
      <c r="F578" s="28" t="s">
        <v>427</v>
      </c>
      <c r="G578" s="28" t="s">
        <v>1618</v>
      </c>
      <c r="H578" s="28">
        <v>42.592550000000003</v>
      </c>
      <c r="I578" s="28">
        <v>-83.889930000000007</v>
      </c>
      <c r="J578" s="28"/>
      <c r="K578" s="61">
        <v>110000408265</v>
      </c>
      <c r="L578" s="61" t="str">
        <f>IFERROR(INDEX('Facility Summary'!$K:$K,MATCH(K578,'Facility Summary'!$J:$J,0)),INDEX('Raw Annual DMR Data'!$M:$M,MATCH(K578,'Raw Annual DMR Data'!$L:$L,0)))</f>
        <v>Unknown</v>
      </c>
      <c r="M578" s="28"/>
      <c r="N578" s="28"/>
      <c r="O578" s="28"/>
      <c r="P578" s="28"/>
      <c r="Q578" s="28"/>
      <c r="R578" s="28"/>
      <c r="S578" s="28">
        <v>8.5713172079999993E-3</v>
      </c>
    </row>
    <row r="579" spans="1:19" x14ac:dyDescent="0.25">
      <c r="A579" s="28">
        <v>2017</v>
      </c>
      <c r="B579" s="28"/>
      <c r="C579" s="28" t="s">
        <v>1044</v>
      </c>
      <c r="D579" s="28" t="s">
        <v>1617</v>
      </c>
      <c r="E579" s="28" t="s">
        <v>1045</v>
      </c>
      <c r="F579" s="28" t="s">
        <v>427</v>
      </c>
      <c r="G579" s="28" t="s">
        <v>1618</v>
      </c>
      <c r="H579" s="28">
        <v>42.592550000000003</v>
      </c>
      <c r="I579" s="28">
        <v>-83.889930000000007</v>
      </c>
      <c r="J579" s="28"/>
      <c r="K579" s="61">
        <v>110000408265</v>
      </c>
      <c r="L579" s="61" t="str">
        <f>IFERROR(INDEX('Facility Summary'!$K:$K,MATCH(K579,'Facility Summary'!$J:$J,0)),INDEX('Raw Annual DMR Data'!$M:$M,MATCH(K579,'Raw Annual DMR Data'!$L:$L,0)))</f>
        <v>Unknown</v>
      </c>
      <c r="M579" s="28"/>
      <c r="N579" s="28"/>
      <c r="O579" s="28"/>
      <c r="P579" s="28"/>
      <c r="Q579" s="28"/>
      <c r="R579" s="28"/>
      <c r="S579" s="28">
        <v>7.7366781524999999E-3</v>
      </c>
    </row>
    <row r="580" spans="1:19" x14ac:dyDescent="0.25">
      <c r="A580" s="28">
        <v>2018</v>
      </c>
      <c r="B580" s="28"/>
      <c r="C580" s="28" t="s">
        <v>1044</v>
      </c>
      <c r="D580" s="28" t="s">
        <v>1617</v>
      </c>
      <c r="E580" s="28" t="s">
        <v>1045</v>
      </c>
      <c r="F580" s="28" t="s">
        <v>427</v>
      </c>
      <c r="G580" s="28" t="s">
        <v>1618</v>
      </c>
      <c r="H580" s="28">
        <v>42.592550000000003</v>
      </c>
      <c r="I580" s="28">
        <v>-83.889930000000007</v>
      </c>
      <c r="J580" s="28"/>
      <c r="K580" s="61">
        <v>110000408265</v>
      </c>
      <c r="L580" s="61" t="str">
        <f>IFERROR(INDEX('Facility Summary'!$K:$K,MATCH(K580,'Facility Summary'!$J:$J,0)),INDEX('Raw Annual DMR Data'!$M:$M,MATCH(K580,'Raw Annual DMR Data'!$L:$L,0)))</f>
        <v>Unknown</v>
      </c>
      <c r="M580" s="28"/>
      <c r="N580" s="28"/>
      <c r="O580" s="28"/>
      <c r="P580" s="28"/>
      <c r="Q580" s="28"/>
      <c r="R580" s="28"/>
      <c r="S580" s="28">
        <v>7.2602545249999999E-3</v>
      </c>
    </row>
    <row r="581" spans="1:19" x14ac:dyDescent="0.25">
      <c r="A581" s="28">
        <v>2019</v>
      </c>
      <c r="B581" s="28"/>
      <c r="C581" s="28" t="s">
        <v>1044</v>
      </c>
      <c r="D581" s="28" t="s">
        <v>1617</v>
      </c>
      <c r="E581" s="28" t="s">
        <v>1045</v>
      </c>
      <c r="F581" s="28" t="s">
        <v>427</v>
      </c>
      <c r="G581" s="28" t="s">
        <v>1618</v>
      </c>
      <c r="H581" s="28">
        <v>42.592550000000003</v>
      </c>
      <c r="I581" s="28">
        <v>-83.889930000000007</v>
      </c>
      <c r="J581" s="28"/>
      <c r="K581" s="61">
        <v>110000408265</v>
      </c>
      <c r="L581" s="61" t="str">
        <f>IFERROR(INDEX('Facility Summary'!$K:$K,MATCH(K581,'Facility Summary'!$J:$J,0)),INDEX('Raw Annual DMR Data'!$M:$M,MATCH(K581,'Raw Annual DMR Data'!$L:$L,0)))</f>
        <v>Unknown</v>
      </c>
      <c r="M581" s="28"/>
      <c r="N581" s="28"/>
      <c r="O581" s="28"/>
      <c r="P581" s="28"/>
      <c r="Q581" s="28"/>
      <c r="R581" s="28"/>
      <c r="S581" s="28">
        <v>9.6483434999999999E-3</v>
      </c>
    </row>
    <row r="582" spans="1:19" x14ac:dyDescent="0.25">
      <c r="A582" s="28">
        <v>2020</v>
      </c>
      <c r="B582" s="28"/>
      <c r="C582" s="28" t="s">
        <v>1044</v>
      </c>
      <c r="D582" s="28" t="s">
        <v>1617</v>
      </c>
      <c r="E582" s="28" t="s">
        <v>1045</v>
      </c>
      <c r="F582" s="28" t="s">
        <v>427</v>
      </c>
      <c r="G582" s="28" t="s">
        <v>1618</v>
      </c>
      <c r="H582" s="28">
        <v>42.592550000000003</v>
      </c>
      <c r="I582" s="28">
        <v>-83.889930000000007</v>
      </c>
      <c r="J582" s="28"/>
      <c r="K582" s="61">
        <v>110000408265</v>
      </c>
      <c r="L582" s="61" t="str">
        <f>IFERROR(INDEX('Facility Summary'!$K:$K,MATCH(K582,'Facility Summary'!$J:$J,0)),INDEX('Raw Annual DMR Data'!$M:$M,MATCH(K582,'Raw Annual DMR Data'!$L:$L,0)))</f>
        <v>Unknown</v>
      </c>
      <c r="M582" s="28"/>
      <c r="N582" s="28"/>
      <c r="O582" s="28"/>
      <c r="P582" s="28"/>
      <c r="Q582" s="28"/>
      <c r="R582" s="28"/>
      <c r="S582" s="28">
        <v>4.5843919999999996E-3</v>
      </c>
    </row>
    <row r="583" spans="1:19" x14ac:dyDescent="0.25">
      <c r="A583" s="28">
        <v>2016</v>
      </c>
      <c r="B583" s="28"/>
      <c r="C583" s="28" t="s">
        <v>1046</v>
      </c>
      <c r="D583" s="28" t="s">
        <v>1622</v>
      </c>
      <c r="E583" s="28" t="s">
        <v>1047</v>
      </c>
      <c r="F583" s="28" t="s">
        <v>374</v>
      </c>
      <c r="G583" s="28">
        <v>86503</v>
      </c>
      <c r="H583" s="28">
        <v>36.179194000000003</v>
      </c>
      <c r="I583" s="28">
        <v>-109.58580600000001</v>
      </c>
      <c r="J583" s="28"/>
      <c r="K583" s="61">
        <v>110010062680</v>
      </c>
      <c r="L583" s="61" t="str">
        <f>IFERROR(INDEX('Facility Summary'!$K:$K,MATCH(K583,'Facility Summary'!$J:$J,0)),INDEX('Raw Annual DMR Data'!$M:$M,MATCH(K583,'Raw Annual DMR Data'!$L:$L,0)))</f>
        <v>POTW</v>
      </c>
      <c r="M583" s="28"/>
      <c r="N583" s="28"/>
      <c r="O583" s="28"/>
      <c r="P583" s="28"/>
      <c r="Q583" s="28"/>
      <c r="R583" s="28"/>
      <c r="S583" s="28">
        <v>4.1089960000000003</v>
      </c>
    </row>
    <row r="584" spans="1:19" x14ac:dyDescent="0.25">
      <c r="A584" s="28">
        <v>2018</v>
      </c>
      <c r="B584" s="28"/>
      <c r="C584" s="28" t="s">
        <v>1046</v>
      </c>
      <c r="D584" s="28" t="s">
        <v>1622</v>
      </c>
      <c r="E584" s="28" t="s">
        <v>1047</v>
      </c>
      <c r="F584" s="28" t="s">
        <v>374</v>
      </c>
      <c r="G584" s="28">
        <v>86503</v>
      </c>
      <c r="H584" s="28">
        <v>36.179194000000003</v>
      </c>
      <c r="I584" s="28">
        <v>-109.58580600000001</v>
      </c>
      <c r="J584" s="28"/>
      <c r="K584" s="61">
        <v>110010062680</v>
      </c>
      <c r="L584" s="61" t="str">
        <f>IFERROR(INDEX('Facility Summary'!$K:$K,MATCH(K584,'Facility Summary'!$J:$J,0)),INDEX('Raw Annual DMR Data'!$M:$M,MATCH(K584,'Raw Annual DMR Data'!$L:$L,0)))</f>
        <v>POTW</v>
      </c>
      <c r="M584" s="28"/>
      <c r="N584" s="28"/>
      <c r="O584" s="28"/>
      <c r="P584" s="28"/>
      <c r="Q584" s="28"/>
      <c r="R584" s="28"/>
      <c r="S584" s="28">
        <v>0.85419880000000004</v>
      </c>
    </row>
    <row r="585" spans="1:19" x14ac:dyDescent="0.25">
      <c r="A585" s="28">
        <v>2015</v>
      </c>
      <c r="B585" s="28"/>
      <c r="C585" s="28" t="s">
        <v>1048</v>
      </c>
      <c r="D585" s="28" t="s">
        <v>1625</v>
      </c>
      <c r="E585" s="28" t="s">
        <v>1049</v>
      </c>
      <c r="F585" s="28" t="s">
        <v>1050</v>
      </c>
      <c r="G585" s="28">
        <v>59404</v>
      </c>
      <c r="H585" s="28">
        <v>47.52131</v>
      </c>
      <c r="I585" s="28">
        <v>-111.29958000000001</v>
      </c>
      <c r="J585" s="28"/>
      <c r="K585" s="61">
        <v>110064645460</v>
      </c>
      <c r="L585" s="61" t="str">
        <f>IFERROR(INDEX('Facility Summary'!$K:$K,MATCH(K585,'Facility Summary'!$J:$J,0)),INDEX('Raw Annual DMR Data'!$M:$M,MATCH(K585,'Raw Annual DMR Data'!$L:$L,0)))</f>
        <v>POTW</v>
      </c>
      <c r="M585" s="28"/>
      <c r="N585" s="28"/>
      <c r="O585" s="28"/>
      <c r="P585" s="28"/>
      <c r="Q585" s="28"/>
      <c r="R585" s="28"/>
      <c r="S585" s="28">
        <v>3.3097276433333298</v>
      </c>
    </row>
    <row r="586" spans="1:19" x14ac:dyDescent="0.25">
      <c r="A586" s="28">
        <v>2016</v>
      </c>
      <c r="B586" s="28"/>
      <c r="C586" s="28" t="s">
        <v>1048</v>
      </c>
      <c r="D586" s="28" t="s">
        <v>1625</v>
      </c>
      <c r="E586" s="28" t="s">
        <v>1049</v>
      </c>
      <c r="F586" s="28" t="s">
        <v>1050</v>
      </c>
      <c r="G586" s="28">
        <v>59404</v>
      </c>
      <c r="H586" s="28">
        <v>47.52131</v>
      </c>
      <c r="I586" s="28">
        <v>-111.29958000000001</v>
      </c>
      <c r="J586" s="28"/>
      <c r="K586" s="61">
        <v>110064645460</v>
      </c>
      <c r="L586" s="61" t="str">
        <f>IFERROR(INDEX('Facility Summary'!$K:$K,MATCH(K586,'Facility Summary'!$J:$J,0)),INDEX('Raw Annual DMR Data'!$M:$M,MATCH(K586,'Raw Annual DMR Data'!$L:$L,0)))</f>
        <v>POTW</v>
      </c>
      <c r="M586" s="28"/>
      <c r="N586" s="28"/>
      <c r="O586" s="28"/>
      <c r="P586" s="28"/>
      <c r="Q586" s="28"/>
      <c r="R586" s="28"/>
      <c r="S586" s="28">
        <v>11.51133564</v>
      </c>
    </row>
    <row r="587" spans="1:19" x14ac:dyDescent="0.25">
      <c r="A587" s="28">
        <v>2017</v>
      </c>
      <c r="B587" s="28"/>
      <c r="C587" s="28" t="s">
        <v>1048</v>
      </c>
      <c r="D587" s="28" t="s">
        <v>1625</v>
      </c>
      <c r="E587" s="28" t="s">
        <v>1049</v>
      </c>
      <c r="F587" s="28" t="s">
        <v>1050</v>
      </c>
      <c r="G587" s="28">
        <v>59404</v>
      </c>
      <c r="H587" s="28">
        <v>47.52131</v>
      </c>
      <c r="I587" s="28">
        <v>-111.29958000000001</v>
      </c>
      <c r="J587" s="28"/>
      <c r="K587" s="61">
        <v>110064645460</v>
      </c>
      <c r="L587" s="61" t="str">
        <f>IFERROR(INDEX('Facility Summary'!$K:$K,MATCH(K587,'Facility Summary'!$J:$J,0)),INDEX('Raw Annual DMR Data'!$M:$M,MATCH(K587,'Raw Annual DMR Data'!$L:$L,0)))</f>
        <v>POTW</v>
      </c>
      <c r="M587" s="28"/>
      <c r="N587" s="28"/>
      <c r="O587" s="28"/>
      <c r="P587" s="28"/>
      <c r="Q587" s="28"/>
      <c r="R587" s="28"/>
      <c r="S587" s="28">
        <v>3.3764575087500002</v>
      </c>
    </row>
    <row r="588" spans="1:19" x14ac:dyDescent="0.25">
      <c r="A588" s="28">
        <v>2018</v>
      </c>
      <c r="B588" s="28"/>
      <c r="C588" s="28" t="s">
        <v>1048</v>
      </c>
      <c r="D588" s="28" t="s">
        <v>1625</v>
      </c>
      <c r="E588" s="28" t="s">
        <v>1049</v>
      </c>
      <c r="F588" s="28" t="s">
        <v>1050</v>
      </c>
      <c r="G588" s="28">
        <v>59404</v>
      </c>
      <c r="H588" s="28">
        <v>47.52131</v>
      </c>
      <c r="I588" s="28">
        <v>-111.29958000000001</v>
      </c>
      <c r="J588" s="28"/>
      <c r="K588" s="61">
        <v>110064645460</v>
      </c>
      <c r="L588" s="61" t="str">
        <f>IFERROR(INDEX('Facility Summary'!$K:$K,MATCH(K588,'Facility Summary'!$J:$J,0)),INDEX('Raw Annual DMR Data'!$M:$M,MATCH(K588,'Raw Annual DMR Data'!$L:$L,0)))</f>
        <v>POTW</v>
      </c>
      <c r="M588" s="28"/>
      <c r="N588" s="28"/>
      <c r="O588" s="28"/>
      <c r="P588" s="28"/>
      <c r="Q588" s="28"/>
      <c r="R588" s="28"/>
      <c r="S588" s="28">
        <v>3.0390427375</v>
      </c>
    </row>
    <row r="589" spans="1:19" x14ac:dyDescent="0.25">
      <c r="A589" s="28">
        <v>2019</v>
      </c>
      <c r="B589" s="28"/>
      <c r="C589" s="28" t="s">
        <v>1048</v>
      </c>
      <c r="D589" s="28" t="s">
        <v>1625</v>
      </c>
      <c r="E589" s="28" t="s">
        <v>1049</v>
      </c>
      <c r="F589" s="28" t="s">
        <v>1050</v>
      </c>
      <c r="G589" s="28">
        <v>59404</v>
      </c>
      <c r="H589" s="28">
        <v>47.52131</v>
      </c>
      <c r="I589" s="28">
        <v>-111.29958000000001</v>
      </c>
      <c r="J589" s="28"/>
      <c r="K589" s="61">
        <v>110064645460</v>
      </c>
      <c r="L589" s="61" t="str">
        <f>IFERROR(INDEX('Facility Summary'!$K:$K,MATCH(K589,'Facility Summary'!$J:$J,0)),INDEX('Raw Annual DMR Data'!$M:$M,MATCH(K589,'Raw Annual DMR Data'!$L:$L,0)))</f>
        <v>POTW</v>
      </c>
      <c r="M589" s="28"/>
      <c r="N589" s="28"/>
      <c r="O589" s="28"/>
      <c r="P589" s="28"/>
      <c r="Q589" s="28"/>
      <c r="R589" s="28"/>
      <c r="S589" s="28">
        <v>3.017564755</v>
      </c>
    </row>
    <row r="590" spans="1:19" x14ac:dyDescent="0.25">
      <c r="A590" s="28">
        <v>2016</v>
      </c>
      <c r="B590" s="28"/>
      <c r="C590" s="28" t="s">
        <v>1051</v>
      </c>
      <c r="D590" s="28" t="s">
        <v>1628</v>
      </c>
      <c r="E590" s="28" t="s">
        <v>1052</v>
      </c>
      <c r="F590" s="28" t="s">
        <v>374</v>
      </c>
      <c r="G590" s="28">
        <v>85296</v>
      </c>
      <c r="H590" s="28">
        <v>33.270409999999998</v>
      </c>
      <c r="I590" s="28">
        <v>-111.73791</v>
      </c>
      <c r="J590" s="28"/>
      <c r="K590" s="61">
        <v>110022853429</v>
      </c>
      <c r="L590" s="61" t="str">
        <f>IFERROR(INDEX('Facility Summary'!$K:$K,MATCH(K590,'Facility Summary'!$J:$J,0)),INDEX('Raw Annual DMR Data'!$M:$M,MATCH(K590,'Raw Annual DMR Data'!$L:$L,0)))</f>
        <v>POTW</v>
      </c>
      <c r="M590" s="28"/>
      <c r="N590" s="28"/>
      <c r="O590" s="28"/>
      <c r="P590" s="28"/>
      <c r="Q590" s="28"/>
      <c r="R590" s="28"/>
      <c r="S590" s="28">
        <v>1.2744568125</v>
      </c>
    </row>
    <row r="591" spans="1:19" x14ac:dyDescent="0.25">
      <c r="A591" s="28">
        <v>2015</v>
      </c>
      <c r="B591" s="28"/>
      <c r="C591" s="28" t="s">
        <v>1053</v>
      </c>
      <c r="D591" s="28" t="s">
        <v>1630</v>
      </c>
      <c r="E591" s="28" t="s">
        <v>1054</v>
      </c>
      <c r="F591" s="28" t="s">
        <v>374</v>
      </c>
      <c r="G591" s="28">
        <v>85383</v>
      </c>
      <c r="H591" s="28">
        <v>33.726889999999997</v>
      </c>
      <c r="I591" s="28">
        <v>-112.33074000000001</v>
      </c>
      <c r="J591" s="28"/>
      <c r="K591" s="61">
        <v>110015317423</v>
      </c>
      <c r="L591" s="61" t="str">
        <f>IFERROR(INDEX('Facility Summary'!$K:$K,MATCH(K591,'Facility Summary'!$J:$J,0)),INDEX('Raw Annual DMR Data'!$M:$M,MATCH(K591,'Raw Annual DMR Data'!$L:$L,0)))</f>
        <v>POTW</v>
      </c>
      <c r="M591" s="28"/>
      <c r="N591" s="28"/>
      <c r="O591" s="28"/>
      <c r="P591" s="28"/>
      <c r="Q591" s="28"/>
      <c r="R591" s="28"/>
      <c r="S591" s="28">
        <v>0.5360317</v>
      </c>
    </row>
    <row r="592" spans="1:19" x14ac:dyDescent="0.25">
      <c r="A592" s="28">
        <v>2016</v>
      </c>
      <c r="B592" s="28"/>
      <c r="C592" s="28" t="s">
        <v>1053</v>
      </c>
      <c r="D592" s="28" t="s">
        <v>1630</v>
      </c>
      <c r="E592" s="28" t="s">
        <v>1054</v>
      </c>
      <c r="F592" s="28" t="s">
        <v>374</v>
      </c>
      <c r="G592" s="28">
        <v>85383</v>
      </c>
      <c r="H592" s="28">
        <v>33.726889999999997</v>
      </c>
      <c r="I592" s="28">
        <v>-112.33074000000001</v>
      </c>
      <c r="J592" s="28"/>
      <c r="K592" s="61">
        <v>110015317423</v>
      </c>
      <c r="L592" s="61" t="str">
        <f>IFERROR(INDEX('Facility Summary'!$K:$K,MATCH(K592,'Facility Summary'!$J:$J,0)),INDEX('Raw Annual DMR Data'!$M:$M,MATCH(K592,'Raw Annual DMR Data'!$L:$L,0)))</f>
        <v>POTW</v>
      </c>
      <c r="M592" s="28"/>
      <c r="N592" s="28"/>
      <c r="O592" s="28"/>
      <c r="P592" s="28"/>
      <c r="Q592" s="28"/>
      <c r="R592" s="28"/>
      <c r="S592" s="28">
        <v>1.009894775</v>
      </c>
    </row>
    <row r="593" spans="1:19" x14ac:dyDescent="0.25">
      <c r="A593" s="28">
        <v>2018</v>
      </c>
      <c r="B593" s="28"/>
      <c r="C593" s="28" t="s">
        <v>1053</v>
      </c>
      <c r="D593" s="28" t="s">
        <v>1630</v>
      </c>
      <c r="E593" s="28" t="s">
        <v>1054</v>
      </c>
      <c r="F593" s="28" t="s">
        <v>374</v>
      </c>
      <c r="G593" s="28">
        <v>85383</v>
      </c>
      <c r="H593" s="28">
        <v>33.726889999999997</v>
      </c>
      <c r="I593" s="28">
        <v>-112.33074000000001</v>
      </c>
      <c r="J593" s="28"/>
      <c r="K593" s="61">
        <v>110015317423</v>
      </c>
      <c r="L593" s="61" t="str">
        <f>IFERROR(INDEX('Facility Summary'!$K:$K,MATCH(K593,'Facility Summary'!$J:$J,0)),INDEX('Raw Annual DMR Data'!$M:$M,MATCH(K593,'Raw Annual DMR Data'!$L:$L,0)))</f>
        <v>POTW</v>
      </c>
      <c r="M593" s="28"/>
      <c r="N593" s="28"/>
      <c r="O593" s="28"/>
      <c r="P593" s="28"/>
      <c r="Q593" s="28"/>
      <c r="R593" s="28"/>
      <c r="S593" s="28">
        <v>1.183966925</v>
      </c>
    </row>
    <row r="594" spans="1:19" x14ac:dyDescent="0.25">
      <c r="A594" s="28">
        <v>2016</v>
      </c>
      <c r="B594" s="28"/>
      <c r="C594" s="28" t="s">
        <v>1055</v>
      </c>
      <c r="D594" s="28" t="s">
        <v>1632</v>
      </c>
      <c r="E594" s="28" t="s">
        <v>962</v>
      </c>
      <c r="F594" s="28" t="s">
        <v>374</v>
      </c>
      <c r="G594" s="28" t="s">
        <v>1633</v>
      </c>
      <c r="H594" s="28">
        <v>33.448250000000002</v>
      </c>
      <c r="I594" s="28">
        <v>-112.07706</v>
      </c>
      <c r="J594" s="28"/>
      <c r="K594" s="61">
        <v>110009066278</v>
      </c>
      <c r="L594" s="61" t="str">
        <f>IFERROR(INDEX('Facility Summary'!$K:$K,MATCH(K594,'Facility Summary'!$J:$J,0)),INDEX('Raw Annual DMR Data'!$M:$M,MATCH(K594,'Raw Annual DMR Data'!$L:$L,0)))</f>
        <v>Remediation</v>
      </c>
      <c r="M594" s="28"/>
      <c r="N594" s="28"/>
      <c r="O594" s="28"/>
      <c r="P594" s="28"/>
      <c r="Q594" s="28"/>
      <c r="R594" s="28"/>
      <c r="S594" s="28">
        <v>4.4761410000000003E-3</v>
      </c>
    </row>
    <row r="595" spans="1:19" x14ac:dyDescent="0.25">
      <c r="A595" s="28">
        <v>2016</v>
      </c>
      <c r="B595" s="28"/>
      <c r="C595" s="28" t="s">
        <v>1055</v>
      </c>
      <c r="D595" s="28" t="s">
        <v>1632</v>
      </c>
      <c r="E595" s="28" t="s">
        <v>962</v>
      </c>
      <c r="F595" s="28" t="s">
        <v>374</v>
      </c>
      <c r="G595" s="28" t="s">
        <v>1633</v>
      </c>
      <c r="H595" s="28">
        <v>33.448250000000002</v>
      </c>
      <c r="I595" s="28">
        <v>-112.07706</v>
      </c>
      <c r="J595" s="28"/>
      <c r="K595" s="61">
        <v>110009066278</v>
      </c>
      <c r="L595" s="61" t="str">
        <f>IFERROR(INDEX('Facility Summary'!$K:$K,MATCH(K595,'Facility Summary'!$J:$J,0)),INDEX('Raw Annual DMR Data'!$M:$M,MATCH(K595,'Raw Annual DMR Data'!$L:$L,0)))</f>
        <v>Remediation</v>
      </c>
      <c r="M595" s="28"/>
      <c r="N595" s="28"/>
      <c r="O595" s="28"/>
      <c r="P595" s="28"/>
      <c r="Q595" s="28"/>
      <c r="R595" s="28"/>
      <c r="S595" s="28">
        <v>2.6359496999999999E-2</v>
      </c>
    </row>
    <row r="596" spans="1:19" x14ac:dyDescent="0.25">
      <c r="A596" s="28">
        <v>2016</v>
      </c>
      <c r="B596" s="28"/>
      <c r="C596" s="28" t="s">
        <v>1055</v>
      </c>
      <c r="D596" s="28" t="s">
        <v>1632</v>
      </c>
      <c r="E596" s="28" t="s">
        <v>962</v>
      </c>
      <c r="F596" s="28" t="s">
        <v>374</v>
      </c>
      <c r="G596" s="28" t="s">
        <v>1633</v>
      </c>
      <c r="H596" s="28">
        <v>33.448250000000002</v>
      </c>
      <c r="I596" s="28">
        <v>-112.07706</v>
      </c>
      <c r="J596" s="28"/>
      <c r="K596" s="61">
        <v>110009066278</v>
      </c>
      <c r="L596" s="61" t="str">
        <f>IFERROR(INDEX('Facility Summary'!$K:$K,MATCH(K596,'Facility Summary'!$J:$J,0)),INDEX('Raw Annual DMR Data'!$M:$M,MATCH(K596,'Raw Annual DMR Data'!$L:$L,0)))</f>
        <v>Remediation</v>
      </c>
      <c r="M596" s="28"/>
      <c r="N596" s="28"/>
      <c r="O596" s="28"/>
      <c r="P596" s="28"/>
      <c r="Q596" s="28"/>
      <c r="R596" s="28"/>
      <c r="S596" s="28">
        <v>1.255806225E-2</v>
      </c>
    </row>
    <row r="597" spans="1:19" x14ac:dyDescent="0.25">
      <c r="A597" s="28">
        <v>2015</v>
      </c>
      <c r="B597" s="28"/>
      <c r="C597" s="28" t="s">
        <v>1056</v>
      </c>
      <c r="D597" s="28" t="s">
        <v>1635</v>
      </c>
      <c r="E597" s="28" t="s">
        <v>1057</v>
      </c>
      <c r="F597" s="28" t="s">
        <v>374</v>
      </c>
      <c r="G597" s="28">
        <v>85901</v>
      </c>
      <c r="H597" s="28">
        <v>34.26126</v>
      </c>
      <c r="I597" s="28">
        <v>-110.03482</v>
      </c>
      <c r="J597" s="28"/>
      <c r="K597" s="61">
        <v>110006785149</v>
      </c>
      <c r="L597" s="61" t="str">
        <f>IFERROR(INDEX('Facility Summary'!$K:$K,MATCH(K597,'Facility Summary'!$J:$J,0)),INDEX('Raw Annual DMR Data'!$M:$M,MATCH(K597,'Raw Annual DMR Data'!$L:$L,0)))</f>
        <v>POTW</v>
      </c>
      <c r="M597" s="28"/>
      <c r="N597" s="28"/>
      <c r="O597" s="28"/>
      <c r="P597" s="28"/>
      <c r="Q597" s="28"/>
      <c r="R597" s="28"/>
      <c r="S597" s="28">
        <v>3.9718843750000001</v>
      </c>
    </row>
    <row r="598" spans="1:19" x14ac:dyDescent="0.25">
      <c r="A598" s="28">
        <v>2016</v>
      </c>
      <c r="B598" s="28"/>
      <c r="C598" s="28" t="s">
        <v>1056</v>
      </c>
      <c r="D598" s="28" t="s">
        <v>1635</v>
      </c>
      <c r="E598" s="28" t="s">
        <v>1057</v>
      </c>
      <c r="F598" s="28" t="s">
        <v>374</v>
      </c>
      <c r="G598" s="28">
        <v>85901</v>
      </c>
      <c r="H598" s="28">
        <v>34.26126</v>
      </c>
      <c r="I598" s="28">
        <v>-110.03482</v>
      </c>
      <c r="J598" s="28"/>
      <c r="K598" s="61">
        <v>110006785149</v>
      </c>
      <c r="L598" s="61" t="str">
        <f>IFERROR(INDEX('Facility Summary'!$K:$K,MATCH(K598,'Facility Summary'!$J:$J,0)),INDEX('Raw Annual DMR Data'!$M:$M,MATCH(K598,'Raw Annual DMR Data'!$L:$L,0)))</f>
        <v>POTW</v>
      </c>
      <c r="M598" s="28"/>
      <c r="N598" s="28"/>
      <c r="O598" s="28"/>
      <c r="P598" s="28"/>
      <c r="Q598" s="28"/>
      <c r="R598" s="28"/>
      <c r="S598" s="28">
        <v>1.5749385</v>
      </c>
    </row>
    <row r="599" spans="1:19" x14ac:dyDescent="0.25">
      <c r="A599" s="28">
        <v>2020</v>
      </c>
      <c r="B599" s="28"/>
      <c r="C599" s="28" t="s">
        <v>166</v>
      </c>
      <c r="D599" s="28" t="s">
        <v>537</v>
      </c>
      <c r="E599" s="28" t="s">
        <v>538</v>
      </c>
      <c r="F599" s="28" t="s">
        <v>362</v>
      </c>
      <c r="G599" s="28">
        <v>77578</v>
      </c>
      <c r="H599" s="28">
        <v>29.458400000000001</v>
      </c>
      <c r="I599" s="28">
        <v>-95.330399999999997</v>
      </c>
      <c r="J599" s="28" t="s">
        <v>539</v>
      </c>
      <c r="K599" s="61">
        <v>110000599479</v>
      </c>
      <c r="L599" s="61" t="str">
        <f>IFERROR(INDEX('Facility Summary'!$K:$K,MATCH(K599,'Facility Summary'!$J:$J,0)),INDEX('Raw Annual DMR Data'!$M:$M,MATCH(K599,'Raw Annual DMR Data'!$L:$L,0)))</f>
        <v>Manufacturing</v>
      </c>
      <c r="M599" s="28"/>
      <c r="N599" s="28"/>
      <c r="O599" s="28"/>
      <c r="P599" s="28"/>
      <c r="Q599" s="28"/>
      <c r="R599" s="28"/>
      <c r="S599" s="28">
        <v>1.6553287981859399E-2</v>
      </c>
    </row>
    <row r="600" spans="1:19" x14ac:dyDescent="0.25">
      <c r="A600" s="28">
        <v>2020</v>
      </c>
      <c r="B600" s="28"/>
      <c r="C600" s="28" t="s">
        <v>166</v>
      </c>
      <c r="D600" s="28" t="s">
        <v>537</v>
      </c>
      <c r="E600" s="28" t="s">
        <v>538</v>
      </c>
      <c r="F600" s="28" t="s">
        <v>362</v>
      </c>
      <c r="G600" s="28">
        <v>77578</v>
      </c>
      <c r="H600" s="28">
        <v>29.458400000000001</v>
      </c>
      <c r="I600" s="28">
        <v>-95.330399999999997</v>
      </c>
      <c r="J600" s="28" t="s">
        <v>539</v>
      </c>
      <c r="K600" s="61">
        <v>110000599479</v>
      </c>
      <c r="L600" s="61" t="str">
        <f>IFERROR(INDEX('Facility Summary'!$K:$K,MATCH(K600,'Facility Summary'!$J:$J,0)),INDEX('Raw Annual DMR Data'!$M:$M,MATCH(K600,'Raw Annual DMR Data'!$L:$L,0)))</f>
        <v>Manufacturing</v>
      </c>
      <c r="M600" s="28"/>
      <c r="N600" s="28"/>
      <c r="O600" s="28"/>
      <c r="P600" s="28"/>
      <c r="Q600" s="28"/>
      <c r="R600" s="28"/>
      <c r="S600" s="28">
        <v>1.48979591836734E-2</v>
      </c>
    </row>
    <row r="601" spans="1:19" x14ac:dyDescent="0.25">
      <c r="A601" s="28">
        <v>2018</v>
      </c>
      <c r="B601" s="28"/>
      <c r="C601" s="28" t="s">
        <v>166</v>
      </c>
      <c r="D601" s="28" t="s">
        <v>537</v>
      </c>
      <c r="E601" s="28" t="s">
        <v>538</v>
      </c>
      <c r="F601" s="28" t="s">
        <v>362</v>
      </c>
      <c r="G601" s="28">
        <v>77578</v>
      </c>
      <c r="H601" s="28">
        <v>29.458400000000001</v>
      </c>
      <c r="I601" s="28">
        <v>-95.330399999999997</v>
      </c>
      <c r="J601" s="28" t="s">
        <v>539</v>
      </c>
      <c r="K601" s="61">
        <v>110000599479</v>
      </c>
      <c r="L601" s="61" t="str">
        <f>IFERROR(INDEX('Facility Summary'!$K:$K,MATCH(K601,'Facility Summary'!$J:$J,0)),INDEX('Raw Annual DMR Data'!$M:$M,MATCH(K601,'Raw Annual DMR Data'!$L:$L,0)))</f>
        <v>Manufacturing</v>
      </c>
      <c r="M601" s="28"/>
      <c r="N601" s="28"/>
      <c r="O601" s="28"/>
      <c r="P601" s="28"/>
      <c r="Q601" s="28"/>
      <c r="R601" s="28"/>
      <c r="S601" s="28">
        <v>1.6553287981859399E-2</v>
      </c>
    </row>
    <row r="602" spans="1:19" x14ac:dyDescent="0.25">
      <c r="A602" s="28">
        <v>2018</v>
      </c>
      <c r="B602" s="28"/>
      <c r="C602" s="28" t="s">
        <v>166</v>
      </c>
      <c r="D602" s="28" t="s">
        <v>537</v>
      </c>
      <c r="E602" s="28" t="s">
        <v>538</v>
      </c>
      <c r="F602" s="28" t="s">
        <v>362</v>
      </c>
      <c r="G602" s="28">
        <v>77578</v>
      </c>
      <c r="H602" s="28">
        <v>29.458400000000001</v>
      </c>
      <c r="I602" s="28">
        <v>-95.330399999999997</v>
      </c>
      <c r="J602" s="28" t="s">
        <v>539</v>
      </c>
      <c r="K602" s="61">
        <v>110000599479</v>
      </c>
      <c r="L602" s="61" t="str">
        <f>IFERROR(INDEX('Facility Summary'!$K:$K,MATCH(K602,'Facility Summary'!$J:$J,0)),INDEX('Raw Annual DMR Data'!$M:$M,MATCH(K602,'Raw Annual DMR Data'!$L:$L,0)))</f>
        <v>Manufacturing</v>
      </c>
      <c r="M602" s="28"/>
      <c r="N602" s="28"/>
      <c r="O602" s="28"/>
      <c r="P602" s="28"/>
      <c r="Q602" s="28"/>
      <c r="R602" s="28"/>
      <c r="S602" s="28">
        <v>1.6553287981859399E-2</v>
      </c>
    </row>
    <row r="603" spans="1:19" x14ac:dyDescent="0.25">
      <c r="A603" s="28">
        <v>2020</v>
      </c>
      <c r="B603" s="28"/>
      <c r="C603" s="28" t="s">
        <v>173</v>
      </c>
      <c r="D603" s="28" t="s">
        <v>566</v>
      </c>
      <c r="E603" s="28" t="s">
        <v>520</v>
      </c>
      <c r="F603" s="28" t="s">
        <v>362</v>
      </c>
      <c r="G603" s="28">
        <v>77015</v>
      </c>
      <c r="H603" s="28">
        <v>29.75487</v>
      </c>
      <c r="I603" s="28">
        <v>-95.103269999999995</v>
      </c>
      <c r="J603" s="28" t="s">
        <v>567</v>
      </c>
      <c r="K603" s="61">
        <v>110000460983</v>
      </c>
      <c r="L603" s="61" t="str">
        <f>IFERROR(INDEX('Facility Summary'!$K:$K,MATCH(K603,'Facility Summary'!$J:$J,0)),INDEX('Raw Annual DMR Data'!$M:$M,MATCH(K603,'Raw Annual DMR Data'!$L:$L,0)))</f>
        <v>Manufacturing</v>
      </c>
      <c r="M603" s="28"/>
      <c r="N603" s="28"/>
      <c r="O603" s="28"/>
      <c r="P603" s="28"/>
      <c r="Q603" s="28"/>
      <c r="R603" s="28"/>
      <c r="S603" s="28">
        <v>0.107596371882086</v>
      </c>
    </row>
    <row r="604" spans="1:19" x14ac:dyDescent="0.25">
      <c r="A604" s="28">
        <v>2015</v>
      </c>
      <c r="B604" s="28"/>
      <c r="C604" s="28" t="s">
        <v>1061</v>
      </c>
      <c r="D604" s="28" t="s">
        <v>1643</v>
      </c>
      <c r="E604" s="28" t="s">
        <v>1062</v>
      </c>
      <c r="F604" s="28" t="s">
        <v>366</v>
      </c>
      <c r="G604" s="28">
        <v>92008</v>
      </c>
      <c r="H604" s="28">
        <v>33.139895000000003</v>
      </c>
      <c r="I604" s="28">
        <v>-117.339645</v>
      </c>
      <c r="J604" s="28"/>
      <c r="K604" s="61">
        <v>110027363252</v>
      </c>
      <c r="L604" s="61" t="str">
        <f>IFERROR(INDEX('Facility Summary'!$K:$K,MATCH(K604,'Facility Summary'!$J:$J,0)),INDEX('Raw Annual DMR Data'!$M:$M,MATCH(K604,'Raw Annual DMR Data'!$L:$L,0)))</f>
        <v>POTW</v>
      </c>
      <c r="M604" s="28"/>
      <c r="N604" s="28"/>
      <c r="O604" s="28"/>
      <c r="P604" s="28"/>
      <c r="Q604" s="28"/>
      <c r="R604" s="28"/>
      <c r="S604" s="28">
        <v>150.53196324000001</v>
      </c>
    </row>
    <row r="605" spans="1:19" x14ac:dyDescent="0.25">
      <c r="A605" s="28">
        <v>2016</v>
      </c>
      <c r="B605" s="28"/>
      <c r="C605" s="28" t="s">
        <v>1061</v>
      </c>
      <c r="D605" s="28" t="s">
        <v>1643</v>
      </c>
      <c r="E605" s="28" t="s">
        <v>1062</v>
      </c>
      <c r="F605" s="28" t="s">
        <v>366</v>
      </c>
      <c r="G605" s="28">
        <v>92008</v>
      </c>
      <c r="H605" s="28">
        <v>33.139895000000003</v>
      </c>
      <c r="I605" s="28">
        <v>-117.339645</v>
      </c>
      <c r="J605" s="28"/>
      <c r="K605" s="61">
        <v>110027363252</v>
      </c>
      <c r="L605" s="61" t="str">
        <f>IFERROR(INDEX('Facility Summary'!$K:$K,MATCH(K605,'Facility Summary'!$J:$J,0)),INDEX('Raw Annual DMR Data'!$M:$M,MATCH(K605,'Raw Annual DMR Data'!$L:$L,0)))</f>
        <v>POTW</v>
      </c>
      <c r="M605" s="28"/>
      <c r="N605" s="28"/>
      <c r="O605" s="28"/>
      <c r="P605" s="28"/>
      <c r="Q605" s="28"/>
      <c r="R605" s="28"/>
      <c r="S605" s="28">
        <v>25.710736645000001</v>
      </c>
    </row>
    <row r="606" spans="1:19" x14ac:dyDescent="0.25">
      <c r="A606" s="28">
        <v>2017</v>
      </c>
      <c r="B606" s="28"/>
      <c r="C606" s="28" t="s">
        <v>1061</v>
      </c>
      <c r="D606" s="28" t="s">
        <v>1643</v>
      </c>
      <c r="E606" s="28" t="s">
        <v>1062</v>
      </c>
      <c r="F606" s="28" t="s">
        <v>366</v>
      </c>
      <c r="G606" s="28">
        <v>92008</v>
      </c>
      <c r="H606" s="28">
        <v>33.139895000000003</v>
      </c>
      <c r="I606" s="28">
        <v>-117.339645</v>
      </c>
      <c r="J606" s="28"/>
      <c r="K606" s="61">
        <v>110027363252</v>
      </c>
      <c r="L606" s="61" t="str">
        <f>IFERROR(INDEX('Facility Summary'!$K:$K,MATCH(K606,'Facility Summary'!$J:$J,0)),INDEX('Raw Annual DMR Data'!$M:$M,MATCH(K606,'Raw Annual DMR Data'!$L:$L,0)))</f>
        <v>POTW</v>
      </c>
      <c r="M606" s="28"/>
      <c r="N606" s="28"/>
      <c r="O606" s="28"/>
      <c r="P606" s="28"/>
      <c r="Q606" s="28"/>
      <c r="R606" s="28"/>
      <c r="S606" s="28">
        <v>8.9083608600000002</v>
      </c>
    </row>
    <row r="607" spans="1:19" x14ac:dyDescent="0.25">
      <c r="A607" s="28">
        <v>2018</v>
      </c>
      <c r="B607" s="28"/>
      <c r="C607" s="28" t="s">
        <v>1061</v>
      </c>
      <c r="D607" s="28" t="s">
        <v>1643</v>
      </c>
      <c r="E607" s="28" t="s">
        <v>1062</v>
      </c>
      <c r="F607" s="28" t="s">
        <v>366</v>
      </c>
      <c r="G607" s="28">
        <v>92008</v>
      </c>
      <c r="H607" s="28">
        <v>33.139895000000003</v>
      </c>
      <c r="I607" s="28">
        <v>-117.339645</v>
      </c>
      <c r="J607" s="28"/>
      <c r="K607" s="61">
        <v>110027363252</v>
      </c>
      <c r="L607" s="61" t="str">
        <f>IFERROR(INDEX('Facility Summary'!$K:$K,MATCH(K607,'Facility Summary'!$J:$J,0)),INDEX('Raw Annual DMR Data'!$M:$M,MATCH(K607,'Raw Annual DMR Data'!$L:$L,0)))</f>
        <v>POTW</v>
      </c>
      <c r="M607" s="28"/>
      <c r="N607" s="28"/>
      <c r="O607" s="28"/>
      <c r="P607" s="28"/>
      <c r="Q607" s="28"/>
      <c r="R607" s="28"/>
      <c r="S607" s="28">
        <v>13.290873072</v>
      </c>
    </row>
    <row r="608" spans="1:19" x14ac:dyDescent="0.25">
      <c r="A608" s="28">
        <v>2019</v>
      </c>
      <c r="B608" s="28"/>
      <c r="C608" s="28" t="s">
        <v>1061</v>
      </c>
      <c r="D608" s="28" t="s">
        <v>1643</v>
      </c>
      <c r="E608" s="28" t="s">
        <v>1062</v>
      </c>
      <c r="F608" s="28" t="s">
        <v>366</v>
      </c>
      <c r="G608" s="28">
        <v>92008</v>
      </c>
      <c r="H608" s="28">
        <v>33.139895000000003</v>
      </c>
      <c r="I608" s="28">
        <v>-117.339645</v>
      </c>
      <c r="J608" s="28"/>
      <c r="K608" s="61">
        <v>110027363252</v>
      </c>
      <c r="L608" s="61" t="str">
        <f>IFERROR(INDEX('Facility Summary'!$K:$K,MATCH(K608,'Facility Summary'!$J:$J,0)),INDEX('Raw Annual DMR Data'!$M:$M,MATCH(K608,'Raw Annual DMR Data'!$L:$L,0)))</f>
        <v>POTW</v>
      </c>
      <c r="M608" s="28"/>
      <c r="N608" s="28"/>
      <c r="O608" s="28"/>
      <c r="P608" s="28"/>
      <c r="Q608" s="28"/>
      <c r="R608" s="28"/>
      <c r="S608" s="28">
        <v>4.0848249900000004</v>
      </c>
    </row>
    <row r="609" spans="1:19" x14ac:dyDescent="0.25">
      <c r="A609" s="28">
        <v>2019</v>
      </c>
      <c r="B609" s="28"/>
      <c r="C609" s="28" t="s">
        <v>1061</v>
      </c>
      <c r="D609" s="28" t="s">
        <v>1643</v>
      </c>
      <c r="E609" s="28" t="s">
        <v>1062</v>
      </c>
      <c r="F609" s="28" t="s">
        <v>366</v>
      </c>
      <c r="G609" s="28">
        <v>92008</v>
      </c>
      <c r="H609" s="28">
        <v>33.139895000000003</v>
      </c>
      <c r="I609" s="28">
        <v>-117.339645</v>
      </c>
      <c r="J609" s="28"/>
      <c r="K609" s="61">
        <v>110027363252</v>
      </c>
      <c r="L609" s="61" t="str">
        <f>IFERROR(INDEX('Facility Summary'!$K:$K,MATCH(K609,'Facility Summary'!$J:$J,0)),INDEX('Raw Annual DMR Data'!$M:$M,MATCH(K609,'Raw Annual DMR Data'!$L:$L,0)))</f>
        <v>POTW</v>
      </c>
      <c r="M609" s="28"/>
      <c r="N609" s="28"/>
      <c r="O609" s="28"/>
      <c r="P609" s="28"/>
      <c r="Q609" s="28"/>
      <c r="R609" s="28"/>
      <c r="S609" s="28">
        <v>0.24899010550967701</v>
      </c>
    </row>
    <row r="610" spans="1:19" x14ac:dyDescent="0.25">
      <c r="A610" s="28">
        <v>2020</v>
      </c>
      <c r="B610" s="28"/>
      <c r="C610" s="28" t="s">
        <v>1061</v>
      </c>
      <c r="D610" s="28" t="s">
        <v>1643</v>
      </c>
      <c r="E610" s="28" t="s">
        <v>1062</v>
      </c>
      <c r="F610" s="28" t="s">
        <v>366</v>
      </c>
      <c r="G610" s="28">
        <v>92008</v>
      </c>
      <c r="H610" s="28">
        <v>33.139895000000003</v>
      </c>
      <c r="I610" s="28">
        <v>-117.339645</v>
      </c>
      <c r="J610" s="28"/>
      <c r="K610" s="61">
        <v>110027363252</v>
      </c>
      <c r="L610" s="61" t="str">
        <f>IFERROR(INDEX('Facility Summary'!$K:$K,MATCH(K610,'Facility Summary'!$J:$J,0)),INDEX('Raw Annual DMR Data'!$M:$M,MATCH(K610,'Raw Annual DMR Data'!$L:$L,0)))</f>
        <v>POTW</v>
      </c>
      <c r="M610" s="28"/>
      <c r="N610" s="28"/>
      <c r="O610" s="28"/>
      <c r="P610" s="28"/>
      <c r="Q610" s="28"/>
      <c r="R610" s="28"/>
      <c r="S610" s="28">
        <v>0.48759175106128999</v>
      </c>
    </row>
    <row r="611" spans="1:19" x14ac:dyDescent="0.25">
      <c r="A611" s="28">
        <v>2019</v>
      </c>
      <c r="B611" s="28"/>
      <c r="C611" s="28" t="s">
        <v>1063</v>
      </c>
      <c r="D611" s="28" t="s">
        <v>1645</v>
      </c>
      <c r="E611" s="28" t="s">
        <v>1064</v>
      </c>
      <c r="F611" s="28" t="s">
        <v>308</v>
      </c>
      <c r="G611" s="28">
        <v>1760</v>
      </c>
      <c r="H611" s="28">
        <v>42.30348</v>
      </c>
      <c r="I611" s="28">
        <v>-70.360669999999999</v>
      </c>
      <c r="J611" s="28"/>
      <c r="K611" s="61">
        <v>110070670433</v>
      </c>
      <c r="L611" s="61" t="str">
        <f>IFERROR(INDEX('Facility Summary'!$K:$K,MATCH(K611,'Facility Summary'!$J:$J,0)),INDEX('Raw Annual DMR Data'!$M:$M,MATCH(K611,'Raw Annual DMR Data'!$L:$L,0)))</f>
        <v>Unknown</v>
      </c>
      <c r="M611" s="28"/>
      <c r="N611" s="28"/>
      <c r="O611" s="28"/>
      <c r="P611" s="28"/>
      <c r="Q611" s="28"/>
      <c r="R611" s="28"/>
      <c r="S611" s="28">
        <v>1.54280385E-2</v>
      </c>
    </row>
    <row r="612" spans="1:19" x14ac:dyDescent="0.25">
      <c r="A612" s="28">
        <v>2020</v>
      </c>
      <c r="B612" s="28"/>
      <c r="C612" s="28" t="s">
        <v>1063</v>
      </c>
      <c r="D612" s="28" t="s">
        <v>1645</v>
      </c>
      <c r="E612" s="28" t="s">
        <v>1064</v>
      </c>
      <c r="F612" s="28" t="s">
        <v>308</v>
      </c>
      <c r="G612" s="28">
        <v>1760</v>
      </c>
      <c r="H612" s="28">
        <v>42.30348</v>
      </c>
      <c r="I612" s="28">
        <v>-70.360669999999999</v>
      </c>
      <c r="J612" s="28"/>
      <c r="K612" s="61">
        <v>110070670433</v>
      </c>
      <c r="L612" s="61" t="str">
        <f>IFERROR(INDEX('Facility Summary'!$K:$K,MATCH(K612,'Facility Summary'!$J:$J,0)),INDEX('Raw Annual DMR Data'!$M:$M,MATCH(K612,'Raw Annual DMR Data'!$L:$L,0)))</f>
        <v>Unknown</v>
      </c>
      <c r="M612" s="28"/>
      <c r="N612" s="28"/>
      <c r="O612" s="28"/>
      <c r="P612" s="28"/>
      <c r="Q612" s="28"/>
      <c r="R612" s="28"/>
      <c r="S612" s="28">
        <v>1.3913588084999999E-2</v>
      </c>
    </row>
    <row r="613" spans="1:19" x14ac:dyDescent="0.25">
      <c r="A613" s="28">
        <v>2018</v>
      </c>
      <c r="B613" s="28"/>
      <c r="C613" s="28" t="s">
        <v>128</v>
      </c>
      <c r="D613" s="28" t="s">
        <v>411</v>
      </c>
      <c r="E613" s="28" t="s">
        <v>412</v>
      </c>
      <c r="F613" s="28" t="s">
        <v>299</v>
      </c>
      <c r="G613" s="28">
        <v>71730</v>
      </c>
      <c r="H613" s="28">
        <v>33.2044</v>
      </c>
      <c r="I613" s="28">
        <v>-92.630799999999994</v>
      </c>
      <c r="J613" s="28" t="s">
        <v>413</v>
      </c>
      <c r="K613" s="61">
        <v>110000521221</v>
      </c>
      <c r="L613" s="61" t="str">
        <f>IFERROR(INDEX('Facility Summary'!$K:$K,MATCH(K613,'Facility Summary'!$J:$J,0)),INDEX('Raw Annual DMR Data'!$M:$M,MATCH(K613,'Raw Annual DMR Data'!$L:$L,0)))</f>
        <v>Waste Handling, Disposal and Treatment (Incinerator)</v>
      </c>
      <c r="M613" s="28"/>
      <c r="N613" s="28"/>
      <c r="O613" s="28"/>
      <c r="P613" s="28"/>
      <c r="Q613" s="28"/>
      <c r="R613" s="28"/>
      <c r="S613" s="28">
        <v>6.9223350240000004E-5</v>
      </c>
    </row>
    <row r="614" spans="1:19" x14ac:dyDescent="0.25">
      <c r="A614" s="28">
        <v>2016</v>
      </c>
      <c r="B614" s="28"/>
      <c r="C614" s="28" t="s">
        <v>1065</v>
      </c>
      <c r="D614" s="28" t="s">
        <v>1648</v>
      </c>
      <c r="E614" s="28" t="s">
        <v>1066</v>
      </c>
      <c r="F614" s="28" t="s">
        <v>324</v>
      </c>
      <c r="G614" s="28">
        <v>42728</v>
      </c>
      <c r="H614" s="28">
        <v>37.105556</v>
      </c>
      <c r="I614" s="28">
        <v>-85.304167000000007</v>
      </c>
      <c r="J614" s="28"/>
      <c r="K614" s="61">
        <v>110009696356</v>
      </c>
      <c r="L614" s="61" t="str">
        <f>IFERROR(INDEX('Facility Summary'!$K:$K,MATCH(K614,'Facility Summary'!$J:$J,0)),INDEX('Raw Annual DMR Data'!$M:$M,MATCH(K614,'Raw Annual DMR Data'!$L:$L,0)))</f>
        <v>POTW</v>
      </c>
      <c r="M614" s="28"/>
      <c r="N614" s="28"/>
      <c r="O614" s="28"/>
      <c r="P614" s="28"/>
      <c r="Q614" s="28"/>
      <c r="R614" s="28"/>
      <c r="S614" s="28">
        <v>3.0946159999999998</v>
      </c>
    </row>
    <row r="615" spans="1:19" x14ac:dyDescent="0.25">
      <c r="A615" s="28">
        <v>2017</v>
      </c>
      <c r="B615" s="28"/>
      <c r="C615" s="28" t="s">
        <v>1065</v>
      </c>
      <c r="D615" s="28" t="s">
        <v>1648</v>
      </c>
      <c r="E615" s="28" t="s">
        <v>1066</v>
      </c>
      <c r="F615" s="28" t="s">
        <v>324</v>
      </c>
      <c r="G615" s="28">
        <v>42728</v>
      </c>
      <c r="H615" s="28">
        <v>37.105556</v>
      </c>
      <c r="I615" s="28">
        <v>-85.304167000000007</v>
      </c>
      <c r="J615" s="28"/>
      <c r="K615" s="61">
        <v>110009696356</v>
      </c>
      <c r="L615" s="61" t="str">
        <f>IFERROR(INDEX('Facility Summary'!$K:$K,MATCH(K615,'Facility Summary'!$J:$J,0)),INDEX('Raw Annual DMR Data'!$M:$M,MATCH(K615,'Raw Annual DMR Data'!$L:$L,0)))</f>
        <v>POTW</v>
      </c>
      <c r="M615" s="28"/>
      <c r="N615" s="28"/>
      <c r="O615" s="28"/>
      <c r="P615" s="28"/>
      <c r="Q615" s="28"/>
      <c r="R615" s="28"/>
      <c r="S615" s="28">
        <v>2.6343954843750002</v>
      </c>
    </row>
    <row r="616" spans="1:19" x14ac:dyDescent="0.25">
      <c r="A616" s="28">
        <v>2018</v>
      </c>
      <c r="B616" s="28"/>
      <c r="C616" s="28" t="s">
        <v>1065</v>
      </c>
      <c r="D616" s="28" t="s">
        <v>1648</v>
      </c>
      <c r="E616" s="28" t="s">
        <v>1066</v>
      </c>
      <c r="F616" s="28" t="s">
        <v>324</v>
      </c>
      <c r="G616" s="28">
        <v>42728</v>
      </c>
      <c r="H616" s="28">
        <v>37.105556</v>
      </c>
      <c r="I616" s="28">
        <v>-85.304167000000007</v>
      </c>
      <c r="J616" s="28"/>
      <c r="K616" s="61">
        <v>110009696356</v>
      </c>
      <c r="L616" s="61" t="str">
        <f>IFERROR(INDEX('Facility Summary'!$K:$K,MATCH(K616,'Facility Summary'!$J:$J,0)),INDEX('Raw Annual DMR Data'!$M:$M,MATCH(K616,'Raw Annual DMR Data'!$L:$L,0)))</f>
        <v>POTW</v>
      </c>
      <c r="M616" s="28"/>
      <c r="N616" s="28"/>
      <c r="O616" s="28"/>
      <c r="P616" s="28"/>
      <c r="Q616" s="28"/>
      <c r="R616" s="28"/>
      <c r="S616" s="28">
        <v>4.3414423124999999</v>
      </c>
    </row>
    <row r="617" spans="1:19" x14ac:dyDescent="0.25">
      <c r="A617" s="28">
        <v>2019</v>
      </c>
      <c r="B617" s="28"/>
      <c r="C617" s="28" t="s">
        <v>1065</v>
      </c>
      <c r="D617" s="28" t="s">
        <v>1648</v>
      </c>
      <c r="E617" s="28" t="s">
        <v>1066</v>
      </c>
      <c r="F617" s="28" t="s">
        <v>324</v>
      </c>
      <c r="G617" s="28">
        <v>42728</v>
      </c>
      <c r="H617" s="28">
        <v>37.105556</v>
      </c>
      <c r="I617" s="28">
        <v>-85.304167000000007</v>
      </c>
      <c r="J617" s="28"/>
      <c r="K617" s="61">
        <v>110009696356</v>
      </c>
      <c r="L617" s="61" t="str">
        <f>IFERROR(INDEX('Facility Summary'!$K:$K,MATCH(K617,'Facility Summary'!$J:$J,0)),INDEX('Raw Annual DMR Data'!$M:$M,MATCH(K617,'Raw Annual DMR Data'!$L:$L,0)))</f>
        <v>POTW</v>
      </c>
      <c r="M617" s="28"/>
      <c r="N617" s="28"/>
      <c r="O617" s="28"/>
      <c r="P617" s="28"/>
      <c r="Q617" s="28"/>
      <c r="R617" s="28"/>
      <c r="S617" s="28">
        <v>4.6419240000000004</v>
      </c>
    </row>
    <row r="618" spans="1:19" x14ac:dyDescent="0.25">
      <c r="A618" s="28">
        <v>2018</v>
      </c>
      <c r="B618" s="28"/>
      <c r="C618" s="28" t="s">
        <v>1067</v>
      </c>
      <c r="D618" s="28" t="s">
        <v>1652</v>
      </c>
      <c r="E618" s="28" t="s">
        <v>1068</v>
      </c>
      <c r="F618" s="28" t="s">
        <v>349</v>
      </c>
      <c r="G618" s="28">
        <v>63401</v>
      </c>
      <c r="H618" s="28">
        <v>39.679130000000001</v>
      </c>
      <c r="I618" s="28">
        <v>-91.314239999999998</v>
      </c>
      <c r="J618" s="28" t="s">
        <v>709</v>
      </c>
      <c r="K618" s="61">
        <v>110000595981</v>
      </c>
      <c r="L618" s="61" t="str">
        <f>IFERROR(INDEX('Facility Summary'!$K:$K,MATCH(K618,'Facility Summary'!$J:$J,0)),INDEX('Raw Annual DMR Data'!$M:$M,MATCH(K618,'Raw Annual DMR Data'!$L:$L,0)))</f>
        <v>Unknown</v>
      </c>
      <c r="M618" s="28"/>
      <c r="N618" s="28"/>
      <c r="O618" s="28"/>
      <c r="P618" s="28"/>
      <c r="Q618" s="28"/>
      <c r="R618" s="28"/>
      <c r="S618" s="28">
        <v>0.12433725</v>
      </c>
    </row>
    <row r="619" spans="1:19" x14ac:dyDescent="0.25">
      <c r="A619" s="28">
        <v>2019</v>
      </c>
      <c r="B619" s="28"/>
      <c r="C619" s="28" t="s">
        <v>1067</v>
      </c>
      <c r="D619" s="28" t="s">
        <v>1652</v>
      </c>
      <c r="E619" s="28" t="s">
        <v>1068</v>
      </c>
      <c r="F619" s="28" t="s">
        <v>349</v>
      </c>
      <c r="G619" s="28">
        <v>63401</v>
      </c>
      <c r="H619" s="28">
        <v>39.679130000000001</v>
      </c>
      <c r="I619" s="28">
        <v>-91.314239999999998</v>
      </c>
      <c r="J619" s="28" t="s">
        <v>709</v>
      </c>
      <c r="K619" s="61">
        <v>110000595981</v>
      </c>
      <c r="L619" s="61" t="str">
        <f>IFERROR(INDEX('Facility Summary'!$K:$K,MATCH(K619,'Facility Summary'!$J:$J,0)),INDEX('Raw Annual DMR Data'!$M:$M,MATCH(K619,'Raw Annual DMR Data'!$L:$L,0)))</f>
        <v>Unknown</v>
      </c>
      <c r="M619" s="28"/>
      <c r="N619" s="28"/>
      <c r="O619" s="28"/>
      <c r="P619" s="28"/>
      <c r="Q619" s="28"/>
      <c r="R619" s="28"/>
      <c r="S619" s="28">
        <v>0.12433725</v>
      </c>
    </row>
    <row r="620" spans="1:19" x14ac:dyDescent="0.25">
      <c r="A620" s="28">
        <v>2020</v>
      </c>
      <c r="B620" s="28"/>
      <c r="C620" s="28" t="s">
        <v>1067</v>
      </c>
      <c r="D620" s="28" t="s">
        <v>1652</v>
      </c>
      <c r="E620" s="28" t="s">
        <v>1068</v>
      </c>
      <c r="F620" s="28" t="s">
        <v>349</v>
      </c>
      <c r="G620" s="28">
        <v>63401</v>
      </c>
      <c r="H620" s="28">
        <v>39.679130000000001</v>
      </c>
      <c r="I620" s="28">
        <v>-91.314239999999998</v>
      </c>
      <c r="J620" s="28" t="s">
        <v>709</v>
      </c>
      <c r="K620" s="61">
        <v>110000595981</v>
      </c>
      <c r="L620" s="61" t="str">
        <f>IFERROR(INDEX('Facility Summary'!$K:$K,MATCH(K620,'Facility Summary'!$J:$J,0)),INDEX('Raw Annual DMR Data'!$M:$M,MATCH(K620,'Raw Annual DMR Data'!$L:$L,0)))</f>
        <v>Unknown</v>
      </c>
      <c r="M620" s="28"/>
      <c r="N620" s="28"/>
      <c r="O620" s="28"/>
      <c r="P620" s="28"/>
      <c r="Q620" s="28"/>
      <c r="R620" s="28"/>
      <c r="S620" s="28">
        <v>0.10361437499999999</v>
      </c>
    </row>
    <row r="621" spans="1:19" x14ac:dyDescent="0.25">
      <c r="A621" s="28">
        <v>2016</v>
      </c>
      <c r="B621" s="28"/>
      <c r="C621" s="28" t="s">
        <v>1069</v>
      </c>
      <c r="D621" s="28" t="s">
        <v>1656</v>
      </c>
      <c r="E621" s="28" t="s">
        <v>1070</v>
      </c>
      <c r="F621" s="28" t="s">
        <v>338</v>
      </c>
      <c r="G621" s="28">
        <v>79302221</v>
      </c>
      <c r="H621" s="28">
        <v>40.798532000000002</v>
      </c>
      <c r="I621" s="28">
        <v>-74.701402000000002</v>
      </c>
      <c r="J621" s="28"/>
      <c r="K621" s="61">
        <v>110000616049</v>
      </c>
      <c r="L621" s="61" t="str">
        <f>IFERROR(INDEX('Facility Summary'!$K:$K,MATCH(K621,'Facility Summary'!$J:$J,0)),INDEX('Raw Annual DMR Data'!$M:$M,MATCH(K621,'Raw Annual DMR Data'!$L:$L,0)))</f>
        <v>Unknown</v>
      </c>
      <c r="M621" s="28"/>
      <c r="N621" s="28"/>
      <c r="O621" s="28"/>
      <c r="P621" s="28"/>
      <c r="Q621" s="28"/>
      <c r="R621" s="28"/>
      <c r="S621" s="28">
        <v>4.4704634999999998E-3</v>
      </c>
    </row>
    <row r="622" spans="1:19" x14ac:dyDescent="0.25">
      <c r="A622" s="28">
        <v>2017</v>
      </c>
      <c r="B622" s="28"/>
      <c r="C622" s="28" t="s">
        <v>1069</v>
      </c>
      <c r="D622" s="28" t="s">
        <v>1656</v>
      </c>
      <c r="E622" s="28" t="s">
        <v>1070</v>
      </c>
      <c r="F622" s="28" t="s">
        <v>338</v>
      </c>
      <c r="G622" s="28">
        <v>79302221</v>
      </c>
      <c r="H622" s="28">
        <v>40.798532000000002</v>
      </c>
      <c r="I622" s="28">
        <v>-74.701402000000002</v>
      </c>
      <c r="J622" s="28"/>
      <c r="K622" s="61">
        <v>110000616049</v>
      </c>
      <c r="L622" s="61" t="str">
        <f>IFERROR(INDEX('Facility Summary'!$K:$K,MATCH(K622,'Facility Summary'!$J:$J,0)),INDEX('Raw Annual DMR Data'!$M:$M,MATCH(K622,'Raw Annual DMR Data'!$L:$L,0)))</f>
        <v>Unknown</v>
      </c>
      <c r="M622" s="28"/>
      <c r="N622" s="28"/>
      <c r="O622" s="28"/>
      <c r="P622" s="28"/>
      <c r="Q622" s="28"/>
      <c r="R622" s="28"/>
      <c r="S622" s="28">
        <v>3.9957298750000004E-3</v>
      </c>
    </row>
    <row r="623" spans="1:19" x14ac:dyDescent="0.25">
      <c r="A623" s="28">
        <v>2018</v>
      </c>
      <c r="B623" s="28"/>
      <c r="C623" s="28" t="s">
        <v>1069</v>
      </c>
      <c r="D623" s="28" t="s">
        <v>1656</v>
      </c>
      <c r="E623" s="28" t="s">
        <v>1070</v>
      </c>
      <c r="F623" s="28" t="s">
        <v>338</v>
      </c>
      <c r="G623" s="302" t="s">
        <v>1659</v>
      </c>
      <c r="H623" s="28">
        <v>40.798532000000002</v>
      </c>
      <c r="I623" s="28">
        <v>-74.701402000000002</v>
      </c>
      <c r="J623" s="28"/>
      <c r="K623" s="61">
        <v>110000616049</v>
      </c>
      <c r="L623" s="61" t="str">
        <f>IFERROR(INDEX('Facility Summary'!$K:$K,MATCH(K623,'Facility Summary'!$J:$J,0)),INDEX('Raw Annual DMR Data'!$M:$M,MATCH(K623,'Raw Annual DMR Data'!$L:$L,0)))</f>
        <v>Unknown</v>
      </c>
      <c r="M623" s="28"/>
      <c r="N623" s="28"/>
      <c r="O623" s="28"/>
      <c r="P623" s="28"/>
      <c r="Q623" s="28"/>
      <c r="R623" s="28"/>
      <c r="S623" s="28">
        <v>5.0997197500000004E-3</v>
      </c>
    </row>
    <row r="624" spans="1:19" x14ac:dyDescent="0.25">
      <c r="A624" s="28">
        <v>2019</v>
      </c>
      <c r="B624" s="28"/>
      <c r="C624" s="28" t="s">
        <v>1069</v>
      </c>
      <c r="D624" s="28" t="s">
        <v>1656</v>
      </c>
      <c r="E624" s="28" t="s">
        <v>1070</v>
      </c>
      <c r="F624" s="28" t="s">
        <v>338</v>
      </c>
      <c r="G624" s="28">
        <v>79302221</v>
      </c>
      <c r="H624" s="28">
        <v>40.798532000000002</v>
      </c>
      <c r="I624" s="28">
        <v>-74.701402000000002</v>
      </c>
      <c r="J624" s="28"/>
      <c r="K624" s="61">
        <v>110000616049</v>
      </c>
      <c r="L624" s="61" t="str">
        <f>IFERROR(INDEX('Facility Summary'!$K:$K,MATCH(K624,'Facility Summary'!$J:$J,0)),INDEX('Raw Annual DMR Data'!$M:$M,MATCH(K624,'Raw Annual DMR Data'!$L:$L,0)))</f>
        <v>Unknown</v>
      </c>
      <c r="M624" s="28"/>
      <c r="N624" s="28"/>
      <c r="O624" s="28"/>
      <c r="P624" s="28"/>
      <c r="Q624" s="28"/>
      <c r="R624" s="28"/>
      <c r="S624" s="28">
        <v>3.7992883749999999E-3</v>
      </c>
    </row>
    <row r="625" spans="1:19" x14ac:dyDescent="0.25">
      <c r="A625" s="28">
        <v>2020</v>
      </c>
      <c r="B625" s="28"/>
      <c r="C625" s="28" t="s">
        <v>1069</v>
      </c>
      <c r="D625" s="28" t="s">
        <v>1656</v>
      </c>
      <c r="E625" s="28" t="s">
        <v>1070</v>
      </c>
      <c r="F625" s="28" t="s">
        <v>338</v>
      </c>
      <c r="G625" s="28">
        <v>79302221</v>
      </c>
      <c r="H625" s="28">
        <v>40.798532000000002</v>
      </c>
      <c r="I625" s="28">
        <v>-74.701402000000002</v>
      </c>
      <c r="J625" s="28"/>
      <c r="K625" s="61">
        <v>110000616049</v>
      </c>
      <c r="L625" s="61" t="str">
        <f>IFERROR(INDEX('Facility Summary'!$K:$K,MATCH(K625,'Facility Summary'!$J:$J,0)),INDEX('Raw Annual DMR Data'!$M:$M,MATCH(K625,'Raw Annual DMR Data'!$L:$L,0)))</f>
        <v>Unknown</v>
      </c>
      <c r="M625" s="28"/>
      <c r="N625" s="28"/>
      <c r="O625" s="28"/>
      <c r="P625" s="28"/>
      <c r="Q625" s="28"/>
      <c r="R625" s="28"/>
      <c r="S625" s="28">
        <v>3.875556125E-3</v>
      </c>
    </row>
    <row r="626" spans="1:19" x14ac:dyDescent="0.25">
      <c r="A626" s="28">
        <v>2019</v>
      </c>
      <c r="B626" s="28"/>
      <c r="C626" s="28" t="s">
        <v>1071</v>
      </c>
      <c r="D626" s="28" t="s">
        <v>1661</v>
      </c>
      <c r="E626" s="28" t="s">
        <v>1072</v>
      </c>
      <c r="F626" s="28" t="s">
        <v>366</v>
      </c>
      <c r="G626" s="28">
        <v>96021</v>
      </c>
      <c r="H626" s="28">
        <v>39.916111000000001</v>
      </c>
      <c r="I626" s="28">
        <v>-122.104444</v>
      </c>
      <c r="J626" s="28"/>
      <c r="K626" s="61">
        <v>110000730451</v>
      </c>
      <c r="L626" s="61" t="str">
        <f>IFERROR(INDEX('Facility Summary'!$K:$K,MATCH(K626,'Facility Summary'!$J:$J,0)),INDEX('Raw Annual DMR Data'!$M:$M,MATCH(K626,'Raw Annual DMR Data'!$L:$L,0)))</f>
        <v>POTW</v>
      </c>
      <c r="M626" s="28"/>
      <c r="N626" s="28"/>
      <c r="O626" s="28"/>
      <c r="P626" s="28"/>
      <c r="Q626" s="28"/>
      <c r="R626" s="28"/>
      <c r="S626" s="28">
        <v>6.6041664099999994E-2</v>
      </c>
    </row>
    <row r="627" spans="1:19" x14ac:dyDescent="0.25">
      <c r="A627" s="28">
        <v>2015</v>
      </c>
      <c r="B627" s="28"/>
      <c r="C627" s="28" t="s">
        <v>1073</v>
      </c>
      <c r="D627" s="28" t="s">
        <v>1663</v>
      </c>
      <c r="E627" s="28" t="s">
        <v>1074</v>
      </c>
      <c r="F627" s="28" t="s">
        <v>374</v>
      </c>
      <c r="G627" s="28" t="s">
        <v>1664</v>
      </c>
      <c r="H627" s="28">
        <v>34.729709999999997</v>
      </c>
      <c r="I627" s="28">
        <v>-112.04337599999999</v>
      </c>
      <c r="J627" s="28"/>
      <c r="K627" s="61">
        <v>110055979455</v>
      </c>
      <c r="L627" s="61" t="str">
        <f>IFERROR(INDEX('Facility Summary'!$K:$K,MATCH(K627,'Facility Summary'!$J:$J,0)),INDEX('Raw Annual DMR Data'!$M:$M,MATCH(K627,'Raw Annual DMR Data'!$L:$L,0)))</f>
        <v>POTW</v>
      </c>
      <c r="M627" s="28"/>
      <c r="N627" s="28"/>
      <c r="O627" s="28"/>
      <c r="P627" s="28"/>
      <c r="Q627" s="28"/>
      <c r="R627" s="28"/>
      <c r="S627" s="28">
        <v>1.2046897999999999</v>
      </c>
    </row>
    <row r="628" spans="1:19" x14ac:dyDescent="0.25">
      <c r="A628" s="28">
        <v>2016</v>
      </c>
      <c r="B628" s="28"/>
      <c r="C628" s="28" t="s">
        <v>1073</v>
      </c>
      <c r="D628" s="28" t="s">
        <v>1663</v>
      </c>
      <c r="E628" s="28" t="s">
        <v>1074</v>
      </c>
      <c r="F628" s="28" t="s">
        <v>374</v>
      </c>
      <c r="G628" s="28" t="s">
        <v>1664</v>
      </c>
      <c r="H628" s="28">
        <v>34.729709999999997</v>
      </c>
      <c r="I628" s="28">
        <v>-112.04337599999999</v>
      </c>
      <c r="J628" s="28"/>
      <c r="K628" s="61">
        <v>110055979455</v>
      </c>
      <c r="L628" s="61" t="str">
        <f>IFERROR(INDEX('Facility Summary'!$K:$K,MATCH(K628,'Facility Summary'!$J:$J,0)),INDEX('Raw Annual DMR Data'!$M:$M,MATCH(K628,'Raw Annual DMR Data'!$L:$L,0)))</f>
        <v>POTW</v>
      </c>
      <c r="M628" s="28"/>
      <c r="N628" s="28"/>
      <c r="O628" s="28"/>
      <c r="P628" s="28"/>
      <c r="Q628" s="28"/>
      <c r="R628" s="28"/>
      <c r="S628" s="28">
        <v>1.2433725</v>
      </c>
    </row>
    <row r="629" spans="1:19" x14ac:dyDescent="0.25">
      <c r="A629" s="28">
        <v>2018</v>
      </c>
      <c r="B629" s="28"/>
      <c r="C629" s="28" t="s">
        <v>1073</v>
      </c>
      <c r="D629" s="28" t="s">
        <v>1663</v>
      </c>
      <c r="E629" s="28" t="s">
        <v>1074</v>
      </c>
      <c r="F629" s="28" t="s">
        <v>374</v>
      </c>
      <c r="G629" s="28" t="s">
        <v>1664</v>
      </c>
      <c r="H629" s="28">
        <v>34.729709999999997</v>
      </c>
      <c r="I629" s="28">
        <v>-112.04337599999999</v>
      </c>
      <c r="J629" s="28"/>
      <c r="K629" s="61">
        <v>110055979455</v>
      </c>
      <c r="L629" s="61" t="str">
        <f>IFERROR(INDEX('Facility Summary'!$K:$K,MATCH(K629,'Facility Summary'!$J:$J,0)),INDEX('Raw Annual DMR Data'!$M:$M,MATCH(K629,'Raw Annual DMR Data'!$L:$L,0)))</f>
        <v>POTW</v>
      </c>
      <c r="M629" s="28"/>
      <c r="N629" s="28"/>
      <c r="O629" s="28"/>
      <c r="P629" s="28"/>
      <c r="Q629" s="28"/>
      <c r="R629" s="28"/>
      <c r="S629" s="28">
        <v>1.131468975</v>
      </c>
    </row>
    <row r="630" spans="1:19" x14ac:dyDescent="0.25">
      <c r="A630" s="28">
        <v>2015</v>
      </c>
      <c r="B630" s="28"/>
      <c r="C630" s="28" t="s">
        <v>1075</v>
      </c>
      <c r="D630" s="28" t="s">
        <v>1666</v>
      </c>
      <c r="E630" s="28" t="s">
        <v>1076</v>
      </c>
      <c r="F630" s="28" t="s">
        <v>469</v>
      </c>
      <c r="G630" s="28" t="s">
        <v>1667</v>
      </c>
      <c r="H630" s="28">
        <v>39.728720000000003</v>
      </c>
      <c r="I630" s="28">
        <v>-86.137910000000005</v>
      </c>
      <c r="J630" s="28"/>
      <c r="K630" s="61">
        <v>110002455370</v>
      </c>
      <c r="L630" s="61" t="str">
        <f>IFERROR(INDEX('Facility Summary'!$K:$K,MATCH(K630,'Facility Summary'!$J:$J,0)),INDEX('Raw Annual DMR Data'!$M:$M,MATCH(K630,'Raw Annual DMR Data'!$L:$L,0)))</f>
        <v>Unknown</v>
      </c>
      <c r="M630" s="28"/>
      <c r="N630" s="28"/>
      <c r="O630" s="28"/>
      <c r="P630" s="28"/>
      <c r="Q630" s="28"/>
      <c r="R630" s="28"/>
      <c r="S630" s="28">
        <v>1.1700930074999999E-2</v>
      </c>
    </row>
    <row r="631" spans="1:19" x14ac:dyDescent="0.25">
      <c r="A631" s="28">
        <v>2016</v>
      </c>
      <c r="B631" s="28"/>
      <c r="C631" s="28" t="s">
        <v>1075</v>
      </c>
      <c r="D631" s="28" t="s">
        <v>1666</v>
      </c>
      <c r="E631" s="28" t="s">
        <v>1076</v>
      </c>
      <c r="F631" s="28" t="s">
        <v>469</v>
      </c>
      <c r="G631" s="28" t="s">
        <v>1667</v>
      </c>
      <c r="H631" s="28">
        <v>39.728720000000003</v>
      </c>
      <c r="I631" s="28">
        <v>-86.137910000000005</v>
      </c>
      <c r="J631" s="28"/>
      <c r="K631" s="61">
        <v>110002455370</v>
      </c>
      <c r="L631" s="61" t="str">
        <f>IFERROR(INDEX('Facility Summary'!$K:$K,MATCH(K631,'Facility Summary'!$J:$J,0)),INDEX('Raw Annual DMR Data'!$M:$M,MATCH(K631,'Raw Annual DMR Data'!$L:$L,0)))</f>
        <v>Unknown</v>
      </c>
      <c r="M631" s="28"/>
      <c r="N631" s="28"/>
      <c r="O631" s="28"/>
      <c r="P631" s="28"/>
      <c r="Q631" s="28"/>
      <c r="R631" s="28"/>
      <c r="S631" s="28">
        <v>1.406760825125E-3</v>
      </c>
    </row>
    <row r="632" spans="1:19" x14ac:dyDescent="0.25">
      <c r="A632" s="28">
        <v>2019</v>
      </c>
      <c r="B632" s="28"/>
      <c r="C632" s="28" t="s">
        <v>208</v>
      </c>
      <c r="D632" s="28" t="s">
        <v>647</v>
      </c>
      <c r="E632" s="28" t="s">
        <v>648</v>
      </c>
      <c r="F632" s="28" t="s">
        <v>328</v>
      </c>
      <c r="G632" s="28">
        <v>30721</v>
      </c>
      <c r="H632" s="28">
        <v>34.632592000000002</v>
      </c>
      <c r="I632" s="28">
        <v>-84.927667999999997</v>
      </c>
      <c r="J632" s="28" t="s">
        <v>649</v>
      </c>
      <c r="K632" s="61">
        <v>110000611703</v>
      </c>
      <c r="L632" s="61" t="str">
        <f>IFERROR(INDEX('Facility Summary'!$K:$K,MATCH(K632,'Facility Summary'!$J:$J,0)),INDEX('Raw Annual DMR Data'!$M:$M,MATCH(K632,'Raw Annual DMR Data'!$L:$L,0)))</f>
        <v>Processing as a Reactant</v>
      </c>
      <c r="M632" s="28"/>
      <c r="N632" s="28"/>
      <c r="O632" s="28"/>
      <c r="P632" s="28"/>
      <c r="Q632" s="28"/>
      <c r="R632" s="28"/>
      <c r="S632" s="28">
        <v>2.1088435374149599E-2</v>
      </c>
    </row>
    <row r="633" spans="1:19" x14ac:dyDescent="0.25">
      <c r="A633" s="28">
        <v>2020</v>
      </c>
      <c r="B633" s="28"/>
      <c r="C633" s="28" t="s">
        <v>1077</v>
      </c>
      <c r="D633" s="28" t="s">
        <v>1670</v>
      </c>
      <c r="E633" s="28" t="s">
        <v>1078</v>
      </c>
      <c r="F633" s="28" t="s">
        <v>366</v>
      </c>
      <c r="G633" s="28">
        <v>95682</v>
      </c>
      <c r="H633" s="28">
        <v>38.627777999999999</v>
      </c>
      <c r="I633" s="28">
        <v>-120.984167</v>
      </c>
      <c r="J633" s="28"/>
      <c r="K633" s="61">
        <v>110070619860</v>
      </c>
      <c r="L633" s="61" t="str">
        <f>IFERROR(INDEX('Facility Summary'!$K:$K,MATCH(K633,'Facility Summary'!$J:$J,0)),INDEX('Raw Annual DMR Data'!$M:$M,MATCH(K633,'Raw Annual DMR Data'!$L:$L,0)))</f>
        <v>POTW</v>
      </c>
      <c r="M633" s="28"/>
      <c r="N633" s="28"/>
      <c r="O633" s="28"/>
      <c r="P633" s="28"/>
      <c r="Q633" s="28"/>
      <c r="R633" s="28"/>
      <c r="S633" s="28">
        <v>2.8728150000000001E-2</v>
      </c>
    </row>
    <row r="634" spans="1:19" x14ac:dyDescent="0.25">
      <c r="A634" s="28">
        <v>2015</v>
      </c>
      <c r="B634" s="28"/>
      <c r="C634" s="28" t="s">
        <v>1079</v>
      </c>
      <c r="D634" s="28" t="s">
        <v>1673</v>
      </c>
      <c r="E634" s="28" t="s">
        <v>381</v>
      </c>
      <c r="F634" s="28" t="s">
        <v>338</v>
      </c>
      <c r="G634" s="28">
        <v>8014</v>
      </c>
      <c r="H634" s="28">
        <v>39.80142</v>
      </c>
      <c r="I634" s="28">
        <v>-75.354990000000001</v>
      </c>
      <c r="J634" s="28" t="s">
        <v>710</v>
      </c>
      <c r="K634" s="61">
        <v>110000582003</v>
      </c>
      <c r="L634" s="61" t="str">
        <f>IFERROR(INDEX('Facility Summary'!$K:$K,MATCH(K634,'Facility Summary'!$J:$J,0)),INDEX('Raw Annual DMR Data'!$M:$M,MATCH(K634,'Raw Annual DMR Data'!$L:$L,0)))</f>
        <v>Unknown</v>
      </c>
      <c r="M634" s="28"/>
      <c r="N634" s="28"/>
      <c r="O634" s="28"/>
      <c r="P634" s="28"/>
      <c r="Q634" s="28"/>
      <c r="R634" s="28"/>
      <c r="S634" s="28">
        <v>0.121</v>
      </c>
    </row>
    <row r="635" spans="1:19" x14ac:dyDescent="0.25">
      <c r="A635" s="28">
        <v>2016</v>
      </c>
      <c r="B635" s="28"/>
      <c r="C635" s="28" t="s">
        <v>1079</v>
      </c>
      <c r="D635" s="28" t="s">
        <v>1673</v>
      </c>
      <c r="E635" s="28" t="s">
        <v>381</v>
      </c>
      <c r="F635" s="28" t="s">
        <v>338</v>
      </c>
      <c r="G635" s="28">
        <v>8014</v>
      </c>
      <c r="H635" s="28">
        <v>39.80142</v>
      </c>
      <c r="I635" s="28">
        <v>-75.354990000000001</v>
      </c>
      <c r="J635" s="28" t="s">
        <v>710</v>
      </c>
      <c r="K635" s="61">
        <v>110000582003</v>
      </c>
      <c r="L635" s="61" t="str">
        <f>IFERROR(INDEX('Facility Summary'!$K:$K,MATCH(K635,'Facility Summary'!$J:$J,0)),INDEX('Raw Annual DMR Data'!$M:$M,MATCH(K635,'Raw Annual DMR Data'!$L:$L,0)))</f>
        <v>Unknown</v>
      </c>
      <c r="M635" s="28"/>
      <c r="N635" s="28"/>
      <c r="O635" s="28"/>
      <c r="P635" s="28"/>
      <c r="Q635" s="28"/>
      <c r="R635" s="28"/>
      <c r="S635" s="28">
        <v>0.39350000000000002</v>
      </c>
    </row>
    <row r="636" spans="1:19" x14ac:dyDescent="0.25">
      <c r="A636" s="28">
        <v>2017</v>
      </c>
      <c r="B636" s="28"/>
      <c r="C636" s="28" t="s">
        <v>1079</v>
      </c>
      <c r="D636" s="28" t="s">
        <v>1673</v>
      </c>
      <c r="E636" s="28" t="s">
        <v>381</v>
      </c>
      <c r="F636" s="28" t="s">
        <v>338</v>
      </c>
      <c r="G636" s="28">
        <v>8014</v>
      </c>
      <c r="H636" s="28">
        <v>39.80142</v>
      </c>
      <c r="I636" s="28">
        <v>-75.354990000000001</v>
      </c>
      <c r="J636" s="28" t="s">
        <v>710</v>
      </c>
      <c r="K636" s="61">
        <v>110000582003</v>
      </c>
      <c r="L636" s="61" t="str">
        <f>IFERROR(INDEX('Facility Summary'!$K:$K,MATCH(K636,'Facility Summary'!$J:$J,0)),INDEX('Raw Annual DMR Data'!$M:$M,MATCH(K636,'Raw Annual DMR Data'!$L:$L,0)))</f>
        <v>Unknown</v>
      </c>
      <c r="M636" s="28"/>
      <c r="N636" s="28"/>
      <c r="O636" s="28"/>
      <c r="P636" s="28"/>
      <c r="Q636" s="28"/>
      <c r="R636" s="28"/>
      <c r="S636" s="28">
        <v>0.59</v>
      </c>
    </row>
    <row r="637" spans="1:19" x14ac:dyDescent="0.25">
      <c r="A637" s="28">
        <v>2018</v>
      </c>
      <c r="B637" s="28"/>
      <c r="C637" s="28" t="s">
        <v>1079</v>
      </c>
      <c r="D637" s="28" t="s">
        <v>1673</v>
      </c>
      <c r="E637" s="28" t="s">
        <v>381</v>
      </c>
      <c r="F637" s="28" t="s">
        <v>338</v>
      </c>
      <c r="G637" s="302" t="s">
        <v>1608</v>
      </c>
      <c r="H637" s="28">
        <v>39.80142</v>
      </c>
      <c r="I637" s="28">
        <v>-75.354990000000001</v>
      </c>
      <c r="J637" s="28" t="s">
        <v>710</v>
      </c>
      <c r="K637" s="61">
        <v>110000582003</v>
      </c>
      <c r="L637" s="61" t="str">
        <f>IFERROR(INDEX('Facility Summary'!$K:$K,MATCH(K637,'Facility Summary'!$J:$J,0)),INDEX('Raw Annual DMR Data'!$M:$M,MATCH(K637,'Raw Annual DMR Data'!$L:$L,0)))</f>
        <v>Unknown</v>
      </c>
      <c r="M637" s="28"/>
      <c r="N637" s="28"/>
      <c r="O637" s="28"/>
      <c r="P637" s="28"/>
      <c r="Q637" s="28"/>
      <c r="R637" s="28"/>
      <c r="S637" s="28">
        <v>0.1825</v>
      </c>
    </row>
    <row r="638" spans="1:19" x14ac:dyDescent="0.25">
      <c r="A638" s="28">
        <v>2019</v>
      </c>
      <c r="B638" s="28"/>
      <c r="C638" s="28" t="s">
        <v>1079</v>
      </c>
      <c r="D638" s="28" t="s">
        <v>1673</v>
      </c>
      <c r="E638" s="28" t="s">
        <v>381</v>
      </c>
      <c r="F638" s="28" t="s">
        <v>338</v>
      </c>
      <c r="G638" s="28">
        <v>8014</v>
      </c>
      <c r="H638" s="28">
        <v>39.80142</v>
      </c>
      <c r="I638" s="28">
        <v>-75.354990000000001</v>
      </c>
      <c r="J638" s="28" t="s">
        <v>710</v>
      </c>
      <c r="K638" s="61">
        <v>110000582003</v>
      </c>
      <c r="L638" s="61" t="str">
        <f>IFERROR(INDEX('Facility Summary'!$K:$K,MATCH(K638,'Facility Summary'!$J:$J,0)),INDEX('Raw Annual DMR Data'!$M:$M,MATCH(K638,'Raw Annual DMR Data'!$L:$L,0)))</f>
        <v>Unknown</v>
      </c>
      <c r="M638" s="28"/>
      <c r="N638" s="28"/>
      <c r="O638" s="28"/>
      <c r="P638" s="28"/>
      <c r="Q638" s="28"/>
      <c r="R638" s="28"/>
      <c r="S638" s="28">
        <v>0.2135</v>
      </c>
    </row>
    <row r="639" spans="1:19" x14ac:dyDescent="0.25">
      <c r="A639" s="28">
        <v>2020</v>
      </c>
      <c r="B639" s="28"/>
      <c r="C639" s="28" t="s">
        <v>1079</v>
      </c>
      <c r="D639" s="28" t="s">
        <v>1673</v>
      </c>
      <c r="E639" s="28" t="s">
        <v>381</v>
      </c>
      <c r="F639" s="28" t="s">
        <v>338</v>
      </c>
      <c r="G639" s="28">
        <v>8014</v>
      </c>
      <c r="H639" s="28">
        <v>39.80142</v>
      </c>
      <c r="I639" s="28">
        <v>-75.354990000000001</v>
      </c>
      <c r="J639" s="28" t="s">
        <v>710</v>
      </c>
      <c r="K639" s="61">
        <v>110000582003</v>
      </c>
      <c r="L639" s="61" t="str">
        <f>IFERROR(INDEX('Facility Summary'!$K:$K,MATCH(K639,'Facility Summary'!$J:$J,0)),INDEX('Raw Annual DMR Data'!$M:$M,MATCH(K639,'Raw Annual DMR Data'!$L:$L,0)))</f>
        <v>Unknown</v>
      </c>
      <c r="M639" s="28"/>
      <c r="N639" s="28"/>
      <c r="O639" s="28"/>
      <c r="P639" s="28"/>
      <c r="Q639" s="28"/>
      <c r="R639" s="28"/>
      <c r="S639" s="28">
        <v>0.22059999999999999</v>
      </c>
    </row>
    <row r="640" spans="1:19" x14ac:dyDescent="0.25">
      <c r="A640" s="28">
        <v>2018</v>
      </c>
      <c r="B640" s="28"/>
      <c r="C640" s="28" t="s">
        <v>1080</v>
      </c>
      <c r="D640" s="28" t="s">
        <v>1677</v>
      </c>
      <c r="E640" s="28" t="s">
        <v>1081</v>
      </c>
      <c r="F640" s="28" t="s">
        <v>338</v>
      </c>
      <c r="G640" s="302" t="s">
        <v>1678</v>
      </c>
      <c r="H640" s="28">
        <v>40.038871999999998</v>
      </c>
      <c r="I640" s="28">
        <v>-74.975640999999996</v>
      </c>
      <c r="J640" s="28"/>
      <c r="K640" s="61">
        <v>110006620095</v>
      </c>
      <c r="L640" s="61" t="str">
        <f>IFERROR(INDEX('Facility Summary'!$K:$K,MATCH(K640,'Facility Summary'!$J:$J,0)),INDEX('Raw Annual DMR Data'!$M:$M,MATCH(K640,'Raw Annual DMR Data'!$L:$L,0)))</f>
        <v>POTW</v>
      </c>
      <c r="M640" s="28"/>
      <c r="N640" s="28"/>
      <c r="O640" s="28"/>
      <c r="P640" s="28"/>
      <c r="Q640" s="28"/>
      <c r="R640" s="28"/>
      <c r="S640" s="28">
        <v>0.16988026249999999</v>
      </c>
    </row>
    <row r="641" spans="1:19" x14ac:dyDescent="0.25">
      <c r="A641" s="28">
        <v>2019</v>
      </c>
      <c r="B641" s="28"/>
      <c r="C641" s="28" t="s">
        <v>1080</v>
      </c>
      <c r="D641" s="28" t="s">
        <v>1677</v>
      </c>
      <c r="E641" s="28" t="s">
        <v>1081</v>
      </c>
      <c r="F641" s="28" t="s">
        <v>338</v>
      </c>
      <c r="G641" s="28">
        <v>8075</v>
      </c>
      <c r="H641" s="28">
        <v>40.038871999999998</v>
      </c>
      <c r="I641" s="28">
        <v>-74.975640999999996</v>
      </c>
      <c r="J641" s="28"/>
      <c r="K641" s="61">
        <v>110006620095</v>
      </c>
      <c r="L641" s="61" t="str">
        <f>IFERROR(INDEX('Facility Summary'!$K:$K,MATCH(K641,'Facility Summary'!$J:$J,0)),INDEX('Raw Annual DMR Data'!$M:$M,MATCH(K641,'Raw Annual DMR Data'!$L:$L,0)))</f>
        <v>POTW</v>
      </c>
      <c r="M641" s="28"/>
      <c r="N641" s="28"/>
      <c r="O641" s="28"/>
      <c r="P641" s="28"/>
      <c r="Q641" s="28"/>
      <c r="R641" s="28"/>
      <c r="S641" s="28">
        <v>9.62147E-2</v>
      </c>
    </row>
    <row r="642" spans="1:19" x14ac:dyDescent="0.25">
      <c r="A642" s="28">
        <v>2020</v>
      </c>
      <c r="B642" s="28"/>
      <c r="C642" s="28" t="s">
        <v>1080</v>
      </c>
      <c r="D642" s="28" t="s">
        <v>1677</v>
      </c>
      <c r="E642" s="28" t="s">
        <v>1081</v>
      </c>
      <c r="F642" s="28" t="s">
        <v>338</v>
      </c>
      <c r="G642" s="28">
        <v>8075</v>
      </c>
      <c r="H642" s="28">
        <v>40.038871999999998</v>
      </c>
      <c r="I642" s="28">
        <v>-74.975640999999996</v>
      </c>
      <c r="J642" s="28"/>
      <c r="K642" s="61">
        <v>110006620095</v>
      </c>
      <c r="L642" s="61" t="str">
        <f>IFERROR(INDEX('Facility Summary'!$K:$K,MATCH(K642,'Facility Summary'!$J:$J,0)),INDEX('Raw Annual DMR Data'!$M:$M,MATCH(K642,'Raw Annual DMR Data'!$L:$L,0)))</f>
        <v>POTW</v>
      </c>
      <c r="M642" s="28"/>
      <c r="N642" s="28"/>
      <c r="O642" s="28"/>
      <c r="P642" s="28"/>
      <c r="Q642" s="28"/>
      <c r="R642" s="28"/>
      <c r="S642" s="28">
        <v>9.6589414999999998E-2</v>
      </c>
    </row>
    <row r="643" spans="1:19" x14ac:dyDescent="0.25">
      <c r="A643" s="28">
        <v>2016</v>
      </c>
      <c r="B643" s="28"/>
      <c r="C643" s="28" t="s">
        <v>1682</v>
      </c>
      <c r="D643" s="28" t="s">
        <v>501</v>
      </c>
      <c r="E643" s="28" t="s">
        <v>502</v>
      </c>
      <c r="F643" s="28" t="s">
        <v>303</v>
      </c>
      <c r="G643" s="28">
        <v>70058</v>
      </c>
      <c r="H643" s="28">
        <v>29.910609999999998</v>
      </c>
      <c r="I643" s="28">
        <v>-90.085269999999994</v>
      </c>
      <c r="J643" s="28"/>
      <c r="K643" s="61">
        <v>110070117180</v>
      </c>
      <c r="L643" s="61" t="str">
        <f>IFERROR(INDEX('Facility Summary'!$K:$K,MATCH(K643,'Facility Summary'!$J:$J,0)),INDEX('Raw Annual DMR Data'!$M:$M,MATCH(K643,'Raw Annual DMR Data'!$L:$L,0)))</f>
        <v>Repackaging</v>
      </c>
      <c r="M643" s="28"/>
      <c r="N643" s="28"/>
      <c r="O643" s="28"/>
      <c r="P643" s="28"/>
      <c r="Q643" s="28"/>
      <c r="R643" s="28"/>
      <c r="S643" s="28">
        <v>4.8292057999999999E-3</v>
      </c>
    </row>
    <row r="644" spans="1:19" x14ac:dyDescent="0.25">
      <c r="A644" s="28">
        <v>2016</v>
      </c>
      <c r="B644" s="28"/>
      <c r="C644" s="28" t="s">
        <v>1682</v>
      </c>
      <c r="D644" s="28" t="s">
        <v>501</v>
      </c>
      <c r="E644" s="28" t="s">
        <v>502</v>
      </c>
      <c r="F644" s="28" t="s">
        <v>303</v>
      </c>
      <c r="G644" s="28">
        <v>70058</v>
      </c>
      <c r="H644" s="28">
        <v>29.910609999999998</v>
      </c>
      <c r="I644" s="28">
        <v>-90.085269999999994</v>
      </c>
      <c r="J644" s="28"/>
      <c r="K644" s="61">
        <v>110070117180</v>
      </c>
      <c r="L644" s="61" t="str">
        <f>IFERROR(INDEX('Facility Summary'!$K:$K,MATCH(K644,'Facility Summary'!$J:$J,0)),INDEX('Raw Annual DMR Data'!$M:$M,MATCH(K644,'Raw Annual DMR Data'!$L:$L,0)))</f>
        <v>Repackaging</v>
      </c>
      <c r="M644" s="28"/>
      <c r="N644" s="28"/>
      <c r="O644" s="28"/>
      <c r="P644" s="28"/>
      <c r="Q644" s="28"/>
      <c r="R644" s="28"/>
      <c r="S644" s="28">
        <v>8.7176119999999996E-3</v>
      </c>
    </row>
    <row r="645" spans="1:19" x14ac:dyDescent="0.25">
      <c r="A645" s="28">
        <v>2017</v>
      </c>
      <c r="B645" s="28"/>
      <c r="C645" s="28" t="s">
        <v>1682</v>
      </c>
      <c r="D645" s="28" t="s">
        <v>501</v>
      </c>
      <c r="E645" s="28" t="s">
        <v>502</v>
      </c>
      <c r="F645" s="28" t="s">
        <v>303</v>
      </c>
      <c r="G645" s="28">
        <v>70058</v>
      </c>
      <c r="H645" s="28">
        <v>29.910609999999998</v>
      </c>
      <c r="I645" s="28">
        <v>-90.085269999999994</v>
      </c>
      <c r="J645" s="28"/>
      <c r="K645" s="61">
        <v>110070117180</v>
      </c>
      <c r="L645" s="61" t="str">
        <f>IFERROR(INDEX('Facility Summary'!$K:$K,MATCH(K645,'Facility Summary'!$J:$J,0)),INDEX('Raw Annual DMR Data'!$M:$M,MATCH(K645,'Raw Annual DMR Data'!$L:$L,0)))</f>
        <v>Repackaging</v>
      </c>
      <c r="M645" s="28"/>
      <c r="N645" s="28"/>
      <c r="O645" s="28"/>
      <c r="P645" s="28"/>
      <c r="Q645" s="28"/>
      <c r="R645" s="28"/>
      <c r="S645" s="28">
        <v>1.4353477E-2</v>
      </c>
    </row>
    <row r="646" spans="1:19" x14ac:dyDescent="0.25">
      <c r="A646" s="28">
        <v>2017</v>
      </c>
      <c r="B646" s="28"/>
      <c r="C646" s="28" t="s">
        <v>1682</v>
      </c>
      <c r="D646" s="28" t="s">
        <v>501</v>
      </c>
      <c r="E646" s="28" t="s">
        <v>502</v>
      </c>
      <c r="F646" s="28" t="s">
        <v>303</v>
      </c>
      <c r="G646" s="28">
        <v>70058</v>
      </c>
      <c r="H646" s="28">
        <v>29.910609999999998</v>
      </c>
      <c r="I646" s="28">
        <v>-90.085269999999994</v>
      </c>
      <c r="J646" s="28"/>
      <c r="K646" s="61">
        <v>110070117180</v>
      </c>
      <c r="L646" s="61" t="str">
        <f>IFERROR(INDEX('Facility Summary'!$K:$K,MATCH(K646,'Facility Summary'!$J:$J,0)),INDEX('Raw Annual DMR Data'!$M:$M,MATCH(K646,'Raw Annual DMR Data'!$L:$L,0)))</f>
        <v>Repackaging</v>
      </c>
      <c r="M646" s="28"/>
      <c r="N646" s="28"/>
      <c r="O646" s="28"/>
      <c r="P646" s="28"/>
      <c r="Q646" s="28"/>
      <c r="R646" s="28"/>
      <c r="S646" s="28">
        <v>2.5923275749999999E-2</v>
      </c>
    </row>
    <row r="647" spans="1:19" x14ac:dyDescent="0.25">
      <c r="A647" s="28">
        <v>2018</v>
      </c>
      <c r="B647" s="28"/>
      <c r="C647" s="28" t="s">
        <v>1682</v>
      </c>
      <c r="D647" s="28" t="s">
        <v>501</v>
      </c>
      <c r="E647" s="28" t="s">
        <v>502</v>
      </c>
      <c r="F647" s="28" t="s">
        <v>303</v>
      </c>
      <c r="G647" s="28">
        <v>70058</v>
      </c>
      <c r="H647" s="28">
        <v>29.910609999999998</v>
      </c>
      <c r="I647" s="28">
        <v>-90.085269999999994</v>
      </c>
      <c r="J647" s="28"/>
      <c r="K647" s="61">
        <v>110070117180</v>
      </c>
      <c r="L647" s="61" t="str">
        <f>IFERROR(INDEX('Facility Summary'!$K:$K,MATCH(K647,'Facility Summary'!$J:$J,0)),INDEX('Raw Annual DMR Data'!$M:$M,MATCH(K647,'Raw Annual DMR Data'!$L:$L,0)))</f>
        <v>Repackaging</v>
      </c>
      <c r="M647" s="28"/>
      <c r="N647" s="28"/>
      <c r="O647" s="28"/>
      <c r="P647" s="28"/>
      <c r="Q647" s="28"/>
      <c r="R647" s="28"/>
      <c r="S647" s="28">
        <v>2.5006738000000001E-2</v>
      </c>
    </row>
    <row r="648" spans="1:19" x14ac:dyDescent="0.25">
      <c r="A648" s="28">
        <v>2018</v>
      </c>
      <c r="B648" s="28"/>
      <c r="C648" s="28" t="s">
        <v>1682</v>
      </c>
      <c r="D648" s="28" t="s">
        <v>501</v>
      </c>
      <c r="E648" s="28" t="s">
        <v>502</v>
      </c>
      <c r="F648" s="28" t="s">
        <v>303</v>
      </c>
      <c r="G648" s="28">
        <v>70058</v>
      </c>
      <c r="H648" s="28">
        <v>29.910609999999998</v>
      </c>
      <c r="I648" s="28">
        <v>-90.085269999999994</v>
      </c>
      <c r="J648" s="28"/>
      <c r="K648" s="61">
        <v>110070117180</v>
      </c>
      <c r="L648" s="61" t="str">
        <f>IFERROR(INDEX('Facility Summary'!$K:$K,MATCH(K648,'Facility Summary'!$J:$J,0)),INDEX('Raw Annual DMR Data'!$M:$M,MATCH(K648,'Raw Annual DMR Data'!$L:$L,0)))</f>
        <v>Repackaging</v>
      </c>
      <c r="M648" s="28"/>
      <c r="N648" s="28"/>
      <c r="O648" s="28"/>
      <c r="P648" s="28"/>
      <c r="Q648" s="28"/>
      <c r="R648" s="28"/>
      <c r="S648" s="28">
        <v>1.7546692249999999E-2</v>
      </c>
    </row>
    <row r="649" spans="1:19" x14ac:dyDescent="0.25">
      <c r="A649" s="28">
        <v>2019</v>
      </c>
      <c r="B649" s="28"/>
      <c r="C649" s="28" t="s">
        <v>1682</v>
      </c>
      <c r="D649" s="28" t="s">
        <v>501</v>
      </c>
      <c r="E649" s="28" t="s">
        <v>502</v>
      </c>
      <c r="F649" s="28" t="s">
        <v>303</v>
      </c>
      <c r="G649" s="28">
        <v>70058</v>
      </c>
      <c r="H649" s="28">
        <v>29.910609999999998</v>
      </c>
      <c r="I649" s="28">
        <v>-90.085269999999994</v>
      </c>
      <c r="J649" s="28"/>
      <c r="K649" s="61">
        <v>110070117180</v>
      </c>
      <c r="L649" s="61" t="str">
        <f>IFERROR(INDEX('Facility Summary'!$K:$K,MATCH(K649,'Facility Summary'!$J:$J,0)),INDEX('Raw Annual DMR Data'!$M:$M,MATCH(K649,'Raw Annual DMR Data'!$L:$L,0)))</f>
        <v>Repackaging</v>
      </c>
      <c r="M649" s="28"/>
      <c r="N649" s="28"/>
      <c r="O649" s="28"/>
      <c r="P649" s="28"/>
      <c r="Q649" s="28"/>
      <c r="R649" s="28"/>
      <c r="S649" s="28">
        <v>7.9553640975000006E-2</v>
      </c>
    </row>
    <row r="650" spans="1:19" x14ac:dyDescent="0.25">
      <c r="A650" s="28">
        <v>2019</v>
      </c>
      <c r="B650" s="28"/>
      <c r="C650" s="28" t="s">
        <v>1682</v>
      </c>
      <c r="D650" s="28" t="s">
        <v>501</v>
      </c>
      <c r="E650" s="28" t="s">
        <v>502</v>
      </c>
      <c r="F650" s="28" t="s">
        <v>303</v>
      </c>
      <c r="G650" s="28">
        <v>70058</v>
      </c>
      <c r="H650" s="28">
        <v>29.910609999999998</v>
      </c>
      <c r="I650" s="28">
        <v>-90.085269999999994</v>
      </c>
      <c r="J650" s="28"/>
      <c r="K650" s="61">
        <v>110070117180</v>
      </c>
      <c r="L650" s="61" t="str">
        <f>IFERROR(INDEX('Facility Summary'!$K:$K,MATCH(K650,'Facility Summary'!$J:$J,0)),INDEX('Raw Annual DMR Data'!$M:$M,MATCH(K650,'Raw Annual DMR Data'!$L:$L,0)))</f>
        <v>Repackaging</v>
      </c>
      <c r="M650" s="28"/>
      <c r="N650" s="28"/>
      <c r="O650" s="28"/>
      <c r="P650" s="28"/>
      <c r="Q650" s="28"/>
      <c r="R650" s="28"/>
      <c r="S650" s="28">
        <v>1.7734958150000001E-2</v>
      </c>
    </row>
    <row r="651" spans="1:19" x14ac:dyDescent="0.25">
      <c r="A651" s="28">
        <v>2019</v>
      </c>
      <c r="B651" s="28"/>
      <c r="C651" s="28" t="s">
        <v>1082</v>
      </c>
      <c r="D651" s="28" t="s">
        <v>1684</v>
      </c>
      <c r="E651" s="28" t="s">
        <v>987</v>
      </c>
      <c r="F651" s="28" t="s">
        <v>324</v>
      </c>
      <c r="G651" s="28">
        <v>40272</v>
      </c>
      <c r="H651" s="28">
        <v>38.08614</v>
      </c>
      <c r="I651" s="28">
        <v>-85.898780000000002</v>
      </c>
      <c r="J651" s="28"/>
      <c r="K651" s="61">
        <v>110000732379</v>
      </c>
      <c r="L651" s="61" t="str">
        <f>IFERROR(INDEX('Facility Summary'!$K:$K,MATCH(K651,'Facility Summary'!$J:$J,0)),INDEX('Raw Annual DMR Data'!$M:$M,MATCH(K651,'Raw Annual DMR Data'!$L:$L,0)))</f>
        <v>POTW</v>
      </c>
      <c r="M651" s="28"/>
      <c r="N651" s="28"/>
      <c r="O651" s="28"/>
      <c r="P651" s="28"/>
      <c r="Q651" s="28"/>
      <c r="R651" s="28"/>
      <c r="S651" s="28">
        <v>212.68922756250001</v>
      </c>
    </row>
    <row r="652" spans="1:19" x14ac:dyDescent="0.25">
      <c r="A652" s="28">
        <v>2020</v>
      </c>
      <c r="B652" s="28"/>
      <c r="C652" s="28" t="s">
        <v>1082</v>
      </c>
      <c r="D652" s="28" t="s">
        <v>1684</v>
      </c>
      <c r="E652" s="28" t="s">
        <v>987</v>
      </c>
      <c r="F652" s="28" t="s">
        <v>324</v>
      </c>
      <c r="G652" s="28">
        <v>40272</v>
      </c>
      <c r="H652" s="28">
        <v>38.08614</v>
      </c>
      <c r="I652" s="28">
        <v>-85.898780000000002</v>
      </c>
      <c r="J652" s="28"/>
      <c r="K652" s="61">
        <v>110000732379</v>
      </c>
      <c r="L652" s="61" t="str">
        <f>IFERROR(INDEX('Facility Summary'!$K:$K,MATCH(K652,'Facility Summary'!$J:$J,0)),INDEX('Raw Annual DMR Data'!$M:$M,MATCH(K652,'Raw Annual DMR Data'!$L:$L,0)))</f>
        <v>POTW</v>
      </c>
      <c r="M652" s="28"/>
      <c r="N652" s="28"/>
      <c r="O652" s="28"/>
      <c r="P652" s="28"/>
      <c r="Q652" s="28"/>
      <c r="R652" s="28"/>
      <c r="S652" s="28">
        <v>167.30267749999999</v>
      </c>
    </row>
    <row r="653" spans="1:19" x14ac:dyDescent="0.25">
      <c r="A653" s="28">
        <v>2018</v>
      </c>
      <c r="B653" s="28"/>
      <c r="C653" s="28" t="s">
        <v>1083</v>
      </c>
      <c r="D653" s="28" t="s">
        <v>1686</v>
      </c>
      <c r="E653" s="28" t="s">
        <v>1084</v>
      </c>
      <c r="F653" s="28" t="s">
        <v>491</v>
      </c>
      <c r="G653" s="28">
        <v>17961</v>
      </c>
      <c r="H653" s="28">
        <v>40.628785999999998</v>
      </c>
      <c r="I653" s="28">
        <v>-76.058580000000006</v>
      </c>
      <c r="J653" s="28"/>
      <c r="K653" s="61">
        <v>110000584305</v>
      </c>
      <c r="L653" s="61" t="str">
        <f>IFERROR(INDEX('Facility Summary'!$K:$K,MATCH(K653,'Facility Summary'!$J:$J,0)),INDEX('Raw Annual DMR Data'!$M:$M,MATCH(K653,'Raw Annual DMR Data'!$L:$L,0)))</f>
        <v>Unknown</v>
      </c>
      <c r="M653" s="28"/>
      <c r="N653" s="28"/>
      <c r="O653" s="28"/>
      <c r="P653" s="28"/>
      <c r="Q653" s="28"/>
      <c r="R653" s="28"/>
      <c r="S653" s="302">
        <v>7.5102040816326498E-3</v>
      </c>
    </row>
    <row r="654" spans="1:19" x14ac:dyDescent="0.25">
      <c r="A654" s="28">
        <v>2019</v>
      </c>
      <c r="B654" s="28"/>
      <c r="C654" s="28" t="s">
        <v>1083</v>
      </c>
      <c r="D654" s="28" t="s">
        <v>1686</v>
      </c>
      <c r="E654" s="28" t="s">
        <v>1084</v>
      </c>
      <c r="F654" s="28" t="s">
        <v>491</v>
      </c>
      <c r="G654" s="28">
        <v>17961</v>
      </c>
      <c r="H654" s="28">
        <v>40.628785999999998</v>
      </c>
      <c r="I654" s="28">
        <v>-76.058580000000006</v>
      </c>
      <c r="J654" s="28"/>
      <c r="K654" s="61">
        <v>110000584305</v>
      </c>
      <c r="L654" s="61" t="str">
        <f>IFERROR(INDEX('Facility Summary'!$K:$K,MATCH(K654,'Facility Summary'!$J:$J,0)),INDEX('Raw Annual DMR Data'!$M:$M,MATCH(K654,'Raw Annual DMR Data'!$L:$L,0)))</f>
        <v>Unknown</v>
      </c>
      <c r="M654" s="28"/>
      <c r="N654" s="28"/>
      <c r="O654" s="28"/>
      <c r="P654" s="28"/>
      <c r="Q654" s="28"/>
      <c r="R654" s="28"/>
      <c r="S654" s="28">
        <v>7.2448979591836701E-3</v>
      </c>
    </row>
    <row r="655" spans="1:19" x14ac:dyDescent="0.25">
      <c r="A655" s="28">
        <v>2020</v>
      </c>
      <c r="B655" s="28"/>
      <c r="C655" s="28" t="s">
        <v>1083</v>
      </c>
      <c r="D655" s="28" t="s">
        <v>1686</v>
      </c>
      <c r="E655" s="28" t="s">
        <v>1084</v>
      </c>
      <c r="F655" s="28" t="s">
        <v>491</v>
      </c>
      <c r="G655" s="28">
        <v>17961</v>
      </c>
      <c r="H655" s="28">
        <v>40.628785999999998</v>
      </c>
      <c r="I655" s="28">
        <v>-76.058580000000006</v>
      </c>
      <c r="J655" s="28"/>
      <c r="K655" s="61">
        <v>110000584305</v>
      </c>
      <c r="L655" s="61" t="str">
        <f>IFERROR(INDEX('Facility Summary'!$K:$K,MATCH(K655,'Facility Summary'!$J:$J,0)),INDEX('Raw Annual DMR Data'!$M:$M,MATCH(K655,'Raw Annual DMR Data'!$L:$L,0)))</f>
        <v>Unknown</v>
      </c>
      <c r="M655" s="28"/>
      <c r="N655" s="28"/>
      <c r="O655" s="28"/>
      <c r="P655" s="28"/>
      <c r="Q655" s="28"/>
      <c r="R655" s="28"/>
      <c r="S655" s="28">
        <v>5.9931972789115601E-3</v>
      </c>
    </row>
    <row r="656" spans="1:19" x14ac:dyDescent="0.25">
      <c r="A656" s="28">
        <v>2018</v>
      </c>
      <c r="B656" s="28"/>
      <c r="C656" s="28" t="s">
        <v>1085</v>
      </c>
      <c r="D656" s="28" t="s">
        <v>1690</v>
      </c>
      <c r="E656" s="28" t="s">
        <v>1086</v>
      </c>
      <c r="F656" s="28" t="s">
        <v>366</v>
      </c>
      <c r="G656" s="28">
        <v>95728</v>
      </c>
      <c r="H656" s="28">
        <v>39.325924000000001</v>
      </c>
      <c r="I656" s="28">
        <v>-120.393384</v>
      </c>
      <c r="J656" s="28"/>
      <c r="K656" s="61">
        <v>110011373628</v>
      </c>
      <c r="L656" s="61" t="str">
        <f>IFERROR(INDEX('Facility Summary'!$K:$K,MATCH(K656,'Facility Summary'!$J:$J,0)),INDEX('Raw Annual DMR Data'!$M:$M,MATCH(K656,'Raw Annual DMR Data'!$L:$L,0)))</f>
        <v>POTW</v>
      </c>
      <c r="M656" s="28"/>
      <c r="N656" s="28"/>
      <c r="O656" s="28"/>
      <c r="P656" s="28"/>
      <c r="Q656" s="28"/>
      <c r="R656" s="28"/>
      <c r="S656" s="28">
        <v>1.14666575E-2</v>
      </c>
    </row>
    <row r="657" spans="1:19" x14ac:dyDescent="0.25">
      <c r="A657" s="28">
        <v>2015</v>
      </c>
      <c r="B657" s="28"/>
      <c r="C657" s="28" t="s">
        <v>136</v>
      </c>
      <c r="D657" s="28" t="s">
        <v>440</v>
      </c>
      <c r="E657" s="28" t="s">
        <v>441</v>
      </c>
      <c r="F657" s="28" t="s">
        <v>338</v>
      </c>
      <c r="G657" s="28" t="s">
        <v>442</v>
      </c>
      <c r="H657" s="28">
        <v>40.843611000000003</v>
      </c>
      <c r="I657" s="28">
        <v>-75.066389000000001</v>
      </c>
      <c r="J657" s="28" t="s">
        <v>443</v>
      </c>
      <c r="K657" s="61">
        <v>110040963286</v>
      </c>
      <c r="L657" s="61" t="str">
        <f>IFERROR(INDEX('Facility Summary'!$K:$K,MATCH(K657,'Facility Summary'!$J:$J,0)),INDEX('Raw Annual DMR Data'!$M:$M,MATCH(K657,'Raw Annual DMR Data'!$L:$L,0)))</f>
        <v>Processing into formulation, mixture, or reaction product</v>
      </c>
      <c r="M657" s="28"/>
      <c r="N657" s="28"/>
      <c r="O657" s="28"/>
      <c r="P657" s="28"/>
      <c r="Q657" s="28"/>
      <c r="R657" s="28"/>
      <c r="S657" s="28">
        <v>0.2110020165</v>
      </c>
    </row>
    <row r="658" spans="1:19" x14ac:dyDescent="0.25">
      <c r="A658" s="28">
        <v>2016</v>
      </c>
      <c r="B658" s="28"/>
      <c r="C658" s="28" t="s">
        <v>136</v>
      </c>
      <c r="D658" s="28" t="s">
        <v>440</v>
      </c>
      <c r="E658" s="28" t="s">
        <v>441</v>
      </c>
      <c r="F658" s="28" t="s">
        <v>338</v>
      </c>
      <c r="G658" s="28" t="s">
        <v>442</v>
      </c>
      <c r="H658" s="28">
        <v>40.843611000000003</v>
      </c>
      <c r="I658" s="28">
        <v>-75.066389000000001</v>
      </c>
      <c r="J658" s="28" t="s">
        <v>443</v>
      </c>
      <c r="K658" s="61">
        <v>110040963286</v>
      </c>
      <c r="L658" s="61" t="str">
        <f>IFERROR(INDEX('Facility Summary'!$K:$K,MATCH(K658,'Facility Summary'!$J:$J,0)),INDEX('Raw Annual DMR Data'!$M:$M,MATCH(K658,'Raw Annual DMR Data'!$L:$L,0)))</f>
        <v>Processing into formulation, mixture, or reaction product</v>
      </c>
      <c r="M658" s="28"/>
      <c r="N658" s="28"/>
      <c r="O658" s="28"/>
      <c r="P658" s="28"/>
      <c r="Q658" s="28"/>
      <c r="R658" s="28"/>
      <c r="S658" s="28">
        <v>0.22038105725000001</v>
      </c>
    </row>
    <row r="659" spans="1:19" x14ac:dyDescent="0.25">
      <c r="A659" s="28">
        <v>2018</v>
      </c>
      <c r="B659" s="28"/>
      <c r="C659" s="28" t="s">
        <v>136</v>
      </c>
      <c r="D659" s="28" t="s">
        <v>440</v>
      </c>
      <c r="E659" s="28" t="s">
        <v>441</v>
      </c>
      <c r="F659" s="28" t="s">
        <v>338</v>
      </c>
      <c r="G659" s="28" t="s">
        <v>442</v>
      </c>
      <c r="H659" s="28">
        <v>40.843611000000003</v>
      </c>
      <c r="I659" s="28">
        <v>-75.066389000000001</v>
      </c>
      <c r="J659" s="28" t="s">
        <v>443</v>
      </c>
      <c r="K659" s="61">
        <v>110040963286</v>
      </c>
      <c r="L659" s="61" t="str">
        <f>IFERROR(INDEX('Facility Summary'!$K:$K,MATCH(K659,'Facility Summary'!$J:$J,0)),INDEX('Raw Annual DMR Data'!$M:$M,MATCH(K659,'Raw Annual DMR Data'!$L:$L,0)))</f>
        <v>Processing into formulation, mixture, or reaction product</v>
      </c>
      <c r="M659" s="28"/>
      <c r="N659" s="28"/>
      <c r="O659" s="28"/>
      <c r="P659" s="28"/>
      <c r="Q659" s="28"/>
      <c r="R659" s="28"/>
      <c r="S659" s="28">
        <v>0.16792833800000001</v>
      </c>
    </row>
    <row r="660" spans="1:19" x14ac:dyDescent="0.25">
      <c r="A660" s="28">
        <v>2019</v>
      </c>
      <c r="B660" s="28"/>
      <c r="C660" s="28" t="s">
        <v>136</v>
      </c>
      <c r="D660" s="28" t="s">
        <v>440</v>
      </c>
      <c r="E660" s="28" t="s">
        <v>441</v>
      </c>
      <c r="F660" s="28" t="s">
        <v>338</v>
      </c>
      <c r="G660" s="28" t="s">
        <v>442</v>
      </c>
      <c r="H660" s="28">
        <v>40.843611000000003</v>
      </c>
      <c r="I660" s="28">
        <v>-75.066389000000001</v>
      </c>
      <c r="J660" s="28" t="s">
        <v>443</v>
      </c>
      <c r="K660" s="61">
        <v>110040963286</v>
      </c>
      <c r="L660" s="61" t="str">
        <f>IFERROR(INDEX('Facility Summary'!$K:$K,MATCH(K660,'Facility Summary'!$J:$J,0)),INDEX('Raw Annual DMR Data'!$M:$M,MATCH(K660,'Raw Annual DMR Data'!$L:$L,0)))</f>
        <v>Processing into formulation, mixture, or reaction product</v>
      </c>
      <c r="M660" s="28"/>
      <c r="N660" s="28"/>
      <c r="O660" s="28"/>
      <c r="P660" s="28"/>
      <c r="Q660" s="28"/>
      <c r="R660" s="28"/>
      <c r="S660" s="28">
        <v>9.1836495874999993E-2</v>
      </c>
    </row>
    <row r="661" spans="1:19" x14ac:dyDescent="0.25">
      <c r="A661" s="28">
        <v>2020</v>
      </c>
      <c r="B661" s="28"/>
      <c r="C661" s="28" t="s">
        <v>136</v>
      </c>
      <c r="D661" s="28" t="s">
        <v>440</v>
      </c>
      <c r="E661" s="28" t="s">
        <v>441</v>
      </c>
      <c r="F661" s="28" t="s">
        <v>338</v>
      </c>
      <c r="G661" s="28" t="s">
        <v>442</v>
      </c>
      <c r="H661" s="28">
        <v>40.843611000000003</v>
      </c>
      <c r="I661" s="28">
        <v>-75.066389000000001</v>
      </c>
      <c r="J661" s="28" t="s">
        <v>443</v>
      </c>
      <c r="K661" s="61">
        <v>110040963286</v>
      </c>
      <c r="L661" s="61" t="str">
        <f>IFERROR(INDEX('Facility Summary'!$K:$K,MATCH(K661,'Facility Summary'!$J:$J,0)),INDEX('Raw Annual DMR Data'!$M:$M,MATCH(K661,'Raw Annual DMR Data'!$L:$L,0)))</f>
        <v>Processing into formulation, mixture, or reaction product</v>
      </c>
      <c r="M661" s="28"/>
      <c r="N661" s="28"/>
      <c r="O661" s="28"/>
      <c r="P661" s="28"/>
      <c r="Q661" s="28"/>
      <c r="R661" s="28"/>
      <c r="S661" s="28">
        <v>8.9447687750000004E-2</v>
      </c>
    </row>
    <row r="662" spans="1:19" x14ac:dyDescent="0.25">
      <c r="A662" s="28">
        <v>2018</v>
      </c>
      <c r="B662" s="28"/>
      <c r="C662" s="28" t="s">
        <v>1087</v>
      </c>
      <c r="D662" s="28" t="s">
        <v>1695</v>
      </c>
      <c r="E662" s="28" t="s">
        <v>968</v>
      </c>
      <c r="F662" s="28" t="s">
        <v>324</v>
      </c>
      <c r="G662" s="28">
        <v>41001</v>
      </c>
      <c r="H662" s="28">
        <v>38.947969999999998</v>
      </c>
      <c r="I662" s="28">
        <v>-84.370490000000004</v>
      </c>
      <c r="J662" s="28"/>
      <c r="K662" s="61">
        <v>110013680837</v>
      </c>
      <c r="L662" s="61" t="str">
        <f>IFERROR(INDEX('Facility Summary'!$K:$K,MATCH(K662,'Facility Summary'!$J:$J,0)),INDEX('Raw Annual DMR Data'!$M:$M,MATCH(K662,'Raw Annual DMR Data'!$L:$L,0)))</f>
        <v>POTW</v>
      </c>
      <c r="M662" s="28"/>
      <c r="N662" s="28"/>
      <c r="O662" s="28"/>
      <c r="P662" s="28"/>
      <c r="Q662" s="28"/>
      <c r="R662" s="28"/>
      <c r="S662" s="28">
        <v>4.2136512499999998</v>
      </c>
    </row>
    <row r="663" spans="1:19" x14ac:dyDescent="0.25">
      <c r="A663" s="28">
        <v>2020</v>
      </c>
      <c r="B663" s="28"/>
      <c r="C663" s="28" t="s">
        <v>1087</v>
      </c>
      <c r="D663" s="28" t="s">
        <v>1695</v>
      </c>
      <c r="E663" s="28" t="s">
        <v>968</v>
      </c>
      <c r="F663" s="28" t="s">
        <v>324</v>
      </c>
      <c r="G663" s="28">
        <v>41001</v>
      </c>
      <c r="H663" s="28">
        <v>38.947969999999998</v>
      </c>
      <c r="I663" s="28">
        <v>-84.370490000000004</v>
      </c>
      <c r="J663" s="28"/>
      <c r="K663" s="61">
        <v>110013680837</v>
      </c>
      <c r="L663" s="61" t="str">
        <f>IFERROR(INDEX('Facility Summary'!$K:$K,MATCH(K663,'Facility Summary'!$J:$J,0)),INDEX('Raw Annual DMR Data'!$M:$M,MATCH(K663,'Raw Annual DMR Data'!$L:$L,0)))</f>
        <v>POTW</v>
      </c>
      <c r="M663" s="28"/>
      <c r="N663" s="28"/>
      <c r="O663" s="28"/>
      <c r="P663" s="28"/>
      <c r="Q663" s="28"/>
      <c r="R663" s="28"/>
      <c r="S663" s="28">
        <v>7.5293112500000002E-4</v>
      </c>
    </row>
    <row r="664" spans="1:19" x14ac:dyDescent="0.25">
      <c r="A664" s="28">
        <v>2018</v>
      </c>
      <c r="B664" s="28"/>
      <c r="C664" s="28" t="s">
        <v>1088</v>
      </c>
      <c r="D664" s="28" t="s">
        <v>1699</v>
      </c>
      <c r="E664" s="28" t="s">
        <v>985</v>
      </c>
      <c r="F664" s="28" t="s">
        <v>979</v>
      </c>
      <c r="G664" s="28">
        <v>37660</v>
      </c>
      <c r="H664" s="28">
        <v>36.527054999999997</v>
      </c>
      <c r="I664" s="28">
        <v>-82.538579999999996</v>
      </c>
      <c r="J664" s="28" t="s">
        <v>711</v>
      </c>
      <c r="K664" s="61">
        <v>110000574423</v>
      </c>
      <c r="L664" s="61" t="str">
        <f>IFERROR(INDEX('Facility Summary'!$K:$K,MATCH(K664,'Facility Summary'!$J:$J,0)),INDEX('Raw Annual DMR Data'!$M:$M,MATCH(K664,'Raw Annual DMR Data'!$L:$L,0)))</f>
        <v>Unknown</v>
      </c>
      <c r="M664" s="28"/>
      <c r="N664" s="28"/>
      <c r="O664" s="28"/>
      <c r="P664" s="28"/>
      <c r="Q664" s="28"/>
      <c r="R664" s="28"/>
      <c r="S664" s="28">
        <v>0.20415154499999999</v>
      </c>
    </row>
    <row r="665" spans="1:19" x14ac:dyDescent="0.25">
      <c r="A665" s="28">
        <v>2019</v>
      </c>
      <c r="B665" s="28"/>
      <c r="C665" s="28" t="s">
        <v>1088</v>
      </c>
      <c r="D665" s="28" t="s">
        <v>1699</v>
      </c>
      <c r="E665" s="28" t="s">
        <v>985</v>
      </c>
      <c r="F665" s="28" t="s">
        <v>979</v>
      </c>
      <c r="G665" s="28">
        <v>37660</v>
      </c>
      <c r="H665" s="28">
        <v>36.527054999999997</v>
      </c>
      <c r="I665" s="28">
        <v>-82.538579999999996</v>
      </c>
      <c r="J665" s="28" t="s">
        <v>711</v>
      </c>
      <c r="K665" s="61">
        <v>110000574423</v>
      </c>
      <c r="L665" s="61" t="str">
        <f>IFERROR(INDEX('Facility Summary'!$K:$K,MATCH(K665,'Facility Summary'!$J:$J,0)),INDEX('Raw Annual DMR Data'!$M:$M,MATCH(K665,'Raw Annual DMR Data'!$L:$L,0)))</f>
        <v>Unknown</v>
      </c>
      <c r="M665" s="28"/>
      <c r="N665" s="28"/>
      <c r="O665" s="28"/>
      <c r="P665" s="28"/>
      <c r="Q665" s="28"/>
      <c r="R665" s="28"/>
      <c r="S665" s="28">
        <v>0.61316659350000002</v>
      </c>
    </row>
    <row r="666" spans="1:19" x14ac:dyDescent="0.25">
      <c r="A666" s="28">
        <v>2015</v>
      </c>
      <c r="B666" s="28"/>
      <c r="C666" s="28" t="s">
        <v>138</v>
      </c>
      <c r="D666" s="28" t="s">
        <v>448</v>
      </c>
      <c r="E666" s="28" t="s">
        <v>449</v>
      </c>
      <c r="F666" s="28" t="s">
        <v>450</v>
      </c>
      <c r="G666" s="28">
        <v>14652</v>
      </c>
      <c r="H666" s="28">
        <v>43.197788000000003</v>
      </c>
      <c r="I666" s="28">
        <v>-77.629835999999997</v>
      </c>
      <c r="J666" s="28" t="s">
        <v>451</v>
      </c>
      <c r="K666" s="61">
        <v>110000492173</v>
      </c>
      <c r="L666" s="61" t="str">
        <f>IFERROR(INDEX('Facility Summary'!$K:$K,MATCH(K666,'Facility Summary'!$J:$J,0)),INDEX('Raw Annual DMR Data'!$M:$M,MATCH(K666,'Raw Annual DMR Data'!$L:$L,0)))</f>
        <v>Unknown</v>
      </c>
      <c r="M666" s="28"/>
      <c r="N666" s="28"/>
      <c r="O666" s="28"/>
      <c r="P666" s="28"/>
      <c r="Q666" s="28"/>
      <c r="R666" s="28"/>
      <c r="S666" s="28">
        <v>3.6713364499999998E-2</v>
      </c>
    </row>
    <row r="667" spans="1:19" x14ac:dyDescent="0.25">
      <c r="A667" s="28">
        <v>2017</v>
      </c>
      <c r="B667" s="28"/>
      <c r="C667" s="28" t="s">
        <v>1089</v>
      </c>
      <c r="D667" s="28" t="s">
        <v>1703</v>
      </c>
      <c r="E667" s="28" t="s">
        <v>1090</v>
      </c>
      <c r="F667" s="28" t="s">
        <v>324</v>
      </c>
      <c r="G667" s="28">
        <v>42038</v>
      </c>
      <c r="H667" s="28">
        <v>37.075277999999997</v>
      </c>
      <c r="I667" s="28">
        <v>-88.09</v>
      </c>
      <c r="J667" s="28"/>
      <c r="K667" s="61">
        <v>110009938719</v>
      </c>
      <c r="L667" s="61" t="str">
        <f>IFERROR(INDEX('Facility Summary'!$K:$K,MATCH(K667,'Facility Summary'!$J:$J,0)),INDEX('Raw Annual DMR Data'!$M:$M,MATCH(K667,'Raw Annual DMR Data'!$L:$L,0)))</f>
        <v>POTW</v>
      </c>
      <c r="M667" s="28"/>
      <c r="N667" s="28"/>
      <c r="O667" s="28"/>
      <c r="P667" s="28"/>
      <c r="Q667" s="28"/>
      <c r="R667" s="28"/>
      <c r="S667" s="28">
        <v>1.1432119375000001</v>
      </c>
    </row>
    <row r="668" spans="1:19" x14ac:dyDescent="0.25">
      <c r="A668" s="28">
        <v>2018</v>
      </c>
      <c r="B668" s="28"/>
      <c r="C668" s="28" t="s">
        <v>1089</v>
      </c>
      <c r="D668" s="28" t="s">
        <v>1703</v>
      </c>
      <c r="E668" s="28" t="s">
        <v>1090</v>
      </c>
      <c r="F668" s="28" t="s">
        <v>324</v>
      </c>
      <c r="G668" s="28">
        <v>42038</v>
      </c>
      <c r="H668" s="28">
        <v>37.075277999999997</v>
      </c>
      <c r="I668" s="28">
        <v>-88.09</v>
      </c>
      <c r="J668" s="28"/>
      <c r="K668" s="61">
        <v>110009938719</v>
      </c>
      <c r="L668" s="61" t="str">
        <f>IFERROR(INDEX('Facility Summary'!$K:$K,MATCH(K668,'Facility Summary'!$J:$J,0)),INDEX('Raw Annual DMR Data'!$M:$M,MATCH(K668,'Raw Annual DMR Data'!$L:$L,0)))</f>
        <v>POTW</v>
      </c>
      <c r="M668" s="28"/>
      <c r="N668" s="28"/>
      <c r="O668" s="28"/>
      <c r="P668" s="28"/>
      <c r="Q668" s="28"/>
      <c r="R668" s="28"/>
      <c r="S668" s="28">
        <v>2.1966247499999998</v>
      </c>
    </row>
    <row r="669" spans="1:19" x14ac:dyDescent="0.25">
      <c r="A669" s="28">
        <v>2019</v>
      </c>
      <c r="B669" s="28"/>
      <c r="C669" s="28" t="s">
        <v>1089</v>
      </c>
      <c r="D669" s="28" t="s">
        <v>1703</v>
      </c>
      <c r="E669" s="28" t="s">
        <v>1090</v>
      </c>
      <c r="F669" s="28" t="s">
        <v>324</v>
      </c>
      <c r="G669" s="28">
        <v>42038</v>
      </c>
      <c r="H669" s="28">
        <v>37.075277999999997</v>
      </c>
      <c r="I669" s="28">
        <v>-88.09</v>
      </c>
      <c r="J669" s="28"/>
      <c r="K669" s="61">
        <v>110009938719</v>
      </c>
      <c r="L669" s="61" t="str">
        <f>IFERROR(INDEX('Facility Summary'!$K:$K,MATCH(K669,'Facility Summary'!$J:$J,0)),INDEX('Raw Annual DMR Data'!$M:$M,MATCH(K669,'Raw Annual DMR Data'!$L:$L,0)))</f>
        <v>POTW</v>
      </c>
      <c r="M669" s="28"/>
      <c r="N669" s="28"/>
      <c r="O669" s="28"/>
      <c r="P669" s="28"/>
      <c r="Q669" s="28"/>
      <c r="R669" s="28"/>
      <c r="S669" s="28">
        <v>1.8616049374999999</v>
      </c>
    </row>
    <row r="670" spans="1:19" x14ac:dyDescent="0.25">
      <c r="A670" s="28">
        <v>2018</v>
      </c>
      <c r="B670" s="28"/>
      <c r="C670" s="28" t="s">
        <v>140</v>
      </c>
      <c r="D670" s="28" t="s">
        <v>456</v>
      </c>
      <c r="E670" s="28" t="s">
        <v>457</v>
      </c>
      <c r="F670" s="28" t="s">
        <v>366</v>
      </c>
      <c r="G670" s="28">
        <v>92243</v>
      </c>
      <c r="H670" s="28">
        <v>32.802199999999999</v>
      </c>
      <c r="I670" s="28">
        <v>-115.54</v>
      </c>
      <c r="J670" s="28"/>
      <c r="K670" s="61">
        <v>110002672484</v>
      </c>
      <c r="L670" s="61" t="str">
        <f>IFERROR(INDEX('Facility Summary'!$K:$K,MATCH(K670,'Facility Summary'!$J:$J,0)),INDEX('Raw Annual DMR Data'!$M:$M,MATCH(K670,'Raw Annual DMR Data'!$L:$L,0)))</f>
        <v>Unknown</v>
      </c>
      <c r="M670" s="28"/>
      <c r="N670" s="28"/>
      <c r="O670" s="28"/>
      <c r="P670" s="28"/>
      <c r="Q670" s="28"/>
      <c r="R670" s="28"/>
      <c r="S670" s="28">
        <v>4.0409606250000002E-3</v>
      </c>
    </row>
    <row r="671" spans="1:19" x14ac:dyDescent="0.25">
      <c r="A671" s="28">
        <v>2018</v>
      </c>
      <c r="B671" s="28"/>
      <c r="C671" s="28" t="s">
        <v>140</v>
      </c>
      <c r="D671" s="28" t="s">
        <v>456</v>
      </c>
      <c r="E671" s="28" t="s">
        <v>457</v>
      </c>
      <c r="F671" s="28" t="s">
        <v>366</v>
      </c>
      <c r="G671" s="28">
        <v>92243</v>
      </c>
      <c r="H671" s="28">
        <v>32.802199999999999</v>
      </c>
      <c r="I671" s="28">
        <v>-115.54</v>
      </c>
      <c r="J671" s="28"/>
      <c r="K671" s="61">
        <v>110002672484</v>
      </c>
      <c r="L671" s="61" t="str">
        <f>IFERROR(INDEX('Facility Summary'!$K:$K,MATCH(K671,'Facility Summary'!$J:$J,0)),INDEX('Raw Annual DMR Data'!$M:$M,MATCH(K671,'Raw Annual DMR Data'!$L:$L,0)))</f>
        <v>Unknown</v>
      </c>
      <c r="M671" s="28"/>
      <c r="N671" s="28"/>
      <c r="O671" s="28"/>
      <c r="P671" s="28"/>
      <c r="Q671" s="28"/>
      <c r="R671" s="28"/>
      <c r="S671" s="28">
        <v>2.9840940000000001E-3</v>
      </c>
    </row>
    <row r="672" spans="1:19" x14ac:dyDescent="0.25">
      <c r="A672" s="28">
        <v>2019</v>
      </c>
      <c r="B672" s="28"/>
      <c r="C672" s="28" t="s">
        <v>140</v>
      </c>
      <c r="D672" s="28" t="s">
        <v>456</v>
      </c>
      <c r="E672" s="28" t="s">
        <v>457</v>
      </c>
      <c r="F672" s="28" t="s">
        <v>366</v>
      </c>
      <c r="G672" s="28">
        <v>92243</v>
      </c>
      <c r="H672" s="28">
        <v>32.802199999999999</v>
      </c>
      <c r="I672" s="28">
        <v>-115.54</v>
      </c>
      <c r="J672" s="28"/>
      <c r="K672" s="61">
        <v>110002672484</v>
      </c>
      <c r="L672" s="61" t="str">
        <f>IFERROR(INDEX('Facility Summary'!$K:$K,MATCH(K672,'Facility Summary'!$J:$J,0)),INDEX('Raw Annual DMR Data'!$M:$M,MATCH(K672,'Raw Annual DMR Data'!$L:$L,0)))</f>
        <v>Unknown</v>
      </c>
      <c r="M672" s="28"/>
      <c r="N672" s="28"/>
      <c r="O672" s="28"/>
      <c r="P672" s="28"/>
      <c r="Q672" s="28"/>
      <c r="R672" s="28"/>
      <c r="S672" s="28">
        <v>1.678552875E-3</v>
      </c>
    </row>
    <row r="673" spans="1:19" x14ac:dyDescent="0.25">
      <c r="A673" s="28">
        <v>2019</v>
      </c>
      <c r="B673" s="28"/>
      <c r="C673" s="28" t="s">
        <v>140</v>
      </c>
      <c r="D673" s="28" t="s">
        <v>456</v>
      </c>
      <c r="E673" s="28" t="s">
        <v>457</v>
      </c>
      <c r="F673" s="28" t="s">
        <v>366</v>
      </c>
      <c r="G673" s="28">
        <v>92243</v>
      </c>
      <c r="H673" s="28">
        <v>32.802199999999999</v>
      </c>
      <c r="I673" s="28">
        <v>-115.54</v>
      </c>
      <c r="J673" s="28"/>
      <c r="K673" s="61">
        <v>110002672484</v>
      </c>
      <c r="L673" s="61" t="str">
        <f>IFERROR(INDEX('Facility Summary'!$K:$K,MATCH(K673,'Facility Summary'!$J:$J,0)),INDEX('Raw Annual DMR Data'!$M:$M,MATCH(K673,'Raw Annual DMR Data'!$L:$L,0)))</f>
        <v>Unknown</v>
      </c>
      <c r="M673" s="28"/>
      <c r="N673" s="28"/>
      <c r="O673" s="28"/>
      <c r="P673" s="28"/>
      <c r="Q673" s="28"/>
      <c r="R673" s="28"/>
      <c r="S673" s="28">
        <v>4.1031292500000004E-3</v>
      </c>
    </row>
    <row r="674" spans="1:19" x14ac:dyDescent="0.25">
      <c r="A674" s="28">
        <v>2016</v>
      </c>
      <c r="B674" s="28"/>
      <c r="C674" s="28" t="s">
        <v>1091</v>
      </c>
      <c r="D674" s="28" t="s">
        <v>1708</v>
      </c>
      <c r="E674" s="28" t="s">
        <v>1092</v>
      </c>
      <c r="F674" s="28" t="s">
        <v>366</v>
      </c>
      <c r="G674" s="28">
        <v>95762</v>
      </c>
      <c r="H674" s="28">
        <v>38.63597</v>
      </c>
      <c r="I674" s="28">
        <v>-121.06135999999999</v>
      </c>
      <c r="J674" s="28"/>
      <c r="K674" s="61">
        <v>110001103939</v>
      </c>
      <c r="L674" s="61" t="str">
        <f>IFERROR(INDEX('Facility Summary'!$K:$K,MATCH(K674,'Facility Summary'!$J:$J,0)),INDEX('Raw Annual DMR Data'!$M:$M,MATCH(K674,'Raw Annual DMR Data'!$L:$L,0)))</f>
        <v>POTW</v>
      </c>
      <c r="M674" s="28"/>
      <c r="N674" s="28"/>
      <c r="O674" s="28"/>
      <c r="P674" s="28"/>
      <c r="Q674" s="28"/>
      <c r="R674" s="28"/>
      <c r="S674" s="28">
        <v>0.39458625000000003</v>
      </c>
    </row>
    <row r="675" spans="1:19" x14ac:dyDescent="0.25">
      <c r="A675" s="28">
        <v>2015</v>
      </c>
      <c r="B675" s="28"/>
      <c r="C675" s="28" t="s">
        <v>1093</v>
      </c>
      <c r="D675" s="28" t="s">
        <v>1711</v>
      </c>
      <c r="E675" s="28" t="s">
        <v>1094</v>
      </c>
      <c r="F675" s="28" t="s">
        <v>366</v>
      </c>
      <c r="G675" s="28" t="s">
        <v>1712</v>
      </c>
      <c r="H675" s="28">
        <v>34.418880000000001</v>
      </c>
      <c r="I675" s="28">
        <v>-119.68471</v>
      </c>
      <c r="J675" s="28"/>
      <c r="K675" s="61">
        <v>110000730638</v>
      </c>
      <c r="L675" s="61" t="str">
        <f>IFERROR(INDEX('Facility Summary'!$K:$K,MATCH(K675,'Facility Summary'!$J:$J,0)),INDEX('Raw Annual DMR Data'!$M:$M,MATCH(K675,'Raw Annual DMR Data'!$L:$L,0)))</f>
        <v>POTW</v>
      </c>
      <c r="M675" s="28"/>
      <c r="N675" s="28"/>
      <c r="O675" s="28"/>
      <c r="P675" s="28"/>
      <c r="Q675" s="28"/>
      <c r="R675" s="28"/>
      <c r="S675" s="28">
        <v>1.863677225</v>
      </c>
    </row>
    <row r="676" spans="1:19" x14ac:dyDescent="0.25">
      <c r="A676" s="28">
        <v>2016</v>
      </c>
      <c r="B676" s="28"/>
      <c r="C676" s="28" t="s">
        <v>1093</v>
      </c>
      <c r="D676" s="28" t="s">
        <v>1711</v>
      </c>
      <c r="E676" s="28" t="s">
        <v>1094</v>
      </c>
      <c r="F676" s="28" t="s">
        <v>366</v>
      </c>
      <c r="G676" s="28" t="s">
        <v>1712</v>
      </c>
      <c r="H676" s="28">
        <v>34.418880000000001</v>
      </c>
      <c r="I676" s="28">
        <v>-119.68471</v>
      </c>
      <c r="J676" s="28"/>
      <c r="K676" s="61">
        <v>110000730638</v>
      </c>
      <c r="L676" s="61" t="str">
        <f>IFERROR(INDEX('Facility Summary'!$K:$K,MATCH(K676,'Facility Summary'!$J:$J,0)),INDEX('Raw Annual DMR Data'!$M:$M,MATCH(K676,'Raw Annual DMR Data'!$L:$L,0)))</f>
        <v>POTW</v>
      </c>
      <c r="M676" s="28"/>
      <c r="N676" s="28"/>
      <c r="O676" s="28"/>
      <c r="P676" s="28"/>
      <c r="Q676" s="28"/>
      <c r="R676" s="28"/>
      <c r="S676" s="28">
        <v>1.866440275</v>
      </c>
    </row>
    <row r="677" spans="1:19" x14ac:dyDescent="0.25">
      <c r="A677" s="28">
        <v>2015</v>
      </c>
      <c r="B677" s="28"/>
      <c r="C677" s="28" t="s">
        <v>1095</v>
      </c>
      <c r="D677" s="28" t="s">
        <v>1714</v>
      </c>
      <c r="E677" s="28" t="s">
        <v>1096</v>
      </c>
      <c r="F677" s="28" t="s">
        <v>450</v>
      </c>
      <c r="G677" s="28">
        <v>14132</v>
      </c>
      <c r="H677" s="28">
        <v>43.129750000000001</v>
      </c>
      <c r="I677" s="28">
        <v>-78.939679999999996</v>
      </c>
      <c r="J677" s="28"/>
      <c r="K677" s="61">
        <v>110000737365</v>
      </c>
      <c r="L677" s="61" t="str">
        <f>IFERROR(INDEX('Facility Summary'!$K:$K,MATCH(K677,'Facility Summary'!$J:$J,0)),INDEX('Raw Annual DMR Data'!$M:$M,MATCH(K677,'Raw Annual DMR Data'!$L:$L,0)))</f>
        <v>Unknown</v>
      </c>
      <c r="M677" s="28"/>
      <c r="N677" s="28"/>
      <c r="O677" s="28"/>
      <c r="P677" s="28"/>
      <c r="Q677" s="28"/>
      <c r="R677" s="28"/>
      <c r="S677" s="28">
        <v>0.225638516874999</v>
      </c>
    </row>
    <row r="678" spans="1:19" x14ac:dyDescent="0.25">
      <c r="A678" s="28">
        <v>2016</v>
      </c>
      <c r="B678" s="28"/>
      <c r="C678" s="28" t="s">
        <v>1095</v>
      </c>
      <c r="D678" s="28" t="s">
        <v>1714</v>
      </c>
      <c r="E678" s="28" t="s">
        <v>1096</v>
      </c>
      <c r="F678" s="28" t="s">
        <v>450</v>
      </c>
      <c r="G678" s="28">
        <v>14132</v>
      </c>
      <c r="H678" s="28">
        <v>43.129750000000001</v>
      </c>
      <c r="I678" s="28">
        <v>-78.939679999999996</v>
      </c>
      <c r="J678" s="28"/>
      <c r="K678" s="61">
        <v>110000737365</v>
      </c>
      <c r="L678" s="61" t="str">
        <f>IFERROR(INDEX('Facility Summary'!$K:$K,MATCH(K678,'Facility Summary'!$J:$J,0)),INDEX('Raw Annual DMR Data'!$M:$M,MATCH(K678,'Raw Annual DMR Data'!$L:$L,0)))</f>
        <v>Unknown</v>
      </c>
      <c r="M678" s="28"/>
      <c r="N678" s="28"/>
      <c r="O678" s="28"/>
      <c r="P678" s="28"/>
      <c r="Q678" s="28"/>
      <c r="R678" s="28"/>
      <c r="S678" s="28">
        <v>0.220183565412499</v>
      </c>
    </row>
    <row r="679" spans="1:19" x14ac:dyDescent="0.25">
      <c r="A679" s="28">
        <v>2017</v>
      </c>
      <c r="B679" s="28"/>
      <c r="C679" s="28" t="s">
        <v>1095</v>
      </c>
      <c r="D679" s="28" t="s">
        <v>1714</v>
      </c>
      <c r="E679" s="28" t="s">
        <v>1096</v>
      </c>
      <c r="F679" s="28" t="s">
        <v>450</v>
      </c>
      <c r="G679" s="28">
        <v>14132</v>
      </c>
      <c r="H679" s="28">
        <v>43.129750000000001</v>
      </c>
      <c r="I679" s="28">
        <v>-78.939679999999996</v>
      </c>
      <c r="J679" s="28"/>
      <c r="K679" s="61">
        <v>110000737365</v>
      </c>
      <c r="L679" s="61" t="str">
        <f>IFERROR(INDEX('Facility Summary'!$K:$K,MATCH(K679,'Facility Summary'!$J:$J,0)),INDEX('Raw Annual DMR Data'!$M:$M,MATCH(K679,'Raw Annual DMR Data'!$L:$L,0)))</f>
        <v>Unknown</v>
      </c>
      <c r="M679" s="28"/>
      <c r="N679" s="28"/>
      <c r="O679" s="28"/>
      <c r="P679" s="28"/>
      <c r="Q679" s="28"/>
      <c r="R679" s="28"/>
      <c r="S679" s="28">
        <v>0.123411616137999</v>
      </c>
    </row>
    <row r="680" spans="1:19" x14ac:dyDescent="0.25">
      <c r="A680" s="28">
        <v>2018</v>
      </c>
      <c r="B680" s="28"/>
      <c r="C680" s="28" t="s">
        <v>1095</v>
      </c>
      <c r="D680" s="28" t="s">
        <v>1714</v>
      </c>
      <c r="E680" s="28" t="s">
        <v>1096</v>
      </c>
      <c r="F680" s="28" t="s">
        <v>450</v>
      </c>
      <c r="G680" s="28">
        <v>14132</v>
      </c>
      <c r="H680" s="28">
        <v>43.129750000000001</v>
      </c>
      <c r="I680" s="28">
        <v>-78.939679999999996</v>
      </c>
      <c r="J680" s="28"/>
      <c r="K680" s="61">
        <v>110000737365</v>
      </c>
      <c r="L680" s="61" t="str">
        <f>IFERROR(INDEX('Facility Summary'!$K:$K,MATCH(K680,'Facility Summary'!$J:$J,0)),INDEX('Raw Annual DMR Data'!$M:$M,MATCH(K680,'Raw Annual DMR Data'!$L:$L,0)))</f>
        <v>Unknown</v>
      </c>
      <c r="M680" s="28"/>
      <c r="N680" s="28"/>
      <c r="O680" s="28"/>
      <c r="P680" s="28"/>
      <c r="Q680" s="28"/>
      <c r="R680" s="28"/>
      <c r="S680" s="302">
        <v>3.1599345322799899E-2</v>
      </c>
    </row>
    <row r="681" spans="1:19" x14ac:dyDescent="0.25">
      <c r="A681" s="28">
        <v>2019</v>
      </c>
      <c r="B681" s="28"/>
      <c r="C681" s="28" t="s">
        <v>1095</v>
      </c>
      <c r="D681" s="28" t="s">
        <v>1714</v>
      </c>
      <c r="E681" s="28" t="s">
        <v>1096</v>
      </c>
      <c r="F681" s="28" t="s">
        <v>450</v>
      </c>
      <c r="G681" s="28">
        <v>14132</v>
      </c>
      <c r="H681" s="28">
        <v>43.129750000000001</v>
      </c>
      <c r="I681" s="28">
        <v>-78.939679999999996</v>
      </c>
      <c r="J681" s="28"/>
      <c r="K681" s="61">
        <v>110000737365</v>
      </c>
      <c r="L681" s="61" t="str">
        <f>IFERROR(INDEX('Facility Summary'!$K:$K,MATCH(K681,'Facility Summary'!$J:$J,0)),INDEX('Raw Annual DMR Data'!$M:$M,MATCH(K681,'Raw Annual DMR Data'!$L:$L,0)))</f>
        <v>Unknown</v>
      </c>
      <c r="M681" s="28"/>
      <c r="N681" s="28"/>
      <c r="O681" s="28"/>
      <c r="P681" s="28"/>
      <c r="Q681" s="28"/>
      <c r="R681" s="28"/>
      <c r="S681" s="28">
        <v>1.6588352903224898E-2</v>
      </c>
    </row>
    <row r="682" spans="1:19" x14ac:dyDescent="0.25">
      <c r="A682" s="28">
        <v>2020</v>
      </c>
      <c r="B682" s="28"/>
      <c r="C682" s="28" t="s">
        <v>1095</v>
      </c>
      <c r="D682" s="28" t="s">
        <v>1714</v>
      </c>
      <c r="E682" s="28" t="s">
        <v>1096</v>
      </c>
      <c r="F682" s="28" t="s">
        <v>450</v>
      </c>
      <c r="G682" s="28">
        <v>14132</v>
      </c>
      <c r="H682" s="28">
        <v>43.129750000000001</v>
      </c>
      <c r="I682" s="28">
        <v>-78.939679999999996</v>
      </c>
      <c r="J682" s="28"/>
      <c r="K682" s="61">
        <v>110000737365</v>
      </c>
      <c r="L682" s="61" t="str">
        <f>IFERROR(INDEX('Facility Summary'!$K:$K,MATCH(K682,'Facility Summary'!$J:$J,0)),INDEX('Raw Annual DMR Data'!$M:$M,MATCH(K682,'Raw Annual DMR Data'!$L:$L,0)))</f>
        <v>Unknown</v>
      </c>
      <c r="M682" s="28"/>
      <c r="N682" s="28"/>
      <c r="O682" s="28"/>
      <c r="P682" s="28"/>
      <c r="Q682" s="28"/>
      <c r="R682" s="28"/>
      <c r="S682" s="28">
        <v>8.3648012681249908E-3</v>
      </c>
    </row>
    <row r="683" spans="1:19" x14ac:dyDescent="0.25">
      <c r="A683" s="28">
        <v>2015</v>
      </c>
      <c r="B683" s="28"/>
      <c r="C683" s="28" t="s">
        <v>1097</v>
      </c>
      <c r="D683" s="28" t="s">
        <v>1718</v>
      </c>
      <c r="E683" s="28" t="s">
        <v>1098</v>
      </c>
      <c r="F683" s="28" t="s">
        <v>324</v>
      </c>
      <c r="G683" s="28" t="s">
        <v>1719</v>
      </c>
      <c r="H683" s="28">
        <v>38.643056000000001</v>
      </c>
      <c r="I683" s="28">
        <v>-83.740278000000004</v>
      </c>
      <c r="J683" s="28"/>
      <c r="K683" s="61">
        <v>110000379787</v>
      </c>
      <c r="L683" s="61" t="str">
        <f>IFERROR(INDEX('Facility Summary'!$K:$K,MATCH(K683,'Facility Summary'!$J:$J,0)),INDEX('Raw Annual DMR Data'!$M:$M,MATCH(K683,'Raw Annual DMR Data'!$L:$L,0)))</f>
        <v>Unknown</v>
      </c>
      <c r="M683" s="28"/>
      <c r="N683" s="28"/>
      <c r="O683" s="28"/>
      <c r="P683" s="28"/>
      <c r="Q683" s="28"/>
      <c r="R683" s="28"/>
      <c r="S683" s="28">
        <v>0.11353864499999999</v>
      </c>
    </row>
    <row r="684" spans="1:19" x14ac:dyDescent="0.25">
      <c r="A684" s="28">
        <v>2016</v>
      </c>
      <c r="B684" s="28"/>
      <c r="C684" s="28" t="s">
        <v>1097</v>
      </c>
      <c r="D684" s="28" t="s">
        <v>1718</v>
      </c>
      <c r="E684" s="28" t="s">
        <v>1098</v>
      </c>
      <c r="F684" s="28" t="s">
        <v>324</v>
      </c>
      <c r="G684" s="28" t="s">
        <v>1719</v>
      </c>
      <c r="H684" s="28">
        <v>38.643056000000001</v>
      </c>
      <c r="I684" s="28">
        <v>-83.740278000000004</v>
      </c>
      <c r="J684" s="28"/>
      <c r="K684" s="61">
        <v>110000379787</v>
      </c>
      <c r="L684" s="61" t="str">
        <f>IFERROR(INDEX('Facility Summary'!$K:$K,MATCH(K684,'Facility Summary'!$J:$J,0)),INDEX('Raw Annual DMR Data'!$M:$M,MATCH(K684,'Raw Annual DMR Data'!$L:$L,0)))</f>
        <v>Unknown</v>
      </c>
      <c r="M684" s="28"/>
      <c r="N684" s="28"/>
      <c r="O684" s="28"/>
      <c r="P684" s="28"/>
      <c r="Q684" s="28"/>
      <c r="R684" s="28"/>
      <c r="S684" s="28">
        <v>0.31024480384615299</v>
      </c>
    </row>
    <row r="685" spans="1:19" x14ac:dyDescent="0.25">
      <c r="A685" s="28">
        <v>2017</v>
      </c>
      <c r="B685" s="28"/>
      <c r="C685" s="28" t="s">
        <v>1097</v>
      </c>
      <c r="D685" s="28" t="s">
        <v>1718</v>
      </c>
      <c r="E685" s="28" t="s">
        <v>1098</v>
      </c>
      <c r="F685" s="28" t="s">
        <v>324</v>
      </c>
      <c r="G685" s="28" t="s">
        <v>1719</v>
      </c>
      <c r="H685" s="28">
        <v>38.643056000000001</v>
      </c>
      <c r="I685" s="28">
        <v>-83.740278000000004</v>
      </c>
      <c r="J685" s="28"/>
      <c r="K685" s="61">
        <v>110000379787</v>
      </c>
      <c r="L685" s="61" t="str">
        <f>IFERROR(INDEX('Facility Summary'!$K:$K,MATCH(K685,'Facility Summary'!$J:$J,0)),INDEX('Raw Annual DMR Data'!$M:$M,MATCH(K685,'Raw Annual DMR Data'!$L:$L,0)))</f>
        <v>Unknown</v>
      </c>
      <c r="M685" s="28"/>
      <c r="N685" s="28"/>
      <c r="O685" s="28"/>
      <c r="P685" s="28"/>
      <c r="Q685" s="28"/>
      <c r="R685" s="28"/>
      <c r="S685" s="28">
        <v>0.39331827499999999</v>
      </c>
    </row>
    <row r="686" spans="1:19" x14ac:dyDescent="0.25">
      <c r="A686" s="28">
        <v>2018</v>
      </c>
      <c r="B686" s="28"/>
      <c r="C686" s="28" t="s">
        <v>1097</v>
      </c>
      <c r="D686" s="28" t="s">
        <v>1718</v>
      </c>
      <c r="E686" s="28" t="s">
        <v>1098</v>
      </c>
      <c r="F686" s="28" t="s">
        <v>324</v>
      </c>
      <c r="G686" s="28" t="s">
        <v>1719</v>
      </c>
      <c r="H686" s="28">
        <v>38.643056000000001</v>
      </c>
      <c r="I686" s="28">
        <v>-83.740278000000004</v>
      </c>
      <c r="J686" s="28"/>
      <c r="K686" s="61">
        <v>110000379787</v>
      </c>
      <c r="L686" s="61" t="str">
        <f>IFERROR(INDEX('Facility Summary'!$K:$K,MATCH(K686,'Facility Summary'!$J:$J,0)),INDEX('Raw Annual DMR Data'!$M:$M,MATCH(K686,'Raw Annual DMR Data'!$L:$L,0)))</f>
        <v>Unknown</v>
      </c>
      <c r="M686" s="28"/>
      <c r="N686" s="28"/>
      <c r="O686" s="28"/>
      <c r="P686" s="28"/>
      <c r="Q686" s="28"/>
      <c r="R686" s="28"/>
      <c r="S686" s="28">
        <v>0.2910381125</v>
      </c>
    </row>
    <row r="687" spans="1:19" x14ac:dyDescent="0.25">
      <c r="A687" s="28">
        <v>2019</v>
      </c>
      <c r="B687" s="28"/>
      <c r="C687" s="28" t="s">
        <v>1097</v>
      </c>
      <c r="D687" s="28" t="s">
        <v>1718</v>
      </c>
      <c r="E687" s="28" t="s">
        <v>1098</v>
      </c>
      <c r="F687" s="28" t="s">
        <v>324</v>
      </c>
      <c r="G687" s="28" t="s">
        <v>1719</v>
      </c>
      <c r="H687" s="28">
        <v>38.643056000000001</v>
      </c>
      <c r="I687" s="28">
        <v>-83.740278000000004</v>
      </c>
      <c r="J687" s="28"/>
      <c r="K687" s="61">
        <v>110000379787</v>
      </c>
      <c r="L687" s="61" t="str">
        <f>IFERROR(INDEX('Facility Summary'!$K:$K,MATCH(K687,'Facility Summary'!$J:$J,0)),INDEX('Raw Annual DMR Data'!$M:$M,MATCH(K687,'Raw Annual DMR Data'!$L:$L,0)))</f>
        <v>Unknown</v>
      </c>
      <c r="M687" s="28"/>
      <c r="N687" s="28"/>
      <c r="O687" s="28"/>
      <c r="P687" s="28"/>
      <c r="Q687" s="28"/>
      <c r="R687" s="28"/>
      <c r="S687" s="28">
        <v>0.17549152500000001</v>
      </c>
    </row>
    <row r="688" spans="1:19" x14ac:dyDescent="0.25">
      <c r="A688" s="28">
        <v>2020</v>
      </c>
      <c r="B688" s="28"/>
      <c r="C688" s="28" t="s">
        <v>1097</v>
      </c>
      <c r="D688" s="28" t="s">
        <v>1718</v>
      </c>
      <c r="E688" s="28" t="s">
        <v>1098</v>
      </c>
      <c r="F688" s="28" t="s">
        <v>324</v>
      </c>
      <c r="G688" s="28" t="s">
        <v>1719</v>
      </c>
      <c r="H688" s="28">
        <v>38.643056000000001</v>
      </c>
      <c r="I688" s="28">
        <v>-83.740278000000004</v>
      </c>
      <c r="J688" s="28"/>
      <c r="K688" s="61">
        <v>110000379787</v>
      </c>
      <c r="L688" s="61" t="str">
        <f>IFERROR(INDEX('Facility Summary'!$K:$K,MATCH(K688,'Facility Summary'!$J:$J,0)),INDEX('Raw Annual DMR Data'!$M:$M,MATCH(K688,'Raw Annual DMR Data'!$L:$L,0)))</f>
        <v>Unknown</v>
      </c>
      <c r="M688" s="28"/>
      <c r="N688" s="28"/>
      <c r="O688" s="28"/>
      <c r="P688" s="28"/>
      <c r="Q688" s="28"/>
      <c r="R688" s="28"/>
      <c r="S688" s="28">
        <v>5.6084237500000002E-2</v>
      </c>
    </row>
    <row r="689" spans="1:19" x14ac:dyDescent="0.25">
      <c r="A689" s="28">
        <v>2017</v>
      </c>
      <c r="B689" s="28"/>
      <c r="C689" s="28" t="s">
        <v>1099</v>
      </c>
      <c r="D689" s="28" t="s">
        <v>1723</v>
      </c>
      <c r="E689" s="28" t="s">
        <v>1100</v>
      </c>
      <c r="F689" s="28" t="s">
        <v>1101</v>
      </c>
      <c r="G689" s="28">
        <v>0</v>
      </c>
      <c r="H689" s="28">
        <v>37.041677</v>
      </c>
      <c r="I689" s="28">
        <v>-109.500685</v>
      </c>
      <c r="J689" s="28"/>
      <c r="K689" s="61">
        <v>110010134185</v>
      </c>
      <c r="L689" s="61" t="str">
        <f>IFERROR(INDEX('Facility Summary'!$K:$K,MATCH(K689,'Facility Summary'!$J:$J,0)),INDEX('Raw Annual DMR Data'!$M:$M,MATCH(K689,'Raw Annual DMR Data'!$L:$L,0)))</f>
        <v>Unknown</v>
      </c>
      <c r="M689" s="28"/>
      <c r="N689" s="28"/>
      <c r="O689" s="28"/>
      <c r="P689" s="28"/>
      <c r="Q689" s="28"/>
      <c r="R689" s="28"/>
      <c r="S689" s="28">
        <v>1.9632794999999998E-3</v>
      </c>
    </row>
    <row r="690" spans="1:19" x14ac:dyDescent="0.25">
      <c r="A690" s="28">
        <v>2017</v>
      </c>
      <c r="B690" s="28"/>
      <c r="C690" s="28" t="s">
        <v>1099</v>
      </c>
      <c r="D690" s="28" t="s">
        <v>1723</v>
      </c>
      <c r="E690" s="28" t="s">
        <v>1100</v>
      </c>
      <c r="F690" s="28" t="s">
        <v>1101</v>
      </c>
      <c r="G690" s="28">
        <v>0</v>
      </c>
      <c r="H690" s="28">
        <v>37.041677</v>
      </c>
      <c r="I690" s="28">
        <v>-109.500685</v>
      </c>
      <c r="J690" s="28"/>
      <c r="K690" s="61">
        <v>110010134185</v>
      </c>
      <c r="L690" s="61" t="str">
        <f>IFERROR(INDEX('Facility Summary'!$K:$K,MATCH(K690,'Facility Summary'!$J:$J,0)),INDEX('Raw Annual DMR Data'!$M:$M,MATCH(K690,'Raw Annual DMR Data'!$L:$L,0)))</f>
        <v>Unknown</v>
      </c>
      <c r="M690" s="28"/>
      <c r="N690" s="28"/>
      <c r="O690" s="28"/>
      <c r="P690" s="28"/>
      <c r="Q690" s="28"/>
      <c r="R690" s="28"/>
      <c r="S690" s="28">
        <v>6.5442650000000001E-4</v>
      </c>
    </row>
    <row r="691" spans="1:19" x14ac:dyDescent="0.25">
      <c r="A691" s="28">
        <v>2018</v>
      </c>
      <c r="B691" s="28"/>
      <c r="C691" s="28" t="s">
        <v>174</v>
      </c>
      <c r="D691" s="28" t="s">
        <v>568</v>
      </c>
      <c r="E691" s="28" t="s">
        <v>569</v>
      </c>
      <c r="F691" s="28" t="s">
        <v>311</v>
      </c>
      <c r="G691" s="28">
        <v>26146</v>
      </c>
      <c r="H691" s="28">
        <v>39.484572</v>
      </c>
      <c r="I691" s="28">
        <v>-81.093402999999995</v>
      </c>
      <c r="J691" s="28" t="s">
        <v>570</v>
      </c>
      <c r="K691" s="61">
        <v>110000344814</v>
      </c>
      <c r="L691" s="61" t="str">
        <f>IFERROR(INDEX('Facility Summary'!$K:$K,MATCH(K691,'Facility Summary'!$J:$J,0)),INDEX('Raw Annual DMR Data'!$M:$M,MATCH(K691,'Raw Annual DMR Data'!$L:$L,0)))</f>
        <v>Manufacturing</v>
      </c>
      <c r="M691" s="28"/>
      <c r="N691" s="28"/>
      <c r="O691" s="28"/>
      <c r="P691" s="28"/>
      <c r="Q691" s="28"/>
      <c r="R691" s="28"/>
      <c r="S691" s="28">
        <v>1.59319727891156</v>
      </c>
    </row>
    <row r="692" spans="1:19" x14ac:dyDescent="0.25">
      <c r="A692" s="28">
        <v>2015</v>
      </c>
      <c r="B692" s="28"/>
      <c r="C692" s="28" t="s">
        <v>1102</v>
      </c>
      <c r="D692" s="28" t="s">
        <v>1726</v>
      </c>
      <c r="E692" s="28" t="s">
        <v>1103</v>
      </c>
      <c r="F692" s="28" t="s">
        <v>345</v>
      </c>
      <c r="G692" s="28" t="s">
        <v>1727</v>
      </c>
      <c r="H692" s="28">
        <v>41.412897000000001</v>
      </c>
      <c r="I692" s="28">
        <v>-88.329773000000003</v>
      </c>
      <c r="J692" s="28" t="s">
        <v>712</v>
      </c>
      <c r="K692" s="61">
        <v>110000433013</v>
      </c>
      <c r="L692" s="61" t="str">
        <f>IFERROR(INDEX('Facility Summary'!$K:$K,MATCH(K692,'Facility Summary'!$J:$J,0)),INDEX('Raw Annual DMR Data'!$M:$M,MATCH(K692,'Raw Annual DMR Data'!$L:$L,0)))</f>
        <v>Unknown</v>
      </c>
      <c r="M692" s="28"/>
      <c r="N692" s="28"/>
      <c r="O692" s="28"/>
      <c r="P692" s="28"/>
      <c r="Q692" s="28"/>
      <c r="R692" s="28"/>
      <c r="S692" s="28">
        <v>0.793197278911564</v>
      </c>
    </row>
    <row r="693" spans="1:19" x14ac:dyDescent="0.25">
      <c r="A693" s="28">
        <v>2015</v>
      </c>
      <c r="B693" s="28"/>
      <c r="C693" s="28" t="s">
        <v>1102</v>
      </c>
      <c r="D693" s="28" t="s">
        <v>1726</v>
      </c>
      <c r="E693" s="28" t="s">
        <v>1103</v>
      </c>
      <c r="F693" s="28" t="s">
        <v>345</v>
      </c>
      <c r="G693" s="28" t="s">
        <v>1727</v>
      </c>
      <c r="H693" s="28">
        <v>41.412897000000001</v>
      </c>
      <c r="I693" s="28">
        <v>-88.329773000000003</v>
      </c>
      <c r="J693" s="28" t="s">
        <v>712</v>
      </c>
      <c r="K693" s="61">
        <v>110000433013</v>
      </c>
      <c r="L693" s="61" t="str">
        <f>IFERROR(INDEX('Facility Summary'!$K:$K,MATCH(K693,'Facility Summary'!$J:$J,0)),INDEX('Raw Annual DMR Data'!$M:$M,MATCH(K693,'Raw Annual DMR Data'!$L:$L,0)))</f>
        <v>Unknown</v>
      </c>
      <c r="M693" s="28"/>
      <c r="N693" s="28"/>
      <c r="O693" s="28"/>
      <c r="P693" s="28"/>
      <c r="Q693" s="28"/>
      <c r="R693" s="28"/>
      <c r="S693" s="28">
        <v>0.41632653061224401</v>
      </c>
    </row>
    <row r="694" spans="1:19" x14ac:dyDescent="0.25">
      <c r="A694" s="28">
        <v>2016</v>
      </c>
      <c r="B694" s="28"/>
      <c r="C694" s="28" t="s">
        <v>1102</v>
      </c>
      <c r="D694" s="28" t="s">
        <v>1726</v>
      </c>
      <c r="E694" s="28" t="s">
        <v>1103</v>
      </c>
      <c r="F694" s="28" t="s">
        <v>345</v>
      </c>
      <c r="G694" s="28" t="s">
        <v>1727</v>
      </c>
      <c r="H694" s="28">
        <v>41.412897000000001</v>
      </c>
      <c r="I694" s="28">
        <v>-88.329773000000003</v>
      </c>
      <c r="J694" s="28" t="s">
        <v>712</v>
      </c>
      <c r="K694" s="61">
        <v>110000433013</v>
      </c>
      <c r="L694" s="61" t="str">
        <f>IFERROR(INDEX('Facility Summary'!$K:$K,MATCH(K694,'Facility Summary'!$J:$J,0)),INDEX('Raw Annual DMR Data'!$M:$M,MATCH(K694,'Raw Annual DMR Data'!$L:$L,0)))</f>
        <v>Unknown</v>
      </c>
      <c r="M694" s="28"/>
      <c r="N694" s="28"/>
      <c r="O694" s="28"/>
      <c r="P694" s="28"/>
      <c r="Q694" s="28"/>
      <c r="R694" s="28"/>
      <c r="S694" s="28">
        <v>0.33333333333333298</v>
      </c>
    </row>
    <row r="695" spans="1:19" x14ac:dyDescent="0.25">
      <c r="A695" s="28">
        <v>2016</v>
      </c>
      <c r="B695" s="28"/>
      <c r="C695" s="28" t="s">
        <v>1102</v>
      </c>
      <c r="D695" s="28" t="s">
        <v>1726</v>
      </c>
      <c r="E695" s="28" t="s">
        <v>1103</v>
      </c>
      <c r="F695" s="28" t="s">
        <v>345</v>
      </c>
      <c r="G695" s="28" t="s">
        <v>1727</v>
      </c>
      <c r="H695" s="28">
        <v>41.412897000000001</v>
      </c>
      <c r="I695" s="28">
        <v>-88.329773000000003</v>
      </c>
      <c r="J695" s="28" t="s">
        <v>712</v>
      </c>
      <c r="K695" s="61">
        <v>110000433013</v>
      </c>
      <c r="L695" s="61" t="str">
        <f>IFERROR(INDEX('Facility Summary'!$K:$K,MATCH(K695,'Facility Summary'!$J:$J,0)),INDEX('Raw Annual DMR Data'!$M:$M,MATCH(K695,'Raw Annual DMR Data'!$L:$L,0)))</f>
        <v>Unknown</v>
      </c>
      <c r="M695" s="28"/>
      <c r="N695" s="28"/>
      <c r="O695" s="28"/>
      <c r="P695" s="28"/>
      <c r="Q695" s="28"/>
      <c r="R695" s="28"/>
      <c r="S695" s="28">
        <v>0.82993197278911501</v>
      </c>
    </row>
    <row r="696" spans="1:19" x14ac:dyDescent="0.25">
      <c r="A696" s="28">
        <v>2017</v>
      </c>
      <c r="B696" s="28"/>
      <c r="C696" s="28" t="s">
        <v>1102</v>
      </c>
      <c r="D696" s="28" t="s">
        <v>1726</v>
      </c>
      <c r="E696" s="28" t="s">
        <v>1103</v>
      </c>
      <c r="F696" s="28" t="s">
        <v>345</v>
      </c>
      <c r="G696" s="28" t="s">
        <v>1727</v>
      </c>
      <c r="H696" s="28">
        <v>41.412897000000001</v>
      </c>
      <c r="I696" s="28">
        <v>-88.329773000000003</v>
      </c>
      <c r="J696" s="28" t="s">
        <v>712</v>
      </c>
      <c r="K696" s="61">
        <v>110000433013</v>
      </c>
      <c r="L696" s="61" t="str">
        <f>IFERROR(INDEX('Facility Summary'!$K:$K,MATCH(K696,'Facility Summary'!$J:$J,0)),INDEX('Raw Annual DMR Data'!$M:$M,MATCH(K696,'Raw Annual DMR Data'!$L:$L,0)))</f>
        <v>Unknown</v>
      </c>
      <c r="M696" s="28"/>
      <c r="N696" s="28"/>
      <c r="O696" s="28"/>
      <c r="P696" s="28"/>
      <c r="Q696" s="28"/>
      <c r="R696" s="28"/>
      <c r="S696" s="28">
        <v>1.2517006802721</v>
      </c>
    </row>
    <row r="697" spans="1:19" x14ac:dyDescent="0.25">
      <c r="A697" s="28">
        <v>2017</v>
      </c>
      <c r="B697" s="28"/>
      <c r="C697" s="28" t="s">
        <v>1102</v>
      </c>
      <c r="D697" s="28" t="s">
        <v>1726</v>
      </c>
      <c r="E697" s="28" t="s">
        <v>1103</v>
      </c>
      <c r="F697" s="28" t="s">
        <v>345</v>
      </c>
      <c r="G697" s="28" t="s">
        <v>1727</v>
      </c>
      <c r="H697" s="28">
        <v>41.412897000000001</v>
      </c>
      <c r="I697" s="28">
        <v>-88.329773000000003</v>
      </c>
      <c r="J697" s="28" t="s">
        <v>712</v>
      </c>
      <c r="K697" s="61">
        <v>110000433013</v>
      </c>
      <c r="L697" s="61" t="str">
        <f>IFERROR(INDEX('Facility Summary'!$K:$K,MATCH(K697,'Facility Summary'!$J:$J,0)),INDEX('Raw Annual DMR Data'!$M:$M,MATCH(K697,'Raw Annual DMR Data'!$L:$L,0)))</f>
        <v>Unknown</v>
      </c>
      <c r="M697" s="28"/>
      <c r="N697" s="28"/>
      <c r="O697" s="28"/>
      <c r="P697" s="28"/>
      <c r="Q697" s="28"/>
      <c r="R697" s="28"/>
      <c r="S697" s="28">
        <v>0.37551020408163199</v>
      </c>
    </row>
    <row r="698" spans="1:19" x14ac:dyDescent="0.25">
      <c r="A698" s="28">
        <v>2018</v>
      </c>
      <c r="B698" s="28"/>
      <c r="C698" s="28" t="s">
        <v>1102</v>
      </c>
      <c r="D698" s="28" t="s">
        <v>1726</v>
      </c>
      <c r="E698" s="28" t="s">
        <v>1103</v>
      </c>
      <c r="F698" s="28" t="s">
        <v>345</v>
      </c>
      <c r="G698" s="28" t="s">
        <v>1727</v>
      </c>
      <c r="H698" s="28">
        <v>41.412897000000001</v>
      </c>
      <c r="I698" s="28">
        <v>-88.329773000000003</v>
      </c>
      <c r="J698" s="28" t="s">
        <v>712</v>
      </c>
      <c r="K698" s="61">
        <v>110000433013</v>
      </c>
      <c r="L698" s="61" t="str">
        <f>IFERROR(INDEX('Facility Summary'!$K:$K,MATCH(K698,'Facility Summary'!$J:$J,0)),INDEX('Raw Annual DMR Data'!$M:$M,MATCH(K698,'Raw Annual DMR Data'!$L:$L,0)))</f>
        <v>Unknown</v>
      </c>
      <c r="M698" s="28"/>
      <c r="N698" s="28"/>
      <c r="O698" s="28"/>
      <c r="P698" s="28"/>
      <c r="Q698" s="28"/>
      <c r="R698" s="28"/>
      <c r="S698" s="302">
        <v>0.72312925170067999</v>
      </c>
    </row>
    <row r="699" spans="1:19" x14ac:dyDescent="0.25">
      <c r="A699" s="28">
        <v>2018</v>
      </c>
      <c r="B699" s="28"/>
      <c r="C699" s="28" t="s">
        <v>1102</v>
      </c>
      <c r="D699" s="28" t="s">
        <v>1726</v>
      </c>
      <c r="E699" s="28" t="s">
        <v>1103</v>
      </c>
      <c r="F699" s="28" t="s">
        <v>345</v>
      </c>
      <c r="G699" s="28" t="s">
        <v>1727</v>
      </c>
      <c r="H699" s="28">
        <v>41.412897000000001</v>
      </c>
      <c r="I699" s="28">
        <v>-88.329773000000003</v>
      </c>
      <c r="J699" s="28" t="s">
        <v>712</v>
      </c>
      <c r="K699" s="61">
        <v>110000433013</v>
      </c>
      <c r="L699" s="61" t="str">
        <f>IFERROR(INDEX('Facility Summary'!$K:$K,MATCH(K699,'Facility Summary'!$J:$J,0)),INDEX('Raw Annual DMR Data'!$M:$M,MATCH(K699,'Raw Annual DMR Data'!$L:$L,0)))</f>
        <v>Unknown</v>
      </c>
      <c r="M699" s="28"/>
      <c r="N699" s="28"/>
      <c r="O699" s="28"/>
      <c r="P699" s="28"/>
      <c r="Q699" s="28"/>
      <c r="R699" s="28"/>
      <c r="S699" s="302">
        <v>0.70476190476190403</v>
      </c>
    </row>
    <row r="700" spans="1:19" x14ac:dyDescent="0.25">
      <c r="A700" s="28">
        <v>2019</v>
      </c>
      <c r="B700" s="28"/>
      <c r="C700" s="28" t="s">
        <v>1102</v>
      </c>
      <c r="D700" s="28" t="s">
        <v>1726</v>
      </c>
      <c r="E700" s="28" t="s">
        <v>1103</v>
      </c>
      <c r="F700" s="28" t="s">
        <v>345</v>
      </c>
      <c r="G700" s="28" t="s">
        <v>1727</v>
      </c>
      <c r="H700" s="28">
        <v>41.412897000000001</v>
      </c>
      <c r="I700" s="28">
        <v>-88.329773000000003</v>
      </c>
      <c r="J700" s="28" t="s">
        <v>712</v>
      </c>
      <c r="K700" s="61">
        <v>110000433013</v>
      </c>
      <c r="L700" s="61" t="str">
        <f>IFERROR(INDEX('Facility Summary'!$K:$K,MATCH(K700,'Facility Summary'!$J:$J,0)),INDEX('Raw Annual DMR Data'!$M:$M,MATCH(K700,'Raw Annual DMR Data'!$L:$L,0)))</f>
        <v>Unknown</v>
      </c>
      <c r="M700" s="28"/>
      <c r="N700" s="28"/>
      <c r="O700" s="28"/>
      <c r="P700" s="28"/>
      <c r="Q700" s="28"/>
      <c r="R700" s="28"/>
      <c r="S700" s="28">
        <v>1.07891156462585</v>
      </c>
    </row>
    <row r="701" spans="1:19" x14ac:dyDescent="0.25">
      <c r="A701" s="28">
        <v>2019</v>
      </c>
      <c r="B701" s="28"/>
      <c r="C701" s="28" t="s">
        <v>1102</v>
      </c>
      <c r="D701" s="28" t="s">
        <v>1726</v>
      </c>
      <c r="E701" s="28" t="s">
        <v>1103</v>
      </c>
      <c r="F701" s="28" t="s">
        <v>345</v>
      </c>
      <c r="G701" s="28" t="s">
        <v>1727</v>
      </c>
      <c r="H701" s="28">
        <v>41.412897000000001</v>
      </c>
      <c r="I701" s="28">
        <v>-88.329773000000003</v>
      </c>
      <c r="J701" s="28" t="s">
        <v>712</v>
      </c>
      <c r="K701" s="61">
        <v>110000433013</v>
      </c>
      <c r="L701" s="61" t="str">
        <f>IFERROR(INDEX('Facility Summary'!$K:$K,MATCH(K701,'Facility Summary'!$J:$J,0)),INDEX('Raw Annual DMR Data'!$M:$M,MATCH(K701,'Raw Annual DMR Data'!$L:$L,0)))</f>
        <v>Unknown</v>
      </c>
      <c r="M701" s="28"/>
      <c r="N701" s="28"/>
      <c r="O701" s="28"/>
      <c r="P701" s="28"/>
      <c r="Q701" s="28"/>
      <c r="R701" s="28"/>
      <c r="S701" s="28">
        <v>0.176734693877551</v>
      </c>
    </row>
    <row r="702" spans="1:19" x14ac:dyDescent="0.25">
      <c r="A702" s="28">
        <v>2020</v>
      </c>
      <c r="B702" s="28"/>
      <c r="C702" s="28" t="s">
        <v>1102</v>
      </c>
      <c r="D702" s="28" t="s">
        <v>1726</v>
      </c>
      <c r="E702" s="28" t="s">
        <v>1103</v>
      </c>
      <c r="F702" s="28" t="s">
        <v>345</v>
      </c>
      <c r="G702" s="28" t="s">
        <v>1727</v>
      </c>
      <c r="H702" s="28">
        <v>41.412897000000001</v>
      </c>
      <c r="I702" s="28">
        <v>-88.329773000000003</v>
      </c>
      <c r="J702" s="28" t="s">
        <v>712</v>
      </c>
      <c r="K702" s="61">
        <v>110000433013</v>
      </c>
      <c r="L702" s="61" t="str">
        <f>IFERROR(INDEX('Facility Summary'!$K:$K,MATCH(K702,'Facility Summary'!$J:$J,0)),INDEX('Raw Annual DMR Data'!$M:$M,MATCH(K702,'Raw Annual DMR Data'!$L:$L,0)))</f>
        <v>Unknown</v>
      </c>
      <c r="M702" s="28"/>
      <c r="N702" s="28"/>
      <c r="O702" s="28"/>
      <c r="P702" s="28"/>
      <c r="Q702" s="28"/>
      <c r="R702" s="28"/>
      <c r="S702" s="28">
        <v>0.82993197278911501</v>
      </c>
    </row>
    <row r="703" spans="1:19" x14ac:dyDescent="0.25">
      <c r="A703" s="28">
        <v>2020</v>
      </c>
      <c r="B703" s="28"/>
      <c r="C703" s="28" t="s">
        <v>1102</v>
      </c>
      <c r="D703" s="28" t="s">
        <v>1726</v>
      </c>
      <c r="E703" s="28" t="s">
        <v>1103</v>
      </c>
      <c r="F703" s="28" t="s">
        <v>345</v>
      </c>
      <c r="G703" s="28" t="s">
        <v>1727</v>
      </c>
      <c r="H703" s="28">
        <v>41.412897000000001</v>
      </c>
      <c r="I703" s="28">
        <v>-88.329773000000003</v>
      </c>
      <c r="J703" s="28" t="s">
        <v>712</v>
      </c>
      <c r="K703" s="61">
        <v>110000433013</v>
      </c>
      <c r="L703" s="61" t="str">
        <f>IFERROR(INDEX('Facility Summary'!$K:$K,MATCH(K703,'Facility Summary'!$J:$J,0)),INDEX('Raw Annual DMR Data'!$M:$M,MATCH(K703,'Raw Annual DMR Data'!$L:$L,0)))</f>
        <v>Unknown</v>
      </c>
      <c r="M703" s="28"/>
      <c r="N703" s="28"/>
      <c r="O703" s="28"/>
      <c r="P703" s="28"/>
      <c r="Q703" s="28"/>
      <c r="R703" s="28"/>
      <c r="S703" s="28">
        <v>0.82993197278911501</v>
      </c>
    </row>
    <row r="704" spans="1:19" x14ac:dyDescent="0.25">
      <c r="A704" s="28">
        <v>2015</v>
      </c>
      <c r="B704" s="28"/>
      <c r="C704" s="28" t="s">
        <v>1104</v>
      </c>
      <c r="D704" s="28" t="s">
        <v>1731</v>
      </c>
      <c r="E704" s="28" t="s">
        <v>446</v>
      </c>
      <c r="F704" s="28" t="s">
        <v>303</v>
      </c>
      <c r="G704" s="28">
        <v>70669</v>
      </c>
      <c r="H704" s="28">
        <v>30.193916000000002</v>
      </c>
      <c r="I704" s="28">
        <v>-93.321347000000003</v>
      </c>
      <c r="J704" s="28" t="s">
        <v>713</v>
      </c>
      <c r="K704" s="61">
        <v>110000597266</v>
      </c>
      <c r="L704" s="61" t="str">
        <f>IFERROR(INDEX('Facility Summary'!$K:$K,MATCH(K704,'Facility Summary'!$J:$J,0)),INDEX('Raw Annual DMR Data'!$M:$M,MATCH(K704,'Raw Annual DMR Data'!$L:$L,0)))</f>
        <v>Unknown</v>
      </c>
      <c r="M704" s="28"/>
      <c r="N704" s="28"/>
      <c r="O704" s="28"/>
      <c r="P704" s="28"/>
      <c r="Q704" s="28"/>
      <c r="R704" s="28"/>
      <c r="S704" s="28">
        <v>0.82766439909296996</v>
      </c>
    </row>
    <row r="705" spans="1:19" x14ac:dyDescent="0.25">
      <c r="A705" s="28">
        <v>2016</v>
      </c>
      <c r="B705" s="28"/>
      <c r="C705" s="28" t="s">
        <v>1104</v>
      </c>
      <c r="D705" s="28" t="s">
        <v>1731</v>
      </c>
      <c r="E705" s="28" t="s">
        <v>446</v>
      </c>
      <c r="F705" s="28" t="s">
        <v>303</v>
      </c>
      <c r="G705" s="28">
        <v>70669</v>
      </c>
      <c r="H705" s="28">
        <v>30.193916000000002</v>
      </c>
      <c r="I705" s="28">
        <v>-93.321347000000003</v>
      </c>
      <c r="J705" s="28" t="s">
        <v>713</v>
      </c>
      <c r="K705" s="61">
        <v>110000597266</v>
      </c>
      <c r="L705" s="61" t="str">
        <f>IFERROR(INDEX('Facility Summary'!$K:$K,MATCH(K705,'Facility Summary'!$J:$J,0)),INDEX('Raw Annual DMR Data'!$M:$M,MATCH(K705,'Raw Annual DMR Data'!$L:$L,0)))</f>
        <v>Unknown</v>
      </c>
      <c r="M705" s="28"/>
      <c r="N705" s="28"/>
      <c r="O705" s="28"/>
      <c r="P705" s="28"/>
      <c r="Q705" s="28"/>
      <c r="R705" s="28"/>
      <c r="S705" s="28">
        <v>0.82766439909296996</v>
      </c>
    </row>
    <row r="706" spans="1:19" x14ac:dyDescent="0.25">
      <c r="A706" s="28">
        <v>2017</v>
      </c>
      <c r="B706" s="28"/>
      <c r="C706" s="28" t="s">
        <v>1104</v>
      </c>
      <c r="D706" s="28" t="s">
        <v>1731</v>
      </c>
      <c r="E706" s="28" t="s">
        <v>446</v>
      </c>
      <c r="F706" s="28" t="s">
        <v>303</v>
      </c>
      <c r="G706" s="28">
        <v>70669</v>
      </c>
      <c r="H706" s="28">
        <v>30.193916000000002</v>
      </c>
      <c r="I706" s="28">
        <v>-93.321347000000003</v>
      </c>
      <c r="J706" s="28" t="s">
        <v>713</v>
      </c>
      <c r="K706" s="61">
        <v>110000597266</v>
      </c>
      <c r="L706" s="61" t="str">
        <f>IFERROR(INDEX('Facility Summary'!$K:$K,MATCH(K706,'Facility Summary'!$J:$J,0)),INDEX('Raw Annual DMR Data'!$M:$M,MATCH(K706,'Raw Annual DMR Data'!$L:$L,0)))</f>
        <v>Unknown</v>
      </c>
      <c r="M706" s="28"/>
      <c r="N706" s="28"/>
      <c r="O706" s="28"/>
      <c r="P706" s="28"/>
      <c r="Q706" s="28"/>
      <c r="R706" s="28"/>
      <c r="S706" s="28">
        <v>0.82766439909296996</v>
      </c>
    </row>
    <row r="707" spans="1:19" x14ac:dyDescent="0.25">
      <c r="A707" s="28">
        <v>2018</v>
      </c>
      <c r="B707" s="28"/>
      <c r="C707" s="28" t="s">
        <v>1104</v>
      </c>
      <c r="D707" s="28" t="s">
        <v>1731</v>
      </c>
      <c r="E707" s="28" t="s">
        <v>446</v>
      </c>
      <c r="F707" s="28" t="s">
        <v>303</v>
      </c>
      <c r="G707" s="28">
        <v>70669</v>
      </c>
      <c r="H707" s="28">
        <v>30.193916000000002</v>
      </c>
      <c r="I707" s="28">
        <v>-93.321347000000003</v>
      </c>
      <c r="J707" s="28" t="s">
        <v>713</v>
      </c>
      <c r="K707" s="61">
        <v>110000597266</v>
      </c>
      <c r="L707" s="61" t="str">
        <f>IFERROR(INDEX('Facility Summary'!$K:$K,MATCH(K707,'Facility Summary'!$J:$J,0)),INDEX('Raw Annual DMR Data'!$M:$M,MATCH(K707,'Raw Annual DMR Data'!$L:$L,0)))</f>
        <v>Unknown</v>
      </c>
      <c r="M707" s="28"/>
      <c r="N707" s="28"/>
      <c r="O707" s="28"/>
      <c r="P707" s="28"/>
      <c r="Q707" s="28"/>
      <c r="R707" s="28"/>
      <c r="S707" s="302">
        <v>0.82766439909296996</v>
      </c>
    </row>
    <row r="708" spans="1:19" x14ac:dyDescent="0.25">
      <c r="A708" s="28">
        <v>2019</v>
      </c>
      <c r="B708" s="28"/>
      <c r="C708" s="28" t="s">
        <v>1104</v>
      </c>
      <c r="D708" s="28" t="s">
        <v>1731</v>
      </c>
      <c r="E708" s="28" t="s">
        <v>446</v>
      </c>
      <c r="F708" s="28" t="s">
        <v>303</v>
      </c>
      <c r="G708" s="28">
        <v>70669</v>
      </c>
      <c r="H708" s="28">
        <v>30.193916000000002</v>
      </c>
      <c r="I708" s="28">
        <v>-93.321347000000003</v>
      </c>
      <c r="J708" s="28" t="s">
        <v>713</v>
      </c>
      <c r="K708" s="61">
        <v>110000597266</v>
      </c>
      <c r="L708" s="61" t="str">
        <f>IFERROR(INDEX('Facility Summary'!$K:$K,MATCH(K708,'Facility Summary'!$J:$J,0)),INDEX('Raw Annual DMR Data'!$M:$M,MATCH(K708,'Raw Annual DMR Data'!$L:$L,0)))</f>
        <v>Unknown</v>
      </c>
      <c r="M708" s="28"/>
      <c r="N708" s="28"/>
      <c r="O708" s="28"/>
      <c r="P708" s="28"/>
      <c r="Q708" s="28"/>
      <c r="R708" s="28"/>
      <c r="S708" s="28">
        <v>0.41383219954648498</v>
      </c>
    </row>
    <row r="709" spans="1:19" x14ac:dyDescent="0.25">
      <c r="A709" s="28">
        <v>2020</v>
      </c>
      <c r="B709" s="28"/>
      <c r="C709" s="28" t="s">
        <v>1104</v>
      </c>
      <c r="D709" s="28" t="s">
        <v>1731</v>
      </c>
      <c r="E709" s="28" t="s">
        <v>446</v>
      </c>
      <c r="F709" s="28" t="s">
        <v>303</v>
      </c>
      <c r="G709" s="28">
        <v>70669</v>
      </c>
      <c r="H709" s="28">
        <v>30.193916000000002</v>
      </c>
      <c r="I709" s="28">
        <v>-93.321347000000003</v>
      </c>
      <c r="J709" s="28" t="s">
        <v>713</v>
      </c>
      <c r="K709" s="61">
        <v>110000597266</v>
      </c>
      <c r="L709" s="61" t="str">
        <f>IFERROR(INDEX('Facility Summary'!$K:$K,MATCH(K709,'Facility Summary'!$J:$J,0)),INDEX('Raw Annual DMR Data'!$M:$M,MATCH(K709,'Raw Annual DMR Data'!$L:$L,0)))</f>
        <v>Unknown</v>
      </c>
      <c r="M709" s="28"/>
      <c r="N709" s="28"/>
      <c r="O709" s="28"/>
      <c r="P709" s="28"/>
      <c r="Q709" s="28"/>
      <c r="R709" s="28"/>
      <c r="S709" s="28">
        <v>4.1383219954648496</v>
      </c>
    </row>
    <row r="710" spans="1:19" x14ac:dyDescent="0.25">
      <c r="A710" s="28">
        <v>2015</v>
      </c>
      <c r="B710" s="28"/>
      <c r="C710" s="28" t="s">
        <v>1105</v>
      </c>
      <c r="D710" s="28" t="s">
        <v>1735</v>
      </c>
      <c r="E710" s="28" t="s">
        <v>1106</v>
      </c>
      <c r="F710" s="28" t="s">
        <v>345</v>
      </c>
      <c r="G710" s="28">
        <v>61953</v>
      </c>
      <c r="H710" s="28">
        <v>39.795811999999998</v>
      </c>
      <c r="I710" s="28">
        <v>-88.347945999999993</v>
      </c>
      <c r="J710" s="28" t="s">
        <v>714</v>
      </c>
      <c r="K710" s="61">
        <v>110000746211</v>
      </c>
      <c r="L710" s="61" t="str">
        <f>IFERROR(INDEX('Facility Summary'!$K:$K,MATCH(K710,'Facility Summary'!$J:$J,0)),INDEX('Raw Annual DMR Data'!$M:$M,MATCH(K710,'Raw Annual DMR Data'!$L:$L,0)))</f>
        <v>Processing as a Reactant</v>
      </c>
      <c r="M710" s="28"/>
      <c r="N710" s="28"/>
      <c r="O710" s="28"/>
      <c r="P710" s="28"/>
      <c r="Q710" s="28"/>
      <c r="R710" s="28"/>
      <c r="S710" s="28">
        <v>5.5453514739229002</v>
      </c>
    </row>
    <row r="711" spans="1:19" x14ac:dyDescent="0.25">
      <c r="A711" s="28">
        <v>2016</v>
      </c>
      <c r="B711" s="28"/>
      <c r="C711" s="28" t="s">
        <v>1105</v>
      </c>
      <c r="D711" s="28" t="s">
        <v>1735</v>
      </c>
      <c r="E711" s="28" t="s">
        <v>1106</v>
      </c>
      <c r="F711" s="28" t="s">
        <v>345</v>
      </c>
      <c r="G711" s="28">
        <v>61953</v>
      </c>
      <c r="H711" s="28">
        <v>39.795811999999998</v>
      </c>
      <c r="I711" s="28">
        <v>-88.347945999999993</v>
      </c>
      <c r="J711" s="28" t="s">
        <v>714</v>
      </c>
      <c r="K711" s="61">
        <v>110000746211</v>
      </c>
      <c r="L711" s="61" t="str">
        <f>IFERROR(INDEX('Facility Summary'!$K:$K,MATCH(K711,'Facility Summary'!$J:$J,0)),INDEX('Raw Annual DMR Data'!$M:$M,MATCH(K711,'Raw Annual DMR Data'!$L:$L,0)))</f>
        <v>Processing as a Reactant</v>
      </c>
      <c r="M711" s="28"/>
      <c r="N711" s="28"/>
      <c r="O711" s="28"/>
      <c r="P711" s="28"/>
      <c r="Q711" s="28"/>
      <c r="R711" s="28"/>
      <c r="S711" s="28">
        <v>4.8004535147392202</v>
      </c>
    </row>
    <row r="712" spans="1:19" x14ac:dyDescent="0.25">
      <c r="A712" s="28">
        <v>2017</v>
      </c>
      <c r="B712" s="28"/>
      <c r="C712" s="28" t="s">
        <v>1105</v>
      </c>
      <c r="D712" s="28" t="s">
        <v>1735</v>
      </c>
      <c r="E712" s="28" t="s">
        <v>1106</v>
      </c>
      <c r="F712" s="28" t="s">
        <v>345</v>
      </c>
      <c r="G712" s="28">
        <v>61953</v>
      </c>
      <c r="H712" s="28">
        <v>39.795811999999998</v>
      </c>
      <c r="I712" s="28">
        <v>-88.347945999999993</v>
      </c>
      <c r="J712" s="28" t="s">
        <v>714</v>
      </c>
      <c r="K712" s="61">
        <v>110000746211</v>
      </c>
      <c r="L712" s="61" t="str">
        <f>IFERROR(INDEX('Facility Summary'!$K:$K,MATCH(K712,'Facility Summary'!$J:$J,0)),INDEX('Raw Annual DMR Data'!$M:$M,MATCH(K712,'Raw Annual DMR Data'!$L:$L,0)))</f>
        <v>Processing as a Reactant</v>
      </c>
      <c r="M712" s="28"/>
      <c r="N712" s="28"/>
      <c r="O712" s="28"/>
      <c r="P712" s="28"/>
      <c r="Q712" s="28"/>
      <c r="R712" s="28"/>
      <c r="S712" s="28">
        <v>9.26984126984126</v>
      </c>
    </row>
    <row r="713" spans="1:19" x14ac:dyDescent="0.25">
      <c r="A713" s="28">
        <v>2018</v>
      </c>
      <c r="B713" s="28"/>
      <c r="C713" s="28" t="s">
        <v>1105</v>
      </c>
      <c r="D713" s="28" t="s">
        <v>1735</v>
      </c>
      <c r="E713" s="28" t="s">
        <v>1106</v>
      </c>
      <c r="F713" s="28" t="s">
        <v>345</v>
      </c>
      <c r="G713" s="28">
        <v>61953</v>
      </c>
      <c r="H713" s="28">
        <v>39.795811999999998</v>
      </c>
      <c r="I713" s="28">
        <v>-88.347945999999993</v>
      </c>
      <c r="J713" s="28" t="s">
        <v>714</v>
      </c>
      <c r="K713" s="61">
        <v>110000746211</v>
      </c>
      <c r="L713" s="61" t="str">
        <f>IFERROR(INDEX('Facility Summary'!$K:$K,MATCH(K713,'Facility Summary'!$J:$J,0)),INDEX('Raw Annual DMR Data'!$M:$M,MATCH(K713,'Raw Annual DMR Data'!$L:$L,0)))</f>
        <v>Processing as a Reactant</v>
      </c>
      <c r="M713" s="28"/>
      <c r="N713" s="28"/>
      <c r="O713" s="28"/>
      <c r="P713" s="28"/>
      <c r="Q713" s="28"/>
      <c r="R713" s="28"/>
      <c r="S713" s="302">
        <v>9.26984126984126</v>
      </c>
    </row>
    <row r="714" spans="1:19" x14ac:dyDescent="0.25">
      <c r="A714" s="28">
        <v>2019</v>
      </c>
      <c r="B714" s="28"/>
      <c r="C714" s="28" t="s">
        <v>1105</v>
      </c>
      <c r="D714" s="28" t="s">
        <v>1735</v>
      </c>
      <c r="E714" s="28" t="s">
        <v>1106</v>
      </c>
      <c r="F714" s="28" t="s">
        <v>345</v>
      </c>
      <c r="G714" s="28">
        <v>61953</v>
      </c>
      <c r="H714" s="28">
        <v>39.795811999999998</v>
      </c>
      <c r="I714" s="28">
        <v>-88.347945999999993</v>
      </c>
      <c r="J714" s="28" t="s">
        <v>714</v>
      </c>
      <c r="K714" s="61">
        <v>110000746211</v>
      </c>
      <c r="L714" s="61" t="str">
        <f>IFERROR(INDEX('Facility Summary'!$K:$K,MATCH(K714,'Facility Summary'!$J:$J,0)),INDEX('Raw Annual DMR Data'!$M:$M,MATCH(K714,'Raw Annual DMR Data'!$L:$L,0)))</f>
        <v>Processing as a Reactant</v>
      </c>
      <c r="M714" s="28"/>
      <c r="N714" s="28"/>
      <c r="O714" s="28"/>
      <c r="P714" s="28"/>
      <c r="Q714" s="28"/>
      <c r="R714" s="28"/>
      <c r="S714" s="28">
        <v>3.3934240362811701</v>
      </c>
    </row>
    <row r="715" spans="1:19" x14ac:dyDescent="0.25">
      <c r="A715" s="28">
        <v>2020</v>
      </c>
      <c r="B715" s="28"/>
      <c r="C715" s="28" t="s">
        <v>1105</v>
      </c>
      <c r="D715" s="28" t="s">
        <v>1735</v>
      </c>
      <c r="E715" s="28" t="s">
        <v>1106</v>
      </c>
      <c r="F715" s="28" t="s">
        <v>345</v>
      </c>
      <c r="G715" s="28">
        <v>61953</v>
      </c>
      <c r="H715" s="28">
        <v>39.795811999999998</v>
      </c>
      <c r="I715" s="28">
        <v>-88.347945999999993</v>
      </c>
      <c r="J715" s="28" t="s">
        <v>714</v>
      </c>
      <c r="K715" s="61">
        <v>110000746211</v>
      </c>
      <c r="L715" s="61" t="str">
        <f>IFERROR(INDEX('Facility Summary'!$K:$K,MATCH(K715,'Facility Summary'!$J:$J,0)),INDEX('Raw Annual DMR Data'!$M:$M,MATCH(K715,'Raw Annual DMR Data'!$L:$L,0)))</f>
        <v>Processing as a Reactant</v>
      </c>
      <c r="M715" s="28"/>
      <c r="N715" s="28"/>
      <c r="O715" s="28"/>
      <c r="P715" s="28"/>
      <c r="Q715" s="28"/>
      <c r="R715" s="28"/>
      <c r="S715" s="28">
        <v>7.6145124716553196</v>
      </c>
    </row>
    <row r="716" spans="1:19" x14ac:dyDescent="0.25">
      <c r="A716" s="28">
        <v>2018</v>
      </c>
      <c r="B716" s="28"/>
      <c r="C716" s="28" t="s">
        <v>144</v>
      </c>
      <c r="D716" s="28" t="s">
        <v>467</v>
      </c>
      <c r="E716" s="28" t="s">
        <v>302</v>
      </c>
      <c r="F716" s="28" t="s">
        <v>303</v>
      </c>
      <c r="G716" s="28">
        <v>70805</v>
      </c>
      <c r="H716" s="28">
        <v>30.494948000000001</v>
      </c>
      <c r="I716" s="28">
        <v>-91.178173999999999</v>
      </c>
      <c r="J716" s="28"/>
      <c r="K716" s="61">
        <v>110001143584</v>
      </c>
      <c r="L716" s="61" t="str">
        <f>IFERROR(INDEX('Facility Summary'!$K:$K,MATCH(K716,'Facility Summary'!$J:$J,0)),INDEX('Raw Annual DMR Data'!$M:$M,MATCH(K716,'Raw Annual DMR Data'!$L:$L,0)))</f>
        <v>Processing into formulation, mixture, or reaction product</v>
      </c>
      <c r="M716" s="28"/>
      <c r="N716" s="28"/>
      <c r="O716" s="28"/>
      <c r="P716" s="28"/>
      <c r="Q716" s="28"/>
      <c r="R716" s="28"/>
      <c r="S716" s="28">
        <v>6.9710843100000003E-2</v>
      </c>
    </row>
    <row r="717" spans="1:19" x14ac:dyDescent="0.25">
      <c r="A717" s="28">
        <v>2018</v>
      </c>
      <c r="B717" s="28"/>
      <c r="C717" s="28" t="s">
        <v>144</v>
      </c>
      <c r="D717" s="28" t="s">
        <v>467</v>
      </c>
      <c r="E717" s="28" t="s">
        <v>302</v>
      </c>
      <c r="F717" s="28" t="s">
        <v>303</v>
      </c>
      <c r="G717" s="28">
        <v>70805</v>
      </c>
      <c r="H717" s="28">
        <v>30.494948000000001</v>
      </c>
      <c r="I717" s="28">
        <v>-91.178173999999999</v>
      </c>
      <c r="J717" s="28"/>
      <c r="K717" s="61">
        <v>110001143584</v>
      </c>
      <c r="L717" s="61" t="str">
        <f>IFERROR(INDEX('Facility Summary'!$K:$K,MATCH(K717,'Facility Summary'!$J:$J,0)),INDEX('Raw Annual DMR Data'!$M:$M,MATCH(K717,'Raw Annual DMR Data'!$L:$L,0)))</f>
        <v>Processing into formulation, mixture, or reaction product</v>
      </c>
      <c r="M717" s="28"/>
      <c r="N717" s="28"/>
      <c r="O717" s="28"/>
      <c r="P717" s="28"/>
      <c r="Q717" s="28"/>
      <c r="R717" s="28"/>
      <c r="S717" s="28">
        <v>0.47827827750000002</v>
      </c>
    </row>
    <row r="718" spans="1:19" x14ac:dyDescent="0.25">
      <c r="A718" s="28">
        <v>2019</v>
      </c>
      <c r="B718" s="28"/>
      <c r="C718" s="28" t="s">
        <v>144</v>
      </c>
      <c r="D718" s="28" t="s">
        <v>467</v>
      </c>
      <c r="E718" s="28" t="s">
        <v>302</v>
      </c>
      <c r="F718" s="28" t="s">
        <v>303</v>
      </c>
      <c r="G718" s="28">
        <v>70805</v>
      </c>
      <c r="H718" s="28">
        <v>30.494948000000001</v>
      </c>
      <c r="I718" s="28">
        <v>-91.178173999999999</v>
      </c>
      <c r="J718" s="28"/>
      <c r="K718" s="61">
        <v>110001143584</v>
      </c>
      <c r="L718" s="61" t="str">
        <f>IFERROR(INDEX('Facility Summary'!$K:$K,MATCH(K718,'Facility Summary'!$J:$J,0)),INDEX('Raw Annual DMR Data'!$M:$M,MATCH(K718,'Raw Annual DMR Data'!$L:$L,0)))</f>
        <v>Processing into formulation, mixture, or reaction product</v>
      </c>
      <c r="M718" s="28"/>
      <c r="N718" s="28"/>
      <c r="O718" s="28"/>
      <c r="P718" s="28"/>
      <c r="Q718" s="28"/>
      <c r="R718" s="28"/>
      <c r="S718" s="28">
        <v>2.5131169875000001E-2</v>
      </c>
    </row>
    <row r="719" spans="1:19" x14ac:dyDescent="0.25">
      <c r="A719" s="28">
        <v>2019</v>
      </c>
      <c r="B719" s="28"/>
      <c r="C719" s="28" t="s">
        <v>144</v>
      </c>
      <c r="D719" s="28" t="s">
        <v>467</v>
      </c>
      <c r="E719" s="28" t="s">
        <v>302</v>
      </c>
      <c r="F719" s="28" t="s">
        <v>303</v>
      </c>
      <c r="G719" s="28">
        <v>70805</v>
      </c>
      <c r="H719" s="28">
        <v>30.494948000000001</v>
      </c>
      <c r="I719" s="28">
        <v>-91.178173999999999</v>
      </c>
      <c r="J719" s="28"/>
      <c r="K719" s="61">
        <v>110001143584</v>
      </c>
      <c r="L719" s="61" t="str">
        <f>IFERROR(INDEX('Facility Summary'!$K:$K,MATCH(K719,'Facility Summary'!$J:$J,0)),INDEX('Raw Annual DMR Data'!$M:$M,MATCH(K719,'Raw Annual DMR Data'!$L:$L,0)))</f>
        <v>Processing into formulation, mixture, or reaction product</v>
      </c>
      <c r="M719" s="28"/>
      <c r="N719" s="28"/>
      <c r="O719" s="28"/>
      <c r="P719" s="28"/>
      <c r="Q719" s="28"/>
      <c r="R719" s="28"/>
      <c r="S719" s="28">
        <v>3.4569256625000002</v>
      </c>
    </row>
    <row r="720" spans="1:19" x14ac:dyDescent="0.25">
      <c r="A720" s="28">
        <v>2020</v>
      </c>
      <c r="B720" s="28"/>
      <c r="C720" s="28" t="s">
        <v>144</v>
      </c>
      <c r="D720" s="28" t="s">
        <v>467</v>
      </c>
      <c r="E720" s="28" t="s">
        <v>302</v>
      </c>
      <c r="F720" s="28" t="s">
        <v>303</v>
      </c>
      <c r="G720" s="28">
        <v>70805</v>
      </c>
      <c r="H720" s="28">
        <v>30.494948000000001</v>
      </c>
      <c r="I720" s="28">
        <v>-91.178173999999999</v>
      </c>
      <c r="J720" s="28"/>
      <c r="K720" s="61">
        <v>110001143584</v>
      </c>
      <c r="L720" s="61" t="str">
        <f>IFERROR(INDEX('Facility Summary'!$K:$K,MATCH(K720,'Facility Summary'!$J:$J,0)),INDEX('Raw Annual DMR Data'!$M:$M,MATCH(K720,'Raw Annual DMR Data'!$L:$L,0)))</f>
        <v>Processing into formulation, mixture, or reaction product</v>
      </c>
      <c r="M720" s="28"/>
      <c r="N720" s="28"/>
      <c r="O720" s="28"/>
      <c r="P720" s="28"/>
      <c r="Q720" s="28"/>
      <c r="R720" s="28"/>
      <c r="S720" s="28">
        <v>1.02510993428571</v>
      </c>
    </row>
    <row r="721" spans="1:19" x14ac:dyDescent="0.25">
      <c r="A721" s="28">
        <v>2020</v>
      </c>
      <c r="B721" s="28"/>
      <c r="C721" s="28" t="s">
        <v>144</v>
      </c>
      <c r="D721" s="28" t="s">
        <v>467</v>
      </c>
      <c r="E721" s="28" t="s">
        <v>302</v>
      </c>
      <c r="F721" s="28" t="s">
        <v>303</v>
      </c>
      <c r="G721" s="28">
        <v>70805</v>
      </c>
      <c r="H721" s="28">
        <v>30.494948000000001</v>
      </c>
      <c r="I721" s="28">
        <v>-91.178173999999999</v>
      </c>
      <c r="J721" s="28"/>
      <c r="K721" s="61">
        <v>110001143584</v>
      </c>
      <c r="L721" s="61" t="str">
        <f>IFERROR(INDEX('Facility Summary'!$K:$K,MATCH(K721,'Facility Summary'!$J:$J,0)),INDEX('Raw Annual DMR Data'!$M:$M,MATCH(K721,'Raw Annual DMR Data'!$L:$L,0)))</f>
        <v>Processing into formulation, mixture, or reaction product</v>
      </c>
      <c r="M721" s="28"/>
      <c r="N721" s="28"/>
      <c r="O721" s="28"/>
      <c r="P721" s="28"/>
      <c r="Q721" s="28"/>
      <c r="R721" s="28"/>
      <c r="S721" s="28">
        <v>2.1882192112500001E-2</v>
      </c>
    </row>
    <row r="722" spans="1:19" x14ac:dyDescent="0.25">
      <c r="A722" s="28">
        <v>2020</v>
      </c>
      <c r="B722" s="28"/>
      <c r="C722" s="28" t="s">
        <v>144</v>
      </c>
      <c r="D722" s="28" t="s">
        <v>467</v>
      </c>
      <c r="E722" s="28" t="s">
        <v>302</v>
      </c>
      <c r="F722" s="28" t="s">
        <v>303</v>
      </c>
      <c r="G722" s="28">
        <v>70805</v>
      </c>
      <c r="H722" s="28">
        <v>30.494948000000001</v>
      </c>
      <c r="I722" s="28">
        <v>-91.178173999999999</v>
      </c>
      <c r="J722" s="28"/>
      <c r="K722" s="61">
        <v>110001143584</v>
      </c>
      <c r="L722" s="61" t="str">
        <f>IFERROR(INDEX('Facility Summary'!$K:$K,MATCH(K722,'Facility Summary'!$J:$J,0)),INDEX('Raw Annual DMR Data'!$M:$M,MATCH(K722,'Raw Annual DMR Data'!$L:$L,0)))</f>
        <v>Processing into formulation, mixture, or reaction product</v>
      </c>
      <c r="M722" s="28"/>
      <c r="N722" s="28"/>
      <c r="O722" s="28"/>
      <c r="P722" s="28"/>
      <c r="Q722" s="28"/>
      <c r="R722" s="28"/>
      <c r="S722" s="28">
        <v>0.64317964285714202</v>
      </c>
    </row>
    <row r="723" spans="1:19" x14ac:dyDescent="0.25">
      <c r="A723" s="28">
        <v>2016</v>
      </c>
      <c r="B723" s="28"/>
      <c r="C723" s="28" t="s">
        <v>1107</v>
      </c>
      <c r="D723" s="28" t="s">
        <v>1741</v>
      </c>
      <c r="E723" s="28" t="s">
        <v>1108</v>
      </c>
      <c r="F723" s="28" t="s">
        <v>338</v>
      </c>
      <c r="G723" s="28">
        <v>8872</v>
      </c>
      <c r="H723" s="28">
        <v>40.665252000000002</v>
      </c>
      <c r="I723" s="28">
        <v>-74.200059999999993</v>
      </c>
      <c r="J723" s="28"/>
      <c r="K723" s="61">
        <v>110070212717</v>
      </c>
      <c r="L723" s="61" t="str">
        <f>IFERROR(INDEX('Facility Summary'!$K:$K,MATCH(K723,'Facility Summary'!$J:$J,0)),INDEX('Raw Annual DMR Data'!$M:$M,MATCH(K723,'Raw Annual DMR Data'!$L:$L,0)))</f>
        <v>Unknown</v>
      </c>
      <c r="M723" s="28"/>
      <c r="N723" s="28"/>
      <c r="O723" s="28"/>
      <c r="P723" s="28"/>
      <c r="Q723" s="28"/>
      <c r="R723" s="28"/>
      <c r="S723" s="28">
        <v>7.1385099999999896E-4</v>
      </c>
    </row>
    <row r="724" spans="1:19" x14ac:dyDescent="0.25">
      <c r="A724" s="28">
        <v>2018</v>
      </c>
      <c r="B724" s="28"/>
      <c r="C724" s="28" t="s">
        <v>1107</v>
      </c>
      <c r="D724" s="28" t="s">
        <v>1741</v>
      </c>
      <c r="E724" s="28" t="s">
        <v>1108</v>
      </c>
      <c r="F724" s="28" t="s">
        <v>338</v>
      </c>
      <c r="G724" s="302" t="s">
        <v>1744</v>
      </c>
      <c r="H724" s="28">
        <v>40.665252000000002</v>
      </c>
      <c r="I724" s="28">
        <v>-74.200059999999993</v>
      </c>
      <c r="J724" s="28"/>
      <c r="K724" s="61">
        <v>110070212717</v>
      </c>
      <c r="L724" s="61" t="str">
        <f>IFERROR(INDEX('Facility Summary'!$K:$K,MATCH(K724,'Facility Summary'!$J:$J,0)),INDEX('Raw Annual DMR Data'!$M:$M,MATCH(K724,'Raw Annual DMR Data'!$L:$L,0)))</f>
        <v>Unknown</v>
      </c>
      <c r="M724" s="28"/>
      <c r="N724" s="28"/>
      <c r="O724" s="28"/>
      <c r="P724" s="28"/>
      <c r="Q724" s="28"/>
      <c r="R724" s="28"/>
      <c r="S724" s="302">
        <v>1.77563812499999E-4</v>
      </c>
    </row>
    <row r="725" spans="1:19" x14ac:dyDescent="0.25">
      <c r="A725" s="28">
        <v>2019</v>
      </c>
      <c r="B725" s="28"/>
      <c r="C725" s="28" t="s">
        <v>1107</v>
      </c>
      <c r="D725" s="28" t="s">
        <v>1741</v>
      </c>
      <c r="E725" s="28" t="s">
        <v>1108</v>
      </c>
      <c r="F725" s="28" t="s">
        <v>338</v>
      </c>
      <c r="G725" s="28">
        <v>8872</v>
      </c>
      <c r="H725" s="28">
        <v>40.665252000000002</v>
      </c>
      <c r="I725" s="28">
        <v>-74.200059999999993</v>
      </c>
      <c r="J725" s="28"/>
      <c r="K725" s="61">
        <v>110070212717</v>
      </c>
      <c r="L725" s="61" t="str">
        <f>IFERROR(INDEX('Facility Summary'!$K:$K,MATCH(K725,'Facility Summary'!$J:$J,0)),INDEX('Raw Annual DMR Data'!$M:$M,MATCH(K725,'Raw Annual DMR Data'!$L:$L,0)))</f>
        <v>Unknown</v>
      </c>
      <c r="M725" s="28"/>
      <c r="N725" s="28"/>
      <c r="O725" s="28"/>
      <c r="P725" s="28"/>
      <c r="Q725" s="28"/>
      <c r="R725" s="28"/>
      <c r="S725" s="28">
        <v>4.7532029999999901E-4</v>
      </c>
    </row>
    <row r="726" spans="1:19" x14ac:dyDescent="0.25">
      <c r="A726" s="28">
        <v>2020</v>
      </c>
      <c r="B726" s="28"/>
      <c r="C726" s="28" t="s">
        <v>1107</v>
      </c>
      <c r="D726" s="28" t="s">
        <v>1741</v>
      </c>
      <c r="E726" s="28" t="s">
        <v>1108</v>
      </c>
      <c r="F726" s="28" t="s">
        <v>338</v>
      </c>
      <c r="G726" s="28">
        <v>8872</v>
      </c>
      <c r="H726" s="28">
        <v>40.665252000000002</v>
      </c>
      <c r="I726" s="28">
        <v>-74.200059999999993</v>
      </c>
      <c r="J726" s="28"/>
      <c r="K726" s="61">
        <v>110070212717</v>
      </c>
      <c r="L726" s="61" t="str">
        <f>IFERROR(INDEX('Facility Summary'!$K:$K,MATCH(K726,'Facility Summary'!$J:$J,0)),INDEX('Raw Annual DMR Data'!$M:$M,MATCH(K726,'Raw Annual DMR Data'!$L:$L,0)))</f>
        <v>Unknown</v>
      </c>
      <c r="M726" s="28"/>
      <c r="N726" s="28"/>
      <c r="O726" s="28"/>
      <c r="P726" s="28"/>
      <c r="Q726" s="28"/>
      <c r="R726" s="28"/>
      <c r="S726" s="28">
        <v>5.7286429199999902E-4</v>
      </c>
    </row>
    <row r="727" spans="1:19" x14ac:dyDescent="0.25">
      <c r="A727" s="28">
        <v>2015</v>
      </c>
      <c r="B727" s="28"/>
      <c r="C727" s="28" t="s">
        <v>145</v>
      </c>
      <c r="D727" s="28" t="s">
        <v>468</v>
      </c>
      <c r="E727" s="28" t="s">
        <v>314</v>
      </c>
      <c r="F727" s="28" t="s">
        <v>469</v>
      </c>
      <c r="G727" s="28">
        <v>479099201</v>
      </c>
      <c r="H727" s="28">
        <v>40.390543999999998</v>
      </c>
      <c r="I727" s="28">
        <v>-86.936173999999994</v>
      </c>
      <c r="J727" s="28" t="s">
        <v>470</v>
      </c>
      <c r="K727" s="61">
        <v>110000404296</v>
      </c>
      <c r="L727" s="61" t="str">
        <f>IFERROR(INDEX('Facility Summary'!$K:$K,MATCH(K727,'Facility Summary'!$J:$J,0)),INDEX('Raw Annual DMR Data'!$M:$M,MATCH(K727,'Raw Annual DMR Data'!$L:$L,0)))</f>
        <v>Processing into formulation, mixture, or reaction product</v>
      </c>
      <c r="M727" s="28"/>
      <c r="N727" s="28"/>
      <c r="O727" s="28"/>
      <c r="P727" s="28"/>
      <c r="Q727" s="28"/>
      <c r="R727" s="28"/>
      <c r="S727" s="28">
        <v>0.122344671201814</v>
      </c>
    </row>
    <row r="728" spans="1:19" x14ac:dyDescent="0.25">
      <c r="A728" s="28">
        <v>2016</v>
      </c>
      <c r="B728" s="28"/>
      <c r="C728" s="28" t="s">
        <v>145</v>
      </c>
      <c r="D728" s="28" t="s">
        <v>468</v>
      </c>
      <c r="E728" s="28" t="s">
        <v>314</v>
      </c>
      <c r="F728" s="28" t="s">
        <v>469</v>
      </c>
      <c r="G728" s="28">
        <v>479099201</v>
      </c>
      <c r="H728" s="28">
        <v>40.390543999999998</v>
      </c>
      <c r="I728" s="28">
        <v>-86.936173999999994</v>
      </c>
      <c r="J728" s="28" t="s">
        <v>470</v>
      </c>
      <c r="K728" s="61">
        <v>110000404296</v>
      </c>
      <c r="L728" s="61" t="str">
        <f>IFERROR(INDEX('Facility Summary'!$K:$K,MATCH(K728,'Facility Summary'!$J:$J,0)),INDEX('Raw Annual DMR Data'!$M:$M,MATCH(K728,'Raw Annual DMR Data'!$L:$L,0)))</f>
        <v>Processing into formulation, mixture, or reaction product</v>
      </c>
      <c r="M728" s="28"/>
      <c r="N728" s="28"/>
      <c r="O728" s="28"/>
      <c r="P728" s="28"/>
      <c r="Q728" s="28"/>
      <c r="R728" s="28"/>
      <c r="S728" s="28">
        <v>0.23648752834467099</v>
      </c>
    </row>
    <row r="729" spans="1:19" x14ac:dyDescent="0.25">
      <c r="A729" s="28">
        <v>2017</v>
      </c>
      <c r="B729" s="28"/>
      <c r="C729" s="28" t="s">
        <v>145</v>
      </c>
      <c r="D729" s="28" t="s">
        <v>468</v>
      </c>
      <c r="E729" s="28" t="s">
        <v>314</v>
      </c>
      <c r="F729" s="28" t="s">
        <v>469</v>
      </c>
      <c r="G729" s="28">
        <v>479099201</v>
      </c>
      <c r="H729" s="28">
        <v>40.390543999999998</v>
      </c>
      <c r="I729" s="28">
        <v>-86.936173999999994</v>
      </c>
      <c r="J729" s="28" t="s">
        <v>470</v>
      </c>
      <c r="K729" s="61">
        <v>110000404296</v>
      </c>
      <c r="L729" s="61" t="str">
        <f>IFERROR(INDEX('Facility Summary'!$K:$K,MATCH(K729,'Facility Summary'!$J:$J,0)),INDEX('Raw Annual DMR Data'!$M:$M,MATCH(K729,'Raw Annual DMR Data'!$L:$L,0)))</f>
        <v>Processing into formulation, mixture, or reaction product</v>
      </c>
      <c r="M729" s="28"/>
      <c r="N729" s="28"/>
      <c r="O729" s="28"/>
      <c r="P729" s="28"/>
      <c r="Q729" s="28"/>
      <c r="R729" s="28"/>
      <c r="S729" s="28">
        <v>0.12529705215419501</v>
      </c>
    </row>
    <row r="730" spans="1:19" x14ac:dyDescent="0.25">
      <c r="A730" s="28">
        <v>2019</v>
      </c>
      <c r="B730" s="28"/>
      <c r="C730" s="28" t="s">
        <v>145</v>
      </c>
      <c r="D730" s="28" t="s">
        <v>468</v>
      </c>
      <c r="E730" s="28" t="s">
        <v>314</v>
      </c>
      <c r="F730" s="28" t="s">
        <v>469</v>
      </c>
      <c r="G730" s="28">
        <v>479099201</v>
      </c>
      <c r="H730" s="28">
        <v>40.390543999999998</v>
      </c>
      <c r="I730" s="28">
        <v>-86.936173999999994</v>
      </c>
      <c r="J730" s="28" t="s">
        <v>470</v>
      </c>
      <c r="K730" s="61">
        <v>110000404296</v>
      </c>
      <c r="L730" s="61" t="str">
        <f>IFERROR(INDEX('Facility Summary'!$K:$K,MATCH(K730,'Facility Summary'!$J:$J,0)),INDEX('Raw Annual DMR Data'!$M:$M,MATCH(K730,'Raw Annual DMR Data'!$L:$L,0)))</f>
        <v>Processing into formulation, mixture, or reaction product</v>
      </c>
      <c r="M730" s="28"/>
      <c r="N730" s="28"/>
      <c r="O730" s="28"/>
      <c r="P730" s="28"/>
      <c r="Q730" s="28"/>
      <c r="R730" s="28"/>
      <c r="S730" s="28">
        <v>0.62655555555555498</v>
      </c>
    </row>
    <row r="731" spans="1:19" x14ac:dyDescent="0.25">
      <c r="A731" s="28">
        <v>2020</v>
      </c>
      <c r="B731" s="28"/>
      <c r="C731" s="28" t="s">
        <v>145</v>
      </c>
      <c r="D731" s="28" t="s">
        <v>468</v>
      </c>
      <c r="E731" s="28" t="s">
        <v>314</v>
      </c>
      <c r="F731" s="28" t="s">
        <v>469</v>
      </c>
      <c r="G731" s="28">
        <v>479099201</v>
      </c>
      <c r="H731" s="28">
        <v>40.390543999999998</v>
      </c>
      <c r="I731" s="28">
        <v>-86.936173999999994</v>
      </c>
      <c r="J731" s="28" t="s">
        <v>470</v>
      </c>
      <c r="K731" s="61">
        <v>110000404296</v>
      </c>
      <c r="L731" s="61" t="str">
        <f>IFERROR(INDEX('Facility Summary'!$K:$K,MATCH(K731,'Facility Summary'!$J:$J,0)),INDEX('Raw Annual DMR Data'!$M:$M,MATCH(K731,'Raw Annual DMR Data'!$L:$L,0)))</f>
        <v>Processing into formulation, mixture, or reaction product</v>
      </c>
      <c r="M731" s="28"/>
      <c r="N731" s="28"/>
      <c r="O731" s="28"/>
      <c r="P731" s="28"/>
      <c r="Q731" s="28"/>
      <c r="R731" s="28"/>
      <c r="S731" s="28">
        <v>0.72459863945578196</v>
      </c>
    </row>
    <row r="732" spans="1:19" x14ac:dyDescent="0.25">
      <c r="A732" s="28">
        <v>2015</v>
      </c>
      <c r="B732" s="28"/>
      <c r="C732" s="28" t="s">
        <v>1109</v>
      </c>
      <c r="D732" s="28" t="s">
        <v>1748</v>
      </c>
      <c r="E732" s="28" t="s">
        <v>1110</v>
      </c>
      <c r="F732" s="28" t="s">
        <v>338</v>
      </c>
      <c r="G732" s="28">
        <v>8536</v>
      </c>
      <c r="H732" s="28">
        <v>40.331944</v>
      </c>
      <c r="I732" s="28">
        <v>-74.619721999999996</v>
      </c>
      <c r="J732" s="28"/>
      <c r="K732" s="61">
        <v>110000321651</v>
      </c>
      <c r="L732" s="61" t="str">
        <f>IFERROR(INDEX('Facility Summary'!$K:$K,MATCH(K732,'Facility Summary'!$J:$J,0)),INDEX('Raw Annual DMR Data'!$M:$M,MATCH(K732,'Raw Annual DMR Data'!$L:$L,0)))</f>
        <v>Unknown</v>
      </c>
      <c r="M732" s="28"/>
      <c r="N732" s="28"/>
      <c r="O732" s="28"/>
      <c r="P732" s="28"/>
      <c r="Q732" s="28"/>
      <c r="R732" s="28"/>
      <c r="S732" s="28">
        <v>5.7349999999999996E-3</v>
      </c>
    </row>
    <row r="733" spans="1:19" x14ac:dyDescent="0.25">
      <c r="A733" s="28">
        <v>2016</v>
      </c>
      <c r="B733" s="28"/>
      <c r="C733" s="28" t="s">
        <v>1109</v>
      </c>
      <c r="D733" s="28" t="s">
        <v>1748</v>
      </c>
      <c r="E733" s="28" t="s">
        <v>1110</v>
      </c>
      <c r="F733" s="28" t="s">
        <v>338</v>
      </c>
      <c r="G733" s="28">
        <v>8536</v>
      </c>
      <c r="H733" s="28">
        <v>40.331944</v>
      </c>
      <c r="I733" s="28">
        <v>-74.619721999999996</v>
      </c>
      <c r="J733" s="28"/>
      <c r="K733" s="61">
        <v>110000321651</v>
      </c>
      <c r="L733" s="61" t="str">
        <f>IFERROR(INDEX('Facility Summary'!$K:$K,MATCH(K733,'Facility Summary'!$J:$J,0)),INDEX('Raw Annual DMR Data'!$M:$M,MATCH(K733,'Raw Annual DMR Data'!$L:$L,0)))</f>
        <v>Unknown</v>
      </c>
      <c r="M733" s="28"/>
      <c r="N733" s="28"/>
      <c r="O733" s="28"/>
      <c r="P733" s="28"/>
      <c r="Q733" s="28"/>
      <c r="R733" s="28"/>
      <c r="S733" s="28">
        <v>1.8E-3</v>
      </c>
    </row>
    <row r="734" spans="1:19" x14ac:dyDescent="0.25">
      <c r="A734" s="28">
        <v>2017</v>
      </c>
      <c r="B734" s="28"/>
      <c r="C734" s="28" t="s">
        <v>1109</v>
      </c>
      <c r="D734" s="28" t="s">
        <v>1748</v>
      </c>
      <c r="E734" s="28" t="s">
        <v>1110</v>
      </c>
      <c r="F734" s="28" t="s">
        <v>338</v>
      </c>
      <c r="G734" s="28">
        <v>8536</v>
      </c>
      <c r="H734" s="28">
        <v>40.331944</v>
      </c>
      <c r="I734" s="28">
        <v>-74.619721999999996</v>
      </c>
      <c r="J734" s="28"/>
      <c r="K734" s="61">
        <v>110000321651</v>
      </c>
      <c r="L734" s="61" t="str">
        <f>IFERROR(INDEX('Facility Summary'!$K:$K,MATCH(K734,'Facility Summary'!$J:$J,0)),INDEX('Raw Annual DMR Data'!$M:$M,MATCH(K734,'Raw Annual DMR Data'!$L:$L,0)))</f>
        <v>Unknown</v>
      </c>
      <c r="M734" s="28"/>
      <c r="N734" s="28"/>
      <c r="O734" s="28"/>
      <c r="P734" s="28"/>
      <c r="Q734" s="28"/>
      <c r="R734" s="28"/>
      <c r="S734" s="28">
        <v>1.7049999999999999E-3</v>
      </c>
    </row>
    <row r="735" spans="1:19" x14ac:dyDescent="0.25">
      <c r="A735" s="28">
        <v>2018</v>
      </c>
      <c r="B735" s="28"/>
      <c r="C735" s="28" t="s">
        <v>1109</v>
      </c>
      <c r="D735" s="28" t="s">
        <v>1748</v>
      </c>
      <c r="E735" s="28" t="s">
        <v>1110</v>
      </c>
      <c r="F735" s="28" t="s">
        <v>338</v>
      </c>
      <c r="G735" s="302" t="s">
        <v>1751</v>
      </c>
      <c r="H735" s="28">
        <v>40.331944</v>
      </c>
      <c r="I735" s="28">
        <v>-74.619721999999996</v>
      </c>
      <c r="J735" s="28"/>
      <c r="K735" s="61">
        <v>110000321651</v>
      </c>
      <c r="L735" s="61" t="str">
        <f>IFERROR(INDEX('Facility Summary'!$K:$K,MATCH(K735,'Facility Summary'!$J:$J,0)),INDEX('Raw Annual DMR Data'!$M:$M,MATCH(K735,'Raw Annual DMR Data'!$L:$L,0)))</f>
        <v>Unknown</v>
      </c>
      <c r="M735" s="28"/>
      <c r="N735" s="28"/>
      <c r="O735" s="28"/>
      <c r="P735" s="28"/>
      <c r="Q735" s="28"/>
      <c r="R735" s="28"/>
      <c r="S735" s="28">
        <v>1.5499999999999999E-3</v>
      </c>
    </row>
    <row r="736" spans="1:19" x14ac:dyDescent="0.25">
      <c r="A736" s="28">
        <v>2019</v>
      </c>
      <c r="B736" s="28"/>
      <c r="C736" s="28" t="s">
        <v>1109</v>
      </c>
      <c r="D736" s="28" t="s">
        <v>1748</v>
      </c>
      <c r="E736" s="28" t="s">
        <v>1110</v>
      </c>
      <c r="F736" s="28" t="s">
        <v>338</v>
      </c>
      <c r="G736" s="28">
        <v>8536</v>
      </c>
      <c r="H736" s="28">
        <v>40.331944</v>
      </c>
      <c r="I736" s="28">
        <v>-74.619721999999996</v>
      </c>
      <c r="J736" s="28"/>
      <c r="K736" s="61">
        <v>110000321651</v>
      </c>
      <c r="L736" s="61" t="str">
        <f>IFERROR(INDEX('Facility Summary'!$K:$K,MATCH(K736,'Facility Summary'!$J:$J,0)),INDEX('Raw Annual DMR Data'!$M:$M,MATCH(K736,'Raw Annual DMR Data'!$L:$L,0)))</f>
        <v>Unknown</v>
      </c>
      <c r="M736" s="28"/>
      <c r="N736" s="28"/>
      <c r="O736" s="28"/>
      <c r="P736" s="28"/>
      <c r="Q736" s="28"/>
      <c r="R736" s="28"/>
      <c r="S736" s="28">
        <v>6.9199999999999999E-3</v>
      </c>
    </row>
    <row r="737" spans="1:19" x14ac:dyDescent="0.25">
      <c r="A737" s="28">
        <v>2020</v>
      </c>
      <c r="B737" s="28"/>
      <c r="C737" s="28" t="s">
        <v>1109</v>
      </c>
      <c r="D737" s="28" t="s">
        <v>1748</v>
      </c>
      <c r="E737" s="28" t="s">
        <v>1110</v>
      </c>
      <c r="F737" s="28" t="s">
        <v>338</v>
      </c>
      <c r="G737" s="28">
        <v>8536</v>
      </c>
      <c r="H737" s="28">
        <v>40.331944</v>
      </c>
      <c r="I737" s="28">
        <v>-74.619721999999996</v>
      </c>
      <c r="J737" s="28"/>
      <c r="K737" s="61">
        <v>110000321651</v>
      </c>
      <c r="L737" s="61" t="str">
        <f>IFERROR(INDEX('Facility Summary'!$K:$K,MATCH(K737,'Facility Summary'!$J:$J,0)),INDEX('Raw Annual DMR Data'!$M:$M,MATCH(K737,'Raw Annual DMR Data'!$L:$L,0)))</f>
        <v>Unknown</v>
      </c>
      <c r="M737" s="28"/>
      <c r="N737" s="28"/>
      <c r="O737" s="28"/>
      <c r="P737" s="28"/>
      <c r="Q737" s="28"/>
      <c r="R737" s="28"/>
      <c r="S737" s="28">
        <v>6.9199999999999999E-3</v>
      </c>
    </row>
    <row r="738" spans="1:19" x14ac:dyDescent="0.25">
      <c r="A738" s="28">
        <v>2016</v>
      </c>
      <c r="B738" s="28"/>
      <c r="C738" s="28" t="s">
        <v>1111</v>
      </c>
      <c r="D738" s="28" t="s">
        <v>1753</v>
      </c>
      <c r="E738" s="28" t="s">
        <v>1112</v>
      </c>
      <c r="F738" s="28" t="s">
        <v>338</v>
      </c>
      <c r="G738" s="28">
        <v>7410</v>
      </c>
      <c r="H738" s="28">
        <v>40.9375</v>
      </c>
      <c r="I738" s="28">
        <v>-74.131939000000003</v>
      </c>
      <c r="J738" s="28" t="s">
        <v>715</v>
      </c>
      <c r="K738" s="61">
        <v>110000319904</v>
      </c>
      <c r="L738" s="61" t="str">
        <f>IFERROR(INDEX('Facility Summary'!$K:$K,MATCH(K738,'Facility Summary'!$J:$J,0)),INDEX('Raw Annual DMR Data'!$M:$M,MATCH(K738,'Raw Annual DMR Data'!$L:$L,0)))</f>
        <v>Unknown</v>
      </c>
      <c r="M738" s="28"/>
      <c r="N738" s="28"/>
      <c r="O738" s="28"/>
      <c r="P738" s="28"/>
      <c r="Q738" s="28"/>
      <c r="R738" s="28"/>
      <c r="S738" s="28">
        <v>2.6624901199999999E-2</v>
      </c>
    </row>
    <row r="739" spans="1:19" x14ac:dyDescent="0.25">
      <c r="A739" s="28">
        <v>2017</v>
      </c>
      <c r="B739" s="28"/>
      <c r="C739" s="28" t="s">
        <v>1111</v>
      </c>
      <c r="D739" s="28" t="s">
        <v>1753</v>
      </c>
      <c r="E739" s="28" t="s">
        <v>1112</v>
      </c>
      <c r="F739" s="28" t="s">
        <v>338</v>
      </c>
      <c r="G739" s="28">
        <v>7410</v>
      </c>
      <c r="H739" s="28">
        <v>40.9375</v>
      </c>
      <c r="I739" s="28">
        <v>-74.131939000000003</v>
      </c>
      <c r="J739" s="28" t="s">
        <v>715</v>
      </c>
      <c r="K739" s="61">
        <v>110000319904</v>
      </c>
      <c r="L739" s="61" t="str">
        <f>IFERROR(INDEX('Facility Summary'!$K:$K,MATCH(K739,'Facility Summary'!$J:$J,0)),INDEX('Raw Annual DMR Data'!$M:$M,MATCH(K739,'Raw Annual DMR Data'!$L:$L,0)))</f>
        <v>Unknown</v>
      </c>
      <c r="M739" s="28"/>
      <c r="N739" s="28"/>
      <c r="O739" s="28"/>
      <c r="P739" s="28"/>
      <c r="Q739" s="28"/>
      <c r="R739" s="28"/>
      <c r="S739" s="28">
        <v>8.15005125E-3</v>
      </c>
    </row>
    <row r="740" spans="1:19" x14ac:dyDescent="0.25">
      <c r="A740" s="28">
        <v>2018</v>
      </c>
      <c r="B740" s="28"/>
      <c r="C740" s="28" t="s">
        <v>1111</v>
      </c>
      <c r="D740" s="28" t="s">
        <v>1753</v>
      </c>
      <c r="E740" s="28" t="s">
        <v>1112</v>
      </c>
      <c r="F740" s="28" t="s">
        <v>338</v>
      </c>
      <c r="G740" s="302" t="s">
        <v>1756</v>
      </c>
      <c r="H740" s="28">
        <v>40.9375</v>
      </c>
      <c r="I740" s="28">
        <v>-74.131939000000003</v>
      </c>
      <c r="J740" s="28" t="s">
        <v>715</v>
      </c>
      <c r="K740" s="61">
        <v>110000319904</v>
      </c>
      <c r="L740" s="61" t="str">
        <f>IFERROR(INDEX('Facility Summary'!$K:$K,MATCH(K740,'Facility Summary'!$J:$J,0)),INDEX('Raw Annual DMR Data'!$M:$M,MATCH(K740,'Raw Annual DMR Data'!$L:$L,0)))</f>
        <v>Unknown</v>
      </c>
      <c r="M740" s="28"/>
      <c r="N740" s="28"/>
      <c r="O740" s="28"/>
      <c r="P740" s="28"/>
      <c r="Q740" s="28"/>
      <c r="R740" s="28"/>
      <c r="S740" s="28">
        <v>7.9766414750000007E-3</v>
      </c>
    </row>
    <row r="741" spans="1:19" x14ac:dyDescent="0.25">
      <c r="A741" s="28">
        <v>2019</v>
      </c>
      <c r="B741" s="28"/>
      <c r="C741" s="28" t="s">
        <v>1111</v>
      </c>
      <c r="D741" s="28" t="s">
        <v>1753</v>
      </c>
      <c r="E741" s="28" t="s">
        <v>1112</v>
      </c>
      <c r="F741" s="28" t="s">
        <v>338</v>
      </c>
      <c r="G741" s="28">
        <v>7410</v>
      </c>
      <c r="H741" s="28">
        <v>40.9375</v>
      </c>
      <c r="I741" s="28">
        <v>-74.131939000000003</v>
      </c>
      <c r="J741" s="28" t="s">
        <v>715</v>
      </c>
      <c r="K741" s="61">
        <v>110000319904</v>
      </c>
      <c r="L741" s="61" t="str">
        <f>IFERROR(INDEX('Facility Summary'!$K:$K,MATCH(K741,'Facility Summary'!$J:$J,0)),INDEX('Raw Annual DMR Data'!$M:$M,MATCH(K741,'Raw Annual DMR Data'!$L:$L,0)))</f>
        <v>Unknown</v>
      </c>
      <c r="M741" s="28"/>
      <c r="N741" s="28"/>
      <c r="O741" s="28"/>
      <c r="P741" s="28"/>
      <c r="Q741" s="28"/>
      <c r="R741" s="28"/>
      <c r="S741" s="28">
        <v>8.0880151000000001E-3</v>
      </c>
    </row>
    <row r="742" spans="1:19" x14ac:dyDescent="0.25">
      <c r="A742" s="28">
        <v>2020</v>
      </c>
      <c r="B742" s="28"/>
      <c r="C742" s="28" t="s">
        <v>1111</v>
      </c>
      <c r="D742" s="28" t="s">
        <v>1753</v>
      </c>
      <c r="E742" s="28" t="s">
        <v>1112</v>
      </c>
      <c r="F742" s="28" t="s">
        <v>338</v>
      </c>
      <c r="G742" s="28">
        <v>7410</v>
      </c>
      <c r="H742" s="28">
        <v>40.9375</v>
      </c>
      <c r="I742" s="28">
        <v>-74.131939000000003</v>
      </c>
      <c r="J742" s="28" t="s">
        <v>715</v>
      </c>
      <c r="K742" s="61">
        <v>110000319904</v>
      </c>
      <c r="L742" s="61" t="str">
        <f>IFERROR(INDEX('Facility Summary'!$K:$K,MATCH(K742,'Facility Summary'!$J:$J,0)),INDEX('Raw Annual DMR Data'!$M:$M,MATCH(K742,'Raw Annual DMR Data'!$L:$L,0)))</f>
        <v>Unknown</v>
      </c>
      <c r="M742" s="28"/>
      <c r="N742" s="28"/>
      <c r="O742" s="28"/>
      <c r="P742" s="28"/>
      <c r="Q742" s="28"/>
      <c r="R742" s="28"/>
      <c r="S742" s="28">
        <v>7.6737468499999996E-3</v>
      </c>
    </row>
    <row r="743" spans="1:19" x14ac:dyDescent="0.25">
      <c r="A743" s="28">
        <v>2018</v>
      </c>
      <c r="B743" s="28"/>
      <c r="C743" s="28" t="s">
        <v>1113</v>
      </c>
      <c r="D743" s="28" t="s">
        <v>1758</v>
      </c>
      <c r="E743" s="28" t="s">
        <v>1114</v>
      </c>
      <c r="F743" s="28" t="s">
        <v>324</v>
      </c>
      <c r="G743" s="28">
        <v>41041</v>
      </c>
      <c r="H743" s="28">
        <v>38.421495999999998</v>
      </c>
      <c r="I743" s="28">
        <v>-83.734424000000004</v>
      </c>
      <c r="J743" s="28"/>
      <c r="K743" s="61">
        <v>110003251427</v>
      </c>
      <c r="L743" s="61" t="str">
        <f>IFERROR(INDEX('Facility Summary'!$K:$K,MATCH(K743,'Facility Summary'!$J:$J,0)),INDEX('Raw Annual DMR Data'!$M:$M,MATCH(K743,'Raw Annual DMR Data'!$L:$L,0)))</f>
        <v>POTW</v>
      </c>
      <c r="M743" s="28"/>
      <c r="N743" s="28"/>
      <c r="O743" s="28"/>
      <c r="P743" s="28"/>
      <c r="Q743" s="28"/>
      <c r="R743" s="28"/>
      <c r="S743" s="28">
        <v>0.39028081250000002</v>
      </c>
    </row>
    <row r="744" spans="1:19" x14ac:dyDescent="0.25">
      <c r="A744" s="28">
        <v>2019</v>
      </c>
      <c r="B744" s="28"/>
      <c r="C744" s="28" t="s">
        <v>1113</v>
      </c>
      <c r="D744" s="28" t="s">
        <v>1758</v>
      </c>
      <c r="E744" s="28" t="s">
        <v>1114</v>
      </c>
      <c r="F744" s="28" t="s">
        <v>324</v>
      </c>
      <c r="G744" s="28">
        <v>41041</v>
      </c>
      <c r="H744" s="28">
        <v>38.421495999999998</v>
      </c>
      <c r="I744" s="28">
        <v>-83.734424000000004</v>
      </c>
      <c r="J744" s="28"/>
      <c r="K744" s="61">
        <v>110003251427</v>
      </c>
      <c r="L744" s="61" t="str">
        <f>IFERROR(INDEX('Facility Summary'!$K:$K,MATCH(K744,'Facility Summary'!$J:$J,0)),INDEX('Raw Annual DMR Data'!$M:$M,MATCH(K744,'Raw Annual DMR Data'!$L:$L,0)))</f>
        <v>POTW</v>
      </c>
      <c r="M744" s="28"/>
      <c r="N744" s="28"/>
      <c r="O744" s="28"/>
      <c r="P744" s="28"/>
      <c r="Q744" s="28"/>
      <c r="R744" s="28"/>
      <c r="S744" s="28">
        <v>0.47524460000000002</v>
      </c>
    </row>
    <row r="745" spans="1:19" x14ac:dyDescent="0.25">
      <c r="A745" s="28">
        <v>2020</v>
      </c>
      <c r="B745" s="28"/>
      <c r="C745" s="28" t="s">
        <v>1113</v>
      </c>
      <c r="D745" s="28" t="s">
        <v>1758</v>
      </c>
      <c r="E745" s="28" t="s">
        <v>1114</v>
      </c>
      <c r="F745" s="28" t="s">
        <v>324</v>
      </c>
      <c r="G745" s="28">
        <v>41041</v>
      </c>
      <c r="H745" s="28">
        <v>38.421495999999998</v>
      </c>
      <c r="I745" s="28">
        <v>-83.734424000000004</v>
      </c>
      <c r="J745" s="28"/>
      <c r="K745" s="61">
        <v>110003251427</v>
      </c>
      <c r="L745" s="61" t="str">
        <f>IFERROR(INDEX('Facility Summary'!$K:$K,MATCH(K745,'Facility Summary'!$J:$J,0)),INDEX('Raw Annual DMR Data'!$M:$M,MATCH(K745,'Raw Annual DMR Data'!$L:$L,0)))</f>
        <v>POTW</v>
      </c>
      <c r="M745" s="28"/>
      <c r="N745" s="28"/>
      <c r="O745" s="28"/>
      <c r="P745" s="28"/>
      <c r="Q745" s="28"/>
      <c r="R745" s="28"/>
      <c r="S745" s="28">
        <v>0.27008813749999999</v>
      </c>
    </row>
    <row r="746" spans="1:19" x14ac:dyDescent="0.25">
      <c r="A746" s="28">
        <v>2017</v>
      </c>
      <c r="B746" s="28"/>
      <c r="C746" s="28" t="s">
        <v>1115</v>
      </c>
      <c r="D746" s="28" t="s">
        <v>1762</v>
      </c>
      <c r="E746" s="28" t="s">
        <v>987</v>
      </c>
      <c r="F746" s="28" t="s">
        <v>324</v>
      </c>
      <c r="G746" s="28">
        <v>40245</v>
      </c>
      <c r="H746" s="28">
        <v>38.236699999999999</v>
      </c>
      <c r="I746" s="28">
        <v>-85.466710000000006</v>
      </c>
      <c r="J746" s="28"/>
      <c r="K746" s="61">
        <v>110043486457</v>
      </c>
      <c r="L746" s="61" t="str">
        <f>IFERROR(INDEX('Facility Summary'!$K:$K,MATCH(K746,'Facility Summary'!$J:$J,0)),INDEX('Raw Annual DMR Data'!$M:$M,MATCH(K746,'Raw Annual DMR Data'!$L:$L,0)))</f>
        <v>POTW</v>
      </c>
      <c r="M746" s="28"/>
      <c r="N746" s="28"/>
      <c r="O746" s="28"/>
      <c r="P746" s="28"/>
      <c r="Q746" s="28"/>
      <c r="R746" s="28"/>
      <c r="S746" s="28">
        <v>9.8779037499999998</v>
      </c>
    </row>
    <row r="747" spans="1:19" x14ac:dyDescent="0.25">
      <c r="A747" s="28">
        <v>2018</v>
      </c>
      <c r="B747" s="28"/>
      <c r="C747" s="28" t="s">
        <v>1115</v>
      </c>
      <c r="D747" s="28" t="s">
        <v>1762</v>
      </c>
      <c r="E747" s="28" t="s">
        <v>987</v>
      </c>
      <c r="F747" s="28" t="s">
        <v>324</v>
      </c>
      <c r="G747" s="28">
        <v>40245</v>
      </c>
      <c r="H747" s="28">
        <v>38.236699999999999</v>
      </c>
      <c r="I747" s="28">
        <v>-85.466710000000006</v>
      </c>
      <c r="J747" s="28"/>
      <c r="K747" s="61">
        <v>110043486457</v>
      </c>
      <c r="L747" s="61" t="str">
        <f>IFERROR(INDEX('Facility Summary'!$K:$K,MATCH(K747,'Facility Summary'!$J:$J,0)),INDEX('Raw Annual DMR Data'!$M:$M,MATCH(K747,'Raw Annual DMR Data'!$L:$L,0)))</f>
        <v>POTW</v>
      </c>
      <c r="M747" s="28"/>
      <c r="N747" s="28"/>
      <c r="O747" s="28"/>
      <c r="P747" s="28"/>
      <c r="Q747" s="28"/>
      <c r="R747" s="28"/>
      <c r="S747" s="28">
        <v>16.647376250000001</v>
      </c>
    </row>
    <row r="748" spans="1:19" x14ac:dyDescent="0.25">
      <c r="A748" s="28">
        <v>2019</v>
      </c>
      <c r="B748" s="28"/>
      <c r="C748" s="28" t="s">
        <v>1115</v>
      </c>
      <c r="D748" s="28" t="s">
        <v>1762</v>
      </c>
      <c r="E748" s="28" t="s">
        <v>987</v>
      </c>
      <c r="F748" s="28" t="s">
        <v>324</v>
      </c>
      <c r="G748" s="28">
        <v>40245</v>
      </c>
      <c r="H748" s="28">
        <v>38.236699999999999</v>
      </c>
      <c r="I748" s="28">
        <v>-85.466710000000006</v>
      </c>
      <c r="J748" s="28"/>
      <c r="K748" s="61">
        <v>110043486457</v>
      </c>
      <c r="L748" s="61" t="str">
        <f>IFERROR(INDEX('Facility Summary'!$K:$K,MATCH(K748,'Facility Summary'!$J:$J,0)),INDEX('Raw Annual DMR Data'!$M:$M,MATCH(K748,'Raw Annual DMR Data'!$L:$L,0)))</f>
        <v>POTW</v>
      </c>
      <c r="M748" s="28"/>
      <c r="N748" s="28"/>
      <c r="O748" s="28"/>
      <c r="P748" s="28"/>
      <c r="Q748" s="28"/>
      <c r="R748" s="28"/>
      <c r="S748" s="28">
        <v>15.645770625000001</v>
      </c>
    </row>
    <row r="749" spans="1:19" x14ac:dyDescent="0.25">
      <c r="A749" s="28">
        <v>2020</v>
      </c>
      <c r="B749" s="28"/>
      <c r="C749" s="28" t="s">
        <v>1115</v>
      </c>
      <c r="D749" s="28" t="s">
        <v>1762</v>
      </c>
      <c r="E749" s="28" t="s">
        <v>987</v>
      </c>
      <c r="F749" s="28" t="s">
        <v>324</v>
      </c>
      <c r="G749" s="28">
        <v>40245</v>
      </c>
      <c r="H749" s="28">
        <v>38.236699999999999</v>
      </c>
      <c r="I749" s="28">
        <v>-85.466710000000006</v>
      </c>
      <c r="J749" s="28"/>
      <c r="K749" s="61">
        <v>110043486457</v>
      </c>
      <c r="L749" s="61" t="str">
        <f>IFERROR(INDEX('Facility Summary'!$K:$K,MATCH(K749,'Facility Summary'!$J:$J,0)),INDEX('Raw Annual DMR Data'!$M:$M,MATCH(K749,'Raw Annual DMR Data'!$L:$L,0)))</f>
        <v>POTW</v>
      </c>
      <c r="M749" s="28"/>
      <c r="N749" s="28"/>
      <c r="O749" s="28"/>
      <c r="P749" s="28"/>
      <c r="Q749" s="28"/>
      <c r="R749" s="28"/>
      <c r="S749" s="28">
        <v>12.509708874999999</v>
      </c>
    </row>
    <row r="750" spans="1:19" x14ac:dyDescent="0.25">
      <c r="A750" s="28">
        <v>2015</v>
      </c>
      <c r="B750" s="28"/>
      <c r="C750" s="28" t="s">
        <v>1116</v>
      </c>
      <c r="D750" s="28" t="s">
        <v>1766</v>
      </c>
      <c r="E750" s="28" t="s">
        <v>1117</v>
      </c>
      <c r="F750" s="28" t="s">
        <v>450</v>
      </c>
      <c r="G750" s="28">
        <v>14105</v>
      </c>
      <c r="H750" s="28">
        <v>43.207166999999998</v>
      </c>
      <c r="I750" s="28">
        <v>-78.468874999999997</v>
      </c>
      <c r="J750" s="28" t="s">
        <v>716</v>
      </c>
      <c r="K750" s="61">
        <v>110000326601</v>
      </c>
      <c r="L750" s="61" t="str">
        <f>IFERROR(INDEX('Facility Summary'!$K:$K,MATCH(K750,'Facility Summary'!$J:$J,0)),INDEX('Raw Annual DMR Data'!$M:$M,MATCH(K750,'Raw Annual DMR Data'!$L:$L,0)))</f>
        <v>Unknown</v>
      </c>
      <c r="M750" s="28"/>
      <c r="N750" s="28"/>
      <c r="O750" s="28"/>
      <c r="P750" s="28"/>
      <c r="Q750" s="28"/>
      <c r="R750" s="28"/>
      <c r="S750" s="28">
        <v>8.6343079349999893E-2</v>
      </c>
    </row>
    <row r="751" spans="1:19" x14ac:dyDescent="0.25">
      <c r="A751" s="28">
        <v>2016</v>
      </c>
      <c r="B751" s="28"/>
      <c r="C751" s="28" t="s">
        <v>1116</v>
      </c>
      <c r="D751" s="28" t="s">
        <v>1766</v>
      </c>
      <c r="E751" s="28" t="s">
        <v>1117</v>
      </c>
      <c r="F751" s="28" t="s">
        <v>450</v>
      </c>
      <c r="G751" s="28">
        <v>14105</v>
      </c>
      <c r="H751" s="28">
        <v>43.207166999999998</v>
      </c>
      <c r="I751" s="28">
        <v>-78.468874999999997</v>
      </c>
      <c r="J751" s="28" t="s">
        <v>716</v>
      </c>
      <c r="K751" s="61">
        <v>110000326601</v>
      </c>
      <c r="L751" s="61" t="str">
        <f>IFERROR(INDEX('Facility Summary'!$K:$K,MATCH(K751,'Facility Summary'!$J:$J,0)),INDEX('Raw Annual DMR Data'!$M:$M,MATCH(K751,'Raw Annual DMR Data'!$L:$L,0)))</f>
        <v>Unknown</v>
      </c>
      <c r="M751" s="28"/>
      <c r="N751" s="28"/>
      <c r="O751" s="28"/>
      <c r="P751" s="28"/>
      <c r="Q751" s="28"/>
      <c r="R751" s="28"/>
      <c r="S751" s="28">
        <v>1.72990813349999E-2</v>
      </c>
    </row>
    <row r="752" spans="1:19" x14ac:dyDescent="0.25">
      <c r="A752" s="28">
        <v>2016</v>
      </c>
      <c r="B752" s="28"/>
      <c r="C752" s="28" t="s">
        <v>1118</v>
      </c>
      <c r="D752" s="28" t="s">
        <v>1769</v>
      </c>
      <c r="E752" s="28" t="s">
        <v>1119</v>
      </c>
      <c r="F752" s="28" t="s">
        <v>427</v>
      </c>
      <c r="G752" s="28">
        <v>49128</v>
      </c>
      <c r="H752" s="28">
        <v>41.775967999999999</v>
      </c>
      <c r="I752" s="28">
        <v>-86.654864000000003</v>
      </c>
      <c r="J752" s="28"/>
      <c r="K752" s="61">
        <v>110001847761</v>
      </c>
      <c r="L752" s="61" t="str">
        <f>IFERROR(INDEX('Facility Summary'!$K:$K,MATCH(K752,'Facility Summary'!$J:$J,0)),INDEX('Raw Annual DMR Data'!$M:$M,MATCH(K752,'Raw Annual DMR Data'!$L:$L,0)))</f>
        <v>Waste Handling, Disposal and Treatment (Landfill)</v>
      </c>
      <c r="M752" s="28"/>
      <c r="N752" s="28"/>
      <c r="O752" s="28"/>
      <c r="P752" s="28"/>
      <c r="Q752" s="28"/>
      <c r="R752" s="28"/>
      <c r="S752" s="28">
        <v>2.4640349999999998E-2</v>
      </c>
    </row>
    <row r="753" spans="1:19" x14ac:dyDescent="0.25">
      <c r="A753" s="28">
        <v>2017</v>
      </c>
      <c r="B753" s="28"/>
      <c r="C753" s="28" t="s">
        <v>1118</v>
      </c>
      <c r="D753" s="28" t="s">
        <v>1769</v>
      </c>
      <c r="E753" s="28" t="s">
        <v>1119</v>
      </c>
      <c r="F753" s="28" t="s">
        <v>427</v>
      </c>
      <c r="G753" s="28">
        <v>49128</v>
      </c>
      <c r="H753" s="28">
        <v>41.775967999999999</v>
      </c>
      <c r="I753" s="28">
        <v>-86.654864000000003</v>
      </c>
      <c r="J753" s="28"/>
      <c r="K753" s="61">
        <v>110001847761</v>
      </c>
      <c r="L753" s="61" t="str">
        <f>IFERROR(INDEX('Facility Summary'!$K:$K,MATCH(K753,'Facility Summary'!$J:$J,0)),INDEX('Raw Annual DMR Data'!$M:$M,MATCH(K753,'Raw Annual DMR Data'!$L:$L,0)))</f>
        <v>Waste Handling, Disposal and Treatment (Landfill)</v>
      </c>
      <c r="M753" s="28"/>
      <c r="N753" s="28"/>
      <c r="O753" s="28"/>
      <c r="P753" s="28"/>
      <c r="Q753" s="28"/>
      <c r="R753" s="28"/>
      <c r="S753" s="28">
        <v>2.07474775E-2</v>
      </c>
    </row>
    <row r="754" spans="1:19" x14ac:dyDescent="0.25">
      <c r="A754" s="28">
        <v>2018</v>
      </c>
      <c r="B754" s="28"/>
      <c r="C754" s="28" t="s">
        <v>1118</v>
      </c>
      <c r="D754" s="28" t="s">
        <v>1769</v>
      </c>
      <c r="E754" s="28" t="s">
        <v>1119</v>
      </c>
      <c r="F754" s="28" t="s">
        <v>427</v>
      </c>
      <c r="G754" s="28">
        <v>49128</v>
      </c>
      <c r="H754" s="28">
        <v>41.775967999999999</v>
      </c>
      <c r="I754" s="28">
        <v>-86.654864000000003</v>
      </c>
      <c r="J754" s="28"/>
      <c r="K754" s="61">
        <v>110001847761</v>
      </c>
      <c r="L754" s="61" t="str">
        <f>IFERROR(INDEX('Facility Summary'!$K:$K,MATCH(K754,'Facility Summary'!$J:$J,0)),INDEX('Raw Annual DMR Data'!$M:$M,MATCH(K754,'Raw Annual DMR Data'!$L:$L,0)))</f>
        <v>Waste Handling, Disposal and Treatment (Landfill)</v>
      </c>
      <c r="M754" s="28"/>
      <c r="N754" s="28"/>
      <c r="O754" s="28"/>
      <c r="P754" s="28"/>
      <c r="Q754" s="28"/>
      <c r="R754" s="28"/>
      <c r="S754" s="302">
        <v>2.1287528181818099E-2</v>
      </c>
    </row>
    <row r="755" spans="1:19" x14ac:dyDescent="0.25">
      <c r="A755" s="28">
        <v>2019</v>
      </c>
      <c r="B755" s="28"/>
      <c r="C755" s="28" t="s">
        <v>1118</v>
      </c>
      <c r="D755" s="28" t="s">
        <v>1769</v>
      </c>
      <c r="E755" s="28" t="s">
        <v>1119</v>
      </c>
      <c r="F755" s="28" t="s">
        <v>427</v>
      </c>
      <c r="G755" s="28">
        <v>49128</v>
      </c>
      <c r="H755" s="28">
        <v>41.775967999999999</v>
      </c>
      <c r="I755" s="28">
        <v>-86.654864000000003</v>
      </c>
      <c r="J755" s="28"/>
      <c r="K755" s="61">
        <v>110001847761</v>
      </c>
      <c r="L755" s="61" t="str">
        <f>IFERROR(INDEX('Facility Summary'!$K:$K,MATCH(K755,'Facility Summary'!$J:$J,0)),INDEX('Raw Annual DMR Data'!$M:$M,MATCH(K755,'Raw Annual DMR Data'!$L:$L,0)))</f>
        <v>Waste Handling, Disposal and Treatment (Landfill)</v>
      </c>
      <c r="M755" s="28"/>
      <c r="N755" s="28"/>
      <c r="O755" s="28"/>
      <c r="P755" s="28"/>
      <c r="Q755" s="28"/>
      <c r="R755" s="28"/>
      <c r="S755" s="28">
        <v>3.5931349090908997E-2</v>
      </c>
    </row>
    <row r="756" spans="1:19" x14ac:dyDescent="0.25">
      <c r="A756" s="28">
        <v>2020</v>
      </c>
      <c r="B756" s="28"/>
      <c r="C756" s="28" t="s">
        <v>1118</v>
      </c>
      <c r="D756" s="28" t="s">
        <v>1769</v>
      </c>
      <c r="E756" s="28" t="s">
        <v>1119</v>
      </c>
      <c r="F756" s="28" t="s">
        <v>427</v>
      </c>
      <c r="G756" s="28">
        <v>49128</v>
      </c>
      <c r="H756" s="28">
        <v>41.775967999999999</v>
      </c>
      <c r="I756" s="28">
        <v>-86.654864000000003</v>
      </c>
      <c r="J756" s="28"/>
      <c r="K756" s="61">
        <v>110001847761</v>
      </c>
      <c r="L756" s="61" t="str">
        <f>IFERROR(INDEX('Facility Summary'!$K:$K,MATCH(K756,'Facility Summary'!$J:$J,0)),INDEX('Raw Annual DMR Data'!$M:$M,MATCH(K756,'Raw Annual DMR Data'!$L:$L,0)))</f>
        <v>Waste Handling, Disposal and Treatment (Landfill)</v>
      </c>
      <c r="M756" s="28"/>
      <c r="N756" s="28"/>
      <c r="O756" s="28"/>
      <c r="P756" s="28"/>
      <c r="Q756" s="28"/>
      <c r="R756" s="28"/>
      <c r="S756" s="28">
        <v>5.8307924999999997E-2</v>
      </c>
    </row>
    <row r="757" spans="1:19" x14ac:dyDescent="0.25">
      <c r="A757" s="28">
        <v>2016</v>
      </c>
      <c r="B757" s="28"/>
      <c r="C757" s="28" t="s">
        <v>1120</v>
      </c>
      <c r="D757" s="28" t="s">
        <v>1773</v>
      </c>
      <c r="E757" s="28" t="s">
        <v>1121</v>
      </c>
      <c r="F757" s="28" t="s">
        <v>338</v>
      </c>
      <c r="G757" s="28">
        <v>8832</v>
      </c>
      <c r="H757" s="28">
        <v>40.515906999999999</v>
      </c>
      <c r="I757" s="28">
        <v>-74.325175999999999</v>
      </c>
      <c r="J757" s="28"/>
      <c r="K757" s="61">
        <v>110070215141</v>
      </c>
      <c r="L757" s="61" t="str">
        <f>IFERROR(INDEX('Facility Summary'!$K:$K,MATCH(K757,'Facility Summary'!$J:$J,0)),INDEX('Raw Annual DMR Data'!$M:$M,MATCH(K757,'Raw Annual DMR Data'!$L:$L,0)))</f>
        <v>Unknown</v>
      </c>
      <c r="M757" s="28"/>
      <c r="N757" s="28"/>
      <c r="O757" s="28"/>
      <c r="P757" s="28"/>
      <c r="Q757" s="28"/>
      <c r="R757" s="28"/>
      <c r="S757" s="28">
        <v>8.1320195099999892E-3</v>
      </c>
    </row>
    <row r="758" spans="1:19" x14ac:dyDescent="0.25">
      <c r="A758" s="28">
        <v>2017</v>
      </c>
      <c r="B758" s="28"/>
      <c r="C758" s="28" t="s">
        <v>1120</v>
      </c>
      <c r="D758" s="28" t="s">
        <v>1773</v>
      </c>
      <c r="E758" s="28" t="s">
        <v>1121</v>
      </c>
      <c r="F758" s="28" t="s">
        <v>338</v>
      </c>
      <c r="G758" s="28">
        <v>8832</v>
      </c>
      <c r="H758" s="28">
        <v>40.515906999999999</v>
      </c>
      <c r="I758" s="28">
        <v>-74.325175999999999</v>
      </c>
      <c r="J758" s="28"/>
      <c r="K758" s="61">
        <v>110070215141</v>
      </c>
      <c r="L758" s="61" t="str">
        <f>IFERROR(INDEX('Facility Summary'!$K:$K,MATCH(K758,'Facility Summary'!$J:$J,0)),INDEX('Raw Annual DMR Data'!$M:$M,MATCH(K758,'Raw Annual DMR Data'!$L:$L,0)))</f>
        <v>Unknown</v>
      </c>
      <c r="M758" s="28"/>
      <c r="N758" s="28"/>
      <c r="O758" s="28"/>
      <c r="P758" s="28"/>
      <c r="Q758" s="28"/>
      <c r="R758" s="28"/>
      <c r="S758" s="28">
        <v>4.7552258932499897E-2</v>
      </c>
    </row>
    <row r="759" spans="1:19" x14ac:dyDescent="0.25">
      <c r="A759" s="28">
        <v>2018</v>
      </c>
      <c r="B759" s="28"/>
      <c r="C759" s="28" t="s">
        <v>1120</v>
      </c>
      <c r="D759" s="28" t="s">
        <v>1773</v>
      </c>
      <c r="E759" s="28" t="s">
        <v>1121</v>
      </c>
      <c r="F759" s="28" t="s">
        <v>338</v>
      </c>
      <c r="G759" s="302" t="s">
        <v>1776</v>
      </c>
      <c r="H759" s="28">
        <v>40.515906999999999</v>
      </c>
      <c r="I759" s="28">
        <v>-74.325175999999999</v>
      </c>
      <c r="J759" s="28"/>
      <c r="K759" s="61">
        <v>110070215141</v>
      </c>
      <c r="L759" s="61" t="str">
        <f>IFERROR(INDEX('Facility Summary'!$K:$K,MATCH(K759,'Facility Summary'!$J:$J,0)),INDEX('Raw Annual DMR Data'!$M:$M,MATCH(K759,'Raw Annual DMR Data'!$L:$L,0)))</f>
        <v>Unknown</v>
      </c>
      <c r="M759" s="28"/>
      <c r="N759" s="28"/>
      <c r="O759" s="28"/>
      <c r="P759" s="28"/>
      <c r="Q759" s="28"/>
      <c r="R759" s="28"/>
      <c r="S759" s="302">
        <v>3.04533889574999E-2</v>
      </c>
    </row>
    <row r="760" spans="1:19" x14ac:dyDescent="0.25">
      <c r="A760" s="28">
        <v>2019</v>
      </c>
      <c r="B760" s="28"/>
      <c r="C760" s="28" t="s">
        <v>1120</v>
      </c>
      <c r="D760" s="28" t="s">
        <v>1773</v>
      </c>
      <c r="E760" s="28" t="s">
        <v>1121</v>
      </c>
      <c r="F760" s="28" t="s">
        <v>338</v>
      </c>
      <c r="G760" s="28">
        <v>8832</v>
      </c>
      <c r="H760" s="28">
        <v>40.515906999999999</v>
      </c>
      <c r="I760" s="28">
        <v>-74.325175999999999</v>
      </c>
      <c r="J760" s="28"/>
      <c r="K760" s="61">
        <v>110070215141</v>
      </c>
      <c r="L760" s="61" t="str">
        <f>IFERROR(INDEX('Facility Summary'!$K:$K,MATCH(K760,'Facility Summary'!$J:$J,0)),INDEX('Raw Annual DMR Data'!$M:$M,MATCH(K760,'Raw Annual DMR Data'!$L:$L,0)))</f>
        <v>Unknown</v>
      </c>
      <c r="M760" s="28"/>
      <c r="N760" s="28"/>
      <c r="O760" s="28"/>
      <c r="P760" s="28"/>
      <c r="Q760" s="28"/>
      <c r="R760" s="28"/>
      <c r="S760" s="28">
        <v>3.9682110324999898E-3</v>
      </c>
    </row>
    <row r="761" spans="1:19" x14ac:dyDescent="0.25">
      <c r="A761" s="28">
        <v>2019</v>
      </c>
      <c r="B761" s="28"/>
      <c r="C761" s="28" t="s">
        <v>1120</v>
      </c>
      <c r="D761" s="28" t="s">
        <v>1773</v>
      </c>
      <c r="E761" s="28" t="s">
        <v>1121</v>
      </c>
      <c r="F761" s="28" t="s">
        <v>338</v>
      </c>
      <c r="G761" s="28">
        <v>8832</v>
      </c>
      <c r="H761" s="28">
        <v>40.515906999999999</v>
      </c>
      <c r="I761" s="28">
        <v>-74.325175999999999</v>
      </c>
      <c r="J761" s="28"/>
      <c r="K761" s="61">
        <v>110070215141</v>
      </c>
      <c r="L761" s="61" t="str">
        <f>IFERROR(INDEX('Facility Summary'!$K:$K,MATCH(K761,'Facility Summary'!$J:$J,0)),INDEX('Raw Annual DMR Data'!$M:$M,MATCH(K761,'Raw Annual DMR Data'!$L:$L,0)))</f>
        <v>Unknown</v>
      </c>
      <c r="M761" s="28"/>
      <c r="N761" s="28"/>
      <c r="O761" s="28"/>
      <c r="P761" s="28"/>
      <c r="Q761" s="28"/>
      <c r="R761" s="28"/>
      <c r="S761" s="28">
        <v>2.1165390149866601E-2</v>
      </c>
    </row>
    <row r="762" spans="1:19" x14ac:dyDescent="0.25">
      <c r="A762" s="28">
        <v>2020</v>
      </c>
      <c r="B762" s="28"/>
      <c r="C762" s="28" t="s">
        <v>1120</v>
      </c>
      <c r="D762" s="28" t="s">
        <v>1773</v>
      </c>
      <c r="E762" s="28" t="s">
        <v>1121</v>
      </c>
      <c r="F762" s="28" t="s">
        <v>338</v>
      </c>
      <c r="G762" s="28">
        <v>8832</v>
      </c>
      <c r="H762" s="28">
        <v>40.515906999999999</v>
      </c>
      <c r="I762" s="28">
        <v>-74.325175999999999</v>
      </c>
      <c r="J762" s="28"/>
      <c r="K762" s="61">
        <v>110070215141</v>
      </c>
      <c r="L762" s="61" t="str">
        <f>IFERROR(INDEX('Facility Summary'!$K:$K,MATCH(K762,'Facility Summary'!$J:$J,0)),INDEX('Raw Annual DMR Data'!$M:$M,MATCH(K762,'Raw Annual DMR Data'!$L:$L,0)))</f>
        <v>Unknown</v>
      </c>
      <c r="M762" s="28"/>
      <c r="N762" s="28"/>
      <c r="O762" s="28"/>
      <c r="P762" s="28"/>
      <c r="Q762" s="28"/>
      <c r="R762" s="28"/>
      <c r="S762" s="28">
        <v>2.2810440648714899E-2</v>
      </c>
    </row>
    <row r="763" spans="1:19" x14ac:dyDescent="0.25">
      <c r="A763" s="28">
        <v>2017</v>
      </c>
      <c r="B763" s="28"/>
      <c r="C763" s="28" t="s">
        <v>147</v>
      </c>
      <c r="D763" s="28" t="s">
        <v>473</v>
      </c>
      <c r="E763" s="28" t="s">
        <v>474</v>
      </c>
      <c r="F763" s="28" t="s">
        <v>338</v>
      </c>
      <c r="G763" s="28">
        <v>7470</v>
      </c>
      <c r="H763" s="28">
        <v>40.891950000000001</v>
      </c>
      <c r="I763" s="28">
        <v>-74.249369999999999</v>
      </c>
      <c r="J763" s="28"/>
      <c r="K763" s="61">
        <v>110070213656</v>
      </c>
      <c r="L763" s="61" t="str">
        <f>IFERROR(INDEX('Facility Summary'!$K:$K,MATCH(K763,'Facility Summary'!$J:$J,0)),INDEX('Raw Annual DMR Data'!$M:$M,MATCH(K763,'Raw Annual DMR Data'!$L:$L,0)))</f>
        <v>Unknown</v>
      </c>
      <c r="M763" s="28"/>
      <c r="N763" s="28"/>
      <c r="O763" s="28"/>
      <c r="P763" s="28"/>
      <c r="Q763" s="28"/>
      <c r="R763" s="28"/>
      <c r="S763" s="28">
        <v>5.3701674624999905E-4</v>
      </c>
    </row>
    <row r="764" spans="1:19" x14ac:dyDescent="0.25">
      <c r="A764" s="28">
        <v>2018</v>
      </c>
      <c r="B764" s="28"/>
      <c r="C764" s="28" t="s">
        <v>147</v>
      </c>
      <c r="D764" s="28" t="s">
        <v>473</v>
      </c>
      <c r="E764" s="28" t="s">
        <v>474</v>
      </c>
      <c r="F764" s="28" t="s">
        <v>338</v>
      </c>
      <c r="G764" s="302" t="s">
        <v>1778</v>
      </c>
      <c r="H764" s="28">
        <v>40.891950000000001</v>
      </c>
      <c r="I764" s="28">
        <v>-74.249369999999999</v>
      </c>
      <c r="J764" s="28"/>
      <c r="K764" s="61">
        <v>110070213656</v>
      </c>
      <c r="L764" s="61" t="str">
        <f>IFERROR(INDEX('Facility Summary'!$K:$K,MATCH(K764,'Facility Summary'!$J:$J,0)),INDEX('Raw Annual DMR Data'!$M:$M,MATCH(K764,'Raw Annual DMR Data'!$L:$L,0)))</f>
        <v>Unknown</v>
      </c>
      <c r="M764" s="28"/>
      <c r="N764" s="28"/>
      <c r="O764" s="28"/>
      <c r="P764" s="28"/>
      <c r="Q764" s="28"/>
      <c r="R764" s="28"/>
      <c r="S764" s="302">
        <v>8.9032376732499905E-4</v>
      </c>
    </row>
    <row r="765" spans="1:19" x14ac:dyDescent="0.25">
      <c r="A765" s="28">
        <v>2019</v>
      </c>
      <c r="B765" s="28"/>
      <c r="C765" s="28" t="s">
        <v>147</v>
      </c>
      <c r="D765" s="28" t="s">
        <v>473</v>
      </c>
      <c r="E765" s="28" t="s">
        <v>474</v>
      </c>
      <c r="F765" s="28" t="s">
        <v>338</v>
      </c>
      <c r="G765" s="28">
        <v>7470</v>
      </c>
      <c r="H765" s="28">
        <v>40.891950000000001</v>
      </c>
      <c r="I765" s="28">
        <v>-74.249369999999999</v>
      </c>
      <c r="J765" s="28"/>
      <c r="K765" s="61">
        <v>110070213656</v>
      </c>
      <c r="L765" s="61" t="str">
        <f>IFERROR(INDEX('Facility Summary'!$K:$K,MATCH(K765,'Facility Summary'!$J:$J,0)),INDEX('Raw Annual DMR Data'!$M:$M,MATCH(K765,'Raw Annual DMR Data'!$L:$L,0)))</f>
        <v>Unknown</v>
      </c>
      <c r="M765" s="28"/>
      <c r="N765" s="28"/>
      <c r="O765" s="28"/>
      <c r="P765" s="28"/>
      <c r="Q765" s="28"/>
      <c r="R765" s="28"/>
      <c r="S765" s="28">
        <v>1.13149056842499E-3</v>
      </c>
    </row>
    <row r="766" spans="1:19" x14ac:dyDescent="0.25">
      <c r="A766" s="28">
        <v>2020</v>
      </c>
      <c r="B766" s="28"/>
      <c r="C766" s="28" t="s">
        <v>147</v>
      </c>
      <c r="D766" s="28" t="s">
        <v>473</v>
      </c>
      <c r="E766" s="28" t="s">
        <v>474</v>
      </c>
      <c r="F766" s="28" t="s">
        <v>338</v>
      </c>
      <c r="G766" s="28">
        <v>7470</v>
      </c>
      <c r="H766" s="28">
        <v>40.891950000000001</v>
      </c>
      <c r="I766" s="28">
        <v>-74.249369999999999</v>
      </c>
      <c r="J766" s="28"/>
      <c r="K766" s="61">
        <v>110070213656</v>
      </c>
      <c r="L766" s="61" t="str">
        <f>IFERROR(INDEX('Facility Summary'!$K:$K,MATCH(K766,'Facility Summary'!$J:$J,0)),INDEX('Raw Annual DMR Data'!$M:$M,MATCH(K766,'Raw Annual DMR Data'!$L:$L,0)))</f>
        <v>Unknown</v>
      </c>
      <c r="M766" s="28"/>
      <c r="N766" s="28"/>
      <c r="O766" s="28"/>
      <c r="P766" s="28"/>
      <c r="Q766" s="28"/>
      <c r="R766" s="28"/>
      <c r="S766" s="28">
        <v>1.0203523704249899E-3</v>
      </c>
    </row>
    <row r="767" spans="1:19" x14ac:dyDescent="0.25">
      <c r="A767" s="28">
        <v>2016</v>
      </c>
      <c r="B767" s="28"/>
      <c r="C767" s="28" t="s">
        <v>174</v>
      </c>
      <c r="D767" s="28" t="s">
        <v>568</v>
      </c>
      <c r="E767" s="28" t="s">
        <v>569</v>
      </c>
      <c r="F767" s="28" t="s">
        <v>311</v>
      </c>
      <c r="G767" s="28">
        <v>26146</v>
      </c>
      <c r="H767" s="28">
        <v>39.484572</v>
      </c>
      <c r="I767" s="28">
        <v>-81.093402999999995</v>
      </c>
      <c r="J767" s="28" t="s">
        <v>570</v>
      </c>
      <c r="K767" s="61">
        <v>110000344814</v>
      </c>
      <c r="L767" s="61" t="str">
        <f>IFERROR(INDEX('Facility Summary'!$K:$K,MATCH(K767,'Facility Summary'!$J:$J,0)),INDEX('Raw Annual DMR Data'!$M:$M,MATCH(K767,'Raw Annual DMR Data'!$L:$L,0)))</f>
        <v>Manufacturing</v>
      </c>
      <c r="M767" s="28"/>
      <c r="N767" s="28"/>
      <c r="O767" s="28"/>
      <c r="P767" s="28"/>
      <c r="Q767" s="28"/>
      <c r="R767" s="28"/>
      <c r="S767" s="28">
        <v>2.1282539682539601</v>
      </c>
    </row>
    <row r="768" spans="1:19" x14ac:dyDescent="0.25">
      <c r="A768" s="28">
        <v>2017</v>
      </c>
      <c r="B768" s="28"/>
      <c r="C768" s="28" t="s">
        <v>174</v>
      </c>
      <c r="D768" s="28" t="s">
        <v>568</v>
      </c>
      <c r="E768" s="28" t="s">
        <v>569</v>
      </c>
      <c r="F768" s="28" t="s">
        <v>311</v>
      </c>
      <c r="G768" s="28">
        <v>26146</v>
      </c>
      <c r="H768" s="28">
        <v>39.484572</v>
      </c>
      <c r="I768" s="28">
        <v>-81.093402999999995</v>
      </c>
      <c r="J768" s="28" t="s">
        <v>570</v>
      </c>
      <c r="K768" s="61">
        <v>110000344814</v>
      </c>
      <c r="L768" s="61" t="str">
        <f>IFERROR(INDEX('Facility Summary'!$K:$K,MATCH(K768,'Facility Summary'!$J:$J,0)),INDEX('Raw Annual DMR Data'!$M:$M,MATCH(K768,'Raw Annual DMR Data'!$L:$L,0)))</f>
        <v>Manufacturing</v>
      </c>
      <c r="M768" s="28"/>
      <c r="N768" s="28"/>
      <c r="O768" s="28"/>
      <c r="P768" s="28"/>
      <c r="Q768" s="28"/>
      <c r="R768" s="28"/>
      <c r="S768" s="28">
        <v>1.3446712018140501</v>
      </c>
    </row>
    <row r="769" spans="1:19" x14ac:dyDescent="0.25">
      <c r="A769" s="28">
        <v>2019</v>
      </c>
      <c r="B769" s="28"/>
      <c r="C769" s="28" t="s">
        <v>174</v>
      </c>
      <c r="D769" s="28" t="s">
        <v>568</v>
      </c>
      <c r="E769" s="28" t="s">
        <v>569</v>
      </c>
      <c r="F769" s="28" t="s">
        <v>311</v>
      </c>
      <c r="G769" s="28">
        <v>26146</v>
      </c>
      <c r="H769" s="28">
        <v>39.484572</v>
      </c>
      <c r="I769" s="28">
        <v>-81.093402999999995</v>
      </c>
      <c r="J769" s="28" t="s">
        <v>570</v>
      </c>
      <c r="K769" s="61">
        <v>110000344814</v>
      </c>
      <c r="L769" s="61" t="str">
        <f>IFERROR(INDEX('Facility Summary'!$K:$K,MATCH(K769,'Facility Summary'!$J:$J,0)),INDEX('Raw Annual DMR Data'!$M:$M,MATCH(K769,'Raw Annual DMR Data'!$L:$L,0)))</f>
        <v>Manufacturing</v>
      </c>
      <c r="M769" s="28"/>
      <c r="N769" s="28"/>
      <c r="O769" s="28"/>
      <c r="P769" s="28"/>
      <c r="Q769" s="28"/>
      <c r="R769" s="28"/>
      <c r="S769" s="28">
        <v>1.1286848072562301</v>
      </c>
    </row>
    <row r="770" spans="1:19" x14ac:dyDescent="0.25">
      <c r="A770" s="28">
        <v>2016</v>
      </c>
      <c r="B770" s="28"/>
      <c r="C770" s="28" t="s">
        <v>148</v>
      </c>
      <c r="D770" s="28" t="s">
        <v>476</v>
      </c>
      <c r="E770" s="28" t="s">
        <v>477</v>
      </c>
      <c r="F770" s="28" t="s">
        <v>478</v>
      </c>
      <c r="G770" s="28">
        <v>19706</v>
      </c>
      <c r="H770" s="28">
        <v>39.585099999999997</v>
      </c>
      <c r="I770" s="28">
        <v>-75.649199999999993</v>
      </c>
      <c r="J770" s="28"/>
      <c r="K770" s="61">
        <v>110000338536</v>
      </c>
      <c r="L770" s="61" t="str">
        <f>IFERROR(INDEX('Facility Summary'!$K:$K,MATCH(K770,'Facility Summary'!$J:$J,0)),INDEX('Raw Annual DMR Data'!$M:$M,MATCH(K770,'Raw Annual DMR Data'!$L:$L,0)))</f>
        <v>Processing as a Reactant</v>
      </c>
      <c r="M770" s="28"/>
      <c r="N770" s="28"/>
      <c r="O770" s="28"/>
      <c r="P770" s="28"/>
      <c r="Q770" s="28"/>
      <c r="R770" s="28"/>
      <c r="S770" s="28">
        <v>0.13185941043083799</v>
      </c>
    </row>
    <row r="771" spans="1:19" x14ac:dyDescent="0.25">
      <c r="A771" s="28">
        <v>2017</v>
      </c>
      <c r="B771" s="28"/>
      <c r="C771" s="28" t="s">
        <v>148</v>
      </c>
      <c r="D771" s="28" t="s">
        <v>476</v>
      </c>
      <c r="E771" s="28" t="s">
        <v>477</v>
      </c>
      <c r="F771" s="28" t="s">
        <v>478</v>
      </c>
      <c r="G771" s="28">
        <v>19706</v>
      </c>
      <c r="H771" s="28">
        <v>39.585099999999997</v>
      </c>
      <c r="I771" s="28">
        <v>-75.649199999999993</v>
      </c>
      <c r="J771" s="28"/>
      <c r="K771" s="61">
        <v>110000338536</v>
      </c>
      <c r="L771" s="61" t="str">
        <f>IFERROR(INDEX('Facility Summary'!$K:$K,MATCH(K771,'Facility Summary'!$J:$J,0)),INDEX('Raw Annual DMR Data'!$M:$M,MATCH(K771,'Raw Annual DMR Data'!$L:$L,0)))</f>
        <v>Processing as a Reactant</v>
      </c>
      <c r="M771" s="28"/>
      <c r="N771" s="28"/>
      <c r="O771" s="28"/>
      <c r="P771" s="28"/>
      <c r="Q771" s="28"/>
      <c r="R771" s="28"/>
      <c r="S771" s="28">
        <v>0.137165532879818</v>
      </c>
    </row>
    <row r="772" spans="1:19" x14ac:dyDescent="0.25">
      <c r="A772" s="28">
        <v>2018</v>
      </c>
      <c r="B772" s="28"/>
      <c r="C772" s="28" t="s">
        <v>148</v>
      </c>
      <c r="D772" s="28" t="s">
        <v>476</v>
      </c>
      <c r="E772" s="28" t="s">
        <v>477</v>
      </c>
      <c r="F772" s="28" t="s">
        <v>478</v>
      </c>
      <c r="G772" s="28">
        <v>19706</v>
      </c>
      <c r="H772" s="28">
        <v>39.585099999999997</v>
      </c>
      <c r="I772" s="28">
        <v>-75.649199999999993</v>
      </c>
      <c r="J772" s="28"/>
      <c r="K772" s="61">
        <v>110000338536</v>
      </c>
      <c r="L772" s="61" t="str">
        <f>IFERROR(INDEX('Facility Summary'!$K:$K,MATCH(K772,'Facility Summary'!$J:$J,0)),INDEX('Raw Annual DMR Data'!$M:$M,MATCH(K772,'Raw Annual DMR Data'!$L:$L,0)))</f>
        <v>Processing as a Reactant</v>
      </c>
      <c r="M772" s="28"/>
      <c r="N772" s="28"/>
      <c r="O772" s="28"/>
      <c r="P772" s="28"/>
      <c r="Q772" s="28"/>
      <c r="R772" s="28"/>
      <c r="S772" s="302">
        <v>0.14126984126984099</v>
      </c>
    </row>
    <row r="773" spans="1:19" x14ac:dyDescent="0.25">
      <c r="A773" s="28">
        <v>2019</v>
      </c>
      <c r="B773" s="28"/>
      <c r="C773" s="28" t="s">
        <v>148</v>
      </c>
      <c r="D773" s="28" t="s">
        <v>476</v>
      </c>
      <c r="E773" s="28" t="s">
        <v>477</v>
      </c>
      <c r="F773" s="28" t="s">
        <v>478</v>
      </c>
      <c r="G773" s="28">
        <v>19706</v>
      </c>
      <c r="H773" s="28">
        <v>39.585099999999997</v>
      </c>
      <c r="I773" s="28">
        <v>-75.649199999999993</v>
      </c>
      <c r="J773" s="28"/>
      <c r="K773" s="61">
        <v>110000338536</v>
      </c>
      <c r="L773" s="61" t="str">
        <f>IFERROR(INDEX('Facility Summary'!$K:$K,MATCH(K773,'Facility Summary'!$J:$J,0)),INDEX('Raw Annual DMR Data'!$M:$M,MATCH(K773,'Raw Annual DMR Data'!$L:$L,0)))</f>
        <v>Processing as a Reactant</v>
      </c>
      <c r="M773" s="28"/>
      <c r="N773" s="28"/>
      <c r="O773" s="28"/>
      <c r="P773" s="28"/>
      <c r="Q773" s="28"/>
      <c r="R773" s="28"/>
      <c r="S773" s="28">
        <v>6.9070294784580405E-2</v>
      </c>
    </row>
    <row r="774" spans="1:19" x14ac:dyDescent="0.25">
      <c r="A774" s="28">
        <v>2020</v>
      </c>
      <c r="B774" s="28"/>
      <c r="C774" s="28" t="s">
        <v>148</v>
      </c>
      <c r="D774" s="28" t="s">
        <v>476</v>
      </c>
      <c r="E774" s="28" t="s">
        <v>477</v>
      </c>
      <c r="F774" s="28" t="s">
        <v>478</v>
      </c>
      <c r="G774" s="28">
        <v>19706</v>
      </c>
      <c r="H774" s="28">
        <v>39.585099999999997</v>
      </c>
      <c r="I774" s="28">
        <v>-75.649199999999993</v>
      </c>
      <c r="J774" s="28"/>
      <c r="K774" s="61">
        <v>110000338536</v>
      </c>
      <c r="L774" s="61" t="str">
        <f>IFERROR(INDEX('Facility Summary'!$K:$K,MATCH(K774,'Facility Summary'!$J:$J,0)),INDEX('Raw Annual DMR Data'!$M:$M,MATCH(K774,'Raw Annual DMR Data'!$L:$L,0)))</f>
        <v>Processing as a Reactant</v>
      </c>
      <c r="M774" s="28"/>
      <c r="N774" s="28"/>
      <c r="O774" s="28"/>
      <c r="P774" s="28"/>
      <c r="Q774" s="28"/>
      <c r="R774" s="28"/>
      <c r="S774" s="28">
        <v>2.6836734693877502E-2</v>
      </c>
    </row>
    <row r="775" spans="1:19" x14ac:dyDescent="0.25">
      <c r="A775" s="28">
        <v>2019</v>
      </c>
      <c r="B775" s="28"/>
      <c r="C775" s="28" t="s">
        <v>1124</v>
      </c>
      <c r="D775" s="28" t="s">
        <v>1786</v>
      </c>
      <c r="E775" s="28" t="s">
        <v>1125</v>
      </c>
      <c r="F775" s="28" t="s">
        <v>294</v>
      </c>
      <c r="G775" s="28">
        <v>22046</v>
      </c>
      <c r="H775" s="28">
        <v>38.890925000000003</v>
      </c>
      <c r="I775" s="28">
        <v>-77.184034999999994</v>
      </c>
      <c r="J775" s="28"/>
      <c r="K775" s="61">
        <v>110070548118</v>
      </c>
      <c r="L775" s="61" t="str">
        <f>IFERROR(INDEX('Facility Summary'!$K:$K,MATCH(K775,'Facility Summary'!$J:$J,0)),INDEX('Raw Annual DMR Data'!$M:$M,MATCH(K775,'Raw Annual DMR Data'!$L:$L,0)))</f>
        <v>Unknown</v>
      </c>
      <c r="M775" s="28"/>
      <c r="N775" s="28"/>
      <c r="O775" s="28"/>
      <c r="P775" s="28"/>
      <c r="Q775" s="28"/>
      <c r="R775" s="28"/>
      <c r="S775" s="28">
        <v>8.8746137999999905E-2</v>
      </c>
    </row>
    <row r="776" spans="1:19" x14ac:dyDescent="0.25">
      <c r="A776" s="28">
        <v>2019</v>
      </c>
      <c r="B776" s="28"/>
      <c r="C776" s="28" t="s">
        <v>1124</v>
      </c>
      <c r="D776" s="28" t="s">
        <v>1786</v>
      </c>
      <c r="E776" s="28" t="s">
        <v>1125</v>
      </c>
      <c r="F776" s="28" t="s">
        <v>294</v>
      </c>
      <c r="G776" s="28">
        <v>22046</v>
      </c>
      <c r="H776" s="28">
        <v>38.890925000000003</v>
      </c>
      <c r="I776" s="28">
        <v>-77.184034999999994</v>
      </c>
      <c r="J776" s="28"/>
      <c r="K776" s="61">
        <v>110070548118</v>
      </c>
      <c r="L776" s="61" t="str">
        <f>IFERROR(INDEX('Facility Summary'!$K:$K,MATCH(K776,'Facility Summary'!$J:$J,0)),INDEX('Raw Annual DMR Data'!$M:$M,MATCH(K776,'Raw Annual DMR Data'!$L:$L,0)))</f>
        <v>Unknown</v>
      </c>
      <c r="M776" s="28"/>
      <c r="N776" s="28"/>
      <c r="O776" s="28"/>
      <c r="P776" s="28"/>
      <c r="Q776" s="28"/>
      <c r="R776" s="28"/>
      <c r="S776" s="28">
        <v>0.10015109999999899</v>
      </c>
    </row>
    <row r="777" spans="1:19" x14ac:dyDescent="0.25">
      <c r="A777" s="28">
        <v>2020</v>
      </c>
      <c r="B777" s="28"/>
      <c r="C777" s="28" t="s">
        <v>1124</v>
      </c>
      <c r="D777" s="28" t="s">
        <v>1786</v>
      </c>
      <c r="E777" s="28" t="s">
        <v>1125</v>
      </c>
      <c r="F777" s="28" t="s">
        <v>294</v>
      </c>
      <c r="G777" s="28">
        <v>22046</v>
      </c>
      <c r="H777" s="28">
        <v>38.890925000000003</v>
      </c>
      <c r="I777" s="28">
        <v>-77.184034999999994</v>
      </c>
      <c r="J777" s="28"/>
      <c r="K777" s="61">
        <v>110070548118</v>
      </c>
      <c r="L777" s="61" t="str">
        <f>IFERROR(INDEX('Facility Summary'!$K:$K,MATCH(K777,'Facility Summary'!$J:$J,0)),INDEX('Raw Annual DMR Data'!$M:$M,MATCH(K777,'Raw Annual DMR Data'!$L:$L,0)))</f>
        <v>Unknown</v>
      </c>
      <c r="M777" s="28"/>
      <c r="N777" s="28"/>
      <c r="O777" s="28"/>
      <c r="P777" s="28"/>
      <c r="Q777" s="28"/>
      <c r="R777" s="28"/>
      <c r="S777" s="28">
        <v>3.3792479999999903E-2</v>
      </c>
    </row>
    <row r="778" spans="1:19" x14ac:dyDescent="0.25">
      <c r="A778" s="28">
        <v>2020</v>
      </c>
      <c r="B778" s="28"/>
      <c r="C778" s="28" t="s">
        <v>1124</v>
      </c>
      <c r="D778" s="28" t="s">
        <v>1786</v>
      </c>
      <c r="E778" s="28" t="s">
        <v>1125</v>
      </c>
      <c r="F778" s="28" t="s">
        <v>294</v>
      </c>
      <c r="G778" s="28">
        <v>22046</v>
      </c>
      <c r="H778" s="28">
        <v>38.890925000000003</v>
      </c>
      <c r="I778" s="28">
        <v>-77.184034999999994</v>
      </c>
      <c r="J778" s="28"/>
      <c r="K778" s="61">
        <v>110070548118</v>
      </c>
      <c r="L778" s="61" t="str">
        <f>IFERROR(INDEX('Facility Summary'!$K:$K,MATCH(K778,'Facility Summary'!$J:$J,0)),INDEX('Raw Annual DMR Data'!$M:$M,MATCH(K778,'Raw Annual DMR Data'!$L:$L,0)))</f>
        <v>Unknown</v>
      </c>
      <c r="M778" s="28"/>
      <c r="N778" s="28"/>
      <c r="O778" s="28"/>
      <c r="P778" s="28"/>
      <c r="Q778" s="28"/>
      <c r="R778" s="28"/>
      <c r="S778" s="28">
        <v>3.3792479999999903E-2</v>
      </c>
    </row>
    <row r="779" spans="1:19" x14ac:dyDescent="0.25">
      <c r="A779" s="28">
        <v>2019</v>
      </c>
      <c r="B779" s="28"/>
      <c r="C779" s="28" t="s">
        <v>1126</v>
      </c>
      <c r="D779" s="28" t="s">
        <v>1789</v>
      </c>
      <c r="E779" s="28" t="s">
        <v>1127</v>
      </c>
      <c r="F779" s="28" t="s">
        <v>1128</v>
      </c>
      <c r="G779" s="28">
        <v>80537</v>
      </c>
      <c r="H779" s="28">
        <v>40.393799999999999</v>
      </c>
      <c r="I779" s="28">
        <v>-105.074</v>
      </c>
      <c r="J779" s="28"/>
      <c r="K779" s="61">
        <v>110070053140</v>
      </c>
      <c r="L779" s="61" t="str">
        <f>IFERROR(INDEX('Facility Summary'!$K:$K,MATCH(K779,'Facility Summary'!$J:$J,0)),INDEX('Raw Annual DMR Data'!$M:$M,MATCH(K779,'Raw Annual DMR Data'!$L:$L,0)))</f>
        <v>Unknown</v>
      </c>
      <c r="M779" s="28"/>
      <c r="N779" s="28"/>
      <c r="O779" s="28"/>
      <c r="P779" s="28"/>
      <c r="Q779" s="28"/>
      <c r="R779" s="28"/>
      <c r="S779" s="28">
        <v>5.0143680000000003E-2</v>
      </c>
    </row>
    <row r="780" spans="1:19" x14ac:dyDescent="0.25">
      <c r="A780" s="28">
        <v>2020</v>
      </c>
      <c r="B780" s="28"/>
      <c r="C780" s="28" t="s">
        <v>1126</v>
      </c>
      <c r="D780" s="28" t="s">
        <v>1789</v>
      </c>
      <c r="E780" s="28" t="s">
        <v>1127</v>
      </c>
      <c r="F780" s="28" t="s">
        <v>1128</v>
      </c>
      <c r="G780" s="28">
        <v>80537</v>
      </c>
      <c r="H780" s="28">
        <v>40.393799999999999</v>
      </c>
      <c r="I780" s="28">
        <v>-105.074</v>
      </c>
      <c r="J780" s="28"/>
      <c r="K780" s="61">
        <v>110070053140</v>
      </c>
      <c r="L780" s="61" t="str">
        <f>IFERROR(INDEX('Facility Summary'!$K:$K,MATCH(K780,'Facility Summary'!$J:$J,0)),INDEX('Raw Annual DMR Data'!$M:$M,MATCH(K780,'Raw Annual DMR Data'!$L:$L,0)))</f>
        <v>Unknown</v>
      </c>
      <c r="M780" s="28"/>
      <c r="N780" s="28"/>
      <c r="O780" s="28"/>
      <c r="P780" s="28"/>
      <c r="Q780" s="28"/>
      <c r="R780" s="28"/>
      <c r="S780" s="28">
        <v>5.4609980000000002E-2</v>
      </c>
    </row>
    <row r="781" spans="1:19" x14ac:dyDescent="0.25">
      <c r="A781" s="28">
        <v>2017</v>
      </c>
      <c r="B781" s="28"/>
      <c r="C781" s="28" t="s">
        <v>1129</v>
      </c>
      <c r="D781" s="28" t="s">
        <v>1792</v>
      </c>
      <c r="E781" s="28" t="s">
        <v>1130</v>
      </c>
      <c r="F781" s="28" t="s">
        <v>366</v>
      </c>
      <c r="G781" s="28">
        <v>93420</v>
      </c>
      <c r="H781" s="28">
        <v>35.178620000000002</v>
      </c>
      <c r="I781" s="28">
        <v>-120.62067500000001</v>
      </c>
      <c r="J781" s="28"/>
      <c r="K781" s="61">
        <v>110037256867</v>
      </c>
      <c r="L781" s="61" t="str">
        <f>IFERROR(INDEX('Facility Summary'!$K:$K,MATCH(K781,'Facility Summary'!$J:$J,0)),INDEX('Raw Annual DMR Data'!$M:$M,MATCH(K781,'Raw Annual DMR Data'!$L:$L,0)))</f>
        <v>Waste Handling, Disposal and Treatment (Landfill)</v>
      </c>
      <c r="M781" s="28"/>
      <c r="N781" s="28"/>
      <c r="O781" s="28"/>
      <c r="P781" s="28"/>
      <c r="Q781" s="28"/>
      <c r="R781" s="28"/>
      <c r="S781" s="28">
        <v>5.2898592250000001E-2</v>
      </c>
    </row>
    <row r="782" spans="1:19" x14ac:dyDescent="0.25">
      <c r="A782" s="28">
        <v>2018</v>
      </c>
      <c r="B782" s="28"/>
      <c r="C782" s="28" t="s">
        <v>1129</v>
      </c>
      <c r="D782" s="28" t="s">
        <v>1792</v>
      </c>
      <c r="E782" s="28" t="s">
        <v>1130</v>
      </c>
      <c r="F782" s="28" t="s">
        <v>366</v>
      </c>
      <c r="G782" s="28">
        <v>93420</v>
      </c>
      <c r="H782" s="28">
        <v>35.178620000000002</v>
      </c>
      <c r="I782" s="28">
        <v>-120.62067500000001</v>
      </c>
      <c r="J782" s="28"/>
      <c r="K782" s="61">
        <v>110037256867</v>
      </c>
      <c r="L782" s="61" t="str">
        <f>IFERROR(INDEX('Facility Summary'!$K:$K,MATCH(K782,'Facility Summary'!$J:$J,0)),INDEX('Raw Annual DMR Data'!$M:$M,MATCH(K782,'Raw Annual DMR Data'!$L:$L,0)))</f>
        <v>Waste Handling, Disposal and Treatment (Landfill)</v>
      </c>
      <c r="M782" s="28"/>
      <c r="N782" s="28"/>
      <c r="O782" s="28"/>
      <c r="P782" s="28"/>
      <c r="Q782" s="28"/>
      <c r="R782" s="28"/>
      <c r="S782" s="28">
        <v>2.5715637273750001E-2</v>
      </c>
    </row>
    <row r="783" spans="1:19" x14ac:dyDescent="0.25">
      <c r="A783" s="28">
        <v>2019</v>
      </c>
      <c r="B783" s="28"/>
      <c r="C783" s="28" t="s">
        <v>1129</v>
      </c>
      <c r="D783" s="28" t="s">
        <v>1792</v>
      </c>
      <c r="E783" s="28" t="s">
        <v>1130</v>
      </c>
      <c r="F783" s="28" t="s">
        <v>366</v>
      </c>
      <c r="G783" s="28">
        <v>93420</v>
      </c>
      <c r="H783" s="28">
        <v>35.178620000000002</v>
      </c>
      <c r="I783" s="28">
        <v>-120.62067500000001</v>
      </c>
      <c r="J783" s="28"/>
      <c r="K783" s="61">
        <v>110037256867</v>
      </c>
      <c r="L783" s="61" t="str">
        <f>IFERROR(INDEX('Facility Summary'!$K:$K,MATCH(K783,'Facility Summary'!$J:$J,0)),INDEX('Raw Annual DMR Data'!$M:$M,MATCH(K783,'Raw Annual DMR Data'!$L:$L,0)))</f>
        <v>Waste Handling, Disposal and Treatment (Landfill)</v>
      </c>
      <c r="M783" s="28"/>
      <c r="N783" s="28"/>
      <c r="O783" s="28"/>
      <c r="P783" s="28"/>
      <c r="Q783" s="28"/>
      <c r="R783" s="28"/>
      <c r="S783" s="28">
        <v>2.8633487150000001E-2</v>
      </c>
    </row>
    <row r="784" spans="1:19" x14ac:dyDescent="0.25">
      <c r="A784" s="28">
        <v>2020</v>
      </c>
      <c r="B784" s="28"/>
      <c r="C784" s="28" t="s">
        <v>1129</v>
      </c>
      <c r="D784" s="28" t="s">
        <v>1792</v>
      </c>
      <c r="E784" s="28" t="s">
        <v>1130</v>
      </c>
      <c r="F784" s="28" t="s">
        <v>366</v>
      </c>
      <c r="G784" s="28">
        <v>93420</v>
      </c>
      <c r="H784" s="28">
        <v>35.178620000000002</v>
      </c>
      <c r="I784" s="28">
        <v>-120.62067500000001</v>
      </c>
      <c r="J784" s="28"/>
      <c r="K784" s="61">
        <v>110037256867</v>
      </c>
      <c r="L784" s="61" t="str">
        <f>IFERROR(INDEX('Facility Summary'!$K:$K,MATCH(K784,'Facility Summary'!$J:$J,0)),INDEX('Raw Annual DMR Data'!$M:$M,MATCH(K784,'Raw Annual DMR Data'!$L:$L,0)))</f>
        <v>Waste Handling, Disposal and Treatment (Landfill)</v>
      </c>
      <c r="M784" s="28"/>
      <c r="N784" s="28"/>
      <c r="O784" s="28"/>
      <c r="P784" s="28"/>
      <c r="Q784" s="28"/>
      <c r="R784" s="28"/>
      <c r="S784" s="28">
        <v>2.6821617112500001E-2</v>
      </c>
    </row>
    <row r="785" spans="1:19" x14ac:dyDescent="0.25">
      <c r="A785" s="28">
        <v>2015</v>
      </c>
      <c r="B785" s="28"/>
      <c r="C785" s="28" t="s">
        <v>1131</v>
      </c>
      <c r="D785" s="28" t="s">
        <v>1795</v>
      </c>
      <c r="E785" s="28" t="s">
        <v>962</v>
      </c>
      <c r="F785" s="28" t="s">
        <v>374</v>
      </c>
      <c r="G785" s="28">
        <v>85001</v>
      </c>
      <c r="H785" s="28">
        <v>33.460380000000001</v>
      </c>
      <c r="I785" s="28">
        <v>-112.00823</v>
      </c>
      <c r="J785" s="28"/>
      <c r="K785" s="61">
        <v>110043452019</v>
      </c>
      <c r="L785" s="61" t="str">
        <f>IFERROR(INDEX('Facility Summary'!$K:$K,MATCH(K785,'Facility Summary'!$J:$J,0)),INDEX('Raw Annual DMR Data'!$M:$M,MATCH(K785,'Raw Annual DMR Data'!$L:$L,0)))</f>
        <v>Unknown</v>
      </c>
      <c r="M785" s="28"/>
      <c r="N785" s="28"/>
      <c r="O785" s="28"/>
      <c r="P785" s="28"/>
      <c r="Q785" s="28"/>
      <c r="R785" s="28"/>
      <c r="S785" s="28">
        <v>0.25314609900000001</v>
      </c>
    </row>
    <row r="786" spans="1:19" x14ac:dyDescent="0.25">
      <c r="A786" s="28">
        <v>2016</v>
      </c>
      <c r="B786" s="28"/>
      <c r="C786" s="28" t="s">
        <v>1131</v>
      </c>
      <c r="D786" s="28" t="s">
        <v>1795</v>
      </c>
      <c r="E786" s="28" t="s">
        <v>962</v>
      </c>
      <c r="F786" s="28" t="s">
        <v>374</v>
      </c>
      <c r="G786" s="28">
        <v>85001</v>
      </c>
      <c r="H786" s="28">
        <v>33.460380000000001</v>
      </c>
      <c r="I786" s="28">
        <v>-112.00823</v>
      </c>
      <c r="J786" s="28"/>
      <c r="K786" s="61">
        <v>110043452019</v>
      </c>
      <c r="L786" s="61" t="str">
        <f>IFERROR(INDEX('Facility Summary'!$K:$K,MATCH(K786,'Facility Summary'!$J:$J,0)),INDEX('Raw Annual DMR Data'!$M:$M,MATCH(K786,'Raw Annual DMR Data'!$L:$L,0)))</f>
        <v>Unknown</v>
      </c>
      <c r="M786" s="28"/>
      <c r="N786" s="28"/>
      <c r="O786" s="28"/>
      <c r="P786" s="28"/>
      <c r="Q786" s="28"/>
      <c r="R786" s="28"/>
      <c r="S786" s="28">
        <v>0.33233473349999998</v>
      </c>
    </row>
    <row r="787" spans="1:19" x14ac:dyDescent="0.25">
      <c r="A787" s="28">
        <v>2019</v>
      </c>
      <c r="B787" s="28"/>
      <c r="C787" s="28" t="s">
        <v>1132</v>
      </c>
      <c r="D787" s="28" t="s">
        <v>1797</v>
      </c>
      <c r="E787" s="28" t="s">
        <v>1133</v>
      </c>
      <c r="F787" s="28" t="s">
        <v>999</v>
      </c>
      <c r="G787" s="28" t="s">
        <v>1798</v>
      </c>
      <c r="H787" s="28">
        <v>43.585476</v>
      </c>
      <c r="I787" s="28">
        <v>-71.750524999999996</v>
      </c>
      <c r="J787" s="28" t="s">
        <v>717</v>
      </c>
      <c r="K787" s="61">
        <v>110007681758</v>
      </c>
      <c r="L787" s="61" t="str">
        <f>IFERROR(INDEX('Facility Summary'!$K:$K,MATCH(K787,'Facility Summary'!$J:$J,0)),INDEX('Raw Annual DMR Data'!$M:$M,MATCH(K787,'Raw Annual DMR Data'!$L:$L,0)))</f>
        <v>Unknown</v>
      </c>
      <c r="M787" s="28"/>
      <c r="N787" s="28"/>
      <c r="O787" s="28"/>
      <c r="P787" s="28"/>
      <c r="Q787" s="28"/>
      <c r="R787" s="28"/>
      <c r="S787" s="28">
        <v>6.1684901999999996E-3</v>
      </c>
    </row>
    <row r="788" spans="1:19" x14ac:dyDescent="0.25">
      <c r="A788" s="28">
        <v>2020</v>
      </c>
      <c r="B788" s="28"/>
      <c r="C788" s="28" t="s">
        <v>1132</v>
      </c>
      <c r="D788" s="28" t="s">
        <v>1797</v>
      </c>
      <c r="E788" s="28" t="s">
        <v>1133</v>
      </c>
      <c r="F788" s="28" t="s">
        <v>999</v>
      </c>
      <c r="G788" s="28" t="s">
        <v>1798</v>
      </c>
      <c r="H788" s="28">
        <v>43.585476</v>
      </c>
      <c r="I788" s="28">
        <v>-71.750524999999996</v>
      </c>
      <c r="J788" s="28" t="s">
        <v>717</v>
      </c>
      <c r="K788" s="61">
        <v>110007681758</v>
      </c>
      <c r="L788" s="61" t="str">
        <f>IFERROR(INDEX('Facility Summary'!$K:$K,MATCH(K788,'Facility Summary'!$J:$J,0)),INDEX('Raw Annual DMR Data'!$M:$M,MATCH(K788,'Raw Annual DMR Data'!$L:$L,0)))</f>
        <v>Unknown</v>
      </c>
      <c r="M788" s="28"/>
      <c r="N788" s="28"/>
      <c r="O788" s="28"/>
      <c r="P788" s="28"/>
      <c r="Q788" s="28"/>
      <c r="R788" s="28"/>
      <c r="S788" s="28">
        <v>5.844399575E-3</v>
      </c>
    </row>
    <row r="789" spans="1:19" x14ac:dyDescent="0.25">
      <c r="A789" s="28">
        <v>2015</v>
      </c>
      <c r="B789" s="28"/>
      <c r="C789" s="28" t="s">
        <v>1134</v>
      </c>
      <c r="D789" s="28" t="s">
        <v>1800</v>
      </c>
      <c r="E789" s="28" t="s">
        <v>1135</v>
      </c>
      <c r="F789" s="28" t="s">
        <v>299</v>
      </c>
      <c r="G789" s="28">
        <v>72501</v>
      </c>
      <c r="H789" s="28">
        <v>35.722341999999998</v>
      </c>
      <c r="I789" s="28">
        <v>-91.524983000000006</v>
      </c>
      <c r="J789" s="28" t="s">
        <v>718</v>
      </c>
      <c r="K789" s="61">
        <v>110017432937</v>
      </c>
      <c r="L789" s="61" t="str">
        <f>IFERROR(INDEX('Facility Summary'!$K:$K,MATCH(K789,'Facility Summary'!$J:$J,0)),INDEX('Raw Annual DMR Data'!$M:$M,MATCH(K789,'Raw Annual DMR Data'!$L:$L,0)))</f>
        <v>Unknown</v>
      </c>
      <c r="M789" s="28"/>
      <c r="N789" s="28"/>
      <c r="O789" s="28"/>
      <c r="P789" s="28"/>
      <c r="Q789" s="28"/>
      <c r="R789" s="28"/>
      <c r="S789" s="28">
        <v>7.0317460317460299</v>
      </c>
    </row>
    <row r="790" spans="1:19" x14ac:dyDescent="0.25">
      <c r="A790" s="28">
        <v>2016</v>
      </c>
      <c r="B790" s="28"/>
      <c r="C790" s="28" t="s">
        <v>1134</v>
      </c>
      <c r="D790" s="28" t="s">
        <v>1800</v>
      </c>
      <c r="E790" s="28" t="s">
        <v>1135</v>
      </c>
      <c r="F790" s="28" t="s">
        <v>299</v>
      </c>
      <c r="G790" s="28">
        <v>72501</v>
      </c>
      <c r="H790" s="28">
        <v>35.722341999999998</v>
      </c>
      <c r="I790" s="28">
        <v>-91.524983000000006</v>
      </c>
      <c r="J790" s="28" t="s">
        <v>718</v>
      </c>
      <c r="K790" s="61">
        <v>110017432937</v>
      </c>
      <c r="L790" s="61" t="str">
        <f>IFERROR(INDEX('Facility Summary'!$K:$K,MATCH(K790,'Facility Summary'!$J:$J,0)),INDEX('Raw Annual DMR Data'!$M:$M,MATCH(K790,'Raw Annual DMR Data'!$L:$L,0)))</f>
        <v>Unknown</v>
      </c>
      <c r="M790" s="28"/>
      <c r="N790" s="28"/>
      <c r="O790" s="28"/>
      <c r="P790" s="28"/>
      <c r="Q790" s="28"/>
      <c r="R790" s="28"/>
      <c r="S790" s="28">
        <v>7.0249433106575898</v>
      </c>
    </row>
    <row r="791" spans="1:19" x14ac:dyDescent="0.25">
      <c r="A791" s="28">
        <v>2017</v>
      </c>
      <c r="B791" s="28"/>
      <c r="C791" s="28" t="s">
        <v>1134</v>
      </c>
      <c r="D791" s="28" t="s">
        <v>1800</v>
      </c>
      <c r="E791" s="28" t="s">
        <v>1135</v>
      </c>
      <c r="F791" s="28" t="s">
        <v>299</v>
      </c>
      <c r="G791" s="28">
        <v>72501</v>
      </c>
      <c r="H791" s="28">
        <v>35.722341999999998</v>
      </c>
      <c r="I791" s="28">
        <v>-91.524983000000006</v>
      </c>
      <c r="J791" s="28" t="s">
        <v>718</v>
      </c>
      <c r="K791" s="61">
        <v>110017432937</v>
      </c>
      <c r="L791" s="61" t="str">
        <f>IFERROR(INDEX('Facility Summary'!$K:$K,MATCH(K791,'Facility Summary'!$J:$J,0)),INDEX('Raw Annual DMR Data'!$M:$M,MATCH(K791,'Raw Annual DMR Data'!$L:$L,0)))</f>
        <v>Unknown</v>
      </c>
      <c r="M791" s="28"/>
      <c r="N791" s="28"/>
      <c r="O791" s="28"/>
      <c r="P791" s="28"/>
      <c r="Q791" s="28"/>
      <c r="R791" s="28"/>
      <c r="S791" s="28">
        <v>5.3696145124716503</v>
      </c>
    </row>
    <row r="792" spans="1:19" x14ac:dyDescent="0.25">
      <c r="A792" s="28">
        <v>2018</v>
      </c>
      <c r="B792" s="28"/>
      <c r="C792" s="28" t="s">
        <v>1134</v>
      </c>
      <c r="D792" s="28" t="s">
        <v>1800</v>
      </c>
      <c r="E792" s="28" t="s">
        <v>1135</v>
      </c>
      <c r="F792" s="28" t="s">
        <v>299</v>
      </c>
      <c r="G792" s="28">
        <v>72501</v>
      </c>
      <c r="H792" s="28">
        <v>35.722341999999998</v>
      </c>
      <c r="I792" s="28">
        <v>-91.524983000000006</v>
      </c>
      <c r="J792" s="28" t="s">
        <v>718</v>
      </c>
      <c r="K792" s="61">
        <v>110017432937</v>
      </c>
      <c r="L792" s="61" t="str">
        <f>IFERROR(INDEX('Facility Summary'!$K:$K,MATCH(K792,'Facility Summary'!$J:$J,0)),INDEX('Raw Annual DMR Data'!$M:$M,MATCH(K792,'Raw Annual DMR Data'!$L:$L,0)))</f>
        <v>Unknown</v>
      </c>
      <c r="M792" s="28"/>
      <c r="N792" s="28"/>
      <c r="O792" s="28"/>
      <c r="P792" s="28"/>
      <c r="Q792" s="28"/>
      <c r="R792" s="28"/>
      <c r="S792" s="302">
        <v>4.55555555555555</v>
      </c>
    </row>
    <row r="793" spans="1:19" x14ac:dyDescent="0.25">
      <c r="A793" s="28">
        <v>2019</v>
      </c>
      <c r="B793" s="28"/>
      <c r="C793" s="28" t="s">
        <v>1134</v>
      </c>
      <c r="D793" s="28" t="s">
        <v>1800</v>
      </c>
      <c r="E793" s="28" t="s">
        <v>1135</v>
      </c>
      <c r="F793" s="28" t="s">
        <v>299</v>
      </c>
      <c r="G793" s="28">
        <v>72501</v>
      </c>
      <c r="H793" s="28">
        <v>35.722341999999998</v>
      </c>
      <c r="I793" s="28">
        <v>-91.524983000000006</v>
      </c>
      <c r="J793" s="28" t="s">
        <v>718</v>
      </c>
      <c r="K793" s="61">
        <v>110017432937</v>
      </c>
      <c r="L793" s="61" t="str">
        <f>IFERROR(INDEX('Facility Summary'!$K:$K,MATCH(K793,'Facility Summary'!$J:$J,0)),INDEX('Raw Annual DMR Data'!$M:$M,MATCH(K793,'Raw Annual DMR Data'!$L:$L,0)))</f>
        <v>Unknown</v>
      </c>
      <c r="M793" s="28"/>
      <c r="N793" s="28"/>
      <c r="O793" s="28"/>
      <c r="P793" s="28"/>
      <c r="Q793" s="28"/>
      <c r="R793" s="28"/>
      <c r="S793" s="28">
        <v>5.8004535147392202</v>
      </c>
    </row>
    <row r="794" spans="1:19" x14ac:dyDescent="0.25">
      <c r="A794" s="28">
        <v>2020</v>
      </c>
      <c r="B794" s="28"/>
      <c r="C794" s="28" t="s">
        <v>1134</v>
      </c>
      <c r="D794" s="28" t="s">
        <v>1800</v>
      </c>
      <c r="E794" s="28" t="s">
        <v>1135</v>
      </c>
      <c r="F794" s="28" t="s">
        <v>299</v>
      </c>
      <c r="G794" s="28">
        <v>72501</v>
      </c>
      <c r="H794" s="28">
        <v>35.722341999999998</v>
      </c>
      <c r="I794" s="28">
        <v>-91.524983000000006</v>
      </c>
      <c r="J794" s="28" t="s">
        <v>718</v>
      </c>
      <c r="K794" s="61">
        <v>110017432937</v>
      </c>
      <c r="L794" s="61" t="str">
        <f>IFERROR(INDEX('Facility Summary'!$K:$K,MATCH(K794,'Facility Summary'!$J:$J,0)),INDEX('Raw Annual DMR Data'!$M:$M,MATCH(K794,'Raw Annual DMR Data'!$L:$L,0)))</f>
        <v>Unknown</v>
      </c>
      <c r="M794" s="28"/>
      <c r="N794" s="28"/>
      <c r="O794" s="28"/>
      <c r="P794" s="28"/>
      <c r="Q794" s="28"/>
      <c r="R794" s="28"/>
      <c r="S794" s="28">
        <v>4.9523809523809499</v>
      </c>
    </row>
    <row r="795" spans="1:19" x14ac:dyDescent="0.25">
      <c r="A795" s="28">
        <v>2015</v>
      </c>
      <c r="B795" s="28"/>
      <c r="C795" s="28" t="s">
        <v>1136</v>
      </c>
      <c r="D795" s="28" t="s">
        <v>1803</v>
      </c>
      <c r="E795" s="28" t="s">
        <v>1137</v>
      </c>
      <c r="F795" s="28" t="s">
        <v>427</v>
      </c>
      <c r="G795" s="28">
        <v>49022</v>
      </c>
      <c r="H795" s="28">
        <v>42.076250000000002</v>
      </c>
      <c r="I795" s="28">
        <v>-86.43656</v>
      </c>
      <c r="J795" s="28" t="s">
        <v>719</v>
      </c>
      <c r="K795" s="61">
        <v>110000593206</v>
      </c>
      <c r="L795" s="61" t="str">
        <f>IFERROR(INDEX('Facility Summary'!$K:$K,MATCH(K795,'Facility Summary'!$J:$J,0)),INDEX('Raw Annual DMR Data'!$M:$M,MATCH(K795,'Raw Annual DMR Data'!$L:$L,0)))</f>
        <v>Unknown</v>
      </c>
      <c r="M795" s="28"/>
      <c r="N795" s="28"/>
      <c r="O795" s="28"/>
      <c r="P795" s="28"/>
      <c r="Q795" s="28"/>
      <c r="R795" s="28"/>
      <c r="S795" s="28">
        <v>4.0128570000000002E-2</v>
      </c>
    </row>
    <row r="796" spans="1:19" x14ac:dyDescent="0.25">
      <c r="A796" s="28">
        <v>2016</v>
      </c>
      <c r="B796" s="28"/>
      <c r="C796" s="28" t="s">
        <v>1136</v>
      </c>
      <c r="D796" s="28" t="s">
        <v>1803</v>
      </c>
      <c r="E796" s="28" t="s">
        <v>1137</v>
      </c>
      <c r="F796" s="28" t="s">
        <v>427</v>
      </c>
      <c r="G796" s="28">
        <v>49022</v>
      </c>
      <c r="H796" s="28">
        <v>42.076250000000002</v>
      </c>
      <c r="I796" s="28">
        <v>-86.43656</v>
      </c>
      <c r="J796" s="28" t="s">
        <v>719</v>
      </c>
      <c r="K796" s="61">
        <v>110000593206</v>
      </c>
      <c r="L796" s="61" t="str">
        <f>IFERROR(INDEX('Facility Summary'!$K:$K,MATCH(K796,'Facility Summary'!$J:$J,0)),INDEX('Raw Annual DMR Data'!$M:$M,MATCH(K796,'Raw Annual DMR Data'!$L:$L,0)))</f>
        <v>Unknown</v>
      </c>
      <c r="M796" s="28"/>
      <c r="N796" s="28"/>
      <c r="O796" s="28"/>
      <c r="P796" s="28"/>
      <c r="Q796" s="28"/>
      <c r="R796" s="28"/>
      <c r="S796" s="28">
        <v>5.6105055000000001E-2</v>
      </c>
    </row>
    <row r="797" spans="1:19" x14ac:dyDescent="0.25">
      <c r="A797" s="28">
        <v>2017</v>
      </c>
      <c r="B797" s="28"/>
      <c r="C797" s="28" t="s">
        <v>1136</v>
      </c>
      <c r="D797" s="28" t="s">
        <v>1803</v>
      </c>
      <c r="E797" s="28" t="s">
        <v>1137</v>
      </c>
      <c r="F797" s="28" t="s">
        <v>427</v>
      </c>
      <c r="G797" s="28">
        <v>49022</v>
      </c>
      <c r="H797" s="28">
        <v>42.076250000000002</v>
      </c>
      <c r="I797" s="28">
        <v>-86.43656</v>
      </c>
      <c r="J797" s="28" t="s">
        <v>719</v>
      </c>
      <c r="K797" s="61">
        <v>110000593206</v>
      </c>
      <c r="L797" s="61" t="str">
        <f>IFERROR(INDEX('Facility Summary'!$K:$K,MATCH(K797,'Facility Summary'!$J:$J,0)),INDEX('Raw Annual DMR Data'!$M:$M,MATCH(K797,'Raw Annual DMR Data'!$L:$L,0)))</f>
        <v>Unknown</v>
      </c>
      <c r="M797" s="28"/>
      <c r="N797" s="28"/>
      <c r="O797" s="28"/>
      <c r="P797" s="28"/>
      <c r="Q797" s="28"/>
      <c r="R797" s="28"/>
      <c r="S797" s="28">
        <v>3.6500647499999997E-2</v>
      </c>
    </row>
    <row r="798" spans="1:19" x14ac:dyDescent="0.25">
      <c r="A798" s="28">
        <v>2018</v>
      </c>
      <c r="B798" s="28"/>
      <c r="C798" s="28" t="s">
        <v>1136</v>
      </c>
      <c r="D798" s="28" t="s">
        <v>1803</v>
      </c>
      <c r="E798" s="28" t="s">
        <v>1137</v>
      </c>
      <c r="F798" s="28" t="s">
        <v>427</v>
      </c>
      <c r="G798" s="28">
        <v>49022</v>
      </c>
      <c r="H798" s="28">
        <v>42.076250000000002</v>
      </c>
      <c r="I798" s="28">
        <v>-86.43656</v>
      </c>
      <c r="J798" s="28" t="s">
        <v>719</v>
      </c>
      <c r="K798" s="61">
        <v>110000593206</v>
      </c>
      <c r="L798" s="61" t="str">
        <f>IFERROR(INDEX('Facility Summary'!$K:$K,MATCH(K798,'Facility Summary'!$J:$J,0)),INDEX('Raw Annual DMR Data'!$M:$M,MATCH(K798,'Raw Annual DMR Data'!$L:$L,0)))</f>
        <v>Unknown</v>
      </c>
      <c r="M798" s="28"/>
      <c r="N798" s="28"/>
      <c r="O798" s="28"/>
      <c r="P798" s="28"/>
      <c r="Q798" s="28"/>
      <c r="R798" s="28"/>
      <c r="S798" s="28">
        <v>1.7600250000000001E-5</v>
      </c>
    </row>
    <row r="799" spans="1:19" x14ac:dyDescent="0.25">
      <c r="A799" s="28">
        <v>2016</v>
      </c>
      <c r="B799" s="28"/>
      <c r="C799" s="28" t="s">
        <v>151</v>
      </c>
      <c r="D799" s="28" t="s">
        <v>485</v>
      </c>
      <c r="E799" s="28" t="s">
        <v>486</v>
      </c>
      <c r="F799" s="28" t="s">
        <v>308</v>
      </c>
      <c r="G799" s="28">
        <v>1905</v>
      </c>
      <c r="H799" s="28">
        <v>42.452603000000003</v>
      </c>
      <c r="I799" s="28">
        <v>-70.973436000000007</v>
      </c>
      <c r="J799" s="28" t="s">
        <v>487</v>
      </c>
      <c r="K799" s="61">
        <v>110000310191</v>
      </c>
      <c r="L799" s="61" t="str">
        <f>IFERROR(INDEX('Facility Summary'!$K:$K,MATCH(K799,'Facility Summary'!$J:$J,0)),INDEX('Raw Annual DMR Data'!$M:$M,MATCH(K799,'Raw Annual DMR Data'!$L:$L,0)))</f>
        <v>Unknown</v>
      </c>
      <c r="M799" s="28"/>
      <c r="N799" s="28"/>
      <c r="O799" s="28"/>
      <c r="P799" s="28"/>
      <c r="Q799" s="28"/>
      <c r="R799" s="28"/>
      <c r="S799" s="28">
        <v>6.4110329999999993E-2</v>
      </c>
    </row>
    <row r="800" spans="1:19" x14ac:dyDescent="0.25">
      <c r="A800" s="28">
        <v>2016</v>
      </c>
      <c r="B800" s="28"/>
      <c r="C800" s="28" t="s">
        <v>151</v>
      </c>
      <c r="D800" s="28" t="s">
        <v>485</v>
      </c>
      <c r="E800" s="28" t="s">
        <v>486</v>
      </c>
      <c r="F800" s="28" t="s">
        <v>308</v>
      </c>
      <c r="G800" s="28">
        <v>1905</v>
      </c>
      <c r="H800" s="28">
        <v>42.452603000000003</v>
      </c>
      <c r="I800" s="28">
        <v>-70.973436000000007</v>
      </c>
      <c r="J800" s="28" t="s">
        <v>487</v>
      </c>
      <c r="K800" s="61">
        <v>110000310191</v>
      </c>
      <c r="L800" s="61" t="str">
        <f>IFERROR(INDEX('Facility Summary'!$K:$K,MATCH(K800,'Facility Summary'!$J:$J,0)),INDEX('Raw Annual DMR Data'!$M:$M,MATCH(K800,'Raw Annual DMR Data'!$L:$L,0)))</f>
        <v>Unknown</v>
      </c>
      <c r="M800" s="28"/>
      <c r="N800" s="28"/>
      <c r="O800" s="28"/>
      <c r="P800" s="28"/>
      <c r="Q800" s="28"/>
      <c r="R800" s="28"/>
      <c r="S800" s="28">
        <v>3.2645625000000001E-4</v>
      </c>
    </row>
    <row r="801" spans="1:19" x14ac:dyDescent="0.25">
      <c r="A801" s="28">
        <v>2016</v>
      </c>
      <c r="B801" s="28"/>
      <c r="C801" s="28" t="s">
        <v>151</v>
      </c>
      <c r="D801" s="28" t="s">
        <v>485</v>
      </c>
      <c r="E801" s="28" t="s">
        <v>486</v>
      </c>
      <c r="F801" s="28" t="s">
        <v>308</v>
      </c>
      <c r="G801" s="28">
        <v>1905</v>
      </c>
      <c r="H801" s="28">
        <v>42.452603000000003</v>
      </c>
      <c r="I801" s="28">
        <v>-70.973436000000007</v>
      </c>
      <c r="J801" s="28" t="s">
        <v>487</v>
      </c>
      <c r="K801" s="61">
        <v>110000310191</v>
      </c>
      <c r="L801" s="61" t="str">
        <f>IFERROR(INDEX('Facility Summary'!$K:$K,MATCH(K801,'Facility Summary'!$J:$J,0)),INDEX('Raw Annual DMR Data'!$M:$M,MATCH(K801,'Raw Annual DMR Data'!$L:$L,0)))</f>
        <v>Unknown</v>
      </c>
      <c r="M801" s="28"/>
      <c r="N801" s="28"/>
      <c r="O801" s="28"/>
      <c r="P801" s="28"/>
      <c r="Q801" s="28"/>
      <c r="R801" s="28"/>
      <c r="S801" s="28">
        <v>5.0247767499999998E-2</v>
      </c>
    </row>
    <row r="802" spans="1:19" x14ac:dyDescent="0.25">
      <c r="A802" s="28">
        <v>2017</v>
      </c>
      <c r="B802" s="28"/>
      <c r="C802" s="28" t="s">
        <v>151</v>
      </c>
      <c r="D802" s="28" t="s">
        <v>485</v>
      </c>
      <c r="E802" s="28" t="s">
        <v>486</v>
      </c>
      <c r="F802" s="28" t="s">
        <v>308</v>
      </c>
      <c r="G802" s="28">
        <v>1905</v>
      </c>
      <c r="H802" s="28">
        <v>42.452603000000003</v>
      </c>
      <c r="I802" s="28">
        <v>-70.973436000000007</v>
      </c>
      <c r="J802" s="28" t="s">
        <v>487</v>
      </c>
      <c r="K802" s="61">
        <v>110000310191</v>
      </c>
      <c r="L802" s="61" t="str">
        <f>IFERROR(INDEX('Facility Summary'!$K:$K,MATCH(K802,'Facility Summary'!$J:$J,0)),INDEX('Raw Annual DMR Data'!$M:$M,MATCH(K802,'Raw Annual DMR Data'!$L:$L,0)))</f>
        <v>Unknown</v>
      </c>
      <c r="M802" s="28"/>
      <c r="N802" s="28"/>
      <c r="O802" s="28"/>
      <c r="P802" s="28"/>
      <c r="Q802" s="28"/>
      <c r="R802" s="28"/>
      <c r="S802" s="28">
        <v>4.5022574999999999E-4</v>
      </c>
    </row>
    <row r="803" spans="1:19" x14ac:dyDescent="0.25">
      <c r="A803" s="28">
        <v>2017</v>
      </c>
      <c r="B803" s="28"/>
      <c r="C803" s="28" t="s">
        <v>151</v>
      </c>
      <c r="D803" s="28" t="s">
        <v>485</v>
      </c>
      <c r="E803" s="28" t="s">
        <v>486</v>
      </c>
      <c r="F803" s="28" t="s">
        <v>308</v>
      </c>
      <c r="G803" s="28">
        <v>1905</v>
      </c>
      <c r="H803" s="28">
        <v>42.452603000000003</v>
      </c>
      <c r="I803" s="28">
        <v>-70.973436000000007</v>
      </c>
      <c r="J803" s="28" t="s">
        <v>487</v>
      </c>
      <c r="K803" s="61">
        <v>110000310191</v>
      </c>
      <c r="L803" s="61" t="str">
        <f>IFERROR(INDEX('Facility Summary'!$K:$K,MATCH(K803,'Facility Summary'!$J:$J,0)),INDEX('Raw Annual DMR Data'!$M:$M,MATCH(K803,'Raw Annual DMR Data'!$L:$L,0)))</f>
        <v>Unknown</v>
      </c>
      <c r="M803" s="28"/>
      <c r="N803" s="28"/>
      <c r="O803" s="28"/>
      <c r="P803" s="28"/>
      <c r="Q803" s="28"/>
      <c r="R803" s="28"/>
      <c r="S803" s="28">
        <v>9.3281324999999998E-2</v>
      </c>
    </row>
    <row r="804" spans="1:19" x14ac:dyDescent="0.25">
      <c r="A804" s="28">
        <v>2017</v>
      </c>
      <c r="B804" s="28"/>
      <c r="C804" s="28" t="s">
        <v>151</v>
      </c>
      <c r="D804" s="28" t="s">
        <v>485</v>
      </c>
      <c r="E804" s="28" t="s">
        <v>486</v>
      </c>
      <c r="F804" s="28" t="s">
        <v>308</v>
      </c>
      <c r="G804" s="28">
        <v>1905</v>
      </c>
      <c r="H804" s="28">
        <v>42.452603000000003</v>
      </c>
      <c r="I804" s="28">
        <v>-70.973436000000007</v>
      </c>
      <c r="J804" s="28" t="s">
        <v>487</v>
      </c>
      <c r="K804" s="61">
        <v>110000310191</v>
      </c>
      <c r="L804" s="61" t="str">
        <f>IFERROR(INDEX('Facility Summary'!$K:$K,MATCH(K804,'Facility Summary'!$J:$J,0)),INDEX('Raw Annual DMR Data'!$M:$M,MATCH(K804,'Raw Annual DMR Data'!$L:$L,0)))</f>
        <v>Unknown</v>
      </c>
      <c r="M804" s="28"/>
      <c r="N804" s="28"/>
      <c r="O804" s="28"/>
      <c r="P804" s="28"/>
      <c r="Q804" s="28"/>
      <c r="R804" s="28"/>
      <c r="S804" s="28">
        <v>4.4621365000000003E-2</v>
      </c>
    </row>
    <row r="805" spans="1:19" x14ac:dyDescent="0.25">
      <c r="A805" s="28">
        <v>2019</v>
      </c>
      <c r="B805" s="28"/>
      <c r="C805" s="28" t="s">
        <v>151</v>
      </c>
      <c r="D805" s="28" t="s">
        <v>485</v>
      </c>
      <c r="E805" s="28" t="s">
        <v>486</v>
      </c>
      <c r="F805" s="28" t="s">
        <v>308</v>
      </c>
      <c r="G805" s="28">
        <v>1905</v>
      </c>
      <c r="H805" s="28">
        <v>42.452603000000003</v>
      </c>
      <c r="I805" s="28">
        <v>-70.973436000000007</v>
      </c>
      <c r="J805" s="28" t="s">
        <v>487</v>
      </c>
      <c r="K805" s="61">
        <v>110000310191</v>
      </c>
      <c r="L805" s="61" t="str">
        <f>IFERROR(INDEX('Facility Summary'!$K:$K,MATCH(K805,'Facility Summary'!$J:$J,0)),INDEX('Raw Annual DMR Data'!$M:$M,MATCH(K805,'Raw Annual DMR Data'!$L:$L,0)))</f>
        <v>Unknown</v>
      </c>
      <c r="M805" s="28"/>
      <c r="N805" s="28"/>
      <c r="O805" s="28"/>
      <c r="P805" s="28"/>
      <c r="Q805" s="28"/>
      <c r="R805" s="28"/>
      <c r="S805" s="28">
        <v>9.2280192499999997E-2</v>
      </c>
    </row>
    <row r="806" spans="1:19" x14ac:dyDescent="0.25">
      <c r="A806" s="28">
        <v>2019</v>
      </c>
      <c r="B806" s="28"/>
      <c r="C806" s="28" t="s">
        <v>151</v>
      </c>
      <c r="D806" s="28" t="s">
        <v>485</v>
      </c>
      <c r="E806" s="28" t="s">
        <v>486</v>
      </c>
      <c r="F806" s="28" t="s">
        <v>308</v>
      </c>
      <c r="G806" s="28">
        <v>1905</v>
      </c>
      <c r="H806" s="28">
        <v>42.452603000000003</v>
      </c>
      <c r="I806" s="28">
        <v>-70.973436000000007</v>
      </c>
      <c r="J806" s="28" t="s">
        <v>487</v>
      </c>
      <c r="K806" s="61">
        <v>110000310191</v>
      </c>
      <c r="L806" s="61" t="str">
        <f>IFERROR(INDEX('Facility Summary'!$K:$K,MATCH(K806,'Facility Summary'!$J:$J,0)),INDEX('Raw Annual DMR Data'!$M:$M,MATCH(K806,'Raw Annual DMR Data'!$L:$L,0)))</f>
        <v>Unknown</v>
      </c>
      <c r="M806" s="28"/>
      <c r="N806" s="28"/>
      <c r="O806" s="28"/>
      <c r="P806" s="28"/>
      <c r="Q806" s="28"/>
      <c r="R806" s="28"/>
      <c r="S806" s="28">
        <v>3.7740234999999998E-3</v>
      </c>
    </row>
    <row r="807" spans="1:19" x14ac:dyDescent="0.25">
      <c r="A807" s="28">
        <v>2019</v>
      </c>
      <c r="B807" s="28"/>
      <c r="C807" s="28" t="s">
        <v>151</v>
      </c>
      <c r="D807" s="28" t="s">
        <v>485</v>
      </c>
      <c r="E807" s="28" t="s">
        <v>486</v>
      </c>
      <c r="F807" s="28" t="s">
        <v>308</v>
      </c>
      <c r="G807" s="28">
        <v>1905</v>
      </c>
      <c r="H807" s="28">
        <v>42.452603000000003</v>
      </c>
      <c r="I807" s="28">
        <v>-70.973436000000007</v>
      </c>
      <c r="J807" s="28" t="s">
        <v>487</v>
      </c>
      <c r="K807" s="61">
        <v>110000310191</v>
      </c>
      <c r="L807" s="61" t="str">
        <f>IFERROR(INDEX('Facility Summary'!$K:$K,MATCH(K807,'Facility Summary'!$J:$J,0)),INDEX('Raw Annual DMR Data'!$M:$M,MATCH(K807,'Raw Annual DMR Data'!$L:$L,0)))</f>
        <v>Unknown</v>
      </c>
      <c r="M807" s="28"/>
      <c r="N807" s="28"/>
      <c r="O807" s="28"/>
      <c r="P807" s="28"/>
      <c r="Q807" s="28"/>
      <c r="R807" s="28"/>
      <c r="S807" s="28">
        <v>3.7513135000000003E-2</v>
      </c>
    </row>
    <row r="808" spans="1:19" x14ac:dyDescent="0.25">
      <c r="A808" s="28">
        <v>2020</v>
      </c>
      <c r="B808" s="28"/>
      <c r="C808" s="28" t="s">
        <v>151</v>
      </c>
      <c r="D808" s="28" t="s">
        <v>485</v>
      </c>
      <c r="E808" s="28" t="s">
        <v>486</v>
      </c>
      <c r="F808" s="28" t="s">
        <v>308</v>
      </c>
      <c r="G808" s="28">
        <v>1905</v>
      </c>
      <c r="H808" s="28">
        <v>42.452603000000003</v>
      </c>
      <c r="I808" s="28">
        <v>-70.973436000000007</v>
      </c>
      <c r="J808" s="28" t="s">
        <v>487</v>
      </c>
      <c r="K808" s="61">
        <v>110000310191</v>
      </c>
      <c r="L808" s="61" t="str">
        <f>IFERROR(INDEX('Facility Summary'!$K:$K,MATCH(K808,'Facility Summary'!$J:$J,0)),INDEX('Raw Annual DMR Data'!$M:$M,MATCH(K808,'Raw Annual DMR Data'!$L:$L,0)))</f>
        <v>Unknown</v>
      </c>
      <c r="M808" s="28"/>
      <c r="N808" s="28"/>
      <c r="O808" s="28"/>
      <c r="P808" s="28"/>
      <c r="Q808" s="28"/>
      <c r="R808" s="28"/>
      <c r="S808" s="28">
        <v>3.5348114999999999E-2</v>
      </c>
    </row>
    <row r="809" spans="1:19" x14ac:dyDescent="0.25">
      <c r="A809" s="28">
        <v>2020</v>
      </c>
      <c r="B809" s="28"/>
      <c r="C809" s="28" t="s">
        <v>151</v>
      </c>
      <c r="D809" s="28" t="s">
        <v>485</v>
      </c>
      <c r="E809" s="28" t="s">
        <v>486</v>
      </c>
      <c r="F809" s="28" t="s">
        <v>308</v>
      </c>
      <c r="G809" s="28">
        <v>1905</v>
      </c>
      <c r="H809" s="28">
        <v>42.452603000000003</v>
      </c>
      <c r="I809" s="28">
        <v>-70.973436000000007</v>
      </c>
      <c r="J809" s="28" t="s">
        <v>487</v>
      </c>
      <c r="K809" s="61">
        <v>110000310191</v>
      </c>
      <c r="L809" s="61" t="str">
        <f>IFERROR(INDEX('Facility Summary'!$K:$K,MATCH(K809,'Facility Summary'!$J:$J,0)),INDEX('Raw Annual DMR Data'!$M:$M,MATCH(K809,'Raw Annual DMR Data'!$L:$L,0)))</f>
        <v>Unknown</v>
      </c>
      <c r="M809" s="28"/>
      <c r="N809" s="28"/>
      <c r="O809" s="28"/>
      <c r="P809" s="28"/>
      <c r="Q809" s="28"/>
      <c r="R809" s="28"/>
      <c r="S809" s="28">
        <v>6.4691327500000007E-2</v>
      </c>
    </row>
    <row r="810" spans="1:19" x14ac:dyDescent="0.25">
      <c r="A810" s="28">
        <v>2020</v>
      </c>
      <c r="B810" s="28"/>
      <c r="C810" s="28" t="s">
        <v>151</v>
      </c>
      <c r="D810" s="28" t="s">
        <v>485</v>
      </c>
      <c r="E810" s="28" t="s">
        <v>486</v>
      </c>
      <c r="F810" s="28" t="s">
        <v>308</v>
      </c>
      <c r="G810" s="28">
        <v>1905</v>
      </c>
      <c r="H810" s="28">
        <v>42.452603000000003</v>
      </c>
      <c r="I810" s="28">
        <v>-70.973436000000007</v>
      </c>
      <c r="J810" s="28" t="s">
        <v>487</v>
      </c>
      <c r="K810" s="61">
        <v>110000310191</v>
      </c>
      <c r="L810" s="61" t="str">
        <f>IFERROR(INDEX('Facility Summary'!$K:$K,MATCH(K810,'Facility Summary'!$J:$J,0)),INDEX('Raw Annual DMR Data'!$M:$M,MATCH(K810,'Raw Annual DMR Data'!$L:$L,0)))</f>
        <v>Unknown</v>
      </c>
      <c r="M810" s="28"/>
      <c r="N810" s="28"/>
      <c r="O810" s="28"/>
      <c r="P810" s="28"/>
      <c r="Q810" s="28"/>
      <c r="R810" s="28"/>
      <c r="S810" s="28">
        <v>2.5813699999999999E-3</v>
      </c>
    </row>
    <row r="811" spans="1:19" x14ac:dyDescent="0.25">
      <c r="A811" s="28">
        <v>2016</v>
      </c>
      <c r="B811" s="28"/>
      <c r="C811" s="28" t="s">
        <v>152</v>
      </c>
      <c r="D811" s="28" t="s">
        <v>489</v>
      </c>
      <c r="E811" s="28" t="s">
        <v>490</v>
      </c>
      <c r="F811" s="28" t="s">
        <v>491</v>
      </c>
      <c r="G811" s="28">
        <v>17356</v>
      </c>
      <c r="H811" s="28">
        <v>39.903748999999998</v>
      </c>
      <c r="I811" s="28">
        <v>-76.605096000000003</v>
      </c>
      <c r="J811" s="28" t="s">
        <v>492</v>
      </c>
      <c r="K811" s="61">
        <v>110000333318</v>
      </c>
      <c r="L811" s="61" t="str">
        <f>IFERROR(INDEX('Facility Summary'!$K:$K,MATCH(K811,'Facility Summary'!$J:$J,0)),INDEX('Raw Annual DMR Data'!$M:$M,MATCH(K811,'Raw Annual DMR Data'!$L:$L,0)))</f>
        <v>Unknown</v>
      </c>
      <c r="M811" s="28"/>
      <c r="N811" s="28"/>
      <c r="O811" s="28"/>
      <c r="P811" s="28"/>
      <c r="Q811" s="28"/>
      <c r="R811" s="28"/>
      <c r="S811" s="28">
        <v>4.5268599999999999E-2</v>
      </c>
    </row>
    <row r="812" spans="1:19" x14ac:dyDescent="0.25">
      <c r="A812" s="28">
        <v>2016</v>
      </c>
      <c r="B812" s="28"/>
      <c r="C812" s="28" t="s">
        <v>152</v>
      </c>
      <c r="D812" s="28" t="s">
        <v>489</v>
      </c>
      <c r="E812" s="28" t="s">
        <v>490</v>
      </c>
      <c r="F812" s="28" t="s">
        <v>491</v>
      </c>
      <c r="G812" s="28">
        <v>17356</v>
      </c>
      <c r="H812" s="28">
        <v>39.903748999999998</v>
      </c>
      <c r="I812" s="28">
        <v>-76.605096000000003</v>
      </c>
      <c r="J812" s="28" t="s">
        <v>492</v>
      </c>
      <c r="K812" s="61">
        <v>110000333318</v>
      </c>
      <c r="L812" s="61" t="str">
        <f>IFERROR(INDEX('Facility Summary'!$K:$K,MATCH(K812,'Facility Summary'!$J:$J,0)),INDEX('Raw Annual DMR Data'!$M:$M,MATCH(K812,'Raw Annual DMR Data'!$L:$L,0)))</f>
        <v>Unknown</v>
      </c>
      <c r="M812" s="28"/>
      <c r="N812" s="28"/>
      <c r="O812" s="28"/>
      <c r="P812" s="28"/>
      <c r="Q812" s="28"/>
      <c r="R812" s="28"/>
      <c r="S812" s="28">
        <v>2.08932E-3</v>
      </c>
    </row>
    <row r="813" spans="1:19" x14ac:dyDescent="0.25">
      <c r="A813" s="28">
        <v>2017</v>
      </c>
      <c r="B813" s="28"/>
      <c r="C813" s="28" t="s">
        <v>152</v>
      </c>
      <c r="D813" s="28" t="s">
        <v>489</v>
      </c>
      <c r="E813" s="28" t="s">
        <v>490</v>
      </c>
      <c r="F813" s="28" t="s">
        <v>491</v>
      </c>
      <c r="G813" s="28">
        <v>17356</v>
      </c>
      <c r="H813" s="28">
        <v>39.903748999999998</v>
      </c>
      <c r="I813" s="28">
        <v>-76.605096000000003</v>
      </c>
      <c r="J813" s="28" t="s">
        <v>492</v>
      </c>
      <c r="K813" s="61">
        <v>110000333318</v>
      </c>
      <c r="L813" s="61" t="str">
        <f>IFERROR(INDEX('Facility Summary'!$K:$K,MATCH(K813,'Facility Summary'!$J:$J,0)),INDEX('Raw Annual DMR Data'!$M:$M,MATCH(K813,'Raw Annual DMR Data'!$L:$L,0)))</f>
        <v>Unknown</v>
      </c>
      <c r="M813" s="28"/>
      <c r="N813" s="28"/>
      <c r="O813" s="28"/>
      <c r="P813" s="28"/>
      <c r="Q813" s="28"/>
      <c r="R813" s="28"/>
      <c r="S813" s="28">
        <v>1.5499575E-3</v>
      </c>
    </row>
    <row r="814" spans="1:19" x14ac:dyDescent="0.25">
      <c r="A814" s="28">
        <v>2017</v>
      </c>
      <c r="B814" s="28"/>
      <c r="C814" s="28" t="s">
        <v>152</v>
      </c>
      <c r="D814" s="28" t="s">
        <v>489</v>
      </c>
      <c r="E814" s="28" t="s">
        <v>490</v>
      </c>
      <c r="F814" s="28" t="s">
        <v>491</v>
      </c>
      <c r="G814" s="28">
        <v>17356</v>
      </c>
      <c r="H814" s="28">
        <v>39.903748999999998</v>
      </c>
      <c r="I814" s="28">
        <v>-76.605096000000003</v>
      </c>
      <c r="J814" s="28" t="s">
        <v>492</v>
      </c>
      <c r="K814" s="61">
        <v>110000333318</v>
      </c>
      <c r="L814" s="61" t="str">
        <f>IFERROR(INDEX('Facility Summary'!$K:$K,MATCH(K814,'Facility Summary'!$J:$J,0)),INDEX('Raw Annual DMR Data'!$M:$M,MATCH(K814,'Raw Annual DMR Data'!$L:$L,0)))</f>
        <v>Unknown</v>
      </c>
      <c r="M814" s="28"/>
      <c r="N814" s="28"/>
      <c r="O814" s="28"/>
      <c r="P814" s="28"/>
      <c r="Q814" s="28"/>
      <c r="R814" s="28"/>
      <c r="S814" s="28">
        <v>3.4613825000000001E-2</v>
      </c>
    </row>
    <row r="815" spans="1:19" x14ac:dyDescent="0.25">
      <c r="A815" s="28">
        <v>2018</v>
      </c>
      <c r="B815" s="28"/>
      <c r="C815" s="28" t="s">
        <v>153</v>
      </c>
      <c r="D815" s="28" t="s">
        <v>1811</v>
      </c>
      <c r="E815" s="28" t="s">
        <v>495</v>
      </c>
      <c r="F815" s="28" t="s">
        <v>427</v>
      </c>
      <c r="G815" s="28">
        <v>48380</v>
      </c>
      <c r="H815" s="28">
        <v>42.569099999999999</v>
      </c>
      <c r="I815" s="28">
        <v>-83.674499999999995</v>
      </c>
      <c r="J815" s="28"/>
      <c r="K815" s="61">
        <v>110017422733</v>
      </c>
      <c r="L815" s="61" t="str">
        <f>IFERROR(INDEX('Facility Summary'!$K:$K,MATCH(K815,'Facility Summary'!$J:$J,0)),INDEX('Raw Annual DMR Data'!$M:$M,MATCH(K815,'Raw Annual DMR Data'!$L:$L,0)))</f>
        <v>Laboratory Use</v>
      </c>
      <c r="M815" s="28"/>
      <c r="N815" s="28"/>
      <c r="O815" s="28"/>
      <c r="P815" s="28"/>
      <c r="Q815" s="28"/>
      <c r="R815" s="28"/>
      <c r="S815" s="28">
        <v>1.4733112499999999E-2</v>
      </c>
    </row>
    <row r="816" spans="1:19" x14ac:dyDescent="0.25">
      <c r="A816" s="28">
        <v>2019</v>
      </c>
      <c r="B816" s="28"/>
      <c r="C816" s="28" t="s">
        <v>153</v>
      </c>
      <c r="D816" s="28" t="s">
        <v>1811</v>
      </c>
      <c r="E816" s="28" t="s">
        <v>495</v>
      </c>
      <c r="F816" s="28" t="s">
        <v>427</v>
      </c>
      <c r="G816" s="28">
        <v>48380</v>
      </c>
      <c r="H816" s="28">
        <v>42.569099999999999</v>
      </c>
      <c r="I816" s="28">
        <v>-83.674499999999995</v>
      </c>
      <c r="J816" s="28"/>
      <c r="K816" s="61">
        <v>110017422733</v>
      </c>
      <c r="L816" s="61" t="str">
        <f>IFERROR(INDEX('Facility Summary'!$K:$K,MATCH(K816,'Facility Summary'!$J:$J,0)),INDEX('Raw Annual DMR Data'!$M:$M,MATCH(K816,'Raw Annual DMR Data'!$L:$L,0)))</f>
        <v>Laboratory Use</v>
      </c>
      <c r="M816" s="28"/>
      <c r="N816" s="28"/>
      <c r="O816" s="28"/>
      <c r="P816" s="28"/>
      <c r="Q816" s="28"/>
      <c r="R816" s="28"/>
      <c r="S816" s="28">
        <v>9.2278299999999994E-3</v>
      </c>
    </row>
    <row r="817" spans="1:19" x14ac:dyDescent="0.25">
      <c r="A817" s="28">
        <v>2020</v>
      </c>
      <c r="B817" s="28"/>
      <c r="C817" s="28" t="s">
        <v>153</v>
      </c>
      <c r="D817" s="28" t="s">
        <v>1811</v>
      </c>
      <c r="E817" s="28" t="s">
        <v>495</v>
      </c>
      <c r="F817" s="28" t="s">
        <v>427</v>
      </c>
      <c r="G817" s="28">
        <v>48380</v>
      </c>
      <c r="H817" s="28">
        <v>42.569099999999999</v>
      </c>
      <c r="I817" s="28">
        <v>-83.674499999999995</v>
      </c>
      <c r="J817" s="28"/>
      <c r="K817" s="61">
        <v>110017422733</v>
      </c>
      <c r="L817" s="61" t="str">
        <f>IFERROR(INDEX('Facility Summary'!$K:$K,MATCH(K817,'Facility Summary'!$J:$J,0)),INDEX('Raw Annual DMR Data'!$M:$M,MATCH(K817,'Raw Annual DMR Data'!$L:$L,0)))</f>
        <v>Laboratory Use</v>
      </c>
      <c r="M817" s="28"/>
      <c r="N817" s="28"/>
      <c r="O817" s="28"/>
      <c r="P817" s="28"/>
      <c r="Q817" s="28"/>
      <c r="R817" s="28"/>
      <c r="S817" s="28">
        <v>2.048442E-2</v>
      </c>
    </row>
    <row r="818" spans="1:19" x14ac:dyDescent="0.25">
      <c r="A818" s="28">
        <v>2019</v>
      </c>
      <c r="B818" s="28"/>
      <c r="C818" s="28" t="s">
        <v>1138</v>
      </c>
      <c r="D818" s="28" t="s">
        <v>1813</v>
      </c>
      <c r="E818" s="28" t="s">
        <v>1139</v>
      </c>
      <c r="F818" s="28" t="s">
        <v>324</v>
      </c>
      <c r="G818" s="28">
        <v>42141</v>
      </c>
      <c r="H818" s="28">
        <v>36.983809999999998</v>
      </c>
      <c r="I818" s="28">
        <v>-85.957089999999994</v>
      </c>
      <c r="J818" s="28"/>
      <c r="K818" s="61">
        <v>110001123276</v>
      </c>
      <c r="L818" s="61" t="str">
        <f>IFERROR(INDEX('Facility Summary'!$K:$K,MATCH(K818,'Facility Summary'!$J:$J,0)),INDEX('Raw Annual DMR Data'!$M:$M,MATCH(K818,'Raw Annual DMR Data'!$L:$L,0)))</f>
        <v>POTW</v>
      </c>
      <c r="M818" s="28"/>
      <c r="N818" s="28"/>
      <c r="O818" s="28"/>
      <c r="P818" s="28"/>
      <c r="Q818" s="28"/>
      <c r="R818" s="28"/>
      <c r="S818" s="28">
        <v>5.2014416250000002</v>
      </c>
    </row>
    <row r="819" spans="1:19" x14ac:dyDescent="0.25">
      <c r="A819" s="28">
        <v>2020</v>
      </c>
      <c r="B819" s="28"/>
      <c r="C819" s="28" t="s">
        <v>1138</v>
      </c>
      <c r="D819" s="28" t="s">
        <v>1813</v>
      </c>
      <c r="E819" s="28" t="s">
        <v>1139</v>
      </c>
      <c r="F819" s="28" t="s">
        <v>324</v>
      </c>
      <c r="G819" s="28">
        <v>42141</v>
      </c>
      <c r="H819" s="28">
        <v>36.983809999999998</v>
      </c>
      <c r="I819" s="28">
        <v>-85.957089999999994</v>
      </c>
      <c r="J819" s="28"/>
      <c r="K819" s="61">
        <v>110001123276</v>
      </c>
      <c r="L819" s="61" t="str">
        <f>IFERROR(INDEX('Facility Summary'!$K:$K,MATCH(K819,'Facility Summary'!$J:$J,0)),INDEX('Raw Annual DMR Data'!$M:$M,MATCH(K819,'Raw Annual DMR Data'!$L:$L,0)))</f>
        <v>POTW</v>
      </c>
      <c r="M819" s="28"/>
      <c r="N819" s="28"/>
      <c r="O819" s="28"/>
      <c r="P819" s="28"/>
      <c r="Q819" s="28"/>
      <c r="R819" s="28"/>
      <c r="S819" s="28">
        <v>3.3446720249999999</v>
      </c>
    </row>
    <row r="820" spans="1:19" x14ac:dyDescent="0.25">
      <c r="A820" s="28">
        <v>2015</v>
      </c>
      <c r="B820" s="28"/>
      <c r="C820" s="28" t="s">
        <v>1816</v>
      </c>
      <c r="D820" s="28" t="s">
        <v>497</v>
      </c>
      <c r="E820" s="28" t="s">
        <v>498</v>
      </c>
      <c r="F820" s="28" t="s">
        <v>338</v>
      </c>
      <c r="G820" s="28">
        <v>8066</v>
      </c>
      <c r="H820" s="28">
        <v>39.852891</v>
      </c>
      <c r="I820" s="28">
        <v>-75.225210000000004</v>
      </c>
      <c r="J820" s="28"/>
      <c r="K820" s="61">
        <v>110064625730</v>
      </c>
      <c r="L820" s="61" t="str">
        <f>IFERROR(INDEX('Facility Summary'!$K:$K,MATCH(K820,'Facility Summary'!$J:$J,0)),INDEX('Raw Annual DMR Data'!$M:$M,MATCH(K820,'Raw Annual DMR Data'!$L:$L,0)))</f>
        <v>POTW</v>
      </c>
      <c r="M820" s="28"/>
      <c r="N820" s="28"/>
      <c r="O820" s="28"/>
      <c r="P820" s="28"/>
      <c r="Q820" s="28"/>
      <c r="R820" s="28"/>
      <c r="S820" s="28">
        <v>1.386145</v>
      </c>
    </row>
    <row r="821" spans="1:19" x14ac:dyDescent="0.25">
      <c r="A821" s="28">
        <v>2017</v>
      </c>
      <c r="B821" s="28"/>
      <c r="C821" s="28" t="s">
        <v>1816</v>
      </c>
      <c r="D821" s="28" t="s">
        <v>497</v>
      </c>
      <c r="E821" s="28" t="s">
        <v>498</v>
      </c>
      <c r="F821" s="28" t="s">
        <v>338</v>
      </c>
      <c r="G821" s="28">
        <v>8066</v>
      </c>
      <c r="H821" s="28">
        <v>39.852891</v>
      </c>
      <c r="I821" s="28">
        <v>-75.225210000000004</v>
      </c>
      <c r="J821" s="28"/>
      <c r="K821" s="61">
        <v>110064625730</v>
      </c>
      <c r="L821" s="61" t="str">
        <f>IFERROR(INDEX('Facility Summary'!$K:$K,MATCH(K821,'Facility Summary'!$J:$J,0)),INDEX('Raw Annual DMR Data'!$M:$M,MATCH(K821,'Raw Annual DMR Data'!$L:$L,0)))</f>
        <v>POTW</v>
      </c>
      <c r="M821" s="28"/>
      <c r="N821" s="28"/>
      <c r="O821" s="28"/>
      <c r="P821" s="28"/>
      <c r="Q821" s="28"/>
      <c r="R821" s="28"/>
      <c r="S821" s="28">
        <v>9.0215499999999995</v>
      </c>
    </row>
    <row r="822" spans="1:19" x14ac:dyDescent="0.25">
      <c r="A822" s="28">
        <v>2018</v>
      </c>
      <c r="B822" s="28"/>
      <c r="C822" s="28" t="s">
        <v>1816</v>
      </c>
      <c r="D822" s="28" t="s">
        <v>497</v>
      </c>
      <c r="E822" s="28" t="s">
        <v>498</v>
      </c>
      <c r="F822" s="28" t="s">
        <v>338</v>
      </c>
      <c r="G822" s="302" t="s">
        <v>1817</v>
      </c>
      <c r="H822" s="28">
        <v>39.852891</v>
      </c>
      <c r="I822" s="28">
        <v>-75.225210000000004</v>
      </c>
      <c r="J822" s="28"/>
      <c r="K822" s="61">
        <v>110064625730</v>
      </c>
      <c r="L822" s="61" t="str">
        <f>IFERROR(INDEX('Facility Summary'!$K:$K,MATCH(K822,'Facility Summary'!$J:$J,0)),INDEX('Raw Annual DMR Data'!$M:$M,MATCH(K822,'Raw Annual DMR Data'!$L:$L,0)))</f>
        <v>POTW</v>
      </c>
      <c r="M822" s="28"/>
      <c r="N822" s="28"/>
      <c r="O822" s="28"/>
      <c r="P822" s="28"/>
      <c r="Q822" s="28"/>
      <c r="R822" s="28"/>
      <c r="S822" s="28">
        <v>5.2731000000000003</v>
      </c>
    </row>
    <row r="823" spans="1:19" x14ac:dyDescent="0.25">
      <c r="A823" s="28">
        <v>2020</v>
      </c>
      <c r="B823" s="28"/>
      <c r="C823" s="28" t="s">
        <v>1816</v>
      </c>
      <c r="D823" s="28" t="s">
        <v>497</v>
      </c>
      <c r="E823" s="28" t="s">
        <v>498</v>
      </c>
      <c r="F823" s="28" t="s">
        <v>338</v>
      </c>
      <c r="G823" s="28">
        <v>8066</v>
      </c>
      <c r="H823" s="28">
        <v>39.852891</v>
      </c>
      <c r="I823" s="28">
        <v>-75.225210000000004</v>
      </c>
      <c r="J823" s="28"/>
      <c r="K823" s="61">
        <v>110064625730</v>
      </c>
      <c r="L823" s="61" t="str">
        <f>IFERROR(INDEX('Facility Summary'!$K:$K,MATCH(K823,'Facility Summary'!$J:$J,0)),INDEX('Raw Annual DMR Data'!$M:$M,MATCH(K823,'Raw Annual DMR Data'!$L:$L,0)))</f>
        <v>POTW</v>
      </c>
      <c r="M823" s="28"/>
      <c r="N823" s="28"/>
      <c r="O823" s="28"/>
      <c r="P823" s="28"/>
      <c r="Q823" s="28"/>
      <c r="R823" s="28"/>
      <c r="S823" s="28">
        <v>6.4795499999999997</v>
      </c>
    </row>
    <row r="824" spans="1:19" x14ac:dyDescent="0.25">
      <c r="A824" s="28">
        <v>2018</v>
      </c>
      <c r="B824" s="28"/>
      <c r="C824" s="28" t="s">
        <v>1140</v>
      </c>
      <c r="D824" s="28" t="s">
        <v>1819</v>
      </c>
      <c r="E824" s="28" t="s">
        <v>1141</v>
      </c>
      <c r="F824" s="28" t="s">
        <v>374</v>
      </c>
      <c r="G824" s="28">
        <v>85338</v>
      </c>
      <c r="H824" s="28">
        <v>33.398600000000002</v>
      </c>
      <c r="I824" s="28">
        <v>-112.3965</v>
      </c>
      <c r="J824" s="28"/>
      <c r="K824" s="61">
        <v>110000510894</v>
      </c>
      <c r="L824" s="61" t="str">
        <f>IFERROR(INDEX('Facility Summary'!$K:$K,MATCH(K824,'Facility Summary'!$J:$J,0)),INDEX('Raw Annual DMR Data'!$M:$M,MATCH(K824,'Raw Annual DMR Data'!$L:$L,0)))</f>
        <v>POTW</v>
      </c>
      <c r="M824" s="28"/>
      <c r="N824" s="28"/>
      <c r="O824" s="28"/>
      <c r="P824" s="28"/>
      <c r="Q824" s="28"/>
      <c r="R824" s="28"/>
      <c r="S824" s="28">
        <v>2.917110760375E-2</v>
      </c>
    </row>
    <row r="825" spans="1:19" x14ac:dyDescent="0.25">
      <c r="A825" s="28">
        <v>2018</v>
      </c>
      <c r="B825" s="28"/>
      <c r="C825" s="28" t="s">
        <v>155</v>
      </c>
      <c r="D825" s="28" t="s">
        <v>499</v>
      </c>
      <c r="E825" s="28" t="s">
        <v>500</v>
      </c>
      <c r="F825" s="28" t="s">
        <v>303</v>
      </c>
      <c r="G825" s="28">
        <v>70805</v>
      </c>
      <c r="H825" s="28">
        <v>30.558889000000001</v>
      </c>
      <c r="I825" s="28">
        <v>-91.217500000000001</v>
      </c>
      <c r="J825" s="28"/>
      <c r="K825" s="61">
        <v>110012254363</v>
      </c>
      <c r="L825" s="61" t="str">
        <f>IFERROR(INDEX('Facility Summary'!$K:$K,MATCH(K825,'Facility Summary'!$J:$J,0)),INDEX('Raw Annual DMR Data'!$M:$M,MATCH(K825,'Raw Annual DMR Data'!$L:$L,0)))</f>
        <v>Repackaging</v>
      </c>
      <c r="M825" s="28"/>
      <c r="N825" s="28"/>
      <c r="O825" s="28"/>
      <c r="P825" s="28"/>
      <c r="Q825" s="28"/>
      <c r="R825" s="28"/>
      <c r="S825" s="302">
        <v>6.6381329999999901E-5</v>
      </c>
    </row>
    <row r="826" spans="1:19" x14ac:dyDescent="0.25">
      <c r="A826" s="28">
        <v>2020</v>
      </c>
      <c r="B826" s="28"/>
      <c r="C826" s="28" t="s">
        <v>155</v>
      </c>
      <c r="D826" s="28" t="s">
        <v>499</v>
      </c>
      <c r="E826" s="28" t="s">
        <v>500</v>
      </c>
      <c r="F826" s="28" t="s">
        <v>303</v>
      </c>
      <c r="G826" s="28">
        <v>70805</v>
      </c>
      <c r="H826" s="28">
        <v>30.558889000000001</v>
      </c>
      <c r="I826" s="28">
        <v>-91.217500000000001</v>
      </c>
      <c r="J826" s="28"/>
      <c r="K826" s="61">
        <v>110012254363</v>
      </c>
      <c r="L826" s="61" t="str">
        <f>IFERROR(INDEX('Facility Summary'!$K:$K,MATCH(K826,'Facility Summary'!$J:$J,0)),INDEX('Raw Annual DMR Data'!$M:$M,MATCH(K826,'Raw Annual DMR Data'!$L:$L,0)))</f>
        <v>Repackaging</v>
      </c>
      <c r="M826" s="28"/>
      <c r="N826" s="28"/>
      <c r="O826" s="28"/>
      <c r="P826" s="28"/>
      <c r="Q826" s="28"/>
      <c r="R826" s="28"/>
      <c r="S826" s="28">
        <v>1.47191079999999E-4</v>
      </c>
    </row>
    <row r="827" spans="1:19" x14ac:dyDescent="0.25">
      <c r="A827" s="28">
        <v>2020</v>
      </c>
      <c r="B827" s="28"/>
      <c r="C827" s="28" t="s">
        <v>174</v>
      </c>
      <c r="D827" s="28" t="s">
        <v>568</v>
      </c>
      <c r="E827" s="28" t="s">
        <v>569</v>
      </c>
      <c r="F827" s="28" t="s">
        <v>311</v>
      </c>
      <c r="G827" s="28">
        <v>26146</v>
      </c>
      <c r="H827" s="28">
        <v>39.484572</v>
      </c>
      <c r="I827" s="28">
        <v>-81.093402999999995</v>
      </c>
      <c r="J827" s="28" t="s">
        <v>570</v>
      </c>
      <c r="K827" s="61">
        <v>110000344814</v>
      </c>
      <c r="L827" s="61" t="str">
        <f>IFERROR(INDEX('Facility Summary'!$K:$K,MATCH(K827,'Facility Summary'!$J:$J,0)),INDEX('Raw Annual DMR Data'!$M:$M,MATCH(K827,'Raw Annual DMR Data'!$L:$L,0)))</f>
        <v>Manufacturing</v>
      </c>
      <c r="M827" s="28"/>
      <c r="N827" s="28"/>
      <c r="O827" s="28"/>
      <c r="P827" s="28"/>
      <c r="Q827" s="28"/>
      <c r="R827" s="28"/>
      <c r="S827" s="28">
        <v>0.81270748299319695</v>
      </c>
    </row>
    <row r="828" spans="1:19" x14ac:dyDescent="0.25">
      <c r="A828" s="28">
        <v>2020</v>
      </c>
      <c r="B828" s="28"/>
      <c r="C828" s="28" t="s">
        <v>1144</v>
      </c>
      <c r="D828" s="28" t="s">
        <v>1825</v>
      </c>
      <c r="E828" s="28" t="s">
        <v>1145</v>
      </c>
      <c r="F828" s="28" t="s">
        <v>324</v>
      </c>
      <c r="G828" s="28">
        <v>41144</v>
      </c>
      <c r="H828" s="28">
        <v>38.551630000000003</v>
      </c>
      <c r="I828" s="28">
        <v>-82.778199999999998</v>
      </c>
      <c r="J828" s="28"/>
      <c r="K828" s="61">
        <v>110000759723</v>
      </c>
      <c r="L828" s="61" t="str">
        <f>IFERROR(INDEX('Facility Summary'!$K:$K,MATCH(K828,'Facility Summary'!$J:$J,0)),INDEX('Raw Annual DMR Data'!$M:$M,MATCH(K828,'Raw Annual DMR Data'!$L:$L,0)))</f>
        <v>POTW</v>
      </c>
      <c r="M828" s="28"/>
      <c r="N828" s="28"/>
      <c r="O828" s="28"/>
      <c r="P828" s="28"/>
      <c r="Q828" s="28"/>
      <c r="R828" s="28"/>
      <c r="S828" s="28">
        <v>1.3815249999999999</v>
      </c>
    </row>
    <row r="829" spans="1:19" x14ac:dyDescent="0.25">
      <c r="A829" s="28">
        <v>2017</v>
      </c>
      <c r="B829" s="28"/>
      <c r="C829" s="28" t="s">
        <v>1146</v>
      </c>
      <c r="D829" s="28" t="s">
        <v>1827</v>
      </c>
      <c r="E829" s="28" t="s">
        <v>1147</v>
      </c>
      <c r="F829" s="28" t="s">
        <v>491</v>
      </c>
      <c r="G829" s="28">
        <v>19067</v>
      </c>
      <c r="H829" s="28">
        <v>40.159343999999997</v>
      </c>
      <c r="I829" s="28">
        <v>-74.776695000000004</v>
      </c>
      <c r="J829" s="28"/>
      <c r="K829" s="61">
        <v>110000817439</v>
      </c>
      <c r="L829" s="61" t="str">
        <f>IFERROR(INDEX('Facility Summary'!$K:$K,MATCH(K829,'Facility Summary'!$J:$J,0)),INDEX('Raw Annual DMR Data'!$M:$M,MATCH(K829,'Raw Annual DMR Data'!$L:$L,0)))</f>
        <v>Waste Handling, Disposal and Treatment (Landfill)</v>
      </c>
      <c r="M829" s="28"/>
      <c r="N829" s="28"/>
      <c r="O829" s="28"/>
      <c r="P829" s="28"/>
      <c r="Q829" s="28"/>
      <c r="R829" s="28"/>
      <c r="S829" s="28">
        <v>5.2611863359999997E-2</v>
      </c>
    </row>
    <row r="830" spans="1:19" x14ac:dyDescent="0.25">
      <c r="A830" s="28">
        <v>2018</v>
      </c>
      <c r="B830" s="28"/>
      <c r="C830" s="28" t="s">
        <v>1146</v>
      </c>
      <c r="D830" s="28" t="s">
        <v>1827</v>
      </c>
      <c r="E830" s="28" t="s">
        <v>1147</v>
      </c>
      <c r="F830" s="28" t="s">
        <v>491</v>
      </c>
      <c r="G830" s="28">
        <v>19067</v>
      </c>
      <c r="H830" s="28">
        <v>40.159343999999997</v>
      </c>
      <c r="I830" s="28">
        <v>-74.776695000000004</v>
      </c>
      <c r="J830" s="28"/>
      <c r="K830" s="61">
        <v>110000817439</v>
      </c>
      <c r="L830" s="61" t="str">
        <f>IFERROR(INDEX('Facility Summary'!$K:$K,MATCH(K830,'Facility Summary'!$J:$J,0)),INDEX('Raw Annual DMR Data'!$M:$M,MATCH(K830,'Raw Annual DMR Data'!$L:$L,0)))</f>
        <v>Waste Handling, Disposal and Treatment (Landfill)</v>
      </c>
      <c r="M830" s="28"/>
      <c r="N830" s="28"/>
      <c r="O830" s="28"/>
      <c r="P830" s="28"/>
      <c r="Q830" s="28"/>
      <c r="R830" s="28"/>
      <c r="S830" s="28">
        <v>6.9978001647499996E-2</v>
      </c>
    </row>
    <row r="831" spans="1:19" x14ac:dyDescent="0.25">
      <c r="A831" s="28">
        <v>2019</v>
      </c>
      <c r="B831" s="28"/>
      <c r="C831" s="28" t="s">
        <v>1146</v>
      </c>
      <c r="D831" s="28" t="s">
        <v>1827</v>
      </c>
      <c r="E831" s="28" t="s">
        <v>1147</v>
      </c>
      <c r="F831" s="28" t="s">
        <v>491</v>
      </c>
      <c r="G831" s="28">
        <v>19067</v>
      </c>
      <c r="H831" s="28">
        <v>40.159343999999997</v>
      </c>
      <c r="I831" s="28">
        <v>-74.776695000000004</v>
      </c>
      <c r="J831" s="28"/>
      <c r="K831" s="61">
        <v>110000817439</v>
      </c>
      <c r="L831" s="61" t="str">
        <f>IFERROR(INDEX('Facility Summary'!$K:$K,MATCH(K831,'Facility Summary'!$J:$J,0)),INDEX('Raw Annual DMR Data'!$M:$M,MATCH(K831,'Raw Annual DMR Data'!$L:$L,0)))</f>
        <v>Waste Handling, Disposal and Treatment (Landfill)</v>
      </c>
      <c r="M831" s="28"/>
      <c r="N831" s="28"/>
      <c r="O831" s="28"/>
      <c r="P831" s="28"/>
      <c r="Q831" s="28"/>
      <c r="R831" s="28"/>
      <c r="S831" s="28">
        <v>6.7976701822499999E-2</v>
      </c>
    </row>
    <row r="832" spans="1:19" x14ac:dyDescent="0.25">
      <c r="A832" s="28">
        <v>2020</v>
      </c>
      <c r="B832" s="28"/>
      <c r="C832" s="28" t="s">
        <v>1146</v>
      </c>
      <c r="D832" s="28" t="s">
        <v>1827</v>
      </c>
      <c r="E832" s="28" t="s">
        <v>1147</v>
      </c>
      <c r="F832" s="28" t="s">
        <v>491</v>
      </c>
      <c r="G832" s="28">
        <v>19067</v>
      </c>
      <c r="H832" s="28">
        <v>40.159343999999997</v>
      </c>
      <c r="I832" s="28">
        <v>-74.776695000000004</v>
      </c>
      <c r="J832" s="28"/>
      <c r="K832" s="61">
        <v>110000817439</v>
      </c>
      <c r="L832" s="61" t="str">
        <f>IFERROR(INDEX('Facility Summary'!$K:$K,MATCH(K832,'Facility Summary'!$J:$J,0)),INDEX('Raw Annual DMR Data'!$M:$M,MATCH(K832,'Raw Annual DMR Data'!$L:$L,0)))</f>
        <v>Waste Handling, Disposal and Treatment (Landfill)</v>
      </c>
      <c r="M832" s="28"/>
      <c r="N832" s="28"/>
      <c r="O832" s="28"/>
      <c r="P832" s="28"/>
      <c r="Q832" s="28"/>
      <c r="R832" s="28"/>
      <c r="S832" s="28">
        <v>6.9193630419999999E-2</v>
      </c>
    </row>
    <row r="833" spans="1:19" x14ac:dyDescent="0.25">
      <c r="A833" s="28">
        <v>2017</v>
      </c>
      <c r="B833" s="28"/>
      <c r="C833" s="28" t="s">
        <v>1148</v>
      </c>
      <c r="D833" s="28" t="s">
        <v>1831</v>
      </c>
      <c r="E833" s="28" t="s">
        <v>1149</v>
      </c>
      <c r="F833" s="28" t="s">
        <v>324</v>
      </c>
      <c r="G833" s="28">
        <v>42234</v>
      </c>
      <c r="H833" s="28">
        <v>36.644849999999998</v>
      </c>
      <c r="I833" s="28">
        <v>-87.187950000000001</v>
      </c>
      <c r="J833" s="28"/>
      <c r="K833" s="61">
        <v>110009937499</v>
      </c>
      <c r="L833" s="61" t="str">
        <f>IFERROR(INDEX('Facility Summary'!$K:$K,MATCH(K833,'Facility Summary'!$J:$J,0)),INDEX('Raw Annual DMR Data'!$M:$M,MATCH(K833,'Raw Annual DMR Data'!$L:$L,0)))</f>
        <v>POTW</v>
      </c>
      <c r="M833" s="28"/>
      <c r="N833" s="28"/>
      <c r="O833" s="28"/>
      <c r="P833" s="28"/>
      <c r="Q833" s="28"/>
      <c r="R833" s="28"/>
      <c r="S833" s="28">
        <v>0.64931675</v>
      </c>
    </row>
    <row r="834" spans="1:19" x14ac:dyDescent="0.25">
      <c r="A834" s="28">
        <v>2018</v>
      </c>
      <c r="B834" s="28"/>
      <c r="C834" s="28" t="s">
        <v>1148</v>
      </c>
      <c r="D834" s="28" t="s">
        <v>1831</v>
      </c>
      <c r="E834" s="28" t="s">
        <v>1149</v>
      </c>
      <c r="F834" s="28" t="s">
        <v>324</v>
      </c>
      <c r="G834" s="28">
        <v>42234</v>
      </c>
      <c r="H834" s="28">
        <v>36.644849999999998</v>
      </c>
      <c r="I834" s="28">
        <v>-87.187950000000001</v>
      </c>
      <c r="J834" s="28"/>
      <c r="K834" s="61">
        <v>110009937499</v>
      </c>
      <c r="L834" s="61" t="str">
        <f>IFERROR(INDEX('Facility Summary'!$K:$K,MATCH(K834,'Facility Summary'!$J:$J,0)),INDEX('Raw Annual DMR Data'!$M:$M,MATCH(K834,'Raw Annual DMR Data'!$L:$L,0)))</f>
        <v>POTW</v>
      </c>
      <c r="M834" s="28"/>
      <c r="N834" s="28"/>
      <c r="O834" s="28"/>
      <c r="P834" s="28"/>
      <c r="Q834" s="28"/>
      <c r="R834" s="28"/>
      <c r="S834" s="28">
        <v>0.82546118749999997</v>
      </c>
    </row>
    <row r="835" spans="1:19" x14ac:dyDescent="0.25">
      <c r="A835" s="28">
        <v>2019</v>
      </c>
      <c r="B835" s="28"/>
      <c r="C835" s="28" t="s">
        <v>1148</v>
      </c>
      <c r="D835" s="28" t="s">
        <v>1831</v>
      </c>
      <c r="E835" s="28" t="s">
        <v>1149</v>
      </c>
      <c r="F835" s="28" t="s">
        <v>324</v>
      </c>
      <c r="G835" s="28">
        <v>42234</v>
      </c>
      <c r="H835" s="28">
        <v>36.644849999999998</v>
      </c>
      <c r="I835" s="28">
        <v>-87.187950000000001</v>
      </c>
      <c r="J835" s="28"/>
      <c r="K835" s="61">
        <v>110009937499</v>
      </c>
      <c r="L835" s="61" t="str">
        <f>IFERROR(INDEX('Facility Summary'!$K:$K,MATCH(K835,'Facility Summary'!$J:$J,0)),INDEX('Raw Annual DMR Data'!$M:$M,MATCH(K835,'Raw Annual DMR Data'!$L:$L,0)))</f>
        <v>POTW</v>
      </c>
      <c r="M835" s="28"/>
      <c r="N835" s="28"/>
      <c r="O835" s="28"/>
      <c r="P835" s="28"/>
      <c r="Q835" s="28"/>
      <c r="R835" s="28"/>
      <c r="S835" s="28">
        <v>1.0534128125</v>
      </c>
    </row>
    <row r="836" spans="1:19" x14ac:dyDescent="0.25">
      <c r="A836" s="28">
        <v>2020</v>
      </c>
      <c r="B836" s="28"/>
      <c r="C836" s="28" t="s">
        <v>1148</v>
      </c>
      <c r="D836" s="28" t="s">
        <v>1831</v>
      </c>
      <c r="E836" s="28" t="s">
        <v>1149</v>
      </c>
      <c r="F836" s="28" t="s">
        <v>324</v>
      </c>
      <c r="G836" s="28">
        <v>42234</v>
      </c>
      <c r="H836" s="28">
        <v>36.644849999999998</v>
      </c>
      <c r="I836" s="28">
        <v>-87.187950000000001</v>
      </c>
      <c r="J836" s="28"/>
      <c r="K836" s="61">
        <v>110009937499</v>
      </c>
      <c r="L836" s="61" t="str">
        <f>IFERROR(INDEX('Facility Summary'!$K:$K,MATCH(K836,'Facility Summary'!$J:$J,0)),INDEX('Raw Annual DMR Data'!$M:$M,MATCH(K836,'Raw Annual DMR Data'!$L:$L,0)))</f>
        <v>POTW</v>
      </c>
      <c r="M836" s="28"/>
      <c r="N836" s="28"/>
      <c r="O836" s="28"/>
      <c r="P836" s="28"/>
      <c r="Q836" s="28"/>
      <c r="R836" s="28"/>
      <c r="S836" s="28">
        <v>0.1540400375</v>
      </c>
    </row>
    <row r="837" spans="1:19" x14ac:dyDescent="0.25">
      <c r="A837" s="28">
        <v>2015</v>
      </c>
      <c r="B837" s="28"/>
      <c r="C837" s="28" t="s">
        <v>1150</v>
      </c>
      <c r="D837" s="28" t="s">
        <v>1835</v>
      </c>
      <c r="E837" s="28" t="s">
        <v>1151</v>
      </c>
      <c r="F837" s="28" t="s">
        <v>338</v>
      </c>
      <c r="G837" s="28">
        <v>8610</v>
      </c>
      <c r="H837" s="28">
        <v>40.183062999999997</v>
      </c>
      <c r="I837" s="28">
        <v>-74.710695000000001</v>
      </c>
      <c r="J837" s="28"/>
      <c r="K837" s="61">
        <v>110056977080</v>
      </c>
      <c r="L837" s="61" t="str">
        <f>IFERROR(INDEX('Facility Summary'!$K:$K,MATCH(K837,'Facility Summary'!$J:$J,0)),INDEX('Raw Annual DMR Data'!$M:$M,MATCH(K837,'Raw Annual DMR Data'!$L:$L,0)))</f>
        <v>POTW</v>
      </c>
      <c r="M837" s="28"/>
      <c r="N837" s="28"/>
      <c r="O837" s="28"/>
      <c r="P837" s="28"/>
      <c r="Q837" s="28"/>
      <c r="R837" s="28"/>
      <c r="S837" s="28">
        <v>1.5121548124999999</v>
      </c>
    </row>
    <row r="838" spans="1:19" x14ac:dyDescent="0.25">
      <c r="A838" s="28">
        <v>2016</v>
      </c>
      <c r="B838" s="28"/>
      <c r="C838" s="28" t="s">
        <v>1150</v>
      </c>
      <c r="D838" s="28" t="s">
        <v>1835</v>
      </c>
      <c r="E838" s="28" t="s">
        <v>1151</v>
      </c>
      <c r="F838" s="28" t="s">
        <v>338</v>
      </c>
      <c r="G838" s="28">
        <v>8610</v>
      </c>
      <c r="H838" s="28">
        <v>40.183062999999997</v>
      </c>
      <c r="I838" s="28">
        <v>-74.710695000000001</v>
      </c>
      <c r="J838" s="28"/>
      <c r="K838" s="61">
        <v>110056977080</v>
      </c>
      <c r="L838" s="61" t="str">
        <f>IFERROR(INDEX('Facility Summary'!$K:$K,MATCH(K838,'Facility Summary'!$J:$J,0)),INDEX('Raw Annual DMR Data'!$M:$M,MATCH(K838,'Raw Annual DMR Data'!$L:$L,0)))</f>
        <v>POTW</v>
      </c>
      <c r="M838" s="28"/>
      <c r="N838" s="28"/>
      <c r="O838" s="28"/>
      <c r="P838" s="28"/>
      <c r="Q838" s="28"/>
      <c r="R838" s="28"/>
      <c r="S838" s="28">
        <v>1.8765273</v>
      </c>
    </row>
    <row r="839" spans="1:19" x14ac:dyDescent="0.25">
      <c r="A839" s="28">
        <v>2017</v>
      </c>
      <c r="B839" s="28"/>
      <c r="C839" s="28" t="s">
        <v>1150</v>
      </c>
      <c r="D839" s="28" t="s">
        <v>1835</v>
      </c>
      <c r="E839" s="28" t="s">
        <v>1151</v>
      </c>
      <c r="F839" s="28" t="s">
        <v>338</v>
      </c>
      <c r="G839" s="28">
        <v>8610</v>
      </c>
      <c r="H839" s="28">
        <v>40.183062999999997</v>
      </c>
      <c r="I839" s="28">
        <v>-74.710695000000001</v>
      </c>
      <c r="J839" s="28"/>
      <c r="K839" s="61">
        <v>110056977080</v>
      </c>
      <c r="L839" s="61" t="str">
        <f>IFERROR(INDEX('Facility Summary'!$K:$K,MATCH(K839,'Facility Summary'!$J:$J,0)),INDEX('Raw Annual DMR Data'!$M:$M,MATCH(K839,'Raw Annual DMR Data'!$L:$L,0)))</f>
        <v>POTW</v>
      </c>
      <c r="M839" s="28"/>
      <c r="N839" s="28"/>
      <c r="O839" s="28"/>
      <c r="P839" s="28"/>
      <c r="Q839" s="28"/>
      <c r="R839" s="28"/>
      <c r="S839" s="28">
        <v>1.2018756525000001</v>
      </c>
    </row>
    <row r="840" spans="1:19" x14ac:dyDescent="0.25">
      <c r="A840" s="28">
        <v>2018</v>
      </c>
      <c r="B840" s="28"/>
      <c r="C840" s="28" t="s">
        <v>1150</v>
      </c>
      <c r="D840" s="28" t="s">
        <v>1835</v>
      </c>
      <c r="E840" s="28" t="s">
        <v>1151</v>
      </c>
      <c r="F840" s="28" t="s">
        <v>338</v>
      </c>
      <c r="G840" s="302" t="s">
        <v>1838</v>
      </c>
      <c r="H840" s="28">
        <v>40.183062999999997</v>
      </c>
      <c r="I840" s="28">
        <v>-74.710695000000001</v>
      </c>
      <c r="J840" s="28"/>
      <c r="K840" s="61">
        <v>110056977080</v>
      </c>
      <c r="L840" s="61" t="str">
        <f>IFERROR(INDEX('Facility Summary'!$K:$K,MATCH(K840,'Facility Summary'!$J:$J,0)),INDEX('Raw Annual DMR Data'!$M:$M,MATCH(K840,'Raw Annual DMR Data'!$L:$L,0)))</f>
        <v>POTW</v>
      </c>
      <c r="M840" s="28"/>
      <c r="N840" s="28"/>
      <c r="O840" s="28"/>
      <c r="P840" s="28"/>
      <c r="Q840" s="28"/>
      <c r="R840" s="28"/>
      <c r="S840" s="28">
        <v>1.4284022249999999</v>
      </c>
    </row>
    <row r="841" spans="1:19" x14ac:dyDescent="0.25">
      <c r="A841" s="28">
        <v>2019</v>
      </c>
      <c r="B841" s="28"/>
      <c r="C841" s="28" t="s">
        <v>1150</v>
      </c>
      <c r="D841" s="28" t="s">
        <v>1835</v>
      </c>
      <c r="E841" s="28" t="s">
        <v>1151</v>
      </c>
      <c r="F841" s="28" t="s">
        <v>338</v>
      </c>
      <c r="G841" s="28">
        <v>8610</v>
      </c>
      <c r="H841" s="28">
        <v>40.183062999999997</v>
      </c>
      <c r="I841" s="28">
        <v>-74.710695000000001</v>
      </c>
      <c r="J841" s="28"/>
      <c r="K841" s="61">
        <v>110056977080</v>
      </c>
      <c r="L841" s="61" t="str">
        <f>IFERROR(INDEX('Facility Summary'!$K:$K,MATCH(K841,'Facility Summary'!$J:$J,0)),INDEX('Raw Annual DMR Data'!$M:$M,MATCH(K841,'Raw Annual DMR Data'!$L:$L,0)))</f>
        <v>POTW</v>
      </c>
      <c r="M841" s="28"/>
      <c r="N841" s="28"/>
      <c r="O841" s="28"/>
      <c r="P841" s="28"/>
      <c r="Q841" s="28"/>
      <c r="R841" s="28"/>
      <c r="S841" s="28">
        <v>1.4415342824999999</v>
      </c>
    </row>
    <row r="842" spans="1:19" x14ac:dyDescent="0.25">
      <c r="A842" s="28">
        <v>2020</v>
      </c>
      <c r="B842" s="28"/>
      <c r="C842" s="28" t="s">
        <v>1150</v>
      </c>
      <c r="D842" s="28" t="s">
        <v>1835</v>
      </c>
      <c r="E842" s="28" t="s">
        <v>1151</v>
      </c>
      <c r="F842" s="28" t="s">
        <v>338</v>
      </c>
      <c r="G842" s="28">
        <v>8610</v>
      </c>
      <c r="H842" s="28">
        <v>40.183062999999997</v>
      </c>
      <c r="I842" s="28">
        <v>-74.710695000000001</v>
      </c>
      <c r="J842" s="28"/>
      <c r="K842" s="61">
        <v>110056977080</v>
      </c>
      <c r="L842" s="61" t="str">
        <f>IFERROR(INDEX('Facility Summary'!$K:$K,MATCH(K842,'Facility Summary'!$J:$J,0)),INDEX('Raw Annual DMR Data'!$M:$M,MATCH(K842,'Raw Annual DMR Data'!$L:$L,0)))</f>
        <v>POTW</v>
      </c>
      <c r="M842" s="28"/>
      <c r="N842" s="28"/>
      <c r="O842" s="28"/>
      <c r="P842" s="28"/>
      <c r="Q842" s="28"/>
      <c r="R842" s="28"/>
      <c r="S842" s="28">
        <v>0.61603827300000003</v>
      </c>
    </row>
    <row r="843" spans="1:19" x14ac:dyDescent="0.25">
      <c r="A843" s="28">
        <v>2015</v>
      </c>
      <c r="B843" s="28"/>
      <c r="C843" s="28" t="s">
        <v>174</v>
      </c>
      <c r="D843" s="28" t="s">
        <v>568</v>
      </c>
      <c r="E843" s="28" t="s">
        <v>569</v>
      </c>
      <c r="F843" s="28" t="s">
        <v>311</v>
      </c>
      <c r="G843" s="28">
        <v>26146</v>
      </c>
      <c r="H843" s="28">
        <v>39.484572</v>
      </c>
      <c r="I843" s="28">
        <v>-81.093402999999995</v>
      </c>
      <c r="J843" s="28" t="s">
        <v>570</v>
      </c>
      <c r="K843" s="61">
        <v>110000344814</v>
      </c>
      <c r="L843" s="61" t="str">
        <f>IFERROR(INDEX('Facility Summary'!$K:$K,MATCH(K843,'Facility Summary'!$J:$J,0)),INDEX('Raw Annual DMR Data'!$M:$M,MATCH(K843,'Raw Annual DMR Data'!$L:$L,0)))</f>
        <v>Manufacturing</v>
      </c>
      <c r="M843" s="28"/>
      <c r="N843" s="28"/>
      <c r="O843" s="28"/>
      <c r="P843" s="28"/>
      <c r="Q843" s="28"/>
      <c r="R843" s="28"/>
      <c r="S843" s="28">
        <v>1.5977324263038499</v>
      </c>
    </row>
    <row r="844" spans="1:19" x14ac:dyDescent="0.25">
      <c r="A844" s="28">
        <v>2015</v>
      </c>
      <c r="B844" s="28"/>
      <c r="C844" s="28" t="s">
        <v>175</v>
      </c>
      <c r="D844" s="28" t="s">
        <v>571</v>
      </c>
      <c r="E844" s="28" t="s">
        <v>572</v>
      </c>
      <c r="F844" s="28" t="s">
        <v>303</v>
      </c>
      <c r="G844" s="28">
        <v>70051</v>
      </c>
      <c r="H844" s="28">
        <v>30.048590999999998</v>
      </c>
      <c r="I844" s="28">
        <v>-90.630941000000007</v>
      </c>
      <c r="J844" s="28" t="s">
        <v>573</v>
      </c>
      <c r="K844" s="61">
        <v>110007015871</v>
      </c>
      <c r="L844" s="61" t="str">
        <f>IFERROR(INDEX('Facility Summary'!$K:$K,MATCH(K844,'Facility Summary'!$J:$J,0)),INDEX('Raw Annual DMR Data'!$M:$M,MATCH(K844,'Raw Annual DMR Data'!$L:$L,0)))</f>
        <v>Manufacturing</v>
      </c>
      <c r="M844" s="28"/>
      <c r="N844" s="28"/>
      <c r="O844" s="28"/>
      <c r="P844" s="28"/>
      <c r="Q844" s="28"/>
      <c r="R844" s="28"/>
      <c r="S844" s="28">
        <v>0.16553287981859399</v>
      </c>
    </row>
    <row r="845" spans="1:19" x14ac:dyDescent="0.25">
      <c r="A845" s="28">
        <v>2017</v>
      </c>
      <c r="B845" s="28"/>
      <c r="C845" s="28" t="s">
        <v>177</v>
      </c>
      <c r="D845" s="28" t="s">
        <v>581</v>
      </c>
      <c r="E845" s="28" t="s">
        <v>582</v>
      </c>
      <c r="F845" s="28" t="s">
        <v>362</v>
      </c>
      <c r="G845" s="28">
        <v>78362</v>
      </c>
      <c r="H845" s="28">
        <v>27.883610999999998</v>
      </c>
      <c r="I845" s="28">
        <v>-97.241382999999999</v>
      </c>
      <c r="J845" s="28" t="s">
        <v>583</v>
      </c>
      <c r="K845" s="61">
        <v>110000599807</v>
      </c>
      <c r="L845" s="61" t="str">
        <f>IFERROR(INDEX('Facility Summary'!$K:$K,MATCH(K845,'Facility Summary'!$J:$J,0)),INDEX('Raw Annual DMR Data'!$M:$M,MATCH(K845,'Raw Annual DMR Data'!$L:$L,0)))</f>
        <v>Manufacturing</v>
      </c>
      <c r="M845" s="28"/>
      <c r="N845" s="28"/>
      <c r="O845" s="28"/>
      <c r="P845" s="28"/>
      <c r="Q845" s="28"/>
      <c r="R845" s="28"/>
      <c r="S845" s="28">
        <v>76.734693877550995</v>
      </c>
    </row>
    <row r="846" spans="1:19" x14ac:dyDescent="0.25">
      <c r="A846" s="28">
        <v>2017</v>
      </c>
      <c r="B846" s="28"/>
      <c r="C846" s="28" t="s">
        <v>1154</v>
      </c>
      <c r="D846" s="28" t="s">
        <v>1845</v>
      </c>
      <c r="E846" s="28" t="s">
        <v>1155</v>
      </c>
      <c r="F846" s="28" t="s">
        <v>366</v>
      </c>
      <c r="G846" s="28" t="s">
        <v>1846</v>
      </c>
      <c r="H846" s="28">
        <v>38.730832999999997</v>
      </c>
      <c r="I846" s="28">
        <v>-120.846667</v>
      </c>
      <c r="J846" s="28"/>
      <c r="K846" s="61">
        <v>110039757992</v>
      </c>
      <c r="L846" s="61" t="str">
        <f>IFERROR(INDEX('Facility Summary'!$K:$K,MATCH(K846,'Facility Summary'!$J:$J,0)),INDEX('Raw Annual DMR Data'!$M:$M,MATCH(K846,'Raw Annual DMR Data'!$L:$L,0)))</f>
        <v>POTW</v>
      </c>
      <c r="M846" s="28"/>
      <c r="N846" s="28"/>
      <c r="O846" s="28"/>
      <c r="P846" s="28"/>
      <c r="Q846" s="28"/>
      <c r="R846" s="28"/>
      <c r="S846" s="28">
        <v>5.0142449875000002E-2</v>
      </c>
    </row>
    <row r="847" spans="1:19" x14ac:dyDescent="0.25">
      <c r="A847" s="28">
        <v>2019</v>
      </c>
      <c r="B847" s="28"/>
      <c r="C847" s="28" t="s">
        <v>1156</v>
      </c>
      <c r="D847" s="28" t="s">
        <v>1849</v>
      </c>
      <c r="E847" s="28" t="s">
        <v>1157</v>
      </c>
      <c r="F847" s="28" t="s">
        <v>366</v>
      </c>
      <c r="G847" s="28">
        <v>956409626</v>
      </c>
      <c r="H847" s="28">
        <v>38.273180000000004</v>
      </c>
      <c r="I847" s="28">
        <v>-120.91082</v>
      </c>
      <c r="J847" s="28"/>
      <c r="K847" s="61">
        <v>110064616296</v>
      </c>
      <c r="L847" s="61" t="str">
        <f>IFERROR(INDEX('Facility Summary'!$K:$K,MATCH(K847,'Facility Summary'!$J:$J,0)),INDEX('Raw Annual DMR Data'!$M:$M,MATCH(K847,'Raw Annual DMR Data'!$L:$L,0)))</f>
        <v>POTW</v>
      </c>
      <c r="M847" s="28"/>
      <c r="N847" s="28"/>
      <c r="O847" s="28"/>
      <c r="P847" s="28"/>
      <c r="Q847" s="28"/>
      <c r="R847" s="28"/>
      <c r="S847" s="28">
        <v>8.6345312500000007E-3</v>
      </c>
    </row>
    <row r="848" spans="1:19" x14ac:dyDescent="0.25">
      <c r="A848" s="28">
        <v>2020</v>
      </c>
      <c r="B848" s="28"/>
      <c r="C848" s="28" t="s">
        <v>1156</v>
      </c>
      <c r="D848" s="28" t="s">
        <v>1849</v>
      </c>
      <c r="E848" s="28" t="s">
        <v>1157</v>
      </c>
      <c r="F848" s="28" t="s">
        <v>366</v>
      </c>
      <c r="G848" s="28">
        <v>956409626</v>
      </c>
      <c r="H848" s="28">
        <v>38.273180000000004</v>
      </c>
      <c r="I848" s="28">
        <v>-120.91082</v>
      </c>
      <c r="J848" s="28"/>
      <c r="K848" s="61">
        <v>110064616296</v>
      </c>
      <c r="L848" s="61" t="str">
        <f>IFERROR(INDEX('Facility Summary'!$K:$K,MATCH(K848,'Facility Summary'!$J:$J,0)),INDEX('Raw Annual DMR Data'!$M:$M,MATCH(K848,'Raw Annual DMR Data'!$L:$L,0)))</f>
        <v>POTW</v>
      </c>
      <c r="M848" s="28"/>
      <c r="N848" s="28"/>
      <c r="O848" s="28"/>
      <c r="P848" s="28"/>
      <c r="Q848" s="28"/>
      <c r="R848" s="28"/>
      <c r="S848" s="28">
        <v>5.1807187500000004E-3</v>
      </c>
    </row>
    <row r="849" spans="1:19" x14ac:dyDescent="0.25">
      <c r="A849" s="28">
        <v>2015</v>
      </c>
      <c r="B849" s="28"/>
      <c r="C849" s="28" t="s">
        <v>177</v>
      </c>
      <c r="D849" s="28" t="s">
        <v>581</v>
      </c>
      <c r="E849" s="28" t="s">
        <v>582</v>
      </c>
      <c r="F849" s="28" t="s">
        <v>362</v>
      </c>
      <c r="G849" s="28">
        <v>78362</v>
      </c>
      <c r="H849" s="28">
        <v>27.883610999999998</v>
      </c>
      <c r="I849" s="28">
        <v>-97.241382999999999</v>
      </c>
      <c r="J849" s="28" t="s">
        <v>583</v>
      </c>
      <c r="K849" s="61">
        <v>110000599807</v>
      </c>
      <c r="L849" s="61" t="str">
        <f>IFERROR(INDEX('Facility Summary'!$K:$K,MATCH(K849,'Facility Summary'!$J:$J,0)),INDEX('Raw Annual DMR Data'!$M:$M,MATCH(K849,'Raw Annual DMR Data'!$L:$L,0)))</f>
        <v>Manufacturing</v>
      </c>
      <c r="M849" s="28"/>
      <c r="N849" s="28"/>
      <c r="O849" s="28"/>
      <c r="P849" s="28"/>
      <c r="Q849" s="28"/>
      <c r="R849" s="28"/>
      <c r="S849" s="28">
        <v>24.4625850340136</v>
      </c>
    </row>
    <row r="850" spans="1:19" x14ac:dyDescent="0.25">
      <c r="A850" s="28">
        <v>2020</v>
      </c>
      <c r="B850" s="28"/>
      <c r="C850" s="28" t="s">
        <v>178</v>
      </c>
      <c r="D850" s="28" t="s">
        <v>584</v>
      </c>
      <c r="E850" s="28" t="s">
        <v>516</v>
      </c>
      <c r="F850" s="28" t="s">
        <v>303</v>
      </c>
      <c r="G850" s="28">
        <v>70734</v>
      </c>
      <c r="H850" s="28">
        <v>30.185099999999998</v>
      </c>
      <c r="I850" s="28">
        <v>-90.980400000000003</v>
      </c>
      <c r="J850" s="28" t="s">
        <v>585</v>
      </c>
      <c r="K850" s="61">
        <v>110000449774</v>
      </c>
      <c r="L850" s="61" t="str">
        <f>IFERROR(INDEX('Facility Summary'!$K:$K,MATCH(K850,'Facility Summary'!$J:$J,0)),INDEX('Raw Annual DMR Data'!$M:$M,MATCH(K850,'Raw Annual DMR Data'!$L:$L,0)))</f>
        <v>Manufacturing</v>
      </c>
      <c r="M850" s="28"/>
      <c r="N850" s="28"/>
      <c r="O850" s="28"/>
      <c r="P850" s="28"/>
      <c r="Q850" s="28"/>
      <c r="R850" s="28"/>
      <c r="S850" s="28">
        <v>94.693877551020407</v>
      </c>
    </row>
    <row r="851" spans="1:19" x14ac:dyDescent="0.25">
      <c r="A851" s="28">
        <v>2019</v>
      </c>
      <c r="B851" s="28"/>
      <c r="C851" s="28" t="s">
        <v>178</v>
      </c>
      <c r="D851" s="28" t="s">
        <v>584</v>
      </c>
      <c r="E851" s="28" t="s">
        <v>516</v>
      </c>
      <c r="F851" s="28" t="s">
        <v>303</v>
      </c>
      <c r="G851" s="28">
        <v>70734</v>
      </c>
      <c r="H851" s="28">
        <v>30.185099999999998</v>
      </c>
      <c r="I851" s="28">
        <v>-90.980400000000003</v>
      </c>
      <c r="J851" s="28" t="s">
        <v>585</v>
      </c>
      <c r="K851" s="61">
        <v>110000449774</v>
      </c>
      <c r="L851" s="61" t="str">
        <f>IFERROR(INDEX('Facility Summary'!$K:$K,MATCH(K851,'Facility Summary'!$J:$J,0)),INDEX('Raw Annual DMR Data'!$M:$M,MATCH(K851,'Raw Annual DMR Data'!$L:$L,0)))</f>
        <v>Manufacturing</v>
      </c>
      <c r="M851" s="28"/>
      <c r="N851" s="28"/>
      <c r="O851" s="28"/>
      <c r="P851" s="28"/>
      <c r="Q851" s="28"/>
      <c r="R851" s="28"/>
      <c r="S851" s="28">
        <v>74.231292517006693</v>
      </c>
    </row>
    <row r="852" spans="1:19" x14ac:dyDescent="0.25">
      <c r="A852" s="28">
        <v>2015</v>
      </c>
      <c r="B852" s="28"/>
      <c r="C852" s="28" t="s">
        <v>1160</v>
      </c>
      <c r="D852" s="28" t="s">
        <v>1856</v>
      </c>
      <c r="E852" s="28" t="s">
        <v>1103</v>
      </c>
      <c r="F852" s="28" t="s">
        <v>345</v>
      </c>
      <c r="G852" s="28" t="s">
        <v>1857</v>
      </c>
      <c r="H852" s="28">
        <v>41.304952</v>
      </c>
      <c r="I852" s="28">
        <v>-88.561650999999998</v>
      </c>
      <c r="J852" s="28" t="s">
        <v>720</v>
      </c>
      <c r="K852" s="61">
        <v>110000433022</v>
      </c>
      <c r="L852" s="61" t="str">
        <f>IFERROR(INDEX('Facility Summary'!$K:$K,MATCH(K852,'Facility Summary'!$J:$J,0)),INDEX('Raw Annual DMR Data'!$M:$M,MATCH(K852,'Raw Annual DMR Data'!$L:$L,0)))</f>
        <v>Unknown</v>
      </c>
      <c r="M852" s="28"/>
      <c r="N852" s="28"/>
      <c r="O852" s="28"/>
      <c r="P852" s="28"/>
      <c r="Q852" s="28"/>
      <c r="R852" s="28"/>
      <c r="S852" s="28">
        <v>1.8291383219954601E-2</v>
      </c>
    </row>
    <row r="853" spans="1:19" x14ac:dyDescent="0.25">
      <c r="A853" s="28">
        <v>2016</v>
      </c>
      <c r="B853" s="28"/>
      <c r="C853" s="28" t="s">
        <v>1160</v>
      </c>
      <c r="D853" s="28" t="s">
        <v>1856</v>
      </c>
      <c r="E853" s="28" t="s">
        <v>1103</v>
      </c>
      <c r="F853" s="28" t="s">
        <v>345</v>
      </c>
      <c r="G853" s="28" t="s">
        <v>1857</v>
      </c>
      <c r="H853" s="28">
        <v>41.304952</v>
      </c>
      <c r="I853" s="28">
        <v>-88.561650999999998</v>
      </c>
      <c r="J853" s="28" t="s">
        <v>720</v>
      </c>
      <c r="K853" s="61">
        <v>110000433022</v>
      </c>
      <c r="L853" s="61" t="str">
        <f>IFERROR(INDEX('Facility Summary'!$K:$K,MATCH(K853,'Facility Summary'!$J:$J,0)),INDEX('Raw Annual DMR Data'!$M:$M,MATCH(K853,'Raw Annual DMR Data'!$L:$L,0)))</f>
        <v>Unknown</v>
      </c>
      <c r="M853" s="28"/>
      <c r="N853" s="28"/>
      <c r="O853" s="28"/>
      <c r="P853" s="28"/>
      <c r="Q853" s="28"/>
      <c r="R853" s="28"/>
      <c r="S853" s="28">
        <v>0.10263038548752799</v>
      </c>
    </row>
    <row r="854" spans="1:19" x14ac:dyDescent="0.25">
      <c r="A854" s="28">
        <v>2017</v>
      </c>
      <c r="B854" s="28"/>
      <c r="C854" s="28" t="s">
        <v>1160</v>
      </c>
      <c r="D854" s="28" t="s">
        <v>1856</v>
      </c>
      <c r="E854" s="28" t="s">
        <v>1103</v>
      </c>
      <c r="F854" s="28" t="s">
        <v>345</v>
      </c>
      <c r="G854" s="28" t="s">
        <v>1857</v>
      </c>
      <c r="H854" s="28">
        <v>41.304952</v>
      </c>
      <c r="I854" s="28">
        <v>-88.561650999999998</v>
      </c>
      <c r="J854" s="28" t="s">
        <v>720</v>
      </c>
      <c r="K854" s="61">
        <v>110000433022</v>
      </c>
      <c r="L854" s="61" t="str">
        <f>IFERROR(INDEX('Facility Summary'!$K:$K,MATCH(K854,'Facility Summary'!$J:$J,0)),INDEX('Raw Annual DMR Data'!$M:$M,MATCH(K854,'Raw Annual DMR Data'!$L:$L,0)))</f>
        <v>Unknown</v>
      </c>
      <c r="M854" s="28"/>
      <c r="N854" s="28"/>
      <c r="O854" s="28"/>
      <c r="P854" s="28"/>
      <c r="Q854" s="28"/>
      <c r="R854" s="28"/>
      <c r="S854" s="28">
        <v>0.124811791383219</v>
      </c>
    </row>
    <row r="855" spans="1:19" x14ac:dyDescent="0.25">
      <c r="A855" s="28">
        <v>2018</v>
      </c>
      <c r="B855" s="28"/>
      <c r="C855" s="28" t="s">
        <v>1160</v>
      </c>
      <c r="D855" s="28" t="s">
        <v>1856</v>
      </c>
      <c r="E855" s="28" t="s">
        <v>1103</v>
      </c>
      <c r="F855" s="28" t="s">
        <v>345</v>
      </c>
      <c r="G855" s="28" t="s">
        <v>1857</v>
      </c>
      <c r="H855" s="28">
        <v>41.304952</v>
      </c>
      <c r="I855" s="28">
        <v>-88.561650999999998</v>
      </c>
      <c r="J855" s="28" t="s">
        <v>720</v>
      </c>
      <c r="K855" s="61">
        <v>110000433022</v>
      </c>
      <c r="L855" s="61" t="str">
        <f>IFERROR(INDEX('Facility Summary'!$K:$K,MATCH(K855,'Facility Summary'!$J:$J,0)),INDEX('Raw Annual DMR Data'!$M:$M,MATCH(K855,'Raw Annual DMR Data'!$L:$L,0)))</f>
        <v>Unknown</v>
      </c>
      <c r="M855" s="28"/>
      <c r="N855" s="28"/>
      <c r="O855" s="28"/>
      <c r="P855" s="28"/>
      <c r="Q855" s="28"/>
      <c r="R855" s="28"/>
      <c r="S855" s="302">
        <v>2.3398072562358201E-2</v>
      </c>
    </row>
    <row r="856" spans="1:19" x14ac:dyDescent="0.25">
      <c r="A856" s="28">
        <v>2019</v>
      </c>
      <c r="B856" s="28"/>
      <c r="C856" s="28" t="s">
        <v>1160</v>
      </c>
      <c r="D856" s="28" t="s">
        <v>1856</v>
      </c>
      <c r="E856" s="28" t="s">
        <v>1103</v>
      </c>
      <c r="F856" s="28" t="s">
        <v>345</v>
      </c>
      <c r="G856" s="28" t="s">
        <v>1857</v>
      </c>
      <c r="H856" s="28">
        <v>41.304952</v>
      </c>
      <c r="I856" s="28">
        <v>-88.561650999999998</v>
      </c>
      <c r="J856" s="28" t="s">
        <v>720</v>
      </c>
      <c r="K856" s="61">
        <v>110000433022</v>
      </c>
      <c r="L856" s="61" t="str">
        <f>IFERROR(INDEX('Facility Summary'!$K:$K,MATCH(K856,'Facility Summary'!$J:$J,0)),INDEX('Raw Annual DMR Data'!$M:$M,MATCH(K856,'Raw Annual DMR Data'!$L:$L,0)))</f>
        <v>Unknown</v>
      </c>
      <c r="M856" s="28"/>
      <c r="N856" s="28"/>
      <c r="O856" s="28"/>
      <c r="P856" s="28"/>
      <c r="Q856" s="28"/>
      <c r="R856" s="28"/>
      <c r="S856" s="28">
        <v>6.4475056689342294E-2</v>
      </c>
    </row>
    <row r="857" spans="1:19" x14ac:dyDescent="0.25">
      <c r="A857" s="28">
        <v>2020</v>
      </c>
      <c r="B857" s="28"/>
      <c r="C857" s="28" t="s">
        <v>1160</v>
      </c>
      <c r="D857" s="28" t="s">
        <v>1856</v>
      </c>
      <c r="E857" s="28" t="s">
        <v>1103</v>
      </c>
      <c r="F857" s="28" t="s">
        <v>345</v>
      </c>
      <c r="G857" s="28" t="s">
        <v>1857</v>
      </c>
      <c r="H857" s="28">
        <v>41.304952</v>
      </c>
      <c r="I857" s="28">
        <v>-88.561650999999998</v>
      </c>
      <c r="J857" s="28" t="s">
        <v>720</v>
      </c>
      <c r="K857" s="61">
        <v>110000433022</v>
      </c>
      <c r="L857" s="61" t="str">
        <f>IFERROR(INDEX('Facility Summary'!$K:$K,MATCH(K857,'Facility Summary'!$J:$J,0)),INDEX('Raw Annual DMR Data'!$M:$M,MATCH(K857,'Raw Annual DMR Data'!$L:$L,0)))</f>
        <v>Unknown</v>
      </c>
      <c r="M857" s="28"/>
      <c r="N857" s="28"/>
      <c r="O857" s="28"/>
      <c r="P857" s="28"/>
      <c r="Q857" s="28"/>
      <c r="R857" s="28"/>
      <c r="S857" s="28">
        <v>0.204433106575963</v>
      </c>
    </row>
    <row r="858" spans="1:19" x14ac:dyDescent="0.25">
      <c r="A858" s="28">
        <v>2017</v>
      </c>
      <c r="B858" s="28"/>
      <c r="C858" s="28" t="s">
        <v>1161</v>
      </c>
      <c r="D858" s="28" t="s">
        <v>1861</v>
      </c>
      <c r="E858" s="28" t="s">
        <v>1162</v>
      </c>
      <c r="F858" s="28" t="s">
        <v>338</v>
      </c>
      <c r="G858" s="28">
        <v>80271164</v>
      </c>
      <c r="H858" s="28">
        <v>39.827696000000003</v>
      </c>
      <c r="I858" s="28">
        <v>-75.277782000000002</v>
      </c>
      <c r="J858" s="28"/>
      <c r="K858" s="61">
        <v>110070210457</v>
      </c>
      <c r="L858" s="61" t="str">
        <f>IFERROR(INDEX('Facility Summary'!$K:$K,MATCH(K858,'Facility Summary'!$J:$J,0)),INDEX('Raw Annual DMR Data'!$M:$M,MATCH(K858,'Raw Annual DMR Data'!$L:$L,0)))</f>
        <v>Remediation</v>
      </c>
      <c r="M858" s="28"/>
      <c r="N858" s="28"/>
      <c r="O858" s="28"/>
      <c r="P858" s="28"/>
      <c r="Q858" s="28"/>
      <c r="R858" s="28"/>
      <c r="S858" s="28">
        <v>5.0075550000000003E-3</v>
      </c>
    </row>
    <row r="859" spans="1:19" x14ac:dyDescent="0.25">
      <c r="A859" s="28">
        <v>2018</v>
      </c>
      <c r="B859" s="28"/>
      <c r="C859" s="28" t="s">
        <v>1161</v>
      </c>
      <c r="D859" s="28" t="s">
        <v>1861</v>
      </c>
      <c r="E859" s="28" t="s">
        <v>1162</v>
      </c>
      <c r="F859" s="28" t="s">
        <v>338</v>
      </c>
      <c r="G859" s="302" t="s">
        <v>1863</v>
      </c>
      <c r="H859" s="28">
        <v>39.827696000000003</v>
      </c>
      <c r="I859" s="28">
        <v>-75.277782000000002</v>
      </c>
      <c r="J859" s="28"/>
      <c r="K859" s="61">
        <v>110070210457</v>
      </c>
      <c r="L859" s="61" t="str">
        <f>IFERROR(INDEX('Facility Summary'!$K:$K,MATCH(K859,'Facility Summary'!$J:$J,0)),INDEX('Raw Annual DMR Data'!$M:$M,MATCH(K859,'Raw Annual DMR Data'!$L:$L,0)))</f>
        <v>Remediation</v>
      </c>
      <c r="M859" s="28"/>
      <c r="N859" s="28"/>
      <c r="O859" s="28"/>
      <c r="P859" s="28"/>
      <c r="Q859" s="28"/>
      <c r="R859" s="28"/>
      <c r="S859" s="28">
        <v>5.0160712500000003E-3</v>
      </c>
    </row>
    <row r="860" spans="1:19" x14ac:dyDescent="0.25">
      <c r="A860" s="28">
        <v>2019</v>
      </c>
      <c r="B860" s="28"/>
      <c r="C860" s="28" t="s">
        <v>1161</v>
      </c>
      <c r="D860" s="28" t="s">
        <v>1861</v>
      </c>
      <c r="E860" s="28" t="s">
        <v>1162</v>
      </c>
      <c r="F860" s="28" t="s">
        <v>338</v>
      </c>
      <c r="G860" s="28">
        <v>80271164</v>
      </c>
      <c r="H860" s="28">
        <v>39.827696000000003</v>
      </c>
      <c r="I860" s="28">
        <v>-75.277782000000002</v>
      </c>
      <c r="J860" s="28"/>
      <c r="K860" s="61">
        <v>110070210457</v>
      </c>
      <c r="L860" s="61" t="str">
        <f>IFERROR(INDEX('Facility Summary'!$K:$K,MATCH(K860,'Facility Summary'!$J:$J,0)),INDEX('Raw Annual DMR Data'!$M:$M,MATCH(K860,'Raw Annual DMR Data'!$L:$L,0)))</f>
        <v>Remediation</v>
      </c>
      <c r="M860" s="28"/>
      <c r="N860" s="28"/>
      <c r="O860" s="28"/>
      <c r="P860" s="28"/>
      <c r="Q860" s="28"/>
      <c r="R860" s="28"/>
      <c r="S860" s="28">
        <v>4.9808707499999997E-3</v>
      </c>
    </row>
    <row r="861" spans="1:19" x14ac:dyDescent="0.25">
      <c r="A861" s="28">
        <v>2020</v>
      </c>
      <c r="B861" s="28"/>
      <c r="C861" s="28" t="s">
        <v>1161</v>
      </c>
      <c r="D861" s="28" t="s">
        <v>1861</v>
      </c>
      <c r="E861" s="28" t="s">
        <v>1162</v>
      </c>
      <c r="F861" s="28" t="s">
        <v>338</v>
      </c>
      <c r="G861" s="28">
        <v>80271164</v>
      </c>
      <c r="H861" s="28">
        <v>39.827696000000003</v>
      </c>
      <c r="I861" s="28">
        <v>-75.277782000000002</v>
      </c>
      <c r="J861" s="28"/>
      <c r="K861" s="61">
        <v>110070210457</v>
      </c>
      <c r="L861" s="61" t="str">
        <f>IFERROR(INDEX('Facility Summary'!$K:$K,MATCH(K861,'Facility Summary'!$J:$J,0)),INDEX('Raw Annual DMR Data'!$M:$M,MATCH(K861,'Raw Annual DMR Data'!$L:$L,0)))</f>
        <v>Remediation</v>
      </c>
      <c r="M861" s="28"/>
      <c r="N861" s="28"/>
      <c r="O861" s="28"/>
      <c r="P861" s="28"/>
      <c r="Q861" s="28"/>
      <c r="R861" s="28"/>
      <c r="S861" s="28">
        <v>4.6669996250000003E-3</v>
      </c>
    </row>
    <row r="862" spans="1:19" x14ac:dyDescent="0.25">
      <c r="A862" s="28">
        <v>2019</v>
      </c>
      <c r="B862" s="28"/>
      <c r="C862" s="28" t="s">
        <v>1163</v>
      </c>
      <c r="D862" s="28" t="s">
        <v>1865</v>
      </c>
      <c r="E862" s="28" t="s">
        <v>987</v>
      </c>
      <c r="F862" s="28" t="s">
        <v>324</v>
      </c>
      <c r="G862" s="28" t="s">
        <v>1866</v>
      </c>
      <c r="H862" s="28">
        <v>38.322221999999996</v>
      </c>
      <c r="I862" s="28">
        <v>-85.555000000000007</v>
      </c>
      <c r="J862" s="28"/>
      <c r="K862" s="61">
        <v>110000732271</v>
      </c>
      <c r="L862" s="61" t="str">
        <f>IFERROR(INDEX('Facility Summary'!$K:$K,MATCH(K862,'Facility Summary'!$J:$J,0)),INDEX('Raw Annual DMR Data'!$M:$M,MATCH(K862,'Raw Annual DMR Data'!$L:$L,0)))</f>
        <v>POTW</v>
      </c>
      <c r="M862" s="28"/>
      <c r="N862" s="28"/>
      <c r="O862" s="28"/>
      <c r="P862" s="28"/>
      <c r="Q862" s="28"/>
      <c r="R862" s="28"/>
      <c r="S862" s="28">
        <v>14.512920125000001</v>
      </c>
    </row>
    <row r="863" spans="1:19" x14ac:dyDescent="0.25">
      <c r="A863" s="28">
        <v>2020</v>
      </c>
      <c r="B863" s="28"/>
      <c r="C863" s="28" t="s">
        <v>1163</v>
      </c>
      <c r="D863" s="28" t="s">
        <v>1865</v>
      </c>
      <c r="E863" s="28" t="s">
        <v>987</v>
      </c>
      <c r="F863" s="28" t="s">
        <v>324</v>
      </c>
      <c r="G863" s="28" t="s">
        <v>1866</v>
      </c>
      <c r="H863" s="28">
        <v>38.322221999999996</v>
      </c>
      <c r="I863" s="28">
        <v>-85.555000000000007</v>
      </c>
      <c r="J863" s="28"/>
      <c r="K863" s="61">
        <v>110000732271</v>
      </c>
      <c r="L863" s="61" t="str">
        <f>IFERROR(INDEX('Facility Summary'!$K:$K,MATCH(K863,'Facility Summary'!$J:$J,0)),INDEX('Raw Annual DMR Data'!$M:$M,MATCH(K863,'Raw Annual DMR Data'!$L:$L,0)))</f>
        <v>POTW</v>
      </c>
      <c r="M863" s="28"/>
      <c r="N863" s="28"/>
      <c r="O863" s="28"/>
      <c r="P863" s="28"/>
      <c r="Q863" s="28"/>
      <c r="R863" s="28"/>
      <c r="S863" s="28">
        <v>14.022478749999999</v>
      </c>
    </row>
    <row r="864" spans="1:19" x14ac:dyDescent="0.25">
      <c r="A864" s="28">
        <v>2017</v>
      </c>
      <c r="B864" s="28"/>
      <c r="C864" s="28" t="s">
        <v>178</v>
      </c>
      <c r="D864" s="28" t="s">
        <v>584</v>
      </c>
      <c r="E864" s="28" t="s">
        <v>516</v>
      </c>
      <c r="F864" s="28" t="s">
        <v>303</v>
      </c>
      <c r="G864" s="28">
        <v>70734</v>
      </c>
      <c r="H864" s="28">
        <v>30.185099999999998</v>
      </c>
      <c r="I864" s="28">
        <v>-90.980400000000003</v>
      </c>
      <c r="J864" s="28" t="s">
        <v>585</v>
      </c>
      <c r="K864" s="61">
        <v>110000449774</v>
      </c>
      <c r="L864" s="61" t="str">
        <f>IFERROR(INDEX('Facility Summary'!$K:$K,MATCH(K864,'Facility Summary'!$J:$J,0)),INDEX('Raw Annual DMR Data'!$M:$M,MATCH(K864,'Raw Annual DMR Data'!$L:$L,0)))</f>
        <v>Manufacturing</v>
      </c>
      <c r="M864" s="28"/>
      <c r="N864" s="28"/>
      <c r="O864" s="28"/>
      <c r="P864" s="28"/>
      <c r="Q864" s="28"/>
      <c r="R864" s="28"/>
      <c r="S864" s="28">
        <v>15.183673469387699</v>
      </c>
    </row>
    <row r="865" spans="1:19" x14ac:dyDescent="0.25">
      <c r="A865" s="28">
        <v>2016</v>
      </c>
      <c r="B865" s="28"/>
      <c r="C865" s="28" t="s">
        <v>178</v>
      </c>
      <c r="D865" s="28" t="s">
        <v>584</v>
      </c>
      <c r="E865" s="28" t="s">
        <v>516</v>
      </c>
      <c r="F865" s="28" t="s">
        <v>303</v>
      </c>
      <c r="G865" s="28">
        <v>70734</v>
      </c>
      <c r="H865" s="28">
        <v>30.185099999999998</v>
      </c>
      <c r="I865" s="28">
        <v>-90.980400000000003</v>
      </c>
      <c r="J865" s="28" t="s">
        <v>585</v>
      </c>
      <c r="K865" s="61">
        <v>110000449774</v>
      </c>
      <c r="L865" s="61" t="str">
        <f>IFERROR(INDEX('Facility Summary'!$K:$K,MATCH(K865,'Facility Summary'!$J:$J,0)),INDEX('Raw Annual DMR Data'!$M:$M,MATCH(K865,'Raw Annual DMR Data'!$L:$L,0)))</f>
        <v>Manufacturing</v>
      </c>
      <c r="M865" s="28"/>
      <c r="N865" s="28"/>
      <c r="O865" s="28"/>
      <c r="P865" s="28"/>
      <c r="Q865" s="28"/>
      <c r="R865" s="28"/>
      <c r="S865" s="28">
        <v>13.841269841269799</v>
      </c>
    </row>
    <row r="866" spans="1:19" x14ac:dyDescent="0.25">
      <c r="A866" s="28">
        <v>2015</v>
      </c>
      <c r="B866" s="28"/>
      <c r="C866" s="28" t="s">
        <v>178</v>
      </c>
      <c r="D866" s="28" t="s">
        <v>584</v>
      </c>
      <c r="E866" s="28" t="s">
        <v>516</v>
      </c>
      <c r="F866" s="28" t="s">
        <v>303</v>
      </c>
      <c r="G866" s="28">
        <v>70734</v>
      </c>
      <c r="H866" s="28">
        <v>30.185099999999998</v>
      </c>
      <c r="I866" s="28">
        <v>-90.980400000000003</v>
      </c>
      <c r="J866" s="28" t="s">
        <v>585</v>
      </c>
      <c r="K866" s="61">
        <v>110000449774</v>
      </c>
      <c r="L866" s="61" t="str">
        <f>IFERROR(INDEX('Facility Summary'!$K:$K,MATCH(K866,'Facility Summary'!$J:$J,0)),INDEX('Raw Annual DMR Data'!$M:$M,MATCH(K866,'Raw Annual DMR Data'!$L:$L,0)))</f>
        <v>Manufacturing</v>
      </c>
      <c r="M866" s="28"/>
      <c r="N866" s="28"/>
      <c r="O866" s="28"/>
      <c r="P866" s="28"/>
      <c r="Q866" s="28"/>
      <c r="R866" s="28"/>
      <c r="S866" s="28">
        <v>9.1700680272108794</v>
      </c>
    </row>
    <row r="867" spans="1:19" x14ac:dyDescent="0.25">
      <c r="A867" s="28">
        <v>2017</v>
      </c>
      <c r="B867" s="28"/>
      <c r="C867" s="28" t="s">
        <v>1165</v>
      </c>
      <c r="D867" s="28" t="s">
        <v>1871</v>
      </c>
      <c r="E867" s="28" t="s">
        <v>1166</v>
      </c>
      <c r="F867" s="28" t="s">
        <v>338</v>
      </c>
      <c r="G867" s="28" t="s">
        <v>1872</v>
      </c>
      <c r="H867" s="28">
        <v>39.973252000000002</v>
      </c>
      <c r="I867" s="28">
        <v>-75.018894000000003</v>
      </c>
      <c r="J867" s="28"/>
      <c r="K867" s="61">
        <v>110014480445</v>
      </c>
      <c r="L867" s="61" t="str">
        <f>IFERROR(INDEX('Facility Summary'!$K:$K,MATCH(K867,'Facility Summary'!$J:$J,0)),INDEX('Raw Annual DMR Data'!$M:$M,MATCH(K867,'Raw Annual DMR Data'!$L:$L,0)))</f>
        <v>Industrial and commercial non-aerosol cleaning/degreasing</v>
      </c>
      <c r="M867" s="28"/>
      <c r="N867" s="28"/>
      <c r="O867" s="28"/>
      <c r="P867" s="28"/>
      <c r="Q867" s="28"/>
      <c r="R867" s="28"/>
      <c r="S867" s="28">
        <v>1.4625239999999999E-2</v>
      </c>
    </row>
    <row r="868" spans="1:19" x14ac:dyDescent="0.25">
      <c r="A868" s="28">
        <v>2016</v>
      </c>
      <c r="B868" s="28"/>
      <c r="C868" s="28" t="s">
        <v>1167</v>
      </c>
      <c r="D868" s="28" t="s">
        <v>1875</v>
      </c>
      <c r="E868" s="28" t="s">
        <v>1168</v>
      </c>
      <c r="F868" s="28" t="s">
        <v>338</v>
      </c>
      <c r="G868" s="28">
        <v>79621057</v>
      </c>
      <c r="H868" s="28">
        <v>40.792712999999999</v>
      </c>
      <c r="I868" s="28">
        <v>-74.434799999999996</v>
      </c>
      <c r="J868" s="28"/>
      <c r="K868" s="61">
        <v>110070212650</v>
      </c>
      <c r="L868" s="61" t="str">
        <f>IFERROR(INDEX('Facility Summary'!$K:$K,MATCH(K868,'Facility Summary'!$J:$J,0)),INDEX('Raw Annual DMR Data'!$M:$M,MATCH(K868,'Raw Annual DMR Data'!$L:$L,0)))</f>
        <v>Processing into formulation, mixture, or reaction product</v>
      </c>
      <c r="M868" s="28"/>
      <c r="N868" s="28"/>
      <c r="O868" s="28"/>
      <c r="P868" s="28"/>
      <c r="Q868" s="28"/>
      <c r="R868" s="28"/>
      <c r="S868" s="28">
        <v>3.1722841999999897E-2</v>
      </c>
    </row>
    <row r="869" spans="1:19" x14ac:dyDescent="0.25">
      <c r="A869" s="28">
        <v>2017</v>
      </c>
      <c r="B869" s="28"/>
      <c r="C869" s="28" t="s">
        <v>1167</v>
      </c>
      <c r="D869" s="28" t="s">
        <v>1875</v>
      </c>
      <c r="E869" s="28" t="s">
        <v>1168</v>
      </c>
      <c r="F869" s="28" t="s">
        <v>338</v>
      </c>
      <c r="G869" s="28">
        <v>79621057</v>
      </c>
      <c r="H869" s="28">
        <v>40.792712999999999</v>
      </c>
      <c r="I869" s="28">
        <v>-74.434799999999996</v>
      </c>
      <c r="J869" s="28"/>
      <c r="K869" s="61">
        <v>110070212650</v>
      </c>
      <c r="L869" s="61" t="str">
        <f>IFERROR(INDEX('Facility Summary'!$K:$K,MATCH(K869,'Facility Summary'!$J:$J,0)),INDEX('Raw Annual DMR Data'!$M:$M,MATCH(K869,'Raw Annual DMR Data'!$L:$L,0)))</f>
        <v>Processing into formulation, mixture, or reaction product</v>
      </c>
      <c r="M869" s="28"/>
      <c r="N869" s="28"/>
      <c r="O869" s="28"/>
      <c r="P869" s="28"/>
      <c r="Q869" s="28"/>
      <c r="R869" s="28"/>
      <c r="S869" s="28">
        <v>3.0546963619999899E-2</v>
      </c>
    </row>
    <row r="870" spans="1:19" x14ac:dyDescent="0.25">
      <c r="A870" s="28">
        <v>2018</v>
      </c>
      <c r="B870" s="28"/>
      <c r="C870" s="28" t="s">
        <v>1167</v>
      </c>
      <c r="D870" s="28" t="s">
        <v>1875</v>
      </c>
      <c r="E870" s="28" t="s">
        <v>1168</v>
      </c>
      <c r="F870" s="28" t="s">
        <v>338</v>
      </c>
      <c r="G870" s="302" t="s">
        <v>1878</v>
      </c>
      <c r="H870" s="28">
        <v>40.792712999999999</v>
      </c>
      <c r="I870" s="28">
        <v>-74.434799999999996</v>
      </c>
      <c r="J870" s="28"/>
      <c r="K870" s="61">
        <v>110070212650</v>
      </c>
      <c r="L870" s="61" t="str">
        <f>IFERROR(INDEX('Facility Summary'!$K:$K,MATCH(K870,'Facility Summary'!$J:$J,0)),INDEX('Raw Annual DMR Data'!$M:$M,MATCH(K870,'Raw Annual DMR Data'!$L:$L,0)))</f>
        <v>Processing into formulation, mixture, or reaction product</v>
      </c>
      <c r="M870" s="28"/>
      <c r="N870" s="28"/>
      <c r="O870" s="28"/>
      <c r="P870" s="28"/>
      <c r="Q870" s="28"/>
      <c r="R870" s="28"/>
      <c r="S870" s="302">
        <v>2.1001956297499898E-2</v>
      </c>
    </row>
    <row r="871" spans="1:19" x14ac:dyDescent="0.25">
      <c r="A871" s="28">
        <v>2019</v>
      </c>
      <c r="B871" s="28"/>
      <c r="C871" s="28" t="s">
        <v>1167</v>
      </c>
      <c r="D871" s="28" t="s">
        <v>1875</v>
      </c>
      <c r="E871" s="28" t="s">
        <v>1168</v>
      </c>
      <c r="F871" s="28" t="s">
        <v>338</v>
      </c>
      <c r="G871" s="28">
        <v>79621057</v>
      </c>
      <c r="H871" s="28">
        <v>40.792712999999999</v>
      </c>
      <c r="I871" s="28">
        <v>-74.434799999999996</v>
      </c>
      <c r="J871" s="28"/>
      <c r="K871" s="61">
        <v>110070212650</v>
      </c>
      <c r="L871" s="61" t="str">
        <f>IFERROR(INDEX('Facility Summary'!$K:$K,MATCH(K871,'Facility Summary'!$J:$J,0)),INDEX('Raw Annual DMR Data'!$M:$M,MATCH(K871,'Raw Annual DMR Data'!$L:$L,0)))</f>
        <v>Processing into formulation, mixture, or reaction product</v>
      </c>
      <c r="M871" s="28"/>
      <c r="N871" s="28"/>
      <c r="O871" s="28"/>
      <c r="P871" s="28"/>
      <c r="Q871" s="28"/>
      <c r="R871" s="28"/>
      <c r="S871" s="28">
        <v>3.4402584149999901E-2</v>
      </c>
    </row>
    <row r="872" spans="1:19" x14ac:dyDescent="0.25">
      <c r="A872" s="28">
        <v>2020</v>
      </c>
      <c r="B872" s="28"/>
      <c r="C872" s="28" t="s">
        <v>1167</v>
      </c>
      <c r="D872" s="28" t="s">
        <v>1875</v>
      </c>
      <c r="E872" s="28" t="s">
        <v>1168</v>
      </c>
      <c r="F872" s="28" t="s">
        <v>338</v>
      </c>
      <c r="G872" s="28">
        <v>79621057</v>
      </c>
      <c r="H872" s="28">
        <v>40.792712999999999</v>
      </c>
      <c r="I872" s="28">
        <v>-74.434799999999996</v>
      </c>
      <c r="J872" s="28"/>
      <c r="K872" s="61">
        <v>110070212650</v>
      </c>
      <c r="L872" s="61" t="str">
        <f>IFERROR(INDEX('Facility Summary'!$K:$K,MATCH(K872,'Facility Summary'!$J:$J,0)),INDEX('Raw Annual DMR Data'!$M:$M,MATCH(K872,'Raw Annual DMR Data'!$L:$L,0)))</f>
        <v>Processing into formulation, mixture, or reaction product</v>
      </c>
      <c r="M872" s="28"/>
      <c r="N872" s="28"/>
      <c r="O872" s="28"/>
      <c r="P872" s="28"/>
      <c r="Q872" s="28"/>
      <c r="R872" s="28"/>
      <c r="S872" s="28">
        <v>3.6855703209999903E-2</v>
      </c>
    </row>
    <row r="873" spans="1:19" x14ac:dyDescent="0.25">
      <c r="A873" s="28">
        <v>2015</v>
      </c>
      <c r="B873" s="28"/>
      <c r="C873" s="28" t="s">
        <v>1169</v>
      </c>
      <c r="D873" s="28" t="s">
        <v>1882</v>
      </c>
      <c r="E873" s="28" t="s">
        <v>1170</v>
      </c>
      <c r="F873" s="28" t="s">
        <v>1171</v>
      </c>
      <c r="G873" s="28">
        <v>96706</v>
      </c>
      <c r="H873" s="28">
        <v>21.329699999999999</v>
      </c>
      <c r="I873" s="28">
        <v>-158.03559999999999</v>
      </c>
      <c r="J873" s="28"/>
      <c r="K873" s="61">
        <v>110020728943</v>
      </c>
      <c r="L873" s="61" t="str">
        <f>IFERROR(INDEX('Facility Summary'!$K:$K,MATCH(K873,'Facility Summary'!$J:$J,0)),INDEX('Raw Annual DMR Data'!$M:$M,MATCH(K873,'Raw Annual DMR Data'!$L:$L,0)))</f>
        <v>POTW</v>
      </c>
      <c r="M873" s="28"/>
      <c r="N873" s="28"/>
      <c r="O873" s="28"/>
      <c r="P873" s="28"/>
      <c r="Q873" s="28"/>
      <c r="R873" s="28"/>
      <c r="S873" s="28">
        <v>0.30303079416000001</v>
      </c>
    </row>
    <row r="874" spans="1:19" x14ac:dyDescent="0.25">
      <c r="A874" s="28">
        <v>2019</v>
      </c>
      <c r="B874" s="28"/>
      <c r="C874" s="28" t="s">
        <v>1169</v>
      </c>
      <c r="D874" s="28" t="s">
        <v>1882</v>
      </c>
      <c r="E874" s="28" t="s">
        <v>1170</v>
      </c>
      <c r="F874" s="28" t="s">
        <v>1171</v>
      </c>
      <c r="G874" s="28">
        <v>96706</v>
      </c>
      <c r="H874" s="28">
        <v>21.329699999999999</v>
      </c>
      <c r="I874" s="28">
        <v>-158.03559999999999</v>
      </c>
      <c r="J874" s="28"/>
      <c r="K874" s="61">
        <v>110020728943</v>
      </c>
      <c r="L874" s="61" t="str">
        <f>IFERROR(INDEX('Facility Summary'!$K:$K,MATCH(K874,'Facility Summary'!$J:$J,0)),INDEX('Raw Annual DMR Data'!$M:$M,MATCH(K874,'Raw Annual DMR Data'!$L:$L,0)))</f>
        <v>POTW</v>
      </c>
      <c r="M874" s="28"/>
      <c r="N874" s="28"/>
      <c r="O874" s="28"/>
      <c r="P874" s="28"/>
      <c r="Q874" s="28"/>
      <c r="R874" s="28"/>
      <c r="S874" s="28">
        <v>0.29187382536000001</v>
      </c>
    </row>
    <row r="875" spans="1:19" x14ac:dyDescent="0.25">
      <c r="A875" s="28">
        <v>2018</v>
      </c>
      <c r="B875" s="28"/>
      <c r="C875" s="28" t="s">
        <v>1172</v>
      </c>
      <c r="D875" s="28" t="s">
        <v>1884</v>
      </c>
      <c r="E875" s="28" t="s">
        <v>1173</v>
      </c>
      <c r="F875" s="28" t="s">
        <v>324</v>
      </c>
      <c r="G875" s="28">
        <v>42240</v>
      </c>
      <c r="H875" s="28">
        <v>36.803610999999997</v>
      </c>
      <c r="I875" s="28">
        <v>-87.516389000000004</v>
      </c>
      <c r="J875" s="28"/>
      <c r="K875" s="61">
        <v>110039994897</v>
      </c>
      <c r="L875" s="61" t="str">
        <f>IFERROR(INDEX('Facility Summary'!$K:$K,MATCH(K875,'Facility Summary'!$J:$J,0)),INDEX('Raw Annual DMR Data'!$M:$M,MATCH(K875,'Raw Annual DMR Data'!$L:$L,0)))</f>
        <v>POTW</v>
      </c>
      <c r="M875" s="28"/>
      <c r="N875" s="28"/>
      <c r="O875" s="28"/>
      <c r="P875" s="28"/>
      <c r="Q875" s="28"/>
      <c r="R875" s="28"/>
      <c r="S875" s="28">
        <v>16.4366936875</v>
      </c>
    </row>
    <row r="876" spans="1:19" x14ac:dyDescent="0.25">
      <c r="A876" s="28">
        <v>2019</v>
      </c>
      <c r="B876" s="28"/>
      <c r="C876" s="28" t="s">
        <v>1172</v>
      </c>
      <c r="D876" s="28" t="s">
        <v>1884</v>
      </c>
      <c r="E876" s="28" t="s">
        <v>1173</v>
      </c>
      <c r="F876" s="28" t="s">
        <v>324</v>
      </c>
      <c r="G876" s="28">
        <v>42240</v>
      </c>
      <c r="H876" s="28">
        <v>36.803610999999997</v>
      </c>
      <c r="I876" s="28">
        <v>-87.516389000000004</v>
      </c>
      <c r="J876" s="28"/>
      <c r="K876" s="61">
        <v>110039994897</v>
      </c>
      <c r="L876" s="61" t="str">
        <f>IFERROR(INDEX('Facility Summary'!$K:$K,MATCH(K876,'Facility Summary'!$J:$J,0)),INDEX('Raw Annual DMR Data'!$M:$M,MATCH(K876,'Raw Annual DMR Data'!$L:$L,0)))</f>
        <v>POTW</v>
      </c>
      <c r="M876" s="28"/>
      <c r="N876" s="28"/>
      <c r="O876" s="28"/>
      <c r="P876" s="28"/>
      <c r="Q876" s="28"/>
      <c r="R876" s="28"/>
      <c r="S876" s="28">
        <v>5.709842825</v>
      </c>
    </row>
    <row r="877" spans="1:19" x14ac:dyDescent="0.25">
      <c r="A877" s="28">
        <v>2020</v>
      </c>
      <c r="B877" s="28"/>
      <c r="C877" s="28" t="s">
        <v>1172</v>
      </c>
      <c r="D877" s="28" t="s">
        <v>1884</v>
      </c>
      <c r="E877" s="28" t="s">
        <v>1173</v>
      </c>
      <c r="F877" s="28" t="s">
        <v>324</v>
      </c>
      <c r="G877" s="28">
        <v>42240</v>
      </c>
      <c r="H877" s="28">
        <v>36.803610999999997</v>
      </c>
      <c r="I877" s="28">
        <v>-87.516389000000004</v>
      </c>
      <c r="J877" s="28"/>
      <c r="K877" s="61">
        <v>110039994897</v>
      </c>
      <c r="L877" s="61" t="str">
        <f>IFERROR(INDEX('Facility Summary'!$K:$K,MATCH(K877,'Facility Summary'!$J:$J,0)),INDEX('Raw Annual DMR Data'!$M:$M,MATCH(K877,'Raw Annual DMR Data'!$L:$L,0)))</f>
        <v>POTW</v>
      </c>
      <c r="M877" s="28"/>
      <c r="N877" s="28"/>
      <c r="O877" s="28"/>
      <c r="P877" s="28"/>
      <c r="Q877" s="28"/>
      <c r="R877" s="28"/>
      <c r="S877" s="28">
        <v>4.1459565249999999</v>
      </c>
    </row>
    <row r="878" spans="1:19" x14ac:dyDescent="0.25">
      <c r="A878" s="28">
        <v>2019</v>
      </c>
      <c r="B878" s="28"/>
      <c r="C878" s="28" t="s">
        <v>1174</v>
      </c>
      <c r="D878" s="28" t="s">
        <v>1888</v>
      </c>
      <c r="E878" s="28" t="s">
        <v>1175</v>
      </c>
      <c r="F878" s="28" t="s">
        <v>506</v>
      </c>
      <c r="G878" s="28">
        <v>21104</v>
      </c>
      <c r="H878" s="28">
        <v>39.307180000000002</v>
      </c>
      <c r="I878" s="28">
        <v>-76.898619999999994</v>
      </c>
      <c r="J878" s="28"/>
      <c r="K878" s="61">
        <v>110043668563</v>
      </c>
      <c r="L878" s="61" t="str">
        <f>IFERROR(INDEX('Facility Summary'!$K:$K,MATCH(K878,'Facility Summary'!$J:$J,0)),INDEX('Raw Annual DMR Data'!$M:$M,MATCH(K878,'Raw Annual DMR Data'!$L:$L,0)))</f>
        <v>Waste Handling, Disposal and Treatment (Landfill)</v>
      </c>
      <c r="M878" s="28"/>
      <c r="N878" s="28"/>
      <c r="O878" s="28"/>
      <c r="P878" s="28"/>
      <c r="Q878" s="28"/>
      <c r="R878" s="28"/>
      <c r="S878" s="28">
        <v>2.7814538433499898E-3</v>
      </c>
    </row>
    <row r="879" spans="1:19" x14ac:dyDescent="0.25">
      <c r="A879" s="28">
        <v>2020</v>
      </c>
      <c r="B879" s="28"/>
      <c r="C879" s="28" t="s">
        <v>1176</v>
      </c>
      <c r="D879" s="28" t="s">
        <v>1891</v>
      </c>
      <c r="E879" s="28" t="s">
        <v>657</v>
      </c>
      <c r="F879" s="28" t="s">
        <v>418</v>
      </c>
      <c r="G879" s="28">
        <v>89169</v>
      </c>
      <c r="H879" s="28">
        <v>36.119079999999997</v>
      </c>
      <c r="I879" s="28">
        <v>-115.15727</v>
      </c>
      <c r="J879" s="28"/>
      <c r="K879" s="61">
        <v>110037274133</v>
      </c>
      <c r="L879" s="61" t="str">
        <f>IFERROR(INDEX('Facility Summary'!$K:$K,MATCH(K879,'Facility Summary'!$J:$J,0)),INDEX('Raw Annual DMR Data'!$M:$M,MATCH(K879,'Raw Annual DMR Data'!$L:$L,0)))</f>
        <v>Unknown</v>
      </c>
      <c r="M879" s="28"/>
      <c r="N879" s="28"/>
      <c r="O879" s="28"/>
      <c r="P879" s="28"/>
      <c r="Q879" s="28"/>
      <c r="R879" s="28"/>
      <c r="S879" s="28">
        <v>2.3036929374999999E-3</v>
      </c>
    </row>
    <row r="880" spans="1:19" x14ac:dyDescent="0.25">
      <c r="A880" s="28">
        <v>2019</v>
      </c>
      <c r="B880" s="28"/>
      <c r="C880" s="28" t="s">
        <v>1177</v>
      </c>
      <c r="D880" s="28" t="s">
        <v>1894</v>
      </c>
      <c r="E880" s="28" t="s">
        <v>1178</v>
      </c>
      <c r="F880" s="28" t="s">
        <v>308</v>
      </c>
      <c r="G880" s="28">
        <v>1803</v>
      </c>
      <c r="H880" s="28">
        <v>42.482259999999997</v>
      </c>
      <c r="I880" s="28">
        <v>-71.191800000000001</v>
      </c>
      <c r="J880" s="28"/>
      <c r="K880" s="61">
        <v>110024468128</v>
      </c>
      <c r="L880" s="61" t="str">
        <f>IFERROR(INDEX('Facility Summary'!$K:$K,MATCH(K880,'Facility Summary'!$J:$J,0)),INDEX('Raw Annual DMR Data'!$M:$M,MATCH(K880,'Raw Annual DMR Data'!$L:$L,0)))</f>
        <v>Unknown</v>
      </c>
      <c r="M880" s="28"/>
      <c r="N880" s="28"/>
      <c r="O880" s="28"/>
      <c r="P880" s="28"/>
      <c r="Q880" s="28"/>
      <c r="R880" s="28"/>
      <c r="S880" s="28">
        <v>2.2209840637499999E-2</v>
      </c>
    </row>
    <row r="881" spans="1:19" x14ac:dyDescent="0.25">
      <c r="A881" s="28">
        <v>2020</v>
      </c>
      <c r="B881" s="28"/>
      <c r="C881" s="28" t="s">
        <v>1177</v>
      </c>
      <c r="D881" s="28" t="s">
        <v>1894</v>
      </c>
      <c r="E881" s="28" t="s">
        <v>1178</v>
      </c>
      <c r="F881" s="28" t="s">
        <v>308</v>
      </c>
      <c r="G881" s="28">
        <v>1803</v>
      </c>
      <c r="H881" s="28">
        <v>42.482259999999997</v>
      </c>
      <c r="I881" s="28">
        <v>-71.191800000000001</v>
      </c>
      <c r="J881" s="28"/>
      <c r="K881" s="61">
        <v>110024468128</v>
      </c>
      <c r="L881" s="61" t="str">
        <f>IFERROR(INDEX('Facility Summary'!$K:$K,MATCH(K881,'Facility Summary'!$J:$J,0)),INDEX('Raw Annual DMR Data'!$M:$M,MATCH(K881,'Raw Annual DMR Data'!$L:$L,0)))</f>
        <v>Unknown</v>
      </c>
      <c r="M881" s="28"/>
      <c r="N881" s="28"/>
      <c r="O881" s="28"/>
      <c r="P881" s="28"/>
      <c r="Q881" s="28"/>
      <c r="R881" s="28"/>
      <c r="S881" s="28">
        <v>2.5678277052750002E-2</v>
      </c>
    </row>
    <row r="882" spans="1:19" x14ac:dyDescent="0.25">
      <c r="A882" s="28">
        <v>2015</v>
      </c>
      <c r="B882" s="28"/>
      <c r="C882" s="28" t="s">
        <v>1179</v>
      </c>
      <c r="D882" s="28" t="s">
        <v>1897</v>
      </c>
      <c r="E882" s="28" t="s">
        <v>1180</v>
      </c>
      <c r="F882" s="28" t="s">
        <v>450</v>
      </c>
      <c r="G882" s="28">
        <v>13760</v>
      </c>
      <c r="H882" s="28">
        <v>42.107010000000002</v>
      </c>
      <c r="I882" s="28">
        <v>-76.051990000000004</v>
      </c>
      <c r="J882" s="28"/>
      <c r="K882" s="61">
        <v>110041145926</v>
      </c>
      <c r="L882" s="61" t="str">
        <f>IFERROR(INDEX('Facility Summary'!$K:$K,MATCH(K882,'Facility Summary'!$J:$J,0)),INDEX('Raw Annual DMR Data'!$M:$M,MATCH(K882,'Raw Annual DMR Data'!$L:$L,0)))</f>
        <v>Unknown</v>
      </c>
      <c r="M882" s="28"/>
      <c r="N882" s="28"/>
      <c r="O882" s="28"/>
      <c r="P882" s="28"/>
      <c r="Q882" s="28"/>
      <c r="R882" s="28"/>
      <c r="S882" s="28">
        <v>0.40981859410430799</v>
      </c>
    </row>
    <row r="883" spans="1:19" x14ac:dyDescent="0.25">
      <c r="A883" s="28">
        <v>2016</v>
      </c>
      <c r="B883" s="28"/>
      <c r="C883" s="28" t="s">
        <v>1179</v>
      </c>
      <c r="D883" s="28" t="s">
        <v>1897</v>
      </c>
      <c r="E883" s="28" t="s">
        <v>1180</v>
      </c>
      <c r="F883" s="28" t="s">
        <v>450</v>
      </c>
      <c r="G883" s="28">
        <v>13760</v>
      </c>
      <c r="H883" s="28">
        <v>42.107010000000002</v>
      </c>
      <c r="I883" s="28">
        <v>-76.051990000000004</v>
      </c>
      <c r="J883" s="28"/>
      <c r="K883" s="61">
        <v>110041145926</v>
      </c>
      <c r="L883" s="61" t="str">
        <f>IFERROR(INDEX('Facility Summary'!$K:$K,MATCH(K883,'Facility Summary'!$J:$J,0)),INDEX('Raw Annual DMR Data'!$M:$M,MATCH(K883,'Raw Annual DMR Data'!$L:$L,0)))</f>
        <v>Unknown</v>
      </c>
      <c r="M883" s="28"/>
      <c r="N883" s="28"/>
      <c r="O883" s="28"/>
      <c r="P883" s="28"/>
      <c r="Q883" s="28"/>
      <c r="R883" s="28"/>
      <c r="S883" s="28">
        <v>0.241269841269841</v>
      </c>
    </row>
    <row r="884" spans="1:19" x14ac:dyDescent="0.25">
      <c r="A884" s="28">
        <v>2017</v>
      </c>
      <c r="B884" s="28"/>
      <c r="C884" s="28" t="s">
        <v>1179</v>
      </c>
      <c r="D884" s="28" t="s">
        <v>1897</v>
      </c>
      <c r="E884" s="28" t="s">
        <v>1180</v>
      </c>
      <c r="F884" s="28" t="s">
        <v>450</v>
      </c>
      <c r="G884" s="28">
        <v>13760</v>
      </c>
      <c r="H884" s="28">
        <v>42.107010000000002</v>
      </c>
      <c r="I884" s="28">
        <v>-76.051990000000004</v>
      </c>
      <c r="J884" s="28"/>
      <c r="K884" s="61">
        <v>110041145926</v>
      </c>
      <c r="L884" s="61" t="str">
        <f>IFERROR(INDEX('Facility Summary'!$K:$K,MATCH(K884,'Facility Summary'!$J:$J,0)),INDEX('Raw Annual DMR Data'!$M:$M,MATCH(K884,'Raw Annual DMR Data'!$L:$L,0)))</f>
        <v>Unknown</v>
      </c>
      <c r="M884" s="28"/>
      <c r="N884" s="28"/>
      <c r="O884" s="28"/>
      <c r="P884" s="28"/>
      <c r="Q884" s="28"/>
      <c r="R884" s="28"/>
      <c r="S884" s="28">
        <v>0.12932247350000001</v>
      </c>
    </row>
    <row r="885" spans="1:19" x14ac:dyDescent="0.25">
      <c r="A885" s="28">
        <v>2018</v>
      </c>
      <c r="B885" s="28"/>
      <c r="C885" s="28" t="s">
        <v>1179</v>
      </c>
      <c r="D885" s="28" t="s">
        <v>1897</v>
      </c>
      <c r="E885" s="28" t="s">
        <v>1180</v>
      </c>
      <c r="F885" s="28" t="s">
        <v>450</v>
      </c>
      <c r="G885" s="28">
        <v>13760</v>
      </c>
      <c r="H885" s="28">
        <v>42.107010000000002</v>
      </c>
      <c r="I885" s="28">
        <v>-76.051990000000004</v>
      </c>
      <c r="J885" s="28"/>
      <c r="K885" s="61">
        <v>110041145926</v>
      </c>
      <c r="L885" s="61" t="str">
        <f>IFERROR(INDEX('Facility Summary'!$K:$K,MATCH(K885,'Facility Summary'!$J:$J,0)),INDEX('Raw Annual DMR Data'!$M:$M,MATCH(K885,'Raw Annual DMR Data'!$L:$L,0)))</f>
        <v>Unknown</v>
      </c>
      <c r="M885" s="28"/>
      <c r="N885" s="28"/>
      <c r="O885" s="28"/>
      <c r="P885" s="28"/>
      <c r="Q885" s="28"/>
      <c r="R885" s="28"/>
      <c r="S885" s="28">
        <v>0.107933817</v>
      </c>
    </row>
    <row r="886" spans="1:19" x14ac:dyDescent="0.25">
      <c r="A886" s="28">
        <v>2019</v>
      </c>
      <c r="B886" s="28"/>
      <c r="C886" s="28" t="s">
        <v>1179</v>
      </c>
      <c r="D886" s="28" t="s">
        <v>1897</v>
      </c>
      <c r="E886" s="28" t="s">
        <v>1180</v>
      </c>
      <c r="F886" s="28" t="s">
        <v>450</v>
      </c>
      <c r="G886" s="28">
        <v>13760</v>
      </c>
      <c r="H886" s="28">
        <v>42.107010000000002</v>
      </c>
      <c r="I886" s="28">
        <v>-76.051990000000004</v>
      </c>
      <c r="J886" s="28"/>
      <c r="K886" s="61">
        <v>110041145926</v>
      </c>
      <c r="L886" s="61" t="str">
        <f>IFERROR(INDEX('Facility Summary'!$K:$K,MATCH(K886,'Facility Summary'!$J:$J,0)),INDEX('Raw Annual DMR Data'!$M:$M,MATCH(K886,'Raw Annual DMR Data'!$L:$L,0)))</f>
        <v>Unknown</v>
      </c>
      <c r="M886" s="28"/>
      <c r="N886" s="28"/>
      <c r="O886" s="28"/>
      <c r="P886" s="28"/>
      <c r="Q886" s="28"/>
      <c r="R886" s="28"/>
      <c r="S886" s="28">
        <v>0.14769601697875001</v>
      </c>
    </row>
    <row r="887" spans="1:19" x14ac:dyDescent="0.25">
      <c r="A887" s="28">
        <v>2020</v>
      </c>
      <c r="B887" s="28"/>
      <c r="C887" s="28" t="s">
        <v>1179</v>
      </c>
      <c r="D887" s="28" t="s">
        <v>1897</v>
      </c>
      <c r="E887" s="28" t="s">
        <v>1180</v>
      </c>
      <c r="F887" s="28" t="s">
        <v>450</v>
      </c>
      <c r="G887" s="28">
        <v>13760</v>
      </c>
      <c r="H887" s="28">
        <v>42.107010000000002</v>
      </c>
      <c r="I887" s="28">
        <v>-76.051990000000004</v>
      </c>
      <c r="J887" s="28"/>
      <c r="K887" s="61">
        <v>110041145926</v>
      </c>
      <c r="L887" s="61" t="str">
        <f>IFERROR(INDEX('Facility Summary'!$K:$K,MATCH(K887,'Facility Summary'!$J:$J,0)),INDEX('Raw Annual DMR Data'!$M:$M,MATCH(K887,'Raw Annual DMR Data'!$L:$L,0)))</f>
        <v>Unknown</v>
      </c>
      <c r="M887" s="28"/>
      <c r="N887" s="28"/>
      <c r="O887" s="28"/>
      <c r="P887" s="28"/>
      <c r="Q887" s="28"/>
      <c r="R887" s="28"/>
      <c r="S887" s="28">
        <v>5.7027981877312499E-2</v>
      </c>
    </row>
    <row r="888" spans="1:19" x14ac:dyDescent="0.25">
      <c r="A888" s="28">
        <v>2015</v>
      </c>
      <c r="B888" s="28"/>
      <c r="C888" s="28" t="s">
        <v>1181</v>
      </c>
      <c r="D888" s="28" t="s">
        <v>1903</v>
      </c>
      <c r="E888" s="28" t="s">
        <v>1182</v>
      </c>
      <c r="F888" s="28" t="s">
        <v>345</v>
      </c>
      <c r="G888" s="28">
        <v>60439</v>
      </c>
      <c r="H888" s="28">
        <v>41.692782000000001</v>
      </c>
      <c r="I888" s="28">
        <v>-87.951100999999994</v>
      </c>
      <c r="J888" s="28"/>
      <c r="K888" s="61">
        <v>110018199377</v>
      </c>
      <c r="L888" s="61" t="str">
        <f>IFERROR(INDEX('Facility Summary'!$K:$K,MATCH(K888,'Facility Summary'!$J:$J,0)),INDEX('Raw Annual DMR Data'!$M:$M,MATCH(K888,'Raw Annual DMR Data'!$L:$L,0)))</f>
        <v>Unknown</v>
      </c>
      <c r="M888" s="28"/>
      <c r="N888" s="28"/>
      <c r="O888" s="28"/>
      <c r="P888" s="28"/>
      <c r="Q888" s="28"/>
      <c r="R888" s="28"/>
      <c r="S888" s="28">
        <v>1.3641234625000001</v>
      </c>
    </row>
    <row r="889" spans="1:19" x14ac:dyDescent="0.25">
      <c r="A889" s="28">
        <v>2016</v>
      </c>
      <c r="B889" s="28"/>
      <c r="C889" s="28" t="s">
        <v>1181</v>
      </c>
      <c r="D889" s="28" t="s">
        <v>1903</v>
      </c>
      <c r="E889" s="28" t="s">
        <v>1182</v>
      </c>
      <c r="F889" s="28" t="s">
        <v>345</v>
      </c>
      <c r="G889" s="28">
        <v>60439</v>
      </c>
      <c r="H889" s="28">
        <v>41.692782000000001</v>
      </c>
      <c r="I889" s="28">
        <v>-87.951100999999994</v>
      </c>
      <c r="J889" s="28"/>
      <c r="K889" s="61">
        <v>110018199377</v>
      </c>
      <c r="L889" s="61" t="str">
        <f>IFERROR(INDEX('Facility Summary'!$K:$K,MATCH(K889,'Facility Summary'!$J:$J,0)),INDEX('Raw Annual DMR Data'!$M:$M,MATCH(K889,'Raw Annual DMR Data'!$L:$L,0)))</f>
        <v>Unknown</v>
      </c>
      <c r="M889" s="28"/>
      <c r="N889" s="28"/>
      <c r="O889" s="28"/>
      <c r="P889" s="28"/>
      <c r="Q889" s="28"/>
      <c r="R889" s="28"/>
      <c r="S889" s="28">
        <v>1.3293866249999999</v>
      </c>
    </row>
    <row r="890" spans="1:19" x14ac:dyDescent="0.25">
      <c r="A890" s="28">
        <v>2017</v>
      </c>
      <c r="B890" s="28"/>
      <c r="C890" s="28" t="s">
        <v>1181</v>
      </c>
      <c r="D890" s="28" t="s">
        <v>1903</v>
      </c>
      <c r="E890" s="28" t="s">
        <v>1182</v>
      </c>
      <c r="F890" s="28" t="s">
        <v>345</v>
      </c>
      <c r="G890" s="28">
        <v>60439</v>
      </c>
      <c r="H890" s="28">
        <v>41.692782000000001</v>
      </c>
      <c r="I890" s="28">
        <v>-87.951100999999994</v>
      </c>
      <c r="J890" s="28"/>
      <c r="K890" s="61">
        <v>110018199377</v>
      </c>
      <c r="L890" s="61" t="str">
        <f>IFERROR(INDEX('Facility Summary'!$K:$K,MATCH(K890,'Facility Summary'!$J:$J,0)),INDEX('Raw Annual DMR Data'!$M:$M,MATCH(K890,'Raw Annual DMR Data'!$L:$L,0)))</f>
        <v>Unknown</v>
      </c>
      <c r="M890" s="28"/>
      <c r="N890" s="28"/>
      <c r="O890" s="28"/>
      <c r="P890" s="28"/>
      <c r="Q890" s="28"/>
      <c r="R890" s="28"/>
      <c r="S890" s="28">
        <v>2.0652852500000001</v>
      </c>
    </row>
    <row r="891" spans="1:19" x14ac:dyDescent="0.25">
      <c r="A891" s="28">
        <v>2018</v>
      </c>
      <c r="B891" s="28"/>
      <c r="C891" s="28" t="s">
        <v>1181</v>
      </c>
      <c r="D891" s="28" t="s">
        <v>1903</v>
      </c>
      <c r="E891" s="28" t="s">
        <v>1182</v>
      </c>
      <c r="F891" s="28" t="s">
        <v>345</v>
      </c>
      <c r="G891" s="28">
        <v>60439</v>
      </c>
      <c r="H891" s="28">
        <v>41.692782000000001</v>
      </c>
      <c r="I891" s="28">
        <v>-87.951100999999994</v>
      </c>
      <c r="J891" s="28"/>
      <c r="K891" s="61">
        <v>110018199377</v>
      </c>
      <c r="L891" s="61" t="str">
        <f>IFERROR(INDEX('Facility Summary'!$K:$K,MATCH(K891,'Facility Summary'!$J:$J,0)),INDEX('Raw Annual DMR Data'!$M:$M,MATCH(K891,'Raw Annual DMR Data'!$L:$L,0)))</f>
        <v>Unknown</v>
      </c>
      <c r="M891" s="28"/>
      <c r="N891" s="28"/>
      <c r="O891" s="28"/>
      <c r="P891" s="28"/>
      <c r="Q891" s="28"/>
      <c r="R891" s="28"/>
      <c r="S891" s="28">
        <v>2.7112901250000001</v>
      </c>
    </row>
    <row r="892" spans="1:19" x14ac:dyDescent="0.25">
      <c r="A892" s="28">
        <v>2019</v>
      </c>
      <c r="B892" s="28"/>
      <c r="C892" s="28" t="s">
        <v>1181</v>
      </c>
      <c r="D892" s="28" t="s">
        <v>1903</v>
      </c>
      <c r="E892" s="28" t="s">
        <v>1182</v>
      </c>
      <c r="F892" s="28" t="s">
        <v>345</v>
      </c>
      <c r="G892" s="28">
        <v>60439</v>
      </c>
      <c r="H892" s="28">
        <v>41.692782000000001</v>
      </c>
      <c r="I892" s="28">
        <v>-87.951100999999994</v>
      </c>
      <c r="J892" s="28"/>
      <c r="K892" s="61">
        <v>110018199377</v>
      </c>
      <c r="L892" s="61" t="str">
        <f>IFERROR(INDEX('Facility Summary'!$K:$K,MATCH(K892,'Facility Summary'!$J:$J,0)),INDEX('Raw Annual DMR Data'!$M:$M,MATCH(K892,'Raw Annual DMR Data'!$L:$L,0)))</f>
        <v>Unknown</v>
      </c>
      <c r="M892" s="28"/>
      <c r="N892" s="28"/>
      <c r="O892" s="28"/>
      <c r="P892" s="28"/>
      <c r="Q892" s="28"/>
      <c r="R892" s="28"/>
      <c r="S892" s="28">
        <v>2.9448246249999999</v>
      </c>
    </row>
    <row r="893" spans="1:19" x14ac:dyDescent="0.25">
      <c r="A893" s="28">
        <v>2020</v>
      </c>
      <c r="B893" s="28"/>
      <c r="C893" s="28" t="s">
        <v>1181</v>
      </c>
      <c r="D893" s="28" t="s">
        <v>1903</v>
      </c>
      <c r="E893" s="28" t="s">
        <v>1182</v>
      </c>
      <c r="F893" s="28" t="s">
        <v>345</v>
      </c>
      <c r="G893" s="28">
        <v>60439</v>
      </c>
      <c r="H893" s="28">
        <v>41.692782000000001</v>
      </c>
      <c r="I893" s="28">
        <v>-87.951100999999994</v>
      </c>
      <c r="J893" s="28"/>
      <c r="K893" s="61">
        <v>110018199377</v>
      </c>
      <c r="L893" s="61" t="str">
        <f>IFERROR(INDEX('Facility Summary'!$K:$K,MATCH(K893,'Facility Summary'!$J:$J,0)),INDEX('Raw Annual DMR Data'!$M:$M,MATCH(K893,'Raw Annual DMR Data'!$L:$L,0)))</f>
        <v>Unknown</v>
      </c>
      <c r="M893" s="28"/>
      <c r="N893" s="28"/>
      <c r="O893" s="28"/>
      <c r="P893" s="28"/>
      <c r="Q893" s="28"/>
      <c r="R893" s="28"/>
      <c r="S893" s="28">
        <v>1.6779662</v>
      </c>
    </row>
    <row r="894" spans="1:19" x14ac:dyDescent="0.25">
      <c r="A894" s="28">
        <v>2018</v>
      </c>
      <c r="B894" s="28"/>
      <c r="C894" s="28" t="s">
        <v>178</v>
      </c>
      <c r="D894" s="28" t="s">
        <v>584</v>
      </c>
      <c r="E894" s="28" t="s">
        <v>516</v>
      </c>
      <c r="F894" s="28" t="s">
        <v>303</v>
      </c>
      <c r="G894" s="28">
        <v>70734</v>
      </c>
      <c r="H894" s="28">
        <v>30.185099999999998</v>
      </c>
      <c r="I894" s="28">
        <v>-90.980400000000003</v>
      </c>
      <c r="J894" s="28" t="s">
        <v>585</v>
      </c>
      <c r="K894" s="61">
        <v>110000449774</v>
      </c>
      <c r="L894" s="61" t="str">
        <f>IFERROR(INDEX('Facility Summary'!$K:$K,MATCH(K894,'Facility Summary'!$J:$J,0)),INDEX('Raw Annual DMR Data'!$M:$M,MATCH(K894,'Raw Annual DMR Data'!$L:$L,0)))</f>
        <v>Manufacturing</v>
      </c>
      <c r="M894" s="28"/>
      <c r="N894" s="28"/>
      <c r="O894" s="28"/>
      <c r="P894" s="28"/>
      <c r="Q894" s="28"/>
      <c r="R894" s="28"/>
      <c r="S894" s="28">
        <v>25.306122448979501</v>
      </c>
    </row>
    <row r="895" spans="1:19" x14ac:dyDescent="0.25">
      <c r="A895" s="28">
        <v>2015</v>
      </c>
      <c r="B895" s="28"/>
      <c r="C895" s="28" t="s">
        <v>1183</v>
      </c>
      <c r="D895" s="28" t="s">
        <v>377</v>
      </c>
      <c r="E895" s="28" t="s">
        <v>480</v>
      </c>
      <c r="F895" s="28" t="s">
        <v>362</v>
      </c>
      <c r="G895" s="28">
        <v>77978</v>
      </c>
      <c r="H895" s="28">
        <v>28.642944</v>
      </c>
      <c r="I895" s="28">
        <v>-96.547611000000003</v>
      </c>
      <c r="J895" s="28"/>
      <c r="K895" s="61">
        <v>110063004528</v>
      </c>
      <c r="L895" s="61" t="str">
        <f>IFERROR(INDEX('Facility Summary'!$K:$K,MATCH(K895,'Facility Summary'!$J:$J,0)),INDEX('Raw Annual DMR Data'!$M:$M,MATCH(K895,'Raw Annual DMR Data'!$L:$L,0)))</f>
        <v>Repackaging</v>
      </c>
      <c r="M895" s="28"/>
      <c r="N895" s="28"/>
      <c r="O895" s="28"/>
      <c r="P895" s="28"/>
      <c r="Q895" s="28"/>
      <c r="R895" s="28"/>
      <c r="S895" s="28">
        <v>8.2600055000000006E-2</v>
      </c>
    </row>
    <row r="896" spans="1:19" x14ac:dyDescent="0.25">
      <c r="A896" s="28">
        <v>2016</v>
      </c>
      <c r="B896" s="28"/>
      <c r="C896" s="28" t="s">
        <v>1183</v>
      </c>
      <c r="D896" s="28" t="s">
        <v>377</v>
      </c>
      <c r="E896" s="28" t="s">
        <v>480</v>
      </c>
      <c r="F896" s="28" t="s">
        <v>362</v>
      </c>
      <c r="G896" s="28">
        <v>77978</v>
      </c>
      <c r="H896" s="28">
        <v>28.642944</v>
      </c>
      <c r="I896" s="28">
        <v>-96.547611000000003</v>
      </c>
      <c r="J896" s="28"/>
      <c r="K896" s="61">
        <v>110063004528</v>
      </c>
      <c r="L896" s="61" t="str">
        <f>IFERROR(INDEX('Facility Summary'!$K:$K,MATCH(K896,'Facility Summary'!$J:$J,0)),INDEX('Raw Annual DMR Data'!$M:$M,MATCH(K896,'Raw Annual DMR Data'!$L:$L,0)))</f>
        <v>Repackaging</v>
      </c>
      <c r="M896" s="28"/>
      <c r="N896" s="28"/>
      <c r="O896" s="28"/>
      <c r="P896" s="28"/>
      <c r="Q896" s="28"/>
      <c r="R896" s="28"/>
      <c r="S896" s="28">
        <v>14.816855625000001</v>
      </c>
    </row>
    <row r="897" spans="1:19" x14ac:dyDescent="0.25">
      <c r="A897" s="28">
        <v>2017</v>
      </c>
      <c r="B897" s="28"/>
      <c r="C897" s="28" t="s">
        <v>1183</v>
      </c>
      <c r="D897" s="28" t="s">
        <v>377</v>
      </c>
      <c r="E897" s="28" t="s">
        <v>480</v>
      </c>
      <c r="F897" s="28" t="s">
        <v>362</v>
      </c>
      <c r="G897" s="28">
        <v>77978</v>
      </c>
      <c r="H897" s="28">
        <v>28.642944</v>
      </c>
      <c r="I897" s="28">
        <v>-96.547611000000003</v>
      </c>
      <c r="J897" s="28"/>
      <c r="K897" s="61">
        <v>110063004528</v>
      </c>
      <c r="L897" s="61" t="str">
        <f>IFERROR(INDEX('Facility Summary'!$K:$K,MATCH(K897,'Facility Summary'!$J:$J,0)),INDEX('Raw Annual DMR Data'!$M:$M,MATCH(K897,'Raw Annual DMR Data'!$L:$L,0)))</f>
        <v>Repackaging</v>
      </c>
      <c r="M897" s="28"/>
      <c r="N897" s="28"/>
      <c r="O897" s="28"/>
      <c r="P897" s="28"/>
      <c r="Q897" s="28"/>
      <c r="R897" s="28"/>
      <c r="S897" s="28">
        <v>0.2010668457</v>
      </c>
    </row>
    <row r="898" spans="1:19" x14ac:dyDescent="0.25">
      <c r="A898" s="28">
        <v>2018</v>
      </c>
      <c r="B898" s="28"/>
      <c r="C898" s="28" t="s">
        <v>1183</v>
      </c>
      <c r="D898" s="28" t="s">
        <v>377</v>
      </c>
      <c r="E898" s="28" t="s">
        <v>480</v>
      </c>
      <c r="F898" s="28" t="s">
        <v>362</v>
      </c>
      <c r="G898" s="28">
        <v>77978</v>
      </c>
      <c r="H898" s="28">
        <v>28.642944</v>
      </c>
      <c r="I898" s="28">
        <v>-96.547611000000003</v>
      </c>
      <c r="J898" s="28"/>
      <c r="K898" s="61">
        <v>110063004528</v>
      </c>
      <c r="L898" s="61" t="str">
        <f>IFERROR(INDEX('Facility Summary'!$K:$K,MATCH(K898,'Facility Summary'!$J:$J,0)),INDEX('Raw Annual DMR Data'!$M:$M,MATCH(K898,'Raw Annual DMR Data'!$L:$L,0)))</f>
        <v>Repackaging</v>
      </c>
      <c r="M898" s="28"/>
      <c r="N898" s="28"/>
      <c r="O898" s="28"/>
      <c r="P898" s="28"/>
      <c r="Q898" s="28"/>
      <c r="R898" s="28"/>
      <c r="S898" s="28">
        <v>0.35910187500000001</v>
      </c>
    </row>
    <row r="899" spans="1:19" x14ac:dyDescent="0.25">
      <c r="A899" s="28">
        <v>2019</v>
      </c>
      <c r="B899" s="28"/>
      <c r="C899" s="28" t="s">
        <v>1183</v>
      </c>
      <c r="D899" s="28" t="s">
        <v>377</v>
      </c>
      <c r="E899" s="28" t="s">
        <v>480</v>
      </c>
      <c r="F899" s="28" t="s">
        <v>362</v>
      </c>
      <c r="G899" s="28">
        <v>77978</v>
      </c>
      <c r="H899" s="28">
        <v>28.642944</v>
      </c>
      <c r="I899" s="28">
        <v>-96.547611000000003</v>
      </c>
      <c r="J899" s="28"/>
      <c r="K899" s="61">
        <v>110063004528</v>
      </c>
      <c r="L899" s="61" t="str">
        <f>IFERROR(INDEX('Facility Summary'!$K:$K,MATCH(K899,'Facility Summary'!$J:$J,0)),INDEX('Raw Annual DMR Data'!$M:$M,MATCH(K899,'Raw Annual DMR Data'!$L:$L,0)))</f>
        <v>Repackaging</v>
      </c>
      <c r="M899" s="28"/>
      <c r="N899" s="28"/>
      <c r="O899" s="28"/>
      <c r="P899" s="28"/>
      <c r="Q899" s="28"/>
      <c r="R899" s="28"/>
      <c r="S899" s="28">
        <v>6.5813579999999998E-3</v>
      </c>
    </row>
    <row r="900" spans="1:19" x14ac:dyDescent="0.25">
      <c r="A900" s="28">
        <v>2020</v>
      </c>
      <c r="B900" s="28"/>
      <c r="C900" s="28" t="s">
        <v>1183</v>
      </c>
      <c r="D900" s="28" t="s">
        <v>377</v>
      </c>
      <c r="E900" s="28" t="s">
        <v>480</v>
      </c>
      <c r="F900" s="28" t="s">
        <v>362</v>
      </c>
      <c r="G900" s="28">
        <v>77978</v>
      </c>
      <c r="H900" s="28">
        <v>28.642944</v>
      </c>
      <c r="I900" s="28">
        <v>-96.547611000000003</v>
      </c>
      <c r="J900" s="28"/>
      <c r="K900" s="61">
        <v>110063004528</v>
      </c>
      <c r="L900" s="61" t="str">
        <f>IFERROR(INDEX('Facility Summary'!$K:$K,MATCH(K900,'Facility Summary'!$J:$J,0)),INDEX('Raw Annual DMR Data'!$M:$M,MATCH(K900,'Raw Annual DMR Data'!$L:$L,0)))</f>
        <v>Repackaging</v>
      </c>
      <c r="M900" s="28"/>
      <c r="N900" s="28"/>
      <c r="O900" s="28"/>
      <c r="P900" s="28"/>
      <c r="Q900" s="28"/>
      <c r="R900" s="28"/>
      <c r="S900" s="28">
        <v>0.14030409838999999</v>
      </c>
    </row>
    <row r="901" spans="1:19" x14ac:dyDescent="0.25">
      <c r="A901" s="28">
        <v>2016</v>
      </c>
      <c r="B901" s="28"/>
      <c r="C901" s="28" t="s">
        <v>1184</v>
      </c>
      <c r="D901" s="28" t="s">
        <v>1909</v>
      </c>
      <c r="E901" s="28" t="s">
        <v>500</v>
      </c>
      <c r="F901" s="28" t="s">
        <v>303</v>
      </c>
      <c r="G901" s="28">
        <v>70767</v>
      </c>
      <c r="H901" s="28">
        <v>30.44361</v>
      </c>
      <c r="I901" s="28">
        <v>-91.220929999999996</v>
      </c>
      <c r="J901" s="28"/>
      <c r="K901" s="61">
        <v>110003363351</v>
      </c>
      <c r="L901" s="61" t="str">
        <f>IFERROR(INDEX('Facility Summary'!$K:$K,MATCH(K901,'Facility Summary'!$J:$J,0)),INDEX('Raw Annual DMR Data'!$M:$M,MATCH(K901,'Raw Annual DMR Data'!$L:$L,0)))</f>
        <v>Unknown</v>
      </c>
      <c r="M901" s="28"/>
      <c r="N901" s="28"/>
      <c r="O901" s="28"/>
      <c r="P901" s="28"/>
      <c r="Q901" s="28"/>
      <c r="R901" s="28"/>
      <c r="S901" s="28">
        <v>1.0361437499999901E-3</v>
      </c>
    </row>
    <row r="902" spans="1:19" x14ac:dyDescent="0.25">
      <c r="A902" s="28">
        <v>2019</v>
      </c>
      <c r="B902" s="28"/>
      <c r="C902" s="28" t="s">
        <v>1185</v>
      </c>
      <c r="D902" s="28" t="s">
        <v>1911</v>
      </c>
      <c r="E902" s="28" t="s">
        <v>968</v>
      </c>
      <c r="F902" s="28" t="s">
        <v>294</v>
      </c>
      <c r="G902" s="28">
        <v>22305</v>
      </c>
      <c r="H902" s="28">
        <v>38.840600000000002</v>
      </c>
      <c r="I902" s="28">
        <v>-77.068200000000004</v>
      </c>
      <c r="J902" s="28"/>
      <c r="K902" s="61">
        <v>110070598729</v>
      </c>
      <c r="L902" s="61" t="str">
        <f>IFERROR(INDEX('Facility Summary'!$K:$K,MATCH(K902,'Facility Summary'!$J:$J,0)),INDEX('Raw Annual DMR Data'!$M:$M,MATCH(K902,'Raw Annual DMR Data'!$L:$L,0)))</f>
        <v>Unknown</v>
      </c>
      <c r="M902" s="28"/>
      <c r="N902" s="28"/>
      <c r="O902" s="28"/>
      <c r="P902" s="28"/>
      <c r="Q902" s="28"/>
      <c r="R902" s="28"/>
      <c r="S902" s="28">
        <v>1.42196393999999E-4</v>
      </c>
    </row>
    <row r="903" spans="1:19" x14ac:dyDescent="0.25">
      <c r="A903" s="28">
        <v>2020</v>
      </c>
      <c r="B903" s="28"/>
      <c r="C903" s="28" t="s">
        <v>1185</v>
      </c>
      <c r="D903" s="28" t="s">
        <v>1911</v>
      </c>
      <c r="E903" s="28" t="s">
        <v>968</v>
      </c>
      <c r="F903" s="28" t="s">
        <v>294</v>
      </c>
      <c r="G903" s="28">
        <v>22305</v>
      </c>
      <c r="H903" s="28">
        <v>38.840600000000002</v>
      </c>
      <c r="I903" s="28">
        <v>-77.068200000000004</v>
      </c>
      <c r="J903" s="28"/>
      <c r="K903" s="61">
        <v>110070598729</v>
      </c>
      <c r="L903" s="61" t="str">
        <f>IFERROR(INDEX('Facility Summary'!$K:$K,MATCH(K903,'Facility Summary'!$J:$J,0)),INDEX('Raw Annual DMR Data'!$M:$M,MATCH(K903,'Raw Annual DMR Data'!$L:$L,0)))</f>
        <v>Unknown</v>
      </c>
      <c r="M903" s="28"/>
      <c r="N903" s="28"/>
      <c r="O903" s="28"/>
      <c r="P903" s="28"/>
      <c r="Q903" s="28"/>
      <c r="R903" s="28"/>
      <c r="S903" s="28">
        <v>1.5946051707499899E-3</v>
      </c>
    </row>
    <row r="904" spans="1:19" x14ac:dyDescent="0.25">
      <c r="A904" s="28">
        <v>2017</v>
      </c>
      <c r="B904" s="28"/>
      <c r="C904" s="28" t="s">
        <v>181</v>
      </c>
      <c r="D904" s="28" t="s">
        <v>599</v>
      </c>
      <c r="E904" s="28" t="s">
        <v>600</v>
      </c>
      <c r="F904" s="28" t="s">
        <v>601</v>
      </c>
      <c r="G904" s="28">
        <v>6473</v>
      </c>
      <c r="H904" s="28">
        <v>41.375383999999997</v>
      </c>
      <c r="I904" s="28">
        <v>-72.878625999999997</v>
      </c>
      <c r="J904" s="28"/>
      <c r="K904" s="61">
        <v>110000748273</v>
      </c>
      <c r="L904" s="61" t="str">
        <f>IFERROR(INDEX('Facility Summary'!$K:$K,MATCH(K904,'Facility Summary'!$J:$J,0)),INDEX('Raw Annual DMR Data'!$M:$M,MATCH(K904,'Raw Annual DMR Data'!$L:$L,0)))</f>
        <v>Manufacturing</v>
      </c>
      <c r="M904" s="28"/>
      <c r="N904" s="28"/>
      <c r="O904" s="28"/>
      <c r="P904" s="28"/>
      <c r="Q904" s="28"/>
      <c r="R904" s="28"/>
      <c r="S904" s="28">
        <v>0.30343887014999898</v>
      </c>
    </row>
    <row r="905" spans="1:19" x14ac:dyDescent="0.25">
      <c r="A905" s="28">
        <v>2019</v>
      </c>
      <c r="B905" s="28"/>
      <c r="C905" s="28" t="s">
        <v>187</v>
      </c>
      <c r="D905" s="28" t="s">
        <v>614</v>
      </c>
      <c r="E905" s="28" t="s">
        <v>615</v>
      </c>
      <c r="F905" s="28" t="s">
        <v>362</v>
      </c>
      <c r="G905" s="28">
        <v>77520</v>
      </c>
      <c r="H905" s="28">
        <v>29.771018000000002</v>
      </c>
      <c r="I905" s="28">
        <v>-95.018456</v>
      </c>
      <c r="J905" s="28" t="s">
        <v>616</v>
      </c>
      <c r="K905" s="61">
        <v>110000501519</v>
      </c>
      <c r="L905" s="61" t="str">
        <f>IFERROR(INDEX('Facility Summary'!$K:$K,MATCH(K905,'Facility Summary'!$J:$J,0)),INDEX('Raw Annual DMR Data'!$M:$M,MATCH(K905,'Raw Annual DMR Data'!$L:$L,0)))</f>
        <v>Manufacturing</v>
      </c>
      <c r="M905" s="28"/>
      <c r="N905" s="28"/>
      <c r="O905" s="28"/>
      <c r="P905" s="28"/>
      <c r="Q905" s="28"/>
      <c r="R905" s="28"/>
      <c r="S905" s="28">
        <v>9.8364579999999995E-5</v>
      </c>
    </row>
    <row r="906" spans="1:19" x14ac:dyDescent="0.25">
      <c r="A906" s="28">
        <v>2020</v>
      </c>
      <c r="B906" s="28"/>
      <c r="C906" s="28" t="s">
        <v>187</v>
      </c>
      <c r="D906" s="28" t="s">
        <v>614</v>
      </c>
      <c r="E906" s="28" t="s">
        <v>615</v>
      </c>
      <c r="F906" s="28" t="s">
        <v>362</v>
      </c>
      <c r="G906" s="28">
        <v>77520</v>
      </c>
      <c r="H906" s="28">
        <v>29.771018000000002</v>
      </c>
      <c r="I906" s="28">
        <v>-95.018456</v>
      </c>
      <c r="J906" s="28" t="s">
        <v>616</v>
      </c>
      <c r="K906" s="61">
        <v>110000501519</v>
      </c>
      <c r="L906" s="61" t="str">
        <f>IFERROR(INDEX('Facility Summary'!$K:$K,MATCH(K906,'Facility Summary'!$J:$J,0)),INDEX('Raw Annual DMR Data'!$M:$M,MATCH(K906,'Raw Annual DMR Data'!$L:$L,0)))</f>
        <v>Manufacturing</v>
      </c>
      <c r="M906" s="28"/>
      <c r="N906" s="28"/>
      <c r="O906" s="28"/>
      <c r="P906" s="28"/>
      <c r="Q906" s="28"/>
      <c r="R906" s="28"/>
      <c r="S906" s="28">
        <v>4.9513856E-5</v>
      </c>
    </row>
    <row r="907" spans="1:19" x14ac:dyDescent="0.25">
      <c r="A907" s="28">
        <v>2020</v>
      </c>
      <c r="B907" s="28"/>
      <c r="C907" s="28" t="s">
        <v>188</v>
      </c>
      <c r="D907" s="28" t="s">
        <v>617</v>
      </c>
      <c r="E907" s="28" t="s">
        <v>618</v>
      </c>
      <c r="F907" s="28" t="s">
        <v>311</v>
      </c>
      <c r="G907" s="28">
        <v>265019624</v>
      </c>
      <c r="H907" s="28">
        <v>39.599829999999997</v>
      </c>
      <c r="I907" s="28">
        <v>-79.97148</v>
      </c>
      <c r="J907" s="28" t="s">
        <v>619</v>
      </c>
      <c r="K907" s="61">
        <v>110000572782</v>
      </c>
      <c r="L907" s="61" t="str">
        <f>IFERROR(INDEX('Facility Summary'!$K:$K,MATCH(K907,'Facility Summary'!$J:$J,0)),INDEX('Raw Annual DMR Data'!$M:$M,MATCH(K907,'Raw Annual DMR Data'!$L:$L,0)))</f>
        <v>Manufacturing</v>
      </c>
      <c r="M907" s="28"/>
      <c r="N907" s="28"/>
      <c r="O907" s="28"/>
      <c r="P907" s="28"/>
      <c r="Q907" s="28"/>
      <c r="R907" s="28"/>
      <c r="S907" s="28">
        <v>3.9989584799999998E-2</v>
      </c>
    </row>
    <row r="908" spans="1:19" x14ac:dyDescent="0.25">
      <c r="A908" s="28">
        <v>2020</v>
      </c>
      <c r="B908" s="28"/>
      <c r="C908" s="28" t="s">
        <v>188</v>
      </c>
      <c r="D908" s="28" t="s">
        <v>617</v>
      </c>
      <c r="E908" s="28" t="s">
        <v>618</v>
      </c>
      <c r="F908" s="28" t="s">
        <v>311</v>
      </c>
      <c r="G908" s="28">
        <v>265019624</v>
      </c>
      <c r="H908" s="28">
        <v>39.599829999999997</v>
      </c>
      <c r="I908" s="28">
        <v>-79.97148</v>
      </c>
      <c r="J908" s="28" t="s">
        <v>619</v>
      </c>
      <c r="K908" s="61">
        <v>110000572782</v>
      </c>
      <c r="L908" s="61" t="str">
        <f>IFERROR(INDEX('Facility Summary'!$K:$K,MATCH(K908,'Facility Summary'!$J:$J,0)),INDEX('Raw Annual DMR Data'!$M:$M,MATCH(K908,'Raw Annual DMR Data'!$L:$L,0)))</f>
        <v>Manufacturing</v>
      </c>
      <c r="M908" s="28"/>
      <c r="N908" s="28"/>
      <c r="O908" s="28"/>
      <c r="P908" s="28"/>
      <c r="Q908" s="28"/>
      <c r="R908" s="28"/>
      <c r="S908" s="28">
        <v>3.8140589569160901E-2</v>
      </c>
    </row>
    <row r="909" spans="1:19" x14ac:dyDescent="0.25">
      <c r="A909" s="28">
        <v>2017</v>
      </c>
      <c r="B909" s="28"/>
      <c r="C909" s="28" t="s">
        <v>188</v>
      </c>
      <c r="D909" s="28" t="s">
        <v>617</v>
      </c>
      <c r="E909" s="28" t="s">
        <v>618</v>
      </c>
      <c r="F909" s="28" t="s">
        <v>311</v>
      </c>
      <c r="G909" s="28">
        <v>265019624</v>
      </c>
      <c r="H909" s="28">
        <v>39.599829999999997</v>
      </c>
      <c r="I909" s="28">
        <v>-79.97148</v>
      </c>
      <c r="J909" s="28" t="s">
        <v>619</v>
      </c>
      <c r="K909" s="61">
        <v>110000572782</v>
      </c>
      <c r="L909" s="61" t="str">
        <f>IFERROR(INDEX('Facility Summary'!$K:$K,MATCH(K909,'Facility Summary'!$J:$J,0)),INDEX('Raw Annual DMR Data'!$M:$M,MATCH(K909,'Raw Annual DMR Data'!$L:$L,0)))</f>
        <v>Manufacturing</v>
      </c>
      <c r="M909" s="28"/>
      <c r="N909" s="28"/>
      <c r="O909" s="28"/>
      <c r="P909" s="28"/>
      <c r="Q909" s="28"/>
      <c r="R909" s="28"/>
      <c r="S909" s="28">
        <v>2.3356009070294701E-2</v>
      </c>
    </row>
    <row r="910" spans="1:19" x14ac:dyDescent="0.25">
      <c r="A910" s="28">
        <v>2017</v>
      </c>
      <c r="B910" s="28"/>
      <c r="C910" s="28" t="s">
        <v>1188</v>
      </c>
      <c r="D910" s="28" t="s">
        <v>1917</v>
      </c>
      <c r="E910" s="28" t="s">
        <v>1189</v>
      </c>
      <c r="F910" s="28" t="s">
        <v>324</v>
      </c>
      <c r="G910" s="28">
        <v>40336</v>
      </c>
      <c r="H910" s="28">
        <v>37.700833000000003</v>
      </c>
      <c r="I910" s="28">
        <v>-83.984443999999996</v>
      </c>
      <c r="J910" s="28"/>
      <c r="K910" s="61">
        <v>110006749162</v>
      </c>
      <c r="L910" s="61" t="str">
        <f>IFERROR(INDEX('Facility Summary'!$K:$K,MATCH(K910,'Facility Summary'!$J:$J,0)),INDEX('Raw Annual DMR Data'!$M:$M,MATCH(K910,'Raw Annual DMR Data'!$L:$L,0)))</f>
        <v>POTW</v>
      </c>
      <c r="M910" s="28"/>
      <c r="N910" s="28"/>
      <c r="O910" s="28"/>
      <c r="P910" s="28"/>
      <c r="Q910" s="28"/>
      <c r="R910" s="28"/>
      <c r="S910" s="28">
        <v>0.39304386250000001</v>
      </c>
    </row>
    <row r="911" spans="1:19" x14ac:dyDescent="0.25">
      <c r="A911" s="28">
        <v>2018</v>
      </c>
      <c r="B911" s="28"/>
      <c r="C911" s="28" t="s">
        <v>1188</v>
      </c>
      <c r="D911" s="28" t="s">
        <v>1917</v>
      </c>
      <c r="E911" s="28" t="s">
        <v>1189</v>
      </c>
      <c r="F911" s="28" t="s">
        <v>324</v>
      </c>
      <c r="G911" s="28">
        <v>40336</v>
      </c>
      <c r="H911" s="28">
        <v>37.700833000000003</v>
      </c>
      <c r="I911" s="28">
        <v>-83.984443999999996</v>
      </c>
      <c r="J911" s="28"/>
      <c r="K911" s="61">
        <v>110006749162</v>
      </c>
      <c r="L911" s="61" t="str">
        <f>IFERROR(INDEX('Facility Summary'!$K:$K,MATCH(K911,'Facility Summary'!$J:$J,0)),INDEX('Raw Annual DMR Data'!$M:$M,MATCH(K911,'Raw Annual DMR Data'!$L:$L,0)))</f>
        <v>POTW</v>
      </c>
      <c r="M911" s="28"/>
      <c r="N911" s="28"/>
      <c r="O911" s="28"/>
      <c r="P911" s="28"/>
      <c r="Q911" s="28"/>
      <c r="R911" s="28"/>
      <c r="S911" s="28">
        <v>0.69076249999999995</v>
      </c>
    </row>
    <row r="912" spans="1:19" x14ac:dyDescent="0.25">
      <c r="A912" s="28">
        <v>2020</v>
      </c>
      <c r="B912" s="28"/>
      <c r="C912" s="28" t="s">
        <v>1188</v>
      </c>
      <c r="D912" s="28" t="s">
        <v>1917</v>
      </c>
      <c r="E912" s="28" t="s">
        <v>1189</v>
      </c>
      <c r="F912" s="28" t="s">
        <v>324</v>
      </c>
      <c r="G912" s="28">
        <v>40336</v>
      </c>
      <c r="H912" s="28">
        <v>37.700833000000003</v>
      </c>
      <c r="I912" s="28">
        <v>-83.984443999999996</v>
      </c>
      <c r="J912" s="28"/>
      <c r="K912" s="61">
        <v>110006749162</v>
      </c>
      <c r="L912" s="61" t="str">
        <f>IFERROR(INDEX('Facility Summary'!$K:$K,MATCH(K912,'Facility Summary'!$J:$J,0)),INDEX('Raw Annual DMR Data'!$M:$M,MATCH(K912,'Raw Annual DMR Data'!$L:$L,0)))</f>
        <v>POTW</v>
      </c>
      <c r="M912" s="28"/>
      <c r="N912" s="28"/>
      <c r="O912" s="28"/>
      <c r="P912" s="28"/>
      <c r="Q912" s="28"/>
      <c r="R912" s="28"/>
      <c r="S912" s="28">
        <v>0.63481073750000006</v>
      </c>
    </row>
    <row r="913" spans="1:19" x14ac:dyDescent="0.25">
      <c r="A913" s="28">
        <v>2016</v>
      </c>
      <c r="B913" s="28"/>
      <c r="C913" s="28" t="s">
        <v>1190</v>
      </c>
      <c r="D913" s="28" t="s">
        <v>1920</v>
      </c>
      <c r="E913" s="28" t="s">
        <v>1191</v>
      </c>
      <c r="F913" s="28" t="s">
        <v>491</v>
      </c>
      <c r="G913" s="28">
        <v>17853</v>
      </c>
      <c r="H913" s="28">
        <v>40.725278000000003</v>
      </c>
      <c r="I913" s="28">
        <v>-77.056944000000001</v>
      </c>
      <c r="J913" s="28"/>
      <c r="K913" s="61">
        <v>110017796330</v>
      </c>
      <c r="L913" s="61" t="str">
        <f>IFERROR(INDEX('Facility Summary'!$K:$K,MATCH(K913,'Facility Summary'!$J:$J,0)),INDEX('Raw Annual DMR Data'!$M:$M,MATCH(K913,'Raw Annual DMR Data'!$L:$L,0)))</f>
        <v>Unknown</v>
      </c>
      <c r="M913" s="28"/>
      <c r="N913" s="28"/>
      <c r="O913" s="28"/>
      <c r="P913" s="28"/>
      <c r="Q913" s="28"/>
      <c r="R913" s="28"/>
      <c r="S913" s="28">
        <v>1.548822E-3</v>
      </c>
    </row>
    <row r="914" spans="1:19" x14ac:dyDescent="0.25">
      <c r="A914" s="28">
        <v>2017</v>
      </c>
      <c r="B914" s="28"/>
      <c r="C914" s="28" t="s">
        <v>1190</v>
      </c>
      <c r="D914" s="28" t="s">
        <v>1920</v>
      </c>
      <c r="E914" s="28" t="s">
        <v>1191</v>
      </c>
      <c r="F914" s="28" t="s">
        <v>491</v>
      </c>
      <c r="G914" s="28">
        <v>17853</v>
      </c>
      <c r="H914" s="28">
        <v>40.725278000000003</v>
      </c>
      <c r="I914" s="28">
        <v>-77.056944000000001</v>
      </c>
      <c r="J914" s="28"/>
      <c r="K914" s="61">
        <v>110017796330</v>
      </c>
      <c r="L914" s="61" t="str">
        <f>IFERROR(INDEX('Facility Summary'!$K:$K,MATCH(K914,'Facility Summary'!$J:$J,0)),INDEX('Raw Annual DMR Data'!$M:$M,MATCH(K914,'Raw Annual DMR Data'!$L:$L,0)))</f>
        <v>Unknown</v>
      </c>
      <c r="M914" s="28"/>
      <c r="N914" s="28"/>
      <c r="O914" s="28"/>
      <c r="P914" s="28"/>
      <c r="Q914" s="28"/>
      <c r="R914" s="28"/>
      <c r="S914" s="28">
        <v>4.5712391250000003E-3</v>
      </c>
    </row>
    <row r="915" spans="1:19" x14ac:dyDescent="0.25">
      <c r="A915" s="28">
        <v>2018</v>
      </c>
      <c r="B915" s="28"/>
      <c r="C915" s="28" t="s">
        <v>1190</v>
      </c>
      <c r="D915" s="28" t="s">
        <v>1920</v>
      </c>
      <c r="E915" s="28" t="s">
        <v>1191</v>
      </c>
      <c r="F915" s="28" t="s">
        <v>491</v>
      </c>
      <c r="G915" s="28">
        <v>17853</v>
      </c>
      <c r="H915" s="28">
        <v>40.725278000000003</v>
      </c>
      <c r="I915" s="28">
        <v>-77.056944000000001</v>
      </c>
      <c r="J915" s="28"/>
      <c r="K915" s="61">
        <v>110017796330</v>
      </c>
      <c r="L915" s="61" t="str">
        <f>IFERROR(INDEX('Facility Summary'!$K:$K,MATCH(K915,'Facility Summary'!$J:$J,0)),INDEX('Raw Annual DMR Data'!$M:$M,MATCH(K915,'Raw Annual DMR Data'!$L:$L,0)))</f>
        <v>Unknown</v>
      </c>
      <c r="M915" s="28"/>
      <c r="N915" s="28"/>
      <c r="O915" s="28"/>
      <c r="P915" s="28"/>
      <c r="Q915" s="28"/>
      <c r="R915" s="28"/>
      <c r="S915" s="28">
        <v>4.9359238749999996E-3</v>
      </c>
    </row>
    <row r="916" spans="1:19" x14ac:dyDescent="0.25">
      <c r="A916" s="28">
        <v>2019</v>
      </c>
      <c r="B916" s="28"/>
      <c r="C916" s="28" t="s">
        <v>1190</v>
      </c>
      <c r="D916" s="28" t="s">
        <v>1920</v>
      </c>
      <c r="E916" s="28" t="s">
        <v>1191</v>
      </c>
      <c r="F916" s="28" t="s">
        <v>491</v>
      </c>
      <c r="G916" s="28">
        <v>17853</v>
      </c>
      <c r="H916" s="28">
        <v>40.725278000000003</v>
      </c>
      <c r="I916" s="28">
        <v>-77.056944000000001</v>
      </c>
      <c r="J916" s="28"/>
      <c r="K916" s="61">
        <v>110017796330</v>
      </c>
      <c r="L916" s="61" t="str">
        <f>IFERROR(INDEX('Facility Summary'!$K:$K,MATCH(K916,'Facility Summary'!$J:$J,0)),INDEX('Raw Annual DMR Data'!$M:$M,MATCH(K916,'Raw Annual DMR Data'!$L:$L,0)))</f>
        <v>Unknown</v>
      </c>
      <c r="M916" s="28"/>
      <c r="N916" s="28"/>
      <c r="O916" s="28"/>
      <c r="P916" s="28"/>
      <c r="Q916" s="28"/>
      <c r="R916" s="28"/>
      <c r="S916" s="28">
        <v>4.3566038181818102E-3</v>
      </c>
    </row>
    <row r="917" spans="1:19" x14ac:dyDescent="0.25">
      <c r="A917" s="28">
        <v>2020</v>
      </c>
      <c r="B917" s="28"/>
      <c r="C917" s="28" t="s">
        <v>1190</v>
      </c>
      <c r="D917" s="28" t="s">
        <v>1920</v>
      </c>
      <c r="E917" s="28" t="s">
        <v>1191</v>
      </c>
      <c r="F917" s="28" t="s">
        <v>491</v>
      </c>
      <c r="G917" s="28">
        <v>17853</v>
      </c>
      <c r="H917" s="28">
        <v>40.725278000000003</v>
      </c>
      <c r="I917" s="28">
        <v>-77.056944000000001</v>
      </c>
      <c r="J917" s="28"/>
      <c r="K917" s="61">
        <v>110017796330</v>
      </c>
      <c r="L917" s="61" t="str">
        <f>IFERROR(INDEX('Facility Summary'!$K:$K,MATCH(K917,'Facility Summary'!$J:$J,0)),INDEX('Raw Annual DMR Data'!$M:$M,MATCH(K917,'Raw Annual DMR Data'!$L:$L,0)))</f>
        <v>Unknown</v>
      </c>
      <c r="M917" s="28"/>
      <c r="N917" s="28"/>
      <c r="O917" s="28"/>
      <c r="P917" s="28"/>
      <c r="Q917" s="28"/>
      <c r="R917" s="28"/>
      <c r="S917" s="28">
        <v>3.7446897499999999E-3</v>
      </c>
    </row>
    <row r="918" spans="1:19" x14ac:dyDescent="0.25">
      <c r="A918" s="28">
        <v>2015</v>
      </c>
      <c r="B918" s="28"/>
      <c r="C918" s="28" t="s">
        <v>1192</v>
      </c>
      <c r="D918" s="28" t="s">
        <v>1924</v>
      </c>
      <c r="E918" s="28" t="s">
        <v>323</v>
      </c>
      <c r="F918" s="28" t="s">
        <v>324</v>
      </c>
      <c r="G918" s="28">
        <v>420290037</v>
      </c>
      <c r="H918" s="28">
        <v>37.047736999999998</v>
      </c>
      <c r="I918" s="28">
        <v>-88.35866</v>
      </c>
      <c r="J918" s="28" t="s">
        <v>721</v>
      </c>
      <c r="K918" s="61">
        <v>110000741608</v>
      </c>
      <c r="L918" s="61" t="str">
        <f>IFERROR(INDEX('Facility Summary'!$K:$K,MATCH(K918,'Facility Summary'!$J:$J,0)),INDEX('Raw Annual DMR Data'!$M:$M,MATCH(K918,'Raw Annual DMR Data'!$L:$L,0)))</f>
        <v>Unknown</v>
      </c>
      <c r="M918" s="28"/>
      <c r="N918" s="28"/>
      <c r="O918" s="28"/>
      <c r="P918" s="28"/>
      <c r="Q918" s="28"/>
      <c r="R918" s="28"/>
      <c r="S918" s="28">
        <v>4.7176870748299304</v>
      </c>
    </row>
    <row r="919" spans="1:19" x14ac:dyDescent="0.25">
      <c r="A919" s="28">
        <v>2016</v>
      </c>
      <c r="B919" s="28"/>
      <c r="C919" s="28" t="s">
        <v>1192</v>
      </c>
      <c r="D919" s="28" t="s">
        <v>1924</v>
      </c>
      <c r="E919" s="28" t="s">
        <v>323</v>
      </c>
      <c r="F919" s="28" t="s">
        <v>324</v>
      </c>
      <c r="G919" s="28">
        <v>420290037</v>
      </c>
      <c r="H919" s="28">
        <v>37.047736999999998</v>
      </c>
      <c r="I919" s="28">
        <v>-88.35866</v>
      </c>
      <c r="J919" s="28" t="s">
        <v>721</v>
      </c>
      <c r="K919" s="61">
        <v>110000741608</v>
      </c>
      <c r="L919" s="61" t="str">
        <f>IFERROR(INDEX('Facility Summary'!$K:$K,MATCH(K919,'Facility Summary'!$J:$J,0)),INDEX('Raw Annual DMR Data'!$M:$M,MATCH(K919,'Raw Annual DMR Data'!$L:$L,0)))</f>
        <v>Unknown</v>
      </c>
      <c r="M919" s="28"/>
      <c r="N919" s="28"/>
      <c r="O919" s="28"/>
      <c r="P919" s="28"/>
      <c r="Q919" s="28"/>
      <c r="R919" s="28"/>
      <c r="S919" s="28">
        <v>4.5521541950113296</v>
      </c>
    </row>
    <row r="920" spans="1:19" x14ac:dyDescent="0.25">
      <c r="A920" s="28">
        <v>2017</v>
      </c>
      <c r="B920" s="28"/>
      <c r="C920" s="28" t="s">
        <v>1192</v>
      </c>
      <c r="D920" s="28" t="s">
        <v>1924</v>
      </c>
      <c r="E920" s="28" t="s">
        <v>323</v>
      </c>
      <c r="F920" s="28" t="s">
        <v>324</v>
      </c>
      <c r="G920" s="28">
        <v>420290037</v>
      </c>
      <c r="H920" s="28">
        <v>37.047736999999998</v>
      </c>
      <c r="I920" s="28">
        <v>-88.35866</v>
      </c>
      <c r="J920" s="28" t="s">
        <v>721</v>
      </c>
      <c r="K920" s="61">
        <v>110000741608</v>
      </c>
      <c r="L920" s="61" t="str">
        <f>IFERROR(INDEX('Facility Summary'!$K:$K,MATCH(K920,'Facility Summary'!$J:$J,0)),INDEX('Raw Annual DMR Data'!$M:$M,MATCH(K920,'Raw Annual DMR Data'!$L:$L,0)))</f>
        <v>Unknown</v>
      </c>
      <c r="M920" s="28"/>
      <c r="N920" s="28"/>
      <c r="O920" s="28"/>
      <c r="P920" s="28"/>
      <c r="Q920" s="28"/>
      <c r="R920" s="28"/>
      <c r="S920" s="28">
        <v>3.8072562358276598</v>
      </c>
    </row>
    <row r="921" spans="1:19" x14ac:dyDescent="0.25">
      <c r="A921" s="28">
        <v>2018</v>
      </c>
      <c r="B921" s="28"/>
      <c r="C921" s="28" t="s">
        <v>1192</v>
      </c>
      <c r="D921" s="28" t="s">
        <v>1924</v>
      </c>
      <c r="E921" s="28" t="s">
        <v>323</v>
      </c>
      <c r="F921" s="28" t="s">
        <v>324</v>
      </c>
      <c r="G921" s="28">
        <v>420290037</v>
      </c>
      <c r="H921" s="28">
        <v>37.047736999999998</v>
      </c>
      <c r="I921" s="28">
        <v>-88.35866</v>
      </c>
      <c r="J921" s="28" t="s">
        <v>721</v>
      </c>
      <c r="K921" s="61">
        <v>110000741608</v>
      </c>
      <c r="L921" s="61" t="str">
        <f>IFERROR(INDEX('Facility Summary'!$K:$K,MATCH(K921,'Facility Summary'!$J:$J,0)),INDEX('Raw Annual DMR Data'!$M:$M,MATCH(K921,'Raw Annual DMR Data'!$L:$L,0)))</f>
        <v>Unknown</v>
      </c>
      <c r="M921" s="28"/>
      <c r="N921" s="28"/>
      <c r="O921" s="28"/>
      <c r="P921" s="28"/>
      <c r="Q921" s="28"/>
      <c r="R921" s="28"/>
      <c r="S921" s="302">
        <v>4.3038548752834398</v>
      </c>
    </row>
    <row r="922" spans="1:19" x14ac:dyDescent="0.25">
      <c r="A922" s="28">
        <v>2019</v>
      </c>
      <c r="B922" s="28"/>
      <c r="C922" s="28" t="s">
        <v>1192</v>
      </c>
      <c r="D922" s="28" t="s">
        <v>1924</v>
      </c>
      <c r="E922" s="28" t="s">
        <v>323</v>
      </c>
      <c r="F922" s="28" t="s">
        <v>324</v>
      </c>
      <c r="G922" s="28">
        <v>420290037</v>
      </c>
      <c r="H922" s="28">
        <v>37.047736999999998</v>
      </c>
      <c r="I922" s="28">
        <v>-88.35866</v>
      </c>
      <c r="J922" s="28" t="s">
        <v>721</v>
      </c>
      <c r="K922" s="61">
        <v>110000741608</v>
      </c>
      <c r="L922" s="61" t="str">
        <f>IFERROR(INDEX('Facility Summary'!$K:$K,MATCH(K922,'Facility Summary'!$J:$J,0)),INDEX('Raw Annual DMR Data'!$M:$M,MATCH(K922,'Raw Annual DMR Data'!$L:$L,0)))</f>
        <v>Unknown</v>
      </c>
      <c r="M922" s="28"/>
      <c r="N922" s="28"/>
      <c r="O922" s="28"/>
      <c r="P922" s="28"/>
      <c r="Q922" s="28"/>
      <c r="R922" s="28"/>
      <c r="S922" s="28">
        <v>4.3038548752834398</v>
      </c>
    </row>
    <row r="923" spans="1:19" x14ac:dyDescent="0.25">
      <c r="A923" s="28">
        <v>2020</v>
      </c>
      <c r="B923" s="28"/>
      <c r="C923" s="28" t="s">
        <v>1192</v>
      </c>
      <c r="D923" s="28" t="s">
        <v>1924</v>
      </c>
      <c r="E923" s="28" t="s">
        <v>323</v>
      </c>
      <c r="F923" s="28" t="s">
        <v>324</v>
      </c>
      <c r="G923" s="28">
        <v>420290037</v>
      </c>
      <c r="H923" s="28">
        <v>37.047736999999998</v>
      </c>
      <c r="I923" s="28">
        <v>-88.35866</v>
      </c>
      <c r="J923" s="28" t="s">
        <v>721</v>
      </c>
      <c r="K923" s="61">
        <v>110000741608</v>
      </c>
      <c r="L923" s="61" t="str">
        <f>IFERROR(INDEX('Facility Summary'!$K:$K,MATCH(K923,'Facility Summary'!$J:$J,0)),INDEX('Raw Annual DMR Data'!$M:$M,MATCH(K923,'Raw Annual DMR Data'!$L:$L,0)))</f>
        <v>Unknown</v>
      </c>
      <c r="M923" s="28"/>
      <c r="N923" s="28"/>
      <c r="O923" s="28"/>
      <c r="P923" s="28"/>
      <c r="Q923" s="28"/>
      <c r="R923" s="28"/>
      <c r="S923" s="28">
        <v>5.2970521541950104</v>
      </c>
    </row>
    <row r="924" spans="1:19" x14ac:dyDescent="0.25">
      <c r="A924" s="28">
        <v>2018</v>
      </c>
      <c r="B924" s="28"/>
      <c r="C924" s="28" t="s">
        <v>1193</v>
      </c>
      <c r="D924" s="28" t="s">
        <v>1927</v>
      </c>
      <c r="E924" s="28" t="s">
        <v>293</v>
      </c>
      <c r="F924" s="28" t="s">
        <v>294</v>
      </c>
      <c r="G924" s="28">
        <v>22203</v>
      </c>
      <c r="H924" s="28">
        <v>38.861800000000002</v>
      </c>
      <c r="I924" s="28">
        <v>-77.086969999999994</v>
      </c>
      <c r="J924" s="28"/>
      <c r="K924" s="61">
        <v>110070546877</v>
      </c>
      <c r="L924" s="61" t="str">
        <f>IFERROR(INDEX('Facility Summary'!$K:$K,MATCH(K924,'Facility Summary'!$J:$J,0)),INDEX('Raw Annual DMR Data'!$M:$M,MATCH(K924,'Raw Annual DMR Data'!$L:$L,0)))</f>
        <v>Unknown</v>
      </c>
      <c r="M924" s="28"/>
      <c r="N924" s="28"/>
      <c r="O924" s="28"/>
      <c r="P924" s="28"/>
      <c r="Q924" s="28"/>
      <c r="R924" s="28"/>
      <c r="S924" s="302">
        <v>9.2994338729999893E-3</v>
      </c>
    </row>
    <row r="925" spans="1:19" x14ac:dyDescent="0.25">
      <c r="A925" s="28">
        <v>2019</v>
      </c>
      <c r="B925" s="28"/>
      <c r="C925" s="28" t="s">
        <v>1193</v>
      </c>
      <c r="D925" s="28" t="s">
        <v>1927</v>
      </c>
      <c r="E925" s="28" t="s">
        <v>293</v>
      </c>
      <c r="F925" s="28" t="s">
        <v>294</v>
      </c>
      <c r="G925" s="28">
        <v>22203</v>
      </c>
      <c r="H925" s="28">
        <v>38.861800000000002</v>
      </c>
      <c r="I925" s="28">
        <v>-77.086969999999994</v>
      </c>
      <c r="J925" s="28"/>
      <c r="K925" s="61">
        <v>110070546877</v>
      </c>
      <c r="L925" s="61" t="str">
        <f>IFERROR(INDEX('Facility Summary'!$K:$K,MATCH(K925,'Facility Summary'!$J:$J,0)),INDEX('Raw Annual DMR Data'!$M:$M,MATCH(K925,'Raw Annual DMR Data'!$L:$L,0)))</f>
        <v>Unknown</v>
      </c>
      <c r="M925" s="28"/>
      <c r="N925" s="28"/>
      <c r="O925" s="28"/>
      <c r="P925" s="28"/>
      <c r="Q925" s="28"/>
      <c r="R925" s="28"/>
      <c r="S925" s="28">
        <v>4.4856072849999901E-4</v>
      </c>
    </row>
    <row r="926" spans="1:19" x14ac:dyDescent="0.25">
      <c r="A926" s="28">
        <v>2020</v>
      </c>
      <c r="B926" s="28"/>
      <c r="C926" s="28" t="s">
        <v>1193</v>
      </c>
      <c r="D926" s="28" t="s">
        <v>1927</v>
      </c>
      <c r="E926" s="28" t="s">
        <v>293</v>
      </c>
      <c r="F926" s="28" t="s">
        <v>294</v>
      </c>
      <c r="G926" s="28">
        <v>22203</v>
      </c>
      <c r="H926" s="28">
        <v>38.861800000000002</v>
      </c>
      <c r="I926" s="28">
        <v>-77.086969999999994</v>
      </c>
      <c r="J926" s="28"/>
      <c r="K926" s="61">
        <v>110070546877</v>
      </c>
      <c r="L926" s="61" t="str">
        <f>IFERROR(INDEX('Facility Summary'!$K:$K,MATCH(K926,'Facility Summary'!$J:$J,0)),INDEX('Raw Annual DMR Data'!$M:$M,MATCH(K926,'Raw Annual DMR Data'!$L:$L,0)))</f>
        <v>Unknown</v>
      </c>
      <c r="M926" s="28"/>
      <c r="N926" s="28"/>
      <c r="O926" s="28"/>
      <c r="P926" s="28"/>
      <c r="Q926" s="28"/>
      <c r="R926" s="28"/>
      <c r="S926" s="28">
        <v>5.0372218299999901E-4</v>
      </c>
    </row>
    <row r="927" spans="1:19" x14ac:dyDescent="0.25">
      <c r="A927" s="28">
        <v>2020</v>
      </c>
      <c r="B927" s="28"/>
      <c r="C927" s="28" t="s">
        <v>1194</v>
      </c>
      <c r="D927" s="28" t="s">
        <v>1929</v>
      </c>
      <c r="E927" s="28" t="s">
        <v>1195</v>
      </c>
      <c r="F927" s="28" t="s">
        <v>324</v>
      </c>
      <c r="G927" s="28">
        <v>40004</v>
      </c>
      <c r="H927" s="28">
        <v>37.780760000000001</v>
      </c>
      <c r="I927" s="28">
        <v>-85.510740999999996</v>
      </c>
      <c r="J927" s="28"/>
      <c r="K927" s="61">
        <v>110009933402</v>
      </c>
      <c r="L927" s="61" t="str">
        <f>IFERROR(INDEX('Facility Summary'!$K:$K,MATCH(K927,'Facility Summary'!$J:$J,0)),INDEX('Raw Annual DMR Data'!$M:$M,MATCH(K927,'Raw Annual DMR Data'!$L:$L,0)))</f>
        <v>POTW</v>
      </c>
      <c r="M927" s="28"/>
      <c r="N927" s="28"/>
      <c r="O927" s="28"/>
      <c r="P927" s="28"/>
      <c r="Q927" s="28"/>
      <c r="R927" s="28"/>
      <c r="S927" s="28">
        <v>1.2212681000000001</v>
      </c>
    </row>
    <row r="928" spans="1:19" x14ac:dyDescent="0.25">
      <c r="A928" s="28">
        <v>2016</v>
      </c>
      <c r="B928" s="28"/>
      <c r="C928" s="28" t="s">
        <v>188</v>
      </c>
      <c r="D928" s="28" t="s">
        <v>617</v>
      </c>
      <c r="E928" s="28" t="s">
        <v>618</v>
      </c>
      <c r="F928" s="28" t="s">
        <v>311</v>
      </c>
      <c r="G928" s="28">
        <v>265019624</v>
      </c>
      <c r="H928" s="28">
        <v>39.599829999999997</v>
      </c>
      <c r="I928" s="28">
        <v>-79.97148</v>
      </c>
      <c r="J928" s="28" t="s">
        <v>619</v>
      </c>
      <c r="K928" s="61">
        <v>110000572782</v>
      </c>
      <c r="L928" s="61" t="str">
        <f>IFERROR(INDEX('Facility Summary'!$K:$K,MATCH(K928,'Facility Summary'!$J:$J,0)),INDEX('Raw Annual DMR Data'!$M:$M,MATCH(K928,'Raw Annual DMR Data'!$L:$L,0)))</f>
        <v>Manufacturing</v>
      </c>
      <c r="M928" s="28"/>
      <c r="N928" s="28"/>
      <c r="O928" s="28"/>
      <c r="P928" s="28"/>
      <c r="Q928" s="28"/>
      <c r="R928" s="28"/>
      <c r="S928" s="28">
        <v>2.1519274376417201E-2</v>
      </c>
    </row>
    <row r="929" spans="1:19" x14ac:dyDescent="0.25">
      <c r="A929" s="28">
        <v>2015</v>
      </c>
      <c r="B929" s="28"/>
      <c r="C929" s="28" t="s">
        <v>188</v>
      </c>
      <c r="D929" s="28" t="s">
        <v>617</v>
      </c>
      <c r="E929" s="28" t="s">
        <v>618</v>
      </c>
      <c r="F929" s="28" t="s">
        <v>311</v>
      </c>
      <c r="G929" s="28">
        <v>265019624</v>
      </c>
      <c r="H929" s="28">
        <v>39.599829999999997</v>
      </c>
      <c r="I929" s="28">
        <v>-79.97148</v>
      </c>
      <c r="J929" s="28" t="s">
        <v>619</v>
      </c>
      <c r="K929" s="61">
        <v>110000572782</v>
      </c>
      <c r="L929" s="61" t="str">
        <f>IFERROR(INDEX('Facility Summary'!$K:$K,MATCH(K929,'Facility Summary'!$J:$J,0)),INDEX('Raw Annual DMR Data'!$M:$M,MATCH(K929,'Raw Annual DMR Data'!$L:$L,0)))</f>
        <v>Manufacturing</v>
      </c>
      <c r="M929" s="28"/>
      <c r="N929" s="28"/>
      <c r="O929" s="28"/>
      <c r="P929" s="28"/>
      <c r="Q929" s="28"/>
      <c r="R929" s="28"/>
      <c r="S929" s="28">
        <v>2.3259637188208601E-2</v>
      </c>
    </row>
    <row r="930" spans="1:19" x14ac:dyDescent="0.25">
      <c r="A930" s="28">
        <v>2015</v>
      </c>
      <c r="B930" s="28"/>
      <c r="C930" s="28" t="s">
        <v>188</v>
      </c>
      <c r="D930" s="28" t="s">
        <v>617</v>
      </c>
      <c r="E930" s="28" t="s">
        <v>618</v>
      </c>
      <c r="F930" s="28" t="s">
        <v>311</v>
      </c>
      <c r="G930" s="28">
        <v>265019624</v>
      </c>
      <c r="H930" s="28">
        <v>39.599829999999997</v>
      </c>
      <c r="I930" s="28">
        <v>-79.97148</v>
      </c>
      <c r="J930" s="28" t="s">
        <v>619</v>
      </c>
      <c r="K930" s="61">
        <v>110000572782</v>
      </c>
      <c r="L930" s="61" t="str">
        <f>IFERROR(INDEX('Facility Summary'!$K:$K,MATCH(K930,'Facility Summary'!$J:$J,0)),INDEX('Raw Annual DMR Data'!$M:$M,MATCH(K930,'Raw Annual DMR Data'!$L:$L,0)))</f>
        <v>Manufacturing</v>
      </c>
      <c r="M930" s="28"/>
      <c r="N930" s="28"/>
      <c r="O930" s="28"/>
      <c r="P930" s="28"/>
      <c r="Q930" s="28"/>
      <c r="R930" s="28"/>
      <c r="S930" s="28">
        <v>4.3130075000000004E-3</v>
      </c>
    </row>
    <row r="931" spans="1:19" x14ac:dyDescent="0.25">
      <c r="A931" s="28">
        <v>2019</v>
      </c>
      <c r="B931" s="28"/>
      <c r="C931" s="28" t="s">
        <v>1200</v>
      </c>
      <c r="D931" s="28" t="s">
        <v>1938</v>
      </c>
      <c r="E931" s="28" t="s">
        <v>1201</v>
      </c>
      <c r="F931" s="28" t="s">
        <v>324</v>
      </c>
      <c r="G931" s="28">
        <v>40359</v>
      </c>
      <c r="H931" s="28">
        <v>38.540579999999999</v>
      </c>
      <c r="I931" s="28">
        <v>-84.835340000000002</v>
      </c>
      <c r="J931" s="28"/>
      <c r="K931" s="61">
        <v>110009938737</v>
      </c>
      <c r="L931" s="61" t="str">
        <f>IFERROR(INDEX('Facility Summary'!$K:$K,MATCH(K931,'Facility Summary'!$J:$J,0)),INDEX('Raw Annual DMR Data'!$M:$M,MATCH(K931,'Raw Annual DMR Data'!$L:$L,0)))</f>
        <v>POTW</v>
      </c>
      <c r="M931" s="28"/>
      <c r="N931" s="28"/>
      <c r="O931" s="28"/>
      <c r="P931" s="28"/>
      <c r="Q931" s="28"/>
      <c r="R931" s="28"/>
      <c r="S931" s="28">
        <v>0.65795128125000002</v>
      </c>
    </row>
    <row r="932" spans="1:19" x14ac:dyDescent="0.25">
      <c r="A932" s="28">
        <v>2015</v>
      </c>
      <c r="B932" s="28"/>
      <c r="C932" s="28" t="s">
        <v>1202</v>
      </c>
      <c r="D932" s="28" t="s">
        <v>1941</v>
      </c>
      <c r="E932" s="28" t="s">
        <v>1203</v>
      </c>
      <c r="F932" s="28" t="s">
        <v>491</v>
      </c>
      <c r="G932" s="28">
        <v>15774</v>
      </c>
      <c r="H932" s="28">
        <v>40.660400000000003</v>
      </c>
      <c r="I932" s="28">
        <v>-79.341099999999997</v>
      </c>
      <c r="J932" s="28" t="s">
        <v>722</v>
      </c>
      <c r="K932" s="61">
        <v>110000538525</v>
      </c>
      <c r="L932" s="61" t="str">
        <f>IFERROR(INDEX('Facility Summary'!$K:$K,MATCH(K932,'Facility Summary'!$J:$J,0)),INDEX('Raw Annual DMR Data'!$M:$M,MATCH(K932,'Raw Annual DMR Data'!$L:$L,0)))</f>
        <v>Unknown</v>
      </c>
      <c r="M932" s="28"/>
      <c r="N932" s="28"/>
      <c r="O932" s="28"/>
      <c r="P932" s="28"/>
      <c r="Q932" s="28"/>
      <c r="R932" s="28"/>
      <c r="S932" s="28">
        <v>2.7619438337500002</v>
      </c>
    </row>
    <row r="933" spans="1:19" x14ac:dyDescent="0.25">
      <c r="A933" s="28">
        <v>2016</v>
      </c>
      <c r="B933" s="28"/>
      <c r="C933" s="28" t="s">
        <v>1202</v>
      </c>
      <c r="D933" s="28" t="s">
        <v>1941</v>
      </c>
      <c r="E933" s="28" t="s">
        <v>1203</v>
      </c>
      <c r="F933" s="28" t="s">
        <v>491</v>
      </c>
      <c r="G933" s="28">
        <v>15774</v>
      </c>
      <c r="H933" s="28">
        <v>40.660400000000003</v>
      </c>
      <c r="I933" s="28">
        <v>-79.341099999999997</v>
      </c>
      <c r="J933" s="28" t="s">
        <v>722</v>
      </c>
      <c r="K933" s="61">
        <v>110000538525</v>
      </c>
      <c r="L933" s="61" t="str">
        <f>IFERROR(INDEX('Facility Summary'!$K:$K,MATCH(K933,'Facility Summary'!$J:$J,0)),INDEX('Raw Annual DMR Data'!$M:$M,MATCH(K933,'Raw Annual DMR Data'!$L:$L,0)))</f>
        <v>Unknown</v>
      </c>
      <c r="M933" s="28"/>
      <c r="N933" s="28"/>
      <c r="O933" s="28"/>
      <c r="P933" s="28"/>
      <c r="Q933" s="28"/>
      <c r="R933" s="28"/>
      <c r="S933" s="28">
        <v>2.5975007237500001</v>
      </c>
    </row>
    <row r="934" spans="1:19" x14ac:dyDescent="0.25">
      <c r="A934" s="28">
        <v>2017</v>
      </c>
      <c r="B934" s="28"/>
      <c r="C934" s="28" t="s">
        <v>1202</v>
      </c>
      <c r="D934" s="28" t="s">
        <v>1941</v>
      </c>
      <c r="E934" s="28" t="s">
        <v>1203</v>
      </c>
      <c r="F934" s="28" t="s">
        <v>491</v>
      </c>
      <c r="G934" s="28">
        <v>15774</v>
      </c>
      <c r="H934" s="28">
        <v>40.660400000000003</v>
      </c>
      <c r="I934" s="28">
        <v>-79.341099999999997</v>
      </c>
      <c r="J934" s="28" t="s">
        <v>722</v>
      </c>
      <c r="K934" s="61">
        <v>110000538525</v>
      </c>
      <c r="L934" s="61" t="str">
        <f>IFERROR(INDEX('Facility Summary'!$K:$K,MATCH(K934,'Facility Summary'!$J:$J,0)),INDEX('Raw Annual DMR Data'!$M:$M,MATCH(K934,'Raw Annual DMR Data'!$L:$L,0)))</f>
        <v>Unknown</v>
      </c>
      <c r="M934" s="28"/>
      <c r="N934" s="28"/>
      <c r="O934" s="28"/>
      <c r="P934" s="28"/>
      <c r="Q934" s="28"/>
      <c r="R934" s="28"/>
      <c r="S934" s="28">
        <v>2.8546734950000001</v>
      </c>
    </row>
    <row r="935" spans="1:19" x14ac:dyDescent="0.25">
      <c r="A935" s="28">
        <v>2018</v>
      </c>
      <c r="B935" s="28"/>
      <c r="C935" s="28" t="s">
        <v>1202</v>
      </c>
      <c r="D935" s="28" t="s">
        <v>1941</v>
      </c>
      <c r="E935" s="28" t="s">
        <v>1203</v>
      </c>
      <c r="F935" s="28" t="s">
        <v>491</v>
      </c>
      <c r="G935" s="28">
        <v>15774</v>
      </c>
      <c r="H935" s="28">
        <v>40.660400000000003</v>
      </c>
      <c r="I935" s="28">
        <v>-79.341099999999997</v>
      </c>
      <c r="J935" s="28" t="s">
        <v>722</v>
      </c>
      <c r="K935" s="61">
        <v>110000538525</v>
      </c>
      <c r="L935" s="61" t="str">
        <f>IFERROR(INDEX('Facility Summary'!$K:$K,MATCH(K935,'Facility Summary'!$J:$J,0)),INDEX('Raw Annual DMR Data'!$M:$M,MATCH(K935,'Raw Annual DMR Data'!$L:$L,0)))</f>
        <v>Unknown</v>
      </c>
      <c r="M935" s="28"/>
      <c r="N935" s="28"/>
      <c r="O935" s="28"/>
      <c r="P935" s="28"/>
      <c r="Q935" s="28"/>
      <c r="R935" s="28"/>
      <c r="S935" s="28">
        <v>3.1764978512500002</v>
      </c>
    </row>
    <row r="936" spans="1:19" x14ac:dyDescent="0.25">
      <c r="A936" s="28">
        <v>2017</v>
      </c>
      <c r="B936" s="28"/>
      <c r="C936" s="28" t="s">
        <v>1204</v>
      </c>
      <c r="D936" s="28" t="s">
        <v>1945</v>
      </c>
      <c r="E936" s="28" t="s">
        <v>1205</v>
      </c>
      <c r="F936" s="28" t="s">
        <v>374</v>
      </c>
      <c r="G936" s="28">
        <v>86401</v>
      </c>
      <c r="H936" s="28">
        <v>35.296455000000002</v>
      </c>
      <c r="I936" s="28">
        <v>-113.935008</v>
      </c>
      <c r="J936" s="28"/>
      <c r="K936" s="61">
        <v>110015944077</v>
      </c>
      <c r="L936" s="61" t="str">
        <f>IFERROR(INDEX('Facility Summary'!$K:$K,MATCH(K936,'Facility Summary'!$J:$J,0)),INDEX('Raw Annual DMR Data'!$M:$M,MATCH(K936,'Raw Annual DMR Data'!$L:$L,0)))</f>
        <v>POTW</v>
      </c>
      <c r="M936" s="28"/>
      <c r="N936" s="28"/>
      <c r="O936" s="28"/>
      <c r="P936" s="28"/>
      <c r="Q936" s="28"/>
      <c r="R936" s="28"/>
      <c r="S936" s="28">
        <v>2.256030325E-3</v>
      </c>
    </row>
    <row r="937" spans="1:19" x14ac:dyDescent="0.25">
      <c r="A937" s="28">
        <v>2018</v>
      </c>
      <c r="B937" s="28"/>
      <c r="C937" s="28" t="s">
        <v>1204</v>
      </c>
      <c r="D937" s="28" t="s">
        <v>1945</v>
      </c>
      <c r="E937" s="28" t="s">
        <v>1205</v>
      </c>
      <c r="F937" s="28" t="s">
        <v>374</v>
      </c>
      <c r="G937" s="28">
        <v>86401</v>
      </c>
      <c r="H937" s="28">
        <v>35.296455000000002</v>
      </c>
      <c r="I937" s="28">
        <v>-113.935008</v>
      </c>
      <c r="J937" s="28"/>
      <c r="K937" s="61">
        <v>110015944077</v>
      </c>
      <c r="L937" s="61" t="str">
        <f>IFERROR(INDEX('Facility Summary'!$K:$K,MATCH(K937,'Facility Summary'!$J:$J,0)),INDEX('Raw Annual DMR Data'!$M:$M,MATCH(K937,'Raw Annual DMR Data'!$L:$L,0)))</f>
        <v>POTW</v>
      </c>
      <c r="M937" s="28"/>
      <c r="N937" s="28"/>
      <c r="O937" s="28"/>
      <c r="P937" s="28"/>
      <c r="Q937" s="28"/>
      <c r="R937" s="28"/>
      <c r="S937" s="28">
        <v>2.3997089250000001</v>
      </c>
    </row>
    <row r="938" spans="1:19" x14ac:dyDescent="0.25">
      <c r="A938" s="28">
        <v>2018</v>
      </c>
      <c r="B938" s="28"/>
      <c r="C938" s="28" t="s">
        <v>1206</v>
      </c>
      <c r="D938" s="28" t="s">
        <v>1947</v>
      </c>
      <c r="E938" s="28" t="s">
        <v>1207</v>
      </c>
      <c r="F938" s="28" t="s">
        <v>324</v>
      </c>
      <c r="G938" s="28">
        <v>40031</v>
      </c>
      <c r="H938" s="28">
        <v>38.391995999999999</v>
      </c>
      <c r="I938" s="28">
        <v>-85.416021999999998</v>
      </c>
      <c r="J938" s="28"/>
      <c r="K938" s="61">
        <v>110002108059</v>
      </c>
      <c r="L938" s="61" t="str">
        <f>IFERROR(INDEX('Facility Summary'!$K:$K,MATCH(K938,'Facility Summary'!$J:$J,0)),INDEX('Raw Annual DMR Data'!$M:$M,MATCH(K938,'Raw Annual DMR Data'!$L:$L,0)))</f>
        <v>POTW</v>
      </c>
      <c r="M938" s="28"/>
      <c r="N938" s="28"/>
      <c r="O938" s="28"/>
      <c r="P938" s="28"/>
      <c r="Q938" s="28"/>
      <c r="R938" s="28"/>
      <c r="S938" s="28">
        <v>2.7526885624999999</v>
      </c>
    </row>
    <row r="939" spans="1:19" x14ac:dyDescent="0.25">
      <c r="A939" s="28">
        <v>2020</v>
      </c>
      <c r="B939" s="28"/>
      <c r="C939" s="28" t="s">
        <v>1206</v>
      </c>
      <c r="D939" s="28" t="s">
        <v>1947</v>
      </c>
      <c r="E939" s="28" t="s">
        <v>1207</v>
      </c>
      <c r="F939" s="28" t="s">
        <v>324</v>
      </c>
      <c r="G939" s="28">
        <v>40031</v>
      </c>
      <c r="H939" s="28">
        <v>38.391995999999999</v>
      </c>
      <c r="I939" s="28">
        <v>-85.416021999999998</v>
      </c>
      <c r="J939" s="28"/>
      <c r="K939" s="61">
        <v>110002108059</v>
      </c>
      <c r="L939" s="61" t="str">
        <f>IFERROR(INDEX('Facility Summary'!$K:$K,MATCH(K939,'Facility Summary'!$J:$J,0)),INDEX('Raw Annual DMR Data'!$M:$M,MATCH(K939,'Raw Annual DMR Data'!$L:$L,0)))</f>
        <v>POTW</v>
      </c>
      <c r="M939" s="28"/>
      <c r="N939" s="28"/>
      <c r="O939" s="28"/>
      <c r="P939" s="28"/>
      <c r="Q939" s="28"/>
      <c r="R939" s="28"/>
      <c r="S939" s="28">
        <v>2.1137332500000001</v>
      </c>
    </row>
    <row r="940" spans="1:19" x14ac:dyDescent="0.25">
      <c r="A940" s="28">
        <v>2019</v>
      </c>
      <c r="B940" s="28"/>
      <c r="C940" s="28" t="s">
        <v>1208</v>
      </c>
      <c r="D940" s="28" t="s">
        <v>1951</v>
      </c>
      <c r="E940" s="28" t="s">
        <v>446</v>
      </c>
      <c r="F940" s="28" t="s">
        <v>303</v>
      </c>
      <c r="G940" s="28">
        <v>70669</v>
      </c>
      <c r="H940" s="28">
        <v>30.214192000000001</v>
      </c>
      <c r="I940" s="28">
        <v>-93.308589999999995</v>
      </c>
      <c r="J940" s="28"/>
      <c r="K940" s="61">
        <v>110070227146</v>
      </c>
      <c r="L940" s="61" t="str">
        <f>IFERROR(INDEX('Facility Summary'!$K:$K,MATCH(K940,'Facility Summary'!$J:$J,0)),INDEX('Raw Annual DMR Data'!$M:$M,MATCH(K940,'Raw Annual DMR Data'!$L:$L,0)))</f>
        <v>Unknown</v>
      </c>
      <c r="M940" s="28"/>
      <c r="N940" s="28"/>
      <c r="O940" s="28"/>
      <c r="P940" s="28"/>
      <c r="Q940" s="28"/>
      <c r="R940" s="28"/>
      <c r="S940" s="28">
        <v>4.8832199546485198</v>
      </c>
    </row>
    <row r="941" spans="1:19" x14ac:dyDescent="0.25">
      <c r="A941" s="28">
        <v>2015</v>
      </c>
      <c r="B941" s="28"/>
      <c r="C941" s="28" t="s">
        <v>1209</v>
      </c>
      <c r="D941" s="28" t="s">
        <v>1953</v>
      </c>
      <c r="E941" s="28" t="s">
        <v>446</v>
      </c>
      <c r="F941" s="28" t="s">
        <v>303</v>
      </c>
      <c r="G941" s="28">
        <v>70669</v>
      </c>
      <c r="H941" s="28">
        <v>30.258800000000001</v>
      </c>
      <c r="I941" s="28">
        <v>-93.293700000000001</v>
      </c>
      <c r="J941" s="28" t="s">
        <v>723</v>
      </c>
      <c r="K941" s="61">
        <v>110017418061</v>
      </c>
      <c r="L941" s="61" t="str">
        <f>IFERROR(INDEX('Facility Summary'!$K:$K,MATCH(K941,'Facility Summary'!$J:$J,0)),INDEX('Raw Annual DMR Data'!$M:$M,MATCH(K941,'Raw Annual DMR Data'!$L:$L,0)))</f>
        <v>Unknown</v>
      </c>
      <c r="M941" s="28"/>
      <c r="N941" s="28"/>
      <c r="O941" s="28"/>
      <c r="P941" s="28"/>
      <c r="Q941" s="28"/>
      <c r="R941" s="28"/>
      <c r="S941" s="28">
        <v>0.87055000000000005</v>
      </c>
    </row>
    <row r="942" spans="1:19" x14ac:dyDescent="0.25">
      <c r="A942" s="28">
        <v>2015</v>
      </c>
      <c r="B942" s="28"/>
      <c r="C942" s="28" t="s">
        <v>1209</v>
      </c>
      <c r="D942" s="28" t="s">
        <v>1953</v>
      </c>
      <c r="E942" s="28" t="s">
        <v>446</v>
      </c>
      <c r="F942" s="28" t="s">
        <v>303</v>
      </c>
      <c r="G942" s="28">
        <v>70669</v>
      </c>
      <c r="H942" s="28">
        <v>30.258800000000001</v>
      </c>
      <c r="I942" s="28">
        <v>-93.293700000000001</v>
      </c>
      <c r="J942" s="28" t="s">
        <v>723</v>
      </c>
      <c r="K942" s="61">
        <v>110017418061</v>
      </c>
      <c r="L942" s="61" t="str">
        <f>IFERROR(INDEX('Facility Summary'!$K:$K,MATCH(K942,'Facility Summary'!$J:$J,0)),INDEX('Raw Annual DMR Data'!$M:$M,MATCH(K942,'Raw Annual DMR Data'!$L:$L,0)))</f>
        <v>Unknown</v>
      </c>
      <c r="M942" s="28"/>
      <c r="N942" s="28"/>
      <c r="O942" s="28"/>
      <c r="P942" s="28"/>
      <c r="Q942" s="28"/>
      <c r="R942" s="28"/>
      <c r="S942" s="28">
        <v>2.4375399999999998</v>
      </c>
    </row>
    <row r="943" spans="1:19" x14ac:dyDescent="0.25">
      <c r="A943" s="28">
        <v>2016</v>
      </c>
      <c r="B943" s="28"/>
      <c r="C943" s="28" t="s">
        <v>1209</v>
      </c>
      <c r="D943" s="28" t="s">
        <v>1953</v>
      </c>
      <c r="E943" s="28" t="s">
        <v>446</v>
      </c>
      <c r="F943" s="28" t="s">
        <v>303</v>
      </c>
      <c r="G943" s="28">
        <v>70669</v>
      </c>
      <c r="H943" s="28">
        <v>30.258800000000001</v>
      </c>
      <c r="I943" s="28">
        <v>-93.293700000000001</v>
      </c>
      <c r="J943" s="28" t="s">
        <v>723</v>
      </c>
      <c r="K943" s="61">
        <v>110017418061</v>
      </c>
      <c r="L943" s="61" t="str">
        <f>IFERROR(INDEX('Facility Summary'!$K:$K,MATCH(K943,'Facility Summary'!$J:$J,0)),INDEX('Raw Annual DMR Data'!$M:$M,MATCH(K943,'Raw Annual DMR Data'!$L:$L,0)))</f>
        <v>Unknown</v>
      </c>
      <c r="M943" s="28"/>
      <c r="N943" s="28"/>
      <c r="O943" s="28"/>
      <c r="P943" s="28"/>
      <c r="Q943" s="28"/>
      <c r="R943" s="28"/>
      <c r="S943" s="28">
        <v>3.4053645000000001</v>
      </c>
    </row>
    <row r="944" spans="1:19" x14ac:dyDescent="0.25">
      <c r="A944" s="28">
        <v>2016</v>
      </c>
      <c r="B944" s="28"/>
      <c r="C944" s="28" t="s">
        <v>1209</v>
      </c>
      <c r="D944" s="28" t="s">
        <v>1953</v>
      </c>
      <c r="E944" s="28" t="s">
        <v>446</v>
      </c>
      <c r="F944" s="28" t="s">
        <v>303</v>
      </c>
      <c r="G944" s="28">
        <v>70669</v>
      </c>
      <c r="H944" s="28">
        <v>30.258800000000001</v>
      </c>
      <c r="I944" s="28">
        <v>-93.293700000000001</v>
      </c>
      <c r="J944" s="28" t="s">
        <v>723</v>
      </c>
      <c r="K944" s="61">
        <v>110017418061</v>
      </c>
      <c r="L944" s="61" t="str">
        <f>IFERROR(INDEX('Facility Summary'!$K:$K,MATCH(K944,'Facility Summary'!$J:$J,0)),INDEX('Raw Annual DMR Data'!$M:$M,MATCH(K944,'Raw Annual DMR Data'!$L:$L,0)))</f>
        <v>Unknown</v>
      </c>
      <c r="M944" s="28"/>
      <c r="N944" s="28"/>
      <c r="O944" s="28"/>
      <c r="P944" s="28"/>
      <c r="Q944" s="28"/>
      <c r="R944" s="28"/>
      <c r="S944" s="28">
        <v>1.20299916666666</v>
      </c>
    </row>
    <row r="945" spans="1:19" x14ac:dyDescent="0.25">
      <c r="A945" s="28">
        <v>2016</v>
      </c>
      <c r="B945" s="28"/>
      <c r="C945" s="28" t="s">
        <v>1209</v>
      </c>
      <c r="D945" s="28" t="s">
        <v>1953</v>
      </c>
      <c r="E945" s="28" t="s">
        <v>446</v>
      </c>
      <c r="F945" s="28" t="s">
        <v>303</v>
      </c>
      <c r="G945" s="28">
        <v>70669</v>
      </c>
      <c r="H945" s="28">
        <v>30.258800000000001</v>
      </c>
      <c r="I945" s="28">
        <v>-93.293700000000001</v>
      </c>
      <c r="J945" s="28" t="s">
        <v>723</v>
      </c>
      <c r="K945" s="61">
        <v>110017418061</v>
      </c>
      <c r="L945" s="61" t="str">
        <f>IFERROR(INDEX('Facility Summary'!$K:$K,MATCH(K945,'Facility Summary'!$J:$J,0)),INDEX('Raw Annual DMR Data'!$M:$M,MATCH(K945,'Raw Annual DMR Data'!$L:$L,0)))</f>
        <v>Unknown</v>
      </c>
      <c r="M945" s="28"/>
      <c r="N945" s="28"/>
      <c r="O945" s="28"/>
      <c r="P945" s="28"/>
      <c r="Q945" s="28"/>
      <c r="R945" s="28"/>
      <c r="S945" s="28">
        <v>1.3995983750000001</v>
      </c>
    </row>
    <row r="946" spans="1:19" x14ac:dyDescent="0.25">
      <c r="A946" s="28">
        <v>2016</v>
      </c>
      <c r="B946" s="28"/>
      <c r="C946" s="28" t="s">
        <v>1955</v>
      </c>
      <c r="D946" s="28" t="s">
        <v>604</v>
      </c>
      <c r="E946" s="28" t="s">
        <v>446</v>
      </c>
      <c r="F946" s="28" t="s">
        <v>303</v>
      </c>
      <c r="G946" s="28">
        <v>70669</v>
      </c>
      <c r="H946" s="28">
        <v>30.242155</v>
      </c>
      <c r="I946" s="28">
        <v>-93.274386000000007</v>
      </c>
      <c r="J946" s="28" t="s">
        <v>605</v>
      </c>
      <c r="K946" s="61">
        <v>110000539757</v>
      </c>
      <c r="L946" s="61" t="str">
        <f>IFERROR(INDEX('Facility Summary'!$K:$K,MATCH(K946,'Facility Summary'!$J:$J,0)),INDEX('Raw Annual DMR Data'!$M:$M,MATCH(K946,'Raw Annual DMR Data'!$L:$L,0)))</f>
        <v>Repackaging</v>
      </c>
      <c r="M946" s="28"/>
      <c r="N946" s="28"/>
      <c r="O946" s="28"/>
      <c r="P946" s="28"/>
      <c r="Q946" s="28"/>
      <c r="R946" s="28"/>
      <c r="S946" s="28">
        <v>6.8887000000000004E-2</v>
      </c>
    </row>
    <row r="947" spans="1:19" x14ac:dyDescent="0.25">
      <c r="A947" s="28">
        <v>2017</v>
      </c>
      <c r="B947" s="28"/>
      <c r="C947" s="28" t="s">
        <v>1210</v>
      </c>
      <c r="D947" s="28" t="s">
        <v>1956</v>
      </c>
      <c r="E947" s="28" t="s">
        <v>657</v>
      </c>
      <c r="F947" s="28" t="s">
        <v>418</v>
      </c>
      <c r="G947" s="28">
        <v>89101</v>
      </c>
      <c r="H947" s="28">
        <v>36.16478</v>
      </c>
      <c r="I947" s="28">
        <v>-115.14067</v>
      </c>
      <c r="J947" s="28"/>
      <c r="K947" s="61">
        <v>110017237373</v>
      </c>
      <c r="L947" s="61" t="str">
        <f>IFERROR(INDEX('Facility Summary'!$K:$K,MATCH(K947,'Facility Summary'!$J:$J,0)),INDEX('Raw Annual DMR Data'!$M:$M,MATCH(K947,'Raw Annual DMR Data'!$L:$L,0)))</f>
        <v>Remediation</v>
      </c>
      <c r="M947" s="28"/>
      <c r="N947" s="28"/>
      <c r="O947" s="28"/>
      <c r="P947" s="28"/>
      <c r="Q947" s="28"/>
      <c r="R947" s="28"/>
      <c r="S947" s="28">
        <v>1.7959825E-3</v>
      </c>
    </row>
    <row r="948" spans="1:19" x14ac:dyDescent="0.25">
      <c r="A948" s="28">
        <v>2018</v>
      </c>
      <c r="B948" s="28"/>
      <c r="C948" s="28" t="s">
        <v>1210</v>
      </c>
      <c r="D948" s="28" t="s">
        <v>1956</v>
      </c>
      <c r="E948" s="28" t="s">
        <v>657</v>
      </c>
      <c r="F948" s="28" t="s">
        <v>418</v>
      </c>
      <c r="G948" s="28">
        <v>89101</v>
      </c>
      <c r="H948" s="28">
        <v>36.16478</v>
      </c>
      <c r="I948" s="28">
        <v>-115.14067</v>
      </c>
      <c r="J948" s="28"/>
      <c r="K948" s="61">
        <v>110017237373</v>
      </c>
      <c r="L948" s="61" t="str">
        <f>IFERROR(INDEX('Facility Summary'!$K:$K,MATCH(K948,'Facility Summary'!$J:$J,0)),INDEX('Raw Annual DMR Data'!$M:$M,MATCH(K948,'Raw Annual DMR Data'!$L:$L,0)))</f>
        <v>Remediation</v>
      </c>
      <c r="M948" s="28"/>
      <c r="N948" s="28"/>
      <c r="O948" s="28"/>
      <c r="P948" s="28"/>
      <c r="Q948" s="28"/>
      <c r="R948" s="28"/>
      <c r="S948" s="28">
        <v>2.9012025E-3</v>
      </c>
    </row>
    <row r="949" spans="1:19" x14ac:dyDescent="0.25">
      <c r="A949" s="28">
        <v>2019</v>
      </c>
      <c r="B949" s="28"/>
      <c r="C949" s="28" t="s">
        <v>1210</v>
      </c>
      <c r="D949" s="28" t="s">
        <v>1956</v>
      </c>
      <c r="E949" s="28" t="s">
        <v>657</v>
      </c>
      <c r="F949" s="28" t="s">
        <v>418</v>
      </c>
      <c r="G949" s="28">
        <v>89101</v>
      </c>
      <c r="H949" s="28">
        <v>36.16478</v>
      </c>
      <c r="I949" s="28">
        <v>-115.14067</v>
      </c>
      <c r="J949" s="28"/>
      <c r="K949" s="61">
        <v>110017237373</v>
      </c>
      <c r="L949" s="61" t="str">
        <f>IFERROR(INDEX('Facility Summary'!$K:$K,MATCH(K949,'Facility Summary'!$J:$J,0)),INDEX('Raw Annual DMR Data'!$M:$M,MATCH(K949,'Raw Annual DMR Data'!$L:$L,0)))</f>
        <v>Remediation</v>
      </c>
      <c r="M949" s="28"/>
      <c r="N949" s="28"/>
      <c r="O949" s="28"/>
      <c r="P949" s="28"/>
      <c r="Q949" s="28"/>
      <c r="R949" s="28"/>
      <c r="S949" s="28">
        <v>5.1807187500000002E-4</v>
      </c>
    </row>
    <row r="950" spans="1:19" x14ac:dyDescent="0.25">
      <c r="A950" s="28">
        <v>2020</v>
      </c>
      <c r="B950" s="28"/>
      <c r="C950" s="28" t="s">
        <v>1210</v>
      </c>
      <c r="D950" s="28" t="s">
        <v>1956</v>
      </c>
      <c r="E950" s="28" t="s">
        <v>657</v>
      </c>
      <c r="F950" s="28" t="s">
        <v>418</v>
      </c>
      <c r="G950" s="28">
        <v>89101</v>
      </c>
      <c r="H950" s="28">
        <v>36.16478</v>
      </c>
      <c r="I950" s="28">
        <v>-115.14067</v>
      </c>
      <c r="J950" s="28"/>
      <c r="K950" s="61">
        <v>110017237373</v>
      </c>
      <c r="L950" s="61" t="str">
        <f>IFERROR(INDEX('Facility Summary'!$K:$K,MATCH(K950,'Facility Summary'!$J:$J,0)),INDEX('Raw Annual DMR Data'!$M:$M,MATCH(K950,'Raw Annual DMR Data'!$L:$L,0)))</f>
        <v>Remediation</v>
      </c>
      <c r="M950" s="28"/>
      <c r="N950" s="28"/>
      <c r="O950" s="28"/>
      <c r="P950" s="28"/>
      <c r="Q950" s="28"/>
      <c r="R950" s="28"/>
      <c r="S950" s="28">
        <v>3.3501981249999999E-3</v>
      </c>
    </row>
    <row r="951" spans="1:19" x14ac:dyDescent="0.25">
      <c r="A951" s="28">
        <v>2020</v>
      </c>
      <c r="B951" s="28"/>
      <c r="C951" s="28" t="s">
        <v>1211</v>
      </c>
      <c r="D951" s="28" t="s">
        <v>1958</v>
      </c>
      <c r="E951" s="28" t="s">
        <v>657</v>
      </c>
      <c r="F951" s="28" t="s">
        <v>418</v>
      </c>
      <c r="G951" s="28">
        <v>89109</v>
      </c>
      <c r="H951" s="28">
        <v>36.131489999999999</v>
      </c>
      <c r="I951" s="28">
        <v>-115.15483</v>
      </c>
      <c r="J951" s="28"/>
      <c r="K951" s="61">
        <v>110059844156</v>
      </c>
      <c r="L951" s="61" t="str">
        <f>IFERROR(INDEX('Facility Summary'!$K:$K,MATCH(K951,'Facility Summary'!$J:$J,0)),INDEX('Raw Annual DMR Data'!$M:$M,MATCH(K951,'Raw Annual DMR Data'!$L:$L,0)))</f>
        <v>Remediation</v>
      </c>
      <c r="M951" s="28"/>
      <c r="N951" s="28"/>
      <c r="O951" s="28"/>
      <c r="P951" s="28"/>
      <c r="Q951" s="28"/>
      <c r="R951" s="28"/>
      <c r="S951" s="28">
        <v>4.5219040156249897E-2</v>
      </c>
    </row>
    <row r="952" spans="1:19" x14ac:dyDescent="0.25">
      <c r="A952" s="28">
        <v>2020</v>
      </c>
      <c r="B952" s="28"/>
      <c r="C952" s="28" t="s">
        <v>1211</v>
      </c>
      <c r="D952" s="28" t="s">
        <v>1958</v>
      </c>
      <c r="E952" s="28" t="s">
        <v>657</v>
      </c>
      <c r="F952" s="28" t="s">
        <v>418</v>
      </c>
      <c r="G952" s="28">
        <v>89109</v>
      </c>
      <c r="H952" s="28">
        <v>36.131489999999999</v>
      </c>
      <c r="I952" s="28">
        <v>-115.15483</v>
      </c>
      <c r="J952" s="28"/>
      <c r="K952" s="61">
        <v>110059844156</v>
      </c>
      <c r="L952" s="61" t="str">
        <f>IFERROR(INDEX('Facility Summary'!$K:$K,MATCH(K952,'Facility Summary'!$J:$J,0)),INDEX('Raw Annual DMR Data'!$M:$M,MATCH(K952,'Raw Annual DMR Data'!$L:$L,0)))</f>
        <v>Remediation</v>
      </c>
      <c r="M952" s="28"/>
      <c r="N952" s="28"/>
      <c r="O952" s="28"/>
      <c r="P952" s="28"/>
      <c r="Q952" s="28"/>
      <c r="R952" s="28"/>
      <c r="S952" s="28">
        <v>1.8325238362499899E-2</v>
      </c>
    </row>
    <row r="953" spans="1:19" x14ac:dyDescent="0.25">
      <c r="A953" s="28">
        <v>2015</v>
      </c>
      <c r="B953" s="28"/>
      <c r="C953" s="28" t="s">
        <v>1212</v>
      </c>
      <c r="D953" s="28" t="s">
        <v>1963</v>
      </c>
      <c r="E953" s="28" t="s">
        <v>1213</v>
      </c>
      <c r="F953" s="28" t="s">
        <v>1128</v>
      </c>
      <c r="G953" s="28">
        <v>80125</v>
      </c>
      <c r="H953" s="28">
        <v>39.496341999999999</v>
      </c>
      <c r="I953" s="28">
        <v>-105.10758800000001</v>
      </c>
      <c r="J953" s="28" t="s">
        <v>724</v>
      </c>
      <c r="K953" s="61">
        <v>110000610429</v>
      </c>
      <c r="L953" s="61" t="str">
        <f>IFERROR(INDEX('Facility Summary'!$K:$K,MATCH(K953,'Facility Summary'!$J:$J,0)),INDEX('Raw Annual DMR Data'!$M:$M,MATCH(K953,'Raw Annual DMR Data'!$L:$L,0)))</f>
        <v>Unknown</v>
      </c>
      <c r="M953" s="28"/>
      <c r="N953" s="28"/>
      <c r="O953" s="28"/>
      <c r="P953" s="28"/>
      <c r="Q953" s="28"/>
      <c r="R953" s="28"/>
      <c r="S953" s="28">
        <v>4.9010697025000001E-2</v>
      </c>
    </row>
    <row r="954" spans="1:19" x14ac:dyDescent="0.25">
      <c r="A954" s="28">
        <v>2016</v>
      </c>
      <c r="B954" s="28"/>
      <c r="C954" s="28" t="s">
        <v>1212</v>
      </c>
      <c r="D954" s="28" t="s">
        <v>1963</v>
      </c>
      <c r="E954" s="28" t="s">
        <v>1213</v>
      </c>
      <c r="F954" s="28" t="s">
        <v>1128</v>
      </c>
      <c r="G954" s="28">
        <v>80125</v>
      </c>
      <c r="H954" s="28">
        <v>39.496341999999999</v>
      </c>
      <c r="I954" s="28">
        <v>-105.10758800000001</v>
      </c>
      <c r="J954" s="28" t="s">
        <v>724</v>
      </c>
      <c r="K954" s="61">
        <v>110000610429</v>
      </c>
      <c r="L954" s="61" t="str">
        <f>IFERROR(INDEX('Facility Summary'!$K:$K,MATCH(K954,'Facility Summary'!$J:$J,0)),INDEX('Raw Annual DMR Data'!$M:$M,MATCH(K954,'Raw Annual DMR Data'!$L:$L,0)))</f>
        <v>Unknown</v>
      </c>
      <c r="M954" s="28"/>
      <c r="N954" s="28"/>
      <c r="O954" s="28"/>
      <c r="P954" s="28"/>
      <c r="Q954" s="28"/>
      <c r="R954" s="28"/>
      <c r="S954" s="28">
        <v>5.0718015900000003E-2</v>
      </c>
    </row>
    <row r="955" spans="1:19" x14ac:dyDescent="0.25">
      <c r="A955" s="28">
        <v>2017</v>
      </c>
      <c r="B955" s="28"/>
      <c r="C955" s="28" t="s">
        <v>1212</v>
      </c>
      <c r="D955" s="28" t="s">
        <v>1963</v>
      </c>
      <c r="E955" s="28" t="s">
        <v>1213</v>
      </c>
      <c r="F955" s="28" t="s">
        <v>1128</v>
      </c>
      <c r="G955" s="28">
        <v>80125</v>
      </c>
      <c r="H955" s="28">
        <v>39.496341999999999</v>
      </c>
      <c r="I955" s="28">
        <v>-105.10758800000001</v>
      </c>
      <c r="J955" s="28" t="s">
        <v>724</v>
      </c>
      <c r="K955" s="61">
        <v>110000610429</v>
      </c>
      <c r="L955" s="61" t="str">
        <f>IFERROR(INDEX('Facility Summary'!$K:$K,MATCH(K955,'Facility Summary'!$J:$J,0)),INDEX('Raw Annual DMR Data'!$M:$M,MATCH(K955,'Raw Annual DMR Data'!$L:$L,0)))</f>
        <v>Unknown</v>
      </c>
      <c r="M955" s="28"/>
      <c r="N955" s="28"/>
      <c r="O955" s="28"/>
      <c r="P955" s="28"/>
      <c r="Q955" s="28"/>
      <c r="R955" s="28"/>
      <c r="S955" s="28">
        <v>4.0544919999999998E-2</v>
      </c>
    </row>
    <row r="956" spans="1:19" x14ac:dyDescent="0.25">
      <c r="A956" s="28">
        <v>2018</v>
      </c>
      <c r="B956" s="28"/>
      <c r="C956" s="28" t="s">
        <v>1212</v>
      </c>
      <c r="D956" s="28" t="s">
        <v>1963</v>
      </c>
      <c r="E956" s="28" t="s">
        <v>1213</v>
      </c>
      <c r="F956" s="28" t="s">
        <v>1128</v>
      </c>
      <c r="G956" s="28">
        <v>80125</v>
      </c>
      <c r="H956" s="28">
        <v>39.496341999999999</v>
      </c>
      <c r="I956" s="28">
        <v>-105.10758800000001</v>
      </c>
      <c r="J956" s="28" t="s">
        <v>724</v>
      </c>
      <c r="K956" s="61">
        <v>110000610429</v>
      </c>
      <c r="L956" s="61" t="str">
        <f>IFERROR(INDEX('Facility Summary'!$K:$K,MATCH(K956,'Facility Summary'!$J:$J,0)),INDEX('Raw Annual DMR Data'!$M:$M,MATCH(K956,'Raw Annual DMR Data'!$L:$L,0)))</f>
        <v>Unknown</v>
      </c>
      <c r="M956" s="28"/>
      <c r="N956" s="28"/>
      <c r="O956" s="28"/>
      <c r="P956" s="28"/>
      <c r="Q956" s="28"/>
      <c r="R956" s="28"/>
      <c r="S956" s="28">
        <v>3.5711474999999999E-2</v>
      </c>
    </row>
    <row r="957" spans="1:19" x14ac:dyDescent="0.25">
      <c r="A957" s="28">
        <v>2019</v>
      </c>
      <c r="B957" s="28"/>
      <c r="C957" s="28" t="s">
        <v>1212</v>
      </c>
      <c r="D957" s="28" t="s">
        <v>1963</v>
      </c>
      <c r="E957" s="28" t="s">
        <v>1213</v>
      </c>
      <c r="F957" s="28" t="s">
        <v>1128</v>
      </c>
      <c r="G957" s="28">
        <v>80125</v>
      </c>
      <c r="H957" s="28">
        <v>39.496341999999999</v>
      </c>
      <c r="I957" s="28">
        <v>-105.10758800000001</v>
      </c>
      <c r="J957" s="28" t="s">
        <v>724</v>
      </c>
      <c r="K957" s="61">
        <v>110000610429</v>
      </c>
      <c r="L957" s="61" t="str">
        <f>IFERROR(INDEX('Facility Summary'!$K:$K,MATCH(K957,'Facility Summary'!$J:$J,0)),INDEX('Raw Annual DMR Data'!$M:$M,MATCH(K957,'Raw Annual DMR Data'!$L:$L,0)))</f>
        <v>Unknown</v>
      </c>
      <c r="M957" s="28"/>
      <c r="N957" s="28"/>
      <c r="O957" s="28"/>
      <c r="P957" s="28"/>
      <c r="Q957" s="28"/>
      <c r="R957" s="28"/>
      <c r="S957" s="28">
        <v>3.9738715000000001E-2</v>
      </c>
    </row>
    <row r="958" spans="1:19" x14ac:dyDescent="0.25">
      <c r="A958" s="28">
        <v>2020</v>
      </c>
      <c r="B958" s="28"/>
      <c r="C958" s="28" t="s">
        <v>1212</v>
      </c>
      <c r="D958" s="28" t="s">
        <v>1963</v>
      </c>
      <c r="E958" s="28" t="s">
        <v>1213</v>
      </c>
      <c r="F958" s="28" t="s">
        <v>1128</v>
      </c>
      <c r="G958" s="28">
        <v>80125</v>
      </c>
      <c r="H958" s="28">
        <v>39.496341999999999</v>
      </c>
      <c r="I958" s="28">
        <v>-105.10758800000001</v>
      </c>
      <c r="J958" s="28" t="s">
        <v>724</v>
      </c>
      <c r="K958" s="61">
        <v>110000610429</v>
      </c>
      <c r="L958" s="61" t="str">
        <f>IFERROR(INDEX('Facility Summary'!$K:$K,MATCH(K958,'Facility Summary'!$J:$J,0)),INDEX('Raw Annual DMR Data'!$M:$M,MATCH(K958,'Raw Annual DMR Data'!$L:$L,0)))</f>
        <v>Unknown</v>
      </c>
      <c r="M958" s="28"/>
      <c r="N958" s="28"/>
      <c r="O958" s="28"/>
      <c r="P958" s="28"/>
      <c r="Q958" s="28"/>
      <c r="R958" s="28"/>
      <c r="S958" s="28">
        <v>4.0860967499999998E-2</v>
      </c>
    </row>
    <row r="959" spans="1:19" x14ac:dyDescent="0.25">
      <c r="A959" s="28">
        <v>2016</v>
      </c>
      <c r="B959" s="28"/>
      <c r="C959" s="28" t="s">
        <v>168</v>
      </c>
      <c r="D959" s="28" t="s">
        <v>546</v>
      </c>
      <c r="E959" s="28" t="s">
        <v>547</v>
      </c>
      <c r="F959" s="28" t="s">
        <v>366</v>
      </c>
      <c r="G959" s="28">
        <v>93436</v>
      </c>
      <c r="H959" s="28">
        <v>34.661079999999998</v>
      </c>
      <c r="I959" s="28">
        <v>-120.48135000000001</v>
      </c>
      <c r="J959" s="28"/>
      <c r="K959" s="61">
        <v>110009547222</v>
      </c>
      <c r="L959" s="61" t="str">
        <f>IFERROR(INDEX('Facility Summary'!$K:$K,MATCH(K959,'Facility Summary'!$J:$J,0)),INDEX('Raw Annual DMR Data'!$M:$M,MATCH(K959,'Raw Annual DMR Data'!$L:$L,0)))</f>
        <v>POTW</v>
      </c>
      <c r="M959" s="28"/>
      <c r="N959" s="28"/>
      <c r="O959" s="28"/>
      <c r="P959" s="28"/>
      <c r="Q959" s="28"/>
      <c r="R959" s="28"/>
      <c r="S959" s="28">
        <v>1.0257823125000001</v>
      </c>
    </row>
    <row r="960" spans="1:19" x14ac:dyDescent="0.25">
      <c r="A960" s="28">
        <v>2017</v>
      </c>
      <c r="B960" s="28"/>
      <c r="C960" s="28" t="s">
        <v>168</v>
      </c>
      <c r="D960" s="28" t="s">
        <v>546</v>
      </c>
      <c r="E960" s="28" t="s">
        <v>547</v>
      </c>
      <c r="F960" s="28" t="s">
        <v>366</v>
      </c>
      <c r="G960" s="28">
        <v>93436</v>
      </c>
      <c r="H960" s="28">
        <v>34.661079999999998</v>
      </c>
      <c r="I960" s="28">
        <v>-120.48135000000001</v>
      </c>
      <c r="J960" s="28"/>
      <c r="K960" s="61">
        <v>110009547222</v>
      </c>
      <c r="L960" s="61" t="str">
        <f>IFERROR(INDEX('Facility Summary'!$K:$K,MATCH(K960,'Facility Summary'!$J:$J,0)),INDEX('Raw Annual DMR Data'!$M:$M,MATCH(K960,'Raw Annual DMR Data'!$L:$L,0)))</f>
        <v>POTW</v>
      </c>
      <c r="M960" s="28"/>
      <c r="N960" s="28"/>
      <c r="O960" s="28"/>
      <c r="P960" s="28"/>
      <c r="Q960" s="28"/>
      <c r="R960" s="28"/>
      <c r="S960" s="28">
        <v>1.00851325</v>
      </c>
    </row>
    <row r="961" spans="1:19" x14ac:dyDescent="0.25">
      <c r="A961" s="28">
        <v>2018</v>
      </c>
      <c r="B961" s="28"/>
      <c r="C961" s="28" t="s">
        <v>168</v>
      </c>
      <c r="D961" s="28" t="s">
        <v>546</v>
      </c>
      <c r="E961" s="28" t="s">
        <v>547</v>
      </c>
      <c r="F961" s="28" t="s">
        <v>366</v>
      </c>
      <c r="G961" s="28">
        <v>93436</v>
      </c>
      <c r="H961" s="28">
        <v>34.661079999999998</v>
      </c>
      <c r="I961" s="28">
        <v>-120.48135000000001</v>
      </c>
      <c r="J961" s="28"/>
      <c r="K961" s="61">
        <v>110009547222</v>
      </c>
      <c r="L961" s="61" t="str">
        <f>IFERROR(INDEX('Facility Summary'!$K:$K,MATCH(K961,'Facility Summary'!$J:$J,0)),INDEX('Raw Annual DMR Data'!$M:$M,MATCH(K961,'Raw Annual DMR Data'!$L:$L,0)))</f>
        <v>POTW</v>
      </c>
      <c r="M961" s="28"/>
      <c r="N961" s="28"/>
      <c r="O961" s="28"/>
      <c r="P961" s="28"/>
      <c r="Q961" s="28"/>
      <c r="R961" s="28"/>
      <c r="S961" s="28">
        <v>1.0223285</v>
      </c>
    </row>
    <row r="962" spans="1:19" x14ac:dyDescent="0.25">
      <c r="A962" s="28">
        <v>2019</v>
      </c>
      <c r="B962" s="28"/>
      <c r="C962" s="28" t="s">
        <v>168</v>
      </c>
      <c r="D962" s="28" t="s">
        <v>546</v>
      </c>
      <c r="E962" s="28" t="s">
        <v>547</v>
      </c>
      <c r="F962" s="28" t="s">
        <v>366</v>
      </c>
      <c r="G962" s="28">
        <v>93436</v>
      </c>
      <c r="H962" s="28">
        <v>34.661079999999998</v>
      </c>
      <c r="I962" s="28">
        <v>-120.48135000000001</v>
      </c>
      <c r="J962" s="28"/>
      <c r="K962" s="61">
        <v>110009547222</v>
      </c>
      <c r="L962" s="61" t="str">
        <f>IFERROR(INDEX('Facility Summary'!$K:$K,MATCH(K962,'Facility Summary'!$J:$J,0)),INDEX('Raw Annual DMR Data'!$M:$M,MATCH(K962,'Raw Annual DMR Data'!$L:$L,0)))</f>
        <v>POTW</v>
      </c>
      <c r="M962" s="28"/>
      <c r="N962" s="28"/>
      <c r="O962" s="28"/>
      <c r="P962" s="28"/>
      <c r="Q962" s="28"/>
      <c r="R962" s="28"/>
      <c r="S962" s="28">
        <v>1.0603204374999999</v>
      </c>
    </row>
    <row r="963" spans="1:19" x14ac:dyDescent="0.25">
      <c r="A963" s="28">
        <v>2020</v>
      </c>
      <c r="B963" s="28"/>
      <c r="C963" s="28" t="s">
        <v>1214</v>
      </c>
      <c r="D963" s="28" t="s">
        <v>1966</v>
      </c>
      <c r="E963" s="28" t="s">
        <v>1215</v>
      </c>
      <c r="F963" s="28" t="s">
        <v>324</v>
      </c>
      <c r="G963" s="28" t="s">
        <v>1967</v>
      </c>
      <c r="H963" s="28">
        <v>37.106380000000001</v>
      </c>
      <c r="I963" s="28">
        <v>-84.066829999999996</v>
      </c>
      <c r="J963" s="28"/>
      <c r="K963" s="61">
        <v>110000557013</v>
      </c>
      <c r="L963" s="61" t="str">
        <f>IFERROR(INDEX('Facility Summary'!$K:$K,MATCH(K963,'Facility Summary'!$J:$J,0)),INDEX('Raw Annual DMR Data'!$M:$M,MATCH(K963,'Raw Annual DMR Data'!$L:$L,0)))</f>
        <v>POTW</v>
      </c>
      <c r="M963" s="28"/>
      <c r="N963" s="28"/>
      <c r="O963" s="28"/>
      <c r="P963" s="28"/>
      <c r="Q963" s="28"/>
      <c r="R963" s="28"/>
      <c r="S963" s="28">
        <v>2.8348892999999999</v>
      </c>
    </row>
    <row r="964" spans="1:19" x14ac:dyDescent="0.25">
      <c r="A964" s="28">
        <v>2016</v>
      </c>
      <c r="B964" s="28"/>
      <c r="C964" s="28" t="s">
        <v>1216</v>
      </c>
      <c r="D964" s="28" t="s">
        <v>1970</v>
      </c>
      <c r="E964" s="28" t="s">
        <v>1217</v>
      </c>
      <c r="F964" s="28" t="s">
        <v>338</v>
      </c>
      <c r="G964" s="28">
        <v>7724</v>
      </c>
      <c r="H964" s="28">
        <v>40.298000000000002</v>
      </c>
      <c r="I964" s="28">
        <v>-74.055549999999997</v>
      </c>
      <c r="J964" s="28"/>
      <c r="K964" s="61">
        <v>110070210646</v>
      </c>
      <c r="L964" s="61" t="str">
        <f>IFERROR(INDEX('Facility Summary'!$K:$K,MATCH(K964,'Facility Summary'!$J:$J,0)),INDEX('Raw Annual DMR Data'!$M:$M,MATCH(K964,'Raw Annual DMR Data'!$L:$L,0)))</f>
        <v>Unknown</v>
      </c>
      <c r="M964" s="28"/>
      <c r="N964" s="28"/>
      <c r="O964" s="28"/>
      <c r="P964" s="28"/>
      <c r="Q964" s="28"/>
      <c r="R964" s="28"/>
      <c r="S964" s="28">
        <v>2.1331503000000002E-2</v>
      </c>
    </row>
    <row r="965" spans="1:19" x14ac:dyDescent="0.25">
      <c r="A965" s="28">
        <v>2017</v>
      </c>
      <c r="B965" s="28"/>
      <c r="C965" s="28" t="s">
        <v>1216</v>
      </c>
      <c r="D965" s="28" t="s">
        <v>1970</v>
      </c>
      <c r="E965" s="28" t="s">
        <v>1217</v>
      </c>
      <c r="F965" s="28" t="s">
        <v>338</v>
      </c>
      <c r="G965" s="28">
        <v>7724</v>
      </c>
      <c r="H965" s="28">
        <v>40.298000000000002</v>
      </c>
      <c r="I965" s="28">
        <v>-74.055549999999997</v>
      </c>
      <c r="J965" s="28"/>
      <c r="K965" s="61">
        <v>110070210646</v>
      </c>
      <c r="L965" s="61" t="str">
        <f>IFERROR(INDEX('Facility Summary'!$K:$K,MATCH(K965,'Facility Summary'!$J:$J,0)),INDEX('Raw Annual DMR Data'!$M:$M,MATCH(K965,'Raw Annual DMR Data'!$L:$L,0)))</f>
        <v>Unknown</v>
      </c>
      <c r="M965" s="28"/>
      <c r="N965" s="28"/>
      <c r="O965" s="28"/>
      <c r="P965" s="28"/>
      <c r="Q965" s="28"/>
      <c r="R965" s="28"/>
      <c r="S965" s="28">
        <v>1.1435052750000001E-2</v>
      </c>
    </row>
    <row r="966" spans="1:19" x14ac:dyDescent="0.25">
      <c r="A966" s="28">
        <v>2018</v>
      </c>
      <c r="B966" s="28"/>
      <c r="C966" s="28" t="s">
        <v>1216</v>
      </c>
      <c r="D966" s="28" t="s">
        <v>1970</v>
      </c>
      <c r="E966" s="28" t="s">
        <v>1217</v>
      </c>
      <c r="F966" s="28" t="s">
        <v>338</v>
      </c>
      <c r="G966" s="302" t="s">
        <v>1973</v>
      </c>
      <c r="H966" s="28">
        <v>40.298000000000002</v>
      </c>
      <c r="I966" s="28">
        <v>-74.055549999999997</v>
      </c>
      <c r="J966" s="28"/>
      <c r="K966" s="61">
        <v>110070210646</v>
      </c>
      <c r="L966" s="61" t="str">
        <f>IFERROR(INDEX('Facility Summary'!$K:$K,MATCH(K966,'Facility Summary'!$J:$J,0)),INDEX('Raw Annual DMR Data'!$M:$M,MATCH(K966,'Raw Annual DMR Data'!$L:$L,0)))</f>
        <v>Unknown</v>
      </c>
      <c r="M966" s="28"/>
      <c r="N966" s="28"/>
      <c r="O966" s="28"/>
      <c r="P966" s="28"/>
      <c r="Q966" s="28"/>
      <c r="R966" s="28"/>
      <c r="S966" s="28">
        <v>1.5083225E-3</v>
      </c>
    </row>
    <row r="967" spans="1:19" x14ac:dyDescent="0.25">
      <c r="A967" s="28">
        <v>2020</v>
      </c>
      <c r="B967" s="28"/>
      <c r="C967" s="28" t="s">
        <v>1218</v>
      </c>
      <c r="D967" s="28" t="s">
        <v>1975</v>
      </c>
      <c r="E967" s="28" t="s">
        <v>1219</v>
      </c>
      <c r="F967" s="28" t="s">
        <v>324</v>
      </c>
      <c r="G967" s="28">
        <v>42431</v>
      </c>
      <c r="H967" s="28">
        <v>37.318492999999997</v>
      </c>
      <c r="I967" s="28">
        <v>-87.549857000000003</v>
      </c>
      <c r="J967" s="28"/>
      <c r="K967" s="61">
        <v>110002041380</v>
      </c>
      <c r="L967" s="61" t="str">
        <f>IFERROR(INDEX('Facility Summary'!$K:$K,MATCH(K967,'Facility Summary'!$J:$J,0)),INDEX('Raw Annual DMR Data'!$M:$M,MATCH(K967,'Raw Annual DMR Data'!$L:$L,0)))</f>
        <v>POTW</v>
      </c>
      <c r="M967" s="28"/>
      <c r="N967" s="28"/>
      <c r="O967" s="28"/>
      <c r="P967" s="28"/>
      <c r="Q967" s="28"/>
      <c r="R967" s="28"/>
      <c r="S967" s="28">
        <v>6.6741472750000002</v>
      </c>
    </row>
    <row r="968" spans="1:19" x14ac:dyDescent="0.25">
      <c r="A968" s="28">
        <v>2017</v>
      </c>
      <c r="B968" s="28"/>
      <c r="C968" s="28" t="s">
        <v>1220</v>
      </c>
      <c r="D968" s="28" t="s">
        <v>1978</v>
      </c>
      <c r="E968" s="28" t="s">
        <v>1221</v>
      </c>
      <c r="F968" s="28" t="s">
        <v>338</v>
      </c>
      <c r="G968" s="28">
        <v>8104</v>
      </c>
      <c r="H968" s="28">
        <v>39.919559</v>
      </c>
      <c r="I968" s="28">
        <v>-75.125825000000006</v>
      </c>
      <c r="J968" s="28"/>
      <c r="K968" s="61">
        <v>110009834581</v>
      </c>
      <c r="L968" s="61" t="str">
        <f>IFERROR(INDEX('Facility Summary'!$K:$K,MATCH(K968,'Facility Summary'!$J:$J,0)),INDEX('Raw Annual DMR Data'!$M:$M,MATCH(K968,'Raw Annual DMR Data'!$L:$L,0)))</f>
        <v>Unknown</v>
      </c>
      <c r="M968" s="28"/>
      <c r="N968" s="28"/>
      <c r="O968" s="28"/>
      <c r="P968" s="28"/>
      <c r="Q968" s="28"/>
      <c r="R968" s="28"/>
      <c r="S968" s="28">
        <v>6.5477419956250001E-3</v>
      </c>
    </row>
    <row r="969" spans="1:19" x14ac:dyDescent="0.25">
      <c r="A969" s="28">
        <v>2018</v>
      </c>
      <c r="B969" s="28"/>
      <c r="C969" s="28" t="s">
        <v>1220</v>
      </c>
      <c r="D969" s="28" t="s">
        <v>1978</v>
      </c>
      <c r="E969" s="28" t="s">
        <v>1221</v>
      </c>
      <c r="F969" s="28" t="s">
        <v>338</v>
      </c>
      <c r="G969" s="302" t="s">
        <v>1981</v>
      </c>
      <c r="H969" s="28">
        <v>39.919559</v>
      </c>
      <c r="I969" s="28">
        <v>-75.125825000000006</v>
      </c>
      <c r="J969" s="28"/>
      <c r="K969" s="61">
        <v>110009834581</v>
      </c>
      <c r="L969" s="61" t="str">
        <f>IFERROR(INDEX('Facility Summary'!$K:$K,MATCH(K969,'Facility Summary'!$J:$J,0)),INDEX('Raw Annual DMR Data'!$M:$M,MATCH(K969,'Raw Annual DMR Data'!$L:$L,0)))</f>
        <v>Unknown</v>
      </c>
      <c r="M969" s="28"/>
      <c r="N969" s="28"/>
      <c r="O969" s="28"/>
      <c r="P969" s="28"/>
      <c r="Q969" s="28"/>
      <c r="R969" s="28"/>
      <c r="S969" s="28">
        <v>7.267309064775E-3</v>
      </c>
    </row>
    <row r="970" spans="1:19" x14ac:dyDescent="0.25">
      <c r="A970" s="28">
        <v>2019</v>
      </c>
      <c r="B970" s="28"/>
      <c r="C970" s="28" t="s">
        <v>1220</v>
      </c>
      <c r="D970" s="28" t="s">
        <v>1978</v>
      </c>
      <c r="E970" s="28" t="s">
        <v>1221</v>
      </c>
      <c r="F970" s="28" t="s">
        <v>338</v>
      </c>
      <c r="G970" s="28">
        <v>8104</v>
      </c>
      <c r="H970" s="28">
        <v>39.919559</v>
      </c>
      <c r="I970" s="28">
        <v>-75.125825000000006</v>
      </c>
      <c r="J970" s="28"/>
      <c r="K970" s="61">
        <v>110009834581</v>
      </c>
      <c r="L970" s="61" t="str">
        <f>IFERROR(INDEX('Facility Summary'!$K:$K,MATCH(K970,'Facility Summary'!$J:$J,0)),INDEX('Raw Annual DMR Data'!$M:$M,MATCH(K970,'Raw Annual DMR Data'!$L:$L,0)))</f>
        <v>Unknown</v>
      </c>
      <c r="M970" s="28"/>
      <c r="N970" s="28"/>
      <c r="O970" s="28"/>
      <c r="P970" s="28"/>
      <c r="Q970" s="28"/>
      <c r="R970" s="28"/>
      <c r="S970" s="28">
        <v>1.0869705789724999E-2</v>
      </c>
    </row>
    <row r="971" spans="1:19" x14ac:dyDescent="0.25">
      <c r="A971" s="28">
        <v>2020</v>
      </c>
      <c r="B971" s="28"/>
      <c r="C971" s="28" t="s">
        <v>1220</v>
      </c>
      <c r="D971" s="28" t="s">
        <v>1978</v>
      </c>
      <c r="E971" s="28" t="s">
        <v>1221</v>
      </c>
      <c r="F971" s="28" t="s">
        <v>338</v>
      </c>
      <c r="G971" s="28">
        <v>8104</v>
      </c>
      <c r="H971" s="28">
        <v>39.919559</v>
      </c>
      <c r="I971" s="28">
        <v>-75.125825000000006</v>
      </c>
      <c r="J971" s="28"/>
      <c r="K971" s="61">
        <v>110009834581</v>
      </c>
      <c r="L971" s="61" t="str">
        <f>IFERROR(INDEX('Facility Summary'!$K:$K,MATCH(K971,'Facility Summary'!$J:$J,0)),INDEX('Raw Annual DMR Data'!$M:$M,MATCH(K971,'Raw Annual DMR Data'!$L:$L,0)))</f>
        <v>Unknown</v>
      </c>
      <c r="M971" s="28"/>
      <c r="N971" s="28"/>
      <c r="O971" s="28"/>
      <c r="P971" s="28"/>
      <c r="Q971" s="28"/>
      <c r="R971" s="28"/>
      <c r="S971" s="28">
        <v>5.8591856964250004E-3</v>
      </c>
    </row>
    <row r="972" spans="1:19" x14ac:dyDescent="0.25">
      <c r="A972" s="28">
        <v>2017</v>
      </c>
      <c r="B972" s="28"/>
      <c r="C972" s="28" t="s">
        <v>169</v>
      </c>
      <c r="D972" s="28" t="s">
        <v>548</v>
      </c>
      <c r="E972" s="28" t="s">
        <v>549</v>
      </c>
      <c r="F972" s="28" t="s">
        <v>366</v>
      </c>
      <c r="G972" s="28">
        <v>95959</v>
      </c>
      <c r="H972" s="28">
        <v>39.368808999999999</v>
      </c>
      <c r="I972" s="28">
        <v>-120.898977</v>
      </c>
      <c r="J972" s="28"/>
      <c r="K972" s="61">
        <v>110066354359</v>
      </c>
      <c r="L972" s="61" t="str">
        <f>IFERROR(INDEX('Facility Summary'!$K:$K,MATCH(K972,'Facility Summary'!$J:$J,0)),INDEX('Raw Annual DMR Data'!$M:$M,MATCH(K972,'Raw Annual DMR Data'!$L:$L,0)))</f>
        <v>Unknown</v>
      </c>
      <c r="M972" s="28"/>
      <c r="N972" s="28"/>
      <c r="O972" s="28"/>
      <c r="P972" s="28"/>
      <c r="Q972" s="28"/>
      <c r="R972" s="28"/>
      <c r="S972" s="28">
        <v>1.56699E-2</v>
      </c>
    </row>
    <row r="973" spans="1:19" x14ac:dyDescent="0.25">
      <c r="A973" s="28">
        <v>2019</v>
      </c>
      <c r="B973" s="28"/>
      <c r="C973" s="28" t="s">
        <v>169</v>
      </c>
      <c r="D973" s="28" t="s">
        <v>548</v>
      </c>
      <c r="E973" s="28" t="s">
        <v>549</v>
      </c>
      <c r="F973" s="28" t="s">
        <v>366</v>
      </c>
      <c r="G973" s="28">
        <v>95959</v>
      </c>
      <c r="H973" s="28">
        <v>39.368808999999999</v>
      </c>
      <c r="I973" s="28">
        <v>-120.898977</v>
      </c>
      <c r="J973" s="28"/>
      <c r="K973" s="61">
        <v>110066354359</v>
      </c>
      <c r="L973" s="61" t="str">
        <f>IFERROR(INDEX('Facility Summary'!$K:$K,MATCH(K973,'Facility Summary'!$J:$J,0)),INDEX('Raw Annual DMR Data'!$M:$M,MATCH(K973,'Raw Annual DMR Data'!$L:$L,0)))</f>
        <v>Unknown</v>
      </c>
      <c r="M973" s="28"/>
      <c r="N973" s="28"/>
      <c r="O973" s="28"/>
      <c r="P973" s="28"/>
      <c r="Q973" s="28"/>
      <c r="R973" s="28"/>
      <c r="S973" s="28">
        <v>1.3065772687500001E-3</v>
      </c>
    </row>
    <row r="974" spans="1:19" x14ac:dyDescent="0.25">
      <c r="A974" s="28">
        <v>2019</v>
      </c>
      <c r="B974" s="28"/>
      <c r="C974" s="28" t="s">
        <v>1222</v>
      </c>
      <c r="D974" s="28" t="s">
        <v>1983</v>
      </c>
      <c r="E974" s="28" t="s">
        <v>1223</v>
      </c>
      <c r="F974" s="28" t="s">
        <v>324</v>
      </c>
      <c r="G974" s="28">
        <v>40962</v>
      </c>
      <c r="H974" s="28">
        <v>37.177222</v>
      </c>
      <c r="I974" s="28">
        <v>-83.761388999999994</v>
      </c>
      <c r="J974" s="28"/>
      <c r="K974" s="61">
        <v>110009938808</v>
      </c>
      <c r="L974" s="61" t="str">
        <f>IFERROR(INDEX('Facility Summary'!$K:$K,MATCH(K974,'Facility Summary'!$J:$J,0)),INDEX('Raw Annual DMR Data'!$M:$M,MATCH(K974,'Raw Annual DMR Data'!$L:$L,0)))</f>
        <v>POTW</v>
      </c>
      <c r="M974" s="28"/>
      <c r="N974" s="28"/>
      <c r="O974" s="28"/>
      <c r="P974" s="28"/>
      <c r="Q974" s="28"/>
      <c r="R974" s="28"/>
      <c r="S974" s="28">
        <v>3.446904875</v>
      </c>
    </row>
    <row r="975" spans="1:19" x14ac:dyDescent="0.25">
      <c r="A975" s="28">
        <v>2020</v>
      </c>
      <c r="B975" s="28"/>
      <c r="C975" s="28" t="s">
        <v>1222</v>
      </c>
      <c r="D975" s="28" t="s">
        <v>1983</v>
      </c>
      <c r="E975" s="28" t="s">
        <v>1223</v>
      </c>
      <c r="F975" s="28" t="s">
        <v>324</v>
      </c>
      <c r="G975" s="28">
        <v>40962</v>
      </c>
      <c r="H975" s="28">
        <v>37.177222</v>
      </c>
      <c r="I975" s="28">
        <v>-83.761388999999994</v>
      </c>
      <c r="J975" s="28"/>
      <c r="K975" s="61">
        <v>110009938808</v>
      </c>
      <c r="L975" s="61" t="str">
        <f>IFERROR(INDEX('Facility Summary'!$K:$K,MATCH(K975,'Facility Summary'!$J:$J,0)),INDEX('Raw Annual DMR Data'!$M:$M,MATCH(K975,'Raw Annual DMR Data'!$L:$L,0)))</f>
        <v>POTW</v>
      </c>
      <c r="M975" s="28"/>
      <c r="N975" s="28"/>
      <c r="O975" s="28"/>
      <c r="P975" s="28"/>
      <c r="Q975" s="28"/>
      <c r="R975" s="28"/>
      <c r="S975" s="28">
        <v>3.336382875</v>
      </c>
    </row>
    <row r="976" spans="1:19" x14ac:dyDescent="0.25">
      <c r="A976" s="28">
        <v>2016</v>
      </c>
      <c r="B976" s="28"/>
      <c r="C976" s="28" t="s">
        <v>1224</v>
      </c>
      <c r="D976" s="28" t="s">
        <v>1985</v>
      </c>
      <c r="E976" s="28" t="s">
        <v>657</v>
      </c>
      <c r="F976" s="28" t="s">
        <v>418</v>
      </c>
      <c r="G976" s="28">
        <v>89101</v>
      </c>
      <c r="H976" s="28">
        <v>36.176639999999999</v>
      </c>
      <c r="I976" s="28">
        <v>-115.12891999999999</v>
      </c>
      <c r="J976" s="28"/>
      <c r="K976" s="61">
        <v>110008995490</v>
      </c>
      <c r="L976" s="61" t="str">
        <f>IFERROR(INDEX('Facility Summary'!$K:$K,MATCH(K976,'Facility Summary'!$J:$J,0)),INDEX('Raw Annual DMR Data'!$M:$M,MATCH(K976,'Raw Annual DMR Data'!$L:$L,0)))</f>
        <v>Unknown</v>
      </c>
      <c r="M976" s="28"/>
      <c r="N976" s="28"/>
      <c r="O976" s="28"/>
      <c r="P976" s="28"/>
      <c r="Q976" s="28"/>
      <c r="R976" s="28"/>
      <c r="S976" s="28">
        <v>0.19341349999999999</v>
      </c>
    </row>
    <row r="977" spans="1:19" x14ac:dyDescent="0.25">
      <c r="A977" s="28">
        <v>2017</v>
      </c>
      <c r="B977" s="28"/>
      <c r="C977" s="28" t="s">
        <v>1224</v>
      </c>
      <c r="D977" s="28" t="s">
        <v>1985</v>
      </c>
      <c r="E977" s="28" t="s">
        <v>657</v>
      </c>
      <c r="F977" s="28" t="s">
        <v>418</v>
      </c>
      <c r="G977" s="28">
        <v>89101</v>
      </c>
      <c r="H977" s="28">
        <v>36.176639999999999</v>
      </c>
      <c r="I977" s="28">
        <v>-115.12891999999999</v>
      </c>
      <c r="J977" s="28"/>
      <c r="K977" s="61">
        <v>110008995490</v>
      </c>
      <c r="L977" s="61" t="str">
        <f>IFERROR(INDEX('Facility Summary'!$K:$K,MATCH(K977,'Facility Summary'!$J:$J,0)),INDEX('Raw Annual DMR Data'!$M:$M,MATCH(K977,'Raw Annual DMR Data'!$L:$L,0)))</f>
        <v>Unknown</v>
      </c>
      <c r="M977" s="28"/>
      <c r="N977" s="28"/>
      <c r="O977" s="28"/>
      <c r="P977" s="28"/>
      <c r="Q977" s="28"/>
      <c r="R977" s="28"/>
      <c r="S977" s="28">
        <v>5.8714812499999998E-2</v>
      </c>
    </row>
    <row r="978" spans="1:19" x14ac:dyDescent="0.25">
      <c r="A978" s="28">
        <v>2018</v>
      </c>
      <c r="B978" s="28"/>
      <c r="C978" s="28" t="s">
        <v>1224</v>
      </c>
      <c r="D978" s="28" t="s">
        <v>1985</v>
      </c>
      <c r="E978" s="28" t="s">
        <v>657</v>
      </c>
      <c r="F978" s="28" t="s">
        <v>418</v>
      </c>
      <c r="G978" s="28">
        <v>89101</v>
      </c>
      <c r="H978" s="28">
        <v>36.176639999999999</v>
      </c>
      <c r="I978" s="28">
        <v>-115.12891999999999</v>
      </c>
      <c r="J978" s="28"/>
      <c r="K978" s="61">
        <v>110008995490</v>
      </c>
      <c r="L978" s="61" t="str">
        <f>IFERROR(INDEX('Facility Summary'!$K:$K,MATCH(K978,'Facility Summary'!$J:$J,0)),INDEX('Raw Annual DMR Data'!$M:$M,MATCH(K978,'Raw Annual DMR Data'!$L:$L,0)))</f>
        <v>Unknown</v>
      </c>
      <c r="M978" s="28"/>
      <c r="N978" s="28"/>
      <c r="O978" s="28"/>
      <c r="P978" s="28"/>
      <c r="Q978" s="28"/>
      <c r="R978" s="28"/>
      <c r="S978" s="28">
        <v>5.8714812499999998E-2</v>
      </c>
    </row>
    <row r="979" spans="1:19" x14ac:dyDescent="0.25">
      <c r="A979" s="28">
        <v>2019</v>
      </c>
      <c r="B979" s="28"/>
      <c r="C979" s="28" t="s">
        <v>1224</v>
      </c>
      <c r="D979" s="28" t="s">
        <v>1985</v>
      </c>
      <c r="E979" s="28" t="s">
        <v>657</v>
      </c>
      <c r="F979" s="28" t="s">
        <v>418</v>
      </c>
      <c r="G979" s="28">
        <v>89101</v>
      </c>
      <c r="H979" s="28">
        <v>36.176639999999999</v>
      </c>
      <c r="I979" s="28">
        <v>-115.12891999999999</v>
      </c>
      <c r="J979" s="28"/>
      <c r="K979" s="61">
        <v>110008995490</v>
      </c>
      <c r="L979" s="61" t="str">
        <f>IFERROR(INDEX('Facility Summary'!$K:$K,MATCH(K979,'Facility Summary'!$J:$J,0)),INDEX('Raw Annual DMR Data'!$M:$M,MATCH(K979,'Raw Annual DMR Data'!$L:$L,0)))</f>
        <v>Unknown</v>
      </c>
      <c r="M979" s="28"/>
      <c r="N979" s="28"/>
      <c r="O979" s="28"/>
      <c r="P979" s="28"/>
      <c r="Q979" s="28"/>
      <c r="R979" s="28"/>
      <c r="S979" s="28">
        <v>5.9291599187500002E-2</v>
      </c>
    </row>
    <row r="980" spans="1:19" x14ac:dyDescent="0.25">
      <c r="A980" s="28">
        <v>2016</v>
      </c>
      <c r="B980" s="28"/>
      <c r="C980" s="28" t="s">
        <v>1225</v>
      </c>
      <c r="D980" s="28" t="s">
        <v>1987</v>
      </c>
      <c r="E980" s="28" t="s">
        <v>1098</v>
      </c>
      <c r="F980" s="28" t="s">
        <v>324</v>
      </c>
      <c r="G980" s="28">
        <v>41056</v>
      </c>
      <c r="H980" s="28">
        <v>38.687221999999998</v>
      </c>
      <c r="I980" s="28">
        <v>-83.786666999999994</v>
      </c>
      <c r="J980" s="28"/>
      <c r="K980" s="61">
        <v>110000761104</v>
      </c>
      <c r="L980" s="61" t="str">
        <f>IFERROR(INDEX('Facility Summary'!$K:$K,MATCH(K980,'Facility Summary'!$J:$J,0)),INDEX('Raw Annual DMR Data'!$M:$M,MATCH(K980,'Raw Annual DMR Data'!$L:$L,0)))</f>
        <v>POTW</v>
      </c>
      <c r="M980" s="28"/>
      <c r="N980" s="28"/>
      <c r="O980" s="28"/>
      <c r="P980" s="28"/>
      <c r="Q980" s="28"/>
      <c r="R980" s="28"/>
      <c r="S980" s="28">
        <v>1.11903525</v>
      </c>
    </row>
    <row r="981" spans="1:19" x14ac:dyDescent="0.25">
      <c r="A981" s="28">
        <v>2017</v>
      </c>
      <c r="B981" s="28"/>
      <c r="C981" s="28" t="s">
        <v>1225</v>
      </c>
      <c r="D981" s="28" t="s">
        <v>1987</v>
      </c>
      <c r="E981" s="28" t="s">
        <v>1098</v>
      </c>
      <c r="F981" s="28" t="s">
        <v>324</v>
      </c>
      <c r="G981" s="28">
        <v>41056</v>
      </c>
      <c r="H981" s="28">
        <v>38.687221999999998</v>
      </c>
      <c r="I981" s="28">
        <v>-83.786666999999994</v>
      </c>
      <c r="J981" s="28"/>
      <c r="K981" s="61">
        <v>110000761104</v>
      </c>
      <c r="L981" s="61" t="str">
        <f>IFERROR(INDEX('Facility Summary'!$K:$K,MATCH(K981,'Facility Summary'!$J:$J,0)),INDEX('Raw Annual DMR Data'!$M:$M,MATCH(K981,'Raw Annual DMR Data'!$L:$L,0)))</f>
        <v>POTW</v>
      </c>
      <c r="M981" s="28"/>
      <c r="N981" s="28"/>
      <c r="O981" s="28"/>
      <c r="P981" s="28"/>
      <c r="Q981" s="28"/>
      <c r="R981" s="28"/>
      <c r="S981" s="28">
        <v>0.88762981249999995</v>
      </c>
    </row>
    <row r="982" spans="1:19" x14ac:dyDescent="0.25">
      <c r="A982" s="28">
        <v>2018</v>
      </c>
      <c r="B982" s="28"/>
      <c r="C982" s="28" t="s">
        <v>1225</v>
      </c>
      <c r="D982" s="28" t="s">
        <v>1987</v>
      </c>
      <c r="E982" s="28" t="s">
        <v>1098</v>
      </c>
      <c r="F982" s="28" t="s">
        <v>324</v>
      </c>
      <c r="G982" s="28">
        <v>41056</v>
      </c>
      <c r="H982" s="28">
        <v>38.687221999999998</v>
      </c>
      <c r="I982" s="28">
        <v>-83.786666999999994</v>
      </c>
      <c r="J982" s="28"/>
      <c r="K982" s="61">
        <v>110000761104</v>
      </c>
      <c r="L982" s="61" t="str">
        <f>IFERROR(INDEX('Facility Summary'!$K:$K,MATCH(K982,'Facility Summary'!$J:$J,0)),INDEX('Raw Annual DMR Data'!$M:$M,MATCH(K982,'Raw Annual DMR Data'!$L:$L,0)))</f>
        <v>POTW</v>
      </c>
      <c r="M982" s="28"/>
      <c r="N982" s="28"/>
      <c r="O982" s="28"/>
      <c r="P982" s="28"/>
      <c r="Q982" s="28"/>
      <c r="R982" s="28"/>
      <c r="S982" s="28">
        <v>1.1079830500000001</v>
      </c>
    </row>
    <row r="983" spans="1:19" x14ac:dyDescent="0.25">
      <c r="A983" s="28">
        <v>2019</v>
      </c>
      <c r="B983" s="28"/>
      <c r="C983" s="28" t="s">
        <v>1225</v>
      </c>
      <c r="D983" s="28" t="s">
        <v>1987</v>
      </c>
      <c r="E983" s="28" t="s">
        <v>1098</v>
      </c>
      <c r="F983" s="28" t="s">
        <v>324</v>
      </c>
      <c r="G983" s="28">
        <v>41056</v>
      </c>
      <c r="H983" s="28">
        <v>38.687221999999998</v>
      </c>
      <c r="I983" s="28">
        <v>-83.786666999999994</v>
      </c>
      <c r="J983" s="28"/>
      <c r="K983" s="61">
        <v>110000761104</v>
      </c>
      <c r="L983" s="61" t="str">
        <f>IFERROR(INDEX('Facility Summary'!$K:$K,MATCH(K983,'Facility Summary'!$J:$J,0)),INDEX('Raw Annual DMR Data'!$M:$M,MATCH(K983,'Raw Annual DMR Data'!$L:$L,0)))</f>
        <v>POTW</v>
      </c>
      <c r="M983" s="28"/>
      <c r="N983" s="28"/>
      <c r="O983" s="28"/>
      <c r="P983" s="28"/>
      <c r="Q983" s="28"/>
      <c r="R983" s="28"/>
      <c r="S983" s="28">
        <v>0.46971849999999998</v>
      </c>
    </row>
    <row r="984" spans="1:19" x14ac:dyDescent="0.25">
      <c r="A984" s="28">
        <v>2016</v>
      </c>
      <c r="B984" s="28"/>
      <c r="C984" s="28" t="s">
        <v>1226</v>
      </c>
      <c r="D984" s="28" t="s">
        <v>1990</v>
      </c>
      <c r="E984" s="28" t="s">
        <v>657</v>
      </c>
      <c r="F984" s="28" t="s">
        <v>418</v>
      </c>
      <c r="G984" s="28">
        <v>89119</v>
      </c>
      <c r="H984" s="28">
        <v>36.075400000000002</v>
      </c>
      <c r="I984" s="28">
        <v>-115.1669</v>
      </c>
      <c r="J984" s="28"/>
      <c r="K984" s="61">
        <v>110064134459</v>
      </c>
      <c r="L984" s="61" t="str">
        <f>IFERROR(INDEX('Facility Summary'!$K:$K,MATCH(K984,'Facility Summary'!$J:$J,0)),INDEX('Raw Annual DMR Data'!$M:$M,MATCH(K984,'Raw Annual DMR Data'!$L:$L,0)))</f>
        <v>Unknown</v>
      </c>
      <c r="M984" s="28"/>
      <c r="N984" s="28"/>
      <c r="O984" s="28"/>
      <c r="P984" s="28"/>
      <c r="Q984" s="28"/>
      <c r="R984" s="28"/>
      <c r="S984" s="28">
        <v>5.1484894750000003E-2</v>
      </c>
    </row>
    <row r="985" spans="1:19" x14ac:dyDescent="0.25">
      <c r="A985" s="28">
        <v>2016</v>
      </c>
      <c r="B985" s="28"/>
      <c r="C985" s="28" t="s">
        <v>1226</v>
      </c>
      <c r="D985" s="28" t="s">
        <v>1990</v>
      </c>
      <c r="E985" s="28" t="s">
        <v>657</v>
      </c>
      <c r="F985" s="28" t="s">
        <v>418</v>
      </c>
      <c r="G985" s="28">
        <v>89119</v>
      </c>
      <c r="H985" s="28">
        <v>36.075400000000002</v>
      </c>
      <c r="I985" s="28">
        <v>-115.1669</v>
      </c>
      <c r="J985" s="28"/>
      <c r="K985" s="61">
        <v>110064134459</v>
      </c>
      <c r="L985" s="61" t="str">
        <f>IFERROR(INDEX('Facility Summary'!$K:$K,MATCH(K985,'Facility Summary'!$J:$J,0)),INDEX('Raw Annual DMR Data'!$M:$M,MATCH(K985,'Raw Annual DMR Data'!$L:$L,0)))</f>
        <v>Unknown</v>
      </c>
      <c r="M985" s="28"/>
      <c r="N985" s="28"/>
      <c r="O985" s="28"/>
      <c r="P985" s="28"/>
      <c r="Q985" s="28"/>
      <c r="R985" s="28"/>
      <c r="S985" s="28">
        <v>7.3071317500000002E-3</v>
      </c>
    </row>
    <row r="986" spans="1:19" x14ac:dyDescent="0.25">
      <c r="A986" s="28">
        <v>2017</v>
      </c>
      <c r="B986" s="28"/>
      <c r="C986" s="28" t="s">
        <v>1226</v>
      </c>
      <c r="D986" s="28" t="s">
        <v>1990</v>
      </c>
      <c r="E986" s="28" t="s">
        <v>657</v>
      </c>
      <c r="F986" s="28" t="s">
        <v>418</v>
      </c>
      <c r="G986" s="28">
        <v>89119</v>
      </c>
      <c r="H986" s="28">
        <v>36.075400000000002</v>
      </c>
      <c r="I986" s="28">
        <v>-115.1669</v>
      </c>
      <c r="J986" s="28"/>
      <c r="K986" s="61">
        <v>110064134459</v>
      </c>
      <c r="L986" s="61" t="str">
        <f>IFERROR(INDEX('Facility Summary'!$K:$K,MATCH(K986,'Facility Summary'!$J:$J,0)),INDEX('Raw Annual DMR Data'!$M:$M,MATCH(K986,'Raw Annual DMR Data'!$L:$L,0)))</f>
        <v>Unknown</v>
      </c>
      <c r="M986" s="28"/>
      <c r="N986" s="28"/>
      <c r="O986" s="28"/>
      <c r="P986" s="28"/>
      <c r="Q986" s="28"/>
      <c r="R986" s="28"/>
      <c r="S986" s="28">
        <v>3.1396858875000003E-2</v>
      </c>
    </row>
    <row r="987" spans="1:19" x14ac:dyDescent="0.25">
      <c r="A987" s="28">
        <v>2017</v>
      </c>
      <c r="B987" s="28"/>
      <c r="C987" s="28" t="s">
        <v>1226</v>
      </c>
      <c r="D987" s="28" t="s">
        <v>1990</v>
      </c>
      <c r="E987" s="28" t="s">
        <v>657</v>
      </c>
      <c r="F987" s="28" t="s">
        <v>418</v>
      </c>
      <c r="G987" s="28">
        <v>89119</v>
      </c>
      <c r="H987" s="28">
        <v>36.075400000000002</v>
      </c>
      <c r="I987" s="28">
        <v>-115.1669</v>
      </c>
      <c r="J987" s="28"/>
      <c r="K987" s="61">
        <v>110064134459</v>
      </c>
      <c r="L987" s="61" t="str">
        <f>IFERROR(INDEX('Facility Summary'!$K:$K,MATCH(K987,'Facility Summary'!$J:$J,0)),INDEX('Raw Annual DMR Data'!$M:$M,MATCH(K987,'Raw Annual DMR Data'!$L:$L,0)))</f>
        <v>Unknown</v>
      </c>
      <c r="M987" s="28"/>
      <c r="N987" s="28"/>
      <c r="O987" s="28"/>
      <c r="P987" s="28"/>
      <c r="Q987" s="28"/>
      <c r="R987" s="28"/>
      <c r="S987" s="28">
        <v>8.0375421249999999E-3</v>
      </c>
    </row>
    <row r="988" spans="1:19" x14ac:dyDescent="0.25">
      <c r="A988" s="28">
        <v>2018</v>
      </c>
      <c r="B988" s="28"/>
      <c r="C988" s="28" t="s">
        <v>1226</v>
      </c>
      <c r="D988" s="28" t="s">
        <v>1990</v>
      </c>
      <c r="E988" s="28" t="s">
        <v>657</v>
      </c>
      <c r="F988" s="28" t="s">
        <v>418</v>
      </c>
      <c r="G988" s="28">
        <v>89119</v>
      </c>
      <c r="H988" s="28">
        <v>36.075400000000002</v>
      </c>
      <c r="I988" s="28">
        <v>-115.1669</v>
      </c>
      <c r="J988" s="28"/>
      <c r="K988" s="61">
        <v>110064134459</v>
      </c>
      <c r="L988" s="61" t="str">
        <f>IFERROR(INDEX('Facility Summary'!$K:$K,MATCH(K988,'Facility Summary'!$J:$J,0)),INDEX('Raw Annual DMR Data'!$M:$M,MATCH(K988,'Raw Annual DMR Data'!$L:$L,0)))</f>
        <v>Unknown</v>
      </c>
      <c r="M988" s="28"/>
      <c r="N988" s="28"/>
      <c r="O988" s="28"/>
      <c r="P988" s="28"/>
      <c r="Q988" s="28"/>
      <c r="R988" s="28"/>
      <c r="S988" s="28">
        <v>4.4362471000000001E-2</v>
      </c>
    </row>
    <row r="989" spans="1:19" x14ac:dyDescent="0.25">
      <c r="A989" s="28">
        <v>2018</v>
      </c>
      <c r="B989" s="28"/>
      <c r="C989" s="28" t="s">
        <v>1226</v>
      </c>
      <c r="D989" s="28" t="s">
        <v>1990</v>
      </c>
      <c r="E989" s="28" t="s">
        <v>657</v>
      </c>
      <c r="F989" s="28" t="s">
        <v>418</v>
      </c>
      <c r="G989" s="28">
        <v>89119</v>
      </c>
      <c r="H989" s="28">
        <v>36.075400000000002</v>
      </c>
      <c r="I989" s="28">
        <v>-115.1669</v>
      </c>
      <c r="J989" s="28"/>
      <c r="K989" s="61">
        <v>110064134459</v>
      </c>
      <c r="L989" s="61" t="str">
        <f>IFERROR(INDEX('Facility Summary'!$K:$K,MATCH(K989,'Facility Summary'!$J:$J,0)),INDEX('Raw Annual DMR Data'!$M:$M,MATCH(K989,'Raw Annual DMR Data'!$L:$L,0)))</f>
        <v>Unknown</v>
      </c>
      <c r="M989" s="28"/>
      <c r="N989" s="28"/>
      <c r="O989" s="28"/>
      <c r="P989" s="28"/>
      <c r="Q989" s="28"/>
      <c r="R989" s="28"/>
      <c r="S989" s="28">
        <v>1.402058625E-2</v>
      </c>
    </row>
    <row r="990" spans="1:19" x14ac:dyDescent="0.25">
      <c r="A990" s="28">
        <v>2019</v>
      </c>
      <c r="B990" s="28"/>
      <c r="C990" s="28" t="s">
        <v>1226</v>
      </c>
      <c r="D990" s="28" t="s">
        <v>1990</v>
      </c>
      <c r="E990" s="28" t="s">
        <v>657</v>
      </c>
      <c r="F990" s="28" t="s">
        <v>418</v>
      </c>
      <c r="G990" s="28">
        <v>89119</v>
      </c>
      <c r="H990" s="28">
        <v>36.075400000000002</v>
      </c>
      <c r="I990" s="28">
        <v>-115.1669</v>
      </c>
      <c r="J990" s="28"/>
      <c r="K990" s="61">
        <v>110064134459</v>
      </c>
      <c r="L990" s="61" t="str">
        <f>IFERROR(INDEX('Facility Summary'!$K:$K,MATCH(K990,'Facility Summary'!$J:$J,0)),INDEX('Raw Annual DMR Data'!$M:$M,MATCH(K990,'Raw Annual DMR Data'!$L:$L,0)))</f>
        <v>Unknown</v>
      </c>
      <c r="M990" s="28"/>
      <c r="N990" s="28"/>
      <c r="O990" s="28"/>
      <c r="P990" s="28"/>
      <c r="Q990" s="28"/>
      <c r="R990" s="28"/>
      <c r="S990" s="28">
        <v>7.5289327499999999E-3</v>
      </c>
    </row>
    <row r="991" spans="1:19" x14ac:dyDescent="0.25">
      <c r="A991" s="28">
        <v>2019</v>
      </c>
      <c r="B991" s="28"/>
      <c r="C991" s="28" t="s">
        <v>1226</v>
      </c>
      <c r="D991" s="28" t="s">
        <v>1990</v>
      </c>
      <c r="E991" s="28" t="s">
        <v>657</v>
      </c>
      <c r="F991" s="28" t="s">
        <v>418</v>
      </c>
      <c r="G991" s="28">
        <v>89119</v>
      </c>
      <c r="H991" s="28">
        <v>36.075400000000002</v>
      </c>
      <c r="I991" s="28">
        <v>-115.1669</v>
      </c>
      <c r="J991" s="28"/>
      <c r="K991" s="61">
        <v>110064134459</v>
      </c>
      <c r="L991" s="61" t="str">
        <f>IFERROR(INDEX('Facility Summary'!$K:$K,MATCH(K991,'Facility Summary'!$J:$J,0)),INDEX('Raw Annual DMR Data'!$M:$M,MATCH(K991,'Raw Annual DMR Data'!$L:$L,0)))</f>
        <v>Unknown</v>
      </c>
      <c r="M991" s="28"/>
      <c r="N991" s="28"/>
      <c r="O991" s="28"/>
      <c r="P991" s="28"/>
      <c r="Q991" s="28"/>
      <c r="R991" s="28"/>
      <c r="S991" s="28">
        <v>1.4024844375E-2</v>
      </c>
    </row>
    <row r="992" spans="1:19" x14ac:dyDescent="0.25">
      <c r="A992" s="28">
        <v>2020</v>
      </c>
      <c r="B992" s="28"/>
      <c r="C992" s="28" t="s">
        <v>1226</v>
      </c>
      <c r="D992" s="28" t="s">
        <v>1990</v>
      </c>
      <c r="E992" s="28" t="s">
        <v>657</v>
      </c>
      <c r="F992" s="28" t="s">
        <v>418</v>
      </c>
      <c r="G992" s="28">
        <v>89119</v>
      </c>
      <c r="H992" s="28">
        <v>36.075400000000002</v>
      </c>
      <c r="I992" s="28">
        <v>-115.1669</v>
      </c>
      <c r="J992" s="28"/>
      <c r="K992" s="61">
        <v>110064134459</v>
      </c>
      <c r="L992" s="61" t="str">
        <f>IFERROR(INDEX('Facility Summary'!$K:$K,MATCH(K992,'Facility Summary'!$J:$J,0)),INDEX('Raw Annual DMR Data'!$M:$M,MATCH(K992,'Raw Annual DMR Data'!$L:$L,0)))</f>
        <v>Unknown</v>
      </c>
      <c r="M992" s="28"/>
      <c r="N992" s="28"/>
      <c r="O992" s="28"/>
      <c r="P992" s="28"/>
      <c r="Q992" s="28"/>
      <c r="R992" s="28"/>
      <c r="S992" s="28">
        <v>1.9905693499999998E-2</v>
      </c>
    </row>
    <row r="993" spans="1:19" x14ac:dyDescent="0.25">
      <c r="A993" s="28">
        <v>2020</v>
      </c>
      <c r="B993" s="28"/>
      <c r="C993" s="28" t="s">
        <v>1226</v>
      </c>
      <c r="D993" s="28" t="s">
        <v>1990</v>
      </c>
      <c r="E993" s="28" t="s">
        <v>657</v>
      </c>
      <c r="F993" s="28" t="s">
        <v>418</v>
      </c>
      <c r="G993" s="28">
        <v>89119</v>
      </c>
      <c r="H993" s="28">
        <v>36.075400000000002</v>
      </c>
      <c r="I993" s="28">
        <v>-115.1669</v>
      </c>
      <c r="J993" s="28"/>
      <c r="K993" s="61">
        <v>110064134459</v>
      </c>
      <c r="L993" s="61" t="str">
        <f>IFERROR(INDEX('Facility Summary'!$K:$K,MATCH(K993,'Facility Summary'!$J:$J,0)),INDEX('Raw Annual DMR Data'!$M:$M,MATCH(K993,'Raw Annual DMR Data'!$L:$L,0)))</f>
        <v>Unknown</v>
      </c>
      <c r="M993" s="28"/>
      <c r="N993" s="28"/>
      <c r="O993" s="28"/>
      <c r="P993" s="28"/>
      <c r="Q993" s="28"/>
      <c r="R993" s="28"/>
      <c r="S993" s="28">
        <v>2.847020225E-2</v>
      </c>
    </row>
    <row r="994" spans="1:19" x14ac:dyDescent="0.25">
      <c r="A994" s="28">
        <v>2019</v>
      </c>
      <c r="B994" s="28"/>
      <c r="C994" s="28" t="s">
        <v>1227</v>
      </c>
      <c r="D994" s="28" t="s">
        <v>1993</v>
      </c>
      <c r="E994" s="28" t="s">
        <v>1228</v>
      </c>
      <c r="F994" s="28" t="s">
        <v>1128</v>
      </c>
      <c r="G994" s="28">
        <v>80216</v>
      </c>
      <c r="H994" s="28">
        <v>39.781474000000003</v>
      </c>
      <c r="I994" s="28">
        <v>-104.97438</v>
      </c>
      <c r="J994" s="28"/>
      <c r="K994" s="61">
        <v>110070162955</v>
      </c>
      <c r="L994" s="61" t="str">
        <f>IFERROR(INDEX('Facility Summary'!$K:$K,MATCH(K994,'Facility Summary'!$J:$J,0)),INDEX('Raw Annual DMR Data'!$M:$M,MATCH(K994,'Raw Annual DMR Data'!$L:$L,0)))</f>
        <v>Unknown</v>
      </c>
      <c r="M994" s="28"/>
      <c r="N994" s="28"/>
      <c r="O994" s="28"/>
      <c r="P994" s="28"/>
      <c r="Q994" s="28"/>
      <c r="R994" s="28"/>
      <c r="S994" s="28">
        <v>5.210026005E-4</v>
      </c>
    </row>
    <row r="995" spans="1:19" x14ac:dyDescent="0.25">
      <c r="A995" s="28">
        <v>2020</v>
      </c>
      <c r="B995" s="28"/>
      <c r="C995" s="28" t="s">
        <v>1227</v>
      </c>
      <c r="D995" s="28" t="s">
        <v>1993</v>
      </c>
      <c r="E995" s="28" t="s">
        <v>1228</v>
      </c>
      <c r="F995" s="28" t="s">
        <v>1128</v>
      </c>
      <c r="G995" s="28">
        <v>80216</v>
      </c>
      <c r="H995" s="28">
        <v>39.781474000000003</v>
      </c>
      <c r="I995" s="28">
        <v>-104.97438</v>
      </c>
      <c r="J995" s="28"/>
      <c r="K995" s="61">
        <v>110070162955</v>
      </c>
      <c r="L995" s="61" t="str">
        <f>IFERROR(INDEX('Facility Summary'!$K:$K,MATCH(K995,'Facility Summary'!$J:$J,0)),INDEX('Raw Annual DMR Data'!$M:$M,MATCH(K995,'Raw Annual DMR Data'!$L:$L,0)))</f>
        <v>Unknown</v>
      </c>
      <c r="M995" s="28"/>
      <c r="N995" s="28"/>
      <c r="O995" s="28"/>
      <c r="P995" s="28"/>
      <c r="Q995" s="28"/>
      <c r="R995" s="28"/>
      <c r="S995" s="28">
        <v>5.2232999999999999E-4</v>
      </c>
    </row>
    <row r="996" spans="1:19" x14ac:dyDescent="0.25">
      <c r="A996" s="28">
        <v>2020</v>
      </c>
      <c r="B996" s="28"/>
      <c r="C996" s="28" t="s">
        <v>188</v>
      </c>
      <c r="D996" s="28" t="s">
        <v>617</v>
      </c>
      <c r="E996" s="28" t="s">
        <v>618</v>
      </c>
      <c r="F996" s="28" t="s">
        <v>311</v>
      </c>
      <c r="G996" s="28">
        <v>265019624</v>
      </c>
      <c r="H996" s="28">
        <v>39.599829999999997</v>
      </c>
      <c r="I996" s="28">
        <v>-79.97148</v>
      </c>
      <c r="J996" s="28" t="s">
        <v>619</v>
      </c>
      <c r="K996" s="61">
        <v>110000572782</v>
      </c>
      <c r="L996" s="61" t="str">
        <f>IFERROR(INDEX('Facility Summary'!$K:$K,MATCH(K996,'Facility Summary'!$J:$J,0)),INDEX('Raw Annual DMR Data'!$M:$M,MATCH(K996,'Raw Annual DMR Data'!$L:$L,0)))</f>
        <v>Manufacturing</v>
      </c>
      <c r="M996" s="28"/>
      <c r="N996" s="28"/>
      <c r="O996" s="28"/>
      <c r="P996" s="28"/>
      <c r="Q996" s="28"/>
      <c r="R996" s="28"/>
      <c r="S996" s="28">
        <v>2.1031731000000001E-2</v>
      </c>
    </row>
    <row r="997" spans="1:19" x14ac:dyDescent="0.25">
      <c r="A997" s="28">
        <v>2019</v>
      </c>
      <c r="B997" s="28"/>
      <c r="C997" s="28" t="s">
        <v>188</v>
      </c>
      <c r="D997" s="28" t="s">
        <v>617</v>
      </c>
      <c r="E997" s="28" t="s">
        <v>618</v>
      </c>
      <c r="F997" s="28" t="s">
        <v>311</v>
      </c>
      <c r="G997" s="28">
        <v>265019624</v>
      </c>
      <c r="H997" s="28">
        <v>39.599829999999997</v>
      </c>
      <c r="I997" s="28">
        <v>-79.97148</v>
      </c>
      <c r="J997" s="28" t="s">
        <v>619</v>
      </c>
      <c r="K997" s="61">
        <v>110000572782</v>
      </c>
      <c r="L997" s="61" t="str">
        <f>IFERROR(INDEX('Facility Summary'!$K:$K,MATCH(K997,'Facility Summary'!$J:$J,0)),INDEX('Raw Annual DMR Data'!$M:$M,MATCH(K997,'Raw Annual DMR Data'!$L:$L,0)))</f>
        <v>Manufacturing</v>
      </c>
      <c r="M997" s="28"/>
      <c r="N997" s="28"/>
      <c r="O997" s="28"/>
      <c r="P997" s="28"/>
      <c r="Q997" s="28"/>
      <c r="R997" s="28"/>
      <c r="S997" s="28">
        <v>2.00907029478458E-2</v>
      </c>
    </row>
    <row r="998" spans="1:19" x14ac:dyDescent="0.25">
      <c r="A998" s="28">
        <v>2015</v>
      </c>
      <c r="B998" s="28"/>
      <c r="C998" s="28" t="s">
        <v>1230</v>
      </c>
      <c r="D998" s="28" t="s">
        <v>1997</v>
      </c>
      <c r="E998" s="28" t="s">
        <v>1231</v>
      </c>
      <c r="F998" s="28" t="s">
        <v>541</v>
      </c>
      <c r="G998" s="28" t="s">
        <v>1998</v>
      </c>
      <c r="H998" s="28">
        <v>34.807729999999999</v>
      </c>
      <c r="I998" s="28">
        <v>-82.006420000000006</v>
      </c>
      <c r="J998" s="28"/>
      <c r="K998" s="61">
        <v>110000587384</v>
      </c>
      <c r="L998" s="61" t="str">
        <f>IFERROR(INDEX('Facility Summary'!$K:$K,MATCH(K998,'Facility Summary'!$J:$J,0)),INDEX('Raw Annual DMR Data'!$M:$M,MATCH(K998,'Raw Annual DMR Data'!$L:$L,0)))</f>
        <v>Unknown</v>
      </c>
      <c r="M998" s="28"/>
      <c r="N998" s="28"/>
      <c r="O998" s="28"/>
      <c r="P998" s="28"/>
      <c r="Q998" s="28"/>
      <c r="R998" s="28"/>
      <c r="S998" s="28">
        <v>4.5139909999999998E-2</v>
      </c>
    </row>
    <row r="999" spans="1:19" x14ac:dyDescent="0.25">
      <c r="A999" s="28">
        <v>2016</v>
      </c>
      <c r="B999" s="28"/>
      <c r="C999" s="28" t="s">
        <v>1230</v>
      </c>
      <c r="D999" s="28" t="s">
        <v>1997</v>
      </c>
      <c r="E999" s="28" t="s">
        <v>1231</v>
      </c>
      <c r="F999" s="28" t="s">
        <v>541</v>
      </c>
      <c r="G999" s="28" t="s">
        <v>1998</v>
      </c>
      <c r="H999" s="28">
        <v>34.807729999999999</v>
      </c>
      <c r="I999" s="28">
        <v>-82.006420000000006</v>
      </c>
      <c r="J999" s="28"/>
      <c r="K999" s="61">
        <v>110000587384</v>
      </c>
      <c r="L999" s="61" t="str">
        <f>IFERROR(INDEX('Facility Summary'!$K:$K,MATCH(K999,'Facility Summary'!$J:$J,0)),INDEX('Raw Annual DMR Data'!$M:$M,MATCH(K999,'Raw Annual DMR Data'!$L:$L,0)))</f>
        <v>Unknown</v>
      </c>
      <c r="M999" s="28"/>
      <c r="N999" s="28"/>
      <c r="O999" s="28"/>
      <c r="P999" s="28"/>
      <c r="Q999" s="28"/>
      <c r="R999" s="28"/>
      <c r="S999" s="28">
        <v>4.1767096500000003E-2</v>
      </c>
    </row>
    <row r="1000" spans="1:19" x14ac:dyDescent="0.25">
      <c r="A1000" s="28">
        <v>2017</v>
      </c>
      <c r="B1000" s="28"/>
      <c r="C1000" s="28" t="s">
        <v>1230</v>
      </c>
      <c r="D1000" s="28" t="s">
        <v>1997</v>
      </c>
      <c r="E1000" s="28" t="s">
        <v>1231</v>
      </c>
      <c r="F1000" s="28" t="s">
        <v>541</v>
      </c>
      <c r="G1000" s="28" t="s">
        <v>1998</v>
      </c>
      <c r="H1000" s="28">
        <v>34.807729999999999</v>
      </c>
      <c r="I1000" s="28">
        <v>-82.006420000000006</v>
      </c>
      <c r="J1000" s="28"/>
      <c r="K1000" s="61">
        <v>110000587384</v>
      </c>
      <c r="L1000" s="61" t="str">
        <f>IFERROR(INDEX('Facility Summary'!$K:$K,MATCH(K1000,'Facility Summary'!$J:$J,0)),INDEX('Raw Annual DMR Data'!$M:$M,MATCH(K1000,'Raw Annual DMR Data'!$L:$L,0)))</f>
        <v>Unknown</v>
      </c>
      <c r="M1000" s="28"/>
      <c r="N1000" s="28"/>
      <c r="O1000" s="28"/>
      <c r="P1000" s="28"/>
      <c r="Q1000" s="28"/>
      <c r="R1000" s="28"/>
      <c r="S1000" s="28">
        <v>3.9402228499999997E-2</v>
      </c>
    </row>
    <row r="1001" spans="1:19" x14ac:dyDescent="0.25">
      <c r="A1001" s="28">
        <v>2018</v>
      </c>
      <c r="B1001" s="28"/>
      <c r="C1001" s="28" t="s">
        <v>1230</v>
      </c>
      <c r="D1001" s="28" t="s">
        <v>1997</v>
      </c>
      <c r="E1001" s="28" t="s">
        <v>1231</v>
      </c>
      <c r="F1001" s="28" t="s">
        <v>541</v>
      </c>
      <c r="G1001" s="28" t="s">
        <v>1998</v>
      </c>
      <c r="H1001" s="28">
        <v>34.807729999999999</v>
      </c>
      <c r="I1001" s="28">
        <v>-82.006420000000006</v>
      </c>
      <c r="J1001" s="28"/>
      <c r="K1001" s="61">
        <v>110000587384</v>
      </c>
      <c r="L1001" s="61" t="str">
        <f>IFERROR(INDEX('Facility Summary'!$K:$K,MATCH(K1001,'Facility Summary'!$J:$J,0)),INDEX('Raw Annual DMR Data'!$M:$M,MATCH(K1001,'Raw Annual DMR Data'!$L:$L,0)))</f>
        <v>Unknown</v>
      </c>
      <c r="M1001" s="28"/>
      <c r="N1001" s="28"/>
      <c r="O1001" s="28"/>
      <c r="P1001" s="28"/>
      <c r="Q1001" s="28"/>
      <c r="R1001" s="28"/>
      <c r="S1001" s="28">
        <v>6.9188664499999997E-2</v>
      </c>
    </row>
    <row r="1002" spans="1:19" x14ac:dyDescent="0.25">
      <c r="A1002" s="28">
        <v>2019</v>
      </c>
      <c r="B1002" s="28"/>
      <c r="C1002" s="28" t="s">
        <v>1230</v>
      </c>
      <c r="D1002" s="28" t="s">
        <v>1997</v>
      </c>
      <c r="E1002" s="28" t="s">
        <v>1231</v>
      </c>
      <c r="F1002" s="28" t="s">
        <v>541</v>
      </c>
      <c r="G1002" s="28" t="s">
        <v>1998</v>
      </c>
      <c r="H1002" s="28">
        <v>34.807729999999999</v>
      </c>
      <c r="I1002" s="28">
        <v>-82.006420000000006</v>
      </c>
      <c r="J1002" s="28"/>
      <c r="K1002" s="61">
        <v>110000587384</v>
      </c>
      <c r="L1002" s="61" t="str">
        <f>IFERROR(INDEX('Facility Summary'!$K:$K,MATCH(K1002,'Facility Summary'!$J:$J,0)),INDEX('Raw Annual DMR Data'!$M:$M,MATCH(K1002,'Raw Annual DMR Data'!$L:$L,0)))</f>
        <v>Unknown</v>
      </c>
      <c r="M1002" s="28"/>
      <c r="N1002" s="28"/>
      <c r="O1002" s="28"/>
      <c r="P1002" s="28"/>
      <c r="Q1002" s="28"/>
      <c r="R1002" s="28"/>
      <c r="S1002" s="28">
        <v>3.0688022999999998E-2</v>
      </c>
    </row>
    <row r="1003" spans="1:19" x14ac:dyDescent="0.25">
      <c r="A1003" s="28">
        <v>2020</v>
      </c>
      <c r="B1003" s="28"/>
      <c r="C1003" s="28" t="s">
        <v>1230</v>
      </c>
      <c r="D1003" s="28" t="s">
        <v>1997</v>
      </c>
      <c r="E1003" s="28" t="s">
        <v>1231</v>
      </c>
      <c r="F1003" s="28" t="s">
        <v>541</v>
      </c>
      <c r="G1003" s="28" t="s">
        <v>1998</v>
      </c>
      <c r="H1003" s="28">
        <v>34.807729999999999</v>
      </c>
      <c r="I1003" s="28">
        <v>-82.006420000000006</v>
      </c>
      <c r="J1003" s="28"/>
      <c r="K1003" s="61">
        <v>110000587384</v>
      </c>
      <c r="L1003" s="61" t="str">
        <f>IFERROR(INDEX('Facility Summary'!$K:$K,MATCH(K1003,'Facility Summary'!$J:$J,0)),INDEX('Raw Annual DMR Data'!$M:$M,MATCH(K1003,'Raw Annual DMR Data'!$L:$L,0)))</f>
        <v>Unknown</v>
      </c>
      <c r="M1003" s="28"/>
      <c r="N1003" s="28"/>
      <c r="O1003" s="28"/>
      <c r="P1003" s="28"/>
      <c r="Q1003" s="28"/>
      <c r="R1003" s="28"/>
      <c r="S1003" s="28">
        <v>3.4297777500000001E-2</v>
      </c>
    </row>
    <row r="1004" spans="1:19" x14ac:dyDescent="0.25">
      <c r="A1004" s="28">
        <v>2020</v>
      </c>
      <c r="B1004" s="28"/>
      <c r="C1004" s="28" t="s">
        <v>1232</v>
      </c>
      <c r="D1004" s="28" t="s">
        <v>2004</v>
      </c>
      <c r="E1004" s="28" t="s">
        <v>968</v>
      </c>
      <c r="F1004" s="28" t="s">
        <v>294</v>
      </c>
      <c r="G1004" s="28">
        <v>22314</v>
      </c>
      <c r="H1004" s="28">
        <v>38.803499000000002</v>
      </c>
      <c r="I1004" s="28">
        <v>-77.069463999999996</v>
      </c>
      <c r="J1004" s="28"/>
      <c r="K1004" s="61">
        <v>110070884090</v>
      </c>
      <c r="L1004" s="61" t="str">
        <f>IFERROR(INDEX('Facility Summary'!$K:$K,MATCH(K1004,'Facility Summary'!$J:$J,0)),INDEX('Raw Annual DMR Data'!$M:$M,MATCH(K1004,'Raw Annual DMR Data'!$L:$L,0)))</f>
        <v>Unknown</v>
      </c>
      <c r="M1004" s="28"/>
      <c r="N1004" s="28"/>
      <c r="O1004" s="28"/>
      <c r="P1004" s="28"/>
      <c r="Q1004" s="28"/>
      <c r="R1004" s="28"/>
      <c r="S1004" s="28">
        <v>1.0046146999999901E-3</v>
      </c>
    </row>
    <row r="1005" spans="1:19" x14ac:dyDescent="0.25">
      <c r="A1005" s="28">
        <v>2020</v>
      </c>
      <c r="B1005" s="28"/>
      <c r="C1005" s="28" t="s">
        <v>1232</v>
      </c>
      <c r="D1005" s="28" t="s">
        <v>2004</v>
      </c>
      <c r="E1005" s="28" t="s">
        <v>968</v>
      </c>
      <c r="F1005" s="28" t="s">
        <v>294</v>
      </c>
      <c r="G1005" s="28">
        <v>22314</v>
      </c>
      <c r="H1005" s="28">
        <v>38.803499000000002</v>
      </c>
      <c r="I1005" s="28">
        <v>-77.069463999999996</v>
      </c>
      <c r="J1005" s="28"/>
      <c r="K1005" s="61">
        <v>110070884090</v>
      </c>
      <c r="L1005" s="61" t="str">
        <f>IFERROR(INDEX('Facility Summary'!$K:$K,MATCH(K1005,'Facility Summary'!$J:$J,0)),INDEX('Raw Annual DMR Data'!$M:$M,MATCH(K1005,'Raw Annual DMR Data'!$L:$L,0)))</f>
        <v>Unknown</v>
      </c>
      <c r="M1005" s="28"/>
      <c r="N1005" s="28"/>
      <c r="O1005" s="28"/>
      <c r="P1005" s="28"/>
      <c r="Q1005" s="28"/>
      <c r="R1005" s="28"/>
      <c r="S1005" s="28">
        <v>1.0046146999999901E-3</v>
      </c>
    </row>
    <row r="1006" spans="1:19" x14ac:dyDescent="0.25">
      <c r="A1006" s="28">
        <v>2020</v>
      </c>
      <c r="B1006" s="28"/>
      <c r="C1006" s="28" t="s">
        <v>1233</v>
      </c>
      <c r="D1006" s="28" t="s">
        <v>2006</v>
      </c>
      <c r="E1006" s="28" t="s">
        <v>293</v>
      </c>
      <c r="F1006" s="28" t="s">
        <v>294</v>
      </c>
      <c r="G1006" s="28">
        <v>22202</v>
      </c>
      <c r="H1006" s="28">
        <v>38.86157</v>
      </c>
      <c r="I1006" s="28">
        <v>-77.053929999999994</v>
      </c>
      <c r="J1006" s="28"/>
      <c r="K1006" s="61">
        <v>110070882213</v>
      </c>
      <c r="L1006" s="61" t="str">
        <f>IFERROR(INDEX('Facility Summary'!$K:$K,MATCH(K1006,'Facility Summary'!$J:$J,0)),INDEX('Raw Annual DMR Data'!$M:$M,MATCH(K1006,'Raw Annual DMR Data'!$L:$L,0)))</f>
        <v>Unknown</v>
      </c>
      <c r="M1006" s="28"/>
      <c r="N1006" s="28"/>
      <c r="O1006" s="28"/>
      <c r="P1006" s="28"/>
      <c r="Q1006" s="28"/>
      <c r="R1006" s="28"/>
      <c r="S1006" s="28">
        <v>0.155423897087999</v>
      </c>
    </row>
    <row r="1007" spans="1:19" x14ac:dyDescent="0.25">
      <c r="A1007" s="28">
        <v>2019</v>
      </c>
      <c r="B1007" s="28"/>
      <c r="C1007" s="28" t="s">
        <v>1234</v>
      </c>
      <c r="D1007" s="28" t="s">
        <v>2008</v>
      </c>
      <c r="E1007" s="28" t="s">
        <v>361</v>
      </c>
      <c r="F1007" s="28" t="s">
        <v>362</v>
      </c>
      <c r="G1007" s="28">
        <v>77571</v>
      </c>
      <c r="H1007" s="28">
        <v>29.726065999999999</v>
      </c>
      <c r="I1007" s="28">
        <v>-95.079583999999997</v>
      </c>
      <c r="J1007" s="28" t="s">
        <v>725</v>
      </c>
      <c r="K1007" s="61">
        <v>110000463677</v>
      </c>
      <c r="L1007" s="61" t="str">
        <f>IFERROR(INDEX('Facility Summary'!$K:$K,MATCH(K1007,'Facility Summary'!$J:$J,0)),INDEX('Raw Annual DMR Data'!$M:$M,MATCH(K1007,'Raw Annual DMR Data'!$L:$L,0)))</f>
        <v>Unknown</v>
      </c>
      <c r="M1007" s="28"/>
      <c r="N1007" s="28"/>
      <c r="O1007" s="28"/>
      <c r="P1007" s="28"/>
      <c r="Q1007" s="28"/>
      <c r="R1007" s="28"/>
      <c r="S1007" s="28">
        <v>1.63877551020408E-3</v>
      </c>
    </row>
    <row r="1008" spans="1:19" x14ac:dyDescent="0.25">
      <c r="A1008" s="28">
        <v>2020</v>
      </c>
      <c r="B1008" s="28"/>
      <c r="C1008" s="28" t="s">
        <v>1234</v>
      </c>
      <c r="D1008" s="28" t="s">
        <v>2008</v>
      </c>
      <c r="E1008" s="28" t="s">
        <v>361</v>
      </c>
      <c r="F1008" s="28" t="s">
        <v>362</v>
      </c>
      <c r="G1008" s="28">
        <v>77571</v>
      </c>
      <c r="H1008" s="28">
        <v>29.726065999999999</v>
      </c>
      <c r="I1008" s="28">
        <v>-95.079583999999997</v>
      </c>
      <c r="J1008" s="28" t="s">
        <v>725</v>
      </c>
      <c r="K1008" s="61">
        <v>110000463677</v>
      </c>
      <c r="L1008" s="61" t="str">
        <f>IFERROR(INDEX('Facility Summary'!$K:$K,MATCH(K1008,'Facility Summary'!$J:$J,0)),INDEX('Raw Annual DMR Data'!$M:$M,MATCH(K1008,'Raw Annual DMR Data'!$L:$L,0)))</f>
        <v>Unknown</v>
      </c>
      <c r="M1008" s="28"/>
      <c r="N1008" s="28"/>
      <c r="O1008" s="28"/>
      <c r="P1008" s="28"/>
      <c r="Q1008" s="28"/>
      <c r="R1008" s="28"/>
      <c r="S1008" s="28">
        <v>1.3077097505668901E-3</v>
      </c>
    </row>
    <row r="1009" spans="1:19" x14ac:dyDescent="0.25">
      <c r="A1009" s="28">
        <v>2015</v>
      </c>
      <c r="B1009" s="28"/>
      <c r="C1009" s="28" t="s">
        <v>172</v>
      </c>
      <c r="D1009" s="28" t="s">
        <v>558</v>
      </c>
      <c r="E1009" s="28" t="s">
        <v>559</v>
      </c>
      <c r="F1009" s="28" t="s">
        <v>338</v>
      </c>
      <c r="G1009" s="28" t="s">
        <v>560</v>
      </c>
      <c r="H1009" s="28">
        <v>39.766944000000002</v>
      </c>
      <c r="I1009" s="28">
        <v>-75.421361000000005</v>
      </c>
      <c r="J1009" s="28" t="s">
        <v>561</v>
      </c>
      <c r="K1009" s="61">
        <v>110041022274</v>
      </c>
      <c r="L1009" s="61" t="str">
        <f>IFERROR(INDEX('Facility Summary'!$K:$K,MATCH(K1009,'Facility Summary'!$J:$J,0)),INDEX('Raw Annual DMR Data'!$M:$M,MATCH(K1009,'Raw Annual DMR Data'!$L:$L,0)))</f>
        <v>Processing as a Reactant</v>
      </c>
      <c r="M1009" s="28"/>
      <c r="N1009" s="28"/>
      <c r="O1009" s="28"/>
      <c r="P1009" s="28"/>
      <c r="Q1009" s="28"/>
      <c r="R1009" s="28"/>
      <c r="S1009" s="28">
        <v>3.1E-6</v>
      </c>
    </row>
    <row r="1010" spans="1:19" x14ac:dyDescent="0.25">
      <c r="A1010" s="28">
        <v>2016</v>
      </c>
      <c r="B1010" s="28"/>
      <c r="C1010" s="28" t="s">
        <v>172</v>
      </c>
      <c r="D1010" s="28" t="s">
        <v>558</v>
      </c>
      <c r="E1010" s="28" t="s">
        <v>559</v>
      </c>
      <c r="F1010" s="28" t="s">
        <v>338</v>
      </c>
      <c r="G1010" s="28" t="s">
        <v>560</v>
      </c>
      <c r="H1010" s="28">
        <v>39.766944000000002</v>
      </c>
      <c r="I1010" s="28">
        <v>-75.421361000000005</v>
      </c>
      <c r="J1010" s="28" t="s">
        <v>561</v>
      </c>
      <c r="K1010" s="61">
        <v>110041022274</v>
      </c>
      <c r="L1010" s="61" t="str">
        <f>IFERROR(INDEX('Facility Summary'!$K:$K,MATCH(K1010,'Facility Summary'!$J:$J,0)),INDEX('Raw Annual DMR Data'!$M:$M,MATCH(K1010,'Raw Annual DMR Data'!$L:$L,0)))</f>
        <v>Processing as a Reactant</v>
      </c>
      <c r="M1010" s="28"/>
      <c r="N1010" s="28"/>
      <c r="O1010" s="28"/>
      <c r="P1010" s="28"/>
      <c r="Q1010" s="28"/>
      <c r="R1010" s="28"/>
      <c r="S1010" s="28">
        <v>7.7500000000000003E-6</v>
      </c>
    </row>
    <row r="1011" spans="1:19" x14ac:dyDescent="0.25">
      <c r="A1011" s="28">
        <v>2017</v>
      </c>
      <c r="B1011" s="28"/>
      <c r="C1011" s="28" t="s">
        <v>172</v>
      </c>
      <c r="D1011" s="28" t="s">
        <v>558</v>
      </c>
      <c r="E1011" s="28" t="s">
        <v>559</v>
      </c>
      <c r="F1011" s="28" t="s">
        <v>338</v>
      </c>
      <c r="G1011" s="28" t="s">
        <v>560</v>
      </c>
      <c r="H1011" s="28">
        <v>39.766944000000002</v>
      </c>
      <c r="I1011" s="28">
        <v>-75.421361000000005</v>
      </c>
      <c r="J1011" s="28" t="s">
        <v>561</v>
      </c>
      <c r="K1011" s="61">
        <v>110041022274</v>
      </c>
      <c r="L1011" s="61" t="str">
        <f>IFERROR(INDEX('Facility Summary'!$K:$K,MATCH(K1011,'Facility Summary'!$J:$J,0)),INDEX('Raw Annual DMR Data'!$M:$M,MATCH(K1011,'Raw Annual DMR Data'!$L:$L,0)))</f>
        <v>Processing as a Reactant</v>
      </c>
      <c r="M1011" s="28"/>
      <c r="N1011" s="28"/>
      <c r="O1011" s="28"/>
      <c r="P1011" s="28"/>
      <c r="Q1011" s="28"/>
      <c r="R1011" s="28"/>
      <c r="S1011" s="28">
        <v>1.5500000000000001E-5</v>
      </c>
    </row>
    <row r="1012" spans="1:19" x14ac:dyDescent="0.25">
      <c r="A1012" s="28">
        <v>2018</v>
      </c>
      <c r="B1012" s="28"/>
      <c r="C1012" s="28" t="s">
        <v>172</v>
      </c>
      <c r="D1012" s="28" t="s">
        <v>558</v>
      </c>
      <c r="E1012" s="28" t="s">
        <v>559</v>
      </c>
      <c r="F1012" s="28" t="s">
        <v>338</v>
      </c>
      <c r="G1012" s="28" t="s">
        <v>560</v>
      </c>
      <c r="H1012" s="28">
        <v>39.766944000000002</v>
      </c>
      <c r="I1012" s="28">
        <v>-75.421361000000005</v>
      </c>
      <c r="J1012" s="28" t="s">
        <v>561</v>
      </c>
      <c r="K1012" s="61">
        <v>110041022274</v>
      </c>
      <c r="L1012" s="61" t="str">
        <f>IFERROR(INDEX('Facility Summary'!$K:$K,MATCH(K1012,'Facility Summary'!$J:$J,0)),INDEX('Raw Annual DMR Data'!$M:$M,MATCH(K1012,'Raw Annual DMR Data'!$L:$L,0)))</f>
        <v>Processing as a Reactant</v>
      </c>
      <c r="M1012" s="28"/>
      <c r="N1012" s="28"/>
      <c r="O1012" s="28"/>
      <c r="P1012" s="28"/>
      <c r="Q1012" s="28"/>
      <c r="R1012" s="28"/>
      <c r="S1012" s="28">
        <v>3.1000000000000001E-5</v>
      </c>
    </row>
    <row r="1013" spans="1:19" x14ac:dyDescent="0.25">
      <c r="A1013" s="28">
        <v>2020</v>
      </c>
      <c r="B1013" s="28"/>
      <c r="C1013" s="28" t="s">
        <v>172</v>
      </c>
      <c r="D1013" s="28" t="s">
        <v>558</v>
      </c>
      <c r="E1013" s="28" t="s">
        <v>559</v>
      </c>
      <c r="F1013" s="28" t="s">
        <v>338</v>
      </c>
      <c r="G1013" s="28" t="s">
        <v>560</v>
      </c>
      <c r="H1013" s="28">
        <v>39.766944000000002</v>
      </c>
      <c r="I1013" s="28">
        <v>-75.421361000000005</v>
      </c>
      <c r="J1013" s="28" t="s">
        <v>561</v>
      </c>
      <c r="K1013" s="61">
        <v>110041022274</v>
      </c>
      <c r="L1013" s="61" t="str">
        <f>IFERROR(INDEX('Facility Summary'!$K:$K,MATCH(K1013,'Facility Summary'!$J:$J,0)),INDEX('Raw Annual DMR Data'!$M:$M,MATCH(K1013,'Raw Annual DMR Data'!$L:$L,0)))</f>
        <v>Processing as a Reactant</v>
      </c>
      <c r="M1013" s="28"/>
      <c r="N1013" s="28"/>
      <c r="O1013" s="28"/>
      <c r="P1013" s="28"/>
      <c r="Q1013" s="28"/>
      <c r="R1013" s="28"/>
      <c r="S1013" s="28">
        <v>9.0000000000000002E-6</v>
      </c>
    </row>
    <row r="1014" spans="1:19" x14ac:dyDescent="0.25">
      <c r="A1014" s="28">
        <v>2015</v>
      </c>
      <c r="B1014" s="28"/>
      <c r="C1014" s="28" t="s">
        <v>1235</v>
      </c>
      <c r="D1014" s="28" t="s">
        <v>2012</v>
      </c>
      <c r="E1014" s="28" t="s">
        <v>1236</v>
      </c>
      <c r="F1014" s="28" t="s">
        <v>450</v>
      </c>
      <c r="G1014" s="28">
        <v>13502</v>
      </c>
      <c r="H1014" s="28">
        <v>43.107216000000001</v>
      </c>
      <c r="I1014" s="28">
        <v>-75.225815999999995</v>
      </c>
      <c r="J1014" s="28"/>
      <c r="K1014" s="61">
        <v>110002321345</v>
      </c>
      <c r="L1014" s="61" t="str">
        <f>IFERROR(INDEX('Facility Summary'!$K:$K,MATCH(K1014,'Facility Summary'!$J:$J,0)),INDEX('Raw Annual DMR Data'!$M:$M,MATCH(K1014,'Raw Annual DMR Data'!$L:$L,0)))</f>
        <v>Unknown</v>
      </c>
      <c r="M1014" s="28"/>
      <c r="N1014" s="28"/>
      <c r="O1014" s="28"/>
      <c r="P1014" s="28"/>
      <c r="Q1014" s="28"/>
      <c r="R1014" s="28"/>
      <c r="S1014" s="28">
        <v>1.85859226674999E-2</v>
      </c>
    </row>
    <row r="1015" spans="1:19" x14ac:dyDescent="0.25">
      <c r="A1015" s="28">
        <v>2016</v>
      </c>
      <c r="B1015" s="28"/>
      <c r="C1015" s="28" t="s">
        <v>1235</v>
      </c>
      <c r="D1015" s="28" t="s">
        <v>2012</v>
      </c>
      <c r="E1015" s="28" t="s">
        <v>1236</v>
      </c>
      <c r="F1015" s="28" t="s">
        <v>450</v>
      </c>
      <c r="G1015" s="28">
        <v>13502</v>
      </c>
      <c r="H1015" s="28">
        <v>43.107216000000001</v>
      </c>
      <c r="I1015" s="28">
        <v>-75.225815999999995</v>
      </c>
      <c r="J1015" s="28"/>
      <c r="K1015" s="61">
        <v>110002321345</v>
      </c>
      <c r="L1015" s="61" t="str">
        <f>IFERROR(INDEX('Facility Summary'!$K:$K,MATCH(K1015,'Facility Summary'!$J:$J,0)),INDEX('Raw Annual DMR Data'!$M:$M,MATCH(K1015,'Raw Annual DMR Data'!$L:$L,0)))</f>
        <v>Unknown</v>
      </c>
      <c r="M1015" s="28"/>
      <c r="N1015" s="28"/>
      <c r="O1015" s="28"/>
      <c r="P1015" s="28"/>
      <c r="Q1015" s="28"/>
      <c r="R1015" s="28"/>
      <c r="S1015" s="28">
        <v>1.00241031599999E-2</v>
      </c>
    </row>
    <row r="1016" spans="1:19" x14ac:dyDescent="0.25">
      <c r="A1016" s="28">
        <v>2017</v>
      </c>
      <c r="B1016" s="28"/>
      <c r="C1016" s="28" t="s">
        <v>1235</v>
      </c>
      <c r="D1016" s="28" t="s">
        <v>2012</v>
      </c>
      <c r="E1016" s="28" t="s">
        <v>1236</v>
      </c>
      <c r="F1016" s="28" t="s">
        <v>450</v>
      </c>
      <c r="G1016" s="28">
        <v>13502</v>
      </c>
      <c r="H1016" s="28">
        <v>43.107216000000001</v>
      </c>
      <c r="I1016" s="28">
        <v>-75.225815999999995</v>
      </c>
      <c r="J1016" s="28"/>
      <c r="K1016" s="61">
        <v>110002321345</v>
      </c>
      <c r="L1016" s="61" t="str">
        <f>IFERROR(INDEX('Facility Summary'!$K:$K,MATCH(K1016,'Facility Summary'!$J:$J,0)),INDEX('Raw Annual DMR Data'!$M:$M,MATCH(K1016,'Raw Annual DMR Data'!$L:$L,0)))</f>
        <v>Unknown</v>
      </c>
      <c r="M1016" s="28"/>
      <c r="N1016" s="28"/>
      <c r="O1016" s="28"/>
      <c r="P1016" s="28"/>
      <c r="Q1016" s="28"/>
      <c r="R1016" s="28"/>
      <c r="S1016" s="28">
        <v>1.02385763999999E-2</v>
      </c>
    </row>
    <row r="1017" spans="1:19" x14ac:dyDescent="0.25">
      <c r="A1017" s="28">
        <v>2018</v>
      </c>
      <c r="B1017" s="28"/>
      <c r="C1017" s="28" t="s">
        <v>1235</v>
      </c>
      <c r="D1017" s="28" t="s">
        <v>2012</v>
      </c>
      <c r="E1017" s="28" t="s">
        <v>1236</v>
      </c>
      <c r="F1017" s="28" t="s">
        <v>450</v>
      </c>
      <c r="G1017" s="28">
        <v>13502</v>
      </c>
      <c r="H1017" s="28">
        <v>43.107216000000001</v>
      </c>
      <c r="I1017" s="28">
        <v>-75.225815999999995</v>
      </c>
      <c r="J1017" s="28"/>
      <c r="K1017" s="61">
        <v>110002321345</v>
      </c>
      <c r="L1017" s="61" t="str">
        <f>IFERROR(INDEX('Facility Summary'!$K:$K,MATCH(K1017,'Facility Summary'!$J:$J,0)),INDEX('Raw Annual DMR Data'!$M:$M,MATCH(K1017,'Raw Annual DMR Data'!$L:$L,0)))</f>
        <v>Unknown</v>
      </c>
      <c r="M1017" s="28"/>
      <c r="N1017" s="28"/>
      <c r="O1017" s="28"/>
      <c r="P1017" s="28"/>
      <c r="Q1017" s="28"/>
      <c r="R1017" s="28"/>
      <c r="S1017" s="302">
        <v>9.3324473999999904E-3</v>
      </c>
    </row>
    <row r="1018" spans="1:19" x14ac:dyDescent="0.25">
      <c r="A1018" s="28">
        <v>2019</v>
      </c>
      <c r="B1018" s="28"/>
      <c r="C1018" s="28" t="s">
        <v>1235</v>
      </c>
      <c r="D1018" s="28" t="s">
        <v>2012</v>
      </c>
      <c r="E1018" s="28" t="s">
        <v>1236</v>
      </c>
      <c r="F1018" s="28" t="s">
        <v>450</v>
      </c>
      <c r="G1018" s="28">
        <v>13502</v>
      </c>
      <c r="H1018" s="28">
        <v>43.107216000000001</v>
      </c>
      <c r="I1018" s="28">
        <v>-75.225815999999995</v>
      </c>
      <c r="J1018" s="28"/>
      <c r="K1018" s="61">
        <v>110002321345</v>
      </c>
      <c r="L1018" s="61" t="str">
        <f>IFERROR(INDEX('Facility Summary'!$K:$K,MATCH(K1018,'Facility Summary'!$J:$J,0)),INDEX('Raw Annual DMR Data'!$M:$M,MATCH(K1018,'Raw Annual DMR Data'!$L:$L,0)))</f>
        <v>Unknown</v>
      </c>
      <c r="M1018" s="28"/>
      <c r="N1018" s="28"/>
      <c r="O1018" s="28"/>
      <c r="P1018" s="28"/>
      <c r="Q1018" s="28"/>
      <c r="R1018" s="28"/>
      <c r="S1018" s="28">
        <v>7.0432793999999901E-3</v>
      </c>
    </row>
    <row r="1019" spans="1:19" x14ac:dyDescent="0.25">
      <c r="A1019" s="28">
        <v>2020</v>
      </c>
      <c r="B1019" s="28"/>
      <c r="C1019" s="28" t="s">
        <v>1235</v>
      </c>
      <c r="D1019" s="28" t="s">
        <v>2012</v>
      </c>
      <c r="E1019" s="28" t="s">
        <v>1236</v>
      </c>
      <c r="F1019" s="28" t="s">
        <v>450</v>
      </c>
      <c r="G1019" s="28">
        <v>13502</v>
      </c>
      <c r="H1019" s="28">
        <v>43.107216000000001</v>
      </c>
      <c r="I1019" s="28">
        <v>-75.225815999999995</v>
      </c>
      <c r="J1019" s="28"/>
      <c r="K1019" s="61">
        <v>110002321345</v>
      </c>
      <c r="L1019" s="61" t="str">
        <f>IFERROR(INDEX('Facility Summary'!$K:$K,MATCH(K1019,'Facility Summary'!$J:$J,0)),INDEX('Raw Annual DMR Data'!$M:$M,MATCH(K1019,'Raw Annual DMR Data'!$L:$L,0)))</f>
        <v>Unknown</v>
      </c>
      <c r="M1019" s="28"/>
      <c r="N1019" s="28"/>
      <c r="O1019" s="28"/>
      <c r="P1019" s="28"/>
      <c r="Q1019" s="28"/>
      <c r="R1019" s="28"/>
      <c r="S1019" s="28">
        <v>2.7483641999999902E-3</v>
      </c>
    </row>
    <row r="1020" spans="1:19" x14ac:dyDescent="0.25">
      <c r="A1020" s="28">
        <v>2017</v>
      </c>
      <c r="B1020" s="28"/>
      <c r="C1020" s="28" t="s">
        <v>1237</v>
      </c>
      <c r="D1020" s="28" t="s">
        <v>2016</v>
      </c>
      <c r="E1020" s="28" t="s">
        <v>1238</v>
      </c>
      <c r="F1020" s="28" t="s">
        <v>324</v>
      </c>
      <c r="G1020" s="28">
        <v>40351</v>
      </c>
      <c r="H1020" s="28">
        <v>38.151904999999999</v>
      </c>
      <c r="I1020" s="28">
        <v>-83.513848999999993</v>
      </c>
      <c r="J1020" s="28"/>
      <c r="K1020" s="61">
        <v>110045085457</v>
      </c>
      <c r="L1020" s="61" t="str">
        <f>IFERROR(INDEX('Facility Summary'!$K:$K,MATCH(K1020,'Facility Summary'!$J:$J,0)),INDEX('Raw Annual DMR Data'!$M:$M,MATCH(K1020,'Raw Annual DMR Data'!$L:$L,0)))</f>
        <v>POTW</v>
      </c>
      <c r="M1020" s="28"/>
      <c r="N1020" s="28"/>
      <c r="O1020" s="28"/>
      <c r="P1020" s="28"/>
      <c r="Q1020" s="28"/>
      <c r="R1020" s="28"/>
      <c r="S1020" s="28">
        <v>1.581846125</v>
      </c>
    </row>
    <row r="1021" spans="1:19" x14ac:dyDescent="0.25">
      <c r="A1021" s="28">
        <v>2018</v>
      </c>
      <c r="B1021" s="28"/>
      <c r="C1021" s="28" t="s">
        <v>1237</v>
      </c>
      <c r="D1021" s="28" t="s">
        <v>2016</v>
      </c>
      <c r="E1021" s="28" t="s">
        <v>1238</v>
      </c>
      <c r="F1021" s="28" t="s">
        <v>324</v>
      </c>
      <c r="G1021" s="28">
        <v>40351</v>
      </c>
      <c r="H1021" s="28">
        <v>38.151904999999999</v>
      </c>
      <c r="I1021" s="28">
        <v>-83.513848999999993</v>
      </c>
      <c r="J1021" s="28"/>
      <c r="K1021" s="61">
        <v>110045085457</v>
      </c>
      <c r="L1021" s="61" t="str">
        <f>IFERROR(INDEX('Facility Summary'!$K:$K,MATCH(K1021,'Facility Summary'!$J:$J,0)),INDEX('Raw Annual DMR Data'!$M:$M,MATCH(K1021,'Raw Annual DMR Data'!$L:$L,0)))</f>
        <v>POTW</v>
      </c>
      <c r="M1021" s="28"/>
      <c r="N1021" s="28"/>
      <c r="O1021" s="28"/>
      <c r="P1021" s="28"/>
      <c r="Q1021" s="28"/>
      <c r="R1021" s="28"/>
      <c r="S1021" s="28">
        <v>2.7112428125000001</v>
      </c>
    </row>
    <row r="1022" spans="1:19" x14ac:dyDescent="0.25">
      <c r="A1022" s="28">
        <v>2019</v>
      </c>
      <c r="B1022" s="28"/>
      <c r="C1022" s="28" t="s">
        <v>1237</v>
      </c>
      <c r="D1022" s="28" t="s">
        <v>2016</v>
      </c>
      <c r="E1022" s="28" t="s">
        <v>1238</v>
      </c>
      <c r="F1022" s="28" t="s">
        <v>324</v>
      </c>
      <c r="G1022" s="28">
        <v>40351</v>
      </c>
      <c r="H1022" s="28">
        <v>38.151904999999999</v>
      </c>
      <c r="I1022" s="28">
        <v>-83.513848999999993</v>
      </c>
      <c r="J1022" s="28"/>
      <c r="K1022" s="61">
        <v>110045085457</v>
      </c>
      <c r="L1022" s="61" t="str">
        <f>IFERROR(INDEX('Facility Summary'!$K:$K,MATCH(K1022,'Facility Summary'!$J:$J,0)),INDEX('Raw Annual DMR Data'!$M:$M,MATCH(K1022,'Raw Annual DMR Data'!$L:$L,0)))</f>
        <v>POTW</v>
      </c>
      <c r="M1022" s="28"/>
      <c r="N1022" s="28"/>
      <c r="O1022" s="28"/>
      <c r="P1022" s="28"/>
      <c r="Q1022" s="28"/>
      <c r="R1022" s="28"/>
      <c r="S1022" s="28">
        <v>2.3914197750000001</v>
      </c>
    </row>
    <row r="1023" spans="1:19" x14ac:dyDescent="0.25">
      <c r="A1023" s="28">
        <v>2020</v>
      </c>
      <c r="B1023" s="28"/>
      <c r="C1023" s="28" t="s">
        <v>1237</v>
      </c>
      <c r="D1023" s="28" t="s">
        <v>2016</v>
      </c>
      <c r="E1023" s="28" t="s">
        <v>1238</v>
      </c>
      <c r="F1023" s="28" t="s">
        <v>324</v>
      </c>
      <c r="G1023" s="28">
        <v>40351</v>
      </c>
      <c r="H1023" s="28">
        <v>38.151904999999999</v>
      </c>
      <c r="I1023" s="28">
        <v>-83.513848999999993</v>
      </c>
      <c r="J1023" s="28"/>
      <c r="K1023" s="61">
        <v>110045085457</v>
      </c>
      <c r="L1023" s="61" t="str">
        <f>IFERROR(INDEX('Facility Summary'!$K:$K,MATCH(K1023,'Facility Summary'!$J:$J,0)),INDEX('Raw Annual DMR Data'!$M:$M,MATCH(K1023,'Raw Annual DMR Data'!$L:$L,0)))</f>
        <v>POTW</v>
      </c>
      <c r="M1023" s="28"/>
      <c r="N1023" s="28"/>
      <c r="O1023" s="28"/>
      <c r="P1023" s="28"/>
      <c r="Q1023" s="28"/>
      <c r="R1023" s="28"/>
      <c r="S1023" s="28">
        <v>2.6352589375000002</v>
      </c>
    </row>
    <row r="1024" spans="1:19" x14ac:dyDescent="0.25">
      <c r="A1024" s="28">
        <v>2020</v>
      </c>
      <c r="B1024" s="28"/>
      <c r="C1024" s="28" t="s">
        <v>1239</v>
      </c>
      <c r="D1024" s="28" t="s">
        <v>2020</v>
      </c>
      <c r="E1024" s="28" t="s">
        <v>1240</v>
      </c>
      <c r="F1024" s="28" t="s">
        <v>324</v>
      </c>
      <c r="G1024" s="28">
        <v>42437</v>
      </c>
      <c r="H1024" s="28">
        <v>37.671391</v>
      </c>
      <c r="I1024" s="28">
        <v>-87.828888000000006</v>
      </c>
      <c r="J1024" s="28"/>
      <c r="K1024" s="61">
        <v>110064612557</v>
      </c>
      <c r="L1024" s="61" t="str">
        <f>IFERROR(INDEX('Facility Summary'!$K:$K,MATCH(K1024,'Facility Summary'!$J:$J,0)),INDEX('Raw Annual DMR Data'!$M:$M,MATCH(K1024,'Raw Annual DMR Data'!$L:$L,0)))</f>
        <v>POTW</v>
      </c>
      <c r="M1024" s="28"/>
      <c r="N1024" s="28"/>
      <c r="O1024" s="28"/>
      <c r="P1024" s="28"/>
      <c r="Q1024" s="28"/>
      <c r="R1024" s="28"/>
      <c r="S1024" s="28">
        <v>5.2463411874999997</v>
      </c>
    </row>
    <row r="1025" spans="1:19" x14ac:dyDescent="0.25">
      <c r="A1025" s="28">
        <v>2020</v>
      </c>
      <c r="B1025" s="28"/>
      <c r="C1025" s="28" t="s">
        <v>188</v>
      </c>
      <c r="D1025" s="28" t="s">
        <v>617</v>
      </c>
      <c r="E1025" s="28" t="s">
        <v>618</v>
      </c>
      <c r="F1025" s="28" t="s">
        <v>311</v>
      </c>
      <c r="G1025" s="28">
        <v>265019624</v>
      </c>
      <c r="H1025" s="28">
        <v>39.599829999999997</v>
      </c>
      <c r="I1025" s="28">
        <v>-79.97148</v>
      </c>
      <c r="J1025" s="28" t="s">
        <v>619</v>
      </c>
      <c r="K1025" s="61">
        <v>110000572782</v>
      </c>
      <c r="L1025" s="61" t="str">
        <f>IFERROR(INDEX('Facility Summary'!$K:$K,MATCH(K1025,'Facility Summary'!$J:$J,0)),INDEX('Raw Annual DMR Data'!$M:$M,MATCH(K1025,'Raw Annual DMR Data'!$L:$L,0)))</f>
        <v>Manufacturing</v>
      </c>
      <c r="M1025" s="28"/>
      <c r="N1025" s="28"/>
      <c r="O1025" s="28"/>
      <c r="P1025" s="28"/>
      <c r="Q1025" s="28"/>
      <c r="R1025" s="28"/>
      <c r="S1025" s="28">
        <v>1.42403628117913E-2</v>
      </c>
    </row>
    <row r="1026" spans="1:19" x14ac:dyDescent="0.25">
      <c r="A1026" s="28">
        <v>2016</v>
      </c>
      <c r="B1026" s="28"/>
      <c r="C1026" s="28" t="s">
        <v>188</v>
      </c>
      <c r="D1026" s="28" t="s">
        <v>617</v>
      </c>
      <c r="E1026" s="28" t="s">
        <v>618</v>
      </c>
      <c r="F1026" s="28" t="s">
        <v>311</v>
      </c>
      <c r="G1026" s="28">
        <v>265019624</v>
      </c>
      <c r="H1026" s="28">
        <v>39.599829999999997</v>
      </c>
      <c r="I1026" s="28">
        <v>-79.97148</v>
      </c>
      <c r="J1026" s="28" t="s">
        <v>619</v>
      </c>
      <c r="K1026" s="61">
        <v>110000572782</v>
      </c>
      <c r="L1026" s="61" t="str">
        <f>IFERROR(INDEX('Facility Summary'!$K:$K,MATCH(K1026,'Facility Summary'!$J:$J,0)),INDEX('Raw Annual DMR Data'!$M:$M,MATCH(K1026,'Raw Annual DMR Data'!$L:$L,0)))</f>
        <v>Manufacturing</v>
      </c>
      <c r="M1026" s="28"/>
      <c r="N1026" s="28"/>
      <c r="O1026" s="28"/>
      <c r="P1026" s="28"/>
      <c r="Q1026" s="28"/>
      <c r="R1026" s="28"/>
      <c r="S1026" s="28">
        <v>1.152332652E-2</v>
      </c>
    </row>
    <row r="1027" spans="1:19" x14ac:dyDescent="0.25">
      <c r="A1027" s="28">
        <v>2017</v>
      </c>
      <c r="B1027" s="28"/>
      <c r="C1027" s="28" t="s">
        <v>188</v>
      </c>
      <c r="D1027" s="28" t="s">
        <v>617</v>
      </c>
      <c r="E1027" s="28" t="s">
        <v>618</v>
      </c>
      <c r="F1027" s="28" t="s">
        <v>311</v>
      </c>
      <c r="G1027" s="28">
        <v>265019624</v>
      </c>
      <c r="H1027" s="28">
        <v>39.599829999999997</v>
      </c>
      <c r="I1027" s="28">
        <v>-79.97148</v>
      </c>
      <c r="J1027" s="28" t="s">
        <v>619</v>
      </c>
      <c r="K1027" s="61">
        <v>110000572782</v>
      </c>
      <c r="L1027" s="61" t="str">
        <f>IFERROR(INDEX('Facility Summary'!$K:$K,MATCH(K1027,'Facility Summary'!$J:$J,0)),INDEX('Raw Annual DMR Data'!$M:$M,MATCH(K1027,'Raw Annual DMR Data'!$L:$L,0)))</f>
        <v>Manufacturing</v>
      </c>
      <c r="M1027" s="28"/>
      <c r="N1027" s="28"/>
      <c r="O1027" s="28"/>
      <c r="P1027" s="28"/>
      <c r="Q1027" s="28"/>
      <c r="R1027" s="28"/>
      <c r="S1027" s="28">
        <v>8.3365571249999996E-3</v>
      </c>
    </row>
    <row r="1028" spans="1:19" x14ac:dyDescent="0.25">
      <c r="A1028" s="28">
        <v>2018</v>
      </c>
      <c r="B1028" s="28"/>
      <c r="C1028" s="28" t="s">
        <v>188</v>
      </c>
      <c r="D1028" s="28" t="s">
        <v>617</v>
      </c>
      <c r="E1028" s="28" t="s">
        <v>618</v>
      </c>
      <c r="F1028" s="28" t="s">
        <v>311</v>
      </c>
      <c r="G1028" s="28">
        <v>265019624</v>
      </c>
      <c r="H1028" s="28">
        <v>39.599829999999997</v>
      </c>
      <c r="I1028" s="28">
        <v>-79.97148</v>
      </c>
      <c r="J1028" s="28" t="s">
        <v>619</v>
      </c>
      <c r="K1028" s="61">
        <v>110000572782</v>
      </c>
      <c r="L1028" s="61" t="str">
        <f>IFERROR(INDEX('Facility Summary'!$K:$K,MATCH(K1028,'Facility Summary'!$J:$J,0)),INDEX('Raw Annual DMR Data'!$M:$M,MATCH(K1028,'Raw Annual DMR Data'!$L:$L,0)))</f>
        <v>Manufacturing</v>
      </c>
      <c r="M1028" s="28"/>
      <c r="N1028" s="28"/>
      <c r="O1028" s="28"/>
      <c r="P1028" s="28"/>
      <c r="Q1028" s="28"/>
      <c r="R1028" s="28"/>
      <c r="S1028" s="28">
        <v>1.09750566893424E-2</v>
      </c>
    </row>
    <row r="1029" spans="1:19" x14ac:dyDescent="0.25">
      <c r="A1029" s="28">
        <v>2019</v>
      </c>
      <c r="B1029" s="28"/>
      <c r="C1029" s="28" t="s">
        <v>1243</v>
      </c>
      <c r="D1029" s="28" t="s">
        <v>2027</v>
      </c>
      <c r="E1029" s="28" t="s">
        <v>1244</v>
      </c>
      <c r="F1029" s="28" t="s">
        <v>324</v>
      </c>
      <c r="G1029" s="28">
        <v>40353</v>
      </c>
      <c r="H1029" s="28">
        <v>38.101582000000001</v>
      </c>
      <c r="I1029" s="28">
        <v>-83.919770999999997</v>
      </c>
      <c r="J1029" s="28"/>
      <c r="K1029" s="61">
        <v>110039705361</v>
      </c>
      <c r="L1029" s="61" t="str">
        <f>IFERROR(INDEX('Facility Summary'!$K:$K,MATCH(K1029,'Facility Summary'!$J:$J,0)),INDEX('Raw Annual DMR Data'!$M:$M,MATCH(K1029,'Raw Annual DMR Data'!$L:$L,0)))</f>
        <v>POTW</v>
      </c>
      <c r="M1029" s="28"/>
      <c r="N1029" s="28"/>
      <c r="O1029" s="28"/>
      <c r="P1029" s="28"/>
      <c r="Q1029" s="28"/>
      <c r="R1029" s="28"/>
      <c r="S1029" s="28">
        <v>11.086738125</v>
      </c>
    </row>
    <row r="1030" spans="1:19" x14ac:dyDescent="0.25">
      <c r="A1030" s="28">
        <v>2020</v>
      </c>
      <c r="B1030" s="28"/>
      <c r="C1030" s="28" t="s">
        <v>1243</v>
      </c>
      <c r="D1030" s="28" t="s">
        <v>2027</v>
      </c>
      <c r="E1030" s="28" t="s">
        <v>1244</v>
      </c>
      <c r="F1030" s="28" t="s">
        <v>324</v>
      </c>
      <c r="G1030" s="28">
        <v>40353</v>
      </c>
      <c r="H1030" s="28">
        <v>38.101582000000001</v>
      </c>
      <c r="I1030" s="28">
        <v>-83.919770999999997</v>
      </c>
      <c r="J1030" s="28"/>
      <c r="K1030" s="61">
        <v>110039705361</v>
      </c>
      <c r="L1030" s="61" t="str">
        <f>IFERROR(INDEX('Facility Summary'!$K:$K,MATCH(K1030,'Facility Summary'!$J:$J,0)),INDEX('Raw Annual DMR Data'!$M:$M,MATCH(K1030,'Raw Annual DMR Data'!$L:$L,0)))</f>
        <v>POTW</v>
      </c>
      <c r="M1030" s="28"/>
      <c r="N1030" s="28"/>
      <c r="O1030" s="28"/>
      <c r="P1030" s="28"/>
      <c r="Q1030" s="28"/>
      <c r="R1030" s="28"/>
      <c r="S1030" s="28">
        <v>6.7349343749999999</v>
      </c>
    </row>
    <row r="1031" spans="1:19" x14ac:dyDescent="0.25">
      <c r="A1031" s="28">
        <v>2017</v>
      </c>
      <c r="B1031" s="28"/>
      <c r="C1031" s="28" t="s">
        <v>202</v>
      </c>
      <c r="D1031" s="28" t="s">
        <v>667</v>
      </c>
      <c r="E1031" s="28" t="s">
        <v>323</v>
      </c>
      <c r="F1031" s="28" t="s">
        <v>324</v>
      </c>
      <c r="G1031" s="28">
        <v>42029</v>
      </c>
      <c r="H1031" s="28">
        <v>37.051110999999999</v>
      </c>
      <c r="I1031" s="28">
        <v>-88.334166999999994</v>
      </c>
      <c r="J1031" s="28" t="s">
        <v>668</v>
      </c>
      <c r="K1031" s="61">
        <v>110027373072</v>
      </c>
      <c r="L1031" s="61" t="str">
        <f>IFERROR(INDEX('Facility Summary'!$K:$K,MATCH(K1031,'Facility Summary'!$J:$J,0)),INDEX('Raw Annual DMR Data'!$M:$M,MATCH(K1031,'Raw Annual DMR Data'!$L:$L,0)))</f>
        <v>Manufacturing</v>
      </c>
      <c r="M1031" s="28"/>
      <c r="N1031" s="28"/>
      <c r="O1031" s="28"/>
      <c r="P1031" s="28"/>
      <c r="Q1031" s="28"/>
      <c r="R1031" s="28"/>
      <c r="S1031" s="28">
        <v>27.1637188208616</v>
      </c>
    </row>
    <row r="1032" spans="1:19" x14ac:dyDescent="0.25">
      <c r="A1032" s="28">
        <v>2016</v>
      </c>
      <c r="B1032" s="28"/>
      <c r="C1032" s="28" t="s">
        <v>202</v>
      </c>
      <c r="D1032" s="28" t="s">
        <v>2426</v>
      </c>
      <c r="E1032" s="28" t="s">
        <v>323</v>
      </c>
      <c r="F1032" s="28" t="s">
        <v>324</v>
      </c>
      <c r="G1032" s="28">
        <v>42029</v>
      </c>
      <c r="H1032" s="28">
        <v>37.051110999999999</v>
      </c>
      <c r="I1032" s="28">
        <v>-88.334166999999994</v>
      </c>
      <c r="J1032" s="28" t="s">
        <v>668</v>
      </c>
      <c r="K1032" s="61">
        <v>110027373072</v>
      </c>
      <c r="L1032" s="61" t="str">
        <f>IFERROR(INDEX('Facility Summary'!$K:$K,MATCH(K1032,'Facility Summary'!$J:$J,0)),INDEX('Raw Annual DMR Data'!$M:$M,MATCH(K1032,'Raw Annual DMR Data'!$L:$L,0)))</f>
        <v>Manufacturing</v>
      </c>
      <c r="M1032" s="28"/>
      <c r="N1032" s="28"/>
      <c r="O1032" s="28"/>
      <c r="P1032" s="28"/>
      <c r="Q1032" s="28"/>
      <c r="R1032" s="28"/>
      <c r="S1032" s="28">
        <v>19.296145124716499</v>
      </c>
    </row>
    <row r="1033" spans="1:19" x14ac:dyDescent="0.25">
      <c r="A1033" s="28">
        <v>2020</v>
      </c>
      <c r="B1033" s="28"/>
      <c r="C1033" s="28" t="s">
        <v>202</v>
      </c>
      <c r="D1033" s="28" t="s">
        <v>2426</v>
      </c>
      <c r="E1033" s="28" t="s">
        <v>323</v>
      </c>
      <c r="F1033" s="28" t="s">
        <v>324</v>
      </c>
      <c r="G1033" s="28">
        <v>42029</v>
      </c>
      <c r="H1033" s="28">
        <v>37.051110999999999</v>
      </c>
      <c r="I1033" s="28">
        <v>-88.334166999999994</v>
      </c>
      <c r="J1033" s="28" t="s">
        <v>668</v>
      </c>
      <c r="K1033" s="61">
        <v>110027373072</v>
      </c>
      <c r="L1033" s="61" t="str">
        <f>IFERROR(INDEX('Facility Summary'!$K:$K,MATCH(K1033,'Facility Summary'!$J:$J,0)),INDEX('Raw Annual DMR Data'!$M:$M,MATCH(K1033,'Raw Annual DMR Data'!$L:$L,0)))</f>
        <v>Manufacturing</v>
      </c>
      <c r="M1033" s="28"/>
      <c r="N1033" s="28"/>
      <c r="O1033" s="28"/>
      <c r="P1033" s="28"/>
      <c r="Q1033" s="28"/>
      <c r="R1033" s="28"/>
      <c r="S1033" s="28">
        <v>16.735736961451199</v>
      </c>
    </row>
    <row r="1034" spans="1:19" x14ac:dyDescent="0.25">
      <c r="A1034" s="28">
        <v>2019</v>
      </c>
      <c r="B1034" s="28"/>
      <c r="C1034" s="28" t="s">
        <v>202</v>
      </c>
      <c r="D1034" s="28" t="s">
        <v>2426</v>
      </c>
      <c r="E1034" s="28" t="s">
        <v>323</v>
      </c>
      <c r="F1034" s="28" t="s">
        <v>324</v>
      </c>
      <c r="G1034" s="28">
        <v>42029</v>
      </c>
      <c r="H1034" s="28">
        <v>37.051110999999999</v>
      </c>
      <c r="I1034" s="28">
        <v>-88.334166999999994</v>
      </c>
      <c r="J1034" s="28" t="s">
        <v>668</v>
      </c>
      <c r="K1034" s="61">
        <v>110027373072</v>
      </c>
      <c r="L1034" s="61" t="str">
        <f>IFERROR(INDEX('Facility Summary'!$K:$K,MATCH(K1034,'Facility Summary'!$J:$J,0)),INDEX('Raw Annual DMR Data'!$M:$M,MATCH(K1034,'Raw Annual DMR Data'!$L:$L,0)))</f>
        <v>Manufacturing</v>
      </c>
      <c r="M1034" s="28"/>
      <c r="N1034" s="28"/>
      <c r="O1034" s="28"/>
      <c r="P1034" s="28"/>
      <c r="Q1034" s="28"/>
      <c r="R1034" s="28"/>
      <c r="S1034" s="28">
        <v>13.5881179138321</v>
      </c>
    </row>
    <row r="1035" spans="1:19" x14ac:dyDescent="0.25">
      <c r="A1035" s="28">
        <v>2017</v>
      </c>
      <c r="B1035" s="28"/>
      <c r="C1035" s="28" t="s">
        <v>202</v>
      </c>
      <c r="D1035" s="28" t="s">
        <v>2426</v>
      </c>
      <c r="E1035" s="28" t="s">
        <v>323</v>
      </c>
      <c r="F1035" s="28" t="s">
        <v>324</v>
      </c>
      <c r="G1035" s="28">
        <v>42029</v>
      </c>
      <c r="H1035" s="28">
        <v>37.051110999999999</v>
      </c>
      <c r="I1035" s="28">
        <v>-88.334166999999994</v>
      </c>
      <c r="J1035" s="28" t="s">
        <v>668</v>
      </c>
      <c r="K1035" s="61">
        <v>110027373072</v>
      </c>
      <c r="L1035" s="61" t="str">
        <f>IFERROR(INDEX('Facility Summary'!$K:$K,MATCH(K1035,'Facility Summary'!$J:$J,0)),INDEX('Raw Annual DMR Data'!$M:$M,MATCH(K1035,'Raw Annual DMR Data'!$L:$L,0)))</f>
        <v>Manufacturing</v>
      </c>
      <c r="M1035" s="28"/>
      <c r="N1035" s="28"/>
      <c r="O1035" s="28"/>
      <c r="P1035" s="28"/>
      <c r="Q1035" s="28"/>
      <c r="R1035" s="28"/>
      <c r="S1035" s="28">
        <v>12.972335600907</v>
      </c>
    </row>
    <row r="1036" spans="1:19" x14ac:dyDescent="0.25">
      <c r="A1036" s="28">
        <v>2020</v>
      </c>
      <c r="B1036" s="28"/>
      <c r="C1036" s="28" t="s">
        <v>202</v>
      </c>
      <c r="D1036" s="28" t="s">
        <v>2426</v>
      </c>
      <c r="E1036" s="28" t="s">
        <v>323</v>
      </c>
      <c r="F1036" s="28" t="s">
        <v>324</v>
      </c>
      <c r="G1036" s="28">
        <v>42029</v>
      </c>
      <c r="H1036" s="28">
        <v>37.051110999999999</v>
      </c>
      <c r="I1036" s="28">
        <v>-88.334166999999994</v>
      </c>
      <c r="J1036" s="28" t="s">
        <v>668</v>
      </c>
      <c r="K1036" s="61">
        <v>110027373072</v>
      </c>
      <c r="L1036" s="61" t="str">
        <f>IFERROR(INDEX('Facility Summary'!$K:$K,MATCH(K1036,'Facility Summary'!$J:$J,0)),INDEX('Raw Annual DMR Data'!$M:$M,MATCH(K1036,'Raw Annual DMR Data'!$L:$L,0)))</f>
        <v>Manufacturing</v>
      </c>
      <c r="M1036" s="28"/>
      <c r="N1036" s="28"/>
      <c r="O1036" s="28"/>
      <c r="P1036" s="28"/>
      <c r="Q1036" s="28"/>
      <c r="R1036" s="28"/>
      <c r="S1036" s="28">
        <v>8.1386394557823092</v>
      </c>
    </row>
    <row r="1037" spans="1:19" x14ac:dyDescent="0.25">
      <c r="A1037" s="28">
        <v>2016</v>
      </c>
      <c r="B1037" s="28"/>
      <c r="C1037" s="28" t="s">
        <v>1247</v>
      </c>
      <c r="D1037" s="28" t="s">
        <v>2035</v>
      </c>
      <c r="E1037" s="28" t="s">
        <v>1248</v>
      </c>
      <c r="F1037" s="28" t="s">
        <v>1249</v>
      </c>
      <c r="G1037" s="28">
        <v>87328</v>
      </c>
      <c r="H1037" s="28">
        <v>35.901389000000002</v>
      </c>
      <c r="I1037" s="28">
        <v>-109.044167</v>
      </c>
      <c r="J1037" s="28"/>
      <c r="K1037" s="61">
        <v>110022284240</v>
      </c>
      <c r="L1037" s="61" t="str">
        <f>IFERROR(INDEX('Facility Summary'!$K:$K,MATCH(K1037,'Facility Summary'!$J:$J,0)),INDEX('Raw Annual DMR Data'!$M:$M,MATCH(K1037,'Raw Annual DMR Data'!$L:$L,0)))</f>
        <v>POTW</v>
      </c>
      <c r="M1037" s="28"/>
      <c r="N1037" s="28"/>
      <c r="O1037" s="28"/>
      <c r="P1037" s="28"/>
      <c r="Q1037" s="28"/>
      <c r="R1037" s="28"/>
      <c r="S1037" s="28">
        <v>0.1102192</v>
      </c>
    </row>
    <row r="1038" spans="1:19" x14ac:dyDescent="0.25">
      <c r="A1038" s="28">
        <v>2019</v>
      </c>
      <c r="B1038" s="28"/>
      <c r="C1038" s="28" t="s">
        <v>1250</v>
      </c>
      <c r="D1038" s="28" t="s">
        <v>2038</v>
      </c>
      <c r="E1038" s="28" t="s">
        <v>1251</v>
      </c>
      <c r="F1038" s="28" t="s">
        <v>366</v>
      </c>
      <c r="G1038" s="28">
        <v>92672</v>
      </c>
      <c r="H1038" s="28">
        <v>33.022727000000003</v>
      </c>
      <c r="I1038" s="28">
        <v>-118.58829299999999</v>
      </c>
      <c r="J1038" s="28" t="s">
        <v>726</v>
      </c>
      <c r="K1038" s="61">
        <v>110071169347</v>
      </c>
      <c r="L1038" s="61" t="str">
        <f>IFERROR(INDEX('Facility Summary'!$K:$K,MATCH(K1038,'Facility Summary'!$J:$J,0)),INDEX('Raw Annual DMR Data'!$M:$M,MATCH(K1038,'Raw Annual DMR Data'!$L:$L,0)))</f>
        <v>POTW</v>
      </c>
      <c r="M1038" s="28"/>
      <c r="N1038" s="28"/>
      <c r="O1038" s="28"/>
      <c r="P1038" s="28"/>
      <c r="Q1038" s="28"/>
      <c r="R1038" s="28"/>
      <c r="S1038" s="28">
        <v>1.2307135675000001E-2</v>
      </c>
    </row>
    <row r="1039" spans="1:19" x14ac:dyDescent="0.25">
      <c r="A1039" s="28">
        <v>2020</v>
      </c>
      <c r="B1039" s="28"/>
      <c r="C1039" s="28" t="s">
        <v>1252</v>
      </c>
      <c r="D1039" s="28" t="s">
        <v>2040</v>
      </c>
      <c r="E1039" s="28" t="s">
        <v>1253</v>
      </c>
      <c r="F1039" s="28" t="s">
        <v>1171</v>
      </c>
      <c r="G1039" s="28" t="s">
        <v>2041</v>
      </c>
      <c r="H1039" s="28">
        <v>21.348493999999999</v>
      </c>
      <c r="I1039" s="28">
        <v>-157.94398899999999</v>
      </c>
      <c r="J1039" s="28"/>
      <c r="K1039" s="61">
        <v>110022302417</v>
      </c>
      <c r="L1039" s="61" t="str">
        <f>IFERROR(INDEX('Facility Summary'!$K:$K,MATCH(K1039,'Facility Summary'!$J:$J,0)),INDEX('Raw Annual DMR Data'!$M:$M,MATCH(K1039,'Raw Annual DMR Data'!$L:$L,0)))</f>
        <v>POTW</v>
      </c>
      <c r="M1039" s="28"/>
      <c r="N1039" s="28"/>
      <c r="O1039" s="28"/>
      <c r="P1039" s="28"/>
      <c r="Q1039" s="28"/>
      <c r="R1039" s="28"/>
      <c r="S1039" s="28">
        <v>3.8682699999999999</v>
      </c>
    </row>
    <row r="1040" spans="1:19" x14ac:dyDescent="0.25">
      <c r="A1040" s="28">
        <v>2019</v>
      </c>
      <c r="B1040" s="28"/>
      <c r="C1040" s="28" t="s">
        <v>202</v>
      </c>
      <c r="D1040" s="28" t="s">
        <v>2426</v>
      </c>
      <c r="E1040" s="28" t="s">
        <v>323</v>
      </c>
      <c r="F1040" s="28" t="s">
        <v>324</v>
      </c>
      <c r="G1040" s="28">
        <v>42029</v>
      </c>
      <c r="H1040" s="28">
        <v>37.051110999999999</v>
      </c>
      <c r="I1040" s="28">
        <v>-88.334166999999994</v>
      </c>
      <c r="J1040" s="28" t="s">
        <v>668</v>
      </c>
      <c r="K1040" s="61">
        <v>110027373072</v>
      </c>
      <c r="L1040" s="61" t="str">
        <f>IFERROR(INDEX('Facility Summary'!$K:$K,MATCH(K1040,'Facility Summary'!$J:$J,0)),INDEX('Raw Annual DMR Data'!$M:$M,MATCH(K1040,'Raw Annual DMR Data'!$L:$L,0)))</f>
        <v>Manufacturing</v>
      </c>
      <c r="M1040" s="28"/>
      <c r="N1040" s="28"/>
      <c r="O1040" s="28"/>
      <c r="P1040" s="28"/>
      <c r="Q1040" s="28"/>
      <c r="R1040" s="28"/>
      <c r="S1040" s="28">
        <v>1.53741496598639</v>
      </c>
    </row>
    <row r="1041" spans="1:19" x14ac:dyDescent="0.25">
      <c r="A1041" s="28">
        <v>2016</v>
      </c>
      <c r="B1041" s="28"/>
      <c r="C1041" s="28" t="s">
        <v>202</v>
      </c>
      <c r="D1041" s="28" t="s">
        <v>2427</v>
      </c>
      <c r="E1041" s="28" t="s">
        <v>323</v>
      </c>
      <c r="F1041" s="28" t="s">
        <v>324</v>
      </c>
      <c r="G1041" s="28">
        <v>42029</v>
      </c>
      <c r="H1041" s="28">
        <v>37.051110999999999</v>
      </c>
      <c r="I1041" s="28">
        <v>-88.334166999999994</v>
      </c>
      <c r="J1041" s="28" t="s">
        <v>668</v>
      </c>
      <c r="K1041" s="61">
        <v>110027373072</v>
      </c>
      <c r="L1041" s="61" t="str">
        <f>IFERROR(INDEX('Facility Summary'!$K:$K,MATCH(K1041,'Facility Summary'!$J:$J,0)),INDEX('Raw Annual DMR Data'!$M:$M,MATCH(K1041,'Raw Annual DMR Data'!$L:$L,0)))</f>
        <v>Manufacturing</v>
      </c>
      <c r="M1041" s="28"/>
      <c r="N1041" s="28"/>
      <c r="O1041" s="28"/>
      <c r="P1041" s="28"/>
      <c r="Q1041" s="28"/>
      <c r="R1041" s="28"/>
      <c r="S1041" s="28">
        <v>1.32517006802721</v>
      </c>
    </row>
    <row r="1042" spans="1:19" x14ac:dyDescent="0.25">
      <c r="A1042" s="28">
        <v>2020</v>
      </c>
      <c r="B1042" s="28"/>
      <c r="C1042" s="28" t="s">
        <v>1256</v>
      </c>
      <c r="D1042" s="28" t="s">
        <v>2046</v>
      </c>
      <c r="E1042" s="28" t="s">
        <v>549</v>
      </c>
      <c r="F1042" s="28" t="s">
        <v>366</v>
      </c>
      <c r="G1042" s="28">
        <v>95959</v>
      </c>
      <c r="H1042" s="28">
        <v>39.259749999999997</v>
      </c>
      <c r="I1042" s="28">
        <v>-121.03075</v>
      </c>
      <c r="J1042" s="28"/>
      <c r="K1042" s="61">
        <v>110000519920</v>
      </c>
      <c r="L1042" s="61" t="str">
        <f>IFERROR(INDEX('Facility Summary'!$K:$K,MATCH(K1042,'Facility Summary'!$J:$J,0)),INDEX('Raw Annual DMR Data'!$M:$M,MATCH(K1042,'Raw Annual DMR Data'!$L:$L,0)))</f>
        <v>POTW</v>
      </c>
      <c r="M1042" s="28"/>
      <c r="N1042" s="28"/>
      <c r="O1042" s="28"/>
      <c r="P1042" s="28"/>
      <c r="Q1042" s="28"/>
      <c r="R1042" s="28"/>
      <c r="S1042" s="28">
        <v>6.7206460000000003E-3</v>
      </c>
    </row>
    <row r="1043" spans="1:19" x14ac:dyDescent="0.25">
      <c r="A1043" s="28">
        <v>2015</v>
      </c>
      <c r="B1043" s="28"/>
      <c r="C1043" s="28" t="s">
        <v>202</v>
      </c>
      <c r="D1043" s="28" t="s">
        <v>2426</v>
      </c>
      <c r="E1043" s="28" t="s">
        <v>323</v>
      </c>
      <c r="F1043" s="28" t="s">
        <v>324</v>
      </c>
      <c r="G1043" s="28">
        <v>42029</v>
      </c>
      <c r="H1043" s="28">
        <v>37.051110999999999</v>
      </c>
      <c r="I1043" s="28">
        <v>-88.334166999999994</v>
      </c>
      <c r="J1043" s="28" t="s">
        <v>668</v>
      </c>
      <c r="K1043" s="61">
        <v>110027373072</v>
      </c>
      <c r="L1043" s="61" t="str">
        <f>IFERROR(INDEX('Facility Summary'!$K:$K,MATCH(K1043,'Facility Summary'!$J:$J,0)),INDEX('Raw Annual DMR Data'!$M:$M,MATCH(K1043,'Raw Annual DMR Data'!$L:$L,0)))</f>
        <v>Manufacturing</v>
      </c>
      <c r="M1043" s="28"/>
      <c r="N1043" s="28"/>
      <c r="O1043" s="28"/>
      <c r="P1043" s="28"/>
      <c r="Q1043" s="28"/>
      <c r="R1043" s="28"/>
      <c r="S1043" s="28">
        <v>750.56430242600004</v>
      </c>
    </row>
    <row r="1044" spans="1:19" x14ac:dyDescent="0.25">
      <c r="A1044" s="28">
        <v>2015</v>
      </c>
      <c r="B1044" s="28"/>
      <c r="C1044" s="28" t="s">
        <v>1259</v>
      </c>
      <c r="D1044" s="28" t="s">
        <v>2051</v>
      </c>
      <c r="E1044" s="28" t="s">
        <v>1260</v>
      </c>
      <c r="F1044" s="28" t="s">
        <v>374</v>
      </c>
      <c r="G1044" s="28">
        <v>85648</v>
      </c>
      <c r="H1044" s="28">
        <v>31.456666999999999</v>
      </c>
      <c r="I1044" s="28">
        <v>-110.968056</v>
      </c>
      <c r="J1044" s="28"/>
      <c r="K1044" s="61">
        <v>110028190419</v>
      </c>
      <c r="L1044" s="61" t="str">
        <f>IFERROR(INDEX('Facility Summary'!$K:$K,MATCH(K1044,'Facility Summary'!$J:$J,0)),INDEX('Raw Annual DMR Data'!$M:$M,MATCH(K1044,'Raw Annual DMR Data'!$L:$L,0)))</f>
        <v>POTW</v>
      </c>
      <c r="M1044" s="28"/>
      <c r="N1044" s="28"/>
      <c r="O1044" s="28"/>
      <c r="P1044" s="28"/>
      <c r="Q1044" s="28"/>
      <c r="R1044" s="28"/>
      <c r="S1044" s="28">
        <v>19.451872000000002</v>
      </c>
    </row>
    <row r="1045" spans="1:19" x14ac:dyDescent="0.25">
      <c r="A1045" s="28">
        <v>2015</v>
      </c>
      <c r="B1045" s="28"/>
      <c r="C1045" s="28" t="s">
        <v>1261</v>
      </c>
      <c r="D1045" s="28" t="s">
        <v>2053</v>
      </c>
      <c r="E1045" s="28" t="s">
        <v>966</v>
      </c>
      <c r="F1045" s="28" t="s">
        <v>491</v>
      </c>
      <c r="G1045" s="28" t="s">
        <v>2054</v>
      </c>
      <c r="H1045" s="28">
        <v>39.991410000000002</v>
      </c>
      <c r="I1045" s="28">
        <v>-75.085030000000003</v>
      </c>
      <c r="J1045" s="28"/>
      <c r="K1045" s="61">
        <v>110001076978</v>
      </c>
      <c r="L1045" s="61" t="str">
        <f>IFERROR(INDEX('Facility Summary'!$K:$K,MATCH(K1045,'Facility Summary'!$J:$J,0)),INDEX('Raw Annual DMR Data'!$M:$M,MATCH(K1045,'Raw Annual DMR Data'!$L:$L,0)))</f>
        <v>POTW</v>
      </c>
      <c r="M1045" s="28"/>
      <c r="N1045" s="28"/>
      <c r="O1045" s="28"/>
      <c r="P1045" s="28"/>
      <c r="Q1045" s="28"/>
      <c r="R1045" s="28"/>
      <c r="S1045" s="28">
        <v>537.65925000000004</v>
      </c>
    </row>
    <row r="1046" spans="1:19" x14ac:dyDescent="0.25">
      <c r="A1046" s="28">
        <v>2016</v>
      </c>
      <c r="B1046" s="28"/>
      <c r="C1046" s="28" t="s">
        <v>1261</v>
      </c>
      <c r="D1046" s="28" t="s">
        <v>2053</v>
      </c>
      <c r="E1046" s="28" t="s">
        <v>966</v>
      </c>
      <c r="F1046" s="28" t="s">
        <v>491</v>
      </c>
      <c r="G1046" s="28" t="s">
        <v>2054</v>
      </c>
      <c r="H1046" s="28">
        <v>39.991410000000002</v>
      </c>
      <c r="I1046" s="28">
        <v>-75.085030000000003</v>
      </c>
      <c r="J1046" s="28"/>
      <c r="K1046" s="61">
        <v>110001076978</v>
      </c>
      <c r="L1046" s="61" t="str">
        <f>IFERROR(INDEX('Facility Summary'!$K:$K,MATCH(K1046,'Facility Summary'!$J:$J,0)),INDEX('Raw Annual DMR Data'!$M:$M,MATCH(K1046,'Raw Annual DMR Data'!$L:$L,0)))</f>
        <v>POTW</v>
      </c>
      <c r="M1046" s="28"/>
      <c r="N1046" s="28"/>
      <c r="O1046" s="28"/>
      <c r="P1046" s="28"/>
      <c r="Q1046" s="28"/>
      <c r="R1046" s="28"/>
      <c r="S1046" s="28">
        <v>195.89362125</v>
      </c>
    </row>
    <row r="1047" spans="1:19" x14ac:dyDescent="0.25">
      <c r="A1047" s="28">
        <v>2017</v>
      </c>
      <c r="B1047" s="28"/>
      <c r="C1047" s="28" t="s">
        <v>1261</v>
      </c>
      <c r="D1047" s="28" t="s">
        <v>2053</v>
      </c>
      <c r="E1047" s="28" t="s">
        <v>966</v>
      </c>
      <c r="F1047" s="28" t="s">
        <v>491</v>
      </c>
      <c r="G1047" s="28" t="s">
        <v>2054</v>
      </c>
      <c r="H1047" s="28">
        <v>39.991410000000002</v>
      </c>
      <c r="I1047" s="28">
        <v>-75.085030000000003</v>
      </c>
      <c r="J1047" s="28"/>
      <c r="K1047" s="61">
        <v>110001076978</v>
      </c>
      <c r="L1047" s="61" t="str">
        <f>IFERROR(INDEX('Facility Summary'!$K:$K,MATCH(K1047,'Facility Summary'!$J:$J,0)),INDEX('Raw Annual DMR Data'!$M:$M,MATCH(K1047,'Raw Annual DMR Data'!$L:$L,0)))</f>
        <v>POTW</v>
      </c>
      <c r="M1047" s="28"/>
      <c r="N1047" s="28"/>
      <c r="O1047" s="28"/>
      <c r="P1047" s="28"/>
      <c r="Q1047" s="28"/>
      <c r="R1047" s="28"/>
      <c r="S1047" s="28">
        <v>179.66259500000001</v>
      </c>
    </row>
    <row r="1048" spans="1:19" x14ac:dyDescent="0.25">
      <c r="A1048" s="28">
        <v>2018</v>
      </c>
      <c r="B1048" s="28"/>
      <c r="C1048" s="28" t="s">
        <v>1261</v>
      </c>
      <c r="D1048" s="28" t="s">
        <v>2053</v>
      </c>
      <c r="E1048" s="28" t="s">
        <v>966</v>
      </c>
      <c r="F1048" s="28" t="s">
        <v>491</v>
      </c>
      <c r="G1048" s="28" t="s">
        <v>2054</v>
      </c>
      <c r="H1048" s="28">
        <v>39.991410000000002</v>
      </c>
      <c r="I1048" s="28">
        <v>-75.085030000000003</v>
      </c>
      <c r="J1048" s="28"/>
      <c r="K1048" s="61">
        <v>110001076978</v>
      </c>
      <c r="L1048" s="61" t="str">
        <f>IFERROR(INDEX('Facility Summary'!$K:$K,MATCH(K1048,'Facility Summary'!$J:$J,0)),INDEX('Raw Annual DMR Data'!$M:$M,MATCH(K1048,'Raw Annual DMR Data'!$L:$L,0)))</f>
        <v>POTW</v>
      </c>
      <c r="M1048" s="28"/>
      <c r="N1048" s="28"/>
      <c r="O1048" s="28"/>
      <c r="P1048" s="28"/>
      <c r="Q1048" s="28"/>
      <c r="R1048" s="28"/>
      <c r="S1048" s="28">
        <v>69.124508750000004</v>
      </c>
    </row>
    <row r="1049" spans="1:19" x14ac:dyDescent="0.25">
      <c r="A1049" s="28">
        <v>2019</v>
      </c>
      <c r="B1049" s="28"/>
      <c r="C1049" s="28" t="s">
        <v>1261</v>
      </c>
      <c r="D1049" s="28" t="s">
        <v>2053</v>
      </c>
      <c r="E1049" s="28" t="s">
        <v>966</v>
      </c>
      <c r="F1049" s="28" t="s">
        <v>491</v>
      </c>
      <c r="G1049" s="28" t="s">
        <v>2054</v>
      </c>
      <c r="H1049" s="28">
        <v>39.991410000000002</v>
      </c>
      <c r="I1049" s="28">
        <v>-75.085030000000003</v>
      </c>
      <c r="J1049" s="28"/>
      <c r="K1049" s="61">
        <v>110001076978</v>
      </c>
      <c r="L1049" s="61" t="str">
        <f>IFERROR(INDEX('Facility Summary'!$K:$K,MATCH(K1049,'Facility Summary'!$J:$J,0)),INDEX('Raw Annual DMR Data'!$M:$M,MATCH(K1049,'Raw Annual DMR Data'!$L:$L,0)))</f>
        <v>POTW</v>
      </c>
      <c r="M1049" s="28"/>
      <c r="N1049" s="28"/>
      <c r="O1049" s="28"/>
      <c r="P1049" s="28"/>
      <c r="Q1049" s="28"/>
      <c r="R1049" s="28"/>
      <c r="S1049" s="28">
        <v>65.471037499999994</v>
      </c>
    </row>
    <row r="1050" spans="1:19" x14ac:dyDescent="0.25">
      <c r="A1050" s="28">
        <v>2020</v>
      </c>
      <c r="B1050" s="28"/>
      <c r="C1050" s="28" t="s">
        <v>1261</v>
      </c>
      <c r="D1050" s="28" t="s">
        <v>2053</v>
      </c>
      <c r="E1050" s="28" t="s">
        <v>966</v>
      </c>
      <c r="F1050" s="28" t="s">
        <v>491</v>
      </c>
      <c r="G1050" s="28" t="s">
        <v>2054</v>
      </c>
      <c r="H1050" s="28">
        <v>39.991410000000002</v>
      </c>
      <c r="I1050" s="28">
        <v>-75.085030000000003</v>
      </c>
      <c r="J1050" s="28"/>
      <c r="K1050" s="61">
        <v>110001076978</v>
      </c>
      <c r="L1050" s="61" t="str">
        <f>IFERROR(INDEX('Facility Summary'!$K:$K,MATCH(K1050,'Facility Summary'!$J:$J,0)),INDEX('Raw Annual DMR Data'!$M:$M,MATCH(K1050,'Raw Annual DMR Data'!$L:$L,0)))</f>
        <v>POTW</v>
      </c>
      <c r="M1050" s="28"/>
      <c r="N1050" s="28"/>
      <c r="O1050" s="28"/>
      <c r="P1050" s="28"/>
      <c r="Q1050" s="28"/>
      <c r="R1050" s="28"/>
      <c r="S1050" s="28">
        <v>58.7980825</v>
      </c>
    </row>
    <row r="1051" spans="1:19" x14ac:dyDescent="0.25">
      <c r="A1051" s="28">
        <v>2020</v>
      </c>
      <c r="B1051" s="28"/>
      <c r="C1051" s="28" t="s">
        <v>1262</v>
      </c>
      <c r="D1051" s="28" t="s">
        <v>2058</v>
      </c>
      <c r="E1051" s="28" t="s">
        <v>1263</v>
      </c>
      <c r="F1051" s="28" t="s">
        <v>324</v>
      </c>
      <c r="G1051" s="28">
        <v>41018</v>
      </c>
      <c r="H1051" s="28">
        <v>39.058610999999999</v>
      </c>
      <c r="I1051" s="28">
        <v>-84.618055999999996</v>
      </c>
      <c r="J1051" s="28"/>
      <c r="K1051" s="61">
        <v>110039639736</v>
      </c>
      <c r="L1051" s="61" t="str">
        <f>IFERROR(INDEX('Facility Summary'!$K:$K,MATCH(K1051,'Facility Summary'!$J:$J,0)),INDEX('Raw Annual DMR Data'!$M:$M,MATCH(K1051,'Raw Annual DMR Data'!$L:$L,0)))</f>
        <v>POTW</v>
      </c>
      <c r="M1051" s="28"/>
      <c r="N1051" s="28"/>
      <c r="O1051" s="28"/>
      <c r="P1051" s="28"/>
      <c r="Q1051" s="28"/>
      <c r="R1051" s="28"/>
      <c r="S1051" s="28">
        <v>1.6944404125E-2</v>
      </c>
    </row>
    <row r="1052" spans="1:19" x14ac:dyDescent="0.25">
      <c r="A1052" s="28">
        <v>2018</v>
      </c>
      <c r="B1052" s="28"/>
      <c r="C1052" s="28" t="s">
        <v>1264</v>
      </c>
      <c r="D1052" s="28" t="s">
        <v>2061</v>
      </c>
      <c r="E1052" s="28" t="s">
        <v>1265</v>
      </c>
      <c r="F1052" s="28" t="s">
        <v>324</v>
      </c>
      <c r="G1052" s="28">
        <v>40475</v>
      </c>
      <c r="H1052" s="28">
        <v>37.852220000000003</v>
      </c>
      <c r="I1052" s="28">
        <v>-84.363079999999997</v>
      </c>
      <c r="J1052" s="28"/>
      <c r="K1052" s="61">
        <v>110016759444</v>
      </c>
      <c r="L1052" s="61" t="str">
        <f>IFERROR(INDEX('Facility Summary'!$K:$K,MATCH(K1052,'Facility Summary'!$J:$J,0)),INDEX('Raw Annual DMR Data'!$M:$M,MATCH(K1052,'Raw Annual DMR Data'!$L:$L,0)))</f>
        <v>POTW</v>
      </c>
      <c r="M1052" s="28"/>
      <c r="N1052" s="28"/>
      <c r="O1052" s="28"/>
      <c r="P1052" s="28"/>
      <c r="Q1052" s="28"/>
      <c r="R1052" s="28"/>
      <c r="S1052" s="28">
        <v>0.82891499999999996</v>
      </c>
    </row>
    <row r="1053" spans="1:19" x14ac:dyDescent="0.25">
      <c r="A1053" s="28">
        <v>2019</v>
      </c>
      <c r="B1053" s="28"/>
      <c r="C1053" s="28" t="s">
        <v>1264</v>
      </c>
      <c r="D1053" s="28" t="s">
        <v>2061</v>
      </c>
      <c r="E1053" s="28" t="s">
        <v>1265</v>
      </c>
      <c r="F1053" s="28" t="s">
        <v>324</v>
      </c>
      <c r="G1053" s="28">
        <v>40475</v>
      </c>
      <c r="H1053" s="28">
        <v>37.852220000000003</v>
      </c>
      <c r="I1053" s="28">
        <v>-84.363079999999997</v>
      </c>
      <c r="J1053" s="28"/>
      <c r="K1053" s="61">
        <v>110016759444</v>
      </c>
      <c r="L1053" s="61" t="str">
        <f>IFERROR(INDEX('Facility Summary'!$K:$K,MATCH(K1053,'Facility Summary'!$J:$J,0)),INDEX('Raw Annual DMR Data'!$M:$M,MATCH(K1053,'Raw Annual DMR Data'!$L:$L,0)))</f>
        <v>POTW</v>
      </c>
      <c r="M1053" s="28"/>
      <c r="N1053" s="28"/>
      <c r="O1053" s="28"/>
      <c r="P1053" s="28"/>
      <c r="Q1053" s="28"/>
      <c r="R1053" s="28"/>
      <c r="S1053" s="28">
        <v>0.97397512500000005</v>
      </c>
    </row>
    <row r="1054" spans="1:19" x14ac:dyDescent="0.25">
      <c r="A1054" s="28">
        <v>2020</v>
      </c>
      <c r="B1054" s="28"/>
      <c r="C1054" s="28" t="s">
        <v>1264</v>
      </c>
      <c r="D1054" s="28" t="s">
        <v>2061</v>
      </c>
      <c r="E1054" s="28" t="s">
        <v>1265</v>
      </c>
      <c r="F1054" s="28" t="s">
        <v>324</v>
      </c>
      <c r="G1054" s="28">
        <v>40475</v>
      </c>
      <c r="H1054" s="28">
        <v>37.852220000000003</v>
      </c>
      <c r="I1054" s="28">
        <v>-84.363079999999997</v>
      </c>
      <c r="J1054" s="28"/>
      <c r="K1054" s="61">
        <v>110016759444</v>
      </c>
      <c r="L1054" s="61" t="str">
        <f>IFERROR(INDEX('Facility Summary'!$K:$K,MATCH(K1054,'Facility Summary'!$J:$J,0)),INDEX('Raw Annual DMR Data'!$M:$M,MATCH(K1054,'Raw Annual DMR Data'!$L:$L,0)))</f>
        <v>POTW</v>
      </c>
      <c r="M1054" s="28"/>
      <c r="N1054" s="28"/>
      <c r="O1054" s="28"/>
      <c r="P1054" s="28"/>
      <c r="Q1054" s="28"/>
      <c r="R1054" s="28"/>
      <c r="S1054" s="28">
        <v>0.28597567499999998</v>
      </c>
    </row>
    <row r="1055" spans="1:19" x14ac:dyDescent="0.25">
      <c r="A1055" s="28">
        <v>2015</v>
      </c>
      <c r="B1055" s="28"/>
      <c r="C1055" s="28" t="s">
        <v>215</v>
      </c>
      <c r="D1055" s="28" t="s">
        <v>2065</v>
      </c>
      <c r="E1055" s="28" t="s">
        <v>1103</v>
      </c>
      <c r="F1055" s="28" t="s">
        <v>345</v>
      </c>
      <c r="G1055" s="28" t="s">
        <v>2066</v>
      </c>
      <c r="H1055" s="28">
        <v>41.404808000000003</v>
      </c>
      <c r="I1055" s="28">
        <v>-88.334732000000002</v>
      </c>
      <c r="J1055" s="28" t="s">
        <v>727</v>
      </c>
      <c r="K1055" s="61">
        <v>110000547196</v>
      </c>
      <c r="L1055" s="61" t="str">
        <f>IFERROR(INDEX('Facility Summary'!$K:$K,MATCH(K1055,'Facility Summary'!$J:$J,0)),INDEX('Raw Annual DMR Data'!$M:$M,MATCH(K1055,'Raw Annual DMR Data'!$L:$L,0)))</f>
        <v>Processing as a Reactant</v>
      </c>
      <c r="M1055" s="28"/>
      <c r="N1055" s="28"/>
      <c r="O1055" s="28"/>
      <c r="P1055" s="28"/>
      <c r="Q1055" s="28"/>
      <c r="R1055" s="28"/>
      <c r="S1055" s="28">
        <v>4.06303854875283E-2</v>
      </c>
    </row>
    <row r="1056" spans="1:19" x14ac:dyDescent="0.25">
      <c r="A1056" s="28">
        <v>2016</v>
      </c>
      <c r="B1056" s="28"/>
      <c r="C1056" s="28" t="s">
        <v>215</v>
      </c>
      <c r="D1056" s="28" t="s">
        <v>2065</v>
      </c>
      <c r="E1056" s="28" t="s">
        <v>1103</v>
      </c>
      <c r="F1056" s="28" t="s">
        <v>345</v>
      </c>
      <c r="G1056" s="28" t="s">
        <v>2066</v>
      </c>
      <c r="H1056" s="28">
        <v>41.404808000000003</v>
      </c>
      <c r="I1056" s="28">
        <v>-88.334732000000002</v>
      </c>
      <c r="J1056" s="28" t="s">
        <v>727</v>
      </c>
      <c r="K1056" s="61">
        <v>110000547196</v>
      </c>
      <c r="L1056" s="61" t="str">
        <f>IFERROR(INDEX('Facility Summary'!$K:$K,MATCH(K1056,'Facility Summary'!$J:$J,0)),INDEX('Raw Annual DMR Data'!$M:$M,MATCH(K1056,'Raw Annual DMR Data'!$L:$L,0)))</f>
        <v>Processing as a Reactant</v>
      </c>
      <c r="M1056" s="28"/>
      <c r="N1056" s="28"/>
      <c r="O1056" s="28"/>
      <c r="P1056" s="28"/>
      <c r="Q1056" s="28"/>
      <c r="R1056" s="28"/>
      <c r="S1056" s="28">
        <v>4.68843537414965E-2</v>
      </c>
    </row>
    <row r="1057" spans="1:19" x14ac:dyDescent="0.25">
      <c r="A1057" s="28">
        <v>2017</v>
      </c>
      <c r="B1057" s="28"/>
      <c r="C1057" s="28" t="s">
        <v>215</v>
      </c>
      <c r="D1057" s="28" t="s">
        <v>2065</v>
      </c>
      <c r="E1057" s="28" t="s">
        <v>1103</v>
      </c>
      <c r="F1057" s="28" t="s">
        <v>345</v>
      </c>
      <c r="G1057" s="28" t="s">
        <v>2066</v>
      </c>
      <c r="H1057" s="28">
        <v>41.404808000000003</v>
      </c>
      <c r="I1057" s="28">
        <v>-88.334732000000002</v>
      </c>
      <c r="J1057" s="28" t="s">
        <v>727</v>
      </c>
      <c r="K1057" s="61">
        <v>110000547196</v>
      </c>
      <c r="L1057" s="61" t="str">
        <f>IFERROR(INDEX('Facility Summary'!$K:$K,MATCH(K1057,'Facility Summary'!$J:$J,0)),INDEX('Raw Annual DMR Data'!$M:$M,MATCH(K1057,'Raw Annual DMR Data'!$L:$L,0)))</f>
        <v>Processing as a Reactant</v>
      </c>
      <c r="M1057" s="28"/>
      <c r="N1057" s="28"/>
      <c r="O1057" s="28"/>
      <c r="P1057" s="28"/>
      <c r="Q1057" s="28"/>
      <c r="R1057" s="28"/>
      <c r="S1057" s="28">
        <v>0.35408843537414902</v>
      </c>
    </row>
    <row r="1058" spans="1:19" x14ac:dyDescent="0.25">
      <c r="A1058" s="28">
        <v>2018</v>
      </c>
      <c r="B1058" s="28"/>
      <c r="C1058" s="28" t="s">
        <v>215</v>
      </c>
      <c r="D1058" s="28" t="s">
        <v>2065</v>
      </c>
      <c r="E1058" s="28" t="s">
        <v>1103</v>
      </c>
      <c r="F1058" s="28" t="s">
        <v>345</v>
      </c>
      <c r="G1058" s="28" t="s">
        <v>2066</v>
      </c>
      <c r="H1058" s="28">
        <v>41.404808000000003</v>
      </c>
      <c r="I1058" s="28">
        <v>-88.334732000000002</v>
      </c>
      <c r="J1058" s="28" t="s">
        <v>727</v>
      </c>
      <c r="K1058" s="61">
        <v>110000547196</v>
      </c>
      <c r="L1058" s="61" t="str">
        <f>IFERROR(INDEX('Facility Summary'!$K:$K,MATCH(K1058,'Facility Summary'!$J:$J,0)),INDEX('Raw Annual DMR Data'!$M:$M,MATCH(K1058,'Raw Annual DMR Data'!$L:$L,0)))</f>
        <v>Processing as a Reactant</v>
      </c>
      <c r="M1058" s="28"/>
      <c r="N1058" s="28"/>
      <c r="O1058" s="28"/>
      <c r="P1058" s="28"/>
      <c r="Q1058" s="28"/>
      <c r="R1058" s="28"/>
      <c r="S1058" s="302">
        <v>0.10791156462585</v>
      </c>
    </row>
    <row r="1059" spans="1:19" x14ac:dyDescent="0.25">
      <c r="A1059" s="28">
        <v>2019</v>
      </c>
      <c r="B1059" s="28"/>
      <c r="C1059" s="28" t="s">
        <v>215</v>
      </c>
      <c r="D1059" s="28" t="s">
        <v>2065</v>
      </c>
      <c r="E1059" s="28" t="s">
        <v>1103</v>
      </c>
      <c r="F1059" s="28" t="s">
        <v>345</v>
      </c>
      <c r="G1059" s="28" t="s">
        <v>2066</v>
      </c>
      <c r="H1059" s="28">
        <v>41.404808000000003</v>
      </c>
      <c r="I1059" s="28">
        <v>-88.334732000000002</v>
      </c>
      <c r="J1059" s="28" t="s">
        <v>727</v>
      </c>
      <c r="K1059" s="61">
        <v>110000547196</v>
      </c>
      <c r="L1059" s="61" t="str">
        <f>IFERROR(INDEX('Facility Summary'!$K:$K,MATCH(K1059,'Facility Summary'!$J:$J,0)),INDEX('Raw Annual DMR Data'!$M:$M,MATCH(K1059,'Raw Annual DMR Data'!$L:$L,0)))</f>
        <v>Processing as a Reactant</v>
      </c>
      <c r="M1059" s="28"/>
      <c r="N1059" s="28"/>
      <c r="O1059" s="28"/>
      <c r="P1059" s="28"/>
      <c r="Q1059" s="28"/>
      <c r="R1059" s="28"/>
      <c r="S1059" s="28">
        <v>4.21020408163265E-2</v>
      </c>
    </row>
    <row r="1060" spans="1:19" x14ac:dyDescent="0.25">
      <c r="A1060" s="28">
        <v>2020</v>
      </c>
      <c r="B1060" s="28"/>
      <c r="C1060" s="28" t="s">
        <v>215</v>
      </c>
      <c r="D1060" s="28" t="s">
        <v>2065</v>
      </c>
      <c r="E1060" s="28" t="s">
        <v>1103</v>
      </c>
      <c r="F1060" s="28" t="s">
        <v>345</v>
      </c>
      <c r="G1060" s="28" t="s">
        <v>2066</v>
      </c>
      <c r="H1060" s="28">
        <v>41.404808000000003</v>
      </c>
      <c r="I1060" s="28">
        <v>-88.334732000000002</v>
      </c>
      <c r="J1060" s="28" t="s">
        <v>727</v>
      </c>
      <c r="K1060" s="61">
        <v>110000547196</v>
      </c>
      <c r="L1060" s="61" t="str">
        <f>IFERROR(INDEX('Facility Summary'!$K:$K,MATCH(K1060,'Facility Summary'!$J:$J,0)),INDEX('Raw Annual DMR Data'!$M:$M,MATCH(K1060,'Raw Annual DMR Data'!$L:$L,0)))</f>
        <v>Processing as a Reactant</v>
      </c>
      <c r="M1060" s="28"/>
      <c r="N1060" s="28"/>
      <c r="O1060" s="28"/>
      <c r="P1060" s="28"/>
      <c r="Q1060" s="28"/>
      <c r="R1060" s="28"/>
      <c r="S1060" s="28">
        <v>8.0235827664399004E-2</v>
      </c>
    </row>
    <row r="1061" spans="1:19" x14ac:dyDescent="0.25">
      <c r="A1061" s="28">
        <v>2015</v>
      </c>
      <c r="B1061" s="28"/>
      <c r="C1061" s="28" t="s">
        <v>1266</v>
      </c>
      <c r="D1061" s="28" t="s">
        <v>2070</v>
      </c>
      <c r="E1061" s="28" t="s">
        <v>1267</v>
      </c>
      <c r="F1061" s="28" t="s">
        <v>491</v>
      </c>
      <c r="G1061" s="28">
        <v>15061</v>
      </c>
      <c r="H1061" s="28">
        <v>40.655278000000003</v>
      </c>
      <c r="I1061" s="28">
        <v>-80.356388999999993</v>
      </c>
      <c r="J1061" s="28" t="s">
        <v>728</v>
      </c>
      <c r="K1061" s="61">
        <v>110059344473</v>
      </c>
      <c r="L1061" s="61" t="str">
        <f>IFERROR(INDEX('Facility Summary'!$K:$K,MATCH(K1061,'Facility Summary'!$J:$J,0)),INDEX('Raw Annual DMR Data'!$M:$M,MATCH(K1061,'Raw Annual DMR Data'!$L:$L,0)))</f>
        <v>Unknown</v>
      </c>
      <c r="M1061" s="28"/>
      <c r="N1061" s="28"/>
      <c r="O1061" s="28"/>
      <c r="P1061" s="28"/>
      <c r="Q1061" s="28"/>
      <c r="R1061" s="28"/>
      <c r="S1061" s="28">
        <v>0.19201814058956901</v>
      </c>
    </row>
    <row r="1062" spans="1:19" x14ac:dyDescent="0.25">
      <c r="A1062" s="28">
        <v>2016</v>
      </c>
      <c r="B1062" s="28"/>
      <c r="C1062" s="28" t="s">
        <v>1266</v>
      </c>
      <c r="D1062" s="28" t="s">
        <v>2070</v>
      </c>
      <c r="E1062" s="28" t="s">
        <v>1267</v>
      </c>
      <c r="F1062" s="28" t="s">
        <v>491</v>
      </c>
      <c r="G1062" s="28">
        <v>15061</v>
      </c>
      <c r="H1062" s="28">
        <v>40.655278000000003</v>
      </c>
      <c r="I1062" s="28">
        <v>-80.356388999999993</v>
      </c>
      <c r="J1062" s="28" t="s">
        <v>728</v>
      </c>
      <c r="K1062" s="61">
        <v>110059344473</v>
      </c>
      <c r="L1062" s="61" t="str">
        <f>IFERROR(INDEX('Facility Summary'!$K:$K,MATCH(K1062,'Facility Summary'!$J:$J,0)),INDEX('Raw Annual DMR Data'!$M:$M,MATCH(K1062,'Raw Annual DMR Data'!$L:$L,0)))</f>
        <v>Unknown</v>
      </c>
      <c r="M1062" s="28"/>
      <c r="N1062" s="28"/>
      <c r="O1062" s="28"/>
      <c r="P1062" s="28"/>
      <c r="Q1062" s="28"/>
      <c r="R1062" s="28"/>
      <c r="S1062" s="28">
        <v>0.21933106575963701</v>
      </c>
    </row>
    <row r="1063" spans="1:19" x14ac:dyDescent="0.25">
      <c r="A1063" s="28">
        <v>2017</v>
      </c>
      <c r="B1063" s="28"/>
      <c r="C1063" s="28" t="s">
        <v>1266</v>
      </c>
      <c r="D1063" s="28" t="s">
        <v>2070</v>
      </c>
      <c r="E1063" s="28" t="s">
        <v>1267</v>
      </c>
      <c r="F1063" s="28" t="s">
        <v>491</v>
      </c>
      <c r="G1063" s="28">
        <v>15061</v>
      </c>
      <c r="H1063" s="28">
        <v>40.655278000000003</v>
      </c>
      <c r="I1063" s="28">
        <v>-80.356388999999993</v>
      </c>
      <c r="J1063" s="28" t="s">
        <v>728</v>
      </c>
      <c r="K1063" s="61">
        <v>110059344473</v>
      </c>
      <c r="L1063" s="61" t="str">
        <f>IFERROR(INDEX('Facility Summary'!$K:$K,MATCH(K1063,'Facility Summary'!$J:$J,0)),INDEX('Raw Annual DMR Data'!$M:$M,MATCH(K1063,'Raw Annual DMR Data'!$L:$L,0)))</f>
        <v>Unknown</v>
      </c>
      <c r="M1063" s="28"/>
      <c r="N1063" s="28"/>
      <c r="O1063" s="28"/>
      <c r="P1063" s="28"/>
      <c r="Q1063" s="28"/>
      <c r="R1063" s="28"/>
      <c r="S1063" s="28">
        <v>0.54294784580498801</v>
      </c>
    </row>
    <row r="1064" spans="1:19" x14ac:dyDescent="0.25">
      <c r="A1064" s="28">
        <v>2018</v>
      </c>
      <c r="B1064" s="28"/>
      <c r="C1064" s="28" t="s">
        <v>1266</v>
      </c>
      <c r="D1064" s="28" t="s">
        <v>2070</v>
      </c>
      <c r="E1064" s="28" t="s">
        <v>1267</v>
      </c>
      <c r="F1064" s="28" t="s">
        <v>491</v>
      </c>
      <c r="G1064" s="28">
        <v>15061</v>
      </c>
      <c r="H1064" s="28">
        <v>40.655278000000003</v>
      </c>
      <c r="I1064" s="28">
        <v>-80.356388999999993</v>
      </c>
      <c r="J1064" s="28" t="s">
        <v>728</v>
      </c>
      <c r="K1064" s="61">
        <v>110059344473</v>
      </c>
      <c r="L1064" s="61" t="str">
        <f>IFERROR(INDEX('Facility Summary'!$K:$K,MATCH(K1064,'Facility Summary'!$J:$J,0)),INDEX('Raw Annual DMR Data'!$M:$M,MATCH(K1064,'Raw Annual DMR Data'!$L:$L,0)))</f>
        <v>Unknown</v>
      </c>
      <c r="M1064" s="28"/>
      <c r="N1064" s="28"/>
      <c r="O1064" s="28"/>
      <c r="P1064" s="28"/>
      <c r="Q1064" s="28"/>
      <c r="R1064" s="28"/>
      <c r="S1064" s="302">
        <v>0.53798185941042997</v>
      </c>
    </row>
    <row r="1065" spans="1:19" x14ac:dyDescent="0.25">
      <c r="A1065" s="28">
        <v>2019</v>
      </c>
      <c r="B1065" s="28"/>
      <c r="C1065" s="28" t="s">
        <v>1266</v>
      </c>
      <c r="D1065" s="28" t="s">
        <v>2070</v>
      </c>
      <c r="E1065" s="28" t="s">
        <v>1267</v>
      </c>
      <c r="F1065" s="28" t="s">
        <v>491</v>
      </c>
      <c r="G1065" s="28">
        <v>15061</v>
      </c>
      <c r="H1065" s="28">
        <v>40.655278000000003</v>
      </c>
      <c r="I1065" s="28">
        <v>-80.356388999999993</v>
      </c>
      <c r="J1065" s="28" t="s">
        <v>728</v>
      </c>
      <c r="K1065" s="61">
        <v>110059344473</v>
      </c>
      <c r="L1065" s="61" t="str">
        <f>IFERROR(INDEX('Facility Summary'!$K:$K,MATCH(K1065,'Facility Summary'!$J:$J,0)),INDEX('Raw Annual DMR Data'!$M:$M,MATCH(K1065,'Raw Annual DMR Data'!$L:$L,0)))</f>
        <v>Unknown</v>
      </c>
      <c r="M1065" s="28"/>
      <c r="N1065" s="28"/>
      <c r="O1065" s="28"/>
      <c r="P1065" s="28"/>
      <c r="Q1065" s="28"/>
      <c r="R1065" s="28"/>
      <c r="S1065" s="28">
        <v>0.57936507936507897</v>
      </c>
    </row>
    <row r="1066" spans="1:19" x14ac:dyDescent="0.25">
      <c r="A1066" s="28">
        <v>2020</v>
      </c>
      <c r="B1066" s="28"/>
      <c r="C1066" s="28" t="s">
        <v>1266</v>
      </c>
      <c r="D1066" s="28" t="s">
        <v>2070</v>
      </c>
      <c r="E1066" s="28" t="s">
        <v>1267</v>
      </c>
      <c r="F1066" s="28" t="s">
        <v>491</v>
      </c>
      <c r="G1066" s="28">
        <v>15061</v>
      </c>
      <c r="H1066" s="28">
        <v>40.655278000000003</v>
      </c>
      <c r="I1066" s="28">
        <v>-80.356388999999993</v>
      </c>
      <c r="J1066" s="28" t="s">
        <v>728</v>
      </c>
      <c r="K1066" s="61">
        <v>110059344473</v>
      </c>
      <c r="L1066" s="61" t="str">
        <f>IFERROR(INDEX('Facility Summary'!$K:$K,MATCH(K1066,'Facility Summary'!$J:$J,0)),INDEX('Raw Annual DMR Data'!$M:$M,MATCH(K1066,'Raw Annual DMR Data'!$L:$L,0)))</f>
        <v>Unknown</v>
      </c>
      <c r="M1066" s="28"/>
      <c r="N1066" s="28"/>
      <c r="O1066" s="28"/>
      <c r="P1066" s="28"/>
      <c r="Q1066" s="28"/>
      <c r="R1066" s="28"/>
      <c r="S1066" s="28">
        <v>0.41383219954648498</v>
      </c>
    </row>
    <row r="1067" spans="1:19" x14ac:dyDescent="0.25">
      <c r="A1067" s="28">
        <v>2020</v>
      </c>
      <c r="B1067" s="28"/>
      <c r="C1067" s="28" t="s">
        <v>1268</v>
      </c>
      <c r="D1067" s="28" t="s">
        <v>2074</v>
      </c>
      <c r="E1067" s="28" t="s">
        <v>1269</v>
      </c>
      <c r="F1067" s="28" t="s">
        <v>324</v>
      </c>
      <c r="G1067" s="28">
        <v>40026</v>
      </c>
      <c r="H1067" s="28">
        <v>38.417499999999997</v>
      </c>
      <c r="I1067" s="28">
        <v>-85.611109999999996</v>
      </c>
      <c r="J1067" s="28"/>
      <c r="K1067" s="61">
        <v>110022905588</v>
      </c>
      <c r="L1067" s="61" t="str">
        <f>IFERROR(INDEX('Facility Summary'!$K:$K,MATCH(K1067,'Facility Summary'!$J:$J,0)),INDEX('Raw Annual DMR Data'!$M:$M,MATCH(K1067,'Raw Annual DMR Data'!$L:$L,0)))</f>
        <v>POTW</v>
      </c>
      <c r="M1067" s="28"/>
      <c r="N1067" s="28"/>
      <c r="O1067" s="28"/>
      <c r="P1067" s="28"/>
      <c r="Q1067" s="28"/>
      <c r="R1067" s="28"/>
      <c r="S1067" s="28">
        <v>2.1310023125000002</v>
      </c>
    </row>
    <row r="1068" spans="1:19" x14ac:dyDescent="0.25">
      <c r="A1068" s="28">
        <v>2016</v>
      </c>
      <c r="B1068" s="28"/>
      <c r="C1068" s="28" t="s">
        <v>1270</v>
      </c>
      <c r="D1068" s="28" t="s">
        <v>2076</v>
      </c>
      <c r="E1068" s="28" t="s">
        <v>1271</v>
      </c>
      <c r="F1068" s="28" t="s">
        <v>427</v>
      </c>
      <c r="G1068" s="28">
        <v>49424</v>
      </c>
      <c r="H1068" s="28">
        <v>42.813049999999997</v>
      </c>
      <c r="I1068" s="28">
        <v>-86.197429999999997</v>
      </c>
      <c r="J1068" s="28"/>
      <c r="K1068" s="61">
        <v>110006740161</v>
      </c>
      <c r="L1068" s="61" t="str">
        <f>IFERROR(INDEX('Facility Summary'!$K:$K,MATCH(K1068,'Facility Summary'!$J:$J,0)),INDEX('Raw Annual DMR Data'!$M:$M,MATCH(K1068,'Raw Annual DMR Data'!$L:$L,0)))</f>
        <v>Unknown</v>
      </c>
      <c r="M1068" s="28"/>
      <c r="N1068" s="28"/>
      <c r="O1068" s="28"/>
      <c r="P1068" s="28"/>
      <c r="Q1068" s="28"/>
      <c r="R1068" s="28"/>
      <c r="S1068" s="28">
        <v>0.22757690999999999</v>
      </c>
    </row>
    <row r="1069" spans="1:19" x14ac:dyDescent="0.25">
      <c r="A1069" s="28">
        <v>2017</v>
      </c>
      <c r="B1069" s="28"/>
      <c r="C1069" s="28" t="s">
        <v>1270</v>
      </c>
      <c r="D1069" s="28" t="s">
        <v>2076</v>
      </c>
      <c r="E1069" s="28" t="s">
        <v>1271</v>
      </c>
      <c r="F1069" s="28" t="s">
        <v>427</v>
      </c>
      <c r="G1069" s="28">
        <v>49424</v>
      </c>
      <c r="H1069" s="28">
        <v>42.813049999999997</v>
      </c>
      <c r="I1069" s="28">
        <v>-86.197429999999997</v>
      </c>
      <c r="J1069" s="28"/>
      <c r="K1069" s="61">
        <v>110006740161</v>
      </c>
      <c r="L1069" s="61" t="str">
        <f>IFERROR(INDEX('Facility Summary'!$K:$K,MATCH(K1069,'Facility Summary'!$J:$J,0)),INDEX('Raw Annual DMR Data'!$M:$M,MATCH(K1069,'Raw Annual DMR Data'!$L:$L,0)))</f>
        <v>Unknown</v>
      </c>
      <c r="M1069" s="28"/>
      <c r="N1069" s="28"/>
      <c r="O1069" s="28"/>
      <c r="P1069" s="28"/>
      <c r="Q1069" s="28"/>
      <c r="R1069" s="28"/>
      <c r="S1069" s="28">
        <v>0.19767730250000001</v>
      </c>
    </row>
    <row r="1070" spans="1:19" x14ac:dyDescent="0.25">
      <c r="A1070" s="28">
        <v>2018</v>
      </c>
      <c r="B1070" s="28"/>
      <c r="C1070" s="28" t="s">
        <v>1270</v>
      </c>
      <c r="D1070" s="28" t="s">
        <v>2076</v>
      </c>
      <c r="E1070" s="28" t="s">
        <v>1271</v>
      </c>
      <c r="F1070" s="28" t="s">
        <v>427</v>
      </c>
      <c r="G1070" s="28">
        <v>49424</v>
      </c>
      <c r="H1070" s="28">
        <v>42.813049999999997</v>
      </c>
      <c r="I1070" s="28">
        <v>-86.197429999999997</v>
      </c>
      <c r="J1070" s="28"/>
      <c r="K1070" s="61">
        <v>110006740161</v>
      </c>
      <c r="L1070" s="61" t="str">
        <f>IFERROR(INDEX('Facility Summary'!$K:$K,MATCH(K1070,'Facility Summary'!$J:$J,0)),INDEX('Raw Annual DMR Data'!$M:$M,MATCH(K1070,'Raw Annual DMR Data'!$L:$L,0)))</f>
        <v>Unknown</v>
      </c>
      <c r="M1070" s="28"/>
      <c r="N1070" s="28"/>
      <c r="O1070" s="28"/>
      <c r="P1070" s="28"/>
      <c r="Q1070" s="28"/>
      <c r="R1070" s="28"/>
      <c r="S1070" s="28">
        <v>0.21678209000000001</v>
      </c>
    </row>
    <row r="1071" spans="1:19" x14ac:dyDescent="0.25">
      <c r="A1071" s="28">
        <v>2019</v>
      </c>
      <c r="B1071" s="28"/>
      <c r="C1071" s="28" t="s">
        <v>1270</v>
      </c>
      <c r="D1071" s="28" t="s">
        <v>2076</v>
      </c>
      <c r="E1071" s="28" t="s">
        <v>1271</v>
      </c>
      <c r="F1071" s="28" t="s">
        <v>427</v>
      </c>
      <c r="G1071" s="28">
        <v>49424</v>
      </c>
      <c r="H1071" s="28">
        <v>42.813049999999997</v>
      </c>
      <c r="I1071" s="28">
        <v>-86.197429999999997</v>
      </c>
      <c r="J1071" s="28"/>
      <c r="K1071" s="61">
        <v>110006740161</v>
      </c>
      <c r="L1071" s="61" t="str">
        <f>IFERROR(INDEX('Facility Summary'!$K:$K,MATCH(K1071,'Facility Summary'!$J:$J,0)),INDEX('Raw Annual DMR Data'!$M:$M,MATCH(K1071,'Raw Annual DMR Data'!$L:$L,0)))</f>
        <v>Unknown</v>
      </c>
      <c r="M1071" s="28"/>
      <c r="N1071" s="28"/>
      <c r="O1071" s="28"/>
      <c r="P1071" s="28"/>
      <c r="Q1071" s="28"/>
      <c r="R1071" s="28"/>
      <c r="S1071" s="28">
        <v>0.18207364000000001</v>
      </c>
    </row>
    <row r="1072" spans="1:19" x14ac:dyDescent="0.25">
      <c r="A1072" s="28">
        <v>2020</v>
      </c>
      <c r="B1072" s="28"/>
      <c r="C1072" s="28" t="s">
        <v>1270</v>
      </c>
      <c r="D1072" s="28" t="s">
        <v>2076</v>
      </c>
      <c r="E1072" s="28" t="s">
        <v>1271</v>
      </c>
      <c r="F1072" s="28" t="s">
        <v>427</v>
      </c>
      <c r="G1072" s="28">
        <v>49424</v>
      </c>
      <c r="H1072" s="28">
        <v>42.813049999999997</v>
      </c>
      <c r="I1072" s="28">
        <v>-86.197429999999997</v>
      </c>
      <c r="J1072" s="28"/>
      <c r="K1072" s="61">
        <v>110006740161</v>
      </c>
      <c r="L1072" s="61" t="str">
        <f>IFERROR(INDEX('Facility Summary'!$K:$K,MATCH(K1072,'Facility Summary'!$J:$J,0)),INDEX('Raw Annual DMR Data'!$M:$M,MATCH(K1072,'Raw Annual DMR Data'!$L:$L,0)))</f>
        <v>Unknown</v>
      </c>
      <c r="M1072" s="28"/>
      <c r="N1072" s="28"/>
      <c r="O1072" s="28"/>
      <c r="P1072" s="28"/>
      <c r="Q1072" s="28"/>
      <c r="R1072" s="28"/>
      <c r="S1072" s="28">
        <v>0.1659211525</v>
      </c>
    </row>
    <row r="1073" spans="1:19" x14ac:dyDescent="0.25">
      <c r="A1073" s="28">
        <v>2017</v>
      </c>
      <c r="B1073" s="28"/>
      <c r="C1073" s="28" t="s">
        <v>1272</v>
      </c>
      <c r="D1073" s="28" t="s">
        <v>2080</v>
      </c>
      <c r="E1073" s="28" t="s">
        <v>1273</v>
      </c>
      <c r="F1073" s="28" t="s">
        <v>324</v>
      </c>
      <c r="G1073" s="28">
        <v>42303</v>
      </c>
      <c r="H1073" s="28">
        <v>37.770769999999999</v>
      </c>
      <c r="I1073" s="28">
        <v>-87.065669999999997</v>
      </c>
      <c r="J1073" s="28"/>
      <c r="K1073" s="61">
        <v>110043734983</v>
      </c>
      <c r="L1073" s="61" t="str">
        <f>IFERROR(INDEX('Facility Summary'!$K:$K,MATCH(K1073,'Facility Summary'!$J:$J,0)),INDEX('Raw Annual DMR Data'!$M:$M,MATCH(K1073,'Raw Annual DMR Data'!$L:$L,0)))</f>
        <v>POTW</v>
      </c>
      <c r="M1073" s="28"/>
      <c r="N1073" s="28"/>
      <c r="O1073" s="28"/>
      <c r="P1073" s="28"/>
      <c r="Q1073" s="28"/>
      <c r="R1073" s="28"/>
      <c r="S1073" s="28">
        <v>12.2955725</v>
      </c>
    </row>
    <row r="1074" spans="1:19" x14ac:dyDescent="0.25">
      <c r="A1074" s="28">
        <v>2018</v>
      </c>
      <c r="B1074" s="28"/>
      <c r="C1074" s="28" t="s">
        <v>1272</v>
      </c>
      <c r="D1074" s="28" t="s">
        <v>2080</v>
      </c>
      <c r="E1074" s="28" t="s">
        <v>1273</v>
      </c>
      <c r="F1074" s="28" t="s">
        <v>324</v>
      </c>
      <c r="G1074" s="28">
        <v>42303</v>
      </c>
      <c r="H1074" s="28">
        <v>37.770769999999999</v>
      </c>
      <c r="I1074" s="28">
        <v>-87.065669999999997</v>
      </c>
      <c r="J1074" s="28"/>
      <c r="K1074" s="61">
        <v>110043734983</v>
      </c>
      <c r="L1074" s="61" t="str">
        <f>IFERROR(INDEX('Facility Summary'!$K:$K,MATCH(K1074,'Facility Summary'!$J:$J,0)),INDEX('Raw Annual DMR Data'!$M:$M,MATCH(K1074,'Raw Annual DMR Data'!$L:$L,0)))</f>
        <v>POTW</v>
      </c>
      <c r="M1074" s="28"/>
      <c r="N1074" s="28"/>
      <c r="O1074" s="28"/>
      <c r="P1074" s="28"/>
      <c r="Q1074" s="28"/>
      <c r="R1074" s="28"/>
      <c r="S1074" s="28">
        <v>18.443358750000002</v>
      </c>
    </row>
    <row r="1075" spans="1:19" x14ac:dyDescent="0.25">
      <c r="A1075" s="28">
        <v>2019</v>
      </c>
      <c r="B1075" s="28"/>
      <c r="C1075" s="28" t="s">
        <v>1272</v>
      </c>
      <c r="D1075" s="28" t="s">
        <v>2080</v>
      </c>
      <c r="E1075" s="28" t="s">
        <v>1273</v>
      </c>
      <c r="F1075" s="28" t="s">
        <v>324</v>
      </c>
      <c r="G1075" s="28">
        <v>42303</v>
      </c>
      <c r="H1075" s="28">
        <v>37.770769999999999</v>
      </c>
      <c r="I1075" s="28">
        <v>-87.065669999999997</v>
      </c>
      <c r="J1075" s="28"/>
      <c r="K1075" s="61">
        <v>110043734983</v>
      </c>
      <c r="L1075" s="61" t="str">
        <f>IFERROR(INDEX('Facility Summary'!$K:$K,MATCH(K1075,'Facility Summary'!$J:$J,0)),INDEX('Raw Annual DMR Data'!$M:$M,MATCH(K1075,'Raw Annual DMR Data'!$L:$L,0)))</f>
        <v>POTW</v>
      </c>
      <c r="M1075" s="28"/>
      <c r="N1075" s="28"/>
      <c r="O1075" s="28"/>
      <c r="P1075" s="28"/>
      <c r="Q1075" s="28"/>
      <c r="R1075" s="28"/>
      <c r="S1075" s="28">
        <v>18.236129999999999</v>
      </c>
    </row>
    <row r="1076" spans="1:19" x14ac:dyDescent="0.25">
      <c r="A1076" s="28">
        <v>2020</v>
      </c>
      <c r="B1076" s="28"/>
      <c r="C1076" s="28" t="s">
        <v>1272</v>
      </c>
      <c r="D1076" s="28" t="s">
        <v>2080</v>
      </c>
      <c r="E1076" s="28" t="s">
        <v>1273</v>
      </c>
      <c r="F1076" s="28" t="s">
        <v>324</v>
      </c>
      <c r="G1076" s="28">
        <v>42303</v>
      </c>
      <c r="H1076" s="28">
        <v>37.770769999999999</v>
      </c>
      <c r="I1076" s="28">
        <v>-87.065669999999997</v>
      </c>
      <c r="J1076" s="28"/>
      <c r="K1076" s="61">
        <v>110043734983</v>
      </c>
      <c r="L1076" s="61" t="str">
        <f>IFERROR(INDEX('Facility Summary'!$K:$K,MATCH(K1076,'Facility Summary'!$J:$J,0)),INDEX('Raw Annual DMR Data'!$M:$M,MATCH(K1076,'Raw Annual DMR Data'!$L:$L,0)))</f>
        <v>POTW</v>
      </c>
      <c r="M1076" s="28"/>
      <c r="N1076" s="28"/>
      <c r="O1076" s="28"/>
      <c r="P1076" s="28"/>
      <c r="Q1076" s="28"/>
      <c r="R1076" s="28"/>
      <c r="S1076" s="28">
        <v>14.98954625</v>
      </c>
    </row>
    <row r="1077" spans="1:19" x14ac:dyDescent="0.25">
      <c r="A1077" s="28">
        <v>2015</v>
      </c>
      <c r="B1077" s="28"/>
      <c r="C1077" s="28" t="s">
        <v>1274</v>
      </c>
      <c r="D1077" s="28" t="s">
        <v>2083</v>
      </c>
      <c r="E1077" s="28" t="s">
        <v>1273</v>
      </c>
      <c r="F1077" s="28" t="s">
        <v>324</v>
      </c>
      <c r="G1077" s="28">
        <v>42303</v>
      </c>
      <c r="H1077" s="28">
        <v>37.8125</v>
      </c>
      <c r="I1077" s="28">
        <v>-87.05</v>
      </c>
      <c r="J1077" s="28" t="s">
        <v>729</v>
      </c>
      <c r="K1077" s="61">
        <v>110000747835</v>
      </c>
      <c r="L1077" s="61" t="str">
        <f>IFERROR(INDEX('Facility Summary'!$K:$K,MATCH(K1077,'Facility Summary'!$J:$J,0)),INDEX('Raw Annual DMR Data'!$M:$M,MATCH(K1077,'Raw Annual DMR Data'!$L:$L,0)))</f>
        <v>Unknown</v>
      </c>
      <c r="M1077" s="28"/>
      <c r="N1077" s="28"/>
      <c r="O1077" s="28"/>
      <c r="P1077" s="28"/>
      <c r="Q1077" s="28"/>
      <c r="R1077" s="28"/>
      <c r="S1077" s="28">
        <v>1.07596371882086E-2</v>
      </c>
    </row>
    <row r="1078" spans="1:19" x14ac:dyDescent="0.25">
      <c r="A1078" s="28">
        <v>2016</v>
      </c>
      <c r="B1078" s="28"/>
      <c r="C1078" s="28" t="s">
        <v>1274</v>
      </c>
      <c r="D1078" s="28" t="s">
        <v>2083</v>
      </c>
      <c r="E1078" s="28" t="s">
        <v>1273</v>
      </c>
      <c r="F1078" s="28" t="s">
        <v>324</v>
      </c>
      <c r="G1078" s="28">
        <v>42303</v>
      </c>
      <c r="H1078" s="28">
        <v>37.8125</v>
      </c>
      <c r="I1078" s="28">
        <v>-87.05</v>
      </c>
      <c r="J1078" s="28" t="s">
        <v>729</v>
      </c>
      <c r="K1078" s="61">
        <v>110000747835</v>
      </c>
      <c r="L1078" s="61" t="str">
        <f>IFERROR(INDEX('Facility Summary'!$K:$K,MATCH(K1078,'Facility Summary'!$J:$J,0)),INDEX('Raw Annual DMR Data'!$M:$M,MATCH(K1078,'Raw Annual DMR Data'!$L:$L,0)))</f>
        <v>Unknown</v>
      </c>
      <c r="M1078" s="28"/>
      <c r="N1078" s="28"/>
      <c r="O1078" s="28"/>
      <c r="P1078" s="28"/>
      <c r="Q1078" s="28"/>
      <c r="R1078" s="28"/>
      <c r="S1078" s="28">
        <v>2.59058956916099E-2</v>
      </c>
    </row>
    <row r="1079" spans="1:19" x14ac:dyDescent="0.25">
      <c r="A1079" s="28">
        <v>2017</v>
      </c>
      <c r="B1079" s="28"/>
      <c r="C1079" s="28" t="s">
        <v>1274</v>
      </c>
      <c r="D1079" s="28" t="s">
        <v>2083</v>
      </c>
      <c r="E1079" s="28" t="s">
        <v>1273</v>
      </c>
      <c r="F1079" s="28" t="s">
        <v>324</v>
      </c>
      <c r="G1079" s="28">
        <v>42303</v>
      </c>
      <c r="H1079" s="28">
        <v>37.8125</v>
      </c>
      <c r="I1079" s="28">
        <v>-87.05</v>
      </c>
      <c r="J1079" s="28" t="s">
        <v>729</v>
      </c>
      <c r="K1079" s="61">
        <v>110000747835</v>
      </c>
      <c r="L1079" s="61" t="str">
        <f>IFERROR(INDEX('Facility Summary'!$K:$K,MATCH(K1079,'Facility Summary'!$J:$J,0)),INDEX('Raw Annual DMR Data'!$M:$M,MATCH(K1079,'Raw Annual DMR Data'!$L:$L,0)))</f>
        <v>Unknown</v>
      </c>
      <c r="M1079" s="28"/>
      <c r="N1079" s="28"/>
      <c r="O1079" s="28"/>
      <c r="P1079" s="28"/>
      <c r="Q1079" s="28"/>
      <c r="R1079" s="28"/>
      <c r="S1079" s="28">
        <v>4.07210884353741E-2</v>
      </c>
    </row>
    <row r="1080" spans="1:19" x14ac:dyDescent="0.25">
      <c r="A1080" s="28">
        <v>2018</v>
      </c>
      <c r="B1080" s="28"/>
      <c r="C1080" s="28" t="s">
        <v>1274</v>
      </c>
      <c r="D1080" s="28" t="s">
        <v>2083</v>
      </c>
      <c r="E1080" s="28" t="s">
        <v>1273</v>
      </c>
      <c r="F1080" s="28" t="s">
        <v>324</v>
      </c>
      <c r="G1080" s="28">
        <v>42303</v>
      </c>
      <c r="H1080" s="28">
        <v>37.8125</v>
      </c>
      <c r="I1080" s="28">
        <v>-87.05</v>
      </c>
      <c r="J1080" s="28" t="s">
        <v>729</v>
      </c>
      <c r="K1080" s="61">
        <v>110000747835</v>
      </c>
      <c r="L1080" s="61" t="str">
        <f>IFERROR(INDEX('Facility Summary'!$K:$K,MATCH(K1080,'Facility Summary'!$J:$J,0)),INDEX('Raw Annual DMR Data'!$M:$M,MATCH(K1080,'Raw Annual DMR Data'!$L:$L,0)))</f>
        <v>Unknown</v>
      </c>
      <c r="M1080" s="28"/>
      <c r="N1080" s="28"/>
      <c r="O1080" s="28"/>
      <c r="P1080" s="28"/>
      <c r="Q1080" s="28"/>
      <c r="R1080" s="28"/>
      <c r="S1080" s="302">
        <v>3.72448979591836E-3</v>
      </c>
    </row>
    <row r="1081" spans="1:19" x14ac:dyDescent="0.25">
      <c r="A1081" s="28">
        <v>2019</v>
      </c>
      <c r="B1081" s="28"/>
      <c r="C1081" s="28" t="s">
        <v>1274</v>
      </c>
      <c r="D1081" s="28" t="s">
        <v>2083</v>
      </c>
      <c r="E1081" s="28" t="s">
        <v>1273</v>
      </c>
      <c r="F1081" s="28" t="s">
        <v>324</v>
      </c>
      <c r="G1081" s="28">
        <v>42303</v>
      </c>
      <c r="H1081" s="28">
        <v>37.8125</v>
      </c>
      <c r="I1081" s="28">
        <v>-87.05</v>
      </c>
      <c r="J1081" s="28" t="s">
        <v>729</v>
      </c>
      <c r="K1081" s="61">
        <v>110000747835</v>
      </c>
      <c r="L1081" s="61" t="str">
        <f>IFERROR(INDEX('Facility Summary'!$K:$K,MATCH(K1081,'Facility Summary'!$J:$J,0)),INDEX('Raw Annual DMR Data'!$M:$M,MATCH(K1081,'Raw Annual DMR Data'!$L:$L,0)))</f>
        <v>Unknown</v>
      </c>
      <c r="M1081" s="28"/>
      <c r="N1081" s="28"/>
      <c r="O1081" s="28"/>
      <c r="P1081" s="28"/>
      <c r="Q1081" s="28"/>
      <c r="R1081" s="28"/>
      <c r="S1081" s="28">
        <v>9.6009070294784504E-2</v>
      </c>
    </row>
    <row r="1082" spans="1:19" x14ac:dyDescent="0.25">
      <c r="A1082" s="28">
        <v>2020</v>
      </c>
      <c r="B1082" s="28"/>
      <c r="C1082" s="28" t="s">
        <v>1274</v>
      </c>
      <c r="D1082" s="28" t="s">
        <v>2083</v>
      </c>
      <c r="E1082" s="28" t="s">
        <v>1273</v>
      </c>
      <c r="F1082" s="28" t="s">
        <v>324</v>
      </c>
      <c r="G1082" s="28">
        <v>42303</v>
      </c>
      <c r="H1082" s="28">
        <v>37.8125</v>
      </c>
      <c r="I1082" s="28">
        <v>-87.05</v>
      </c>
      <c r="J1082" s="28" t="s">
        <v>729</v>
      </c>
      <c r="K1082" s="61">
        <v>110000747835</v>
      </c>
      <c r="L1082" s="61" t="str">
        <f>IFERROR(INDEX('Facility Summary'!$K:$K,MATCH(K1082,'Facility Summary'!$J:$J,0)),INDEX('Raw Annual DMR Data'!$M:$M,MATCH(K1082,'Raw Annual DMR Data'!$L:$L,0)))</f>
        <v>Unknown</v>
      </c>
      <c r="M1082" s="28"/>
      <c r="N1082" s="28"/>
      <c r="O1082" s="28"/>
      <c r="P1082" s="28"/>
      <c r="Q1082" s="28"/>
      <c r="R1082" s="28"/>
      <c r="S1082" s="28">
        <v>0.33934240362811702</v>
      </c>
    </row>
    <row r="1083" spans="1:19" x14ac:dyDescent="0.25">
      <c r="A1083" s="28">
        <v>2015</v>
      </c>
      <c r="B1083" s="28"/>
      <c r="C1083" s="28" t="s">
        <v>1275</v>
      </c>
      <c r="D1083" s="28" t="s">
        <v>2087</v>
      </c>
      <c r="E1083" s="28" t="s">
        <v>1276</v>
      </c>
      <c r="F1083" s="28" t="s">
        <v>366</v>
      </c>
      <c r="G1083" s="28">
        <v>93033</v>
      </c>
      <c r="H1083" s="28">
        <v>34.141618999999999</v>
      </c>
      <c r="I1083" s="28">
        <v>-119.184014</v>
      </c>
      <c r="J1083" s="28"/>
      <c r="K1083" s="61">
        <v>110070097306</v>
      </c>
      <c r="L1083" s="61" t="str">
        <f>IFERROR(INDEX('Facility Summary'!$K:$K,MATCH(K1083,'Facility Summary'!$J:$J,0)),INDEX('Raw Annual DMR Data'!$M:$M,MATCH(K1083,'Raw Annual DMR Data'!$L:$L,0)))</f>
        <v>POTW</v>
      </c>
      <c r="M1083" s="28"/>
      <c r="N1083" s="28"/>
      <c r="O1083" s="28"/>
      <c r="P1083" s="28"/>
      <c r="Q1083" s="28"/>
      <c r="R1083" s="28"/>
      <c r="S1083" s="28">
        <v>12.408163265306101</v>
      </c>
    </row>
    <row r="1084" spans="1:19" x14ac:dyDescent="0.25">
      <c r="A1084" s="28">
        <v>2016</v>
      </c>
      <c r="B1084" s="28"/>
      <c r="C1084" s="28" t="s">
        <v>1275</v>
      </c>
      <c r="D1084" s="28" t="s">
        <v>2087</v>
      </c>
      <c r="E1084" s="28" t="s">
        <v>1276</v>
      </c>
      <c r="F1084" s="28" t="s">
        <v>366</v>
      </c>
      <c r="G1084" s="28">
        <v>93033</v>
      </c>
      <c r="H1084" s="28">
        <v>34.141618999999999</v>
      </c>
      <c r="I1084" s="28">
        <v>-119.184014</v>
      </c>
      <c r="J1084" s="28"/>
      <c r="K1084" s="61">
        <v>110070097306</v>
      </c>
      <c r="L1084" s="61" t="str">
        <f>IFERROR(INDEX('Facility Summary'!$K:$K,MATCH(K1084,'Facility Summary'!$J:$J,0)),INDEX('Raw Annual DMR Data'!$M:$M,MATCH(K1084,'Raw Annual DMR Data'!$L:$L,0)))</f>
        <v>POTW</v>
      </c>
      <c r="M1084" s="28"/>
      <c r="N1084" s="28"/>
      <c r="O1084" s="28"/>
      <c r="P1084" s="28"/>
      <c r="Q1084" s="28"/>
      <c r="R1084" s="28"/>
      <c r="S1084" s="28">
        <v>2.0657596371881999</v>
      </c>
    </row>
    <row r="1085" spans="1:19" x14ac:dyDescent="0.25">
      <c r="A1085" s="28">
        <v>2017</v>
      </c>
      <c r="B1085" s="28"/>
      <c r="C1085" s="28" t="s">
        <v>1275</v>
      </c>
      <c r="D1085" s="28" t="s">
        <v>2087</v>
      </c>
      <c r="E1085" s="28" t="s">
        <v>1276</v>
      </c>
      <c r="F1085" s="28" t="s">
        <v>366</v>
      </c>
      <c r="G1085" s="28">
        <v>93033</v>
      </c>
      <c r="H1085" s="28">
        <v>34.141618999999999</v>
      </c>
      <c r="I1085" s="28">
        <v>-119.184014</v>
      </c>
      <c r="J1085" s="28"/>
      <c r="K1085" s="61">
        <v>110070097306</v>
      </c>
      <c r="L1085" s="61" t="str">
        <f>IFERROR(INDEX('Facility Summary'!$K:$K,MATCH(K1085,'Facility Summary'!$J:$J,0)),INDEX('Raw Annual DMR Data'!$M:$M,MATCH(K1085,'Raw Annual DMR Data'!$L:$L,0)))</f>
        <v>POTW</v>
      </c>
      <c r="M1085" s="28"/>
      <c r="N1085" s="28"/>
      <c r="O1085" s="28"/>
      <c r="P1085" s="28"/>
      <c r="Q1085" s="28"/>
      <c r="R1085" s="28"/>
      <c r="S1085" s="28">
        <v>2.4761904761904701</v>
      </c>
    </row>
    <row r="1086" spans="1:19" x14ac:dyDescent="0.25">
      <c r="A1086" s="28">
        <v>2018</v>
      </c>
      <c r="B1086" s="28"/>
      <c r="C1086" s="28" t="s">
        <v>1275</v>
      </c>
      <c r="D1086" s="28" t="s">
        <v>2087</v>
      </c>
      <c r="E1086" s="28" t="s">
        <v>1276</v>
      </c>
      <c r="F1086" s="28" t="s">
        <v>366</v>
      </c>
      <c r="G1086" s="28">
        <v>93033</v>
      </c>
      <c r="H1086" s="28">
        <v>34.141618999999999</v>
      </c>
      <c r="I1086" s="28">
        <v>-119.184014</v>
      </c>
      <c r="J1086" s="28"/>
      <c r="K1086" s="61">
        <v>110070097306</v>
      </c>
      <c r="L1086" s="61" t="str">
        <f>IFERROR(INDEX('Facility Summary'!$K:$K,MATCH(K1086,'Facility Summary'!$J:$J,0)),INDEX('Raw Annual DMR Data'!$M:$M,MATCH(K1086,'Raw Annual DMR Data'!$L:$L,0)))</f>
        <v>POTW</v>
      </c>
      <c r="M1086" s="28"/>
      <c r="N1086" s="28"/>
      <c r="O1086" s="28"/>
      <c r="P1086" s="28"/>
      <c r="Q1086" s="28"/>
      <c r="R1086" s="28"/>
      <c r="S1086" s="302">
        <v>2.4625850340136002</v>
      </c>
    </row>
    <row r="1087" spans="1:19" x14ac:dyDescent="0.25">
      <c r="A1087" s="28">
        <v>2019</v>
      </c>
      <c r="B1087" s="28"/>
      <c r="C1087" s="28" t="s">
        <v>1275</v>
      </c>
      <c r="D1087" s="28" t="s">
        <v>2087</v>
      </c>
      <c r="E1087" s="28" t="s">
        <v>1276</v>
      </c>
      <c r="F1087" s="28" t="s">
        <v>366</v>
      </c>
      <c r="G1087" s="28">
        <v>93033</v>
      </c>
      <c r="H1087" s="28">
        <v>34.141618999999999</v>
      </c>
      <c r="I1087" s="28">
        <v>-119.184014</v>
      </c>
      <c r="J1087" s="28"/>
      <c r="K1087" s="61">
        <v>110070097306</v>
      </c>
      <c r="L1087" s="61" t="str">
        <f>IFERROR(INDEX('Facility Summary'!$K:$K,MATCH(K1087,'Facility Summary'!$J:$J,0)),INDEX('Raw Annual DMR Data'!$M:$M,MATCH(K1087,'Raw Annual DMR Data'!$L:$L,0)))</f>
        <v>POTW</v>
      </c>
      <c r="M1087" s="28"/>
      <c r="N1087" s="28"/>
      <c r="O1087" s="28"/>
      <c r="P1087" s="28"/>
      <c r="Q1087" s="28"/>
      <c r="R1087" s="28"/>
      <c r="S1087" s="28">
        <v>2.8749043200000002</v>
      </c>
    </row>
    <row r="1088" spans="1:19" x14ac:dyDescent="0.25">
      <c r="A1088" s="28">
        <v>2020</v>
      </c>
      <c r="B1088" s="28"/>
      <c r="C1088" s="28" t="s">
        <v>1275</v>
      </c>
      <c r="D1088" s="28" t="s">
        <v>2087</v>
      </c>
      <c r="E1088" s="28" t="s">
        <v>1276</v>
      </c>
      <c r="F1088" s="28" t="s">
        <v>366</v>
      </c>
      <c r="G1088" s="28">
        <v>93033</v>
      </c>
      <c r="H1088" s="28">
        <v>34.141618999999999</v>
      </c>
      <c r="I1088" s="28">
        <v>-119.184014</v>
      </c>
      <c r="J1088" s="28"/>
      <c r="K1088" s="61">
        <v>110070097306</v>
      </c>
      <c r="L1088" s="61" t="str">
        <f>IFERROR(INDEX('Facility Summary'!$K:$K,MATCH(K1088,'Facility Summary'!$J:$J,0)),INDEX('Raw Annual DMR Data'!$M:$M,MATCH(K1088,'Raw Annual DMR Data'!$L:$L,0)))</f>
        <v>POTW</v>
      </c>
      <c r="M1088" s="28"/>
      <c r="N1088" s="28"/>
      <c r="O1088" s="28"/>
      <c r="P1088" s="28"/>
      <c r="Q1088" s="28"/>
      <c r="R1088" s="28"/>
      <c r="S1088" s="28">
        <v>3.4469351549999998</v>
      </c>
    </row>
    <row r="1089" spans="1:19" x14ac:dyDescent="0.25">
      <c r="A1089" s="28">
        <v>2020</v>
      </c>
      <c r="B1089" s="28"/>
      <c r="C1089" s="28" t="s">
        <v>1277</v>
      </c>
      <c r="D1089" s="28" t="s">
        <v>2089</v>
      </c>
      <c r="E1089" s="28" t="s">
        <v>1278</v>
      </c>
      <c r="F1089" s="28" t="s">
        <v>324</v>
      </c>
      <c r="G1089" s="28">
        <v>42001</v>
      </c>
      <c r="H1089" s="28">
        <v>37.021974</v>
      </c>
      <c r="I1089" s="28">
        <v>-88.512833000000001</v>
      </c>
      <c r="J1089" s="28"/>
      <c r="K1089" s="61">
        <v>110006367136</v>
      </c>
      <c r="L1089" s="61" t="str">
        <f>IFERROR(INDEX('Facility Summary'!$K:$K,MATCH(K1089,'Facility Summary'!$J:$J,0)),INDEX('Raw Annual DMR Data'!$M:$M,MATCH(K1089,'Raw Annual DMR Data'!$L:$L,0)))</f>
        <v>POTW</v>
      </c>
      <c r="M1089" s="28"/>
      <c r="N1089" s="28"/>
      <c r="O1089" s="28"/>
      <c r="P1089" s="28"/>
      <c r="Q1089" s="28"/>
      <c r="R1089" s="28"/>
      <c r="S1089" s="28">
        <v>0.49734899999999999</v>
      </c>
    </row>
    <row r="1090" spans="1:19" x14ac:dyDescent="0.25">
      <c r="A1090" s="28">
        <v>2015</v>
      </c>
      <c r="B1090" s="28"/>
      <c r="C1090" s="28" t="s">
        <v>1279</v>
      </c>
      <c r="D1090" s="28" t="s">
        <v>2092</v>
      </c>
      <c r="E1090" s="28" t="s">
        <v>1280</v>
      </c>
      <c r="F1090" s="28" t="s">
        <v>374</v>
      </c>
      <c r="G1090" s="28">
        <v>85138</v>
      </c>
      <c r="H1090" s="28">
        <v>33.084569999999999</v>
      </c>
      <c r="I1090" s="28">
        <v>-112.00959</v>
      </c>
      <c r="J1090" s="28"/>
      <c r="K1090" s="61">
        <v>110015940776</v>
      </c>
      <c r="L1090" s="61" t="str">
        <f>IFERROR(INDEX('Facility Summary'!$K:$K,MATCH(K1090,'Facility Summary'!$J:$J,0)),INDEX('Raw Annual DMR Data'!$M:$M,MATCH(K1090,'Raw Annual DMR Data'!$L:$L,0)))</f>
        <v>POTW</v>
      </c>
      <c r="M1090" s="28"/>
      <c r="N1090" s="28"/>
      <c r="O1090" s="28"/>
      <c r="P1090" s="28"/>
      <c r="Q1090" s="28"/>
      <c r="R1090" s="28"/>
      <c r="S1090" s="28">
        <v>4.5300204749999997</v>
      </c>
    </row>
    <row r="1091" spans="1:19" x14ac:dyDescent="0.25">
      <c r="A1091" s="28">
        <v>2015</v>
      </c>
      <c r="B1091" s="28"/>
      <c r="C1091" s="28" t="s">
        <v>1279</v>
      </c>
      <c r="D1091" s="28" t="s">
        <v>2092</v>
      </c>
      <c r="E1091" s="28" t="s">
        <v>1280</v>
      </c>
      <c r="F1091" s="28" t="s">
        <v>374</v>
      </c>
      <c r="G1091" s="28">
        <v>85138</v>
      </c>
      <c r="H1091" s="28">
        <v>33.084569999999999</v>
      </c>
      <c r="I1091" s="28">
        <v>-112.00959</v>
      </c>
      <c r="J1091" s="28"/>
      <c r="K1091" s="61">
        <v>110015940776</v>
      </c>
      <c r="L1091" s="61" t="str">
        <f>IFERROR(INDEX('Facility Summary'!$K:$K,MATCH(K1091,'Facility Summary'!$J:$J,0)),INDEX('Raw Annual DMR Data'!$M:$M,MATCH(K1091,'Raw Annual DMR Data'!$L:$L,0)))</f>
        <v>POTW</v>
      </c>
      <c r="M1091" s="28"/>
      <c r="N1091" s="28"/>
      <c r="O1091" s="28"/>
      <c r="P1091" s="28"/>
      <c r="Q1091" s="28"/>
      <c r="R1091" s="28"/>
      <c r="S1091" s="28">
        <v>2.0852738350000002</v>
      </c>
    </row>
    <row r="1092" spans="1:19" x14ac:dyDescent="0.25">
      <c r="A1092" s="28">
        <v>2016</v>
      </c>
      <c r="B1092" s="28"/>
      <c r="C1092" s="28" t="s">
        <v>1279</v>
      </c>
      <c r="D1092" s="28" t="s">
        <v>2092</v>
      </c>
      <c r="E1092" s="28" t="s">
        <v>1280</v>
      </c>
      <c r="F1092" s="28" t="s">
        <v>374</v>
      </c>
      <c r="G1092" s="28">
        <v>85138</v>
      </c>
      <c r="H1092" s="28">
        <v>33.084569999999999</v>
      </c>
      <c r="I1092" s="28">
        <v>-112.00959</v>
      </c>
      <c r="J1092" s="28"/>
      <c r="K1092" s="61">
        <v>110015940776</v>
      </c>
      <c r="L1092" s="61" t="str">
        <f>IFERROR(INDEX('Facility Summary'!$K:$K,MATCH(K1092,'Facility Summary'!$J:$J,0)),INDEX('Raw Annual DMR Data'!$M:$M,MATCH(K1092,'Raw Annual DMR Data'!$L:$L,0)))</f>
        <v>POTW</v>
      </c>
      <c r="M1092" s="28"/>
      <c r="N1092" s="28"/>
      <c r="O1092" s="28"/>
      <c r="P1092" s="28"/>
      <c r="Q1092" s="28"/>
      <c r="R1092" s="28"/>
      <c r="S1092" s="28">
        <v>0.38675792375000001</v>
      </c>
    </row>
    <row r="1093" spans="1:19" x14ac:dyDescent="0.25">
      <c r="A1093" s="28">
        <v>2016</v>
      </c>
      <c r="B1093" s="28"/>
      <c r="C1093" s="28" t="s">
        <v>1279</v>
      </c>
      <c r="D1093" s="28" t="s">
        <v>2092</v>
      </c>
      <c r="E1093" s="28" t="s">
        <v>1280</v>
      </c>
      <c r="F1093" s="28" t="s">
        <v>374</v>
      </c>
      <c r="G1093" s="28">
        <v>85138</v>
      </c>
      <c r="H1093" s="28">
        <v>33.084569999999999</v>
      </c>
      <c r="I1093" s="28">
        <v>-112.00959</v>
      </c>
      <c r="J1093" s="28"/>
      <c r="K1093" s="61">
        <v>110015940776</v>
      </c>
      <c r="L1093" s="61" t="str">
        <f>IFERROR(INDEX('Facility Summary'!$K:$K,MATCH(K1093,'Facility Summary'!$J:$J,0)),INDEX('Raw Annual DMR Data'!$M:$M,MATCH(K1093,'Raw Annual DMR Data'!$L:$L,0)))</f>
        <v>POTW</v>
      </c>
      <c r="M1093" s="28"/>
      <c r="N1093" s="28"/>
      <c r="O1093" s="28"/>
      <c r="P1093" s="28"/>
      <c r="Q1093" s="28"/>
      <c r="R1093" s="28"/>
      <c r="S1093" s="28">
        <v>0.28507768374999998</v>
      </c>
    </row>
    <row r="1094" spans="1:19" x14ac:dyDescent="0.25">
      <c r="A1094" s="28">
        <v>2016</v>
      </c>
      <c r="B1094" s="28"/>
      <c r="C1094" s="28" t="s">
        <v>1281</v>
      </c>
      <c r="D1094" s="28" t="s">
        <v>2094</v>
      </c>
      <c r="E1094" s="28" t="s">
        <v>1282</v>
      </c>
      <c r="F1094" s="28" t="s">
        <v>366</v>
      </c>
      <c r="G1094" s="28">
        <v>92029</v>
      </c>
      <c r="H1094" s="28">
        <v>33.116990000000001</v>
      </c>
      <c r="I1094" s="28">
        <v>-117.11819</v>
      </c>
      <c r="J1094" s="28"/>
      <c r="K1094" s="61">
        <v>110045402079</v>
      </c>
      <c r="L1094" s="61" t="str">
        <f>IFERROR(INDEX('Facility Summary'!$K:$K,MATCH(K1094,'Facility Summary'!$J:$J,0)),INDEX('Raw Annual DMR Data'!$M:$M,MATCH(K1094,'Raw Annual DMR Data'!$L:$L,0)))</f>
        <v>Unknown</v>
      </c>
      <c r="M1094" s="28"/>
      <c r="N1094" s="28"/>
      <c r="O1094" s="28"/>
      <c r="P1094" s="28"/>
      <c r="Q1094" s="28"/>
      <c r="R1094" s="28"/>
      <c r="S1094" s="28">
        <v>0.53841224489795902</v>
      </c>
    </row>
    <row r="1095" spans="1:19" x14ac:dyDescent="0.25">
      <c r="A1095" s="28">
        <v>2018</v>
      </c>
      <c r="B1095" s="28"/>
      <c r="C1095" s="28" t="s">
        <v>1283</v>
      </c>
      <c r="D1095" s="28" t="s">
        <v>2096</v>
      </c>
      <c r="E1095" s="28" t="s">
        <v>1284</v>
      </c>
      <c r="F1095" s="28" t="s">
        <v>324</v>
      </c>
      <c r="G1095" s="28" t="s">
        <v>2097</v>
      </c>
      <c r="H1095" s="28">
        <v>38.223610999999998</v>
      </c>
      <c r="I1095" s="28">
        <v>-84.252778000000006</v>
      </c>
      <c r="J1095" s="28"/>
      <c r="K1095" s="61">
        <v>110000551082</v>
      </c>
      <c r="L1095" s="61" t="str">
        <f>IFERROR(INDEX('Facility Summary'!$K:$K,MATCH(K1095,'Facility Summary'!$J:$J,0)),INDEX('Raw Annual DMR Data'!$M:$M,MATCH(K1095,'Raw Annual DMR Data'!$L:$L,0)))</f>
        <v>POTW</v>
      </c>
      <c r="M1095" s="28"/>
      <c r="N1095" s="28"/>
      <c r="O1095" s="28"/>
      <c r="P1095" s="28"/>
      <c r="Q1095" s="28"/>
      <c r="R1095" s="28"/>
      <c r="S1095" s="28">
        <v>7.6605561249999997E-3</v>
      </c>
    </row>
    <row r="1096" spans="1:19" x14ac:dyDescent="0.25">
      <c r="A1096" s="28">
        <v>2019</v>
      </c>
      <c r="B1096" s="28"/>
      <c r="C1096" s="28" t="s">
        <v>1283</v>
      </c>
      <c r="D1096" s="28" t="s">
        <v>2096</v>
      </c>
      <c r="E1096" s="28" t="s">
        <v>1284</v>
      </c>
      <c r="F1096" s="28" t="s">
        <v>324</v>
      </c>
      <c r="G1096" s="28" t="s">
        <v>2097</v>
      </c>
      <c r="H1096" s="28">
        <v>38.223610999999998</v>
      </c>
      <c r="I1096" s="28">
        <v>-84.252778000000006</v>
      </c>
      <c r="J1096" s="28"/>
      <c r="K1096" s="61">
        <v>110000551082</v>
      </c>
      <c r="L1096" s="61" t="str">
        <f>IFERROR(INDEX('Facility Summary'!$K:$K,MATCH(K1096,'Facility Summary'!$J:$J,0)),INDEX('Raw Annual DMR Data'!$M:$M,MATCH(K1096,'Raw Annual DMR Data'!$L:$L,0)))</f>
        <v>POTW</v>
      </c>
      <c r="M1096" s="28"/>
      <c r="N1096" s="28"/>
      <c r="O1096" s="28"/>
      <c r="P1096" s="28"/>
      <c r="Q1096" s="28"/>
      <c r="R1096" s="28"/>
      <c r="S1096" s="28">
        <v>8.2787885625000002E-3</v>
      </c>
    </row>
    <row r="1097" spans="1:19" x14ac:dyDescent="0.25">
      <c r="A1097" s="28">
        <v>2017</v>
      </c>
      <c r="B1097" s="28"/>
      <c r="C1097" s="28" t="s">
        <v>1285</v>
      </c>
      <c r="D1097" s="28" t="s">
        <v>2101</v>
      </c>
      <c r="E1097" s="28" t="s">
        <v>1286</v>
      </c>
      <c r="F1097" s="28" t="s">
        <v>1171</v>
      </c>
      <c r="G1097" s="28">
        <v>96818</v>
      </c>
      <c r="H1097" s="28">
        <v>21.352499999999999</v>
      </c>
      <c r="I1097" s="28">
        <v>-157.95813899999999</v>
      </c>
      <c r="J1097" s="28"/>
      <c r="K1097" s="61">
        <v>110046184516</v>
      </c>
      <c r="L1097" s="61" t="str">
        <f>IFERROR(INDEX('Facility Summary'!$K:$K,MATCH(K1097,'Facility Summary'!$J:$J,0)),INDEX('Raw Annual DMR Data'!$M:$M,MATCH(K1097,'Raw Annual DMR Data'!$L:$L,0)))</f>
        <v>Unknown</v>
      </c>
      <c r="M1097" s="28"/>
      <c r="N1097" s="28"/>
      <c r="O1097" s="28"/>
      <c r="P1097" s="28"/>
      <c r="Q1097" s="28"/>
      <c r="R1097" s="28"/>
      <c r="S1097" s="28">
        <v>1.9065045</v>
      </c>
    </row>
    <row r="1098" spans="1:19" x14ac:dyDescent="0.25">
      <c r="A1098" s="28">
        <v>2017</v>
      </c>
      <c r="B1098" s="28"/>
      <c r="C1098" s="28" t="s">
        <v>1285</v>
      </c>
      <c r="D1098" s="28" t="s">
        <v>2101</v>
      </c>
      <c r="E1098" s="28" t="s">
        <v>1286</v>
      </c>
      <c r="F1098" s="28" t="s">
        <v>1171</v>
      </c>
      <c r="G1098" s="28">
        <v>96818</v>
      </c>
      <c r="H1098" s="28">
        <v>21.352499999999999</v>
      </c>
      <c r="I1098" s="28">
        <v>-157.95813899999999</v>
      </c>
      <c r="J1098" s="28"/>
      <c r="K1098" s="61">
        <v>110046184516</v>
      </c>
      <c r="L1098" s="61" t="str">
        <f>IFERROR(INDEX('Facility Summary'!$K:$K,MATCH(K1098,'Facility Summary'!$J:$J,0)),INDEX('Raw Annual DMR Data'!$M:$M,MATCH(K1098,'Raw Annual DMR Data'!$L:$L,0)))</f>
        <v>Unknown</v>
      </c>
      <c r="M1098" s="28"/>
      <c r="N1098" s="28"/>
      <c r="O1098" s="28"/>
      <c r="P1098" s="28"/>
      <c r="Q1098" s="28"/>
      <c r="R1098" s="28"/>
      <c r="S1098" s="28">
        <v>11.936375999999999</v>
      </c>
    </row>
    <row r="1099" spans="1:19" x14ac:dyDescent="0.25">
      <c r="A1099" s="28">
        <v>2017</v>
      </c>
      <c r="B1099" s="28"/>
      <c r="C1099" s="28" t="s">
        <v>1285</v>
      </c>
      <c r="D1099" s="28" t="s">
        <v>2101</v>
      </c>
      <c r="E1099" s="28" t="s">
        <v>1286</v>
      </c>
      <c r="F1099" s="28" t="s">
        <v>1171</v>
      </c>
      <c r="G1099" s="28">
        <v>96818</v>
      </c>
      <c r="H1099" s="28">
        <v>21.352499999999999</v>
      </c>
      <c r="I1099" s="28">
        <v>-157.95813899999999</v>
      </c>
      <c r="J1099" s="28"/>
      <c r="K1099" s="61">
        <v>110046184516</v>
      </c>
      <c r="L1099" s="61" t="str">
        <f>IFERROR(INDEX('Facility Summary'!$K:$K,MATCH(K1099,'Facility Summary'!$J:$J,0)),INDEX('Raw Annual DMR Data'!$M:$M,MATCH(K1099,'Raw Annual DMR Data'!$L:$L,0)))</f>
        <v>Unknown</v>
      </c>
      <c r="M1099" s="28"/>
      <c r="N1099" s="28"/>
      <c r="O1099" s="28"/>
      <c r="P1099" s="28"/>
      <c r="Q1099" s="28"/>
      <c r="R1099" s="28"/>
      <c r="S1099" s="28">
        <v>11.936375999999999</v>
      </c>
    </row>
    <row r="1100" spans="1:19" x14ac:dyDescent="0.25">
      <c r="A1100" s="28">
        <v>2018</v>
      </c>
      <c r="B1100" s="28"/>
      <c r="C1100" s="28" t="s">
        <v>1285</v>
      </c>
      <c r="D1100" s="28" t="s">
        <v>2101</v>
      </c>
      <c r="E1100" s="28" t="s">
        <v>1286</v>
      </c>
      <c r="F1100" s="28" t="s">
        <v>1171</v>
      </c>
      <c r="G1100" s="28">
        <v>96818</v>
      </c>
      <c r="H1100" s="28">
        <v>21.352499999999999</v>
      </c>
      <c r="I1100" s="28">
        <v>-157.95813899999999</v>
      </c>
      <c r="J1100" s="28"/>
      <c r="K1100" s="61">
        <v>110046184516</v>
      </c>
      <c r="L1100" s="61" t="str">
        <f>IFERROR(INDEX('Facility Summary'!$K:$K,MATCH(K1100,'Facility Summary'!$J:$J,0)),INDEX('Raw Annual DMR Data'!$M:$M,MATCH(K1100,'Raw Annual DMR Data'!$L:$L,0)))</f>
        <v>Unknown</v>
      </c>
      <c r="M1100" s="28"/>
      <c r="N1100" s="28"/>
      <c r="O1100" s="28"/>
      <c r="P1100" s="28"/>
      <c r="Q1100" s="28"/>
      <c r="R1100" s="28"/>
      <c r="S1100" s="302">
        <v>5.9681879999999996</v>
      </c>
    </row>
    <row r="1101" spans="1:19" x14ac:dyDescent="0.25">
      <c r="A1101" s="28">
        <v>2018</v>
      </c>
      <c r="B1101" s="28"/>
      <c r="C1101" s="28" t="s">
        <v>1285</v>
      </c>
      <c r="D1101" s="28" t="s">
        <v>2101</v>
      </c>
      <c r="E1101" s="28" t="s">
        <v>1286</v>
      </c>
      <c r="F1101" s="28" t="s">
        <v>1171</v>
      </c>
      <c r="G1101" s="28">
        <v>96818</v>
      </c>
      <c r="H1101" s="28">
        <v>21.352499999999999</v>
      </c>
      <c r="I1101" s="28">
        <v>-157.95813899999999</v>
      </c>
      <c r="J1101" s="28"/>
      <c r="K1101" s="61">
        <v>110046184516</v>
      </c>
      <c r="L1101" s="61" t="str">
        <f>IFERROR(INDEX('Facility Summary'!$K:$K,MATCH(K1101,'Facility Summary'!$J:$J,0)),INDEX('Raw Annual DMR Data'!$M:$M,MATCH(K1101,'Raw Annual DMR Data'!$L:$L,0)))</f>
        <v>Unknown</v>
      </c>
      <c r="M1101" s="28"/>
      <c r="N1101" s="28"/>
      <c r="O1101" s="28"/>
      <c r="P1101" s="28"/>
      <c r="Q1101" s="28"/>
      <c r="R1101" s="28"/>
      <c r="S1101" s="28">
        <v>0.30393550000000003</v>
      </c>
    </row>
    <row r="1102" spans="1:19" x14ac:dyDescent="0.25">
      <c r="A1102" s="28">
        <v>2018</v>
      </c>
      <c r="B1102" s="28"/>
      <c r="C1102" s="28" t="s">
        <v>1285</v>
      </c>
      <c r="D1102" s="28" t="s">
        <v>2101</v>
      </c>
      <c r="E1102" s="28" t="s">
        <v>1286</v>
      </c>
      <c r="F1102" s="28" t="s">
        <v>1171</v>
      </c>
      <c r="G1102" s="28">
        <v>96818</v>
      </c>
      <c r="H1102" s="28">
        <v>21.352499999999999</v>
      </c>
      <c r="I1102" s="28">
        <v>-157.95813899999999</v>
      </c>
      <c r="J1102" s="28"/>
      <c r="K1102" s="61">
        <v>110046184516</v>
      </c>
      <c r="L1102" s="61" t="str">
        <f>IFERROR(INDEX('Facility Summary'!$K:$K,MATCH(K1102,'Facility Summary'!$J:$J,0)),INDEX('Raw Annual DMR Data'!$M:$M,MATCH(K1102,'Raw Annual DMR Data'!$L:$L,0)))</f>
        <v>Unknown</v>
      </c>
      <c r="M1102" s="28"/>
      <c r="N1102" s="28"/>
      <c r="O1102" s="28"/>
      <c r="P1102" s="28"/>
      <c r="Q1102" s="28"/>
      <c r="R1102" s="28"/>
      <c r="S1102" s="302">
        <v>5.9681879999999996</v>
      </c>
    </row>
    <row r="1103" spans="1:19" x14ac:dyDescent="0.25">
      <c r="A1103" s="28">
        <v>2018</v>
      </c>
      <c r="B1103" s="28"/>
      <c r="C1103" s="28" t="s">
        <v>1285</v>
      </c>
      <c r="D1103" s="28" t="s">
        <v>2101</v>
      </c>
      <c r="E1103" s="28" t="s">
        <v>1286</v>
      </c>
      <c r="F1103" s="28" t="s">
        <v>1171</v>
      </c>
      <c r="G1103" s="28">
        <v>96818</v>
      </c>
      <c r="H1103" s="28">
        <v>21.352499999999999</v>
      </c>
      <c r="I1103" s="28">
        <v>-157.95813899999999</v>
      </c>
      <c r="J1103" s="28"/>
      <c r="K1103" s="61">
        <v>110046184516</v>
      </c>
      <c r="L1103" s="61" t="str">
        <f>IFERROR(INDEX('Facility Summary'!$K:$K,MATCH(K1103,'Facility Summary'!$J:$J,0)),INDEX('Raw Annual DMR Data'!$M:$M,MATCH(K1103,'Raw Annual DMR Data'!$L:$L,0)))</f>
        <v>Unknown</v>
      </c>
      <c r="M1103" s="28"/>
      <c r="N1103" s="28"/>
      <c r="O1103" s="28"/>
      <c r="P1103" s="28"/>
      <c r="Q1103" s="28"/>
      <c r="R1103" s="28"/>
      <c r="S1103" s="302">
        <v>11.936375999999999</v>
      </c>
    </row>
    <row r="1104" spans="1:19" x14ac:dyDescent="0.25">
      <c r="A1104" s="28">
        <v>2019</v>
      </c>
      <c r="B1104" s="28"/>
      <c r="C1104" s="28" t="s">
        <v>1285</v>
      </c>
      <c r="D1104" s="28" t="s">
        <v>2101</v>
      </c>
      <c r="E1104" s="28" t="s">
        <v>1286</v>
      </c>
      <c r="F1104" s="28" t="s">
        <v>1171</v>
      </c>
      <c r="G1104" s="28">
        <v>96818</v>
      </c>
      <c r="H1104" s="28">
        <v>21.352499999999999</v>
      </c>
      <c r="I1104" s="28">
        <v>-157.95813899999999</v>
      </c>
      <c r="J1104" s="28"/>
      <c r="K1104" s="61">
        <v>110046184516</v>
      </c>
      <c r="L1104" s="61" t="str">
        <f>IFERROR(INDEX('Facility Summary'!$K:$K,MATCH(K1104,'Facility Summary'!$J:$J,0)),INDEX('Raw Annual DMR Data'!$M:$M,MATCH(K1104,'Raw Annual DMR Data'!$L:$L,0)))</f>
        <v>Unknown</v>
      </c>
      <c r="M1104" s="28"/>
      <c r="N1104" s="28"/>
      <c r="O1104" s="28"/>
      <c r="P1104" s="28"/>
      <c r="Q1104" s="28"/>
      <c r="R1104" s="28"/>
      <c r="S1104" s="28">
        <v>0.26248975000000002</v>
      </c>
    </row>
    <row r="1105" spans="1:19" x14ac:dyDescent="0.25">
      <c r="A1105" s="28">
        <v>2020</v>
      </c>
      <c r="B1105" s="28"/>
      <c r="C1105" s="28" t="s">
        <v>1285</v>
      </c>
      <c r="D1105" s="28" t="s">
        <v>2101</v>
      </c>
      <c r="E1105" s="28" t="s">
        <v>1286</v>
      </c>
      <c r="F1105" s="28" t="s">
        <v>1171</v>
      </c>
      <c r="G1105" s="28">
        <v>96818</v>
      </c>
      <c r="H1105" s="28">
        <v>21.352499999999999</v>
      </c>
      <c r="I1105" s="28">
        <v>-157.95813899999999</v>
      </c>
      <c r="J1105" s="28"/>
      <c r="K1105" s="61">
        <v>110046184516</v>
      </c>
      <c r="L1105" s="61" t="str">
        <f>IFERROR(INDEX('Facility Summary'!$K:$K,MATCH(K1105,'Facility Summary'!$J:$J,0)),INDEX('Raw Annual DMR Data'!$M:$M,MATCH(K1105,'Raw Annual DMR Data'!$L:$L,0)))</f>
        <v>Unknown</v>
      </c>
      <c r="M1105" s="28"/>
      <c r="N1105" s="28"/>
      <c r="O1105" s="28"/>
      <c r="P1105" s="28"/>
      <c r="Q1105" s="28"/>
      <c r="R1105" s="28"/>
      <c r="S1105" s="28">
        <v>0.46971849999999998</v>
      </c>
    </row>
    <row r="1106" spans="1:19" x14ac:dyDescent="0.25">
      <c r="A1106" s="28">
        <v>2016</v>
      </c>
      <c r="B1106" s="28"/>
      <c r="C1106" s="28" t="s">
        <v>180</v>
      </c>
      <c r="D1106" s="28" t="s">
        <v>596</v>
      </c>
      <c r="E1106" s="28" t="s">
        <v>597</v>
      </c>
      <c r="F1106" s="28" t="s">
        <v>338</v>
      </c>
      <c r="G1106" s="28">
        <v>8844</v>
      </c>
      <c r="H1106" s="28">
        <v>40.52516</v>
      </c>
      <c r="I1106" s="28">
        <v>-74.601039999999998</v>
      </c>
      <c r="J1106" s="28"/>
      <c r="K1106" s="61">
        <v>110070217974</v>
      </c>
      <c r="L1106" s="61" t="str">
        <f>IFERROR(INDEX('Facility Summary'!$K:$K,MATCH(K1106,'Facility Summary'!$J:$J,0)),INDEX('Raw Annual DMR Data'!$M:$M,MATCH(K1106,'Raw Annual DMR Data'!$L:$L,0)))</f>
        <v>Processing into formulation, mixture, or reaction product</v>
      </c>
      <c r="M1106" s="28"/>
      <c r="N1106" s="28"/>
      <c r="O1106" s="28"/>
      <c r="P1106" s="28"/>
      <c r="Q1106" s="28"/>
      <c r="R1106" s="28"/>
      <c r="S1106" s="28">
        <v>4.9677557249999996E-4</v>
      </c>
    </row>
    <row r="1107" spans="1:19" x14ac:dyDescent="0.25">
      <c r="A1107" s="28">
        <v>2019</v>
      </c>
      <c r="B1107" s="28"/>
      <c r="C1107" s="28" t="s">
        <v>180</v>
      </c>
      <c r="D1107" s="28" t="s">
        <v>596</v>
      </c>
      <c r="E1107" s="28" t="s">
        <v>597</v>
      </c>
      <c r="F1107" s="28" t="s">
        <v>338</v>
      </c>
      <c r="G1107" s="28">
        <v>8844</v>
      </c>
      <c r="H1107" s="28">
        <v>40.52516</v>
      </c>
      <c r="I1107" s="28">
        <v>-74.601039999999998</v>
      </c>
      <c r="J1107" s="28"/>
      <c r="K1107" s="61">
        <v>110070217974</v>
      </c>
      <c r="L1107" s="61" t="str">
        <f>IFERROR(INDEX('Facility Summary'!$K:$K,MATCH(K1107,'Facility Summary'!$J:$J,0)),INDEX('Raw Annual DMR Data'!$M:$M,MATCH(K1107,'Raw Annual DMR Data'!$L:$L,0)))</f>
        <v>Processing into formulation, mixture, or reaction product</v>
      </c>
      <c r="M1107" s="28"/>
      <c r="N1107" s="28"/>
      <c r="O1107" s="28"/>
      <c r="P1107" s="28"/>
      <c r="Q1107" s="28"/>
      <c r="R1107" s="28"/>
      <c r="S1107" s="28">
        <v>9.2434741619999998E-4</v>
      </c>
    </row>
    <row r="1108" spans="1:19" x14ac:dyDescent="0.25">
      <c r="A1108" s="28">
        <v>2020</v>
      </c>
      <c r="B1108" s="28"/>
      <c r="C1108" s="28" t="s">
        <v>180</v>
      </c>
      <c r="D1108" s="28" t="s">
        <v>596</v>
      </c>
      <c r="E1108" s="28" t="s">
        <v>597</v>
      </c>
      <c r="F1108" s="28" t="s">
        <v>338</v>
      </c>
      <c r="G1108" s="28">
        <v>8844</v>
      </c>
      <c r="H1108" s="28">
        <v>40.52516</v>
      </c>
      <c r="I1108" s="28">
        <v>-74.601039999999998</v>
      </c>
      <c r="J1108" s="28"/>
      <c r="K1108" s="61">
        <v>110070217974</v>
      </c>
      <c r="L1108" s="61" t="str">
        <f>IFERROR(INDEX('Facility Summary'!$K:$K,MATCH(K1108,'Facility Summary'!$J:$J,0)),INDEX('Raw Annual DMR Data'!$M:$M,MATCH(K1108,'Raw Annual DMR Data'!$L:$L,0)))</f>
        <v>Processing into formulation, mixture, or reaction product</v>
      </c>
      <c r="M1108" s="28"/>
      <c r="N1108" s="28"/>
      <c r="O1108" s="28"/>
      <c r="P1108" s="28"/>
      <c r="Q1108" s="28"/>
      <c r="R1108" s="28"/>
      <c r="S1108" s="28">
        <v>9.6453594059999999E-4</v>
      </c>
    </row>
    <row r="1109" spans="1:19" x14ac:dyDescent="0.25">
      <c r="A1109" s="28">
        <v>2015</v>
      </c>
      <c r="B1109" s="28"/>
      <c r="C1109" s="28" t="s">
        <v>1287</v>
      </c>
      <c r="D1109" s="28" t="s">
        <v>2105</v>
      </c>
      <c r="E1109" s="28" t="s">
        <v>1205</v>
      </c>
      <c r="F1109" s="28" t="s">
        <v>374</v>
      </c>
      <c r="G1109" s="28">
        <v>86401</v>
      </c>
      <c r="H1109" s="28">
        <v>35.16666</v>
      </c>
      <c r="I1109" s="28">
        <v>-113.78333000000001</v>
      </c>
      <c r="J1109" s="28"/>
      <c r="K1109" s="61">
        <v>110010062644</v>
      </c>
      <c r="L1109" s="61" t="str">
        <f>IFERROR(INDEX('Facility Summary'!$K:$K,MATCH(K1109,'Facility Summary'!$J:$J,0)),INDEX('Raw Annual DMR Data'!$M:$M,MATCH(K1109,'Raw Annual DMR Data'!$L:$L,0)))</f>
        <v>Unknown</v>
      </c>
      <c r="M1109" s="28"/>
      <c r="N1109" s="28"/>
      <c r="O1109" s="28"/>
      <c r="P1109" s="28"/>
      <c r="Q1109" s="28"/>
      <c r="R1109" s="28"/>
      <c r="S1109" s="28">
        <v>9.4634462500000002E-3</v>
      </c>
    </row>
    <row r="1110" spans="1:19" x14ac:dyDescent="0.25">
      <c r="A1110" s="28">
        <v>2015</v>
      </c>
      <c r="B1110" s="28"/>
      <c r="C1110" s="28" t="s">
        <v>1288</v>
      </c>
      <c r="D1110" s="28" t="s">
        <v>2107</v>
      </c>
      <c r="E1110" s="28" t="s">
        <v>966</v>
      </c>
      <c r="F1110" s="28" t="s">
        <v>491</v>
      </c>
      <c r="G1110" s="28" t="s">
        <v>2108</v>
      </c>
      <c r="H1110" s="28">
        <v>39.901820000000001</v>
      </c>
      <c r="I1110" s="28">
        <v>-75.144549999999995</v>
      </c>
      <c r="J1110" s="28"/>
      <c r="K1110" s="61">
        <v>110000540610</v>
      </c>
      <c r="L1110" s="61" t="str">
        <f>IFERROR(INDEX('Facility Summary'!$K:$K,MATCH(K1110,'Facility Summary'!$J:$J,0)),INDEX('Raw Annual DMR Data'!$M:$M,MATCH(K1110,'Raw Annual DMR Data'!$L:$L,0)))</f>
        <v>POTW</v>
      </c>
      <c r="M1110" s="28"/>
      <c r="N1110" s="28"/>
      <c r="O1110" s="28"/>
      <c r="P1110" s="28"/>
      <c r="Q1110" s="28"/>
      <c r="R1110" s="28"/>
      <c r="S1110" s="28">
        <v>265.36635000000001</v>
      </c>
    </row>
    <row r="1111" spans="1:19" x14ac:dyDescent="0.25">
      <c r="A1111" s="28">
        <v>2016</v>
      </c>
      <c r="B1111" s="28"/>
      <c r="C1111" s="28" t="s">
        <v>1288</v>
      </c>
      <c r="D1111" s="28" t="s">
        <v>2107</v>
      </c>
      <c r="E1111" s="28" t="s">
        <v>966</v>
      </c>
      <c r="F1111" s="28" t="s">
        <v>491</v>
      </c>
      <c r="G1111" s="28" t="s">
        <v>2108</v>
      </c>
      <c r="H1111" s="28">
        <v>39.901820000000001</v>
      </c>
      <c r="I1111" s="28">
        <v>-75.144549999999995</v>
      </c>
      <c r="J1111" s="28"/>
      <c r="K1111" s="61">
        <v>110000540610</v>
      </c>
      <c r="L1111" s="61" t="str">
        <f>IFERROR(INDEX('Facility Summary'!$K:$K,MATCH(K1111,'Facility Summary'!$J:$J,0)),INDEX('Raw Annual DMR Data'!$M:$M,MATCH(K1111,'Raw Annual DMR Data'!$L:$L,0)))</f>
        <v>POTW</v>
      </c>
      <c r="M1111" s="28"/>
      <c r="N1111" s="28"/>
      <c r="O1111" s="28"/>
      <c r="P1111" s="28"/>
      <c r="Q1111" s="28"/>
      <c r="R1111" s="28"/>
      <c r="S1111" s="28">
        <v>99.44046625</v>
      </c>
    </row>
    <row r="1112" spans="1:19" x14ac:dyDescent="0.25">
      <c r="A1112" s="28">
        <v>2017</v>
      </c>
      <c r="B1112" s="28"/>
      <c r="C1112" s="28" t="s">
        <v>1288</v>
      </c>
      <c r="D1112" s="28" t="s">
        <v>2107</v>
      </c>
      <c r="E1112" s="28" t="s">
        <v>966</v>
      </c>
      <c r="F1112" s="28" t="s">
        <v>491</v>
      </c>
      <c r="G1112" s="28" t="s">
        <v>2108</v>
      </c>
      <c r="H1112" s="28">
        <v>39.901820000000001</v>
      </c>
      <c r="I1112" s="28">
        <v>-75.144549999999995</v>
      </c>
      <c r="J1112" s="28"/>
      <c r="K1112" s="61">
        <v>110000540610</v>
      </c>
      <c r="L1112" s="61" t="str">
        <f>IFERROR(INDEX('Facility Summary'!$K:$K,MATCH(K1112,'Facility Summary'!$J:$J,0)),INDEX('Raw Annual DMR Data'!$M:$M,MATCH(K1112,'Raw Annual DMR Data'!$L:$L,0)))</f>
        <v>POTW</v>
      </c>
      <c r="M1112" s="28"/>
      <c r="N1112" s="28"/>
      <c r="O1112" s="28"/>
      <c r="P1112" s="28"/>
      <c r="Q1112" s="28"/>
      <c r="R1112" s="28"/>
      <c r="S1112" s="28">
        <v>82.494074999999995</v>
      </c>
    </row>
    <row r="1113" spans="1:19" x14ac:dyDescent="0.25">
      <c r="A1113" s="28">
        <v>2018</v>
      </c>
      <c r="B1113" s="28"/>
      <c r="C1113" s="28" t="s">
        <v>1288</v>
      </c>
      <c r="D1113" s="28" t="s">
        <v>2107</v>
      </c>
      <c r="E1113" s="28" t="s">
        <v>966</v>
      </c>
      <c r="F1113" s="28" t="s">
        <v>491</v>
      </c>
      <c r="G1113" s="28" t="s">
        <v>2108</v>
      </c>
      <c r="H1113" s="28">
        <v>39.901820000000001</v>
      </c>
      <c r="I1113" s="28">
        <v>-75.144549999999995</v>
      </c>
      <c r="J1113" s="28"/>
      <c r="K1113" s="61">
        <v>110000540610</v>
      </c>
      <c r="L1113" s="61" t="str">
        <f>IFERROR(INDEX('Facility Summary'!$K:$K,MATCH(K1113,'Facility Summary'!$J:$J,0)),INDEX('Raw Annual DMR Data'!$M:$M,MATCH(K1113,'Raw Annual DMR Data'!$L:$L,0)))</f>
        <v>POTW</v>
      </c>
      <c r="M1113" s="28"/>
      <c r="N1113" s="28"/>
      <c r="O1113" s="28"/>
      <c r="P1113" s="28"/>
      <c r="Q1113" s="28"/>
      <c r="R1113" s="28"/>
      <c r="S1113" s="28">
        <v>76.746552500000007</v>
      </c>
    </row>
    <row r="1114" spans="1:19" x14ac:dyDescent="0.25">
      <c r="A1114" s="28">
        <v>2019</v>
      </c>
      <c r="B1114" s="28"/>
      <c r="C1114" s="28" t="s">
        <v>1288</v>
      </c>
      <c r="D1114" s="28" t="s">
        <v>2107</v>
      </c>
      <c r="E1114" s="28" t="s">
        <v>966</v>
      </c>
      <c r="F1114" s="28" t="s">
        <v>491</v>
      </c>
      <c r="G1114" s="28" t="s">
        <v>2108</v>
      </c>
      <c r="H1114" s="28">
        <v>39.901820000000001</v>
      </c>
      <c r="I1114" s="28">
        <v>-75.144549999999995</v>
      </c>
      <c r="J1114" s="28"/>
      <c r="K1114" s="61">
        <v>110000540610</v>
      </c>
      <c r="L1114" s="61" t="str">
        <f>IFERROR(INDEX('Facility Summary'!$K:$K,MATCH(K1114,'Facility Summary'!$J:$J,0)),INDEX('Raw Annual DMR Data'!$M:$M,MATCH(K1114,'Raw Annual DMR Data'!$L:$L,0)))</f>
        <v>POTW</v>
      </c>
      <c r="M1114" s="28"/>
      <c r="N1114" s="28"/>
      <c r="O1114" s="28"/>
      <c r="P1114" s="28"/>
      <c r="Q1114" s="28"/>
      <c r="R1114" s="28"/>
      <c r="S1114" s="28">
        <v>28.497264999999999</v>
      </c>
    </row>
    <row r="1115" spans="1:19" x14ac:dyDescent="0.25">
      <c r="A1115" s="28">
        <v>2020</v>
      </c>
      <c r="B1115" s="28"/>
      <c r="C1115" s="28" t="s">
        <v>1288</v>
      </c>
      <c r="D1115" s="28" t="s">
        <v>2107</v>
      </c>
      <c r="E1115" s="28" t="s">
        <v>966</v>
      </c>
      <c r="F1115" s="28" t="s">
        <v>491</v>
      </c>
      <c r="G1115" s="28" t="s">
        <v>2108</v>
      </c>
      <c r="H1115" s="28">
        <v>39.901820000000001</v>
      </c>
      <c r="I1115" s="28">
        <v>-75.144549999999995</v>
      </c>
      <c r="J1115" s="28"/>
      <c r="K1115" s="61">
        <v>110000540610</v>
      </c>
      <c r="L1115" s="61" t="str">
        <f>IFERROR(INDEX('Facility Summary'!$K:$K,MATCH(K1115,'Facility Summary'!$J:$J,0)),INDEX('Raw Annual DMR Data'!$M:$M,MATCH(K1115,'Raw Annual DMR Data'!$L:$L,0)))</f>
        <v>POTW</v>
      </c>
      <c r="M1115" s="28"/>
      <c r="N1115" s="28"/>
      <c r="O1115" s="28"/>
      <c r="P1115" s="28"/>
      <c r="Q1115" s="28"/>
      <c r="R1115" s="28"/>
      <c r="S1115" s="28">
        <v>32.280372499999999</v>
      </c>
    </row>
    <row r="1116" spans="1:19" x14ac:dyDescent="0.25">
      <c r="A1116" s="28">
        <v>2015</v>
      </c>
      <c r="B1116" s="28"/>
      <c r="C1116" s="28" t="s">
        <v>1289</v>
      </c>
      <c r="D1116" s="28" t="s">
        <v>2111</v>
      </c>
      <c r="E1116" s="28" t="s">
        <v>966</v>
      </c>
      <c r="F1116" s="28" t="s">
        <v>491</v>
      </c>
      <c r="G1116" s="28">
        <v>19153</v>
      </c>
      <c r="H1116" s="28">
        <v>39.886130000000001</v>
      </c>
      <c r="I1116" s="28">
        <v>-75.218249999999998</v>
      </c>
      <c r="J1116" s="28"/>
      <c r="K1116" s="61">
        <v>110000542119</v>
      </c>
      <c r="L1116" s="61" t="str">
        <f>IFERROR(INDEX('Facility Summary'!$K:$K,MATCH(K1116,'Facility Summary'!$J:$J,0)),INDEX('Raw Annual DMR Data'!$M:$M,MATCH(K1116,'Raw Annual DMR Data'!$L:$L,0)))</f>
        <v>POTW</v>
      </c>
      <c r="M1116" s="28"/>
      <c r="N1116" s="28"/>
      <c r="O1116" s="28"/>
      <c r="P1116" s="28"/>
      <c r="Q1116" s="28"/>
      <c r="R1116" s="28"/>
      <c r="S1116" s="28">
        <v>563.87037499999997</v>
      </c>
    </row>
    <row r="1117" spans="1:19" x14ac:dyDescent="0.25">
      <c r="A1117" s="28">
        <v>2016</v>
      </c>
      <c r="B1117" s="28"/>
      <c r="C1117" s="28" t="s">
        <v>1289</v>
      </c>
      <c r="D1117" s="28" t="s">
        <v>2111</v>
      </c>
      <c r="E1117" s="28" t="s">
        <v>966</v>
      </c>
      <c r="F1117" s="28" t="s">
        <v>491</v>
      </c>
      <c r="G1117" s="28">
        <v>19153</v>
      </c>
      <c r="H1117" s="28">
        <v>39.886130000000001</v>
      </c>
      <c r="I1117" s="28">
        <v>-75.218249999999998</v>
      </c>
      <c r="J1117" s="28"/>
      <c r="K1117" s="61">
        <v>110000542119</v>
      </c>
      <c r="L1117" s="61" t="str">
        <f>IFERROR(INDEX('Facility Summary'!$K:$K,MATCH(K1117,'Facility Summary'!$J:$J,0)),INDEX('Raw Annual DMR Data'!$M:$M,MATCH(K1117,'Raw Annual DMR Data'!$L:$L,0)))</f>
        <v>POTW</v>
      </c>
      <c r="M1117" s="28"/>
      <c r="N1117" s="28"/>
      <c r="O1117" s="28"/>
      <c r="P1117" s="28"/>
      <c r="Q1117" s="28"/>
      <c r="R1117" s="28"/>
      <c r="S1117" s="28">
        <v>206.76451975000001</v>
      </c>
    </row>
    <row r="1118" spans="1:19" x14ac:dyDescent="0.25">
      <c r="A1118" s="28">
        <v>2017</v>
      </c>
      <c r="B1118" s="28"/>
      <c r="C1118" s="28" t="s">
        <v>1289</v>
      </c>
      <c r="D1118" s="28" t="s">
        <v>2111</v>
      </c>
      <c r="E1118" s="28" t="s">
        <v>966</v>
      </c>
      <c r="F1118" s="28" t="s">
        <v>491</v>
      </c>
      <c r="G1118" s="28">
        <v>19153</v>
      </c>
      <c r="H1118" s="28">
        <v>39.886130000000001</v>
      </c>
      <c r="I1118" s="28">
        <v>-75.218249999999998</v>
      </c>
      <c r="J1118" s="28"/>
      <c r="K1118" s="61">
        <v>110000542119</v>
      </c>
      <c r="L1118" s="61" t="str">
        <f>IFERROR(INDEX('Facility Summary'!$K:$K,MATCH(K1118,'Facility Summary'!$J:$J,0)),INDEX('Raw Annual DMR Data'!$M:$M,MATCH(K1118,'Raw Annual DMR Data'!$L:$L,0)))</f>
        <v>POTW</v>
      </c>
      <c r="M1118" s="28"/>
      <c r="N1118" s="28"/>
      <c r="O1118" s="28"/>
      <c r="P1118" s="28"/>
      <c r="Q1118" s="28"/>
      <c r="R1118" s="28"/>
      <c r="S1118" s="28">
        <v>177.82781625000001</v>
      </c>
    </row>
    <row r="1119" spans="1:19" x14ac:dyDescent="0.25">
      <c r="A1119" s="28">
        <v>2018</v>
      </c>
      <c r="B1119" s="28"/>
      <c r="C1119" s="28" t="s">
        <v>1289</v>
      </c>
      <c r="D1119" s="28" t="s">
        <v>2111</v>
      </c>
      <c r="E1119" s="28" t="s">
        <v>966</v>
      </c>
      <c r="F1119" s="28" t="s">
        <v>491</v>
      </c>
      <c r="G1119" s="28">
        <v>19153</v>
      </c>
      <c r="H1119" s="28">
        <v>39.886130000000001</v>
      </c>
      <c r="I1119" s="28">
        <v>-75.218249999999998</v>
      </c>
      <c r="J1119" s="28"/>
      <c r="K1119" s="61">
        <v>110000542119</v>
      </c>
      <c r="L1119" s="61" t="str">
        <f>IFERROR(INDEX('Facility Summary'!$K:$K,MATCH(K1119,'Facility Summary'!$J:$J,0)),INDEX('Raw Annual DMR Data'!$M:$M,MATCH(K1119,'Raw Annual DMR Data'!$L:$L,0)))</f>
        <v>POTW</v>
      </c>
      <c r="M1119" s="28"/>
      <c r="N1119" s="28"/>
      <c r="O1119" s="28"/>
      <c r="P1119" s="28"/>
      <c r="Q1119" s="28"/>
      <c r="R1119" s="28"/>
      <c r="S1119" s="28">
        <v>97.374613249999996</v>
      </c>
    </row>
    <row r="1120" spans="1:19" x14ac:dyDescent="0.25">
      <c r="A1120" s="28">
        <v>2019</v>
      </c>
      <c r="B1120" s="28"/>
      <c r="C1120" s="28" t="s">
        <v>1289</v>
      </c>
      <c r="D1120" s="28" t="s">
        <v>2111</v>
      </c>
      <c r="E1120" s="28" t="s">
        <v>966</v>
      </c>
      <c r="F1120" s="28" t="s">
        <v>491</v>
      </c>
      <c r="G1120" s="28">
        <v>19153</v>
      </c>
      <c r="H1120" s="28">
        <v>39.886130000000001</v>
      </c>
      <c r="I1120" s="28">
        <v>-75.218249999999998</v>
      </c>
      <c r="J1120" s="28"/>
      <c r="K1120" s="61">
        <v>110000542119</v>
      </c>
      <c r="L1120" s="61" t="str">
        <f>IFERROR(INDEX('Facility Summary'!$K:$K,MATCH(K1120,'Facility Summary'!$J:$J,0)),INDEX('Raw Annual DMR Data'!$M:$M,MATCH(K1120,'Raw Annual DMR Data'!$L:$L,0)))</f>
        <v>POTW</v>
      </c>
      <c r="M1120" s="28"/>
      <c r="N1120" s="28"/>
      <c r="O1120" s="28"/>
      <c r="P1120" s="28"/>
      <c r="Q1120" s="28"/>
      <c r="R1120" s="28"/>
      <c r="S1120" s="28">
        <v>99.043041250000002</v>
      </c>
    </row>
    <row r="1121" spans="1:19" x14ac:dyDescent="0.25">
      <c r="A1121" s="28">
        <v>2020</v>
      </c>
      <c r="B1121" s="28"/>
      <c r="C1121" s="28" t="s">
        <v>1289</v>
      </c>
      <c r="D1121" s="28" t="s">
        <v>2111</v>
      </c>
      <c r="E1121" s="28" t="s">
        <v>966</v>
      </c>
      <c r="F1121" s="28" t="s">
        <v>491</v>
      </c>
      <c r="G1121" s="28">
        <v>19153</v>
      </c>
      <c r="H1121" s="28">
        <v>39.886130000000001</v>
      </c>
      <c r="I1121" s="28">
        <v>-75.218249999999998</v>
      </c>
      <c r="J1121" s="28"/>
      <c r="K1121" s="61">
        <v>110000542119</v>
      </c>
      <c r="L1121" s="61" t="str">
        <f>IFERROR(INDEX('Facility Summary'!$K:$K,MATCH(K1121,'Facility Summary'!$J:$J,0)),INDEX('Raw Annual DMR Data'!$M:$M,MATCH(K1121,'Raw Annual DMR Data'!$L:$L,0)))</f>
        <v>POTW</v>
      </c>
      <c r="M1121" s="28"/>
      <c r="N1121" s="28"/>
      <c r="O1121" s="28"/>
      <c r="P1121" s="28"/>
      <c r="Q1121" s="28"/>
      <c r="R1121" s="28"/>
      <c r="S1121" s="28">
        <v>60.762497500000002</v>
      </c>
    </row>
    <row r="1122" spans="1:19" x14ac:dyDescent="0.25">
      <c r="A1122" s="28">
        <v>2015</v>
      </c>
      <c r="B1122" s="28"/>
      <c r="C1122" s="28" t="s">
        <v>1290</v>
      </c>
      <c r="D1122" s="28" t="s">
        <v>2115</v>
      </c>
      <c r="E1122" s="28" t="s">
        <v>544</v>
      </c>
      <c r="F1122" s="28" t="s">
        <v>338</v>
      </c>
      <c r="G1122" s="28">
        <v>7036</v>
      </c>
      <c r="H1122" s="28">
        <v>40.636499999999998</v>
      </c>
      <c r="I1122" s="28">
        <v>-74.219899999999996</v>
      </c>
      <c r="J1122" s="28" t="s">
        <v>730</v>
      </c>
      <c r="K1122" s="61">
        <v>110041133163</v>
      </c>
      <c r="L1122" s="61" t="str">
        <f>IFERROR(INDEX('Facility Summary'!$K:$K,MATCH(K1122,'Facility Summary'!$J:$J,0)),INDEX('Raw Annual DMR Data'!$M:$M,MATCH(K1122,'Raw Annual DMR Data'!$L:$L,0)))</f>
        <v>Unknown</v>
      </c>
      <c r="M1122" s="28"/>
      <c r="N1122" s="28"/>
      <c r="O1122" s="28"/>
      <c r="P1122" s="28"/>
      <c r="Q1122" s="28"/>
      <c r="R1122" s="28"/>
      <c r="S1122" s="28">
        <v>1.845</v>
      </c>
    </row>
    <row r="1123" spans="1:19" x14ac:dyDescent="0.25">
      <c r="A1123" s="28">
        <v>2016</v>
      </c>
      <c r="B1123" s="28"/>
      <c r="C1123" s="28" t="s">
        <v>1290</v>
      </c>
      <c r="D1123" s="28" t="s">
        <v>2115</v>
      </c>
      <c r="E1123" s="28" t="s">
        <v>544</v>
      </c>
      <c r="F1123" s="28" t="s">
        <v>338</v>
      </c>
      <c r="G1123" s="28">
        <v>7036</v>
      </c>
      <c r="H1123" s="28">
        <v>40.636499999999998</v>
      </c>
      <c r="I1123" s="28">
        <v>-74.219899999999996</v>
      </c>
      <c r="J1123" s="28" t="s">
        <v>730</v>
      </c>
      <c r="K1123" s="61">
        <v>110041133163</v>
      </c>
      <c r="L1123" s="61" t="str">
        <f>IFERROR(INDEX('Facility Summary'!$K:$K,MATCH(K1123,'Facility Summary'!$J:$J,0)),INDEX('Raw Annual DMR Data'!$M:$M,MATCH(K1123,'Raw Annual DMR Data'!$L:$L,0)))</f>
        <v>Unknown</v>
      </c>
      <c r="M1123" s="28"/>
      <c r="N1123" s="28"/>
      <c r="O1123" s="28"/>
      <c r="P1123" s="28"/>
      <c r="Q1123" s="28"/>
      <c r="R1123" s="28"/>
      <c r="S1123" s="28">
        <v>1.69</v>
      </c>
    </row>
    <row r="1124" spans="1:19" x14ac:dyDescent="0.25">
      <c r="A1124" s="28">
        <v>2017</v>
      </c>
      <c r="B1124" s="28"/>
      <c r="C1124" s="28" t="s">
        <v>1290</v>
      </c>
      <c r="D1124" s="28" t="s">
        <v>2115</v>
      </c>
      <c r="E1124" s="28" t="s">
        <v>544</v>
      </c>
      <c r="F1124" s="28" t="s">
        <v>338</v>
      </c>
      <c r="G1124" s="28">
        <v>7036</v>
      </c>
      <c r="H1124" s="28">
        <v>40.636499999999998</v>
      </c>
      <c r="I1124" s="28">
        <v>-74.219899999999996</v>
      </c>
      <c r="J1124" s="28" t="s">
        <v>730</v>
      </c>
      <c r="K1124" s="61">
        <v>110041133163</v>
      </c>
      <c r="L1124" s="61" t="str">
        <f>IFERROR(INDEX('Facility Summary'!$K:$K,MATCH(K1124,'Facility Summary'!$J:$J,0)),INDEX('Raw Annual DMR Data'!$M:$M,MATCH(K1124,'Raw Annual DMR Data'!$L:$L,0)))</f>
        <v>Unknown</v>
      </c>
      <c r="M1124" s="28"/>
      <c r="N1124" s="28"/>
      <c r="O1124" s="28"/>
      <c r="P1124" s="28"/>
      <c r="Q1124" s="28"/>
      <c r="R1124" s="28"/>
      <c r="S1124" s="28">
        <v>1.9950000000000001</v>
      </c>
    </row>
    <row r="1125" spans="1:19" x14ac:dyDescent="0.25">
      <c r="A1125" s="28">
        <v>2018</v>
      </c>
      <c r="B1125" s="28"/>
      <c r="C1125" s="28" t="s">
        <v>1290</v>
      </c>
      <c r="D1125" s="28" t="s">
        <v>2115</v>
      </c>
      <c r="E1125" s="28" t="s">
        <v>544</v>
      </c>
      <c r="F1125" s="28" t="s">
        <v>338</v>
      </c>
      <c r="G1125" s="302" t="s">
        <v>1961</v>
      </c>
      <c r="H1125" s="28">
        <v>40.636499999999998</v>
      </c>
      <c r="I1125" s="28">
        <v>-74.219899999999996</v>
      </c>
      <c r="J1125" s="28" t="s">
        <v>730</v>
      </c>
      <c r="K1125" s="61">
        <v>110041133163</v>
      </c>
      <c r="L1125" s="61" t="str">
        <f>IFERROR(INDEX('Facility Summary'!$K:$K,MATCH(K1125,'Facility Summary'!$J:$J,0)),INDEX('Raw Annual DMR Data'!$M:$M,MATCH(K1125,'Raw Annual DMR Data'!$L:$L,0)))</f>
        <v>Unknown</v>
      </c>
      <c r="M1125" s="28"/>
      <c r="N1125" s="28"/>
      <c r="O1125" s="28"/>
      <c r="P1125" s="28"/>
      <c r="Q1125" s="28"/>
      <c r="R1125" s="28"/>
      <c r="S1125" s="28">
        <v>2</v>
      </c>
    </row>
    <row r="1126" spans="1:19" x14ac:dyDescent="0.25">
      <c r="A1126" s="28">
        <v>2019</v>
      </c>
      <c r="B1126" s="28"/>
      <c r="C1126" s="28" t="s">
        <v>1290</v>
      </c>
      <c r="D1126" s="28" t="s">
        <v>2115</v>
      </c>
      <c r="E1126" s="28" t="s">
        <v>544</v>
      </c>
      <c r="F1126" s="28" t="s">
        <v>338</v>
      </c>
      <c r="G1126" s="28">
        <v>7036</v>
      </c>
      <c r="H1126" s="28">
        <v>40.636499999999998</v>
      </c>
      <c r="I1126" s="28">
        <v>-74.219899999999996</v>
      </c>
      <c r="J1126" s="28" t="s">
        <v>730</v>
      </c>
      <c r="K1126" s="61">
        <v>110041133163</v>
      </c>
      <c r="L1126" s="61" t="str">
        <f>IFERROR(INDEX('Facility Summary'!$K:$K,MATCH(K1126,'Facility Summary'!$J:$J,0)),INDEX('Raw Annual DMR Data'!$M:$M,MATCH(K1126,'Raw Annual DMR Data'!$L:$L,0)))</f>
        <v>Unknown</v>
      </c>
      <c r="M1126" s="28"/>
      <c r="N1126" s="28"/>
      <c r="O1126" s="28"/>
      <c r="P1126" s="28"/>
      <c r="Q1126" s="28"/>
      <c r="R1126" s="28"/>
      <c r="S1126" s="28">
        <v>2</v>
      </c>
    </row>
    <row r="1127" spans="1:19" x14ac:dyDescent="0.25">
      <c r="A1127" s="28">
        <v>2020</v>
      </c>
      <c r="B1127" s="28"/>
      <c r="C1127" s="28" t="s">
        <v>1290</v>
      </c>
      <c r="D1127" s="28" t="s">
        <v>2115</v>
      </c>
      <c r="E1127" s="28" t="s">
        <v>544</v>
      </c>
      <c r="F1127" s="28" t="s">
        <v>338</v>
      </c>
      <c r="G1127" s="28">
        <v>7036</v>
      </c>
      <c r="H1127" s="28">
        <v>40.636499999999998</v>
      </c>
      <c r="I1127" s="28">
        <v>-74.219899999999996</v>
      </c>
      <c r="J1127" s="28" t="s">
        <v>730</v>
      </c>
      <c r="K1127" s="61">
        <v>110041133163</v>
      </c>
      <c r="L1127" s="61" t="str">
        <f>IFERROR(INDEX('Facility Summary'!$K:$K,MATCH(K1127,'Facility Summary'!$J:$J,0)),INDEX('Raw Annual DMR Data'!$M:$M,MATCH(K1127,'Raw Annual DMR Data'!$L:$L,0)))</f>
        <v>Unknown</v>
      </c>
      <c r="M1127" s="28"/>
      <c r="N1127" s="28"/>
      <c r="O1127" s="28"/>
      <c r="P1127" s="28"/>
      <c r="Q1127" s="28"/>
      <c r="R1127" s="28"/>
      <c r="S1127" s="28">
        <v>2.3050000000000002</v>
      </c>
    </row>
    <row r="1128" spans="1:19" x14ac:dyDescent="0.25">
      <c r="A1128" s="28">
        <v>2018</v>
      </c>
      <c r="B1128" s="28"/>
      <c r="C1128" s="28" t="s">
        <v>1291</v>
      </c>
      <c r="D1128" s="28" t="s">
        <v>2119</v>
      </c>
      <c r="E1128" s="28" t="s">
        <v>1292</v>
      </c>
      <c r="F1128" s="28" t="s">
        <v>366</v>
      </c>
      <c r="G1128" s="28">
        <v>90061</v>
      </c>
      <c r="H1128" s="28">
        <v>33.907359999999997</v>
      </c>
      <c r="I1128" s="28">
        <v>-118.2784</v>
      </c>
      <c r="J1128" s="28"/>
      <c r="K1128" s="61">
        <v>110028004175</v>
      </c>
      <c r="L1128" s="61" t="str">
        <f>IFERROR(INDEX('Facility Summary'!$K:$K,MATCH(K1128,'Facility Summary'!$J:$J,0)),INDEX('Raw Annual DMR Data'!$M:$M,MATCH(K1128,'Raw Annual DMR Data'!$L:$L,0)))</f>
        <v>Repackaging</v>
      </c>
      <c r="M1128" s="28"/>
      <c r="N1128" s="28"/>
      <c r="O1128" s="28"/>
      <c r="P1128" s="28"/>
      <c r="Q1128" s="28"/>
      <c r="R1128" s="28"/>
      <c r="S1128" s="302">
        <v>1.3193563749999901E-3</v>
      </c>
    </row>
    <row r="1129" spans="1:19" x14ac:dyDescent="0.25">
      <c r="A1129" s="28">
        <v>2018</v>
      </c>
      <c r="B1129" s="28"/>
      <c r="C1129" s="28" t="s">
        <v>1293</v>
      </c>
      <c r="D1129" s="28" t="s">
        <v>2122</v>
      </c>
      <c r="E1129" s="28" t="s">
        <v>1294</v>
      </c>
      <c r="F1129" s="28" t="s">
        <v>324</v>
      </c>
      <c r="G1129" s="28">
        <v>41501</v>
      </c>
      <c r="H1129" s="28">
        <v>37.491857000000003</v>
      </c>
      <c r="I1129" s="28">
        <v>-82.539703000000003</v>
      </c>
      <c r="J1129" s="28"/>
      <c r="K1129" s="61">
        <v>110006644872</v>
      </c>
      <c r="L1129" s="61" t="str">
        <f>IFERROR(INDEX('Facility Summary'!$K:$K,MATCH(K1129,'Facility Summary'!$J:$J,0)),INDEX('Raw Annual DMR Data'!$M:$M,MATCH(K1129,'Raw Annual DMR Data'!$L:$L,0)))</f>
        <v>POTW</v>
      </c>
      <c r="M1129" s="28"/>
      <c r="N1129" s="28"/>
      <c r="O1129" s="28"/>
      <c r="P1129" s="28"/>
      <c r="Q1129" s="28"/>
      <c r="R1129" s="28"/>
      <c r="S1129" s="28">
        <v>8.3305957500000005</v>
      </c>
    </row>
    <row r="1130" spans="1:19" x14ac:dyDescent="0.25">
      <c r="A1130" s="28">
        <v>2019</v>
      </c>
      <c r="B1130" s="28"/>
      <c r="C1130" s="28" t="s">
        <v>1293</v>
      </c>
      <c r="D1130" s="28" t="s">
        <v>2122</v>
      </c>
      <c r="E1130" s="28" t="s">
        <v>1294</v>
      </c>
      <c r="F1130" s="28" t="s">
        <v>324</v>
      </c>
      <c r="G1130" s="28">
        <v>41501</v>
      </c>
      <c r="H1130" s="28">
        <v>37.491857000000003</v>
      </c>
      <c r="I1130" s="28">
        <v>-82.539703000000003</v>
      </c>
      <c r="J1130" s="28"/>
      <c r="K1130" s="61">
        <v>110006644872</v>
      </c>
      <c r="L1130" s="61" t="str">
        <f>IFERROR(INDEX('Facility Summary'!$K:$K,MATCH(K1130,'Facility Summary'!$J:$J,0)),INDEX('Raw Annual DMR Data'!$M:$M,MATCH(K1130,'Raw Annual DMR Data'!$L:$L,0)))</f>
        <v>POTW</v>
      </c>
      <c r="M1130" s="28"/>
      <c r="N1130" s="28"/>
      <c r="O1130" s="28"/>
      <c r="P1130" s="28"/>
      <c r="Q1130" s="28"/>
      <c r="R1130" s="28"/>
      <c r="S1130" s="28">
        <v>7.6501946875</v>
      </c>
    </row>
    <row r="1131" spans="1:19" x14ac:dyDescent="0.25">
      <c r="A1131" s="28">
        <v>2020</v>
      </c>
      <c r="B1131" s="28"/>
      <c r="C1131" s="28" t="s">
        <v>1293</v>
      </c>
      <c r="D1131" s="28" t="s">
        <v>2122</v>
      </c>
      <c r="E1131" s="28" t="s">
        <v>1294</v>
      </c>
      <c r="F1131" s="28" t="s">
        <v>324</v>
      </c>
      <c r="G1131" s="28">
        <v>41501</v>
      </c>
      <c r="H1131" s="28">
        <v>37.491857000000003</v>
      </c>
      <c r="I1131" s="28">
        <v>-82.539703000000003</v>
      </c>
      <c r="J1131" s="28"/>
      <c r="K1131" s="61">
        <v>110006644872</v>
      </c>
      <c r="L1131" s="61" t="str">
        <f>IFERROR(INDEX('Facility Summary'!$K:$K,MATCH(K1131,'Facility Summary'!$J:$J,0)),INDEX('Raw Annual DMR Data'!$M:$M,MATCH(K1131,'Raw Annual DMR Data'!$L:$L,0)))</f>
        <v>POTW</v>
      </c>
      <c r="M1131" s="28"/>
      <c r="N1131" s="28"/>
      <c r="O1131" s="28"/>
      <c r="P1131" s="28"/>
      <c r="Q1131" s="28"/>
      <c r="R1131" s="28"/>
      <c r="S1131" s="28">
        <v>1.3628744125000001</v>
      </c>
    </row>
    <row r="1132" spans="1:19" x14ac:dyDescent="0.25">
      <c r="A1132" s="28">
        <v>2015</v>
      </c>
      <c r="B1132" s="28"/>
      <c r="C1132" s="28" t="s">
        <v>1295</v>
      </c>
      <c r="D1132" s="28" t="s">
        <v>2126</v>
      </c>
      <c r="E1132" s="28" t="s">
        <v>964</v>
      </c>
      <c r="F1132" s="28" t="s">
        <v>374</v>
      </c>
      <c r="G1132" s="28" t="s">
        <v>2127</v>
      </c>
      <c r="H1132" s="28">
        <v>32.334964999999997</v>
      </c>
      <c r="I1132" s="28">
        <v>-111.06332500000001</v>
      </c>
      <c r="J1132" s="28"/>
      <c r="K1132" s="61">
        <v>110039276404</v>
      </c>
      <c r="L1132" s="61" t="str">
        <f>IFERROR(INDEX('Facility Summary'!$K:$K,MATCH(K1132,'Facility Summary'!$J:$J,0)),INDEX('Raw Annual DMR Data'!$M:$M,MATCH(K1132,'Raw Annual DMR Data'!$L:$L,0)))</f>
        <v>POTW</v>
      </c>
      <c r="M1132" s="28"/>
      <c r="N1132" s="28"/>
      <c r="O1132" s="28"/>
      <c r="P1132" s="28"/>
      <c r="Q1132" s="28"/>
      <c r="R1132" s="28"/>
      <c r="S1132" s="28">
        <v>1.8324960164999999</v>
      </c>
    </row>
    <row r="1133" spans="1:19" x14ac:dyDescent="0.25">
      <c r="A1133" s="28">
        <v>2016</v>
      </c>
      <c r="B1133" s="28"/>
      <c r="C1133" s="28" t="s">
        <v>1295</v>
      </c>
      <c r="D1133" s="28" t="s">
        <v>2126</v>
      </c>
      <c r="E1133" s="28" t="s">
        <v>964</v>
      </c>
      <c r="F1133" s="28" t="s">
        <v>374</v>
      </c>
      <c r="G1133" s="28" t="s">
        <v>2127</v>
      </c>
      <c r="H1133" s="28">
        <v>32.334964999999997</v>
      </c>
      <c r="I1133" s="28">
        <v>-111.06332500000001</v>
      </c>
      <c r="J1133" s="28"/>
      <c r="K1133" s="61">
        <v>110039276404</v>
      </c>
      <c r="L1133" s="61" t="str">
        <f>IFERROR(INDEX('Facility Summary'!$K:$K,MATCH(K1133,'Facility Summary'!$J:$J,0)),INDEX('Raw Annual DMR Data'!$M:$M,MATCH(K1133,'Raw Annual DMR Data'!$L:$L,0)))</f>
        <v>POTW</v>
      </c>
      <c r="M1133" s="28"/>
      <c r="N1133" s="28"/>
      <c r="O1133" s="28"/>
      <c r="P1133" s="28"/>
      <c r="Q1133" s="28"/>
      <c r="R1133" s="28"/>
      <c r="S1133" s="28">
        <v>1.8227789752500001</v>
      </c>
    </row>
    <row r="1134" spans="1:19" x14ac:dyDescent="0.25">
      <c r="A1134" s="28">
        <v>2017</v>
      </c>
      <c r="B1134" s="28"/>
      <c r="C1134" s="28" t="s">
        <v>1295</v>
      </c>
      <c r="D1134" s="28" t="s">
        <v>2126</v>
      </c>
      <c r="E1134" s="28" t="s">
        <v>964</v>
      </c>
      <c r="F1134" s="28" t="s">
        <v>374</v>
      </c>
      <c r="G1134" s="28" t="s">
        <v>2127</v>
      </c>
      <c r="H1134" s="28">
        <v>32.334964999999997</v>
      </c>
      <c r="I1134" s="28">
        <v>-111.06332500000001</v>
      </c>
      <c r="J1134" s="28"/>
      <c r="K1134" s="61">
        <v>110039276404</v>
      </c>
      <c r="L1134" s="61" t="str">
        <f>IFERROR(INDEX('Facility Summary'!$K:$K,MATCH(K1134,'Facility Summary'!$J:$J,0)),INDEX('Raw Annual DMR Data'!$M:$M,MATCH(K1134,'Raw Annual DMR Data'!$L:$L,0)))</f>
        <v>POTW</v>
      </c>
      <c r="M1134" s="28"/>
      <c r="N1134" s="28"/>
      <c r="O1134" s="28"/>
      <c r="P1134" s="28"/>
      <c r="Q1134" s="28"/>
      <c r="R1134" s="28"/>
      <c r="S1134" s="28">
        <v>1.688186457</v>
      </c>
    </row>
    <row r="1135" spans="1:19" x14ac:dyDescent="0.25">
      <c r="A1135" s="28">
        <v>2018</v>
      </c>
      <c r="B1135" s="28"/>
      <c r="C1135" s="28" t="s">
        <v>1295</v>
      </c>
      <c r="D1135" s="28" t="s">
        <v>2126</v>
      </c>
      <c r="E1135" s="28" t="s">
        <v>964</v>
      </c>
      <c r="F1135" s="28" t="s">
        <v>374</v>
      </c>
      <c r="G1135" s="28" t="s">
        <v>2127</v>
      </c>
      <c r="H1135" s="28">
        <v>32.334964999999997</v>
      </c>
      <c r="I1135" s="28">
        <v>-111.06332500000001</v>
      </c>
      <c r="J1135" s="28"/>
      <c r="K1135" s="61">
        <v>110039276404</v>
      </c>
      <c r="L1135" s="61" t="str">
        <f>IFERROR(INDEX('Facility Summary'!$K:$K,MATCH(K1135,'Facility Summary'!$J:$J,0)),INDEX('Raw Annual DMR Data'!$M:$M,MATCH(K1135,'Raw Annual DMR Data'!$L:$L,0)))</f>
        <v>POTW</v>
      </c>
      <c r="M1135" s="28"/>
      <c r="N1135" s="28"/>
      <c r="O1135" s="28"/>
      <c r="P1135" s="28"/>
      <c r="Q1135" s="28"/>
      <c r="R1135" s="28"/>
      <c r="S1135" s="28">
        <v>3.4681822525000001</v>
      </c>
    </row>
    <row r="1136" spans="1:19" x14ac:dyDescent="0.25">
      <c r="A1136" s="28">
        <v>2015</v>
      </c>
      <c r="B1136" s="28"/>
      <c r="C1136" s="28" t="s">
        <v>202</v>
      </c>
      <c r="D1136" s="28" t="s">
        <v>2426</v>
      </c>
      <c r="E1136" s="28" t="s">
        <v>323</v>
      </c>
      <c r="F1136" s="28" t="s">
        <v>324</v>
      </c>
      <c r="G1136" s="28">
        <v>42029</v>
      </c>
      <c r="H1136" s="28">
        <v>37.051110999999999</v>
      </c>
      <c r="I1136" s="28">
        <v>-88.334166999999994</v>
      </c>
      <c r="J1136" s="28" t="s">
        <v>668</v>
      </c>
      <c r="K1136" s="61">
        <v>110027373072</v>
      </c>
      <c r="L1136" s="61" t="str">
        <f>IFERROR(INDEX('Facility Summary'!$K:$K,MATCH(K1136,'Facility Summary'!$J:$J,0)),INDEX('Raw Annual DMR Data'!$M:$M,MATCH(K1136,'Raw Annual DMR Data'!$L:$L,0)))</f>
        <v>Manufacturing</v>
      </c>
      <c r="M1136" s="28"/>
      <c r="N1136" s="28"/>
      <c r="O1136" s="28"/>
      <c r="P1136" s="28"/>
      <c r="Q1136" s="28"/>
      <c r="R1136" s="28"/>
      <c r="S1136" s="28">
        <v>1.28072562358276</v>
      </c>
    </row>
    <row r="1137" spans="1:19" x14ac:dyDescent="0.25">
      <c r="A1137" s="28">
        <v>2015</v>
      </c>
      <c r="B1137" s="28"/>
      <c r="C1137" s="28" t="s">
        <v>202</v>
      </c>
      <c r="D1137" s="28" t="s">
        <v>2426</v>
      </c>
      <c r="E1137" s="28" t="s">
        <v>323</v>
      </c>
      <c r="F1137" s="28" t="s">
        <v>324</v>
      </c>
      <c r="G1137" s="28">
        <v>42029</v>
      </c>
      <c r="H1137" s="28">
        <v>37.051110999999999</v>
      </c>
      <c r="I1137" s="28">
        <v>-88.334166999999994</v>
      </c>
      <c r="J1137" s="28" t="s">
        <v>668</v>
      </c>
      <c r="K1137" s="61">
        <v>110027373072</v>
      </c>
      <c r="L1137" s="61" t="str">
        <f>IFERROR(INDEX('Facility Summary'!$K:$K,MATCH(K1137,'Facility Summary'!$J:$J,0)),INDEX('Raw Annual DMR Data'!$M:$M,MATCH(K1137,'Raw Annual DMR Data'!$L:$L,0)))</f>
        <v>Manufacturing</v>
      </c>
      <c r="M1137" s="28"/>
      <c r="N1137" s="28"/>
      <c r="O1137" s="28"/>
      <c r="P1137" s="28"/>
      <c r="Q1137" s="28"/>
      <c r="R1137" s="28"/>
      <c r="S1137" s="28">
        <v>11.459863945578199</v>
      </c>
    </row>
    <row r="1138" spans="1:19" x14ac:dyDescent="0.25">
      <c r="A1138" s="28">
        <v>2020</v>
      </c>
      <c r="B1138" s="28"/>
      <c r="C1138" s="28" t="s">
        <v>1300</v>
      </c>
      <c r="D1138" s="28" t="s">
        <v>2135</v>
      </c>
      <c r="E1138" s="28" t="s">
        <v>968</v>
      </c>
      <c r="F1138" s="28" t="s">
        <v>294</v>
      </c>
      <c r="G1138" s="28">
        <v>22301</v>
      </c>
      <c r="H1138" s="28">
        <v>38.828830000000004</v>
      </c>
      <c r="I1138" s="28">
        <v>-77.049679999999995</v>
      </c>
      <c r="J1138" s="28"/>
      <c r="K1138" s="61">
        <v>110070884091</v>
      </c>
      <c r="L1138" s="61" t="str">
        <f>IFERROR(INDEX('Facility Summary'!$K:$K,MATCH(K1138,'Facility Summary'!$J:$J,0)),INDEX('Raw Annual DMR Data'!$M:$M,MATCH(K1138,'Raw Annual DMR Data'!$L:$L,0)))</f>
        <v>Unknown</v>
      </c>
      <c r="M1138" s="28"/>
      <c r="N1138" s="28"/>
      <c r="O1138" s="28"/>
      <c r="P1138" s="28"/>
      <c r="Q1138" s="28"/>
      <c r="R1138" s="28"/>
      <c r="S1138" s="28">
        <v>0.24077141999999899</v>
      </c>
    </row>
    <row r="1139" spans="1:19" x14ac:dyDescent="0.25">
      <c r="A1139" s="28">
        <v>2020</v>
      </c>
      <c r="B1139" s="28"/>
      <c r="C1139" s="28" t="s">
        <v>1300</v>
      </c>
      <c r="D1139" s="28" t="s">
        <v>2135</v>
      </c>
      <c r="E1139" s="28" t="s">
        <v>968</v>
      </c>
      <c r="F1139" s="28" t="s">
        <v>294</v>
      </c>
      <c r="G1139" s="28">
        <v>22301</v>
      </c>
      <c r="H1139" s="28">
        <v>38.828830000000004</v>
      </c>
      <c r="I1139" s="28">
        <v>-77.049679999999995</v>
      </c>
      <c r="J1139" s="28"/>
      <c r="K1139" s="61">
        <v>110070884091</v>
      </c>
      <c r="L1139" s="61" t="str">
        <f>IFERROR(INDEX('Facility Summary'!$K:$K,MATCH(K1139,'Facility Summary'!$J:$J,0)),INDEX('Raw Annual DMR Data'!$M:$M,MATCH(K1139,'Raw Annual DMR Data'!$L:$L,0)))</f>
        <v>Unknown</v>
      </c>
      <c r="M1139" s="28"/>
      <c r="N1139" s="28"/>
      <c r="O1139" s="28"/>
      <c r="P1139" s="28"/>
      <c r="Q1139" s="28"/>
      <c r="R1139" s="28"/>
      <c r="S1139" s="28">
        <v>0.24077141999999899</v>
      </c>
    </row>
    <row r="1140" spans="1:19" x14ac:dyDescent="0.25">
      <c r="A1140" s="28">
        <v>2018</v>
      </c>
      <c r="B1140" s="28"/>
      <c r="C1140" s="28" t="s">
        <v>1301</v>
      </c>
      <c r="D1140" s="28" t="s">
        <v>2137</v>
      </c>
      <c r="E1140" s="28" t="s">
        <v>1302</v>
      </c>
      <c r="F1140" s="28" t="s">
        <v>345</v>
      </c>
      <c r="G1140" s="28" t="s">
        <v>2138</v>
      </c>
      <c r="H1140" s="28">
        <v>38.2774</v>
      </c>
      <c r="I1140" s="28">
        <v>-89.666899999999998</v>
      </c>
      <c r="J1140" s="28" t="s">
        <v>731</v>
      </c>
      <c r="K1140" s="61">
        <v>110044852068</v>
      </c>
      <c r="L1140" s="61" t="str">
        <f>IFERROR(INDEX('Facility Summary'!$K:$K,MATCH(K1140,'Facility Summary'!$J:$J,0)),INDEX('Raw Annual DMR Data'!$M:$M,MATCH(K1140,'Raw Annual DMR Data'!$L:$L,0)))</f>
        <v>Unknown</v>
      </c>
      <c r="M1140" s="28"/>
      <c r="N1140" s="28"/>
      <c r="O1140" s="28"/>
      <c r="P1140" s="28"/>
      <c r="Q1140" s="28"/>
      <c r="R1140" s="28"/>
      <c r="S1140" s="28">
        <v>1.5611232500000001</v>
      </c>
    </row>
    <row r="1141" spans="1:19" x14ac:dyDescent="0.25">
      <c r="A1141" s="28">
        <v>2019</v>
      </c>
      <c r="B1141" s="28"/>
      <c r="C1141" s="28" t="s">
        <v>1301</v>
      </c>
      <c r="D1141" s="28" t="s">
        <v>2137</v>
      </c>
      <c r="E1141" s="28" t="s">
        <v>1302</v>
      </c>
      <c r="F1141" s="28" t="s">
        <v>345</v>
      </c>
      <c r="G1141" s="28" t="s">
        <v>2138</v>
      </c>
      <c r="H1141" s="28">
        <v>38.2774</v>
      </c>
      <c r="I1141" s="28">
        <v>-89.666899999999998</v>
      </c>
      <c r="J1141" s="28" t="s">
        <v>731</v>
      </c>
      <c r="K1141" s="61">
        <v>110044852068</v>
      </c>
      <c r="L1141" s="61" t="str">
        <f>IFERROR(INDEX('Facility Summary'!$K:$K,MATCH(K1141,'Facility Summary'!$J:$J,0)),INDEX('Raw Annual DMR Data'!$M:$M,MATCH(K1141,'Raw Annual DMR Data'!$L:$L,0)))</f>
        <v>Unknown</v>
      </c>
      <c r="M1141" s="28"/>
      <c r="N1141" s="28"/>
      <c r="O1141" s="28"/>
      <c r="P1141" s="28"/>
      <c r="Q1141" s="28"/>
      <c r="R1141" s="28"/>
      <c r="S1141" s="28">
        <v>2.0336048</v>
      </c>
    </row>
    <row r="1142" spans="1:19" x14ac:dyDescent="0.25">
      <c r="A1142" s="28">
        <v>2020</v>
      </c>
      <c r="B1142" s="28"/>
      <c r="C1142" s="28" t="s">
        <v>1301</v>
      </c>
      <c r="D1142" s="28" t="s">
        <v>2137</v>
      </c>
      <c r="E1142" s="28" t="s">
        <v>1302</v>
      </c>
      <c r="F1142" s="28" t="s">
        <v>345</v>
      </c>
      <c r="G1142" s="28" t="s">
        <v>2138</v>
      </c>
      <c r="H1142" s="28">
        <v>38.2774</v>
      </c>
      <c r="I1142" s="28">
        <v>-89.666899999999998</v>
      </c>
      <c r="J1142" s="28" t="s">
        <v>731</v>
      </c>
      <c r="K1142" s="61">
        <v>110044852068</v>
      </c>
      <c r="L1142" s="61" t="str">
        <f>IFERROR(INDEX('Facility Summary'!$K:$K,MATCH(K1142,'Facility Summary'!$J:$J,0)),INDEX('Raw Annual DMR Data'!$M:$M,MATCH(K1142,'Raw Annual DMR Data'!$L:$L,0)))</f>
        <v>Unknown</v>
      </c>
      <c r="M1142" s="28"/>
      <c r="N1142" s="28"/>
      <c r="O1142" s="28"/>
      <c r="P1142" s="28"/>
      <c r="Q1142" s="28"/>
      <c r="R1142" s="28"/>
      <c r="S1142" s="28">
        <v>2.0337429524999999</v>
      </c>
    </row>
    <row r="1143" spans="1:19" x14ac:dyDescent="0.25">
      <c r="A1143" s="28">
        <v>2015</v>
      </c>
      <c r="B1143" s="28"/>
      <c r="C1143" s="28" t="s">
        <v>1303</v>
      </c>
      <c r="D1143" s="28" t="s">
        <v>2142</v>
      </c>
      <c r="E1143" s="28" t="s">
        <v>1304</v>
      </c>
      <c r="F1143" s="28" t="s">
        <v>374</v>
      </c>
      <c r="G1143" s="28">
        <v>85346</v>
      </c>
      <c r="H1143" s="28">
        <v>33.708300000000001</v>
      </c>
      <c r="I1143" s="28">
        <v>-114.2206</v>
      </c>
      <c r="J1143" s="28"/>
      <c r="K1143" s="61">
        <v>110010062528</v>
      </c>
      <c r="L1143" s="61" t="str">
        <f>IFERROR(INDEX('Facility Summary'!$K:$K,MATCH(K1143,'Facility Summary'!$J:$J,0)),INDEX('Raw Annual DMR Data'!$M:$M,MATCH(K1143,'Raw Annual DMR Data'!$L:$L,0)))</f>
        <v>POTW</v>
      </c>
      <c r="M1143" s="28"/>
      <c r="N1143" s="28"/>
      <c r="O1143" s="28"/>
      <c r="P1143" s="28"/>
      <c r="Q1143" s="28"/>
      <c r="R1143" s="28"/>
      <c r="S1143" s="28">
        <v>0.29219253750000002</v>
      </c>
    </row>
    <row r="1144" spans="1:19" x14ac:dyDescent="0.25">
      <c r="A1144" s="28">
        <v>2019</v>
      </c>
      <c r="B1144" s="28"/>
      <c r="C1144" s="28" t="s">
        <v>1305</v>
      </c>
      <c r="D1144" s="28" t="s">
        <v>2144</v>
      </c>
      <c r="E1144" s="28" t="s">
        <v>293</v>
      </c>
      <c r="F1144" s="28" t="s">
        <v>294</v>
      </c>
      <c r="G1144" s="28">
        <v>22209</v>
      </c>
      <c r="H1144" s="28">
        <v>38.89546</v>
      </c>
      <c r="I1144" s="28">
        <v>-77.076479000000006</v>
      </c>
      <c r="J1144" s="28"/>
      <c r="K1144" s="61">
        <v>110070602296</v>
      </c>
      <c r="L1144" s="61" t="str">
        <f>IFERROR(INDEX('Facility Summary'!$K:$K,MATCH(K1144,'Facility Summary'!$J:$J,0)),INDEX('Raw Annual DMR Data'!$M:$M,MATCH(K1144,'Raw Annual DMR Data'!$L:$L,0)))</f>
        <v>Unknown</v>
      </c>
      <c r="M1144" s="28"/>
      <c r="N1144" s="28"/>
      <c r="O1144" s="28"/>
      <c r="P1144" s="28"/>
      <c r="Q1144" s="28"/>
      <c r="R1144" s="28"/>
      <c r="S1144" s="28">
        <v>2.5347387999999898E-3</v>
      </c>
    </row>
    <row r="1145" spans="1:19" x14ac:dyDescent="0.25">
      <c r="A1145" s="28">
        <v>2020</v>
      </c>
      <c r="B1145" s="28"/>
      <c r="C1145" s="28" t="s">
        <v>1305</v>
      </c>
      <c r="D1145" s="28" t="s">
        <v>2144</v>
      </c>
      <c r="E1145" s="28" t="s">
        <v>293</v>
      </c>
      <c r="F1145" s="28" t="s">
        <v>294</v>
      </c>
      <c r="G1145" s="28">
        <v>22209</v>
      </c>
      <c r="H1145" s="28">
        <v>38.89546</v>
      </c>
      <c r="I1145" s="28">
        <v>-77.076479000000006</v>
      </c>
      <c r="J1145" s="28"/>
      <c r="K1145" s="61">
        <v>110070602296</v>
      </c>
      <c r="L1145" s="61" t="str">
        <f>IFERROR(INDEX('Facility Summary'!$K:$K,MATCH(K1145,'Facility Summary'!$J:$J,0)),INDEX('Raw Annual DMR Data'!$M:$M,MATCH(K1145,'Raw Annual DMR Data'!$L:$L,0)))</f>
        <v>Unknown</v>
      </c>
      <c r="M1145" s="28"/>
      <c r="N1145" s="28"/>
      <c r="O1145" s="28"/>
      <c r="P1145" s="28"/>
      <c r="Q1145" s="28"/>
      <c r="R1145" s="28"/>
      <c r="S1145" s="28">
        <v>3.9138868199999899E-3</v>
      </c>
    </row>
    <row r="1146" spans="1:19" x14ac:dyDescent="0.25">
      <c r="A1146" s="28">
        <v>2019</v>
      </c>
      <c r="B1146" s="28"/>
      <c r="C1146" s="28" t="s">
        <v>1306</v>
      </c>
      <c r="D1146" s="28" t="s">
        <v>2146</v>
      </c>
      <c r="E1146" s="28" t="s">
        <v>1307</v>
      </c>
      <c r="F1146" s="28" t="s">
        <v>324</v>
      </c>
      <c r="G1146" s="28">
        <v>40160</v>
      </c>
      <c r="H1146" s="28">
        <v>37.845027999999999</v>
      </c>
      <c r="I1146" s="28">
        <v>-85.940962999999996</v>
      </c>
      <c r="J1146" s="28"/>
      <c r="K1146" s="61">
        <v>110000732253</v>
      </c>
      <c r="L1146" s="61" t="str">
        <f>IFERROR(INDEX('Facility Summary'!$K:$K,MATCH(K1146,'Facility Summary'!$J:$J,0)),INDEX('Raw Annual DMR Data'!$M:$M,MATCH(K1146,'Raw Annual DMR Data'!$L:$L,0)))</f>
        <v>POTW</v>
      </c>
      <c r="M1146" s="28"/>
      <c r="N1146" s="28"/>
      <c r="O1146" s="28"/>
      <c r="P1146" s="28"/>
      <c r="Q1146" s="28"/>
      <c r="R1146" s="28"/>
      <c r="S1146" s="28">
        <v>13.5216759375</v>
      </c>
    </row>
    <row r="1147" spans="1:19" x14ac:dyDescent="0.25">
      <c r="A1147" s="28">
        <v>2020</v>
      </c>
      <c r="B1147" s="28"/>
      <c r="C1147" s="28" t="s">
        <v>1306</v>
      </c>
      <c r="D1147" s="28" t="s">
        <v>2146</v>
      </c>
      <c r="E1147" s="28" t="s">
        <v>1307</v>
      </c>
      <c r="F1147" s="28" t="s">
        <v>324</v>
      </c>
      <c r="G1147" s="28">
        <v>40160</v>
      </c>
      <c r="H1147" s="28">
        <v>37.845027999999999</v>
      </c>
      <c r="I1147" s="28">
        <v>-85.940962999999996</v>
      </c>
      <c r="J1147" s="28"/>
      <c r="K1147" s="61">
        <v>110000732253</v>
      </c>
      <c r="L1147" s="61" t="str">
        <f>IFERROR(INDEX('Facility Summary'!$K:$K,MATCH(K1147,'Facility Summary'!$J:$J,0)),INDEX('Raw Annual DMR Data'!$M:$M,MATCH(K1147,'Raw Annual DMR Data'!$L:$L,0)))</f>
        <v>POTW</v>
      </c>
      <c r="M1147" s="28"/>
      <c r="N1147" s="28"/>
      <c r="O1147" s="28"/>
      <c r="P1147" s="28"/>
      <c r="Q1147" s="28"/>
      <c r="R1147" s="28"/>
      <c r="S1147" s="28">
        <v>8.2511580625000001</v>
      </c>
    </row>
    <row r="1148" spans="1:19" x14ac:dyDescent="0.25">
      <c r="A1148" s="28">
        <v>2016</v>
      </c>
      <c r="B1148" s="28"/>
      <c r="C1148" s="28" t="s">
        <v>1308</v>
      </c>
      <c r="D1148" s="28" t="s">
        <v>2149</v>
      </c>
      <c r="E1148" s="28" t="s">
        <v>657</v>
      </c>
      <c r="F1148" s="28" t="s">
        <v>418</v>
      </c>
      <c r="G1148" s="28">
        <v>89109</v>
      </c>
      <c r="H1148" s="28">
        <v>36.132570000000001</v>
      </c>
      <c r="I1148" s="28">
        <v>-115.16477</v>
      </c>
      <c r="J1148" s="28"/>
      <c r="K1148" s="61">
        <v>110041253256</v>
      </c>
      <c r="L1148" s="61" t="str">
        <f>IFERROR(INDEX('Facility Summary'!$K:$K,MATCH(K1148,'Facility Summary'!$J:$J,0)),INDEX('Raw Annual DMR Data'!$M:$M,MATCH(K1148,'Raw Annual DMR Data'!$L:$L,0)))</f>
        <v>Remediation</v>
      </c>
      <c r="M1148" s="28"/>
      <c r="N1148" s="28"/>
      <c r="O1148" s="28"/>
      <c r="P1148" s="28"/>
      <c r="Q1148" s="28"/>
      <c r="R1148" s="28"/>
      <c r="S1148" s="28">
        <v>3.3992422624999998E-2</v>
      </c>
    </row>
    <row r="1149" spans="1:19" x14ac:dyDescent="0.25">
      <c r="A1149" s="28">
        <v>2017</v>
      </c>
      <c r="B1149" s="28"/>
      <c r="C1149" s="28" t="s">
        <v>1308</v>
      </c>
      <c r="D1149" s="28" t="s">
        <v>2149</v>
      </c>
      <c r="E1149" s="28" t="s">
        <v>657</v>
      </c>
      <c r="F1149" s="28" t="s">
        <v>418</v>
      </c>
      <c r="G1149" s="28">
        <v>89109</v>
      </c>
      <c r="H1149" s="28">
        <v>36.132570000000001</v>
      </c>
      <c r="I1149" s="28">
        <v>-115.16477</v>
      </c>
      <c r="J1149" s="28"/>
      <c r="K1149" s="61">
        <v>110041253256</v>
      </c>
      <c r="L1149" s="61" t="str">
        <f>IFERROR(INDEX('Facility Summary'!$K:$K,MATCH(K1149,'Facility Summary'!$J:$J,0)),INDEX('Raw Annual DMR Data'!$M:$M,MATCH(K1149,'Raw Annual DMR Data'!$L:$L,0)))</f>
        <v>Remediation</v>
      </c>
      <c r="M1149" s="28"/>
      <c r="N1149" s="28"/>
      <c r="O1149" s="28"/>
      <c r="P1149" s="28"/>
      <c r="Q1149" s="28"/>
      <c r="R1149" s="28"/>
      <c r="S1149" s="28">
        <v>0.10430513750000001</v>
      </c>
    </row>
    <row r="1150" spans="1:19" x14ac:dyDescent="0.25">
      <c r="A1150" s="28">
        <v>2018</v>
      </c>
      <c r="B1150" s="28"/>
      <c r="C1150" s="28" t="s">
        <v>1308</v>
      </c>
      <c r="D1150" s="28" t="s">
        <v>2149</v>
      </c>
      <c r="E1150" s="28" t="s">
        <v>657</v>
      </c>
      <c r="F1150" s="28" t="s">
        <v>418</v>
      </c>
      <c r="G1150" s="28">
        <v>89109</v>
      </c>
      <c r="H1150" s="28">
        <v>36.132570000000001</v>
      </c>
      <c r="I1150" s="28">
        <v>-115.16477</v>
      </c>
      <c r="J1150" s="28"/>
      <c r="K1150" s="61">
        <v>110041253256</v>
      </c>
      <c r="L1150" s="61" t="str">
        <f>IFERROR(INDEX('Facility Summary'!$K:$K,MATCH(K1150,'Facility Summary'!$J:$J,0)),INDEX('Raw Annual DMR Data'!$M:$M,MATCH(K1150,'Raw Annual DMR Data'!$L:$L,0)))</f>
        <v>Remediation</v>
      </c>
      <c r="M1150" s="28"/>
      <c r="N1150" s="28"/>
      <c r="O1150" s="28"/>
      <c r="P1150" s="28"/>
      <c r="Q1150" s="28"/>
      <c r="R1150" s="28"/>
      <c r="S1150" s="28">
        <v>0.11881115</v>
      </c>
    </row>
    <row r="1151" spans="1:19" x14ac:dyDescent="0.25">
      <c r="A1151" s="28">
        <v>2019</v>
      </c>
      <c r="B1151" s="28"/>
      <c r="C1151" s="28" t="s">
        <v>1308</v>
      </c>
      <c r="D1151" s="28" t="s">
        <v>2149</v>
      </c>
      <c r="E1151" s="28" t="s">
        <v>657</v>
      </c>
      <c r="F1151" s="28" t="s">
        <v>418</v>
      </c>
      <c r="G1151" s="28">
        <v>89109</v>
      </c>
      <c r="H1151" s="28">
        <v>36.132570000000001</v>
      </c>
      <c r="I1151" s="28">
        <v>-115.16477</v>
      </c>
      <c r="J1151" s="28"/>
      <c r="K1151" s="61">
        <v>110041253256</v>
      </c>
      <c r="L1151" s="61" t="str">
        <f>IFERROR(INDEX('Facility Summary'!$K:$K,MATCH(K1151,'Facility Summary'!$J:$J,0)),INDEX('Raw Annual DMR Data'!$M:$M,MATCH(K1151,'Raw Annual DMR Data'!$L:$L,0)))</f>
        <v>Remediation</v>
      </c>
      <c r="M1151" s="28"/>
      <c r="N1151" s="28"/>
      <c r="O1151" s="28"/>
      <c r="P1151" s="28"/>
      <c r="Q1151" s="28"/>
      <c r="R1151" s="28"/>
      <c r="S1151" s="28">
        <v>7.8746924999999995E-2</v>
      </c>
    </row>
    <row r="1152" spans="1:19" x14ac:dyDescent="0.25">
      <c r="A1152" s="28">
        <v>2020</v>
      </c>
      <c r="B1152" s="28"/>
      <c r="C1152" s="28" t="s">
        <v>1308</v>
      </c>
      <c r="D1152" s="28" t="s">
        <v>2149</v>
      </c>
      <c r="E1152" s="28" t="s">
        <v>657</v>
      </c>
      <c r="F1152" s="28" t="s">
        <v>418</v>
      </c>
      <c r="G1152" s="28">
        <v>89109</v>
      </c>
      <c r="H1152" s="28">
        <v>36.132570000000001</v>
      </c>
      <c r="I1152" s="28">
        <v>-115.16477</v>
      </c>
      <c r="J1152" s="28"/>
      <c r="K1152" s="61">
        <v>110041253256</v>
      </c>
      <c r="L1152" s="61" t="str">
        <f>IFERROR(INDEX('Facility Summary'!$K:$K,MATCH(K1152,'Facility Summary'!$J:$J,0)),INDEX('Raw Annual DMR Data'!$M:$M,MATCH(K1152,'Raw Annual DMR Data'!$L:$L,0)))</f>
        <v>Remediation</v>
      </c>
      <c r="M1152" s="28"/>
      <c r="N1152" s="28"/>
      <c r="O1152" s="28"/>
      <c r="P1152" s="28"/>
      <c r="Q1152" s="28"/>
      <c r="R1152" s="28"/>
      <c r="S1152" s="28">
        <v>0.1222649625</v>
      </c>
    </row>
    <row r="1153" spans="1:19" x14ac:dyDescent="0.25">
      <c r="A1153" s="28">
        <v>2015</v>
      </c>
      <c r="B1153" s="28"/>
      <c r="C1153" s="28" t="s">
        <v>1309</v>
      </c>
      <c r="D1153" s="28" t="s">
        <v>2152</v>
      </c>
      <c r="E1153" s="28" t="s">
        <v>1310</v>
      </c>
      <c r="F1153" s="28" t="s">
        <v>366</v>
      </c>
      <c r="G1153" s="28">
        <v>92316</v>
      </c>
      <c r="H1153" s="28">
        <v>34.055900000000001</v>
      </c>
      <c r="I1153" s="28">
        <v>-117.36134</v>
      </c>
      <c r="J1153" s="28"/>
      <c r="K1153" s="61">
        <v>110000525842</v>
      </c>
      <c r="L1153" s="61" t="str">
        <f>IFERROR(INDEX('Facility Summary'!$K:$K,MATCH(K1153,'Facility Summary'!$J:$J,0)),INDEX('Raw Annual DMR Data'!$M:$M,MATCH(K1153,'Raw Annual DMR Data'!$L:$L,0)))</f>
        <v>POTW</v>
      </c>
      <c r="M1153" s="28"/>
      <c r="N1153" s="28"/>
      <c r="O1153" s="28"/>
      <c r="P1153" s="28"/>
      <c r="Q1153" s="28"/>
      <c r="R1153" s="28"/>
      <c r="S1153" s="28">
        <v>0.93800816249999996</v>
      </c>
    </row>
    <row r="1154" spans="1:19" x14ac:dyDescent="0.25">
      <c r="A1154" s="28">
        <v>2016</v>
      </c>
      <c r="B1154" s="28"/>
      <c r="C1154" s="28" t="s">
        <v>1309</v>
      </c>
      <c r="D1154" s="28" t="s">
        <v>2152</v>
      </c>
      <c r="E1154" s="28" t="s">
        <v>1310</v>
      </c>
      <c r="F1154" s="28" t="s">
        <v>366</v>
      </c>
      <c r="G1154" s="28">
        <v>92316</v>
      </c>
      <c r="H1154" s="28">
        <v>34.055900000000001</v>
      </c>
      <c r="I1154" s="28">
        <v>-117.36134</v>
      </c>
      <c r="J1154" s="28"/>
      <c r="K1154" s="61">
        <v>110000525842</v>
      </c>
      <c r="L1154" s="61" t="str">
        <f>IFERROR(INDEX('Facility Summary'!$K:$K,MATCH(K1154,'Facility Summary'!$J:$J,0)),INDEX('Raw Annual DMR Data'!$M:$M,MATCH(K1154,'Raw Annual DMR Data'!$L:$L,0)))</f>
        <v>POTW</v>
      </c>
      <c r="M1154" s="28"/>
      <c r="N1154" s="28"/>
      <c r="O1154" s="28"/>
      <c r="P1154" s="28"/>
      <c r="Q1154" s="28"/>
      <c r="R1154" s="28"/>
      <c r="S1154" s="28">
        <v>1.04871846625</v>
      </c>
    </row>
    <row r="1155" spans="1:19" x14ac:dyDescent="0.25">
      <c r="A1155" s="28">
        <v>2017</v>
      </c>
      <c r="B1155" s="28"/>
      <c r="C1155" s="28" t="s">
        <v>1309</v>
      </c>
      <c r="D1155" s="28" t="s">
        <v>2152</v>
      </c>
      <c r="E1155" s="28" t="s">
        <v>1310</v>
      </c>
      <c r="F1155" s="28" t="s">
        <v>366</v>
      </c>
      <c r="G1155" s="28">
        <v>92316</v>
      </c>
      <c r="H1155" s="28">
        <v>34.055900000000001</v>
      </c>
      <c r="I1155" s="28">
        <v>-117.36134</v>
      </c>
      <c r="J1155" s="28"/>
      <c r="K1155" s="61">
        <v>110000525842</v>
      </c>
      <c r="L1155" s="61" t="str">
        <f>IFERROR(INDEX('Facility Summary'!$K:$K,MATCH(K1155,'Facility Summary'!$J:$J,0)),INDEX('Raw Annual DMR Data'!$M:$M,MATCH(K1155,'Raw Annual DMR Data'!$L:$L,0)))</f>
        <v>POTW</v>
      </c>
      <c r="M1155" s="28"/>
      <c r="N1155" s="28"/>
      <c r="O1155" s="28"/>
      <c r="P1155" s="28"/>
      <c r="Q1155" s="28"/>
      <c r="R1155" s="28"/>
      <c r="S1155" s="28">
        <v>1.0033088750000001</v>
      </c>
    </row>
    <row r="1156" spans="1:19" x14ac:dyDescent="0.25">
      <c r="A1156" s="28">
        <v>2018</v>
      </c>
      <c r="B1156" s="28"/>
      <c r="C1156" s="28" t="s">
        <v>1309</v>
      </c>
      <c r="D1156" s="28" t="s">
        <v>2152</v>
      </c>
      <c r="E1156" s="28" t="s">
        <v>1310</v>
      </c>
      <c r="F1156" s="28" t="s">
        <v>366</v>
      </c>
      <c r="G1156" s="28">
        <v>92316</v>
      </c>
      <c r="H1156" s="28">
        <v>34.055900000000001</v>
      </c>
      <c r="I1156" s="28">
        <v>-117.36134</v>
      </c>
      <c r="J1156" s="28"/>
      <c r="K1156" s="61">
        <v>110000525842</v>
      </c>
      <c r="L1156" s="61" t="str">
        <f>IFERROR(INDEX('Facility Summary'!$K:$K,MATCH(K1156,'Facility Summary'!$J:$J,0)),INDEX('Raw Annual DMR Data'!$M:$M,MATCH(K1156,'Raw Annual DMR Data'!$L:$L,0)))</f>
        <v>POTW</v>
      </c>
      <c r="M1156" s="28"/>
      <c r="N1156" s="28"/>
      <c r="O1156" s="28"/>
      <c r="P1156" s="28"/>
      <c r="Q1156" s="28"/>
      <c r="R1156" s="28"/>
      <c r="S1156" s="28">
        <v>0.99492226125000005</v>
      </c>
    </row>
    <row r="1157" spans="1:19" x14ac:dyDescent="0.25">
      <c r="A1157" s="28">
        <v>2019</v>
      </c>
      <c r="B1157" s="28"/>
      <c r="C1157" s="28" t="s">
        <v>1309</v>
      </c>
      <c r="D1157" s="28" t="s">
        <v>2152</v>
      </c>
      <c r="E1157" s="28" t="s">
        <v>1310</v>
      </c>
      <c r="F1157" s="28" t="s">
        <v>366</v>
      </c>
      <c r="G1157" s="28">
        <v>92316</v>
      </c>
      <c r="H1157" s="28">
        <v>34.055900000000001</v>
      </c>
      <c r="I1157" s="28">
        <v>-117.36134</v>
      </c>
      <c r="J1157" s="28"/>
      <c r="K1157" s="61">
        <v>110000525842</v>
      </c>
      <c r="L1157" s="61" t="str">
        <f>IFERROR(INDEX('Facility Summary'!$K:$K,MATCH(K1157,'Facility Summary'!$J:$J,0)),INDEX('Raw Annual DMR Data'!$M:$M,MATCH(K1157,'Raw Annual DMR Data'!$L:$L,0)))</f>
        <v>POTW</v>
      </c>
      <c r="M1157" s="28"/>
      <c r="N1157" s="28"/>
      <c r="O1157" s="28"/>
      <c r="P1157" s="28"/>
      <c r="Q1157" s="28"/>
      <c r="R1157" s="28"/>
      <c r="S1157" s="28">
        <v>1.627694303125</v>
      </c>
    </row>
    <row r="1158" spans="1:19" x14ac:dyDescent="0.25">
      <c r="A1158" s="28">
        <v>2020</v>
      </c>
      <c r="B1158" s="28"/>
      <c r="C1158" s="28" t="s">
        <v>1309</v>
      </c>
      <c r="D1158" s="28" t="s">
        <v>2152</v>
      </c>
      <c r="E1158" s="28" t="s">
        <v>1310</v>
      </c>
      <c r="F1158" s="28" t="s">
        <v>366</v>
      </c>
      <c r="G1158" s="28">
        <v>92316</v>
      </c>
      <c r="H1158" s="28">
        <v>34.055900000000001</v>
      </c>
      <c r="I1158" s="28">
        <v>-117.36134</v>
      </c>
      <c r="J1158" s="28"/>
      <c r="K1158" s="61">
        <v>110000525842</v>
      </c>
      <c r="L1158" s="61" t="str">
        <f>IFERROR(INDEX('Facility Summary'!$K:$K,MATCH(K1158,'Facility Summary'!$J:$J,0)),INDEX('Raw Annual DMR Data'!$M:$M,MATCH(K1158,'Raw Annual DMR Data'!$L:$L,0)))</f>
        <v>POTW</v>
      </c>
      <c r="M1158" s="28"/>
      <c r="N1158" s="28"/>
      <c r="O1158" s="28"/>
      <c r="P1158" s="28"/>
      <c r="Q1158" s="28"/>
      <c r="R1158" s="28"/>
      <c r="S1158" s="28">
        <v>2.38767924875</v>
      </c>
    </row>
    <row r="1159" spans="1:19" x14ac:dyDescent="0.25">
      <c r="A1159" s="28">
        <v>2017</v>
      </c>
      <c r="B1159" s="28"/>
      <c r="C1159" s="28" t="s">
        <v>1311</v>
      </c>
      <c r="D1159" s="28" t="s">
        <v>2155</v>
      </c>
      <c r="E1159" s="28" t="s">
        <v>1312</v>
      </c>
      <c r="F1159" s="28" t="s">
        <v>506</v>
      </c>
      <c r="G1159" s="28">
        <v>21157</v>
      </c>
      <c r="H1159" s="28">
        <v>39.567390000000003</v>
      </c>
      <c r="I1159" s="28">
        <v>-76.920410000000004</v>
      </c>
      <c r="J1159" s="28"/>
      <c r="K1159" s="61">
        <v>110041245015</v>
      </c>
      <c r="L1159" s="61" t="str">
        <f>IFERROR(INDEX('Facility Summary'!$K:$K,MATCH(K1159,'Facility Summary'!$J:$J,0)),INDEX('Raw Annual DMR Data'!$M:$M,MATCH(K1159,'Raw Annual DMR Data'!$L:$L,0)))</f>
        <v>Unknown</v>
      </c>
      <c r="M1159" s="28"/>
      <c r="N1159" s="28"/>
      <c r="O1159" s="28"/>
      <c r="P1159" s="28"/>
      <c r="Q1159" s="28"/>
      <c r="R1159" s="28"/>
      <c r="S1159" s="28">
        <v>1.16738862499999E-4</v>
      </c>
    </row>
    <row r="1160" spans="1:19" x14ac:dyDescent="0.25">
      <c r="A1160" s="28">
        <v>2017</v>
      </c>
      <c r="B1160" s="28"/>
      <c r="C1160" s="28" t="s">
        <v>1311</v>
      </c>
      <c r="D1160" s="28" t="s">
        <v>2155</v>
      </c>
      <c r="E1160" s="28" t="s">
        <v>1312</v>
      </c>
      <c r="F1160" s="28" t="s">
        <v>506</v>
      </c>
      <c r="G1160" s="28">
        <v>21157</v>
      </c>
      <c r="H1160" s="28">
        <v>39.567390000000003</v>
      </c>
      <c r="I1160" s="28">
        <v>-76.920410000000004</v>
      </c>
      <c r="J1160" s="28"/>
      <c r="K1160" s="61">
        <v>110041245015</v>
      </c>
      <c r="L1160" s="61" t="str">
        <f>IFERROR(INDEX('Facility Summary'!$K:$K,MATCH(K1160,'Facility Summary'!$J:$J,0)),INDEX('Raw Annual DMR Data'!$M:$M,MATCH(K1160,'Raw Annual DMR Data'!$L:$L,0)))</f>
        <v>Unknown</v>
      </c>
      <c r="M1160" s="28"/>
      <c r="N1160" s="28"/>
      <c r="O1160" s="28"/>
      <c r="P1160" s="28"/>
      <c r="Q1160" s="28"/>
      <c r="R1160" s="28"/>
      <c r="S1160" s="28">
        <v>1.16738862499999E-4</v>
      </c>
    </row>
    <row r="1161" spans="1:19" x14ac:dyDescent="0.25">
      <c r="A1161" s="28">
        <v>2018</v>
      </c>
      <c r="B1161" s="28"/>
      <c r="C1161" s="28" t="s">
        <v>1311</v>
      </c>
      <c r="D1161" s="28" t="s">
        <v>2155</v>
      </c>
      <c r="E1161" s="28" t="s">
        <v>1312</v>
      </c>
      <c r="F1161" s="28" t="s">
        <v>506</v>
      </c>
      <c r="G1161" s="28">
        <v>21157</v>
      </c>
      <c r="H1161" s="28">
        <v>39.567390000000003</v>
      </c>
      <c r="I1161" s="28">
        <v>-76.920410000000004</v>
      </c>
      <c r="J1161" s="28"/>
      <c r="K1161" s="61">
        <v>110041245015</v>
      </c>
      <c r="L1161" s="61" t="str">
        <f>IFERROR(INDEX('Facility Summary'!$K:$K,MATCH(K1161,'Facility Summary'!$J:$J,0)),INDEX('Raw Annual DMR Data'!$M:$M,MATCH(K1161,'Raw Annual DMR Data'!$L:$L,0)))</f>
        <v>Unknown</v>
      </c>
      <c r="M1161" s="28"/>
      <c r="N1161" s="28"/>
      <c r="O1161" s="28"/>
      <c r="P1161" s="28"/>
      <c r="Q1161" s="28"/>
      <c r="R1161" s="28"/>
      <c r="S1161" s="302">
        <v>1.32626399999999E-4</v>
      </c>
    </row>
    <row r="1162" spans="1:19" x14ac:dyDescent="0.25">
      <c r="A1162" s="28">
        <v>2018</v>
      </c>
      <c r="B1162" s="28"/>
      <c r="C1162" s="28" t="s">
        <v>1311</v>
      </c>
      <c r="D1162" s="28" t="s">
        <v>2155</v>
      </c>
      <c r="E1162" s="28" t="s">
        <v>1312</v>
      </c>
      <c r="F1162" s="28" t="s">
        <v>506</v>
      </c>
      <c r="G1162" s="28">
        <v>21157</v>
      </c>
      <c r="H1162" s="28">
        <v>39.567390000000003</v>
      </c>
      <c r="I1162" s="28">
        <v>-76.920410000000004</v>
      </c>
      <c r="J1162" s="28"/>
      <c r="K1162" s="61">
        <v>110041245015</v>
      </c>
      <c r="L1162" s="61" t="str">
        <f>IFERROR(INDEX('Facility Summary'!$K:$K,MATCH(K1162,'Facility Summary'!$J:$J,0)),INDEX('Raw Annual DMR Data'!$M:$M,MATCH(K1162,'Raw Annual DMR Data'!$L:$L,0)))</f>
        <v>Unknown</v>
      </c>
      <c r="M1162" s="28"/>
      <c r="N1162" s="28"/>
      <c r="O1162" s="28"/>
      <c r="P1162" s="28"/>
      <c r="Q1162" s="28"/>
      <c r="R1162" s="28"/>
      <c r="S1162" s="302">
        <v>1.32626399999999E-4</v>
      </c>
    </row>
    <row r="1163" spans="1:19" x14ac:dyDescent="0.25">
      <c r="A1163" s="28">
        <v>2019</v>
      </c>
      <c r="B1163" s="28"/>
      <c r="C1163" s="28" t="s">
        <v>1311</v>
      </c>
      <c r="D1163" s="28" t="s">
        <v>2155</v>
      </c>
      <c r="E1163" s="28" t="s">
        <v>1312</v>
      </c>
      <c r="F1163" s="28" t="s">
        <v>506</v>
      </c>
      <c r="G1163" s="28">
        <v>21157</v>
      </c>
      <c r="H1163" s="28">
        <v>39.567390000000003</v>
      </c>
      <c r="I1163" s="28">
        <v>-76.920410000000004</v>
      </c>
      <c r="J1163" s="28"/>
      <c r="K1163" s="61">
        <v>110041245015</v>
      </c>
      <c r="L1163" s="61" t="str">
        <f>IFERROR(INDEX('Facility Summary'!$K:$K,MATCH(K1163,'Facility Summary'!$J:$J,0)),INDEX('Raw Annual DMR Data'!$M:$M,MATCH(K1163,'Raw Annual DMR Data'!$L:$L,0)))</f>
        <v>Unknown</v>
      </c>
      <c r="M1163" s="28"/>
      <c r="N1163" s="28"/>
      <c r="O1163" s="28"/>
      <c r="P1163" s="28"/>
      <c r="Q1163" s="28"/>
      <c r="R1163" s="28"/>
      <c r="S1163" s="28">
        <v>6.9421631249999896E-4</v>
      </c>
    </row>
    <row r="1164" spans="1:19" x14ac:dyDescent="0.25">
      <c r="A1164" s="28">
        <v>2019</v>
      </c>
      <c r="B1164" s="28"/>
      <c r="C1164" s="28" t="s">
        <v>1311</v>
      </c>
      <c r="D1164" s="28" t="s">
        <v>2155</v>
      </c>
      <c r="E1164" s="28" t="s">
        <v>1312</v>
      </c>
      <c r="F1164" s="28" t="s">
        <v>506</v>
      </c>
      <c r="G1164" s="28">
        <v>21157</v>
      </c>
      <c r="H1164" s="28">
        <v>39.567390000000003</v>
      </c>
      <c r="I1164" s="28">
        <v>-76.920410000000004</v>
      </c>
      <c r="J1164" s="28"/>
      <c r="K1164" s="61">
        <v>110041245015</v>
      </c>
      <c r="L1164" s="61" t="str">
        <f>IFERROR(INDEX('Facility Summary'!$K:$K,MATCH(K1164,'Facility Summary'!$J:$J,0)),INDEX('Raw Annual DMR Data'!$M:$M,MATCH(K1164,'Raw Annual DMR Data'!$L:$L,0)))</f>
        <v>Unknown</v>
      </c>
      <c r="M1164" s="28"/>
      <c r="N1164" s="28"/>
      <c r="O1164" s="28"/>
      <c r="P1164" s="28"/>
      <c r="Q1164" s="28"/>
      <c r="R1164" s="28"/>
      <c r="S1164" s="28">
        <v>6.9421631249999896E-4</v>
      </c>
    </row>
    <row r="1165" spans="1:19" x14ac:dyDescent="0.25">
      <c r="A1165" s="28">
        <v>2020</v>
      </c>
      <c r="B1165" s="28"/>
      <c r="C1165" s="28" t="s">
        <v>1311</v>
      </c>
      <c r="D1165" s="28" t="s">
        <v>2155</v>
      </c>
      <c r="E1165" s="28" t="s">
        <v>1312</v>
      </c>
      <c r="F1165" s="28" t="s">
        <v>506</v>
      </c>
      <c r="G1165" s="28">
        <v>21157</v>
      </c>
      <c r="H1165" s="28">
        <v>39.567390000000003</v>
      </c>
      <c r="I1165" s="28">
        <v>-76.920410000000004</v>
      </c>
      <c r="J1165" s="28"/>
      <c r="K1165" s="61">
        <v>110041245015</v>
      </c>
      <c r="L1165" s="61" t="str">
        <f>IFERROR(INDEX('Facility Summary'!$K:$K,MATCH(K1165,'Facility Summary'!$J:$J,0)),INDEX('Raw Annual DMR Data'!$M:$M,MATCH(K1165,'Raw Annual DMR Data'!$L:$L,0)))</f>
        <v>Unknown</v>
      </c>
      <c r="M1165" s="28"/>
      <c r="N1165" s="28"/>
      <c r="O1165" s="28"/>
      <c r="P1165" s="28"/>
      <c r="Q1165" s="28"/>
      <c r="R1165" s="28"/>
      <c r="S1165" s="28">
        <v>7.5638493749999899E-4</v>
      </c>
    </row>
    <row r="1166" spans="1:19" x14ac:dyDescent="0.25">
      <c r="A1166" s="28">
        <v>2020</v>
      </c>
      <c r="B1166" s="28"/>
      <c r="C1166" s="28" t="s">
        <v>1311</v>
      </c>
      <c r="D1166" s="28" t="s">
        <v>2155</v>
      </c>
      <c r="E1166" s="28" t="s">
        <v>1312</v>
      </c>
      <c r="F1166" s="28" t="s">
        <v>506</v>
      </c>
      <c r="G1166" s="28">
        <v>21157</v>
      </c>
      <c r="H1166" s="28">
        <v>39.567390000000003</v>
      </c>
      <c r="I1166" s="28">
        <v>-76.920410000000004</v>
      </c>
      <c r="J1166" s="28"/>
      <c r="K1166" s="61">
        <v>110041245015</v>
      </c>
      <c r="L1166" s="61" t="str">
        <f>IFERROR(INDEX('Facility Summary'!$K:$K,MATCH(K1166,'Facility Summary'!$J:$J,0)),INDEX('Raw Annual DMR Data'!$M:$M,MATCH(K1166,'Raw Annual DMR Data'!$L:$L,0)))</f>
        <v>Unknown</v>
      </c>
      <c r="M1166" s="28"/>
      <c r="N1166" s="28"/>
      <c r="O1166" s="28"/>
      <c r="P1166" s="28"/>
      <c r="Q1166" s="28"/>
      <c r="R1166" s="28"/>
      <c r="S1166" s="28">
        <v>7.5638493749999899E-4</v>
      </c>
    </row>
    <row r="1167" spans="1:19" x14ac:dyDescent="0.25">
      <c r="A1167" s="28">
        <v>2015</v>
      </c>
      <c r="B1167" s="28"/>
      <c r="C1167" s="28" t="s">
        <v>1313</v>
      </c>
      <c r="D1167" s="28" t="s">
        <v>2158</v>
      </c>
      <c r="E1167" s="28" t="s">
        <v>1314</v>
      </c>
      <c r="F1167" s="28" t="s">
        <v>374</v>
      </c>
      <c r="G1167" s="28">
        <v>86001</v>
      </c>
      <c r="H1167" s="28">
        <v>35.188434999999998</v>
      </c>
      <c r="I1167" s="28">
        <v>-111.63066000000001</v>
      </c>
      <c r="J1167" s="28"/>
      <c r="K1167" s="61">
        <v>110064629442</v>
      </c>
      <c r="L1167" s="61" t="str">
        <f>IFERROR(INDEX('Facility Summary'!$K:$K,MATCH(K1167,'Facility Summary'!$J:$J,0)),INDEX('Raw Annual DMR Data'!$M:$M,MATCH(K1167,'Raw Annual DMR Data'!$L:$L,0)))</f>
        <v>POTW</v>
      </c>
      <c r="M1167" s="28"/>
      <c r="N1167" s="28"/>
      <c r="O1167" s="28"/>
      <c r="P1167" s="28"/>
      <c r="Q1167" s="28"/>
      <c r="R1167" s="28"/>
      <c r="S1167" s="28">
        <v>0.15127698749999999</v>
      </c>
    </row>
    <row r="1168" spans="1:19" x14ac:dyDescent="0.25">
      <c r="A1168" s="28">
        <v>2016</v>
      </c>
      <c r="B1168" s="28"/>
      <c r="C1168" s="28" t="s">
        <v>1313</v>
      </c>
      <c r="D1168" s="28" t="s">
        <v>2158</v>
      </c>
      <c r="E1168" s="28" t="s">
        <v>1314</v>
      </c>
      <c r="F1168" s="28" t="s">
        <v>374</v>
      </c>
      <c r="G1168" s="28">
        <v>86001</v>
      </c>
      <c r="H1168" s="28">
        <v>35.188434999999998</v>
      </c>
      <c r="I1168" s="28">
        <v>-111.63066000000001</v>
      </c>
      <c r="J1168" s="28"/>
      <c r="K1168" s="61">
        <v>110064629442</v>
      </c>
      <c r="L1168" s="61" t="str">
        <f>IFERROR(INDEX('Facility Summary'!$K:$K,MATCH(K1168,'Facility Summary'!$J:$J,0)),INDEX('Raw Annual DMR Data'!$M:$M,MATCH(K1168,'Raw Annual DMR Data'!$L:$L,0)))</f>
        <v>POTW</v>
      </c>
      <c r="M1168" s="28"/>
      <c r="N1168" s="28"/>
      <c r="O1168" s="28"/>
      <c r="P1168" s="28"/>
      <c r="Q1168" s="28"/>
      <c r="R1168" s="28"/>
      <c r="S1168" s="28">
        <v>0.14727056499999999</v>
      </c>
    </row>
    <row r="1169" spans="1:19" x14ac:dyDescent="0.25">
      <c r="A1169" s="28">
        <v>2017</v>
      </c>
      <c r="B1169" s="28"/>
      <c r="C1169" s="28" t="s">
        <v>1313</v>
      </c>
      <c r="D1169" s="28" t="s">
        <v>2158</v>
      </c>
      <c r="E1169" s="28" t="s">
        <v>1314</v>
      </c>
      <c r="F1169" s="28" t="s">
        <v>374</v>
      </c>
      <c r="G1169" s="28">
        <v>86001</v>
      </c>
      <c r="H1169" s="28">
        <v>35.188434999999998</v>
      </c>
      <c r="I1169" s="28">
        <v>-111.63066000000001</v>
      </c>
      <c r="J1169" s="28"/>
      <c r="K1169" s="61">
        <v>110064629442</v>
      </c>
      <c r="L1169" s="61" t="str">
        <f>IFERROR(INDEX('Facility Summary'!$K:$K,MATCH(K1169,'Facility Summary'!$J:$J,0)),INDEX('Raw Annual DMR Data'!$M:$M,MATCH(K1169,'Raw Annual DMR Data'!$L:$L,0)))</f>
        <v>POTW</v>
      </c>
      <c r="M1169" s="28"/>
      <c r="N1169" s="28"/>
      <c r="O1169" s="28"/>
      <c r="P1169" s="28"/>
      <c r="Q1169" s="28"/>
      <c r="R1169" s="28"/>
      <c r="S1169" s="28">
        <v>4.2896351249999999E-2</v>
      </c>
    </row>
    <row r="1170" spans="1:19" x14ac:dyDescent="0.25">
      <c r="A1170" s="28">
        <v>2018</v>
      </c>
      <c r="B1170" s="28"/>
      <c r="C1170" s="28" t="s">
        <v>1313</v>
      </c>
      <c r="D1170" s="28" t="s">
        <v>2158</v>
      </c>
      <c r="E1170" s="28" t="s">
        <v>1314</v>
      </c>
      <c r="F1170" s="28" t="s">
        <v>374</v>
      </c>
      <c r="G1170" s="28">
        <v>86001</v>
      </c>
      <c r="H1170" s="28">
        <v>35.188434999999998</v>
      </c>
      <c r="I1170" s="28">
        <v>-111.63066000000001</v>
      </c>
      <c r="J1170" s="28"/>
      <c r="K1170" s="61">
        <v>110064629442</v>
      </c>
      <c r="L1170" s="61" t="str">
        <f>IFERROR(INDEX('Facility Summary'!$K:$K,MATCH(K1170,'Facility Summary'!$J:$J,0)),INDEX('Raw Annual DMR Data'!$M:$M,MATCH(K1170,'Raw Annual DMR Data'!$L:$L,0)))</f>
        <v>POTW</v>
      </c>
      <c r="M1170" s="28"/>
      <c r="N1170" s="28"/>
      <c r="O1170" s="28"/>
      <c r="P1170" s="28"/>
      <c r="Q1170" s="28"/>
      <c r="R1170" s="28"/>
      <c r="S1170" s="28">
        <v>3.5712421250000001E-2</v>
      </c>
    </row>
    <row r="1171" spans="1:19" x14ac:dyDescent="0.25">
      <c r="A1171" s="28">
        <v>2018</v>
      </c>
      <c r="B1171" s="28"/>
      <c r="C1171" s="28" t="s">
        <v>1315</v>
      </c>
      <c r="D1171" s="28" t="s">
        <v>2160</v>
      </c>
      <c r="E1171" s="28" t="s">
        <v>1316</v>
      </c>
      <c r="F1171" s="28" t="s">
        <v>294</v>
      </c>
      <c r="G1171" s="28">
        <v>22801</v>
      </c>
      <c r="H1171" s="28">
        <v>38.400409000000003</v>
      </c>
      <c r="I1171" s="28">
        <v>-78.895222000000004</v>
      </c>
      <c r="J1171" s="28"/>
      <c r="K1171" s="61">
        <v>110070544905</v>
      </c>
      <c r="L1171" s="61" t="str">
        <f>IFERROR(INDEX('Facility Summary'!$K:$K,MATCH(K1171,'Facility Summary'!$J:$J,0)),INDEX('Raw Annual DMR Data'!$M:$M,MATCH(K1171,'Raw Annual DMR Data'!$L:$L,0)))</f>
        <v>Waste Handling, Disposal and Treatment (Landfill)</v>
      </c>
      <c r="M1171" s="28"/>
      <c r="N1171" s="28"/>
      <c r="O1171" s="28"/>
      <c r="P1171" s="28"/>
      <c r="Q1171" s="28"/>
      <c r="R1171" s="28"/>
      <c r="S1171" s="302">
        <v>0.121186956952799</v>
      </c>
    </row>
    <row r="1172" spans="1:19" x14ac:dyDescent="0.25">
      <c r="A1172" s="28">
        <v>2019</v>
      </c>
      <c r="B1172" s="28"/>
      <c r="C1172" s="28" t="s">
        <v>1315</v>
      </c>
      <c r="D1172" s="28" t="s">
        <v>2160</v>
      </c>
      <c r="E1172" s="28" t="s">
        <v>1316</v>
      </c>
      <c r="F1172" s="28" t="s">
        <v>294</v>
      </c>
      <c r="G1172" s="28">
        <v>22801</v>
      </c>
      <c r="H1172" s="28">
        <v>38.400409000000003</v>
      </c>
      <c r="I1172" s="28">
        <v>-78.895222000000004</v>
      </c>
      <c r="J1172" s="28"/>
      <c r="K1172" s="61">
        <v>110070544905</v>
      </c>
      <c r="L1172" s="61" t="str">
        <f>IFERROR(INDEX('Facility Summary'!$K:$K,MATCH(K1172,'Facility Summary'!$J:$J,0)),INDEX('Raw Annual DMR Data'!$M:$M,MATCH(K1172,'Raw Annual DMR Data'!$L:$L,0)))</f>
        <v>Waste Handling, Disposal and Treatment (Landfill)</v>
      </c>
      <c r="M1172" s="28"/>
      <c r="N1172" s="28"/>
      <c r="O1172" s="28"/>
      <c r="P1172" s="28"/>
      <c r="Q1172" s="28"/>
      <c r="R1172" s="28"/>
      <c r="S1172" s="28">
        <v>5.5778246366499903E-2</v>
      </c>
    </row>
    <row r="1173" spans="1:19" x14ac:dyDescent="0.25">
      <c r="A1173" s="28">
        <v>2020</v>
      </c>
      <c r="B1173" s="28"/>
      <c r="C1173" s="28" t="s">
        <v>1315</v>
      </c>
      <c r="D1173" s="28" t="s">
        <v>2160</v>
      </c>
      <c r="E1173" s="28" t="s">
        <v>1316</v>
      </c>
      <c r="F1173" s="28" t="s">
        <v>294</v>
      </c>
      <c r="G1173" s="28">
        <v>22801</v>
      </c>
      <c r="H1173" s="28">
        <v>38.400409000000003</v>
      </c>
      <c r="I1173" s="28">
        <v>-78.895222000000004</v>
      </c>
      <c r="J1173" s="28"/>
      <c r="K1173" s="61">
        <v>110070544905</v>
      </c>
      <c r="L1173" s="61" t="str">
        <f>IFERROR(INDEX('Facility Summary'!$K:$K,MATCH(K1173,'Facility Summary'!$J:$J,0)),INDEX('Raw Annual DMR Data'!$M:$M,MATCH(K1173,'Raw Annual DMR Data'!$L:$L,0)))</f>
        <v>Waste Handling, Disposal and Treatment (Landfill)</v>
      </c>
      <c r="M1173" s="28"/>
      <c r="N1173" s="28"/>
      <c r="O1173" s="28"/>
      <c r="P1173" s="28"/>
      <c r="Q1173" s="28"/>
      <c r="R1173" s="28"/>
      <c r="S1173" s="28">
        <v>4.0296476006499903E-2</v>
      </c>
    </row>
    <row r="1174" spans="1:19" x14ac:dyDescent="0.25">
      <c r="A1174" s="28">
        <v>2015</v>
      </c>
      <c r="B1174" s="28"/>
      <c r="C1174" s="28" t="s">
        <v>1317</v>
      </c>
      <c r="D1174" s="28" t="s">
        <v>2163</v>
      </c>
      <c r="E1174" s="28" t="s">
        <v>1318</v>
      </c>
      <c r="F1174" s="28" t="s">
        <v>491</v>
      </c>
      <c r="G1174" s="28">
        <v>19021</v>
      </c>
      <c r="H1174" s="28">
        <v>40.095258000000001</v>
      </c>
      <c r="I1174" s="28">
        <v>-74.877359999999996</v>
      </c>
      <c r="J1174" s="28"/>
      <c r="K1174" s="61">
        <v>110064634686</v>
      </c>
      <c r="L1174" s="61" t="str">
        <f>IFERROR(INDEX('Facility Summary'!$K:$K,MATCH(K1174,'Facility Summary'!$J:$J,0)),INDEX('Raw Annual DMR Data'!$M:$M,MATCH(K1174,'Raw Annual DMR Data'!$L:$L,0)))</f>
        <v>Unknown</v>
      </c>
      <c r="M1174" s="28"/>
      <c r="N1174" s="28"/>
      <c r="O1174" s="28"/>
      <c r="P1174" s="28"/>
      <c r="Q1174" s="28"/>
      <c r="R1174" s="28"/>
      <c r="S1174" s="28">
        <v>0.10095238095238</v>
      </c>
    </row>
    <row r="1175" spans="1:19" x14ac:dyDescent="0.25">
      <c r="A1175" s="28">
        <v>2016</v>
      </c>
      <c r="B1175" s="28"/>
      <c r="C1175" s="28" t="s">
        <v>1317</v>
      </c>
      <c r="D1175" s="28" t="s">
        <v>2163</v>
      </c>
      <c r="E1175" s="28" t="s">
        <v>1318</v>
      </c>
      <c r="F1175" s="28" t="s">
        <v>491</v>
      </c>
      <c r="G1175" s="28">
        <v>19021</v>
      </c>
      <c r="H1175" s="28">
        <v>40.095258000000001</v>
      </c>
      <c r="I1175" s="28">
        <v>-74.877359999999996</v>
      </c>
      <c r="J1175" s="28"/>
      <c r="K1175" s="61">
        <v>110064634686</v>
      </c>
      <c r="L1175" s="61" t="str">
        <f>IFERROR(INDEX('Facility Summary'!$K:$K,MATCH(K1175,'Facility Summary'!$J:$J,0)),INDEX('Raw Annual DMR Data'!$M:$M,MATCH(K1175,'Raw Annual DMR Data'!$L:$L,0)))</f>
        <v>Unknown</v>
      </c>
      <c r="M1175" s="28"/>
      <c r="N1175" s="28"/>
      <c r="O1175" s="28"/>
      <c r="P1175" s="28"/>
      <c r="Q1175" s="28"/>
      <c r="R1175" s="28"/>
      <c r="S1175" s="28">
        <v>0.13195011337868401</v>
      </c>
    </row>
    <row r="1176" spans="1:19" x14ac:dyDescent="0.25">
      <c r="A1176" s="28">
        <v>2017</v>
      </c>
      <c r="B1176" s="28"/>
      <c r="C1176" s="28" t="s">
        <v>1317</v>
      </c>
      <c r="D1176" s="28" t="s">
        <v>2163</v>
      </c>
      <c r="E1176" s="28" t="s">
        <v>1318</v>
      </c>
      <c r="F1176" s="28" t="s">
        <v>491</v>
      </c>
      <c r="G1176" s="28">
        <v>19021</v>
      </c>
      <c r="H1176" s="28">
        <v>40.095258000000001</v>
      </c>
      <c r="I1176" s="28">
        <v>-74.877359999999996</v>
      </c>
      <c r="J1176" s="28"/>
      <c r="K1176" s="61">
        <v>110064634686</v>
      </c>
      <c r="L1176" s="61" t="str">
        <f>IFERROR(INDEX('Facility Summary'!$K:$K,MATCH(K1176,'Facility Summary'!$J:$J,0)),INDEX('Raw Annual DMR Data'!$M:$M,MATCH(K1176,'Raw Annual DMR Data'!$L:$L,0)))</f>
        <v>Unknown</v>
      </c>
      <c r="M1176" s="28"/>
      <c r="N1176" s="28"/>
      <c r="O1176" s="28"/>
      <c r="P1176" s="28"/>
      <c r="Q1176" s="28"/>
      <c r="R1176" s="28"/>
      <c r="S1176" s="28">
        <v>0.12750566893424001</v>
      </c>
    </row>
    <row r="1177" spans="1:19" x14ac:dyDescent="0.25">
      <c r="A1177" s="28">
        <v>2018</v>
      </c>
      <c r="B1177" s="28"/>
      <c r="C1177" s="28" t="s">
        <v>1317</v>
      </c>
      <c r="D1177" s="28" t="s">
        <v>2163</v>
      </c>
      <c r="E1177" s="28" t="s">
        <v>1318</v>
      </c>
      <c r="F1177" s="28" t="s">
        <v>491</v>
      </c>
      <c r="G1177" s="28">
        <v>19021</v>
      </c>
      <c r="H1177" s="28">
        <v>40.095258000000001</v>
      </c>
      <c r="I1177" s="28">
        <v>-74.877359999999996</v>
      </c>
      <c r="J1177" s="28"/>
      <c r="K1177" s="61">
        <v>110064634686</v>
      </c>
      <c r="L1177" s="61" t="str">
        <f>IFERROR(INDEX('Facility Summary'!$K:$K,MATCH(K1177,'Facility Summary'!$J:$J,0)),INDEX('Raw Annual DMR Data'!$M:$M,MATCH(K1177,'Raw Annual DMR Data'!$L:$L,0)))</f>
        <v>Unknown</v>
      </c>
      <c r="M1177" s="28"/>
      <c r="N1177" s="28"/>
      <c r="O1177" s="28"/>
      <c r="P1177" s="28"/>
      <c r="Q1177" s="28"/>
      <c r="R1177" s="28"/>
      <c r="S1177" s="302">
        <v>0.16247165532879801</v>
      </c>
    </row>
    <row r="1178" spans="1:19" x14ac:dyDescent="0.25">
      <c r="A1178" s="28">
        <v>2019</v>
      </c>
      <c r="B1178" s="28"/>
      <c r="C1178" s="28" t="s">
        <v>1317</v>
      </c>
      <c r="D1178" s="28" t="s">
        <v>2163</v>
      </c>
      <c r="E1178" s="28" t="s">
        <v>1318</v>
      </c>
      <c r="F1178" s="28" t="s">
        <v>491</v>
      </c>
      <c r="G1178" s="28">
        <v>19021</v>
      </c>
      <c r="H1178" s="28">
        <v>40.095258000000001</v>
      </c>
      <c r="I1178" s="28">
        <v>-74.877359999999996</v>
      </c>
      <c r="J1178" s="28"/>
      <c r="K1178" s="61">
        <v>110064634686</v>
      </c>
      <c r="L1178" s="61" t="str">
        <f>IFERROR(INDEX('Facility Summary'!$K:$K,MATCH(K1178,'Facility Summary'!$J:$J,0)),INDEX('Raw Annual DMR Data'!$M:$M,MATCH(K1178,'Raw Annual DMR Data'!$L:$L,0)))</f>
        <v>Unknown</v>
      </c>
      <c r="M1178" s="28"/>
      <c r="N1178" s="28"/>
      <c r="O1178" s="28"/>
      <c r="P1178" s="28"/>
      <c r="Q1178" s="28"/>
      <c r="R1178" s="28"/>
      <c r="S1178" s="28">
        <v>0.26344671201814002</v>
      </c>
    </row>
    <row r="1179" spans="1:19" x14ac:dyDescent="0.25">
      <c r="A1179" s="28">
        <v>2020</v>
      </c>
      <c r="B1179" s="28"/>
      <c r="C1179" s="28" t="s">
        <v>1317</v>
      </c>
      <c r="D1179" s="28" t="s">
        <v>2163</v>
      </c>
      <c r="E1179" s="28" t="s">
        <v>1318</v>
      </c>
      <c r="F1179" s="28" t="s">
        <v>491</v>
      </c>
      <c r="G1179" s="28">
        <v>19021</v>
      </c>
      <c r="H1179" s="28">
        <v>40.095258000000001</v>
      </c>
      <c r="I1179" s="28">
        <v>-74.877359999999996</v>
      </c>
      <c r="J1179" s="28"/>
      <c r="K1179" s="61">
        <v>110064634686</v>
      </c>
      <c r="L1179" s="61" t="str">
        <f>IFERROR(INDEX('Facility Summary'!$K:$K,MATCH(K1179,'Facility Summary'!$J:$J,0)),INDEX('Raw Annual DMR Data'!$M:$M,MATCH(K1179,'Raw Annual DMR Data'!$L:$L,0)))</f>
        <v>Unknown</v>
      </c>
      <c r="M1179" s="28"/>
      <c r="N1179" s="28"/>
      <c r="O1179" s="28"/>
      <c r="P1179" s="28"/>
      <c r="Q1179" s="28"/>
      <c r="R1179" s="28"/>
      <c r="S1179" s="28">
        <v>0.33598639455782298</v>
      </c>
    </row>
    <row r="1180" spans="1:19" x14ac:dyDescent="0.25">
      <c r="A1180" s="28">
        <v>2017</v>
      </c>
      <c r="B1180" s="28"/>
      <c r="C1180" s="28" t="s">
        <v>1319</v>
      </c>
      <c r="D1180" s="28" t="s">
        <v>2167</v>
      </c>
      <c r="E1180" s="28" t="s">
        <v>1320</v>
      </c>
      <c r="F1180" s="28" t="s">
        <v>324</v>
      </c>
      <c r="G1180" s="28">
        <v>42629</v>
      </c>
      <c r="H1180" s="28">
        <v>36.946111000000002</v>
      </c>
      <c r="I1180" s="28">
        <v>-85.020832999999996</v>
      </c>
      <c r="J1180" s="28"/>
      <c r="K1180" s="61">
        <v>110000719045</v>
      </c>
      <c r="L1180" s="61" t="str">
        <f>IFERROR(INDEX('Facility Summary'!$K:$K,MATCH(K1180,'Facility Summary'!$J:$J,0)),INDEX('Raw Annual DMR Data'!$M:$M,MATCH(K1180,'Raw Annual DMR Data'!$L:$L,0)))</f>
        <v>POTW</v>
      </c>
      <c r="M1180" s="28"/>
      <c r="N1180" s="28"/>
      <c r="O1180" s="28"/>
      <c r="P1180" s="28"/>
      <c r="Q1180" s="28"/>
      <c r="R1180" s="28"/>
      <c r="S1180" s="28">
        <v>0.4089314</v>
      </c>
    </row>
    <row r="1181" spans="1:19" x14ac:dyDescent="0.25">
      <c r="A1181" s="28">
        <v>2018</v>
      </c>
      <c r="B1181" s="28"/>
      <c r="C1181" s="28" t="s">
        <v>1319</v>
      </c>
      <c r="D1181" s="28" t="s">
        <v>2167</v>
      </c>
      <c r="E1181" s="28" t="s">
        <v>1320</v>
      </c>
      <c r="F1181" s="28" t="s">
        <v>324</v>
      </c>
      <c r="G1181" s="28">
        <v>42629</v>
      </c>
      <c r="H1181" s="28">
        <v>36.946111000000002</v>
      </c>
      <c r="I1181" s="28">
        <v>-85.020832999999996</v>
      </c>
      <c r="J1181" s="28"/>
      <c r="K1181" s="61">
        <v>110000719045</v>
      </c>
      <c r="L1181" s="61" t="str">
        <f>IFERROR(INDEX('Facility Summary'!$K:$K,MATCH(K1181,'Facility Summary'!$J:$J,0)),INDEX('Raw Annual DMR Data'!$M:$M,MATCH(K1181,'Raw Annual DMR Data'!$L:$L,0)))</f>
        <v>POTW</v>
      </c>
      <c r="M1181" s="28"/>
      <c r="N1181" s="28"/>
      <c r="O1181" s="28"/>
      <c r="P1181" s="28"/>
      <c r="Q1181" s="28"/>
      <c r="R1181" s="28"/>
      <c r="S1181" s="28">
        <v>0.84065796250000002</v>
      </c>
    </row>
    <row r="1182" spans="1:19" x14ac:dyDescent="0.25">
      <c r="A1182" s="28">
        <v>2019</v>
      </c>
      <c r="B1182" s="28"/>
      <c r="C1182" s="28" t="s">
        <v>1319</v>
      </c>
      <c r="D1182" s="28" t="s">
        <v>2167</v>
      </c>
      <c r="E1182" s="28" t="s">
        <v>1320</v>
      </c>
      <c r="F1182" s="28" t="s">
        <v>324</v>
      </c>
      <c r="G1182" s="28">
        <v>42629</v>
      </c>
      <c r="H1182" s="28">
        <v>36.946111000000002</v>
      </c>
      <c r="I1182" s="28">
        <v>-85.020832999999996</v>
      </c>
      <c r="J1182" s="28"/>
      <c r="K1182" s="61">
        <v>110000719045</v>
      </c>
      <c r="L1182" s="61" t="str">
        <f>IFERROR(INDEX('Facility Summary'!$K:$K,MATCH(K1182,'Facility Summary'!$J:$J,0)),INDEX('Raw Annual DMR Data'!$M:$M,MATCH(K1182,'Raw Annual DMR Data'!$L:$L,0)))</f>
        <v>POTW</v>
      </c>
      <c r="M1182" s="28"/>
      <c r="N1182" s="28"/>
      <c r="O1182" s="28"/>
      <c r="P1182" s="28"/>
      <c r="Q1182" s="28"/>
      <c r="R1182" s="28"/>
      <c r="S1182" s="28">
        <v>0.69628860000000004</v>
      </c>
    </row>
    <row r="1183" spans="1:19" x14ac:dyDescent="0.25">
      <c r="A1183" s="28">
        <v>2020</v>
      </c>
      <c r="B1183" s="28"/>
      <c r="C1183" s="28" t="s">
        <v>1319</v>
      </c>
      <c r="D1183" s="28" t="s">
        <v>2167</v>
      </c>
      <c r="E1183" s="28" t="s">
        <v>1320</v>
      </c>
      <c r="F1183" s="28" t="s">
        <v>324</v>
      </c>
      <c r="G1183" s="28">
        <v>42629</v>
      </c>
      <c r="H1183" s="28">
        <v>36.946111000000002</v>
      </c>
      <c r="I1183" s="28">
        <v>-85.020832999999996</v>
      </c>
      <c r="J1183" s="28"/>
      <c r="K1183" s="61">
        <v>110000719045</v>
      </c>
      <c r="L1183" s="61" t="str">
        <f>IFERROR(INDEX('Facility Summary'!$K:$K,MATCH(K1183,'Facility Summary'!$J:$J,0)),INDEX('Raw Annual DMR Data'!$M:$M,MATCH(K1183,'Raw Annual DMR Data'!$L:$L,0)))</f>
        <v>POTW</v>
      </c>
      <c r="M1183" s="28"/>
      <c r="N1183" s="28"/>
      <c r="O1183" s="28"/>
      <c r="P1183" s="28"/>
      <c r="Q1183" s="28"/>
      <c r="R1183" s="28"/>
      <c r="S1183" s="28">
        <v>0.5353409375</v>
      </c>
    </row>
    <row r="1184" spans="1:19" x14ac:dyDescent="0.25">
      <c r="A1184" s="28">
        <v>2019</v>
      </c>
      <c r="B1184" s="28"/>
      <c r="C1184" s="28" t="s">
        <v>1321</v>
      </c>
      <c r="D1184" s="28" t="s">
        <v>2171</v>
      </c>
      <c r="E1184" s="28" t="s">
        <v>626</v>
      </c>
      <c r="F1184" s="28" t="s">
        <v>324</v>
      </c>
      <c r="G1184" s="28">
        <v>42276</v>
      </c>
      <c r="H1184" s="28">
        <v>36.856732000000001</v>
      </c>
      <c r="I1184" s="28">
        <v>-86.889048000000003</v>
      </c>
      <c r="J1184" s="28"/>
      <c r="K1184" s="61">
        <v>110000736730</v>
      </c>
      <c r="L1184" s="61" t="str">
        <f>IFERROR(INDEX('Facility Summary'!$K:$K,MATCH(K1184,'Facility Summary'!$J:$J,0)),INDEX('Raw Annual DMR Data'!$M:$M,MATCH(K1184,'Raw Annual DMR Data'!$L:$L,0)))</f>
        <v>POTW</v>
      </c>
      <c r="M1184" s="28"/>
      <c r="N1184" s="28"/>
      <c r="O1184" s="28"/>
      <c r="P1184" s="28"/>
      <c r="Q1184" s="28"/>
      <c r="R1184" s="28"/>
      <c r="S1184" s="28">
        <v>1.4202077</v>
      </c>
    </row>
    <row r="1185" spans="1:19" x14ac:dyDescent="0.25">
      <c r="A1185" s="28">
        <v>2020</v>
      </c>
      <c r="B1185" s="28"/>
      <c r="C1185" s="28" t="s">
        <v>1321</v>
      </c>
      <c r="D1185" s="28" t="s">
        <v>2171</v>
      </c>
      <c r="E1185" s="28" t="s">
        <v>626</v>
      </c>
      <c r="F1185" s="28" t="s">
        <v>324</v>
      </c>
      <c r="G1185" s="28">
        <v>42276</v>
      </c>
      <c r="H1185" s="28">
        <v>36.856732000000001</v>
      </c>
      <c r="I1185" s="28">
        <v>-86.889048000000003</v>
      </c>
      <c r="J1185" s="28"/>
      <c r="K1185" s="61">
        <v>110000736730</v>
      </c>
      <c r="L1185" s="61" t="str">
        <f>IFERROR(INDEX('Facility Summary'!$K:$K,MATCH(K1185,'Facility Summary'!$J:$J,0)),INDEX('Raw Annual DMR Data'!$M:$M,MATCH(K1185,'Raw Annual DMR Data'!$L:$L,0)))</f>
        <v>POTW</v>
      </c>
      <c r="M1185" s="28"/>
      <c r="N1185" s="28"/>
      <c r="O1185" s="28"/>
      <c r="P1185" s="28"/>
      <c r="Q1185" s="28"/>
      <c r="R1185" s="28"/>
      <c r="S1185" s="28">
        <v>0.6762564875</v>
      </c>
    </row>
    <row r="1186" spans="1:19" x14ac:dyDescent="0.25">
      <c r="A1186" s="28">
        <v>2017</v>
      </c>
      <c r="B1186" s="28"/>
      <c r="C1186" s="28" t="s">
        <v>1322</v>
      </c>
      <c r="D1186" s="28" t="s">
        <v>2173</v>
      </c>
      <c r="E1186" s="28" t="s">
        <v>1273</v>
      </c>
      <c r="F1186" s="28" t="s">
        <v>324</v>
      </c>
      <c r="G1186" s="28">
        <v>42301</v>
      </c>
      <c r="H1186" s="28">
        <v>37.790278000000001</v>
      </c>
      <c r="I1186" s="28">
        <v>-87.140277999999995</v>
      </c>
      <c r="J1186" s="28"/>
      <c r="K1186" s="61">
        <v>110039998214</v>
      </c>
      <c r="L1186" s="61" t="str">
        <f>IFERROR(INDEX('Facility Summary'!$K:$K,MATCH(K1186,'Facility Summary'!$J:$J,0)),INDEX('Raw Annual DMR Data'!$M:$M,MATCH(K1186,'Raw Annual DMR Data'!$L:$L,0)))</f>
        <v>POTW</v>
      </c>
      <c r="M1186" s="28"/>
      <c r="N1186" s="28"/>
      <c r="O1186" s="28"/>
      <c r="P1186" s="28"/>
      <c r="Q1186" s="28"/>
      <c r="R1186" s="28"/>
      <c r="S1186" s="28">
        <v>18.764563312500002</v>
      </c>
    </row>
    <row r="1187" spans="1:19" x14ac:dyDescent="0.25">
      <c r="A1187" s="28">
        <v>2018</v>
      </c>
      <c r="B1187" s="28"/>
      <c r="C1187" s="28" t="s">
        <v>1322</v>
      </c>
      <c r="D1187" s="28" t="s">
        <v>2173</v>
      </c>
      <c r="E1187" s="28" t="s">
        <v>1273</v>
      </c>
      <c r="F1187" s="28" t="s">
        <v>324</v>
      </c>
      <c r="G1187" s="28">
        <v>42301</v>
      </c>
      <c r="H1187" s="28">
        <v>37.790278000000001</v>
      </c>
      <c r="I1187" s="28">
        <v>-87.140277999999995</v>
      </c>
      <c r="J1187" s="28"/>
      <c r="K1187" s="61">
        <v>110039998214</v>
      </c>
      <c r="L1187" s="61" t="str">
        <f>IFERROR(INDEX('Facility Summary'!$K:$K,MATCH(K1187,'Facility Summary'!$J:$J,0)),INDEX('Raw Annual DMR Data'!$M:$M,MATCH(K1187,'Raw Annual DMR Data'!$L:$L,0)))</f>
        <v>POTW</v>
      </c>
      <c r="M1187" s="28"/>
      <c r="N1187" s="28"/>
      <c r="O1187" s="28"/>
      <c r="P1187" s="28"/>
      <c r="Q1187" s="28"/>
      <c r="R1187" s="28"/>
      <c r="S1187" s="28">
        <v>29.7822251875</v>
      </c>
    </row>
    <row r="1188" spans="1:19" x14ac:dyDescent="0.25">
      <c r="A1188" s="28">
        <v>2019</v>
      </c>
      <c r="B1188" s="28"/>
      <c r="C1188" s="28" t="s">
        <v>1322</v>
      </c>
      <c r="D1188" s="28" t="s">
        <v>2173</v>
      </c>
      <c r="E1188" s="28" t="s">
        <v>1273</v>
      </c>
      <c r="F1188" s="28" t="s">
        <v>324</v>
      </c>
      <c r="G1188" s="28">
        <v>42301</v>
      </c>
      <c r="H1188" s="28">
        <v>37.790278000000001</v>
      </c>
      <c r="I1188" s="28">
        <v>-87.140277999999995</v>
      </c>
      <c r="J1188" s="28"/>
      <c r="K1188" s="61">
        <v>110039998214</v>
      </c>
      <c r="L1188" s="61" t="str">
        <f>IFERROR(INDEX('Facility Summary'!$K:$K,MATCH(K1188,'Facility Summary'!$J:$J,0)),INDEX('Raw Annual DMR Data'!$M:$M,MATCH(K1188,'Raw Annual DMR Data'!$L:$L,0)))</f>
        <v>POTW</v>
      </c>
      <c r="M1188" s="28"/>
      <c r="N1188" s="28"/>
      <c r="O1188" s="28"/>
      <c r="P1188" s="28"/>
      <c r="Q1188" s="28"/>
      <c r="R1188" s="28"/>
      <c r="S1188" s="28">
        <v>18.809462875000001</v>
      </c>
    </row>
    <row r="1189" spans="1:19" x14ac:dyDescent="0.25">
      <c r="A1189" s="28">
        <v>2020</v>
      </c>
      <c r="B1189" s="28"/>
      <c r="C1189" s="28" t="s">
        <v>1322</v>
      </c>
      <c r="D1189" s="28" t="s">
        <v>2173</v>
      </c>
      <c r="E1189" s="28" t="s">
        <v>1273</v>
      </c>
      <c r="F1189" s="28" t="s">
        <v>324</v>
      </c>
      <c r="G1189" s="28">
        <v>42301</v>
      </c>
      <c r="H1189" s="28">
        <v>37.790278000000001</v>
      </c>
      <c r="I1189" s="28">
        <v>-87.140277999999995</v>
      </c>
      <c r="J1189" s="28"/>
      <c r="K1189" s="61">
        <v>110039998214</v>
      </c>
      <c r="L1189" s="61" t="str">
        <f>IFERROR(INDEX('Facility Summary'!$K:$K,MATCH(K1189,'Facility Summary'!$J:$J,0)),INDEX('Raw Annual DMR Data'!$M:$M,MATCH(K1189,'Raw Annual DMR Data'!$L:$L,0)))</f>
        <v>POTW</v>
      </c>
      <c r="M1189" s="28"/>
      <c r="N1189" s="28"/>
      <c r="O1189" s="28"/>
      <c r="P1189" s="28"/>
      <c r="Q1189" s="28"/>
      <c r="R1189" s="28"/>
      <c r="S1189" s="28">
        <v>24.977972000000001</v>
      </c>
    </row>
    <row r="1190" spans="1:19" x14ac:dyDescent="0.25">
      <c r="A1190" s="28">
        <v>2015</v>
      </c>
      <c r="B1190" s="28"/>
      <c r="C1190" s="28" t="s">
        <v>1323</v>
      </c>
      <c r="D1190" s="28" t="s">
        <v>2175</v>
      </c>
      <c r="E1190" s="28" t="s">
        <v>1324</v>
      </c>
      <c r="F1190" s="28" t="s">
        <v>450</v>
      </c>
      <c r="G1190" s="28">
        <v>12158</v>
      </c>
      <c r="H1190" s="28">
        <v>42.574556000000001</v>
      </c>
      <c r="I1190" s="28">
        <v>-73.851360999999997</v>
      </c>
      <c r="J1190" s="28"/>
      <c r="K1190" s="61">
        <v>110000324391</v>
      </c>
      <c r="L1190" s="61" t="str">
        <f>IFERROR(INDEX('Facility Summary'!$K:$K,MATCH(K1190,'Facility Summary'!$J:$J,0)),INDEX('Raw Annual DMR Data'!$M:$M,MATCH(K1190,'Raw Annual DMR Data'!$L:$L,0)))</f>
        <v>Unknown</v>
      </c>
      <c r="M1190" s="28"/>
      <c r="N1190" s="28"/>
      <c r="O1190" s="28"/>
      <c r="P1190" s="28"/>
      <c r="Q1190" s="28"/>
      <c r="R1190" s="28"/>
      <c r="S1190" s="28">
        <v>0.53492063492063402</v>
      </c>
    </row>
    <row r="1191" spans="1:19" x14ac:dyDescent="0.25">
      <c r="A1191" s="28">
        <v>2016</v>
      </c>
      <c r="B1191" s="28"/>
      <c r="C1191" s="28" t="s">
        <v>1323</v>
      </c>
      <c r="D1191" s="28" t="s">
        <v>2175</v>
      </c>
      <c r="E1191" s="28" t="s">
        <v>1324</v>
      </c>
      <c r="F1191" s="28" t="s">
        <v>450</v>
      </c>
      <c r="G1191" s="28">
        <v>12158</v>
      </c>
      <c r="H1191" s="28">
        <v>42.574556000000001</v>
      </c>
      <c r="I1191" s="28">
        <v>-73.851360999999997</v>
      </c>
      <c r="J1191" s="28"/>
      <c r="K1191" s="61">
        <v>110000324391</v>
      </c>
      <c r="L1191" s="61" t="str">
        <f>IFERROR(INDEX('Facility Summary'!$K:$K,MATCH(K1191,'Facility Summary'!$J:$J,0)),INDEX('Raw Annual DMR Data'!$M:$M,MATCH(K1191,'Raw Annual DMR Data'!$L:$L,0)))</f>
        <v>Unknown</v>
      </c>
      <c r="M1191" s="28"/>
      <c r="N1191" s="28"/>
      <c r="O1191" s="28"/>
      <c r="P1191" s="28"/>
      <c r="Q1191" s="28"/>
      <c r="R1191" s="28"/>
      <c r="S1191" s="28">
        <v>0.37414965986394499</v>
      </c>
    </row>
    <row r="1192" spans="1:19" x14ac:dyDescent="0.25">
      <c r="A1192" s="28">
        <v>2017</v>
      </c>
      <c r="B1192" s="28"/>
      <c r="C1192" s="28" t="s">
        <v>1323</v>
      </c>
      <c r="D1192" s="28" t="s">
        <v>2175</v>
      </c>
      <c r="E1192" s="28" t="s">
        <v>1324</v>
      </c>
      <c r="F1192" s="28" t="s">
        <v>450</v>
      </c>
      <c r="G1192" s="28">
        <v>12158</v>
      </c>
      <c r="H1192" s="28">
        <v>42.574556000000001</v>
      </c>
      <c r="I1192" s="28">
        <v>-73.851360999999997</v>
      </c>
      <c r="J1192" s="28"/>
      <c r="K1192" s="61">
        <v>110000324391</v>
      </c>
      <c r="L1192" s="61" t="str">
        <f>IFERROR(INDEX('Facility Summary'!$K:$K,MATCH(K1192,'Facility Summary'!$J:$J,0)),INDEX('Raw Annual DMR Data'!$M:$M,MATCH(K1192,'Raw Annual DMR Data'!$L:$L,0)))</f>
        <v>Unknown</v>
      </c>
      <c r="M1192" s="28"/>
      <c r="N1192" s="28"/>
      <c r="O1192" s="28"/>
      <c r="P1192" s="28"/>
      <c r="Q1192" s="28"/>
      <c r="R1192" s="28"/>
      <c r="S1192" s="28">
        <v>1.2312925170068001</v>
      </c>
    </row>
    <row r="1193" spans="1:19" x14ac:dyDescent="0.25">
      <c r="A1193" s="28">
        <v>2018</v>
      </c>
      <c r="B1193" s="28"/>
      <c r="C1193" s="28" t="s">
        <v>1323</v>
      </c>
      <c r="D1193" s="28" t="s">
        <v>2175</v>
      </c>
      <c r="E1193" s="28" t="s">
        <v>1324</v>
      </c>
      <c r="F1193" s="28" t="s">
        <v>450</v>
      </c>
      <c r="G1193" s="28">
        <v>12158</v>
      </c>
      <c r="H1193" s="28">
        <v>42.574556000000001</v>
      </c>
      <c r="I1193" s="28">
        <v>-73.851360999999997</v>
      </c>
      <c r="J1193" s="28"/>
      <c r="K1193" s="61">
        <v>110000324391</v>
      </c>
      <c r="L1193" s="61" t="str">
        <f>IFERROR(INDEX('Facility Summary'!$K:$K,MATCH(K1193,'Facility Summary'!$J:$J,0)),INDEX('Raw Annual DMR Data'!$M:$M,MATCH(K1193,'Raw Annual DMR Data'!$L:$L,0)))</f>
        <v>Unknown</v>
      </c>
      <c r="M1193" s="28"/>
      <c r="N1193" s="28"/>
      <c r="O1193" s="28"/>
      <c r="P1193" s="28"/>
      <c r="Q1193" s="28"/>
      <c r="R1193" s="28"/>
      <c r="S1193" s="302">
        <v>3.2907029478458001</v>
      </c>
    </row>
    <row r="1194" spans="1:19" x14ac:dyDescent="0.25">
      <c r="A1194" s="28">
        <v>2019</v>
      </c>
      <c r="B1194" s="28"/>
      <c r="C1194" s="28" t="s">
        <v>1323</v>
      </c>
      <c r="D1194" s="28" t="s">
        <v>2175</v>
      </c>
      <c r="E1194" s="28" t="s">
        <v>1324</v>
      </c>
      <c r="F1194" s="28" t="s">
        <v>450</v>
      </c>
      <c r="G1194" s="28">
        <v>12158</v>
      </c>
      <c r="H1194" s="28">
        <v>42.574556000000001</v>
      </c>
      <c r="I1194" s="28">
        <v>-73.851360999999997</v>
      </c>
      <c r="J1194" s="28"/>
      <c r="K1194" s="61">
        <v>110000324391</v>
      </c>
      <c r="L1194" s="61" t="str">
        <f>IFERROR(INDEX('Facility Summary'!$K:$K,MATCH(K1194,'Facility Summary'!$J:$J,0)),INDEX('Raw Annual DMR Data'!$M:$M,MATCH(K1194,'Raw Annual DMR Data'!$L:$L,0)))</f>
        <v>Unknown</v>
      </c>
      <c r="M1194" s="28"/>
      <c r="N1194" s="28"/>
      <c r="O1194" s="28"/>
      <c r="P1194" s="28"/>
      <c r="Q1194" s="28"/>
      <c r="R1194" s="28"/>
      <c r="S1194" s="28">
        <v>1.66893424036281</v>
      </c>
    </row>
    <row r="1195" spans="1:19" x14ac:dyDescent="0.25">
      <c r="A1195" s="28">
        <v>2019</v>
      </c>
      <c r="B1195" s="28"/>
      <c r="C1195" s="28" t="s">
        <v>1323</v>
      </c>
      <c r="D1195" s="28" t="s">
        <v>2175</v>
      </c>
      <c r="E1195" s="28" t="s">
        <v>1324</v>
      </c>
      <c r="F1195" s="28" t="s">
        <v>450</v>
      </c>
      <c r="G1195" s="28">
        <v>12158</v>
      </c>
      <c r="H1195" s="28">
        <v>42.574556000000001</v>
      </c>
      <c r="I1195" s="28">
        <v>-73.851360999999997</v>
      </c>
      <c r="J1195" s="28"/>
      <c r="K1195" s="61">
        <v>110000324391</v>
      </c>
      <c r="L1195" s="61" t="str">
        <f>IFERROR(INDEX('Facility Summary'!$K:$K,MATCH(K1195,'Facility Summary'!$J:$J,0)),INDEX('Raw Annual DMR Data'!$M:$M,MATCH(K1195,'Raw Annual DMR Data'!$L:$L,0)))</f>
        <v>Unknown</v>
      </c>
      <c r="M1195" s="28"/>
      <c r="N1195" s="28"/>
      <c r="O1195" s="28"/>
      <c r="P1195" s="28"/>
      <c r="Q1195" s="28"/>
      <c r="R1195" s="28"/>
      <c r="S1195" s="28">
        <v>0.45283446712018099</v>
      </c>
    </row>
    <row r="1196" spans="1:19" x14ac:dyDescent="0.25">
      <c r="A1196" s="28">
        <v>2020</v>
      </c>
      <c r="B1196" s="28"/>
      <c r="C1196" s="28" t="s">
        <v>1323</v>
      </c>
      <c r="D1196" s="28" t="s">
        <v>2175</v>
      </c>
      <c r="E1196" s="28" t="s">
        <v>1324</v>
      </c>
      <c r="F1196" s="28" t="s">
        <v>450</v>
      </c>
      <c r="G1196" s="28">
        <v>12158</v>
      </c>
      <c r="H1196" s="28">
        <v>42.574556000000001</v>
      </c>
      <c r="I1196" s="28">
        <v>-73.851360999999997</v>
      </c>
      <c r="J1196" s="28"/>
      <c r="K1196" s="61">
        <v>110000324391</v>
      </c>
      <c r="L1196" s="61" t="str">
        <f>IFERROR(INDEX('Facility Summary'!$K:$K,MATCH(K1196,'Facility Summary'!$J:$J,0)),INDEX('Raw Annual DMR Data'!$M:$M,MATCH(K1196,'Raw Annual DMR Data'!$L:$L,0)))</f>
        <v>Unknown</v>
      </c>
      <c r="M1196" s="28"/>
      <c r="N1196" s="28"/>
      <c r="O1196" s="28"/>
      <c r="P1196" s="28"/>
      <c r="Q1196" s="28"/>
      <c r="R1196" s="28"/>
      <c r="S1196" s="28">
        <v>0.82766439909296996</v>
      </c>
    </row>
    <row r="1197" spans="1:19" x14ac:dyDescent="0.25">
      <c r="A1197" s="28">
        <v>2020</v>
      </c>
      <c r="B1197" s="28"/>
      <c r="C1197" s="28" t="s">
        <v>1323</v>
      </c>
      <c r="D1197" s="28" t="s">
        <v>2175</v>
      </c>
      <c r="E1197" s="28" t="s">
        <v>1324</v>
      </c>
      <c r="F1197" s="28" t="s">
        <v>450</v>
      </c>
      <c r="G1197" s="28">
        <v>12158</v>
      </c>
      <c r="H1197" s="28">
        <v>42.574556000000001</v>
      </c>
      <c r="I1197" s="28">
        <v>-73.851360999999997</v>
      </c>
      <c r="J1197" s="28"/>
      <c r="K1197" s="61">
        <v>110000324391</v>
      </c>
      <c r="L1197" s="61" t="str">
        <f>IFERROR(INDEX('Facility Summary'!$K:$K,MATCH(K1197,'Facility Summary'!$J:$J,0)),INDEX('Raw Annual DMR Data'!$M:$M,MATCH(K1197,'Raw Annual DMR Data'!$L:$L,0)))</f>
        <v>Unknown</v>
      </c>
      <c r="M1197" s="28"/>
      <c r="N1197" s="28"/>
      <c r="O1197" s="28"/>
      <c r="P1197" s="28"/>
      <c r="Q1197" s="28"/>
      <c r="R1197" s="28"/>
      <c r="S1197" s="28">
        <v>0.20657596371882</v>
      </c>
    </row>
    <row r="1198" spans="1:19" x14ac:dyDescent="0.25">
      <c r="A1198" s="28">
        <v>2015</v>
      </c>
      <c r="B1198" s="28"/>
      <c r="C1198" s="28" t="s">
        <v>1325</v>
      </c>
      <c r="D1198" s="28" t="s">
        <v>2179</v>
      </c>
      <c r="E1198" s="28" t="s">
        <v>1326</v>
      </c>
      <c r="F1198" s="28" t="s">
        <v>469</v>
      </c>
      <c r="G1198" s="28">
        <v>47620</v>
      </c>
      <c r="H1198" s="28">
        <v>37.907200000000003</v>
      </c>
      <c r="I1198" s="28">
        <v>-87.927099999999996</v>
      </c>
      <c r="J1198" s="28" t="s">
        <v>732</v>
      </c>
      <c r="K1198" s="61">
        <v>110000403670</v>
      </c>
      <c r="L1198" s="61" t="str">
        <f>IFERROR(INDEX('Facility Summary'!$K:$K,MATCH(K1198,'Facility Summary'!$J:$J,0)),INDEX('Raw Annual DMR Data'!$M:$M,MATCH(K1198,'Raw Annual DMR Data'!$L:$L,0)))</f>
        <v>Processing as a Reactant</v>
      </c>
      <c r="M1198" s="28"/>
      <c r="N1198" s="28"/>
      <c r="O1198" s="28"/>
      <c r="P1198" s="28"/>
      <c r="Q1198" s="28"/>
      <c r="R1198" s="28"/>
      <c r="S1198" s="28">
        <v>22.775510204081598</v>
      </c>
    </row>
    <row r="1199" spans="1:19" x14ac:dyDescent="0.25">
      <c r="A1199" s="28">
        <v>2016</v>
      </c>
      <c r="B1199" s="28"/>
      <c r="C1199" s="28" t="s">
        <v>1325</v>
      </c>
      <c r="D1199" s="28" t="s">
        <v>2179</v>
      </c>
      <c r="E1199" s="28" t="s">
        <v>1326</v>
      </c>
      <c r="F1199" s="28" t="s">
        <v>469</v>
      </c>
      <c r="G1199" s="28">
        <v>47620</v>
      </c>
      <c r="H1199" s="28">
        <v>37.907200000000003</v>
      </c>
      <c r="I1199" s="28">
        <v>-87.927099999999996</v>
      </c>
      <c r="J1199" s="28" t="s">
        <v>732</v>
      </c>
      <c r="K1199" s="61">
        <v>110000403670</v>
      </c>
      <c r="L1199" s="61" t="str">
        <f>IFERROR(INDEX('Facility Summary'!$K:$K,MATCH(K1199,'Facility Summary'!$J:$J,0)),INDEX('Raw Annual DMR Data'!$M:$M,MATCH(K1199,'Raw Annual DMR Data'!$L:$L,0)))</f>
        <v>Processing as a Reactant</v>
      </c>
      <c r="M1199" s="28"/>
      <c r="N1199" s="28"/>
      <c r="O1199" s="28"/>
      <c r="P1199" s="28"/>
      <c r="Q1199" s="28"/>
      <c r="R1199" s="28"/>
      <c r="S1199" s="28">
        <v>21.088435374149601</v>
      </c>
    </row>
    <row r="1200" spans="1:19" x14ac:dyDescent="0.25">
      <c r="A1200" s="28">
        <v>2017</v>
      </c>
      <c r="B1200" s="28"/>
      <c r="C1200" s="28" t="s">
        <v>1325</v>
      </c>
      <c r="D1200" s="28" t="s">
        <v>2179</v>
      </c>
      <c r="E1200" s="28" t="s">
        <v>1326</v>
      </c>
      <c r="F1200" s="28" t="s">
        <v>469</v>
      </c>
      <c r="G1200" s="28">
        <v>47620</v>
      </c>
      <c r="H1200" s="28">
        <v>37.907200000000003</v>
      </c>
      <c r="I1200" s="28">
        <v>-87.927099999999996</v>
      </c>
      <c r="J1200" s="28" t="s">
        <v>732</v>
      </c>
      <c r="K1200" s="61">
        <v>110000403670</v>
      </c>
      <c r="L1200" s="61" t="str">
        <f>IFERROR(INDEX('Facility Summary'!$K:$K,MATCH(K1200,'Facility Summary'!$J:$J,0)),INDEX('Raw Annual DMR Data'!$M:$M,MATCH(K1200,'Raw Annual DMR Data'!$L:$L,0)))</f>
        <v>Processing as a Reactant</v>
      </c>
      <c r="M1200" s="28"/>
      <c r="N1200" s="28"/>
      <c r="O1200" s="28"/>
      <c r="P1200" s="28"/>
      <c r="Q1200" s="28"/>
      <c r="R1200" s="28"/>
      <c r="S1200" s="28">
        <v>21.931972789115601</v>
      </c>
    </row>
    <row r="1201" spans="1:19" x14ac:dyDescent="0.25">
      <c r="A1201" s="28">
        <v>2018</v>
      </c>
      <c r="B1201" s="28"/>
      <c r="C1201" s="28" t="s">
        <v>1325</v>
      </c>
      <c r="D1201" s="28" t="s">
        <v>2179</v>
      </c>
      <c r="E1201" s="28" t="s">
        <v>1326</v>
      </c>
      <c r="F1201" s="28" t="s">
        <v>469</v>
      </c>
      <c r="G1201" s="28">
        <v>47620</v>
      </c>
      <c r="H1201" s="28">
        <v>37.907200000000003</v>
      </c>
      <c r="I1201" s="28">
        <v>-87.927099999999996</v>
      </c>
      <c r="J1201" s="28" t="s">
        <v>732</v>
      </c>
      <c r="K1201" s="61">
        <v>110000403670</v>
      </c>
      <c r="L1201" s="61" t="str">
        <f>IFERROR(INDEX('Facility Summary'!$K:$K,MATCH(K1201,'Facility Summary'!$J:$J,0)),INDEX('Raw Annual DMR Data'!$M:$M,MATCH(K1201,'Raw Annual DMR Data'!$L:$L,0)))</f>
        <v>Processing as a Reactant</v>
      </c>
      <c r="M1201" s="28"/>
      <c r="N1201" s="28"/>
      <c r="O1201" s="28"/>
      <c r="P1201" s="28"/>
      <c r="Q1201" s="28"/>
      <c r="R1201" s="28"/>
      <c r="S1201" s="302">
        <v>9.1791383219954596</v>
      </c>
    </row>
    <row r="1202" spans="1:19" x14ac:dyDescent="0.25">
      <c r="A1202" s="28">
        <v>2019</v>
      </c>
      <c r="B1202" s="28"/>
      <c r="C1202" s="28" t="s">
        <v>1325</v>
      </c>
      <c r="D1202" s="28" t="s">
        <v>2179</v>
      </c>
      <c r="E1202" s="28" t="s">
        <v>1326</v>
      </c>
      <c r="F1202" s="28" t="s">
        <v>469</v>
      </c>
      <c r="G1202" s="28">
        <v>47620</v>
      </c>
      <c r="H1202" s="28">
        <v>37.907200000000003</v>
      </c>
      <c r="I1202" s="28">
        <v>-87.927099999999996</v>
      </c>
      <c r="J1202" s="28" t="s">
        <v>732</v>
      </c>
      <c r="K1202" s="61">
        <v>110000403670</v>
      </c>
      <c r="L1202" s="61" t="str">
        <f>IFERROR(INDEX('Facility Summary'!$K:$K,MATCH(K1202,'Facility Summary'!$J:$J,0)),INDEX('Raw Annual DMR Data'!$M:$M,MATCH(K1202,'Raw Annual DMR Data'!$L:$L,0)))</f>
        <v>Processing as a Reactant</v>
      </c>
      <c r="M1202" s="28"/>
      <c r="N1202" s="28"/>
      <c r="O1202" s="28"/>
      <c r="P1202" s="28"/>
      <c r="Q1202" s="28"/>
      <c r="R1202" s="28"/>
      <c r="S1202" s="28">
        <v>10.848072562358199</v>
      </c>
    </row>
    <row r="1203" spans="1:19" x14ac:dyDescent="0.25">
      <c r="A1203" s="28">
        <v>2020</v>
      </c>
      <c r="B1203" s="28"/>
      <c r="C1203" s="28" t="s">
        <v>1325</v>
      </c>
      <c r="D1203" s="28" t="s">
        <v>2179</v>
      </c>
      <c r="E1203" s="28" t="s">
        <v>1326</v>
      </c>
      <c r="F1203" s="28" t="s">
        <v>469</v>
      </c>
      <c r="G1203" s="28">
        <v>47620</v>
      </c>
      <c r="H1203" s="28">
        <v>37.907200000000003</v>
      </c>
      <c r="I1203" s="28">
        <v>-87.927099999999996</v>
      </c>
      <c r="J1203" s="28" t="s">
        <v>732</v>
      </c>
      <c r="K1203" s="61">
        <v>110000403670</v>
      </c>
      <c r="L1203" s="61" t="str">
        <f>IFERROR(INDEX('Facility Summary'!$K:$K,MATCH(K1203,'Facility Summary'!$J:$J,0)),INDEX('Raw Annual DMR Data'!$M:$M,MATCH(K1203,'Raw Annual DMR Data'!$L:$L,0)))</f>
        <v>Processing as a Reactant</v>
      </c>
      <c r="M1203" s="28"/>
      <c r="N1203" s="28"/>
      <c r="O1203" s="28"/>
      <c r="P1203" s="28"/>
      <c r="Q1203" s="28"/>
      <c r="R1203" s="28"/>
      <c r="S1203" s="28">
        <v>7.5102040816326499</v>
      </c>
    </row>
    <row r="1204" spans="1:19" x14ac:dyDescent="0.25">
      <c r="A1204" s="28">
        <v>2018</v>
      </c>
      <c r="B1204" s="28"/>
      <c r="C1204" s="28" t="s">
        <v>202</v>
      </c>
      <c r="D1204" s="28" t="s">
        <v>2426</v>
      </c>
      <c r="E1204" s="28" t="s">
        <v>323</v>
      </c>
      <c r="F1204" s="28" t="s">
        <v>324</v>
      </c>
      <c r="G1204" s="28">
        <v>42029</v>
      </c>
      <c r="H1204" s="28">
        <v>37.051110999999999</v>
      </c>
      <c r="I1204" s="28">
        <v>-88.334166999999994</v>
      </c>
      <c r="J1204" s="28" t="s">
        <v>668</v>
      </c>
      <c r="K1204" s="61">
        <v>110027373072</v>
      </c>
      <c r="L1204" s="61" t="str">
        <f>IFERROR(INDEX('Facility Summary'!$K:$K,MATCH(K1204,'Facility Summary'!$J:$J,0)),INDEX('Raw Annual DMR Data'!$M:$M,MATCH(K1204,'Raw Annual DMR Data'!$L:$L,0)))</f>
        <v>Manufacturing</v>
      </c>
      <c r="M1204" s="28"/>
      <c r="N1204" s="28"/>
      <c r="O1204" s="28"/>
      <c r="P1204" s="28"/>
      <c r="Q1204" s="28"/>
      <c r="R1204" s="28"/>
      <c r="S1204" s="28">
        <v>22.117460317460299</v>
      </c>
    </row>
    <row r="1205" spans="1:19" x14ac:dyDescent="0.25">
      <c r="A1205" s="28">
        <v>2016</v>
      </c>
      <c r="B1205" s="28"/>
      <c r="C1205" s="28" t="s">
        <v>970</v>
      </c>
      <c r="D1205" s="28" t="s">
        <v>1479</v>
      </c>
      <c r="E1205" s="28" t="s">
        <v>962</v>
      </c>
      <c r="F1205" s="28" t="s">
        <v>374</v>
      </c>
      <c r="G1205" s="28" t="s">
        <v>1480</v>
      </c>
      <c r="H1205" s="28">
        <v>33.846469999999997</v>
      </c>
      <c r="I1205" s="28">
        <v>-112.13712</v>
      </c>
      <c r="J1205" s="28"/>
      <c r="K1205" s="61">
        <v>110015943559</v>
      </c>
      <c r="L1205" s="61" t="str">
        <f>IFERROR(INDEX('Facility Summary'!$K:$K,MATCH(K1205,'Facility Summary'!$J:$J,0)),INDEX('Raw Annual DMR Data'!$M:$M,MATCH(K1205,'Raw Annual DMR Data'!$L:$L,0)))</f>
        <v>POTW</v>
      </c>
      <c r="M1205" s="28"/>
      <c r="N1205" s="28"/>
      <c r="O1205" s="28"/>
      <c r="P1205" s="28"/>
      <c r="Q1205" s="28"/>
      <c r="R1205" s="28"/>
      <c r="S1205" s="28">
        <v>0.40510855000000001</v>
      </c>
    </row>
    <row r="1206" spans="1:19" x14ac:dyDescent="0.25">
      <c r="A1206" s="28">
        <v>2015</v>
      </c>
      <c r="B1206" s="28"/>
      <c r="C1206" s="28" t="s">
        <v>973</v>
      </c>
      <c r="D1206" s="28" t="s">
        <v>1484</v>
      </c>
      <c r="E1206" s="28" t="s">
        <v>974</v>
      </c>
      <c r="F1206" s="28" t="s">
        <v>541</v>
      </c>
      <c r="G1206" s="28" t="s">
        <v>1485</v>
      </c>
      <c r="H1206" s="28">
        <v>33.071649999999998</v>
      </c>
      <c r="I1206" s="28">
        <v>-81.476479999999995</v>
      </c>
      <c r="J1206" s="28" t="s">
        <v>698</v>
      </c>
      <c r="K1206" s="61">
        <v>110000604490</v>
      </c>
      <c r="L1206" s="61" t="str">
        <f>IFERROR(INDEX('Facility Summary'!$K:$K,MATCH(K1206,'Facility Summary'!$J:$J,0)),INDEX('Raw Annual DMR Data'!$M:$M,MATCH(K1206,'Raw Annual DMR Data'!$L:$L,0)))</f>
        <v>Unknown</v>
      </c>
      <c r="M1206" s="28"/>
      <c r="N1206" s="28"/>
      <c r="O1206" s="28"/>
      <c r="P1206" s="28"/>
      <c r="Q1206" s="28"/>
      <c r="R1206" s="28"/>
      <c r="S1206" s="28">
        <v>0.82766439909296996</v>
      </c>
    </row>
    <row r="1207" spans="1:19" x14ac:dyDescent="0.25">
      <c r="A1207" s="28">
        <v>2016</v>
      </c>
      <c r="B1207" s="28"/>
      <c r="C1207" s="28" t="s">
        <v>973</v>
      </c>
      <c r="D1207" s="28" t="s">
        <v>1484</v>
      </c>
      <c r="E1207" s="28" t="s">
        <v>974</v>
      </c>
      <c r="F1207" s="28" t="s">
        <v>541</v>
      </c>
      <c r="G1207" s="28" t="s">
        <v>1485</v>
      </c>
      <c r="H1207" s="28">
        <v>33.071649999999998</v>
      </c>
      <c r="I1207" s="28">
        <v>-81.476479999999995</v>
      </c>
      <c r="J1207" s="28" t="s">
        <v>698</v>
      </c>
      <c r="K1207" s="61">
        <v>110000604490</v>
      </c>
      <c r="L1207" s="61" t="str">
        <f>IFERROR(INDEX('Facility Summary'!$K:$K,MATCH(K1207,'Facility Summary'!$J:$J,0)),INDEX('Raw Annual DMR Data'!$M:$M,MATCH(K1207,'Raw Annual DMR Data'!$L:$L,0)))</f>
        <v>Unknown</v>
      </c>
      <c r="M1207" s="28"/>
      <c r="N1207" s="28"/>
      <c r="O1207" s="28"/>
      <c r="P1207" s="28"/>
      <c r="Q1207" s="28"/>
      <c r="R1207" s="28"/>
      <c r="S1207" s="28">
        <v>0.82766439909296996</v>
      </c>
    </row>
    <row r="1208" spans="1:19" x14ac:dyDescent="0.25">
      <c r="A1208" s="28">
        <v>2017</v>
      </c>
      <c r="B1208" s="28"/>
      <c r="C1208" s="28" t="s">
        <v>973</v>
      </c>
      <c r="D1208" s="28" t="s">
        <v>1484</v>
      </c>
      <c r="E1208" s="28" t="s">
        <v>974</v>
      </c>
      <c r="F1208" s="28" t="s">
        <v>541</v>
      </c>
      <c r="G1208" s="28" t="s">
        <v>1485</v>
      </c>
      <c r="H1208" s="28">
        <v>33.071649999999998</v>
      </c>
      <c r="I1208" s="28">
        <v>-81.476479999999995</v>
      </c>
      <c r="J1208" s="28" t="s">
        <v>698</v>
      </c>
      <c r="K1208" s="61">
        <v>110000604490</v>
      </c>
      <c r="L1208" s="61" t="str">
        <f>IFERROR(INDEX('Facility Summary'!$K:$K,MATCH(K1208,'Facility Summary'!$J:$J,0)),INDEX('Raw Annual DMR Data'!$M:$M,MATCH(K1208,'Raw Annual DMR Data'!$L:$L,0)))</f>
        <v>Unknown</v>
      </c>
      <c r="M1208" s="28"/>
      <c r="N1208" s="28"/>
      <c r="O1208" s="28"/>
      <c r="P1208" s="28"/>
      <c r="Q1208" s="28"/>
      <c r="R1208" s="28"/>
      <c r="S1208" s="28">
        <v>0.82766439909296996</v>
      </c>
    </row>
    <row r="1209" spans="1:19" x14ac:dyDescent="0.25">
      <c r="A1209" s="28">
        <v>2015</v>
      </c>
      <c r="B1209" s="28"/>
      <c r="C1209" s="28" t="s">
        <v>988</v>
      </c>
      <c r="D1209" s="28" t="s">
        <v>1511</v>
      </c>
      <c r="E1209" s="28" t="s">
        <v>314</v>
      </c>
      <c r="F1209" s="28" t="s">
        <v>303</v>
      </c>
      <c r="G1209" s="28">
        <v>70507</v>
      </c>
      <c r="H1209" s="28">
        <v>30.275200000000002</v>
      </c>
      <c r="I1209" s="28">
        <v>-92.036231000000001</v>
      </c>
      <c r="J1209" s="28" t="s">
        <v>702</v>
      </c>
      <c r="K1209" s="61">
        <v>110000449266</v>
      </c>
      <c r="L1209" s="61" t="str">
        <f>IFERROR(INDEX('Facility Summary'!$K:$K,MATCH(K1209,'Facility Summary'!$J:$J,0)),INDEX('Raw Annual DMR Data'!$M:$M,MATCH(K1209,'Raw Annual DMR Data'!$L:$L,0)))</f>
        <v>POTW</v>
      </c>
      <c r="M1209" s="28"/>
      <c r="N1209" s="28"/>
      <c r="O1209" s="28"/>
      <c r="P1209" s="28"/>
      <c r="Q1209" s="28"/>
      <c r="R1209" s="28"/>
      <c r="S1209" s="28">
        <v>3.0147525000000001E-2</v>
      </c>
    </row>
    <row r="1210" spans="1:19" x14ac:dyDescent="0.25">
      <c r="A1210" s="28">
        <v>2015</v>
      </c>
      <c r="B1210" s="28"/>
      <c r="C1210" s="28" t="s">
        <v>44</v>
      </c>
      <c r="D1210" s="28" t="s">
        <v>367</v>
      </c>
      <c r="E1210" s="28" t="s">
        <v>368</v>
      </c>
      <c r="F1210" s="28" t="s">
        <v>349</v>
      </c>
      <c r="G1210" s="28">
        <v>63630</v>
      </c>
      <c r="H1210" s="28">
        <v>37.983333000000002</v>
      </c>
      <c r="I1210" s="28">
        <v>-90.690832999999998</v>
      </c>
      <c r="J1210" s="28" t="s">
        <v>369</v>
      </c>
      <c r="K1210" s="61">
        <v>110017980443</v>
      </c>
      <c r="L1210" s="61" t="str">
        <f>IFERROR(INDEX('Facility Summary'!$K:$K,MATCH(K1210,'Facility Summary'!$J:$J,0)),INDEX('Raw Annual DMR Data'!$M:$M,MATCH(K1210,'Raw Annual DMR Data'!$L:$L,0)))</f>
        <v>Manufacturing</v>
      </c>
      <c r="M1210" s="28"/>
      <c r="N1210" s="28"/>
      <c r="O1210" s="28"/>
      <c r="P1210" s="28"/>
      <c r="Q1210" s="28"/>
      <c r="R1210" s="28"/>
      <c r="S1210" s="28">
        <v>0.15940960504000001</v>
      </c>
    </row>
    <row r="1211" spans="1:19" x14ac:dyDescent="0.25">
      <c r="A1211" s="28">
        <v>2018</v>
      </c>
      <c r="B1211" s="28"/>
      <c r="C1211" s="28" t="s">
        <v>1332</v>
      </c>
      <c r="D1211" s="28" t="s">
        <v>2189</v>
      </c>
      <c r="E1211" s="28" t="s">
        <v>1333</v>
      </c>
      <c r="F1211" s="28" t="s">
        <v>491</v>
      </c>
      <c r="G1211" s="28">
        <v>18370</v>
      </c>
      <c r="H1211" s="28">
        <v>41.094749999999998</v>
      </c>
      <c r="I1211" s="28">
        <v>-75.326319999999996</v>
      </c>
      <c r="J1211" s="28" t="s">
        <v>733</v>
      </c>
      <c r="K1211" s="61">
        <v>110006522735</v>
      </c>
      <c r="L1211" s="61" t="str">
        <f>IFERROR(INDEX('Facility Summary'!$K:$K,MATCH(K1211,'Facility Summary'!$J:$J,0)),INDEX('Raw Annual DMR Data'!$M:$M,MATCH(K1211,'Raw Annual DMR Data'!$L:$L,0)))</f>
        <v>Unknown</v>
      </c>
      <c r="M1211" s="28"/>
      <c r="N1211" s="28"/>
      <c r="O1211" s="28"/>
      <c r="P1211" s="28"/>
      <c r="Q1211" s="28"/>
      <c r="R1211" s="28"/>
      <c r="S1211" s="302">
        <v>8.2766439909296996E-2</v>
      </c>
    </row>
    <row r="1212" spans="1:19" x14ac:dyDescent="0.25">
      <c r="A1212" s="28">
        <v>2019</v>
      </c>
      <c r="B1212" s="28"/>
      <c r="C1212" s="28" t="s">
        <v>1332</v>
      </c>
      <c r="D1212" s="28" t="s">
        <v>2189</v>
      </c>
      <c r="E1212" s="28" t="s">
        <v>1333</v>
      </c>
      <c r="F1212" s="28" t="s">
        <v>491</v>
      </c>
      <c r="G1212" s="28">
        <v>18370</v>
      </c>
      <c r="H1212" s="28">
        <v>41.094749999999998</v>
      </c>
      <c r="I1212" s="28">
        <v>-75.326319999999996</v>
      </c>
      <c r="J1212" s="28" t="s">
        <v>733</v>
      </c>
      <c r="K1212" s="61">
        <v>110006522735</v>
      </c>
      <c r="L1212" s="61" t="str">
        <f>IFERROR(INDEX('Facility Summary'!$K:$K,MATCH(K1212,'Facility Summary'!$J:$J,0)),INDEX('Raw Annual DMR Data'!$M:$M,MATCH(K1212,'Raw Annual DMR Data'!$L:$L,0)))</f>
        <v>Unknown</v>
      </c>
      <c r="M1212" s="28"/>
      <c r="N1212" s="28"/>
      <c r="O1212" s="28"/>
      <c r="P1212" s="28"/>
      <c r="Q1212" s="28"/>
      <c r="R1212" s="28"/>
      <c r="S1212" s="28">
        <v>8.2766439909296996E-2</v>
      </c>
    </row>
    <row r="1213" spans="1:19" x14ac:dyDescent="0.25">
      <c r="A1213" s="28">
        <v>2020</v>
      </c>
      <c r="B1213" s="28"/>
      <c r="C1213" s="28" t="s">
        <v>1332</v>
      </c>
      <c r="D1213" s="28" t="s">
        <v>2189</v>
      </c>
      <c r="E1213" s="28" t="s">
        <v>1333</v>
      </c>
      <c r="F1213" s="28" t="s">
        <v>491</v>
      </c>
      <c r="G1213" s="28">
        <v>18370</v>
      </c>
      <c r="H1213" s="28">
        <v>41.094749999999998</v>
      </c>
      <c r="I1213" s="28">
        <v>-75.326319999999996</v>
      </c>
      <c r="J1213" s="28" t="s">
        <v>733</v>
      </c>
      <c r="K1213" s="61">
        <v>110006522735</v>
      </c>
      <c r="L1213" s="61" t="str">
        <f>IFERROR(INDEX('Facility Summary'!$K:$K,MATCH(K1213,'Facility Summary'!$J:$J,0)),INDEX('Raw Annual DMR Data'!$M:$M,MATCH(K1213,'Raw Annual DMR Data'!$L:$L,0)))</f>
        <v>Unknown</v>
      </c>
      <c r="M1213" s="28"/>
      <c r="N1213" s="28"/>
      <c r="O1213" s="28"/>
      <c r="P1213" s="28"/>
      <c r="Q1213" s="28"/>
      <c r="R1213" s="28"/>
      <c r="S1213" s="28">
        <v>4.5632653061224403E-2</v>
      </c>
    </row>
    <row r="1214" spans="1:19" x14ac:dyDescent="0.25">
      <c r="A1214" s="28">
        <v>2015</v>
      </c>
      <c r="B1214" s="28"/>
      <c r="C1214" s="28" t="s">
        <v>1334</v>
      </c>
      <c r="D1214" s="28" t="s">
        <v>2193</v>
      </c>
      <c r="E1214" s="28" t="s">
        <v>1335</v>
      </c>
      <c r="F1214" s="28" t="s">
        <v>366</v>
      </c>
      <c r="G1214" s="28" t="s">
        <v>2194</v>
      </c>
      <c r="H1214" s="28">
        <v>36.963245999999998</v>
      </c>
      <c r="I1214" s="28">
        <v>-122.034009</v>
      </c>
      <c r="J1214" s="28"/>
      <c r="K1214" s="61">
        <v>110013848453</v>
      </c>
      <c r="L1214" s="61" t="str">
        <f>IFERROR(INDEX('Facility Summary'!$K:$K,MATCH(K1214,'Facility Summary'!$J:$J,0)),INDEX('Raw Annual DMR Data'!$M:$M,MATCH(K1214,'Raw Annual DMR Data'!$L:$L,0)))</f>
        <v>POTW</v>
      </c>
      <c r="M1214" s="28"/>
      <c r="N1214" s="28"/>
      <c r="O1214" s="28"/>
      <c r="P1214" s="28"/>
      <c r="Q1214" s="28"/>
      <c r="R1214" s="28"/>
      <c r="S1214" s="28">
        <v>2.3917698875000002</v>
      </c>
    </row>
    <row r="1215" spans="1:19" x14ac:dyDescent="0.25">
      <c r="A1215" s="28">
        <v>2016</v>
      </c>
      <c r="B1215" s="28"/>
      <c r="C1215" s="28" t="s">
        <v>1334</v>
      </c>
      <c r="D1215" s="28" t="s">
        <v>2193</v>
      </c>
      <c r="E1215" s="28" t="s">
        <v>1335</v>
      </c>
      <c r="F1215" s="28" t="s">
        <v>366</v>
      </c>
      <c r="G1215" s="28" t="s">
        <v>2194</v>
      </c>
      <c r="H1215" s="28">
        <v>36.963245999999998</v>
      </c>
      <c r="I1215" s="28">
        <v>-122.034009</v>
      </c>
      <c r="J1215" s="28"/>
      <c r="K1215" s="61">
        <v>110013848453</v>
      </c>
      <c r="L1215" s="61" t="str">
        <f>IFERROR(INDEX('Facility Summary'!$K:$K,MATCH(K1215,'Facility Summary'!$J:$J,0)),INDEX('Raw Annual DMR Data'!$M:$M,MATCH(K1215,'Raw Annual DMR Data'!$L:$L,0)))</f>
        <v>POTW</v>
      </c>
      <c r="M1215" s="28"/>
      <c r="N1215" s="28"/>
      <c r="O1215" s="28"/>
      <c r="P1215" s="28"/>
      <c r="Q1215" s="28"/>
      <c r="R1215" s="28"/>
      <c r="S1215" s="28">
        <v>1.623113223</v>
      </c>
    </row>
    <row r="1216" spans="1:19" x14ac:dyDescent="0.25">
      <c r="A1216" s="28">
        <v>2017</v>
      </c>
      <c r="B1216" s="28"/>
      <c r="C1216" s="28" t="s">
        <v>1334</v>
      </c>
      <c r="D1216" s="28" t="s">
        <v>2193</v>
      </c>
      <c r="E1216" s="28" t="s">
        <v>1335</v>
      </c>
      <c r="F1216" s="28" t="s">
        <v>366</v>
      </c>
      <c r="G1216" s="28" t="s">
        <v>2194</v>
      </c>
      <c r="H1216" s="28">
        <v>36.963245999999998</v>
      </c>
      <c r="I1216" s="28">
        <v>-122.034009</v>
      </c>
      <c r="J1216" s="28"/>
      <c r="K1216" s="61">
        <v>110013848453</v>
      </c>
      <c r="L1216" s="61" t="str">
        <f>IFERROR(INDEX('Facility Summary'!$K:$K,MATCH(K1216,'Facility Summary'!$J:$J,0)),INDEX('Raw Annual DMR Data'!$M:$M,MATCH(K1216,'Raw Annual DMR Data'!$L:$L,0)))</f>
        <v>POTW</v>
      </c>
      <c r="M1216" s="28"/>
      <c r="N1216" s="28"/>
      <c r="O1216" s="28"/>
      <c r="P1216" s="28"/>
      <c r="Q1216" s="28"/>
      <c r="R1216" s="28"/>
      <c r="S1216" s="28">
        <v>2.7449577000000001</v>
      </c>
    </row>
    <row r="1217" spans="1:19" x14ac:dyDescent="0.25">
      <c r="A1217" s="28">
        <v>2018</v>
      </c>
      <c r="B1217" s="28"/>
      <c r="C1217" s="28" t="s">
        <v>1334</v>
      </c>
      <c r="D1217" s="28" t="s">
        <v>2193</v>
      </c>
      <c r="E1217" s="28" t="s">
        <v>1335</v>
      </c>
      <c r="F1217" s="28" t="s">
        <v>366</v>
      </c>
      <c r="G1217" s="28" t="s">
        <v>2194</v>
      </c>
      <c r="H1217" s="28">
        <v>36.963245999999998</v>
      </c>
      <c r="I1217" s="28">
        <v>-122.034009</v>
      </c>
      <c r="J1217" s="28"/>
      <c r="K1217" s="61">
        <v>110013848453</v>
      </c>
      <c r="L1217" s="61" t="str">
        <f>IFERROR(INDEX('Facility Summary'!$K:$K,MATCH(K1217,'Facility Summary'!$J:$J,0)),INDEX('Raw Annual DMR Data'!$M:$M,MATCH(K1217,'Raw Annual DMR Data'!$L:$L,0)))</f>
        <v>POTW</v>
      </c>
      <c r="M1217" s="28"/>
      <c r="N1217" s="28"/>
      <c r="O1217" s="28"/>
      <c r="P1217" s="28"/>
      <c r="Q1217" s="28"/>
      <c r="R1217" s="28"/>
      <c r="S1217" s="28">
        <v>2.4487435999999998</v>
      </c>
    </row>
    <row r="1218" spans="1:19" x14ac:dyDescent="0.25">
      <c r="A1218" s="28">
        <v>2019</v>
      </c>
      <c r="B1218" s="28"/>
      <c r="C1218" s="28" t="s">
        <v>1334</v>
      </c>
      <c r="D1218" s="28" t="s">
        <v>2193</v>
      </c>
      <c r="E1218" s="28" t="s">
        <v>1335</v>
      </c>
      <c r="F1218" s="28" t="s">
        <v>366</v>
      </c>
      <c r="G1218" s="28" t="s">
        <v>2194</v>
      </c>
      <c r="H1218" s="28">
        <v>36.963245999999998</v>
      </c>
      <c r="I1218" s="28">
        <v>-122.034009</v>
      </c>
      <c r="J1218" s="28"/>
      <c r="K1218" s="61">
        <v>110013848453</v>
      </c>
      <c r="L1218" s="61" t="str">
        <f>IFERROR(INDEX('Facility Summary'!$K:$K,MATCH(K1218,'Facility Summary'!$J:$J,0)),INDEX('Raw Annual DMR Data'!$M:$M,MATCH(K1218,'Raw Annual DMR Data'!$L:$L,0)))</f>
        <v>POTW</v>
      </c>
      <c r="M1218" s="28"/>
      <c r="N1218" s="28"/>
      <c r="O1218" s="28"/>
      <c r="P1218" s="28"/>
      <c r="Q1218" s="28"/>
      <c r="R1218" s="28"/>
      <c r="S1218" s="28">
        <v>1.6136022750000001</v>
      </c>
    </row>
    <row r="1219" spans="1:19" x14ac:dyDescent="0.25">
      <c r="A1219" s="28">
        <v>2020</v>
      </c>
      <c r="B1219" s="28"/>
      <c r="C1219" s="28" t="s">
        <v>1334</v>
      </c>
      <c r="D1219" s="28" t="s">
        <v>2193</v>
      </c>
      <c r="E1219" s="28" t="s">
        <v>1335</v>
      </c>
      <c r="F1219" s="28" t="s">
        <v>366</v>
      </c>
      <c r="G1219" s="28" t="s">
        <v>2194</v>
      </c>
      <c r="H1219" s="28">
        <v>36.963245999999998</v>
      </c>
      <c r="I1219" s="28">
        <v>-122.034009</v>
      </c>
      <c r="J1219" s="28"/>
      <c r="K1219" s="61">
        <v>110013848453</v>
      </c>
      <c r="L1219" s="61" t="str">
        <f>IFERROR(INDEX('Facility Summary'!$K:$K,MATCH(K1219,'Facility Summary'!$J:$J,0)),INDEX('Raw Annual DMR Data'!$M:$M,MATCH(K1219,'Raw Annual DMR Data'!$L:$L,0)))</f>
        <v>POTW</v>
      </c>
      <c r="M1219" s="28"/>
      <c r="N1219" s="28"/>
      <c r="O1219" s="28"/>
      <c r="P1219" s="28"/>
      <c r="Q1219" s="28"/>
      <c r="R1219" s="28"/>
      <c r="S1219" s="28">
        <v>8.1874920914999996E-2</v>
      </c>
    </row>
    <row r="1220" spans="1:19" x14ac:dyDescent="0.25">
      <c r="A1220" s="28">
        <v>2016</v>
      </c>
      <c r="B1220" s="28"/>
      <c r="C1220" s="28" t="s">
        <v>1336</v>
      </c>
      <c r="D1220" s="28" t="s">
        <v>2197</v>
      </c>
      <c r="E1220" s="28" t="s">
        <v>1337</v>
      </c>
      <c r="F1220" s="28" t="s">
        <v>366</v>
      </c>
      <c r="G1220" s="28" t="s">
        <v>2198</v>
      </c>
      <c r="H1220" s="28">
        <v>38.368760000000002</v>
      </c>
      <c r="I1220" s="28">
        <v>-122.76860000000001</v>
      </c>
      <c r="J1220" s="28"/>
      <c r="K1220" s="61">
        <v>110000730460</v>
      </c>
      <c r="L1220" s="61" t="str">
        <f>IFERROR(INDEX('Facility Summary'!$K:$K,MATCH(K1220,'Facility Summary'!$J:$J,0)),INDEX('Raw Annual DMR Data'!$M:$M,MATCH(K1220,'Raw Annual DMR Data'!$L:$L,0)))</f>
        <v>POTW</v>
      </c>
      <c r="M1220" s="28"/>
      <c r="N1220" s="28"/>
      <c r="O1220" s="28"/>
      <c r="P1220" s="28"/>
      <c r="Q1220" s="28"/>
      <c r="R1220" s="28"/>
      <c r="S1220" s="28">
        <v>0.41729624999999998</v>
      </c>
    </row>
    <row r="1221" spans="1:19" x14ac:dyDescent="0.25">
      <c r="A1221" s="28">
        <v>2017</v>
      </c>
      <c r="B1221" s="28"/>
      <c r="C1221" s="28" t="s">
        <v>1336</v>
      </c>
      <c r="D1221" s="28" t="s">
        <v>2197</v>
      </c>
      <c r="E1221" s="28" t="s">
        <v>1337</v>
      </c>
      <c r="F1221" s="28" t="s">
        <v>366</v>
      </c>
      <c r="G1221" s="28" t="s">
        <v>2198</v>
      </c>
      <c r="H1221" s="28">
        <v>38.368760000000002</v>
      </c>
      <c r="I1221" s="28">
        <v>-122.76860000000001</v>
      </c>
      <c r="J1221" s="28"/>
      <c r="K1221" s="61">
        <v>110000730460</v>
      </c>
      <c r="L1221" s="61" t="str">
        <f>IFERROR(INDEX('Facility Summary'!$K:$K,MATCH(K1221,'Facility Summary'!$J:$J,0)),INDEX('Raw Annual DMR Data'!$M:$M,MATCH(K1221,'Raw Annual DMR Data'!$L:$L,0)))</f>
        <v>POTW</v>
      </c>
      <c r="M1221" s="28"/>
      <c r="N1221" s="28"/>
      <c r="O1221" s="28"/>
      <c r="P1221" s="28"/>
      <c r="Q1221" s="28"/>
      <c r="R1221" s="28"/>
      <c r="S1221" s="28">
        <v>1.93318875</v>
      </c>
    </row>
    <row r="1222" spans="1:19" x14ac:dyDescent="0.25">
      <c r="A1222" s="28">
        <v>2019</v>
      </c>
      <c r="B1222" s="28"/>
      <c r="C1222" s="28" t="s">
        <v>1336</v>
      </c>
      <c r="D1222" s="28" t="s">
        <v>2197</v>
      </c>
      <c r="E1222" s="28" t="s">
        <v>1337</v>
      </c>
      <c r="F1222" s="28" t="s">
        <v>366</v>
      </c>
      <c r="G1222" s="28" t="s">
        <v>2198</v>
      </c>
      <c r="H1222" s="28">
        <v>38.368760000000002</v>
      </c>
      <c r="I1222" s="28">
        <v>-122.76860000000001</v>
      </c>
      <c r="J1222" s="28"/>
      <c r="K1222" s="61">
        <v>110000730460</v>
      </c>
      <c r="L1222" s="61" t="str">
        <f>IFERROR(INDEX('Facility Summary'!$K:$K,MATCH(K1222,'Facility Summary'!$J:$J,0)),INDEX('Raw Annual DMR Data'!$M:$M,MATCH(K1222,'Raw Annual DMR Data'!$L:$L,0)))</f>
        <v>POTW</v>
      </c>
      <c r="M1222" s="28"/>
      <c r="N1222" s="28"/>
      <c r="O1222" s="28"/>
      <c r="P1222" s="28"/>
      <c r="Q1222" s="28"/>
      <c r="R1222" s="28"/>
      <c r="S1222" s="28">
        <v>2.2312574999999999</v>
      </c>
    </row>
    <row r="1223" spans="1:19" x14ac:dyDescent="0.25">
      <c r="A1223" s="28">
        <v>2019</v>
      </c>
      <c r="B1223" s="28"/>
      <c r="C1223" s="28" t="s">
        <v>1336</v>
      </c>
      <c r="D1223" s="28" t="s">
        <v>2197</v>
      </c>
      <c r="E1223" s="28" t="s">
        <v>1337</v>
      </c>
      <c r="F1223" s="28" t="s">
        <v>366</v>
      </c>
      <c r="G1223" s="28" t="s">
        <v>2198</v>
      </c>
      <c r="H1223" s="28">
        <v>38.368760000000002</v>
      </c>
      <c r="I1223" s="28">
        <v>-122.76860000000001</v>
      </c>
      <c r="J1223" s="28"/>
      <c r="K1223" s="61">
        <v>110000730460</v>
      </c>
      <c r="L1223" s="61" t="str">
        <f>IFERROR(INDEX('Facility Summary'!$K:$K,MATCH(K1223,'Facility Summary'!$J:$J,0)),INDEX('Raw Annual DMR Data'!$M:$M,MATCH(K1223,'Raw Annual DMR Data'!$L:$L,0)))</f>
        <v>POTW</v>
      </c>
      <c r="M1223" s="28"/>
      <c r="N1223" s="28"/>
      <c r="O1223" s="28"/>
      <c r="P1223" s="28"/>
      <c r="Q1223" s="28"/>
      <c r="R1223" s="28"/>
      <c r="S1223" s="28">
        <v>2.51229375</v>
      </c>
    </row>
    <row r="1224" spans="1:19" x14ac:dyDescent="0.25">
      <c r="A1224" s="28">
        <v>2019</v>
      </c>
      <c r="B1224" s="28"/>
      <c r="C1224" s="28" t="s">
        <v>1336</v>
      </c>
      <c r="D1224" s="28" t="s">
        <v>2197</v>
      </c>
      <c r="E1224" s="28" t="s">
        <v>1337</v>
      </c>
      <c r="F1224" s="28" t="s">
        <v>366</v>
      </c>
      <c r="G1224" s="28" t="s">
        <v>2198</v>
      </c>
      <c r="H1224" s="28">
        <v>38.368760000000002</v>
      </c>
      <c r="I1224" s="28">
        <v>-122.76860000000001</v>
      </c>
      <c r="J1224" s="28"/>
      <c r="K1224" s="61">
        <v>110000730460</v>
      </c>
      <c r="L1224" s="61" t="str">
        <f>IFERROR(INDEX('Facility Summary'!$K:$K,MATCH(K1224,'Facility Summary'!$J:$J,0)),INDEX('Raw Annual DMR Data'!$M:$M,MATCH(K1224,'Raw Annual DMR Data'!$L:$L,0)))</f>
        <v>POTW</v>
      </c>
      <c r="M1224" s="28"/>
      <c r="N1224" s="28"/>
      <c r="O1224" s="28"/>
      <c r="P1224" s="28"/>
      <c r="Q1224" s="28"/>
      <c r="R1224" s="28"/>
      <c r="S1224" s="28">
        <v>3.9515400000000001</v>
      </c>
    </row>
    <row r="1225" spans="1:19" x14ac:dyDescent="0.25">
      <c r="A1225" s="28">
        <v>2019</v>
      </c>
      <c r="B1225" s="28"/>
      <c r="C1225" s="28" t="s">
        <v>1336</v>
      </c>
      <c r="D1225" s="28" t="s">
        <v>2197</v>
      </c>
      <c r="E1225" s="28" t="s">
        <v>1337</v>
      </c>
      <c r="F1225" s="28" t="s">
        <v>366</v>
      </c>
      <c r="G1225" s="28" t="s">
        <v>2198</v>
      </c>
      <c r="H1225" s="28">
        <v>38.368760000000002</v>
      </c>
      <c r="I1225" s="28">
        <v>-122.76860000000001</v>
      </c>
      <c r="J1225" s="28"/>
      <c r="K1225" s="61">
        <v>110000730460</v>
      </c>
      <c r="L1225" s="61" t="str">
        <f>IFERROR(INDEX('Facility Summary'!$K:$K,MATCH(K1225,'Facility Summary'!$J:$J,0)),INDEX('Raw Annual DMR Data'!$M:$M,MATCH(K1225,'Raw Annual DMR Data'!$L:$L,0)))</f>
        <v>POTW</v>
      </c>
      <c r="M1225" s="28"/>
      <c r="N1225" s="28"/>
      <c r="O1225" s="28"/>
      <c r="P1225" s="28"/>
      <c r="Q1225" s="28"/>
      <c r="R1225" s="28"/>
      <c r="S1225" s="28">
        <v>2.51229375</v>
      </c>
    </row>
    <row r="1226" spans="1:19" x14ac:dyDescent="0.25">
      <c r="A1226" s="28">
        <v>2017</v>
      </c>
      <c r="B1226" s="28"/>
      <c r="C1226" s="28" t="s">
        <v>1338</v>
      </c>
      <c r="D1226" s="28" t="s">
        <v>2201</v>
      </c>
      <c r="E1226" s="28" t="s">
        <v>1339</v>
      </c>
      <c r="F1226" s="28" t="s">
        <v>491</v>
      </c>
      <c r="G1226" s="28" t="s">
        <v>2202</v>
      </c>
      <c r="H1226" s="28">
        <v>41.452778000000002</v>
      </c>
      <c r="I1226" s="28">
        <v>-79.690278000000006</v>
      </c>
      <c r="J1226" s="28" t="s">
        <v>734</v>
      </c>
      <c r="K1226" s="61">
        <v>110008476327</v>
      </c>
      <c r="L1226" s="61" t="str">
        <f>IFERROR(INDEX('Facility Summary'!$K:$K,MATCH(K1226,'Facility Summary'!$J:$J,0)),INDEX('Raw Annual DMR Data'!$M:$M,MATCH(K1226,'Raw Annual DMR Data'!$L:$L,0)))</f>
        <v>Unknown</v>
      </c>
      <c r="M1226" s="28"/>
      <c r="N1226" s="28"/>
      <c r="O1226" s="28"/>
      <c r="P1226" s="28"/>
      <c r="Q1226" s="28"/>
      <c r="R1226" s="28"/>
      <c r="S1226" s="28">
        <v>0.182086167800453</v>
      </c>
    </row>
    <row r="1227" spans="1:19" x14ac:dyDescent="0.25">
      <c r="A1227" s="28">
        <v>2018</v>
      </c>
      <c r="B1227" s="28"/>
      <c r="C1227" s="28" t="s">
        <v>1338</v>
      </c>
      <c r="D1227" s="28" t="s">
        <v>2201</v>
      </c>
      <c r="E1227" s="28" t="s">
        <v>1339</v>
      </c>
      <c r="F1227" s="28" t="s">
        <v>491</v>
      </c>
      <c r="G1227" s="28" t="s">
        <v>2202</v>
      </c>
      <c r="H1227" s="28">
        <v>41.452778000000002</v>
      </c>
      <c r="I1227" s="28">
        <v>-79.690278000000006</v>
      </c>
      <c r="J1227" s="28" t="s">
        <v>734</v>
      </c>
      <c r="K1227" s="61">
        <v>110008476327</v>
      </c>
      <c r="L1227" s="61" t="str">
        <f>IFERROR(INDEX('Facility Summary'!$K:$K,MATCH(K1227,'Facility Summary'!$J:$J,0)),INDEX('Raw Annual DMR Data'!$M:$M,MATCH(K1227,'Raw Annual DMR Data'!$L:$L,0)))</f>
        <v>Unknown</v>
      </c>
      <c r="M1227" s="28"/>
      <c r="N1227" s="28"/>
      <c r="O1227" s="28"/>
      <c r="P1227" s="28"/>
      <c r="Q1227" s="28"/>
      <c r="R1227" s="28"/>
      <c r="S1227" s="302">
        <v>8.2766439909296996E-3</v>
      </c>
    </row>
    <row r="1228" spans="1:19" x14ac:dyDescent="0.25">
      <c r="A1228" s="28">
        <v>2019</v>
      </c>
      <c r="B1228" s="28"/>
      <c r="C1228" s="28" t="s">
        <v>1338</v>
      </c>
      <c r="D1228" s="28" t="s">
        <v>2201</v>
      </c>
      <c r="E1228" s="28" t="s">
        <v>1339</v>
      </c>
      <c r="F1228" s="28" t="s">
        <v>491</v>
      </c>
      <c r="G1228" s="28" t="s">
        <v>2202</v>
      </c>
      <c r="H1228" s="28">
        <v>41.452778000000002</v>
      </c>
      <c r="I1228" s="28">
        <v>-79.690278000000006</v>
      </c>
      <c r="J1228" s="28" t="s">
        <v>734</v>
      </c>
      <c r="K1228" s="61">
        <v>110008476327</v>
      </c>
      <c r="L1228" s="61" t="str">
        <f>IFERROR(INDEX('Facility Summary'!$K:$K,MATCH(K1228,'Facility Summary'!$J:$J,0)),INDEX('Raw Annual DMR Data'!$M:$M,MATCH(K1228,'Raw Annual DMR Data'!$L:$L,0)))</f>
        <v>Unknown</v>
      </c>
      <c r="M1228" s="28"/>
      <c r="N1228" s="28"/>
      <c r="O1228" s="28"/>
      <c r="P1228" s="28"/>
      <c r="Q1228" s="28"/>
      <c r="R1228" s="28"/>
      <c r="S1228" s="28">
        <v>8.2766439909296996E-3</v>
      </c>
    </row>
    <row r="1229" spans="1:19" x14ac:dyDescent="0.25">
      <c r="A1229" s="28">
        <v>2020</v>
      </c>
      <c r="B1229" s="28"/>
      <c r="C1229" s="28" t="s">
        <v>1338</v>
      </c>
      <c r="D1229" s="28" t="s">
        <v>2201</v>
      </c>
      <c r="E1229" s="28" t="s">
        <v>1339</v>
      </c>
      <c r="F1229" s="28" t="s">
        <v>491</v>
      </c>
      <c r="G1229" s="28" t="s">
        <v>2202</v>
      </c>
      <c r="H1229" s="28">
        <v>41.452778000000002</v>
      </c>
      <c r="I1229" s="28">
        <v>-79.690278000000006</v>
      </c>
      <c r="J1229" s="28" t="s">
        <v>734</v>
      </c>
      <c r="K1229" s="61">
        <v>110008476327</v>
      </c>
      <c r="L1229" s="61" t="str">
        <f>IFERROR(INDEX('Facility Summary'!$K:$K,MATCH(K1229,'Facility Summary'!$J:$J,0)),INDEX('Raw Annual DMR Data'!$M:$M,MATCH(K1229,'Raw Annual DMR Data'!$L:$L,0)))</f>
        <v>Unknown</v>
      </c>
      <c r="M1229" s="28"/>
      <c r="N1229" s="28"/>
      <c r="O1229" s="28"/>
      <c r="P1229" s="28"/>
      <c r="Q1229" s="28"/>
      <c r="R1229" s="28"/>
      <c r="S1229" s="28">
        <v>3.3106575963718801E-3</v>
      </c>
    </row>
    <row r="1230" spans="1:19" x14ac:dyDescent="0.25">
      <c r="A1230" s="28">
        <v>2019</v>
      </c>
      <c r="B1230" s="28"/>
      <c r="C1230" s="28" t="s">
        <v>1340</v>
      </c>
      <c r="D1230" s="28" t="s">
        <v>2206</v>
      </c>
      <c r="E1230" s="28" t="s">
        <v>1341</v>
      </c>
      <c r="F1230" s="28" t="s">
        <v>338</v>
      </c>
      <c r="G1230" s="28">
        <v>7041</v>
      </c>
      <c r="H1230" s="28">
        <v>40.723140000000001</v>
      </c>
      <c r="I1230" s="28">
        <v>-74.310130000000001</v>
      </c>
      <c r="J1230" s="28"/>
      <c r="K1230" s="61">
        <v>110070218704</v>
      </c>
      <c r="L1230" s="61" t="str">
        <f>IFERROR(INDEX('Facility Summary'!$K:$K,MATCH(K1230,'Facility Summary'!$J:$J,0)),INDEX('Raw Annual DMR Data'!$M:$M,MATCH(K1230,'Raw Annual DMR Data'!$L:$L,0)))</f>
        <v>Unknown</v>
      </c>
      <c r="M1230" s="28"/>
      <c r="N1230" s="28"/>
      <c r="O1230" s="28"/>
      <c r="P1230" s="28"/>
      <c r="Q1230" s="28"/>
      <c r="R1230" s="28"/>
      <c r="S1230" s="28">
        <v>3.8544871928571398E-4</v>
      </c>
    </row>
    <row r="1231" spans="1:19" x14ac:dyDescent="0.25">
      <c r="A1231" s="28">
        <v>2020</v>
      </c>
      <c r="B1231" s="28"/>
      <c r="C1231" s="28" t="s">
        <v>1340</v>
      </c>
      <c r="D1231" s="28" t="s">
        <v>2206</v>
      </c>
      <c r="E1231" s="28" t="s">
        <v>1341</v>
      </c>
      <c r="F1231" s="28" t="s">
        <v>338</v>
      </c>
      <c r="G1231" s="28">
        <v>7041</v>
      </c>
      <c r="H1231" s="28">
        <v>40.723140000000001</v>
      </c>
      <c r="I1231" s="28">
        <v>-74.310130000000001</v>
      </c>
      <c r="J1231" s="28"/>
      <c r="K1231" s="61">
        <v>110070218704</v>
      </c>
      <c r="L1231" s="61" t="str">
        <f>IFERROR(INDEX('Facility Summary'!$K:$K,MATCH(K1231,'Facility Summary'!$J:$J,0)),INDEX('Raw Annual DMR Data'!$M:$M,MATCH(K1231,'Raw Annual DMR Data'!$L:$L,0)))</f>
        <v>Unknown</v>
      </c>
      <c r="M1231" s="28"/>
      <c r="N1231" s="28"/>
      <c r="O1231" s="28"/>
      <c r="P1231" s="28"/>
      <c r="Q1231" s="28"/>
      <c r="R1231" s="28"/>
      <c r="S1231" s="28">
        <v>1.67876104999999E-4</v>
      </c>
    </row>
    <row r="1232" spans="1:19" x14ac:dyDescent="0.25">
      <c r="A1232" s="28">
        <v>2016</v>
      </c>
      <c r="B1232" s="28"/>
      <c r="C1232" s="28" t="s">
        <v>44</v>
      </c>
      <c r="D1232" s="28" t="s">
        <v>367</v>
      </c>
      <c r="E1232" s="28" t="s">
        <v>368</v>
      </c>
      <c r="F1232" s="28" t="s">
        <v>349</v>
      </c>
      <c r="G1232" s="28">
        <v>63630</v>
      </c>
      <c r="H1232" s="28">
        <v>37.983333000000002</v>
      </c>
      <c r="I1232" s="28">
        <v>-90.690832999999998</v>
      </c>
      <c r="J1232" s="28" t="s">
        <v>369</v>
      </c>
      <c r="K1232" s="61">
        <v>110017980443</v>
      </c>
      <c r="L1232" s="61" t="str">
        <f>IFERROR(INDEX('Facility Summary'!$K:$K,MATCH(K1232,'Facility Summary'!$J:$J,0)),INDEX('Raw Annual DMR Data'!$M:$M,MATCH(K1232,'Raw Annual DMR Data'!$L:$L,0)))</f>
        <v>Manufacturing</v>
      </c>
      <c r="M1232" s="28"/>
      <c r="N1232" s="28"/>
      <c r="O1232" s="28"/>
      <c r="P1232" s="28"/>
      <c r="Q1232" s="28"/>
      <c r="R1232" s="28"/>
      <c r="S1232" s="28">
        <v>0.107437225</v>
      </c>
    </row>
    <row r="1233" spans="1:19" x14ac:dyDescent="0.25">
      <c r="A1233" s="28">
        <v>2018</v>
      </c>
      <c r="B1233" s="28"/>
      <c r="C1233" s="28" t="s">
        <v>44</v>
      </c>
      <c r="D1233" s="28" t="s">
        <v>367</v>
      </c>
      <c r="E1233" s="28" t="s">
        <v>368</v>
      </c>
      <c r="F1233" s="28" t="s">
        <v>349</v>
      </c>
      <c r="G1233" s="28">
        <v>63630</v>
      </c>
      <c r="H1233" s="28">
        <v>37.983333000000002</v>
      </c>
      <c r="I1233" s="28">
        <v>-90.690832999999998</v>
      </c>
      <c r="J1233" s="28" t="s">
        <v>369</v>
      </c>
      <c r="K1233" s="61">
        <v>110017980443</v>
      </c>
      <c r="L1233" s="61" t="str">
        <f>IFERROR(INDEX('Facility Summary'!$K:$K,MATCH(K1233,'Facility Summary'!$J:$J,0)),INDEX('Raw Annual DMR Data'!$M:$M,MATCH(K1233,'Raw Annual DMR Data'!$L:$L,0)))</f>
        <v>Manufacturing</v>
      </c>
      <c r="M1233" s="28"/>
      <c r="N1233" s="28"/>
      <c r="O1233" s="28"/>
      <c r="P1233" s="28"/>
      <c r="Q1233" s="28"/>
      <c r="R1233" s="28"/>
      <c r="S1233" s="28">
        <v>6.1429399359999998E-2</v>
      </c>
    </row>
    <row r="1234" spans="1:19" x14ac:dyDescent="0.25">
      <c r="A1234" s="28">
        <v>2018</v>
      </c>
      <c r="B1234" s="28"/>
      <c r="C1234" s="28" t="s">
        <v>44</v>
      </c>
      <c r="D1234" s="28" t="s">
        <v>367</v>
      </c>
      <c r="E1234" s="28" t="s">
        <v>368</v>
      </c>
      <c r="F1234" s="28" t="s">
        <v>349</v>
      </c>
      <c r="G1234" s="28">
        <v>63630</v>
      </c>
      <c r="H1234" s="28">
        <v>37.983333000000002</v>
      </c>
      <c r="I1234" s="28">
        <v>-90.690832999999998</v>
      </c>
      <c r="J1234" s="28" t="s">
        <v>369</v>
      </c>
      <c r="K1234" s="61">
        <v>110017980443</v>
      </c>
      <c r="L1234" s="61" t="str">
        <f>IFERROR(INDEX('Facility Summary'!$K:$K,MATCH(K1234,'Facility Summary'!$J:$J,0)),INDEX('Raw Annual DMR Data'!$M:$M,MATCH(K1234,'Raw Annual DMR Data'!$L:$L,0)))</f>
        <v>Manufacturing</v>
      </c>
      <c r="M1234" s="28"/>
      <c r="N1234" s="28"/>
      <c r="O1234" s="28"/>
      <c r="P1234" s="28"/>
      <c r="Q1234" s="28"/>
      <c r="R1234" s="28"/>
      <c r="S1234" s="28">
        <v>3.4273402100000001E-3</v>
      </c>
    </row>
    <row r="1235" spans="1:19" x14ac:dyDescent="0.25">
      <c r="A1235" s="28">
        <v>2017</v>
      </c>
      <c r="B1235" s="28"/>
      <c r="C1235" s="28" t="s">
        <v>1346</v>
      </c>
      <c r="D1235" s="28" t="s">
        <v>2213</v>
      </c>
      <c r="E1235" s="28" t="s">
        <v>1347</v>
      </c>
      <c r="F1235" s="28" t="s">
        <v>324</v>
      </c>
      <c r="G1235" s="28">
        <v>40165</v>
      </c>
      <c r="H1235" s="28">
        <v>37.985444000000001</v>
      </c>
      <c r="I1235" s="28">
        <v>-85.720056</v>
      </c>
      <c r="J1235" s="28"/>
      <c r="K1235" s="61">
        <v>110020941383</v>
      </c>
      <c r="L1235" s="61" t="str">
        <f>IFERROR(INDEX('Facility Summary'!$K:$K,MATCH(K1235,'Facility Summary'!$J:$J,0)),INDEX('Raw Annual DMR Data'!$M:$M,MATCH(K1235,'Raw Annual DMR Data'!$L:$L,0)))</f>
        <v>POTW</v>
      </c>
      <c r="M1235" s="28"/>
      <c r="N1235" s="28"/>
      <c r="O1235" s="28"/>
      <c r="P1235" s="28"/>
      <c r="Q1235" s="28"/>
      <c r="R1235" s="28"/>
      <c r="S1235" s="28">
        <v>1.6909866</v>
      </c>
    </row>
    <row r="1236" spans="1:19" x14ac:dyDescent="0.25">
      <c r="A1236" s="28">
        <v>2018</v>
      </c>
      <c r="B1236" s="28"/>
      <c r="C1236" s="28" t="s">
        <v>1346</v>
      </c>
      <c r="D1236" s="28" t="s">
        <v>2213</v>
      </c>
      <c r="E1236" s="28" t="s">
        <v>1347</v>
      </c>
      <c r="F1236" s="28" t="s">
        <v>324</v>
      </c>
      <c r="G1236" s="28">
        <v>40165</v>
      </c>
      <c r="H1236" s="28">
        <v>37.985444000000001</v>
      </c>
      <c r="I1236" s="28">
        <v>-85.720056</v>
      </c>
      <c r="J1236" s="28"/>
      <c r="K1236" s="61">
        <v>110020941383</v>
      </c>
      <c r="L1236" s="61" t="str">
        <f>IFERROR(INDEX('Facility Summary'!$K:$K,MATCH(K1236,'Facility Summary'!$J:$J,0)),INDEX('Raw Annual DMR Data'!$M:$M,MATCH(K1236,'Raw Annual DMR Data'!$L:$L,0)))</f>
        <v>POTW</v>
      </c>
      <c r="M1236" s="28"/>
      <c r="N1236" s="28"/>
      <c r="O1236" s="28"/>
      <c r="P1236" s="28"/>
      <c r="Q1236" s="28"/>
      <c r="R1236" s="28"/>
      <c r="S1236" s="302">
        <v>0.70859525714285698</v>
      </c>
    </row>
    <row r="1237" spans="1:19" x14ac:dyDescent="0.25">
      <c r="A1237" s="28">
        <v>2018</v>
      </c>
      <c r="B1237" s="28"/>
      <c r="C1237" s="28" t="s">
        <v>1346</v>
      </c>
      <c r="D1237" s="28" t="s">
        <v>2213</v>
      </c>
      <c r="E1237" s="28" t="s">
        <v>1347</v>
      </c>
      <c r="F1237" s="28" t="s">
        <v>324</v>
      </c>
      <c r="G1237" s="28">
        <v>40165</v>
      </c>
      <c r="H1237" s="28">
        <v>37.985444000000001</v>
      </c>
      <c r="I1237" s="28">
        <v>-85.720056</v>
      </c>
      <c r="J1237" s="28"/>
      <c r="K1237" s="61">
        <v>110020941383</v>
      </c>
      <c r="L1237" s="61" t="str">
        <f>IFERROR(INDEX('Facility Summary'!$K:$K,MATCH(K1237,'Facility Summary'!$J:$J,0)),INDEX('Raw Annual DMR Data'!$M:$M,MATCH(K1237,'Raw Annual DMR Data'!$L:$L,0)))</f>
        <v>POTW</v>
      </c>
      <c r="M1237" s="28"/>
      <c r="N1237" s="28"/>
      <c r="O1237" s="28"/>
      <c r="P1237" s="28"/>
      <c r="Q1237" s="28"/>
      <c r="R1237" s="28"/>
      <c r="S1237" s="302">
        <v>1.2117947857142799</v>
      </c>
    </row>
    <row r="1238" spans="1:19" x14ac:dyDescent="0.25">
      <c r="A1238" s="28">
        <v>2019</v>
      </c>
      <c r="B1238" s="28"/>
      <c r="C1238" s="28" t="s">
        <v>1346</v>
      </c>
      <c r="D1238" s="28" t="s">
        <v>2213</v>
      </c>
      <c r="E1238" s="28" t="s">
        <v>1347</v>
      </c>
      <c r="F1238" s="28" t="s">
        <v>324</v>
      </c>
      <c r="G1238" s="28">
        <v>40165</v>
      </c>
      <c r="H1238" s="28">
        <v>37.985444000000001</v>
      </c>
      <c r="I1238" s="28">
        <v>-85.720056</v>
      </c>
      <c r="J1238" s="28"/>
      <c r="K1238" s="61">
        <v>110020941383</v>
      </c>
      <c r="L1238" s="61" t="str">
        <f>IFERROR(INDEX('Facility Summary'!$K:$K,MATCH(K1238,'Facility Summary'!$J:$J,0)),INDEX('Raw Annual DMR Data'!$M:$M,MATCH(K1238,'Raw Annual DMR Data'!$L:$L,0)))</f>
        <v>POTW</v>
      </c>
      <c r="M1238" s="28"/>
      <c r="N1238" s="28"/>
      <c r="O1238" s="28"/>
      <c r="P1238" s="28"/>
      <c r="Q1238" s="28"/>
      <c r="R1238" s="28"/>
      <c r="S1238" s="28">
        <v>2.3485925000000001</v>
      </c>
    </row>
    <row r="1239" spans="1:19" x14ac:dyDescent="0.25">
      <c r="A1239" s="28">
        <v>2020</v>
      </c>
      <c r="B1239" s="28"/>
      <c r="C1239" s="28" t="s">
        <v>1346</v>
      </c>
      <c r="D1239" s="28" t="s">
        <v>2213</v>
      </c>
      <c r="E1239" s="28" t="s">
        <v>1347</v>
      </c>
      <c r="F1239" s="28" t="s">
        <v>324</v>
      </c>
      <c r="G1239" s="28">
        <v>40165</v>
      </c>
      <c r="H1239" s="28">
        <v>37.985444000000001</v>
      </c>
      <c r="I1239" s="28">
        <v>-85.720056</v>
      </c>
      <c r="J1239" s="28"/>
      <c r="K1239" s="61">
        <v>110020941383</v>
      </c>
      <c r="L1239" s="61" t="str">
        <f>IFERROR(INDEX('Facility Summary'!$K:$K,MATCH(K1239,'Facility Summary'!$J:$J,0)),INDEX('Raw Annual DMR Data'!$M:$M,MATCH(K1239,'Raw Annual DMR Data'!$L:$L,0)))</f>
        <v>POTW</v>
      </c>
      <c r="M1239" s="28"/>
      <c r="N1239" s="28"/>
      <c r="O1239" s="28"/>
      <c r="P1239" s="28"/>
      <c r="Q1239" s="28"/>
      <c r="R1239" s="28"/>
      <c r="S1239" s="28">
        <v>1.58875375</v>
      </c>
    </row>
    <row r="1240" spans="1:19" x14ac:dyDescent="0.25">
      <c r="A1240" s="28">
        <v>2017</v>
      </c>
      <c r="B1240" s="28"/>
      <c r="C1240" s="28" t="s">
        <v>1348</v>
      </c>
      <c r="D1240" s="28" t="s">
        <v>2217</v>
      </c>
      <c r="E1240" s="28" t="s">
        <v>1349</v>
      </c>
      <c r="F1240" s="28" t="s">
        <v>1249</v>
      </c>
      <c r="G1240" s="28">
        <v>87420</v>
      </c>
      <c r="H1240" s="28">
        <v>36.786963999999998</v>
      </c>
      <c r="I1240" s="28">
        <v>-108.711493</v>
      </c>
      <c r="J1240" s="28"/>
      <c r="K1240" s="61">
        <v>110024409362</v>
      </c>
      <c r="L1240" s="61" t="str">
        <f>IFERROR(INDEX('Facility Summary'!$K:$K,MATCH(K1240,'Facility Summary'!$J:$J,0)),INDEX('Raw Annual DMR Data'!$M:$M,MATCH(K1240,'Raw Annual DMR Data'!$L:$L,0)))</f>
        <v>POTW</v>
      </c>
      <c r="M1240" s="28"/>
      <c r="N1240" s="28"/>
      <c r="O1240" s="28"/>
      <c r="P1240" s="28"/>
      <c r="Q1240" s="28"/>
      <c r="R1240" s="28"/>
      <c r="S1240" s="28">
        <v>1.253592</v>
      </c>
    </row>
    <row r="1241" spans="1:19" x14ac:dyDescent="0.25">
      <c r="A1241" s="28">
        <v>2018</v>
      </c>
      <c r="B1241" s="28"/>
      <c r="C1241" s="28" t="s">
        <v>1348</v>
      </c>
      <c r="D1241" s="28" t="s">
        <v>2217</v>
      </c>
      <c r="E1241" s="28" t="s">
        <v>1349</v>
      </c>
      <c r="F1241" s="28" t="s">
        <v>1249</v>
      </c>
      <c r="G1241" s="28">
        <v>87420</v>
      </c>
      <c r="H1241" s="28">
        <v>36.786963999999998</v>
      </c>
      <c r="I1241" s="28">
        <v>-108.711493</v>
      </c>
      <c r="J1241" s="28"/>
      <c r="K1241" s="61">
        <v>110024409362</v>
      </c>
      <c r="L1241" s="61" t="str">
        <f>IFERROR(INDEX('Facility Summary'!$K:$K,MATCH(K1241,'Facility Summary'!$J:$J,0)),INDEX('Raw Annual DMR Data'!$M:$M,MATCH(K1241,'Raw Annual DMR Data'!$L:$L,0)))</f>
        <v>POTW</v>
      </c>
      <c r="M1241" s="28"/>
      <c r="N1241" s="28"/>
      <c r="O1241" s="28"/>
      <c r="P1241" s="28"/>
      <c r="Q1241" s="28"/>
      <c r="R1241" s="28"/>
      <c r="S1241" s="28">
        <v>1.1021920000000001</v>
      </c>
    </row>
    <row r="1242" spans="1:19" x14ac:dyDescent="0.25">
      <c r="A1242" s="28">
        <v>2016</v>
      </c>
      <c r="B1242" s="28"/>
      <c r="C1242" s="28" t="s">
        <v>1350</v>
      </c>
      <c r="D1242" s="28" t="s">
        <v>2220</v>
      </c>
      <c r="E1242" s="28" t="s">
        <v>1351</v>
      </c>
      <c r="F1242" s="28" t="s">
        <v>1352</v>
      </c>
      <c r="G1242" s="28">
        <v>98290</v>
      </c>
      <c r="H1242" s="28">
        <v>47.914602000000002</v>
      </c>
      <c r="I1242" s="28">
        <v>-122.112173</v>
      </c>
      <c r="J1242" s="28"/>
      <c r="K1242" s="61">
        <v>110015408600</v>
      </c>
      <c r="L1242" s="61" t="str">
        <f>IFERROR(INDEX('Facility Summary'!$K:$K,MATCH(K1242,'Facility Summary'!$J:$J,0)),INDEX('Raw Annual DMR Data'!$M:$M,MATCH(K1242,'Raw Annual DMR Data'!$L:$L,0)))</f>
        <v>POTW</v>
      </c>
      <c r="M1242" s="28"/>
      <c r="N1242" s="28"/>
      <c r="O1242" s="28"/>
      <c r="P1242" s="28"/>
      <c r="Q1242" s="28"/>
      <c r="R1242" s="28"/>
      <c r="S1242" s="28">
        <v>0.36790200000000001</v>
      </c>
    </row>
    <row r="1243" spans="1:19" x14ac:dyDescent="0.25">
      <c r="A1243" s="28">
        <v>2016</v>
      </c>
      <c r="B1243" s="28"/>
      <c r="C1243" s="28" t="s">
        <v>190</v>
      </c>
      <c r="D1243" s="28" t="s">
        <v>622</v>
      </c>
      <c r="E1243" s="28" t="s">
        <v>623</v>
      </c>
      <c r="F1243" s="28" t="s">
        <v>338</v>
      </c>
      <c r="G1243" s="28">
        <v>8086</v>
      </c>
      <c r="H1243" s="28">
        <v>39.845474000000003</v>
      </c>
      <c r="I1243" s="28">
        <v>-75.209485999999998</v>
      </c>
      <c r="J1243" s="28" t="s">
        <v>624</v>
      </c>
      <c r="K1243" s="61">
        <v>110013317614</v>
      </c>
      <c r="L1243" s="61" t="str">
        <f>IFERROR(INDEX('Facility Summary'!$K:$K,MATCH(K1243,'Facility Summary'!$J:$J,0)),INDEX('Raw Annual DMR Data'!$M:$M,MATCH(K1243,'Raw Annual DMR Data'!$L:$L,0)))</f>
        <v>Processing as a Reactant</v>
      </c>
      <c r="M1243" s="28"/>
      <c r="N1243" s="28"/>
      <c r="O1243" s="28"/>
      <c r="P1243" s="28"/>
      <c r="Q1243" s="28"/>
      <c r="R1243" s="28"/>
      <c r="S1243" s="28">
        <v>4.07E-2</v>
      </c>
    </row>
    <row r="1244" spans="1:19" x14ac:dyDescent="0.25">
      <c r="A1244" s="28">
        <v>2017</v>
      </c>
      <c r="B1244" s="28"/>
      <c r="C1244" s="28" t="s">
        <v>190</v>
      </c>
      <c r="D1244" s="28" t="s">
        <v>622</v>
      </c>
      <c r="E1244" s="28" t="s">
        <v>623</v>
      </c>
      <c r="F1244" s="28" t="s">
        <v>338</v>
      </c>
      <c r="G1244" s="28">
        <v>8086</v>
      </c>
      <c r="H1244" s="28">
        <v>39.845474000000003</v>
      </c>
      <c r="I1244" s="28">
        <v>-75.209485999999998</v>
      </c>
      <c r="J1244" s="28" t="s">
        <v>624</v>
      </c>
      <c r="K1244" s="61">
        <v>110013317614</v>
      </c>
      <c r="L1244" s="61" t="str">
        <f>IFERROR(INDEX('Facility Summary'!$K:$K,MATCH(K1244,'Facility Summary'!$J:$J,0)),INDEX('Raw Annual DMR Data'!$M:$M,MATCH(K1244,'Raw Annual DMR Data'!$L:$L,0)))</f>
        <v>Processing as a Reactant</v>
      </c>
      <c r="M1244" s="28"/>
      <c r="N1244" s="28"/>
      <c r="O1244" s="28"/>
      <c r="P1244" s="28"/>
      <c r="Q1244" s="28"/>
      <c r="R1244" s="28"/>
      <c r="S1244" s="28">
        <v>0.03</v>
      </c>
    </row>
    <row r="1245" spans="1:19" x14ac:dyDescent="0.25">
      <c r="A1245" s="28">
        <v>2018</v>
      </c>
      <c r="B1245" s="28"/>
      <c r="C1245" s="28" t="s">
        <v>190</v>
      </c>
      <c r="D1245" s="28" t="s">
        <v>622</v>
      </c>
      <c r="E1245" s="28" t="s">
        <v>623</v>
      </c>
      <c r="F1245" s="28" t="s">
        <v>338</v>
      </c>
      <c r="G1245" s="302" t="s">
        <v>2223</v>
      </c>
      <c r="H1245" s="28">
        <v>39.845474000000003</v>
      </c>
      <c r="I1245" s="28">
        <v>-75.209485999999998</v>
      </c>
      <c r="J1245" s="28" t="s">
        <v>624</v>
      </c>
      <c r="K1245" s="61">
        <v>110013317614</v>
      </c>
      <c r="L1245" s="61" t="str">
        <f>IFERROR(INDEX('Facility Summary'!$K:$K,MATCH(K1245,'Facility Summary'!$J:$J,0)),INDEX('Raw Annual DMR Data'!$M:$M,MATCH(K1245,'Raw Annual DMR Data'!$L:$L,0)))</f>
        <v>Processing as a Reactant</v>
      </c>
      <c r="M1245" s="28"/>
      <c r="N1245" s="28"/>
      <c r="O1245" s="28"/>
      <c r="P1245" s="28"/>
      <c r="Q1245" s="28"/>
      <c r="R1245" s="28"/>
      <c r="S1245" s="28">
        <v>1.4999999999999999E-2</v>
      </c>
    </row>
    <row r="1246" spans="1:19" x14ac:dyDescent="0.25">
      <c r="A1246" s="28">
        <v>2020</v>
      </c>
      <c r="B1246" s="28"/>
      <c r="C1246" s="28" t="s">
        <v>190</v>
      </c>
      <c r="D1246" s="28" t="s">
        <v>622</v>
      </c>
      <c r="E1246" s="28" t="s">
        <v>623</v>
      </c>
      <c r="F1246" s="28" t="s">
        <v>338</v>
      </c>
      <c r="G1246" s="28">
        <v>8086</v>
      </c>
      <c r="H1246" s="28">
        <v>39.845474000000003</v>
      </c>
      <c r="I1246" s="28">
        <v>-75.209485999999998</v>
      </c>
      <c r="J1246" s="28" t="s">
        <v>624</v>
      </c>
      <c r="K1246" s="61">
        <v>110013317614</v>
      </c>
      <c r="L1246" s="61" t="str">
        <f>IFERROR(INDEX('Facility Summary'!$K:$K,MATCH(K1246,'Facility Summary'!$J:$J,0)),INDEX('Raw Annual DMR Data'!$M:$M,MATCH(K1246,'Raw Annual DMR Data'!$L:$L,0)))</f>
        <v>Processing as a Reactant</v>
      </c>
      <c r="M1246" s="28"/>
      <c r="N1246" s="28"/>
      <c r="O1246" s="28"/>
      <c r="P1246" s="28"/>
      <c r="Q1246" s="28"/>
      <c r="R1246" s="28"/>
      <c r="S1246" s="28">
        <v>1.5654999999999999E-2</v>
      </c>
    </row>
    <row r="1247" spans="1:19" x14ac:dyDescent="0.25">
      <c r="A1247" s="28">
        <v>2019</v>
      </c>
      <c r="B1247" s="28"/>
      <c r="C1247" s="28" t="s">
        <v>1353</v>
      </c>
      <c r="D1247" s="28" t="s">
        <v>2225</v>
      </c>
      <c r="E1247" s="28" t="s">
        <v>612</v>
      </c>
      <c r="F1247" s="28" t="s">
        <v>366</v>
      </c>
      <c r="G1247" s="28" t="s">
        <v>2226</v>
      </c>
      <c r="H1247" s="28">
        <v>32.544722</v>
      </c>
      <c r="I1247" s="28">
        <v>-117.068056</v>
      </c>
      <c r="J1247" s="28"/>
      <c r="K1247" s="61">
        <v>110002912750</v>
      </c>
      <c r="L1247" s="61" t="str">
        <f>IFERROR(INDEX('Facility Summary'!$K:$K,MATCH(K1247,'Facility Summary'!$J:$J,0)),INDEX('Raw Annual DMR Data'!$M:$M,MATCH(K1247,'Raw Annual DMR Data'!$L:$L,0)))</f>
        <v>POTW</v>
      </c>
      <c r="M1247" s="28"/>
      <c r="N1247" s="28"/>
      <c r="O1247" s="28"/>
      <c r="P1247" s="28"/>
      <c r="Q1247" s="28"/>
      <c r="R1247" s="28"/>
      <c r="S1247" s="28">
        <v>1.2517006802721</v>
      </c>
    </row>
    <row r="1248" spans="1:19" x14ac:dyDescent="0.25">
      <c r="A1248" s="28">
        <v>2020</v>
      </c>
      <c r="B1248" s="28"/>
      <c r="C1248" s="28" t="s">
        <v>1353</v>
      </c>
      <c r="D1248" s="28" t="s">
        <v>2225</v>
      </c>
      <c r="E1248" s="28" t="s">
        <v>612</v>
      </c>
      <c r="F1248" s="28" t="s">
        <v>366</v>
      </c>
      <c r="G1248" s="28" t="s">
        <v>2226</v>
      </c>
      <c r="H1248" s="28">
        <v>32.544722</v>
      </c>
      <c r="I1248" s="28">
        <v>-117.068056</v>
      </c>
      <c r="J1248" s="28"/>
      <c r="K1248" s="61">
        <v>110002912750</v>
      </c>
      <c r="L1248" s="61" t="str">
        <f>IFERROR(INDEX('Facility Summary'!$K:$K,MATCH(K1248,'Facility Summary'!$J:$J,0)),INDEX('Raw Annual DMR Data'!$M:$M,MATCH(K1248,'Raw Annual DMR Data'!$L:$L,0)))</f>
        <v>POTW</v>
      </c>
      <c r="M1248" s="28"/>
      <c r="N1248" s="28"/>
      <c r="O1248" s="28"/>
      <c r="P1248" s="28"/>
      <c r="Q1248" s="28"/>
      <c r="R1248" s="28"/>
      <c r="S1248" s="28">
        <v>4.55555555555555</v>
      </c>
    </row>
    <row r="1249" spans="1:19" x14ac:dyDescent="0.25">
      <c r="A1249" s="28">
        <v>2019</v>
      </c>
      <c r="B1249" s="28"/>
      <c r="C1249" s="28" t="s">
        <v>1354</v>
      </c>
      <c r="D1249" s="28" t="s">
        <v>2228</v>
      </c>
      <c r="E1249" s="28" t="s">
        <v>1355</v>
      </c>
      <c r="F1249" s="28" t="s">
        <v>366</v>
      </c>
      <c r="G1249" s="28" t="s">
        <v>2229</v>
      </c>
      <c r="H1249" s="28">
        <v>35.102089999999997</v>
      </c>
      <c r="I1249" s="28">
        <v>-120.62509</v>
      </c>
      <c r="J1249" s="28"/>
      <c r="K1249" s="61">
        <v>110000730629</v>
      </c>
      <c r="L1249" s="61" t="str">
        <f>IFERROR(INDEX('Facility Summary'!$K:$K,MATCH(K1249,'Facility Summary'!$J:$J,0)),INDEX('Raw Annual DMR Data'!$M:$M,MATCH(K1249,'Raw Annual DMR Data'!$L:$L,0)))</f>
        <v>POTW</v>
      </c>
      <c r="M1249" s="28"/>
      <c r="N1249" s="28"/>
      <c r="O1249" s="28"/>
      <c r="P1249" s="28"/>
      <c r="Q1249" s="28"/>
      <c r="R1249" s="28"/>
      <c r="S1249" s="28">
        <v>0.91043083900226696</v>
      </c>
    </row>
    <row r="1250" spans="1:19" x14ac:dyDescent="0.25">
      <c r="A1250" s="28">
        <v>2020</v>
      </c>
      <c r="B1250" s="28"/>
      <c r="C1250" s="28" t="s">
        <v>1354</v>
      </c>
      <c r="D1250" s="28" t="s">
        <v>2228</v>
      </c>
      <c r="E1250" s="28" t="s">
        <v>1355</v>
      </c>
      <c r="F1250" s="28" t="s">
        <v>366</v>
      </c>
      <c r="G1250" s="28" t="s">
        <v>2229</v>
      </c>
      <c r="H1250" s="28">
        <v>35.102089999999997</v>
      </c>
      <c r="I1250" s="28">
        <v>-120.62509</v>
      </c>
      <c r="J1250" s="28"/>
      <c r="K1250" s="61">
        <v>110000730629</v>
      </c>
      <c r="L1250" s="61" t="str">
        <f>IFERROR(INDEX('Facility Summary'!$K:$K,MATCH(K1250,'Facility Summary'!$J:$J,0)),INDEX('Raw Annual DMR Data'!$M:$M,MATCH(K1250,'Raw Annual DMR Data'!$L:$L,0)))</f>
        <v>POTW</v>
      </c>
      <c r="M1250" s="28"/>
      <c r="N1250" s="28"/>
      <c r="O1250" s="28"/>
      <c r="P1250" s="28"/>
      <c r="Q1250" s="28"/>
      <c r="R1250" s="28"/>
      <c r="S1250" s="28">
        <v>0.14401360544217601</v>
      </c>
    </row>
    <row r="1251" spans="1:19" x14ac:dyDescent="0.25">
      <c r="A1251" s="28">
        <v>2015</v>
      </c>
      <c r="B1251" s="28"/>
      <c r="C1251" s="28" t="s">
        <v>1356</v>
      </c>
      <c r="D1251" s="28" t="s">
        <v>2231</v>
      </c>
      <c r="E1251" s="28" t="s">
        <v>1357</v>
      </c>
      <c r="F1251" s="28" t="s">
        <v>418</v>
      </c>
      <c r="G1251" s="28">
        <v>89434</v>
      </c>
      <c r="H1251" s="28">
        <v>39.530619999999999</v>
      </c>
      <c r="I1251" s="28">
        <v>-119.73309</v>
      </c>
      <c r="J1251" s="28"/>
      <c r="K1251" s="61">
        <v>110009830200</v>
      </c>
      <c r="L1251" s="61" t="str">
        <f>IFERROR(INDEX('Facility Summary'!$K:$K,MATCH(K1251,'Facility Summary'!$J:$J,0)),INDEX('Raw Annual DMR Data'!$M:$M,MATCH(K1251,'Raw Annual DMR Data'!$L:$L,0)))</f>
        <v>Unknown</v>
      </c>
      <c r="M1251" s="28"/>
      <c r="N1251" s="28"/>
      <c r="O1251" s="28"/>
      <c r="P1251" s="28"/>
      <c r="Q1251" s="28"/>
      <c r="R1251" s="28"/>
      <c r="S1251" s="28">
        <v>1.8857816249999999</v>
      </c>
    </row>
    <row r="1252" spans="1:19" x14ac:dyDescent="0.25">
      <c r="A1252" s="28">
        <v>2016</v>
      </c>
      <c r="B1252" s="28"/>
      <c r="C1252" s="28" t="s">
        <v>1356</v>
      </c>
      <c r="D1252" s="28" t="s">
        <v>2231</v>
      </c>
      <c r="E1252" s="28" t="s">
        <v>1357</v>
      </c>
      <c r="F1252" s="28" t="s">
        <v>418</v>
      </c>
      <c r="G1252" s="28">
        <v>89434</v>
      </c>
      <c r="H1252" s="28">
        <v>39.530619999999999</v>
      </c>
      <c r="I1252" s="28">
        <v>-119.73309</v>
      </c>
      <c r="J1252" s="28"/>
      <c r="K1252" s="61">
        <v>110009830200</v>
      </c>
      <c r="L1252" s="61" t="str">
        <f>IFERROR(INDEX('Facility Summary'!$K:$K,MATCH(K1252,'Facility Summary'!$J:$J,0)),INDEX('Raw Annual DMR Data'!$M:$M,MATCH(K1252,'Raw Annual DMR Data'!$L:$L,0)))</f>
        <v>Unknown</v>
      </c>
      <c r="M1252" s="28"/>
      <c r="N1252" s="28"/>
      <c r="O1252" s="28"/>
      <c r="P1252" s="28"/>
      <c r="Q1252" s="28"/>
      <c r="R1252" s="28"/>
      <c r="S1252" s="28">
        <v>1.8443358750000001</v>
      </c>
    </row>
    <row r="1253" spans="1:19" x14ac:dyDescent="0.25">
      <c r="A1253" s="28">
        <v>2017</v>
      </c>
      <c r="B1253" s="28"/>
      <c r="C1253" s="28" t="s">
        <v>1356</v>
      </c>
      <c r="D1253" s="28" t="s">
        <v>2231</v>
      </c>
      <c r="E1253" s="28" t="s">
        <v>1357</v>
      </c>
      <c r="F1253" s="28" t="s">
        <v>418</v>
      </c>
      <c r="G1253" s="28">
        <v>89434</v>
      </c>
      <c r="H1253" s="28">
        <v>39.530619999999999</v>
      </c>
      <c r="I1253" s="28">
        <v>-119.73309</v>
      </c>
      <c r="J1253" s="28"/>
      <c r="K1253" s="61">
        <v>110009830200</v>
      </c>
      <c r="L1253" s="61" t="str">
        <f>IFERROR(INDEX('Facility Summary'!$K:$K,MATCH(K1253,'Facility Summary'!$J:$J,0)),INDEX('Raw Annual DMR Data'!$M:$M,MATCH(K1253,'Raw Annual DMR Data'!$L:$L,0)))</f>
        <v>Unknown</v>
      </c>
      <c r="M1253" s="28"/>
      <c r="N1253" s="28"/>
      <c r="O1253" s="28"/>
      <c r="P1253" s="28"/>
      <c r="Q1253" s="28"/>
      <c r="R1253" s="28"/>
      <c r="S1253" s="28">
        <v>2.8873872500000002</v>
      </c>
    </row>
    <row r="1254" spans="1:19" x14ac:dyDescent="0.25">
      <c r="A1254" s="28">
        <v>2018</v>
      </c>
      <c r="B1254" s="28"/>
      <c r="C1254" s="28" t="s">
        <v>1356</v>
      </c>
      <c r="D1254" s="28" t="s">
        <v>2231</v>
      </c>
      <c r="E1254" s="28" t="s">
        <v>1357</v>
      </c>
      <c r="F1254" s="28" t="s">
        <v>418</v>
      </c>
      <c r="G1254" s="28">
        <v>89434</v>
      </c>
      <c r="H1254" s="28">
        <v>39.530619999999999</v>
      </c>
      <c r="I1254" s="28">
        <v>-119.73309</v>
      </c>
      <c r="J1254" s="28"/>
      <c r="K1254" s="61">
        <v>110009830200</v>
      </c>
      <c r="L1254" s="61" t="str">
        <f>IFERROR(INDEX('Facility Summary'!$K:$K,MATCH(K1254,'Facility Summary'!$J:$J,0)),INDEX('Raw Annual DMR Data'!$M:$M,MATCH(K1254,'Raw Annual DMR Data'!$L:$L,0)))</f>
        <v>Unknown</v>
      </c>
      <c r="M1254" s="28"/>
      <c r="N1254" s="28"/>
      <c r="O1254" s="28"/>
      <c r="P1254" s="28"/>
      <c r="Q1254" s="28"/>
      <c r="R1254" s="28"/>
      <c r="S1254" s="28">
        <v>3.7715632499999998</v>
      </c>
    </row>
    <row r="1255" spans="1:19" x14ac:dyDescent="0.25">
      <c r="A1255" s="28">
        <v>2019</v>
      </c>
      <c r="B1255" s="28"/>
      <c r="C1255" s="28" t="s">
        <v>1356</v>
      </c>
      <c r="D1255" s="28" t="s">
        <v>2231</v>
      </c>
      <c r="E1255" s="28" t="s">
        <v>1357</v>
      </c>
      <c r="F1255" s="28" t="s">
        <v>418</v>
      </c>
      <c r="G1255" s="28">
        <v>89434</v>
      </c>
      <c r="H1255" s="28">
        <v>39.530619999999999</v>
      </c>
      <c r="I1255" s="28">
        <v>-119.73309</v>
      </c>
      <c r="J1255" s="28"/>
      <c r="K1255" s="61">
        <v>110009830200</v>
      </c>
      <c r="L1255" s="61" t="str">
        <f>IFERROR(INDEX('Facility Summary'!$K:$K,MATCH(K1255,'Facility Summary'!$J:$J,0)),INDEX('Raw Annual DMR Data'!$M:$M,MATCH(K1255,'Raw Annual DMR Data'!$L:$L,0)))</f>
        <v>Unknown</v>
      </c>
      <c r="M1255" s="28"/>
      <c r="N1255" s="28"/>
      <c r="O1255" s="28"/>
      <c r="P1255" s="28"/>
      <c r="Q1255" s="28"/>
      <c r="R1255" s="28"/>
      <c r="S1255" s="28">
        <v>13.573483124999999</v>
      </c>
    </row>
    <row r="1256" spans="1:19" x14ac:dyDescent="0.25">
      <c r="A1256" s="28">
        <v>2019</v>
      </c>
      <c r="B1256" s="28"/>
      <c r="C1256" s="28" t="s">
        <v>44</v>
      </c>
      <c r="D1256" s="28" t="s">
        <v>367</v>
      </c>
      <c r="E1256" s="28" t="s">
        <v>368</v>
      </c>
      <c r="F1256" s="28" t="s">
        <v>349</v>
      </c>
      <c r="G1256" s="28">
        <v>63630</v>
      </c>
      <c r="H1256" s="28">
        <v>37.983333000000002</v>
      </c>
      <c r="I1256" s="28">
        <v>-90.690832999999998</v>
      </c>
      <c r="J1256" s="28" t="s">
        <v>369</v>
      </c>
      <c r="K1256" s="61">
        <v>110017980443</v>
      </c>
      <c r="L1256" s="61" t="str">
        <f>IFERROR(INDEX('Facility Summary'!$K:$K,MATCH(K1256,'Facility Summary'!$J:$J,0)),INDEX('Raw Annual DMR Data'!$M:$M,MATCH(K1256,'Raw Annual DMR Data'!$L:$L,0)))</f>
        <v>Manufacturing</v>
      </c>
      <c r="M1256" s="28"/>
      <c r="N1256" s="28"/>
      <c r="O1256" s="28"/>
      <c r="P1256" s="28"/>
      <c r="Q1256" s="28"/>
      <c r="R1256" s="28"/>
      <c r="S1256" s="28">
        <v>0.1438499147775</v>
      </c>
    </row>
    <row r="1257" spans="1:19" x14ac:dyDescent="0.25">
      <c r="A1257" s="28">
        <v>2019</v>
      </c>
      <c r="B1257" s="28"/>
      <c r="C1257" s="28" t="s">
        <v>44</v>
      </c>
      <c r="D1257" s="28" t="s">
        <v>367</v>
      </c>
      <c r="E1257" s="28" t="s">
        <v>368</v>
      </c>
      <c r="F1257" s="28" t="s">
        <v>349</v>
      </c>
      <c r="G1257" s="28">
        <v>63630</v>
      </c>
      <c r="H1257" s="28">
        <v>37.983333000000002</v>
      </c>
      <c r="I1257" s="28">
        <v>-90.690832999999998</v>
      </c>
      <c r="J1257" s="28" t="s">
        <v>369</v>
      </c>
      <c r="K1257" s="61">
        <v>110017980443</v>
      </c>
      <c r="L1257" s="61" t="str">
        <f>IFERROR(INDEX('Facility Summary'!$K:$K,MATCH(K1257,'Facility Summary'!$J:$J,0)),INDEX('Raw Annual DMR Data'!$M:$M,MATCH(K1257,'Raw Annual DMR Data'!$L:$L,0)))</f>
        <v>Manufacturing</v>
      </c>
      <c r="M1257" s="28"/>
      <c r="N1257" s="28"/>
      <c r="O1257" s="28"/>
      <c r="P1257" s="28"/>
      <c r="Q1257" s="28"/>
      <c r="R1257" s="28"/>
      <c r="S1257" s="28">
        <v>9.4349849425000003E-3</v>
      </c>
    </row>
    <row r="1258" spans="1:19" x14ac:dyDescent="0.25">
      <c r="A1258" s="28">
        <v>2017</v>
      </c>
      <c r="B1258" s="28"/>
      <c r="C1258" s="28" t="s">
        <v>1360</v>
      </c>
      <c r="D1258" s="28" t="s">
        <v>2237</v>
      </c>
      <c r="E1258" s="28" t="s">
        <v>1361</v>
      </c>
      <c r="F1258" s="28" t="s">
        <v>366</v>
      </c>
      <c r="G1258" s="28">
        <v>93561</v>
      </c>
      <c r="H1258" s="28">
        <v>35.082410000000003</v>
      </c>
      <c r="I1258" s="28">
        <v>-118.63708</v>
      </c>
      <c r="J1258" s="28"/>
      <c r="K1258" s="61">
        <v>110006783463</v>
      </c>
      <c r="L1258" s="61" t="str">
        <f>IFERROR(INDEX('Facility Summary'!$K:$K,MATCH(K1258,'Facility Summary'!$J:$J,0)),INDEX('Raw Annual DMR Data'!$M:$M,MATCH(K1258,'Raw Annual DMR Data'!$L:$L,0)))</f>
        <v>POTW</v>
      </c>
      <c r="M1258" s="28"/>
      <c r="N1258" s="28"/>
      <c r="O1258" s="28"/>
      <c r="P1258" s="28"/>
      <c r="Q1258" s="28"/>
      <c r="R1258" s="28"/>
      <c r="S1258" s="28">
        <v>1.2276723200000001E-2</v>
      </c>
    </row>
    <row r="1259" spans="1:19" x14ac:dyDescent="0.25">
      <c r="A1259" s="28">
        <v>2015</v>
      </c>
      <c r="B1259" s="28"/>
      <c r="C1259" s="28" t="s">
        <v>191</v>
      </c>
      <c r="D1259" s="28" t="s">
        <v>625</v>
      </c>
      <c r="E1259" s="28" t="s">
        <v>626</v>
      </c>
      <c r="F1259" s="28" t="s">
        <v>324</v>
      </c>
      <c r="G1259" s="28">
        <v>42276</v>
      </c>
      <c r="H1259" s="28">
        <v>36.985556000000003</v>
      </c>
      <c r="I1259" s="28">
        <v>-86.787499999999994</v>
      </c>
      <c r="J1259" s="28"/>
      <c r="K1259" s="61">
        <v>110046299778</v>
      </c>
      <c r="L1259" s="61" t="str">
        <f>IFERROR(INDEX('Facility Summary'!$K:$K,MATCH(K1259,'Facility Summary'!$J:$J,0)),INDEX('Raw Annual DMR Data'!$M:$M,MATCH(K1259,'Raw Annual DMR Data'!$L:$L,0)))</f>
        <v>Unknown</v>
      </c>
      <c r="M1259" s="28"/>
      <c r="N1259" s="28"/>
      <c r="O1259" s="28"/>
      <c r="P1259" s="28"/>
      <c r="Q1259" s="28"/>
      <c r="R1259" s="28"/>
      <c r="S1259" s="28">
        <v>1.3789512E-2</v>
      </c>
    </row>
    <row r="1260" spans="1:19" x14ac:dyDescent="0.25">
      <c r="A1260" s="28">
        <v>2015</v>
      </c>
      <c r="B1260" s="28"/>
      <c r="C1260" s="28" t="s">
        <v>191</v>
      </c>
      <c r="D1260" s="28" t="s">
        <v>625</v>
      </c>
      <c r="E1260" s="28" t="s">
        <v>626</v>
      </c>
      <c r="F1260" s="28" t="s">
        <v>324</v>
      </c>
      <c r="G1260" s="28">
        <v>42276</v>
      </c>
      <c r="H1260" s="28">
        <v>36.985556000000003</v>
      </c>
      <c r="I1260" s="28">
        <v>-86.787499999999994</v>
      </c>
      <c r="J1260" s="28"/>
      <c r="K1260" s="61">
        <v>110046299778</v>
      </c>
      <c r="L1260" s="61" t="str">
        <f>IFERROR(INDEX('Facility Summary'!$K:$K,MATCH(K1260,'Facility Summary'!$J:$J,0)),INDEX('Raw Annual DMR Data'!$M:$M,MATCH(K1260,'Raw Annual DMR Data'!$L:$L,0)))</f>
        <v>Unknown</v>
      </c>
      <c r="M1260" s="28"/>
      <c r="N1260" s="28"/>
      <c r="O1260" s="28"/>
      <c r="P1260" s="28"/>
      <c r="Q1260" s="28"/>
      <c r="R1260" s="28"/>
      <c r="S1260" s="28">
        <v>1.3663849999999999E-3</v>
      </c>
    </row>
    <row r="1261" spans="1:19" x14ac:dyDescent="0.25">
      <c r="A1261" s="28">
        <v>2015</v>
      </c>
      <c r="B1261" s="28"/>
      <c r="C1261" s="28" t="s">
        <v>191</v>
      </c>
      <c r="D1261" s="28" t="s">
        <v>625</v>
      </c>
      <c r="E1261" s="28" t="s">
        <v>626</v>
      </c>
      <c r="F1261" s="28" t="s">
        <v>324</v>
      </c>
      <c r="G1261" s="28">
        <v>42276</v>
      </c>
      <c r="H1261" s="28">
        <v>36.985556000000003</v>
      </c>
      <c r="I1261" s="28">
        <v>-86.787499999999994</v>
      </c>
      <c r="J1261" s="28"/>
      <c r="K1261" s="61">
        <v>110046299778</v>
      </c>
      <c r="L1261" s="61" t="str">
        <f>IFERROR(INDEX('Facility Summary'!$K:$K,MATCH(K1261,'Facility Summary'!$J:$J,0)),INDEX('Raw Annual DMR Data'!$M:$M,MATCH(K1261,'Raw Annual DMR Data'!$L:$L,0)))</f>
        <v>Unknown</v>
      </c>
      <c r="M1261" s="28"/>
      <c r="N1261" s="28"/>
      <c r="O1261" s="28"/>
      <c r="P1261" s="28"/>
      <c r="Q1261" s="28"/>
      <c r="R1261" s="28"/>
      <c r="S1261" s="28">
        <v>2.7504333333333302E-3</v>
      </c>
    </row>
    <row r="1262" spans="1:19" x14ac:dyDescent="0.25">
      <c r="A1262" s="28">
        <v>2016</v>
      </c>
      <c r="B1262" s="28"/>
      <c r="C1262" s="28" t="s">
        <v>191</v>
      </c>
      <c r="D1262" s="28" t="s">
        <v>625</v>
      </c>
      <c r="E1262" s="28" t="s">
        <v>626</v>
      </c>
      <c r="F1262" s="28" t="s">
        <v>324</v>
      </c>
      <c r="G1262" s="28">
        <v>42276</v>
      </c>
      <c r="H1262" s="28">
        <v>36.985556000000003</v>
      </c>
      <c r="I1262" s="28">
        <v>-86.787499999999994</v>
      </c>
      <c r="J1262" s="28"/>
      <c r="K1262" s="61">
        <v>110046299778</v>
      </c>
      <c r="L1262" s="61" t="str">
        <f>IFERROR(INDEX('Facility Summary'!$K:$K,MATCH(K1262,'Facility Summary'!$J:$J,0)),INDEX('Raw Annual DMR Data'!$M:$M,MATCH(K1262,'Raw Annual DMR Data'!$L:$L,0)))</f>
        <v>Unknown</v>
      </c>
      <c r="M1262" s="28"/>
      <c r="N1262" s="28"/>
      <c r="O1262" s="28"/>
      <c r="P1262" s="28"/>
      <c r="Q1262" s="28"/>
      <c r="R1262" s="28"/>
      <c r="S1262" s="28">
        <v>1.7032500000000001E-4</v>
      </c>
    </row>
    <row r="1263" spans="1:19" x14ac:dyDescent="0.25">
      <c r="A1263" s="28">
        <v>2016</v>
      </c>
      <c r="B1263" s="28"/>
      <c r="C1263" s="28" t="s">
        <v>191</v>
      </c>
      <c r="D1263" s="28" t="s">
        <v>625</v>
      </c>
      <c r="E1263" s="28" t="s">
        <v>626</v>
      </c>
      <c r="F1263" s="28" t="s">
        <v>324</v>
      </c>
      <c r="G1263" s="28">
        <v>42276</v>
      </c>
      <c r="H1263" s="28">
        <v>36.985556000000003</v>
      </c>
      <c r="I1263" s="28">
        <v>-86.787499999999994</v>
      </c>
      <c r="J1263" s="28"/>
      <c r="K1263" s="61">
        <v>110046299778</v>
      </c>
      <c r="L1263" s="61" t="str">
        <f>IFERROR(INDEX('Facility Summary'!$K:$K,MATCH(K1263,'Facility Summary'!$J:$J,0)),INDEX('Raw Annual DMR Data'!$M:$M,MATCH(K1263,'Raw Annual DMR Data'!$L:$L,0)))</f>
        <v>Unknown</v>
      </c>
      <c r="M1263" s="28"/>
      <c r="N1263" s="28"/>
      <c r="O1263" s="28"/>
      <c r="P1263" s="28"/>
      <c r="Q1263" s="28"/>
      <c r="R1263" s="28"/>
      <c r="S1263" s="28">
        <v>1.7032500000000001E-4</v>
      </c>
    </row>
    <row r="1264" spans="1:19" x14ac:dyDescent="0.25">
      <c r="A1264" s="28">
        <v>2016</v>
      </c>
      <c r="B1264" s="28"/>
      <c r="C1264" s="28" t="s">
        <v>191</v>
      </c>
      <c r="D1264" s="28" t="s">
        <v>625</v>
      </c>
      <c r="E1264" s="28" t="s">
        <v>626</v>
      </c>
      <c r="F1264" s="28" t="s">
        <v>324</v>
      </c>
      <c r="G1264" s="28">
        <v>42276</v>
      </c>
      <c r="H1264" s="28">
        <v>36.985556000000003</v>
      </c>
      <c r="I1264" s="28">
        <v>-86.787499999999994</v>
      </c>
      <c r="J1264" s="28"/>
      <c r="K1264" s="61">
        <v>110046299778</v>
      </c>
      <c r="L1264" s="61" t="str">
        <f>IFERROR(INDEX('Facility Summary'!$K:$K,MATCH(K1264,'Facility Summary'!$J:$J,0)),INDEX('Raw Annual DMR Data'!$M:$M,MATCH(K1264,'Raw Annual DMR Data'!$L:$L,0)))</f>
        <v>Unknown</v>
      </c>
      <c r="M1264" s="28"/>
      <c r="N1264" s="28"/>
      <c r="O1264" s="28"/>
      <c r="P1264" s="28"/>
      <c r="Q1264" s="28"/>
      <c r="R1264" s="28"/>
      <c r="S1264" s="28">
        <v>1.85673175E-2</v>
      </c>
    </row>
    <row r="1265" spans="1:19" x14ac:dyDescent="0.25">
      <c r="A1265" s="28">
        <v>2019</v>
      </c>
      <c r="B1265" s="28"/>
      <c r="C1265" s="28" t="s">
        <v>1362</v>
      </c>
      <c r="D1265" s="28" t="s">
        <v>2240</v>
      </c>
      <c r="E1265" s="28" t="s">
        <v>1282</v>
      </c>
      <c r="F1265" s="28" t="s">
        <v>366</v>
      </c>
      <c r="G1265" s="28">
        <v>92029</v>
      </c>
      <c r="H1265" s="28">
        <v>33.115580000000001</v>
      </c>
      <c r="I1265" s="28">
        <v>-117.1194</v>
      </c>
      <c r="J1265" s="28"/>
      <c r="K1265" s="61">
        <v>110045515180</v>
      </c>
      <c r="L1265" s="61" t="str">
        <f>IFERROR(INDEX('Facility Summary'!$K:$K,MATCH(K1265,'Facility Summary'!$J:$J,0)),INDEX('Raw Annual DMR Data'!$M:$M,MATCH(K1265,'Raw Annual DMR Data'!$L:$L,0)))</f>
        <v>Unknown</v>
      </c>
      <c r="M1265" s="28"/>
      <c r="N1265" s="28"/>
      <c r="O1265" s="28"/>
      <c r="P1265" s="28"/>
      <c r="Q1265" s="28"/>
      <c r="R1265" s="28"/>
      <c r="S1265" s="28">
        <v>9.9183673469387702E-3</v>
      </c>
    </row>
    <row r="1266" spans="1:19" x14ac:dyDescent="0.25">
      <c r="A1266" s="28">
        <v>2020</v>
      </c>
      <c r="B1266" s="28"/>
      <c r="C1266" s="28" t="s">
        <v>1362</v>
      </c>
      <c r="D1266" s="28" t="s">
        <v>2240</v>
      </c>
      <c r="E1266" s="28" t="s">
        <v>1282</v>
      </c>
      <c r="F1266" s="28" t="s">
        <v>366</v>
      </c>
      <c r="G1266" s="28">
        <v>92029</v>
      </c>
      <c r="H1266" s="28">
        <v>33.115580000000001</v>
      </c>
      <c r="I1266" s="28">
        <v>-117.1194</v>
      </c>
      <c r="J1266" s="28"/>
      <c r="K1266" s="61">
        <v>110045515180</v>
      </c>
      <c r="L1266" s="61" t="str">
        <f>IFERROR(INDEX('Facility Summary'!$K:$K,MATCH(K1266,'Facility Summary'!$J:$J,0)),INDEX('Raw Annual DMR Data'!$M:$M,MATCH(K1266,'Raw Annual DMR Data'!$L:$L,0)))</f>
        <v>Unknown</v>
      </c>
      <c r="M1266" s="28"/>
      <c r="N1266" s="28"/>
      <c r="O1266" s="28"/>
      <c r="P1266" s="28"/>
      <c r="Q1266" s="28"/>
      <c r="R1266" s="28"/>
      <c r="S1266" s="28">
        <v>9.4448979591836707E-3</v>
      </c>
    </row>
    <row r="1267" spans="1:19" x14ac:dyDescent="0.25">
      <c r="A1267" s="28">
        <v>2015</v>
      </c>
      <c r="B1267" s="28"/>
      <c r="C1267" s="28" t="s">
        <v>1363</v>
      </c>
      <c r="D1267" s="28" t="s">
        <v>2242</v>
      </c>
      <c r="E1267" s="28" t="s">
        <v>1364</v>
      </c>
      <c r="F1267" s="28" t="s">
        <v>303</v>
      </c>
      <c r="G1267" s="28">
        <v>70776</v>
      </c>
      <c r="H1267" s="28">
        <v>30.241299999999999</v>
      </c>
      <c r="I1267" s="28">
        <v>-91.100899999999996</v>
      </c>
      <c r="J1267" s="28" t="s">
        <v>735</v>
      </c>
      <c r="K1267" s="61">
        <v>110000597426</v>
      </c>
      <c r="L1267" s="61" t="str">
        <f>IFERROR(INDEX('Facility Summary'!$K:$K,MATCH(K1267,'Facility Summary'!$J:$J,0)),INDEX('Raw Annual DMR Data'!$M:$M,MATCH(K1267,'Raw Annual DMR Data'!$L:$L,0)))</f>
        <v>Unknown</v>
      </c>
      <c r="M1267" s="28"/>
      <c r="N1267" s="28"/>
      <c r="O1267" s="28"/>
      <c r="P1267" s="28"/>
      <c r="Q1267" s="28"/>
      <c r="R1267" s="28"/>
      <c r="S1267" s="28">
        <v>0.82766439909296996</v>
      </c>
    </row>
    <row r="1268" spans="1:19" x14ac:dyDescent="0.25">
      <c r="A1268" s="28">
        <v>2016</v>
      </c>
      <c r="B1268" s="28"/>
      <c r="C1268" s="28" t="s">
        <v>1363</v>
      </c>
      <c r="D1268" s="28" t="s">
        <v>2242</v>
      </c>
      <c r="E1268" s="28" t="s">
        <v>1364</v>
      </c>
      <c r="F1268" s="28" t="s">
        <v>303</v>
      </c>
      <c r="G1268" s="28">
        <v>70776</v>
      </c>
      <c r="H1268" s="28">
        <v>30.241299999999999</v>
      </c>
      <c r="I1268" s="28">
        <v>-91.100899999999996</v>
      </c>
      <c r="J1268" s="28" t="s">
        <v>735</v>
      </c>
      <c r="K1268" s="61">
        <v>110000597426</v>
      </c>
      <c r="L1268" s="61" t="str">
        <f>IFERROR(INDEX('Facility Summary'!$K:$K,MATCH(K1268,'Facility Summary'!$J:$J,0)),INDEX('Raw Annual DMR Data'!$M:$M,MATCH(K1268,'Raw Annual DMR Data'!$L:$L,0)))</f>
        <v>Unknown</v>
      </c>
      <c r="M1268" s="28"/>
      <c r="N1268" s="28"/>
      <c r="O1268" s="28"/>
      <c r="P1268" s="28"/>
      <c r="Q1268" s="28"/>
      <c r="R1268" s="28"/>
      <c r="S1268" s="28">
        <v>0.82766439909296996</v>
      </c>
    </row>
    <row r="1269" spans="1:19" x14ac:dyDescent="0.25">
      <c r="A1269" s="28">
        <v>2017</v>
      </c>
      <c r="B1269" s="28"/>
      <c r="C1269" s="28" t="s">
        <v>1363</v>
      </c>
      <c r="D1269" s="28" t="s">
        <v>2242</v>
      </c>
      <c r="E1269" s="28" t="s">
        <v>1364</v>
      </c>
      <c r="F1269" s="28" t="s">
        <v>303</v>
      </c>
      <c r="G1269" s="28">
        <v>70776</v>
      </c>
      <c r="H1269" s="28">
        <v>30.241299999999999</v>
      </c>
      <c r="I1269" s="28">
        <v>-91.100899999999996</v>
      </c>
      <c r="J1269" s="28" t="s">
        <v>735</v>
      </c>
      <c r="K1269" s="61">
        <v>110000597426</v>
      </c>
      <c r="L1269" s="61" t="str">
        <f>IFERROR(INDEX('Facility Summary'!$K:$K,MATCH(K1269,'Facility Summary'!$J:$J,0)),INDEX('Raw Annual DMR Data'!$M:$M,MATCH(K1269,'Raw Annual DMR Data'!$L:$L,0)))</f>
        <v>Unknown</v>
      </c>
      <c r="M1269" s="28"/>
      <c r="N1269" s="28"/>
      <c r="O1269" s="28"/>
      <c r="P1269" s="28"/>
      <c r="Q1269" s="28"/>
      <c r="R1269" s="28"/>
      <c r="S1269" s="28">
        <v>0.82766439909296996</v>
      </c>
    </row>
    <row r="1270" spans="1:19" x14ac:dyDescent="0.25">
      <c r="A1270" s="28">
        <v>2018</v>
      </c>
      <c r="B1270" s="28"/>
      <c r="C1270" s="28" t="s">
        <v>1363</v>
      </c>
      <c r="D1270" s="28" t="s">
        <v>2242</v>
      </c>
      <c r="E1270" s="28" t="s">
        <v>1364</v>
      </c>
      <c r="F1270" s="28" t="s">
        <v>303</v>
      </c>
      <c r="G1270" s="28">
        <v>70776</v>
      </c>
      <c r="H1270" s="28">
        <v>30.241299999999999</v>
      </c>
      <c r="I1270" s="28">
        <v>-91.100899999999996</v>
      </c>
      <c r="J1270" s="28" t="s">
        <v>735</v>
      </c>
      <c r="K1270" s="61">
        <v>110000597426</v>
      </c>
      <c r="L1270" s="61" t="str">
        <f>IFERROR(INDEX('Facility Summary'!$K:$K,MATCH(K1270,'Facility Summary'!$J:$J,0)),INDEX('Raw Annual DMR Data'!$M:$M,MATCH(K1270,'Raw Annual DMR Data'!$L:$L,0)))</f>
        <v>Unknown</v>
      </c>
      <c r="M1270" s="28"/>
      <c r="N1270" s="28"/>
      <c r="O1270" s="28"/>
      <c r="P1270" s="28"/>
      <c r="Q1270" s="28"/>
      <c r="R1270" s="28"/>
      <c r="S1270" s="302">
        <v>0.82766439909296996</v>
      </c>
    </row>
    <row r="1271" spans="1:19" x14ac:dyDescent="0.25">
      <c r="A1271" s="28">
        <v>2019</v>
      </c>
      <c r="B1271" s="28"/>
      <c r="C1271" s="28" t="s">
        <v>1363</v>
      </c>
      <c r="D1271" s="28" t="s">
        <v>2242</v>
      </c>
      <c r="E1271" s="28" t="s">
        <v>1364</v>
      </c>
      <c r="F1271" s="28" t="s">
        <v>303</v>
      </c>
      <c r="G1271" s="28">
        <v>70776</v>
      </c>
      <c r="H1271" s="28">
        <v>30.241299999999999</v>
      </c>
      <c r="I1271" s="28">
        <v>-91.100899999999996</v>
      </c>
      <c r="J1271" s="28" t="s">
        <v>735</v>
      </c>
      <c r="K1271" s="61">
        <v>110000597426</v>
      </c>
      <c r="L1271" s="61" t="str">
        <f>IFERROR(INDEX('Facility Summary'!$K:$K,MATCH(K1271,'Facility Summary'!$J:$J,0)),INDEX('Raw Annual DMR Data'!$M:$M,MATCH(K1271,'Raw Annual DMR Data'!$L:$L,0)))</f>
        <v>Unknown</v>
      </c>
      <c r="M1271" s="28"/>
      <c r="N1271" s="28"/>
      <c r="O1271" s="28"/>
      <c r="P1271" s="28"/>
      <c r="Q1271" s="28"/>
      <c r="R1271" s="28"/>
      <c r="S1271" s="28">
        <v>0.82766439909296996</v>
      </c>
    </row>
    <row r="1272" spans="1:19" x14ac:dyDescent="0.25">
      <c r="A1272" s="28">
        <v>2020</v>
      </c>
      <c r="B1272" s="28"/>
      <c r="C1272" s="28" t="s">
        <v>1363</v>
      </c>
      <c r="D1272" s="28" t="s">
        <v>2242</v>
      </c>
      <c r="E1272" s="28" t="s">
        <v>1364</v>
      </c>
      <c r="F1272" s="28" t="s">
        <v>303</v>
      </c>
      <c r="G1272" s="28">
        <v>70776</v>
      </c>
      <c r="H1272" s="28">
        <v>30.241299999999999</v>
      </c>
      <c r="I1272" s="28">
        <v>-91.100899999999996</v>
      </c>
      <c r="J1272" s="28" t="s">
        <v>735</v>
      </c>
      <c r="K1272" s="61">
        <v>110000597426</v>
      </c>
      <c r="L1272" s="61" t="str">
        <f>IFERROR(INDEX('Facility Summary'!$K:$K,MATCH(K1272,'Facility Summary'!$J:$J,0)),INDEX('Raw Annual DMR Data'!$M:$M,MATCH(K1272,'Raw Annual DMR Data'!$L:$L,0)))</f>
        <v>Unknown</v>
      </c>
      <c r="M1272" s="28"/>
      <c r="N1272" s="28"/>
      <c r="O1272" s="28"/>
      <c r="P1272" s="28"/>
      <c r="Q1272" s="28"/>
      <c r="R1272" s="28"/>
      <c r="S1272" s="28">
        <v>0.82766439909296996</v>
      </c>
    </row>
    <row r="1273" spans="1:19" x14ac:dyDescent="0.25">
      <c r="A1273" s="28">
        <v>2017</v>
      </c>
      <c r="B1273" s="28"/>
      <c r="C1273" s="28" t="s">
        <v>1365</v>
      </c>
      <c r="D1273" s="28" t="s">
        <v>2246</v>
      </c>
      <c r="E1273" s="28" t="s">
        <v>1366</v>
      </c>
      <c r="F1273" s="28" t="s">
        <v>506</v>
      </c>
      <c r="G1273" s="28" t="s">
        <v>2247</v>
      </c>
      <c r="H1273" s="28">
        <v>38.082917000000002</v>
      </c>
      <c r="I1273" s="28">
        <v>-75.602999999999994</v>
      </c>
      <c r="J1273" s="28"/>
      <c r="K1273" s="61">
        <v>110008479397</v>
      </c>
      <c r="L1273" s="61" t="str">
        <f>IFERROR(INDEX('Facility Summary'!$K:$K,MATCH(K1273,'Facility Summary'!$J:$J,0)),INDEX('Raw Annual DMR Data'!$M:$M,MATCH(K1273,'Raw Annual DMR Data'!$L:$L,0)))</f>
        <v>Unknown</v>
      </c>
      <c r="M1273" s="28"/>
      <c r="N1273" s="28"/>
      <c r="O1273" s="28"/>
      <c r="P1273" s="28"/>
      <c r="Q1273" s="28"/>
      <c r="R1273" s="28"/>
      <c r="S1273" s="28">
        <v>3.1270155999999901E-3</v>
      </c>
    </row>
    <row r="1274" spans="1:19" x14ac:dyDescent="0.25">
      <c r="A1274" s="28">
        <v>2018</v>
      </c>
      <c r="B1274" s="28"/>
      <c r="C1274" s="28" t="s">
        <v>1365</v>
      </c>
      <c r="D1274" s="28" t="s">
        <v>2246</v>
      </c>
      <c r="E1274" s="28" t="s">
        <v>1366</v>
      </c>
      <c r="F1274" s="28" t="s">
        <v>506</v>
      </c>
      <c r="G1274" s="28" t="s">
        <v>2247</v>
      </c>
      <c r="H1274" s="28">
        <v>38.082917000000002</v>
      </c>
      <c r="I1274" s="28">
        <v>-75.602999999999994</v>
      </c>
      <c r="J1274" s="28"/>
      <c r="K1274" s="61">
        <v>110008479397</v>
      </c>
      <c r="L1274" s="61" t="str">
        <f>IFERROR(INDEX('Facility Summary'!$K:$K,MATCH(K1274,'Facility Summary'!$J:$J,0)),INDEX('Raw Annual DMR Data'!$M:$M,MATCH(K1274,'Raw Annual DMR Data'!$L:$L,0)))</f>
        <v>Unknown</v>
      </c>
      <c r="M1274" s="28"/>
      <c r="N1274" s="28"/>
      <c r="O1274" s="28"/>
      <c r="P1274" s="28"/>
      <c r="Q1274" s="28"/>
      <c r="R1274" s="28"/>
      <c r="S1274" s="302">
        <v>5.8821152074999897E-3</v>
      </c>
    </row>
    <row r="1275" spans="1:19" x14ac:dyDescent="0.25">
      <c r="A1275" s="28">
        <v>2015</v>
      </c>
      <c r="B1275" s="28"/>
      <c r="C1275" s="28" t="s">
        <v>1367</v>
      </c>
      <c r="D1275" s="28" t="s">
        <v>2251</v>
      </c>
      <c r="E1275" s="28" t="s">
        <v>1364</v>
      </c>
      <c r="F1275" s="28" t="s">
        <v>303</v>
      </c>
      <c r="G1275" s="28">
        <v>70776</v>
      </c>
      <c r="H1275" s="28">
        <v>30.250833</v>
      </c>
      <c r="I1275" s="28">
        <v>-91.092277999999993</v>
      </c>
      <c r="J1275" s="28" t="s">
        <v>736</v>
      </c>
      <c r="K1275" s="61">
        <v>110056972432</v>
      </c>
      <c r="L1275" s="61" t="str">
        <f>IFERROR(INDEX('Facility Summary'!$K:$K,MATCH(K1275,'Facility Summary'!$J:$J,0)),INDEX('Raw Annual DMR Data'!$M:$M,MATCH(K1275,'Raw Annual DMR Data'!$L:$L,0)))</f>
        <v>Unknown</v>
      </c>
      <c r="M1275" s="28"/>
      <c r="N1275" s="28"/>
      <c r="O1275" s="28"/>
      <c r="P1275" s="28"/>
      <c r="Q1275" s="28"/>
      <c r="R1275" s="28"/>
      <c r="S1275" s="28">
        <v>0.41383219954648498</v>
      </c>
    </row>
    <row r="1276" spans="1:19" x14ac:dyDescent="0.25">
      <c r="A1276" s="28">
        <v>2019</v>
      </c>
      <c r="B1276" s="28"/>
      <c r="C1276" s="28" t="s">
        <v>1367</v>
      </c>
      <c r="D1276" s="28" t="s">
        <v>2251</v>
      </c>
      <c r="E1276" s="28" t="s">
        <v>1364</v>
      </c>
      <c r="F1276" s="28" t="s">
        <v>303</v>
      </c>
      <c r="G1276" s="28">
        <v>70776</v>
      </c>
      <c r="H1276" s="28">
        <v>30.250833</v>
      </c>
      <c r="I1276" s="28">
        <v>-91.092277999999993</v>
      </c>
      <c r="J1276" s="28" t="s">
        <v>736</v>
      </c>
      <c r="K1276" s="61">
        <v>110056972432</v>
      </c>
      <c r="L1276" s="61" t="str">
        <f>IFERROR(INDEX('Facility Summary'!$K:$K,MATCH(K1276,'Facility Summary'!$J:$J,0)),INDEX('Raw Annual DMR Data'!$M:$M,MATCH(K1276,'Raw Annual DMR Data'!$L:$L,0)))</f>
        <v>Unknown</v>
      </c>
      <c r="M1276" s="28"/>
      <c r="N1276" s="28"/>
      <c r="O1276" s="28"/>
      <c r="P1276" s="28"/>
      <c r="Q1276" s="28"/>
      <c r="R1276" s="28"/>
      <c r="S1276" s="28">
        <v>0.41383219954648498</v>
      </c>
    </row>
    <row r="1277" spans="1:19" x14ac:dyDescent="0.25">
      <c r="A1277" s="28">
        <v>2020</v>
      </c>
      <c r="B1277" s="28"/>
      <c r="C1277" s="28" t="s">
        <v>1367</v>
      </c>
      <c r="D1277" s="28" t="s">
        <v>2251</v>
      </c>
      <c r="E1277" s="28" t="s">
        <v>1364</v>
      </c>
      <c r="F1277" s="28" t="s">
        <v>303</v>
      </c>
      <c r="G1277" s="28">
        <v>70776</v>
      </c>
      <c r="H1277" s="28">
        <v>30.250833</v>
      </c>
      <c r="I1277" s="28">
        <v>-91.092277999999993</v>
      </c>
      <c r="J1277" s="28" t="s">
        <v>736</v>
      </c>
      <c r="K1277" s="61">
        <v>110056972432</v>
      </c>
      <c r="L1277" s="61" t="str">
        <f>IFERROR(INDEX('Facility Summary'!$K:$K,MATCH(K1277,'Facility Summary'!$J:$J,0)),INDEX('Raw Annual DMR Data'!$M:$M,MATCH(K1277,'Raw Annual DMR Data'!$L:$L,0)))</f>
        <v>Unknown</v>
      </c>
      <c r="M1277" s="28"/>
      <c r="N1277" s="28"/>
      <c r="O1277" s="28"/>
      <c r="P1277" s="28"/>
      <c r="Q1277" s="28"/>
      <c r="R1277" s="28"/>
      <c r="S1277" s="28">
        <v>0.41383219954648498</v>
      </c>
    </row>
    <row r="1278" spans="1:19" x14ac:dyDescent="0.25">
      <c r="A1278" s="28">
        <v>2017</v>
      </c>
      <c r="B1278" s="28"/>
      <c r="C1278" s="28" t="s">
        <v>1368</v>
      </c>
      <c r="D1278" s="28" t="s">
        <v>2253</v>
      </c>
      <c r="E1278" s="28" t="s">
        <v>657</v>
      </c>
      <c r="F1278" s="28" t="s">
        <v>418</v>
      </c>
      <c r="G1278" s="28">
        <v>89119</v>
      </c>
      <c r="H1278" s="28">
        <v>36.074100000000001</v>
      </c>
      <c r="I1278" s="28">
        <v>-115.17274</v>
      </c>
      <c r="J1278" s="28"/>
      <c r="K1278" s="61">
        <v>110041903223</v>
      </c>
      <c r="L1278" s="61" t="str">
        <f>IFERROR(INDEX('Facility Summary'!$K:$K,MATCH(K1278,'Facility Summary'!$J:$J,0)),INDEX('Raw Annual DMR Data'!$M:$M,MATCH(K1278,'Raw Annual DMR Data'!$L:$L,0)))</f>
        <v>Unknown</v>
      </c>
      <c r="M1278" s="28"/>
      <c r="N1278" s="28"/>
      <c r="O1278" s="28"/>
      <c r="P1278" s="28"/>
      <c r="Q1278" s="28"/>
      <c r="R1278" s="28"/>
      <c r="S1278" s="28">
        <v>2.2387612625000002E-3</v>
      </c>
    </row>
    <row r="1279" spans="1:19" x14ac:dyDescent="0.25">
      <c r="A1279" s="28">
        <v>2018</v>
      </c>
      <c r="B1279" s="28"/>
      <c r="C1279" s="28" t="s">
        <v>1368</v>
      </c>
      <c r="D1279" s="28" t="s">
        <v>2253</v>
      </c>
      <c r="E1279" s="28" t="s">
        <v>657</v>
      </c>
      <c r="F1279" s="28" t="s">
        <v>418</v>
      </c>
      <c r="G1279" s="28">
        <v>89119</v>
      </c>
      <c r="H1279" s="28">
        <v>36.074100000000001</v>
      </c>
      <c r="I1279" s="28">
        <v>-115.17274</v>
      </c>
      <c r="J1279" s="28"/>
      <c r="K1279" s="61">
        <v>110041903223</v>
      </c>
      <c r="L1279" s="61" t="str">
        <f>IFERROR(INDEX('Facility Summary'!$K:$K,MATCH(K1279,'Facility Summary'!$J:$J,0)),INDEX('Raw Annual DMR Data'!$M:$M,MATCH(K1279,'Raw Annual DMR Data'!$L:$L,0)))</f>
        <v>Unknown</v>
      </c>
      <c r="M1279" s="28"/>
      <c r="N1279" s="28"/>
      <c r="O1279" s="28"/>
      <c r="P1279" s="28"/>
      <c r="Q1279" s="28"/>
      <c r="R1279" s="28"/>
      <c r="S1279" s="28">
        <v>3.16541915625E-3</v>
      </c>
    </row>
    <row r="1280" spans="1:19" x14ac:dyDescent="0.25">
      <c r="A1280" s="28">
        <v>2019</v>
      </c>
      <c r="B1280" s="28"/>
      <c r="C1280" s="28" t="s">
        <v>1368</v>
      </c>
      <c r="D1280" s="28" t="s">
        <v>2253</v>
      </c>
      <c r="E1280" s="28" t="s">
        <v>657</v>
      </c>
      <c r="F1280" s="28" t="s">
        <v>418</v>
      </c>
      <c r="G1280" s="28">
        <v>89119</v>
      </c>
      <c r="H1280" s="28">
        <v>36.074100000000001</v>
      </c>
      <c r="I1280" s="28">
        <v>-115.17274</v>
      </c>
      <c r="J1280" s="28"/>
      <c r="K1280" s="61">
        <v>110041903223</v>
      </c>
      <c r="L1280" s="61" t="str">
        <f>IFERROR(INDEX('Facility Summary'!$K:$K,MATCH(K1280,'Facility Summary'!$J:$J,0)),INDEX('Raw Annual DMR Data'!$M:$M,MATCH(K1280,'Raw Annual DMR Data'!$L:$L,0)))</f>
        <v>Unknown</v>
      </c>
      <c r="M1280" s="28"/>
      <c r="N1280" s="28"/>
      <c r="O1280" s="28"/>
      <c r="P1280" s="28"/>
      <c r="Q1280" s="28"/>
      <c r="R1280" s="28"/>
      <c r="S1280" s="28">
        <v>2.39176515625E-3</v>
      </c>
    </row>
    <row r="1281" spans="1:19" x14ac:dyDescent="0.25">
      <c r="A1281" s="28">
        <v>2020</v>
      </c>
      <c r="B1281" s="28"/>
      <c r="C1281" s="28" t="s">
        <v>1368</v>
      </c>
      <c r="D1281" s="28" t="s">
        <v>2253</v>
      </c>
      <c r="E1281" s="28" t="s">
        <v>657</v>
      </c>
      <c r="F1281" s="28" t="s">
        <v>418</v>
      </c>
      <c r="G1281" s="28">
        <v>89119</v>
      </c>
      <c r="H1281" s="28">
        <v>36.074100000000001</v>
      </c>
      <c r="I1281" s="28">
        <v>-115.17274</v>
      </c>
      <c r="J1281" s="28"/>
      <c r="K1281" s="61">
        <v>110041903223</v>
      </c>
      <c r="L1281" s="61" t="str">
        <f>IFERROR(INDEX('Facility Summary'!$K:$K,MATCH(K1281,'Facility Summary'!$J:$J,0)),INDEX('Raw Annual DMR Data'!$M:$M,MATCH(K1281,'Raw Annual DMR Data'!$L:$L,0)))</f>
        <v>Unknown</v>
      </c>
      <c r="M1281" s="28"/>
      <c r="N1281" s="28"/>
      <c r="O1281" s="28"/>
      <c r="P1281" s="28"/>
      <c r="Q1281" s="28"/>
      <c r="R1281" s="28"/>
      <c r="S1281" s="28">
        <v>1.8132515625E-3</v>
      </c>
    </row>
    <row r="1282" spans="1:19" x14ac:dyDescent="0.25">
      <c r="A1282" s="28">
        <v>2019</v>
      </c>
      <c r="B1282" s="28"/>
      <c r="C1282" s="28" t="s">
        <v>1369</v>
      </c>
      <c r="D1282" s="28" t="s">
        <v>2256</v>
      </c>
      <c r="E1282" s="28" t="s">
        <v>1370</v>
      </c>
      <c r="F1282" s="28" t="s">
        <v>308</v>
      </c>
      <c r="G1282" s="28">
        <v>2048</v>
      </c>
      <c r="H1282" s="28">
        <v>42.020510000000002</v>
      </c>
      <c r="I1282" s="28">
        <v>-71.267250000000004</v>
      </c>
      <c r="J1282" s="28"/>
      <c r="K1282" s="61">
        <v>110070602569</v>
      </c>
      <c r="L1282" s="61" t="str">
        <f>IFERROR(INDEX('Facility Summary'!$K:$K,MATCH(K1282,'Facility Summary'!$J:$J,0)),INDEX('Raw Annual DMR Data'!$M:$M,MATCH(K1282,'Raw Annual DMR Data'!$L:$L,0)))</f>
        <v>Unknown</v>
      </c>
      <c r="M1282" s="28"/>
      <c r="N1282" s="28"/>
      <c r="O1282" s="28"/>
      <c r="P1282" s="28"/>
      <c r="Q1282" s="28"/>
      <c r="R1282" s="28"/>
      <c r="S1282" s="28">
        <v>6.9159463224999999E-3</v>
      </c>
    </row>
    <row r="1283" spans="1:19" x14ac:dyDescent="0.25">
      <c r="A1283" s="28">
        <v>2020</v>
      </c>
      <c r="B1283" s="28"/>
      <c r="C1283" s="28" t="s">
        <v>1369</v>
      </c>
      <c r="D1283" s="28" t="s">
        <v>2256</v>
      </c>
      <c r="E1283" s="28" t="s">
        <v>1370</v>
      </c>
      <c r="F1283" s="28" t="s">
        <v>308</v>
      </c>
      <c r="G1283" s="28">
        <v>2048</v>
      </c>
      <c r="H1283" s="28">
        <v>42.020510000000002</v>
      </c>
      <c r="I1283" s="28">
        <v>-71.267250000000004</v>
      </c>
      <c r="J1283" s="28"/>
      <c r="K1283" s="61">
        <v>110070602569</v>
      </c>
      <c r="L1283" s="61" t="str">
        <f>IFERROR(INDEX('Facility Summary'!$K:$K,MATCH(K1283,'Facility Summary'!$J:$J,0)),INDEX('Raw Annual DMR Data'!$M:$M,MATCH(K1283,'Raw Annual DMR Data'!$L:$L,0)))</f>
        <v>Unknown</v>
      </c>
      <c r="M1283" s="28"/>
      <c r="N1283" s="28"/>
      <c r="O1283" s="28"/>
      <c r="P1283" s="28"/>
      <c r="Q1283" s="28"/>
      <c r="R1283" s="28"/>
      <c r="S1283" s="28">
        <v>1.9756942999999999E-2</v>
      </c>
    </row>
    <row r="1284" spans="1:19" x14ac:dyDescent="0.25">
      <c r="A1284" s="28">
        <v>2019</v>
      </c>
      <c r="B1284" s="28"/>
      <c r="C1284" s="28" t="s">
        <v>1371</v>
      </c>
      <c r="D1284" s="28" t="s">
        <v>2259</v>
      </c>
      <c r="E1284" s="28" t="s">
        <v>1372</v>
      </c>
      <c r="F1284" s="28" t="s">
        <v>366</v>
      </c>
      <c r="G1284" s="28">
        <v>91320</v>
      </c>
      <c r="H1284" s="28">
        <v>34.189751999999999</v>
      </c>
      <c r="I1284" s="28">
        <v>-118.94147599999999</v>
      </c>
      <c r="J1284" s="28"/>
      <c r="K1284" s="61">
        <v>110040078279</v>
      </c>
      <c r="L1284" s="61" t="str">
        <f>IFERROR(INDEX('Facility Summary'!$K:$K,MATCH(K1284,'Facility Summary'!$J:$J,0)),INDEX('Raw Annual DMR Data'!$M:$M,MATCH(K1284,'Raw Annual DMR Data'!$L:$L,0)))</f>
        <v>Unknown</v>
      </c>
      <c r="M1284" s="28"/>
      <c r="N1284" s="28"/>
      <c r="O1284" s="28"/>
      <c r="P1284" s="28"/>
      <c r="Q1284" s="28"/>
      <c r="R1284" s="28"/>
      <c r="S1284" s="28">
        <v>5.1020408163265296</v>
      </c>
    </row>
    <row r="1285" spans="1:19" x14ac:dyDescent="0.25">
      <c r="A1285" s="28">
        <v>2020</v>
      </c>
      <c r="B1285" s="28"/>
      <c r="C1285" s="28" t="s">
        <v>1373</v>
      </c>
      <c r="D1285" s="28" t="s">
        <v>2262</v>
      </c>
      <c r="E1285" s="28" t="s">
        <v>657</v>
      </c>
      <c r="F1285" s="28" t="s">
        <v>418</v>
      </c>
      <c r="G1285" s="28">
        <v>89103</v>
      </c>
      <c r="H1285" s="28">
        <v>36.108890000000002</v>
      </c>
      <c r="I1285" s="28">
        <v>-115.18118</v>
      </c>
      <c r="J1285" s="28"/>
      <c r="K1285" s="61">
        <v>110059861065</v>
      </c>
      <c r="L1285" s="61" t="str">
        <f>IFERROR(INDEX('Facility Summary'!$K:$K,MATCH(K1285,'Facility Summary'!$J:$J,0)),INDEX('Raw Annual DMR Data'!$M:$M,MATCH(K1285,'Raw Annual DMR Data'!$L:$L,0)))</f>
        <v>Unknown</v>
      </c>
      <c r="M1285" s="28"/>
      <c r="N1285" s="28"/>
      <c r="O1285" s="28"/>
      <c r="P1285" s="28"/>
      <c r="Q1285" s="28"/>
      <c r="R1285" s="28"/>
      <c r="S1285" s="28">
        <v>7.7365400000000003E-4</v>
      </c>
    </row>
    <row r="1286" spans="1:19" x14ac:dyDescent="0.25">
      <c r="A1286" s="28">
        <v>2020</v>
      </c>
      <c r="B1286" s="28"/>
      <c r="C1286" s="28" t="s">
        <v>1373</v>
      </c>
      <c r="D1286" s="28" t="s">
        <v>2262</v>
      </c>
      <c r="E1286" s="28" t="s">
        <v>657</v>
      </c>
      <c r="F1286" s="28" t="s">
        <v>418</v>
      </c>
      <c r="G1286" s="28">
        <v>89103</v>
      </c>
      <c r="H1286" s="28">
        <v>36.108890000000002</v>
      </c>
      <c r="I1286" s="28">
        <v>-115.18118</v>
      </c>
      <c r="J1286" s="28"/>
      <c r="K1286" s="61">
        <v>110059861065</v>
      </c>
      <c r="L1286" s="61" t="str">
        <f>IFERROR(INDEX('Facility Summary'!$K:$K,MATCH(K1286,'Facility Summary'!$J:$J,0)),INDEX('Raw Annual DMR Data'!$M:$M,MATCH(K1286,'Raw Annual DMR Data'!$L:$L,0)))</f>
        <v>Unknown</v>
      </c>
      <c r="M1286" s="28"/>
      <c r="N1286" s="28"/>
      <c r="O1286" s="28"/>
      <c r="P1286" s="28"/>
      <c r="Q1286" s="28"/>
      <c r="R1286" s="28"/>
      <c r="S1286" s="28">
        <v>7.0803156250000005E-4</v>
      </c>
    </row>
    <row r="1287" spans="1:19" x14ac:dyDescent="0.25">
      <c r="A1287" s="28">
        <v>2018</v>
      </c>
      <c r="B1287" s="28"/>
      <c r="C1287" s="28" t="s">
        <v>1374</v>
      </c>
      <c r="D1287" s="28" t="s">
        <v>2264</v>
      </c>
      <c r="E1287" s="28" t="s">
        <v>293</v>
      </c>
      <c r="F1287" s="28" t="s">
        <v>294</v>
      </c>
      <c r="G1287" s="28">
        <v>222031606</v>
      </c>
      <c r="H1287" s="28">
        <v>38.88223</v>
      </c>
      <c r="I1287" s="28">
        <v>-77.112300000000005</v>
      </c>
      <c r="J1287" s="28"/>
      <c r="K1287" s="61">
        <v>110010844426</v>
      </c>
      <c r="L1287" s="61" t="str">
        <f>IFERROR(INDEX('Facility Summary'!$K:$K,MATCH(K1287,'Facility Summary'!$J:$J,0)),INDEX('Raw Annual DMR Data'!$M:$M,MATCH(K1287,'Raw Annual DMR Data'!$L:$L,0)))</f>
        <v>Unknown</v>
      </c>
      <c r="M1287" s="28"/>
      <c r="N1287" s="28"/>
      <c r="O1287" s="28"/>
      <c r="P1287" s="28"/>
      <c r="Q1287" s="28"/>
      <c r="R1287" s="28"/>
      <c r="S1287" s="28">
        <v>1.4581334E-4</v>
      </c>
    </row>
    <row r="1288" spans="1:19" x14ac:dyDescent="0.25">
      <c r="A1288" s="28">
        <v>2019</v>
      </c>
      <c r="B1288" s="28"/>
      <c r="C1288" s="28" t="s">
        <v>1374</v>
      </c>
      <c r="D1288" s="28" t="s">
        <v>2264</v>
      </c>
      <c r="E1288" s="28" t="s">
        <v>293</v>
      </c>
      <c r="F1288" s="28" t="s">
        <v>294</v>
      </c>
      <c r="G1288" s="28">
        <v>222031606</v>
      </c>
      <c r="H1288" s="28">
        <v>38.88223</v>
      </c>
      <c r="I1288" s="28">
        <v>-77.112300000000005</v>
      </c>
      <c r="J1288" s="28"/>
      <c r="K1288" s="61">
        <v>110010844426</v>
      </c>
      <c r="L1288" s="61" t="str">
        <f>IFERROR(INDEX('Facility Summary'!$K:$K,MATCH(K1288,'Facility Summary'!$J:$J,0)),INDEX('Raw Annual DMR Data'!$M:$M,MATCH(K1288,'Raw Annual DMR Data'!$L:$L,0)))</f>
        <v>Unknown</v>
      </c>
      <c r="M1288" s="28"/>
      <c r="N1288" s="28"/>
      <c r="O1288" s="28"/>
      <c r="P1288" s="28"/>
      <c r="Q1288" s="28"/>
      <c r="R1288" s="28"/>
      <c r="S1288" s="28">
        <v>1.114304E-4</v>
      </c>
    </row>
    <row r="1289" spans="1:19" x14ac:dyDescent="0.25">
      <c r="A1289" s="28">
        <v>2020</v>
      </c>
      <c r="B1289" s="28"/>
      <c r="C1289" s="28" t="s">
        <v>1374</v>
      </c>
      <c r="D1289" s="28" t="s">
        <v>2264</v>
      </c>
      <c r="E1289" s="28" t="s">
        <v>293</v>
      </c>
      <c r="F1289" s="28" t="s">
        <v>294</v>
      </c>
      <c r="G1289" s="28">
        <v>222031606</v>
      </c>
      <c r="H1289" s="28">
        <v>38.88223</v>
      </c>
      <c r="I1289" s="28">
        <v>-77.112300000000005</v>
      </c>
      <c r="J1289" s="28"/>
      <c r="K1289" s="61">
        <v>110010844426</v>
      </c>
      <c r="L1289" s="61" t="str">
        <f>IFERROR(INDEX('Facility Summary'!$K:$K,MATCH(K1289,'Facility Summary'!$J:$J,0)),INDEX('Raw Annual DMR Data'!$M:$M,MATCH(K1289,'Raw Annual DMR Data'!$L:$L,0)))</f>
        <v>Unknown</v>
      </c>
      <c r="M1289" s="28"/>
      <c r="N1289" s="28"/>
      <c r="O1289" s="28"/>
      <c r="P1289" s="28"/>
      <c r="Q1289" s="28"/>
      <c r="R1289" s="28"/>
      <c r="S1289" s="28">
        <v>8.2548957500000006E-5</v>
      </c>
    </row>
    <row r="1290" spans="1:19" x14ac:dyDescent="0.25">
      <c r="A1290" s="28">
        <v>2015</v>
      </c>
      <c r="B1290" s="28"/>
      <c r="C1290" s="28" t="s">
        <v>1375</v>
      </c>
      <c r="D1290" s="28" t="s">
        <v>2268</v>
      </c>
      <c r="E1290" s="28" t="s">
        <v>657</v>
      </c>
      <c r="F1290" s="28" t="s">
        <v>418</v>
      </c>
      <c r="G1290" s="28">
        <v>89109</v>
      </c>
      <c r="H1290" s="28">
        <v>36.137529999999998</v>
      </c>
      <c r="I1290" s="28">
        <v>-115.15479000000001</v>
      </c>
      <c r="J1290" s="28"/>
      <c r="K1290" s="61">
        <v>110020039402</v>
      </c>
      <c r="L1290" s="61" t="str">
        <f>IFERROR(INDEX('Facility Summary'!$K:$K,MATCH(K1290,'Facility Summary'!$J:$J,0)),INDEX('Raw Annual DMR Data'!$M:$M,MATCH(K1290,'Raw Annual DMR Data'!$L:$L,0)))</f>
        <v>Unknown</v>
      </c>
      <c r="M1290" s="28"/>
      <c r="N1290" s="28"/>
      <c r="O1290" s="28"/>
      <c r="P1290" s="28"/>
      <c r="Q1290" s="28"/>
      <c r="R1290" s="28"/>
      <c r="S1290" s="28">
        <v>1.3915174000000001E-2</v>
      </c>
    </row>
    <row r="1291" spans="1:19" x14ac:dyDescent="0.25">
      <c r="A1291" s="28">
        <v>2016</v>
      </c>
      <c r="B1291" s="28"/>
      <c r="C1291" s="28" t="s">
        <v>1375</v>
      </c>
      <c r="D1291" s="28" t="s">
        <v>2268</v>
      </c>
      <c r="E1291" s="28" t="s">
        <v>657</v>
      </c>
      <c r="F1291" s="28" t="s">
        <v>418</v>
      </c>
      <c r="G1291" s="28">
        <v>89109</v>
      </c>
      <c r="H1291" s="28">
        <v>36.137529999999998</v>
      </c>
      <c r="I1291" s="28">
        <v>-115.15479000000001</v>
      </c>
      <c r="J1291" s="28"/>
      <c r="K1291" s="61">
        <v>110020039402</v>
      </c>
      <c r="L1291" s="61" t="str">
        <f>IFERROR(INDEX('Facility Summary'!$K:$K,MATCH(K1291,'Facility Summary'!$J:$J,0)),INDEX('Raw Annual DMR Data'!$M:$M,MATCH(K1291,'Raw Annual DMR Data'!$L:$L,0)))</f>
        <v>Unknown</v>
      </c>
      <c r="M1291" s="28"/>
      <c r="N1291" s="28"/>
      <c r="O1291" s="28"/>
      <c r="P1291" s="28"/>
      <c r="Q1291" s="28"/>
      <c r="R1291" s="28"/>
      <c r="S1291" s="28">
        <v>1.5766091990000002E-2</v>
      </c>
    </row>
    <row r="1292" spans="1:19" x14ac:dyDescent="0.25">
      <c r="A1292" s="28">
        <v>2017</v>
      </c>
      <c r="B1292" s="28"/>
      <c r="C1292" s="28" t="s">
        <v>1375</v>
      </c>
      <c r="D1292" s="28" t="s">
        <v>2268</v>
      </c>
      <c r="E1292" s="28" t="s">
        <v>657</v>
      </c>
      <c r="F1292" s="28" t="s">
        <v>418</v>
      </c>
      <c r="G1292" s="28">
        <v>89109</v>
      </c>
      <c r="H1292" s="28">
        <v>36.137529999999998</v>
      </c>
      <c r="I1292" s="28">
        <v>-115.15479000000001</v>
      </c>
      <c r="J1292" s="28"/>
      <c r="K1292" s="61">
        <v>110020039402</v>
      </c>
      <c r="L1292" s="61" t="str">
        <f>IFERROR(INDEX('Facility Summary'!$K:$K,MATCH(K1292,'Facility Summary'!$J:$J,0)),INDEX('Raw Annual DMR Data'!$M:$M,MATCH(K1292,'Raw Annual DMR Data'!$L:$L,0)))</f>
        <v>Unknown</v>
      </c>
      <c r="M1292" s="28"/>
      <c r="N1292" s="28"/>
      <c r="O1292" s="28"/>
      <c r="P1292" s="28"/>
      <c r="Q1292" s="28"/>
      <c r="R1292" s="28"/>
      <c r="S1292" s="28">
        <v>1.4097232499999899E-8</v>
      </c>
    </row>
    <row r="1293" spans="1:19" x14ac:dyDescent="0.25">
      <c r="A1293" s="28">
        <v>2018</v>
      </c>
      <c r="B1293" s="28"/>
      <c r="C1293" s="28" t="s">
        <v>1375</v>
      </c>
      <c r="D1293" s="28" t="s">
        <v>2268</v>
      </c>
      <c r="E1293" s="28" t="s">
        <v>657</v>
      </c>
      <c r="F1293" s="28" t="s">
        <v>418</v>
      </c>
      <c r="G1293" s="28">
        <v>89109</v>
      </c>
      <c r="H1293" s="28">
        <v>36.137529999999998</v>
      </c>
      <c r="I1293" s="28">
        <v>-115.15479000000001</v>
      </c>
      <c r="J1293" s="28"/>
      <c r="K1293" s="61">
        <v>110020039402</v>
      </c>
      <c r="L1293" s="61" t="str">
        <f>IFERROR(INDEX('Facility Summary'!$K:$K,MATCH(K1293,'Facility Summary'!$J:$J,0)),INDEX('Raw Annual DMR Data'!$M:$M,MATCH(K1293,'Raw Annual DMR Data'!$L:$L,0)))</f>
        <v>Unknown</v>
      </c>
      <c r="M1293" s="28"/>
      <c r="N1293" s="28"/>
      <c r="O1293" s="28"/>
      <c r="P1293" s="28"/>
      <c r="Q1293" s="28"/>
      <c r="R1293" s="28"/>
      <c r="S1293" s="302">
        <v>6.0327222499999902E-8</v>
      </c>
    </row>
    <row r="1294" spans="1:19" x14ac:dyDescent="0.25">
      <c r="A1294" s="28">
        <v>2019</v>
      </c>
      <c r="B1294" s="28"/>
      <c r="C1294" s="28" t="s">
        <v>1375</v>
      </c>
      <c r="D1294" s="28" t="s">
        <v>2268</v>
      </c>
      <c r="E1294" s="28" t="s">
        <v>657</v>
      </c>
      <c r="F1294" s="28" t="s">
        <v>418</v>
      </c>
      <c r="G1294" s="28">
        <v>89109</v>
      </c>
      <c r="H1294" s="28">
        <v>36.137529999999998</v>
      </c>
      <c r="I1294" s="28">
        <v>-115.15479000000001</v>
      </c>
      <c r="J1294" s="28"/>
      <c r="K1294" s="61">
        <v>110020039402</v>
      </c>
      <c r="L1294" s="61" t="str">
        <f>IFERROR(INDEX('Facility Summary'!$K:$K,MATCH(K1294,'Facility Summary'!$J:$J,0)),INDEX('Raw Annual DMR Data'!$M:$M,MATCH(K1294,'Raw Annual DMR Data'!$L:$L,0)))</f>
        <v>Unknown</v>
      </c>
      <c r="M1294" s="28"/>
      <c r="N1294" s="28"/>
      <c r="O1294" s="28"/>
      <c r="P1294" s="28"/>
      <c r="Q1294" s="28"/>
      <c r="R1294" s="28"/>
      <c r="S1294" s="28">
        <v>1.8135196666666601E-8</v>
      </c>
    </row>
    <row r="1295" spans="1:19" x14ac:dyDescent="0.25">
      <c r="A1295" s="28">
        <v>2020</v>
      </c>
      <c r="B1295" s="28"/>
      <c r="C1295" s="28" t="s">
        <v>1375</v>
      </c>
      <c r="D1295" s="28" t="s">
        <v>2268</v>
      </c>
      <c r="E1295" s="28" t="s">
        <v>657</v>
      </c>
      <c r="F1295" s="28" t="s">
        <v>418</v>
      </c>
      <c r="G1295" s="28">
        <v>89109</v>
      </c>
      <c r="H1295" s="28">
        <v>36.137529999999998</v>
      </c>
      <c r="I1295" s="28">
        <v>-115.15479000000001</v>
      </c>
      <c r="J1295" s="28"/>
      <c r="K1295" s="61">
        <v>110020039402</v>
      </c>
      <c r="L1295" s="61" t="str">
        <f>IFERROR(INDEX('Facility Summary'!$K:$K,MATCH(K1295,'Facility Summary'!$J:$J,0)),INDEX('Raw Annual DMR Data'!$M:$M,MATCH(K1295,'Raw Annual DMR Data'!$L:$L,0)))</f>
        <v>Unknown</v>
      </c>
      <c r="M1295" s="28"/>
      <c r="N1295" s="28"/>
      <c r="O1295" s="28"/>
      <c r="P1295" s="28"/>
      <c r="Q1295" s="28"/>
      <c r="R1295" s="28"/>
      <c r="S1295" s="28">
        <v>2.0058607499999901E-8</v>
      </c>
    </row>
    <row r="1296" spans="1:19" x14ac:dyDescent="0.25">
      <c r="A1296" s="28">
        <v>2020</v>
      </c>
      <c r="B1296" s="28"/>
      <c r="C1296" s="28" t="s">
        <v>44</v>
      </c>
      <c r="D1296" s="28" t="s">
        <v>367</v>
      </c>
      <c r="E1296" s="28" t="s">
        <v>368</v>
      </c>
      <c r="F1296" s="28" t="s">
        <v>349</v>
      </c>
      <c r="G1296" s="28">
        <v>63630</v>
      </c>
      <c r="H1296" s="28">
        <v>37.983333000000002</v>
      </c>
      <c r="I1296" s="28">
        <v>-90.690832999999998</v>
      </c>
      <c r="J1296" s="28" t="s">
        <v>369</v>
      </c>
      <c r="K1296" s="61">
        <v>110017980443</v>
      </c>
      <c r="L1296" s="61" t="str">
        <f>IFERROR(INDEX('Facility Summary'!$K:$K,MATCH(K1296,'Facility Summary'!$J:$J,0)),INDEX('Raw Annual DMR Data'!$M:$M,MATCH(K1296,'Raw Annual DMR Data'!$L:$L,0)))</f>
        <v>Manufacturing</v>
      </c>
      <c r="M1296" s="28"/>
      <c r="N1296" s="28"/>
      <c r="O1296" s="28"/>
      <c r="P1296" s="28"/>
      <c r="Q1296" s="28"/>
      <c r="R1296" s="28"/>
      <c r="S1296" s="28">
        <v>2.38932263266666E-2</v>
      </c>
    </row>
    <row r="1297" spans="1:19" x14ac:dyDescent="0.25">
      <c r="A1297" s="28">
        <v>2016</v>
      </c>
      <c r="B1297" s="28"/>
      <c r="C1297" s="28" t="s">
        <v>1378</v>
      </c>
      <c r="D1297" s="28" t="s">
        <v>2274</v>
      </c>
      <c r="E1297" s="28" t="s">
        <v>474</v>
      </c>
      <c r="F1297" s="28" t="s">
        <v>338</v>
      </c>
      <c r="G1297" s="28">
        <v>7470</v>
      </c>
      <c r="H1297" s="28">
        <v>40.936109999999999</v>
      </c>
      <c r="I1297" s="28">
        <v>-74.273809999999997</v>
      </c>
      <c r="J1297" s="28"/>
      <c r="K1297" s="61">
        <v>110070212009</v>
      </c>
      <c r="L1297" s="61" t="str">
        <f>IFERROR(INDEX('Facility Summary'!$K:$K,MATCH(K1297,'Facility Summary'!$J:$J,0)),INDEX('Raw Annual DMR Data'!$M:$M,MATCH(K1297,'Raw Annual DMR Data'!$L:$L,0)))</f>
        <v>Unknown</v>
      </c>
      <c r="M1297" s="28"/>
      <c r="N1297" s="28"/>
      <c r="O1297" s="28"/>
      <c r="P1297" s="28"/>
      <c r="Q1297" s="28"/>
      <c r="R1297" s="28"/>
      <c r="S1297" s="28">
        <v>8.4518277859999902E-4</v>
      </c>
    </row>
    <row r="1298" spans="1:19" x14ac:dyDescent="0.25">
      <c r="A1298" s="28">
        <v>2017</v>
      </c>
      <c r="B1298" s="28"/>
      <c r="C1298" s="28" t="s">
        <v>1378</v>
      </c>
      <c r="D1298" s="28" t="s">
        <v>2274</v>
      </c>
      <c r="E1298" s="28" t="s">
        <v>474</v>
      </c>
      <c r="F1298" s="28" t="s">
        <v>338</v>
      </c>
      <c r="G1298" s="28">
        <v>7470</v>
      </c>
      <c r="H1298" s="28">
        <v>40.936109999999999</v>
      </c>
      <c r="I1298" s="28">
        <v>-74.273809999999997</v>
      </c>
      <c r="J1298" s="28"/>
      <c r="K1298" s="61">
        <v>110070212009</v>
      </c>
      <c r="L1298" s="61" t="str">
        <f>IFERROR(INDEX('Facility Summary'!$K:$K,MATCH(K1298,'Facility Summary'!$J:$J,0)),INDEX('Raw Annual DMR Data'!$M:$M,MATCH(K1298,'Raw Annual DMR Data'!$L:$L,0)))</f>
        <v>Unknown</v>
      </c>
      <c r="M1298" s="28"/>
      <c r="N1298" s="28"/>
      <c r="O1298" s="28"/>
      <c r="P1298" s="28"/>
      <c r="Q1298" s="28"/>
      <c r="R1298" s="28"/>
      <c r="S1298" s="28">
        <v>1.0042151175499901E-3</v>
      </c>
    </row>
    <row r="1299" spans="1:19" x14ac:dyDescent="0.25">
      <c r="A1299" s="28">
        <v>2018</v>
      </c>
      <c r="B1299" s="28"/>
      <c r="C1299" s="28" t="s">
        <v>1378</v>
      </c>
      <c r="D1299" s="28" t="s">
        <v>2274</v>
      </c>
      <c r="E1299" s="28" t="s">
        <v>474</v>
      </c>
      <c r="F1299" s="28" t="s">
        <v>338</v>
      </c>
      <c r="G1299" s="302" t="s">
        <v>1778</v>
      </c>
      <c r="H1299" s="28">
        <v>40.936109999999999</v>
      </c>
      <c r="I1299" s="28">
        <v>-74.273809999999997</v>
      </c>
      <c r="J1299" s="28"/>
      <c r="K1299" s="61">
        <v>110070212009</v>
      </c>
      <c r="L1299" s="61" t="str">
        <f>IFERROR(INDEX('Facility Summary'!$K:$K,MATCH(K1299,'Facility Summary'!$J:$J,0)),INDEX('Raw Annual DMR Data'!$M:$M,MATCH(K1299,'Raw Annual DMR Data'!$L:$L,0)))</f>
        <v>Unknown</v>
      </c>
      <c r="M1299" s="28"/>
      <c r="N1299" s="28"/>
      <c r="O1299" s="28"/>
      <c r="P1299" s="28"/>
      <c r="Q1299" s="28"/>
      <c r="R1299" s="28"/>
      <c r="S1299" s="302">
        <v>7.88708856424999E-4</v>
      </c>
    </row>
    <row r="1300" spans="1:19" x14ac:dyDescent="0.25">
      <c r="A1300" s="28">
        <v>2019</v>
      </c>
      <c r="B1300" s="28"/>
      <c r="C1300" s="28" t="s">
        <v>1378</v>
      </c>
      <c r="D1300" s="28" t="s">
        <v>2274</v>
      </c>
      <c r="E1300" s="28" t="s">
        <v>474</v>
      </c>
      <c r="F1300" s="28" t="s">
        <v>338</v>
      </c>
      <c r="G1300" s="28">
        <v>7470</v>
      </c>
      <c r="H1300" s="28">
        <v>40.936109999999999</v>
      </c>
      <c r="I1300" s="28">
        <v>-74.273809999999997</v>
      </c>
      <c r="J1300" s="28"/>
      <c r="K1300" s="61">
        <v>110070212009</v>
      </c>
      <c r="L1300" s="61" t="str">
        <f>IFERROR(INDEX('Facility Summary'!$K:$K,MATCH(K1300,'Facility Summary'!$J:$J,0)),INDEX('Raw Annual DMR Data'!$M:$M,MATCH(K1300,'Raw Annual DMR Data'!$L:$L,0)))</f>
        <v>Unknown</v>
      </c>
      <c r="M1300" s="28"/>
      <c r="N1300" s="28"/>
      <c r="O1300" s="28"/>
      <c r="P1300" s="28"/>
      <c r="Q1300" s="28"/>
      <c r="R1300" s="28"/>
      <c r="S1300" s="28">
        <v>8.1052436629999898E-4</v>
      </c>
    </row>
    <row r="1301" spans="1:19" x14ac:dyDescent="0.25">
      <c r="A1301" s="28">
        <v>2020</v>
      </c>
      <c r="B1301" s="28"/>
      <c r="C1301" s="28" t="s">
        <v>1378</v>
      </c>
      <c r="D1301" s="28" t="s">
        <v>2274</v>
      </c>
      <c r="E1301" s="28" t="s">
        <v>474</v>
      </c>
      <c r="F1301" s="28" t="s">
        <v>338</v>
      </c>
      <c r="G1301" s="28">
        <v>7470</v>
      </c>
      <c r="H1301" s="28">
        <v>40.936109999999999</v>
      </c>
      <c r="I1301" s="28">
        <v>-74.273809999999997</v>
      </c>
      <c r="J1301" s="28"/>
      <c r="K1301" s="61">
        <v>110070212009</v>
      </c>
      <c r="L1301" s="61" t="str">
        <f>IFERROR(INDEX('Facility Summary'!$K:$K,MATCH(K1301,'Facility Summary'!$J:$J,0)),INDEX('Raw Annual DMR Data'!$M:$M,MATCH(K1301,'Raw Annual DMR Data'!$L:$L,0)))</f>
        <v>Unknown</v>
      </c>
      <c r="M1301" s="28"/>
      <c r="N1301" s="28"/>
      <c r="O1301" s="28"/>
      <c r="P1301" s="28"/>
      <c r="Q1301" s="28"/>
      <c r="R1301" s="28"/>
      <c r="S1301" s="28">
        <v>7.7118018077499903E-4</v>
      </c>
    </row>
    <row r="1302" spans="1:19" x14ac:dyDescent="0.25">
      <c r="A1302" s="28">
        <v>2020</v>
      </c>
      <c r="B1302" s="28"/>
      <c r="C1302" s="28" t="s">
        <v>44</v>
      </c>
      <c r="D1302" s="28" t="s">
        <v>367</v>
      </c>
      <c r="E1302" s="28" t="s">
        <v>368</v>
      </c>
      <c r="F1302" s="28" t="s">
        <v>349</v>
      </c>
      <c r="G1302" s="28">
        <v>63630</v>
      </c>
      <c r="H1302" s="28">
        <v>37.983333000000002</v>
      </c>
      <c r="I1302" s="28">
        <v>-90.690832999999998</v>
      </c>
      <c r="J1302" s="28" t="s">
        <v>369</v>
      </c>
      <c r="K1302" s="61">
        <v>110017980443</v>
      </c>
      <c r="L1302" s="61" t="str">
        <f>IFERROR(INDEX('Facility Summary'!$K:$K,MATCH(K1302,'Facility Summary'!$J:$J,0)),INDEX('Raw Annual DMR Data'!$M:$M,MATCH(K1302,'Raw Annual DMR Data'!$L:$L,0)))</f>
        <v>Manufacturing</v>
      </c>
      <c r="M1302" s="28"/>
      <c r="N1302" s="28"/>
      <c r="O1302" s="28"/>
      <c r="P1302" s="28"/>
      <c r="Q1302" s="28"/>
      <c r="R1302" s="28"/>
      <c r="S1302" s="28">
        <v>1.7127882000000001E-3</v>
      </c>
    </row>
    <row r="1303" spans="1:19" x14ac:dyDescent="0.25">
      <c r="A1303" s="28">
        <v>2016</v>
      </c>
      <c r="B1303" s="28"/>
      <c r="C1303" s="28" t="s">
        <v>1381</v>
      </c>
      <c r="D1303" s="28" t="s">
        <v>2280</v>
      </c>
      <c r="E1303" s="28" t="s">
        <v>1382</v>
      </c>
      <c r="F1303" s="28" t="s">
        <v>374</v>
      </c>
      <c r="G1303" s="28">
        <v>863148622</v>
      </c>
      <c r="H1303" s="28">
        <v>34.591583999999997</v>
      </c>
      <c r="I1303" s="28">
        <v>-112.31693</v>
      </c>
      <c r="J1303" s="28"/>
      <c r="K1303" s="61">
        <v>110000914725</v>
      </c>
      <c r="L1303" s="61" t="str">
        <f>IFERROR(INDEX('Facility Summary'!$K:$K,MATCH(K1303,'Facility Summary'!$J:$J,0)),INDEX('Raw Annual DMR Data'!$M:$M,MATCH(K1303,'Raw Annual DMR Data'!$L:$L,0)))</f>
        <v>POTW</v>
      </c>
      <c r="M1303" s="28"/>
      <c r="N1303" s="28"/>
      <c r="O1303" s="28"/>
      <c r="P1303" s="28"/>
      <c r="Q1303" s="28"/>
      <c r="R1303" s="28"/>
      <c r="S1303" s="28">
        <v>2.7029442000000001</v>
      </c>
    </row>
    <row r="1304" spans="1:19" x14ac:dyDescent="0.25">
      <c r="A1304" s="28">
        <v>2017</v>
      </c>
      <c r="B1304" s="28"/>
      <c r="C1304" s="28" t="s">
        <v>1381</v>
      </c>
      <c r="D1304" s="28" t="s">
        <v>2280</v>
      </c>
      <c r="E1304" s="28" t="s">
        <v>1382</v>
      </c>
      <c r="F1304" s="28" t="s">
        <v>374</v>
      </c>
      <c r="G1304" s="28">
        <v>863148622</v>
      </c>
      <c r="H1304" s="28">
        <v>34.591583999999997</v>
      </c>
      <c r="I1304" s="28">
        <v>-112.31693</v>
      </c>
      <c r="J1304" s="28"/>
      <c r="K1304" s="61">
        <v>110000914725</v>
      </c>
      <c r="L1304" s="61" t="str">
        <f>IFERROR(INDEX('Facility Summary'!$K:$K,MATCH(K1304,'Facility Summary'!$J:$J,0)),INDEX('Raw Annual DMR Data'!$M:$M,MATCH(K1304,'Raw Annual DMR Data'!$L:$L,0)))</f>
        <v>POTW</v>
      </c>
      <c r="M1304" s="28"/>
      <c r="N1304" s="28"/>
      <c r="O1304" s="28"/>
      <c r="P1304" s="28"/>
      <c r="Q1304" s="28"/>
      <c r="R1304" s="28"/>
      <c r="S1304" s="28">
        <v>3.1067279999999999</v>
      </c>
    </row>
    <row r="1305" spans="1:19" x14ac:dyDescent="0.25">
      <c r="A1305" s="28">
        <v>2018</v>
      </c>
      <c r="B1305" s="28"/>
      <c r="C1305" s="28" t="s">
        <v>1381</v>
      </c>
      <c r="D1305" s="28" t="s">
        <v>2280</v>
      </c>
      <c r="E1305" s="28" t="s">
        <v>1382</v>
      </c>
      <c r="F1305" s="28" t="s">
        <v>374</v>
      </c>
      <c r="G1305" s="28">
        <v>863148622</v>
      </c>
      <c r="H1305" s="28">
        <v>34.591583999999997</v>
      </c>
      <c r="I1305" s="28">
        <v>-112.31693</v>
      </c>
      <c r="J1305" s="28"/>
      <c r="K1305" s="61">
        <v>110000914725</v>
      </c>
      <c r="L1305" s="61" t="str">
        <f>IFERROR(INDEX('Facility Summary'!$K:$K,MATCH(K1305,'Facility Summary'!$J:$J,0)),INDEX('Raw Annual DMR Data'!$M:$M,MATCH(K1305,'Raw Annual DMR Data'!$L:$L,0)))</f>
        <v>POTW</v>
      </c>
      <c r="M1305" s="28"/>
      <c r="N1305" s="28"/>
      <c r="O1305" s="28"/>
      <c r="P1305" s="28"/>
      <c r="Q1305" s="28"/>
      <c r="R1305" s="28"/>
      <c r="S1305" s="28">
        <v>2.9150177500000001</v>
      </c>
    </row>
    <row r="1306" spans="1:19" x14ac:dyDescent="0.25">
      <c r="A1306" s="28">
        <v>2017</v>
      </c>
      <c r="B1306" s="28"/>
      <c r="C1306" s="28" t="s">
        <v>1383</v>
      </c>
      <c r="D1306" s="28" t="s">
        <v>2282</v>
      </c>
      <c r="E1306" s="28" t="s">
        <v>516</v>
      </c>
      <c r="F1306" s="28" t="s">
        <v>303</v>
      </c>
      <c r="G1306" s="28">
        <v>707340000</v>
      </c>
      <c r="H1306" s="28">
        <v>30.233011999999999</v>
      </c>
      <c r="I1306" s="28">
        <v>-91.022057000000004</v>
      </c>
      <c r="J1306" s="28"/>
      <c r="K1306" s="61">
        <v>110000911309</v>
      </c>
      <c r="L1306" s="61" t="str">
        <f>IFERROR(INDEX('Facility Summary'!$K:$K,MATCH(K1306,'Facility Summary'!$J:$J,0)),INDEX('Raw Annual DMR Data'!$M:$M,MATCH(K1306,'Raw Annual DMR Data'!$L:$L,0)))</f>
        <v>Repackaging</v>
      </c>
      <c r="M1306" s="28"/>
      <c r="N1306" s="28"/>
      <c r="O1306" s="28"/>
      <c r="P1306" s="28"/>
      <c r="Q1306" s="28"/>
      <c r="R1306" s="28"/>
      <c r="S1306" s="28">
        <v>2.1814344095E-2</v>
      </c>
    </row>
    <row r="1307" spans="1:19" x14ac:dyDescent="0.25">
      <c r="A1307" s="28">
        <v>2018</v>
      </c>
      <c r="B1307" s="28"/>
      <c r="C1307" s="28" t="s">
        <v>1383</v>
      </c>
      <c r="D1307" s="28" t="s">
        <v>2282</v>
      </c>
      <c r="E1307" s="28" t="s">
        <v>516</v>
      </c>
      <c r="F1307" s="28" t="s">
        <v>303</v>
      </c>
      <c r="G1307" s="28">
        <v>707340000</v>
      </c>
      <c r="H1307" s="28">
        <v>30.233011999999999</v>
      </c>
      <c r="I1307" s="28">
        <v>-91.022057000000004</v>
      </c>
      <c r="J1307" s="28"/>
      <c r="K1307" s="61">
        <v>110000911309</v>
      </c>
      <c r="L1307" s="61" t="str">
        <f>IFERROR(INDEX('Facility Summary'!$K:$K,MATCH(K1307,'Facility Summary'!$J:$J,0)),INDEX('Raw Annual DMR Data'!$M:$M,MATCH(K1307,'Raw Annual DMR Data'!$L:$L,0)))</f>
        <v>Repackaging</v>
      </c>
      <c r="M1307" s="28"/>
      <c r="N1307" s="28"/>
      <c r="O1307" s="28"/>
      <c r="P1307" s="28"/>
      <c r="Q1307" s="28"/>
      <c r="R1307" s="28"/>
      <c r="S1307" s="28">
        <v>8.8001250000000004E-5</v>
      </c>
    </row>
    <row r="1308" spans="1:19" x14ac:dyDescent="0.25">
      <c r="A1308" s="28">
        <v>2019</v>
      </c>
      <c r="B1308" s="28"/>
      <c r="C1308" s="28" t="s">
        <v>1383</v>
      </c>
      <c r="D1308" s="28" t="s">
        <v>2282</v>
      </c>
      <c r="E1308" s="28" t="s">
        <v>516</v>
      </c>
      <c r="F1308" s="28" t="s">
        <v>303</v>
      </c>
      <c r="G1308" s="28">
        <v>707340000</v>
      </c>
      <c r="H1308" s="28">
        <v>30.233011999999999</v>
      </c>
      <c r="I1308" s="28">
        <v>-91.022057000000004</v>
      </c>
      <c r="J1308" s="28"/>
      <c r="K1308" s="61">
        <v>110000911309</v>
      </c>
      <c r="L1308" s="61" t="str">
        <f>IFERROR(INDEX('Facility Summary'!$K:$K,MATCH(K1308,'Facility Summary'!$J:$J,0)),INDEX('Raw Annual DMR Data'!$M:$M,MATCH(K1308,'Raw Annual DMR Data'!$L:$L,0)))</f>
        <v>Repackaging</v>
      </c>
      <c r="M1308" s="28"/>
      <c r="N1308" s="28"/>
      <c r="O1308" s="28"/>
      <c r="P1308" s="28"/>
      <c r="Q1308" s="28"/>
      <c r="R1308" s="28"/>
      <c r="S1308" s="28">
        <v>1.1140674375E-2</v>
      </c>
    </row>
    <row r="1309" spans="1:19" x14ac:dyDescent="0.25">
      <c r="A1309" s="28">
        <v>2020</v>
      </c>
      <c r="B1309" s="28"/>
      <c r="C1309" s="28" t="s">
        <v>1383</v>
      </c>
      <c r="D1309" s="28" t="s">
        <v>2282</v>
      </c>
      <c r="E1309" s="28" t="s">
        <v>516</v>
      </c>
      <c r="F1309" s="28" t="s">
        <v>303</v>
      </c>
      <c r="G1309" s="28">
        <v>707340000</v>
      </c>
      <c r="H1309" s="28">
        <v>30.233011999999999</v>
      </c>
      <c r="I1309" s="28">
        <v>-91.022057000000004</v>
      </c>
      <c r="J1309" s="28"/>
      <c r="K1309" s="61">
        <v>110000911309</v>
      </c>
      <c r="L1309" s="61" t="str">
        <f>IFERROR(INDEX('Facility Summary'!$K:$K,MATCH(K1309,'Facility Summary'!$J:$J,0)),INDEX('Raw Annual DMR Data'!$M:$M,MATCH(K1309,'Raw Annual DMR Data'!$L:$L,0)))</f>
        <v>Repackaging</v>
      </c>
      <c r="M1309" s="28"/>
      <c r="N1309" s="28"/>
      <c r="O1309" s="28"/>
      <c r="P1309" s="28"/>
      <c r="Q1309" s="28"/>
      <c r="R1309" s="28"/>
      <c r="S1309" s="28">
        <v>2.3930662500000002E-2</v>
      </c>
    </row>
    <row r="1310" spans="1:19" x14ac:dyDescent="0.25">
      <c r="A1310" s="28">
        <v>2015</v>
      </c>
      <c r="B1310" s="28"/>
      <c r="C1310" s="28" t="s">
        <v>196</v>
      </c>
      <c r="D1310" s="28" t="s">
        <v>650</v>
      </c>
      <c r="E1310" s="28" t="s">
        <v>651</v>
      </c>
      <c r="F1310" s="28" t="s">
        <v>418</v>
      </c>
      <c r="G1310" s="28">
        <v>89015</v>
      </c>
      <c r="H1310" s="28">
        <v>36.035440000000001</v>
      </c>
      <c r="I1310" s="28">
        <v>-114.99994</v>
      </c>
      <c r="J1310" s="28" t="s">
        <v>652</v>
      </c>
      <c r="K1310" s="61">
        <v>110043808467</v>
      </c>
      <c r="L1310" s="61" t="str">
        <f>IFERROR(INDEX('Facility Summary'!$K:$K,MATCH(K1310,'Facility Summary'!$J:$J,0)),INDEX('Raw Annual DMR Data'!$M:$M,MATCH(K1310,'Raw Annual DMR Data'!$L:$L,0)))</f>
        <v>Remediation</v>
      </c>
      <c r="M1310" s="28"/>
      <c r="N1310" s="28"/>
      <c r="O1310" s="28"/>
      <c r="P1310" s="28"/>
      <c r="Q1310" s="28"/>
      <c r="R1310" s="28"/>
      <c r="S1310" s="28">
        <v>0.179535166666666</v>
      </c>
    </row>
    <row r="1311" spans="1:19" x14ac:dyDescent="0.25">
      <c r="A1311" s="28">
        <v>2016</v>
      </c>
      <c r="B1311" s="28"/>
      <c r="C1311" s="28" t="s">
        <v>196</v>
      </c>
      <c r="D1311" s="28" t="s">
        <v>650</v>
      </c>
      <c r="E1311" s="28" t="s">
        <v>651</v>
      </c>
      <c r="F1311" s="28" t="s">
        <v>418</v>
      </c>
      <c r="G1311" s="28">
        <v>89015</v>
      </c>
      <c r="H1311" s="28">
        <v>36.035440000000001</v>
      </c>
      <c r="I1311" s="28">
        <v>-114.99994</v>
      </c>
      <c r="J1311" s="28" t="s">
        <v>652</v>
      </c>
      <c r="K1311" s="61">
        <v>110043808467</v>
      </c>
      <c r="L1311" s="61" t="str">
        <f>IFERROR(INDEX('Facility Summary'!$K:$K,MATCH(K1311,'Facility Summary'!$J:$J,0)),INDEX('Raw Annual DMR Data'!$M:$M,MATCH(K1311,'Raw Annual DMR Data'!$L:$L,0)))</f>
        <v>Remediation</v>
      </c>
      <c r="M1311" s="28"/>
      <c r="N1311" s="28"/>
      <c r="O1311" s="28"/>
      <c r="P1311" s="28"/>
      <c r="Q1311" s="28"/>
      <c r="R1311" s="28"/>
      <c r="S1311" s="28">
        <v>0.16900782</v>
      </c>
    </row>
    <row r="1312" spans="1:19" x14ac:dyDescent="0.25">
      <c r="A1312" s="28">
        <v>2018</v>
      </c>
      <c r="B1312" s="28"/>
      <c r="C1312" s="28" t="s">
        <v>196</v>
      </c>
      <c r="D1312" s="28" t="s">
        <v>650</v>
      </c>
      <c r="E1312" s="28" t="s">
        <v>651</v>
      </c>
      <c r="F1312" s="28" t="s">
        <v>418</v>
      </c>
      <c r="G1312" s="28">
        <v>89015</v>
      </c>
      <c r="H1312" s="28">
        <v>36.035440000000001</v>
      </c>
      <c r="I1312" s="28">
        <v>-114.99994</v>
      </c>
      <c r="J1312" s="28" t="s">
        <v>652</v>
      </c>
      <c r="K1312" s="61">
        <v>110043808467</v>
      </c>
      <c r="L1312" s="61" t="str">
        <f>IFERROR(INDEX('Facility Summary'!$K:$K,MATCH(K1312,'Facility Summary'!$J:$J,0)),INDEX('Raw Annual DMR Data'!$M:$M,MATCH(K1312,'Raw Annual DMR Data'!$L:$L,0)))</f>
        <v>Remediation</v>
      </c>
      <c r="M1312" s="28"/>
      <c r="N1312" s="28"/>
      <c r="O1312" s="28"/>
      <c r="P1312" s="28"/>
      <c r="Q1312" s="28"/>
      <c r="R1312" s="28"/>
      <c r="S1312" s="28">
        <v>0.30132858125</v>
      </c>
    </row>
    <row r="1313" spans="1:19" x14ac:dyDescent="0.25">
      <c r="A1313" s="28">
        <v>2019</v>
      </c>
      <c r="B1313" s="28"/>
      <c r="C1313" s="28" t="s">
        <v>196</v>
      </c>
      <c r="D1313" s="28" t="s">
        <v>650</v>
      </c>
      <c r="E1313" s="28" t="s">
        <v>651</v>
      </c>
      <c r="F1313" s="28" t="s">
        <v>418</v>
      </c>
      <c r="G1313" s="28">
        <v>89015</v>
      </c>
      <c r="H1313" s="28">
        <v>36.035440000000001</v>
      </c>
      <c r="I1313" s="28">
        <v>-114.99994</v>
      </c>
      <c r="J1313" s="28" t="s">
        <v>652</v>
      </c>
      <c r="K1313" s="61">
        <v>110043808467</v>
      </c>
      <c r="L1313" s="61" t="str">
        <f>IFERROR(INDEX('Facility Summary'!$K:$K,MATCH(K1313,'Facility Summary'!$J:$J,0)),INDEX('Raw Annual DMR Data'!$M:$M,MATCH(K1313,'Raw Annual DMR Data'!$L:$L,0)))</f>
        <v>Remediation</v>
      </c>
      <c r="M1313" s="28"/>
      <c r="N1313" s="28"/>
      <c r="O1313" s="28"/>
      <c r="P1313" s="28"/>
      <c r="Q1313" s="28"/>
      <c r="R1313" s="28"/>
      <c r="S1313" s="28">
        <v>0.29663518124999999</v>
      </c>
    </row>
    <row r="1314" spans="1:19" x14ac:dyDescent="0.25">
      <c r="A1314" s="28">
        <v>2020</v>
      </c>
      <c r="B1314" s="28"/>
      <c r="C1314" s="28" t="s">
        <v>196</v>
      </c>
      <c r="D1314" s="28" t="s">
        <v>650</v>
      </c>
      <c r="E1314" s="28" t="s">
        <v>651</v>
      </c>
      <c r="F1314" s="28" t="s">
        <v>418</v>
      </c>
      <c r="G1314" s="28">
        <v>89015</v>
      </c>
      <c r="H1314" s="28">
        <v>36.035440000000001</v>
      </c>
      <c r="I1314" s="28">
        <v>-114.99994</v>
      </c>
      <c r="J1314" s="28" t="s">
        <v>652</v>
      </c>
      <c r="K1314" s="61">
        <v>110043808467</v>
      </c>
      <c r="L1314" s="61" t="str">
        <f>IFERROR(INDEX('Facility Summary'!$K:$K,MATCH(K1314,'Facility Summary'!$J:$J,0)),INDEX('Raw Annual DMR Data'!$M:$M,MATCH(K1314,'Raw Annual DMR Data'!$L:$L,0)))</f>
        <v>Remediation</v>
      </c>
      <c r="M1314" s="28"/>
      <c r="N1314" s="28"/>
      <c r="O1314" s="28"/>
      <c r="P1314" s="28"/>
      <c r="Q1314" s="28"/>
      <c r="R1314" s="28"/>
      <c r="S1314" s="28">
        <v>0.33667480374999997</v>
      </c>
    </row>
    <row r="1315" spans="1:19" x14ac:dyDescent="0.25">
      <c r="A1315" s="28">
        <v>2015</v>
      </c>
      <c r="B1315" s="28"/>
      <c r="C1315" s="28" t="s">
        <v>1384</v>
      </c>
      <c r="D1315" s="28" t="s">
        <v>2285</v>
      </c>
      <c r="E1315" s="28" t="s">
        <v>1385</v>
      </c>
      <c r="F1315" s="28" t="s">
        <v>374</v>
      </c>
      <c r="G1315" s="28">
        <v>86045</v>
      </c>
      <c r="H1315" s="28">
        <v>36.091380999999998</v>
      </c>
      <c r="I1315" s="28">
        <v>-111.289585</v>
      </c>
      <c r="J1315" s="28"/>
      <c r="K1315" s="61">
        <v>110024409344</v>
      </c>
      <c r="L1315" s="61" t="str">
        <f>IFERROR(INDEX('Facility Summary'!$K:$K,MATCH(K1315,'Facility Summary'!$J:$J,0)),INDEX('Raw Annual DMR Data'!$M:$M,MATCH(K1315,'Raw Annual DMR Data'!$L:$L,0)))</f>
        <v>POTW</v>
      </c>
      <c r="M1315" s="28"/>
      <c r="N1315" s="28"/>
      <c r="O1315" s="28"/>
      <c r="P1315" s="28"/>
      <c r="Q1315" s="28"/>
      <c r="R1315" s="28"/>
      <c r="S1315" s="28">
        <v>1.5342876000000001</v>
      </c>
    </row>
    <row r="1316" spans="1:19" x14ac:dyDescent="0.25">
      <c r="A1316" s="28">
        <v>2020</v>
      </c>
      <c r="B1316" s="28"/>
      <c r="C1316" s="28" t="s">
        <v>1384</v>
      </c>
      <c r="D1316" s="28" t="s">
        <v>2285</v>
      </c>
      <c r="E1316" s="28" t="s">
        <v>1385</v>
      </c>
      <c r="F1316" s="28" t="s">
        <v>374</v>
      </c>
      <c r="G1316" s="28">
        <v>86045</v>
      </c>
      <c r="H1316" s="28">
        <v>36.091380999999998</v>
      </c>
      <c r="I1316" s="28">
        <v>-111.289585</v>
      </c>
      <c r="J1316" s="28"/>
      <c r="K1316" s="61">
        <v>110024409344</v>
      </c>
      <c r="L1316" s="61" t="str">
        <f>IFERROR(INDEX('Facility Summary'!$K:$K,MATCH(K1316,'Facility Summary'!$J:$J,0)),INDEX('Raw Annual DMR Data'!$M:$M,MATCH(K1316,'Raw Annual DMR Data'!$L:$L,0)))</f>
        <v>POTW</v>
      </c>
      <c r="M1316" s="28"/>
      <c r="N1316" s="28"/>
      <c r="O1316" s="28"/>
      <c r="P1316" s="28"/>
      <c r="Q1316" s="28"/>
      <c r="R1316" s="28"/>
      <c r="S1316" s="28">
        <v>0.75772671999999996</v>
      </c>
    </row>
    <row r="1317" spans="1:19" x14ac:dyDescent="0.25">
      <c r="A1317" s="28">
        <v>2018</v>
      </c>
      <c r="B1317" s="28"/>
      <c r="C1317" s="28" t="s">
        <v>1386</v>
      </c>
      <c r="D1317" s="28" t="s">
        <v>2288</v>
      </c>
      <c r="E1317" s="28" t="s">
        <v>1314</v>
      </c>
      <c r="F1317" s="28" t="s">
        <v>374</v>
      </c>
      <c r="G1317" s="28">
        <v>86004</v>
      </c>
      <c r="H1317" s="28">
        <v>35.167265999999998</v>
      </c>
      <c r="I1317" s="28">
        <v>-111.258888</v>
      </c>
      <c r="J1317" s="28"/>
      <c r="K1317" s="61">
        <v>110059716776</v>
      </c>
      <c r="L1317" s="61" t="str">
        <f>IFERROR(INDEX('Facility Summary'!$K:$K,MATCH(K1317,'Facility Summary'!$J:$J,0)),INDEX('Raw Annual DMR Data'!$M:$M,MATCH(K1317,'Raw Annual DMR Data'!$L:$L,0)))</f>
        <v>POTW</v>
      </c>
      <c r="M1317" s="28"/>
      <c r="N1317" s="28"/>
      <c r="O1317" s="28"/>
      <c r="P1317" s="28"/>
      <c r="Q1317" s="28"/>
      <c r="R1317" s="28"/>
      <c r="S1317" s="28">
        <v>6.2679600000000002E-2</v>
      </c>
    </row>
    <row r="1318" spans="1:19" x14ac:dyDescent="0.25">
      <c r="A1318" s="28">
        <v>2019</v>
      </c>
      <c r="B1318" s="28"/>
      <c r="C1318" s="28" t="s">
        <v>1387</v>
      </c>
      <c r="D1318" s="28" t="s">
        <v>2291</v>
      </c>
      <c r="E1318" s="28" t="s">
        <v>1388</v>
      </c>
      <c r="F1318" s="28" t="s">
        <v>294</v>
      </c>
      <c r="G1318" s="28">
        <v>221822454</v>
      </c>
      <c r="H1318" s="28">
        <v>38.920251999999998</v>
      </c>
      <c r="I1318" s="28">
        <v>-77.231944999999996</v>
      </c>
      <c r="J1318" s="28"/>
      <c r="K1318" s="61">
        <v>110070684897</v>
      </c>
      <c r="L1318" s="61" t="str">
        <f>IFERROR(INDEX('Facility Summary'!$K:$K,MATCH(K1318,'Facility Summary'!$J:$J,0)),INDEX('Raw Annual DMR Data'!$M:$M,MATCH(K1318,'Raw Annual DMR Data'!$L:$L,0)))</f>
        <v>Unknown</v>
      </c>
      <c r="M1318" s="28"/>
      <c r="N1318" s="28"/>
      <c r="O1318" s="28"/>
      <c r="P1318" s="28"/>
      <c r="Q1318" s="28"/>
      <c r="R1318" s="28"/>
      <c r="S1318" s="28">
        <v>1.01377439999999E-2</v>
      </c>
    </row>
    <row r="1319" spans="1:19" x14ac:dyDescent="0.25">
      <c r="A1319" s="28">
        <v>2020</v>
      </c>
      <c r="B1319" s="28"/>
      <c r="C1319" s="28" t="s">
        <v>1387</v>
      </c>
      <c r="D1319" s="28" t="s">
        <v>2291</v>
      </c>
      <c r="E1319" s="28" t="s">
        <v>1388</v>
      </c>
      <c r="F1319" s="28" t="s">
        <v>294</v>
      </c>
      <c r="G1319" s="28">
        <v>221822454</v>
      </c>
      <c r="H1319" s="28">
        <v>38.920251999999998</v>
      </c>
      <c r="I1319" s="28">
        <v>-77.231944999999996</v>
      </c>
      <c r="J1319" s="28"/>
      <c r="K1319" s="61">
        <v>110070684897</v>
      </c>
      <c r="L1319" s="61" t="str">
        <f>IFERROR(INDEX('Facility Summary'!$K:$K,MATCH(K1319,'Facility Summary'!$J:$J,0)),INDEX('Raw Annual DMR Data'!$M:$M,MATCH(K1319,'Raw Annual DMR Data'!$L:$L,0)))</f>
        <v>Unknown</v>
      </c>
      <c r="M1319" s="28"/>
      <c r="N1319" s="28"/>
      <c r="O1319" s="28"/>
      <c r="P1319" s="28"/>
      <c r="Q1319" s="28"/>
      <c r="R1319" s="28"/>
      <c r="S1319" s="28">
        <v>1.9963328727272699E-2</v>
      </c>
    </row>
    <row r="1320" spans="1:19" x14ac:dyDescent="0.25">
      <c r="A1320" s="28">
        <v>2015</v>
      </c>
      <c r="B1320" s="28"/>
      <c r="C1320" s="28" t="s">
        <v>1389</v>
      </c>
      <c r="D1320" s="28" t="s">
        <v>2294</v>
      </c>
      <c r="E1320" s="28" t="s">
        <v>358</v>
      </c>
      <c r="F1320" s="28" t="s">
        <v>275</v>
      </c>
      <c r="G1320" s="28">
        <v>83704</v>
      </c>
      <c r="H1320" s="28">
        <v>43.605383000000003</v>
      </c>
      <c r="I1320" s="28">
        <v>-116.27849000000001</v>
      </c>
      <c r="J1320" s="28"/>
      <c r="K1320" s="61">
        <v>110062644367</v>
      </c>
      <c r="L1320" s="61" t="str">
        <f>IFERROR(INDEX('Facility Summary'!$K:$K,MATCH(K1320,'Facility Summary'!$J:$J,0)),INDEX('Raw Annual DMR Data'!$M:$M,MATCH(K1320,'Raw Annual DMR Data'!$L:$L,0)))</f>
        <v>Unknown</v>
      </c>
      <c r="M1320" s="28"/>
      <c r="N1320" s="28"/>
      <c r="O1320" s="28"/>
      <c r="P1320" s="28"/>
      <c r="Q1320" s="28"/>
      <c r="R1320" s="28"/>
      <c r="S1320" s="28">
        <v>6.6055474532727199E-2</v>
      </c>
    </row>
    <row r="1321" spans="1:19" x14ac:dyDescent="0.25">
      <c r="A1321" s="28">
        <v>2016</v>
      </c>
      <c r="B1321" s="28"/>
      <c r="C1321" s="28" t="s">
        <v>1389</v>
      </c>
      <c r="D1321" s="28" t="s">
        <v>2294</v>
      </c>
      <c r="E1321" s="28" t="s">
        <v>358</v>
      </c>
      <c r="F1321" s="28" t="s">
        <v>275</v>
      </c>
      <c r="G1321" s="28">
        <v>83704</v>
      </c>
      <c r="H1321" s="28">
        <v>43.605383000000003</v>
      </c>
      <c r="I1321" s="28">
        <v>-116.27849000000001</v>
      </c>
      <c r="J1321" s="28"/>
      <c r="K1321" s="61">
        <v>110062644367</v>
      </c>
      <c r="L1321" s="61" t="str">
        <f>IFERROR(INDEX('Facility Summary'!$K:$K,MATCH(K1321,'Facility Summary'!$J:$J,0)),INDEX('Raw Annual DMR Data'!$M:$M,MATCH(K1321,'Raw Annual DMR Data'!$L:$L,0)))</f>
        <v>Unknown</v>
      </c>
      <c r="M1321" s="28"/>
      <c r="N1321" s="28"/>
      <c r="O1321" s="28"/>
      <c r="P1321" s="28"/>
      <c r="Q1321" s="28"/>
      <c r="R1321" s="28"/>
      <c r="S1321" s="28">
        <v>4.8908748049999902E-3</v>
      </c>
    </row>
    <row r="1322" spans="1:19" x14ac:dyDescent="0.25">
      <c r="A1322" s="28">
        <v>2017</v>
      </c>
      <c r="B1322" s="28"/>
      <c r="C1322" s="28" t="s">
        <v>1389</v>
      </c>
      <c r="D1322" s="28" t="s">
        <v>2294</v>
      </c>
      <c r="E1322" s="28" t="s">
        <v>358</v>
      </c>
      <c r="F1322" s="28" t="s">
        <v>275</v>
      </c>
      <c r="G1322" s="28">
        <v>83704</v>
      </c>
      <c r="H1322" s="28">
        <v>43.605383000000003</v>
      </c>
      <c r="I1322" s="28">
        <v>-116.27849000000001</v>
      </c>
      <c r="J1322" s="28"/>
      <c r="K1322" s="61">
        <v>110062644367</v>
      </c>
      <c r="L1322" s="61" t="str">
        <f>IFERROR(INDEX('Facility Summary'!$K:$K,MATCH(K1322,'Facility Summary'!$J:$J,0)),INDEX('Raw Annual DMR Data'!$M:$M,MATCH(K1322,'Raw Annual DMR Data'!$L:$L,0)))</f>
        <v>Unknown</v>
      </c>
      <c r="M1322" s="28"/>
      <c r="N1322" s="28"/>
      <c r="O1322" s="28"/>
      <c r="P1322" s="28"/>
      <c r="Q1322" s="28"/>
      <c r="R1322" s="28"/>
      <c r="S1322" s="28">
        <v>1.0918256419999901E-2</v>
      </c>
    </row>
    <row r="1323" spans="1:19" x14ac:dyDescent="0.25">
      <c r="A1323" s="28">
        <v>2018</v>
      </c>
      <c r="B1323" s="28"/>
      <c r="C1323" s="28" t="s">
        <v>1389</v>
      </c>
      <c r="D1323" s="28" t="s">
        <v>2294</v>
      </c>
      <c r="E1323" s="28" t="s">
        <v>358</v>
      </c>
      <c r="F1323" s="28" t="s">
        <v>275</v>
      </c>
      <c r="G1323" s="28">
        <v>83704</v>
      </c>
      <c r="H1323" s="28">
        <v>43.605383000000003</v>
      </c>
      <c r="I1323" s="28">
        <v>-116.27849000000001</v>
      </c>
      <c r="J1323" s="28"/>
      <c r="K1323" s="61">
        <v>110062644367</v>
      </c>
      <c r="L1323" s="61" t="str">
        <f>IFERROR(INDEX('Facility Summary'!$K:$K,MATCH(K1323,'Facility Summary'!$J:$J,0)),INDEX('Raw Annual DMR Data'!$M:$M,MATCH(K1323,'Raw Annual DMR Data'!$L:$L,0)))</f>
        <v>Unknown</v>
      </c>
      <c r="M1323" s="28"/>
      <c r="N1323" s="28"/>
      <c r="O1323" s="28"/>
      <c r="P1323" s="28"/>
      <c r="Q1323" s="28"/>
      <c r="R1323" s="28"/>
      <c r="S1323" s="302">
        <v>7.1724538799999901E-3</v>
      </c>
    </row>
    <row r="1324" spans="1:19" x14ac:dyDescent="0.25">
      <c r="A1324" s="28">
        <v>2019</v>
      </c>
      <c r="B1324" s="28"/>
      <c r="C1324" s="28" t="s">
        <v>1389</v>
      </c>
      <c r="D1324" s="28" t="s">
        <v>2294</v>
      </c>
      <c r="E1324" s="28" t="s">
        <v>358</v>
      </c>
      <c r="F1324" s="28" t="s">
        <v>275</v>
      </c>
      <c r="G1324" s="28">
        <v>83704</v>
      </c>
      <c r="H1324" s="28">
        <v>43.605383000000003</v>
      </c>
      <c r="I1324" s="28">
        <v>-116.27849000000001</v>
      </c>
      <c r="J1324" s="28"/>
      <c r="K1324" s="61">
        <v>110062644367</v>
      </c>
      <c r="L1324" s="61" t="str">
        <f>IFERROR(INDEX('Facility Summary'!$K:$K,MATCH(K1324,'Facility Summary'!$J:$J,0)),INDEX('Raw Annual DMR Data'!$M:$M,MATCH(K1324,'Raw Annual DMR Data'!$L:$L,0)))</f>
        <v>Unknown</v>
      </c>
      <c r="M1324" s="28"/>
      <c r="N1324" s="28"/>
      <c r="O1324" s="28"/>
      <c r="P1324" s="28"/>
      <c r="Q1324" s="28"/>
      <c r="R1324" s="28"/>
      <c r="S1324" s="28">
        <v>9.9584561199999901E-3</v>
      </c>
    </row>
    <row r="1325" spans="1:19" x14ac:dyDescent="0.25">
      <c r="A1325" s="28">
        <v>2020</v>
      </c>
      <c r="B1325" s="28"/>
      <c r="C1325" s="28" t="s">
        <v>1389</v>
      </c>
      <c r="D1325" s="28" t="s">
        <v>2294</v>
      </c>
      <c r="E1325" s="28" t="s">
        <v>358</v>
      </c>
      <c r="F1325" s="28" t="s">
        <v>275</v>
      </c>
      <c r="G1325" s="28">
        <v>83704</v>
      </c>
      <c r="H1325" s="28">
        <v>43.605383000000003</v>
      </c>
      <c r="I1325" s="28">
        <v>-116.27849000000001</v>
      </c>
      <c r="J1325" s="28"/>
      <c r="K1325" s="61">
        <v>110062644367</v>
      </c>
      <c r="L1325" s="61" t="str">
        <f>IFERROR(INDEX('Facility Summary'!$K:$K,MATCH(K1325,'Facility Summary'!$J:$J,0)),INDEX('Raw Annual DMR Data'!$M:$M,MATCH(K1325,'Raw Annual DMR Data'!$L:$L,0)))</f>
        <v>Unknown</v>
      </c>
      <c r="M1325" s="28"/>
      <c r="N1325" s="28"/>
      <c r="O1325" s="28"/>
      <c r="P1325" s="28"/>
      <c r="Q1325" s="28"/>
      <c r="R1325" s="28"/>
      <c r="S1325" s="28">
        <v>9.9774643899999908E-3</v>
      </c>
    </row>
    <row r="1326" spans="1:19" x14ac:dyDescent="0.25">
      <c r="A1326" s="28">
        <v>2019</v>
      </c>
      <c r="B1326" s="28"/>
      <c r="C1326" s="28" t="s">
        <v>1390</v>
      </c>
      <c r="D1326" s="28" t="s">
        <v>2297</v>
      </c>
      <c r="E1326" s="28" t="s">
        <v>1007</v>
      </c>
      <c r="F1326" s="28" t="s">
        <v>1008</v>
      </c>
      <c r="G1326" s="28">
        <v>972101412</v>
      </c>
      <c r="H1326" s="28">
        <v>45.548641000000003</v>
      </c>
      <c r="I1326" s="28">
        <v>-122.72292299999999</v>
      </c>
      <c r="J1326" s="28" t="s">
        <v>737</v>
      </c>
      <c r="K1326" s="61">
        <v>110000487447</v>
      </c>
      <c r="L1326" s="61" t="str">
        <f>IFERROR(INDEX('Facility Summary'!$K:$K,MATCH(K1326,'Facility Summary'!$J:$J,0)),INDEX('Raw Annual DMR Data'!$M:$M,MATCH(K1326,'Raw Annual DMR Data'!$L:$L,0)))</f>
        <v>Repackaging</v>
      </c>
      <c r="M1326" s="28"/>
      <c r="N1326" s="28"/>
      <c r="O1326" s="28"/>
      <c r="P1326" s="28"/>
      <c r="Q1326" s="28"/>
      <c r="R1326" s="28"/>
      <c r="S1326" s="28">
        <v>4.10057262308571E-3</v>
      </c>
    </row>
    <row r="1327" spans="1:19" x14ac:dyDescent="0.25">
      <c r="A1327" s="28">
        <v>2020</v>
      </c>
      <c r="B1327" s="28"/>
      <c r="C1327" s="28" t="s">
        <v>1390</v>
      </c>
      <c r="D1327" s="28" t="s">
        <v>2297</v>
      </c>
      <c r="E1327" s="28" t="s">
        <v>1007</v>
      </c>
      <c r="F1327" s="28" t="s">
        <v>1008</v>
      </c>
      <c r="G1327" s="28">
        <v>972101412</v>
      </c>
      <c r="H1327" s="28">
        <v>45.548641000000003</v>
      </c>
      <c r="I1327" s="28">
        <v>-122.72292299999999</v>
      </c>
      <c r="J1327" s="28" t="s">
        <v>737</v>
      </c>
      <c r="K1327" s="61">
        <v>110000487447</v>
      </c>
      <c r="L1327" s="61" t="str">
        <f>IFERROR(INDEX('Facility Summary'!$K:$K,MATCH(K1327,'Facility Summary'!$J:$J,0)),INDEX('Raw Annual DMR Data'!$M:$M,MATCH(K1327,'Raw Annual DMR Data'!$L:$L,0)))</f>
        <v>Repackaging</v>
      </c>
      <c r="M1327" s="28"/>
      <c r="N1327" s="28"/>
      <c r="O1327" s="28"/>
      <c r="P1327" s="28"/>
      <c r="Q1327" s="28"/>
      <c r="R1327" s="28"/>
      <c r="S1327" s="28">
        <v>3.919505274E-3</v>
      </c>
    </row>
    <row r="1328" spans="1:19" x14ac:dyDescent="0.25">
      <c r="A1328" s="28">
        <v>2015</v>
      </c>
      <c r="B1328" s="28"/>
      <c r="C1328" s="28" t="s">
        <v>1391</v>
      </c>
      <c r="D1328" s="28" t="s">
        <v>2300</v>
      </c>
      <c r="E1328" s="28" t="s">
        <v>358</v>
      </c>
      <c r="F1328" s="28" t="s">
        <v>275</v>
      </c>
      <c r="G1328" s="28">
        <v>83704</v>
      </c>
      <c r="H1328" s="28">
        <v>43.60971</v>
      </c>
      <c r="I1328" s="28">
        <v>-116.28819</v>
      </c>
      <c r="J1328" s="28"/>
      <c r="K1328" s="61">
        <v>110005791107</v>
      </c>
      <c r="L1328" s="61" t="str">
        <f>IFERROR(INDEX('Facility Summary'!$K:$K,MATCH(K1328,'Facility Summary'!$J:$J,0)),INDEX('Raw Annual DMR Data'!$M:$M,MATCH(K1328,'Raw Annual DMR Data'!$L:$L,0)))</f>
        <v>Unknown</v>
      </c>
      <c r="M1328" s="28"/>
      <c r="N1328" s="28"/>
      <c r="O1328" s="28"/>
      <c r="P1328" s="28"/>
      <c r="Q1328" s="28"/>
      <c r="R1328" s="28"/>
      <c r="S1328" s="28">
        <v>0.14453857281749899</v>
      </c>
    </row>
    <row r="1329" spans="1:19" x14ac:dyDescent="0.25">
      <c r="A1329" s="28">
        <v>2019</v>
      </c>
      <c r="B1329" s="28"/>
      <c r="C1329" s="28" t="s">
        <v>1392</v>
      </c>
      <c r="D1329" s="28" t="s">
        <v>2302</v>
      </c>
      <c r="E1329" s="28" t="s">
        <v>1393</v>
      </c>
      <c r="F1329" s="28" t="s">
        <v>294</v>
      </c>
      <c r="G1329" s="28">
        <v>22060</v>
      </c>
      <c r="H1329" s="28">
        <v>38.711596</v>
      </c>
      <c r="I1329" s="28">
        <v>-77.147887999999995</v>
      </c>
      <c r="J1329" s="28"/>
      <c r="K1329" s="61">
        <v>110070596765</v>
      </c>
      <c r="L1329" s="61" t="str">
        <f>IFERROR(INDEX('Facility Summary'!$K:$K,MATCH(K1329,'Facility Summary'!$J:$J,0)),INDEX('Raw Annual DMR Data'!$M:$M,MATCH(K1329,'Raw Annual DMR Data'!$L:$L,0)))</f>
        <v>Laboratory Use</v>
      </c>
      <c r="M1329" s="28"/>
      <c r="N1329" s="28"/>
      <c r="O1329" s="28"/>
      <c r="P1329" s="28"/>
      <c r="Q1329" s="28"/>
      <c r="R1329" s="28"/>
      <c r="S1329" s="28">
        <v>1.20344831999999E-3</v>
      </c>
    </row>
    <row r="1330" spans="1:19" x14ac:dyDescent="0.25">
      <c r="A1330" s="28">
        <v>2020</v>
      </c>
      <c r="B1330" s="28"/>
      <c r="C1330" s="28" t="s">
        <v>1392</v>
      </c>
      <c r="D1330" s="28" t="s">
        <v>2302</v>
      </c>
      <c r="E1330" s="28" t="s">
        <v>1393</v>
      </c>
      <c r="F1330" s="28" t="s">
        <v>294</v>
      </c>
      <c r="G1330" s="28">
        <v>22060</v>
      </c>
      <c r="H1330" s="28">
        <v>38.711596</v>
      </c>
      <c r="I1330" s="28">
        <v>-77.147887999999995</v>
      </c>
      <c r="J1330" s="28"/>
      <c r="K1330" s="61">
        <v>110070596765</v>
      </c>
      <c r="L1330" s="61" t="str">
        <f>IFERROR(INDEX('Facility Summary'!$K:$K,MATCH(K1330,'Facility Summary'!$J:$J,0)),INDEX('Raw Annual DMR Data'!$M:$M,MATCH(K1330,'Raw Annual DMR Data'!$L:$L,0)))</f>
        <v>Laboratory Use</v>
      </c>
      <c r="M1330" s="28"/>
      <c r="N1330" s="28"/>
      <c r="O1330" s="28"/>
      <c r="P1330" s="28"/>
      <c r="Q1330" s="28"/>
      <c r="R1330" s="28"/>
      <c r="S1330" s="28">
        <v>1.2917542624999901E-3</v>
      </c>
    </row>
    <row r="1331" spans="1:19" x14ac:dyDescent="0.25">
      <c r="A1331" s="28">
        <v>2015</v>
      </c>
      <c r="B1331" s="28"/>
      <c r="C1331" s="28" t="s">
        <v>1394</v>
      </c>
      <c r="D1331" s="28" t="s">
        <v>2304</v>
      </c>
      <c r="E1331" s="28" t="s">
        <v>1395</v>
      </c>
      <c r="F1331" s="28" t="s">
        <v>362</v>
      </c>
      <c r="G1331" s="28">
        <v>78241</v>
      </c>
      <c r="H1331" s="28">
        <v>29.378699999999998</v>
      </c>
      <c r="I1331" s="28">
        <v>-98.551670000000001</v>
      </c>
      <c r="J1331" s="28"/>
      <c r="K1331" s="61">
        <v>110042004915</v>
      </c>
      <c r="L1331" s="61" t="str">
        <f>IFERROR(INDEX('Facility Summary'!$K:$K,MATCH(K1331,'Facility Summary'!$J:$J,0)),INDEX('Raw Annual DMR Data'!$M:$M,MATCH(K1331,'Raw Annual DMR Data'!$L:$L,0)))</f>
        <v>Unknown</v>
      </c>
      <c r="M1331" s="28"/>
      <c r="N1331" s="28"/>
      <c r="O1331" s="28"/>
      <c r="P1331" s="28"/>
      <c r="Q1331" s="28"/>
      <c r="R1331" s="28"/>
      <c r="S1331" s="28">
        <v>2.3839176526666599E-2</v>
      </c>
    </row>
    <row r="1332" spans="1:19" x14ac:dyDescent="0.25">
      <c r="A1332" s="28">
        <v>2016</v>
      </c>
      <c r="B1332" s="28"/>
      <c r="C1332" s="28" t="s">
        <v>1394</v>
      </c>
      <c r="D1332" s="28" t="s">
        <v>2304</v>
      </c>
      <c r="E1332" s="28" t="s">
        <v>1395</v>
      </c>
      <c r="F1332" s="28" t="s">
        <v>362</v>
      </c>
      <c r="G1332" s="28">
        <v>78241</v>
      </c>
      <c r="H1332" s="28">
        <v>29.378699999999998</v>
      </c>
      <c r="I1332" s="28">
        <v>-98.551670000000001</v>
      </c>
      <c r="J1332" s="28"/>
      <c r="K1332" s="61">
        <v>110042004915</v>
      </c>
      <c r="L1332" s="61" t="str">
        <f>IFERROR(INDEX('Facility Summary'!$K:$K,MATCH(K1332,'Facility Summary'!$J:$J,0)),INDEX('Raw Annual DMR Data'!$M:$M,MATCH(K1332,'Raw Annual DMR Data'!$L:$L,0)))</f>
        <v>Unknown</v>
      </c>
      <c r="M1332" s="28"/>
      <c r="N1332" s="28"/>
      <c r="O1332" s="28"/>
      <c r="P1332" s="28"/>
      <c r="Q1332" s="28"/>
      <c r="R1332" s="28"/>
      <c r="S1332" s="28">
        <v>2.1720368601E-2</v>
      </c>
    </row>
    <row r="1333" spans="1:19" x14ac:dyDescent="0.25">
      <c r="A1333" s="28">
        <v>2017</v>
      </c>
      <c r="B1333" s="28"/>
      <c r="C1333" s="28" t="s">
        <v>1394</v>
      </c>
      <c r="D1333" s="28" t="s">
        <v>2304</v>
      </c>
      <c r="E1333" s="28" t="s">
        <v>1395</v>
      </c>
      <c r="F1333" s="28" t="s">
        <v>362</v>
      </c>
      <c r="G1333" s="28">
        <v>78241</v>
      </c>
      <c r="H1333" s="28">
        <v>29.378699999999998</v>
      </c>
      <c r="I1333" s="28">
        <v>-98.551670000000001</v>
      </c>
      <c r="J1333" s="28"/>
      <c r="K1333" s="61">
        <v>110042004915</v>
      </c>
      <c r="L1333" s="61" t="str">
        <f>IFERROR(INDEX('Facility Summary'!$K:$K,MATCH(K1333,'Facility Summary'!$J:$J,0)),INDEX('Raw Annual DMR Data'!$M:$M,MATCH(K1333,'Raw Annual DMR Data'!$L:$L,0)))</f>
        <v>Unknown</v>
      </c>
      <c r="M1333" s="28"/>
      <c r="N1333" s="28"/>
      <c r="O1333" s="28"/>
      <c r="P1333" s="28"/>
      <c r="Q1333" s="28"/>
      <c r="R1333" s="28"/>
      <c r="S1333" s="28">
        <v>1.7013377422999999E-2</v>
      </c>
    </row>
    <row r="1334" spans="1:19" x14ac:dyDescent="0.25">
      <c r="A1334" s="28">
        <v>2018</v>
      </c>
      <c r="B1334" s="28"/>
      <c r="C1334" s="28" t="s">
        <v>1394</v>
      </c>
      <c r="D1334" s="28" t="s">
        <v>2304</v>
      </c>
      <c r="E1334" s="28" t="s">
        <v>1395</v>
      </c>
      <c r="F1334" s="28" t="s">
        <v>362</v>
      </c>
      <c r="G1334" s="28">
        <v>78241</v>
      </c>
      <c r="H1334" s="28">
        <v>29.378699999999998</v>
      </c>
      <c r="I1334" s="28">
        <v>-98.551670000000001</v>
      </c>
      <c r="J1334" s="28"/>
      <c r="K1334" s="61">
        <v>110042004915</v>
      </c>
      <c r="L1334" s="61" t="str">
        <f>IFERROR(INDEX('Facility Summary'!$K:$K,MATCH(K1334,'Facility Summary'!$J:$J,0)),INDEX('Raw Annual DMR Data'!$M:$M,MATCH(K1334,'Raw Annual DMR Data'!$L:$L,0)))</f>
        <v>Unknown</v>
      </c>
      <c r="M1334" s="28"/>
      <c r="N1334" s="28"/>
      <c r="O1334" s="28"/>
      <c r="P1334" s="28"/>
      <c r="Q1334" s="28"/>
      <c r="R1334" s="28"/>
      <c r="S1334" s="28">
        <v>2.1024224209499998E-2</v>
      </c>
    </row>
    <row r="1335" spans="1:19" x14ac:dyDescent="0.25">
      <c r="A1335" s="28">
        <v>2019</v>
      </c>
      <c r="B1335" s="28"/>
      <c r="C1335" s="28" t="s">
        <v>1394</v>
      </c>
      <c r="D1335" s="28" t="s">
        <v>2304</v>
      </c>
      <c r="E1335" s="28" t="s">
        <v>1395</v>
      </c>
      <c r="F1335" s="28" t="s">
        <v>362</v>
      </c>
      <c r="G1335" s="28">
        <v>78241</v>
      </c>
      <c r="H1335" s="28">
        <v>29.378699999999998</v>
      </c>
      <c r="I1335" s="28">
        <v>-98.551670000000001</v>
      </c>
      <c r="J1335" s="28"/>
      <c r="K1335" s="61">
        <v>110042004915</v>
      </c>
      <c r="L1335" s="61" t="str">
        <f>IFERROR(INDEX('Facility Summary'!$K:$K,MATCH(K1335,'Facility Summary'!$J:$J,0)),INDEX('Raw Annual DMR Data'!$M:$M,MATCH(K1335,'Raw Annual DMR Data'!$L:$L,0)))</f>
        <v>Unknown</v>
      </c>
      <c r="M1335" s="28"/>
      <c r="N1335" s="28"/>
      <c r="O1335" s="28"/>
      <c r="P1335" s="28"/>
      <c r="Q1335" s="28"/>
      <c r="R1335" s="28"/>
      <c r="S1335" s="28">
        <v>1.81746819633E-2</v>
      </c>
    </row>
    <row r="1336" spans="1:19" x14ac:dyDescent="0.25">
      <c r="A1336" s="28">
        <v>2020</v>
      </c>
      <c r="B1336" s="28"/>
      <c r="C1336" s="28" t="s">
        <v>1394</v>
      </c>
      <c r="D1336" s="28" t="s">
        <v>2304</v>
      </c>
      <c r="E1336" s="28" t="s">
        <v>1395</v>
      </c>
      <c r="F1336" s="28" t="s">
        <v>362</v>
      </c>
      <c r="G1336" s="28">
        <v>78241</v>
      </c>
      <c r="H1336" s="28">
        <v>29.378699999999998</v>
      </c>
      <c r="I1336" s="28">
        <v>-98.551670000000001</v>
      </c>
      <c r="J1336" s="28"/>
      <c r="K1336" s="61">
        <v>110042004915</v>
      </c>
      <c r="L1336" s="61" t="str">
        <f>IFERROR(INDEX('Facility Summary'!$K:$K,MATCH(K1336,'Facility Summary'!$J:$J,0)),INDEX('Raw Annual DMR Data'!$M:$M,MATCH(K1336,'Raw Annual DMR Data'!$L:$L,0)))</f>
        <v>Unknown</v>
      </c>
      <c r="M1336" s="28"/>
      <c r="N1336" s="28"/>
      <c r="O1336" s="28"/>
      <c r="P1336" s="28"/>
      <c r="Q1336" s="28"/>
      <c r="R1336" s="28"/>
      <c r="S1336" s="28">
        <v>2.0305705074374999E-2</v>
      </c>
    </row>
    <row r="1337" spans="1:19" x14ac:dyDescent="0.25">
      <c r="A1337" s="28">
        <v>2015</v>
      </c>
      <c r="B1337" s="28"/>
      <c r="C1337" s="28" t="s">
        <v>1396</v>
      </c>
      <c r="D1337" s="28" t="s">
        <v>2307</v>
      </c>
      <c r="E1337" s="28" t="s">
        <v>1397</v>
      </c>
      <c r="F1337" s="28" t="s">
        <v>345</v>
      </c>
      <c r="G1337" s="28" t="s">
        <v>2308</v>
      </c>
      <c r="H1337" s="28">
        <v>41.715769999999999</v>
      </c>
      <c r="I1337" s="28">
        <v>-87.978629999999995</v>
      </c>
      <c r="J1337" s="28" t="s">
        <v>738</v>
      </c>
      <c r="K1337" s="61">
        <v>110041963168</v>
      </c>
      <c r="L1337" s="61" t="str">
        <f>IFERROR(INDEX('Facility Summary'!$K:$K,MATCH(K1337,'Facility Summary'!$J:$J,0)),INDEX('Raw Annual DMR Data'!$M:$M,MATCH(K1337,'Raw Annual DMR Data'!$L:$L,0)))</f>
        <v>Laboratory Use</v>
      </c>
      <c r="M1337" s="28"/>
      <c r="N1337" s="28"/>
      <c r="O1337" s="28"/>
      <c r="P1337" s="28"/>
      <c r="Q1337" s="28"/>
      <c r="R1337" s="28"/>
      <c r="S1337" s="28">
        <v>4.76626125E-2</v>
      </c>
    </row>
    <row r="1338" spans="1:19" x14ac:dyDescent="0.25">
      <c r="A1338" s="28">
        <v>2017</v>
      </c>
      <c r="B1338" s="28"/>
      <c r="C1338" s="28" t="s">
        <v>1398</v>
      </c>
      <c r="D1338" s="28" t="s">
        <v>2311</v>
      </c>
      <c r="E1338" s="28" t="s">
        <v>1399</v>
      </c>
      <c r="F1338" s="28" t="s">
        <v>1171</v>
      </c>
      <c r="G1338" s="28">
        <v>968633062</v>
      </c>
      <c r="H1338" s="28">
        <v>21.438638999999998</v>
      </c>
      <c r="I1338" s="28">
        <v>-157.75847200000001</v>
      </c>
      <c r="J1338" s="28"/>
      <c r="K1338" s="61">
        <v>110041973460</v>
      </c>
      <c r="L1338" s="61" t="str">
        <f>IFERROR(INDEX('Facility Summary'!$K:$K,MATCH(K1338,'Facility Summary'!$J:$J,0)),INDEX('Raw Annual DMR Data'!$M:$M,MATCH(K1338,'Raw Annual DMR Data'!$L:$L,0)))</f>
        <v>POTW</v>
      </c>
      <c r="M1338" s="28"/>
      <c r="N1338" s="28"/>
      <c r="O1338" s="28"/>
      <c r="P1338" s="28"/>
      <c r="Q1338" s="28"/>
      <c r="R1338" s="28"/>
      <c r="S1338" s="28">
        <v>0.87795913749999999</v>
      </c>
    </row>
    <row r="1339" spans="1:19" x14ac:dyDescent="0.25">
      <c r="A1339" s="28">
        <v>2020</v>
      </c>
      <c r="B1339" s="28"/>
      <c r="C1339" s="28" t="s">
        <v>1398</v>
      </c>
      <c r="D1339" s="28" t="s">
        <v>2311</v>
      </c>
      <c r="E1339" s="28" t="s">
        <v>1399</v>
      </c>
      <c r="F1339" s="28" t="s">
        <v>1171</v>
      </c>
      <c r="G1339" s="28">
        <v>968633062</v>
      </c>
      <c r="H1339" s="28">
        <v>21.438638999999998</v>
      </c>
      <c r="I1339" s="28">
        <v>-157.75847200000001</v>
      </c>
      <c r="J1339" s="28"/>
      <c r="K1339" s="61">
        <v>110041973460</v>
      </c>
      <c r="L1339" s="61" t="str">
        <f>IFERROR(INDEX('Facility Summary'!$K:$K,MATCH(K1339,'Facility Summary'!$J:$J,0)),INDEX('Raw Annual DMR Data'!$M:$M,MATCH(K1339,'Raw Annual DMR Data'!$L:$L,0)))</f>
        <v>POTW</v>
      </c>
      <c r="M1339" s="28"/>
      <c r="N1339" s="28"/>
      <c r="O1339" s="28"/>
      <c r="P1339" s="28"/>
      <c r="Q1339" s="28"/>
      <c r="R1339" s="28"/>
      <c r="S1339" s="28">
        <v>0.99055342499999999</v>
      </c>
    </row>
    <row r="1340" spans="1:19" x14ac:dyDescent="0.25">
      <c r="A1340" s="28">
        <v>2019</v>
      </c>
      <c r="B1340" s="28"/>
      <c r="C1340" s="28" t="s">
        <v>1400</v>
      </c>
      <c r="D1340" s="28" t="s">
        <v>2313</v>
      </c>
      <c r="E1340" s="28" t="s">
        <v>1401</v>
      </c>
      <c r="F1340" s="28" t="s">
        <v>324</v>
      </c>
      <c r="G1340" s="28" t="s">
        <v>2314</v>
      </c>
      <c r="H1340" s="28">
        <v>37.642310000000002</v>
      </c>
      <c r="I1340" s="28">
        <v>-85.903570000000002</v>
      </c>
      <c r="J1340" s="28"/>
      <c r="K1340" s="61">
        <v>110000571373</v>
      </c>
      <c r="L1340" s="61" t="str">
        <f>IFERROR(INDEX('Facility Summary'!$K:$K,MATCH(K1340,'Facility Summary'!$J:$J,0)),INDEX('Raw Annual DMR Data'!$M:$M,MATCH(K1340,'Raw Annual DMR Data'!$L:$L,0)))</f>
        <v>POTW</v>
      </c>
      <c r="M1340" s="28"/>
      <c r="N1340" s="28"/>
      <c r="O1340" s="28"/>
      <c r="P1340" s="28"/>
      <c r="Q1340" s="28"/>
      <c r="R1340" s="28"/>
      <c r="S1340" s="28">
        <v>33.847362500000003</v>
      </c>
    </row>
    <row r="1341" spans="1:19" x14ac:dyDescent="0.25">
      <c r="A1341" s="28">
        <v>2020</v>
      </c>
      <c r="B1341" s="28"/>
      <c r="C1341" s="28" t="s">
        <v>1400</v>
      </c>
      <c r="D1341" s="28" t="s">
        <v>2313</v>
      </c>
      <c r="E1341" s="28" t="s">
        <v>1401</v>
      </c>
      <c r="F1341" s="28" t="s">
        <v>324</v>
      </c>
      <c r="G1341" s="28" t="s">
        <v>2314</v>
      </c>
      <c r="H1341" s="28">
        <v>37.642310000000002</v>
      </c>
      <c r="I1341" s="28">
        <v>-85.903570000000002</v>
      </c>
      <c r="J1341" s="28"/>
      <c r="K1341" s="61">
        <v>110000571373</v>
      </c>
      <c r="L1341" s="61" t="str">
        <f>IFERROR(INDEX('Facility Summary'!$K:$K,MATCH(K1341,'Facility Summary'!$J:$J,0)),INDEX('Raw Annual DMR Data'!$M:$M,MATCH(K1341,'Raw Annual DMR Data'!$L:$L,0)))</f>
        <v>POTW</v>
      </c>
      <c r="M1341" s="28"/>
      <c r="N1341" s="28"/>
      <c r="O1341" s="28"/>
      <c r="P1341" s="28"/>
      <c r="Q1341" s="28"/>
      <c r="R1341" s="28"/>
      <c r="S1341" s="28">
        <v>20.377493749999999</v>
      </c>
    </row>
    <row r="1342" spans="1:19" x14ac:dyDescent="0.25">
      <c r="A1342" s="28">
        <v>2019</v>
      </c>
      <c r="B1342" s="28"/>
      <c r="C1342" s="28" t="s">
        <v>1402</v>
      </c>
      <c r="D1342" s="28" t="s">
        <v>2317</v>
      </c>
      <c r="E1342" s="28" t="s">
        <v>1403</v>
      </c>
      <c r="F1342" s="28" t="s">
        <v>294</v>
      </c>
      <c r="G1342" s="28">
        <v>23462</v>
      </c>
      <c r="H1342" s="28">
        <v>36.844679999999997</v>
      </c>
      <c r="I1342" s="28">
        <v>-76.184235000000001</v>
      </c>
      <c r="J1342" s="28"/>
      <c r="K1342" s="61">
        <v>110070548097</v>
      </c>
      <c r="L1342" s="61" t="str">
        <f>IFERROR(INDEX('Facility Summary'!$K:$K,MATCH(K1342,'Facility Summary'!$J:$J,0)),INDEX('Raw Annual DMR Data'!$M:$M,MATCH(K1342,'Raw Annual DMR Data'!$L:$L,0)))</f>
        <v>Unknown</v>
      </c>
      <c r="M1342" s="28"/>
      <c r="N1342" s="28"/>
      <c r="O1342" s="28"/>
      <c r="P1342" s="28"/>
      <c r="Q1342" s="28"/>
      <c r="R1342" s="28"/>
      <c r="S1342" s="28">
        <v>6.6024025999999902E-2</v>
      </c>
    </row>
    <row r="1343" spans="1:19" x14ac:dyDescent="0.25">
      <c r="A1343" s="28">
        <v>2016</v>
      </c>
      <c r="B1343" s="28"/>
      <c r="C1343" s="28" t="s">
        <v>198</v>
      </c>
      <c r="D1343" s="28" t="s">
        <v>656</v>
      </c>
      <c r="E1343" s="28" t="s">
        <v>657</v>
      </c>
      <c r="F1343" s="28" t="s">
        <v>418</v>
      </c>
      <c r="G1343" s="28">
        <v>89109</v>
      </c>
      <c r="H1343" s="28">
        <v>36.122100000000003</v>
      </c>
      <c r="I1343" s="28">
        <v>-115.17139</v>
      </c>
      <c r="J1343" s="28"/>
      <c r="K1343" s="61">
        <v>110004306938</v>
      </c>
      <c r="L1343" s="61" t="str">
        <f>IFERROR(INDEX('Facility Summary'!$K:$K,MATCH(K1343,'Facility Summary'!$J:$J,0)),INDEX('Raw Annual DMR Data'!$M:$M,MATCH(K1343,'Raw Annual DMR Data'!$L:$L,0)))</f>
        <v>Unknown</v>
      </c>
      <c r="M1343" s="28"/>
      <c r="N1343" s="28"/>
      <c r="O1343" s="28"/>
      <c r="P1343" s="28"/>
      <c r="Q1343" s="28"/>
      <c r="R1343" s="28"/>
      <c r="S1343" s="28">
        <v>4.3863418749999997E-3</v>
      </c>
    </row>
    <row r="1344" spans="1:19" x14ac:dyDescent="0.25">
      <c r="A1344" s="28">
        <v>2016</v>
      </c>
      <c r="B1344" s="28"/>
      <c r="C1344" s="28" t="s">
        <v>198</v>
      </c>
      <c r="D1344" s="28" t="s">
        <v>656</v>
      </c>
      <c r="E1344" s="28" t="s">
        <v>657</v>
      </c>
      <c r="F1344" s="28" t="s">
        <v>418</v>
      </c>
      <c r="G1344" s="28">
        <v>89109</v>
      </c>
      <c r="H1344" s="28">
        <v>36.122100000000003</v>
      </c>
      <c r="I1344" s="28">
        <v>-115.17139</v>
      </c>
      <c r="J1344" s="28"/>
      <c r="K1344" s="61">
        <v>110004306938</v>
      </c>
      <c r="L1344" s="61" t="str">
        <f>IFERROR(INDEX('Facility Summary'!$K:$K,MATCH(K1344,'Facility Summary'!$J:$J,0)),INDEX('Raw Annual DMR Data'!$M:$M,MATCH(K1344,'Raw Annual DMR Data'!$L:$L,0)))</f>
        <v>Unknown</v>
      </c>
      <c r="M1344" s="28"/>
      <c r="N1344" s="28"/>
      <c r="O1344" s="28"/>
      <c r="P1344" s="28"/>
      <c r="Q1344" s="28"/>
      <c r="R1344" s="28"/>
      <c r="S1344" s="28">
        <v>4.4899562499999997E-3</v>
      </c>
    </row>
    <row r="1345" spans="1:19" x14ac:dyDescent="0.25">
      <c r="A1345" s="28">
        <v>2016</v>
      </c>
      <c r="B1345" s="28"/>
      <c r="C1345" s="28" t="s">
        <v>198</v>
      </c>
      <c r="D1345" s="28" t="s">
        <v>656</v>
      </c>
      <c r="E1345" s="28" t="s">
        <v>657</v>
      </c>
      <c r="F1345" s="28" t="s">
        <v>418</v>
      </c>
      <c r="G1345" s="28">
        <v>89109</v>
      </c>
      <c r="H1345" s="28">
        <v>36.122100000000003</v>
      </c>
      <c r="I1345" s="28">
        <v>-115.17139</v>
      </c>
      <c r="J1345" s="28"/>
      <c r="K1345" s="61">
        <v>110004306938</v>
      </c>
      <c r="L1345" s="61" t="str">
        <f>IFERROR(INDEX('Facility Summary'!$K:$K,MATCH(K1345,'Facility Summary'!$J:$J,0)),INDEX('Raw Annual DMR Data'!$M:$M,MATCH(K1345,'Raw Annual DMR Data'!$L:$L,0)))</f>
        <v>Unknown</v>
      </c>
      <c r="M1345" s="28"/>
      <c r="N1345" s="28"/>
      <c r="O1345" s="28"/>
      <c r="P1345" s="28"/>
      <c r="Q1345" s="28"/>
      <c r="R1345" s="28"/>
      <c r="S1345" s="28">
        <v>5.9750956250000001E-2</v>
      </c>
    </row>
    <row r="1346" spans="1:19" x14ac:dyDescent="0.25">
      <c r="A1346" s="28">
        <v>2016</v>
      </c>
      <c r="B1346" s="28"/>
      <c r="C1346" s="28" t="s">
        <v>198</v>
      </c>
      <c r="D1346" s="28" t="s">
        <v>656</v>
      </c>
      <c r="E1346" s="28" t="s">
        <v>657</v>
      </c>
      <c r="F1346" s="28" t="s">
        <v>418</v>
      </c>
      <c r="G1346" s="28">
        <v>89109</v>
      </c>
      <c r="H1346" s="28">
        <v>36.122100000000003</v>
      </c>
      <c r="I1346" s="28">
        <v>-115.17139</v>
      </c>
      <c r="J1346" s="28"/>
      <c r="K1346" s="61">
        <v>110004306938</v>
      </c>
      <c r="L1346" s="61" t="str">
        <f>IFERROR(INDEX('Facility Summary'!$K:$K,MATCH(K1346,'Facility Summary'!$J:$J,0)),INDEX('Raw Annual DMR Data'!$M:$M,MATCH(K1346,'Raw Annual DMR Data'!$L:$L,0)))</f>
        <v>Unknown</v>
      </c>
      <c r="M1346" s="28"/>
      <c r="N1346" s="28"/>
      <c r="O1346" s="28"/>
      <c r="P1346" s="28"/>
      <c r="Q1346" s="28"/>
      <c r="R1346" s="28"/>
      <c r="S1346" s="28">
        <v>2.0308417499999998E-2</v>
      </c>
    </row>
    <row r="1347" spans="1:19" x14ac:dyDescent="0.25">
      <c r="A1347" s="28">
        <v>2016</v>
      </c>
      <c r="B1347" s="28"/>
      <c r="C1347" s="28" t="s">
        <v>198</v>
      </c>
      <c r="D1347" s="28" t="s">
        <v>656</v>
      </c>
      <c r="E1347" s="28" t="s">
        <v>657</v>
      </c>
      <c r="F1347" s="28" t="s">
        <v>418</v>
      </c>
      <c r="G1347" s="28">
        <v>89109</v>
      </c>
      <c r="H1347" s="28">
        <v>36.122100000000003</v>
      </c>
      <c r="I1347" s="28">
        <v>-115.17139</v>
      </c>
      <c r="J1347" s="28"/>
      <c r="K1347" s="61">
        <v>110004306938</v>
      </c>
      <c r="L1347" s="61" t="str">
        <f>IFERROR(INDEX('Facility Summary'!$K:$K,MATCH(K1347,'Facility Summary'!$J:$J,0)),INDEX('Raw Annual DMR Data'!$M:$M,MATCH(K1347,'Raw Annual DMR Data'!$L:$L,0)))</f>
        <v>Unknown</v>
      </c>
      <c r="M1347" s="28"/>
      <c r="N1347" s="28"/>
      <c r="O1347" s="28"/>
      <c r="P1347" s="28"/>
      <c r="Q1347" s="28"/>
      <c r="R1347" s="28"/>
      <c r="S1347" s="28">
        <v>3.5228887500000001E-3</v>
      </c>
    </row>
    <row r="1348" spans="1:19" x14ac:dyDescent="0.25">
      <c r="A1348" s="28">
        <v>2016</v>
      </c>
      <c r="B1348" s="28"/>
      <c r="C1348" s="28" t="s">
        <v>198</v>
      </c>
      <c r="D1348" s="28" t="s">
        <v>656</v>
      </c>
      <c r="E1348" s="28" t="s">
        <v>657</v>
      </c>
      <c r="F1348" s="28" t="s">
        <v>418</v>
      </c>
      <c r="G1348" s="28">
        <v>89109</v>
      </c>
      <c r="H1348" s="28">
        <v>36.122100000000003</v>
      </c>
      <c r="I1348" s="28">
        <v>-115.17139</v>
      </c>
      <c r="J1348" s="28"/>
      <c r="K1348" s="61">
        <v>110004306938</v>
      </c>
      <c r="L1348" s="61" t="str">
        <f>IFERROR(INDEX('Facility Summary'!$K:$K,MATCH(K1348,'Facility Summary'!$J:$J,0)),INDEX('Raw Annual DMR Data'!$M:$M,MATCH(K1348,'Raw Annual DMR Data'!$L:$L,0)))</f>
        <v>Unknown</v>
      </c>
      <c r="M1348" s="28"/>
      <c r="N1348" s="28"/>
      <c r="O1348" s="28"/>
      <c r="P1348" s="28"/>
      <c r="Q1348" s="28"/>
      <c r="R1348" s="28"/>
      <c r="S1348" s="28">
        <v>0.27388733124999998</v>
      </c>
    </row>
    <row r="1349" spans="1:19" x14ac:dyDescent="0.25">
      <c r="A1349" s="28">
        <v>2017</v>
      </c>
      <c r="B1349" s="28"/>
      <c r="C1349" s="28" t="s">
        <v>198</v>
      </c>
      <c r="D1349" s="28" t="s">
        <v>656</v>
      </c>
      <c r="E1349" s="28" t="s">
        <v>657</v>
      </c>
      <c r="F1349" s="28" t="s">
        <v>418</v>
      </c>
      <c r="G1349" s="28">
        <v>89109</v>
      </c>
      <c r="H1349" s="28">
        <v>36.122100000000003</v>
      </c>
      <c r="I1349" s="28">
        <v>-115.17139</v>
      </c>
      <c r="J1349" s="28"/>
      <c r="K1349" s="61">
        <v>110004306938</v>
      </c>
      <c r="L1349" s="61" t="str">
        <f>IFERROR(INDEX('Facility Summary'!$K:$K,MATCH(K1349,'Facility Summary'!$J:$J,0)),INDEX('Raw Annual DMR Data'!$M:$M,MATCH(K1349,'Raw Annual DMR Data'!$L:$L,0)))</f>
        <v>Unknown</v>
      </c>
      <c r="M1349" s="28"/>
      <c r="N1349" s="28"/>
      <c r="O1349" s="28"/>
      <c r="P1349" s="28"/>
      <c r="Q1349" s="28"/>
      <c r="R1349" s="28"/>
      <c r="S1349" s="28">
        <v>0.13325154006250001</v>
      </c>
    </row>
    <row r="1350" spans="1:19" x14ac:dyDescent="0.25">
      <c r="A1350" s="28">
        <v>2017</v>
      </c>
      <c r="B1350" s="28"/>
      <c r="C1350" s="28" t="s">
        <v>198</v>
      </c>
      <c r="D1350" s="28" t="s">
        <v>656</v>
      </c>
      <c r="E1350" s="28" t="s">
        <v>657</v>
      </c>
      <c r="F1350" s="28" t="s">
        <v>418</v>
      </c>
      <c r="G1350" s="28">
        <v>89109</v>
      </c>
      <c r="H1350" s="28">
        <v>36.122100000000003</v>
      </c>
      <c r="I1350" s="28">
        <v>-115.17139</v>
      </c>
      <c r="J1350" s="28"/>
      <c r="K1350" s="61">
        <v>110004306938</v>
      </c>
      <c r="L1350" s="61" t="str">
        <f>IFERROR(INDEX('Facility Summary'!$K:$K,MATCH(K1350,'Facility Summary'!$J:$J,0)),INDEX('Raw Annual DMR Data'!$M:$M,MATCH(K1350,'Raw Annual DMR Data'!$L:$L,0)))</f>
        <v>Unknown</v>
      </c>
      <c r="M1350" s="28"/>
      <c r="N1350" s="28"/>
      <c r="O1350" s="28"/>
      <c r="P1350" s="28"/>
      <c r="Q1350" s="28"/>
      <c r="R1350" s="28"/>
      <c r="S1350" s="28">
        <v>0.13299941174999999</v>
      </c>
    </row>
    <row r="1351" spans="1:19" x14ac:dyDescent="0.25">
      <c r="A1351" s="28">
        <v>2017</v>
      </c>
      <c r="B1351" s="28"/>
      <c r="C1351" s="28" t="s">
        <v>198</v>
      </c>
      <c r="D1351" s="28" t="s">
        <v>656</v>
      </c>
      <c r="E1351" s="28" t="s">
        <v>657</v>
      </c>
      <c r="F1351" s="28" t="s">
        <v>418</v>
      </c>
      <c r="G1351" s="28">
        <v>89109</v>
      </c>
      <c r="H1351" s="28">
        <v>36.122100000000003</v>
      </c>
      <c r="I1351" s="28">
        <v>-115.17139</v>
      </c>
      <c r="J1351" s="28"/>
      <c r="K1351" s="61">
        <v>110004306938</v>
      </c>
      <c r="L1351" s="61" t="str">
        <f>IFERROR(INDEX('Facility Summary'!$K:$K,MATCH(K1351,'Facility Summary'!$J:$J,0)),INDEX('Raw Annual DMR Data'!$M:$M,MATCH(K1351,'Raw Annual DMR Data'!$L:$L,0)))</f>
        <v>Unknown</v>
      </c>
      <c r="M1351" s="28"/>
      <c r="N1351" s="28"/>
      <c r="O1351" s="28"/>
      <c r="P1351" s="28"/>
      <c r="Q1351" s="28"/>
      <c r="R1351" s="28"/>
      <c r="S1351" s="28">
        <v>3.3156600000000001E-2</v>
      </c>
    </row>
    <row r="1352" spans="1:19" x14ac:dyDescent="0.25">
      <c r="A1352" s="28">
        <v>2017</v>
      </c>
      <c r="B1352" s="28"/>
      <c r="C1352" s="28" t="s">
        <v>198</v>
      </c>
      <c r="D1352" s="28" t="s">
        <v>656</v>
      </c>
      <c r="E1352" s="28" t="s">
        <v>657</v>
      </c>
      <c r="F1352" s="28" t="s">
        <v>418</v>
      </c>
      <c r="G1352" s="28">
        <v>89109</v>
      </c>
      <c r="H1352" s="28">
        <v>36.122100000000003</v>
      </c>
      <c r="I1352" s="28">
        <v>-115.17139</v>
      </c>
      <c r="J1352" s="28"/>
      <c r="K1352" s="61">
        <v>110004306938</v>
      </c>
      <c r="L1352" s="61" t="str">
        <f>IFERROR(INDEX('Facility Summary'!$K:$K,MATCH(K1352,'Facility Summary'!$J:$J,0)),INDEX('Raw Annual DMR Data'!$M:$M,MATCH(K1352,'Raw Annual DMR Data'!$L:$L,0)))</f>
        <v>Unknown</v>
      </c>
      <c r="M1352" s="28"/>
      <c r="N1352" s="28"/>
      <c r="O1352" s="28"/>
      <c r="P1352" s="28"/>
      <c r="Q1352" s="28"/>
      <c r="R1352" s="28"/>
      <c r="S1352" s="28">
        <v>2.1068256249999999E-4</v>
      </c>
    </row>
    <row r="1353" spans="1:19" x14ac:dyDescent="0.25">
      <c r="A1353" s="28">
        <v>2017</v>
      </c>
      <c r="B1353" s="28"/>
      <c r="C1353" s="28" t="s">
        <v>198</v>
      </c>
      <c r="D1353" s="28" t="s">
        <v>656</v>
      </c>
      <c r="E1353" s="28" t="s">
        <v>657</v>
      </c>
      <c r="F1353" s="28" t="s">
        <v>418</v>
      </c>
      <c r="G1353" s="28">
        <v>89109</v>
      </c>
      <c r="H1353" s="28">
        <v>36.122100000000003</v>
      </c>
      <c r="I1353" s="28">
        <v>-115.17139</v>
      </c>
      <c r="J1353" s="28"/>
      <c r="K1353" s="61">
        <v>110004306938</v>
      </c>
      <c r="L1353" s="61" t="str">
        <f>IFERROR(INDEX('Facility Summary'!$K:$K,MATCH(K1353,'Facility Summary'!$J:$J,0)),INDEX('Raw Annual DMR Data'!$M:$M,MATCH(K1353,'Raw Annual DMR Data'!$L:$L,0)))</f>
        <v>Unknown</v>
      </c>
      <c r="M1353" s="28"/>
      <c r="N1353" s="28"/>
      <c r="O1353" s="28"/>
      <c r="P1353" s="28"/>
      <c r="Q1353" s="28"/>
      <c r="R1353" s="28"/>
      <c r="S1353" s="28">
        <v>2.6939737500000002E-4</v>
      </c>
    </row>
    <row r="1354" spans="1:19" x14ac:dyDescent="0.25">
      <c r="A1354" s="28">
        <v>2017</v>
      </c>
      <c r="B1354" s="28"/>
      <c r="C1354" s="28" t="s">
        <v>198</v>
      </c>
      <c r="D1354" s="28" t="s">
        <v>656</v>
      </c>
      <c r="E1354" s="28" t="s">
        <v>657</v>
      </c>
      <c r="F1354" s="28" t="s">
        <v>418</v>
      </c>
      <c r="G1354" s="28">
        <v>89109</v>
      </c>
      <c r="H1354" s="28">
        <v>36.122100000000003</v>
      </c>
      <c r="I1354" s="28">
        <v>-115.17139</v>
      </c>
      <c r="J1354" s="28"/>
      <c r="K1354" s="61">
        <v>110004306938</v>
      </c>
      <c r="L1354" s="61" t="str">
        <f>IFERROR(INDEX('Facility Summary'!$K:$K,MATCH(K1354,'Facility Summary'!$J:$J,0)),INDEX('Raw Annual DMR Data'!$M:$M,MATCH(K1354,'Raw Annual DMR Data'!$L:$L,0)))</f>
        <v>Unknown</v>
      </c>
      <c r="M1354" s="28"/>
      <c r="N1354" s="28"/>
      <c r="O1354" s="28"/>
      <c r="P1354" s="28"/>
      <c r="Q1354" s="28"/>
      <c r="R1354" s="28"/>
      <c r="S1354" s="28">
        <v>3.9445992562499997E-2</v>
      </c>
    </row>
    <row r="1355" spans="1:19" x14ac:dyDescent="0.25">
      <c r="A1355" s="28">
        <v>2019</v>
      </c>
      <c r="B1355" s="28"/>
      <c r="C1355" s="28" t="s">
        <v>198</v>
      </c>
      <c r="D1355" s="28" t="s">
        <v>656</v>
      </c>
      <c r="E1355" s="28" t="s">
        <v>657</v>
      </c>
      <c r="F1355" s="28" t="s">
        <v>418</v>
      </c>
      <c r="G1355" s="28">
        <v>89109</v>
      </c>
      <c r="H1355" s="28">
        <v>36.122100000000003</v>
      </c>
      <c r="I1355" s="28">
        <v>-115.17139</v>
      </c>
      <c r="J1355" s="28"/>
      <c r="K1355" s="61">
        <v>110004306938</v>
      </c>
      <c r="L1355" s="61" t="str">
        <f>IFERROR(INDEX('Facility Summary'!$K:$K,MATCH(K1355,'Facility Summary'!$J:$J,0)),INDEX('Raw Annual DMR Data'!$M:$M,MATCH(K1355,'Raw Annual DMR Data'!$L:$L,0)))</f>
        <v>Unknown</v>
      </c>
      <c r="M1355" s="28"/>
      <c r="N1355" s="28"/>
      <c r="O1355" s="28"/>
      <c r="P1355" s="28"/>
      <c r="Q1355" s="28"/>
      <c r="R1355" s="28"/>
      <c r="S1355" s="28">
        <v>7.4878655000000004E-3</v>
      </c>
    </row>
    <row r="1356" spans="1:19" x14ac:dyDescent="0.25">
      <c r="A1356" s="28">
        <v>2019</v>
      </c>
      <c r="B1356" s="28"/>
      <c r="C1356" s="28" t="s">
        <v>198</v>
      </c>
      <c r="D1356" s="28" t="s">
        <v>656</v>
      </c>
      <c r="E1356" s="28" t="s">
        <v>657</v>
      </c>
      <c r="F1356" s="28" t="s">
        <v>418</v>
      </c>
      <c r="G1356" s="28">
        <v>89109</v>
      </c>
      <c r="H1356" s="28">
        <v>36.122100000000003</v>
      </c>
      <c r="I1356" s="28">
        <v>-115.17139</v>
      </c>
      <c r="J1356" s="28"/>
      <c r="K1356" s="61">
        <v>110004306938</v>
      </c>
      <c r="L1356" s="61" t="str">
        <f>IFERROR(INDEX('Facility Summary'!$K:$K,MATCH(K1356,'Facility Summary'!$J:$J,0)),INDEX('Raw Annual DMR Data'!$M:$M,MATCH(K1356,'Raw Annual DMR Data'!$L:$L,0)))</f>
        <v>Unknown</v>
      </c>
      <c r="M1356" s="28"/>
      <c r="N1356" s="28"/>
      <c r="O1356" s="28"/>
      <c r="P1356" s="28"/>
      <c r="Q1356" s="28"/>
      <c r="R1356" s="28"/>
      <c r="S1356" s="28">
        <v>0.1224687374375</v>
      </c>
    </row>
    <row r="1357" spans="1:19" x14ac:dyDescent="0.25">
      <c r="A1357" s="28">
        <v>2019</v>
      </c>
      <c r="B1357" s="28"/>
      <c r="C1357" s="28" t="s">
        <v>198</v>
      </c>
      <c r="D1357" s="28" t="s">
        <v>656</v>
      </c>
      <c r="E1357" s="28" t="s">
        <v>657</v>
      </c>
      <c r="F1357" s="28" t="s">
        <v>418</v>
      </c>
      <c r="G1357" s="28">
        <v>89109</v>
      </c>
      <c r="H1357" s="28">
        <v>36.122100000000003</v>
      </c>
      <c r="I1357" s="28">
        <v>-115.17139</v>
      </c>
      <c r="J1357" s="28"/>
      <c r="K1357" s="61">
        <v>110004306938</v>
      </c>
      <c r="L1357" s="61" t="str">
        <f>IFERROR(INDEX('Facility Summary'!$K:$K,MATCH(K1357,'Facility Summary'!$J:$J,0)),INDEX('Raw Annual DMR Data'!$M:$M,MATCH(K1357,'Raw Annual DMR Data'!$L:$L,0)))</f>
        <v>Unknown</v>
      </c>
      <c r="M1357" s="28"/>
      <c r="N1357" s="28"/>
      <c r="O1357" s="28"/>
      <c r="P1357" s="28"/>
      <c r="Q1357" s="28"/>
      <c r="R1357" s="28"/>
      <c r="S1357" s="28">
        <v>1.34456920625E-2</v>
      </c>
    </row>
    <row r="1358" spans="1:19" x14ac:dyDescent="0.25">
      <c r="A1358" s="28">
        <v>2019</v>
      </c>
      <c r="B1358" s="28"/>
      <c r="C1358" s="28" t="s">
        <v>198</v>
      </c>
      <c r="D1358" s="28" t="s">
        <v>656</v>
      </c>
      <c r="E1358" s="28" t="s">
        <v>657</v>
      </c>
      <c r="F1358" s="28" t="s">
        <v>418</v>
      </c>
      <c r="G1358" s="28">
        <v>89109</v>
      </c>
      <c r="H1358" s="28">
        <v>36.122100000000003</v>
      </c>
      <c r="I1358" s="28">
        <v>-115.17139</v>
      </c>
      <c r="J1358" s="28"/>
      <c r="K1358" s="61">
        <v>110004306938</v>
      </c>
      <c r="L1358" s="61" t="str">
        <f>IFERROR(INDEX('Facility Summary'!$K:$K,MATCH(K1358,'Facility Summary'!$J:$J,0)),INDEX('Raw Annual DMR Data'!$M:$M,MATCH(K1358,'Raw Annual DMR Data'!$L:$L,0)))</f>
        <v>Unknown</v>
      </c>
      <c r="M1358" s="28"/>
      <c r="N1358" s="28"/>
      <c r="O1358" s="28"/>
      <c r="P1358" s="28"/>
      <c r="Q1358" s="28"/>
      <c r="R1358" s="28"/>
      <c r="S1358" s="28">
        <v>4.2723660624999996E-3</v>
      </c>
    </row>
    <row r="1359" spans="1:19" x14ac:dyDescent="0.25">
      <c r="A1359" s="28">
        <v>2019</v>
      </c>
      <c r="B1359" s="28"/>
      <c r="C1359" s="28" t="s">
        <v>198</v>
      </c>
      <c r="D1359" s="28" t="s">
        <v>656</v>
      </c>
      <c r="E1359" s="28" t="s">
        <v>657</v>
      </c>
      <c r="F1359" s="28" t="s">
        <v>418</v>
      </c>
      <c r="G1359" s="28">
        <v>89109</v>
      </c>
      <c r="H1359" s="28">
        <v>36.122100000000003</v>
      </c>
      <c r="I1359" s="28">
        <v>-115.17139</v>
      </c>
      <c r="J1359" s="28"/>
      <c r="K1359" s="61">
        <v>110004306938</v>
      </c>
      <c r="L1359" s="61" t="str">
        <f>IFERROR(INDEX('Facility Summary'!$K:$K,MATCH(K1359,'Facility Summary'!$J:$J,0)),INDEX('Raw Annual DMR Data'!$M:$M,MATCH(K1359,'Raw Annual DMR Data'!$L:$L,0)))</f>
        <v>Unknown</v>
      </c>
      <c r="M1359" s="28"/>
      <c r="N1359" s="28"/>
      <c r="O1359" s="28"/>
      <c r="P1359" s="28"/>
      <c r="Q1359" s="28"/>
      <c r="R1359" s="28"/>
      <c r="S1359" s="28">
        <v>3.61579630625E-2</v>
      </c>
    </row>
    <row r="1360" spans="1:19" x14ac:dyDescent="0.25">
      <c r="A1360" s="28">
        <v>2019</v>
      </c>
      <c r="B1360" s="28"/>
      <c r="C1360" s="28" t="s">
        <v>198</v>
      </c>
      <c r="D1360" s="28" t="s">
        <v>656</v>
      </c>
      <c r="E1360" s="28" t="s">
        <v>657</v>
      </c>
      <c r="F1360" s="28" t="s">
        <v>418</v>
      </c>
      <c r="G1360" s="28">
        <v>89109</v>
      </c>
      <c r="H1360" s="28">
        <v>36.122100000000003</v>
      </c>
      <c r="I1360" s="28">
        <v>-115.17139</v>
      </c>
      <c r="J1360" s="28"/>
      <c r="K1360" s="61">
        <v>110004306938</v>
      </c>
      <c r="L1360" s="61" t="str">
        <f>IFERROR(INDEX('Facility Summary'!$K:$K,MATCH(K1360,'Facility Summary'!$J:$J,0)),INDEX('Raw Annual DMR Data'!$M:$M,MATCH(K1360,'Raw Annual DMR Data'!$L:$L,0)))</f>
        <v>Unknown</v>
      </c>
      <c r="M1360" s="28"/>
      <c r="N1360" s="28"/>
      <c r="O1360" s="28"/>
      <c r="P1360" s="28"/>
      <c r="Q1360" s="28"/>
      <c r="R1360" s="28"/>
      <c r="S1360" s="28">
        <v>1.5086253000000001E-2</v>
      </c>
    </row>
    <row r="1361" spans="1:19" x14ac:dyDescent="0.25">
      <c r="A1361" s="28">
        <v>2020</v>
      </c>
      <c r="B1361" s="28"/>
      <c r="C1361" s="28" t="s">
        <v>198</v>
      </c>
      <c r="D1361" s="28" t="s">
        <v>656</v>
      </c>
      <c r="E1361" s="28" t="s">
        <v>657</v>
      </c>
      <c r="F1361" s="28" t="s">
        <v>418</v>
      </c>
      <c r="G1361" s="28">
        <v>89109</v>
      </c>
      <c r="H1361" s="28">
        <v>36.122100000000003</v>
      </c>
      <c r="I1361" s="28">
        <v>-115.17139</v>
      </c>
      <c r="J1361" s="28"/>
      <c r="K1361" s="61">
        <v>110004306938</v>
      </c>
      <c r="L1361" s="61" t="str">
        <f>IFERROR(INDEX('Facility Summary'!$K:$K,MATCH(K1361,'Facility Summary'!$J:$J,0)),INDEX('Raw Annual DMR Data'!$M:$M,MATCH(K1361,'Raw Annual DMR Data'!$L:$L,0)))</f>
        <v>Unknown</v>
      </c>
      <c r="M1361" s="28"/>
      <c r="N1361" s="28"/>
      <c r="O1361" s="28"/>
      <c r="P1361" s="28"/>
      <c r="Q1361" s="28"/>
      <c r="R1361" s="28"/>
      <c r="S1361" s="28">
        <v>2.5523674375E-3</v>
      </c>
    </row>
    <row r="1362" spans="1:19" x14ac:dyDescent="0.25">
      <c r="A1362" s="28">
        <v>2020</v>
      </c>
      <c r="B1362" s="28"/>
      <c r="C1362" s="28" t="s">
        <v>198</v>
      </c>
      <c r="D1362" s="28" t="s">
        <v>656</v>
      </c>
      <c r="E1362" s="28" t="s">
        <v>657</v>
      </c>
      <c r="F1362" s="28" t="s">
        <v>418</v>
      </c>
      <c r="G1362" s="28">
        <v>89109</v>
      </c>
      <c r="H1362" s="28">
        <v>36.122100000000003</v>
      </c>
      <c r="I1362" s="28">
        <v>-115.17139</v>
      </c>
      <c r="J1362" s="28"/>
      <c r="K1362" s="61">
        <v>110004306938</v>
      </c>
      <c r="L1362" s="61" t="str">
        <f>IFERROR(INDEX('Facility Summary'!$K:$K,MATCH(K1362,'Facility Summary'!$J:$J,0)),INDEX('Raw Annual DMR Data'!$M:$M,MATCH(K1362,'Raw Annual DMR Data'!$L:$L,0)))</f>
        <v>Unknown</v>
      </c>
      <c r="M1362" s="28"/>
      <c r="N1362" s="28"/>
      <c r="O1362" s="28"/>
      <c r="P1362" s="28"/>
      <c r="Q1362" s="28"/>
      <c r="R1362" s="28"/>
      <c r="S1362" s="28">
        <v>3.2673066249999999E-3</v>
      </c>
    </row>
    <row r="1363" spans="1:19" x14ac:dyDescent="0.25">
      <c r="A1363" s="28">
        <v>2020</v>
      </c>
      <c r="B1363" s="28"/>
      <c r="C1363" s="28" t="s">
        <v>198</v>
      </c>
      <c r="D1363" s="28" t="s">
        <v>656</v>
      </c>
      <c r="E1363" s="28" t="s">
        <v>657</v>
      </c>
      <c r="F1363" s="28" t="s">
        <v>418</v>
      </c>
      <c r="G1363" s="28">
        <v>89109</v>
      </c>
      <c r="H1363" s="28">
        <v>36.122100000000003</v>
      </c>
      <c r="I1363" s="28">
        <v>-115.17139</v>
      </c>
      <c r="J1363" s="28"/>
      <c r="K1363" s="61">
        <v>110004306938</v>
      </c>
      <c r="L1363" s="61" t="str">
        <f>IFERROR(INDEX('Facility Summary'!$K:$K,MATCH(K1363,'Facility Summary'!$J:$J,0)),INDEX('Raw Annual DMR Data'!$M:$M,MATCH(K1363,'Raw Annual DMR Data'!$L:$L,0)))</f>
        <v>Unknown</v>
      </c>
      <c r="M1363" s="28"/>
      <c r="N1363" s="28"/>
      <c r="O1363" s="28"/>
      <c r="P1363" s="28"/>
      <c r="Q1363" s="28"/>
      <c r="R1363" s="28"/>
      <c r="S1363" s="28">
        <v>3.1084312499999998E-4</v>
      </c>
    </row>
    <row r="1364" spans="1:19" x14ac:dyDescent="0.25">
      <c r="A1364" s="28">
        <v>2020</v>
      </c>
      <c r="B1364" s="28"/>
      <c r="C1364" s="28" t="s">
        <v>198</v>
      </c>
      <c r="D1364" s="28" t="s">
        <v>656</v>
      </c>
      <c r="E1364" s="28" t="s">
        <v>657</v>
      </c>
      <c r="F1364" s="28" t="s">
        <v>418</v>
      </c>
      <c r="G1364" s="28">
        <v>89109</v>
      </c>
      <c r="H1364" s="28">
        <v>36.122100000000003</v>
      </c>
      <c r="I1364" s="28">
        <v>-115.17139</v>
      </c>
      <c r="J1364" s="28"/>
      <c r="K1364" s="61">
        <v>110004306938</v>
      </c>
      <c r="L1364" s="61" t="str">
        <f>IFERROR(INDEX('Facility Summary'!$K:$K,MATCH(K1364,'Facility Summary'!$J:$J,0)),INDEX('Raw Annual DMR Data'!$M:$M,MATCH(K1364,'Raw Annual DMR Data'!$L:$L,0)))</f>
        <v>Unknown</v>
      </c>
      <c r="M1364" s="28"/>
      <c r="N1364" s="28"/>
      <c r="O1364" s="28"/>
      <c r="P1364" s="28"/>
      <c r="Q1364" s="28"/>
      <c r="R1364" s="28"/>
      <c r="S1364" s="28">
        <v>8.7864989999999997E-3</v>
      </c>
    </row>
    <row r="1365" spans="1:19" x14ac:dyDescent="0.25">
      <c r="A1365" s="28">
        <v>2020</v>
      </c>
      <c r="B1365" s="28"/>
      <c r="C1365" s="28" t="s">
        <v>198</v>
      </c>
      <c r="D1365" s="28" t="s">
        <v>656</v>
      </c>
      <c r="E1365" s="28" t="s">
        <v>657</v>
      </c>
      <c r="F1365" s="28" t="s">
        <v>418</v>
      </c>
      <c r="G1365" s="28">
        <v>89109</v>
      </c>
      <c r="H1365" s="28">
        <v>36.122100000000003</v>
      </c>
      <c r="I1365" s="28">
        <v>-115.17139</v>
      </c>
      <c r="J1365" s="28"/>
      <c r="K1365" s="61">
        <v>110004306938</v>
      </c>
      <c r="L1365" s="61" t="str">
        <f>IFERROR(INDEX('Facility Summary'!$K:$K,MATCH(K1365,'Facility Summary'!$J:$J,0)),INDEX('Raw Annual DMR Data'!$M:$M,MATCH(K1365,'Raw Annual DMR Data'!$L:$L,0)))</f>
        <v>Unknown</v>
      </c>
      <c r="M1365" s="28"/>
      <c r="N1365" s="28"/>
      <c r="O1365" s="28"/>
      <c r="P1365" s="28"/>
      <c r="Q1365" s="28"/>
      <c r="R1365" s="28"/>
      <c r="S1365" s="28">
        <v>6.6727657500000002E-3</v>
      </c>
    </row>
    <row r="1366" spans="1:19" x14ac:dyDescent="0.25">
      <c r="A1366" s="28">
        <v>2020</v>
      </c>
      <c r="B1366" s="28"/>
      <c r="C1366" s="28" t="s">
        <v>198</v>
      </c>
      <c r="D1366" s="28" t="s">
        <v>656</v>
      </c>
      <c r="E1366" s="28" t="s">
        <v>657</v>
      </c>
      <c r="F1366" s="28" t="s">
        <v>418</v>
      </c>
      <c r="G1366" s="28">
        <v>89109</v>
      </c>
      <c r="H1366" s="28">
        <v>36.122100000000003</v>
      </c>
      <c r="I1366" s="28">
        <v>-115.17139</v>
      </c>
      <c r="J1366" s="28"/>
      <c r="K1366" s="61">
        <v>110004306938</v>
      </c>
      <c r="L1366" s="61" t="str">
        <f>IFERROR(INDEX('Facility Summary'!$K:$K,MATCH(K1366,'Facility Summary'!$J:$J,0)),INDEX('Raw Annual DMR Data'!$M:$M,MATCH(K1366,'Raw Annual DMR Data'!$L:$L,0)))</f>
        <v>Unknown</v>
      </c>
      <c r="M1366" s="28"/>
      <c r="N1366" s="28"/>
      <c r="O1366" s="28"/>
      <c r="P1366" s="28"/>
      <c r="Q1366" s="28"/>
      <c r="R1366" s="28"/>
      <c r="S1366" s="28">
        <v>4.2388640812500003E-2</v>
      </c>
    </row>
    <row r="1367" spans="1:19" x14ac:dyDescent="0.25">
      <c r="A1367" s="28">
        <v>2019</v>
      </c>
      <c r="B1367" s="28"/>
      <c r="C1367" s="28" t="s">
        <v>1404</v>
      </c>
      <c r="D1367" s="28" t="s">
        <v>2320</v>
      </c>
      <c r="E1367" s="28" t="s">
        <v>1405</v>
      </c>
      <c r="F1367" s="28" t="s">
        <v>427</v>
      </c>
      <c r="G1367" s="28" t="s">
        <v>2321</v>
      </c>
      <c r="H1367" s="28">
        <v>42.338805999999998</v>
      </c>
      <c r="I1367" s="28">
        <v>-85.144028000000006</v>
      </c>
      <c r="J1367" s="28"/>
      <c r="K1367" s="61">
        <v>110006040989</v>
      </c>
      <c r="L1367" s="61" t="str">
        <f>IFERROR(INDEX('Facility Summary'!$K:$K,MATCH(K1367,'Facility Summary'!$J:$J,0)),INDEX('Raw Annual DMR Data'!$M:$M,MATCH(K1367,'Raw Annual DMR Data'!$L:$L,0)))</f>
        <v>Unknown</v>
      </c>
      <c r="M1367" s="28"/>
      <c r="N1367" s="28"/>
      <c r="O1367" s="28"/>
      <c r="P1367" s="28"/>
      <c r="Q1367" s="28"/>
      <c r="R1367" s="28"/>
      <c r="S1367" s="28">
        <v>0.55194383999999996</v>
      </c>
    </row>
    <row r="1368" spans="1:19" x14ac:dyDescent="0.25">
      <c r="A1368" s="28">
        <v>2020</v>
      </c>
      <c r="B1368" s="28"/>
      <c r="C1368" s="28" t="s">
        <v>1404</v>
      </c>
      <c r="D1368" s="28" t="s">
        <v>2320</v>
      </c>
      <c r="E1368" s="28" t="s">
        <v>1405</v>
      </c>
      <c r="F1368" s="28" t="s">
        <v>427</v>
      </c>
      <c r="G1368" s="28" t="s">
        <v>2321</v>
      </c>
      <c r="H1368" s="28">
        <v>42.338805999999998</v>
      </c>
      <c r="I1368" s="28">
        <v>-85.144028000000006</v>
      </c>
      <c r="J1368" s="28"/>
      <c r="K1368" s="61">
        <v>110006040989</v>
      </c>
      <c r="L1368" s="61" t="str">
        <f>IFERROR(INDEX('Facility Summary'!$K:$K,MATCH(K1368,'Facility Summary'!$J:$J,0)),INDEX('Raw Annual DMR Data'!$M:$M,MATCH(K1368,'Raw Annual DMR Data'!$L:$L,0)))</f>
        <v>Unknown</v>
      </c>
      <c r="M1368" s="28"/>
      <c r="N1368" s="28"/>
      <c r="O1368" s="28"/>
      <c r="P1368" s="28"/>
      <c r="Q1368" s="28"/>
      <c r="R1368" s="28"/>
      <c r="S1368" s="28">
        <v>0.90196549999999998</v>
      </c>
    </row>
    <row r="1369" spans="1:19" x14ac:dyDescent="0.25">
      <c r="A1369" s="28">
        <v>2020</v>
      </c>
      <c r="B1369" s="28"/>
      <c r="C1369" s="28" t="s">
        <v>1406</v>
      </c>
      <c r="D1369" s="28" t="s">
        <v>2324</v>
      </c>
      <c r="E1369" s="28" t="s">
        <v>1407</v>
      </c>
      <c r="F1369" s="28" t="s">
        <v>324</v>
      </c>
      <c r="G1369" s="28">
        <v>40383</v>
      </c>
      <c r="H1369" s="28">
        <v>38.057777999999999</v>
      </c>
      <c r="I1369" s="28">
        <v>-84.743888999999996</v>
      </c>
      <c r="J1369" s="28"/>
      <c r="K1369" s="61">
        <v>110000732226</v>
      </c>
      <c r="L1369" s="61" t="str">
        <f>IFERROR(INDEX('Facility Summary'!$K:$K,MATCH(K1369,'Facility Summary'!$J:$J,0)),INDEX('Raw Annual DMR Data'!$M:$M,MATCH(K1369,'Raw Annual DMR Data'!$L:$L,0)))</f>
        <v>POTW</v>
      </c>
      <c r="M1369" s="28"/>
      <c r="N1369" s="28"/>
      <c r="O1369" s="28"/>
      <c r="P1369" s="28"/>
      <c r="Q1369" s="28"/>
      <c r="R1369" s="28"/>
      <c r="S1369" s="28">
        <v>5.636622</v>
      </c>
    </row>
    <row r="1370" spans="1:19" x14ac:dyDescent="0.25">
      <c r="A1370" s="28">
        <v>2015</v>
      </c>
      <c r="B1370" s="28"/>
      <c r="C1370" s="28" t="s">
        <v>1408</v>
      </c>
      <c r="D1370" s="28" t="s">
        <v>2327</v>
      </c>
      <c r="E1370" s="28" t="s">
        <v>1409</v>
      </c>
      <c r="F1370" s="28" t="s">
        <v>366</v>
      </c>
      <c r="G1370" s="28" t="s">
        <v>2328</v>
      </c>
      <c r="H1370" s="28">
        <v>34.616658000000001</v>
      </c>
      <c r="I1370" s="28">
        <v>-117.355048</v>
      </c>
      <c r="J1370" s="28"/>
      <c r="K1370" s="61">
        <v>110000517637</v>
      </c>
      <c r="L1370" s="61" t="str">
        <f>IFERROR(INDEX('Facility Summary'!$K:$K,MATCH(K1370,'Facility Summary'!$J:$J,0)),INDEX('Raw Annual DMR Data'!$M:$M,MATCH(K1370,'Raw Annual DMR Data'!$L:$L,0)))</f>
        <v>POTW</v>
      </c>
      <c r="M1370" s="28"/>
      <c r="N1370" s="28"/>
      <c r="O1370" s="28"/>
      <c r="P1370" s="28"/>
      <c r="Q1370" s="28"/>
      <c r="R1370" s="28"/>
      <c r="S1370" s="28">
        <v>1.86505875</v>
      </c>
    </row>
    <row r="1371" spans="1:19" x14ac:dyDescent="0.25">
      <c r="A1371" s="28">
        <v>2016</v>
      </c>
      <c r="B1371" s="28"/>
      <c r="C1371" s="28" t="s">
        <v>1408</v>
      </c>
      <c r="D1371" s="28" t="s">
        <v>2327</v>
      </c>
      <c r="E1371" s="28" t="s">
        <v>1409</v>
      </c>
      <c r="F1371" s="28" t="s">
        <v>366</v>
      </c>
      <c r="G1371" s="28" t="s">
        <v>2328</v>
      </c>
      <c r="H1371" s="28">
        <v>34.616658000000001</v>
      </c>
      <c r="I1371" s="28">
        <v>-117.355048</v>
      </c>
      <c r="J1371" s="28"/>
      <c r="K1371" s="61">
        <v>110000517637</v>
      </c>
      <c r="L1371" s="61" t="str">
        <f>IFERROR(INDEX('Facility Summary'!$K:$K,MATCH(K1371,'Facility Summary'!$J:$J,0)),INDEX('Raw Annual DMR Data'!$M:$M,MATCH(K1371,'Raw Annual DMR Data'!$L:$L,0)))</f>
        <v>POTW</v>
      </c>
      <c r="M1371" s="28"/>
      <c r="N1371" s="28"/>
      <c r="O1371" s="28"/>
      <c r="P1371" s="28"/>
      <c r="Q1371" s="28"/>
      <c r="R1371" s="28"/>
      <c r="S1371" s="28">
        <v>0.87036075000000002</v>
      </c>
    </row>
    <row r="1372" spans="1:19" x14ac:dyDescent="0.25">
      <c r="A1372" s="28">
        <v>2017</v>
      </c>
      <c r="B1372" s="28"/>
      <c r="C1372" s="28" t="s">
        <v>1408</v>
      </c>
      <c r="D1372" s="28" t="s">
        <v>2327</v>
      </c>
      <c r="E1372" s="28" t="s">
        <v>1409</v>
      </c>
      <c r="F1372" s="28" t="s">
        <v>366</v>
      </c>
      <c r="G1372" s="28" t="s">
        <v>2328</v>
      </c>
      <c r="H1372" s="28">
        <v>34.616658000000001</v>
      </c>
      <c r="I1372" s="28">
        <v>-117.355048</v>
      </c>
      <c r="J1372" s="28"/>
      <c r="K1372" s="61">
        <v>110000517637</v>
      </c>
      <c r="L1372" s="61" t="str">
        <f>IFERROR(INDEX('Facility Summary'!$K:$K,MATCH(K1372,'Facility Summary'!$J:$J,0)),INDEX('Raw Annual DMR Data'!$M:$M,MATCH(K1372,'Raw Annual DMR Data'!$L:$L,0)))</f>
        <v>POTW</v>
      </c>
      <c r="M1372" s="28"/>
      <c r="N1372" s="28"/>
      <c r="O1372" s="28"/>
      <c r="P1372" s="28"/>
      <c r="Q1372" s="28"/>
      <c r="R1372" s="28"/>
      <c r="S1372" s="28">
        <v>0.46419240000000001</v>
      </c>
    </row>
    <row r="1373" spans="1:19" x14ac:dyDescent="0.25">
      <c r="A1373" s="28">
        <v>2018</v>
      </c>
      <c r="B1373" s="28"/>
      <c r="C1373" s="28" t="s">
        <v>1408</v>
      </c>
      <c r="D1373" s="28" t="s">
        <v>2327</v>
      </c>
      <c r="E1373" s="28" t="s">
        <v>1409</v>
      </c>
      <c r="F1373" s="28" t="s">
        <v>366</v>
      </c>
      <c r="G1373" s="28" t="s">
        <v>2328</v>
      </c>
      <c r="H1373" s="28">
        <v>34.616658000000001</v>
      </c>
      <c r="I1373" s="28">
        <v>-117.355048</v>
      </c>
      <c r="J1373" s="28"/>
      <c r="K1373" s="61">
        <v>110000517637</v>
      </c>
      <c r="L1373" s="61" t="str">
        <f>IFERROR(INDEX('Facility Summary'!$K:$K,MATCH(K1373,'Facility Summary'!$J:$J,0)),INDEX('Raw Annual DMR Data'!$M:$M,MATCH(K1373,'Raw Annual DMR Data'!$L:$L,0)))</f>
        <v>POTW</v>
      </c>
      <c r="M1373" s="28"/>
      <c r="N1373" s="28"/>
      <c r="O1373" s="28"/>
      <c r="P1373" s="28"/>
      <c r="Q1373" s="28"/>
      <c r="R1373" s="28"/>
      <c r="S1373" s="28">
        <v>0.43932494999999999</v>
      </c>
    </row>
    <row r="1374" spans="1:19" x14ac:dyDescent="0.25">
      <c r="A1374" s="28">
        <v>2019</v>
      </c>
      <c r="B1374" s="28"/>
      <c r="C1374" s="28" t="s">
        <v>1408</v>
      </c>
      <c r="D1374" s="28" t="s">
        <v>2327</v>
      </c>
      <c r="E1374" s="28" t="s">
        <v>1409</v>
      </c>
      <c r="F1374" s="28" t="s">
        <v>366</v>
      </c>
      <c r="G1374" s="28" t="s">
        <v>2328</v>
      </c>
      <c r="H1374" s="28">
        <v>34.616658000000001</v>
      </c>
      <c r="I1374" s="28">
        <v>-117.355048</v>
      </c>
      <c r="J1374" s="28"/>
      <c r="K1374" s="61">
        <v>110000517637</v>
      </c>
      <c r="L1374" s="61" t="str">
        <f>IFERROR(INDEX('Facility Summary'!$K:$K,MATCH(K1374,'Facility Summary'!$J:$J,0)),INDEX('Raw Annual DMR Data'!$M:$M,MATCH(K1374,'Raw Annual DMR Data'!$L:$L,0)))</f>
        <v>POTW</v>
      </c>
      <c r="M1374" s="28"/>
      <c r="N1374" s="28"/>
      <c r="O1374" s="28"/>
      <c r="P1374" s="28"/>
      <c r="Q1374" s="28"/>
      <c r="R1374" s="28"/>
      <c r="S1374" s="28">
        <v>0.49044137500000001</v>
      </c>
    </row>
    <row r="1375" spans="1:19" x14ac:dyDescent="0.25">
      <c r="A1375" s="28">
        <v>2016</v>
      </c>
      <c r="B1375" s="28"/>
      <c r="C1375" s="28" t="s">
        <v>1410</v>
      </c>
      <c r="D1375" s="28" t="s">
        <v>2331</v>
      </c>
      <c r="E1375" s="28" t="s">
        <v>657</v>
      </c>
      <c r="F1375" s="28" t="s">
        <v>418</v>
      </c>
      <c r="G1375" s="28">
        <v>89106</v>
      </c>
      <c r="H1375" s="28">
        <v>36.19997</v>
      </c>
      <c r="I1375" s="28">
        <v>-115.19658</v>
      </c>
      <c r="J1375" s="28"/>
      <c r="K1375" s="61">
        <v>110064418553</v>
      </c>
      <c r="L1375" s="61" t="str">
        <f>IFERROR(INDEX('Facility Summary'!$K:$K,MATCH(K1375,'Facility Summary'!$J:$J,0)),INDEX('Raw Annual DMR Data'!$M:$M,MATCH(K1375,'Raw Annual DMR Data'!$L:$L,0)))</f>
        <v>Unknown</v>
      </c>
      <c r="M1375" s="28"/>
      <c r="N1375" s="28"/>
      <c r="O1375" s="28"/>
      <c r="P1375" s="28"/>
      <c r="Q1375" s="28"/>
      <c r="R1375" s="28"/>
      <c r="S1375" s="28">
        <v>8.2926038125000004E-3</v>
      </c>
    </row>
    <row r="1376" spans="1:19" x14ac:dyDescent="0.25">
      <c r="A1376" s="28">
        <v>2017</v>
      </c>
      <c r="B1376" s="28"/>
      <c r="C1376" s="28" t="s">
        <v>1410</v>
      </c>
      <c r="D1376" s="28" t="s">
        <v>2331</v>
      </c>
      <c r="E1376" s="28" t="s">
        <v>657</v>
      </c>
      <c r="F1376" s="28" t="s">
        <v>418</v>
      </c>
      <c r="G1376" s="28">
        <v>89106</v>
      </c>
      <c r="H1376" s="28">
        <v>36.19997</v>
      </c>
      <c r="I1376" s="28">
        <v>-115.19658</v>
      </c>
      <c r="J1376" s="28"/>
      <c r="K1376" s="61">
        <v>110064418553</v>
      </c>
      <c r="L1376" s="61" t="str">
        <f>IFERROR(INDEX('Facility Summary'!$K:$K,MATCH(K1376,'Facility Summary'!$J:$J,0)),INDEX('Raw Annual DMR Data'!$M:$M,MATCH(K1376,'Raw Annual DMR Data'!$L:$L,0)))</f>
        <v>Unknown</v>
      </c>
      <c r="M1376" s="28"/>
      <c r="N1376" s="28"/>
      <c r="O1376" s="28"/>
      <c r="P1376" s="28"/>
      <c r="Q1376" s="28"/>
      <c r="R1376" s="28"/>
      <c r="S1376" s="28">
        <v>7.9852145000000006E-3</v>
      </c>
    </row>
    <row r="1377" spans="1:19" x14ac:dyDescent="0.25">
      <c r="A1377" s="28">
        <v>2018</v>
      </c>
      <c r="B1377" s="28"/>
      <c r="C1377" s="28" t="s">
        <v>1410</v>
      </c>
      <c r="D1377" s="28" t="s">
        <v>2331</v>
      </c>
      <c r="E1377" s="28" t="s">
        <v>657</v>
      </c>
      <c r="F1377" s="28" t="s">
        <v>418</v>
      </c>
      <c r="G1377" s="28">
        <v>89106</v>
      </c>
      <c r="H1377" s="28">
        <v>36.19997</v>
      </c>
      <c r="I1377" s="28">
        <v>-115.19658</v>
      </c>
      <c r="J1377" s="28"/>
      <c r="K1377" s="61">
        <v>110064418553</v>
      </c>
      <c r="L1377" s="61" t="str">
        <f>IFERROR(INDEX('Facility Summary'!$K:$K,MATCH(K1377,'Facility Summary'!$J:$J,0)),INDEX('Raw Annual DMR Data'!$M:$M,MATCH(K1377,'Raw Annual DMR Data'!$L:$L,0)))</f>
        <v>Unknown</v>
      </c>
      <c r="M1377" s="28"/>
      <c r="N1377" s="28"/>
      <c r="O1377" s="28"/>
      <c r="P1377" s="28"/>
      <c r="Q1377" s="28"/>
      <c r="R1377" s="28"/>
      <c r="S1377" s="28">
        <v>6.5415208749999999E-3</v>
      </c>
    </row>
    <row r="1378" spans="1:19" x14ac:dyDescent="0.25">
      <c r="A1378" s="28">
        <v>2020</v>
      </c>
      <c r="B1378" s="28"/>
      <c r="C1378" s="28" t="s">
        <v>1410</v>
      </c>
      <c r="D1378" s="28" t="s">
        <v>2331</v>
      </c>
      <c r="E1378" s="28" t="s">
        <v>657</v>
      </c>
      <c r="F1378" s="28" t="s">
        <v>418</v>
      </c>
      <c r="G1378" s="28">
        <v>89106</v>
      </c>
      <c r="H1378" s="28">
        <v>36.19997</v>
      </c>
      <c r="I1378" s="28">
        <v>-115.19658</v>
      </c>
      <c r="J1378" s="28"/>
      <c r="K1378" s="61">
        <v>110064418553</v>
      </c>
      <c r="L1378" s="61" t="str">
        <f>IFERROR(INDEX('Facility Summary'!$K:$K,MATCH(K1378,'Facility Summary'!$J:$J,0)),INDEX('Raw Annual DMR Data'!$M:$M,MATCH(K1378,'Raw Annual DMR Data'!$L:$L,0)))</f>
        <v>Unknown</v>
      </c>
      <c r="M1378" s="28"/>
      <c r="N1378" s="28"/>
      <c r="O1378" s="28"/>
      <c r="P1378" s="28"/>
      <c r="Q1378" s="28"/>
      <c r="R1378" s="28"/>
      <c r="S1378" s="28">
        <v>7.2530062500000001E-3</v>
      </c>
    </row>
    <row r="1379" spans="1:19" x14ac:dyDescent="0.25">
      <c r="A1379" s="28">
        <v>2020</v>
      </c>
      <c r="B1379" s="28"/>
      <c r="C1379" s="28" t="s">
        <v>1411</v>
      </c>
      <c r="D1379" s="28" t="s">
        <v>2333</v>
      </c>
      <c r="E1379" s="28" t="s">
        <v>1403</v>
      </c>
      <c r="F1379" s="28" t="s">
        <v>294</v>
      </c>
      <c r="G1379" s="28">
        <v>23452</v>
      </c>
      <c r="H1379" s="28">
        <v>36.844686000000003</v>
      </c>
      <c r="I1379" s="28">
        <v>-76.072886999999994</v>
      </c>
      <c r="J1379" s="28"/>
      <c r="K1379" s="61">
        <v>110070884632</v>
      </c>
      <c r="L1379" s="61" t="str">
        <f>IFERROR(INDEX('Facility Summary'!$K:$K,MATCH(K1379,'Facility Summary'!$J:$J,0)),INDEX('Raw Annual DMR Data'!$M:$M,MATCH(K1379,'Raw Annual DMR Data'!$L:$L,0)))</f>
        <v>Unknown</v>
      </c>
      <c r="M1379" s="28"/>
      <c r="N1379" s="28"/>
      <c r="O1379" s="28"/>
      <c r="P1379" s="28"/>
      <c r="Q1379" s="28"/>
      <c r="R1379" s="28"/>
      <c r="S1379" s="28">
        <v>1.4628873599999899E-2</v>
      </c>
    </row>
    <row r="1380" spans="1:19" x14ac:dyDescent="0.25">
      <c r="A1380" s="28">
        <v>2020</v>
      </c>
      <c r="B1380" s="28"/>
      <c r="C1380" s="28" t="s">
        <v>1411</v>
      </c>
      <c r="D1380" s="28" t="s">
        <v>2333</v>
      </c>
      <c r="E1380" s="28" t="s">
        <v>1403</v>
      </c>
      <c r="F1380" s="28" t="s">
        <v>294</v>
      </c>
      <c r="G1380" s="28">
        <v>23452</v>
      </c>
      <c r="H1380" s="28">
        <v>36.844686000000003</v>
      </c>
      <c r="I1380" s="28">
        <v>-76.072886999999994</v>
      </c>
      <c r="J1380" s="28"/>
      <c r="K1380" s="61">
        <v>110070884632</v>
      </c>
      <c r="L1380" s="61" t="str">
        <f>IFERROR(INDEX('Facility Summary'!$K:$K,MATCH(K1380,'Facility Summary'!$J:$J,0)),INDEX('Raw Annual DMR Data'!$M:$M,MATCH(K1380,'Raw Annual DMR Data'!$L:$L,0)))</f>
        <v>Unknown</v>
      </c>
      <c r="M1380" s="28"/>
      <c r="N1380" s="28"/>
      <c r="O1380" s="28"/>
      <c r="P1380" s="28"/>
      <c r="Q1380" s="28"/>
      <c r="R1380" s="28"/>
      <c r="S1380" s="28">
        <v>2.5344359999999902E-3</v>
      </c>
    </row>
    <row r="1381" spans="1:19" x14ac:dyDescent="0.25">
      <c r="A1381" s="28">
        <v>2020</v>
      </c>
      <c r="B1381" s="28"/>
      <c r="C1381" s="28" t="s">
        <v>1412</v>
      </c>
      <c r="D1381" s="28" t="s">
        <v>2336</v>
      </c>
      <c r="E1381" s="28" t="s">
        <v>1403</v>
      </c>
      <c r="F1381" s="28" t="s">
        <v>294</v>
      </c>
      <c r="G1381" s="28">
        <v>23451</v>
      </c>
      <c r="H1381" s="28">
        <v>36.910065000000003</v>
      </c>
      <c r="I1381" s="28">
        <v>-76.072417999999999</v>
      </c>
      <c r="J1381" s="28"/>
      <c r="K1381" s="61">
        <v>110070685409</v>
      </c>
      <c r="L1381" s="61" t="str">
        <f>IFERROR(INDEX('Facility Summary'!$K:$K,MATCH(K1381,'Facility Summary'!$J:$J,0)),INDEX('Raw Annual DMR Data'!$M:$M,MATCH(K1381,'Raw Annual DMR Data'!$L:$L,0)))</f>
        <v>Unknown</v>
      </c>
      <c r="M1381" s="28"/>
      <c r="N1381" s="28"/>
      <c r="O1381" s="28"/>
      <c r="P1381" s="28"/>
      <c r="Q1381" s="28"/>
      <c r="R1381" s="28"/>
      <c r="S1381" s="28">
        <v>6.3360899999999904E-3</v>
      </c>
    </row>
    <row r="1382" spans="1:19" x14ac:dyDescent="0.25">
      <c r="A1382" s="28">
        <v>2020</v>
      </c>
      <c r="B1382" s="28"/>
      <c r="C1382" s="28" t="s">
        <v>1412</v>
      </c>
      <c r="D1382" s="28" t="s">
        <v>2336</v>
      </c>
      <c r="E1382" s="28" t="s">
        <v>1403</v>
      </c>
      <c r="F1382" s="28" t="s">
        <v>294</v>
      </c>
      <c r="G1382" s="28">
        <v>23451</v>
      </c>
      <c r="H1382" s="28">
        <v>36.910065000000003</v>
      </c>
      <c r="I1382" s="28">
        <v>-76.072417999999999</v>
      </c>
      <c r="J1382" s="28"/>
      <c r="K1382" s="61">
        <v>110070685409</v>
      </c>
      <c r="L1382" s="61" t="str">
        <f>IFERROR(INDEX('Facility Summary'!$K:$K,MATCH(K1382,'Facility Summary'!$J:$J,0)),INDEX('Raw Annual DMR Data'!$M:$M,MATCH(K1382,'Raw Annual DMR Data'!$L:$L,0)))</f>
        <v>Unknown</v>
      </c>
      <c r="M1382" s="28"/>
      <c r="N1382" s="28"/>
      <c r="O1382" s="28"/>
      <c r="P1382" s="28"/>
      <c r="Q1382" s="28"/>
      <c r="R1382" s="28"/>
      <c r="S1382" s="28">
        <v>1.2038570999999901E-2</v>
      </c>
    </row>
    <row r="1383" spans="1:19" x14ac:dyDescent="0.25">
      <c r="A1383" s="28">
        <v>2019</v>
      </c>
      <c r="B1383" s="28"/>
      <c r="C1383" s="28" t="s">
        <v>1413</v>
      </c>
      <c r="D1383" s="28" t="s">
        <v>2338</v>
      </c>
      <c r="E1383" s="28" t="s">
        <v>1414</v>
      </c>
      <c r="F1383" s="28" t="s">
        <v>1415</v>
      </c>
      <c r="G1383" s="28">
        <v>68601</v>
      </c>
      <c r="H1383" s="28">
        <v>41.424084999999998</v>
      </c>
      <c r="I1383" s="28">
        <v>-97.286036999999993</v>
      </c>
      <c r="J1383" s="28"/>
      <c r="K1383" s="61">
        <v>110070246981</v>
      </c>
      <c r="L1383" s="61" t="str">
        <f>IFERROR(INDEX('Facility Summary'!$K:$K,MATCH(K1383,'Facility Summary'!$J:$J,0)),INDEX('Raw Annual DMR Data'!$M:$M,MATCH(K1383,'Raw Annual DMR Data'!$L:$L,0)))</f>
        <v>Unknown</v>
      </c>
      <c r="M1383" s="28"/>
      <c r="N1383" s="28"/>
      <c r="O1383" s="28"/>
      <c r="P1383" s="28"/>
      <c r="Q1383" s="28"/>
      <c r="R1383" s="28"/>
      <c r="S1383" s="28">
        <v>0.27600000000000002</v>
      </c>
    </row>
    <row r="1384" spans="1:19" x14ac:dyDescent="0.25">
      <c r="A1384" s="28">
        <v>2018</v>
      </c>
      <c r="B1384" s="28"/>
      <c r="C1384" s="28" t="s">
        <v>1416</v>
      </c>
      <c r="D1384" s="28" t="s">
        <v>2340</v>
      </c>
      <c r="E1384" s="28" t="s">
        <v>1417</v>
      </c>
      <c r="F1384" s="28" t="s">
        <v>366</v>
      </c>
      <c r="G1384" s="28" t="s">
        <v>2341</v>
      </c>
      <c r="H1384" s="28">
        <v>33.762349999999998</v>
      </c>
      <c r="I1384" s="28">
        <v>-118.241775</v>
      </c>
      <c r="J1384" s="28"/>
      <c r="K1384" s="61">
        <v>110017217545</v>
      </c>
      <c r="L1384" s="61" t="str">
        <f>IFERROR(INDEX('Facility Summary'!$K:$K,MATCH(K1384,'Facility Summary'!$J:$J,0)),INDEX('Raw Annual DMR Data'!$M:$M,MATCH(K1384,'Raw Annual DMR Data'!$L:$L,0)))</f>
        <v>Repackaging</v>
      </c>
      <c r="M1384" s="28"/>
      <c r="N1384" s="28"/>
      <c r="O1384" s="28"/>
      <c r="P1384" s="28"/>
      <c r="Q1384" s="28"/>
      <c r="R1384" s="28"/>
      <c r="S1384" s="28">
        <v>7.9990297500000009E-3</v>
      </c>
    </row>
    <row r="1385" spans="1:19" x14ac:dyDescent="0.25">
      <c r="A1385" s="28">
        <v>2019</v>
      </c>
      <c r="B1385" s="28"/>
      <c r="C1385" s="28" t="s">
        <v>1416</v>
      </c>
      <c r="D1385" s="28" t="s">
        <v>2340</v>
      </c>
      <c r="E1385" s="28" t="s">
        <v>1417</v>
      </c>
      <c r="F1385" s="28" t="s">
        <v>366</v>
      </c>
      <c r="G1385" s="28" t="s">
        <v>2341</v>
      </c>
      <c r="H1385" s="28">
        <v>33.762349999999998</v>
      </c>
      <c r="I1385" s="28">
        <v>-118.241775</v>
      </c>
      <c r="J1385" s="28"/>
      <c r="K1385" s="61">
        <v>110017217545</v>
      </c>
      <c r="L1385" s="61" t="str">
        <f>IFERROR(INDEX('Facility Summary'!$K:$K,MATCH(K1385,'Facility Summary'!$J:$J,0)),INDEX('Raw Annual DMR Data'!$M:$M,MATCH(K1385,'Raw Annual DMR Data'!$L:$L,0)))</f>
        <v>Repackaging</v>
      </c>
      <c r="M1385" s="28"/>
      <c r="N1385" s="28"/>
      <c r="O1385" s="28"/>
      <c r="P1385" s="28"/>
      <c r="Q1385" s="28"/>
      <c r="R1385" s="28"/>
      <c r="S1385" s="28">
        <v>8.5171016250000006E-3</v>
      </c>
    </row>
    <row r="1386" spans="1:19" x14ac:dyDescent="0.25">
      <c r="A1386" s="28">
        <v>2018</v>
      </c>
      <c r="B1386" s="28"/>
      <c r="C1386" s="28" t="s">
        <v>1418</v>
      </c>
      <c r="D1386" s="28" t="s">
        <v>2344</v>
      </c>
      <c r="E1386" s="28" t="s">
        <v>1041</v>
      </c>
      <c r="F1386" s="28" t="s">
        <v>366</v>
      </c>
      <c r="G1386" s="28">
        <v>90744</v>
      </c>
      <c r="H1386" s="28">
        <v>33.791108999999999</v>
      </c>
      <c r="I1386" s="28">
        <v>-118.244609</v>
      </c>
      <c r="J1386" s="28"/>
      <c r="K1386" s="61">
        <v>110028243791</v>
      </c>
      <c r="L1386" s="61" t="str">
        <f>IFERROR(INDEX('Facility Summary'!$K:$K,MATCH(K1386,'Facility Summary'!$J:$J,0)),INDEX('Raw Annual DMR Data'!$M:$M,MATCH(K1386,'Raw Annual DMR Data'!$L:$L,0)))</f>
        <v>Repackaging</v>
      </c>
      <c r="M1386" s="28"/>
      <c r="N1386" s="28"/>
      <c r="O1386" s="28"/>
      <c r="P1386" s="28"/>
      <c r="Q1386" s="28"/>
      <c r="R1386" s="28"/>
      <c r="S1386" s="28">
        <v>1.36598284375E-2</v>
      </c>
    </row>
    <row r="1387" spans="1:19" x14ac:dyDescent="0.25">
      <c r="A1387" s="28">
        <v>2019</v>
      </c>
      <c r="B1387" s="28"/>
      <c r="C1387" s="28" t="s">
        <v>1418</v>
      </c>
      <c r="D1387" s="28" t="s">
        <v>2344</v>
      </c>
      <c r="E1387" s="28" t="s">
        <v>1041</v>
      </c>
      <c r="F1387" s="28" t="s">
        <v>366</v>
      </c>
      <c r="G1387" s="28">
        <v>90744</v>
      </c>
      <c r="H1387" s="28">
        <v>33.791108999999999</v>
      </c>
      <c r="I1387" s="28">
        <v>-118.244609</v>
      </c>
      <c r="J1387" s="28"/>
      <c r="K1387" s="61">
        <v>110028243791</v>
      </c>
      <c r="L1387" s="61" t="str">
        <f>IFERROR(INDEX('Facility Summary'!$K:$K,MATCH(K1387,'Facility Summary'!$J:$J,0)),INDEX('Raw Annual DMR Data'!$M:$M,MATCH(K1387,'Raw Annual DMR Data'!$L:$L,0)))</f>
        <v>Repackaging</v>
      </c>
      <c r="M1387" s="28"/>
      <c r="N1387" s="28"/>
      <c r="O1387" s="28"/>
      <c r="P1387" s="28"/>
      <c r="Q1387" s="28"/>
      <c r="R1387" s="28"/>
      <c r="S1387" s="28">
        <v>2.02980560625E-2</v>
      </c>
    </row>
    <row r="1388" spans="1:19" x14ac:dyDescent="0.25">
      <c r="A1388" s="28">
        <v>2018</v>
      </c>
      <c r="B1388" s="28"/>
      <c r="C1388" s="28" t="s">
        <v>1419</v>
      </c>
      <c r="D1388" s="28" t="s">
        <v>2346</v>
      </c>
      <c r="E1388" s="28" t="s">
        <v>1420</v>
      </c>
      <c r="F1388" s="28" t="s">
        <v>427</v>
      </c>
      <c r="G1388" s="28">
        <v>49221</v>
      </c>
      <c r="H1388" s="28">
        <v>41.948850999999998</v>
      </c>
      <c r="I1388" s="28">
        <v>-83.958619999999996</v>
      </c>
      <c r="J1388" s="28" t="s">
        <v>739</v>
      </c>
      <c r="K1388" s="61">
        <v>110056966699</v>
      </c>
      <c r="L1388" s="61" t="str">
        <f>IFERROR(INDEX('Facility Summary'!$K:$K,MATCH(K1388,'Facility Summary'!$J:$J,0)),INDEX('Raw Annual DMR Data'!$M:$M,MATCH(K1388,'Raw Annual DMR Data'!$L:$L,0)))</f>
        <v>Unknown</v>
      </c>
      <c r="M1388" s="28"/>
      <c r="N1388" s="28"/>
      <c r="O1388" s="28"/>
      <c r="P1388" s="28"/>
      <c r="Q1388" s="28"/>
      <c r="R1388" s="28"/>
      <c r="S1388" s="112">
        <v>3.8538807335799798E-7</v>
      </c>
    </row>
    <row r="1389" spans="1:19" x14ac:dyDescent="0.25">
      <c r="A1389" s="28">
        <v>2019</v>
      </c>
      <c r="B1389" s="28"/>
      <c r="C1389" s="28" t="s">
        <v>1419</v>
      </c>
      <c r="D1389" s="28" t="s">
        <v>2346</v>
      </c>
      <c r="E1389" s="28" t="s">
        <v>1420</v>
      </c>
      <c r="F1389" s="28" t="s">
        <v>427</v>
      </c>
      <c r="G1389" s="28">
        <v>49221</v>
      </c>
      <c r="H1389" s="28">
        <v>41.948850999999998</v>
      </c>
      <c r="I1389" s="28">
        <v>-83.958619999999996</v>
      </c>
      <c r="J1389" s="28" t="s">
        <v>739</v>
      </c>
      <c r="K1389" s="61">
        <v>110056966699</v>
      </c>
      <c r="L1389" s="61" t="str">
        <f>IFERROR(INDEX('Facility Summary'!$K:$K,MATCH(K1389,'Facility Summary'!$J:$J,0)),INDEX('Raw Annual DMR Data'!$M:$M,MATCH(K1389,'Raw Annual DMR Data'!$L:$L,0)))</f>
        <v>Unknown</v>
      </c>
      <c r="M1389" s="28"/>
      <c r="N1389" s="28"/>
      <c r="O1389" s="28"/>
      <c r="P1389" s="28"/>
      <c r="Q1389" s="28"/>
      <c r="R1389" s="28"/>
      <c r="S1389" s="28">
        <v>3.8538807335799803E-6</v>
      </c>
    </row>
    <row r="1390" spans="1:19" x14ac:dyDescent="0.25">
      <c r="A1390" s="28">
        <v>2020</v>
      </c>
      <c r="B1390" s="28"/>
      <c r="C1390" s="28" t="s">
        <v>1419</v>
      </c>
      <c r="D1390" s="28" t="s">
        <v>2346</v>
      </c>
      <c r="E1390" s="28" t="s">
        <v>1420</v>
      </c>
      <c r="F1390" s="28" t="s">
        <v>427</v>
      </c>
      <c r="G1390" s="28">
        <v>49221</v>
      </c>
      <c r="H1390" s="28">
        <v>41.948850999999998</v>
      </c>
      <c r="I1390" s="28">
        <v>-83.958619999999996</v>
      </c>
      <c r="J1390" s="28" t="s">
        <v>739</v>
      </c>
      <c r="K1390" s="61">
        <v>110056966699</v>
      </c>
      <c r="L1390" s="61" t="str">
        <f>IFERROR(INDEX('Facility Summary'!$K:$K,MATCH(K1390,'Facility Summary'!$J:$J,0)),INDEX('Raw Annual DMR Data'!$M:$M,MATCH(K1390,'Raw Annual DMR Data'!$L:$L,0)))</f>
        <v>Unknown</v>
      </c>
      <c r="M1390" s="28"/>
      <c r="N1390" s="28"/>
      <c r="O1390" s="28"/>
      <c r="P1390" s="28"/>
      <c r="Q1390" s="28"/>
      <c r="R1390" s="28"/>
      <c r="S1390" s="28">
        <v>4.6246568802959696E-6</v>
      </c>
    </row>
    <row r="1391" spans="1:19" x14ac:dyDescent="0.25">
      <c r="A1391" s="28">
        <v>2015</v>
      </c>
      <c r="B1391" s="28"/>
      <c r="C1391" s="28" t="s">
        <v>1421</v>
      </c>
      <c r="D1391" s="28" t="s">
        <v>2350</v>
      </c>
      <c r="E1391" s="28" t="s">
        <v>1422</v>
      </c>
      <c r="F1391" s="28" t="s">
        <v>1171</v>
      </c>
      <c r="G1391" s="28">
        <v>96746</v>
      </c>
      <c r="H1391" s="28">
        <v>22.079093</v>
      </c>
      <c r="I1391" s="28">
        <v>-159.35138900000001</v>
      </c>
      <c r="J1391" s="28"/>
      <c r="K1391" s="61">
        <v>110010731262</v>
      </c>
      <c r="L1391" s="61" t="str">
        <f>IFERROR(INDEX('Facility Summary'!$K:$K,MATCH(K1391,'Facility Summary'!$J:$J,0)),INDEX('Raw Annual DMR Data'!$M:$M,MATCH(K1391,'Raw Annual DMR Data'!$L:$L,0)))</f>
        <v>POTW</v>
      </c>
      <c r="M1391" s="28"/>
      <c r="N1391" s="28"/>
      <c r="O1391" s="28"/>
      <c r="P1391" s="28"/>
      <c r="Q1391" s="28"/>
      <c r="R1391" s="28"/>
      <c r="S1391" s="28">
        <v>0.10465051875</v>
      </c>
    </row>
    <row r="1392" spans="1:19" x14ac:dyDescent="0.25">
      <c r="A1392" s="28">
        <v>2016</v>
      </c>
      <c r="B1392" s="28"/>
      <c r="C1392" s="28" t="s">
        <v>1421</v>
      </c>
      <c r="D1392" s="28" t="s">
        <v>2350</v>
      </c>
      <c r="E1392" s="28" t="s">
        <v>1422</v>
      </c>
      <c r="F1392" s="28" t="s">
        <v>1171</v>
      </c>
      <c r="G1392" s="28">
        <v>96746</v>
      </c>
      <c r="H1392" s="28">
        <v>22.079093</v>
      </c>
      <c r="I1392" s="28">
        <v>-159.35138900000001</v>
      </c>
      <c r="J1392" s="28"/>
      <c r="K1392" s="61">
        <v>110010731262</v>
      </c>
      <c r="L1392" s="61" t="str">
        <f>IFERROR(INDEX('Facility Summary'!$K:$K,MATCH(K1392,'Facility Summary'!$J:$J,0)),INDEX('Raw Annual DMR Data'!$M:$M,MATCH(K1392,'Raw Annual DMR Data'!$L:$L,0)))</f>
        <v>POTW</v>
      </c>
      <c r="M1392" s="28"/>
      <c r="N1392" s="28"/>
      <c r="O1392" s="28"/>
      <c r="P1392" s="28"/>
      <c r="Q1392" s="28"/>
      <c r="R1392" s="28"/>
      <c r="S1392" s="28">
        <v>0.26456203750000001</v>
      </c>
    </row>
    <row r="1393" spans="1:19" x14ac:dyDescent="0.25">
      <c r="A1393" s="28">
        <v>2017</v>
      </c>
      <c r="B1393" s="28"/>
      <c r="C1393" s="28" t="s">
        <v>1421</v>
      </c>
      <c r="D1393" s="28" t="s">
        <v>2350</v>
      </c>
      <c r="E1393" s="28" t="s">
        <v>1422</v>
      </c>
      <c r="F1393" s="28" t="s">
        <v>1171</v>
      </c>
      <c r="G1393" s="28">
        <v>96746</v>
      </c>
      <c r="H1393" s="28">
        <v>22.079093</v>
      </c>
      <c r="I1393" s="28">
        <v>-159.35138900000001</v>
      </c>
      <c r="J1393" s="28"/>
      <c r="K1393" s="61">
        <v>110010731262</v>
      </c>
      <c r="L1393" s="61" t="str">
        <f>IFERROR(INDEX('Facility Summary'!$K:$K,MATCH(K1393,'Facility Summary'!$J:$J,0)),INDEX('Raw Annual DMR Data'!$M:$M,MATCH(K1393,'Raw Annual DMR Data'!$L:$L,0)))</f>
        <v>POTW</v>
      </c>
      <c r="M1393" s="28"/>
      <c r="N1393" s="28"/>
      <c r="O1393" s="28"/>
      <c r="P1393" s="28"/>
      <c r="Q1393" s="28"/>
      <c r="R1393" s="28"/>
      <c r="S1393" s="28">
        <v>0.31222464999999999</v>
      </c>
    </row>
    <row r="1394" spans="1:19" x14ac:dyDescent="0.25">
      <c r="A1394" s="28">
        <v>2018</v>
      </c>
      <c r="B1394" s="28"/>
      <c r="C1394" s="28" t="s">
        <v>1421</v>
      </c>
      <c r="D1394" s="28" t="s">
        <v>2350</v>
      </c>
      <c r="E1394" s="28" t="s">
        <v>1422</v>
      </c>
      <c r="F1394" s="28" t="s">
        <v>1171</v>
      </c>
      <c r="G1394" s="28">
        <v>96746</v>
      </c>
      <c r="H1394" s="28">
        <v>22.079093</v>
      </c>
      <c r="I1394" s="28">
        <v>-159.35138900000001</v>
      </c>
      <c r="J1394" s="28"/>
      <c r="K1394" s="61">
        <v>110010731262</v>
      </c>
      <c r="L1394" s="61" t="str">
        <f>IFERROR(INDEX('Facility Summary'!$K:$K,MATCH(K1394,'Facility Summary'!$J:$J,0)),INDEX('Raw Annual DMR Data'!$M:$M,MATCH(K1394,'Raw Annual DMR Data'!$L:$L,0)))</f>
        <v>POTW</v>
      </c>
      <c r="M1394" s="28"/>
      <c r="N1394" s="28"/>
      <c r="O1394" s="28"/>
      <c r="P1394" s="28"/>
      <c r="Q1394" s="28"/>
      <c r="R1394" s="28"/>
      <c r="S1394" s="28">
        <v>0.32742142499999999</v>
      </c>
    </row>
    <row r="1395" spans="1:19" x14ac:dyDescent="0.25">
      <c r="A1395" s="28">
        <v>2020</v>
      </c>
      <c r="B1395" s="28"/>
      <c r="C1395" s="28" t="s">
        <v>1421</v>
      </c>
      <c r="D1395" s="28" t="s">
        <v>2350</v>
      </c>
      <c r="E1395" s="28" t="s">
        <v>1422</v>
      </c>
      <c r="F1395" s="28" t="s">
        <v>1171</v>
      </c>
      <c r="G1395" s="28">
        <v>96746</v>
      </c>
      <c r="H1395" s="28">
        <v>22.079093</v>
      </c>
      <c r="I1395" s="28">
        <v>-159.35138900000001</v>
      </c>
      <c r="J1395" s="28"/>
      <c r="K1395" s="61">
        <v>110010731262</v>
      </c>
      <c r="L1395" s="61" t="str">
        <f>IFERROR(INDEX('Facility Summary'!$K:$K,MATCH(K1395,'Facility Summary'!$J:$J,0)),INDEX('Raw Annual DMR Data'!$M:$M,MATCH(K1395,'Raw Annual DMR Data'!$L:$L,0)))</f>
        <v>POTW</v>
      </c>
      <c r="M1395" s="28"/>
      <c r="N1395" s="28"/>
      <c r="O1395" s="28"/>
      <c r="P1395" s="28"/>
      <c r="Q1395" s="28"/>
      <c r="R1395" s="28"/>
      <c r="S1395" s="28">
        <v>0.1692368125</v>
      </c>
    </row>
    <row r="1396" spans="1:19" x14ac:dyDescent="0.25">
      <c r="A1396" s="28">
        <v>2018</v>
      </c>
      <c r="B1396" s="28"/>
      <c r="C1396" s="28" t="s">
        <v>1423</v>
      </c>
      <c r="D1396" s="28" t="s">
        <v>2353</v>
      </c>
      <c r="E1396" s="28" t="s">
        <v>1424</v>
      </c>
      <c r="F1396" s="28" t="s">
        <v>294</v>
      </c>
      <c r="G1396" s="28">
        <v>22610</v>
      </c>
      <c r="H1396" s="28">
        <v>38.814979999999998</v>
      </c>
      <c r="I1396" s="28">
        <v>-78.2834</v>
      </c>
      <c r="J1396" s="28"/>
      <c r="K1396" s="61">
        <v>110054919406</v>
      </c>
      <c r="L1396" s="61" t="str">
        <f>IFERROR(INDEX('Facility Summary'!$K:$K,MATCH(K1396,'Facility Summary'!$J:$J,0)),INDEX('Raw Annual DMR Data'!$M:$M,MATCH(K1396,'Raw Annual DMR Data'!$L:$L,0)))</f>
        <v>Waste Handling, Disposal and Treatment (Landfill)</v>
      </c>
      <c r="M1396" s="28"/>
      <c r="N1396" s="28"/>
      <c r="O1396" s="28"/>
      <c r="P1396" s="28"/>
      <c r="Q1396" s="28"/>
      <c r="R1396" s="28"/>
      <c r="S1396" s="302">
        <v>9.1860519269999904E-4</v>
      </c>
    </row>
    <row r="1397" spans="1:19" x14ac:dyDescent="0.25">
      <c r="A1397" s="28">
        <v>2019</v>
      </c>
      <c r="B1397" s="28"/>
      <c r="C1397" s="28" t="s">
        <v>1423</v>
      </c>
      <c r="D1397" s="28" t="s">
        <v>2353</v>
      </c>
      <c r="E1397" s="28" t="s">
        <v>1424</v>
      </c>
      <c r="F1397" s="28" t="s">
        <v>294</v>
      </c>
      <c r="G1397" s="28">
        <v>22610</v>
      </c>
      <c r="H1397" s="28">
        <v>38.814979999999998</v>
      </c>
      <c r="I1397" s="28">
        <v>-78.2834</v>
      </c>
      <c r="J1397" s="28"/>
      <c r="K1397" s="61">
        <v>110054919406</v>
      </c>
      <c r="L1397" s="61" t="str">
        <f>IFERROR(INDEX('Facility Summary'!$K:$K,MATCH(K1397,'Facility Summary'!$J:$J,0)),INDEX('Raw Annual DMR Data'!$M:$M,MATCH(K1397,'Raw Annual DMR Data'!$L:$L,0)))</f>
        <v>Waste Handling, Disposal and Treatment (Landfill)</v>
      </c>
      <c r="M1397" s="28"/>
      <c r="N1397" s="28"/>
      <c r="O1397" s="28"/>
      <c r="P1397" s="28"/>
      <c r="Q1397" s="28"/>
      <c r="R1397" s="28"/>
      <c r="S1397" s="28">
        <v>9.36183028686999E-4</v>
      </c>
    </row>
    <row r="1398" spans="1:19" x14ac:dyDescent="0.25">
      <c r="A1398" s="28">
        <v>2020</v>
      </c>
      <c r="B1398" s="28"/>
      <c r="C1398" s="28" t="s">
        <v>1423</v>
      </c>
      <c r="D1398" s="28" t="s">
        <v>2353</v>
      </c>
      <c r="E1398" s="28" t="s">
        <v>1424</v>
      </c>
      <c r="F1398" s="28" t="s">
        <v>294</v>
      </c>
      <c r="G1398" s="28">
        <v>22610</v>
      </c>
      <c r="H1398" s="28">
        <v>38.814979999999998</v>
      </c>
      <c r="I1398" s="28">
        <v>-78.2834</v>
      </c>
      <c r="J1398" s="28"/>
      <c r="K1398" s="61">
        <v>110054919406</v>
      </c>
      <c r="L1398" s="61" t="str">
        <f>IFERROR(INDEX('Facility Summary'!$K:$K,MATCH(K1398,'Facility Summary'!$J:$J,0)),INDEX('Raw Annual DMR Data'!$M:$M,MATCH(K1398,'Raw Annual DMR Data'!$L:$L,0)))</f>
        <v>Waste Handling, Disposal and Treatment (Landfill)</v>
      </c>
      <c r="M1398" s="28"/>
      <c r="N1398" s="28"/>
      <c r="O1398" s="28"/>
      <c r="P1398" s="28"/>
      <c r="Q1398" s="28"/>
      <c r="R1398" s="28"/>
      <c r="S1398" s="28">
        <v>6.3708873974999895E-4</v>
      </c>
    </row>
    <row r="1399" spans="1:19" x14ac:dyDescent="0.25">
      <c r="A1399" s="28">
        <v>2016</v>
      </c>
      <c r="B1399" s="28"/>
      <c r="C1399" s="28" t="s">
        <v>1425</v>
      </c>
      <c r="D1399" s="28" t="s">
        <v>2356</v>
      </c>
      <c r="E1399" s="28" t="s">
        <v>1426</v>
      </c>
      <c r="F1399" s="28" t="s">
        <v>366</v>
      </c>
      <c r="G1399" s="28" t="s">
        <v>2357</v>
      </c>
      <c r="H1399" s="28">
        <v>36.889969999999998</v>
      </c>
      <c r="I1399" s="28">
        <v>-121.78815</v>
      </c>
      <c r="J1399" s="28"/>
      <c r="K1399" s="61">
        <v>110013819706</v>
      </c>
      <c r="L1399" s="61" t="str">
        <f>IFERROR(INDEX('Facility Summary'!$K:$K,MATCH(K1399,'Facility Summary'!$J:$J,0)),INDEX('Raw Annual DMR Data'!$M:$M,MATCH(K1399,'Raw Annual DMR Data'!$L:$L,0)))</f>
        <v>POTW</v>
      </c>
      <c r="M1399" s="28"/>
      <c r="N1399" s="28"/>
      <c r="O1399" s="28"/>
      <c r="P1399" s="28"/>
      <c r="Q1399" s="28"/>
      <c r="R1399" s="28"/>
      <c r="S1399" s="28">
        <v>5.36507936507936E-3</v>
      </c>
    </row>
    <row r="1400" spans="1:19" x14ac:dyDescent="0.25">
      <c r="A1400" s="28">
        <v>2019</v>
      </c>
      <c r="B1400" s="28"/>
      <c r="C1400" s="28" t="s">
        <v>1427</v>
      </c>
      <c r="D1400" s="28" t="s">
        <v>2359</v>
      </c>
      <c r="E1400" s="28" t="s">
        <v>1265</v>
      </c>
      <c r="F1400" s="28" t="s">
        <v>366</v>
      </c>
      <c r="G1400" s="28">
        <v>94806</v>
      </c>
      <c r="H1400" s="28">
        <v>37.977150000000002</v>
      </c>
      <c r="I1400" s="28">
        <v>-122.33269</v>
      </c>
      <c r="J1400" s="28"/>
      <c r="K1400" s="61">
        <v>110064252419</v>
      </c>
      <c r="L1400" s="61" t="str">
        <f>IFERROR(INDEX('Facility Summary'!$K:$K,MATCH(K1400,'Facility Summary'!$J:$J,0)),INDEX('Raw Annual DMR Data'!$M:$M,MATCH(K1400,'Raw Annual DMR Data'!$L:$L,0)))</f>
        <v>POTW</v>
      </c>
      <c r="M1400" s="28"/>
      <c r="N1400" s="28"/>
      <c r="O1400" s="28"/>
      <c r="P1400" s="28"/>
      <c r="Q1400" s="28"/>
      <c r="R1400" s="28"/>
      <c r="S1400" s="28">
        <v>3.7646556250000001</v>
      </c>
    </row>
    <row r="1401" spans="1:19" x14ac:dyDescent="0.25">
      <c r="A1401" s="28">
        <v>2015</v>
      </c>
      <c r="B1401" s="28"/>
      <c r="C1401" s="28" t="s">
        <v>1428</v>
      </c>
      <c r="D1401" s="28" t="s">
        <v>2362</v>
      </c>
      <c r="E1401" s="28" t="s">
        <v>337</v>
      </c>
      <c r="F1401" s="28" t="s">
        <v>338</v>
      </c>
      <c r="G1401" s="28">
        <v>8066</v>
      </c>
      <c r="H1401" s="28">
        <v>39.837310000000002</v>
      </c>
      <c r="I1401" s="28">
        <v>-75.224580000000003</v>
      </c>
      <c r="J1401" s="28"/>
      <c r="K1401" s="61">
        <v>110010354810</v>
      </c>
      <c r="L1401" s="61" t="str">
        <f>IFERROR(INDEX('Facility Summary'!$K:$K,MATCH(K1401,'Facility Summary'!$J:$J,0)),INDEX('Raw Annual DMR Data'!$M:$M,MATCH(K1401,'Raw Annual DMR Data'!$L:$L,0)))</f>
        <v>Unknown</v>
      </c>
      <c r="M1401" s="28"/>
      <c r="N1401" s="28"/>
      <c r="O1401" s="28"/>
      <c r="P1401" s="28"/>
      <c r="Q1401" s="28"/>
      <c r="R1401" s="28"/>
      <c r="S1401" s="28">
        <v>0.39142956000000001</v>
      </c>
    </row>
    <row r="1402" spans="1:19" x14ac:dyDescent="0.25">
      <c r="A1402" s="28">
        <v>2016</v>
      </c>
      <c r="B1402" s="28"/>
      <c r="C1402" s="28" t="s">
        <v>1428</v>
      </c>
      <c r="D1402" s="28" t="s">
        <v>2362</v>
      </c>
      <c r="E1402" s="28" t="s">
        <v>337</v>
      </c>
      <c r="F1402" s="28" t="s">
        <v>338</v>
      </c>
      <c r="G1402" s="28">
        <v>8066</v>
      </c>
      <c r="H1402" s="28">
        <v>39.837310000000002</v>
      </c>
      <c r="I1402" s="28">
        <v>-75.224580000000003</v>
      </c>
      <c r="J1402" s="28"/>
      <c r="K1402" s="61">
        <v>110010354810</v>
      </c>
      <c r="L1402" s="61" t="str">
        <f>IFERROR(INDEX('Facility Summary'!$K:$K,MATCH(K1402,'Facility Summary'!$J:$J,0)),INDEX('Raw Annual DMR Data'!$M:$M,MATCH(K1402,'Raw Annual DMR Data'!$L:$L,0)))</f>
        <v>Unknown</v>
      </c>
      <c r="M1402" s="28"/>
      <c r="N1402" s="28"/>
      <c r="O1402" s="28"/>
      <c r="P1402" s="28"/>
      <c r="Q1402" s="28"/>
      <c r="R1402" s="28"/>
      <c r="S1402" s="28">
        <v>0.16203585000000001</v>
      </c>
    </row>
    <row r="1403" spans="1:19" x14ac:dyDescent="0.25">
      <c r="A1403" s="28">
        <v>2017</v>
      </c>
      <c r="B1403" s="28"/>
      <c r="C1403" s="28" t="s">
        <v>1428</v>
      </c>
      <c r="D1403" s="28" t="s">
        <v>2362</v>
      </c>
      <c r="E1403" s="28" t="s">
        <v>337</v>
      </c>
      <c r="F1403" s="28" t="s">
        <v>338</v>
      </c>
      <c r="G1403" s="28">
        <v>8066</v>
      </c>
      <c r="H1403" s="28">
        <v>39.837310000000002</v>
      </c>
      <c r="I1403" s="28">
        <v>-75.224580000000003</v>
      </c>
      <c r="J1403" s="28"/>
      <c r="K1403" s="61">
        <v>110010354810</v>
      </c>
      <c r="L1403" s="61" t="str">
        <f>IFERROR(INDEX('Facility Summary'!$K:$K,MATCH(K1403,'Facility Summary'!$J:$J,0)),INDEX('Raw Annual DMR Data'!$M:$M,MATCH(K1403,'Raw Annual DMR Data'!$L:$L,0)))</f>
        <v>Unknown</v>
      </c>
      <c r="M1403" s="28"/>
      <c r="N1403" s="28"/>
      <c r="O1403" s="28"/>
      <c r="P1403" s="28"/>
      <c r="Q1403" s="28"/>
      <c r="R1403" s="28"/>
      <c r="S1403" s="28">
        <v>2.863376724E-2</v>
      </c>
    </row>
    <row r="1404" spans="1:19" x14ac:dyDescent="0.25">
      <c r="A1404" s="28">
        <v>2018</v>
      </c>
      <c r="B1404" s="28"/>
      <c r="C1404" s="28" t="s">
        <v>1428</v>
      </c>
      <c r="D1404" s="28" t="s">
        <v>2362</v>
      </c>
      <c r="E1404" s="28" t="s">
        <v>337</v>
      </c>
      <c r="F1404" s="28" t="s">
        <v>338</v>
      </c>
      <c r="G1404" s="302" t="s">
        <v>1817</v>
      </c>
      <c r="H1404" s="28">
        <v>39.837310000000002</v>
      </c>
      <c r="I1404" s="28">
        <v>-75.224580000000003</v>
      </c>
      <c r="J1404" s="28"/>
      <c r="K1404" s="61">
        <v>110010354810</v>
      </c>
      <c r="L1404" s="61" t="str">
        <f>IFERROR(INDEX('Facility Summary'!$K:$K,MATCH(K1404,'Facility Summary'!$J:$J,0)),INDEX('Raw Annual DMR Data'!$M:$M,MATCH(K1404,'Raw Annual DMR Data'!$L:$L,0)))</f>
        <v>Unknown</v>
      </c>
      <c r="M1404" s="28"/>
      <c r="N1404" s="28"/>
      <c r="O1404" s="28"/>
      <c r="P1404" s="28"/>
      <c r="Q1404" s="28"/>
      <c r="R1404" s="28"/>
      <c r="S1404" s="28">
        <v>4.2172848499999999E-2</v>
      </c>
    </row>
    <row r="1405" spans="1:19" x14ac:dyDescent="0.25">
      <c r="A1405" s="28">
        <v>2019</v>
      </c>
      <c r="B1405" s="28"/>
      <c r="C1405" s="28" t="s">
        <v>1428</v>
      </c>
      <c r="D1405" s="28" t="s">
        <v>2362</v>
      </c>
      <c r="E1405" s="28" t="s">
        <v>337</v>
      </c>
      <c r="F1405" s="28" t="s">
        <v>338</v>
      </c>
      <c r="G1405" s="28">
        <v>8066</v>
      </c>
      <c r="H1405" s="28">
        <v>39.837310000000002</v>
      </c>
      <c r="I1405" s="28">
        <v>-75.224580000000003</v>
      </c>
      <c r="J1405" s="28"/>
      <c r="K1405" s="61">
        <v>110010354810</v>
      </c>
      <c r="L1405" s="61" t="str">
        <f>IFERROR(INDEX('Facility Summary'!$K:$K,MATCH(K1405,'Facility Summary'!$J:$J,0)),INDEX('Raw Annual DMR Data'!$M:$M,MATCH(K1405,'Raw Annual DMR Data'!$L:$L,0)))</f>
        <v>Unknown</v>
      </c>
      <c r="M1405" s="28"/>
      <c r="N1405" s="28"/>
      <c r="O1405" s="28"/>
      <c r="P1405" s="28"/>
      <c r="Q1405" s="28"/>
      <c r="R1405" s="28"/>
      <c r="S1405" s="28">
        <v>0.11613061299999999</v>
      </c>
    </row>
    <row r="1406" spans="1:19" x14ac:dyDescent="0.25">
      <c r="A1406" s="28">
        <v>2020</v>
      </c>
      <c r="B1406" s="28"/>
      <c r="C1406" s="28" t="s">
        <v>1428</v>
      </c>
      <c r="D1406" s="28" t="s">
        <v>2362</v>
      </c>
      <c r="E1406" s="28" t="s">
        <v>337</v>
      </c>
      <c r="F1406" s="28" t="s">
        <v>338</v>
      </c>
      <c r="G1406" s="28">
        <v>8066</v>
      </c>
      <c r="H1406" s="28">
        <v>39.837310000000002</v>
      </c>
      <c r="I1406" s="28">
        <v>-75.224580000000003</v>
      </c>
      <c r="J1406" s="28"/>
      <c r="K1406" s="61">
        <v>110010354810</v>
      </c>
      <c r="L1406" s="61" t="str">
        <f>IFERROR(INDEX('Facility Summary'!$K:$K,MATCH(K1406,'Facility Summary'!$J:$J,0)),INDEX('Raw Annual DMR Data'!$M:$M,MATCH(K1406,'Raw Annual DMR Data'!$L:$L,0)))</f>
        <v>Unknown</v>
      </c>
      <c r="M1406" s="28"/>
      <c r="N1406" s="28"/>
      <c r="O1406" s="28"/>
      <c r="P1406" s="28"/>
      <c r="Q1406" s="28"/>
      <c r="R1406" s="28"/>
      <c r="S1406" s="28">
        <v>2.3940882E-2</v>
      </c>
    </row>
    <row r="1407" spans="1:19" x14ac:dyDescent="0.25">
      <c r="A1407" s="28">
        <v>2018</v>
      </c>
      <c r="B1407" s="28"/>
      <c r="C1407" s="28" t="s">
        <v>1429</v>
      </c>
      <c r="D1407" s="28" t="s">
        <v>2365</v>
      </c>
      <c r="E1407" s="28" t="s">
        <v>1430</v>
      </c>
      <c r="F1407" s="28" t="s">
        <v>324</v>
      </c>
      <c r="G1407" s="28">
        <v>41080</v>
      </c>
      <c r="H1407" s="28">
        <v>39.00703</v>
      </c>
      <c r="I1407" s="28">
        <v>-84.841210000000004</v>
      </c>
      <c r="J1407" s="28"/>
      <c r="K1407" s="61">
        <v>110055043705</v>
      </c>
      <c r="L1407" s="61" t="str">
        <f>IFERROR(INDEX('Facility Summary'!$K:$K,MATCH(K1407,'Facility Summary'!$J:$J,0)),INDEX('Raw Annual DMR Data'!$M:$M,MATCH(K1407,'Raw Annual DMR Data'!$L:$L,0)))</f>
        <v>POTW</v>
      </c>
      <c r="M1407" s="28"/>
      <c r="N1407" s="28"/>
      <c r="O1407" s="28"/>
      <c r="P1407" s="28"/>
      <c r="Q1407" s="28"/>
      <c r="R1407" s="28"/>
      <c r="S1407" s="28">
        <v>35.436116249999998</v>
      </c>
    </row>
    <row r="1408" spans="1:19" x14ac:dyDescent="0.25">
      <c r="A1408" s="28">
        <v>2020</v>
      </c>
      <c r="B1408" s="28"/>
      <c r="C1408" s="28" t="s">
        <v>1429</v>
      </c>
      <c r="D1408" s="28" t="s">
        <v>2365</v>
      </c>
      <c r="E1408" s="28" t="s">
        <v>1430</v>
      </c>
      <c r="F1408" s="28" t="s">
        <v>324</v>
      </c>
      <c r="G1408" s="28">
        <v>41080</v>
      </c>
      <c r="H1408" s="28">
        <v>39.00703</v>
      </c>
      <c r="I1408" s="28">
        <v>-84.841210000000004</v>
      </c>
      <c r="J1408" s="28"/>
      <c r="K1408" s="61">
        <v>110055043705</v>
      </c>
      <c r="L1408" s="61" t="str">
        <f>IFERROR(INDEX('Facility Summary'!$K:$K,MATCH(K1408,'Facility Summary'!$J:$J,0)),INDEX('Raw Annual DMR Data'!$M:$M,MATCH(K1408,'Raw Annual DMR Data'!$L:$L,0)))</f>
        <v>POTW</v>
      </c>
      <c r="M1408" s="28"/>
      <c r="N1408" s="28"/>
      <c r="O1408" s="28"/>
      <c r="P1408" s="28"/>
      <c r="Q1408" s="28"/>
      <c r="R1408" s="28"/>
      <c r="S1408" s="28">
        <v>5.7747744999999996E-3</v>
      </c>
    </row>
    <row r="1409" spans="1:19" x14ac:dyDescent="0.25">
      <c r="A1409" s="28">
        <v>2015</v>
      </c>
      <c r="B1409" s="28"/>
      <c r="C1409" s="28" t="s">
        <v>1034</v>
      </c>
      <c r="D1409" s="28" t="s">
        <v>1594</v>
      </c>
      <c r="E1409" s="28" t="s">
        <v>1035</v>
      </c>
      <c r="F1409" s="28" t="s">
        <v>374</v>
      </c>
      <c r="G1409" s="28" t="s">
        <v>1595</v>
      </c>
      <c r="H1409" s="28">
        <v>32.9011</v>
      </c>
      <c r="I1409" s="28">
        <v>-111.78749999999999</v>
      </c>
      <c r="J1409" s="28"/>
      <c r="K1409" s="61">
        <v>110022287210</v>
      </c>
      <c r="L1409" s="61" t="str">
        <f>IFERROR(INDEX('Facility Summary'!$K:$K,MATCH(K1409,'Facility Summary'!$J:$J,0)),INDEX('Raw Annual DMR Data'!$M:$M,MATCH(K1409,'Raw Annual DMR Data'!$L:$L,0)))</f>
        <v>POTW</v>
      </c>
      <c r="M1409" s="28"/>
      <c r="N1409" s="28"/>
      <c r="O1409" s="28"/>
      <c r="P1409" s="28"/>
      <c r="Q1409" s="28"/>
      <c r="R1409" s="28"/>
      <c r="S1409" s="28">
        <v>12.102159</v>
      </c>
    </row>
    <row r="1410" spans="1:19" x14ac:dyDescent="0.25">
      <c r="A1410" s="28">
        <v>2016</v>
      </c>
      <c r="B1410" s="28"/>
      <c r="C1410" s="28" t="s">
        <v>1034</v>
      </c>
      <c r="D1410" s="28" t="s">
        <v>1594</v>
      </c>
      <c r="E1410" s="28" t="s">
        <v>1035</v>
      </c>
      <c r="F1410" s="28" t="s">
        <v>374</v>
      </c>
      <c r="G1410" s="28" t="s">
        <v>1595</v>
      </c>
      <c r="H1410" s="28">
        <v>32.9011</v>
      </c>
      <c r="I1410" s="28">
        <v>-111.78749999999999</v>
      </c>
      <c r="J1410" s="28"/>
      <c r="K1410" s="61">
        <v>110022287210</v>
      </c>
      <c r="L1410" s="61" t="str">
        <f>IFERROR(INDEX('Facility Summary'!$K:$K,MATCH(K1410,'Facility Summary'!$J:$J,0)),INDEX('Raw Annual DMR Data'!$M:$M,MATCH(K1410,'Raw Annual DMR Data'!$L:$L,0)))</f>
        <v>POTW</v>
      </c>
      <c r="M1410" s="28"/>
      <c r="N1410" s="28"/>
      <c r="O1410" s="28"/>
      <c r="P1410" s="28"/>
      <c r="Q1410" s="28"/>
      <c r="R1410" s="28"/>
      <c r="S1410" s="28">
        <v>12.682399500000001</v>
      </c>
    </row>
    <row r="1411" spans="1:19" x14ac:dyDescent="0.25">
      <c r="A1411" s="28">
        <v>2017</v>
      </c>
      <c r="B1411" s="28"/>
      <c r="C1411" s="28" t="s">
        <v>1034</v>
      </c>
      <c r="D1411" s="28" t="s">
        <v>1594</v>
      </c>
      <c r="E1411" s="28" t="s">
        <v>1035</v>
      </c>
      <c r="F1411" s="28" t="s">
        <v>374</v>
      </c>
      <c r="G1411" s="28" t="s">
        <v>1595</v>
      </c>
      <c r="H1411" s="28">
        <v>32.9011</v>
      </c>
      <c r="I1411" s="28">
        <v>-111.78749999999999</v>
      </c>
      <c r="J1411" s="28"/>
      <c r="K1411" s="61">
        <v>110022287210</v>
      </c>
      <c r="L1411" s="61" t="str">
        <f>IFERROR(INDEX('Facility Summary'!$K:$K,MATCH(K1411,'Facility Summary'!$J:$J,0)),INDEX('Raw Annual DMR Data'!$M:$M,MATCH(K1411,'Raw Annual DMR Data'!$L:$L,0)))</f>
        <v>POTW</v>
      </c>
      <c r="M1411" s="28"/>
      <c r="N1411" s="28"/>
      <c r="O1411" s="28"/>
      <c r="P1411" s="28"/>
      <c r="Q1411" s="28"/>
      <c r="R1411" s="28"/>
      <c r="S1411" s="28">
        <v>12.323202999999999</v>
      </c>
    </row>
    <row r="1412" spans="1:19" x14ac:dyDescent="0.25">
      <c r="A1412" s="28">
        <v>2018</v>
      </c>
      <c r="B1412" s="28"/>
      <c r="C1412" s="28" t="s">
        <v>1432</v>
      </c>
      <c r="D1412" s="28" t="s">
        <v>2371</v>
      </c>
      <c r="E1412" s="28" t="s">
        <v>1433</v>
      </c>
      <c r="F1412" s="28" t="s">
        <v>324</v>
      </c>
      <c r="G1412" s="28">
        <v>40769</v>
      </c>
      <c r="H1412" s="28">
        <v>36.747222000000001</v>
      </c>
      <c r="I1412" s="28">
        <v>-84.171943999999996</v>
      </c>
      <c r="J1412" s="28"/>
      <c r="K1412" s="61">
        <v>110006751737</v>
      </c>
      <c r="L1412" s="61" t="str">
        <f>IFERROR(INDEX('Facility Summary'!$K:$K,MATCH(K1412,'Facility Summary'!$J:$J,0)),INDEX('Raw Annual DMR Data'!$M:$M,MATCH(K1412,'Raw Annual DMR Data'!$L:$L,0)))</f>
        <v>POTW</v>
      </c>
      <c r="M1412" s="28"/>
      <c r="N1412" s="28"/>
      <c r="O1412" s="28"/>
      <c r="P1412" s="28"/>
      <c r="Q1412" s="28"/>
      <c r="R1412" s="28"/>
      <c r="S1412" s="28">
        <v>6.1823243750000003</v>
      </c>
    </row>
    <row r="1413" spans="1:19" x14ac:dyDescent="0.25">
      <c r="A1413" s="28">
        <v>2019</v>
      </c>
      <c r="B1413" s="28"/>
      <c r="C1413" s="28" t="s">
        <v>1432</v>
      </c>
      <c r="D1413" s="28" t="s">
        <v>2371</v>
      </c>
      <c r="E1413" s="28" t="s">
        <v>1433</v>
      </c>
      <c r="F1413" s="28" t="s">
        <v>324</v>
      </c>
      <c r="G1413" s="28">
        <v>40769</v>
      </c>
      <c r="H1413" s="28">
        <v>36.747222000000001</v>
      </c>
      <c r="I1413" s="28">
        <v>-84.171943999999996</v>
      </c>
      <c r="J1413" s="28"/>
      <c r="K1413" s="61">
        <v>110006751737</v>
      </c>
      <c r="L1413" s="61" t="str">
        <f>IFERROR(INDEX('Facility Summary'!$K:$K,MATCH(K1413,'Facility Summary'!$J:$J,0)),INDEX('Raw Annual DMR Data'!$M:$M,MATCH(K1413,'Raw Annual DMR Data'!$L:$L,0)))</f>
        <v>POTW</v>
      </c>
      <c r="M1413" s="28"/>
      <c r="N1413" s="28"/>
      <c r="O1413" s="28"/>
      <c r="P1413" s="28"/>
      <c r="Q1413" s="28"/>
      <c r="R1413" s="28"/>
      <c r="S1413" s="28">
        <v>5.1530882499999997</v>
      </c>
    </row>
    <row r="1414" spans="1:19" x14ac:dyDescent="0.25">
      <c r="A1414" s="28">
        <v>2020</v>
      </c>
      <c r="B1414" s="28"/>
      <c r="C1414" s="28" t="s">
        <v>1432</v>
      </c>
      <c r="D1414" s="28" t="s">
        <v>2371</v>
      </c>
      <c r="E1414" s="28" t="s">
        <v>1433</v>
      </c>
      <c r="F1414" s="28" t="s">
        <v>324</v>
      </c>
      <c r="G1414" s="28">
        <v>40769</v>
      </c>
      <c r="H1414" s="28">
        <v>36.747222000000001</v>
      </c>
      <c r="I1414" s="28">
        <v>-84.171943999999996</v>
      </c>
      <c r="J1414" s="28"/>
      <c r="K1414" s="61">
        <v>110006751737</v>
      </c>
      <c r="L1414" s="61" t="str">
        <f>IFERROR(INDEX('Facility Summary'!$K:$K,MATCH(K1414,'Facility Summary'!$J:$J,0)),INDEX('Raw Annual DMR Data'!$M:$M,MATCH(K1414,'Raw Annual DMR Data'!$L:$L,0)))</f>
        <v>POTW</v>
      </c>
      <c r="M1414" s="28"/>
      <c r="N1414" s="28"/>
      <c r="O1414" s="28"/>
      <c r="P1414" s="28"/>
      <c r="Q1414" s="28"/>
      <c r="R1414" s="28"/>
      <c r="S1414" s="28">
        <v>5.4673851874999997</v>
      </c>
    </row>
    <row r="1415" spans="1:19" x14ac:dyDescent="0.25">
      <c r="A1415" s="28">
        <v>2020</v>
      </c>
      <c r="B1415" s="28"/>
      <c r="C1415" s="28" t="s">
        <v>1434</v>
      </c>
      <c r="D1415" s="28" t="s">
        <v>2374</v>
      </c>
      <c r="E1415" s="28" t="s">
        <v>1435</v>
      </c>
      <c r="F1415" s="28" t="s">
        <v>324</v>
      </c>
      <c r="G1415" s="28">
        <v>41097</v>
      </c>
      <c r="H1415" s="28">
        <v>38.631208000000001</v>
      </c>
      <c r="I1415" s="28">
        <v>-84.618809999999996</v>
      </c>
      <c r="J1415" s="28"/>
      <c r="K1415" s="61">
        <v>110045091379</v>
      </c>
      <c r="L1415" s="61" t="str">
        <f>IFERROR(INDEX('Facility Summary'!$K:$K,MATCH(K1415,'Facility Summary'!$J:$J,0)),INDEX('Raw Annual DMR Data'!$M:$M,MATCH(K1415,'Raw Annual DMR Data'!$L:$L,0)))</f>
        <v>POTW</v>
      </c>
      <c r="M1415" s="28"/>
      <c r="N1415" s="28"/>
      <c r="O1415" s="28"/>
      <c r="P1415" s="28"/>
      <c r="Q1415" s="28"/>
      <c r="R1415" s="28"/>
      <c r="S1415" s="28">
        <v>2.0722874999999998</v>
      </c>
    </row>
    <row r="1416" spans="1:19" x14ac:dyDescent="0.25">
      <c r="A1416" s="28">
        <v>2018</v>
      </c>
      <c r="B1416" s="28"/>
      <c r="C1416" s="28" t="s">
        <v>1436</v>
      </c>
      <c r="D1416" s="28" t="s">
        <v>2377</v>
      </c>
      <c r="E1416" s="28" t="s">
        <v>1437</v>
      </c>
      <c r="F1416" s="28" t="s">
        <v>324</v>
      </c>
      <c r="G1416" s="28">
        <v>40392</v>
      </c>
      <c r="H1416" s="28">
        <v>37.915556000000002</v>
      </c>
      <c r="I1416" s="28">
        <v>-84.268332999999998</v>
      </c>
      <c r="J1416" s="28"/>
      <c r="K1416" s="61">
        <v>110064596361</v>
      </c>
      <c r="L1416" s="61" t="str">
        <f>IFERROR(INDEX('Facility Summary'!$K:$K,MATCH(K1416,'Facility Summary'!$J:$J,0)),INDEX('Raw Annual DMR Data'!$M:$M,MATCH(K1416,'Raw Annual DMR Data'!$L:$L,0)))</f>
        <v>POTW</v>
      </c>
      <c r="M1416" s="28"/>
      <c r="N1416" s="28"/>
      <c r="O1416" s="28"/>
      <c r="P1416" s="28"/>
      <c r="Q1416" s="28"/>
      <c r="R1416" s="28"/>
      <c r="S1416" s="28">
        <v>4.4726871875000001</v>
      </c>
    </row>
    <row r="1417" spans="1:19" x14ac:dyDescent="0.25">
      <c r="A1417" s="28">
        <v>2019</v>
      </c>
      <c r="B1417" s="28"/>
      <c r="C1417" s="28" t="s">
        <v>1436</v>
      </c>
      <c r="D1417" s="28" t="s">
        <v>2377</v>
      </c>
      <c r="E1417" s="28" t="s">
        <v>1437</v>
      </c>
      <c r="F1417" s="28" t="s">
        <v>324</v>
      </c>
      <c r="G1417" s="28">
        <v>40392</v>
      </c>
      <c r="H1417" s="28">
        <v>37.915556000000002</v>
      </c>
      <c r="I1417" s="28">
        <v>-84.268332999999998</v>
      </c>
      <c r="J1417" s="28"/>
      <c r="K1417" s="61">
        <v>110064596361</v>
      </c>
      <c r="L1417" s="61" t="str">
        <f>IFERROR(INDEX('Facility Summary'!$K:$K,MATCH(K1417,'Facility Summary'!$J:$J,0)),INDEX('Raw Annual DMR Data'!$M:$M,MATCH(K1417,'Raw Annual DMR Data'!$L:$L,0)))</f>
        <v>POTW</v>
      </c>
      <c r="M1417" s="28"/>
      <c r="N1417" s="28"/>
      <c r="O1417" s="28"/>
      <c r="P1417" s="28"/>
      <c r="Q1417" s="28"/>
      <c r="R1417" s="28"/>
      <c r="S1417" s="28">
        <v>6.9836088749999998</v>
      </c>
    </row>
    <row r="1418" spans="1:19" x14ac:dyDescent="0.25">
      <c r="A1418" s="28">
        <v>2020</v>
      </c>
      <c r="B1418" s="28"/>
      <c r="C1418" s="28" t="s">
        <v>1436</v>
      </c>
      <c r="D1418" s="28" t="s">
        <v>2377</v>
      </c>
      <c r="E1418" s="28" t="s">
        <v>1437</v>
      </c>
      <c r="F1418" s="28" t="s">
        <v>324</v>
      </c>
      <c r="G1418" s="28">
        <v>40392</v>
      </c>
      <c r="H1418" s="28">
        <v>37.915556000000002</v>
      </c>
      <c r="I1418" s="28">
        <v>-84.268332999999998</v>
      </c>
      <c r="J1418" s="28"/>
      <c r="K1418" s="61">
        <v>110064596361</v>
      </c>
      <c r="L1418" s="61" t="str">
        <f>IFERROR(INDEX('Facility Summary'!$K:$K,MATCH(K1418,'Facility Summary'!$J:$J,0)),INDEX('Raw Annual DMR Data'!$M:$M,MATCH(K1418,'Raw Annual DMR Data'!$L:$L,0)))</f>
        <v>POTW</v>
      </c>
      <c r="M1418" s="28"/>
      <c r="N1418" s="28"/>
      <c r="O1418" s="28"/>
      <c r="P1418" s="28"/>
      <c r="Q1418" s="28"/>
      <c r="R1418" s="28"/>
      <c r="S1418" s="28">
        <v>4.6971850000000002</v>
      </c>
    </row>
    <row r="1419" spans="1:19" x14ac:dyDescent="0.25">
      <c r="A1419" s="28">
        <v>2015</v>
      </c>
      <c r="B1419" s="28"/>
      <c r="C1419" s="28" t="s">
        <v>1438</v>
      </c>
      <c r="D1419" s="28" t="s">
        <v>2380</v>
      </c>
      <c r="E1419" s="28" t="s">
        <v>1439</v>
      </c>
      <c r="F1419" s="28" t="s">
        <v>374</v>
      </c>
      <c r="G1419" s="28">
        <v>86504</v>
      </c>
      <c r="H1419" s="28">
        <v>35.639485000000001</v>
      </c>
      <c r="I1419" s="28">
        <v>-109.080939</v>
      </c>
      <c r="J1419" s="28"/>
      <c r="K1419" s="61">
        <v>110024409433</v>
      </c>
      <c r="L1419" s="61" t="str">
        <f>IFERROR(INDEX('Facility Summary'!$K:$K,MATCH(K1419,'Facility Summary'!$J:$J,0)),INDEX('Raw Annual DMR Data'!$M:$M,MATCH(K1419,'Raw Annual DMR Data'!$L:$L,0)))</f>
        <v>POTW</v>
      </c>
      <c r="M1419" s="28"/>
      <c r="N1419" s="28"/>
      <c r="O1419" s="28"/>
      <c r="P1419" s="28"/>
      <c r="Q1419" s="28"/>
      <c r="R1419" s="28"/>
      <c r="S1419" s="28">
        <v>1.114304</v>
      </c>
    </row>
    <row r="1420" spans="1:19" x14ac:dyDescent="0.25">
      <c r="A1420" s="28">
        <v>2020</v>
      </c>
      <c r="B1420" s="28"/>
      <c r="C1420" s="28" t="s">
        <v>1438</v>
      </c>
      <c r="D1420" s="28" t="s">
        <v>2380</v>
      </c>
      <c r="E1420" s="28" t="s">
        <v>1439</v>
      </c>
      <c r="F1420" s="28" t="s">
        <v>374</v>
      </c>
      <c r="G1420" s="28">
        <v>86504</v>
      </c>
      <c r="H1420" s="28">
        <v>35.639485000000001</v>
      </c>
      <c r="I1420" s="28">
        <v>-109.080939</v>
      </c>
      <c r="J1420" s="28"/>
      <c r="K1420" s="61">
        <v>110024409433</v>
      </c>
      <c r="L1420" s="61" t="str">
        <f>IFERROR(INDEX('Facility Summary'!$K:$K,MATCH(K1420,'Facility Summary'!$J:$J,0)),INDEX('Raw Annual DMR Data'!$M:$M,MATCH(K1420,'Raw Annual DMR Data'!$L:$L,0)))</f>
        <v>POTW</v>
      </c>
      <c r="M1420" s="28"/>
      <c r="N1420" s="28"/>
      <c r="O1420" s="28"/>
      <c r="P1420" s="28"/>
      <c r="Q1420" s="28"/>
      <c r="R1420" s="28"/>
      <c r="S1420" s="28">
        <v>0.899316</v>
      </c>
    </row>
    <row r="1421" spans="1:19" x14ac:dyDescent="0.25">
      <c r="A1421" s="28">
        <v>2018</v>
      </c>
      <c r="B1421" s="28"/>
      <c r="C1421" s="28" t="s">
        <v>1440</v>
      </c>
      <c r="D1421" s="28" t="s">
        <v>2382</v>
      </c>
      <c r="E1421" s="28" t="s">
        <v>1441</v>
      </c>
      <c r="F1421" s="28" t="s">
        <v>366</v>
      </c>
      <c r="G1421" s="28">
        <v>95776</v>
      </c>
      <c r="H1421" s="28">
        <v>38.662149999999997</v>
      </c>
      <c r="I1421" s="28">
        <v>-121.71407000000001</v>
      </c>
      <c r="J1421" s="28"/>
      <c r="K1421" s="61">
        <v>110039782349</v>
      </c>
      <c r="L1421" s="61" t="str">
        <f>IFERROR(INDEX('Facility Summary'!$K:$K,MATCH(K1421,'Facility Summary'!$J:$J,0)),INDEX('Raw Annual DMR Data'!$M:$M,MATCH(K1421,'Raw Annual DMR Data'!$L:$L,0)))</f>
        <v>POTW</v>
      </c>
      <c r="M1421" s="28"/>
      <c r="N1421" s="28"/>
      <c r="O1421" s="28"/>
      <c r="P1421" s="28"/>
      <c r="Q1421" s="28"/>
      <c r="R1421" s="28"/>
      <c r="S1421" s="28">
        <v>8.4731009999999995E-2</v>
      </c>
    </row>
    <row r="1422" spans="1:19" x14ac:dyDescent="0.25">
      <c r="A1422" s="28">
        <v>2015</v>
      </c>
      <c r="B1422" s="28"/>
      <c r="C1422" s="28" t="s">
        <v>203</v>
      </c>
      <c r="D1422" s="28" t="s">
        <v>669</v>
      </c>
      <c r="E1422" s="28" t="s">
        <v>348</v>
      </c>
      <c r="F1422" s="28" t="s">
        <v>349</v>
      </c>
      <c r="G1422" s="28">
        <v>63461</v>
      </c>
      <c r="H1422" s="28">
        <v>39.828163000000004</v>
      </c>
      <c r="I1422" s="28">
        <v>-91.436942000000002</v>
      </c>
      <c r="J1422" s="28"/>
      <c r="K1422" s="61">
        <v>110040330718</v>
      </c>
      <c r="L1422" s="61" t="str">
        <f>IFERROR(INDEX('Facility Summary'!$K:$K,MATCH(K1422,'Facility Summary'!$J:$J,0)),INDEX('Raw Annual DMR Data'!$M:$M,MATCH(K1422,'Raw Annual DMR Data'!$L:$L,0)))</f>
        <v>Unknown</v>
      </c>
      <c r="M1422" s="28"/>
      <c r="N1422" s="28"/>
      <c r="O1422" s="28"/>
      <c r="P1422" s="28"/>
      <c r="Q1422" s="28"/>
      <c r="R1422" s="28"/>
      <c r="S1422" s="28">
        <v>6.2304884999999997E-2</v>
      </c>
    </row>
    <row r="1423" spans="1:19" x14ac:dyDescent="0.25">
      <c r="A1423" s="28">
        <v>2015</v>
      </c>
      <c r="B1423" s="28"/>
      <c r="C1423" s="28" t="s">
        <v>1442</v>
      </c>
      <c r="D1423" s="28" t="s">
        <v>2386</v>
      </c>
      <c r="E1423" s="28" t="s">
        <v>1443</v>
      </c>
      <c r="F1423" s="28" t="s">
        <v>450</v>
      </c>
      <c r="G1423" s="28">
        <v>14580</v>
      </c>
      <c r="H1423" s="28">
        <v>43.227834000000001</v>
      </c>
      <c r="I1423" s="28">
        <v>-77.411534000000003</v>
      </c>
      <c r="J1423" s="28" t="s">
        <v>740</v>
      </c>
      <c r="K1423" s="61">
        <v>110000327799</v>
      </c>
      <c r="L1423" s="61" t="str">
        <f>IFERROR(INDEX('Facility Summary'!$K:$K,MATCH(K1423,'Facility Summary'!$J:$J,0)),INDEX('Raw Annual DMR Data'!$M:$M,MATCH(K1423,'Raw Annual DMR Data'!$L:$L,0)))</f>
        <v>Unknown</v>
      </c>
      <c r="M1423" s="28"/>
      <c r="N1423" s="28"/>
      <c r="O1423" s="28"/>
      <c r="P1423" s="28"/>
      <c r="Q1423" s="28"/>
      <c r="R1423" s="28"/>
      <c r="S1423" s="28">
        <v>2.68709285467E-2</v>
      </c>
    </row>
    <row r="1424" spans="1:19" x14ac:dyDescent="0.25">
      <c r="A1424" s="28">
        <v>2015</v>
      </c>
      <c r="B1424" s="28"/>
      <c r="C1424" s="28" t="s">
        <v>1442</v>
      </c>
      <c r="D1424" s="28" t="s">
        <v>2386</v>
      </c>
      <c r="E1424" s="28" t="s">
        <v>1443</v>
      </c>
      <c r="F1424" s="28" t="s">
        <v>450</v>
      </c>
      <c r="G1424" s="28">
        <v>14580</v>
      </c>
      <c r="H1424" s="28">
        <v>43.227834000000001</v>
      </c>
      <c r="I1424" s="28">
        <v>-77.411534000000003</v>
      </c>
      <c r="J1424" s="28" t="s">
        <v>740</v>
      </c>
      <c r="K1424" s="61">
        <v>110000327799</v>
      </c>
      <c r="L1424" s="61" t="str">
        <f>IFERROR(INDEX('Facility Summary'!$K:$K,MATCH(K1424,'Facility Summary'!$J:$J,0)),INDEX('Raw Annual DMR Data'!$M:$M,MATCH(K1424,'Raw Annual DMR Data'!$L:$L,0)))</f>
        <v>Unknown</v>
      </c>
      <c r="M1424" s="28"/>
      <c r="N1424" s="28"/>
      <c r="O1424" s="28"/>
      <c r="P1424" s="28"/>
      <c r="Q1424" s="28"/>
      <c r="R1424" s="28"/>
      <c r="S1424" s="28">
        <v>3.0467491867500002E-2</v>
      </c>
    </row>
    <row r="1425" spans="1:19" x14ac:dyDescent="0.25">
      <c r="A1425" s="28">
        <v>2015</v>
      </c>
      <c r="B1425" s="28"/>
      <c r="C1425" s="28" t="s">
        <v>1442</v>
      </c>
      <c r="D1425" s="28" t="s">
        <v>2386</v>
      </c>
      <c r="E1425" s="28" t="s">
        <v>1443</v>
      </c>
      <c r="F1425" s="28" t="s">
        <v>450</v>
      </c>
      <c r="G1425" s="28">
        <v>14580</v>
      </c>
      <c r="H1425" s="28">
        <v>43.227834000000001</v>
      </c>
      <c r="I1425" s="28">
        <v>-77.411534000000003</v>
      </c>
      <c r="J1425" s="28" t="s">
        <v>740</v>
      </c>
      <c r="K1425" s="61">
        <v>110000327799</v>
      </c>
      <c r="L1425" s="61" t="str">
        <f>IFERROR(INDEX('Facility Summary'!$K:$K,MATCH(K1425,'Facility Summary'!$J:$J,0)),INDEX('Raw Annual DMR Data'!$M:$M,MATCH(K1425,'Raw Annual DMR Data'!$L:$L,0)))</f>
        <v>Unknown</v>
      </c>
      <c r="M1425" s="28"/>
      <c r="N1425" s="28"/>
      <c r="O1425" s="28"/>
      <c r="P1425" s="28"/>
      <c r="Q1425" s="28"/>
      <c r="R1425" s="28"/>
      <c r="S1425" s="28">
        <v>1.8177116560462499E-2</v>
      </c>
    </row>
    <row r="1426" spans="1:19" x14ac:dyDescent="0.25">
      <c r="A1426" s="28">
        <v>2016</v>
      </c>
      <c r="B1426" s="28"/>
      <c r="C1426" s="28" t="s">
        <v>1442</v>
      </c>
      <c r="D1426" s="28" t="s">
        <v>2386</v>
      </c>
      <c r="E1426" s="28" t="s">
        <v>1443</v>
      </c>
      <c r="F1426" s="28" t="s">
        <v>450</v>
      </c>
      <c r="G1426" s="28">
        <v>14580</v>
      </c>
      <c r="H1426" s="28">
        <v>43.227834000000001</v>
      </c>
      <c r="I1426" s="28">
        <v>-77.411534000000003</v>
      </c>
      <c r="J1426" s="28" t="s">
        <v>740</v>
      </c>
      <c r="K1426" s="61">
        <v>110000327799</v>
      </c>
      <c r="L1426" s="61" t="str">
        <f>IFERROR(INDEX('Facility Summary'!$K:$K,MATCH(K1426,'Facility Summary'!$J:$J,0)),INDEX('Raw Annual DMR Data'!$M:$M,MATCH(K1426,'Raw Annual DMR Data'!$L:$L,0)))</f>
        <v>Unknown</v>
      </c>
      <c r="M1426" s="28"/>
      <c r="N1426" s="28"/>
      <c r="O1426" s="28"/>
      <c r="P1426" s="28"/>
      <c r="Q1426" s="28"/>
      <c r="R1426" s="28"/>
      <c r="S1426" s="28">
        <v>3.6247374603499999E-2</v>
      </c>
    </row>
    <row r="1427" spans="1:19" x14ac:dyDescent="0.25">
      <c r="A1427" s="28">
        <v>2016</v>
      </c>
      <c r="B1427" s="28"/>
      <c r="C1427" s="28" t="s">
        <v>1442</v>
      </c>
      <c r="D1427" s="28" t="s">
        <v>2386</v>
      </c>
      <c r="E1427" s="28" t="s">
        <v>1443</v>
      </c>
      <c r="F1427" s="28" t="s">
        <v>450</v>
      </c>
      <c r="G1427" s="28">
        <v>14580</v>
      </c>
      <c r="H1427" s="28">
        <v>43.227834000000001</v>
      </c>
      <c r="I1427" s="28">
        <v>-77.411534000000003</v>
      </c>
      <c r="J1427" s="28" t="s">
        <v>740</v>
      </c>
      <c r="K1427" s="61">
        <v>110000327799</v>
      </c>
      <c r="L1427" s="61" t="str">
        <f>IFERROR(INDEX('Facility Summary'!$K:$K,MATCH(K1427,'Facility Summary'!$J:$J,0)),INDEX('Raw Annual DMR Data'!$M:$M,MATCH(K1427,'Raw Annual DMR Data'!$L:$L,0)))</f>
        <v>Unknown</v>
      </c>
      <c r="M1427" s="28"/>
      <c r="N1427" s="28"/>
      <c r="O1427" s="28"/>
      <c r="P1427" s="28"/>
      <c r="Q1427" s="28"/>
      <c r="R1427" s="28"/>
      <c r="S1427" s="28">
        <v>6.4916270050000002E-2</v>
      </c>
    </row>
    <row r="1428" spans="1:19" x14ac:dyDescent="0.25">
      <c r="A1428" s="28">
        <v>2016</v>
      </c>
      <c r="B1428" s="28"/>
      <c r="C1428" s="28" t="s">
        <v>1442</v>
      </c>
      <c r="D1428" s="28" t="s">
        <v>2386</v>
      </c>
      <c r="E1428" s="28" t="s">
        <v>1443</v>
      </c>
      <c r="F1428" s="28" t="s">
        <v>450</v>
      </c>
      <c r="G1428" s="28">
        <v>14580</v>
      </c>
      <c r="H1428" s="28">
        <v>43.227834000000001</v>
      </c>
      <c r="I1428" s="28">
        <v>-77.411534000000003</v>
      </c>
      <c r="J1428" s="28" t="s">
        <v>740</v>
      </c>
      <c r="K1428" s="61">
        <v>110000327799</v>
      </c>
      <c r="L1428" s="61" t="str">
        <f>IFERROR(INDEX('Facility Summary'!$K:$K,MATCH(K1428,'Facility Summary'!$J:$J,0)),INDEX('Raw Annual DMR Data'!$M:$M,MATCH(K1428,'Raw Annual DMR Data'!$L:$L,0)))</f>
        <v>Unknown</v>
      </c>
      <c r="M1428" s="28"/>
      <c r="N1428" s="28"/>
      <c r="O1428" s="28"/>
      <c r="P1428" s="28"/>
      <c r="Q1428" s="28"/>
      <c r="R1428" s="28"/>
      <c r="S1428" s="28">
        <v>1.92049291375E-2</v>
      </c>
    </row>
    <row r="1429" spans="1:19" x14ac:dyDescent="0.25">
      <c r="A1429" s="28">
        <v>2017</v>
      </c>
      <c r="B1429" s="28"/>
      <c r="C1429" s="28" t="s">
        <v>1442</v>
      </c>
      <c r="D1429" s="28" t="s">
        <v>2386</v>
      </c>
      <c r="E1429" s="28" t="s">
        <v>1443</v>
      </c>
      <c r="F1429" s="28" t="s">
        <v>450</v>
      </c>
      <c r="G1429" s="28">
        <v>14580</v>
      </c>
      <c r="H1429" s="28">
        <v>43.227834000000001</v>
      </c>
      <c r="I1429" s="28">
        <v>-77.411534000000003</v>
      </c>
      <c r="J1429" s="28" t="s">
        <v>740</v>
      </c>
      <c r="K1429" s="61">
        <v>110000327799</v>
      </c>
      <c r="L1429" s="61" t="str">
        <f>IFERROR(INDEX('Facility Summary'!$K:$K,MATCH(K1429,'Facility Summary'!$J:$J,0)),INDEX('Raw Annual DMR Data'!$M:$M,MATCH(K1429,'Raw Annual DMR Data'!$L:$L,0)))</f>
        <v>Unknown</v>
      </c>
      <c r="M1429" s="28"/>
      <c r="N1429" s="28"/>
      <c r="O1429" s="28"/>
      <c r="P1429" s="28"/>
      <c r="Q1429" s="28"/>
      <c r="R1429" s="28"/>
      <c r="S1429" s="28">
        <v>0.10075249864999999</v>
      </c>
    </row>
    <row r="1430" spans="1:19" x14ac:dyDescent="0.25">
      <c r="A1430" s="28">
        <v>2017</v>
      </c>
      <c r="B1430" s="28"/>
      <c r="C1430" s="28" t="s">
        <v>1442</v>
      </c>
      <c r="D1430" s="28" t="s">
        <v>2386</v>
      </c>
      <c r="E1430" s="28" t="s">
        <v>1443</v>
      </c>
      <c r="F1430" s="28" t="s">
        <v>450</v>
      </c>
      <c r="G1430" s="28">
        <v>14580</v>
      </c>
      <c r="H1430" s="28">
        <v>43.227834000000001</v>
      </c>
      <c r="I1430" s="28">
        <v>-77.411534000000003</v>
      </c>
      <c r="J1430" s="28" t="s">
        <v>740</v>
      </c>
      <c r="K1430" s="61">
        <v>110000327799</v>
      </c>
      <c r="L1430" s="61" t="str">
        <f>IFERROR(INDEX('Facility Summary'!$K:$K,MATCH(K1430,'Facility Summary'!$J:$J,0)),INDEX('Raw Annual DMR Data'!$M:$M,MATCH(K1430,'Raw Annual DMR Data'!$L:$L,0)))</f>
        <v>Unknown</v>
      </c>
      <c r="M1430" s="28"/>
      <c r="N1430" s="28"/>
      <c r="O1430" s="28"/>
      <c r="P1430" s="28"/>
      <c r="Q1430" s="28"/>
      <c r="R1430" s="28"/>
      <c r="S1430" s="28">
        <v>6.0530377889775E-2</v>
      </c>
    </row>
    <row r="1431" spans="1:19" x14ac:dyDescent="0.25">
      <c r="A1431" s="28">
        <v>2017</v>
      </c>
      <c r="B1431" s="28"/>
      <c r="C1431" s="28" t="s">
        <v>1442</v>
      </c>
      <c r="D1431" s="28" t="s">
        <v>2386</v>
      </c>
      <c r="E1431" s="28" t="s">
        <v>1443</v>
      </c>
      <c r="F1431" s="28" t="s">
        <v>450</v>
      </c>
      <c r="G1431" s="28">
        <v>14580</v>
      </c>
      <c r="H1431" s="28">
        <v>43.227834000000001</v>
      </c>
      <c r="I1431" s="28">
        <v>-77.411534000000003</v>
      </c>
      <c r="J1431" s="28" t="s">
        <v>740</v>
      </c>
      <c r="K1431" s="61">
        <v>110000327799</v>
      </c>
      <c r="L1431" s="61" t="str">
        <f>IFERROR(INDEX('Facility Summary'!$K:$K,MATCH(K1431,'Facility Summary'!$J:$J,0)),INDEX('Raw Annual DMR Data'!$M:$M,MATCH(K1431,'Raw Annual DMR Data'!$L:$L,0)))</f>
        <v>Unknown</v>
      </c>
      <c r="M1431" s="28"/>
      <c r="N1431" s="28"/>
      <c r="O1431" s="28"/>
      <c r="P1431" s="28"/>
      <c r="Q1431" s="28"/>
      <c r="R1431" s="28"/>
      <c r="S1431" s="28">
        <v>3.4848702039500003E-2</v>
      </c>
    </row>
    <row r="1432" spans="1:19" x14ac:dyDescent="0.25">
      <c r="A1432" s="28">
        <v>2018</v>
      </c>
      <c r="B1432" s="28"/>
      <c r="C1432" s="28" t="s">
        <v>1442</v>
      </c>
      <c r="D1432" s="28" t="s">
        <v>2386</v>
      </c>
      <c r="E1432" s="28" t="s">
        <v>1443</v>
      </c>
      <c r="F1432" s="28" t="s">
        <v>450</v>
      </c>
      <c r="G1432" s="28">
        <v>14580</v>
      </c>
      <c r="H1432" s="28">
        <v>43.227834000000001</v>
      </c>
      <c r="I1432" s="28">
        <v>-77.411534000000003</v>
      </c>
      <c r="J1432" s="28" t="s">
        <v>740</v>
      </c>
      <c r="K1432" s="61">
        <v>110000327799</v>
      </c>
      <c r="L1432" s="61" t="str">
        <f>IFERROR(INDEX('Facility Summary'!$K:$K,MATCH(K1432,'Facility Summary'!$J:$J,0)),INDEX('Raw Annual DMR Data'!$M:$M,MATCH(K1432,'Raw Annual DMR Data'!$L:$L,0)))</f>
        <v>Unknown</v>
      </c>
      <c r="M1432" s="28"/>
      <c r="N1432" s="28"/>
      <c r="O1432" s="28"/>
      <c r="P1432" s="28"/>
      <c r="Q1432" s="28"/>
      <c r="R1432" s="28"/>
      <c r="S1432" s="28">
        <v>3.814436702E-2</v>
      </c>
    </row>
    <row r="1433" spans="1:19" x14ac:dyDescent="0.25">
      <c r="A1433" s="28">
        <v>2018</v>
      </c>
      <c r="B1433" s="28"/>
      <c r="C1433" s="28" t="s">
        <v>1442</v>
      </c>
      <c r="D1433" s="28" t="s">
        <v>2386</v>
      </c>
      <c r="E1433" s="28" t="s">
        <v>1443</v>
      </c>
      <c r="F1433" s="28" t="s">
        <v>450</v>
      </c>
      <c r="G1433" s="28">
        <v>14580</v>
      </c>
      <c r="H1433" s="28">
        <v>43.227834000000001</v>
      </c>
      <c r="I1433" s="28">
        <v>-77.411534000000003</v>
      </c>
      <c r="J1433" s="28" t="s">
        <v>740</v>
      </c>
      <c r="K1433" s="61">
        <v>110000327799</v>
      </c>
      <c r="L1433" s="61" t="str">
        <f>IFERROR(INDEX('Facility Summary'!$K:$K,MATCH(K1433,'Facility Summary'!$J:$J,0)),INDEX('Raw Annual DMR Data'!$M:$M,MATCH(K1433,'Raw Annual DMR Data'!$L:$L,0)))</f>
        <v>Unknown</v>
      </c>
      <c r="M1433" s="28"/>
      <c r="N1433" s="28"/>
      <c r="O1433" s="28"/>
      <c r="P1433" s="28"/>
      <c r="Q1433" s="28"/>
      <c r="R1433" s="28"/>
      <c r="S1433" s="28">
        <v>0.10050661748</v>
      </c>
    </row>
    <row r="1434" spans="1:19" x14ac:dyDescent="0.25">
      <c r="A1434" s="28">
        <v>2018</v>
      </c>
      <c r="B1434" s="28"/>
      <c r="C1434" s="28" t="s">
        <v>1442</v>
      </c>
      <c r="D1434" s="28" t="s">
        <v>2386</v>
      </c>
      <c r="E1434" s="28" t="s">
        <v>1443</v>
      </c>
      <c r="F1434" s="28" t="s">
        <v>450</v>
      </c>
      <c r="G1434" s="28">
        <v>14580</v>
      </c>
      <c r="H1434" s="28">
        <v>43.227834000000001</v>
      </c>
      <c r="I1434" s="28">
        <v>-77.411534000000003</v>
      </c>
      <c r="J1434" s="28" t="s">
        <v>740</v>
      </c>
      <c r="K1434" s="61">
        <v>110000327799</v>
      </c>
      <c r="L1434" s="61" t="str">
        <f>IFERROR(INDEX('Facility Summary'!$K:$K,MATCH(K1434,'Facility Summary'!$J:$J,0)),INDEX('Raw Annual DMR Data'!$M:$M,MATCH(K1434,'Raw Annual DMR Data'!$L:$L,0)))</f>
        <v>Unknown</v>
      </c>
      <c r="M1434" s="28"/>
      <c r="N1434" s="28"/>
      <c r="O1434" s="28"/>
      <c r="P1434" s="28"/>
      <c r="Q1434" s="28"/>
      <c r="R1434" s="28"/>
      <c r="S1434" s="28">
        <v>6.4942272999999995E-2</v>
      </c>
    </row>
    <row r="1435" spans="1:19" x14ac:dyDescent="0.25">
      <c r="A1435" s="28">
        <v>2019</v>
      </c>
      <c r="B1435" s="28"/>
      <c r="C1435" s="28" t="s">
        <v>1442</v>
      </c>
      <c r="D1435" s="28" t="s">
        <v>2386</v>
      </c>
      <c r="E1435" s="28" t="s">
        <v>1443</v>
      </c>
      <c r="F1435" s="28" t="s">
        <v>450</v>
      </c>
      <c r="G1435" s="28">
        <v>14580</v>
      </c>
      <c r="H1435" s="28">
        <v>43.227834000000001</v>
      </c>
      <c r="I1435" s="28">
        <v>-77.411534000000003</v>
      </c>
      <c r="J1435" s="28" t="s">
        <v>740</v>
      </c>
      <c r="K1435" s="61">
        <v>110000327799</v>
      </c>
      <c r="L1435" s="61" t="str">
        <f>IFERROR(INDEX('Facility Summary'!$K:$K,MATCH(K1435,'Facility Summary'!$J:$J,0)),INDEX('Raw Annual DMR Data'!$M:$M,MATCH(K1435,'Raw Annual DMR Data'!$L:$L,0)))</f>
        <v>Unknown</v>
      </c>
      <c r="M1435" s="28"/>
      <c r="N1435" s="28"/>
      <c r="O1435" s="28"/>
      <c r="P1435" s="28"/>
      <c r="Q1435" s="28"/>
      <c r="R1435" s="28"/>
      <c r="S1435" s="28">
        <v>6.7627579100000001E-2</v>
      </c>
    </row>
    <row r="1436" spans="1:19" x14ac:dyDescent="0.25">
      <c r="A1436" s="28">
        <v>2019</v>
      </c>
      <c r="B1436" s="28"/>
      <c r="C1436" s="28" t="s">
        <v>1442</v>
      </c>
      <c r="D1436" s="28" t="s">
        <v>2386</v>
      </c>
      <c r="E1436" s="28" t="s">
        <v>1443</v>
      </c>
      <c r="F1436" s="28" t="s">
        <v>450</v>
      </c>
      <c r="G1436" s="28">
        <v>14580</v>
      </c>
      <c r="H1436" s="28">
        <v>43.227834000000001</v>
      </c>
      <c r="I1436" s="28">
        <v>-77.411534000000003</v>
      </c>
      <c r="J1436" s="28" t="s">
        <v>740</v>
      </c>
      <c r="K1436" s="61">
        <v>110000327799</v>
      </c>
      <c r="L1436" s="61" t="str">
        <f>IFERROR(INDEX('Facility Summary'!$K:$K,MATCH(K1436,'Facility Summary'!$J:$J,0)),INDEX('Raw Annual DMR Data'!$M:$M,MATCH(K1436,'Raw Annual DMR Data'!$L:$L,0)))</f>
        <v>Unknown</v>
      </c>
      <c r="M1436" s="28"/>
      <c r="N1436" s="28"/>
      <c r="O1436" s="28"/>
      <c r="P1436" s="28"/>
      <c r="Q1436" s="28"/>
      <c r="R1436" s="28"/>
      <c r="S1436" s="28">
        <v>0.21448535199999999</v>
      </c>
    </row>
    <row r="1437" spans="1:19" x14ac:dyDescent="0.25">
      <c r="A1437" s="28">
        <v>2019</v>
      </c>
      <c r="B1437" s="28"/>
      <c r="C1437" s="28" t="s">
        <v>1442</v>
      </c>
      <c r="D1437" s="28" t="s">
        <v>2386</v>
      </c>
      <c r="E1437" s="28" t="s">
        <v>1443</v>
      </c>
      <c r="F1437" s="28" t="s">
        <v>450</v>
      </c>
      <c r="G1437" s="28">
        <v>14580</v>
      </c>
      <c r="H1437" s="28">
        <v>43.227834000000001</v>
      </c>
      <c r="I1437" s="28">
        <v>-77.411534000000003</v>
      </c>
      <c r="J1437" s="28" t="s">
        <v>740</v>
      </c>
      <c r="K1437" s="61">
        <v>110000327799</v>
      </c>
      <c r="L1437" s="61" t="str">
        <f>IFERROR(INDEX('Facility Summary'!$K:$K,MATCH(K1437,'Facility Summary'!$J:$J,0)),INDEX('Raw Annual DMR Data'!$M:$M,MATCH(K1437,'Raw Annual DMR Data'!$L:$L,0)))</f>
        <v>Unknown</v>
      </c>
      <c r="M1437" s="28"/>
      <c r="N1437" s="28"/>
      <c r="O1437" s="28"/>
      <c r="P1437" s="28"/>
      <c r="Q1437" s="28"/>
      <c r="R1437" s="28"/>
      <c r="S1437" s="28">
        <v>0.12497444718</v>
      </c>
    </row>
    <row r="1438" spans="1:19" x14ac:dyDescent="0.25">
      <c r="A1438" s="28">
        <v>2020</v>
      </c>
      <c r="B1438" s="28"/>
      <c r="C1438" s="28" t="s">
        <v>1442</v>
      </c>
      <c r="D1438" s="28" t="s">
        <v>2386</v>
      </c>
      <c r="E1438" s="28" t="s">
        <v>1443</v>
      </c>
      <c r="F1438" s="28" t="s">
        <v>450</v>
      </c>
      <c r="G1438" s="28">
        <v>14580</v>
      </c>
      <c r="H1438" s="28">
        <v>43.227834000000001</v>
      </c>
      <c r="I1438" s="28">
        <v>-77.411534000000003</v>
      </c>
      <c r="J1438" s="28" t="s">
        <v>740</v>
      </c>
      <c r="K1438" s="61">
        <v>110000327799</v>
      </c>
      <c r="L1438" s="61" t="str">
        <f>IFERROR(INDEX('Facility Summary'!$K:$K,MATCH(K1438,'Facility Summary'!$J:$J,0)),INDEX('Raw Annual DMR Data'!$M:$M,MATCH(K1438,'Raw Annual DMR Data'!$L:$L,0)))</f>
        <v>Unknown</v>
      </c>
      <c r="M1438" s="28"/>
      <c r="N1438" s="28"/>
      <c r="O1438" s="28"/>
      <c r="P1438" s="28"/>
      <c r="Q1438" s="28"/>
      <c r="R1438" s="28"/>
      <c r="S1438" s="28">
        <v>0.21598643833699999</v>
      </c>
    </row>
    <row r="1439" spans="1:19" x14ac:dyDescent="0.25">
      <c r="A1439" s="28">
        <v>2020</v>
      </c>
      <c r="B1439" s="28"/>
      <c r="C1439" s="28" t="s">
        <v>1442</v>
      </c>
      <c r="D1439" s="28" t="s">
        <v>2386</v>
      </c>
      <c r="E1439" s="28" t="s">
        <v>1443</v>
      </c>
      <c r="F1439" s="28" t="s">
        <v>450</v>
      </c>
      <c r="G1439" s="28">
        <v>14580</v>
      </c>
      <c r="H1439" s="28">
        <v>43.227834000000001</v>
      </c>
      <c r="I1439" s="28">
        <v>-77.411534000000003</v>
      </c>
      <c r="J1439" s="28" t="s">
        <v>740</v>
      </c>
      <c r="K1439" s="61">
        <v>110000327799</v>
      </c>
      <c r="L1439" s="61" t="str">
        <f>IFERROR(INDEX('Facility Summary'!$K:$K,MATCH(K1439,'Facility Summary'!$J:$J,0)),INDEX('Raw Annual DMR Data'!$M:$M,MATCH(K1439,'Raw Annual DMR Data'!$L:$L,0)))</f>
        <v>Unknown</v>
      </c>
      <c r="M1439" s="28"/>
      <c r="N1439" s="28"/>
      <c r="O1439" s="28"/>
      <c r="P1439" s="28"/>
      <c r="Q1439" s="28"/>
      <c r="R1439" s="28"/>
      <c r="S1439" s="28">
        <v>6.0500317363000003E-2</v>
      </c>
    </row>
    <row r="1440" spans="1:19" x14ac:dyDescent="0.25">
      <c r="A1440" s="28">
        <v>2020</v>
      </c>
      <c r="B1440" s="28"/>
      <c r="C1440" s="28" t="s">
        <v>1442</v>
      </c>
      <c r="D1440" s="28" t="s">
        <v>2386</v>
      </c>
      <c r="E1440" s="28" t="s">
        <v>1443</v>
      </c>
      <c r="F1440" s="28" t="s">
        <v>450</v>
      </c>
      <c r="G1440" s="28">
        <v>14580</v>
      </c>
      <c r="H1440" s="28">
        <v>43.227834000000001</v>
      </c>
      <c r="I1440" s="28">
        <v>-77.411534000000003</v>
      </c>
      <c r="J1440" s="28" t="s">
        <v>740</v>
      </c>
      <c r="K1440" s="61">
        <v>110000327799</v>
      </c>
      <c r="L1440" s="61" t="str">
        <f>IFERROR(INDEX('Facility Summary'!$K:$K,MATCH(K1440,'Facility Summary'!$J:$J,0)),INDEX('Raw Annual DMR Data'!$M:$M,MATCH(K1440,'Raw Annual DMR Data'!$L:$L,0)))</f>
        <v>Unknown</v>
      </c>
      <c r="M1440" s="28"/>
      <c r="N1440" s="28"/>
      <c r="O1440" s="28"/>
      <c r="P1440" s="28"/>
      <c r="Q1440" s="28"/>
      <c r="R1440" s="28"/>
      <c r="S1440" s="28">
        <v>8.7600778074999996E-2</v>
      </c>
    </row>
    <row r="1441" spans="1:19" x14ac:dyDescent="0.25">
      <c r="A1441" s="28">
        <v>2018</v>
      </c>
      <c r="B1441" s="28"/>
      <c r="C1441" s="28" t="s">
        <v>1034</v>
      </c>
      <c r="D1441" s="28" t="s">
        <v>1594</v>
      </c>
      <c r="E1441" s="28" t="s">
        <v>1035</v>
      </c>
      <c r="F1441" s="28" t="s">
        <v>374</v>
      </c>
      <c r="G1441" s="28" t="s">
        <v>1595</v>
      </c>
      <c r="H1441" s="28">
        <v>32.9011</v>
      </c>
      <c r="I1441" s="28">
        <v>-111.78749999999999</v>
      </c>
      <c r="J1441" s="28"/>
      <c r="K1441" s="61">
        <v>110022287210</v>
      </c>
      <c r="L1441" s="61" t="str">
        <f>IFERROR(INDEX('Facility Summary'!$K:$K,MATCH(K1441,'Facility Summary'!$J:$J,0)),INDEX('Raw Annual DMR Data'!$M:$M,MATCH(K1441,'Raw Annual DMR Data'!$L:$L,0)))</f>
        <v>POTW</v>
      </c>
      <c r="M1441" s="28"/>
      <c r="N1441" s="28"/>
      <c r="O1441" s="28"/>
      <c r="P1441" s="28"/>
      <c r="Q1441" s="28"/>
      <c r="R1441" s="28"/>
      <c r="S1441" s="28">
        <v>9.9469799999999999</v>
      </c>
    </row>
    <row r="1442" spans="1:19" x14ac:dyDescent="0.25">
      <c r="A1442" s="28">
        <v>2016</v>
      </c>
      <c r="B1442" s="28"/>
      <c r="C1442" s="28" t="s">
        <v>1058</v>
      </c>
      <c r="D1442" s="28" t="s">
        <v>1638</v>
      </c>
      <c r="E1442" s="28" t="s">
        <v>1059</v>
      </c>
      <c r="F1442" s="28" t="s">
        <v>374</v>
      </c>
      <c r="G1442" s="28">
        <v>85350</v>
      </c>
      <c r="H1442" s="28">
        <v>32.589804000000001</v>
      </c>
      <c r="I1442" s="28">
        <v>-114.726901</v>
      </c>
      <c r="J1442" s="28"/>
      <c r="K1442" s="61">
        <v>110006785229</v>
      </c>
      <c r="L1442" s="61" t="str">
        <f>IFERROR(INDEX('Facility Summary'!$K:$K,MATCH(K1442,'Facility Summary'!$J:$J,0)),INDEX('Raw Annual DMR Data'!$M:$M,MATCH(K1442,'Raw Annual DMR Data'!$L:$L,0)))</f>
        <v>POTW</v>
      </c>
      <c r="M1442" s="28"/>
      <c r="N1442" s="28"/>
      <c r="O1442" s="28"/>
      <c r="P1442" s="28"/>
      <c r="Q1442" s="28"/>
      <c r="R1442" s="28"/>
      <c r="S1442" s="28">
        <v>1.3538945</v>
      </c>
    </row>
    <row r="1443" spans="1:19" x14ac:dyDescent="0.25">
      <c r="A1443" s="28">
        <v>2017</v>
      </c>
      <c r="B1443" s="28"/>
      <c r="C1443" s="28" t="s">
        <v>1058</v>
      </c>
      <c r="D1443" s="28" t="s">
        <v>1638</v>
      </c>
      <c r="E1443" s="28" t="s">
        <v>1059</v>
      </c>
      <c r="F1443" s="28" t="s">
        <v>374</v>
      </c>
      <c r="G1443" s="28">
        <v>85350</v>
      </c>
      <c r="H1443" s="28">
        <v>32.589804000000001</v>
      </c>
      <c r="I1443" s="28">
        <v>-114.726901</v>
      </c>
      <c r="J1443" s="28"/>
      <c r="K1443" s="61">
        <v>110006785229</v>
      </c>
      <c r="L1443" s="61" t="str">
        <f>IFERROR(INDEX('Facility Summary'!$K:$K,MATCH(K1443,'Facility Summary'!$J:$J,0)),INDEX('Raw Annual DMR Data'!$M:$M,MATCH(K1443,'Raw Annual DMR Data'!$L:$L,0)))</f>
        <v>POTW</v>
      </c>
      <c r="M1443" s="28"/>
      <c r="N1443" s="28"/>
      <c r="O1443" s="28"/>
      <c r="P1443" s="28"/>
      <c r="Q1443" s="28"/>
      <c r="R1443" s="28"/>
      <c r="S1443" s="28">
        <v>1.178440825</v>
      </c>
    </row>
    <row r="1444" spans="1:19" x14ac:dyDescent="0.25">
      <c r="A1444" s="28">
        <v>2018</v>
      </c>
      <c r="B1444" s="28"/>
      <c r="C1444" s="28" t="s">
        <v>1058</v>
      </c>
      <c r="D1444" s="28" t="s">
        <v>1638</v>
      </c>
      <c r="E1444" s="28" t="s">
        <v>1059</v>
      </c>
      <c r="F1444" s="28" t="s">
        <v>374</v>
      </c>
      <c r="G1444" s="28">
        <v>85350</v>
      </c>
      <c r="H1444" s="28">
        <v>32.589804000000001</v>
      </c>
      <c r="I1444" s="28">
        <v>-114.726901</v>
      </c>
      <c r="J1444" s="28"/>
      <c r="K1444" s="61">
        <v>110006785229</v>
      </c>
      <c r="L1444" s="61" t="str">
        <f>IFERROR(INDEX('Facility Summary'!$K:$K,MATCH(K1444,'Facility Summary'!$J:$J,0)),INDEX('Raw Annual DMR Data'!$M:$M,MATCH(K1444,'Raw Annual DMR Data'!$L:$L,0)))</f>
        <v>POTW</v>
      </c>
      <c r="M1444" s="28"/>
      <c r="N1444" s="28"/>
      <c r="O1444" s="28"/>
      <c r="P1444" s="28"/>
      <c r="Q1444" s="28"/>
      <c r="R1444" s="28"/>
      <c r="S1444" s="28">
        <v>1.0610112</v>
      </c>
    </row>
    <row r="1445" spans="1:19" x14ac:dyDescent="0.25">
      <c r="A1445" s="28">
        <v>2021</v>
      </c>
      <c r="B1445" s="28" t="s">
        <v>2405</v>
      </c>
      <c r="C1445" s="28" t="s">
        <v>206</v>
      </c>
      <c r="D1445" s="28" t="s">
        <v>347</v>
      </c>
      <c r="E1445" s="28" t="s">
        <v>348</v>
      </c>
      <c r="F1445" s="28" t="s">
        <v>349</v>
      </c>
      <c r="G1445" s="28">
        <v>63461</v>
      </c>
      <c r="H1445" s="28">
        <v>39.834117999999997</v>
      </c>
      <c r="I1445" s="28">
        <v>-91.436790999999999</v>
      </c>
      <c r="J1445" s="28" t="s">
        <v>350</v>
      </c>
      <c r="K1445" s="61">
        <v>110056953765</v>
      </c>
      <c r="L1445" s="61" t="str">
        <f>IFERROR(INDEX('Facility Summary'!$K:$K,MATCH(K1445,'Facility Summary'!$J:$J,0)),INDEX('Raw Annual DMR Data'!$M:$M,MATCH(K1445,'Raw Annual DMR Data'!$L:$L,0)))</f>
        <v>Processing into formulation, mixture, or reaction product</v>
      </c>
      <c r="M1445" s="28">
        <v>325320</v>
      </c>
      <c r="N1445" s="28" t="str">
        <f>VLOOKUP(M1445,'SIC &amp; NAICS Codes'!$D:$E,2,FALSE)</f>
        <v>Pesticide and Other Agricultural Chemical Manufacturing</v>
      </c>
      <c r="O1445" s="28"/>
      <c r="P1445" s="28"/>
      <c r="Q1445" s="28"/>
      <c r="R1445" s="28">
        <v>5</v>
      </c>
      <c r="S1445" s="28">
        <f>CONVERT(R1445,"lbm","g")/1000</f>
        <v>2.2679618500000003</v>
      </c>
    </row>
    <row r="1446" spans="1:19" x14ac:dyDescent="0.25">
      <c r="A1446" s="28">
        <v>2021</v>
      </c>
      <c r="B1446" s="28" t="s">
        <v>2405</v>
      </c>
      <c r="C1446" s="28" t="s">
        <v>7358</v>
      </c>
      <c r="D1446" s="28" t="s">
        <v>562</v>
      </c>
      <c r="E1446" s="28" t="s">
        <v>563</v>
      </c>
      <c r="F1446" s="28" t="s">
        <v>564</v>
      </c>
      <c r="G1446" s="28">
        <v>52761</v>
      </c>
      <c r="H1446" s="28">
        <v>41.350468999999997</v>
      </c>
      <c r="I1446" s="28">
        <v>-91.081619000000003</v>
      </c>
      <c r="J1446" s="28" t="s">
        <v>565</v>
      </c>
      <c r="K1446" s="61">
        <v>110018869474</v>
      </c>
      <c r="L1446" s="61" t="str">
        <f>IFERROR(INDEX('Facility Summary'!$K:$K,MATCH(K1446,'Facility Summary'!$J:$J,0)),INDEX('Raw Annual DMR Data'!$M:$M,MATCH(K1446,'Raw Annual DMR Data'!$L:$L,0)))</f>
        <v>Processing into formulation, mixture, or reaction product</v>
      </c>
      <c r="M1446" s="28">
        <v>325320</v>
      </c>
      <c r="N1446" s="28" t="str">
        <f>VLOOKUP(M1446,'SIC &amp; NAICS Codes'!$D:$E,2,FALSE)</f>
        <v>Pesticide and Other Agricultural Chemical Manufacturing</v>
      </c>
      <c r="O1446" s="28"/>
      <c r="P1446" s="28"/>
      <c r="Q1446" s="28"/>
      <c r="R1446" s="28">
        <v>32</v>
      </c>
      <c r="S1446" s="28">
        <f>CONVERT(R1446,"lbm","g")/1000</f>
        <v>14.514955840000001</v>
      </c>
    </row>
    <row r="1447" spans="1:19" x14ac:dyDescent="0.25">
      <c r="A1447" s="28">
        <v>2016</v>
      </c>
      <c r="B1447" s="28"/>
      <c r="C1447" s="28" t="s">
        <v>1060</v>
      </c>
      <c r="D1447" s="28" t="s">
        <v>1640</v>
      </c>
      <c r="E1447" s="28" t="s">
        <v>657</v>
      </c>
      <c r="F1447" s="28" t="s">
        <v>418</v>
      </c>
      <c r="G1447" s="28">
        <v>89155</v>
      </c>
      <c r="H1447" s="28">
        <v>36.166969999999999</v>
      </c>
      <c r="I1447" s="28">
        <v>-115.14576</v>
      </c>
      <c r="J1447" s="28"/>
      <c r="K1447" s="61">
        <v>110009001828</v>
      </c>
      <c r="L1447" s="61" t="str">
        <f>IFERROR(INDEX('Facility Summary'!$K:$K,MATCH(K1447,'Facility Summary'!$J:$J,0)),INDEX('Raw Annual DMR Data'!$M:$M,MATCH(K1447,'Raw Annual DMR Data'!$L:$L,0)))</f>
        <v>Unknown</v>
      </c>
      <c r="M1447" s="28"/>
      <c r="N1447" s="28"/>
      <c r="O1447" s="28"/>
      <c r="P1447" s="28"/>
      <c r="Q1447" s="28"/>
      <c r="R1447" s="28"/>
      <c r="S1447" s="28">
        <v>2.820582E-2</v>
      </c>
    </row>
    <row r="1448" spans="1:19" x14ac:dyDescent="0.25">
      <c r="A1448" s="28">
        <v>2021</v>
      </c>
      <c r="B1448" s="28" t="s">
        <v>2405</v>
      </c>
      <c r="C1448" s="28" t="s">
        <v>208</v>
      </c>
      <c r="D1448" s="28" t="s">
        <v>425</v>
      </c>
      <c r="E1448" s="28" t="s">
        <v>426</v>
      </c>
      <c r="F1448" s="28" t="s">
        <v>427</v>
      </c>
      <c r="G1448" s="28">
        <v>48640</v>
      </c>
      <c r="H1448" s="28">
        <v>43.600960000000001</v>
      </c>
      <c r="I1448" s="28">
        <v>-84.207689999999999</v>
      </c>
      <c r="J1448" s="28" t="s">
        <v>428</v>
      </c>
      <c r="K1448" s="61">
        <v>110070788638</v>
      </c>
      <c r="L1448" s="61" t="str">
        <f>IFERROR(INDEX('Facility Summary'!$K:$K,MATCH(K1448,'Facility Summary'!$J:$J,0)),INDEX('Raw Annual DMR Data'!$M:$M,MATCH(K1448,'Raw Annual DMR Data'!$L:$L,0)))</f>
        <v>Processing as a Reactant</v>
      </c>
      <c r="M1448" s="28">
        <v>325199</v>
      </c>
      <c r="N1448" s="28" t="str">
        <f>VLOOKUP(M1448,'SIC &amp; NAICS Codes'!$D:$E,2,FALSE)</f>
        <v>All Other Basic Organic Chemical Manufacturing</v>
      </c>
      <c r="O1448" s="28"/>
      <c r="P1448" s="28"/>
      <c r="Q1448" s="28"/>
      <c r="R1448" s="28">
        <v>0</v>
      </c>
      <c r="S1448" s="28">
        <f>CONVERT(R1448,"lbm","g")/1000</f>
        <v>0</v>
      </c>
    </row>
    <row r="1449" spans="1:19" x14ac:dyDescent="0.25">
      <c r="A1449" s="28">
        <v>2021</v>
      </c>
      <c r="B1449" s="28" t="s">
        <v>2405</v>
      </c>
      <c r="C1449" s="28" t="s">
        <v>209</v>
      </c>
      <c r="D1449" s="28" t="s">
        <v>436</v>
      </c>
      <c r="E1449" s="28" t="s">
        <v>437</v>
      </c>
      <c r="F1449" s="28" t="s">
        <v>362</v>
      </c>
      <c r="G1449" s="61">
        <v>775413257</v>
      </c>
      <c r="H1449" s="28">
        <v>28.979199999999999</v>
      </c>
      <c r="I1449" s="28">
        <v>-95.354900000000001</v>
      </c>
      <c r="J1449" s="28" t="s">
        <v>438</v>
      </c>
      <c r="K1449" s="61">
        <v>110008170237</v>
      </c>
      <c r="L1449" s="61" t="str">
        <f>IFERROR(INDEX('Facility Summary'!$K:$K,MATCH(K1449,'Facility Summary'!$J:$J,0)),INDEX('Raw Annual DMR Data'!$M:$M,MATCH(K1449,'Raw Annual DMR Data'!$L:$L,0)))</f>
        <v>Processing as a Reactant</v>
      </c>
      <c r="M1449" s="28">
        <v>325199</v>
      </c>
      <c r="N1449" s="28" t="str">
        <f>VLOOKUP(M1449,'SIC &amp; NAICS Codes'!$D:$E,2,FALSE)</f>
        <v>All Other Basic Organic Chemical Manufacturing</v>
      </c>
      <c r="O1449" s="28"/>
      <c r="P1449" s="28"/>
      <c r="Q1449" s="28"/>
      <c r="R1449" s="28">
        <v>1642</v>
      </c>
      <c r="S1449" s="28">
        <f>CONVERT(R1449,"lbm","g")/1000</f>
        <v>744.79867153999999</v>
      </c>
    </row>
    <row r="1450" spans="1:19" x14ac:dyDescent="0.25">
      <c r="A1450" s="28">
        <v>2017</v>
      </c>
      <c r="B1450" s="28"/>
      <c r="C1450" s="28" t="s">
        <v>1060</v>
      </c>
      <c r="D1450" s="28" t="s">
        <v>1640</v>
      </c>
      <c r="E1450" s="28" t="s">
        <v>657</v>
      </c>
      <c r="F1450" s="28" t="s">
        <v>418</v>
      </c>
      <c r="G1450" s="28">
        <v>89155</v>
      </c>
      <c r="H1450" s="28">
        <v>36.166969999999999</v>
      </c>
      <c r="I1450" s="28">
        <v>-115.14576</v>
      </c>
      <c r="J1450" s="28"/>
      <c r="K1450" s="61">
        <v>110009001828</v>
      </c>
      <c r="L1450" s="61" t="str">
        <f>IFERROR(INDEX('Facility Summary'!$K:$K,MATCH(K1450,'Facility Summary'!$J:$J,0)),INDEX('Raw Annual DMR Data'!$M:$M,MATCH(K1450,'Raw Annual DMR Data'!$L:$L,0)))</f>
        <v>Unknown</v>
      </c>
      <c r="M1450" s="28"/>
      <c r="N1450" s="28"/>
      <c r="O1450" s="28"/>
      <c r="P1450" s="28"/>
      <c r="Q1450" s="28"/>
      <c r="R1450" s="28"/>
      <c r="S1450" s="28">
        <v>1.9819647833333301E-2</v>
      </c>
    </row>
    <row r="1451" spans="1:19" x14ac:dyDescent="0.25">
      <c r="A1451" s="28">
        <v>2020</v>
      </c>
      <c r="B1451" s="28"/>
      <c r="C1451" s="28" t="s">
        <v>142</v>
      </c>
      <c r="D1451" s="28" t="s">
        <v>462</v>
      </c>
      <c r="E1451" s="28" t="s">
        <v>463</v>
      </c>
      <c r="F1451" s="28" t="s">
        <v>362</v>
      </c>
      <c r="G1451" s="28">
        <v>77503</v>
      </c>
      <c r="H1451" s="28">
        <v>29.741954</v>
      </c>
      <c r="I1451" s="28">
        <v>-95.165228999999997</v>
      </c>
      <c r="J1451" s="28"/>
      <c r="K1451" s="61">
        <v>110060340162</v>
      </c>
      <c r="L1451" s="61" t="str">
        <f>IFERROR(INDEX('Facility Summary'!$K:$K,MATCH(K1451,'Facility Summary'!$J:$J,0)),INDEX('Raw Annual DMR Data'!$M:$M,MATCH(K1451,'Raw Annual DMR Data'!$L:$L,0)))</f>
        <v>Manufacturing</v>
      </c>
      <c r="M1451" s="28"/>
      <c r="N1451" s="28"/>
      <c r="O1451" s="28"/>
      <c r="P1451" s="28"/>
      <c r="Q1451" s="28"/>
      <c r="R1451" s="28"/>
      <c r="S1451" s="28">
        <v>0.75983875000000001</v>
      </c>
    </row>
    <row r="1452" spans="1:19" x14ac:dyDescent="0.25">
      <c r="A1452" s="28">
        <v>2018</v>
      </c>
      <c r="B1452" s="28"/>
      <c r="C1452" s="28" t="s">
        <v>1122</v>
      </c>
      <c r="D1452" s="28" t="s">
        <v>1780</v>
      </c>
      <c r="E1452" s="28" t="s">
        <v>1123</v>
      </c>
      <c r="F1452" s="28" t="s">
        <v>491</v>
      </c>
      <c r="G1452" s="28" t="s">
        <v>1781</v>
      </c>
      <c r="H1452" s="28">
        <v>39.859110000000001</v>
      </c>
      <c r="I1452" s="28">
        <v>-77.236620000000002</v>
      </c>
      <c r="J1452" s="28"/>
      <c r="K1452" s="61">
        <v>110071151044</v>
      </c>
      <c r="L1452" s="61" t="str">
        <f>IFERROR(INDEX('Facility Summary'!$K:$K,MATCH(K1452,'Facility Summary'!$J:$J,0)),INDEX('Raw Annual DMR Data'!$M:$M,MATCH(K1452,'Raw Annual DMR Data'!$L:$L,0)))</f>
        <v>Unknown</v>
      </c>
      <c r="M1452" s="28"/>
      <c r="N1452" s="28"/>
      <c r="O1452" s="28"/>
      <c r="P1452" s="28"/>
      <c r="Q1452" s="28"/>
      <c r="R1452" s="28"/>
      <c r="S1452" s="28">
        <v>4.5617009250000003E-3</v>
      </c>
    </row>
    <row r="1453" spans="1:19" x14ac:dyDescent="0.25">
      <c r="A1453" s="28">
        <v>2019</v>
      </c>
      <c r="B1453" s="28"/>
      <c r="C1453" s="28" t="s">
        <v>1122</v>
      </c>
      <c r="D1453" s="28" t="s">
        <v>1780</v>
      </c>
      <c r="E1453" s="28" t="s">
        <v>1123</v>
      </c>
      <c r="F1453" s="28" t="s">
        <v>491</v>
      </c>
      <c r="G1453" s="28" t="s">
        <v>1781</v>
      </c>
      <c r="H1453" s="28">
        <v>39.859110000000001</v>
      </c>
      <c r="I1453" s="28">
        <v>-77.236620000000002</v>
      </c>
      <c r="J1453" s="28"/>
      <c r="K1453" s="61">
        <v>110071151044</v>
      </c>
      <c r="L1453" s="61" t="str">
        <f>IFERROR(INDEX('Facility Summary'!$K:$K,MATCH(K1453,'Facility Summary'!$J:$J,0)),INDEX('Raw Annual DMR Data'!$M:$M,MATCH(K1453,'Raw Annual DMR Data'!$L:$L,0)))</f>
        <v>Unknown</v>
      </c>
      <c r="M1453" s="28"/>
      <c r="N1453" s="28"/>
      <c r="O1453" s="28"/>
      <c r="P1453" s="28"/>
      <c r="Q1453" s="28"/>
      <c r="R1453" s="28"/>
      <c r="S1453" s="28">
        <v>5.633385825E-3</v>
      </c>
    </row>
    <row r="1454" spans="1:19" x14ac:dyDescent="0.25">
      <c r="A1454" s="28">
        <v>2021</v>
      </c>
      <c r="B1454" s="28" t="s">
        <v>2405</v>
      </c>
      <c r="C1454" s="28" t="s">
        <v>7360</v>
      </c>
      <c r="D1454" s="28" t="s">
        <v>343</v>
      </c>
      <c r="E1454" s="28" t="s">
        <v>344</v>
      </c>
      <c r="F1454" s="28" t="s">
        <v>345</v>
      </c>
      <c r="G1454" s="28">
        <v>60901</v>
      </c>
      <c r="H1454" s="28">
        <v>41.085541999999997</v>
      </c>
      <c r="I1454" s="28">
        <v>-87.880542000000005</v>
      </c>
      <c r="J1454" s="28" t="s">
        <v>346</v>
      </c>
      <c r="K1454" s="61">
        <v>110043972207</v>
      </c>
      <c r="L1454" s="61" t="str">
        <f>IFERROR(INDEX('Facility Summary'!$K:$K,MATCH(K1454,'Facility Summary'!$J:$J,0)),INDEX('Raw Annual DMR Data'!$M:$M,MATCH(K1454,'Raw Annual DMR Data'!$L:$L,0)))</f>
        <v>Processing into formulation, mixture, or reaction product</v>
      </c>
      <c r="M1454" s="28">
        <v>325613</v>
      </c>
      <c r="N1454" s="28" t="str">
        <f>VLOOKUP(M1454,'SIC &amp; NAICS Codes'!$D:$E,2,FALSE)</f>
        <v>Surface Active Agent Manufacturing</v>
      </c>
      <c r="O1454" s="28"/>
      <c r="P1454" s="28"/>
      <c r="Q1454" s="28"/>
      <c r="R1454" s="28">
        <v>0</v>
      </c>
      <c r="S1454" s="28">
        <f>CONVERT(R1454,"lbm","g")/1000</f>
        <v>0</v>
      </c>
    </row>
    <row r="1455" spans="1:19" x14ac:dyDescent="0.25">
      <c r="A1455" s="28">
        <v>2020</v>
      </c>
      <c r="B1455" s="28"/>
      <c r="C1455" s="28" t="s">
        <v>1122</v>
      </c>
      <c r="D1455" s="28" t="s">
        <v>1780</v>
      </c>
      <c r="E1455" s="28" t="s">
        <v>1123</v>
      </c>
      <c r="F1455" s="28" t="s">
        <v>491</v>
      </c>
      <c r="G1455" s="28" t="s">
        <v>1781</v>
      </c>
      <c r="H1455" s="28">
        <v>39.859110000000001</v>
      </c>
      <c r="I1455" s="28">
        <v>-77.236620000000002</v>
      </c>
      <c r="J1455" s="28"/>
      <c r="K1455" s="61">
        <v>110071151044</v>
      </c>
      <c r="L1455" s="61" t="str">
        <f>IFERROR(INDEX('Facility Summary'!$K:$K,MATCH(K1455,'Facility Summary'!$J:$J,0)),INDEX('Raw Annual DMR Data'!$M:$M,MATCH(K1455,'Raw Annual DMR Data'!$L:$L,0)))</f>
        <v>Unknown</v>
      </c>
      <c r="M1455" s="28"/>
      <c r="N1455" s="28"/>
      <c r="O1455" s="28"/>
      <c r="P1455" s="28"/>
      <c r="Q1455" s="28"/>
      <c r="R1455" s="28"/>
      <c r="S1455" s="28">
        <v>6.5149789410000004E-3</v>
      </c>
    </row>
    <row r="1456" spans="1:19" x14ac:dyDescent="0.25">
      <c r="A1456" s="28">
        <v>2021</v>
      </c>
      <c r="B1456" s="28" t="s">
        <v>2405</v>
      </c>
      <c r="C1456" s="28" t="s">
        <v>215</v>
      </c>
      <c r="D1456" s="28" t="s">
        <v>574</v>
      </c>
      <c r="E1456" s="28" t="s">
        <v>575</v>
      </c>
      <c r="F1456" s="28" t="s">
        <v>435</v>
      </c>
      <c r="G1456" s="28">
        <v>28147</v>
      </c>
      <c r="H1456" s="28">
        <v>35.629620000000003</v>
      </c>
      <c r="I1456" s="28">
        <v>-80.53595</v>
      </c>
      <c r="J1456" s="28" t="s">
        <v>576</v>
      </c>
      <c r="K1456" s="61">
        <v>110000348936</v>
      </c>
      <c r="L1456" s="61" t="str">
        <f>IFERROR(INDEX('Facility Summary'!$K:$K,MATCH(K1456,'Facility Summary'!$J:$J,0)),INDEX('Raw Annual DMR Data'!$M:$M,MATCH(K1456,'Raw Annual DMR Data'!$L:$L,0)))</f>
        <v>Processing into formulation, mixture, or reaction product</v>
      </c>
      <c r="M1456" s="28">
        <v>325199</v>
      </c>
      <c r="N1456" s="28" t="str">
        <f>VLOOKUP(M1456,'SIC &amp; NAICS Codes'!$D:$E,2,FALSE)</f>
        <v>All Other Basic Organic Chemical Manufacturing</v>
      </c>
      <c r="O1456" s="28"/>
      <c r="P1456" s="28"/>
      <c r="Q1456" s="28"/>
      <c r="R1456" s="28">
        <v>0</v>
      </c>
      <c r="S1456" s="28">
        <f>CONVERT(R1456,"lbm","g")/1000</f>
        <v>0</v>
      </c>
    </row>
    <row r="1457" spans="1:19" x14ac:dyDescent="0.25">
      <c r="A1457" s="28">
        <v>2020</v>
      </c>
      <c r="B1457" s="28"/>
      <c r="C1457" s="28" t="s">
        <v>1142</v>
      </c>
      <c r="D1457" s="28" t="s">
        <v>1822</v>
      </c>
      <c r="E1457" s="28" t="s">
        <v>1143</v>
      </c>
      <c r="F1457" s="28" t="s">
        <v>308</v>
      </c>
      <c r="G1457" s="28">
        <v>2145</v>
      </c>
      <c r="H1457" s="28">
        <v>42.380989999999997</v>
      </c>
      <c r="I1457" s="28">
        <v>-71.087580000000003</v>
      </c>
      <c r="J1457" s="28"/>
      <c r="K1457" s="61">
        <v>110070741217</v>
      </c>
      <c r="L1457" s="61" t="str">
        <f>IFERROR(INDEX('Facility Summary'!$K:$K,MATCH(K1457,'Facility Summary'!$J:$J,0)),INDEX('Raw Annual DMR Data'!$M:$M,MATCH(K1457,'Raw Annual DMR Data'!$L:$L,0)))</f>
        <v>Unknown</v>
      </c>
      <c r="M1457" s="28"/>
      <c r="N1457" s="28"/>
      <c r="O1457" s="28"/>
      <c r="P1457" s="28"/>
      <c r="Q1457" s="28"/>
      <c r="R1457" s="28"/>
      <c r="S1457" s="28">
        <v>5.7689929124999997E-3</v>
      </c>
    </row>
    <row r="1458" spans="1:19" x14ac:dyDescent="0.25">
      <c r="A1458" s="28">
        <v>2017</v>
      </c>
      <c r="B1458" s="28"/>
      <c r="C1458" s="28" t="s">
        <v>1152</v>
      </c>
      <c r="D1458" s="28" t="s">
        <v>1840</v>
      </c>
      <c r="E1458" s="28" t="s">
        <v>1153</v>
      </c>
      <c r="F1458" s="28" t="s">
        <v>338</v>
      </c>
      <c r="G1458" s="28">
        <v>8038</v>
      </c>
      <c r="H1458" s="28">
        <v>39.507057000000003</v>
      </c>
      <c r="I1458" s="28">
        <v>-75.463615000000004</v>
      </c>
      <c r="J1458" s="28"/>
      <c r="K1458" s="61">
        <v>110009838168</v>
      </c>
      <c r="L1458" s="61" t="str">
        <f>IFERROR(INDEX('Facility Summary'!$K:$K,MATCH(K1458,'Facility Summary'!$J:$J,0)),INDEX('Raw Annual DMR Data'!$M:$M,MATCH(K1458,'Raw Annual DMR Data'!$L:$L,0)))</f>
        <v>POTW</v>
      </c>
      <c r="M1458" s="28"/>
      <c r="N1458" s="28"/>
      <c r="O1458" s="28"/>
      <c r="P1458" s="28"/>
      <c r="Q1458" s="28"/>
      <c r="R1458" s="28"/>
      <c r="S1458" s="28">
        <v>2.2946562499999998E-3</v>
      </c>
    </row>
    <row r="1459" spans="1:19" x14ac:dyDescent="0.25">
      <c r="A1459" s="28">
        <v>2018</v>
      </c>
      <c r="B1459" s="28"/>
      <c r="C1459" s="28" t="s">
        <v>1152</v>
      </c>
      <c r="D1459" s="28" t="s">
        <v>1840</v>
      </c>
      <c r="E1459" s="28" t="s">
        <v>1153</v>
      </c>
      <c r="F1459" s="28" t="s">
        <v>338</v>
      </c>
      <c r="G1459" s="302" t="s">
        <v>1843</v>
      </c>
      <c r="H1459" s="28">
        <v>39.507057000000003</v>
      </c>
      <c r="I1459" s="28">
        <v>-75.463615000000004</v>
      </c>
      <c r="J1459" s="28"/>
      <c r="K1459" s="61">
        <v>110009838168</v>
      </c>
      <c r="L1459" s="61" t="str">
        <f>IFERROR(INDEX('Facility Summary'!$K:$K,MATCH(K1459,'Facility Summary'!$J:$J,0)),INDEX('Raw Annual DMR Data'!$M:$M,MATCH(K1459,'Raw Annual DMR Data'!$L:$L,0)))</f>
        <v>POTW</v>
      </c>
      <c r="M1459" s="28"/>
      <c r="N1459" s="28"/>
      <c r="O1459" s="28"/>
      <c r="P1459" s="28"/>
      <c r="Q1459" s="28"/>
      <c r="R1459" s="28"/>
      <c r="S1459" s="28">
        <v>3.145335E-3</v>
      </c>
    </row>
    <row r="1460" spans="1:19" x14ac:dyDescent="0.25">
      <c r="A1460" s="28">
        <v>2019</v>
      </c>
      <c r="B1460" s="28"/>
      <c r="C1460" s="28" t="s">
        <v>1152</v>
      </c>
      <c r="D1460" s="28" t="s">
        <v>1840</v>
      </c>
      <c r="E1460" s="28" t="s">
        <v>1153</v>
      </c>
      <c r="F1460" s="28" t="s">
        <v>338</v>
      </c>
      <c r="G1460" s="28">
        <v>8038</v>
      </c>
      <c r="H1460" s="28">
        <v>39.507057000000003</v>
      </c>
      <c r="I1460" s="28">
        <v>-75.463615000000004</v>
      </c>
      <c r="J1460" s="28"/>
      <c r="K1460" s="61">
        <v>110009838168</v>
      </c>
      <c r="L1460" s="61" t="str">
        <f>IFERROR(INDEX('Facility Summary'!$K:$K,MATCH(K1460,'Facility Summary'!$J:$J,0)),INDEX('Raw Annual DMR Data'!$M:$M,MATCH(K1460,'Raw Annual DMR Data'!$L:$L,0)))</f>
        <v>POTW</v>
      </c>
      <c r="M1460" s="28"/>
      <c r="N1460" s="28"/>
      <c r="O1460" s="28"/>
      <c r="P1460" s="28"/>
      <c r="Q1460" s="28"/>
      <c r="R1460" s="28"/>
      <c r="S1460" s="28">
        <v>1.22881745454545E-3</v>
      </c>
    </row>
    <row r="1461" spans="1:19" x14ac:dyDescent="0.25">
      <c r="A1461" s="28">
        <v>2018</v>
      </c>
      <c r="B1461" s="28"/>
      <c r="C1461" s="28" t="s">
        <v>1158</v>
      </c>
      <c r="D1461" s="28" t="s">
        <v>1852</v>
      </c>
      <c r="E1461" s="28" t="s">
        <v>1159</v>
      </c>
      <c r="F1461" s="28" t="s">
        <v>324</v>
      </c>
      <c r="G1461" s="28">
        <v>40330</v>
      </c>
      <c r="H1461" s="28">
        <v>37.776316000000001</v>
      </c>
      <c r="I1461" s="28">
        <v>-84.867384999999999</v>
      </c>
      <c r="J1461" s="28"/>
      <c r="K1461" s="61">
        <v>110000732324</v>
      </c>
      <c r="L1461" s="61" t="str">
        <f>IFERROR(INDEX('Facility Summary'!$K:$K,MATCH(K1461,'Facility Summary'!$J:$J,0)),INDEX('Raw Annual DMR Data'!$M:$M,MATCH(K1461,'Raw Annual DMR Data'!$L:$L,0)))</f>
        <v>POTW</v>
      </c>
      <c r="M1461" s="28"/>
      <c r="N1461" s="28"/>
      <c r="O1461" s="28"/>
      <c r="P1461" s="28"/>
      <c r="Q1461" s="28"/>
      <c r="R1461" s="28"/>
      <c r="S1461" s="28">
        <v>1.7041110875000001</v>
      </c>
    </row>
    <row r="1462" spans="1:19" x14ac:dyDescent="0.25">
      <c r="A1462" s="28">
        <v>2019</v>
      </c>
      <c r="B1462" s="28"/>
      <c r="C1462" s="28" t="s">
        <v>1158</v>
      </c>
      <c r="D1462" s="28" t="s">
        <v>1852</v>
      </c>
      <c r="E1462" s="28" t="s">
        <v>1159</v>
      </c>
      <c r="F1462" s="28" t="s">
        <v>324</v>
      </c>
      <c r="G1462" s="28">
        <v>40330</v>
      </c>
      <c r="H1462" s="28">
        <v>37.776316000000001</v>
      </c>
      <c r="I1462" s="28">
        <v>-84.867384999999999</v>
      </c>
      <c r="J1462" s="28"/>
      <c r="K1462" s="61">
        <v>110000732324</v>
      </c>
      <c r="L1462" s="61" t="str">
        <f>IFERROR(INDEX('Facility Summary'!$K:$K,MATCH(K1462,'Facility Summary'!$J:$J,0)),INDEX('Raw Annual DMR Data'!$M:$M,MATCH(K1462,'Raw Annual DMR Data'!$L:$L,0)))</f>
        <v>POTW</v>
      </c>
      <c r="M1462" s="28"/>
      <c r="N1462" s="28"/>
      <c r="O1462" s="28"/>
      <c r="P1462" s="28"/>
      <c r="Q1462" s="28"/>
      <c r="R1462" s="28"/>
      <c r="S1462" s="28">
        <v>1.8070347</v>
      </c>
    </row>
    <row r="1463" spans="1:19" x14ac:dyDescent="0.25">
      <c r="A1463" s="28">
        <v>2020</v>
      </c>
      <c r="B1463" s="28"/>
      <c r="C1463" s="28" t="s">
        <v>1158</v>
      </c>
      <c r="D1463" s="28" t="s">
        <v>1852</v>
      </c>
      <c r="E1463" s="28" t="s">
        <v>1159</v>
      </c>
      <c r="F1463" s="28" t="s">
        <v>324</v>
      </c>
      <c r="G1463" s="28">
        <v>40330</v>
      </c>
      <c r="H1463" s="28">
        <v>37.776316000000001</v>
      </c>
      <c r="I1463" s="28">
        <v>-84.867384999999999</v>
      </c>
      <c r="J1463" s="28"/>
      <c r="K1463" s="61">
        <v>110000732324</v>
      </c>
      <c r="L1463" s="61" t="str">
        <f>IFERROR(INDEX('Facility Summary'!$K:$K,MATCH(K1463,'Facility Summary'!$J:$J,0)),INDEX('Raw Annual DMR Data'!$M:$M,MATCH(K1463,'Raw Annual DMR Data'!$L:$L,0)))</f>
        <v>POTW</v>
      </c>
      <c r="M1463" s="28"/>
      <c r="N1463" s="28"/>
      <c r="O1463" s="28"/>
      <c r="P1463" s="28"/>
      <c r="Q1463" s="28"/>
      <c r="R1463" s="28"/>
      <c r="S1463" s="28">
        <v>1.24613555</v>
      </c>
    </row>
    <row r="1464" spans="1:19" x14ac:dyDescent="0.25">
      <c r="A1464" s="28">
        <v>2019</v>
      </c>
      <c r="B1464" s="28"/>
      <c r="C1464" s="28" t="s">
        <v>1164</v>
      </c>
      <c r="D1464" s="28" t="s">
        <v>1869</v>
      </c>
      <c r="E1464" s="28" t="s">
        <v>968</v>
      </c>
      <c r="F1464" s="28" t="s">
        <v>294</v>
      </c>
      <c r="G1464" s="28">
        <v>22314</v>
      </c>
      <c r="H1464" s="28">
        <v>38.803621</v>
      </c>
      <c r="I1464" s="28">
        <v>-77.069773999999995</v>
      </c>
      <c r="J1464" s="28"/>
      <c r="K1464" s="61">
        <v>110070546529</v>
      </c>
      <c r="L1464" s="61" t="str">
        <f>IFERROR(INDEX('Facility Summary'!$K:$K,MATCH(K1464,'Facility Summary'!$J:$J,0)),INDEX('Raw Annual DMR Data'!$M:$M,MATCH(K1464,'Raw Annual DMR Data'!$L:$L,0)))</f>
        <v>Unknown</v>
      </c>
      <c r="M1464" s="28"/>
      <c r="N1464" s="28"/>
      <c r="O1464" s="28"/>
      <c r="P1464" s="28"/>
      <c r="Q1464" s="28"/>
      <c r="R1464" s="28"/>
      <c r="S1464" s="28">
        <v>7.4323636363636298E-4</v>
      </c>
    </row>
    <row r="1465" spans="1:19" x14ac:dyDescent="0.25">
      <c r="A1465" s="28">
        <v>2020</v>
      </c>
      <c r="B1465" s="28"/>
      <c r="C1465" s="28" t="s">
        <v>1164</v>
      </c>
      <c r="D1465" s="28" t="s">
        <v>1869</v>
      </c>
      <c r="E1465" s="28" t="s">
        <v>968</v>
      </c>
      <c r="F1465" s="28" t="s">
        <v>294</v>
      </c>
      <c r="G1465" s="28">
        <v>22314</v>
      </c>
      <c r="H1465" s="28">
        <v>38.803621</v>
      </c>
      <c r="I1465" s="28">
        <v>-77.069773999999995</v>
      </c>
      <c r="J1465" s="28"/>
      <c r="K1465" s="61">
        <v>110070546529</v>
      </c>
      <c r="L1465" s="61" t="str">
        <f>IFERROR(INDEX('Facility Summary'!$K:$K,MATCH(K1465,'Facility Summary'!$J:$J,0)),INDEX('Raw Annual DMR Data'!$M:$M,MATCH(K1465,'Raw Annual DMR Data'!$L:$L,0)))</f>
        <v>Unknown</v>
      </c>
      <c r="M1465" s="28"/>
      <c r="N1465" s="28"/>
      <c r="O1465" s="28"/>
      <c r="P1465" s="28"/>
      <c r="Q1465" s="28"/>
      <c r="R1465" s="28"/>
      <c r="S1465" s="28">
        <v>6.1468399999999894E-5</v>
      </c>
    </row>
    <row r="1466" spans="1:19" x14ac:dyDescent="0.25">
      <c r="A1466" s="28">
        <v>2020</v>
      </c>
      <c r="B1466" s="28"/>
      <c r="C1466" s="28" t="s">
        <v>1164</v>
      </c>
      <c r="D1466" s="28" t="s">
        <v>1869</v>
      </c>
      <c r="E1466" s="28" t="s">
        <v>968</v>
      </c>
      <c r="F1466" s="28" t="s">
        <v>294</v>
      </c>
      <c r="G1466" s="28">
        <v>22314</v>
      </c>
      <c r="H1466" s="28">
        <v>38.803621</v>
      </c>
      <c r="I1466" s="28">
        <v>-77.069773999999995</v>
      </c>
      <c r="J1466" s="28"/>
      <c r="K1466" s="61">
        <v>110070546529</v>
      </c>
      <c r="L1466" s="61" t="str">
        <f>IFERROR(INDEX('Facility Summary'!$K:$K,MATCH(K1466,'Facility Summary'!$J:$J,0)),INDEX('Raw Annual DMR Data'!$M:$M,MATCH(K1466,'Raw Annual DMR Data'!$L:$L,0)))</f>
        <v>Unknown</v>
      </c>
      <c r="M1466" s="28"/>
      <c r="N1466" s="28"/>
      <c r="O1466" s="28"/>
      <c r="P1466" s="28"/>
      <c r="Q1466" s="28"/>
      <c r="R1466" s="28"/>
      <c r="S1466" s="28">
        <v>4.09082799999999E-5</v>
      </c>
    </row>
    <row r="1467" spans="1:19" x14ac:dyDescent="0.25">
      <c r="A1467" s="28">
        <v>2018</v>
      </c>
      <c r="B1467" s="28"/>
      <c r="C1467" s="28" t="s">
        <v>1907</v>
      </c>
      <c r="D1467" s="28" t="s">
        <v>534</v>
      </c>
      <c r="E1467" s="28" t="s">
        <v>446</v>
      </c>
      <c r="F1467" s="28" t="s">
        <v>303</v>
      </c>
      <c r="G1467" s="28">
        <v>70669</v>
      </c>
      <c r="H1467" s="28">
        <v>30.190567999999999</v>
      </c>
      <c r="I1467" s="28">
        <v>-93.325823</v>
      </c>
      <c r="J1467" s="28" t="s">
        <v>536</v>
      </c>
      <c r="K1467" s="61">
        <v>110000748040</v>
      </c>
      <c r="L1467" s="61" t="str">
        <f>IFERROR(INDEX('Facility Summary'!$K:$K,MATCH(K1467,'Facility Summary'!$J:$J,0)),INDEX('Raw Annual DMR Data'!$M:$M,MATCH(K1467,'Raw Annual DMR Data'!$L:$L,0)))</f>
        <v>Manufacturing</v>
      </c>
      <c r="M1467" s="28"/>
      <c r="N1467" s="28"/>
      <c r="O1467" s="28"/>
      <c r="P1467" s="28"/>
      <c r="Q1467" s="28"/>
      <c r="R1467" s="28"/>
      <c r="S1467" s="302">
        <v>3.0871882086167699</v>
      </c>
    </row>
    <row r="1468" spans="1:19" x14ac:dyDescent="0.25">
      <c r="A1468" s="28">
        <v>2022</v>
      </c>
      <c r="B1468" s="28" t="s">
        <v>2405</v>
      </c>
      <c r="C1468" s="28" t="s">
        <v>215</v>
      </c>
      <c r="D1468" s="28" t="s">
        <v>574</v>
      </c>
      <c r="E1468" s="28" t="s">
        <v>575</v>
      </c>
      <c r="F1468" s="28" t="s">
        <v>435</v>
      </c>
      <c r="G1468" s="28">
        <v>28147</v>
      </c>
      <c r="H1468" s="28">
        <v>35.629620000000003</v>
      </c>
      <c r="I1468" s="28">
        <v>-80.53595</v>
      </c>
      <c r="J1468" s="28" t="s">
        <v>576</v>
      </c>
      <c r="K1468" s="61">
        <v>110000348936</v>
      </c>
      <c r="L1468" s="61" t="str">
        <f>IFERROR(INDEX('Facility Summary'!$K:$K,MATCH(K1468,'Facility Summary'!$J:$J,0)),INDEX('Raw Annual DMR Data'!$M:$M,MATCH(K1468,'Raw Annual DMR Data'!$L:$L,0)))</f>
        <v>Processing into formulation, mixture, or reaction product</v>
      </c>
      <c r="M1468" s="28">
        <v>325199</v>
      </c>
      <c r="N1468" s="28" t="str">
        <f>VLOOKUP(M1468,'SIC &amp; NAICS Codes'!$D:$E,2,FALSE)</f>
        <v>All Other Basic Organic Chemical Manufacturing</v>
      </c>
      <c r="O1468" s="28"/>
      <c r="P1468" s="28"/>
      <c r="Q1468" s="28"/>
      <c r="R1468" s="28">
        <v>0</v>
      </c>
      <c r="S1468" s="28">
        <f>CONVERT(R1468,"lbm","g")/1000</f>
        <v>0</v>
      </c>
    </row>
    <row r="1469" spans="1:19" x14ac:dyDescent="0.25">
      <c r="A1469" s="28">
        <v>2015</v>
      </c>
      <c r="B1469" s="28"/>
      <c r="C1469" s="28" t="s">
        <v>1186</v>
      </c>
      <c r="D1469" s="28" t="s">
        <v>1913</v>
      </c>
      <c r="E1469" s="28" t="s">
        <v>1187</v>
      </c>
      <c r="F1469" s="28" t="s">
        <v>478</v>
      </c>
      <c r="G1469" s="28">
        <v>19973</v>
      </c>
      <c r="H1469" s="28">
        <v>38.624206999999998</v>
      </c>
      <c r="I1469" s="28">
        <v>-75.628699999999995</v>
      </c>
      <c r="J1469" s="28"/>
      <c r="K1469" s="61">
        <v>110064631849</v>
      </c>
      <c r="L1469" s="61" t="str">
        <f>IFERROR(INDEX('Facility Summary'!$K:$K,MATCH(K1469,'Facility Summary'!$J:$J,0)),INDEX('Raw Annual DMR Data'!$M:$M,MATCH(K1469,'Raw Annual DMR Data'!$L:$L,0)))</f>
        <v>Unknown</v>
      </c>
      <c r="M1469" s="28"/>
      <c r="N1469" s="28"/>
      <c r="O1469" s="28"/>
      <c r="P1469" s="28"/>
      <c r="Q1469" s="28"/>
      <c r="R1469" s="28"/>
      <c r="S1469" s="28">
        <v>9.1383219954648497E-4</v>
      </c>
    </row>
    <row r="1470" spans="1:19" x14ac:dyDescent="0.25">
      <c r="A1470" s="28">
        <v>2016</v>
      </c>
      <c r="B1470" s="28"/>
      <c r="C1470" s="28" t="s">
        <v>1186</v>
      </c>
      <c r="D1470" s="28" t="s">
        <v>1913</v>
      </c>
      <c r="E1470" s="28" t="s">
        <v>1187</v>
      </c>
      <c r="F1470" s="28" t="s">
        <v>478</v>
      </c>
      <c r="G1470" s="28">
        <v>19973</v>
      </c>
      <c r="H1470" s="28">
        <v>38.624206999999998</v>
      </c>
      <c r="I1470" s="28">
        <v>-75.628699999999995</v>
      </c>
      <c r="J1470" s="28"/>
      <c r="K1470" s="61">
        <v>110064631849</v>
      </c>
      <c r="L1470" s="61" t="str">
        <f>IFERROR(INDEX('Facility Summary'!$K:$K,MATCH(K1470,'Facility Summary'!$J:$J,0)),INDEX('Raw Annual DMR Data'!$M:$M,MATCH(K1470,'Raw Annual DMR Data'!$L:$L,0)))</f>
        <v>Unknown</v>
      </c>
      <c r="M1470" s="28"/>
      <c r="N1470" s="28"/>
      <c r="O1470" s="28"/>
      <c r="P1470" s="28"/>
      <c r="Q1470" s="28"/>
      <c r="R1470" s="28"/>
      <c r="S1470" s="28">
        <v>4.2176870748299302E-4</v>
      </c>
    </row>
    <row r="1471" spans="1:19" x14ac:dyDescent="0.25">
      <c r="A1471" s="28">
        <v>2022</v>
      </c>
      <c r="B1471" s="28" t="s">
        <v>2405</v>
      </c>
      <c r="C1471" s="28" t="s">
        <v>7360</v>
      </c>
      <c r="D1471" s="28" t="s">
        <v>343</v>
      </c>
      <c r="E1471" s="28" t="s">
        <v>344</v>
      </c>
      <c r="F1471" s="28" t="s">
        <v>345</v>
      </c>
      <c r="G1471" s="28">
        <v>60901</v>
      </c>
      <c r="H1471" s="28">
        <v>41.085541999999997</v>
      </c>
      <c r="I1471" s="28">
        <v>-87.880542000000005</v>
      </c>
      <c r="J1471" s="28" t="s">
        <v>346</v>
      </c>
      <c r="K1471" s="61">
        <v>110043972207</v>
      </c>
      <c r="L1471" s="61" t="str">
        <f>IFERROR(INDEX('Facility Summary'!$K:$K,MATCH(K1471,'Facility Summary'!$J:$J,0)),INDEX('Raw Annual DMR Data'!$M:$M,MATCH(K1471,'Raw Annual DMR Data'!$L:$L,0)))</f>
        <v>Processing into formulation, mixture, or reaction product</v>
      </c>
      <c r="M1471" s="28">
        <v>325613</v>
      </c>
      <c r="N1471" s="28" t="str">
        <f>VLOOKUP(M1471,'SIC &amp; NAICS Codes'!$D:$E,2,FALSE)</f>
        <v>Surface Active Agent Manufacturing</v>
      </c>
      <c r="O1471" s="28"/>
      <c r="P1471" s="28"/>
      <c r="Q1471" s="28"/>
      <c r="R1471" s="28">
        <v>0</v>
      </c>
      <c r="S1471" s="28">
        <f>CONVERT(R1471,"lbm","g")/1000</f>
        <v>0</v>
      </c>
    </row>
    <row r="1472" spans="1:19" x14ac:dyDescent="0.25">
      <c r="A1472" s="28">
        <v>2017</v>
      </c>
      <c r="B1472" s="28"/>
      <c r="C1472" s="28" t="s">
        <v>1186</v>
      </c>
      <c r="D1472" s="28" t="s">
        <v>1913</v>
      </c>
      <c r="E1472" s="28" t="s">
        <v>1187</v>
      </c>
      <c r="F1472" s="28" t="s">
        <v>478</v>
      </c>
      <c r="G1472" s="28">
        <v>19973</v>
      </c>
      <c r="H1472" s="28">
        <v>38.624206999999998</v>
      </c>
      <c r="I1472" s="28">
        <v>-75.628699999999995</v>
      </c>
      <c r="J1472" s="28"/>
      <c r="K1472" s="61">
        <v>110064631849</v>
      </c>
      <c r="L1472" s="61" t="str">
        <f>IFERROR(INDEX('Facility Summary'!$K:$K,MATCH(K1472,'Facility Summary'!$J:$J,0)),INDEX('Raw Annual DMR Data'!$M:$M,MATCH(K1472,'Raw Annual DMR Data'!$L:$L,0)))</f>
        <v>Unknown</v>
      </c>
      <c r="M1472" s="28"/>
      <c r="N1472" s="28"/>
      <c r="O1472" s="28"/>
      <c r="P1472" s="28"/>
      <c r="Q1472" s="28"/>
      <c r="R1472" s="28"/>
      <c r="S1472" s="28">
        <v>1.7292517006802701E-3</v>
      </c>
    </row>
    <row r="1473" spans="1:19" x14ac:dyDescent="0.25">
      <c r="A1473" s="28">
        <v>2018</v>
      </c>
      <c r="B1473" s="28"/>
      <c r="C1473" s="28" t="s">
        <v>1186</v>
      </c>
      <c r="D1473" s="28" t="s">
        <v>1913</v>
      </c>
      <c r="E1473" s="28" t="s">
        <v>1187</v>
      </c>
      <c r="F1473" s="28" t="s">
        <v>478</v>
      </c>
      <c r="G1473" s="28">
        <v>19973</v>
      </c>
      <c r="H1473" s="28">
        <v>38.624206999999998</v>
      </c>
      <c r="I1473" s="28">
        <v>-75.628699999999995</v>
      </c>
      <c r="J1473" s="28"/>
      <c r="K1473" s="61">
        <v>110064631849</v>
      </c>
      <c r="L1473" s="61" t="str">
        <f>IFERROR(INDEX('Facility Summary'!$K:$K,MATCH(K1473,'Facility Summary'!$J:$J,0)),INDEX('Raw Annual DMR Data'!$M:$M,MATCH(K1473,'Raw Annual DMR Data'!$L:$L,0)))</f>
        <v>Unknown</v>
      </c>
      <c r="M1473" s="28"/>
      <c r="N1473" s="28"/>
      <c r="O1473" s="28"/>
      <c r="P1473" s="28"/>
      <c r="Q1473" s="28"/>
      <c r="R1473" s="28"/>
      <c r="S1473" s="302">
        <v>2.8117913832199502E-4</v>
      </c>
    </row>
    <row r="1474" spans="1:19" x14ac:dyDescent="0.25">
      <c r="A1474" s="28">
        <v>2019</v>
      </c>
      <c r="B1474" s="28"/>
      <c r="C1474" s="28" t="s">
        <v>1186</v>
      </c>
      <c r="D1474" s="28" t="s">
        <v>1913</v>
      </c>
      <c r="E1474" s="28" t="s">
        <v>1187</v>
      </c>
      <c r="F1474" s="28" t="s">
        <v>478</v>
      </c>
      <c r="G1474" s="28">
        <v>19973</v>
      </c>
      <c r="H1474" s="28">
        <v>38.624206999999998</v>
      </c>
      <c r="I1474" s="28">
        <v>-75.628699999999995</v>
      </c>
      <c r="J1474" s="28"/>
      <c r="K1474" s="61">
        <v>110064631849</v>
      </c>
      <c r="L1474" s="61" t="str">
        <f>IFERROR(INDEX('Facility Summary'!$K:$K,MATCH(K1474,'Facility Summary'!$J:$J,0)),INDEX('Raw Annual DMR Data'!$M:$M,MATCH(K1474,'Raw Annual DMR Data'!$L:$L,0)))</f>
        <v>Unknown</v>
      </c>
      <c r="M1474" s="28"/>
      <c r="N1474" s="28"/>
      <c r="O1474" s="28"/>
      <c r="P1474" s="28"/>
      <c r="Q1474" s="28"/>
      <c r="R1474" s="28"/>
      <c r="S1474" s="28">
        <v>1.8276643990929701E-4</v>
      </c>
    </row>
    <row r="1475" spans="1:19" x14ac:dyDescent="0.25">
      <c r="A1475" s="28">
        <v>2020</v>
      </c>
      <c r="B1475" s="28"/>
      <c r="C1475" s="28" t="s">
        <v>1186</v>
      </c>
      <c r="D1475" s="28" t="s">
        <v>1913</v>
      </c>
      <c r="E1475" s="28" t="s">
        <v>1187</v>
      </c>
      <c r="F1475" s="28" t="s">
        <v>478</v>
      </c>
      <c r="G1475" s="28">
        <v>19973</v>
      </c>
      <c r="H1475" s="28">
        <v>38.624206999999998</v>
      </c>
      <c r="I1475" s="28">
        <v>-75.628699999999995</v>
      </c>
      <c r="J1475" s="28"/>
      <c r="K1475" s="61">
        <v>110064631849</v>
      </c>
      <c r="L1475" s="61" t="str">
        <f>IFERROR(INDEX('Facility Summary'!$K:$K,MATCH(K1475,'Facility Summary'!$J:$J,0)),INDEX('Raw Annual DMR Data'!$M:$M,MATCH(K1475,'Raw Annual DMR Data'!$L:$L,0)))</f>
        <v>Unknown</v>
      </c>
      <c r="M1475" s="28"/>
      <c r="N1475" s="28"/>
      <c r="O1475" s="28"/>
      <c r="P1475" s="28"/>
      <c r="Q1475" s="28"/>
      <c r="R1475" s="28"/>
      <c r="S1475" s="28">
        <v>7.02947845804988E-4</v>
      </c>
    </row>
    <row r="1476" spans="1:19" x14ac:dyDescent="0.25">
      <c r="A1476" s="28">
        <v>2015</v>
      </c>
      <c r="B1476" s="28"/>
      <c r="C1476" s="28" t="s">
        <v>1196</v>
      </c>
      <c r="D1476" s="28" t="s">
        <v>1932</v>
      </c>
      <c r="E1476" s="28" t="s">
        <v>1197</v>
      </c>
      <c r="F1476" s="28" t="s">
        <v>1171</v>
      </c>
      <c r="G1476" s="28" t="s">
        <v>1933</v>
      </c>
      <c r="H1476" s="28">
        <v>21.426439999999999</v>
      </c>
      <c r="I1476" s="28">
        <v>-157.75324000000001</v>
      </c>
      <c r="J1476" s="28"/>
      <c r="K1476" s="61">
        <v>110000867054</v>
      </c>
      <c r="L1476" s="61" t="str">
        <f>IFERROR(INDEX('Facility Summary'!$K:$K,MATCH(K1476,'Facility Summary'!$J:$J,0)),INDEX('Raw Annual DMR Data'!$M:$M,MATCH(K1476,'Raw Annual DMR Data'!$L:$L,0)))</f>
        <v>POTW</v>
      </c>
      <c r="M1476" s="28"/>
      <c r="N1476" s="28"/>
      <c r="O1476" s="28"/>
      <c r="P1476" s="28"/>
      <c r="Q1476" s="28"/>
      <c r="R1476" s="28"/>
      <c r="S1476" s="28">
        <v>0.3657504546</v>
      </c>
    </row>
    <row r="1477" spans="1:19" x14ac:dyDescent="0.25">
      <c r="A1477" s="28">
        <v>2017</v>
      </c>
      <c r="B1477" s="28"/>
      <c r="C1477" s="28" t="s">
        <v>1198</v>
      </c>
      <c r="D1477" s="28" t="s">
        <v>1935</v>
      </c>
      <c r="E1477" s="28" t="s">
        <v>1199</v>
      </c>
      <c r="F1477" s="28" t="s">
        <v>374</v>
      </c>
      <c r="G1477" s="28">
        <v>86033</v>
      </c>
      <c r="H1477" s="28">
        <v>36.733111000000001</v>
      </c>
      <c r="I1477" s="28">
        <v>-110.230611</v>
      </c>
      <c r="J1477" s="28"/>
      <c r="K1477" s="61">
        <v>110010062699</v>
      </c>
      <c r="L1477" s="61" t="str">
        <f>IFERROR(INDEX('Facility Summary'!$K:$K,MATCH(K1477,'Facility Summary'!$J:$J,0)),INDEX('Raw Annual DMR Data'!$M:$M,MATCH(K1477,'Raw Annual DMR Data'!$L:$L,0)))</f>
        <v>POTW</v>
      </c>
      <c r="M1477" s="28"/>
      <c r="N1477" s="28"/>
      <c r="O1477" s="28"/>
      <c r="P1477" s="28"/>
      <c r="Q1477" s="28"/>
      <c r="R1477" s="28"/>
      <c r="S1477" s="28">
        <v>0.40605479999999999</v>
      </c>
    </row>
    <row r="1478" spans="1:19" x14ac:dyDescent="0.25">
      <c r="A1478" s="28">
        <v>2018</v>
      </c>
      <c r="B1478" s="28"/>
      <c r="C1478" s="28" t="s">
        <v>1198</v>
      </c>
      <c r="D1478" s="28" t="s">
        <v>1935</v>
      </c>
      <c r="E1478" s="28" t="s">
        <v>1199</v>
      </c>
      <c r="F1478" s="28" t="s">
        <v>374</v>
      </c>
      <c r="G1478" s="28">
        <v>86033</v>
      </c>
      <c r="H1478" s="28">
        <v>36.733111000000001</v>
      </c>
      <c r="I1478" s="28">
        <v>-110.230611</v>
      </c>
      <c r="J1478" s="28"/>
      <c r="K1478" s="61">
        <v>110010062699</v>
      </c>
      <c r="L1478" s="61" t="str">
        <f>IFERROR(INDEX('Facility Summary'!$K:$K,MATCH(K1478,'Facility Summary'!$J:$J,0)),INDEX('Raw Annual DMR Data'!$M:$M,MATCH(K1478,'Raw Annual DMR Data'!$L:$L,0)))</f>
        <v>POTW</v>
      </c>
      <c r="M1478" s="28"/>
      <c r="N1478" s="28"/>
      <c r="O1478" s="28"/>
      <c r="P1478" s="28"/>
      <c r="Q1478" s="28"/>
      <c r="R1478" s="28"/>
      <c r="S1478" s="28">
        <v>0.57108080000000006</v>
      </c>
    </row>
    <row r="1479" spans="1:19" x14ac:dyDescent="0.25">
      <c r="A1479" s="28">
        <v>2015</v>
      </c>
      <c r="B1479" s="28"/>
      <c r="C1479" s="28" t="s">
        <v>1229</v>
      </c>
      <c r="D1479" s="28" t="s">
        <v>1995</v>
      </c>
      <c r="E1479" s="28" t="s">
        <v>358</v>
      </c>
      <c r="F1479" s="28" t="s">
        <v>275</v>
      </c>
      <c r="G1479" s="28">
        <v>83702</v>
      </c>
      <c r="H1479" s="28">
        <v>43.626778999999999</v>
      </c>
      <c r="I1479" s="28">
        <v>-116.229345</v>
      </c>
      <c r="J1479" s="28"/>
      <c r="K1479" s="61">
        <v>110064411417</v>
      </c>
      <c r="L1479" s="61" t="str">
        <f>IFERROR(INDEX('Facility Summary'!$K:$K,MATCH(K1479,'Facility Summary'!$J:$J,0)),INDEX('Raw Annual DMR Data'!$M:$M,MATCH(K1479,'Raw Annual DMR Data'!$L:$L,0)))</f>
        <v>Unknown</v>
      </c>
      <c r="M1479" s="28"/>
      <c r="N1479" s="28"/>
      <c r="O1479" s="28"/>
      <c r="P1479" s="28"/>
      <c r="Q1479" s="28"/>
      <c r="R1479" s="28"/>
      <c r="S1479" s="28">
        <v>0.82984312935791904</v>
      </c>
    </row>
    <row r="1480" spans="1:19" x14ac:dyDescent="0.25">
      <c r="A1480" s="28">
        <v>2022</v>
      </c>
      <c r="B1480" s="28" t="s">
        <v>2405</v>
      </c>
      <c r="C1480" s="28" t="s">
        <v>209</v>
      </c>
      <c r="D1480" s="28" t="s">
        <v>436</v>
      </c>
      <c r="E1480" s="28" t="s">
        <v>437</v>
      </c>
      <c r="F1480" s="28" t="s">
        <v>362</v>
      </c>
      <c r="G1480" s="28">
        <v>775413257</v>
      </c>
      <c r="H1480" s="28">
        <v>28.980146999999999</v>
      </c>
      <c r="I1480" s="28">
        <v>-95.342271999999994</v>
      </c>
      <c r="J1480" s="28" t="s">
        <v>438</v>
      </c>
      <c r="K1480" s="61">
        <v>110008170237</v>
      </c>
      <c r="L1480" s="61" t="str">
        <f>IFERROR(INDEX('Facility Summary'!$K:$K,MATCH(K1480,'Facility Summary'!$J:$J,0)),INDEX('Raw Annual DMR Data'!$M:$M,MATCH(K1480,'Raw Annual DMR Data'!$L:$L,0)))</f>
        <v>Processing as a Reactant</v>
      </c>
      <c r="M1480" s="28">
        <v>325199</v>
      </c>
      <c r="N1480" s="28" t="str">
        <f>VLOOKUP(M1480,'SIC &amp; NAICS Codes'!$D:$E,2,FALSE)</f>
        <v>All Other Basic Organic Chemical Manufacturing</v>
      </c>
      <c r="O1480" s="28"/>
      <c r="P1480" s="28"/>
      <c r="Q1480" s="28"/>
      <c r="R1480" s="28">
        <v>84</v>
      </c>
      <c r="S1480" s="28">
        <f>CONVERT(R1480,"lbm","g")/1000</f>
        <v>38.101759080000001</v>
      </c>
    </row>
    <row r="1481" spans="1:19" x14ac:dyDescent="0.25">
      <c r="A1481" s="28">
        <v>2016</v>
      </c>
      <c r="B1481" s="28"/>
      <c r="C1481" s="28" t="s">
        <v>1229</v>
      </c>
      <c r="D1481" s="28" t="s">
        <v>1995</v>
      </c>
      <c r="E1481" s="28" t="s">
        <v>358</v>
      </c>
      <c r="F1481" s="28" t="s">
        <v>275</v>
      </c>
      <c r="G1481" s="28">
        <v>83702</v>
      </c>
      <c r="H1481" s="28">
        <v>43.626778999999999</v>
      </c>
      <c r="I1481" s="28">
        <v>-116.229345</v>
      </c>
      <c r="J1481" s="28"/>
      <c r="K1481" s="61">
        <v>110064411417</v>
      </c>
      <c r="L1481" s="61" t="str">
        <f>IFERROR(INDEX('Facility Summary'!$K:$K,MATCH(K1481,'Facility Summary'!$J:$J,0)),INDEX('Raw Annual DMR Data'!$M:$M,MATCH(K1481,'Raw Annual DMR Data'!$L:$L,0)))</f>
        <v>Unknown</v>
      </c>
      <c r="M1481" s="28"/>
      <c r="N1481" s="28"/>
      <c r="O1481" s="28"/>
      <c r="P1481" s="28"/>
      <c r="Q1481" s="28"/>
      <c r="R1481" s="28"/>
      <c r="S1481" s="28">
        <v>0.359942966193599</v>
      </c>
    </row>
    <row r="1482" spans="1:19" x14ac:dyDescent="0.25">
      <c r="A1482" s="28">
        <v>2022</v>
      </c>
      <c r="B1482" s="28" t="s">
        <v>2405</v>
      </c>
      <c r="C1482" s="28" t="s">
        <v>208</v>
      </c>
      <c r="D1482" s="28" t="s">
        <v>425</v>
      </c>
      <c r="E1482" s="28" t="s">
        <v>426</v>
      </c>
      <c r="F1482" s="28" t="s">
        <v>427</v>
      </c>
      <c r="G1482" s="28">
        <v>48640</v>
      </c>
      <c r="H1482" s="28">
        <v>43.600960000000001</v>
      </c>
      <c r="I1482" s="28">
        <v>-84.207689999999999</v>
      </c>
      <c r="J1482" s="28" t="s">
        <v>428</v>
      </c>
      <c r="K1482" s="61">
        <v>110070788638</v>
      </c>
      <c r="L1482" s="61" t="str">
        <f>IFERROR(INDEX('Facility Summary'!$K:$K,MATCH(K1482,'Facility Summary'!$J:$J,0)),INDEX('Raw Annual DMR Data'!$M:$M,MATCH(K1482,'Raw Annual DMR Data'!$L:$L,0)))</f>
        <v>Processing as a Reactant</v>
      </c>
      <c r="M1482" s="28">
        <v>325199</v>
      </c>
      <c r="N1482" s="28" t="str">
        <f>VLOOKUP(M1482,'SIC &amp; NAICS Codes'!$D:$E,2,FALSE)</f>
        <v>All Other Basic Organic Chemical Manufacturing</v>
      </c>
      <c r="O1482" s="28"/>
      <c r="P1482" s="28"/>
      <c r="Q1482" s="28"/>
      <c r="R1482" s="28">
        <v>0</v>
      </c>
      <c r="S1482" s="28">
        <f>CONVERT(R1482,"lbm","g")/1000</f>
        <v>0</v>
      </c>
    </row>
    <row r="1483" spans="1:19" x14ac:dyDescent="0.25">
      <c r="A1483" s="28">
        <v>2015</v>
      </c>
      <c r="B1483" s="28"/>
      <c r="C1483" s="28" t="s">
        <v>1241</v>
      </c>
      <c r="D1483" s="28" t="s">
        <v>2023</v>
      </c>
      <c r="E1483" s="28" t="s">
        <v>1242</v>
      </c>
      <c r="F1483" s="28" t="s">
        <v>338</v>
      </c>
      <c r="G1483" s="28" t="s">
        <v>2024</v>
      </c>
      <c r="H1483" s="28">
        <v>39.920290000000001</v>
      </c>
      <c r="I1483" s="28">
        <v>-74.927520000000001</v>
      </c>
      <c r="J1483" s="28"/>
      <c r="K1483" s="61">
        <v>110029618297</v>
      </c>
      <c r="L1483" s="61" t="str">
        <f>IFERROR(INDEX('Facility Summary'!$K:$K,MATCH(K1483,'Facility Summary'!$J:$J,0)),INDEX('Raw Annual DMR Data'!$M:$M,MATCH(K1483,'Raw Annual DMR Data'!$L:$L,0)))</f>
        <v>POTW</v>
      </c>
      <c r="M1483" s="28"/>
      <c r="N1483" s="28"/>
      <c r="O1483" s="28"/>
      <c r="P1483" s="28"/>
      <c r="Q1483" s="28"/>
      <c r="R1483" s="28"/>
      <c r="S1483" s="28">
        <v>0.96465834750000001</v>
      </c>
    </row>
    <row r="1484" spans="1:19" x14ac:dyDescent="0.25">
      <c r="A1484" s="28">
        <v>2022</v>
      </c>
      <c r="B1484" s="28" t="s">
        <v>2405</v>
      </c>
      <c r="C1484" s="28" t="s">
        <v>7358</v>
      </c>
      <c r="D1484" s="28" t="s">
        <v>562</v>
      </c>
      <c r="E1484" s="28" t="s">
        <v>563</v>
      </c>
      <c r="F1484" s="28" t="s">
        <v>564</v>
      </c>
      <c r="G1484" s="28">
        <v>52761</v>
      </c>
      <c r="H1484" s="28">
        <v>41.350468999999997</v>
      </c>
      <c r="I1484" s="28">
        <v>-91.081619000000003</v>
      </c>
      <c r="J1484" s="28" t="s">
        <v>565</v>
      </c>
      <c r="K1484" s="61">
        <v>110018869474</v>
      </c>
      <c r="L1484" s="61" t="str">
        <f>IFERROR(INDEX('Facility Summary'!$K:$K,MATCH(K1484,'Facility Summary'!$J:$J,0)),INDEX('Raw Annual DMR Data'!$M:$M,MATCH(K1484,'Raw Annual DMR Data'!$L:$L,0)))</f>
        <v>Processing into formulation, mixture, or reaction product</v>
      </c>
      <c r="M1484" s="28">
        <v>325320</v>
      </c>
      <c r="N1484" s="28" t="str">
        <f>VLOOKUP(M1484,'SIC &amp; NAICS Codes'!$D:$E,2,FALSE)</f>
        <v>Pesticide and Other Agricultural Chemical Manufacturing</v>
      </c>
      <c r="O1484" s="28"/>
      <c r="P1484" s="28"/>
      <c r="Q1484" s="28"/>
      <c r="R1484" s="28">
        <v>41</v>
      </c>
      <c r="S1484" s="28">
        <f>CONVERT(R1484,"lbm","g")/1000</f>
        <v>18.597287170000001</v>
      </c>
    </row>
    <row r="1485" spans="1:19" x14ac:dyDescent="0.25">
      <c r="A1485" s="28">
        <v>2022</v>
      </c>
      <c r="B1485" s="28" t="s">
        <v>2405</v>
      </c>
      <c r="C1485" s="28" t="s">
        <v>206</v>
      </c>
      <c r="D1485" s="28" t="s">
        <v>347</v>
      </c>
      <c r="E1485" s="28" t="s">
        <v>348</v>
      </c>
      <c r="F1485" s="28" t="s">
        <v>349</v>
      </c>
      <c r="G1485" s="28">
        <v>63461</v>
      </c>
      <c r="H1485" s="28">
        <v>39.834117999999997</v>
      </c>
      <c r="I1485" s="28">
        <v>-91.436790999999999</v>
      </c>
      <c r="J1485" s="28" t="s">
        <v>350</v>
      </c>
      <c r="K1485" s="61">
        <v>110056953765</v>
      </c>
      <c r="L1485" s="61" t="str">
        <f>IFERROR(INDEX('Facility Summary'!$K:$K,MATCH(K1485,'Facility Summary'!$J:$J,0)),INDEX('Raw Annual DMR Data'!$M:$M,MATCH(K1485,'Raw Annual DMR Data'!$L:$L,0)))</f>
        <v>Processing into formulation, mixture, or reaction product</v>
      </c>
      <c r="M1485" s="28">
        <v>325320</v>
      </c>
      <c r="N1485" s="28" t="str">
        <f>VLOOKUP(M1485,'SIC &amp; NAICS Codes'!$D:$E,2,FALSE)</f>
        <v>Pesticide and Other Agricultural Chemical Manufacturing</v>
      </c>
      <c r="O1485" s="28"/>
      <c r="P1485" s="28"/>
      <c r="Q1485" s="28"/>
      <c r="R1485" s="28">
        <v>5</v>
      </c>
      <c r="S1485" s="28">
        <f>CONVERT(R1485,"lbm","g")/1000</f>
        <v>2.2679618500000003</v>
      </c>
    </row>
    <row r="1486" spans="1:19" x14ac:dyDescent="0.25">
      <c r="A1486" s="28">
        <v>2023</v>
      </c>
      <c r="B1486" s="28" t="s">
        <v>2405</v>
      </c>
      <c r="C1486" s="28" t="s">
        <v>7358</v>
      </c>
      <c r="D1486" s="28" t="s">
        <v>562</v>
      </c>
      <c r="E1486" s="28" t="s">
        <v>563</v>
      </c>
      <c r="F1486" s="28" t="s">
        <v>564</v>
      </c>
      <c r="G1486" s="28">
        <v>52761</v>
      </c>
      <c r="H1486" s="28">
        <v>41.350468999999997</v>
      </c>
      <c r="I1486" s="28">
        <v>-91.081619000000003</v>
      </c>
      <c r="J1486" s="28" t="s">
        <v>565</v>
      </c>
      <c r="K1486" s="61">
        <v>110018869474</v>
      </c>
      <c r="L1486" s="61" t="str">
        <f>IFERROR(INDEX('Facility Summary'!$K:$K,MATCH(K1486,'Facility Summary'!$J:$J,0)),INDEX('Raw Annual DMR Data'!$M:$M,MATCH(K1486,'Raw Annual DMR Data'!$L:$L,0)))</f>
        <v>Processing into formulation, mixture, or reaction product</v>
      </c>
      <c r="M1486" s="28">
        <v>325320</v>
      </c>
      <c r="N1486" s="28" t="str">
        <f>VLOOKUP(M1486,'SIC &amp; NAICS Codes'!$D:$E,2,FALSE)</f>
        <v>Pesticide and Other Agricultural Chemical Manufacturing</v>
      </c>
      <c r="O1486" s="28"/>
      <c r="P1486" s="28"/>
      <c r="Q1486" s="28"/>
      <c r="R1486" s="28">
        <v>26</v>
      </c>
      <c r="S1486" s="28">
        <f>CONVERT(R1486,"lbm","g")/1000</f>
        <v>11.793401620000001</v>
      </c>
    </row>
    <row r="1487" spans="1:19" x14ac:dyDescent="0.25">
      <c r="A1487" s="28">
        <v>2016</v>
      </c>
      <c r="B1487" s="28"/>
      <c r="C1487" s="28" t="s">
        <v>1241</v>
      </c>
      <c r="D1487" s="28" t="s">
        <v>2023</v>
      </c>
      <c r="E1487" s="28" t="s">
        <v>1242</v>
      </c>
      <c r="F1487" s="28" t="s">
        <v>338</v>
      </c>
      <c r="G1487" s="28" t="s">
        <v>2024</v>
      </c>
      <c r="H1487" s="28">
        <v>39.920290000000001</v>
      </c>
      <c r="I1487" s="28">
        <v>-74.927520000000001</v>
      </c>
      <c r="J1487" s="28"/>
      <c r="K1487" s="61">
        <v>110029618297</v>
      </c>
      <c r="L1487" s="61" t="str">
        <f>IFERROR(INDEX('Facility Summary'!$K:$K,MATCH(K1487,'Facility Summary'!$J:$J,0)),INDEX('Raw Annual DMR Data'!$M:$M,MATCH(K1487,'Raw Annual DMR Data'!$L:$L,0)))</f>
        <v>POTW</v>
      </c>
      <c r="M1487" s="28"/>
      <c r="N1487" s="28"/>
      <c r="O1487" s="28"/>
      <c r="P1487" s="28"/>
      <c r="Q1487" s="28"/>
      <c r="R1487" s="28"/>
      <c r="S1487" s="28">
        <v>0.95556110000000005</v>
      </c>
    </row>
    <row r="1488" spans="1:19" x14ac:dyDescent="0.25">
      <c r="A1488" s="28">
        <v>2023</v>
      </c>
      <c r="B1488" s="28" t="s">
        <v>2405</v>
      </c>
      <c r="C1488" s="28" t="s">
        <v>215</v>
      </c>
      <c r="D1488" s="28" t="s">
        <v>574</v>
      </c>
      <c r="E1488" s="28" t="s">
        <v>575</v>
      </c>
      <c r="F1488" s="28" t="s">
        <v>435</v>
      </c>
      <c r="G1488" s="28">
        <v>28147</v>
      </c>
      <c r="H1488" s="28">
        <v>35.629620000000003</v>
      </c>
      <c r="I1488" s="28">
        <v>-80.53595</v>
      </c>
      <c r="J1488" s="28" t="s">
        <v>576</v>
      </c>
      <c r="K1488" s="61">
        <v>110000348936</v>
      </c>
      <c r="L1488" s="61" t="str">
        <f>IFERROR(INDEX('Facility Summary'!$K:$K,MATCH(K1488,'Facility Summary'!$J:$J,0)),INDEX('Raw Annual DMR Data'!$M:$M,MATCH(K1488,'Raw Annual DMR Data'!$L:$L,0)))</f>
        <v>Processing into formulation, mixture, or reaction product</v>
      </c>
      <c r="M1488" s="28">
        <v>325199</v>
      </c>
      <c r="N1488" s="28" t="str">
        <f>VLOOKUP(M1488,'SIC &amp; NAICS Codes'!$D:$E,2,FALSE)</f>
        <v>All Other Basic Organic Chemical Manufacturing</v>
      </c>
      <c r="O1488" s="28"/>
      <c r="P1488" s="28"/>
      <c r="Q1488" s="28"/>
      <c r="R1488" s="28">
        <v>0</v>
      </c>
      <c r="S1488" s="28">
        <f>CONVERT(R1488,"lbm","g")/1000</f>
        <v>0</v>
      </c>
    </row>
    <row r="1489" spans="1:19" x14ac:dyDescent="0.25">
      <c r="A1489" s="28">
        <v>2017</v>
      </c>
      <c r="B1489" s="28"/>
      <c r="C1489" s="28" t="s">
        <v>1241</v>
      </c>
      <c r="D1489" s="28" t="s">
        <v>2023</v>
      </c>
      <c r="E1489" s="28" t="s">
        <v>1242</v>
      </c>
      <c r="F1489" s="28" t="s">
        <v>338</v>
      </c>
      <c r="G1489" s="28" t="s">
        <v>2024</v>
      </c>
      <c r="H1489" s="28">
        <v>39.920290000000001</v>
      </c>
      <c r="I1489" s="28">
        <v>-74.927520000000001</v>
      </c>
      <c r="J1489" s="28"/>
      <c r="K1489" s="61">
        <v>110029618297</v>
      </c>
      <c r="L1489" s="61" t="str">
        <f>IFERROR(INDEX('Facility Summary'!$K:$K,MATCH(K1489,'Facility Summary'!$J:$J,0)),INDEX('Raw Annual DMR Data'!$M:$M,MATCH(K1489,'Raw Annual DMR Data'!$L:$L,0)))</f>
        <v>POTW</v>
      </c>
      <c r="M1489" s="28"/>
      <c r="N1489" s="28"/>
      <c r="O1489" s="28"/>
      <c r="P1489" s="28"/>
      <c r="Q1489" s="28"/>
      <c r="R1489" s="28"/>
      <c r="S1489" s="28">
        <v>1.0530059249999999</v>
      </c>
    </row>
    <row r="1490" spans="1:19" x14ac:dyDescent="0.25">
      <c r="A1490" s="28">
        <v>2018</v>
      </c>
      <c r="B1490" s="28"/>
      <c r="C1490" s="28" t="s">
        <v>1241</v>
      </c>
      <c r="D1490" s="28" t="s">
        <v>2023</v>
      </c>
      <c r="E1490" s="28" t="s">
        <v>1242</v>
      </c>
      <c r="F1490" s="28" t="s">
        <v>338</v>
      </c>
      <c r="G1490" s="28" t="s">
        <v>2024</v>
      </c>
      <c r="H1490" s="28">
        <v>39.920290000000001</v>
      </c>
      <c r="I1490" s="28">
        <v>-74.927520000000001</v>
      </c>
      <c r="J1490" s="28"/>
      <c r="K1490" s="61">
        <v>110029618297</v>
      </c>
      <c r="L1490" s="61" t="str">
        <f>IFERROR(INDEX('Facility Summary'!$K:$K,MATCH(K1490,'Facility Summary'!$J:$J,0)),INDEX('Raw Annual DMR Data'!$M:$M,MATCH(K1490,'Raw Annual DMR Data'!$L:$L,0)))</f>
        <v>POTW</v>
      </c>
      <c r="M1490" s="28"/>
      <c r="N1490" s="28"/>
      <c r="O1490" s="28"/>
      <c r="P1490" s="28"/>
      <c r="Q1490" s="28"/>
      <c r="R1490" s="28"/>
      <c r="S1490" s="28">
        <v>1.0132180049999999</v>
      </c>
    </row>
    <row r="1491" spans="1:19" x14ac:dyDescent="0.25">
      <c r="A1491" s="28">
        <v>2016</v>
      </c>
      <c r="B1491" s="28"/>
      <c r="C1491" s="28" t="s">
        <v>1245</v>
      </c>
      <c r="D1491" s="28" t="s">
        <v>2030</v>
      </c>
      <c r="E1491" s="28" t="s">
        <v>1246</v>
      </c>
      <c r="F1491" s="28" t="s">
        <v>366</v>
      </c>
      <c r="G1491" s="28">
        <v>95391</v>
      </c>
      <c r="H1491" s="28">
        <v>37.780340000000002</v>
      </c>
      <c r="I1491" s="28">
        <v>-121.51779000000001</v>
      </c>
      <c r="J1491" s="28"/>
      <c r="K1491" s="61">
        <v>110010058034</v>
      </c>
      <c r="L1491" s="61" t="str">
        <f>IFERROR(INDEX('Facility Summary'!$K:$K,MATCH(K1491,'Facility Summary'!$J:$J,0)),INDEX('Raw Annual DMR Data'!$M:$M,MATCH(K1491,'Raw Annual DMR Data'!$L:$L,0)))</f>
        <v>POTW</v>
      </c>
      <c r="M1491" s="28"/>
      <c r="N1491" s="28"/>
      <c r="O1491" s="28"/>
      <c r="P1491" s="28"/>
      <c r="Q1491" s="28"/>
      <c r="R1491" s="28"/>
      <c r="S1491" s="28">
        <v>5.2119355375000002E-2</v>
      </c>
    </row>
    <row r="1492" spans="1:19" x14ac:dyDescent="0.25">
      <c r="A1492" s="28">
        <v>2023</v>
      </c>
      <c r="B1492" s="28" t="s">
        <v>2405</v>
      </c>
      <c r="C1492" s="28" t="s">
        <v>208</v>
      </c>
      <c r="D1492" s="28" t="s">
        <v>425</v>
      </c>
      <c r="E1492" s="28" t="s">
        <v>426</v>
      </c>
      <c r="F1492" s="28" t="s">
        <v>427</v>
      </c>
      <c r="G1492" s="28">
        <v>48640</v>
      </c>
      <c r="H1492" s="28">
        <v>43.600960000000001</v>
      </c>
      <c r="I1492" s="28">
        <v>-84.207689999999999</v>
      </c>
      <c r="J1492" s="28" t="s">
        <v>428</v>
      </c>
      <c r="K1492" s="61">
        <v>110070788638</v>
      </c>
      <c r="L1492" s="61" t="str">
        <f>IFERROR(INDEX('Facility Summary'!$K:$K,MATCH(K1492,'Facility Summary'!$J:$J,0)),INDEX('Raw Annual DMR Data'!$M:$M,MATCH(K1492,'Raw Annual DMR Data'!$L:$L,0)))</f>
        <v>Processing as a Reactant</v>
      </c>
      <c r="M1492" s="28">
        <v>325199</v>
      </c>
      <c r="N1492" s="28" t="str">
        <f>VLOOKUP(M1492,'SIC &amp; NAICS Codes'!$D:$E,2,FALSE)</f>
        <v>All Other Basic Organic Chemical Manufacturing</v>
      </c>
      <c r="O1492" s="28"/>
      <c r="P1492" s="28"/>
      <c r="Q1492" s="28"/>
      <c r="R1492" s="28">
        <v>0</v>
      </c>
      <c r="S1492" s="28">
        <f>CONVERT(R1492,"lbm","g")/1000</f>
        <v>0</v>
      </c>
    </row>
    <row r="1493" spans="1:19" x14ac:dyDescent="0.25">
      <c r="A1493" s="28">
        <v>2016</v>
      </c>
      <c r="B1493" s="28"/>
      <c r="C1493" s="28" t="s">
        <v>2033</v>
      </c>
      <c r="D1493" s="28" t="s">
        <v>571</v>
      </c>
      <c r="E1493" s="28" t="s">
        <v>572</v>
      </c>
      <c r="F1493" s="28" t="s">
        <v>303</v>
      </c>
      <c r="G1493" s="28">
        <v>70051</v>
      </c>
      <c r="H1493" s="28">
        <v>30.048590999999998</v>
      </c>
      <c r="I1493" s="28">
        <v>-90.630941000000007</v>
      </c>
      <c r="J1493" s="28" t="s">
        <v>573</v>
      </c>
      <c r="K1493" s="61">
        <v>110007015871</v>
      </c>
      <c r="L1493" s="61" t="str">
        <f>IFERROR(INDEX('Facility Summary'!$K:$K,MATCH(K1493,'Facility Summary'!$J:$J,0)),INDEX('Raw Annual DMR Data'!$M:$M,MATCH(K1493,'Raw Annual DMR Data'!$L:$L,0)))</f>
        <v>Manufacturing</v>
      </c>
      <c r="M1493" s="28"/>
      <c r="N1493" s="28"/>
      <c r="O1493" s="28"/>
      <c r="P1493" s="28"/>
      <c r="Q1493" s="28"/>
      <c r="R1493" s="28"/>
      <c r="S1493" s="28">
        <v>0.16553287981859399</v>
      </c>
    </row>
    <row r="1494" spans="1:19" x14ac:dyDescent="0.25">
      <c r="A1494" s="28">
        <v>2017</v>
      </c>
      <c r="B1494" s="28"/>
      <c r="C1494" s="28" t="s">
        <v>2033</v>
      </c>
      <c r="D1494" s="28" t="s">
        <v>571</v>
      </c>
      <c r="E1494" s="28" t="s">
        <v>572</v>
      </c>
      <c r="F1494" s="28" t="s">
        <v>303</v>
      </c>
      <c r="G1494" s="28">
        <v>70051</v>
      </c>
      <c r="H1494" s="28">
        <v>30.048590999999998</v>
      </c>
      <c r="I1494" s="28">
        <v>-90.630941000000007</v>
      </c>
      <c r="J1494" s="28" t="s">
        <v>573</v>
      </c>
      <c r="K1494" s="61">
        <v>110007015871</v>
      </c>
      <c r="L1494" s="61" t="str">
        <f>IFERROR(INDEX('Facility Summary'!$K:$K,MATCH(K1494,'Facility Summary'!$J:$J,0)),INDEX('Raw Annual DMR Data'!$M:$M,MATCH(K1494,'Raw Annual DMR Data'!$L:$L,0)))</f>
        <v>Manufacturing</v>
      </c>
      <c r="M1494" s="28"/>
      <c r="N1494" s="28"/>
      <c r="O1494" s="28"/>
      <c r="P1494" s="28"/>
      <c r="Q1494" s="28"/>
      <c r="R1494" s="28"/>
      <c r="S1494" s="28">
        <v>8.2766439909296996E-2</v>
      </c>
    </row>
    <row r="1495" spans="1:19" x14ac:dyDescent="0.25">
      <c r="A1495" s="28">
        <v>2018</v>
      </c>
      <c r="B1495" s="28"/>
      <c r="C1495" s="28" t="s">
        <v>2033</v>
      </c>
      <c r="D1495" s="28" t="s">
        <v>571</v>
      </c>
      <c r="E1495" s="28" t="s">
        <v>572</v>
      </c>
      <c r="F1495" s="28" t="s">
        <v>303</v>
      </c>
      <c r="G1495" s="28">
        <v>70051</v>
      </c>
      <c r="H1495" s="28">
        <v>30.048590999999998</v>
      </c>
      <c r="I1495" s="28">
        <v>-90.630941000000007</v>
      </c>
      <c r="J1495" s="28" t="s">
        <v>573</v>
      </c>
      <c r="K1495" s="61">
        <v>110007015871</v>
      </c>
      <c r="L1495" s="61" t="str">
        <f>IFERROR(INDEX('Facility Summary'!$K:$K,MATCH(K1495,'Facility Summary'!$J:$J,0)),INDEX('Raw Annual DMR Data'!$M:$M,MATCH(K1495,'Raw Annual DMR Data'!$L:$L,0)))</f>
        <v>Manufacturing</v>
      </c>
      <c r="M1495" s="28"/>
      <c r="N1495" s="28"/>
      <c r="O1495" s="28"/>
      <c r="P1495" s="28"/>
      <c r="Q1495" s="28"/>
      <c r="R1495" s="28"/>
      <c r="S1495" s="302">
        <v>0.16553287981859399</v>
      </c>
    </row>
    <row r="1496" spans="1:19" x14ac:dyDescent="0.25">
      <c r="A1496" s="28">
        <v>2019</v>
      </c>
      <c r="B1496" s="28"/>
      <c r="C1496" s="28" t="s">
        <v>2033</v>
      </c>
      <c r="D1496" s="28" t="s">
        <v>571</v>
      </c>
      <c r="E1496" s="28" t="s">
        <v>572</v>
      </c>
      <c r="F1496" s="28" t="s">
        <v>303</v>
      </c>
      <c r="G1496" s="28">
        <v>70051</v>
      </c>
      <c r="H1496" s="28">
        <v>30.048590999999998</v>
      </c>
      <c r="I1496" s="28">
        <v>-90.630941000000007</v>
      </c>
      <c r="J1496" s="28" t="s">
        <v>573</v>
      </c>
      <c r="K1496" s="61">
        <v>110007015871</v>
      </c>
      <c r="L1496" s="61" t="str">
        <f>IFERROR(INDEX('Facility Summary'!$K:$K,MATCH(K1496,'Facility Summary'!$J:$J,0)),INDEX('Raw Annual DMR Data'!$M:$M,MATCH(K1496,'Raw Annual DMR Data'!$L:$L,0)))</f>
        <v>Manufacturing</v>
      </c>
      <c r="M1496" s="28"/>
      <c r="N1496" s="28"/>
      <c r="O1496" s="28"/>
      <c r="P1496" s="28"/>
      <c r="Q1496" s="28"/>
      <c r="R1496" s="28"/>
      <c r="S1496" s="28">
        <v>8.2766439909296996E-2</v>
      </c>
    </row>
    <row r="1497" spans="1:19" x14ac:dyDescent="0.25">
      <c r="A1497" s="28">
        <v>2020</v>
      </c>
      <c r="B1497" s="28"/>
      <c r="C1497" s="28" t="s">
        <v>2033</v>
      </c>
      <c r="D1497" s="28" t="s">
        <v>571</v>
      </c>
      <c r="E1497" s="28" t="s">
        <v>572</v>
      </c>
      <c r="F1497" s="28" t="s">
        <v>303</v>
      </c>
      <c r="G1497" s="28">
        <v>70051</v>
      </c>
      <c r="H1497" s="28">
        <v>30.048590999999998</v>
      </c>
      <c r="I1497" s="28">
        <v>-90.630941000000007</v>
      </c>
      <c r="J1497" s="28" t="s">
        <v>573</v>
      </c>
      <c r="K1497" s="61">
        <v>110007015871</v>
      </c>
      <c r="L1497" s="61" t="str">
        <f>IFERROR(INDEX('Facility Summary'!$K:$K,MATCH(K1497,'Facility Summary'!$J:$J,0)),INDEX('Raw Annual DMR Data'!$M:$M,MATCH(K1497,'Raw Annual DMR Data'!$L:$L,0)))</f>
        <v>Manufacturing</v>
      </c>
      <c r="M1497" s="28"/>
      <c r="N1497" s="28"/>
      <c r="O1497" s="28"/>
      <c r="P1497" s="28"/>
      <c r="Q1497" s="28"/>
      <c r="R1497" s="28"/>
      <c r="S1497" s="28">
        <v>8.2766439909296996E-2</v>
      </c>
    </row>
    <row r="1498" spans="1:19" x14ac:dyDescent="0.25">
      <c r="A1498" s="28">
        <v>2017</v>
      </c>
      <c r="B1498" s="28"/>
      <c r="C1498" s="28" t="s">
        <v>1254</v>
      </c>
      <c r="D1498" s="28" t="s">
        <v>2043</v>
      </c>
      <c r="E1498" s="28" t="s">
        <v>1255</v>
      </c>
      <c r="F1498" s="28" t="s">
        <v>366</v>
      </c>
      <c r="G1498" s="28">
        <v>93043</v>
      </c>
      <c r="H1498" s="28">
        <v>34.147221999999999</v>
      </c>
      <c r="I1498" s="28">
        <v>-119.211111</v>
      </c>
      <c r="J1498" s="28"/>
      <c r="K1498" s="61">
        <v>110037256812</v>
      </c>
      <c r="L1498" s="61" t="str">
        <f>IFERROR(INDEX('Facility Summary'!$K:$K,MATCH(K1498,'Facility Summary'!$J:$J,0)),INDEX('Raw Annual DMR Data'!$M:$M,MATCH(K1498,'Raw Annual DMR Data'!$L:$L,0)))</f>
        <v>Laboratory Use</v>
      </c>
      <c r="M1498" s="28"/>
      <c r="N1498" s="28"/>
      <c r="O1498" s="28"/>
      <c r="P1498" s="28"/>
      <c r="Q1498" s="28"/>
      <c r="R1498" s="28"/>
      <c r="S1498" s="28">
        <v>8.5475504359999906E-3</v>
      </c>
    </row>
    <row r="1499" spans="1:19" x14ac:dyDescent="0.25">
      <c r="A1499" s="28">
        <v>2018</v>
      </c>
      <c r="B1499" s="28"/>
      <c r="C1499" s="28" t="s">
        <v>1254</v>
      </c>
      <c r="D1499" s="28" t="s">
        <v>2043</v>
      </c>
      <c r="E1499" s="28" t="s">
        <v>1255</v>
      </c>
      <c r="F1499" s="28" t="s">
        <v>366</v>
      </c>
      <c r="G1499" s="28">
        <v>93043</v>
      </c>
      <c r="H1499" s="28">
        <v>34.147221999999999</v>
      </c>
      <c r="I1499" s="28">
        <v>-119.211111</v>
      </c>
      <c r="J1499" s="28"/>
      <c r="K1499" s="61">
        <v>110037256812</v>
      </c>
      <c r="L1499" s="61" t="str">
        <f>IFERROR(INDEX('Facility Summary'!$K:$K,MATCH(K1499,'Facility Summary'!$J:$J,0)),INDEX('Raw Annual DMR Data'!$M:$M,MATCH(K1499,'Raw Annual DMR Data'!$L:$L,0)))</f>
        <v>Laboratory Use</v>
      </c>
      <c r="M1499" s="28"/>
      <c r="N1499" s="28"/>
      <c r="O1499" s="28"/>
      <c r="P1499" s="28"/>
      <c r="Q1499" s="28"/>
      <c r="R1499" s="28"/>
      <c r="S1499" s="302">
        <v>3.3310418993499902E-3</v>
      </c>
    </row>
    <row r="1500" spans="1:19" x14ac:dyDescent="0.25">
      <c r="A1500" s="28">
        <v>2023</v>
      </c>
      <c r="B1500" s="28" t="s">
        <v>2405</v>
      </c>
      <c r="C1500" s="28" t="s">
        <v>209</v>
      </c>
      <c r="D1500" s="28" t="s">
        <v>436</v>
      </c>
      <c r="E1500" s="28" t="s">
        <v>437</v>
      </c>
      <c r="F1500" s="28" t="s">
        <v>362</v>
      </c>
      <c r="G1500" s="28">
        <v>775413257</v>
      </c>
      <c r="H1500" s="28">
        <v>28.980146999999999</v>
      </c>
      <c r="I1500" s="28">
        <v>-95.342271999999994</v>
      </c>
      <c r="J1500" s="28" t="s">
        <v>438</v>
      </c>
      <c r="K1500" s="61">
        <v>110008170237</v>
      </c>
      <c r="L1500" s="61" t="str">
        <f>IFERROR(INDEX('Facility Summary'!$K:$K,MATCH(K1500,'Facility Summary'!$J:$J,0)),INDEX('Raw Annual DMR Data'!$M:$M,MATCH(K1500,'Raw Annual DMR Data'!$L:$L,0)))</f>
        <v>Processing as a Reactant</v>
      </c>
      <c r="M1500" s="28">
        <v>325199</v>
      </c>
      <c r="N1500" s="28" t="str">
        <f>VLOOKUP(M1500,'SIC &amp; NAICS Codes'!$D:$E,2,FALSE)</f>
        <v>All Other Basic Organic Chemical Manufacturing</v>
      </c>
      <c r="O1500" s="28"/>
      <c r="P1500" s="28"/>
      <c r="Q1500" s="28"/>
      <c r="R1500" s="28">
        <v>97</v>
      </c>
      <c r="S1500" s="28">
        <f>CONVERT(R1500,"lbm","g")/1000</f>
        <v>43.998459889999999</v>
      </c>
    </row>
    <row r="1501" spans="1:19" x14ac:dyDescent="0.25">
      <c r="A1501" s="28">
        <v>2023</v>
      </c>
      <c r="B1501" s="28" t="s">
        <v>2405</v>
      </c>
      <c r="C1501" s="28" t="s">
        <v>206</v>
      </c>
      <c r="D1501" s="28" t="s">
        <v>347</v>
      </c>
      <c r="E1501" s="28" t="s">
        <v>348</v>
      </c>
      <c r="F1501" s="28" t="s">
        <v>349</v>
      </c>
      <c r="G1501" s="28">
        <v>63461</v>
      </c>
      <c r="H1501" s="28">
        <v>39.834117999999997</v>
      </c>
      <c r="I1501" s="28">
        <v>-91.436790999999999</v>
      </c>
      <c r="J1501" s="28" t="s">
        <v>350</v>
      </c>
      <c r="K1501" s="61">
        <v>110056953765</v>
      </c>
      <c r="L1501" s="61" t="str">
        <f>IFERROR(INDEX('Facility Summary'!$K:$K,MATCH(K1501,'Facility Summary'!$J:$J,0)),INDEX('Raw Annual DMR Data'!$M:$M,MATCH(K1501,'Raw Annual DMR Data'!$L:$L,0)))</f>
        <v>Processing into formulation, mixture, or reaction product</v>
      </c>
      <c r="M1501" s="28">
        <v>325320</v>
      </c>
      <c r="N1501" s="28" t="str">
        <f>VLOOKUP(M1501,'SIC &amp; NAICS Codes'!$D:$E,2,FALSE)</f>
        <v>Pesticide and Other Agricultural Chemical Manufacturing</v>
      </c>
      <c r="O1501" s="28"/>
      <c r="P1501" s="28"/>
      <c r="Q1501" s="28"/>
      <c r="R1501" s="28">
        <v>5</v>
      </c>
      <c r="S1501" s="28">
        <f>CONVERT(R1501,"lbm","g")/1000</f>
        <v>2.2679618500000003</v>
      </c>
    </row>
    <row r="1502" spans="1:19" x14ac:dyDescent="0.25">
      <c r="A1502" s="28">
        <v>2020</v>
      </c>
      <c r="B1502" s="28"/>
      <c r="C1502" s="28" t="s">
        <v>1257</v>
      </c>
      <c r="D1502" s="28" t="s">
        <v>2048</v>
      </c>
      <c r="E1502" s="28" t="s">
        <v>1258</v>
      </c>
      <c r="F1502" s="28" t="s">
        <v>366</v>
      </c>
      <c r="G1502" s="28">
        <v>92257</v>
      </c>
      <c r="H1502" s="28">
        <v>33.227348999999997</v>
      </c>
      <c r="I1502" s="28">
        <v>-115.528569</v>
      </c>
      <c r="J1502" s="28"/>
      <c r="K1502" s="61">
        <v>110001177958</v>
      </c>
      <c r="L1502" s="61" t="str">
        <f>IFERROR(INDEX('Facility Summary'!$K:$K,MATCH(K1502,'Facility Summary'!$J:$J,0)),INDEX('Raw Annual DMR Data'!$M:$M,MATCH(K1502,'Raw Annual DMR Data'!$L:$L,0)))</f>
        <v>POTW</v>
      </c>
      <c r="M1502" s="28"/>
      <c r="N1502" s="28"/>
      <c r="O1502" s="28"/>
      <c r="P1502" s="28"/>
      <c r="Q1502" s="28"/>
      <c r="R1502" s="28"/>
      <c r="S1502" s="28">
        <v>2.83212625E-2</v>
      </c>
    </row>
    <row r="1503" spans="1:19" x14ac:dyDescent="0.25">
      <c r="A1503" s="28">
        <v>2015</v>
      </c>
      <c r="B1503" s="28"/>
      <c r="C1503" s="28" t="s">
        <v>1296</v>
      </c>
      <c r="D1503" s="28" t="s">
        <v>2129</v>
      </c>
      <c r="E1503" s="28" t="s">
        <v>1297</v>
      </c>
      <c r="F1503" s="28" t="s">
        <v>374</v>
      </c>
      <c r="G1503" s="28">
        <v>86510</v>
      </c>
      <c r="H1503" s="28">
        <v>35.092222</v>
      </c>
      <c r="I1503" s="28">
        <v>-110.22666700000001</v>
      </c>
      <c r="J1503" s="28"/>
      <c r="K1503" s="61">
        <v>110024409460</v>
      </c>
      <c r="L1503" s="61" t="str">
        <f>IFERROR(INDEX('Facility Summary'!$K:$K,MATCH(K1503,'Facility Summary'!$J:$J,0)),INDEX('Raw Annual DMR Data'!$M:$M,MATCH(K1503,'Raw Annual DMR Data'!$L:$L,0)))</f>
        <v>POTW</v>
      </c>
      <c r="M1503" s="28"/>
      <c r="N1503" s="28"/>
      <c r="O1503" s="28"/>
      <c r="P1503" s="28"/>
      <c r="Q1503" s="28"/>
      <c r="R1503" s="28"/>
      <c r="S1503" s="28">
        <v>0.68060356</v>
      </c>
    </row>
    <row r="1504" spans="1:19" x14ac:dyDescent="0.25">
      <c r="A1504" s="28">
        <v>2023</v>
      </c>
      <c r="B1504" s="28" t="s">
        <v>2405</v>
      </c>
      <c r="C1504" s="28" t="s">
        <v>7360</v>
      </c>
      <c r="D1504" s="28" t="s">
        <v>343</v>
      </c>
      <c r="E1504" s="28" t="s">
        <v>344</v>
      </c>
      <c r="F1504" s="28" t="s">
        <v>345</v>
      </c>
      <c r="G1504" s="28">
        <v>60901</v>
      </c>
      <c r="H1504" s="28">
        <v>41.085541999999997</v>
      </c>
      <c r="I1504" s="28">
        <v>-87.880542000000005</v>
      </c>
      <c r="J1504" s="28" t="s">
        <v>346</v>
      </c>
      <c r="K1504" s="61">
        <v>110043972207</v>
      </c>
      <c r="L1504" s="61" t="str">
        <f>IFERROR(INDEX('Facility Summary'!$K:$K,MATCH(K1504,'Facility Summary'!$J:$J,0)),INDEX('Raw Annual DMR Data'!$M:$M,MATCH(K1504,'Raw Annual DMR Data'!$L:$L,0)))</f>
        <v>Processing into formulation, mixture, or reaction product</v>
      </c>
      <c r="M1504" s="28">
        <v>325613</v>
      </c>
      <c r="N1504" s="28" t="str">
        <f>VLOOKUP(M1504,'SIC &amp; NAICS Codes'!$D:$E,2,FALSE)</f>
        <v>Surface Active Agent Manufacturing</v>
      </c>
      <c r="O1504" s="28"/>
      <c r="P1504" s="28"/>
      <c r="Q1504" s="28"/>
      <c r="R1504" s="28">
        <v>0</v>
      </c>
      <c r="S1504" s="28">
        <f>CONVERT(R1504,"lbm","g")/1000</f>
        <v>0</v>
      </c>
    </row>
    <row r="1505" spans="1:19" x14ac:dyDescent="0.25">
      <c r="A1505" s="28">
        <v>2019</v>
      </c>
      <c r="B1505" s="28"/>
      <c r="C1505" s="28" t="s">
        <v>1298</v>
      </c>
      <c r="D1505" s="28" t="s">
        <v>2132</v>
      </c>
      <c r="E1505" s="28" t="s">
        <v>1299</v>
      </c>
      <c r="F1505" s="28" t="s">
        <v>366</v>
      </c>
      <c r="G1505" s="28">
        <v>96122</v>
      </c>
      <c r="H1505" s="28">
        <v>39.805480000000003</v>
      </c>
      <c r="I1505" s="28">
        <v>-120.47149</v>
      </c>
      <c r="J1505" s="28"/>
      <c r="K1505" s="61">
        <v>110010058757</v>
      </c>
      <c r="L1505" s="61" t="str">
        <f>IFERROR(INDEX('Facility Summary'!$K:$K,MATCH(K1505,'Facility Summary'!$J:$J,0)),INDEX('Raw Annual DMR Data'!$M:$M,MATCH(K1505,'Raw Annual DMR Data'!$L:$L,0)))</f>
        <v>POTW</v>
      </c>
      <c r="M1505" s="28"/>
      <c r="N1505" s="28"/>
      <c r="O1505" s="28"/>
      <c r="P1505" s="28"/>
      <c r="Q1505" s="28"/>
      <c r="R1505" s="28"/>
      <c r="S1505" s="28">
        <v>1.5032373525E-2</v>
      </c>
    </row>
    <row r="1506" spans="1:19" x14ac:dyDescent="0.25">
      <c r="A1506" s="28">
        <v>2017</v>
      </c>
      <c r="B1506" s="28"/>
      <c r="C1506" s="28" t="s">
        <v>1327</v>
      </c>
      <c r="D1506" s="28" t="s">
        <v>2182</v>
      </c>
      <c r="E1506" s="28" t="s">
        <v>1328</v>
      </c>
      <c r="F1506" s="28" t="s">
        <v>366</v>
      </c>
      <c r="G1506" s="28">
        <v>95683</v>
      </c>
      <c r="H1506" s="28">
        <v>38.516390000000001</v>
      </c>
      <c r="I1506" s="28">
        <v>-121.19723999999999</v>
      </c>
      <c r="J1506" s="28"/>
      <c r="K1506" s="61">
        <v>110017972764</v>
      </c>
      <c r="L1506" s="61" t="str">
        <f>IFERROR(INDEX('Facility Summary'!$K:$K,MATCH(K1506,'Facility Summary'!$J:$J,0)),INDEX('Raw Annual DMR Data'!$M:$M,MATCH(K1506,'Raw Annual DMR Data'!$L:$L,0)))</f>
        <v>Waste Handling, Disposal and Treatment (Landfill)</v>
      </c>
      <c r="M1506" s="28"/>
      <c r="N1506" s="28"/>
      <c r="O1506" s="28"/>
      <c r="P1506" s="28"/>
      <c r="Q1506" s="28"/>
      <c r="R1506" s="28"/>
      <c r="S1506" s="28">
        <v>1.001605625E-2</v>
      </c>
    </row>
    <row r="1507" spans="1:19" x14ac:dyDescent="0.25">
      <c r="A1507" s="28">
        <v>2015</v>
      </c>
      <c r="B1507" s="28"/>
      <c r="C1507" s="28" t="s">
        <v>1329</v>
      </c>
      <c r="D1507" s="28" t="s">
        <v>2184</v>
      </c>
      <c r="E1507" s="28" t="s">
        <v>1330</v>
      </c>
      <c r="F1507" s="28" t="s">
        <v>374</v>
      </c>
      <c r="G1507" s="28">
        <v>85603</v>
      </c>
      <c r="H1507" s="28">
        <v>31.359059999999999</v>
      </c>
      <c r="I1507" s="28">
        <v>-109.91528</v>
      </c>
      <c r="J1507" s="28"/>
      <c r="K1507" s="61">
        <v>110039713067</v>
      </c>
      <c r="L1507" s="61" t="str">
        <f>IFERROR(INDEX('Facility Summary'!$K:$K,MATCH(K1507,'Facility Summary'!$J:$J,0)),INDEX('Raw Annual DMR Data'!$M:$M,MATCH(K1507,'Raw Annual DMR Data'!$L:$L,0)))</f>
        <v>POTW</v>
      </c>
      <c r="M1507" s="28"/>
      <c r="N1507" s="28"/>
      <c r="O1507" s="28"/>
      <c r="P1507" s="28"/>
      <c r="Q1507" s="28"/>
      <c r="R1507" s="28"/>
      <c r="S1507" s="28">
        <v>0.46695544999999999</v>
      </c>
    </row>
    <row r="1508" spans="1:19" x14ac:dyDescent="0.25">
      <c r="A1508" s="28">
        <v>2024</v>
      </c>
      <c r="B1508" s="28" t="s">
        <v>2405</v>
      </c>
      <c r="C1508" s="28" t="s">
        <v>683</v>
      </c>
      <c r="D1508" s="28" t="s">
        <v>684</v>
      </c>
      <c r="E1508" s="28" t="s">
        <v>685</v>
      </c>
      <c r="F1508" s="28" t="s">
        <v>686</v>
      </c>
      <c r="G1508" s="28">
        <v>53085</v>
      </c>
      <c r="H1508" s="28">
        <v>43.674059999999997</v>
      </c>
      <c r="I1508" s="28">
        <v>-87.781469999999999</v>
      </c>
      <c r="J1508" s="28" t="s">
        <v>687</v>
      </c>
      <c r="K1508" s="61">
        <v>110000605872</v>
      </c>
      <c r="L1508" s="61" t="str">
        <f>IFERROR(INDEX('Facility Summary'!$K:$K,MATCH(K1508,'Facility Summary'!$J:$J,0)),INDEX('Raw Annual DMR Data'!$M:$M,MATCH(K1508,'Raw Annual DMR Data'!$L:$L,0)))</f>
        <v>Repackaging</v>
      </c>
      <c r="M1508" s="28">
        <v>325199</v>
      </c>
      <c r="N1508" s="28" t="str">
        <f>VLOOKUP(M1508,'SIC &amp; NAICS Codes'!$D:$E,2,FALSE)</f>
        <v>All Other Basic Organic Chemical Manufacturing</v>
      </c>
      <c r="O1508" s="28"/>
      <c r="P1508" s="28"/>
      <c r="Q1508" s="28"/>
      <c r="R1508" s="28">
        <v>0</v>
      </c>
      <c r="S1508" s="28">
        <f>CONVERT(R1508,"lbm","g")/1000</f>
        <v>0</v>
      </c>
    </row>
    <row r="1509" spans="1:19" x14ac:dyDescent="0.25">
      <c r="A1509" s="28">
        <v>2016</v>
      </c>
      <c r="B1509" s="28"/>
      <c r="C1509" s="28" t="s">
        <v>1329</v>
      </c>
      <c r="D1509" s="28" t="s">
        <v>2184</v>
      </c>
      <c r="E1509" s="28" t="s">
        <v>1330</v>
      </c>
      <c r="F1509" s="28" t="s">
        <v>374</v>
      </c>
      <c r="G1509" s="28">
        <v>85603</v>
      </c>
      <c r="H1509" s="28">
        <v>31.359059999999999</v>
      </c>
      <c r="I1509" s="28">
        <v>-109.91528</v>
      </c>
      <c r="J1509" s="28"/>
      <c r="K1509" s="61">
        <v>110039713067</v>
      </c>
      <c r="L1509" s="61" t="str">
        <f>IFERROR(INDEX('Facility Summary'!$K:$K,MATCH(K1509,'Facility Summary'!$J:$J,0)),INDEX('Raw Annual DMR Data'!$M:$M,MATCH(K1509,'Raw Annual DMR Data'!$L:$L,0)))</f>
        <v>POTW</v>
      </c>
      <c r="M1509" s="28"/>
      <c r="N1509" s="28"/>
      <c r="O1509" s="28"/>
      <c r="P1509" s="28"/>
      <c r="Q1509" s="28"/>
      <c r="R1509" s="28"/>
      <c r="S1509" s="28">
        <v>0.53050560000000002</v>
      </c>
    </row>
    <row r="1510" spans="1:19" x14ac:dyDescent="0.25">
      <c r="A1510" s="28">
        <v>2024</v>
      </c>
      <c r="B1510" s="28" t="s">
        <v>2405</v>
      </c>
      <c r="C1510" s="28" t="s">
        <v>206</v>
      </c>
      <c r="D1510" s="28" t="s">
        <v>347</v>
      </c>
      <c r="E1510" s="28" t="s">
        <v>348</v>
      </c>
      <c r="F1510" s="28" t="s">
        <v>349</v>
      </c>
      <c r="G1510" s="28">
        <v>63461</v>
      </c>
      <c r="H1510" s="28">
        <v>39.834117999999997</v>
      </c>
      <c r="I1510" s="28">
        <v>-91.436790999999999</v>
      </c>
      <c r="J1510" s="28" t="s">
        <v>350</v>
      </c>
      <c r="K1510" s="61">
        <v>110056953765</v>
      </c>
      <c r="L1510" s="61" t="str">
        <f>IFERROR(INDEX('Facility Summary'!$K:$K,MATCH(K1510,'Facility Summary'!$J:$J,0)),INDEX('Raw Annual DMR Data'!$M:$M,MATCH(K1510,'Raw Annual DMR Data'!$L:$L,0)))</f>
        <v>Processing into formulation, mixture, or reaction product</v>
      </c>
      <c r="M1510" s="28">
        <v>325320</v>
      </c>
      <c r="N1510" s="28" t="str">
        <f>VLOOKUP(M1510,'SIC &amp; NAICS Codes'!$D:$E,2,FALSE)</f>
        <v>Pesticide and Other Agricultural Chemical Manufacturing</v>
      </c>
      <c r="O1510" s="28"/>
      <c r="P1510" s="28"/>
      <c r="Q1510" s="28"/>
      <c r="R1510" s="28">
        <v>5</v>
      </c>
      <c r="S1510" s="28">
        <f>CONVERT(R1510,"lbm","g")/1000</f>
        <v>2.2679618500000003</v>
      </c>
    </row>
    <row r="1511" spans="1:19" x14ac:dyDescent="0.25">
      <c r="A1511" s="28">
        <v>2024</v>
      </c>
      <c r="B1511" s="28" t="s">
        <v>2405</v>
      </c>
      <c r="C1511" s="28" t="s">
        <v>7358</v>
      </c>
      <c r="D1511" s="28" t="s">
        <v>562</v>
      </c>
      <c r="E1511" s="28" t="s">
        <v>563</v>
      </c>
      <c r="F1511" s="28" t="s">
        <v>564</v>
      </c>
      <c r="G1511" s="28">
        <v>52761</v>
      </c>
      <c r="H1511" s="28">
        <v>41.350468999999997</v>
      </c>
      <c r="I1511" s="28">
        <v>-91.081619000000003</v>
      </c>
      <c r="J1511" s="28" t="s">
        <v>565</v>
      </c>
      <c r="K1511" s="61">
        <v>110018869474</v>
      </c>
      <c r="L1511" s="61" t="str">
        <f>IFERROR(INDEX('Facility Summary'!$K:$K,MATCH(K1511,'Facility Summary'!$J:$J,0)),INDEX('Raw Annual DMR Data'!$M:$M,MATCH(K1511,'Raw Annual DMR Data'!$L:$L,0)))</f>
        <v>Processing into formulation, mixture, or reaction product</v>
      </c>
      <c r="M1511" s="28">
        <v>325320</v>
      </c>
      <c r="N1511" s="28" t="str">
        <f>VLOOKUP(M1511,'SIC &amp; NAICS Codes'!$D:$E,2,FALSE)</f>
        <v>Pesticide and Other Agricultural Chemical Manufacturing</v>
      </c>
      <c r="O1511" s="28"/>
      <c r="P1511" s="28"/>
      <c r="Q1511" s="28"/>
      <c r="R1511" s="28">
        <v>44</v>
      </c>
      <c r="S1511" s="28">
        <f>CONVERT(R1511,"lbm","g")/1000</f>
        <v>19.958064280000002</v>
      </c>
    </row>
    <row r="1512" spans="1:19" x14ac:dyDescent="0.25">
      <c r="A1512" s="28">
        <v>2018</v>
      </c>
      <c r="B1512" s="28"/>
      <c r="C1512" s="28" t="s">
        <v>1329</v>
      </c>
      <c r="D1512" s="28" t="s">
        <v>2184</v>
      </c>
      <c r="E1512" s="28" t="s">
        <v>1330</v>
      </c>
      <c r="F1512" s="28" t="s">
        <v>374</v>
      </c>
      <c r="G1512" s="28">
        <v>85603</v>
      </c>
      <c r="H1512" s="28">
        <v>31.359059999999999</v>
      </c>
      <c r="I1512" s="28">
        <v>-109.91528</v>
      </c>
      <c r="J1512" s="28"/>
      <c r="K1512" s="61">
        <v>110039713067</v>
      </c>
      <c r="L1512" s="61" t="str">
        <f>IFERROR(INDEX('Facility Summary'!$K:$K,MATCH(K1512,'Facility Summary'!$J:$J,0)),INDEX('Raw Annual DMR Data'!$M:$M,MATCH(K1512,'Raw Annual DMR Data'!$L:$L,0)))</f>
        <v>POTW</v>
      </c>
      <c r="M1512" s="28"/>
      <c r="N1512" s="28"/>
      <c r="O1512" s="28"/>
      <c r="P1512" s="28"/>
      <c r="Q1512" s="28"/>
      <c r="R1512" s="28"/>
      <c r="S1512" s="28">
        <v>9.6706749999999994E-2</v>
      </c>
    </row>
    <row r="1513" spans="1:19" x14ac:dyDescent="0.25">
      <c r="A1513" s="28">
        <v>2024</v>
      </c>
      <c r="B1513" s="28" t="s">
        <v>2405</v>
      </c>
      <c r="C1513" s="28" t="s">
        <v>208</v>
      </c>
      <c r="D1513" s="28" t="s">
        <v>425</v>
      </c>
      <c r="E1513" s="28" t="s">
        <v>426</v>
      </c>
      <c r="F1513" s="28" t="s">
        <v>427</v>
      </c>
      <c r="G1513" s="28">
        <v>48640</v>
      </c>
      <c r="H1513" s="28">
        <v>43.601944000000003</v>
      </c>
      <c r="I1513" s="28">
        <v>-84.235556000000003</v>
      </c>
      <c r="J1513" s="28" t="s">
        <v>428</v>
      </c>
      <c r="K1513" s="61">
        <v>110070540611</v>
      </c>
      <c r="L1513" s="61" t="str">
        <f>IFERROR(INDEX('Facility Summary'!$K:$K,MATCH(K1513,'Facility Summary'!$J:$J,0)),INDEX('Raw Annual DMR Data'!$M:$M,MATCH(K1513,'Raw Annual DMR Data'!$L:$L,0)))</f>
        <v>Processing into formulation, mixture, or reaction product</v>
      </c>
      <c r="M1513" s="28">
        <v>325199</v>
      </c>
      <c r="N1513" s="28" t="str">
        <f>VLOOKUP(M1513,'SIC &amp; NAICS Codes'!$D:$E,2,FALSE)</f>
        <v>All Other Basic Organic Chemical Manufacturing</v>
      </c>
      <c r="O1513" s="28"/>
      <c r="P1513" s="28"/>
      <c r="Q1513" s="28"/>
      <c r="R1513" s="28">
        <v>0</v>
      </c>
      <c r="S1513" s="28">
        <f>CONVERT(R1513,"lbm","g")/1000</f>
        <v>0</v>
      </c>
    </row>
    <row r="1514" spans="1:19" x14ac:dyDescent="0.25">
      <c r="A1514" s="28">
        <v>2024</v>
      </c>
      <c r="B1514" s="28" t="s">
        <v>2405</v>
      </c>
      <c r="C1514" s="28" t="s">
        <v>209</v>
      </c>
      <c r="D1514" s="28" t="s">
        <v>436</v>
      </c>
      <c r="E1514" s="28" t="s">
        <v>437</v>
      </c>
      <c r="F1514" s="28" t="s">
        <v>362</v>
      </c>
      <c r="G1514" s="28">
        <v>775413257</v>
      </c>
      <c r="H1514" s="28">
        <v>28.979199999999999</v>
      </c>
      <c r="I1514" s="28">
        <v>-95.354900000000001</v>
      </c>
      <c r="J1514" s="28" t="s">
        <v>438</v>
      </c>
      <c r="K1514" s="61">
        <v>110008170237</v>
      </c>
      <c r="L1514" s="61" t="str">
        <f>IFERROR(INDEX('Facility Summary'!$K:$K,MATCH(K1514,'Facility Summary'!$J:$J,0)),INDEX('Raw Annual DMR Data'!$M:$M,MATCH(K1514,'Raw Annual DMR Data'!$L:$L,0)))</f>
        <v>Processing as a Reactant</v>
      </c>
      <c r="M1514" s="28">
        <v>325199</v>
      </c>
      <c r="N1514" s="28" t="str">
        <f>VLOOKUP(M1514,'SIC &amp; NAICS Codes'!$D:$E,2,FALSE)</f>
        <v>All Other Basic Organic Chemical Manufacturing</v>
      </c>
      <c r="O1514" s="28"/>
      <c r="P1514" s="28"/>
      <c r="Q1514" s="28"/>
      <c r="R1514" s="28">
        <v>63</v>
      </c>
      <c r="S1514" s="28">
        <f>CONVERT(R1514,"lbm","g")/1000</f>
        <v>28.576319310000002</v>
      </c>
    </row>
    <row r="1515" spans="1:19" x14ac:dyDescent="0.25">
      <c r="A1515" s="28">
        <v>2018</v>
      </c>
      <c r="B1515" s="28"/>
      <c r="C1515" s="28" t="s">
        <v>1331</v>
      </c>
      <c r="D1515" s="28" t="s">
        <v>2186</v>
      </c>
      <c r="E1515" s="28" t="s">
        <v>1286</v>
      </c>
      <c r="F1515" s="28" t="s">
        <v>1171</v>
      </c>
      <c r="G1515" s="28" t="s">
        <v>2187</v>
      </c>
      <c r="H1515" s="28">
        <v>21.304500000000001</v>
      </c>
      <c r="I1515" s="28">
        <v>-157.88205600000001</v>
      </c>
      <c r="J1515" s="28"/>
      <c r="K1515" s="61">
        <v>110005726802</v>
      </c>
      <c r="L1515" s="61" t="str">
        <f>IFERROR(INDEX('Facility Summary'!$K:$K,MATCH(K1515,'Facility Summary'!$J:$J,0)),INDEX('Raw Annual DMR Data'!$M:$M,MATCH(K1515,'Raw Annual DMR Data'!$L:$L,0)))</f>
        <v>POTW</v>
      </c>
      <c r="M1515" s="28"/>
      <c r="N1515" s="28"/>
      <c r="O1515" s="28"/>
      <c r="P1515" s="28"/>
      <c r="Q1515" s="28"/>
      <c r="R1515" s="28"/>
      <c r="S1515" s="28">
        <v>1.6146264960000001</v>
      </c>
    </row>
    <row r="1516" spans="1:19" x14ac:dyDescent="0.25">
      <c r="A1516" s="28">
        <v>2019</v>
      </c>
      <c r="B1516" s="28"/>
      <c r="C1516" s="28" t="s">
        <v>1331</v>
      </c>
      <c r="D1516" s="28" t="s">
        <v>2186</v>
      </c>
      <c r="E1516" s="28" t="s">
        <v>1286</v>
      </c>
      <c r="F1516" s="28" t="s">
        <v>1171</v>
      </c>
      <c r="G1516" s="28" t="s">
        <v>2187</v>
      </c>
      <c r="H1516" s="28">
        <v>21.304500000000001</v>
      </c>
      <c r="I1516" s="28">
        <v>-157.88205600000001</v>
      </c>
      <c r="J1516" s="28"/>
      <c r="K1516" s="61">
        <v>110005726802</v>
      </c>
      <c r="L1516" s="61" t="str">
        <f>IFERROR(INDEX('Facility Summary'!$K:$K,MATCH(K1516,'Facility Summary'!$J:$J,0)),INDEX('Raw Annual DMR Data'!$M:$M,MATCH(K1516,'Raw Annual DMR Data'!$L:$L,0)))</f>
        <v>POTW</v>
      </c>
      <c r="M1516" s="28"/>
      <c r="N1516" s="28"/>
      <c r="O1516" s="28"/>
      <c r="P1516" s="28"/>
      <c r="Q1516" s="28"/>
      <c r="R1516" s="28"/>
      <c r="S1516" s="28">
        <v>0.85369615200000004</v>
      </c>
    </row>
    <row r="1517" spans="1:19" x14ac:dyDescent="0.25">
      <c r="A1517" s="28">
        <v>2020</v>
      </c>
      <c r="B1517" s="28"/>
      <c r="C1517" s="28" t="s">
        <v>1331</v>
      </c>
      <c r="D1517" s="28" t="s">
        <v>2186</v>
      </c>
      <c r="E1517" s="28" t="s">
        <v>1286</v>
      </c>
      <c r="F1517" s="28" t="s">
        <v>1171</v>
      </c>
      <c r="G1517" s="28" t="s">
        <v>2187</v>
      </c>
      <c r="H1517" s="28">
        <v>21.304500000000001</v>
      </c>
      <c r="I1517" s="28">
        <v>-157.88205600000001</v>
      </c>
      <c r="J1517" s="28"/>
      <c r="K1517" s="61">
        <v>110005726802</v>
      </c>
      <c r="L1517" s="61" t="str">
        <f>IFERROR(INDEX('Facility Summary'!$K:$K,MATCH(K1517,'Facility Summary'!$J:$J,0)),INDEX('Raw Annual DMR Data'!$M:$M,MATCH(K1517,'Raw Annual DMR Data'!$L:$L,0)))</f>
        <v>POTW</v>
      </c>
      <c r="M1517" s="28"/>
      <c r="N1517" s="28"/>
      <c r="O1517" s="28"/>
      <c r="P1517" s="28"/>
      <c r="Q1517" s="28"/>
      <c r="R1517" s="28"/>
      <c r="S1517" s="28">
        <v>10.63046016</v>
      </c>
    </row>
    <row r="1518" spans="1:19" x14ac:dyDescent="0.25">
      <c r="A1518" s="28">
        <v>2024</v>
      </c>
      <c r="B1518" s="28" t="s">
        <v>2405</v>
      </c>
      <c r="C1518" s="28" t="s">
        <v>7360</v>
      </c>
      <c r="D1518" s="28" t="s">
        <v>343</v>
      </c>
      <c r="E1518" s="28" t="s">
        <v>344</v>
      </c>
      <c r="F1518" s="28" t="s">
        <v>345</v>
      </c>
      <c r="G1518" s="28">
        <v>60901</v>
      </c>
      <c r="H1518" s="28">
        <v>41.085541999999997</v>
      </c>
      <c r="I1518" s="28">
        <v>-87.880542000000005</v>
      </c>
      <c r="J1518" s="28" t="s">
        <v>346</v>
      </c>
      <c r="K1518" s="61">
        <v>110043972207</v>
      </c>
      <c r="L1518" s="61" t="str">
        <f>IFERROR(INDEX('Facility Summary'!$K:$K,MATCH(K1518,'Facility Summary'!$J:$J,0)),INDEX('Raw Annual DMR Data'!$M:$M,MATCH(K1518,'Raw Annual DMR Data'!$L:$L,0)))</f>
        <v>Processing into formulation, mixture, or reaction product</v>
      </c>
      <c r="M1518" s="28">
        <v>325613</v>
      </c>
      <c r="N1518" s="28" t="str">
        <f>VLOOKUP(M1518,'SIC &amp; NAICS Codes'!$D:$E,2,FALSE)</f>
        <v>Surface Active Agent Manufacturing</v>
      </c>
      <c r="O1518" s="28"/>
      <c r="P1518" s="28"/>
      <c r="Q1518" s="28"/>
      <c r="R1518" s="28">
        <v>0</v>
      </c>
      <c r="S1518" s="28">
        <f>CONVERT(R1518,"lbm","g")/1000</f>
        <v>0</v>
      </c>
    </row>
    <row r="1519" spans="1:19" x14ac:dyDescent="0.25">
      <c r="A1519" s="28">
        <v>2019</v>
      </c>
      <c r="B1519" s="28"/>
      <c r="C1519" s="28" t="s">
        <v>1342</v>
      </c>
      <c r="D1519" s="28" t="s">
        <v>2209</v>
      </c>
      <c r="E1519" s="28" t="s">
        <v>1343</v>
      </c>
      <c r="F1519" s="28" t="s">
        <v>366</v>
      </c>
      <c r="G1519" s="28">
        <v>94128</v>
      </c>
      <c r="H1519" s="28">
        <v>37.636249999999997</v>
      </c>
      <c r="I1519" s="28">
        <v>-122.38583</v>
      </c>
      <c r="J1519" s="28"/>
      <c r="K1519" s="61">
        <v>110064622519</v>
      </c>
      <c r="L1519" s="61" t="str">
        <f>IFERROR(INDEX('Facility Summary'!$K:$K,MATCH(K1519,'Facility Summary'!$J:$J,0)),INDEX('Raw Annual DMR Data'!$M:$M,MATCH(K1519,'Raw Annual DMR Data'!$L:$L,0)))</f>
        <v>POTW</v>
      </c>
      <c r="M1519" s="28"/>
      <c r="N1519" s="28"/>
      <c r="O1519" s="28"/>
      <c r="P1519" s="28"/>
      <c r="Q1519" s="28"/>
      <c r="R1519" s="28"/>
      <c r="S1519" s="28">
        <v>1.0361437500000001E-2</v>
      </c>
    </row>
    <row r="1520" spans="1:19" x14ac:dyDescent="0.25">
      <c r="A1520" s="28">
        <v>2024</v>
      </c>
      <c r="B1520" s="28" t="s">
        <v>2405</v>
      </c>
      <c r="C1520" s="28" t="s">
        <v>215</v>
      </c>
      <c r="D1520" s="28" t="s">
        <v>574</v>
      </c>
      <c r="E1520" s="28" t="s">
        <v>575</v>
      </c>
      <c r="F1520" s="28" t="s">
        <v>435</v>
      </c>
      <c r="G1520" s="28">
        <v>28147</v>
      </c>
      <c r="H1520" s="28">
        <v>35.631999999999998</v>
      </c>
      <c r="I1520" s="28">
        <v>-80.532839999999993</v>
      </c>
      <c r="J1520" s="28" t="s">
        <v>576</v>
      </c>
      <c r="K1520" s="61">
        <v>110000348936</v>
      </c>
      <c r="L1520" s="61" t="str">
        <f>IFERROR(INDEX('Facility Summary'!$K:$K,MATCH(K1520,'Facility Summary'!$J:$J,0)),INDEX('Raw Annual DMR Data'!$M:$M,MATCH(K1520,'Raw Annual DMR Data'!$L:$L,0)))</f>
        <v>Processing into formulation, mixture, or reaction product</v>
      </c>
      <c r="M1520" s="28">
        <v>325199</v>
      </c>
      <c r="N1520" s="28" t="str">
        <f>VLOOKUP(M1520,'SIC &amp; NAICS Codes'!$D:$E,2,FALSE)</f>
        <v>All Other Basic Organic Chemical Manufacturing</v>
      </c>
      <c r="O1520" s="28"/>
      <c r="P1520" s="28"/>
      <c r="Q1520" s="28"/>
      <c r="R1520" s="28">
        <v>0</v>
      </c>
      <c r="S1520" s="28">
        <f>CONVERT(R1520,"lbm","g")/1000</f>
        <v>0</v>
      </c>
    </row>
    <row r="1521" spans="1:19" x14ac:dyDescent="0.25">
      <c r="A1521" s="28">
        <v>2017</v>
      </c>
      <c r="B1521" s="28"/>
      <c r="C1521" s="28" t="s">
        <v>1344</v>
      </c>
      <c r="D1521" s="28" t="s">
        <v>2211</v>
      </c>
      <c r="E1521" s="28" t="s">
        <v>1345</v>
      </c>
      <c r="F1521" s="28" t="s">
        <v>366</v>
      </c>
      <c r="G1521" s="28">
        <v>95589</v>
      </c>
      <c r="H1521" s="28">
        <v>40.032722</v>
      </c>
      <c r="I1521" s="28">
        <v>-124.07983299999999</v>
      </c>
      <c r="J1521" s="28"/>
      <c r="K1521" s="61">
        <v>110039689851</v>
      </c>
      <c r="L1521" s="61" t="str">
        <f>IFERROR(INDEX('Facility Summary'!$K:$K,MATCH(K1521,'Facility Summary'!$J:$J,0)),INDEX('Raw Annual DMR Data'!$M:$M,MATCH(K1521,'Raw Annual DMR Data'!$L:$L,0)))</f>
        <v>POTW</v>
      </c>
      <c r="M1521" s="28"/>
      <c r="N1521" s="28"/>
      <c r="O1521" s="28"/>
      <c r="P1521" s="28"/>
      <c r="Q1521" s="28"/>
      <c r="R1521" s="28"/>
      <c r="S1521" s="28">
        <v>4.9044137500000001E-2</v>
      </c>
    </row>
    <row r="1522" spans="1:19" x14ac:dyDescent="0.25">
      <c r="A1522" s="28">
        <v>2018</v>
      </c>
      <c r="B1522" s="28"/>
      <c r="C1522" s="28" t="s">
        <v>1344</v>
      </c>
      <c r="D1522" s="28" t="s">
        <v>2211</v>
      </c>
      <c r="E1522" s="28" t="s">
        <v>1345</v>
      </c>
      <c r="F1522" s="28" t="s">
        <v>366</v>
      </c>
      <c r="G1522" s="28">
        <v>95589</v>
      </c>
      <c r="H1522" s="28">
        <v>40.032722</v>
      </c>
      <c r="I1522" s="28">
        <v>-124.07983299999999</v>
      </c>
      <c r="J1522" s="28"/>
      <c r="K1522" s="61">
        <v>110039689851</v>
      </c>
      <c r="L1522" s="61" t="str">
        <f>IFERROR(INDEX('Facility Summary'!$K:$K,MATCH(K1522,'Facility Summary'!$J:$J,0)),INDEX('Raw Annual DMR Data'!$M:$M,MATCH(K1522,'Raw Annual DMR Data'!$L:$L,0)))</f>
        <v>POTW</v>
      </c>
      <c r="M1522" s="28"/>
      <c r="N1522" s="28"/>
      <c r="O1522" s="28"/>
      <c r="P1522" s="28"/>
      <c r="Q1522" s="28"/>
      <c r="R1522" s="28"/>
      <c r="S1522" s="28">
        <v>7.6674637500000004E-2</v>
      </c>
    </row>
    <row r="1523" spans="1:19" x14ac:dyDescent="0.25">
      <c r="A1523" s="28">
        <v>2017</v>
      </c>
      <c r="B1523" s="28"/>
      <c r="C1523" s="28" t="s">
        <v>1358</v>
      </c>
      <c r="D1523" s="28" t="s">
        <v>2234</v>
      </c>
      <c r="E1523" s="28" t="s">
        <v>1359</v>
      </c>
      <c r="F1523" s="28" t="s">
        <v>374</v>
      </c>
      <c r="G1523" s="28">
        <v>86508</v>
      </c>
      <c r="H1523" s="28">
        <v>35.359191000000003</v>
      </c>
      <c r="I1523" s="28">
        <v>-109.05148</v>
      </c>
      <c r="J1523" s="28"/>
      <c r="K1523" s="61">
        <v>110017206432</v>
      </c>
      <c r="L1523" s="61" t="str">
        <f>IFERROR(INDEX('Facility Summary'!$K:$K,MATCH(K1523,'Facility Summary'!$J:$J,0)),INDEX('Raw Annual DMR Data'!$M:$M,MATCH(K1523,'Raw Annual DMR Data'!$L:$L,0)))</f>
        <v>Use in fuels and related products</v>
      </c>
      <c r="M1523" s="28"/>
      <c r="N1523" s="28"/>
      <c r="O1523" s="28"/>
      <c r="P1523" s="28"/>
      <c r="Q1523" s="28"/>
      <c r="R1523" s="28"/>
      <c r="S1523" s="28">
        <v>2.4929830963499901E-5</v>
      </c>
    </row>
    <row r="1524" spans="1:19" x14ac:dyDescent="0.25">
      <c r="A1524" s="28">
        <v>2018</v>
      </c>
      <c r="B1524" s="28"/>
      <c r="C1524" s="28" t="s">
        <v>1358</v>
      </c>
      <c r="D1524" s="28" t="s">
        <v>2234</v>
      </c>
      <c r="E1524" s="28" t="s">
        <v>1359</v>
      </c>
      <c r="F1524" s="28" t="s">
        <v>374</v>
      </c>
      <c r="G1524" s="28">
        <v>86508</v>
      </c>
      <c r="H1524" s="28">
        <v>35.359191000000003</v>
      </c>
      <c r="I1524" s="28">
        <v>-109.05148</v>
      </c>
      <c r="J1524" s="28"/>
      <c r="K1524" s="61">
        <v>110017206432</v>
      </c>
      <c r="L1524" s="61" t="str">
        <f>IFERROR(INDEX('Facility Summary'!$K:$K,MATCH(K1524,'Facility Summary'!$J:$J,0)),INDEX('Raw Annual DMR Data'!$M:$M,MATCH(K1524,'Raw Annual DMR Data'!$L:$L,0)))</f>
        <v>Use in fuels and related products</v>
      </c>
      <c r="M1524" s="28"/>
      <c r="N1524" s="28"/>
      <c r="O1524" s="28"/>
      <c r="P1524" s="28"/>
      <c r="Q1524" s="28"/>
      <c r="R1524" s="28"/>
      <c r="S1524" s="302">
        <v>9.9538066672908996E-5</v>
      </c>
    </row>
    <row r="1525" spans="1:19" x14ac:dyDescent="0.25">
      <c r="A1525" s="28">
        <v>2016</v>
      </c>
      <c r="B1525" s="28"/>
      <c r="C1525" s="28" t="s">
        <v>1376</v>
      </c>
      <c r="D1525" s="28" t="s">
        <v>2271</v>
      </c>
      <c r="E1525" s="28" t="s">
        <v>1377</v>
      </c>
      <c r="F1525" s="28" t="s">
        <v>601</v>
      </c>
      <c r="G1525" s="28">
        <v>6812</v>
      </c>
      <c r="H1525" s="28">
        <v>41.468741000000001</v>
      </c>
      <c r="I1525" s="28">
        <v>-73.486214000000004</v>
      </c>
      <c r="J1525" s="28"/>
      <c r="K1525" s="61">
        <v>110020069076</v>
      </c>
      <c r="L1525" s="61" t="str">
        <f>IFERROR(INDEX('Facility Summary'!$K:$K,MATCH(K1525,'Facility Summary'!$J:$J,0)),INDEX('Raw Annual DMR Data'!$M:$M,MATCH(K1525,'Raw Annual DMR Data'!$L:$L,0)))</f>
        <v>Unknown</v>
      </c>
      <c r="M1525" s="28"/>
      <c r="N1525" s="28"/>
      <c r="O1525" s="28"/>
      <c r="P1525" s="28"/>
      <c r="Q1525" s="28"/>
      <c r="R1525" s="28"/>
      <c r="S1525" s="28">
        <v>1.26033686999999E-2</v>
      </c>
    </row>
    <row r="1526" spans="1:19" x14ac:dyDescent="0.25">
      <c r="A1526" s="28">
        <v>2015</v>
      </c>
      <c r="B1526" s="28"/>
      <c r="C1526" s="28" t="s">
        <v>1379</v>
      </c>
      <c r="D1526" s="28" t="s">
        <v>2278</v>
      </c>
      <c r="E1526" s="28" t="s">
        <v>1380</v>
      </c>
      <c r="F1526" s="28" t="s">
        <v>374</v>
      </c>
      <c r="G1526" s="28">
        <v>85337</v>
      </c>
      <c r="H1526" s="28">
        <v>32.970362000000002</v>
      </c>
      <c r="I1526" s="28">
        <v>-112.73018399999999</v>
      </c>
      <c r="J1526" s="28"/>
      <c r="K1526" s="61">
        <v>110010677829</v>
      </c>
      <c r="L1526" s="61" t="str">
        <f>IFERROR(INDEX('Facility Summary'!$K:$K,MATCH(K1526,'Facility Summary'!$J:$J,0)),INDEX('Raw Annual DMR Data'!$M:$M,MATCH(K1526,'Raw Annual DMR Data'!$L:$L,0)))</f>
        <v>POTW</v>
      </c>
      <c r="M1526" s="28"/>
      <c r="N1526" s="28"/>
      <c r="O1526" s="28"/>
      <c r="P1526" s="28"/>
      <c r="Q1526" s="28"/>
      <c r="R1526" s="28"/>
      <c r="S1526" s="28">
        <v>5.6433714403874999E-2</v>
      </c>
    </row>
    <row r="1527" spans="1:19" x14ac:dyDescent="0.25">
      <c r="A1527" s="28">
        <v>2016</v>
      </c>
      <c r="B1527" s="28"/>
      <c r="C1527" s="28" t="s">
        <v>1431</v>
      </c>
      <c r="D1527" s="28" t="s">
        <v>2369</v>
      </c>
      <c r="E1527" s="28" t="s">
        <v>1314</v>
      </c>
      <c r="F1527" s="28" t="s">
        <v>374</v>
      </c>
      <c r="G1527" s="28">
        <v>86004</v>
      </c>
      <c r="H1527" s="28">
        <v>35.225619999999999</v>
      </c>
      <c r="I1527" s="28">
        <v>-111.5582</v>
      </c>
      <c r="J1527" s="28"/>
      <c r="K1527" s="61">
        <v>110043316612</v>
      </c>
      <c r="L1527" s="61" t="str">
        <f>IFERROR(INDEX('Facility Summary'!$K:$K,MATCH(K1527,'Facility Summary'!$J:$J,0)),INDEX('Raw Annual DMR Data'!$M:$M,MATCH(K1527,'Raw Annual DMR Data'!$L:$L,0)))</f>
        <v>POTW</v>
      </c>
      <c r="M1527" s="28"/>
      <c r="N1527" s="28"/>
      <c r="O1527" s="28"/>
      <c r="P1527" s="28"/>
      <c r="Q1527" s="28"/>
      <c r="R1527" s="28"/>
      <c r="S1527" s="28">
        <v>0.73524760499999997</v>
      </c>
    </row>
    <row r="1528" spans="1:19" x14ac:dyDescent="0.25">
      <c r="A1528" s="28">
        <v>2017</v>
      </c>
      <c r="B1528" s="28"/>
      <c r="C1528" s="28" t="s">
        <v>1431</v>
      </c>
      <c r="D1528" s="28" t="s">
        <v>2369</v>
      </c>
      <c r="E1528" s="28" t="s">
        <v>1314</v>
      </c>
      <c r="F1528" s="28" t="s">
        <v>374</v>
      </c>
      <c r="G1528" s="28">
        <v>86004</v>
      </c>
      <c r="H1528" s="28">
        <v>35.225619999999999</v>
      </c>
      <c r="I1528" s="28">
        <v>-111.5582</v>
      </c>
      <c r="J1528" s="28"/>
      <c r="K1528" s="61">
        <v>110043316612</v>
      </c>
      <c r="L1528" s="61" t="str">
        <f>IFERROR(INDEX('Facility Summary'!$K:$K,MATCH(K1528,'Facility Summary'!$J:$J,0)),INDEX('Raw Annual DMR Data'!$M:$M,MATCH(K1528,'Raw Annual DMR Data'!$L:$L,0)))</f>
        <v>POTW</v>
      </c>
      <c r="M1528" s="28"/>
      <c r="N1528" s="28"/>
      <c r="O1528" s="28"/>
      <c r="P1528" s="28"/>
      <c r="Q1528" s="28"/>
      <c r="R1528" s="28"/>
      <c r="S1528" s="28">
        <v>0.55931039625000001</v>
      </c>
    </row>
    <row r="1529" spans="1:19" x14ac:dyDescent="0.25">
      <c r="A1529" s="28">
        <v>2018</v>
      </c>
      <c r="B1529" s="28"/>
      <c r="C1529" s="28" t="s">
        <v>1431</v>
      </c>
      <c r="D1529" s="28" t="s">
        <v>2369</v>
      </c>
      <c r="E1529" s="28" t="s">
        <v>1314</v>
      </c>
      <c r="F1529" s="28" t="s">
        <v>374</v>
      </c>
      <c r="G1529" s="28">
        <v>86004</v>
      </c>
      <c r="H1529" s="28">
        <v>35.225619999999999</v>
      </c>
      <c r="I1529" s="28">
        <v>-111.5582</v>
      </c>
      <c r="J1529" s="28"/>
      <c r="K1529" s="61">
        <v>110043316612</v>
      </c>
      <c r="L1529" s="61" t="str">
        <f>IFERROR(INDEX('Facility Summary'!$K:$K,MATCH(K1529,'Facility Summary'!$J:$J,0)),INDEX('Raw Annual DMR Data'!$M:$M,MATCH(K1529,'Raw Annual DMR Data'!$L:$L,0)))</f>
        <v>POTW</v>
      </c>
      <c r="M1529" s="28"/>
      <c r="N1529" s="28"/>
      <c r="O1529" s="28"/>
      <c r="P1529" s="28"/>
      <c r="Q1529" s="28"/>
      <c r="R1529" s="28"/>
      <c r="S1529" s="28">
        <v>0.63474166124999998</v>
      </c>
    </row>
    <row r="1530" spans="1:19" x14ac:dyDescent="0.25">
      <c r="A1530" s="28">
        <v>2017</v>
      </c>
      <c r="B1530" s="28"/>
      <c r="C1530" s="28" t="s">
        <v>1444</v>
      </c>
      <c r="D1530" s="28" t="s">
        <v>2390</v>
      </c>
      <c r="E1530" s="28" t="s">
        <v>1445</v>
      </c>
      <c r="F1530" s="28" t="s">
        <v>366</v>
      </c>
      <c r="G1530" s="28">
        <v>95991</v>
      </c>
      <c r="H1530" s="28">
        <v>39.107500000000002</v>
      </c>
      <c r="I1530" s="28">
        <v>-121.612278</v>
      </c>
      <c r="J1530" s="28"/>
      <c r="K1530" s="61">
        <v>110000524987</v>
      </c>
      <c r="L1530" s="61" t="str">
        <f>IFERROR(INDEX('Facility Summary'!$K:$K,MATCH(K1530,'Facility Summary'!$J:$J,0)),INDEX('Raw Annual DMR Data'!$M:$M,MATCH(K1530,'Raw Annual DMR Data'!$L:$L,0)))</f>
        <v>POTW</v>
      </c>
      <c r="M1530" s="28"/>
      <c r="N1530" s="28"/>
      <c r="O1530" s="28"/>
      <c r="P1530" s="28"/>
      <c r="Q1530" s="28"/>
      <c r="R1530" s="28"/>
      <c r="S1530" s="28">
        <v>0.86468688360000001</v>
      </c>
    </row>
    <row r="1531" spans="1:19" x14ac:dyDescent="0.25">
      <c r="A1531" s="126">
        <v>2018</v>
      </c>
      <c r="B1531" s="126"/>
      <c r="C1531" s="126" t="s">
        <v>1446</v>
      </c>
      <c r="D1531" s="126" t="s">
        <v>2393</v>
      </c>
      <c r="E1531" s="126" t="s">
        <v>1228</v>
      </c>
      <c r="F1531" s="126" t="s">
        <v>1128</v>
      </c>
      <c r="G1531" s="126">
        <v>80248</v>
      </c>
      <c r="H1531" s="126">
        <v>39.753309999999999</v>
      </c>
      <c r="I1531" s="126">
        <v>-104.99733999999999</v>
      </c>
      <c r="J1531" s="126"/>
      <c r="K1531" s="286">
        <v>110070159157</v>
      </c>
      <c r="L1531" s="61" t="str">
        <f>IFERROR(INDEX('Facility Summary'!$K:$K,MATCH(K1531,'Facility Summary'!$J:$J,0)),INDEX('Raw Annual DMR Data'!$M:$M,MATCH(K1531,'Raw Annual DMR Data'!$L:$L,0)))</f>
        <v>Unknown</v>
      </c>
      <c r="M1531" s="126"/>
      <c r="N1531" s="126"/>
      <c r="O1531" s="126"/>
      <c r="P1531" s="126"/>
      <c r="Q1531" s="126"/>
      <c r="R1531" s="126"/>
      <c r="S1531" s="126">
        <v>5.4844650000000002E-4</v>
      </c>
    </row>
    <row r="1532" spans="1:19" x14ac:dyDescent="0.25">
      <c r="A1532" s="28">
        <v>2021</v>
      </c>
      <c r="B1532" s="28"/>
      <c r="C1532" s="28" t="s">
        <v>6874</v>
      </c>
      <c r="D1532" s="28" t="s">
        <v>7044</v>
      </c>
      <c r="E1532" s="28" t="s">
        <v>1228</v>
      </c>
      <c r="F1532" s="28" t="s">
        <v>1128</v>
      </c>
      <c r="G1532" s="28">
        <v>80206</v>
      </c>
      <c r="H1532" s="28">
        <v>39.718069999999997</v>
      </c>
      <c r="I1532" s="28">
        <v>-104.95112</v>
      </c>
      <c r="J1532" s="28"/>
      <c r="K1532" s="61">
        <v>110056126972</v>
      </c>
      <c r="L1532" s="61" t="str">
        <f>IFERROR(INDEX('Facility Summary'!$K:$K,MATCH(K1532,'Facility Summary'!$J:$J,0)),INDEX('Raw Annual DMR Data'!$M:$M,MATCH(K1532,'Raw Annual DMR Data'!$L:$L,0)))</f>
        <v>Unknown</v>
      </c>
      <c r="M1532" s="28"/>
      <c r="N1532" s="28"/>
      <c r="O1532" s="28"/>
      <c r="P1532" s="28"/>
      <c r="Q1532" s="28"/>
      <c r="R1532" s="28">
        <f t="shared" ref="R1532:R1595" si="6">CONVERT(S1532,"g","lbm")*1000</f>
        <v>0.13091702698945309</v>
      </c>
      <c r="S1532" s="28">
        <v>5.9382964545500003E-2</v>
      </c>
    </row>
    <row r="1533" spans="1:19" x14ac:dyDescent="0.25">
      <c r="A1533" s="28">
        <v>2021</v>
      </c>
      <c r="B1533" s="28"/>
      <c r="C1533" s="28" t="s">
        <v>6863</v>
      </c>
      <c r="D1533" s="28" t="s">
        <v>7027</v>
      </c>
      <c r="E1533" s="28" t="s">
        <v>1228</v>
      </c>
      <c r="F1533" s="28" t="s">
        <v>1128</v>
      </c>
      <c r="G1533" s="28">
        <v>80202</v>
      </c>
      <c r="H1533" s="28">
        <v>39.747204000000004</v>
      </c>
      <c r="I1533" s="28">
        <v>-104.997249</v>
      </c>
      <c r="J1533" s="28"/>
      <c r="K1533" s="61">
        <v>110059790588</v>
      </c>
      <c r="L1533" s="61" t="str">
        <f>IFERROR(INDEX('Facility Summary'!$K:$K,MATCH(K1533,'Facility Summary'!$J:$J,0)),INDEX('Raw Annual DMR Data'!$M:$M,MATCH(K1533,'Raw Annual DMR Data'!$L:$L,0)))</f>
        <v>Unknown</v>
      </c>
      <c r="M1533" s="28"/>
      <c r="N1533" s="28"/>
      <c r="O1533" s="28"/>
      <c r="P1533" s="28"/>
      <c r="Q1533" s="28"/>
      <c r="R1533" s="28">
        <f t="shared" si="6"/>
        <v>4.0149166209619879E-3</v>
      </c>
      <c r="S1533" s="28">
        <v>1.82113554545454E-3</v>
      </c>
    </row>
    <row r="1534" spans="1:19" x14ac:dyDescent="0.25">
      <c r="A1534" s="28">
        <v>2022</v>
      </c>
      <c r="B1534" s="28"/>
      <c r="C1534" s="28" t="s">
        <v>6863</v>
      </c>
      <c r="D1534" s="28" t="s">
        <v>7027</v>
      </c>
      <c r="E1534" s="28" t="s">
        <v>1228</v>
      </c>
      <c r="F1534" s="28" t="s">
        <v>1128</v>
      </c>
      <c r="G1534" s="28">
        <v>80202</v>
      </c>
      <c r="H1534" s="28">
        <v>39.747204000000004</v>
      </c>
      <c r="I1534" s="28">
        <v>-104.997249</v>
      </c>
      <c r="J1534" s="28"/>
      <c r="K1534" s="61">
        <v>110059790588</v>
      </c>
      <c r="L1534" s="61" t="str">
        <f>IFERROR(INDEX('Facility Summary'!$K:$K,MATCH(K1534,'Facility Summary'!$J:$J,0)),INDEX('Raw Annual DMR Data'!$M:$M,MATCH(K1534,'Raw Annual DMR Data'!$L:$L,0)))</f>
        <v>Unknown</v>
      </c>
      <c r="M1534" s="28"/>
      <c r="N1534" s="28"/>
      <c r="O1534" s="28"/>
      <c r="P1534" s="28"/>
      <c r="Q1534" s="28"/>
      <c r="R1534" s="28">
        <f t="shared" si="6"/>
        <v>2.5867939533462609E-4</v>
      </c>
      <c r="S1534" s="28">
        <v>1.17335E-4</v>
      </c>
    </row>
    <row r="1535" spans="1:19" x14ac:dyDescent="0.25">
      <c r="A1535" s="28">
        <v>2022</v>
      </c>
      <c r="B1535" s="28"/>
      <c r="C1535" s="28" t="s">
        <v>6840</v>
      </c>
      <c r="D1535" s="28" t="s">
        <v>6996</v>
      </c>
      <c r="E1535" s="28" t="s">
        <v>968</v>
      </c>
      <c r="F1535" s="28" t="s">
        <v>294</v>
      </c>
      <c r="G1535" s="28">
        <v>223141396</v>
      </c>
      <c r="H1535" s="28">
        <v>38.818069999999999</v>
      </c>
      <c r="I1535" s="28">
        <v>-77.049329999999998</v>
      </c>
      <c r="J1535" s="28"/>
      <c r="K1535" s="61">
        <v>110071181280</v>
      </c>
      <c r="L1535" s="61" t="str">
        <f>IFERROR(INDEX('Facility Summary'!$K:$K,MATCH(K1535,'Facility Summary'!$J:$J,0)),INDEX('Raw Annual DMR Data'!$M:$M,MATCH(K1535,'Raw Annual DMR Data'!$L:$L,0)))</f>
        <v>Unknown</v>
      </c>
      <c r="M1535" s="28"/>
      <c r="N1535" s="28"/>
      <c r="O1535" s="28"/>
      <c r="P1535" s="28"/>
      <c r="Q1535" s="28"/>
      <c r="R1535" s="28">
        <f t="shared" si="6"/>
        <v>2.7531414935396733E-2</v>
      </c>
      <c r="S1535" s="28">
        <v>1.2488039750000001E-2</v>
      </c>
    </row>
    <row r="1536" spans="1:19" x14ac:dyDescent="0.25">
      <c r="A1536" s="28">
        <v>2021</v>
      </c>
      <c r="B1536" s="28"/>
      <c r="C1536" s="28" t="s">
        <v>6780</v>
      </c>
      <c r="D1536" s="28" t="s">
        <v>6924</v>
      </c>
      <c r="E1536" s="28" t="s">
        <v>293</v>
      </c>
      <c r="F1536" s="28" t="s">
        <v>294</v>
      </c>
      <c r="G1536" s="28">
        <v>22202</v>
      </c>
      <c r="H1536" s="28">
        <v>38.8568</v>
      </c>
      <c r="I1536" s="28">
        <v>-77.049700000000001</v>
      </c>
      <c r="J1536" s="28"/>
      <c r="K1536" s="61">
        <v>110070884188</v>
      </c>
      <c r="L1536" s="61" t="str">
        <f>IFERROR(INDEX('Facility Summary'!$K:$K,MATCH(K1536,'Facility Summary'!$J:$J,0)),INDEX('Raw Annual DMR Data'!$M:$M,MATCH(K1536,'Raw Annual DMR Data'!$L:$L,0)))</f>
        <v>Unknown</v>
      </c>
      <c r="M1536" s="28"/>
      <c r="N1536" s="28"/>
      <c r="O1536" s="28"/>
      <c r="P1536" s="28"/>
      <c r="Q1536" s="28"/>
      <c r="R1536" s="28">
        <f t="shared" si="6"/>
        <v>3.8571601193379865E-2</v>
      </c>
      <c r="S1536" s="28">
        <v>1.7495784E-2</v>
      </c>
    </row>
    <row r="1537" spans="1:19" x14ac:dyDescent="0.25">
      <c r="A1537" s="28">
        <v>2022</v>
      </c>
      <c r="B1537" s="28"/>
      <c r="C1537" s="28" t="s">
        <v>6780</v>
      </c>
      <c r="D1537" s="28" t="s">
        <v>6924</v>
      </c>
      <c r="E1537" s="28" t="s">
        <v>293</v>
      </c>
      <c r="F1537" s="28" t="s">
        <v>294</v>
      </c>
      <c r="G1537" s="28">
        <v>22202</v>
      </c>
      <c r="H1537" s="28">
        <v>38.8568</v>
      </c>
      <c r="I1537" s="28">
        <v>-77.049700000000001</v>
      </c>
      <c r="J1537" s="28"/>
      <c r="K1537" s="61">
        <v>110070884188</v>
      </c>
      <c r="L1537" s="61" t="str">
        <f>IFERROR(INDEX('Facility Summary'!$K:$K,MATCH(K1537,'Facility Summary'!$J:$J,0)),INDEX('Raw Annual DMR Data'!$M:$M,MATCH(K1537,'Raw Annual DMR Data'!$L:$L,0)))</f>
        <v>Unknown</v>
      </c>
      <c r="M1537" s="28"/>
      <c r="N1537" s="28"/>
      <c r="O1537" s="28"/>
      <c r="P1537" s="28"/>
      <c r="Q1537" s="28"/>
      <c r="R1537" s="28">
        <f t="shared" si="6"/>
        <v>3.1902679491720723E-2</v>
      </c>
      <c r="S1537" s="28">
        <v>1.4470812E-2</v>
      </c>
    </row>
    <row r="1538" spans="1:19" x14ac:dyDescent="0.25">
      <c r="A1538" s="28">
        <v>2024</v>
      </c>
      <c r="B1538" s="28"/>
      <c r="C1538" s="28" t="s">
        <v>6900</v>
      </c>
      <c r="D1538" s="28" t="s">
        <v>7092</v>
      </c>
      <c r="E1538" s="28" t="s">
        <v>293</v>
      </c>
      <c r="F1538" s="28" t="s">
        <v>294</v>
      </c>
      <c r="G1538" s="28">
        <v>22209</v>
      </c>
      <c r="H1538" s="28">
        <v>38.898200000000003</v>
      </c>
      <c r="I1538" s="28">
        <v>-77.070899999999995</v>
      </c>
      <c r="J1538" s="28"/>
      <c r="K1538" s="61">
        <v>110071507783</v>
      </c>
      <c r="L1538" s="61" t="str">
        <f>IFERROR(INDEX('Facility Summary'!$K:$K,MATCH(K1538,'Facility Summary'!$J:$J,0)),INDEX('Raw Annual DMR Data'!$M:$M,MATCH(K1538,'Raw Annual DMR Data'!$L:$L,0)))</f>
        <v>Unknown</v>
      </c>
      <c r="M1538" s="28"/>
      <c r="N1538" s="28"/>
      <c r="O1538" s="28"/>
      <c r="P1538" s="28"/>
      <c r="Q1538" s="28"/>
      <c r="R1538" s="28">
        <f t="shared" si="6"/>
        <v>4.4098995756917156E-2</v>
      </c>
      <c r="S1538" s="28">
        <v>2.0002967999999999E-2</v>
      </c>
    </row>
    <row r="1539" spans="1:19" x14ac:dyDescent="0.25">
      <c r="A1539" s="28">
        <v>2023</v>
      </c>
      <c r="B1539" s="28"/>
      <c r="C1539" s="28" t="s">
        <v>6782</v>
      </c>
      <c r="D1539" s="28" t="s">
        <v>6928</v>
      </c>
      <c r="E1539" s="28" t="s">
        <v>293</v>
      </c>
      <c r="F1539" s="28" t="s">
        <v>294</v>
      </c>
      <c r="G1539" s="28">
        <v>22201</v>
      </c>
      <c r="H1539" s="28">
        <v>38.85615</v>
      </c>
      <c r="I1539" s="28">
        <v>-77.051146000000003</v>
      </c>
      <c r="J1539" s="28"/>
      <c r="K1539" s="61">
        <v>110071347994</v>
      </c>
      <c r="L1539" s="61" t="str">
        <f>IFERROR(INDEX('Facility Summary'!$K:$K,MATCH(K1539,'Facility Summary'!$J:$J,0)),INDEX('Raw Annual DMR Data'!$M:$M,MATCH(K1539,'Raw Annual DMR Data'!$L:$L,0)))</f>
        <v>Unknown</v>
      </c>
      <c r="M1539" s="28"/>
      <c r="N1539" s="28"/>
      <c r="O1539" s="28"/>
      <c r="P1539" s="28"/>
      <c r="Q1539" s="28"/>
      <c r="R1539" s="28">
        <f t="shared" si="6"/>
        <v>2.0652629143651599E-4</v>
      </c>
      <c r="S1539" s="28">
        <v>9.3678750000000005E-5</v>
      </c>
    </row>
    <row r="1540" spans="1:19" x14ac:dyDescent="0.25">
      <c r="A1540" s="28">
        <v>2024</v>
      </c>
      <c r="B1540" s="28"/>
      <c r="C1540" s="28" t="s">
        <v>6892</v>
      </c>
      <c r="D1540" s="28" t="s">
        <v>7074</v>
      </c>
      <c r="E1540" s="28" t="s">
        <v>968</v>
      </c>
      <c r="F1540" s="28" t="s">
        <v>294</v>
      </c>
      <c r="G1540" s="28">
        <v>22305</v>
      </c>
      <c r="H1540" s="28">
        <v>38.838200000000001</v>
      </c>
      <c r="I1540" s="28">
        <v>-77.060599999999994</v>
      </c>
      <c r="J1540" s="28"/>
      <c r="K1540" s="61">
        <v>110071503191</v>
      </c>
      <c r="L1540" s="61" t="str">
        <f>IFERROR(INDEX('Facility Summary'!$K:$K,MATCH(K1540,'Facility Summary'!$J:$J,0)),INDEX('Raw Annual DMR Data'!$M:$M,MATCH(K1540,'Raw Annual DMR Data'!$L:$L,0)))</f>
        <v>Unknown</v>
      </c>
      <c r="M1540" s="28"/>
      <c r="N1540" s="28"/>
      <c r="O1540" s="28"/>
      <c r="P1540" s="28"/>
      <c r="Q1540" s="28"/>
      <c r="R1540" s="28">
        <f t="shared" si="6"/>
        <v>8.8564285292651632E-2</v>
      </c>
      <c r="S1540" s="28">
        <v>4.0172084063249999E-2</v>
      </c>
    </row>
    <row r="1541" spans="1:19" x14ac:dyDescent="0.25">
      <c r="A1541" s="28">
        <v>2022</v>
      </c>
      <c r="B1541" s="28"/>
      <c r="C1541" s="28" t="s">
        <v>965</v>
      </c>
      <c r="D1541" s="28" t="s">
        <v>1469</v>
      </c>
      <c r="E1541" s="28" t="s">
        <v>966</v>
      </c>
      <c r="F1541" s="28" t="s">
        <v>491</v>
      </c>
      <c r="G1541" s="28">
        <v>19112</v>
      </c>
      <c r="H1541" s="28">
        <v>39.891680000000001</v>
      </c>
      <c r="I1541" s="28">
        <v>-75.169055</v>
      </c>
      <c r="J1541" s="28"/>
      <c r="K1541" s="61">
        <v>110006368206</v>
      </c>
      <c r="L1541" s="61" t="str">
        <f>IFERROR(INDEX('Facility Summary'!$K:$K,MATCH(K1541,'Facility Summary'!$J:$J,0)),INDEX('Raw Annual DMR Data'!$M:$M,MATCH(K1541,'Raw Annual DMR Data'!$L:$L,0)))</f>
        <v>Unknown</v>
      </c>
      <c r="M1541" s="28"/>
      <c r="N1541" s="28"/>
      <c r="O1541" s="28"/>
      <c r="P1541" s="28"/>
      <c r="Q1541" s="28"/>
      <c r="R1541" s="28">
        <f t="shared" si="6"/>
        <v>23.360019097323001</v>
      </c>
      <c r="S1541" s="28">
        <v>10.5959264256</v>
      </c>
    </row>
    <row r="1542" spans="1:19" x14ac:dyDescent="0.25">
      <c r="A1542" s="28">
        <v>2024</v>
      </c>
      <c r="B1542" s="28"/>
      <c r="C1542" s="28" t="s">
        <v>965</v>
      </c>
      <c r="D1542" s="28" t="s">
        <v>1469</v>
      </c>
      <c r="E1542" s="28" t="s">
        <v>966</v>
      </c>
      <c r="F1542" s="28" t="s">
        <v>491</v>
      </c>
      <c r="G1542" s="28">
        <v>19112</v>
      </c>
      <c r="H1542" s="28">
        <v>39.891680000000001</v>
      </c>
      <c r="I1542" s="28">
        <v>-75.169055</v>
      </c>
      <c r="J1542" s="28"/>
      <c r="K1542" s="61">
        <v>110006368206</v>
      </c>
      <c r="L1542" s="61" t="str">
        <f>IFERROR(INDEX('Facility Summary'!$K:$K,MATCH(K1542,'Facility Summary'!$J:$J,0)),INDEX('Raw Annual DMR Data'!$M:$M,MATCH(K1542,'Raw Annual DMR Data'!$L:$L,0)))</f>
        <v>Unknown</v>
      </c>
      <c r="M1542" s="28"/>
      <c r="N1542" s="28"/>
      <c r="O1542" s="28"/>
      <c r="P1542" s="28"/>
      <c r="Q1542" s="28"/>
      <c r="R1542" s="28">
        <f t="shared" si="6"/>
        <v>0.85599327814442727</v>
      </c>
      <c r="S1542" s="28">
        <v>0.3882720197376</v>
      </c>
    </row>
    <row r="1543" spans="1:19" x14ac:dyDescent="0.25">
      <c r="A1543" s="28">
        <v>2021</v>
      </c>
      <c r="B1543" s="28"/>
      <c r="C1543" s="28" t="s">
        <v>965</v>
      </c>
      <c r="D1543" s="28" t="s">
        <v>1469</v>
      </c>
      <c r="E1543" s="28" t="s">
        <v>966</v>
      </c>
      <c r="F1543" s="28" t="s">
        <v>491</v>
      </c>
      <c r="G1543" s="28">
        <v>19112</v>
      </c>
      <c r="H1543" s="28">
        <v>39.891680000000001</v>
      </c>
      <c r="I1543" s="28">
        <v>-75.169055</v>
      </c>
      <c r="J1543" s="28"/>
      <c r="K1543" s="61">
        <v>110006368206</v>
      </c>
      <c r="L1543" s="61" t="str">
        <f>IFERROR(INDEX('Facility Summary'!$K:$K,MATCH(K1543,'Facility Summary'!$J:$J,0)),INDEX('Raw Annual DMR Data'!$M:$M,MATCH(K1543,'Raw Annual DMR Data'!$L:$L,0)))</f>
        <v>Unknown</v>
      </c>
      <c r="M1543" s="28"/>
      <c r="N1543" s="28"/>
      <c r="O1543" s="28"/>
      <c r="P1543" s="28"/>
      <c r="Q1543" s="28"/>
      <c r="R1543" s="28">
        <f t="shared" si="6"/>
        <v>0.64508366669042516</v>
      </c>
      <c r="S1543" s="28">
        <v>0.2926050292224</v>
      </c>
    </row>
    <row r="1544" spans="1:19" x14ac:dyDescent="0.25">
      <c r="A1544" s="28">
        <v>2023</v>
      </c>
      <c r="B1544" s="28"/>
      <c r="C1544" s="28" t="s">
        <v>965</v>
      </c>
      <c r="D1544" s="28" t="s">
        <v>1469</v>
      </c>
      <c r="E1544" s="28" t="s">
        <v>966</v>
      </c>
      <c r="F1544" s="28" t="s">
        <v>491</v>
      </c>
      <c r="G1544" s="28">
        <v>19112</v>
      </c>
      <c r="H1544" s="28">
        <v>39.891680000000001</v>
      </c>
      <c r="I1544" s="28">
        <v>-75.169055</v>
      </c>
      <c r="J1544" s="28"/>
      <c r="K1544" s="61">
        <v>110006368206</v>
      </c>
      <c r="L1544" s="61" t="str">
        <f>IFERROR(INDEX('Facility Summary'!$K:$K,MATCH(K1544,'Facility Summary'!$J:$J,0)),INDEX('Raw Annual DMR Data'!$M:$M,MATCH(K1544,'Raw Annual DMR Data'!$L:$L,0)))</f>
        <v>Unknown</v>
      </c>
      <c r="M1544" s="28"/>
      <c r="N1544" s="28"/>
      <c r="O1544" s="28"/>
      <c r="P1544" s="28"/>
      <c r="Q1544" s="28"/>
      <c r="R1544" s="28">
        <f t="shared" si="6"/>
        <v>0.22085161589468533</v>
      </c>
      <c r="S1544" s="28">
        <v>0.100176607872</v>
      </c>
    </row>
    <row r="1545" spans="1:19" x14ac:dyDescent="0.25">
      <c r="A1545" s="28">
        <v>2022</v>
      </c>
      <c r="B1545" s="28"/>
      <c r="C1545" s="28" t="s">
        <v>6784</v>
      </c>
      <c r="D1545" s="28" t="s">
        <v>6931</v>
      </c>
      <c r="E1545" s="28" t="s">
        <v>1403</v>
      </c>
      <c r="F1545" s="28" t="s">
        <v>294</v>
      </c>
      <c r="G1545" s="28">
        <v>23454</v>
      </c>
      <c r="H1545" s="28">
        <v>36.847490000000001</v>
      </c>
      <c r="I1545" s="28">
        <v>-76.026436000000004</v>
      </c>
      <c r="J1545" s="28"/>
      <c r="K1545" s="61">
        <v>110070884760</v>
      </c>
      <c r="L1545" s="61" t="str">
        <f>IFERROR(INDEX('Facility Summary'!$K:$K,MATCH(K1545,'Facility Summary'!$J:$J,0)),INDEX('Raw Annual DMR Data'!$M:$M,MATCH(K1545,'Raw Annual DMR Data'!$L:$L,0)))</f>
        <v>Unknown</v>
      </c>
      <c r="M1545" s="28"/>
      <c r="N1545" s="28"/>
      <c r="O1545" s="28"/>
      <c r="P1545" s="28"/>
      <c r="Q1545" s="28"/>
      <c r="R1545" s="28">
        <f t="shared" si="6"/>
        <v>9.3488614778627094E-3</v>
      </c>
      <c r="S1545" s="28">
        <v>4.2405722345454496E-3</v>
      </c>
    </row>
    <row r="1546" spans="1:19" x14ac:dyDescent="0.25">
      <c r="A1546" s="28">
        <v>2022</v>
      </c>
      <c r="B1546" s="28"/>
      <c r="C1546" s="28" t="s">
        <v>6784</v>
      </c>
      <c r="D1546" s="28" t="s">
        <v>6931</v>
      </c>
      <c r="E1546" s="28" t="s">
        <v>1403</v>
      </c>
      <c r="F1546" s="28" t="s">
        <v>294</v>
      </c>
      <c r="G1546" s="28">
        <v>23454</v>
      </c>
      <c r="H1546" s="28">
        <v>36.847490000000001</v>
      </c>
      <c r="I1546" s="28">
        <v>-76.026436000000004</v>
      </c>
      <c r="J1546" s="28"/>
      <c r="K1546" s="61">
        <v>110070884760</v>
      </c>
      <c r="L1546" s="61" t="str">
        <f>IFERROR(INDEX('Facility Summary'!$K:$K,MATCH(K1546,'Facility Summary'!$J:$J,0)),INDEX('Raw Annual DMR Data'!$M:$M,MATCH(K1546,'Raw Annual DMR Data'!$L:$L,0)))</f>
        <v>Unknown</v>
      </c>
      <c r="M1546" s="28"/>
      <c r="N1546" s="28"/>
      <c r="O1546" s="28"/>
      <c r="P1546" s="28"/>
      <c r="Q1546" s="28"/>
      <c r="R1546" s="28">
        <f t="shared" si="6"/>
        <v>9.3488614778627094E-3</v>
      </c>
      <c r="S1546" s="28">
        <v>4.2405722345454496E-3</v>
      </c>
    </row>
    <row r="1547" spans="1:19" x14ac:dyDescent="0.25">
      <c r="A1547" s="28">
        <v>2023</v>
      </c>
      <c r="B1547" s="28"/>
      <c r="C1547" s="28" t="s">
        <v>6862</v>
      </c>
      <c r="D1547" s="28" t="s">
        <v>7026</v>
      </c>
      <c r="E1547" s="28" t="s">
        <v>657</v>
      </c>
      <c r="F1547" s="28" t="s">
        <v>418</v>
      </c>
      <c r="G1547" s="28">
        <v>89118</v>
      </c>
      <c r="H1547" s="28">
        <v>36.090899999999998</v>
      </c>
      <c r="I1547" s="28">
        <v>-115.1833</v>
      </c>
      <c r="J1547" s="28"/>
      <c r="K1547" s="61">
        <v>110070948151</v>
      </c>
      <c r="L1547" s="61" t="str">
        <f>IFERROR(INDEX('Facility Summary'!$K:$K,MATCH(K1547,'Facility Summary'!$J:$J,0)),INDEX('Raw Annual DMR Data'!$M:$M,MATCH(K1547,'Raw Annual DMR Data'!$L:$L,0)))</f>
        <v>Unknown</v>
      </c>
      <c r="M1547" s="28"/>
      <c r="N1547" s="28"/>
      <c r="O1547" s="28"/>
      <c r="P1547" s="28"/>
      <c r="Q1547" s="28"/>
      <c r="R1547" s="28">
        <f t="shared" si="6"/>
        <v>0.13826142484495496</v>
      </c>
      <c r="S1547" s="28">
        <v>6.2714327375000004E-2</v>
      </c>
    </row>
    <row r="1548" spans="1:19" x14ac:dyDescent="0.25">
      <c r="A1548" s="28">
        <v>2021</v>
      </c>
      <c r="B1548" s="28"/>
      <c r="C1548" s="28" t="s">
        <v>6862</v>
      </c>
      <c r="D1548" s="28" t="s">
        <v>7026</v>
      </c>
      <c r="E1548" s="28" t="s">
        <v>657</v>
      </c>
      <c r="F1548" s="28" t="s">
        <v>418</v>
      </c>
      <c r="G1548" s="28">
        <v>89118</v>
      </c>
      <c r="H1548" s="28">
        <v>36.090899999999998</v>
      </c>
      <c r="I1548" s="28">
        <v>-115.1833</v>
      </c>
      <c r="J1548" s="28"/>
      <c r="K1548" s="61">
        <v>110070948151</v>
      </c>
      <c r="L1548" s="61" t="str">
        <f>IFERROR(INDEX('Facility Summary'!$K:$K,MATCH(K1548,'Facility Summary'!$J:$J,0)),INDEX('Raw Annual DMR Data'!$M:$M,MATCH(K1548,'Raw Annual DMR Data'!$L:$L,0)))</f>
        <v>Unknown</v>
      </c>
      <c r="M1548" s="28"/>
      <c r="N1548" s="28"/>
      <c r="O1548" s="28"/>
      <c r="P1548" s="28"/>
      <c r="Q1548" s="28"/>
      <c r="R1548" s="28">
        <f t="shared" si="6"/>
        <v>8.9742766451296349E-2</v>
      </c>
      <c r="S1548" s="28">
        <v>4.0706634125000002E-2</v>
      </c>
    </row>
    <row r="1549" spans="1:19" x14ac:dyDescent="0.25">
      <c r="A1549" s="28">
        <v>2024</v>
      </c>
      <c r="B1549" s="28"/>
      <c r="C1549" s="28" t="s">
        <v>6862</v>
      </c>
      <c r="D1549" s="28" t="s">
        <v>7026</v>
      </c>
      <c r="E1549" s="28" t="s">
        <v>657</v>
      </c>
      <c r="F1549" s="28" t="s">
        <v>418</v>
      </c>
      <c r="G1549" s="28">
        <v>89118</v>
      </c>
      <c r="H1549" s="28">
        <v>36.090899999999998</v>
      </c>
      <c r="I1549" s="28">
        <v>-115.1833</v>
      </c>
      <c r="J1549" s="28"/>
      <c r="K1549" s="61">
        <v>110070948151</v>
      </c>
      <c r="L1549" s="61" t="str">
        <f>IFERROR(INDEX('Facility Summary'!$K:$K,MATCH(K1549,'Facility Summary'!$J:$J,0)),INDEX('Raw Annual DMR Data'!$M:$M,MATCH(K1549,'Raw Annual DMR Data'!$L:$L,0)))</f>
        <v>Unknown</v>
      </c>
      <c r="M1549" s="28"/>
      <c r="N1549" s="28"/>
      <c r="O1549" s="28"/>
      <c r="P1549" s="28"/>
      <c r="Q1549" s="28"/>
      <c r="R1549" s="28">
        <f t="shared" si="6"/>
        <v>8.8836658424170573E-2</v>
      </c>
      <c r="S1549" s="28">
        <v>4.02956304375E-2</v>
      </c>
    </row>
    <row r="1550" spans="1:19" x14ac:dyDescent="0.25">
      <c r="A1550" s="28">
        <v>2022</v>
      </c>
      <c r="B1550" s="28"/>
      <c r="C1550" s="28" t="s">
        <v>6862</v>
      </c>
      <c r="D1550" s="28" t="s">
        <v>7026</v>
      </c>
      <c r="E1550" s="28" t="s">
        <v>657</v>
      </c>
      <c r="F1550" s="28" t="s">
        <v>418</v>
      </c>
      <c r="G1550" s="28">
        <v>89118</v>
      </c>
      <c r="H1550" s="28">
        <v>36.090899999999998</v>
      </c>
      <c r="I1550" s="28">
        <v>-115.1833</v>
      </c>
      <c r="J1550" s="28"/>
      <c r="K1550" s="61">
        <v>110070948151</v>
      </c>
      <c r="L1550" s="61" t="str">
        <f>IFERROR(INDEX('Facility Summary'!$K:$K,MATCH(K1550,'Facility Summary'!$J:$J,0)),INDEX('Raw Annual DMR Data'!$M:$M,MATCH(K1550,'Raw Annual DMR Data'!$L:$L,0)))</f>
        <v>Unknown</v>
      </c>
      <c r="M1550" s="28"/>
      <c r="N1550" s="28"/>
      <c r="O1550" s="28"/>
      <c r="P1550" s="28"/>
      <c r="Q1550" s="28"/>
      <c r="R1550" s="28">
        <f t="shared" si="6"/>
        <v>8.842548335303789E-2</v>
      </c>
      <c r="S1550" s="28">
        <v>4.0109124562500001E-2</v>
      </c>
    </row>
    <row r="1551" spans="1:19" x14ac:dyDescent="0.25">
      <c r="A1551" s="28">
        <v>2022</v>
      </c>
      <c r="B1551" s="28"/>
      <c r="C1551" s="28" t="s">
        <v>6839</v>
      </c>
      <c r="D1551" s="28" t="s">
        <v>6993</v>
      </c>
      <c r="E1551" s="28" t="s">
        <v>6994</v>
      </c>
      <c r="F1551" s="28" t="s">
        <v>1171</v>
      </c>
      <c r="G1551" s="28">
        <v>96752</v>
      </c>
      <c r="H1551" s="28">
        <v>21.994944</v>
      </c>
      <c r="I1551" s="28">
        <v>-159.75363899999999</v>
      </c>
      <c r="J1551" s="28"/>
      <c r="K1551" s="61">
        <v>110006777247</v>
      </c>
      <c r="L1551" s="61" t="str">
        <f>IFERROR(INDEX('Facility Summary'!$K:$K,MATCH(K1551,'Facility Summary'!$J:$J,0)),INDEX('Raw Annual DMR Data'!$M:$M,MATCH(K1551,'Raw Annual DMR Data'!$L:$L,0)))</f>
        <v>Unknown</v>
      </c>
      <c r="M1551" s="28"/>
      <c r="N1551" s="28"/>
      <c r="O1551" s="28"/>
      <c r="P1551" s="28"/>
      <c r="Q1551" s="28"/>
      <c r="R1551" s="28">
        <f t="shared" si="6"/>
        <v>6.3199131303729823</v>
      </c>
      <c r="S1551" s="28">
        <v>2.866664375</v>
      </c>
    </row>
    <row r="1552" spans="1:19" x14ac:dyDescent="0.25">
      <c r="A1552" s="28">
        <v>2023</v>
      </c>
      <c r="B1552" s="28"/>
      <c r="C1552" s="28" t="s">
        <v>6839</v>
      </c>
      <c r="D1552" s="28" t="s">
        <v>6993</v>
      </c>
      <c r="E1552" s="28" t="s">
        <v>6994</v>
      </c>
      <c r="F1552" s="28" t="s">
        <v>1171</v>
      </c>
      <c r="G1552" s="28">
        <v>96752</v>
      </c>
      <c r="H1552" s="28">
        <v>21.994944</v>
      </c>
      <c r="I1552" s="28">
        <v>-159.75363899999999</v>
      </c>
      <c r="J1552" s="28"/>
      <c r="K1552" s="61">
        <v>110006777247</v>
      </c>
      <c r="L1552" s="61" t="str">
        <f>IFERROR(INDEX('Facility Summary'!$K:$K,MATCH(K1552,'Facility Summary'!$J:$J,0)),INDEX('Raw Annual DMR Data'!$M:$M,MATCH(K1552,'Raw Annual DMR Data'!$L:$L,0)))</f>
        <v>Unknown</v>
      </c>
      <c r="M1552" s="28"/>
      <c r="N1552" s="28"/>
      <c r="O1552" s="28"/>
      <c r="P1552" s="28"/>
      <c r="Q1552" s="28"/>
      <c r="R1552" s="28">
        <f t="shared" si="6"/>
        <v>2.3665409649637623</v>
      </c>
      <c r="S1552" s="28">
        <v>1.073444925</v>
      </c>
    </row>
    <row r="1553" spans="1:19" x14ac:dyDescent="0.25">
      <c r="A1553" s="28">
        <v>2024</v>
      </c>
      <c r="B1553" s="28"/>
      <c r="C1553" s="28" t="s">
        <v>6839</v>
      </c>
      <c r="D1553" s="28" t="s">
        <v>6993</v>
      </c>
      <c r="E1553" s="28" t="s">
        <v>6994</v>
      </c>
      <c r="F1553" s="28" t="s">
        <v>1171</v>
      </c>
      <c r="G1553" s="28">
        <v>96752</v>
      </c>
      <c r="H1553" s="28">
        <v>21.994944</v>
      </c>
      <c r="I1553" s="28">
        <v>-159.75363899999999</v>
      </c>
      <c r="J1553" s="28"/>
      <c r="K1553" s="61">
        <v>110006777247</v>
      </c>
      <c r="L1553" s="61" t="str">
        <f>IFERROR(INDEX('Facility Summary'!$K:$K,MATCH(K1553,'Facility Summary'!$J:$J,0)),INDEX('Raw Annual DMR Data'!$M:$M,MATCH(K1553,'Raw Annual DMR Data'!$L:$L,0)))</f>
        <v>Unknown</v>
      </c>
      <c r="M1553" s="28"/>
      <c r="N1553" s="28"/>
      <c r="O1553" s="28"/>
      <c r="P1553" s="28"/>
      <c r="Q1553" s="28"/>
      <c r="R1553" s="28">
        <f t="shared" si="6"/>
        <v>1.6629747321366981</v>
      </c>
      <c r="S1553" s="28">
        <v>0.75431265000000003</v>
      </c>
    </row>
    <row r="1554" spans="1:19" x14ac:dyDescent="0.25">
      <c r="A1554" s="28">
        <v>2021</v>
      </c>
      <c r="B1554" s="28"/>
      <c r="C1554" s="28" t="s">
        <v>6839</v>
      </c>
      <c r="D1554" s="28" t="s">
        <v>6993</v>
      </c>
      <c r="E1554" s="28" t="s">
        <v>6994</v>
      </c>
      <c r="F1554" s="28" t="s">
        <v>1171</v>
      </c>
      <c r="G1554" s="28">
        <v>96752</v>
      </c>
      <c r="H1554" s="28">
        <v>21.994944</v>
      </c>
      <c r="I1554" s="28">
        <v>-159.75363899999999</v>
      </c>
      <c r="J1554" s="28"/>
      <c r="K1554" s="61">
        <v>110006777247</v>
      </c>
      <c r="L1554" s="61" t="str">
        <f>IFERROR(INDEX('Facility Summary'!$K:$K,MATCH(K1554,'Facility Summary'!$J:$J,0)),INDEX('Raw Annual DMR Data'!$M:$M,MATCH(K1554,'Raw Annual DMR Data'!$L:$L,0)))</f>
        <v>Unknown</v>
      </c>
      <c r="M1554" s="28"/>
      <c r="N1554" s="28"/>
      <c r="O1554" s="28"/>
      <c r="P1554" s="28"/>
      <c r="Q1554" s="28"/>
      <c r="R1554" s="28">
        <f t="shared" si="6"/>
        <v>1.1512901991715603</v>
      </c>
      <c r="S1554" s="28">
        <v>0.52221645000000005</v>
      </c>
    </row>
    <row r="1555" spans="1:19" x14ac:dyDescent="0.25">
      <c r="A1555" s="28">
        <v>2023</v>
      </c>
      <c r="B1555" s="28"/>
      <c r="C1555" s="28" t="s">
        <v>6906</v>
      </c>
      <c r="D1555" s="28" t="s">
        <v>7107</v>
      </c>
      <c r="E1555" s="28" t="s">
        <v>1125</v>
      </c>
      <c r="F1555" s="28" t="s">
        <v>294</v>
      </c>
      <c r="G1555" s="28">
        <v>22041</v>
      </c>
      <c r="H1555" s="28">
        <v>38.848126999999998</v>
      </c>
      <c r="I1555" s="28">
        <v>-77.132767999999999</v>
      </c>
      <c r="J1555" s="28"/>
      <c r="K1555" s="61">
        <v>110071427202</v>
      </c>
      <c r="L1555" s="61" t="str">
        <f>IFERROR(INDEX('Facility Summary'!$K:$K,MATCH(K1555,'Facility Summary'!$J:$J,0)),INDEX('Raw Annual DMR Data'!$M:$M,MATCH(K1555,'Raw Annual DMR Data'!$L:$L,0)))</f>
        <v>Unknown</v>
      </c>
      <c r="M1555" s="28"/>
      <c r="N1555" s="28"/>
      <c r="O1555" s="28"/>
      <c r="P1555" s="28"/>
      <c r="Q1555" s="28"/>
      <c r="R1555" s="28">
        <f t="shared" si="6"/>
        <v>2.2349899756911695E-3</v>
      </c>
      <c r="S1555" s="28">
        <v>1.0137744E-3</v>
      </c>
    </row>
    <row r="1556" spans="1:19" x14ac:dyDescent="0.25">
      <c r="A1556" s="28">
        <v>2022</v>
      </c>
      <c r="B1556" s="28"/>
      <c r="C1556" s="28" t="s">
        <v>6888</v>
      </c>
      <c r="D1556" s="28" t="s">
        <v>7067</v>
      </c>
      <c r="E1556" s="28" t="s">
        <v>1255</v>
      </c>
      <c r="F1556" s="28" t="s">
        <v>366</v>
      </c>
      <c r="G1556" s="28">
        <v>93041</v>
      </c>
      <c r="H1556" s="28">
        <v>34.144888999999999</v>
      </c>
      <c r="I1556" s="28">
        <v>-119.2105</v>
      </c>
      <c r="J1556" s="28"/>
      <c r="K1556" s="61">
        <v>110071298200</v>
      </c>
      <c r="L1556" s="61" t="str">
        <f>IFERROR(INDEX('Facility Summary'!$K:$K,MATCH(K1556,'Facility Summary'!$J:$J,0)),INDEX('Raw Annual DMR Data'!$M:$M,MATCH(K1556,'Raw Annual DMR Data'!$L:$L,0)))</f>
        <v>Unknown</v>
      </c>
      <c r="M1556" s="28"/>
      <c r="N1556" s="28"/>
      <c r="O1556" s="28"/>
      <c r="P1556" s="28"/>
      <c r="Q1556" s="28"/>
      <c r="R1556" s="28">
        <f t="shared" si="6"/>
        <v>2.8950684471390022E-3</v>
      </c>
      <c r="S1556" s="28">
        <v>1.3131809582499999E-3</v>
      </c>
    </row>
    <row r="1557" spans="1:19" x14ac:dyDescent="0.25">
      <c r="A1557" s="28">
        <v>2023</v>
      </c>
      <c r="B1557" s="28"/>
      <c r="C1557" s="28" t="s">
        <v>6891</v>
      </c>
      <c r="D1557" s="28" t="s">
        <v>7073</v>
      </c>
      <c r="E1557" s="28" t="s">
        <v>1403</v>
      </c>
      <c r="F1557" s="28" t="s">
        <v>294</v>
      </c>
      <c r="G1557" s="28">
        <v>23451</v>
      </c>
      <c r="H1557" s="28">
        <v>36.847284999999999</v>
      </c>
      <c r="I1557" s="28">
        <v>-75.980485000000002</v>
      </c>
      <c r="J1557" s="28"/>
      <c r="K1557" s="61">
        <v>110071426286</v>
      </c>
      <c r="L1557" s="61" t="str">
        <f>IFERROR(INDEX('Facility Summary'!$K:$K,MATCH(K1557,'Facility Summary'!$J:$J,0)),INDEX('Raw Annual DMR Data'!$M:$M,MATCH(K1557,'Raw Annual DMR Data'!$L:$L,0)))</f>
        <v>Unknown</v>
      </c>
      <c r="M1557" s="28"/>
      <c r="N1557" s="28"/>
      <c r="O1557" s="28"/>
      <c r="P1557" s="28"/>
      <c r="Q1557" s="28"/>
      <c r="R1557" s="28">
        <f t="shared" si="6"/>
        <v>0.84820071860700386</v>
      </c>
      <c r="S1557" s="28">
        <v>0.384737374188654</v>
      </c>
    </row>
    <row r="1558" spans="1:19" x14ac:dyDescent="0.25">
      <c r="A1558" s="28">
        <v>2024</v>
      </c>
      <c r="B1558" s="28"/>
      <c r="C1558" s="28" t="s">
        <v>6891</v>
      </c>
      <c r="D1558" s="28" t="s">
        <v>7073</v>
      </c>
      <c r="E1558" s="28" t="s">
        <v>1403</v>
      </c>
      <c r="F1558" s="28" t="s">
        <v>294</v>
      </c>
      <c r="G1558" s="28">
        <v>23451</v>
      </c>
      <c r="H1558" s="28">
        <v>36.847284999999999</v>
      </c>
      <c r="I1558" s="28">
        <v>-75.980485000000002</v>
      </c>
      <c r="J1558" s="28"/>
      <c r="K1558" s="61">
        <v>110071426286</v>
      </c>
      <c r="L1558" s="61" t="str">
        <f>IFERROR(INDEX('Facility Summary'!$K:$K,MATCH(K1558,'Facility Summary'!$J:$J,0)),INDEX('Raw Annual DMR Data'!$M:$M,MATCH(K1558,'Raw Annual DMR Data'!$L:$L,0)))</f>
        <v>Unknown</v>
      </c>
      <c r="M1558" s="28"/>
      <c r="N1558" s="28"/>
      <c r="O1558" s="28"/>
      <c r="P1558" s="28"/>
      <c r="Q1558" s="28"/>
      <c r="R1558" s="28">
        <f t="shared" si="6"/>
        <v>3.042470224973141E-7</v>
      </c>
      <c r="S1558" s="28">
        <v>1.3800412800000001E-7</v>
      </c>
    </row>
    <row r="1559" spans="1:19" x14ac:dyDescent="0.25">
      <c r="A1559" s="28">
        <v>2023</v>
      </c>
      <c r="B1559" s="28"/>
      <c r="C1559" s="28" t="s">
        <v>6825</v>
      </c>
      <c r="D1559" s="28" t="s">
        <v>6980</v>
      </c>
      <c r="E1559" s="28" t="s">
        <v>1228</v>
      </c>
      <c r="F1559" s="28" t="s">
        <v>1128</v>
      </c>
      <c r="G1559" s="28">
        <v>80202</v>
      </c>
      <c r="H1559" s="28">
        <v>39.754530000000003</v>
      </c>
      <c r="I1559" s="28">
        <v>-105.00681</v>
      </c>
      <c r="J1559" s="28"/>
      <c r="K1559" s="61">
        <v>110056125376</v>
      </c>
      <c r="L1559" s="61" t="str">
        <f>IFERROR(INDEX('Facility Summary'!$K:$K,MATCH(K1559,'Facility Summary'!$J:$J,0)),INDEX('Raw Annual DMR Data'!$M:$M,MATCH(K1559,'Raw Annual DMR Data'!$L:$L,0)))</f>
        <v>Unknown</v>
      </c>
      <c r="M1559" s="28"/>
      <c r="N1559" s="28"/>
      <c r="O1559" s="28"/>
      <c r="P1559" s="28"/>
      <c r="Q1559" s="28"/>
      <c r="R1559" s="28">
        <f t="shared" si="6"/>
        <v>1.4367470841716318E-2</v>
      </c>
      <c r="S1559" s="28">
        <v>6.5169751499999998E-3</v>
      </c>
    </row>
    <row r="1560" spans="1:19" x14ac:dyDescent="0.25">
      <c r="A1560" s="28">
        <v>2022</v>
      </c>
      <c r="B1560" s="28"/>
      <c r="C1560" s="28" t="s">
        <v>103</v>
      </c>
      <c r="D1560" s="28" t="s">
        <v>313</v>
      </c>
      <c r="E1560" s="28" t="s">
        <v>314</v>
      </c>
      <c r="F1560" s="28" t="s">
        <v>303</v>
      </c>
      <c r="G1560" s="28" t="s">
        <v>315</v>
      </c>
      <c r="H1560" s="28">
        <v>30.27083</v>
      </c>
      <c r="I1560" s="28">
        <v>-92.037279999999996</v>
      </c>
      <c r="J1560" s="28" t="s">
        <v>7123</v>
      </c>
      <c r="K1560" s="61">
        <v>110000846602</v>
      </c>
      <c r="L1560" s="61" t="str">
        <f>IFERROR(INDEX('Facility Summary'!$K:$K,MATCH(K1560,'Facility Summary'!$J:$J,0)),INDEX('Raw Annual DMR Data'!$M:$M,MATCH(K1560,'Raw Annual DMR Data'!$L:$L,0)))</f>
        <v>Processing as a Reactant</v>
      </c>
      <c r="M1560" s="28"/>
      <c r="N1560" s="28"/>
      <c r="O1560" s="28"/>
      <c r="P1560" s="28"/>
      <c r="Q1560" s="28"/>
      <c r="R1560" s="28">
        <f t="shared" si="6"/>
        <v>2.7994492775528831E-2</v>
      </c>
      <c r="S1560" s="28">
        <v>1.2698088325000001E-2</v>
      </c>
    </row>
    <row r="1561" spans="1:19" x14ac:dyDescent="0.25">
      <c r="A1561" s="28">
        <v>2024</v>
      </c>
      <c r="B1561" s="28"/>
      <c r="C1561" s="28" t="s">
        <v>103</v>
      </c>
      <c r="D1561" s="28" t="s">
        <v>313</v>
      </c>
      <c r="E1561" s="28" t="s">
        <v>314</v>
      </c>
      <c r="F1561" s="28" t="s">
        <v>303</v>
      </c>
      <c r="G1561" s="28" t="s">
        <v>315</v>
      </c>
      <c r="H1561" s="28">
        <v>30.27083</v>
      </c>
      <c r="I1561" s="28">
        <v>-92.037279999999996</v>
      </c>
      <c r="J1561" s="28" t="s">
        <v>7123</v>
      </c>
      <c r="K1561" s="61">
        <v>110000846602</v>
      </c>
      <c r="L1561" s="61" t="str">
        <f>IFERROR(INDEX('Facility Summary'!$K:$K,MATCH(K1561,'Facility Summary'!$J:$J,0)),INDEX('Raw Annual DMR Data'!$M:$M,MATCH(K1561,'Raw Annual DMR Data'!$L:$L,0)))</f>
        <v>Processing as a Reactant</v>
      </c>
      <c r="M1561" s="28"/>
      <c r="N1561" s="28"/>
      <c r="O1561" s="28"/>
      <c r="P1561" s="28"/>
      <c r="Q1561" s="28"/>
      <c r="R1561" s="28">
        <f t="shared" si="6"/>
        <v>1.817604095721451E-2</v>
      </c>
      <c r="S1561" s="28">
        <v>8.2445134949999995E-3</v>
      </c>
    </row>
    <row r="1562" spans="1:19" x14ac:dyDescent="0.25">
      <c r="A1562" s="28">
        <v>2021</v>
      </c>
      <c r="B1562" s="28"/>
      <c r="C1562" s="28" t="s">
        <v>103</v>
      </c>
      <c r="D1562" s="28" t="s">
        <v>313</v>
      </c>
      <c r="E1562" s="28" t="s">
        <v>314</v>
      </c>
      <c r="F1562" s="28" t="s">
        <v>303</v>
      </c>
      <c r="G1562" s="28" t="s">
        <v>315</v>
      </c>
      <c r="H1562" s="28">
        <v>30.27083</v>
      </c>
      <c r="I1562" s="28">
        <v>-92.037279999999996</v>
      </c>
      <c r="J1562" s="28" t="s">
        <v>7123</v>
      </c>
      <c r="K1562" s="61">
        <v>110000846602</v>
      </c>
      <c r="L1562" s="61" t="str">
        <f>IFERROR(INDEX('Facility Summary'!$K:$K,MATCH(K1562,'Facility Summary'!$J:$J,0)),INDEX('Raw Annual DMR Data'!$M:$M,MATCH(K1562,'Raw Annual DMR Data'!$L:$L,0)))</f>
        <v>Processing as a Reactant</v>
      </c>
      <c r="M1562" s="28"/>
      <c r="N1562" s="28"/>
      <c r="O1562" s="28"/>
      <c r="P1562" s="28"/>
      <c r="Q1562" s="28"/>
      <c r="R1562" s="28">
        <f t="shared" si="6"/>
        <v>1.7380397376393259E-2</v>
      </c>
      <c r="S1562" s="28">
        <v>7.8836156375000008E-3</v>
      </c>
    </row>
    <row r="1563" spans="1:19" x14ac:dyDescent="0.25">
      <c r="A1563" s="28">
        <v>2023</v>
      </c>
      <c r="B1563" s="28"/>
      <c r="C1563" s="28" t="s">
        <v>103</v>
      </c>
      <c r="D1563" s="28" t="s">
        <v>313</v>
      </c>
      <c r="E1563" s="28" t="s">
        <v>314</v>
      </c>
      <c r="F1563" s="28" t="s">
        <v>303</v>
      </c>
      <c r="G1563" s="28" t="s">
        <v>315</v>
      </c>
      <c r="H1563" s="28">
        <v>30.27083</v>
      </c>
      <c r="I1563" s="28">
        <v>-92.037279999999996</v>
      </c>
      <c r="J1563" s="28" t="s">
        <v>7123</v>
      </c>
      <c r="K1563" s="61">
        <v>110000846602</v>
      </c>
      <c r="L1563" s="61" t="str">
        <f>IFERROR(INDEX('Facility Summary'!$K:$K,MATCH(K1563,'Facility Summary'!$J:$J,0)),INDEX('Raw Annual DMR Data'!$M:$M,MATCH(K1563,'Raw Annual DMR Data'!$L:$L,0)))</f>
        <v>Processing as a Reactant</v>
      </c>
      <c r="M1563" s="28"/>
      <c r="N1563" s="28"/>
      <c r="O1563" s="28"/>
      <c r="P1563" s="28"/>
      <c r="Q1563" s="28"/>
      <c r="R1563" s="28">
        <f t="shared" si="6"/>
        <v>1.0331204446847287E-2</v>
      </c>
      <c r="S1563" s="28">
        <v>4.6861555099999997E-3</v>
      </c>
    </row>
    <row r="1564" spans="1:19" x14ac:dyDescent="0.25">
      <c r="A1564" s="28">
        <v>2024</v>
      </c>
      <c r="B1564" s="28"/>
      <c r="C1564" s="28" t="s">
        <v>6825</v>
      </c>
      <c r="D1564" s="28" t="s">
        <v>6980</v>
      </c>
      <c r="E1564" s="28" t="s">
        <v>1228</v>
      </c>
      <c r="F1564" s="28" t="s">
        <v>1128</v>
      </c>
      <c r="G1564" s="28">
        <v>80202</v>
      </c>
      <c r="H1564" s="28">
        <v>39.754530000000003</v>
      </c>
      <c r="I1564" s="28">
        <v>-105.00681</v>
      </c>
      <c r="J1564" s="28"/>
      <c r="K1564" s="61">
        <v>110056125376</v>
      </c>
      <c r="L1564" s="61" t="str">
        <f>IFERROR(INDEX('Facility Summary'!$K:$K,MATCH(K1564,'Facility Summary'!$J:$J,0)),INDEX('Raw Annual DMR Data'!$M:$M,MATCH(K1564,'Raw Annual DMR Data'!$L:$L,0)))</f>
        <v>Unknown</v>
      </c>
      <c r="M1564" s="28"/>
      <c r="N1564" s="28"/>
      <c r="O1564" s="28"/>
      <c r="P1564" s="28"/>
      <c r="Q1564" s="28"/>
      <c r="R1564" s="28">
        <f t="shared" si="6"/>
        <v>9.7269293793456005E-3</v>
      </c>
      <c r="S1564" s="28">
        <v>4.4120609500000003E-3</v>
      </c>
    </row>
    <row r="1565" spans="1:19" x14ac:dyDescent="0.25">
      <c r="A1565" s="28">
        <v>2022</v>
      </c>
      <c r="B1565" s="28"/>
      <c r="C1565" s="28" t="s">
        <v>6806</v>
      </c>
      <c r="D1565" s="28" t="s">
        <v>322</v>
      </c>
      <c r="E1565" s="28" t="s">
        <v>323</v>
      </c>
      <c r="F1565" s="28" t="s">
        <v>324</v>
      </c>
      <c r="G1565" s="28">
        <v>420290187</v>
      </c>
      <c r="H1565" s="28">
        <v>37.056699000000002</v>
      </c>
      <c r="I1565" s="28">
        <v>-88.365727000000007</v>
      </c>
      <c r="J1565" s="28" t="s">
        <v>325</v>
      </c>
      <c r="K1565" s="61">
        <v>110000380061</v>
      </c>
      <c r="L1565" s="61" t="str">
        <f>IFERROR(INDEX('Facility Summary'!$K:$K,MATCH(K1565,'Facility Summary'!$J:$J,0)),INDEX('Raw Annual DMR Data'!$M:$M,MATCH(K1565,'Raw Annual DMR Data'!$L:$L,0)))</f>
        <v>Manufacturing</v>
      </c>
      <c r="M1565" s="28"/>
      <c r="N1565" s="28"/>
      <c r="O1565" s="28"/>
      <c r="P1565" s="28"/>
      <c r="Q1565" s="28"/>
      <c r="R1565" s="28">
        <f t="shared" si="6"/>
        <v>123.73910081423988</v>
      </c>
      <c r="S1565" s="28">
        <v>56.127111999999997</v>
      </c>
    </row>
    <row r="1566" spans="1:19" x14ac:dyDescent="0.25">
      <c r="A1566" s="28">
        <v>2021</v>
      </c>
      <c r="B1566" s="28"/>
      <c r="C1566" s="28" t="s">
        <v>6806</v>
      </c>
      <c r="D1566" s="28" t="s">
        <v>322</v>
      </c>
      <c r="E1566" s="28" t="s">
        <v>323</v>
      </c>
      <c r="F1566" s="28" t="s">
        <v>324</v>
      </c>
      <c r="G1566" s="28">
        <v>420290187</v>
      </c>
      <c r="H1566" s="28">
        <v>37.056699000000002</v>
      </c>
      <c r="I1566" s="28">
        <v>-88.365727000000007</v>
      </c>
      <c r="J1566" s="28" t="s">
        <v>325</v>
      </c>
      <c r="K1566" s="61">
        <v>110000380061</v>
      </c>
      <c r="L1566" s="61" t="str">
        <f>IFERROR(INDEX('Facility Summary'!$K:$K,MATCH(K1566,'Facility Summary'!$J:$J,0)),INDEX('Raw Annual DMR Data'!$M:$M,MATCH(K1566,'Raw Annual DMR Data'!$L:$L,0)))</f>
        <v>Manufacturing</v>
      </c>
      <c r="M1566" s="28"/>
      <c r="N1566" s="28"/>
      <c r="O1566" s="28"/>
      <c r="P1566" s="28"/>
      <c r="Q1566" s="28"/>
      <c r="R1566" s="28">
        <f t="shared" si="6"/>
        <v>18.692783566884071</v>
      </c>
      <c r="S1566" s="28">
        <v>8.478904</v>
      </c>
    </row>
    <row r="1567" spans="1:19" x14ac:dyDescent="0.25">
      <c r="A1567" s="28">
        <v>2023</v>
      </c>
      <c r="B1567" s="28"/>
      <c r="C1567" s="28" t="s">
        <v>6806</v>
      </c>
      <c r="D1567" s="28" t="s">
        <v>322</v>
      </c>
      <c r="E1567" s="28" t="s">
        <v>323</v>
      </c>
      <c r="F1567" s="28" t="s">
        <v>324</v>
      </c>
      <c r="G1567" s="28">
        <v>420290187</v>
      </c>
      <c r="H1567" s="28">
        <v>37.056699000000002</v>
      </c>
      <c r="I1567" s="28">
        <v>-88.365727000000007</v>
      </c>
      <c r="J1567" s="28" t="s">
        <v>325</v>
      </c>
      <c r="K1567" s="61">
        <v>110000380061</v>
      </c>
      <c r="L1567" s="61" t="str">
        <f>IFERROR(INDEX('Facility Summary'!$K:$K,MATCH(K1567,'Facility Summary'!$J:$J,0)),INDEX('Raw Annual DMR Data'!$M:$M,MATCH(K1567,'Raw Annual DMR Data'!$L:$L,0)))</f>
        <v>Manufacturing</v>
      </c>
      <c r="M1567" s="28"/>
      <c r="N1567" s="28"/>
      <c r="O1567" s="28"/>
      <c r="P1567" s="28"/>
      <c r="Q1567" s="28"/>
      <c r="R1567" s="28">
        <f t="shared" si="6"/>
        <v>5.3407953048240202</v>
      </c>
      <c r="S1567" s="28">
        <v>2.4225439999999998</v>
      </c>
    </row>
    <row r="1568" spans="1:19" x14ac:dyDescent="0.25">
      <c r="A1568" s="28">
        <v>2022</v>
      </c>
      <c r="B1568" s="28"/>
      <c r="C1568" s="28" t="s">
        <v>6865</v>
      </c>
      <c r="D1568" s="28" t="s">
        <v>1493</v>
      </c>
      <c r="E1568" s="28" t="s">
        <v>7030</v>
      </c>
      <c r="F1568" s="28" t="s">
        <v>979</v>
      </c>
      <c r="G1568" s="28" t="s">
        <v>7031</v>
      </c>
      <c r="H1568" s="28">
        <v>35.377800000000001</v>
      </c>
      <c r="I1568" s="28">
        <v>-86.045599999999993</v>
      </c>
      <c r="J1568" s="28" t="s">
        <v>700</v>
      </c>
      <c r="K1568" s="61">
        <v>110017413217</v>
      </c>
      <c r="L1568" s="61" t="str">
        <f>IFERROR(INDEX('Facility Summary'!$K:$K,MATCH(K1568,'Facility Summary'!$J:$J,0)),INDEX('Raw Annual DMR Data'!$M:$M,MATCH(K1568,'Raw Annual DMR Data'!$L:$L,0)))</f>
        <v>Waste Handling, Disposal and Treatment (Landfill)</v>
      </c>
      <c r="M1568" s="28"/>
      <c r="N1568" s="28"/>
      <c r="O1568" s="28"/>
      <c r="P1568" s="28"/>
      <c r="Q1568" s="28"/>
      <c r="R1568" s="28">
        <f t="shared" si="6"/>
        <v>26.763264802051232</v>
      </c>
      <c r="S1568" s="28">
        <v>12.1396127105</v>
      </c>
    </row>
    <row r="1569" spans="1:19" x14ac:dyDescent="0.25">
      <c r="A1569" s="28">
        <v>2021</v>
      </c>
      <c r="B1569" s="28"/>
      <c r="C1569" s="28" t="s">
        <v>6865</v>
      </c>
      <c r="D1569" s="28" t="s">
        <v>1493</v>
      </c>
      <c r="E1569" s="28" t="s">
        <v>7030</v>
      </c>
      <c r="F1569" s="28" t="s">
        <v>979</v>
      </c>
      <c r="G1569" s="28" t="s">
        <v>7031</v>
      </c>
      <c r="H1569" s="28">
        <v>35.377800000000001</v>
      </c>
      <c r="I1569" s="28">
        <v>-86.045599999999993</v>
      </c>
      <c r="J1569" s="28" t="s">
        <v>700</v>
      </c>
      <c r="K1569" s="61">
        <v>110017413217</v>
      </c>
      <c r="L1569" s="61" t="str">
        <f>IFERROR(INDEX('Facility Summary'!$K:$K,MATCH(K1569,'Facility Summary'!$J:$J,0)),INDEX('Raw Annual DMR Data'!$M:$M,MATCH(K1569,'Raw Annual DMR Data'!$L:$L,0)))</f>
        <v>Waste Handling, Disposal and Treatment (Landfill)</v>
      </c>
      <c r="M1569" s="28"/>
      <c r="N1569" s="28"/>
      <c r="O1569" s="28"/>
      <c r="P1569" s="28"/>
      <c r="Q1569" s="28"/>
      <c r="R1569" s="28">
        <f t="shared" si="6"/>
        <v>24.557584870750802</v>
      </c>
      <c r="S1569" s="28">
        <v>11.139133123000001</v>
      </c>
    </row>
    <row r="1570" spans="1:19" x14ac:dyDescent="0.25">
      <c r="A1570" s="28">
        <v>2023</v>
      </c>
      <c r="B1570" s="28"/>
      <c r="C1570" s="28" t="s">
        <v>6865</v>
      </c>
      <c r="D1570" s="28" t="s">
        <v>1493</v>
      </c>
      <c r="E1570" s="28" t="s">
        <v>7030</v>
      </c>
      <c r="F1570" s="28" t="s">
        <v>979</v>
      </c>
      <c r="G1570" s="28" t="s">
        <v>7031</v>
      </c>
      <c r="H1570" s="28">
        <v>35.377800000000001</v>
      </c>
      <c r="I1570" s="28">
        <v>-86.045599999999993</v>
      </c>
      <c r="J1570" s="28" t="s">
        <v>700</v>
      </c>
      <c r="K1570" s="61">
        <v>110017413217</v>
      </c>
      <c r="L1570" s="61" t="str">
        <f>IFERROR(INDEX('Facility Summary'!$K:$K,MATCH(K1570,'Facility Summary'!$J:$J,0)),INDEX('Raw Annual DMR Data'!$M:$M,MATCH(K1570,'Raw Annual DMR Data'!$L:$L,0)))</f>
        <v>Waste Handling, Disposal and Treatment (Landfill)</v>
      </c>
      <c r="M1570" s="28"/>
      <c r="N1570" s="28"/>
      <c r="O1570" s="28"/>
      <c r="P1570" s="28"/>
      <c r="Q1570" s="28"/>
      <c r="R1570" s="28">
        <f t="shared" si="6"/>
        <v>4.4527151878679092</v>
      </c>
      <c r="S1570" s="28">
        <v>2.0197176350000001</v>
      </c>
    </row>
    <row r="1571" spans="1:19" x14ac:dyDescent="0.25">
      <c r="A1571" s="28">
        <v>2024</v>
      </c>
      <c r="B1571" s="28"/>
      <c r="C1571" s="28" t="s">
        <v>106</v>
      </c>
      <c r="D1571" s="28" t="s">
        <v>326</v>
      </c>
      <c r="E1571" s="28" t="s">
        <v>327</v>
      </c>
      <c r="F1571" s="28" t="s">
        <v>328</v>
      </c>
      <c r="G1571" s="28">
        <v>30340</v>
      </c>
      <c r="H1571" s="28">
        <v>33.904722</v>
      </c>
      <c r="I1571" s="28">
        <v>-84.238889</v>
      </c>
      <c r="J1571" s="28"/>
      <c r="K1571" s="61">
        <v>110070381611</v>
      </c>
      <c r="L1571" s="61" t="str">
        <f>IFERROR(INDEX('Facility Summary'!$K:$K,MATCH(K1571,'Facility Summary'!$J:$J,0)),INDEX('Raw Annual DMR Data'!$M:$M,MATCH(K1571,'Raw Annual DMR Data'!$L:$L,0)))</f>
        <v>Repackaging</v>
      </c>
      <c r="M1571" s="28"/>
      <c r="N1571" s="28"/>
      <c r="O1571" s="28"/>
      <c r="P1571" s="28"/>
      <c r="Q1571" s="28"/>
      <c r="R1571" s="28">
        <f t="shared" si="6"/>
        <v>0.46120700398906622</v>
      </c>
      <c r="S1571" s="28">
        <v>0.20919997800000001</v>
      </c>
    </row>
    <row r="1572" spans="1:19" x14ac:dyDescent="0.25">
      <c r="A1572" s="28">
        <v>2023</v>
      </c>
      <c r="B1572" s="28"/>
      <c r="C1572" s="28" t="s">
        <v>106</v>
      </c>
      <c r="D1572" s="28" t="s">
        <v>326</v>
      </c>
      <c r="E1572" s="28" t="s">
        <v>327</v>
      </c>
      <c r="F1572" s="28" t="s">
        <v>328</v>
      </c>
      <c r="G1572" s="28">
        <v>30340</v>
      </c>
      <c r="H1572" s="28">
        <v>33.904722</v>
      </c>
      <c r="I1572" s="28">
        <v>-84.238889</v>
      </c>
      <c r="J1572" s="28"/>
      <c r="K1572" s="61">
        <v>110070381611</v>
      </c>
      <c r="L1572" s="61" t="str">
        <f>IFERROR(INDEX('Facility Summary'!$K:$K,MATCH(K1572,'Facility Summary'!$J:$J,0)),INDEX('Raw Annual DMR Data'!$M:$M,MATCH(K1572,'Raw Annual DMR Data'!$L:$L,0)))</f>
        <v>Repackaging</v>
      </c>
      <c r="M1572" s="28"/>
      <c r="N1572" s="28"/>
      <c r="O1572" s="28"/>
      <c r="P1572" s="28"/>
      <c r="Q1572" s="28"/>
      <c r="R1572" s="28">
        <f t="shared" si="6"/>
        <v>0.27058519794986852</v>
      </c>
      <c r="S1572" s="28">
        <v>0.122735381225</v>
      </c>
    </row>
    <row r="1573" spans="1:19" x14ac:dyDescent="0.25">
      <c r="A1573" s="28">
        <v>2021</v>
      </c>
      <c r="B1573" s="28"/>
      <c r="C1573" s="28" t="s">
        <v>106</v>
      </c>
      <c r="D1573" s="28" t="s">
        <v>326</v>
      </c>
      <c r="E1573" s="28" t="s">
        <v>327</v>
      </c>
      <c r="F1573" s="28" t="s">
        <v>328</v>
      </c>
      <c r="G1573" s="28">
        <v>30340</v>
      </c>
      <c r="H1573" s="28">
        <v>33.904722</v>
      </c>
      <c r="I1573" s="28">
        <v>-84.238889</v>
      </c>
      <c r="J1573" s="28"/>
      <c r="K1573" s="61">
        <v>110070381611</v>
      </c>
      <c r="L1573" s="61" t="str">
        <f>IFERROR(INDEX('Facility Summary'!$K:$K,MATCH(K1573,'Facility Summary'!$J:$J,0)),INDEX('Raw Annual DMR Data'!$M:$M,MATCH(K1573,'Raw Annual DMR Data'!$L:$L,0)))</f>
        <v>Repackaging</v>
      </c>
      <c r="M1573" s="28"/>
      <c r="N1573" s="28"/>
      <c r="O1573" s="28"/>
      <c r="P1573" s="28"/>
      <c r="Q1573" s="28"/>
      <c r="R1573" s="28">
        <f t="shared" si="6"/>
        <v>0.23781530412978508</v>
      </c>
      <c r="S1573" s="28">
        <v>0.1078712074225</v>
      </c>
    </row>
    <row r="1574" spans="1:19" x14ac:dyDescent="0.25">
      <c r="A1574" s="28">
        <v>2022</v>
      </c>
      <c r="B1574" s="28"/>
      <c r="C1574" s="28" t="s">
        <v>106</v>
      </c>
      <c r="D1574" s="28" t="s">
        <v>326</v>
      </c>
      <c r="E1574" s="28" t="s">
        <v>327</v>
      </c>
      <c r="F1574" s="28" t="s">
        <v>328</v>
      </c>
      <c r="G1574" s="28">
        <v>30340</v>
      </c>
      <c r="H1574" s="28">
        <v>33.904722</v>
      </c>
      <c r="I1574" s="28">
        <v>-84.238889</v>
      </c>
      <c r="J1574" s="28"/>
      <c r="K1574" s="61">
        <v>110070381611</v>
      </c>
      <c r="L1574" s="61" t="str">
        <f>IFERROR(INDEX('Facility Summary'!$K:$K,MATCH(K1574,'Facility Summary'!$J:$J,0)),INDEX('Raw Annual DMR Data'!$M:$M,MATCH(K1574,'Raw Annual DMR Data'!$L:$L,0)))</f>
        <v>Repackaging</v>
      </c>
      <c r="M1574" s="28"/>
      <c r="N1574" s="28"/>
      <c r="O1574" s="28"/>
      <c r="P1574" s="28"/>
      <c r="Q1574" s="28"/>
      <c r="R1574" s="28">
        <f t="shared" si="6"/>
        <v>8.9535697767579289E-2</v>
      </c>
      <c r="S1574" s="28">
        <v>4.0612709349999998E-2</v>
      </c>
    </row>
    <row r="1575" spans="1:19" x14ac:dyDescent="0.25">
      <c r="A1575" s="28">
        <v>2022</v>
      </c>
      <c r="B1575" s="28"/>
      <c r="C1575" s="28" t="s">
        <v>6825</v>
      </c>
      <c r="D1575" s="28" t="s">
        <v>6980</v>
      </c>
      <c r="E1575" s="28" t="s">
        <v>1228</v>
      </c>
      <c r="F1575" s="28" t="s">
        <v>1128</v>
      </c>
      <c r="G1575" s="28">
        <v>80202</v>
      </c>
      <c r="H1575" s="28">
        <v>39.754530000000003</v>
      </c>
      <c r="I1575" s="28">
        <v>-105.00681</v>
      </c>
      <c r="J1575" s="28"/>
      <c r="K1575" s="61">
        <v>110056125376</v>
      </c>
      <c r="L1575" s="61" t="str">
        <f>IFERROR(INDEX('Facility Summary'!$K:$K,MATCH(K1575,'Facility Summary'!$J:$J,0)),INDEX('Raw Annual DMR Data'!$M:$M,MATCH(K1575,'Raw Annual DMR Data'!$L:$L,0)))</f>
        <v>Unknown</v>
      </c>
      <c r="M1575" s="28"/>
      <c r="N1575" s="28"/>
      <c r="O1575" s="28"/>
      <c r="P1575" s="28"/>
      <c r="Q1575" s="28"/>
      <c r="R1575" s="28">
        <f t="shared" si="6"/>
        <v>9.0720950068009301E-3</v>
      </c>
      <c r="S1575" s="28">
        <v>4.1150330749999998E-3</v>
      </c>
    </row>
    <row r="1576" spans="1:19" x14ac:dyDescent="0.25">
      <c r="A1576" s="28">
        <v>2021</v>
      </c>
      <c r="B1576" s="28"/>
      <c r="C1576" s="28" t="s">
        <v>6825</v>
      </c>
      <c r="D1576" s="28" t="s">
        <v>6980</v>
      </c>
      <c r="E1576" s="28" t="s">
        <v>1228</v>
      </c>
      <c r="F1576" s="28" t="s">
        <v>1128</v>
      </c>
      <c r="G1576" s="28">
        <v>80202</v>
      </c>
      <c r="H1576" s="28">
        <v>39.754530000000003</v>
      </c>
      <c r="I1576" s="28">
        <v>-105.00681</v>
      </c>
      <c r="J1576" s="28"/>
      <c r="K1576" s="61">
        <v>110056125376</v>
      </c>
      <c r="L1576" s="61" t="str">
        <f>IFERROR(INDEX('Facility Summary'!$K:$K,MATCH(K1576,'Facility Summary'!$J:$J,0)),INDEX('Raw Annual DMR Data'!$M:$M,MATCH(K1576,'Raw Annual DMR Data'!$L:$L,0)))</f>
        <v>Unknown</v>
      </c>
      <c r="M1576" s="28"/>
      <c r="N1576" s="28"/>
      <c r="O1576" s="28"/>
      <c r="P1576" s="28"/>
      <c r="Q1576" s="28"/>
      <c r="R1576" s="28">
        <f t="shared" si="6"/>
        <v>2.2186347623087224E-3</v>
      </c>
      <c r="S1576" s="28">
        <v>1.0063558000000001E-3</v>
      </c>
    </row>
    <row r="1577" spans="1:19" x14ac:dyDescent="0.25">
      <c r="A1577" s="28">
        <v>2023</v>
      </c>
      <c r="B1577" s="28"/>
      <c r="C1577" s="28" t="s">
        <v>6898</v>
      </c>
      <c r="D1577" s="28" t="s">
        <v>7090</v>
      </c>
      <c r="E1577" s="28" t="s">
        <v>7071</v>
      </c>
      <c r="F1577" s="28" t="s">
        <v>294</v>
      </c>
      <c r="G1577" s="28">
        <v>23510</v>
      </c>
      <c r="H1577" s="28">
        <v>36.860309999999998</v>
      </c>
      <c r="I1577" s="28">
        <v>-76.286709000000002</v>
      </c>
      <c r="J1577" s="28"/>
      <c r="K1577" s="61">
        <v>110071446922</v>
      </c>
      <c r="L1577" s="61" t="str">
        <f>IFERROR(INDEX('Facility Summary'!$K:$K,MATCH(K1577,'Facility Summary'!$J:$J,0)),INDEX('Raw Annual DMR Data'!$M:$M,MATCH(K1577,'Raw Annual DMR Data'!$L:$L,0)))</f>
        <v>Unknown</v>
      </c>
      <c r="M1577" s="28"/>
      <c r="N1577" s="28"/>
      <c r="O1577" s="28"/>
      <c r="P1577" s="28"/>
      <c r="Q1577" s="28"/>
      <c r="R1577" s="28">
        <f t="shared" si="6"/>
        <v>1.4149762924804047E-2</v>
      </c>
      <c r="S1577" s="28">
        <v>6.4182244999999999E-3</v>
      </c>
    </row>
    <row r="1578" spans="1:19" x14ac:dyDescent="0.25">
      <c r="A1578" s="28">
        <v>2022</v>
      </c>
      <c r="B1578" s="28"/>
      <c r="C1578" s="28" t="s">
        <v>6824</v>
      </c>
      <c r="D1578" s="28" t="s">
        <v>6979</v>
      </c>
      <c r="E1578" s="28" t="s">
        <v>1403</v>
      </c>
      <c r="F1578" s="28" t="s">
        <v>294</v>
      </c>
      <c r="G1578" s="28">
        <v>23451</v>
      </c>
      <c r="H1578" s="28">
        <v>36.840694999999997</v>
      </c>
      <c r="I1578" s="28">
        <v>-75.984082999999998</v>
      </c>
      <c r="J1578" s="28"/>
      <c r="K1578" s="61">
        <v>110071076435</v>
      </c>
      <c r="L1578" s="61" t="str">
        <f>IFERROR(INDEX('Facility Summary'!$K:$K,MATCH(K1578,'Facility Summary'!$J:$J,0)),INDEX('Raw Annual DMR Data'!$M:$M,MATCH(K1578,'Raw Annual DMR Data'!$L:$L,0)))</f>
        <v>Unknown</v>
      </c>
      <c r="M1578" s="28"/>
      <c r="N1578" s="28"/>
      <c r="O1578" s="28"/>
      <c r="P1578" s="28"/>
      <c r="Q1578" s="28"/>
      <c r="R1578" s="28">
        <f t="shared" si="6"/>
        <v>5.145195756930391E-4</v>
      </c>
      <c r="S1578" s="28">
        <v>2.3338215375E-4</v>
      </c>
    </row>
    <row r="1579" spans="1:19" x14ac:dyDescent="0.25">
      <c r="A1579" s="28">
        <v>2023</v>
      </c>
      <c r="B1579" s="28"/>
      <c r="C1579" s="28" t="s">
        <v>108</v>
      </c>
      <c r="D1579" s="28" t="s">
        <v>336</v>
      </c>
      <c r="E1579" s="28" t="s">
        <v>337</v>
      </c>
      <c r="F1579" s="28" t="s">
        <v>338</v>
      </c>
      <c r="G1579" s="28" t="s">
        <v>339</v>
      </c>
      <c r="H1579" s="28">
        <v>39.852224</v>
      </c>
      <c r="I1579" s="28">
        <v>-75.234432999999996</v>
      </c>
      <c r="J1579" s="28"/>
      <c r="K1579" s="61">
        <v>110000760310</v>
      </c>
      <c r="L1579" s="61" t="str">
        <f>IFERROR(INDEX('Facility Summary'!$K:$K,MATCH(K1579,'Facility Summary'!$J:$J,0)),INDEX('Raw Annual DMR Data'!$M:$M,MATCH(K1579,'Raw Annual DMR Data'!$L:$L,0)))</f>
        <v>Remediation</v>
      </c>
      <c r="M1579" s="28"/>
      <c r="N1579" s="28"/>
      <c r="O1579" s="28"/>
      <c r="P1579" s="28"/>
      <c r="Q1579" s="28"/>
      <c r="R1579" s="28">
        <f t="shared" si="6"/>
        <v>1.4531940870169398E-2</v>
      </c>
      <c r="S1579" s="28">
        <v>6.5915775000000001E-3</v>
      </c>
    </row>
    <row r="1580" spans="1:19" x14ac:dyDescent="0.25">
      <c r="A1580" s="28">
        <v>2021</v>
      </c>
      <c r="B1580" s="28"/>
      <c r="C1580" s="28" t="s">
        <v>984</v>
      </c>
      <c r="D1580" s="28" t="s">
        <v>6995</v>
      </c>
      <c r="E1580" s="28" t="s">
        <v>985</v>
      </c>
      <c r="F1580" s="28" t="s">
        <v>979</v>
      </c>
      <c r="G1580" s="28">
        <v>37660</v>
      </c>
      <c r="H1580" s="28">
        <v>36.550454999999999</v>
      </c>
      <c r="I1580" s="28">
        <v>-82.634793999999999</v>
      </c>
      <c r="J1580" s="28"/>
      <c r="K1580" s="61">
        <v>110070828339</v>
      </c>
      <c r="L1580" s="61" t="str">
        <f>IFERROR(INDEX('Facility Summary'!$K:$K,MATCH(K1580,'Facility Summary'!$J:$J,0)),INDEX('Raw Annual DMR Data'!$M:$M,MATCH(K1580,'Raw Annual DMR Data'!$L:$L,0)))</f>
        <v>Unknown</v>
      </c>
      <c r="M1580" s="28"/>
      <c r="N1580" s="28"/>
      <c r="O1580" s="28"/>
      <c r="P1580" s="28"/>
      <c r="Q1580" s="28"/>
      <c r="R1580" s="28">
        <f t="shared" si="6"/>
        <v>0.54799202199984098</v>
      </c>
      <c r="S1580" s="28">
        <v>0.24856500000000001</v>
      </c>
    </row>
    <row r="1581" spans="1:19" x14ac:dyDescent="0.25">
      <c r="A1581" s="28">
        <v>2023</v>
      </c>
      <c r="B1581" s="28"/>
      <c r="C1581" s="28" t="s">
        <v>986</v>
      </c>
      <c r="D1581" s="28" t="s">
        <v>1508</v>
      </c>
      <c r="E1581" s="28" t="s">
        <v>987</v>
      </c>
      <c r="F1581" s="28" t="s">
        <v>324</v>
      </c>
      <c r="G1581" s="28">
        <v>402162137</v>
      </c>
      <c r="H1581" s="28">
        <v>38.195278000000002</v>
      </c>
      <c r="I1581" s="28">
        <v>-85.872221999999994</v>
      </c>
      <c r="J1581" s="28" t="s">
        <v>701</v>
      </c>
      <c r="K1581" s="61">
        <v>110000378467</v>
      </c>
      <c r="L1581" s="61" t="str">
        <f>IFERROR(INDEX('Facility Summary'!$K:$K,MATCH(K1581,'Facility Summary'!$J:$J,0)),INDEX('Raw Annual DMR Data'!$M:$M,MATCH(K1581,'Raw Annual DMR Data'!$L:$L,0)))</f>
        <v>Unknown</v>
      </c>
      <c r="M1581" s="28"/>
      <c r="N1581" s="28"/>
      <c r="O1581" s="28"/>
      <c r="P1581" s="28"/>
      <c r="Q1581" s="28"/>
      <c r="R1581" s="28">
        <f t="shared" si="6"/>
        <v>2.0093040806660838</v>
      </c>
      <c r="S1581" s="28">
        <v>0.91140500000000002</v>
      </c>
    </row>
    <row r="1582" spans="1:19" x14ac:dyDescent="0.25">
      <c r="A1582" s="28">
        <v>2021</v>
      </c>
      <c r="B1582" s="28"/>
      <c r="C1582" s="28" t="s">
        <v>986</v>
      </c>
      <c r="D1582" s="28" t="s">
        <v>1508</v>
      </c>
      <c r="E1582" s="28" t="s">
        <v>987</v>
      </c>
      <c r="F1582" s="28" t="s">
        <v>324</v>
      </c>
      <c r="G1582" s="28">
        <v>402162137</v>
      </c>
      <c r="H1582" s="28">
        <v>38.195278000000002</v>
      </c>
      <c r="I1582" s="28">
        <v>-85.872221999999994</v>
      </c>
      <c r="J1582" s="28" t="s">
        <v>701</v>
      </c>
      <c r="K1582" s="61">
        <v>110000378467</v>
      </c>
      <c r="L1582" s="61" t="str">
        <f>IFERROR(INDEX('Facility Summary'!$K:$K,MATCH(K1582,'Facility Summary'!$J:$J,0)),INDEX('Raw Annual DMR Data'!$M:$M,MATCH(K1582,'Raw Annual DMR Data'!$L:$L,0)))</f>
        <v>Unknown</v>
      </c>
      <c r="M1582" s="28"/>
      <c r="N1582" s="28"/>
      <c r="O1582" s="28"/>
      <c r="P1582" s="28"/>
      <c r="Q1582" s="28"/>
      <c r="R1582" s="28">
        <f t="shared" si="6"/>
        <v>0.54799202199984098</v>
      </c>
      <c r="S1582" s="28">
        <v>0.24856500000000001</v>
      </c>
    </row>
    <row r="1583" spans="1:19" x14ac:dyDescent="0.25">
      <c r="A1583" s="28">
        <v>2022</v>
      </c>
      <c r="B1583" s="28"/>
      <c r="C1583" s="28" t="s">
        <v>986</v>
      </c>
      <c r="D1583" s="28" t="s">
        <v>1508</v>
      </c>
      <c r="E1583" s="28" t="s">
        <v>987</v>
      </c>
      <c r="F1583" s="28" t="s">
        <v>324</v>
      </c>
      <c r="G1583" s="28">
        <v>402162137</v>
      </c>
      <c r="H1583" s="28">
        <v>38.195278000000002</v>
      </c>
      <c r="I1583" s="28">
        <v>-85.872221999999994</v>
      </c>
      <c r="J1583" s="28" t="s">
        <v>701</v>
      </c>
      <c r="K1583" s="61">
        <v>110000378467</v>
      </c>
      <c r="L1583" s="61" t="str">
        <f>IFERROR(INDEX('Facility Summary'!$K:$K,MATCH(K1583,'Facility Summary'!$J:$J,0)),INDEX('Raw Annual DMR Data'!$M:$M,MATCH(K1583,'Raw Annual DMR Data'!$L:$L,0)))</f>
        <v>Unknown</v>
      </c>
      <c r="M1583" s="28"/>
      <c r="N1583" s="28"/>
      <c r="O1583" s="28"/>
      <c r="P1583" s="28"/>
      <c r="Q1583" s="28"/>
      <c r="R1583" s="28">
        <f t="shared" si="6"/>
        <v>0.36532801466656062</v>
      </c>
      <c r="S1583" s="28">
        <v>0.16571</v>
      </c>
    </row>
    <row r="1584" spans="1:19" x14ac:dyDescent="0.25">
      <c r="A1584" s="28">
        <v>2024</v>
      </c>
      <c r="B1584" s="28"/>
      <c r="C1584" s="28" t="s">
        <v>986</v>
      </c>
      <c r="D1584" s="28" t="s">
        <v>1508</v>
      </c>
      <c r="E1584" s="28" t="s">
        <v>987</v>
      </c>
      <c r="F1584" s="28" t="s">
        <v>324</v>
      </c>
      <c r="G1584" s="28">
        <v>402162137</v>
      </c>
      <c r="H1584" s="28">
        <v>38.195278000000002</v>
      </c>
      <c r="I1584" s="28">
        <v>-85.872221999999994</v>
      </c>
      <c r="J1584" s="28" t="s">
        <v>701</v>
      </c>
      <c r="K1584" s="61">
        <v>110000378467</v>
      </c>
      <c r="L1584" s="61" t="str">
        <f>IFERROR(INDEX('Facility Summary'!$K:$K,MATCH(K1584,'Facility Summary'!$J:$J,0)),INDEX('Raw Annual DMR Data'!$M:$M,MATCH(K1584,'Raw Annual DMR Data'!$L:$L,0)))</f>
        <v>Unknown</v>
      </c>
      <c r="M1584" s="28"/>
      <c r="N1584" s="28"/>
      <c r="O1584" s="28"/>
      <c r="P1584" s="28"/>
      <c r="Q1584" s="28"/>
      <c r="R1584" s="28">
        <f t="shared" si="6"/>
        <v>0.36532801466656062</v>
      </c>
      <c r="S1584" s="28">
        <v>0.16571</v>
      </c>
    </row>
    <row r="1585" spans="1:19" x14ac:dyDescent="0.25">
      <c r="A1585" s="28">
        <v>2023</v>
      </c>
      <c r="B1585" s="28"/>
      <c r="C1585" s="28" t="s">
        <v>6824</v>
      </c>
      <c r="D1585" s="28" t="s">
        <v>6979</v>
      </c>
      <c r="E1585" s="28" t="s">
        <v>1403</v>
      </c>
      <c r="F1585" s="28" t="s">
        <v>294</v>
      </c>
      <c r="G1585" s="28">
        <v>23451</v>
      </c>
      <c r="H1585" s="28">
        <v>36.840694999999997</v>
      </c>
      <c r="I1585" s="28">
        <v>-75.984082999999998</v>
      </c>
      <c r="J1585" s="28"/>
      <c r="K1585" s="61">
        <v>110071076435</v>
      </c>
      <c r="L1585" s="61" t="str">
        <f>IFERROR(INDEX('Facility Summary'!$K:$K,MATCH(K1585,'Facility Summary'!$J:$J,0)),INDEX('Raw Annual DMR Data'!$M:$M,MATCH(K1585,'Raw Annual DMR Data'!$L:$L,0)))</f>
        <v>Unknown</v>
      </c>
      <c r="M1585" s="28"/>
      <c r="N1585" s="28"/>
      <c r="O1585" s="28"/>
      <c r="P1585" s="28"/>
      <c r="Q1585" s="28"/>
      <c r="R1585" s="28">
        <f t="shared" si="6"/>
        <v>4.2331631372018005E-6</v>
      </c>
      <c r="S1585" s="28">
        <v>1.9201305000000001E-6</v>
      </c>
    </row>
    <row r="1586" spans="1:19" x14ac:dyDescent="0.25">
      <c r="A1586" s="28">
        <v>2022</v>
      </c>
      <c r="B1586" s="28"/>
      <c r="C1586" s="28" t="s">
        <v>6835</v>
      </c>
      <c r="D1586" s="28" t="s">
        <v>6990</v>
      </c>
      <c r="E1586" s="28" t="s">
        <v>1072</v>
      </c>
      <c r="F1586" s="28" t="s">
        <v>366</v>
      </c>
      <c r="G1586" s="28">
        <v>96021</v>
      </c>
      <c r="H1586" s="28">
        <v>39.915689999999998</v>
      </c>
      <c r="I1586" s="28">
        <v>-122.10365</v>
      </c>
      <c r="J1586" s="28"/>
      <c r="K1586" s="61">
        <v>110054272210</v>
      </c>
      <c r="L1586" s="61" t="str">
        <f>IFERROR(INDEX('Facility Summary'!$K:$K,MATCH(K1586,'Facility Summary'!$J:$J,0)),INDEX('Raw Annual DMR Data'!$M:$M,MATCH(K1586,'Raw Annual DMR Data'!$L:$L,0)))</f>
        <v>Waste Handling, Disposal and Treatment (non-POTW WWT)</v>
      </c>
      <c r="M1586" s="28"/>
      <c r="N1586" s="28"/>
      <c r="O1586" s="28"/>
      <c r="P1586" s="28"/>
      <c r="Q1586" s="28"/>
      <c r="R1586" s="28">
        <f t="shared" si="6"/>
        <v>3.8726052262886603</v>
      </c>
      <c r="S1586" s="28">
        <v>1.7565841826666599</v>
      </c>
    </row>
    <row r="1587" spans="1:19" x14ac:dyDescent="0.25">
      <c r="A1587" s="28">
        <v>2023</v>
      </c>
      <c r="B1587" s="28"/>
      <c r="C1587" s="28" t="s">
        <v>6835</v>
      </c>
      <c r="D1587" s="28" t="s">
        <v>6990</v>
      </c>
      <c r="E1587" s="28" t="s">
        <v>1072</v>
      </c>
      <c r="F1587" s="28" t="s">
        <v>366</v>
      </c>
      <c r="G1587" s="28">
        <v>96021</v>
      </c>
      <c r="H1587" s="28">
        <v>39.915689999999998</v>
      </c>
      <c r="I1587" s="28">
        <v>-122.10365</v>
      </c>
      <c r="J1587" s="28"/>
      <c r="K1587" s="61">
        <v>110054272210</v>
      </c>
      <c r="L1587" s="61" t="str">
        <f>IFERROR(INDEX('Facility Summary'!$K:$K,MATCH(K1587,'Facility Summary'!$J:$J,0)),INDEX('Raw Annual DMR Data'!$M:$M,MATCH(K1587,'Raw Annual DMR Data'!$L:$L,0)))</f>
        <v>Waste Handling, Disposal and Treatment (non-POTW WWT)</v>
      </c>
      <c r="M1587" s="28"/>
      <c r="N1587" s="28"/>
      <c r="O1587" s="28"/>
      <c r="P1587" s="28"/>
      <c r="Q1587" s="28"/>
      <c r="R1587" s="28">
        <f t="shared" si="6"/>
        <v>0.36949431049733045</v>
      </c>
      <c r="S1587" s="28">
        <v>0.16759979999999999</v>
      </c>
    </row>
    <row r="1588" spans="1:19" x14ac:dyDescent="0.25">
      <c r="A1588" s="28">
        <v>2022</v>
      </c>
      <c r="B1588" s="28"/>
      <c r="C1588" s="28" t="s">
        <v>6802</v>
      </c>
      <c r="D1588" s="28" t="s">
        <v>6955</v>
      </c>
      <c r="E1588" s="28" t="s">
        <v>6956</v>
      </c>
      <c r="F1588" s="28" t="s">
        <v>541</v>
      </c>
      <c r="G1588" s="28">
        <v>29702</v>
      </c>
      <c r="H1588" s="28">
        <v>35.118552999999999</v>
      </c>
      <c r="I1588" s="28">
        <v>-81.559533000000002</v>
      </c>
      <c r="J1588" s="28"/>
      <c r="K1588" s="61">
        <v>110000915984</v>
      </c>
      <c r="L1588" s="61" t="str">
        <f>IFERROR(INDEX('Facility Summary'!$K:$K,MATCH(K1588,'Facility Summary'!$J:$J,0)),INDEX('Raw Annual DMR Data'!$M:$M,MATCH(K1588,'Raw Annual DMR Data'!$L:$L,0)))</f>
        <v>Unknown</v>
      </c>
      <c r="M1588" s="28"/>
      <c r="N1588" s="28"/>
      <c r="O1588" s="28"/>
      <c r="P1588" s="28"/>
      <c r="Q1588" s="28"/>
      <c r="R1588" s="28">
        <f t="shared" si="6"/>
        <v>10.795442833396867</v>
      </c>
      <c r="S1588" s="28">
        <v>4.8967305000000003</v>
      </c>
    </row>
    <row r="1589" spans="1:19" x14ac:dyDescent="0.25">
      <c r="A1589" s="28">
        <v>2024</v>
      </c>
      <c r="B1589" s="28"/>
      <c r="C1589" s="28" t="s">
        <v>6427</v>
      </c>
      <c r="D1589" s="28" t="s">
        <v>7079</v>
      </c>
      <c r="E1589" s="28" t="s">
        <v>7080</v>
      </c>
      <c r="F1589" s="28" t="s">
        <v>338</v>
      </c>
      <c r="G1589" s="28">
        <v>8865</v>
      </c>
      <c r="H1589" s="28">
        <v>40.703099000000002</v>
      </c>
      <c r="I1589" s="28">
        <v>-75.197676000000001</v>
      </c>
      <c r="J1589" s="28" t="s">
        <v>7134</v>
      </c>
      <c r="K1589" s="61">
        <v>110000322311</v>
      </c>
      <c r="L1589" s="61" t="str">
        <f>IFERROR(INDEX('Facility Summary'!$K:$K,MATCH(K1589,'Facility Summary'!$J:$J,0)),INDEX('Raw Annual DMR Data'!$M:$M,MATCH(K1589,'Raw Annual DMR Data'!$L:$L,0)))</f>
        <v>Unknown</v>
      </c>
      <c r="M1589" s="28"/>
      <c r="N1589" s="28"/>
      <c r="O1589" s="28"/>
      <c r="P1589" s="28"/>
      <c r="Q1589" s="28"/>
      <c r="R1589" s="28">
        <f t="shared" si="6"/>
        <v>0.39894850964975448</v>
      </c>
      <c r="S1589" s="28">
        <v>0.18096000000000001</v>
      </c>
    </row>
    <row r="1590" spans="1:19" x14ac:dyDescent="0.25">
      <c r="A1590" s="28">
        <v>2023</v>
      </c>
      <c r="B1590" s="28"/>
      <c r="C1590" s="28" t="s">
        <v>6427</v>
      </c>
      <c r="D1590" s="28" t="s">
        <v>7079</v>
      </c>
      <c r="E1590" s="28" t="s">
        <v>7080</v>
      </c>
      <c r="F1590" s="28" t="s">
        <v>338</v>
      </c>
      <c r="G1590" s="28" t="s">
        <v>7081</v>
      </c>
      <c r="H1590" s="28">
        <v>40.703099000000002</v>
      </c>
      <c r="I1590" s="28">
        <v>-75.197676000000001</v>
      </c>
      <c r="J1590" s="28" t="s">
        <v>7134</v>
      </c>
      <c r="K1590" s="61">
        <v>110000322311</v>
      </c>
      <c r="L1590" s="61" t="str">
        <f>IFERROR(INDEX('Facility Summary'!$K:$K,MATCH(K1590,'Facility Summary'!$J:$J,0)),INDEX('Raw Annual DMR Data'!$M:$M,MATCH(K1590,'Raw Annual DMR Data'!$L:$L,0)))</f>
        <v>Unknown</v>
      </c>
      <c r="M1590" s="28"/>
      <c r="N1590" s="28"/>
      <c r="O1590" s="28"/>
      <c r="P1590" s="28"/>
      <c r="Q1590" s="28"/>
      <c r="R1590" s="28">
        <f t="shared" si="6"/>
        <v>0.34039373281345103</v>
      </c>
      <c r="S1590" s="28">
        <v>0.15440000000000001</v>
      </c>
    </row>
    <row r="1591" spans="1:19" x14ac:dyDescent="0.25">
      <c r="A1591" s="28">
        <v>2024</v>
      </c>
      <c r="B1591" s="28"/>
      <c r="C1591" s="28" t="s">
        <v>205</v>
      </c>
      <c r="D1591" s="28" t="s">
        <v>7046</v>
      </c>
      <c r="E1591" s="28" t="s">
        <v>7047</v>
      </c>
      <c r="F1591" s="28" t="s">
        <v>427</v>
      </c>
      <c r="G1591" s="28">
        <v>48192</v>
      </c>
      <c r="H1591" s="28">
        <v>42.219194999999999</v>
      </c>
      <c r="I1591" s="28">
        <v>-83.146739999999994</v>
      </c>
      <c r="J1591" s="28" t="s">
        <v>7131</v>
      </c>
      <c r="K1591" s="61">
        <v>110000494019</v>
      </c>
      <c r="L1591" s="61" t="str">
        <f>IFERROR(INDEX('Facility Summary'!$K:$K,MATCH(K1591,'Facility Summary'!$J:$J,0)),INDEX('Raw Annual DMR Data'!$M:$M,MATCH(K1591,'Raw Annual DMR Data'!$L:$L,0)))</f>
        <v>Processing as a Reactant</v>
      </c>
      <c r="M1591" s="28"/>
      <c r="N1591" s="28"/>
      <c r="O1591" s="28"/>
      <c r="P1591" s="28"/>
      <c r="Q1591" s="28"/>
      <c r="R1591" s="28">
        <f t="shared" si="6"/>
        <v>2.6493964173162791E-2</v>
      </c>
      <c r="S1591" s="28">
        <v>1.2017460000000001E-2</v>
      </c>
    </row>
    <row r="1592" spans="1:19" x14ac:dyDescent="0.25">
      <c r="A1592" s="28">
        <v>2021</v>
      </c>
      <c r="B1592" s="28"/>
      <c r="C1592" s="28" t="s">
        <v>991</v>
      </c>
      <c r="D1592" s="28" t="s">
        <v>1517</v>
      </c>
      <c r="E1592" s="28" t="s">
        <v>992</v>
      </c>
      <c r="F1592" s="28" t="s">
        <v>299</v>
      </c>
      <c r="G1592" s="28">
        <v>723016413</v>
      </c>
      <c r="H1592" s="28">
        <v>35.136057000000001</v>
      </c>
      <c r="I1592" s="28">
        <v>-90.096892999999994</v>
      </c>
      <c r="J1592" s="28" t="s">
        <v>704</v>
      </c>
      <c r="K1592" s="61">
        <v>110000452082</v>
      </c>
      <c r="L1592" s="61" t="str">
        <f>IFERROR(INDEX('Facility Summary'!$K:$K,MATCH(K1592,'Facility Summary'!$J:$J,0)),INDEX('Raw Annual DMR Data'!$M:$M,MATCH(K1592,'Raw Annual DMR Data'!$L:$L,0)))</f>
        <v>Processing into formulation, mixture, or reaction product</v>
      </c>
      <c r="M1592" s="28"/>
      <c r="N1592" s="28"/>
      <c r="O1592" s="28"/>
      <c r="P1592" s="28"/>
      <c r="Q1592" s="28"/>
      <c r="R1592" s="28">
        <f t="shared" si="6"/>
        <v>0.13073738431711274</v>
      </c>
      <c r="S1592" s="28">
        <v>5.9301479999999997E-2</v>
      </c>
    </row>
    <row r="1593" spans="1:19" x14ac:dyDescent="0.25">
      <c r="A1593" s="28">
        <v>2022</v>
      </c>
      <c r="B1593" s="28"/>
      <c r="C1593" s="28" t="s">
        <v>991</v>
      </c>
      <c r="D1593" s="28" t="s">
        <v>1517</v>
      </c>
      <c r="E1593" s="28" t="s">
        <v>992</v>
      </c>
      <c r="F1593" s="28" t="s">
        <v>299</v>
      </c>
      <c r="G1593" s="28">
        <v>723016413</v>
      </c>
      <c r="H1593" s="28">
        <v>35.136057000000001</v>
      </c>
      <c r="I1593" s="28">
        <v>-90.096892999999994</v>
      </c>
      <c r="J1593" s="28" t="s">
        <v>704</v>
      </c>
      <c r="K1593" s="61">
        <v>110000452082</v>
      </c>
      <c r="L1593" s="61" t="str">
        <f>IFERROR(INDEX('Facility Summary'!$K:$K,MATCH(K1593,'Facility Summary'!$J:$J,0)),INDEX('Raw Annual DMR Data'!$M:$M,MATCH(K1593,'Raw Annual DMR Data'!$L:$L,0)))</f>
        <v>Processing into formulation, mixture, or reaction product</v>
      </c>
      <c r="M1593" s="28"/>
      <c r="N1593" s="28"/>
      <c r="O1593" s="28"/>
      <c r="P1593" s="28"/>
      <c r="Q1593" s="28"/>
      <c r="R1593" s="28">
        <f t="shared" si="6"/>
        <v>2.6573859696978588E-2</v>
      </c>
      <c r="S1593" s="28">
        <v>1.2053700000000001E-2</v>
      </c>
    </row>
    <row r="1594" spans="1:19" x14ac:dyDescent="0.25">
      <c r="A1594" s="28">
        <v>2023</v>
      </c>
      <c r="B1594" s="28"/>
      <c r="C1594" s="28" t="s">
        <v>6827</v>
      </c>
      <c r="D1594" s="28" t="s">
        <v>351</v>
      </c>
      <c r="E1594" s="28" t="s">
        <v>352</v>
      </c>
      <c r="F1594" s="28" t="s">
        <v>349</v>
      </c>
      <c r="G1594" s="28">
        <v>641200013</v>
      </c>
      <c r="H1594" s="28">
        <v>38.969749999999998</v>
      </c>
      <c r="I1594" s="28">
        <v>-94.465860000000006</v>
      </c>
      <c r="J1594" s="28" t="s">
        <v>353</v>
      </c>
      <c r="K1594" s="61">
        <v>110000443226</v>
      </c>
      <c r="L1594" s="61" t="str">
        <f>IFERROR(INDEX('Facility Summary'!$K:$K,MATCH(K1594,'Facility Summary'!$J:$J,0)),INDEX('Raw Annual DMR Data'!$M:$M,MATCH(K1594,'Raw Annual DMR Data'!$L:$L,0)))</f>
        <v>Processing into formulation, mixture, or reaction product</v>
      </c>
      <c r="M1594" s="28"/>
      <c r="N1594" s="28"/>
      <c r="O1594" s="28"/>
      <c r="P1594" s="28"/>
      <c r="Q1594" s="28"/>
      <c r="R1594" s="28">
        <f t="shared" si="6"/>
        <v>43.839361759987277</v>
      </c>
      <c r="S1594" s="28">
        <v>19.885200000000001</v>
      </c>
    </row>
    <row r="1595" spans="1:19" x14ac:dyDescent="0.25">
      <c r="A1595" s="28">
        <v>2021</v>
      </c>
      <c r="B1595" s="28"/>
      <c r="C1595" s="28" t="s">
        <v>6827</v>
      </c>
      <c r="D1595" s="28" t="s">
        <v>351</v>
      </c>
      <c r="E1595" s="28" t="s">
        <v>352</v>
      </c>
      <c r="F1595" s="28" t="s">
        <v>349</v>
      </c>
      <c r="G1595" s="28">
        <v>641200013</v>
      </c>
      <c r="H1595" s="28">
        <v>38.969749999999998</v>
      </c>
      <c r="I1595" s="28">
        <v>-94.465860000000006</v>
      </c>
      <c r="J1595" s="28" t="s">
        <v>353</v>
      </c>
      <c r="K1595" s="61">
        <v>110000443226</v>
      </c>
      <c r="L1595" s="61" t="str">
        <f>IFERROR(INDEX('Facility Summary'!$K:$K,MATCH(K1595,'Facility Summary'!$J:$J,0)),INDEX('Raw Annual DMR Data'!$M:$M,MATCH(K1595,'Raw Annual DMR Data'!$L:$L,0)))</f>
        <v>Processing into formulation, mixture, or reaction product</v>
      </c>
      <c r="M1595" s="28"/>
      <c r="N1595" s="28"/>
      <c r="O1595" s="28"/>
      <c r="P1595" s="28"/>
      <c r="Q1595" s="28"/>
      <c r="R1595" s="28">
        <f t="shared" si="6"/>
        <v>21.919680879993638</v>
      </c>
      <c r="S1595" s="28">
        <v>9.9426000000000005</v>
      </c>
    </row>
    <row r="1596" spans="1:19" x14ac:dyDescent="0.25">
      <c r="A1596" s="28">
        <v>2024</v>
      </c>
      <c r="B1596" s="28"/>
      <c r="C1596" s="28" t="s">
        <v>6827</v>
      </c>
      <c r="D1596" s="28" t="s">
        <v>351</v>
      </c>
      <c r="E1596" s="28" t="s">
        <v>352</v>
      </c>
      <c r="F1596" s="28" t="s">
        <v>349</v>
      </c>
      <c r="G1596" s="28">
        <v>641200013</v>
      </c>
      <c r="H1596" s="28">
        <v>38.969749999999998</v>
      </c>
      <c r="I1596" s="28">
        <v>-94.465860000000006</v>
      </c>
      <c r="J1596" s="28" t="s">
        <v>353</v>
      </c>
      <c r="K1596" s="61">
        <v>110000443226</v>
      </c>
      <c r="L1596" s="61" t="str">
        <f>IFERROR(INDEX('Facility Summary'!$K:$K,MATCH(K1596,'Facility Summary'!$J:$J,0)),INDEX('Raw Annual DMR Data'!$M:$M,MATCH(K1596,'Raw Annual DMR Data'!$L:$L,0)))</f>
        <v>Processing into formulation, mixture, or reaction product</v>
      </c>
      <c r="M1596" s="28"/>
      <c r="N1596" s="28"/>
      <c r="O1596" s="28"/>
      <c r="P1596" s="28"/>
      <c r="Q1596" s="28"/>
      <c r="R1596" s="28">
        <f t="shared" ref="R1596:R1659" si="7">CONVERT(S1596,"g","lbm")*1000</f>
        <v>18.266400733328034</v>
      </c>
      <c r="S1596" s="28">
        <v>8.2855000000000008</v>
      </c>
    </row>
    <row r="1597" spans="1:19" x14ac:dyDescent="0.25">
      <c r="A1597" s="28">
        <v>2022</v>
      </c>
      <c r="B1597" s="28"/>
      <c r="C1597" s="28" t="s">
        <v>6827</v>
      </c>
      <c r="D1597" s="28" t="s">
        <v>351</v>
      </c>
      <c r="E1597" s="28" t="s">
        <v>352</v>
      </c>
      <c r="F1597" s="28" t="s">
        <v>349</v>
      </c>
      <c r="G1597" s="28">
        <v>641200013</v>
      </c>
      <c r="H1597" s="28">
        <v>38.969749999999998</v>
      </c>
      <c r="I1597" s="28">
        <v>-94.465860000000006</v>
      </c>
      <c r="J1597" s="28" t="s">
        <v>353</v>
      </c>
      <c r="K1597" s="61">
        <v>110000443226</v>
      </c>
      <c r="L1597" s="61" t="str">
        <f>IFERROR(INDEX('Facility Summary'!$K:$K,MATCH(K1597,'Facility Summary'!$J:$J,0)),INDEX('Raw Annual DMR Data'!$M:$M,MATCH(K1597,'Raw Annual DMR Data'!$L:$L,0)))</f>
        <v>Processing into formulation, mixture, or reaction product</v>
      </c>
      <c r="M1597" s="28"/>
      <c r="N1597" s="28"/>
      <c r="O1597" s="28"/>
      <c r="P1597" s="28"/>
      <c r="Q1597" s="28"/>
      <c r="R1597" s="28">
        <f t="shared" si="7"/>
        <v>3.6532801466656064</v>
      </c>
      <c r="S1597" s="28">
        <v>1.6571</v>
      </c>
    </row>
    <row r="1598" spans="1:19" x14ac:dyDescent="0.25">
      <c r="A1598" s="28">
        <v>2023</v>
      </c>
      <c r="B1598" s="28"/>
      <c r="C1598" s="28" t="s">
        <v>6769</v>
      </c>
      <c r="D1598" s="28" t="s">
        <v>614</v>
      </c>
      <c r="E1598" s="28" t="s">
        <v>615</v>
      </c>
      <c r="F1598" s="28" t="s">
        <v>362</v>
      </c>
      <c r="G1598" s="28">
        <v>77520</v>
      </c>
      <c r="H1598" s="28">
        <v>29.771018000000002</v>
      </c>
      <c r="I1598" s="28">
        <v>-95.018456</v>
      </c>
      <c r="J1598" s="28" t="s">
        <v>616</v>
      </c>
      <c r="K1598" s="61">
        <v>110000501519</v>
      </c>
      <c r="L1598" s="61" t="str">
        <f>IFERROR(INDEX('Facility Summary'!$K:$K,MATCH(K1598,'Facility Summary'!$J:$J,0)),INDEX('Raw Annual DMR Data'!$M:$M,MATCH(K1598,'Raw Annual DMR Data'!$L:$L,0)))</f>
        <v>Manufacturing</v>
      </c>
      <c r="M1598" s="28"/>
      <c r="N1598" s="28"/>
      <c r="O1598" s="28"/>
      <c r="P1598" s="28"/>
      <c r="Q1598" s="28"/>
      <c r="R1598" s="28">
        <f t="shared" si="7"/>
        <v>8.4976181367424665E-3</v>
      </c>
      <c r="S1598" s="28">
        <v>3.8544547499999998E-3</v>
      </c>
    </row>
    <row r="1599" spans="1:19" x14ac:dyDescent="0.25">
      <c r="A1599" s="28">
        <v>2022</v>
      </c>
      <c r="B1599" s="28"/>
      <c r="C1599" s="28" t="s">
        <v>6769</v>
      </c>
      <c r="D1599" s="28" t="s">
        <v>614</v>
      </c>
      <c r="E1599" s="28" t="s">
        <v>615</v>
      </c>
      <c r="F1599" s="28" t="s">
        <v>362</v>
      </c>
      <c r="G1599" s="28">
        <v>77520</v>
      </c>
      <c r="H1599" s="28">
        <v>29.771018000000002</v>
      </c>
      <c r="I1599" s="28">
        <v>-95.018456</v>
      </c>
      <c r="J1599" s="28" t="s">
        <v>616</v>
      </c>
      <c r="K1599" s="61">
        <v>110000501519</v>
      </c>
      <c r="L1599" s="61" t="str">
        <f>IFERROR(INDEX('Facility Summary'!$K:$K,MATCH(K1599,'Facility Summary'!$J:$J,0)),INDEX('Raw Annual DMR Data'!$M:$M,MATCH(K1599,'Raw Annual DMR Data'!$L:$L,0)))</f>
        <v>Manufacturing</v>
      </c>
      <c r="M1599" s="28"/>
      <c r="N1599" s="28"/>
      <c r="O1599" s="28"/>
      <c r="P1599" s="28"/>
      <c r="Q1599" s="28"/>
      <c r="R1599" s="28">
        <f t="shared" si="7"/>
        <v>1.4375898783306252E-3</v>
      </c>
      <c r="S1599" s="28">
        <v>6.5207980000000002E-4</v>
      </c>
    </row>
    <row r="1600" spans="1:19" x14ac:dyDescent="0.25">
      <c r="A1600" s="28">
        <v>2021</v>
      </c>
      <c r="B1600" s="28"/>
      <c r="C1600" s="28" t="s">
        <v>6769</v>
      </c>
      <c r="D1600" s="28" t="s">
        <v>614</v>
      </c>
      <c r="E1600" s="28" t="s">
        <v>615</v>
      </c>
      <c r="F1600" s="28" t="s">
        <v>362</v>
      </c>
      <c r="G1600" s="28">
        <v>77520</v>
      </c>
      <c r="H1600" s="28">
        <v>29.771018000000002</v>
      </c>
      <c r="I1600" s="28">
        <v>-95.018456</v>
      </c>
      <c r="J1600" s="28" t="s">
        <v>616</v>
      </c>
      <c r="K1600" s="61">
        <v>110000501519</v>
      </c>
      <c r="L1600" s="61" t="str">
        <f>IFERROR(INDEX('Facility Summary'!$K:$K,MATCH(K1600,'Facility Summary'!$J:$J,0)),INDEX('Raw Annual DMR Data'!$M:$M,MATCH(K1600,'Raw Annual DMR Data'!$L:$L,0)))</f>
        <v>Manufacturing</v>
      </c>
      <c r="M1600" s="28"/>
      <c r="N1600" s="28"/>
      <c r="O1600" s="28"/>
      <c r="P1600" s="28"/>
      <c r="Q1600" s="28"/>
      <c r="R1600" s="28">
        <f t="shared" si="7"/>
        <v>1.8761766208721717E-4</v>
      </c>
      <c r="S1600" s="28">
        <v>8.5101939999999995E-5</v>
      </c>
    </row>
    <row r="1601" spans="1:19" x14ac:dyDescent="0.25">
      <c r="A1601" s="28">
        <v>2023</v>
      </c>
      <c r="B1601" s="28"/>
      <c r="C1601" s="28" t="s">
        <v>996</v>
      </c>
      <c r="D1601" s="28" t="s">
        <v>1527</v>
      </c>
      <c r="E1601" s="28" t="s">
        <v>388</v>
      </c>
      <c r="F1601" s="28" t="s">
        <v>366</v>
      </c>
      <c r="G1601" s="28">
        <v>92223</v>
      </c>
      <c r="H1601" s="28">
        <v>33.926245999999999</v>
      </c>
      <c r="I1601" s="28">
        <v>-116.992552</v>
      </c>
      <c r="J1601" s="28"/>
      <c r="K1601" s="61">
        <v>110055992993</v>
      </c>
      <c r="L1601" s="61" t="str">
        <f>IFERROR(INDEX('Facility Summary'!$K:$K,MATCH(K1601,'Facility Summary'!$J:$J,0)),INDEX('Raw Annual DMR Data'!$M:$M,MATCH(K1601,'Raw Annual DMR Data'!$L:$L,0)))</f>
        <v>POTW</v>
      </c>
      <c r="M1601" s="28"/>
      <c r="N1601" s="28"/>
      <c r="O1601" s="28"/>
      <c r="P1601" s="28"/>
      <c r="Q1601" s="28"/>
      <c r="R1601" s="28">
        <f t="shared" si="7"/>
        <v>2.5980173013051342</v>
      </c>
      <c r="S1601" s="28">
        <v>1.178440825</v>
      </c>
    </row>
    <row r="1602" spans="1:19" x14ac:dyDescent="0.25">
      <c r="A1602" s="28">
        <v>2021</v>
      </c>
      <c r="B1602" s="28"/>
      <c r="C1602" s="28" t="s">
        <v>996</v>
      </c>
      <c r="D1602" s="28" t="s">
        <v>1527</v>
      </c>
      <c r="E1602" s="28" t="s">
        <v>388</v>
      </c>
      <c r="F1602" s="28" t="s">
        <v>366</v>
      </c>
      <c r="G1602" s="28">
        <v>92223</v>
      </c>
      <c r="H1602" s="28">
        <v>33.926245999999999</v>
      </c>
      <c r="I1602" s="28">
        <v>-116.992552</v>
      </c>
      <c r="J1602" s="28"/>
      <c r="K1602" s="61">
        <v>110055992993</v>
      </c>
      <c r="L1602" s="61" t="str">
        <f>IFERROR(INDEX('Facility Summary'!$K:$K,MATCH(K1602,'Facility Summary'!$J:$J,0)),INDEX('Raw Annual DMR Data'!$M:$M,MATCH(K1602,'Raw Annual DMR Data'!$L:$L,0)))</f>
        <v>POTW</v>
      </c>
      <c r="M1602" s="28"/>
      <c r="N1602" s="28"/>
      <c r="O1602" s="28"/>
      <c r="P1602" s="28"/>
      <c r="Q1602" s="28"/>
      <c r="R1602" s="28">
        <f t="shared" si="7"/>
        <v>0.36568692530035285</v>
      </c>
      <c r="S1602" s="28">
        <v>0.165872799125</v>
      </c>
    </row>
    <row r="1603" spans="1:19" x14ac:dyDescent="0.25">
      <c r="A1603" s="28">
        <v>2024</v>
      </c>
      <c r="B1603" s="28"/>
      <c r="C1603" s="28" t="s">
        <v>996</v>
      </c>
      <c r="D1603" s="28" t="s">
        <v>1527</v>
      </c>
      <c r="E1603" s="28" t="s">
        <v>388</v>
      </c>
      <c r="F1603" s="28" t="s">
        <v>366</v>
      </c>
      <c r="G1603" s="28">
        <v>92223</v>
      </c>
      <c r="H1603" s="28">
        <v>33.926245999999999</v>
      </c>
      <c r="I1603" s="28">
        <v>-116.992552</v>
      </c>
      <c r="J1603" s="28"/>
      <c r="K1603" s="61">
        <v>110055992993</v>
      </c>
      <c r="L1603" s="61" t="str">
        <f>IFERROR(INDEX('Facility Summary'!$K:$K,MATCH(K1603,'Facility Summary'!$J:$J,0)),INDEX('Raw Annual DMR Data'!$M:$M,MATCH(K1603,'Raw Annual DMR Data'!$L:$L,0)))</f>
        <v>POTW</v>
      </c>
      <c r="M1603" s="28"/>
      <c r="N1603" s="28"/>
      <c r="O1603" s="28"/>
      <c r="P1603" s="28"/>
      <c r="Q1603" s="28"/>
      <c r="R1603" s="28">
        <f t="shared" si="7"/>
        <v>0.32839182347798312</v>
      </c>
      <c r="S1603" s="28">
        <v>0.14895602550000001</v>
      </c>
    </row>
    <row r="1604" spans="1:19" x14ac:dyDescent="0.25">
      <c r="A1604" s="28">
        <v>2024</v>
      </c>
      <c r="B1604" s="28"/>
      <c r="C1604" s="28" t="s">
        <v>997</v>
      </c>
      <c r="D1604" s="28" t="s">
        <v>7088</v>
      </c>
      <c r="E1604" s="28" t="s">
        <v>998</v>
      </c>
      <c r="F1604" s="28" t="s">
        <v>999</v>
      </c>
      <c r="G1604" s="28" t="s">
        <v>1531</v>
      </c>
      <c r="H1604" s="28">
        <v>43.270670000000003</v>
      </c>
      <c r="I1604" s="28">
        <v>-71.590410000000006</v>
      </c>
      <c r="J1604" s="28"/>
      <c r="K1604" s="61">
        <v>110004087880</v>
      </c>
      <c r="L1604" s="61" t="str">
        <f>IFERROR(INDEX('Facility Summary'!$K:$K,MATCH(K1604,'Facility Summary'!$J:$J,0)),INDEX('Raw Annual DMR Data'!$M:$M,MATCH(K1604,'Raw Annual DMR Data'!$L:$L,0)))</f>
        <v>Unknown</v>
      </c>
      <c r="M1604" s="28"/>
      <c r="N1604" s="28"/>
      <c r="O1604" s="28"/>
      <c r="P1604" s="28"/>
      <c r="Q1604" s="28"/>
      <c r="R1604" s="28">
        <f t="shared" si="7"/>
        <v>7.5063461770752446E-2</v>
      </c>
      <c r="S1604" s="28">
        <v>3.4048213525000003E-2</v>
      </c>
    </row>
    <row r="1605" spans="1:19" x14ac:dyDescent="0.25">
      <c r="A1605" s="28">
        <v>2023</v>
      </c>
      <c r="B1605" s="28"/>
      <c r="C1605" s="28" t="s">
        <v>997</v>
      </c>
      <c r="D1605" s="28" t="s">
        <v>1530</v>
      </c>
      <c r="E1605" s="28" t="s">
        <v>998</v>
      </c>
      <c r="F1605" s="28" t="s">
        <v>999</v>
      </c>
      <c r="G1605" s="28" t="s">
        <v>1531</v>
      </c>
      <c r="H1605" s="28">
        <v>43.270670000000003</v>
      </c>
      <c r="I1605" s="28">
        <v>-71.590410000000006</v>
      </c>
      <c r="J1605" s="28"/>
      <c r="K1605" s="61">
        <v>110004087880</v>
      </c>
      <c r="L1605" s="61" t="str">
        <f>IFERROR(INDEX('Facility Summary'!$K:$K,MATCH(K1605,'Facility Summary'!$J:$J,0)),INDEX('Raw Annual DMR Data'!$M:$M,MATCH(K1605,'Raw Annual DMR Data'!$L:$L,0)))</f>
        <v>Unknown</v>
      </c>
      <c r="M1605" s="28"/>
      <c r="N1605" s="28"/>
      <c r="O1605" s="28"/>
      <c r="P1605" s="28"/>
      <c r="Q1605" s="28"/>
      <c r="R1605" s="28">
        <f t="shared" si="7"/>
        <v>2.4497622986912233E-2</v>
      </c>
      <c r="S1605" s="28">
        <v>1.111193487E-2</v>
      </c>
    </row>
    <row r="1606" spans="1:19" x14ac:dyDescent="0.25">
      <c r="A1606" s="28">
        <v>2023</v>
      </c>
      <c r="B1606" s="28"/>
      <c r="C1606" s="28" t="s">
        <v>997</v>
      </c>
      <c r="D1606" s="28" t="s">
        <v>7088</v>
      </c>
      <c r="E1606" s="28" t="s">
        <v>998</v>
      </c>
      <c r="F1606" s="28" t="s">
        <v>999</v>
      </c>
      <c r="G1606" s="28" t="s">
        <v>1531</v>
      </c>
      <c r="H1606" s="28">
        <v>43.270670000000003</v>
      </c>
      <c r="I1606" s="28">
        <v>-71.590410000000006</v>
      </c>
      <c r="J1606" s="28"/>
      <c r="K1606" s="61">
        <v>110004087880</v>
      </c>
      <c r="L1606" s="61" t="str">
        <f>IFERROR(INDEX('Facility Summary'!$K:$K,MATCH(K1606,'Facility Summary'!$J:$J,0)),INDEX('Raw Annual DMR Data'!$M:$M,MATCH(K1606,'Raw Annual DMR Data'!$L:$L,0)))</f>
        <v>Unknown</v>
      </c>
      <c r="M1606" s="28"/>
      <c r="N1606" s="28"/>
      <c r="O1606" s="28"/>
      <c r="P1606" s="28"/>
      <c r="Q1606" s="28"/>
      <c r="R1606" s="28">
        <f t="shared" si="7"/>
        <v>2.3962433675857465E-2</v>
      </c>
      <c r="S1606" s="28">
        <v>1.0869177082E-2</v>
      </c>
    </row>
    <row r="1607" spans="1:19" x14ac:dyDescent="0.25">
      <c r="A1607" s="28">
        <v>2022</v>
      </c>
      <c r="B1607" s="28"/>
      <c r="C1607" s="28" t="s">
        <v>997</v>
      </c>
      <c r="D1607" s="28" t="s">
        <v>1530</v>
      </c>
      <c r="E1607" s="28" t="s">
        <v>998</v>
      </c>
      <c r="F1607" s="28" t="s">
        <v>999</v>
      </c>
      <c r="G1607" s="28" t="s">
        <v>1531</v>
      </c>
      <c r="H1607" s="28">
        <v>43.270670000000003</v>
      </c>
      <c r="I1607" s="28">
        <v>-71.590410000000006</v>
      </c>
      <c r="J1607" s="28"/>
      <c r="K1607" s="61">
        <v>110004087880</v>
      </c>
      <c r="L1607" s="61" t="str">
        <f>IFERROR(INDEX('Facility Summary'!$K:$K,MATCH(K1607,'Facility Summary'!$J:$J,0)),INDEX('Raw Annual DMR Data'!$M:$M,MATCH(K1607,'Raw Annual DMR Data'!$L:$L,0)))</f>
        <v>Unknown</v>
      </c>
      <c r="M1607" s="28"/>
      <c r="N1607" s="28"/>
      <c r="O1607" s="28"/>
      <c r="P1607" s="28"/>
      <c r="Q1607" s="28"/>
      <c r="R1607" s="28">
        <f t="shared" si="7"/>
        <v>1.4676884776523026E-2</v>
      </c>
      <c r="S1607" s="28">
        <v>6.6573229499999999E-3</v>
      </c>
    </row>
    <row r="1608" spans="1:19" x14ac:dyDescent="0.25">
      <c r="A1608" s="28">
        <v>2021</v>
      </c>
      <c r="B1608" s="28"/>
      <c r="C1608" s="28" t="s">
        <v>997</v>
      </c>
      <c r="D1608" s="28" t="s">
        <v>1530</v>
      </c>
      <c r="E1608" s="28" t="s">
        <v>998</v>
      </c>
      <c r="F1608" s="28" t="s">
        <v>999</v>
      </c>
      <c r="G1608" s="28" t="s">
        <v>1531</v>
      </c>
      <c r="H1608" s="28">
        <v>43.270670000000003</v>
      </c>
      <c r="I1608" s="28">
        <v>-71.590410000000006</v>
      </c>
      <c r="J1608" s="28"/>
      <c r="K1608" s="61">
        <v>110004087880</v>
      </c>
      <c r="L1608" s="61" t="str">
        <f>IFERROR(INDEX('Facility Summary'!$K:$K,MATCH(K1608,'Facility Summary'!$J:$J,0)),INDEX('Raw Annual DMR Data'!$M:$M,MATCH(K1608,'Raw Annual DMR Data'!$L:$L,0)))</f>
        <v>Unknown</v>
      </c>
      <c r="M1608" s="28"/>
      <c r="N1608" s="28"/>
      <c r="O1608" s="28"/>
      <c r="P1608" s="28"/>
      <c r="Q1608" s="28"/>
      <c r="R1608" s="28">
        <f t="shared" si="7"/>
        <v>1.3675525154887415E-2</v>
      </c>
      <c r="S1608" s="28">
        <v>6.2031138659999997E-3</v>
      </c>
    </row>
    <row r="1609" spans="1:19" x14ac:dyDescent="0.25">
      <c r="A1609" s="28">
        <v>2024</v>
      </c>
      <c r="B1609" s="28"/>
      <c r="C1609" s="28" t="s">
        <v>122</v>
      </c>
      <c r="D1609" s="28" t="s">
        <v>391</v>
      </c>
      <c r="E1609" s="28" t="s">
        <v>392</v>
      </c>
      <c r="F1609" s="28" t="s">
        <v>311</v>
      </c>
      <c r="G1609" s="28">
        <v>26181</v>
      </c>
      <c r="H1609" s="28">
        <v>39.271943999999998</v>
      </c>
      <c r="I1609" s="28">
        <v>-81.661666999999994</v>
      </c>
      <c r="J1609" s="28" t="s">
        <v>7136</v>
      </c>
      <c r="K1609" s="61">
        <v>110071367964</v>
      </c>
      <c r="L1609" s="61" t="str">
        <f>IFERROR(INDEX('Facility Summary'!$K:$K,MATCH(K1609,'Facility Summary'!$J:$J,0)),INDEX('Raw Annual DMR Data'!$M:$M,MATCH(K1609,'Raw Annual DMR Data'!$L:$L,0)))</f>
        <v>Processing as a Reactant</v>
      </c>
      <c r="M1609" s="28"/>
      <c r="N1609" s="28"/>
      <c r="O1609" s="28"/>
      <c r="P1609" s="28"/>
      <c r="Q1609" s="28"/>
      <c r="R1609" s="28">
        <f t="shared" si="7"/>
        <v>7.7319422282169335E-3</v>
      </c>
      <c r="S1609" s="28">
        <v>3.5071500000000001E-3</v>
      </c>
    </row>
    <row r="1610" spans="1:19" x14ac:dyDescent="0.25">
      <c r="A1610" s="28">
        <v>2024</v>
      </c>
      <c r="B1610" s="28"/>
      <c r="C1610" s="28" t="s">
        <v>6841</v>
      </c>
      <c r="D1610" s="28" t="s">
        <v>1913</v>
      </c>
      <c r="E1610" s="28" t="s">
        <v>1187</v>
      </c>
      <c r="F1610" s="28" t="s">
        <v>478</v>
      </c>
      <c r="G1610" s="28" t="s">
        <v>6997</v>
      </c>
      <c r="H1610" s="28">
        <v>38.631867</v>
      </c>
      <c r="I1610" s="28">
        <v>-75.628372999999996</v>
      </c>
      <c r="J1610" s="28"/>
      <c r="K1610" s="61">
        <v>110000339027</v>
      </c>
      <c r="L1610" s="61" t="str">
        <f>IFERROR(INDEX('Facility Summary'!$K:$K,MATCH(K1610,'Facility Summary'!$J:$J,0)),INDEX('Raw Annual DMR Data'!$M:$M,MATCH(K1610,'Raw Annual DMR Data'!$L:$L,0)))</f>
        <v>Processing as a Reactant</v>
      </c>
      <c r="M1610" s="28"/>
      <c r="N1610" s="28"/>
      <c r="O1610" s="28"/>
      <c r="P1610" s="28"/>
      <c r="Q1610" s="28"/>
      <c r="R1610" s="28">
        <f t="shared" si="7"/>
        <v>1.5513929389949835E-3</v>
      </c>
      <c r="S1610" s="28">
        <v>7.0370000000000003E-4</v>
      </c>
    </row>
    <row r="1611" spans="1:19" x14ac:dyDescent="0.25">
      <c r="A1611" s="28">
        <v>2021</v>
      </c>
      <c r="B1611" s="28"/>
      <c r="C1611" s="28" t="s">
        <v>1000</v>
      </c>
      <c r="D1611" s="28" t="s">
        <v>1534</v>
      </c>
      <c r="E1611" s="28" t="s">
        <v>1001</v>
      </c>
      <c r="F1611" s="28" t="s">
        <v>324</v>
      </c>
      <c r="G1611" s="28">
        <v>42025</v>
      </c>
      <c r="H1611" s="28">
        <v>36.866140000000001</v>
      </c>
      <c r="I1611" s="28">
        <v>-88.342470000000006</v>
      </c>
      <c r="J1611" s="28"/>
      <c r="K1611" s="61">
        <v>110001855635</v>
      </c>
      <c r="L1611" s="61" t="str">
        <f>IFERROR(INDEX('Facility Summary'!$K:$K,MATCH(K1611,'Facility Summary'!$J:$J,0)),INDEX('Raw Annual DMR Data'!$M:$M,MATCH(K1611,'Raw Annual DMR Data'!$L:$L,0)))</f>
        <v>POTW</v>
      </c>
      <c r="M1611" s="28"/>
      <c r="N1611" s="28"/>
      <c r="O1611" s="28"/>
      <c r="P1611" s="28"/>
      <c r="Q1611" s="28"/>
      <c r="R1611" s="28">
        <f t="shared" si="7"/>
        <v>8.9438192324531371</v>
      </c>
      <c r="S1611" s="28">
        <v>4.0568481624999997</v>
      </c>
    </row>
    <row r="1612" spans="1:19" x14ac:dyDescent="0.25">
      <c r="A1612" s="28">
        <v>2022</v>
      </c>
      <c r="B1612" s="28"/>
      <c r="C1612" s="28" t="s">
        <v>1000</v>
      </c>
      <c r="D1612" s="28" t="s">
        <v>1534</v>
      </c>
      <c r="E1612" s="28" t="s">
        <v>1001</v>
      </c>
      <c r="F1612" s="28" t="s">
        <v>324</v>
      </c>
      <c r="G1612" s="28">
        <v>42025</v>
      </c>
      <c r="H1612" s="28">
        <v>36.866140000000001</v>
      </c>
      <c r="I1612" s="28">
        <v>-88.342470000000006</v>
      </c>
      <c r="J1612" s="28"/>
      <c r="K1612" s="61">
        <v>110001855635</v>
      </c>
      <c r="L1612" s="61" t="str">
        <f>IFERROR(INDEX('Facility Summary'!$K:$K,MATCH(K1612,'Facility Summary'!$J:$J,0)),INDEX('Raw Annual DMR Data'!$M:$M,MATCH(K1612,'Raw Annual DMR Data'!$L:$L,0)))</f>
        <v>POTW</v>
      </c>
      <c r="M1612" s="28"/>
      <c r="N1612" s="28"/>
      <c r="O1612" s="28"/>
      <c r="P1612" s="28"/>
      <c r="Q1612" s="28"/>
      <c r="R1612" s="28">
        <f t="shared" si="7"/>
        <v>7.6371962286314465</v>
      </c>
      <c r="S1612" s="28">
        <v>3.4641739375</v>
      </c>
    </row>
    <row r="1613" spans="1:19" x14ac:dyDescent="0.25">
      <c r="A1613" s="28">
        <v>2021</v>
      </c>
      <c r="B1613" s="28"/>
      <c r="C1613" s="28" t="s">
        <v>1002</v>
      </c>
      <c r="D1613" s="28" t="s">
        <v>1537</v>
      </c>
      <c r="E1613" s="28" t="s">
        <v>1003</v>
      </c>
      <c r="F1613" s="28" t="s">
        <v>303</v>
      </c>
      <c r="G1613" s="28">
        <v>70726</v>
      </c>
      <c r="H1613" s="28">
        <v>30.486767</v>
      </c>
      <c r="I1613" s="28">
        <v>-90.925479999999993</v>
      </c>
      <c r="J1613" s="28" t="s">
        <v>706</v>
      </c>
      <c r="K1613" s="61">
        <v>110000597355</v>
      </c>
      <c r="L1613" s="61" t="str">
        <f>IFERROR(INDEX('Facility Summary'!$K:$K,MATCH(K1613,'Facility Summary'!$J:$J,0)),INDEX('Raw Annual DMR Data'!$M:$M,MATCH(K1613,'Raw Annual DMR Data'!$L:$L,0)))</f>
        <v>Unknown</v>
      </c>
      <c r="M1613" s="28"/>
      <c r="N1613" s="28"/>
      <c r="O1613" s="28"/>
      <c r="P1613" s="28"/>
      <c r="Q1613" s="28"/>
      <c r="R1613" s="28">
        <f t="shared" si="7"/>
        <v>3.6532801466656058E-2</v>
      </c>
      <c r="S1613" s="28">
        <v>1.6570999999999999E-2</v>
      </c>
    </row>
    <row r="1614" spans="1:19" x14ac:dyDescent="0.25">
      <c r="A1614" s="28">
        <v>2022</v>
      </c>
      <c r="B1614" s="28"/>
      <c r="C1614" s="28" t="s">
        <v>1002</v>
      </c>
      <c r="D1614" s="28" t="s">
        <v>1537</v>
      </c>
      <c r="E1614" s="28" t="s">
        <v>1003</v>
      </c>
      <c r="F1614" s="28" t="s">
        <v>303</v>
      </c>
      <c r="G1614" s="28">
        <v>70726</v>
      </c>
      <c r="H1614" s="28">
        <v>30.486767</v>
      </c>
      <c r="I1614" s="28">
        <v>-90.925479999999993</v>
      </c>
      <c r="J1614" s="28" t="s">
        <v>706</v>
      </c>
      <c r="K1614" s="61">
        <v>110000597355</v>
      </c>
      <c r="L1614" s="61" t="str">
        <f>IFERROR(INDEX('Facility Summary'!$K:$K,MATCH(K1614,'Facility Summary'!$J:$J,0)),INDEX('Raw Annual DMR Data'!$M:$M,MATCH(K1614,'Raw Annual DMR Data'!$L:$L,0)))</f>
        <v>Unknown</v>
      </c>
      <c r="M1614" s="28"/>
      <c r="N1614" s="28"/>
      <c r="O1614" s="28"/>
      <c r="P1614" s="28"/>
      <c r="Q1614" s="28"/>
      <c r="R1614" s="28">
        <f t="shared" si="7"/>
        <v>3.6532801466656066E-4</v>
      </c>
      <c r="S1614" s="28">
        <v>1.6571000000000001E-4</v>
      </c>
    </row>
    <row r="1615" spans="1:19" x14ac:dyDescent="0.25">
      <c r="A1615" s="28">
        <v>2021</v>
      </c>
      <c r="B1615" s="28"/>
      <c r="C1615" s="28" t="s">
        <v>1004</v>
      </c>
      <c r="D1615" s="28" t="s">
        <v>1540</v>
      </c>
      <c r="E1615" s="28" t="s">
        <v>608</v>
      </c>
      <c r="F1615" s="28" t="s">
        <v>324</v>
      </c>
      <c r="G1615" s="28">
        <v>40403</v>
      </c>
      <c r="H1615" s="28">
        <v>37.608496000000002</v>
      </c>
      <c r="I1615" s="28">
        <v>-84.287074000000004</v>
      </c>
      <c r="J1615" s="28"/>
      <c r="K1615" s="61">
        <v>110040000398</v>
      </c>
      <c r="L1615" s="61" t="str">
        <f>IFERROR(INDEX('Facility Summary'!$K:$K,MATCH(K1615,'Facility Summary'!$J:$J,0)),INDEX('Raw Annual DMR Data'!$M:$M,MATCH(K1615,'Raw Annual DMR Data'!$L:$L,0)))</f>
        <v>POTW</v>
      </c>
      <c r="M1615" s="28"/>
      <c r="N1615" s="28"/>
      <c r="O1615" s="28"/>
      <c r="P1615" s="28"/>
      <c r="Q1615" s="28"/>
      <c r="R1615" s="28">
        <f t="shared" si="7"/>
        <v>6.0747309583271862</v>
      </c>
      <c r="S1615" s="28">
        <v>2.7554516124999999</v>
      </c>
    </row>
    <row r="1616" spans="1:19" x14ac:dyDescent="0.25">
      <c r="A1616" s="28">
        <v>2023</v>
      </c>
      <c r="B1616" s="28"/>
      <c r="C1616" s="28" t="s">
        <v>111</v>
      </c>
      <c r="D1616" s="28" t="s">
        <v>355</v>
      </c>
      <c r="E1616" s="28" t="s">
        <v>356</v>
      </c>
      <c r="F1616" s="28" t="s">
        <v>338</v>
      </c>
      <c r="G1616" s="28" t="s">
        <v>1543</v>
      </c>
      <c r="H1616" s="28">
        <v>40.067799999999998</v>
      </c>
      <c r="I1616" s="28">
        <v>-74.923670000000001</v>
      </c>
      <c r="J1616" s="28"/>
      <c r="K1616" s="61">
        <v>110029593731</v>
      </c>
      <c r="L1616" s="61" t="str">
        <f>IFERROR(INDEX('Facility Summary'!$K:$K,MATCH(K1616,'Facility Summary'!$J:$J,0)),INDEX('Raw Annual DMR Data'!$M:$M,MATCH(K1616,'Raw Annual DMR Data'!$L:$L,0)))</f>
        <v>POTW</v>
      </c>
      <c r="M1616" s="28"/>
      <c r="N1616" s="28"/>
      <c r="O1616" s="28"/>
      <c r="P1616" s="28"/>
      <c r="Q1616" s="28"/>
      <c r="R1616" s="28">
        <f t="shared" si="7"/>
        <v>0.77372676043911415</v>
      </c>
      <c r="S1616" s="28">
        <v>0.350956555</v>
      </c>
    </row>
    <row r="1617" spans="1:19" x14ac:dyDescent="0.25">
      <c r="A1617" s="28">
        <v>2022</v>
      </c>
      <c r="B1617" s="28"/>
      <c r="C1617" s="28" t="s">
        <v>111</v>
      </c>
      <c r="D1617" s="28" t="s">
        <v>355</v>
      </c>
      <c r="E1617" s="28" t="s">
        <v>356</v>
      </c>
      <c r="F1617" s="28" t="s">
        <v>338</v>
      </c>
      <c r="G1617" s="28">
        <v>8010</v>
      </c>
      <c r="H1617" s="28">
        <v>40.067799999999998</v>
      </c>
      <c r="I1617" s="28">
        <v>-74.923670000000001</v>
      </c>
      <c r="J1617" s="28"/>
      <c r="K1617" s="61">
        <v>110029593731</v>
      </c>
      <c r="L1617" s="61" t="str">
        <f>IFERROR(INDEX('Facility Summary'!$K:$K,MATCH(K1617,'Facility Summary'!$J:$J,0)),INDEX('Raw Annual DMR Data'!$M:$M,MATCH(K1617,'Raw Annual DMR Data'!$L:$L,0)))</f>
        <v>POTW</v>
      </c>
      <c r="M1617" s="28"/>
      <c r="N1617" s="28"/>
      <c r="O1617" s="28"/>
      <c r="P1617" s="28"/>
      <c r="Q1617" s="28"/>
      <c r="R1617" s="28">
        <f t="shared" si="7"/>
        <v>0.68464508673283009</v>
      </c>
      <c r="S1617" s="28">
        <v>0.31054978750000001</v>
      </c>
    </row>
    <row r="1618" spans="1:19" x14ac:dyDescent="0.25">
      <c r="A1618" s="28">
        <v>2021</v>
      </c>
      <c r="B1618" s="28"/>
      <c r="C1618" s="28" t="s">
        <v>111</v>
      </c>
      <c r="D1618" s="28" t="s">
        <v>355</v>
      </c>
      <c r="E1618" s="28" t="s">
        <v>356</v>
      </c>
      <c r="F1618" s="28" t="s">
        <v>338</v>
      </c>
      <c r="G1618" s="28">
        <v>8010</v>
      </c>
      <c r="H1618" s="28">
        <v>40.067799999999998</v>
      </c>
      <c r="I1618" s="28">
        <v>-74.923670000000001</v>
      </c>
      <c r="J1618" s="28"/>
      <c r="K1618" s="61">
        <v>110029593731</v>
      </c>
      <c r="L1618" s="61" t="str">
        <f>IFERROR(INDEX('Facility Summary'!$K:$K,MATCH(K1618,'Facility Summary'!$J:$J,0)),INDEX('Raw Annual DMR Data'!$M:$M,MATCH(K1618,'Raw Annual DMR Data'!$L:$L,0)))</f>
        <v>POTW</v>
      </c>
      <c r="M1618" s="28"/>
      <c r="N1618" s="28"/>
      <c r="O1618" s="28"/>
      <c r="P1618" s="28"/>
      <c r="Q1618" s="28"/>
      <c r="R1618" s="28">
        <f t="shared" si="7"/>
        <v>0.58816601676963842</v>
      </c>
      <c r="S1618" s="28">
        <v>0.26678761750000002</v>
      </c>
    </row>
    <row r="1619" spans="1:19" x14ac:dyDescent="0.25">
      <c r="A1619" s="28">
        <v>2024</v>
      </c>
      <c r="B1619" s="28"/>
      <c r="C1619" s="28" t="s">
        <v>1005</v>
      </c>
      <c r="D1619" s="28" t="s">
        <v>1545</v>
      </c>
      <c r="E1619" s="28" t="s">
        <v>446</v>
      </c>
      <c r="F1619" s="28" t="s">
        <v>303</v>
      </c>
      <c r="G1619" s="28">
        <v>70669</v>
      </c>
      <c r="H1619" s="28">
        <v>30.23771</v>
      </c>
      <c r="I1619" s="28">
        <v>-93.258650000000003</v>
      </c>
      <c r="J1619" s="28"/>
      <c r="K1619" s="61">
        <v>110064611969</v>
      </c>
      <c r="L1619" s="61" t="str">
        <f>IFERROR(INDEX('Facility Summary'!$K:$K,MATCH(K1619,'Facility Summary'!$J:$J,0)),INDEX('Raw Annual DMR Data'!$M:$M,MATCH(K1619,'Raw Annual DMR Data'!$L:$L,0)))</f>
        <v>Unknown</v>
      </c>
      <c r="M1619" s="28"/>
      <c r="N1619" s="28"/>
      <c r="O1619" s="28"/>
      <c r="P1619" s="28"/>
      <c r="Q1619" s="28"/>
      <c r="R1619" s="28">
        <f t="shared" si="7"/>
        <v>22.952608307763199</v>
      </c>
      <c r="S1619" s="28">
        <v>10.411128</v>
      </c>
    </row>
    <row r="1620" spans="1:19" x14ac:dyDescent="0.25">
      <c r="A1620" s="28">
        <v>2023</v>
      </c>
      <c r="B1620" s="28"/>
      <c r="C1620" s="28" t="s">
        <v>1005</v>
      </c>
      <c r="D1620" s="28" t="s">
        <v>1545</v>
      </c>
      <c r="E1620" s="28" t="s">
        <v>446</v>
      </c>
      <c r="F1620" s="28" t="s">
        <v>303</v>
      </c>
      <c r="G1620" s="28">
        <v>70669</v>
      </c>
      <c r="H1620" s="28">
        <v>30.23771</v>
      </c>
      <c r="I1620" s="28">
        <v>-93.258650000000003</v>
      </c>
      <c r="J1620" s="28"/>
      <c r="K1620" s="61">
        <v>110064611969</v>
      </c>
      <c r="L1620" s="61" t="str">
        <f>IFERROR(INDEX('Facility Summary'!$K:$K,MATCH(K1620,'Facility Summary'!$J:$J,0)),INDEX('Raw Annual DMR Data'!$M:$M,MATCH(K1620,'Raw Annual DMR Data'!$L:$L,0)))</f>
        <v>Unknown</v>
      </c>
      <c r="M1620" s="28"/>
      <c r="N1620" s="28"/>
      <c r="O1620" s="28"/>
      <c r="P1620" s="28"/>
      <c r="Q1620" s="28"/>
      <c r="R1620" s="28">
        <f t="shared" si="7"/>
        <v>11.265070441991782</v>
      </c>
      <c r="S1620" s="28">
        <v>5.10975</v>
      </c>
    </row>
    <row r="1621" spans="1:19" x14ac:dyDescent="0.25">
      <c r="A1621" s="28">
        <v>2021</v>
      </c>
      <c r="B1621" s="28"/>
      <c r="C1621" s="28" t="s">
        <v>1005</v>
      </c>
      <c r="D1621" s="28" t="s">
        <v>1545</v>
      </c>
      <c r="E1621" s="28" t="s">
        <v>446</v>
      </c>
      <c r="F1621" s="28" t="s">
        <v>303</v>
      </c>
      <c r="G1621" s="28">
        <v>70669</v>
      </c>
      <c r="H1621" s="28">
        <v>30.23771</v>
      </c>
      <c r="I1621" s="28">
        <v>-93.258650000000003</v>
      </c>
      <c r="J1621" s="28"/>
      <c r="K1621" s="61">
        <v>110064611969</v>
      </c>
      <c r="L1621" s="61" t="str">
        <f>IFERROR(INDEX('Facility Summary'!$K:$K,MATCH(K1621,'Facility Summary'!$J:$J,0)),INDEX('Raw Annual DMR Data'!$M:$M,MATCH(K1621,'Raw Annual DMR Data'!$L:$L,0)))</f>
        <v>Unknown</v>
      </c>
      <c r="M1621" s="28"/>
      <c r="N1621" s="28"/>
      <c r="O1621" s="28"/>
      <c r="P1621" s="28"/>
      <c r="Q1621" s="28"/>
      <c r="R1621" s="28">
        <f t="shared" si="7"/>
        <v>8.1801100402107725</v>
      </c>
      <c r="S1621" s="112">
        <v>3.7104355</v>
      </c>
    </row>
    <row r="1622" spans="1:19" x14ac:dyDescent="0.25">
      <c r="A1622" s="28">
        <v>2021</v>
      </c>
      <c r="B1622" s="28"/>
      <c r="C1622" s="28" t="s">
        <v>6793</v>
      </c>
      <c r="D1622" s="28" t="s">
        <v>1547</v>
      </c>
      <c r="E1622" s="28" t="s">
        <v>1007</v>
      </c>
      <c r="F1622" s="28" t="s">
        <v>1008</v>
      </c>
      <c r="G1622" s="28" t="s">
        <v>6943</v>
      </c>
      <c r="H1622" s="28">
        <v>45.543847</v>
      </c>
      <c r="I1622" s="28">
        <v>-122.46656299999999</v>
      </c>
      <c r="J1622" s="28" t="s">
        <v>707</v>
      </c>
      <c r="K1622" s="61">
        <v>110000487633</v>
      </c>
      <c r="L1622" s="61" t="str">
        <f>IFERROR(INDEX('Facility Summary'!$K:$K,MATCH(K1622,'Facility Summary'!$J:$J,0)),INDEX('Raw Annual DMR Data'!$M:$M,MATCH(K1622,'Raw Annual DMR Data'!$L:$L,0)))</f>
        <v>Unknown</v>
      </c>
      <c r="M1622" s="28"/>
      <c r="N1622" s="28"/>
      <c r="O1622" s="28"/>
      <c r="P1622" s="28"/>
      <c r="Q1622" s="28"/>
      <c r="R1622" s="28">
        <f t="shared" si="7"/>
        <v>6.9077411950293613E-2</v>
      </c>
      <c r="S1622" s="28">
        <v>3.1332987E-2</v>
      </c>
    </row>
    <row r="1623" spans="1:19" x14ac:dyDescent="0.25">
      <c r="A1623" s="28">
        <v>2024</v>
      </c>
      <c r="B1623" s="28"/>
      <c r="C1623" s="28" t="s">
        <v>6793</v>
      </c>
      <c r="D1623" s="28" t="s">
        <v>1547</v>
      </c>
      <c r="E1623" s="28" t="s">
        <v>1007</v>
      </c>
      <c r="F1623" s="28" t="s">
        <v>1008</v>
      </c>
      <c r="G1623" s="28" t="s">
        <v>6943</v>
      </c>
      <c r="H1623" s="28">
        <v>45.543847</v>
      </c>
      <c r="I1623" s="28">
        <v>-122.46656299999999</v>
      </c>
      <c r="J1623" s="28" t="s">
        <v>707</v>
      </c>
      <c r="K1623" s="61">
        <v>110000487633</v>
      </c>
      <c r="L1623" s="61" t="str">
        <f>IFERROR(INDEX('Facility Summary'!$K:$K,MATCH(K1623,'Facility Summary'!$J:$J,0)),INDEX('Raw Annual DMR Data'!$M:$M,MATCH(K1623,'Raw Annual DMR Data'!$L:$L,0)))</f>
        <v>Unknown</v>
      </c>
      <c r="M1623" s="28"/>
      <c r="N1623" s="28"/>
      <c r="O1623" s="28"/>
      <c r="P1623" s="28"/>
      <c r="Q1623" s="28"/>
      <c r="R1623" s="28">
        <f t="shared" si="7"/>
        <v>5.9209210243108809E-2</v>
      </c>
      <c r="S1623" s="28">
        <v>2.6856846E-2</v>
      </c>
    </row>
    <row r="1624" spans="1:19" x14ac:dyDescent="0.25">
      <c r="A1624" s="28">
        <v>2022</v>
      </c>
      <c r="B1624" s="28"/>
      <c r="C1624" s="28" t="s">
        <v>6793</v>
      </c>
      <c r="D1624" s="28" t="s">
        <v>1547</v>
      </c>
      <c r="E1624" s="28" t="s">
        <v>1007</v>
      </c>
      <c r="F1624" s="28" t="s">
        <v>1008</v>
      </c>
      <c r="G1624" s="28" t="s">
        <v>6943</v>
      </c>
      <c r="H1624" s="28">
        <v>45.543847</v>
      </c>
      <c r="I1624" s="28">
        <v>-122.46656299999999</v>
      </c>
      <c r="J1624" s="28" t="s">
        <v>707</v>
      </c>
      <c r="K1624" s="61">
        <v>110000487633</v>
      </c>
      <c r="L1624" s="61" t="str">
        <f>IFERROR(INDEX('Facility Summary'!$K:$K,MATCH(K1624,'Facility Summary'!$J:$J,0)),INDEX('Raw Annual DMR Data'!$M:$M,MATCH(K1624,'Raw Annual DMR Data'!$L:$L,0)))</f>
        <v>Unknown</v>
      </c>
      <c r="M1624" s="28"/>
      <c r="N1624" s="28"/>
      <c r="O1624" s="28"/>
      <c r="P1624" s="28"/>
      <c r="Q1624" s="28"/>
      <c r="R1624" s="28">
        <f t="shared" si="7"/>
        <v>2.7192378037575897E-2</v>
      </c>
      <c r="S1624" s="28">
        <v>1.23342552E-2</v>
      </c>
    </row>
    <row r="1625" spans="1:19" x14ac:dyDescent="0.25">
      <c r="A1625" s="28">
        <v>2023</v>
      </c>
      <c r="B1625" s="28"/>
      <c r="C1625" s="28" t="s">
        <v>6793</v>
      </c>
      <c r="D1625" s="28" t="s">
        <v>1547</v>
      </c>
      <c r="E1625" s="28" t="s">
        <v>1007</v>
      </c>
      <c r="F1625" s="28" t="s">
        <v>1008</v>
      </c>
      <c r="G1625" s="28" t="s">
        <v>6943</v>
      </c>
      <c r="H1625" s="28">
        <v>45.543847</v>
      </c>
      <c r="I1625" s="28">
        <v>-122.46656299999999</v>
      </c>
      <c r="J1625" s="28" t="s">
        <v>707</v>
      </c>
      <c r="K1625" s="61">
        <v>110000487633</v>
      </c>
      <c r="L1625" s="61" t="str">
        <f>IFERROR(INDEX('Facility Summary'!$K:$K,MATCH(K1625,'Facility Summary'!$J:$J,0)),INDEX('Raw Annual DMR Data'!$M:$M,MATCH(K1625,'Raw Annual DMR Data'!$L:$L,0)))</f>
        <v>Unknown</v>
      </c>
      <c r="M1625" s="28"/>
      <c r="N1625" s="28"/>
      <c r="O1625" s="28"/>
      <c r="P1625" s="28"/>
      <c r="Q1625" s="28"/>
      <c r="R1625" s="28">
        <f t="shared" si="7"/>
        <v>2.7192378037575897E-2</v>
      </c>
      <c r="S1625" s="28">
        <v>1.23342552E-2</v>
      </c>
    </row>
    <row r="1626" spans="1:19" x14ac:dyDescent="0.25">
      <c r="A1626" s="28">
        <v>2024</v>
      </c>
      <c r="B1626" s="28"/>
      <c r="C1626" s="28" t="s">
        <v>112</v>
      </c>
      <c r="D1626" s="28" t="s">
        <v>357</v>
      </c>
      <c r="E1626" s="28" t="s">
        <v>358</v>
      </c>
      <c r="F1626" s="28" t="s">
        <v>275</v>
      </c>
      <c r="G1626" s="28">
        <v>83706</v>
      </c>
      <c r="H1626" s="28">
        <v>43.603453999999999</v>
      </c>
      <c r="I1626" s="28">
        <v>-116.202736</v>
      </c>
      <c r="J1626" s="28"/>
      <c r="K1626" s="61">
        <v>110042072351</v>
      </c>
      <c r="L1626" s="61" t="str">
        <f>IFERROR(INDEX('Facility Summary'!$K:$K,MATCH(K1626,'Facility Summary'!$J:$J,0)),INDEX('Raw Annual DMR Data'!$M:$M,MATCH(K1626,'Raw Annual DMR Data'!$L:$L,0)))</f>
        <v>Remediation</v>
      </c>
      <c r="M1626" s="28"/>
      <c r="N1626" s="28"/>
      <c r="O1626" s="28"/>
      <c r="P1626" s="28"/>
      <c r="Q1626" s="28"/>
      <c r="R1626" s="28">
        <f t="shared" si="7"/>
        <v>9.5880769555272717E-4</v>
      </c>
      <c r="S1626" s="28">
        <v>4.34907855E-4</v>
      </c>
    </row>
    <row r="1627" spans="1:19" x14ac:dyDescent="0.25">
      <c r="A1627" s="28">
        <v>2024</v>
      </c>
      <c r="B1627" s="28"/>
      <c r="C1627" s="28" t="s">
        <v>112</v>
      </c>
      <c r="D1627" s="28" t="s">
        <v>357</v>
      </c>
      <c r="E1627" s="28" t="s">
        <v>358</v>
      </c>
      <c r="F1627" s="28" t="s">
        <v>275</v>
      </c>
      <c r="G1627" s="28">
        <v>83706</v>
      </c>
      <c r="H1627" s="28">
        <v>43.603453999999999</v>
      </c>
      <c r="I1627" s="28">
        <v>-116.202736</v>
      </c>
      <c r="J1627" s="28"/>
      <c r="K1627" s="61">
        <v>110042072351</v>
      </c>
      <c r="L1627" s="61" t="str">
        <f>IFERROR(INDEX('Facility Summary'!$K:$K,MATCH(K1627,'Facility Summary'!$J:$J,0)),INDEX('Raw Annual DMR Data'!$M:$M,MATCH(K1627,'Raw Annual DMR Data'!$L:$L,0)))</f>
        <v>Remediation</v>
      </c>
      <c r="M1627" s="28"/>
      <c r="N1627" s="28"/>
      <c r="O1627" s="28"/>
      <c r="P1627" s="28"/>
      <c r="Q1627" s="28"/>
      <c r="R1627" s="28">
        <f t="shared" si="7"/>
        <v>8.9675968755823648E-4</v>
      </c>
      <c r="S1627" s="28">
        <v>4.0676335199999998E-4</v>
      </c>
    </row>
    <row r="1628" spans="1:19" x14ac:dyDescent="0.25">
      <c r="A1628" s="28">
        <v>2023</v>
      </c>
      <c r="B1628" s="28"/>
      <c r="C1628" s="28" t="s">
        <v>6897</v>
      </c>
      <c r="D1628" s="28" t="s">
        <v>7084</v>
      </c>
      <c r="E1628" s="28" t="s">
        <v>1125</v>
      </c>
      <c r="F1628" s="28" t="s">
        <v>294</v>
      </c>
      <c r="G1628" s="28">
        <v>22046</v>
      </c>
      <c r="H1628" s="28">
        <v>38.881900000000002</v>
      </c>
      <c r="I1628" s="28">
        <v>-77.169899999999998</v>
      </c>
      <c r="J1628" s="28"/>
      <c r="K1628" s="61">
        <v>110071253595</v>
      </c>
      <c r="L1628" s="61" t="str">
        <f>IFERROR(INDEX('Facility Summary'!$K:$K,MATCH(K1628,'Facility Summary'!$J:$J,0)),INDEX('Raw Annual DMR Data'!$M:$M,MATCH(K1628,'Raw Annual DMR Data'!$L:$L,0)))</f>
        <v>Unknown</v>
      </c>
      <c r="M1628" s="28"/>
      <c r="N1628" s="28"/>
      <c r="O1628" s="28"/>
      <c r="P1628" s="28"/>
      <c r="Q1628" s="28"/>
      <c r="R1628" s="28">
        <f t="shared" si="7"/>
        <v>1.5320495801108822E-3</v>
      </c>
      <c r="S1628" s="28">
        <v>6.9492600000000001E-4</v>
      </c>
    </row>
    <row r="1629" spans="1:19" x14ac:dyDescent="0.25">
      <c r="A1629" s="28">
        <v>2024</v>
      </c>
      <c r="B1629" s="28"/>
      <c r="C1629" s="28" t="s">
        <v>6897</v>
      </c>
      <c r="D1629" s="28" t="s">
        <v>7084</v>
      </c>
      <c r="E1629" s="28" t="s">
        <v>1125</v>
      </c>
      <c r="F1629" s="28" t="s">
        <v>294</v>
      </c>
      <c r="G1629" s="28">
        <v>22046</v>
      </c>
      <c r="H1629" s="28">
        <v>38.881900000000002</v>
      </c>
      <c r="I1629" s="28">
        <v>-77.169899999999998</v>
      </c>
      <c r="J1629" s="28"/>
      <c r="K1629" s="61">
        <v>110071253595</v>
      </c>
      <c r="L1629" s="61" t="str">
        <f>IFERROR(INDEX('Facility Summary'!$K:$K,MATCH(K1629,'Facility Summary'!$J:$J,0)),INDEX('Raw Annual DMR Data'!$M:$M,MATCH(K1629,'Raw Annual DMR Data'!$L:$L,0)))</f>
        <v>Unknown</v>
      </c>
      <c r="M1629" s="28"/>
      <c r="N1629" s="28"/>
      <c r="O1629" s="28"/>
      <c r="P1629" s="28"/>
      <c r="Q1629" s="28"/>
      <c r="R1629" s="28">
        <f t="shared" si="7"/>
        <v>1.5103538888892685E-3</v>
      </c>
      <c r="S1629" s="28">
        <v>6.8508499999999999E-4</v>
      </c>
    </row>
    <row r="1630" spans="1:19" x14ac:dyDescent="0.25">
      <c r="A1630" s="28">
        <v>2024</v>
      </c>
      <c r="B1630" s="28"/>
      <c r="C1630" s="28" t="s">
        <v>1013</v>
      </c>
      <c r="D1630" s="28" t="s">
        <v>1557</v>
      </c>
      <c r="E1630" s="28" t="s">
        <v>1014</v>
      </c>
      <c r="F1630" s="28" t="s">
        <v>349</v>
      </c>
      <c r="G1630" s="28">
        <v>64068</v>
      </c>
      <c r="H1630" s="28">
        <v>39.248446999999999</v>
      </c>
      <c r="I1630" s="28">
        <v>-94.293233000000001</v>
      </c>
      <c r="J1630" s="28"/>
      <c r="K1630" s="61">
        <v>110000614746</v>
      </c>
      <c r="L1630" s="61" t="str">
        <f>IFERROR(INDEX('Facility Summary'!$K:$K,MATCH(K1630,'Facility Summary'!$J:$J,0)),INDEX('Raw Annual DMR Data'!$M:$M,MATCH(K1630,'Raw Annual DMR Data'!$L:$L,0)))</f>
        <v>Waste Handling, Disposal and Treatment (Landfill)</v>
      </c>
      <c r="M1630" s="28"/>
      <c r="N1630" s="28"/>
      <c r="O1630" s="28"/>
      <c r="P1630" s="28"/>
      <c r="Q1630" s="28"/>
      <c r="R1630" s="28">
        <f t="shared" si="7"/>
        <v>2.9596940117290773E-2</v>
      </c>
      <c r="S1630" s="28">
        <v>1.342494621255E-2</v>
      </c>
    </row>
    <row r="1631" spans="1:19" x14ac:dyDescent="0.25">
      <c r="A1631" s="28">
        <v>2022</v>
      </c>
      <c r="B1631" s="28"/>
      <c r="C1631" s="28" t="s">
        <v>1013</v>
      </c>
      <c r="D1631" s="28" t="s">
        <v>1557</v>
      </c>
      <c r="E1631" s="28" t="s">
        <v>1014</v>
      </c>
      <c r="F1631" s="28" t="s">
        <v>349</v>
      </c>
      <c r="G1631" s="28">
        <v>64068</v>
      </c>
      <c r="H1631" s="28">
        <v>39.248446999999999</v>
      </c>
      <c r="I1631" s="28">
        <v>-94.293233000000001</v>
      </c>
      <c r="J1631" s="28"/>
      <c r="K1631" s="61">
        <v>110000614746</v>
      </c>
      <c r="L1631" s="61" t="str">
        <f>IFERROR(INDEX('Facility Summary'!$K:$K,MATCH(K1631,'Facility Summary'!$J:$J,0)),INDEX('Raw Annual DMR Data'!$M:$M,MATCH(K1631,'Raw Annual DMR Data'!$L:$L,0)))</f>
        <v>Waste Handling, Disposal and Treatment (Landfill)</v>
      </c>
      <c r="M1631" s="28"/>
      <c r="N1631" s="28"/>
      <c r="O1631" s="28"/>
      <c r="P1631" s="28"/>
      <c r="Q1631" s="28"/>
      <c r="R1631" s="28">
        <f t="shared" si="7"/>
        <v>2.607322666715051E-2</v>
      </c>
      <c r="S1631" s="28">
        <v>1.18266166775E-2</v>
      </c>
    </row>
    <row r="1632" spans="1:19" x14ac:dyDescent="0.25">
      <c r="A1632" s="28">
        <v>2021</v>
      </c>
      <c r="B1632" s="28"/>
      <c r="C1632" s="28" t="s">
        <v>1013</v>
      </c>
      <c r="D1632" s="28" t="s">
        <v>1557</v>
      </c>
      <c r="E1632" s="28" t="s">
        <v>1014</v>
      </c>
      <c r="F1632" s="28" t="s">
        <v>349</v>
      </c>
      <c r="G1632" s="28">
        <v>64068</v>
      </c>
      <c r="H1632" s="28">
        <v>39.248446999999999</v>
      </c>
      <c r="I1632" s="28">
        <v>-94.293233000000001</v>
      </c>
      <c r="J1632" s="28"/>
      <c r="K1632" s="61">
        <v>110000614746</v>
      </c>
      <c r="L1632" s="61" t="str">
        <f>IFERROR(INDEX('Facility Summary'!$K:$K,MATCH(K1632,'Facility Summary'!$J:$J,0)),INDEX('Raw Annual DMR Data'!$M:$M,MATCH(K1632,'Raw Annual DMR Data'!$L:$L,0)))</f>
        <v>Waste Handling, Disposal and Treatment (Landfill)</v>
      </c>
      <c r="M1632" s="28"/>
      <c r="N1632" s="28"/>
      <c r="O1632" s="28"/>
      <c r="P1632" s="28"/>
      <c r="Q1632" s="28"/>
      <c r="R1632" s="28">
        <f t="shared" si="7"/>
        <v>2.1228242909652556E-2</v>
      </c>
      <c r="S1632" s="28">
        <v>9.6289690123249998E-3</v>
      </c>
    </row>
    <row r="1633" spans="1:19" x14ac:dyDescent="0.25">
      <c r="A1633" s="28">
        <v>2023</v>
      </c>
      <c r="B1633" s="28"/>
      <c r="C1633" s="28" t="s">
        <v>6791</v>
      </c>
      <c r="D1633" s="28" t="s">
        <v>367</v>
      </c>
      <c r="E1633" s="28" t="s">
        <v>368</v>
      </c>
      <c r="F1633" s="28" t="s">
        <v>349</v>
      </c>
      <c r="G1633" s="28">
        <v>63630</v>
      </c>
      <c r="H1633" s="28">
        <v>37.984251999999998</v>
      </c>
      <c r="I1633" s="28">
        <v>-90.686081000000001</v>
      </c>
      <c r="J1633" s="28" t="s">
        <v>369</v>
      </c>
      <c r="K1633" s="61">
        <v>110017980443</v>
      </c>
      <c r="L1633" s="61" t="str">
        <f>IFERROR(INDEX('Facility Summary'!$K:$K,MATCH(K1633,'Facility Summary'!$J:$J,0)),INDEX('Raw Annual DMR Data'!$M:$M,MATCH(K1633,'Raw Annual DMR Data'!$L:$L,0)))</f>
        <v>Manufacturing</v>
      </c>
      <c r="M1633" s="28"/>
      <c r="N1633" s="28"/>
      <c r="O1633" s="28"/>
      <c r="P1633" s="28"/>
      <c r="Q1633" s="28"/>
      <c r="R1633" s="28">
        <f t="shared" si="7"/>
        <v>3.5911026213352306</v>
      </c>
      <c r="S1633" s="28">
        <v>1.62889674892466</v>
      </c>
    </row>
    <row r="1634" spans="1:19" x14ac:dyDescent="0.25">
      <c r="A1634" s="28">
        <v>2021</v>
      </c>
      <c r="B1634" s="28"/>
      <c r="C1634" s="28" t="s">
        <v>6791</v>
      </c>
      <c r="D1634" s="28" t="s">
        <v>367</v>
      </c>
      <c r="E1634" s="28" t="s">
        <v>368</v>
      </c>
      <c r="F1634" s="28" t="s">
        <v>349</v>
      </c>
      <c r="G1634" s="28">
        <v>63630</v>
      </c>
      <c r="H1634" s="28">
        <v>37.984251999999998</v>
      </c>
      <c r="I1634" s="28">
        <v>-90.686081000000001</v>
      </c>
      <c r="J1634" s="28" t="s">
        <v>369</v>
      </c>
      <c r="K1634" s="61">
        <v>110017980443</v>
      </c>
      <c r="L1634" s="61" t="str">
        <f>IFERROR(INDEX('Facility Summary'!$K:$K,MATCH(K1634,'Facility Summary'!$J:$J,0)),INDEX('Raw Annual DMR Data'!$M:$M,MATCH(K1634,'Raw Annual DMR Data'!$L:$L,0)))</f>
        <v>Manufacturing</v>
      </c>
      <c r="M1634" s="28"/>
      <c r="N1634" s="28"/>
      <c r="O1634" s="28"/>
      <c r="P1634" s="28"/>
      <c r="Q1634" s="28"/>
      <c r="R1634" s="28">
        <f t="shared" si="7"/>
        <v>6.8350811735876413E-2</v>
      </c>
      <c r="S1634" s="28">
        <v>3.10034066867E-2</v>
      </c>
    </row>
    <row r="1635" spans="1:19" x14ac:dyDescent="0.25">
      <c r="A1635" s="28">
        <v>2022</v>
      </c>
      <c r="B1635" s="28"/>
      <c r="C1635" s="28" t="s">
        <v>6791</v>
      </c>
      <c r="D1635" s="28" t="s">
        <v>367</v>
      </c>
      <c r="E1635" s="28" t="s">
        <v>368</v>
      </c>
      <c r="F1635" s="28" t="s">
        <v>349</v>
      </c>
      <c r="G1635" s="28">
        <v>63630</v>
      </c>
      <c r="H1635" s="28">
        <v>37.984251999999998</v>
      </c>
      <c r="I1635" s="28">
        <v>-90.686081000000001</v>
      </c>
      <c r="J1635" s="28" t="s">
        <v>369</v>
      </c>
      <c r="K1635" s="61">
        <v>110017980443</v>
      </c>
      <c r="L1635" s="61" t="str">
        <f>IFERROR(INDEX('Facility Summary'!$K:$K,MATCH(K1635,'Facility Summary'!$J:$J,0)),INDEX('Raw Annual DMR Data'!$M:$M,MATCH(K1635,'Raw Annual DMR Data'!$L:$L,0)))</f>
        <v>Manufacturing</v>
      </c>
      <c r="M1635" s="28"/>
      <c r="N1635" s="28"/>
      <c r="O1635" s="28"/>
      <c r="P1635" s="28"/>
      <c r="Q1635" s="28"/>
      <c r="R1635" s="28">
        <f t="shared" si="7"/>
        <v>3.6500477271476151E-2</v>
      </c>
      <c r="S1635" s="28">
        <v>1.6556337991700001E-2</v>
      </c>
    </row>
    <row r="1636" spans="1:19" x14ac:dyDescent="0.25">
      <c r="A1636" s="28">
        <v>2021</v>
      </c>
      <c r="B1636" s="28"/>
      <c r="C1636" s="28" t="s">
        <v>6791</v>
      </c>
      <c r="D1636" s="28" t="s">
        <v>367</v>
      </c>
      <c r="E1636" s="28" t="s">
        <v>368</v>
      </c>
      <c r="F1636" s="28" t="s">
        <v>349</v>
      </c>
      <c r="G1636" s="28">
        <v>63630</v>
      </c>
      <c r="H1636" s="28">
        <v>37.984251999999998</v>
      </c>
      <c r="I1636" s="28">
        <v>-90.686081000000001</v>
      </c>
      <c r="J1636" s="28" t="s">
        <v>369</v>
      </c>
      <c r="K1636" s="61">
        <v>110017980443</v>
      </c>
      <c r="L1636" s="61" t="str">
        <f>IFERROR(INDEX('Facility Summary'!$K:$K,MATCH(K1636,'Facility Summary'!$J:$J,0)),INDEX('Raw Annual DMR Data'!$M:$M,MATCH(K1636,'Raw Annual DMR Data'!$L:$L,0)))</f>
        <v>Manufacturing</v>
      </c>
      <c r="M1636" s="28"/>
      <c r="N1636" s="28"/>
      <c r="O1636" s="28"/>
      <c r="P1636" s="28"/>
      <c r="Q1636" s="28"/>
      <c r="R1636" s="28">
        <f t="shared" si="7"/>
        <v>2.3955733754350853E-2</v>
      </c>
      <c r="S1636" s="28">
        <v>1.0866138048725001E-2</v>
      </c>
    </row>
    <row r="1637" spans="1:19" x14ac:dyDescent="0.25">
      <c r="A1637" s="28">
        <v>2024</v>
      </c>
      <c r="B1637" s="28"/>
      <c r="C1637" s="28" t="s">
        <v>6791</v>
      </c>
      <c r="D1637" s="28" t="s">
        <v>367</v>
      </c>
      <c r="E1637" s="28" t="s">
        <v>368</v>
      </c>
      <c r="F1637" s="28" t="s">
        <v>349</v>
      </c>
      <c r="G1637" s="28">
        <v>63630</v>
      </c>
      <c r="H1637" s="28">
        <v>37.984251999999998</v>
      </c>
      <c r="I1637" s="28">
        <v>-90.686081000000001</v>
      </c>
      <c r="J1637" s="28" t="s">
        <v>369</v>
      </c>
      <c r="K1637" s="61">
        <v>110017980443</v>
      </c>
      <c r="L1637" s="61" t="str">
        <f>IFERROR(INDEX('Facility Summary'!$K:$K,MATCH(K1637,'Facility Summary'!$J:$J,0)),INDEX('Raw Annual DMR Data'!$M:$M,MATCH(K1637,'Raw Annual DMR Data'!$L:$L,0)))</f>
        <v>Manufacturing</v>
      </c>
      <c r="M1637" s="28"/>
      <c r="N1637" s="28"/>
      <c r="O1637" s="28"/>
      <c r="P1637" s="28"/>
      <c r="Q1637" s="28"/>
      <c r="R1637" s="28">
        <f t="shared" si="7"/>
        <v>1.9871584259673506E-2</v>
      </c>
      <c r="S1637" s="28">
        <v>9.0135990000000006E-3</v>
      </c>
    </row>
    <row r="1638" spans="1:19" x14ac:dyDescent="0.25">
      <c r="A1638" s="28">
        <v>2022</v>
      </c>
      <c r="B1638" s="28"/>
      <c r="C1638" s="28" t="s">
        <v>6791</v>
      </c>
      <c r="D1638" s="28" t="s">
        <v>367</v>
      </c>
      <c r="E1638" s="28" t="s">
        <v>368</v>
      </c>
      <c r="F1638" s="28" t="s">
        <v>349</v>
      </c>
      <c r="G1638" s="28">
        <v>63630</v>
      </c>
      <c r="H1638" s="28">
        <v>37.984251999999998</v>
      </c>
      <c r="I1638" s="28">
        <v>-90.686081000000001</v>
      </c>
      <c r="J1638" s="28" t="s">
        <v>369</v>
      </c>
      <c r="K1638" s="61">
        <v>110017980443</v>
      </c>
      <c r="L1638" s="61" t="str">
        <f>IFERROR(INDEX('Facility Summary'!$K:$K,MATCH(K1638,'Facility Summary'!$J:$J,0)),INDEX('Raw Annual DMR Data'!$M:$M,MATCH(K1638,'Raw Annual DMR Data'!$L:$L,0)))</f>
        <v>Manufacturing</v>
      </c>
      <c r="M1638" s="28"/>
      <c r="N1638" s="28"/>
      <c r="O1638" s="28"/>
      <c r="P1638" s="28"/>
      <c r="Q1638" s="28"/>
      <c r="R1638" s="28">
        <f t="shared" si="7"/>
        <v>3.8038611491635096E-3</v>
      </c>
      <c r="S1638" s="28">
        <v>1.7254023938E-3</v>
      </c>
    </row>
    <row r="1639" spans="1:19" x14ac:dyDescent="0.25">
      <c r="A1639" s="28">
        <v>2021</v>
      </c>
      <c r="B1639" s="28"/>
      <c r="C1639" s="28" t="s">
        <v>1017</v>
      </c>
      <c r="D1639" s="28" t="s">
        <v>1566</v>
      </c>
      <c r="E1639" s="28" t="s">
        <v>1018</v>
      </c>
      <c r="F1639" s="28" t="s">
        <v>308</v>
      </c>
      <c r="G1639" s="28">
        <v>2135</v>
      </c>
      <c r="H1639" s="28">
        <v>42.356434999999998</v>
      </c>
      <c r="I1639" s="28">
        <v>-71.145904000000002</v>
      </c>
      <c r="J1639" s="28"/>
      <c r="K1639" s="61">
        <v>110002014677</v>
      </c>
      <c r="L1639" s="61" t="str">
        <f>IFERROR(INDEX('Facility Summary'!$K:$K,MATCH(K1639,'Facility Summary'!$J:$J,0)),INDEX('Raw Annual DMR Data'!$M:$M,MATCH(K1639,'Raw Annual DMR Data'!$L:$L,0)))</f>
        <v>Unknown</v>
      </c>
      <c r="M1639" s="28"/>
      <c r="N1639" s="28"/>
      <c r="O1639" s="28"/>
      <c r="P1639" s="28"/>
      <c r="Q1639" s="28"/>
      <c r="R1639" s="28">
        <f t="shared" si="7"/>
        <v>1.8113557366496263E-2</v>
      </c>
      <c r="S1639" s="28">
        <v>8.2161714149999992E-3</v>
      </c>
    </row>
    <row r="1640" spans="1:19" x14ac:dyDescent="0.25">
      <c r="A1640" s="28">
        <v>2022</v>
      </c>
      <c r="B1640" s="28"/>
      <c r="C1640" s="28" t="s">
        <v>1017</v>
      </c>
      <c r="D1640" s="28" t="s">
        <v>1566</v>
      </c>
      <c r="E1640" s="28" t="s">
        <v>1018</v>
      </c>
      <c r="F1640" s="28" t="s">
        <v>308</v>
      </c>
      <c r="G1640" s="28">
        <v>2135</v>
      </c>
      <c r="H1640" s="28">
        <v>42.356434999999998</v>
      </c>
      <c r="I1640" s="28">
        <v>-71.145904000000002</v>
      </c>
      <c r="J1640" s="28"/>
      <c r="K1640" s="61">
        <v>110002014677</v>
      </c>
      <c r="L1640" s="61" t="str">
        <f>IFERROR(INDEX('Facility Summary'!$K:$K,MATCH(K1640,'Facility Summary'!$J:$J,0)),INDEX('Raw Annual DMR Data'!$M:$M,MATCH(K1640,'Raw Annual DMR Data'!$L:$L,0)))</f>
        <v>Unknown</v>
      </c>
      <c r="M1640" s="28"/>
      <c r="N1640" s="28"/>
      <c r="O1640" s="28"/>
      <c r="P1640" s="28"/>
      <c r="Q1640" s="28"/>
      <c r="R1640" s="28">
        <f t="shared" si="7"/>
        <v>1.5481010538162272E-2</v>
      </c>
      <c r="S1640" s="28">
        <v>7.0220682600000001E-3</v>
      </c>
    </row>
    <row r="1641" spans="1:19" x14ac:dyDescent="0.25">
      <c r="A1641" s="28">
        <v>2024</v>
      </c>
      <c r="B1641" s="28"/>
      <c r="C1641" s="28" t="s">
        <v>6820</v>
      </c>
      <c r="D1641" s="28" t="s">
        <v>2070</v>
      </c>
      <c r="E1641" s="28" t="s">
        <v>1267</v>
      </c>
      <c r="F1641" s="28" t="s">
        <v>491</v>
      </c>
      <c r="G1641" s="28" t="s">
        <v>6976</v>
      </c>
      <c r="H1641" s="28">
        <v>40.655278000000003</v>
      </c>
      <c r="I1641" s="28">
        <v>-80.356388999999993</v>
      </c>
      <c r="J1641" s="28" t="s">
        <v>728</v>
      </c>
      <c r="K1641" s="61">
        <v>110059344473</v>
      </c>
      <c r="L1641" s="61" t="str">
        <f>IFERROR(INDEX('Facility Summary'!$K:$K,MATCH(K1641,'Facility Summary'!$J:$J,0)),INDEX('Raw Annual DMR Data'!$M:$M,MATCH(K1641,'Raw Annual DMR Data'!$L:$L,0)))</f>
        <v>Unknown</v>
      </c>
      <c r="M1641" s="28"/>
      <c r="N1641" s="28"/>
      <c r="O1641" s="28"/>
      <c r="P1641" s="28"/>
      <c r="Q1641" s="28"/>
      <c r="R1641" s="28">
        <f t="shared" si="7"/>
        <v>1.4613120586662425</v>
      </c>
      <c r="S1641" s="28">
        <v>0.66283999999999998</v>
      </c>
    </row>
    <row r="1642" spans="1:19" x14ac:dyDescent="0.25">
      <c r="A1642" s="28">
        <v>2022</v>
      </c>
      <c r="B1642" s="28"/>
      <c r="C1642" s="28" t="s">
        <v>6820</v>
      </c>
      <c r="D1642" s="28" t="s">
        <v>2070</v>
      </c>
      <c r="E1642" s="28" t="s">
        <v>1267</v>
      </c>
      <c r="F1642" s="28" t="s">
        <v>491</v>
      </c>
      <c r="G1642" s="28" t="s">
        <v>6976</v>
      </c>
      <c r="H1642" s="28">
        <v>40.655278000000003</v>
      </c>
      <c r="I1642" s="28">
        <v>-80.356388999999993</v>
      </c>
      <c r="J1642" s="28" t="s">
        <v>728</v>
      </c>
      <c r="K1642" s="61">
        <v>110059344473</v>
      </c>
      <c r="L1642" s="61" t="str">
        <f>IFERROR(INDEX('Facility Summary'!$K:$K,MATCH(K1642,'Facility Summary'!$J:$J,0)),INDEX('Raw Annual DMR Data'!$M:$M,MATCH(K1642,'Raw Annual DMR Data'!$L:$L,0)))</f>
        <v>Unknown</v>
      </c>
      <c r="M1642" s="28"/>
      <c r="N1642" s="28"/>
      <c r="O1642" s="28"/>
      <c r="P1642" s="28"/>
      <c r="Q1642" s="28"/>
      <c r="R1642" s="28">
        <f t="shared" si="7"/>
        <v>1.2786480513329621</v>
      </c>
      <c r="S1642" s="28">
        <v>0.57998499999999997</v>
      </c>
    </row>
    <row r="1643" spans="1:19" x14ac:dyDescent="0.25">
      <c r="A1643" s="28">
        <v>2021</v>
      </c>
      <c r="B1643" s="28"/>
      <c r="C1643" s="28" t="s">
        <v>6820</v>
      </c>
      <c r="D1643" s="28" t="s">
        <v>2070</v>
      </c>
      <c r="E1643" s="28" t="s">
        <v>1267</v>
      </c>
      <c r="F1643" s="28" t="s">
        <v>491</v>
      </c>
      <c r="G1643" s="28" t="s">
        <v>6976</v>
      </c>
      <c r="H1643" s="28">
        <v>40.655278000000003</v>
      </c>
      <c r="I1643" s="28">
        <v>-80.356388999999993</v>
      </c>
      <c r="J1643" s="28" t="s">
        <v>728</v>
      </c>
      <c r="K1643" s="61">
        <v>110059344473</v>
      </c>
      <c r="L1643" s="61" t="str">
        <f>IFERROR(INDEX('Facility Summary'!$K:$K,MATCH(K1643,'Facility Summary'!$J:$J,0)),INDEX('Raw Annual DMR Data'!$M:$M,MATCH(K1643,'Raw Annual DMR Data'!$L:$L,0)))</f>
        <v>Unknown</v>
      </c>
      <c r="M1643" s="28"/>
      <c r="N1643" s="28"/>
      <c r="O1643" s="28"/>
      <c r="P1643" s="28"/>
      <c r="Q1643" s="28"/>
      <c r="R1643" s="28">
        <f t="shared" si="7"/>
        <v>1.095984043999682</v>
      </c>
      <c r="S1643" s="28">
        <v>0.49713000000000002</v>
      </c>
    </row>
    <row r="1644" spans="1:19" x14ac:dyDescent="0.25">
      <c r="A1644" s="28">
        <v>2023</v>
      </c>
      <c r="B1644" s="28"/>
      <c r="C1644" s="28" t="s">
        <v>6820</v>
      </c>
      <c r="D1644" s="28" t="s">
        <v>2070</v>
      </c>
      <c r="E1644" s="28" t="s">
        <v>1267</v>
      </c>
      <c r="F1644" s="28" t="s">
        <v>491</v>
      </c>
      <c r="G1644" s="28" t="s">
        <v>6976</v>
      </c>
      <c r="H1644" s="28">
        <v>40.655278000000003</v>
      </c>
      <c r="I1644" s="28">
        <v>-80.356388999999993</v>
      </c>
      <c r="J1644" s="28" t="s">
        <v>728</v>
      </c>
      <c r="K1644" s="61">
        <v>110059344473</v>
      </c>
      <c r="L1644" s="61" t="str">
        <f>IFERROR(INDEX('Facility Summary'!$K:$K,MATCH(K1644,'Facility Summary'!$J:$J,0)),INDEX('Raw Annual DMR Data'!$M:$M,MATCH(K1644,'Raw Annual DMR Data'!$L:$L,0)))</f>
        <v>Unknown</v>
      </c>
      <c r="M1644" s="28"/>
      <c r="N1644" s="28"/>
      <c r="O1644" s="28"/>
      <c r="P1644" s="28"/>
      <c r="Q1644" s="28"/>
      <c r="R1644" s="28">
        <f t="shared" si="7"/>
        <v>1.095984043999682</v>
      </c>
      <c r="S1644" s="28">
        <v>0.49713000000000002</v>
      </c>
    </row>
    <row r="1645" spans="1:19" x14ac:dyDescent="0.25">
      <c r="A1645" s="28">
        <v>2021</v>
      </c>
      <c r="B1645" s="28"/>
      <c r="C1645" s="28" t="s">
        <v>6841</v>
      </c>
      <c r="D1645" s="28" t="s">
        <v>1913</v>
      </c>
      <c r="E1645" s="28" t="s">
        <v>1187</v>
      </c>
      <c r="F1645" s="28" t="s">
        <v>478</v>
      </c>
      <c r="G1645" s="28" t="s">
        <v>6997</v>
      </c>
      <c r="H1645" s="28">
        <v>38.631867</v>
      </c>
      <c r="I1645" s="28">
        <v>-75.628372999999996</v>
      </c>
      <c r="J1645" s="28"/>
      <c r="K1645" s="61">
        <v>110000339027</v>
      </c>
      <c r="L1645" s="61" t="str">
        <f>IFERROR(INDEX('Facility Summary'!$K:$K,MATCH(K1645,'Facility Summary'!$J:$J,0)),INDEX('Raw Annual DMR Data'!$M:$M,MATCH(K1645,'Raw Annual DMR Data'!$L:$L,0)))</f>
        <v>Processing as a Reactant</v>
      </c>
      <c r="M1645" s="28"/>
      <c r="N1645" s="28"/>
      <c r="O1645" s="28"/>
      <c r="P1645" s="28"/>
      <c r="Q1645" s="28"/>
      <c r="R1645" s="28">
        <f t="shared" si="7"/>
        <v>7.7569646949749175E-4</v>
      </c>
      <c r="S1645" s="28">
        <v>3.5185000000000001E-4</v>
      </c>
    </row>
    <row r="1646" spans="1:19" x14ac:dyDescent="0.25">
      <c r="A1646" s="28">
        <v>2022</v>
      </c>
      <c r="B1646" s="28"/>
      <c r="C1646" s="28" t="s">
        <v>1021</v>
      </c>
      <c r="D1646" s="28" t="s">
        <v>1571</v>
      </c>
      <c r="E1646" s="28" t="s">
        <v>657</v>
      </c>
      <c r="F1646" s="28" t="s">
        <v>418</v>
      </c>
      <c r="G1646" s="28">
        <v>89109</v>
      </c>
      <c r="H1646" s="28">
        <v>36.119087999999998</v>
      </c>
      <c r="I1646" s="28">
        <v>-115.179282</v>
      </c>
      <c r="J1646" s="28"/>
      <c r="K1646" s="61">
        <v>110015972562</v>
      </c>
      <c r="L1646" s="61" t="str">
        <f>IFERROR(INDEX('Facility Summary'!$K:$K,MATCH(K1646,'Facility Summary'!$J:$J,0)),INDEX('Raw Annual DMR Data'!$M:$M,MATCH(K1646,'Raw Annual DMR Data'!$L:$L,0)))</f>
        <v>Remediation</v>
      </c>
      <c r="M1646" s="28"/>
      <c r="N1646" s="28"/>
      <c r="O1646" s="28"/>
      <c r="P1646" s="28"/>
      <c r="Q1646" s="28"/>
      <c r="R1646" s="28">
        <f t="shared" si="7"/>
        <v>0.49422473770337011</v>
      </c>
      <c r="S1646" s="28">
        <v>0.2241765700875</v>
      </c>
    </row>
    <row r="1647" spans="1:19" x14ac:dyDescent="0.25">
      <c r="A1647" s="28">
        <v>2021</v>
      </c>
      <c r="B1647" s="28"/>
      <c r="C1647" s="28" t="s">
        <v>1021</v>
      </c>
      <c r="D1647" s="28" t="s">
        <v>1571</v>
      </c>
      <c r="E1647" s="28" t="s">
        <v>657</v>
      </c>
      <c r="F1647" s="28" t="s">
        <v>418</v>
      </c>
      <c r="G1647" s="28">
        <v>89109</v>
      </c>
      <c r="H1647" s="28">
        <v>36.119087999999998</v>
      </c>
      <c r="I1647" s="28">
        <v>-115.179282</v>
      </c>
      <c r="J1647" s="28"/>
      <c r="K1647" s="61">
        <v>110015972562</v>
      </c>
      <c r="L1647" s="61" t="str">
        <f>IFERROR(INDEX('Facility Summary'!$K:$K,MATCH(K1647,'Facility Summary'!$J:$J,0)),INDEX('Raw Annual DMR Data'!$M:$M,MATCH(K1647,'Raw Annual DMR Data'!$L:$L,0)))</f>
        <v>Remediation</v>
      </c>
      <c r="M1647" s="28"/>
      <c r="N1647" s="28"/>
      <c r="O1647" s="28"/>
      <c r="P1647" s="28"/>
      <c r="Q1647" s="28"/>
      <c r="R1647" s="28">
        <f t="shared" si="7"/>
        <v>0.35378871617703794</v>
      </c>
      <c r="S1647" s="28">
        <v>0.16047586224999999</v>
      </c>
    </row>
    <row r="1648" spans="1:19" x14ac:dyDescent="0.25">
      <c r="A1648" s="28">
        <v>2023</v>
      </c>
      <c r="B1648" s="28"/>
      <c r="C1648" s="28" t="s">
        <v>1021</v>
      </c>
      <c r="D1648" s="28" t="s">
        <v>1571</v>
      </c>
      <c r="E1648" s="28" t="s">
        <v>657</v>
      </c>
      <c r="F1648" s="28" t="s">
        <v>418</v>
      </c>
      <c r="G1648" s="28">
        <v>89109</v>
      </c>
      <c r="H1648" s="28">
        <v>36.119087999999998</v>
      </c>
      <c r="I1648" s="28">
        <v>-115.179282</v>
      </c>
      <c r="J1648" s="28"/>
      <c r="K1648" s="61">
        <v>110015972562</v>
      </c>
      <c r="L1648" s="61" t="str">
        <f>IFERROR(INDEX('Facility Summary'!$K:$K,MATCH(K1648,'Facility Summary'!$J:$J,0)),INDEX('Raw Annual DMR Data'!$M:$M,MATCH(K1648,'Raw Annual DMR Data'!$L:$L,0)))</f>
        <v>Remediation</v>
      </c>
      <c r="M1648" s="28"/>
      <c r="N1648" s="28"/>
      <c r="O1648" s="28"/>
      <c r="P1648" s="28"/>
      <c r="Q1648" s="28"/>
      <c r="R1648" s="28">
        <f t="shared" si="7"/>
        <v>0.24671069607608259</v>
      </c>
      <c r="S1648" s="28">
        <v>0.1119060893375</v>
      </c>
    </row>
    <row r="1649" spans="1:19" x14ac:dyDescent="0.25">
      <c r="A1649" s="28">
        <v>2023</v>
      </c>
      <c r="B1649" s="28"/>
      <c r="C1649" s="28" t="s">
        <v>1021</v>
      </c>
      <c r="D1649" s="28" t="s">
        <v>1571</v>
      </c>
      <c r="E1649" s="28" t="s">
        <v>657</v>
      </c>
      <c r="F1649" s="28" t="s">
        <v>418</v>
      </c>
      <c r="G1649" s="28">
        <v>89109</v>
      </c>
      <c r="H1649" s="28">
        <v>36.119087999999998</v>
      </c>
      <c r="I1649" s="28">
        <v>-115.179282</v>
      </c>
      <c r="J1649" s="28"/>
      <c r="K1649" s="61">
        <v>110015972562</v>
      </c>
      <c r="L1649" s="61" t="str">
        <f>IFERROR(INDEX('Facility Summary'!$K:$K,MATCH(K1649,'Facility Summary'!$J:$J,0)),INDEX('Raw Annual DMR Data'!$M:$M,MATCH(K1649,'Raw Annual DMR Data'!$L:$L,0)))</f>
        <v>Remediation</v>
      </c>
      <c r="M1649" s="28"/>
      <c r="N1649" s="28"/>
      <c r="O1649" s="28"/>
      <c r="P1649" s="28"/>
      <c r="Q1649" s="28"/>
      <c r="R1649" s="28">
        <f t="shared" si="7"/>
        <v>0.11768185176924383</v>
      </c>
      <c r="S1649" s="28">
        <v>5.3379590050000002E-2</v>
      </c>
    </row>
    <row r="1650" spans="1:19" x14ac:dyDescent="0.25">
      <c r="A1650" s="28">
        <v>2024</v>
      </c>
      <c r="B1650" s="28"/>
      <c r="C1650" s="28" t="s">
        <v>1021</v>
      </c>
      <c r="D1650" s="28" t="s">
        <v>1571</v>
      </c>
      <c r="E1650" s="28" t="s">
        <v>657</v>
      </c>
      <c r="F1650" s="28" t="s">
        <v>418</v>
      </c>
      <c r="G1650" s="28">
        <v>89109</v>
      </c>
      <c r="H1650" s="28">
        <v>36.119087999999998</v>
      </c>
      <c r="I1650" s="28">
        <v>-115.179282</v>
      </c>
      <c r="J1650" s="28"/>
      <c r="K1650" s="61">
        <v>110015972562</v>
      </c>
      <c r="L1650" s="61" t="str">
        <f>IFERROR(INDEX('Facility Summary'!$K:$K,MATCH(K1650,'Facility Summary'!$J:$J,0)),INDEX('Raw Annual DMR Data'!$M:$M,MATCH(K1650,'Raw Annual DMR Data'!$L:$L,0)))</f>
        <v>Remediation</v>
      </c>
      <c r="M1650" s="28"/>
      <c r="N1650" s="28"/>
      <c r="O1650" s="28"/>
      <c r="P1650" s="28"/>
      <c r="Q1650" s="28"/>
      <c r="R1650" s="28">
        <f t="shared" si="7"/>
        <v>9.4470758238283423E-2</v>
      </c>
      <c r="S1650" s="28">
        <v>4.2851215125000001E-2</v>
      </c>
    </row>
    <row r="1651" spans="1:19" x14ac:dyDescent="0.25">
      <c r="A1651" s="28">
        <v>2021</v>
      </c>
      <c r="B1651" s="28"/>
      <c r="C1651" s="28" t="s">
        <v>1021</v>
      </c>
      <c r="D1651" s="28" t="s">
        <v>1571</v>
      </c>
      <c r="E1651" s="28" t="s">
        <v>657</v>
      </c>
      <c r="F1651" s="28" t="s">
        <v>418</v>
      </c>
      <c r="G1651" s="28">
        <v>89109</v>
      </c>
      <c r="H1651" s="28">
        <v>36.119087999999998</v>
      </c>
      <c r="I1651" s="28">
        <v>-115.179282</v>
      </c>
      <c r="J1651" s="28"/>
      <c r="K1651" s="61">
        <v>110015972562</v>
      </c>
      <c r="L1651" s="61" t="str">
        <f>IFERROR(INDEX('Facility Summary'!$K:$K,MATCH(K1651,'Facility Summary'!$J:$J,0)),INDEX('Raw Annual DMR Data'!$M:$M,MATCH(K1651,'Raw Annual DMR Data'!$L:$L,0)))</f>
        <v>Remediation</v>
      </c>
      <c r="M1651" s="28"/>
      <c r="N1651" s="28"/>
      <c r="O1651" s="28"/>
      <c r="P1651" s="28"/>
      <c r="Q1651" s="28"/>
      <c r="R1651" s="28">
        <f t="shared" si="7"/>
        <v>8.9834597636640132E-2</v>
      </c>
      <c r="S1651" s="28">
        <v>4.0748288049999998E-2</v>
      </c>
    </row>
    <row r="1652" spans="1:19" x14ac:dyDescent="0.25">
      <c r="A1652" s="28">
        <v>2022</v>
      </c>
      <c r="B1652" s="28"/>
      <c r="C1652" s="28" t="s">
        <v>1021</v>
      </c>
      <c r="D1652" s="28" t="s">
        <v>1571</v>
      </c>
      <c r="E1652" s="28" t="s">
        <v>657</v>
      </c>
      <c r="F1652" s="28" t="s">
        <v>418</v>
      </c>
      <c r="G1652" s="28">
        <v>89109</v>
      </c>
      <c r="H1652" s="28">
        <v>36.119087999999998</v>
      </c>
      <c r="I1652" s="28">
        <v>-115.179282</v>
      </c>
      <c r="J1652" s="28"/>
      <c r="K1652" s="61">
        <v>110015972562</v>
      </c>
      <c r="L1652" s="61" t="str">
        <f>IFERROR(INDEX('Facility Summary'!$K:$K,MATCH(K1652,'Facility Summary'!$J:$J,0)),INDEX('Raw Annual DMR Data'!$M:$M,MATCH(K1652,'Raw Annual DMR Data'!$L:$L,0)))</f>
        <v>Remediation</v>
      </c>
      <c r="M1652" s="28"/>
      <c r="N1652" s="28"/>
      <c r="O1652" s="28"/>
      <c r="P1652" s="28"/>
      <c r="Q1652" s="28"/>
      <c r="R1652" s="28">
        <f t="shared" si="7"/>
        <v>8.8650701316911468E-2</v>
      </c>
      <c r="S1652" s="28">
        <v>4.0211281712499998E-2</v>
      </c>
    </row>
    <row r="1653" spans="1:19" x14ac:dyDescent="0.25">
      <c r="A1653" s="28">
        <v>2024</v>
      </c>
      <c r="B1653" s="28"/>
      <c r="C1653" s="28" t="s">
        <v>1021</v>
      </c>
      <c r="D1653" s="28" t="s">
        <v>1571</v>
      </c>
      <c r="E1653" s="28" t="s">
        <v>657</v>
      </c>
      <c r="F1653" s="28" t="s">
        <v>418</v>
      </c>
      <c r="G1653" s="28">
        <v>89109</v>
      </c>
      <c r="H1653" s="28">
        <v>36.119087999999998</v>
      </c>
      <c r="I1653" s="28">
        <v>-115.179282</v>
      </c>
      <c r="J1653" s="28"/>
      <c r="K1653" s="61">
        <v>110015972562</v>
      </c>
      <c r="L1653" s="61" t="str">
        <f>IFERROR(INDEX('Facility Summary'!$K:$K,MATCH(K1653,'Facility Summary'!$J:$J,0)),INDEX('Raw Annual DMR Data'!$M:$M,MATCH(K1653,'Raw Annual DMR Data'!$L:$L,0)))</f>
        <v>Remediation</v>
      </c>
      <c r="M1653" s="28"/>
      <c r="N1653" s="28"/>
      <c r="O1653" s="28"/>
      <c r="P1653" s="28"/>
      <c r="Q1653" s="28"/>
      <c r="R1653" s="28">
        <f t="shared" si="7"/>
        <v>3.2989758789372936E-2</v>
      </c>
      <c r="S1653" s="28">
        <v>1.4963902875000001E-2</v>
      </c>
    </row>
    <row r="1654" spans="1:19" x14ac:dyDescent="0.25">
      <c r="A1654" s="28">
        <v>2024</v>
      </c>
      <c r="B1654" s="28"/>
      <c r="C1654" s="28" t="s">
        <v>1022</v>
      </c>
      <c r="D1654" s="28" t="s">
        <v>1574</v>
      </c>
      <c r="E1654" s="28" t="s">
        <v>1023</v>
      </c>
      <c r="F1654" s="28" t="s">
        <v>366</v>
      </c>
      <c r="G1654" s="28">
        <v>92231</v>
      </c>
      <c r="H1654" s="28">
        <v>32.664450000000002</v>
      </c>
      <c r="I1654" s="28">
        <v>-115.55970499999999</v>
      </c>
      <c r="J1654" s="28"/>
      <c r="K1654" s="61">
        <v>110000730825</v>
      </c>
      <c r="L1654" s="61" t="str">
        <f>IFERROR(INDEX('Facility Summary'!$K:$K,MATCH(K1654,'Facility Summary'!$J:$J,0)),INDEX('Raw Annual DMR Data'!$M:$M,MATCH(K1654,'Raw Annual DMR Data'!$L:$L,0)))</f>
        <v>POTW</v>
      </c>
      <c r="M1654" s="28"/>
      <c r="N1654" s="28"/>
      <c r="O1654" s="28"/>
      <c r="P1654" s="28"/>
      <c r="Q1654" s="28"/>
      <c r="R1654" s="28">
        <f t="shared" si="7"/>
        <v>0.38243850227242576</v>
      </c>
      <c r="S1654" s="28">
        <v>0.173471186625</v>
      </c>
    </row>
    <row r="1655" spans="1:19" x14ac:dyDescent="0.25">
      <c r="A1655" s="28">
        <v>2023</v>
      </c>
      <c r="B1655" s="28"/>
      <c r="C1655" s="28" t="s">
        <v>1022</v>
      </c>
      <c r="D1655" s="28" t="s">
        <v>1574</v>
      </c>
      <c r="E1655" s="28" t="s">
        <v>1023</v>
      </c>
      <c r="F1655" s="28" t="s">
        <v>366</v>
      </c>
      <c r="G1655" s="28">
        <v>92231</v>
      </c>
      <c r="H1655" s="28">
        <v>32.664450000000002</v>
      </c>
      <c r="I1655" s="28">
        <v>-115.55970499999999</v>
      </c>
      <c r="J1655" s="28"/>
      <c r="K1655" s="61">
        <v>110000730825</v>
      </c>
      <c r="L1655" s="61" t="str">
        <f>IFERROR(INDEX('Facility Summary'!$K:$K,MATCH(K1655,'Facility Summary'!$J:$J,0)),INDEX('Raw Annual DMR Data'!$M:$M,MATCH(K1655,'Raw Annual DMR Data'!$L:$L,0)))</f>
        <v>POTW</v>
      </c>
      <c r="M1655" s="28"/>
      <c r="N1655" s="28"/>
      <c r="O1655" s="28"/>
      <c r="P1655" s="28"/>
      <c r="Q1655" s="28"/>
      <c r="R1655" s="28">
        <f t="shared" si="7"/>
        <v>0.37356016647722712</v>
      </c>
      <c r="S1655" s="28">
        <v>0.16944404125000001</v>
      </c>
    </row>
    <row r="1656" spans="1:19" x14ac:dyDescent="0.25">
      <c r="A1656" s="28">
        <v>2021</v>
      </c>
      <c r="B1656" s="28"/>
      <c r="C1656" s="28" t="s">
        <v>1022</v>
      </c>
      <c r="D1656" s="28" t="s">
        <v>1574</v>
      </c>
      <c r="E1656" s="28" t="s">
        <v>1023</v>
      </c>
      <c r="F1656" s="28" t="s">
        <v>366</v>
      </c>
      <c r="G1656" s="28">
        <v>92231</v>
      </c>
      <c r="H1656" s="28">
        <v>32.664450000000002</v>
      </c>
      <c r="I1656" s="28">
        <v>-115.55970499999999</v>
      </c>
      <c r="J1656" s="28"/>
      <c r="K1656" s="61">
        <v>110000730825</v>
      </c>
      <c r="L1656" s="61" t="str">
        <f>IFERROR(INDEX('Facility Summary'!$K:$K,MATCH(K1656,'Facility Summary'!$J:$J,0)),INDEX('Raw Annual DMR Data'!$M:$M,MATCH(K1656,'Raw Annual DMR Data'!$L:$L,0)))</f>
        <v>POTW</v>
      </c>
      <c r="M1656" s="28"/>
      <c r="N1656" s="28"/>
      <c r="O1656" s="28"/>
      <c r="P1656" s="28"/>
      <c r="Q1656" s="28"/>
      <c r="R1656" s="28">
        <f t="shared" si="7"/>
        <v>0.31482304613060397</v>
      </c>
      <c r="S1656" s="28">
        <v>0.142801331625</v>
      </c>
    </row>
    <row r="1657" spans="1:19" x14ac:dyDescent="0.25">
      <c r="A1657" s="28">
        <v>2022</v>
      </c>
      <c r="B1657" s="28"/>
      <c r="C1657" s="28" t="s">
        <v>1022</v>
      </c>
      <c r="D1657" s="28" t="s">
        <v>1574</v>
      </c>
      <c r="E1657" s="28" t="s">
        <v>1023</v>
      </c>
      <c r="F1657" s="28" t="s">
        <v>366</v>
      </c>
      <c r="G1657" s="28">
        <v>92231</v>
      </c>
      <c r="H1657" s="28">
        <v>32.664450000000002</v>
      </c>
      <c r="I1657" s="28">
        <v>-115.55970499999999</v>
      </c>
      <c r="J1657" s="28"/>
      <c r="K1657" s="61">
        <v>110000730825</v>
      </c>
      <c r="L1657" s="61" t="str">
        <f>IFERROR(INDEX('Facility Summary'!$K:$K,MATCH(K1657,'Facility Summary'!$J:$J,0)),INDEX('Raw Annual DMR Data'!$M:$M,MATCH(K1657,'Raw Annual DMR Data'!$L:$L,0)))</f>
        <v>POTW</v>
      </c>
      <c r="M1657" s="28"/>
      <c r="N1657" s="28"/>
      <c r="O1657" s="28"/>
      <c r="P1657" s="28"/>
      <c r="Q1657" s="28"/>
      <c r="R1657" s="28">
        <f t="shared" si="7"/>
        <v>0.30289896906775571</v>
      </c>
      <c r="S1657" s="28">
        <v>0.13739266124999999</v>
      </c>
    </row>
    <row r="1658" spans="1:19" x14ac:dyDescent="0.25">
      <c r="A1658" s="28">
        <v>2021</v>
      </c>
      <c r="B1658" s="28"/>
      <c r="C1658" s="28" t="s">
        <v>1024</v>
      </c>
      <c r="D1658" s="28" t="s">
        <v>1576</v>
      </c>
      <c r="E1658" s="28" t="s">
        <v>1025</v>
      </c>
      <c r="F1658" s="28" t="s">
        <v>366</v>
      </c>
      <c r="G1658" s="28">
        <v>92233</v>
      </c>
      <c r="H1658" s="28">
        <v>33.147531999999998</v>
      </c>
      <c r="I1658" s="28">
        <v>-115.54533000000001</v>
      </c>
      <c r="J1658" s="28"/>
      <c r="K1658" s="61">
        <v>110002043217</v>
      </c>
      <c r="L1658" s="61" t="str">
        <f>IFERROR(INDEX('Facility Summary'!$K:$K,MATCH(K1658,'Facility Summary'!$J:$J,0)),INDEX('Raw Annual DMR Data'!$M:$M,MATCH(K1658,'Raw Annual DMR Data'!$L:$L,0)))</f>
        <v>POTW</v>
      </c>
      <c r="M1658" s="28"/>
      <c r="N1658" s="28"/>
      <c r="O1658" s="28"/>
      <c r="P1658" s="28"/>
      <c r="Q1658" s="28"/>
      <c r="R1658" s="28">
        <f t="shared" si="7"/>
        <v>8.588990374771956E-3</v>
      </c>
      <c r="S1658" s="28">
        <v>3.8959005000000001E-3</v>
      </c>
    </row>
    <row r="1659" spans="1:19" x14ac:dyDescent="0.25">
      <c r="A1659" s="28">
        <v>2023</v>
      </c>
      <c r="B1659" s="28"/>
      <c r="C1659" s="28" t="s">
        <v>1024</v>
      </c>
      <c r="D1659" s="28" t="s">
        <v>1576</v>
      </c>
      <c r="E1659" s="28" t="s">
        <v>1025</v>
      </c>
      <c r="F1659" s="28" t="s">
        <v>366</v>
      </c>
      <c r="G1659" s="28">
        <v>92233</v>
      </c>
      <c r="H1659" s="28">
        <v>33.147531999999998</v>
      </c>
      <c r="I1659" s="28">
        <v>-115.54533000000001</v>
      </c>
      <c r="J1659" s="28"/>
      <c r="K1659" s="61">
        <v>110002043217</v>
      </c>
      <c r="L1659" s="61" t="str">
        <f>IFERROR(INDEX('Facility Summary'!$K:$K,MATCH(K1659,'Facility Summary'!$J:$J,0)),INDEX('Raw Annual DMR Data'!$M:$M,MATCH(K1659,'Raw Annual DMR Data'!$L:$L,0)))</f>
        <v>POTW</v>
      </c>
      <c r="M1659" s="28"/>
      <c r="N1659" s="28"/>
      <c r="O1659" s="28"/>
      <c r="P1659" s="28"/>
      <c r="Q1659" s="28"/>
      <c r="R1659" s="28">
        <f t="shared" si="7"/>
        <v>8.4062458987129787E-3</v>
      </c>
      <c r="S1659" s="28">
        <v>3.813009E-3</v>
      </c>
    </row>
    <row r="1660" spans="1:19" x14ac:dyDescent="0.25">
      <c r="A1660" s="28">
        <v>2022</v>
      </c>
      <c r="B1660" s="28"/>
      <c r="C1660" s="28" t="s">
        <v>1024</v>
      </c>
      <c r="D1660" s="28" t="s">
        <v>1576</v>
      </c>
      <c r="E1660" s="28" t="s">
        <v>1025</v>
      </c>
      <c r="F1660" s="28" t="s">
        <v>366</v>
      </c>
      <c r="G1660" s="28">
        <v>92233</v>
      </c>
      <c r="H1660" s="28">
        <v>33.147531999999998</v>
      </c>
      <c r="I1660" s="28">
        <v>-115.54533000000001</v>
      </c>
      <c r="J1660" s="28"/>
      <c r="K1660" s="61">
        <v>110002043217</v>
      </c>
      <c r="L1660" s="61" t="str">
        <f>IFERROR(INDEX('Facility Summary'!$K:$K,MATCH(K1660,'Facility Summary'!$J:$J,0)),INDEX('Raw Annual DMR Data'!$M:$M,MATCH(K1660,'Raw Annual DMR Data'!$L:$L,0)))</f>
        <v>POTW</v>
      </c>
      <c r="M1660" s="28"/>
      <c r="N1660" s="28"/>
      <c r="O1660" s="28"/>
      <c r="P1660" s="28"/>
      <c r="Q1660" s="28"/>
      <c r="R1660" s="28">
        <f t="shared" ref="R1660:R1723" si="8">CONVERT(S1660,"g","lbm")*1000</f>
        <v>8.2844162480069927E-3</v>
      </c>
      <c r="S1660" s="28">
        <v>3.757748E-3</v>
      </c>
    </row>
    <row r="1661" spans="1:19" x14ac:dyDescent="0.25">
      <c r="A1661" s="28">
        <v>2024</v>
      </c>
      <c r="B1661" s="28"/>
      <c r="C1661" s="28" t="s">
        <v>1024</v>
      </c>
      <c r="D1661" s="28" t="s">
        <v>1576</v>
      </c>
      <c r="E1661" s="28" t="s">
        <v>1025</v>
      </c>
      <c r="F1661" s="28" t="s">
        <v>366</v>
      </c>
      <c r="G1661" s="28">
        <v>92233</v>
      </c>
      <c r="H1661" s="28">
        <v>33.147531999999998</v>
      </c>
      <c r="I1661" s="28">
        <v>-115.54533000000001</v>
      </c>
      <c r="J1661" s="28"/>
      <c r="K1661" s="61">
        <v>110002043217</v>
      </c>
      <c r="L1661" s="61" t="str">
        <f>IFERROR(INDEX('Facility Summary'!$K:$K,MATCH(K1661,'Facility Summary'!$J:$J,0)),INDEX('Raw Annual DMR Data'!$M:$M,MATCH(K1661,'Raw Annual DMR Data'!$L:$L,0)))</f>
        <v>POTW</v>
      </c>
      <c r="M1661" s="28"/>
      <c r="N1661" s="28"/>
      <c r="O1661" s="28"/>
      <c r="P1661" s="28"/>
      <c r="Q1661" s="28"/>
      <c r="R1661" s="28">
        <f t="shared" si="8"/>
        <v>7.9341560022272856E-3</v>
      </c>
      <c r="S1661" s="28">
        <v>3.598872625E-3</v>
      </c>
    </row>
    <row r="1662" spans="1:19" x14ac:dyDescent="0.25">
      <c r="A1662" s="28">
        <v>2024</v>
      </c>
      <c r="B1662" s="28"/>
      <c r="C1662" s="28" t="s">
        <v>1026</v>
      </c>
      <c r="D1662" s="28" t="s">
        <v>1579</v>
      </c>
      <c r="E1662" s="28" t="s">
        <v>1027</v>
      </c>
      <c r="F1662" s="28" t="s">
        <v>349</v>
      </c>
      <c r="G1662" s="28">
        <v>63353</v>
      </c>
      <c r="H1662" s="28">
        <v>39.423425000000002</v>
      </c>
      <c r="I1662" s="28">
        <v>-91.025666000000001</v>
      </c>
      <c r="J1662" s="28"/>
      <c r="K1662" s="61">
        <v>110054612558</v>
      </c>
      <c r="L1662" s="61" t="str">
        <f>IFERROR(INDEX('Facility Summary'!$K:$K,MATCH(K1662,'Facility Summary'!$J:$J,0)),INDEX('Raw Annual DMR Data'!$M:$M,MATCH(K1662,'Raw Annual DMR Data'!$L:$L,0)))</f>
        <v>Unknown</v>
      </c>
      <c r="M1662" s="28"/>
      <c r="N1662" s="28"/>
      <c r="O1662" s="28"/>
      <c r="P1662" s="28"/>
      <c r="Q1662" s="28"/>
      <c r="R1662" s="28">
        <f t="shared" si="8"/>
        <v>0.11689495570659621</v>
      </c>
      <c r="S1662" s="28">
        <v>5.3022659999999999E-2</v>
      </c>
    </row>
    <row r="1663" spans="1:19" x14ac:dyDescent="0.25">
      <c r="A1663" s="28">
        <v>2023</v>
      </c>
      <c r="B1663" s="28"/>
      <c r="C1663" s="28" t="s">
        <v>1026</v>
      </c>
      <c r="D1663" s="28" t="s">
        <v>1579</v>
      </c>
      <c r="E1663" s="28" t="s">
        <v>1027</v>
      </c>
      <c r="F1663" s="28" t="s">
        <v>349</v>
      </c>
      <c r="G1663" s="28">
        <v>63353</v>
      </c>
      <c r="H1663" s="28">
        <v>39.423425000000002</v>
      </c>
      <c r="I1663" s="28">
        <v>-91.025666000000001</v>
      </c>
      <c r="J1663" s="28"/>
      <c r="K1663" s="61">
        <v>110054612558</v>
      </c>
      <c r="L1663" s="61" t="str">
        <f>IFERROR(INDEX('Facility Summary'!$K:$K,MATCH(K1663,'Facility Summary'!$J:$J,0)),INDEX('Raw Annual DMR Data'!$M:$M,MATCH(K1663,'Raw Annual DMR Data'!$L:$L,0)))</f>
        <v>Unknown</v>
      </c>
      <c r="M1663" s="28"/>
      <c r="N1663" s="28"/>
      <c r="O1663" s="28"/>
      <c r="P1663" s="28"/>
      <c r="Q1663" s="28"/>
      <c r="R1663" s="28">
        <f t="shared" si="8"/>
        <v>0.10489418064946728</v>
      </c>
      <c r="S1663" s="28">
        <v>4.7579200000000002E-2</v>
      </c>
    </row>
    <row r="1664" spans="1:19" x14ac:dyDescent="0.25">
      <c r="A1664" s="28">
        <v>2022</v>
      </c>
      <c r="B1664" s="28"/>
      <c r="C1664" s="28" t="s">
        <v>1026</v>
      </c>
      <c r="D1664" s="28" t="s">
        <v>1579</v>
      </c>
      <c r="E1664" s="28" t="s">
        <v>1027</v>
      </c>
      <c r="F1664" s="28" t="s">
        <v>349</v>
      </c>
      <c r="G1664" s="28">
        <v>63353</v>
      </c>
      <c r="H1664" s="28">
        <v>39.423425000000002</v>
      </c>
      <c r="I1664" s="28">
        <v>-91.025666000000001</v>
      </c>
      <c r="J1664" s="28"/>
      <c r="K1664" s="61">
        <v>110054612558</v>
      </c>
      <c r="L1664" s="61" t="str">
        <f>IFERROR(INDEX('Facility Summary'!$K:$K,MATCH(K1664,'Facility Summary'!$J:$J,0)),INDEX('Raw Annual DMR Data'!$M:$M,MATCH(K1664,'Raw Annual DMR Data'!$L:$L,0)))</f>
        <v>Unknown</v>
      </c>
      <c r="M1664" s="28"/>
      <c r="N1664" s="28"/>
      <c r="O1664" s="28"/>
      <c r="P1664" s="28"/>
      <c r="Q1664" s="28"/>
      <c r="R1664" s="28">
        <f t="shared" si="8"/>
        <v>6.1099859329644367E-2</v>
      </c>
      <c r="S1664" s="28">
        <v>2.7714430000000002E-2</v>
      </c>
    </row>
    <row r="1665" spans="1:19" x14ac:dyDescent="0.25">
      <c r="A1665" s="28">
        <v>2021</v>
      </c>
      <c r="B1665" s="28"/>
      <c r="C1665" s="28" t="s">
        <v>1026</v>
      </c>
      <c r="D1665" s="28" t="s">
        <v>1579</v>
      </c>
      <c r="E1665" s="28" t="s">
        <v>1027</v>
      </c>
      <c r="F1665" s="28" t="s">
        <v>349</v>
      </c>
      <c r="G1665" s="28">
        <v>63353</v>
      </c>
      <c r="H1665" s="28">
        <v>39.423425000000002</v>
      </c>
      <c r="I1665" s="28">
        <v>-91.025666000000001</v>
      </c>
      <c r="J1665" s="28"/>
      <c r="K1665" s="61">
        <v>110054612558</v>
      </c>
      <c r="L1665" s="61" t="str">
        <f>IFERROR(INDEX('Facility Summary'!$K:$K,MATCH(K1665,'Facility Summary'!$J:$J,0)),INDEX('Raw Annual DMR Data'!$M:$M,MATCH(K1665,'Raw Annual DMR Data'!$L:$L,0)))</f>
        <v>Unknown</v>
      </c>
      <c r="M1665" s="28"/>
      <c r="N1665" s="28"/>
      <c r="O1665" s="28"/>
      <c r="P1665" s="28"/>
      <c r="Q1665" s="28"/>
      <c r="R1665" s="28">
        <f t="shared" si="8"/>
        <v>5.2417063364624053E-2</v>
      </c>
      <c r="S1665" s="28">
        <v>2.3775979999999999E-2</v>
      </c>
    </row>
    <row r="1666" spans="1:19" x14ac:dyDescent="0.25">
      <c r="A1666" s="28">
        <v>2021</v>
      </c>
      <c r="B1666" s="28"/>
      <c r="C1666" s="28" t="s">
        <v>117</v>
      </c>
      <c r="D1666" s="28" t="s">
        <v>375</v>
      </c>
      <c r="E1666" s="28" t="s">
        <v>376</v>
      </c>
      <c r="F1666" s="28" t="s">
        <v>338</v>
      </c>
      <c r="G1666" s="28">
        <v>7305</v>
      </c>
      <c r="H1666" s="28">
        <v>40.724868000000001</v>
      </c>
      <c r="I1666" s="28">
        <v>-74.045564999999996</v>
      </c>
      <c r="J1666" s="28"/>
      <c r="K1666" s="61">
        <v>110001545070</v>
      </c>
      <c r="L1666" s="61" t="str">
        <f>IFERROR(INDEX('Facility Summary'!$K:$K,MATCH(K1666,'Facility Summary'!$J:$J,0)),INDEX('Raw Annual DMR Data'!$M:$M,MATCH(K1666,'Raw Annual DMR Data'!$L:$L,0)))</f>
        <v>Industrial and commercial non-aerosol cleaning/degreasing</v>
      </c>
      <c r="M1666" s="28"/>
      <c r="N1666" s="28"/>
      <c r="O1666" s="28"/>
      <c r="P1666" s="28"/>
      <c r="Q1666" s="28"/>
      <c r="R1666" s="28">
        <f t="shared" si="8"/>
        <v>4.6993426267289277E-5</v>
      </c>
      <c r="S1666" s="28">
        <v>2.1315859595E-5</v>
      </c>
    </row>
    <row r="1667" spans="1:19" x14ac:dyDescent="0.25">
      <c r="A1667" s="28">
        <v>2024</v>
      </c>
      <c r="B1667" s="28"/>
      <c r="C1667" s="28" t="s">
        <v>1032</v>
      </c>
      <c r="D1667" s="28" t="s">
        <v>1590</v>
      </c>
      <c r="E1667" s="28" t="s">
        <v>1033</v>
      </c>
      <c r="F1667" s="28" t="s">
        <v>324</v>
      </c>
      <c r="G1667" s="28">
        <v>41008</v>
      </c>
      <c r="H1667" s="28">
        <v>38.627777999999999</v>
      </c>
      <c r="I1667" s="28">
        <v>-85.115832999999995</v>
      </c>
      <c r="J1667" s="28"/>
      <c r="K1667" s="61">
        <v>110015632216</v>
      </c>
      <c r="L1667" s="61" t="str">
        <f>IFERROR(INDEX('Facility Summary'!$K:$K,MATCH(K1667,'Facility Summary'!$J:$J,0)),INDEX('Raw Annual DMR Data'!$M:$M,MATCH(K1667,'Raw Annual DMR Data'!$L:$L,0)))</f>
        <v>POTW</v>
      </c>
      <c r="M1667" s="28"/>
      <c r="N1667" s="28"/>
      <c r="O1667" s="28"/>
      <c r="P1667" s="28"/>
      <c r="Q1667" s="28"/>
      <c r="R1667" s="28">
        <f t="shared" si="8"/>
        <v>11.726103880451074</v>
      </c>
      <c r="S1667" s="28">
        <v>5.3188712499999999</v>
      </c>
    </row>
    <row r="1668" spans="1:19" x14ac:dyDescent="0.25">
      <c r="A1668" s="28">
        <v>2023</v>
      </c>
      <c r="B1668" s="28"/>
      <c r="C1668" s="28" t="s">
        <v>1032</v>
      </c>
      <c r="D1668" s="28" t="s">
        <v>1590</v>
      </c>
      <c r="E1668" s="28" t="s">
        <v>1033</v>
      </c>
      <c r="F1668" s="28" t="s">
        <v>324</v>
      </c>
      <c r="G1668" s="28">
        <v>41008</v>
      </c>
      <c r="H1668" s="28">
        <v>38.627777999999999</v>
      </c>
      <c r="I1668" s="28">
        <v>-85.115832999999995</v>
      </c>
      <c r="J1668" s="28"/>
      <c r="K1668" s="61">
        <v>110015632216</v>
      </c>
      <c r="L1668" s="61" t="str">
        <f>IFERROR(INDEX('Facility Summary'!$K:$K,MATCH(K1668,'Facility Summary'!$J:$J,0)),INDEX('Raw Annual DMR Data'!$M:$M,MATCH(K1668,'Raw Annual DMR Data'!$L:$L,0)))</f>
        <v>POTW</v>
      </c>
      <c r="M1668" s="28"/>
      <c r="N1668" s="28"/>
      <c r="O1668" s="28"/>
      <c r="P1668" s="28"/>
      <c r="Q1668" s="28"/>
      <c r="R1668" s="28">
        <f t="shared" si="8"/>
        <v>5.9620385314241506</v>
      </c>
      <c r="S1668" s="28">
        <v>2.7043351874999999</v>
      </c>
    </row>
    <row r="1669" spans="1:19" x14ac:dyDescent="0.25">
      <c r="A1669" s="28">
        <v>2024</v>
      </c>
      <c r="B1669" s="28"/>
      <c r="C1669" s="28" t="s">
        <v>6884</v>
      </c>
      <c r="D1669" s="28" t="s">
        <v>7058</v>
      </c>
      <c r="E1669" s="28" t="s">
        <v>7059</v>
      </c>
      <c r="F1669" s="28" t="s">
        <v>324</v>
      </c>
      <c r="G1669" s="28">
        <v>42749</v>
      </c>
      <c r="H1669" s="28">
        <v>37.17</v>
      </c>
      <c r="I1669" s="28">
        <v>-85.916111000000001</v>
      </c>
      <c r="J1669" s="28"/>
      <c r="K1669" s="61">
        <v>110006656083</v>
      </c>
      <c r="L1669" s="61" t="str">
        <f>IFERROR(INDEX('Facility Summary'!$K:$K,MATCH(K1669,'Facility Summary'!$J:$J,0)),INDEX('Raw Annual DMR Data'!$M:$M,MATCH(K1669,'Raw Annual DMR Data'!$L:$L,0)))</f>
        <v>POTW</v>
      </c>
      <c r="M1669" s="28"/>
      <c r="N1669" s="28"/>
      <c r="O1669" s="28"/>
      <c r="P1669" s="28"/>
      <c r="Q1669" s="28"/>
      <c r="R1669" s="28">
        <f t="shared" si="8"/>
        <v>1.1086498214244653</v>
      </c>
      <c r="S1669" s="28">
        <v>0.50287510000000002</v>
      </c>
    </row>
    <row r="1670" spans="1:19" x14ac:dyDescent="0.25">
      <c r="A1670" s="28">
        <v>2022</v>
      </c>
      <c r="B1670" s="28"/>
      <c r="C1670" s="28" t="s">
        <v>6859</v>
      </c>
      <c r="D1670" s="28" t="s">
        <v>7020</v>
      </c>
      <c r="E1670" s="28" t="s">
        <v>6939</v>
      </c>
      <c r="F1670" s="28" t="s">
        <v>366</v>
      </c>
      <c r="G1670" s="28">
        <v>93443</v>
      </c>
      <c r="H1670" s="28">
        <v>35.378917000000001</v>
      </c>
      <c r="I1670" s="28">
        <v>-120.886111</v>
      </c>
      <c r="J1670" s="28"/>
      <c r="K1670" s="61">
        <v>110070838708</v>
      </c>
      <c r="L1670" s="61" t="str">
        <f>IFERROR(INDEX('Facility Summary'!$K:$K,MATCH(K1670,'Facility Summary'!$J:$J,0)),INDEX('Raw Annual DMR Data'!$M:$M,MATCH(K1670,'Raw Annual DMR Data'!$L:$L,0)))</f>
        <v>POTW</v>
      </c>
      <c r="M1670" s="28"/>
      <c r="N1670" s="28"/>
      <c r="O1670" s="28"/>
      <c r="P1670" s="28"/>
      <c r="Q1670" s="28"/>
      <c r="R1670" s="28">
        <f t="shared" si="8"/>
        <v>9.0615066750351192E-2</v>
      </c>
      <c r="S1670" s="28">
        <v>4.1102302884999997E-2</v>
      </c>
    </row>
    <row r="1671" spans="1:19" x14ac:dyDescent="0.25">
      <c r="A1671" s="28">
        <v>2021</v>
      </c>
      <c r="B1671" s="28"/>
      <c r="C1671" s="28" t="s">
        <v>6859</v>
      </c>
      <c r="D1671" s="28" t="s">
        <v>7020</v>
      </c>
      <c r="E1671" s="28" t="s">
        <v>6939</v>
      </c>
      <c r="F1671" s="28" t="s">
        <v>366</v>
      </c>
      <c r="G1671" s="28">
        <v>93443</v>
      </c>
      <c r="H1671" s="28">
        <v>35.378917000000001</v>
      </c>
      <c r="I1671" s="28">
        <v>-120.886111</v>
      </c>
      <c r="J1671" s="28"/>
      <c r="K1671" s="61">
        <v>110070838708</v>
      </c>
      <c r="L1671" s="61" t="str">
        <f>IFERROR(INDEX('Facility Summary'!$K:$K,MATCH(K1671,'Facility Summary'!$J:$J,0)),INDEX('Raw Annual DMR Data'!$M:$M,MATCH(K1671,'Raw Annual DMR Data'!$L:$L,0)))</f>
        <v>POTW</v>
      </c>
      <c r="M1671" s="28"/>
      <c r="N1671" s="28"/>
      <c r="O1671" s="28"/>
      <c r="P1671" s="28"/>
      <c r="Q1671" s="28"/>
      <c r="R1671" s="28">
        <f t="shared" si="8"/>
        <v>8.917534485313322E-2</v>
      </c>
      <c r="S1671" s="28">
        <v>4.0449256017499997E-2</v>
      </c>
    </row>
    <row r="1672" spans="1:19" x14ac:dyDescent="0.25">
      <c r="A1672" s="28">
        <v>2023</v>
      </c>
      <c r="B1672" s="28"/>
      <c r="C1672" s="28" t="s">
        <v>6859</v>
      </c>
      <c r="D1672" s="28" t="s">
        <v>7020</v>
      </c>
      <c r="E1672" s="28" t="s">
        <v>6939</v>
      </c>
      <c r="F1672" s="28" t="s">
        <v>366</v>
      </c>
      <c r="G1672" s="28">
        <v>93443</v>
      </c>
      <c r="H1672" s="28">
        <v>35.378917000000001</v>
      </c>
      <c r="I1672" s="28">
        <v>-120.886111</v>
      </c>
      <c r="J1672" s="28"/>
      <c r="K1672" s="61">
        <v>110070838708</v>
      </c>
      <c r="L1672" s="61" t="str">
        <f>IFERROR(INDEX('Facility Summary'!$K:$K,MATCH(K1672,'Facility Summary'!$J:$J,0)),INDEX('Raw Annual DMR Data'!$M:$M,MATCH(K1672,'Raw Annual DMR Data'!$L:$L,0)))</f>
        <v>POTW</v>
      </c>
      <c r="M1672" s="28"/>
      <c r="N1672" s="28"/>
      <c r="O1672" s="28"/>
      <c r="P1672" s="28"/>
      <c r="Q1672" s="28"/>
      <c r="R1672" s="28">
        <f t="shared" si="8"/>
        <v>7.3896383783968844E-2</v>
      </c>
      <c r="S1672" s="28">
        <v>3.3518835854999998E-2</v>
      </c>
    </row>
    <row r="1673" spans="1:19" x14ac:dyDescent="0.25">
      <c r="A1673" s="28">
        <v>2024</v>
      </c>
      <c r="B1673" s="28"/>
      <c r="C1673" s="28" t="s">
        <v>6859</v>
      </c>
      <c r="D1673" s="28" t="s">
        <v>7020</v>
      </c>
      <c r="E1673" s="28" t="s">
        <v>6939</v>
      </c>
      <c r="F1673" s="28" t="s">
        <v>366</v>
      </c>
      <c r="G1673" s="28">
        <v>93443</v>
      </c>
      <c r="H1673" s="28">
        <v>35.378917000000001</v>
      </c>
      <c r="I1673" s="28">
        <v>-120.886111</v>
      </c>
      <c r="J1673" s="28"/>
      <c r="K1673" s="61">
        <v>110070838708</v>
      </c>
      <c r="L1673" s="61" t="str">
        <f>IFERROR(INDEX('Facility Summary'!$K:$K,MATCH(K1673,'Facility Summary'!$J:$J,0)),INDEX('Raw Annual DMR Data'!$M:$M,MATCH(K1673,'Raw Annual DMR Data'!$L:$L,0)))</f>
        <v>POTW</v>
      </c>
      <c r="M1673" s="28"/>
      <c r="N1673" s="28"/>
      <c r="O1673" s="28"/>
      <c r="P1673" s="28"/>
      <c r="Q1673" s="28"/>
      <c r="R1673" s="28">
        <f t="shared" si="8"/>
        <v>5.9781809601426934E-2</v>
      </c>
      <c r="S1673" s="28">
        <v>2.7116572700000001E-2</v>
      </c>
    </row>
    <row r="1674" spans="1:19" x14ac:dyDescent="0.25">
      <c r="A1674" s="28">
        <v>2022</v>
      </c>
      <c r="B1674" s="28"/>
      <c r="C1674" s="28" t="s">
        <v>1036</v>
      </c>
      <c r="D1674" s="28" t="s">
        <v>1597</v>
      </c>
      <c r="E1674" s="28" t="s">
        <v>446</v>
      </c>
      <c r="F1674" s="28" t="s">
        <v>303</v>
      </c>
      <c r="G1674" s="28">
        <v>70669</v>
      </c>
      <c r="H1674" s="28">
        <v>30.318283999999998</v>
      </c>
      <c r="I1674" s="28">
        <v>-93.303511999999998</v>
      </c>
      <c r="J1674" s="28"/>
      <c r="K1674" s="61">
        <v>110000613685</v>
      </c>
      <c r="L1674" s="61" t="str">
        <f>IFERROR(INDEX('Facility Summary'!$K:$K,MATCH(K1674,'Facility Summary'!$J:$J,0)),INDEX('Raw Annual DMR Data'!$M:$M,MATCH(K1674,'Raw Annual DMR Data'!$L:$L,0)))</f>
        <v>Waste Handling, Disposal and Treatment (Landfill)</v>
      </c>
      <c r="M1674" s="28"/>
      <c r="N1674" s="28"/>
      <c r="O1674" s="28"/>
      <c r="P1674" s="28"/>
      <c r="Q1674" s="28"/>
      <c r="R1674" s="28">
        <f t="shared" si="8"/>
        <v>1.0431663841699983</v>
      </c>
      <c r="S1674" s="28">
        <v>0.47317231250000003</v>
      </c>
    </row>
    <row r="1675" spans="1:19" x14ac:dyDescent="0.25">
      <c r="A1675" s="28">
        <v>2022</v>
      </c>
      <c r="B1675" s="28"/>
      <c r="C1675" s="28" t="s">
        <v>1036</v>
      </c>
      <c r="D1675" s="28" t="s">
        <v>1597</v>
      </c>
      <c r="E1675" s="28" t="s">
        <v>446</v>
      </c>
      <c r="F1675" s="28" t="s">
        <v>303</v>
      </c>
      <c r="G1675" s="28">
        <v>70669</v>
      </c>
      <c r="H1675" s="28">
        <v>30.318283999999998</v>
      </c>
      <c r="I1675" s="28">
        <v>-93.303511999999998</v>
      </c>
      <c r="J1675" s="28"/>
      <c r="K1675" s="61">
        <v>110000613685</v>
      </c>
      <c r="L1675" s="61" t="str">
        <f>IFERROR(INDEX('Facility Summary'!$K:$K,MATCH(K1675,'Facility Summary'!$J:$J,0)),INDEX('Raw Annual DMR Data'!$M:$M,MATCH(K1675,'Raw Annual DMR Data'!$L:$L,0)))</f>
        <v>Waste Handling, Disposal and Treatment (Landfill)</v>
      </c>
      <c r="M1675" s="28"/>
      <c r="N1675" s="28"/>
      <c r="O1675" s="28"/>
      <c r="P1675" s="28"/>
      <c r="Q1675" s="28"/>
      <c r="R1675" s="28">
        <f t="shared" si="8"/>
        <v>0.76904967008153158</v>
      </c>
      <c r="S1675" s="28">
        <v>0.34883506250000001</v>
      </c>
    </row>
    <row r="1676" spans="1:19" x14ac:dyDescent="0.25">
      <c r="A1676" s="28">
        <v>2021</v>
      </c>
      <c r="B1676" s="28"/>
      <c r="C1676" s="28" t="s">
        <v>1036</v>
      </c>
      <c r="D1676" s="28" t="s">
        <v>1597</v>
      </c>
      <c r="E1676" s="28" t="s">
        <v>446</v>
      </c>
      <c r="F1676" s="28" t="s">
        <v>303</v>
      </c>
      <c r="G1676" s="28">
        <v>70669</v>
      </c>
      <c r="H1676" s="28">
        <v>30.318283999999998</v>
      </c>
      <c r="I1676" s="28">
        <v>-93.303511999999998</v>
      </c>
      <c r="J1676" s="28"/>
      <c r="K1676" s="61">
        <v>110000613685</v>
      </c>
      <c r="L1676" s="61" t="str">
        <f>IFERROR(INDEX('Facility Summary'!$K:$K,MATCH(K1676,'Facility Summary'!$J:$J,0)),INDEX('Raw Annual DMR Data'!$M:$M,MATCH(K1676,'Raw Annual DMR Data'!$L:$L,0)))</f>
        <v>Waste Handling, Disposal and Treatment (Landfill)</v>
      </c>
      <c r="M1676" s="28"/>
      <c r="N1676" s="28"/>
      <c r="O1676" s="28"/>
      <c r="P1676" s="28"/>
      <c r="Q1676" s="28"/>
      <c r="R1676" s="28">
        <f t="shared" si="8"/>
        <v>0.67006307888291872</v>
      </c>
      <c r="S1676" s="28">
        <v>0.30393550000000003</v>
      </c>
    </row>
    <row r="1677" spans="1:19" x14ac:dyDescent="0.25">
      <c r="A1677" s="28">
        <v>2021</v>
      </c>
      <c r="B1677" s="28"/>
      <c r="C1677" s="28" t="s">
        <v>1036</v>
      </c>
      <c r="D1677" s="28" t="s">
        <v>1597</v>
      </c>
      <c r="E1677" s="28" t="s">
        <v>446</v>
      </c>
      <c r="F1677" s="28" t="s">
        <v>303</v>
      </c>
      <c r="G1677" s="28">
        <v>70669</v>
      </c>
      <c r="H1677" s="28">
        <v>30.318283999999998</v>
      </c>
      <c r="I1677" s="28">
        <v>-93.303511999999998</v>
      </c>
      <c r="J1677" s="28"/>
      <c r="K1677" s="61">
        <v>110000613685</v>
      </c>
      <c r="L1677" s="61" t="str">
        <f>IFERROR(INDEX('Facility Summary'!$K:$K,MATCH(K1677,'Facility Summary'!$J:$J,0)),INDEX('Raw Annual DMR Data'!$M:$M,MATCH(K1677,'Raw Annual DMR Data'!$L:$L,0)))</f>
        <v>Waste Handling, Disposal and Treatment (Landfill)</v>
      </c>
      <c r="M1677" s="28"/>
      <c r="N1677" s="28"/>
      <c r="O1677" s="28"/>
      <c r="P1677" s="28"/>
      <c r="Q1677" s="28"/>
      <c r="R1677" s="28">
        <f t="shared" si="8"/>
        <v>0.49493295599306486</v>
      </c>
      <c r="S1677" s="28">
        <v>0.2244978125</v>
      </c>
    </row>
    <row r="1678" spans="1:19" x14ac:dyDescent="0.25">
      <c r="A1678" s="28">
        <v>2022</v>
      </c>
      <c r="B1678" s="28"/>
      <c r="C1678" s="28" t="s">
        <v>1036</v>
      </c>
      <c r="D1678" s="28" t="s">
        <v>1597</v>
      </c>
      <c r="E1678" s="28" t="s">
        <v>446</v>
      </c>
      <c r="F1678" s="28" t="s">
        <v>303</v>
      </c>
      <c r="G1678" s="28">
        <v>70669</v>
      </c>
      <c r="H1678" s="28">
        <v>30.318283999999998</v>
      </c>
      <c r="I1678" s="28">
        <v>-93.303511999999998</v>
      </c>
      <c r="J1678" s="28"/>
      <c r="K1678" s="61">
        <v>110000613685</v>
      </c>
      <c r="L1678" s="61" t="str">
        <f>IFERROR(INDEX('Facility Summary'!$K:$K,MATCH(K1678,'Facility Summary'!$J:$J,0)),INDEX('Raw Annual DMR Data'!$M:$M,MATCH(K1678,'Raw Annual DMR Data'!$L:$L,0)))</f>
        <v>Waste Handling, Disposal and Treatment (Landfill)</v>
      </c>
      <c r="M1678" s="28"/>
      <c r="N1678" s="28"/>
      <c r="O1678" s="28"/>
      <c r="P1678" s="28"/>
      <c r="Q1678" s="28"/>
      <c r="R1678" s="28">
        <f t="shared" si="8"/>
        <v>0.2665023609193426</v>
      </c>
      <c r="S1678" s="28">
        <v>0.1208834375</v>
      </c>
    </row>
    <row r="1679" spans="1:19" x14ac:dyDescent="0.25">
      <c r="A1679" s="28">
        <v>2021</v>
      </c>
      <c r="B1679" s="28"/>
      <c r="C1679" s="28" t="s">
        <v>1036</v>
      </c>
      <c r="D1679" s="28" t="s">
        <v>1597</v>
      </c>
      <c r="E1679" s="28" t="s">
        <v>446</v>
      </c>
      <c r="F1679" s="28" t="s">
        <v>303</v>
      </c>
      <c r="G1679" s="28">
        <v>70669</v>
      </c>
      <c r="H1679" s="28">
        <v>30.318283999999998</v>
      </c>
      <c r="I1679" s="28">
        <v>-93.303511999999998</v>
      </c>
      <c r="J1679" s="28"/>
      <c r="K1679" s="61">
        <v>110000613685</v>
      </c>
      <c r="L1679" s="61" t="str">
        <f>IFERROR(INDEX('Facility Summary'!$K:$K,MATCH(K1679,'Facility Summary'!$J:$J,0)),INDEX('Raw Annual DMR Data'!$M:$M,MATCH(K1679,'Raw Annual DMR Data'!$L:$L,0)))</f>
        <v>Waste Handling, Disposal and Treatment (Landfill)</v>
      </c>
      <c r="M1679" s="28"/>
      <c r="N1679" s="28"/>
      <c r="O1679" s="28"/>
      <c r="P1679" s="28"/>
      <c r="Q1679" s="28"/>
      <c r="R1679" s="28">
        <f t="shared" si="8"/>
        <v>0.17513012288985375</v>
      </c>
      <c r="S1679" s="28">
        <v>7.9437687500000007E-2</v>
      </c>
    </row>
    <row r="1680" spans="1:19" x14ac:dyDescent="0.25">
      <c r="A1680" s="28">
        <v>2024</v>
      </c>
      <c r="B1680" s="28"/>
      <c r="C1680" s="28" t="s">
        <v>1037</v>
      </c>
      <c r="D1680" s="28" t="s">
        <v>1601</v>
      </c>
      <c r="E1680" s="28" t="s">
        <v>987</v>
      </c>
      <c r="F1680" s="28" t="s">
        <v>324</v>
      </c>
      <c r="G1680" s="28">
        <v>40291</v>
      </c>
      <c r="H1680" s="28">
        <v>38.122354000000001</v>
      </c>
      <c r="I1680" s="28">
        <v>-85.587648000000002</v>
      </c>
      <c r="J1680" s="28"/>
      <c r="K1680" s="61">
        <v>110043485421</v>
      </c>
      <c r="L1680" s="61" t="str">
        <f>IFERROR(INDEX('Facility Summary'!$K:$K,MATCH(K1680,'Facility Summary'!$J:$J,0)),INDEX('Raw Annual DMR Data'!$M:$M,MATCH(K1680,'Raw Annual DMR Data'!$L:$L,0)))</f>
        <v>POTW</v>
      </c>
      <c r="M1680" s="28"/>
      <c r="N1680" s="28"/>
      <c r="O1680" s="28"/>
      <c r="P1680" s="28"/>
      <c r="Q1680" s="28"/>
      <c r="R1680" s="28">
        <f t="shared" si="8"/>
        <v>52.653252164492976</v>
      </c>
      <c r="S1680" s="28">
        <v>23.8831134375</v>
      </c>
    </row>
    <row r="1681" spans="1:19" x14ac:dyDescent="0.25">
      <c r="A1681" s="28">
        <v>2021</v>
      </c>
      <c r="B1681" s="28"/>
      <c r="C1681" s="28" t="s">
        <v>1037</v>
      </c>
      <c r="D1681" s="28" t="s">
        <v>1601</v>
      </c>
      <c r="E1681" s="28" t="s">
        <v>987</v>
      </c>
      <c r="F1681" s="28" t="s">
        <v>324</v>
      </c>
      <c r="G1681" s="28">
        <v>40291</v>
      </c>
      <c r="H1681" s="28">
        <v>38.122354000000001</v>
      </c>
      <c r="I1681" s="28">
        <v>-85.587648000000002</v>
      </c>
      <c r="J1681" s="28"/>
      <c r="K1681" s="61">
        <v>110043485421</v>
      </c>
      <c r="L1681" s="61" t="str">
        <f>IFERROR(INDEX('Facility Summary'!$K:$K,MATCH(K1681,'Facility Summary'!$J:$J,0)),INDEX('Raw Annual DMR Data'!$M:$M,MATCH(K1681,'Raw Annual DMR Data'!$L:$L,0)))</f>
        <v>POTW</v>
      </c>
      <c r="M1681" s="28"/>
      <c r="N1681" s="28"/>
      <c r="O1681" s="28"/>
      <c r="P1681" s="28"/>
      <c r="Q1681" s="28"/>
      <c r="R1681" s="28">
        <f t="shared" si="8"/>
        <v>46.584612688701085</v>
      </c>
      <c r="S1681" s="28">
        <v>21.130424874999999</v>
      </c>
    </row>
    <row r="1682" spans="1:19" x14ac:dyDescent="0.25">
      <c r="A1682" s="28">
        <v>2022</v>
      </c>
      <c r="B1682" s="28"/>
      <c r="C1682" s="28" t="s">
        <v>1037</v>
      </c>
      <c r="D1682" s="28" t="s">
        <v>1601</v>
      </c>
      <c r="E1682" s="28" t="s">
        <v>987</v>
      </c>
      <c r="F1682" s="28" t="s">
        <v>324</v>
      </c>
      <c r="G1682" s="28">
        <v>40291</v>
      </c>
      <c r="H1682" s="28">
        <v>38.122354000000001</v>
      </c>
      <c r="I1682" s="28">
        <v>-85.587648000000002</v>
      </c>
      <c r="J1682" s="28"/>
      <c r="K1682" s="61">
        <v>110043485421</v>
      </c>
      <c r="L1682" s="61" t="str">
        <f>IFERROR(INDEX('Facility Summary'!$K:$K,MATCH(K1682,'Facility Summary'!$J:$J,0)),INDEX('Raw Annual DMR Data'!$M:$M,MATCH(K1682,'Raw Annual DMR Data'!$L:$L,0)))</f>
        <v>POTW</v>
      </c>
      <c r="M1682" s="28"/>
      <c r="N1682" s="28"/>
      <c r="O1682" s="28"/>
      <c r="P1682" s="28"/>
      <c r="Q1682" s="28"/>
      <c r="R1682" s="28">
        <f t="shared" si="8"/>
        <v>44.239391912610877</v>
      </c>
      <c r="S1682" s="28">
        <v>20.066650625000001</v>
      </c>
    </row>
    <row r="1683" spans="1:19" x14ac:dyDescent="0.25">
      <c r="A1683" s="28">
        <v>2023</v>
      </c>
      <c r="B1683" s="28"/>
      <c r="C1683" s="28" t="s">
        <v>1037</v>
      </c>
      <c r="D1683" s="28" t="s">
        <v>1601</v>
      </c>
      <c r="E1683" s="28" t="s">
        <v>987</v>
      </c>
      <c r="F1683" s="28" t="s">
        <v>324</v>
      </c>
      <c r="G1683" s="28">
        <v>40291</v>
      </c>
      <c r="H1683" s="28">
        <v>38.122354000000001</v>
      </c>
      <c r="I1683" s="28">
        <v>-85.587648000000002</v>
      </c>
      <c r="J1683" s="28"/>
      <c r="K1683" s="61">
        <v>110043485421</v>
      </c>
      <c r="L1683" s="61" t="str">
        <f>IFERROR(INDEX('Facility Summary'!$K:$K,MATCH(K1683,'Facility Summary'!$J:$J,0)),INDEX('Raw Annual DMR Data'!$M:$M,MATCH(K1683,'Raw Annual DMR Data'!$L:$L,0)))</f>
        <v>POTW</v>
      </c>
      <c r="M1683" s="28"/>
      <c r="N1683" s="28"/>
      <c r="O1683" s="28"/>
      <c r="P1683" s="28"/>
      <c r="Q1683" s="28"/>
      <c r="R1683" s="28">
        <f t="shared" si="8"/>
        <v>35.977818724111252</v>
      </c>
      <c r="S1683" s="28">
        <v>16.3192640625</v>
      </c>
    </row>
    <row r="1684" spans="1:19" x14ac:dyDescent="0.25">
      <c r="A1684" s="28">
        <v>2021</v>
      </c>
      <c r="B1684" s="28"/>
      <c r="C1684" s="28" t="s">
        <v>1038</v>
      </c>
      <c r="D1684" s="28" t="s">
        <v>1605</v>
      </c>
      <c r="E1684" s="28" t="s">
        <v>1039</v>
      </c>
      <c r="F1684" s="28" t="s">
        <v>324</v>
      </c>
      <c r="G1684" s="28">
        <v>42330</v>
      </c>
      <c r="H1684" s="28">
        <v>37.326943999999997</v>
      </c>
      <c r="I1684" s="28">
        <v>-87.123889000000005</v>
      </c>
      <c r="J1684" s="28"/>
      <c r="K1684" s="61">
        <v>110064265496</v>
      </c>
      <c r="L1684" s="61" t="str">
        <f>IFERROR(INDEX('Facility Summary'!$K:$K,MATCH(K1684,'Facility Summary'!$J:$J,0)),INDEX('Raw Annual DMR Data'!$M:$M,MATCH(K1684,'Raw Annual DMR Data'!$L:$L,0)))</f>
        <v>POTW</v>
      </c>
      <c r="M1684" s="28"/>
      <c r="N1684" s="28"/>
      <c r="O1684" s="28"/>
      <c r="P1684" s="28"/>
      <c r="Q1684" s="28"/>
      <c r="R1684" s="28">
        <f t="shared" si="8"/>
        <v>4.9188721472541523</v>
      </c>
      <c r="S1684" s="28">
        <v>2.2311628749999999</v>
      </c>
    </row>
    <row r="1685" spans="1:19" x14ac:dyDescent="0.25">
      <c r="A1685" s="28">
        <v>2023</v>
      </c>
      <c r="B1685" s="28"/>
      <c r="C1685" s="28" t="s">
        <v>1038</v>
      </c>
      <c r="D1685" s="28" t="s">
        <v>1605</v>
      </c>
      <c r="E1685" s="28" t="s">
        <v>1039</v>
      </c>
      <c r="F1685" s="28" t="s">
        <v>324</v>
      </c>
      <c r="G1685" s="28">
        <v>42330</v>
      </c>
      <c r="H1685" s="28">
        <v>37.326943999999997</v>
      </c>
      <c r="I1685" s="28">
        <v>-87.123889000000005</v>
      </c>
      <c r="J1685" s="28"/>
      <c r="K1685" s="61">
        <v>110064265496</v>
      </c>
      <c r="L1685" s="61" t="str">
        <f>IFERROR(INDEX('Facility Summary'!$K:$K,MATCH(K1685,'Facility Summary'!$J:$J,0)),INDEX('Raw Annual DMR Data'!$M:$M,MATCH(K1685,'Raw Annual DMR Data'!$L:$L,0)))</f>
        <v>POTW</v>
      </c>
      <c r="M1685" s="28"/>
      <c r="N1685" s="28"/>
      <c r="O1685" s="28"/>
      <c r="P1685" s="28"/>
      <c r="Q1685" s="28"/>
      <c r="R1685" s="28">
        <f t="shared" si="8"/>
        <v>1.3157602276246401E-3</v>
      </c>
      <c r="S1685" s="28">
        <v>5.9681879999999999E-4</v>
      </c>
    </row>
    <row r="1686" spans="1:19" x14ac:dyDescent="0.25">
      <c r="A1686" s="28">
        <v>2023</v>
      </c>
      <c r="B1686" s="28"/>
      <c r="C1686" s="28" t="s">
        <v>6841</v>
      </c>
      <c r="D1686" s="28" t="s">
        <v>1913</v>
      </c>
      <c r="E1686" s="28" t="s">
        <v>1187</v>
      </c>
      <c r="F1686" s="28" t="s">
        <v>478</v>
      </c>
      <c r="G1686" s="28" t="s">
        <v>6997</v>
      </c>
      <c r="H1686" s="28">
        <v>38.631867</v>
      </c>
      <c r="I1686" s="28">
        <v>-75.628372999999996</v>
      </c>
      <c r="J1686" s="28"/>
      <c r="K1686" s="61">
        <v>110000339027</v>
      </c>
      <c r="L1686" s="61" t="str">
        <f>IFERROR(INDEX('Facility Summary'!$K:$K,MATCH(K1686,'Facility Summary'!$J:$J,0)),INDEX('Raw Annual DMR Data'!$M:$M,MATCH(K1686,'Raw Annual DMR Data'!$L:$L,0)))</f>
        <v>Processing as a Reactant</v>
      </c>
      <c r="M1686" s="28"/>
      <c r="N1686" s="28"/>
      <c r="O1686" s="28"/>
      <c r="P1686" s="28"/>
      <c r="Q1686" s="28"/>
      <c r="R1686" s="28">
        <f t="shared" si="8"/>
        <v>1.2411143511959868E-4</v>
      </c>
      <c r="S1686" s="28">
        <v>5.6295999999999998E-5</v>
      </c>
    </row>
    <row r="1687" spans="1:19" x14ac:dyDescent="0.25">
      <c r="A1687" s="28">
        <v>2024</v>
      </c>
      <c r="B1687" s="28"/>
      <c r="C1687" s="28" t="s">
        <v>119</v>
      </c>
      <c r="D1687" s="28" t="s">
        <v>380</v>
      </c>
      <c r="E1687" s="28" t="s">
        <v>381</v>
      </c>
      <c r="F1687" s="28" t="s">
        <v>338</v>
      </c>
      <c r="G1687" s="28">
        <v>8014</v>
      </c>
      <c r="H1687" s="28">
        <v>39.799250000000001</v>
      </c>
      <c r="I1687" s="28">
        <v>-75.33296</v>
      </c>
      <c r="J1687" s="28"/>
      <c r="K1687" s="61">
        <v>110009721836</v>
      </c>
      <c r="L1687" s="61" t="str">
        <f>IFERROR(INDEX('Facility Summary'!$K:$K,MATCH(K1687,'Facility Summary'!$J:$J,0)),INDEX('Raw Annual DMR Data'!$M:$M,MATCH(K1687,'Raw Annual DMR Data'!$L:$L,0)))</f>
        <v>Repackaging</v>
      </c>
      <c r="M1687" s="28"/>
      <c r="N1687" s="28"/>
      <c r="O1687" s="28"/>
      <c r="P1687" s="28"/>
      <c r="Q1687" s="28"/>
      <c r="R1687" s="28">
        <f t="shared" si="8"/>
        <v>0.17784566257959764</v>
      </c>
      <c r="S1687" s="28">
        <v>8.0669435583700003E-2</v>
      </c>
    </row>
    <row r="1688" spans="1:19" x14ac:dyDescent="0.25">
      <c r="A1688" s="28">
        <v>2021</v>
      </c>
      <c r="B1688" s="28"/>
      <c r="C1688" s="28" t="s">
        <v>119</v>
      </c>
      <c r="D1688" s="28" t="s">
        <v>380</v>
      </c>
      <c r="E1688" s="28" t="s">
        <v>381</v>
      </c>
      <c r="F1688" s="28" t="s">
        <v>338</v>
      </c>
      <c r="G1688" s="28">
        <v>8014</v>
      </c>
      <c r="H1688" s="28">
        <v>39.799250000000001</v>
      </c>
      <c r="I1688" s="28">
        <v>-75.33296</v>
      </c>
      <c r="J1688" s="28"/>
      <c r="K1688" s="61">
        <v>110009721836</v>
      </c>
      <c r="L1688" s="61" t="str">
        <f>IFERROR(INDEX('Facility Summary'!$K:$K,MATCH(K1688,'Facility Summary'!$J:$J,0)),INDEX('Raw Annual DMR Data'!$M:$M,MATCH(K1688,'Raw Annual DMR Data'!$L:$L,0)))</f>
        <v>Repackaging</v>
      </c>
      <c r="M1688" s="28"/>
      <c r="N1688" s="28"/>
      <c r="O1688" s="28"/>
      <c r="P1688" s="28"/>
      <c r="Q1688" s="28"/>
      <c r="R1688" s="28">
        <f t="shared" si="8"/>
        <v>5.2036603710507744E-2</v>
      </c>
      <c r="S1688" s="28">
        <v>2.3603406403800001E-2</v>
      </c>
    </row>
    <row r="1689" spans="1:19" x14ac:dyDescent="0.25">
      <c r="A1689" s="28">
        <v>2022</v>
      </c>
      <c r="B1689" s="28"/>
      <c r="C1689" s="28" t="s">
        <v>119</v>
      </c>
      <c r="D1689" s="28" t="s">
        <v>380</v>
      </c>
      <c r="E1689" s="28" t="s">
        <v>381</v>
      </c>
      <c r="F1689" s="28" t="s">
        <v>338</v>
      </c>
      <c r="G1689" s="28">
        <v>8014</v>
      </c>
      <c r="H1689" s="28">
        <v>39.799250000000001</v>
      </c>
      <c r="I1689" s="28">
        <v>-75.33296</v>
      </c>
      <c r="J1689" s="28"/>
      <c r="K1689" s="61">
        <v>110009721836</v>
      </c>
      <c r="L1689" s="61" t="str">
        <f>IFERROR(INDEX('Facility Summary'!$K:$K,MATCH(K1689,'Facility Summary'!$J:$J,0)),INDEX('Raw Annual DMR Data'!$M:$M,MATCH(K1689,'Raw Annual DMR Data'!$L:$L,0)))</f>
        <v>Repackaging</v>
      </c>
      <c r="M1689" s="28"/>
      <c r="N1689" s="28"/>
      <c r="O1689" s="28"/>
      <c r="P1689" s="28"/>
      <c r="Q1689" s="28"/>
      <c r="R1689" s="28">
        <f t="shared" si="8"/>
        <v>4.9943914605309607E-2</v>
      </c>
      <c r="S1689" s="28">
        <v>2.26541785929E-2</v>
      </c>
    </row>
    <row r="1690" spans="1:19" x14ac:dyDescent="0.25">
      <c r="A1690" s="28">
        <v>2023</v>
      </c>
      <c r="B1690" s="28"/>
      <c r="C1690" s="28" t="s">
        <v>119</v>
      </c>
      <c r="D1690" s="28" t="s">
        <v>380</v>
      </c>
      <c r="E1690" s="28" t="s">
        <v>381</v>
      </c>
      <c r="F1690" s="28" t="s">
        <v>338</v>
      </c>
      <c r="G1690" s="28" t="s">
        <v>1608</v>
      </c>
      <c r="H1690" s="28">
        <v>39.799250000000001</v>
      </c>
      <c r="I1690" s="28">
        <v>-75.33296</v>
      </c>
      <c r="J1690" s="28"/>
      <c r="K1690" s="61">
        <v>110009721836</v>
      </c>
      <c r="L1690" s="61" t="str">
        <f>IFERROR(INDEX('Facility Summary'!$K:$K,MATCH(K1690,'Facility Summary'!$J:$J,0)),INDEX('Raw Annual DMR Data'!$M:$M,MATCH(K1690,'Raw Annual DMR Data'!$L:$L,0)))</f>
        <v>Repackaging</v>
      </c>
      <c r="M1690" s="28"/>
      <c r="N1690" s="28"/>
      <c r="O1690" s="28"/>
      <c r="P1690" s="28"/>
      <c r="Q1690" s="28"/>
      <c r="R1690" s="28">
        <f t="shared" si="8"/>
        <v>3.8090153110820625E-2</v>
      </c>
      <c r="S1690" s="28">
        <v>1.7277402823199998E-2</v>
      </c>
    </row>
    <row r="1691" spans="1:19" x14ac:dyDescent="0.25">
      <c r="A1691" s="28">
        <v>2022</v>
      </c>
      <c r="B1691" s="28"/>
      <c r="C1691" s="28" t="s">
        <v>6841</v>
      </c>
      <c r="D1691" s="28" t="s">
        <v>1913</v>
      </c>
      <c r="E1691" s="28" t="s">
        <v>1187</v>
      </c>
      <c r="F1691" s="28" t="s">
        <v>478</v>
      </c>
      <c r="G1691" s="28" t="s">
        <v>6997</v>
      </c>
      <c r="H1691" s="28">
        <v>38.631867</v>
      </c>
      <c r="I1691" s="28">
        <v>-75.628372999999996</v>
      </c>
      <c r="J1691" s="28"/>
      <c r="K1691" s="61">
        <v>110000339027</v>
      </c>
      <c r="L1691" s="61" t="str">
        <f>IFERROR(INDEX('Facility Summary'!$K:$K,MATCH(K1691,'Facility Summary'!$J:$J,0)),INDEX('Raw Annual DMR Data'!$M:$M,MATCH(K1691,'Raw Annual DMR Data'!$L:$L,0)))</f>
        <v>Processing as a Reactant</v>
      </c>
      <c r="M1691" s="28"/>
      <c r="N1691" s="28"/>
      <c r="O1691" s="28"/>
      <c r="P1691" s="28"/>
      <c r="Q1691" s="28"/>
      <c r="R1691" s="28">
        <f t="shared" si="8"/>
        <v>3.102785877989967E-5</v>
      </c>
      <c r="S1691" s="28">
        <v>1.4073999999999999E-5</v>
      </c>
    </row>
    <row r="1692" spans="1:19" x14ac:dyDescent="0.25">
      <c r="A1692" s="28">
        <v>2022</v>
      </c>
      <c r="B1692" s="28"/>
      <c r="C1692" s="28" t="s">
        <v>123</v>
      </c>
      <c r="D1692" s="28" t="s">
        <v>394</v>
      </c>
      <c r="E1692" s="28" t="s">
        <v>6944</v>
      </c>
      <c r="F1692" s="28" t="s">
        <v>338</v>
      </c>
      <c r="G1692" s="28">
        <v>8069</v>
      </c>
      <c r="H1692" s="28">
        <v>39.698279999999997</v>
      </c>
      <c r="I1692" s="28">
        <v>-75.503974999999997</v>
      </c>
      <c r="J1692" s="28" t="s">
        <v>396</v>
      </c>
      <c r="K1692" s="61">
        <v>110007970142</v>
      </c>
      <c r="L1692" s="61" t="str">
        <f>IFERROR(INDEX('Facility Summary'!$K:$K,MATCH(K1692,'Facility Summary'!$J:$J,0)),INDEX('Raw Annual DMR Data'!$M:$M,MATCH(K1692,'Raw Annual DMR Data'!$L:$L,0)))</f>
        <v>Manufacturing</v>
      </c>
      <c r="M1692" s="28"/>
      <c r="N1692" s="28"/>
      <c r="O1692" s="28"/>
      <c r="P1692" s="28"/>
      <c r="Q1692" s="28"/>
      <c r="R1692" s="28">
        <f t="shared" si="8"/>
        <v>24.779958269580241</v>
      </c>
      <c r="S1692" s="28">
        <v>11.24</v>
      </c>
    </row>
    <row r="1693" spans="1:19" x14ac:dyDescent="0.25">
      <c r="A1693" s="28">
        <v>2021</v>
      </c>
      <c r="B1693" s="28"/>
      <c r="C1693" s="28" t="s">
        <v>123</v>
      </c>
      <c r="D1693" s="28" t="s">
        <v>394</v>
      </c>
      <c r="E1693" s="28" t="s">
        <v>6944</v>
      </c>
      <c r="F1693" s="28" t="s">
        <v>338</v>
      </c>
      <c r="G1693" s="28">
        <v>8069</v>
      </c>
      <c r="H1693" s="28">
        <v>39.698279999999997</v>
      </c>
      <c r="I1693" s="28">
        <v>-75.503974999999997</v>
      </c>
      <c r="J1693" s="28" t="s">
        <v>396</v>
      </c>
      <c r="K1693" s="61">
        <v>110007970142</v>
      </c>
      <c r="L1693" s="61" t="str">
        <f>IFERROR(INDEX('Facility Summary'!$K:$K,MATCH(K1693,'Facility Summary'!$J:$J,0)),INDEX('Raw Annual DMR Data'!$M:$M,MATCH(K1693,'Raw Annual DMR Data'!$L:$L,0)))</f>
        <v>Manufacturing</v>
      </c>
      <c r="M1693" s="28"/>
      <c r="N1693" s="28"/>
      <c r="O1693" s="28"/>
      <c r="P1693" s="28"/>
      <c r="Q1693" s="28"/>
      <c r="R1693" s="28">
        <f t="shared" si="8"/>
        <v>21.56672079823565</v>
      </c>
      <c r="S1693" s="28">
        <v>9.7825000000000006</v>
      </c>
    </row>
    <row r="1694" spans="1:19" x14ac:dyDescent="0.25">
      <c r="A1694" s="28">
        <v>2024</v>
      </c>
      <c r="B1694" s="28"/>
      <c r="C1694" s="28" t="s">
        <v>123</v>
      </c>
      <c r="D1694" s="28" t="s">
        <v>394</v>
      </c>
      <c r="E1694" s="28" t="s">
        <v>6944</v>
      </c>
      <c r="F1694" s="28" t="s">
        <v>338</v>
      </c>
      <c r="G1694" s="28">
        <v>8069</v>
      </c>
      <c r="H1694" s="28">
        <v>39.698279999999997</v>
      </c>
      <c r="I1694" s="28">
        <v>-75.503974999999997</v>
      </c>
      <c r="J1694" s="28" t="s">
        <v>396</v>
      </c>
      <c r="K1694" s="61">
        <v>110007970142</v>
      </c>
      <c r="L1694" s="61" t="str">
        <f>IFERROR(INDEX('Facility Summary'!$K:$K,MATCH(K1694,'Facility Summary'!$J:$J,0)),INDEX('Raw Annual DMR Data'!$M:$M,MATCH(K1694,'Raw Annual DMR Data'!$L:$L,0)))</f>
        <v>Manufacturing</v>
      </c>
      <c r="M1694" s="28"/>
      <c r="N1694" s="28"/>
      <c r="O1694" s="28"/>
      <c r="P1694" s="28"/>
      <c r="Q1694" s="28"/>
      <c r="R1694" s="28">
        <f t="shared" si="8"/>
        <v>21.021076699328077</v>
      </c>
      <c r="S1694" s="28">
        <v>9.5350000000000001</v>
      </c>
    </row>
    <row r="1695" spans="1:19" x14ac:dyDescent="0.25">
      <c r="A1695" s="28">
        <v>2023</v>
      </c>
      <c r="B1695" s="28"/>
      <c r="C1695" s="28" t="s">
        <v>123</v>
      </c>
      <c r="D1695" s="28" t="s">
        <v>394</v>
      </c>
      <c r="E1695" s="28" t="s">
        <v>6944</v>
      </c>
      <c r="F1695" s="28" t="s">
        <v>338</v>
      </c>
      <c r="G1695" s="28" t="s">
        <v>7087</v>
      </c>
      <c r="H1695" s="28">
        <v>39.698279999999997</v>
      </c>
      <c r="I1695" s="28">
        <v>-75.503974999999997</v>
      </c>
      <c r="J1695" s="28" t="s">
        <v>396</v>
      </c>
      <c r="K1695" s="61">
        <v>110007970142</v>
      </c>
      <c r="L1695" s="61" t="str">
        <f>IFERROR(INDEX('Facility Summary'!$K:$K,MATCH(K1695,'Facility Summary'!$J:$J,0)),INDEX('Raw Annual DMR Data'!$M:$M,MATCH(K1695,'Raw Annual DMR Data'!$L:$L,0)))</f>
        <v>Manufacturing</v>
      </c>
      <c r="M1695" s="28"/>
      <c r="N1695" s="28"/>
      <c r="O1695" s="28"/>
      <c r="P1695" s="28"/>
      <c r="Q1695" s="28"/>
      <c r="R1695" s="28">
        <f t="shared" si="8"/>
        <v>18.920071340706198</v>
      </c>
      <c r="S1695" s="28">
        <v>8.5820000000000007</v>
      </c>
    </row>
    <row r="1696" spans="1:19" x14ac:dyDescent="0.25">
      <c r="A1696" s="28">
        <v>2021</v>
      </c>
      <c r="B1696" s="28"/>
      <c r="C1696" s="28" t="s">
        <v>1044</v>
      </c>
      <c r="D1696" s="28" t="s">
        <v>1617</v>
      </c>
      <c r="E1696" s="28" t="s">
        <v>1045</v>
      </c>
      <c r="F1696" s="28" t="s">
        <v>427</v>
      </c>
      <c r="G1696" s="28">
        <v>48843</v>
      </c>
      <c r="H1696" s="28">
        <v>42.592550000000003</v>
      </c>
      <c r="I1696" s="28">
        <v>-83.889930000000007</v>
      </c>
      <c r="J1696" s="28"/>
      <c r="K1696" s="61">
        <v>110000408265</v>
      </c>
      <c r="L1696" s="61" t="str">
        <f>IFERROR(INDEX('Facility Summary'!$K:$K,MATCH(K1696,'Facility Summary'!$J:$J,0)),INDEX('Raw Annual DMR Data'!$M:$M,MATCH(K1696,'Raw Annual DMR Data'!$L:$L,0)))</f>
        <v>Unknown</v>
      </c>
      <c r="M1696" s="28"/>
      <c r="N1696" s="28"/>
      <c r="O1696" s="28"/>
      <c r="P1696" s="28"/>
      <c r="Q1696" s="28"/>
      <c r="R1696" s="28">
        <f t="shared" si="8"/>
        <v>2.1704870167899872E-2</v>
      </c>
      <c r="S1696" s="28">
        <v>9.8451635000000003E-3</v>
      </c>
    </row>
    <row r="1697" spans="1:19" x14ac:dyDescent="0.25">
      <c r="A1697" s="28">
        <v>2022</v>
      </c>
      <c r="B1697" s="28"/>
      <c r="C1697" s="28" t="s">
        <v>1044</v>
      </c>
      <c r="D1697" s="28" t="s">
        <v>1617</v>
      </c>
      <c r="E1697" s="28" t="s">
        <v>1045</v>
      </c>
      <c r="F1697" s="28" t="s">
        <v>427</v>
      </c>
      <c r="G1697" s="28">
        <v>48843</v>
      </c>
      <c r="H1697" s="28">
        <v>42.592550000000003</v>
      </c>
      <c r="I1697" s="28">
        <v>-83.889930000000007</v>
      </c>
      <c r="J1697" s="28"/>
      <c r="K1697" s="61">
        <v>110000408265</v>
      </c>
      <c r="L1697" s="61" t="str">
        <f>IFERROR(INDEX('Facility Summary'!$K:$K,MATCH(K1697,'Facility Summary'!$J:$J,0)),INDEX('Raw Annual DMR Data'!$M:$M,MATCH(K1697,'Raw Annual DMR Data'!$L:$L,0)))</f>
        <v>Unknown</v>
      </c>
      <c r="M1697" s="28"/>
      <c r="N1697" s="28"/>
      <c r="O1697" s="28"/>
      <c r="P1697" s="28"/>
      <c r="Q1697" s="28"/>
      <c r="R1697" s="28">
        <f t="shared" si="8"/>
        <v>7.215486230511328E-3</v>
      </c>
      <c r="S1697" s="28">
        <v>3.2728894999999999E-3</v>
      </c>
    </row>
    <row r="1698" spans="1:19" x14ac:dyDescent="0.25">
      <c r="A1698" s="28">
        <v>2023</v>
      </c>
      <c r="B1698" s="28"/>
      <c r="C1698" s="28" t="s">
        <v>1044</v>
      </c>
      <c r="D1698" s="28" t="s">
        <v>1617</v>
      </c>
      <c r="E1698" s="28" t="s">
        <v>1045</v>
      </c>
      <c r="F1698" s="28" t="s">
        <v>427</v>
      </c>
      <c r="G1698" s="28">
        <v>48843</v>
      </c>
      <c r="H1698" s="28">
        <v>42.592550000000003</v>
      </c>
      <c r="I1698" s="28">
        <v>-83.889930000000007</v>
      </c>
      <c r="J1698" s="28"/>
      <c r="K1698" s="61">
        <v>110000408265</v>
      </c>
      <c r="L1698" s="61" t="str">
        <f>IFERROR(INDEX('Facility Summary'!$K:$K,MATCH(K1698,'Facility Summary'!$J:$J,0)),INDEX('Raw Annual DMR Data'!$M:$M,MATCH(K1698,'Raw Annual DMR Data'!$L:$L,0)))</f>
        <v>Unknown</v>
      </c>
      <c r="M1698" s="28"/>
      <c r="N1698" s="28"/>
      <c r="O1698" s="28"/>
      <c r="P1698" s="28"/>
      <c r="Q1698" s="28"/>
      <c r="R1698" s="28">
        <f t="shared" si="8"/>
        <v>1.0685127926644798E-3</v>
      </c>
      <c r="S1698" s="28">
        <v>4.8466924999999999E-4</v>
      </c>
    </row>
    <row r="1699" spans="1:19" x14ac:dyDescent="0.25">
      <c r="A1699" s="28">
        <v>2024</v>
      </c>
      <c r="B1699" s="28"/>
      <c r="C1699" s="28" t="s">
        <v>1044</v>
      </c>
      <c r="D1699" s="28" t="s">
        <v>1617</v>
      </c>
      <c r="E1699" s="28" t="s">
        <v>1045</v>
      </c>
      <c r="F1699" s="28" t="s">
        <v>427</v>
      </c>
      <c r="G1699" s="28">
        <v>48843</v>
      </c>
      <c r="H1699" s="28">
        <v>42.592550000000003</v>
      </c>
      <c r="I1699" s="28">
        <v>-83.889930000000007</v>
      </c>
      <c r="J1699" s="28"/>
      <c r="K1699" s="61">
        <v>110000408265</v>
      </c>
      <c r="L1699" s="61" t="str">
        <f>IFERROR(INDEX('Facility Summary'!$K:$K,MATCH(K1699,'Facility Summary'!$J:$J,0)),INDEX('Raw Annual DMR Data'!$M:$M,MATCH(K1699,'Raw Annual DMR Data'!$L:$L,0)))</f>
        <v>Unknown</v>
      </c>
      <c r="M1699" s="28"/>
      <c r="N1699" s="28"/>
      <c r="O1699" s="28"/>
      <c r="P1699" s="28"/>
      <c r="Q1699" s="28"/>
      <c r="R1699" s="28">
        <f t="shared" si="8"/>
        <v>9.508553902703434E-4</v>
      </c>
      <c r="S1699" s="28">
        <v>4.3130075000000001E-4</v>
      </c>
    </row>
    <row r="1700" spans="1:19" x14ac:dyDescent="0.25">
      <c r="A1700" s="28">
        <v>2024</v>
      </c>
      <c r="B1700" s="28"/>
      <c r="C1700" s="28" t="s">
        <v>6823</v>
      </c>
      <c r="D1700" s="28" t="s">
        <v>6977</v>
      </c>
      <c r="E1700" s="28" t="s">
        <v>6978</v>
      </c>
      <c r="F1700" s="28" t="s">
        <v>366</v>
      </c>
      <c r="G1700" s="28">
        <v>95222</v>
      </c>
      <c r="H1700" s="28">
        <v>38.060360000000003</v>
      </c>
      <c r="I1700" s="28">
        <v>-120.53995999999999</v>
      </c>
      <c r="J1700" s="28"/>
      <c r="K1700" s="61">
        <v>110030437524</v>
      </c>
      <c r="L1700" s="61" t="str">
        <f>IFERROR(INDEX('Facility Summary'!$K:$K,MATCH(K1700,'Facility Summary'!$J:$J,0)),INDEX('Raw Annual DMR Data'!$M:$M,MATCH(K1700,'Raw Annual DMR Data'!$L:$L,0)))</f>
        <v>POTW</v>
      </c>
      <c r="M1700" s="28"/>
      <c r="N1700" s="28"/>
      <c r="O1700" s="28"/>
      <c r="P1700" s="28"/>
      <c r="Q1700" s="28"/>
      <c r="R1700" s="28">
        <f t="shared" si="8"/>
        <v>0.11537101031924324</v>
      </c>
      <c r="S1700" s="28">
        <v>5.2331410000000002E-2</v>
      </c>
    </row>
    <row r="1701" spans="1:19" x14ac:dyDescent="0.25">
      <c r="A1701" s="28">
        <v>2021</v>
      </c>
      <c r="B1701" s="28"/>
      <c r="C1701" s="28" t="s">
        <v>6823</v>
      </c>
      <c r="D1701" s="28" t="s">
        <v>6977</v>
      </c>
      <c r="E1701" s="28" t="s">
        <v>6978</v>
      </c>
      <c r="F1701" s="28" t="s">
        <v>366</v>
      </c>
      <c r="G1701" s="28">
        <v>95222</v>
      </c>
      <c r="H1701" s="28">
        <v>38.060360000000003</v>
      </c>
      <c r="I1701" s="28">
        <v>-120.53995999999999</v>
      </c>
      <c r="J1701" s="28"/>
      <c r="K1701" s="61">
        <v>110030437524</v>
      </c>
      <c r="L1701" s="61" t="str">
        <f>IFERROR(INDEX('Facility Summary'!$K:$K,MATCH(K1701,'Facility Summary'!$J:$J,0)),INDEX('Raw Annual DMR Data'!$M:$M,MATCH(K1701,'Raw Annual DMR Data'!$L:$L,0)))</f>
        <v>POTW</v>
      </c>
      <c r="M1701" s="28"/>
      <c r="N1701" s="28"/>
      <c r="O1701" s="28"/>
      <c r="P1701" s="28"/>
      <c r="Q1701" s="28"/>
      <c r="R1701" s="28">
        <f t="shared" si="8"/>
        <v>7.2793216296826155E-2</v>
      </c>
      <c r="S1701" s="28">
        <v>3.3018447499999999E-2</v>
      </c>
    </row>
    <row r="1702" spans="1:19" x14ac:dyDescent="0.25">
      <c r="A1702" s="28">
        <v>2021</v>
      </c>
      <c r="B1702" s="28"/>
      <c r="C1702" s="28" t="s">
        <v>125</v>
      </c>
      <c r="D1702" s="28" t="s">
        <v>403</v>
      </c>
      <c r="E1702" s="28" t="s">
        <v>404</v>
      </c>
      <c r="F1702" s="28" t="s">
        <v>366</v>
      </c>
      <c r="G1702" s="28" t="s">
        <v>405</v>
      </c>
      <c r="H1702" s="28">
        <v>40.162660000000002</v>
      </c>
      <c r="I1702" s="28">
        <v>-122.22068</v>
      </c>
      <c r="J1702" s="28"/>
      <c r="K1702" s="61">
        <v>110000730745</v>
      </c>
      <c r="L1702" s="61" t="str">
        <f>IFERROR(INDEX('Facility Summary'!$K:$K,MATCH(K1702,'Facility Summary'!$J:$J,0)),INDEX('Raw Annual DMR Data'!$M:$M,MATCH(K1702,'Raw Annual DMR Data'!$L:$L,0)))</f>
        <v>POTW</v>
      </c>
      <c r="M1702" s="28"/>
      <c r="N1702" s="28"/>
      <c r="O1702" s="28"/>
      <c r="P1702" s="28"/>
      <c r="Q1702" s="28"/>
      <c r="R1702" s="28">
        <f t="shared" si="8"/>
        <v>1.6608886079807737E-3</v>
      </c>
      <c r="S1702" s="28">
        <v>7.5336640000000002E-4</v>
      </c>
    </row>
    <row r="1703" spans="1:19" x14ac:dyDescent="0.25">
      <c r="A1703" s="28">
        <v>2023</v>
      </c>
      <c r="B1703" s="28"/>
      <c r="C1703" s="28" t="s">
        <v>1061</v>
      </c>
      <c r="D1703" s="28" t="s">
        <v>1643</v>
      </c>
      <c r="E1703" s="28" t="s">
        <v>1062</v>
      </c>
      <c r="F1703" s="28" t="s">
        <v>366</v>
      </c>
      <c r="G1703" s="28">
        <v>92008</v>
      </c>
      <c r="H1703" s="28">
        <v>33.139895000000003</v>
      </c>
      <c r="I1703" s="28">
        <v>-117.339645</v>
      </c>
      <c r="J1703" s="28"/>
      <c r="K1703" s="61">
        <v>110027363252</v>
      </c>
      <c r="L1703" s="61" t="str">
        <f>IFERROR(INDEX('Facility Summary'!$K:$K,MATCH(K1703,'Facility Summary'!$J:$J,0)),INDEX('Raw Annual DMR Data'!$M:$M,MATCH(K1703,'Raw Annual DMR Data'!$L:$L,0)))</f>
        <v>POTW</v>
      </c>
      <c r="M1703" s="28"/>
      <c r="N1703" s="28"/>
      <c r="O1703" s="28"/>
      <c r="P1703" s="28"/>
      <c r="Q1703" s="28"/>
      <c r="R1703" s="28">
        <f t="shared" si="8"/>
        <v>1.4791897511842051</v>
      </c>
      <c r="S1703" s="28">
        <v>0.67094918491935396</v>
      </c>
    </row>
    <row r="1704" spans="1:19" x14ac:dyDescent="0.25">
      <c r="A1704" s="28">
        <v>2022</v>
      </c>
      <c r="B1704" s="28"/>
      <c r="C1704" s="28" t="s">
        <v>1061</v>
      </c>
      <c r="D1704" s="28" t="s">
        <v>1643</v>
      </c>
      <c r="E1704" s="28" t="s">
        <v>1062</v>
      </c>
      <c r="F1704" s="28" t="s">
        <v>366</v>
      </c>
      <c r="G1704" s="28">
        <v>92008</v>
      </c>
      <c r="H1704" s="28">
        <v>33.139895000000003</v>
      </c>
      <c r="I1704" s="28">
        <v>-117.339645</v>
      </c>
      <c r="J1704" s="28"/>
      <c r="K1704" s="61">
        <v>110027363252</v>
      </c>
      <c r="L1704" s="61" t="str">
        <f>IFERROR(INDEX('Facility Summary'!$K:$K,MATCH(K1704,'Facility Summary'!$J:$J,0)),INDEX('Raw Annual DMR Data'!$M:$M,MATCH(K1704,'Raw Annual DMR Data'!$L:$L,0)))</f>
        <v>POTW</v>
      </c>
      <c r="M1704" s="28"/>
      <c r="N1704" s="28"/>
      <c r="O1704" s="28"/>
      <c r="P1704" s="28"/>
      <c r="Q1704" s="28"/>
      <c r="R1704" s="28">
        <f t="shared" si="8"/>
        <v>1.0584177121694156</v>
      </c>
      <c r="S1704" s="28">
        <v>0.48009019851290302</v>
      </c>
    </row>
    <row r="1705" spans="1:19" x14ac:dyDescent="0.25">
      <c r="A1705" s="28">
        <v>2024</v>
      </c>
      <c r="B1705" s="28"/>
      <c r="C1705" s="28" t="s">
        <v>1061</v>
      </c>
      <c r="D1705" s="28" t="s">
        <v>1643</v>
      </c>
      <c r="E1705" s="28" t="s">
        <v>1062</v>
      </c>
      <c r="F1705" s="28" t="s">
        <v>366</v>
      </c>
      <c r="G1705" s="28">
        <v>92008</v>
      </c>
      <c r="H1705" s="28">
        <v>33.139895000000003</v>
      </c>
      <c r="I1705" s="28">
        <v>-117.339645</v>
      </c>
      <c r="J1705" s="28"/>
      <c r="K1705" s="61">
        <v>110027363252</v>
      </c>
      <c r="L1705" s="61" t="str">
        <f>IFERROR(INDEX('Facility Summary'!$K:$K,MATCH(K1705,'Facility Summary'!$J:$J,0)),INDEX('Raw Annual DMR Data'!$M:$M,MATCH(K1705,'Raw Annual DMR Data'!$L:$L,0)))</f>
        <v>POTW</v>
      </c>
      <c r="M1705" s="28"/>
      <c r="N1705" s="28"/>
      <c r="O1705" s="28"/>
      <c r="P1705" s="28"/>
      <c r="Q1705" s="28"/>
      <c r="R1705" s="28">
        <f t="shared" si="8"/>
        <v>0.60240407972210164</v>
      </c>
      <c r="S1705" s="28">
        <v>0.27324589421881701</v>
      </c>
    </row>
    <row r="1706" spans="1:19" x14ac:dyDescent="0.25">
      <c r="A1706" s="28">
        <v>2021</v>
      </c>
      <c r="B1706" s="28"/>
      <c r="C1706" s="28" t="s">
        <v>1061</v>
      </c>
      <c r="D1706" s="28" t="s">
        <v>1643</v>
      </c>
      <c r="E1706" s="28" t="s">
        <v>1062</v>
      </c>
      <c r="F1706" s="28" t="s">
        <v>366</v>
      </c>
      <c r="G1706" s="28">
        <v>92008</v>
      </c>
      <c r="H1706" s="28">
        <v>33.139895000000003</v>
      </c>
      <c r="I1706" s="28">
        <v>-117.339645</v>
      </c>
      <c r="J1706" s="28"/>
      <c r="K1706" s="61">
        <v>110027363252</v>
      </c>
      <c r="L1706" s="61" t="str">
        <f>IFERROR(INDEX('Facility Summary'!$K:$K,MATCH(K1706,'Facility Summary'!$J:$J,0)),INDEX('Raw Annual DMR Data'!$M:$M,MATCH(K1706,'Raw Annual DMR Data'!$L:$L,0)))</f>
        <v>POTW</v>
      </c>
      <c r="M1706" s="28"/>
      <c r="N1706" s="28"/>
      <c r="O1706" s="28"/>
      <c r="P1706" s="28"/>
      <c r="Q1706" s="28"/>
      <c r="R1706" s="28">
        <f t="shared" si="8"/>
        <v>0.48828612567327356</v>
      </c>
      <c r="S1706" s="28">
        <v>0.221482860982258</v>
      </c>
    </row>
    <row r="1707" spans="1:19" x14ac:dyDescent="0.25">
      <c r="A1707" s="28">
        <v>2022</v>
      </c>
      <c r="B1707" s="28"/>
      <c r="C1707" s="28" t="s">
        <v>1063</v>
      </c>
      <c r="D1707" s="28" t="s">
        <v>1645</v>
      </c>
      <c r="E1707" s="28" t="s">
        <v>1064</v>
      </c>
      <c r="F1707" s="28" t="s">
        <v>308</v>
      </c>
      <c r="G1707" s="28">
        <v>1760</v>
      </c>
      <c r="H1707" s="28">
        <v>42.303330000000003</v>
      </c>
      <c r="I1707" s="28">
        <v>-71.360830000000007</v>
      </c>
      <c r="J1707" s="28"/>
      <c r="K1707" s="61">
        <v>110070670433</v>
      </c>
      <c r="L1707" s="61" t="str">
        <f>IFERROR(INDEX('Facility Summary'!$K:$K,MATCH(K1707,'Facility Summary'!$J:$J,0)),INDEX('Raw Annual DMR Data'!$M:$M,MATCH(K1707,'Raw Annual DMR Data'!$L:$L,0)))</f>
        <v>Unknown</v>
      </c>
      <c r="M1707" s="28"/>
      <c r="N1707" s="28"/>
      <c r="O1707" s="28"/>
      <c r="P1707" s="28"/>
      <c r="Q1707" s="28"/>
      <c r="R1707" s="28">
        <f t="shared" si="8"/>
        <v>3.2437244634428049E-2</v>
      </c>
      <c r="S1707" s="28">
        <v>1.4713286670000001E-2</v>
      </c>
    </row>
    <row r="1708" spans="1:19" x14ac:dyDescent="0.25">
      <c r="A1708" s="28">
        <v>2021</v>
      </c>
      <c r="B1708" s="28"/>
      <c r="C1708" s="28" t="s">
        <v>1063</v>
      </c>
      <c r="D1708" s="28" t="s">
        <v>1645</v>
      </c>
      <c r="E1708" s="28" t="s">
        <v>1064</v>
      </c>
      <c r="F1708" s="28" t="s">
        <v>308</v>
      </c>
      <c r="G1708" s="28">
        <v>1760</v>
      </c>
      <c r="H1708" s="28">
        <v>42.303330000000003</v>
      </c>
      <c r="I1708" s="28">
        <v>-71.360830000000007</v>
      </c>
      <c r="J1708" s="28"/>
      <c r="K1708" s="61">
        <v>110070670433</v>
      </c>
      <c r="L1708" s="61" t="str">
        <f>IFERROR(INDEX('Facility Summary'!$K:$K,MATCH(K1708,'Facility Summary'!$J:$J,0)),INDEX('Raw Annual DMR Data'!$M:$M,MATCH(K1708,'Raw Annual DMR Data'!$L:$L,0)))</f>
        <v>Unknown</v>
      </c>
      <c r="M1708" s="28"/>
      <c r="N1708" s="28"/>
      <c r="O1708" s="28"/>
      <c r="P1708" s="28"/>
      <c r="Q1708" s="28"/>
      <c r="R1708" s="28">
        <f t="shared" si="8"/>
        <v>3.1337911443483933E-2</v>
      </c>
      <c r="S1708" s="28">
        <v>1.42146375225E-2</v>
      </c>
    </row>
    <row r="1709" spans="1:19" x14ac:dyDescent="0.25">
      <c r="A1709" s="28">
        <v>2024</v>
      </c>
      <c r="B1709" s="28"/>
      <c r="C1709" s="28" t="s">
        <v>127</v>
      </c>
      <c r="D1709" s="28" t="s">
        <v>408</v>
      </c>
      <c r="E1709" s="28" t="s">
        <v>302</v>
      </c>
      <c r="F1709" s="28" t="s">
        <v>303</v>
      </c>
      <c r="G1709" s="28">
        <v>70807</v>
      </c>
      <c r="H1709" s="28">
        <v>30.567550000000001</v>
      </c>
      <c r="I1709" s="28">
        <v>-91.206370000000007</v>
      </c>
      <c r="J1709" s="28" t="s">
        <v>409</v>
      </c>
      <c r="K1709" s="61">
        <v>110000450039</v>
      </c>
      <c r="L1709" s="61" t="str">
        <f>IFERROR(INDEX('Facility Summary'!$K:$K,MATCH(K1709,'Facility Summary'!$J:$J,0)),INDEX('Raw Annual DMR Data'!$M:$M,MATCH(K1709,'Raw Annual DMR Data'!$L:$L,0)))</f>
        <v>Waste Handling, Disposal and Treatment (non-POTW WWT)</v>
      </c>
      <c r="M1709" s="28"/>
      <c r="N1709" s="28"/>
      <c r="O1709" s="28"/>
      <c r="P1709" s="28"/>
      <c r="Q1709" s="28"/>
      <c r="R1709" s="28">
        <f t="shared" si="8"/>
        <v>1.4539721350838992</v>
      </c>
      <c r="S1709" s="28">
        <v>0.65951066666666602</v>
      </c>
    </row>
    <row r="1710" spans="1:19" x14ac:dyDescent="0.25">
      <c r="A1710" s="28">
        <v>2023</v>
      </c>
      <c r="B1710" s="28"/>
      <c r="C1710" s="28" t="s">
        <v>128</v>
      </c>
      <c r="D1710" s="28" t="s">
        <v>411</v>
      </c>
      <c r="E1710" s="28" t="s">
        <v>412</v>
      </c>
      <c r="F1710" s="28" t="s">
        <v>299</v>
      </c>
      <c r="G1710" s="28">
        <v>71730</v>
      </c>
      <c r="H1710" s="28">
        <v>33.2044</v>
      </c>
      <c r="I1710" s="28">
        <v>-92.630799999999994</v>
      </c>
      <c r="J1710" s="28" t="s">
        <v>413</v>
      </c>
      <c r="K1710" s="61">
        <v>110000521221</v>
      </c>
      <c r="L1710" s="61" t="str">
        <f>IFERROR(INDEX('Facility Summary'!$K:$K,MATCH(K1710,'Facility Summary'!$J:$J,0)),INDEX('Raw Annual DMR Data'!$M:$M,MATCH(K1710,'Raw Annual DMR Data'!$L:$L,0)))</f>
        <v>Waste Handling, Disposal and Treatment (Incinerator)</v>
      </c>
      <c r="M1710" s="28"/>
      <c r="N1710" s="28"/>
      <c r="O1710" s="28"/>
      <c r="P1710" s="28"/>
      <c r="Q1710" s="28"/>
      <c r="R1710" s="28">
        <f t="shared" si="8"/>
        <v>1.3328751573576953E-2</v>
      </c>
      <c r="S1710" s="28">
        <v>6.0458200154000002E-3</v>
      </c>
    </row>
    <row r="1711" spans="1:19" x14ac:dyDescent="0.25">
      <c r="A1711" s="28">
        <v>2024</v>
      </c>
      <c r="B1711" s="28"/>
      <c r="C1711" s="28" t="s">
        <v>128</v>
      </c>
      <c r="D1711" s="28" t="s">
        <v>411</v>
      </c>
      <c r="E1711" s="28" t="s">
        <v>412</v>
      </c>
      <c r="F1711" s="28" t="s">
        <v>299</v>
      </c>
      <c r="G1711" s="28">
        <v>71730</v>
      </c>
      <c r="H1711" s="28">
        <v>33.2044</v>
      </c>
      <c r="I1711" s="28">
        <v>-92.630799999999994</v>
      </c>
      <c r="J1711" s="28" t="s">
        <v>413</v>
      </c>
      <c r="K1711" s="61">
        <v>110000521221</v>
      </c>
      <c r="L1711" s="61" t="str">
        <f>IFERROR(INDEX('Facility Summary'!$K:$K,MATCH(K1711,'Facility Summary'!$J:$J,0)),INDEX('Raw Annual DMR Data'!$M:$M,MATCH(K1711,'Raw Annual DMR Data'!$L:$L,0)))</f>
        <v>Waste Handling, Disposal and Treatment (Incinerator)</v>
      </c>
      <c r="M1711" s="28"/>
      <c r="N1711" s="28"/>
      <c r="O1711" s="28"/>
      <c r="P1711" s="28"/>
      <c r="Q1711" s="28"/>
      <c r="R1711" s="28">
        <f t="shared" si="8"/>
        <v>1.2857400665712254E-2</v>
      </c>
      <c r="S1711" s="28">
        <v>5.8320188399999997E-3</v>
      </c>
    </row>
    <row r="1712" spans="1:19" x14ac:dyDescent="0.25">
      <c r="A1712" s="28">
        <v>2024</v>
      </c>
      <c r="B1712" s="28"/>
      <c r="C1712" s="28" t="s">
        <v>128</v>
      </c>
      <c r="D1712" s="28" t="s">
        <v>411</v>
      </c>
      <c r="E1712" s="28" t="s">
        <v>412</v>
      </c>
      <c r="F1712" s="28" t="s">
        <v>299</v>
      </c>
      <c r="G1712" s="28">
        <v>71730</v>
      </c>
      <c r="H1712" s="28">
        <v>33.2044</v>
      </c>
      <c r="I1712" s="28">
        <v>-92.630799999999994</v>
      </c>
      <c r="J1712" s="28" t="s">
        <v>413</v>
      </c>
      <c r="K1712" s="61">
        <v>110000521221</v>
      </c>
      <c r="L1712" s="61" t="str">
        <f>IFERROR(INDEX('Facility Summary'!$K:$K,MATCH(K1712,'Facility Summary'!$J:$J,0)),INDEX('Raw Annual DMR Data'!$M:$M,MATCH(K1712,'Raw Annual DMR Data'!$L:$L,0)))</f>
        <v>Waste Handling, Disposal and Treatment (Incinerator)</v>
      </c>
      <c r="M1712" s="28"/>
      <c r="N1712" s="28"/>
      <c r="O1712" s="28"/>
      <c r="P1712" s="28"/>
      <c r="Q1712" s="28"/>
      <c r="R1712" s="28">
        <f t="shared" si="8"/>
        <v>7.821445773731445E-3</v>
      </c>
      <c r="S1712" s="28">
        <v>3.54774812533333E-3</v>
      </c>
    </row>
    <row r="1713" spans="1:19" x14ac:dyDescent="0.25">
      <c r="A1713" s="28">
        <v>2021</v>
      </c>
      <c r="B1713" s="28"/>
      <c r="C1713" s="28" t="s">
        <v>128</v>
      </c>
      <c r="D1713" s="28" t="s">
        <v>411</v>
      </c>
      <c r="E1713" s="28" t="s">
        <v>412</v>
      </c>
      <c r="F1713" s="28" t="s">
        <v>299</v>
      </c>
      <c r="G1713" s="28">
        <v>71730</v>
      </c>
      <c r="H1713" s="28">
        <v>33.2044</v>
      </c>
      <c r="I1713" s="28">
        <v>-92.630799999999994</v>
      </c>
      <c r="J1713" s="28" t="s">
        <v>413</v>
      </c>
      <c r="K1713" s="61">
        <v>110000521221</v>
      </c>
      <c r="L1713" s="61" t="str">
        <f>IFERROR(INDEX('Facility Summary'!$K:$K,MATCH(K1713,'Facility Summary'!$J:$J,0)),INDEX('Raw Annual DMR Data'!$M:$M,MATCH(K1713,'Raw Annual DMR Data'!$L:$L,0)))</f>
        <v>Waste Handling, Disposal and Treatment (Incinerator)</v>
      </c>
      <c r="M1713" s="28"/>
      <c r="N1713" s="28"/>
      <c r="O1713" s="28"/>
      <c r="P1713" s="28"/>
      <c r="Q1713" s="28"/>
      <c r="R1713" s="28">
        <f t="shared" si="8"/>
        <v>1.7843871580114983E-3</v>
      </c>
      <c r="S1713" s="28">
        <v>8.0938440000000004E-4</v>
      </c>
    </row>
    <row r="1714" spans="1:19" x14ac:dyDescent="0.25">
      <c r="A1714" s="28">
        <v>2021</v>
      </c>
      <c r="B1714" s="28"/>
      <c r="C1714" s="28" t="s">
        <v>6829</v>
      </c>
      <c r="D1714" s="28" t="s">
        <v>6983</v>
      </c>
      <c r="E1714" s="28" t="s">
        <v>1066</v>
      </c>
      <c r="F1714" s="28" t="s">
        <v>541</v>
      </c>
      <c r="G1714" s="28">
        <v>29210</v>
      </c>
      <c r="H1714" s="28">
        <v>34.047217000000003</v>
      </c>
      <c r="I1714" s="28">
        <v>-81.151325999999997</v>
      </c>
      <c r="J1714" s="28" t="s">
        <v>7126</v>
      </c>
      <c r="K1714" s="61">
        <v>110000854246</v>
      </c>
      <c r="L1714" s="61" t="str">
        <f>IFERROR(INDEX('Facility Summary'!$K:$K,MATCH(K1714,'Facility Summary'!$J:$J,0)),INDEX('Raw Annual DMR Data'!$M:$M,MATCH(K1714,'Raw Annual DMR Data'!$L:$L,0)))</f>
        <v>Unknown</v>
      </c>
      <c r="M1714" s="28"/>
      <c r="N1714" s="28"/>
      <c r="O1714" s="28"/>
      <c r="P1714" s="28"/>
      <c r="Q1714" s="28"/>
      <c r="R1714" s="28">
        <f t="shared" si="8"/>
        <v>0.73065602933312124</v>
      </c>
      <c r="S1714" s="28">
        <v>0.33141999999999999</v>
      </c>
    </row>
    <row r="1715" spans="1:19" x14ac:dyDescent="0.25">
      <c r="A1715" s="28">
        <v>2022</v>
      </c>
      <c r="B1715" s="28"/>
      <c r="C1715" s="28" t="s">
        <v>1065</v>
      </c>
      <c r="D1715" s="28" t="s">
        <v>1648</v>
      </c>
      <c r="E1715" s="28" t="s">
        <v>1066</v>
      </c>
      <c r="F1715" s="28" t="s">
        <v>324</v>
      </c>
      <c r="G1715" s="28">
        <v>42728</v>
      </c>
      <c r="H1715" s="28">
        <v>37.108094000000001</v>
      </c>
      <c r="I1715" s="28">
        <v>-85.303033999999997</v>
      </c>
      <c r="J1715" s="28"/>
      <c r="K1715" s="61">
        <v>110009696356</v>
      </c>
      <c r="L1715" s="61" t="str">
        <f>IFERROR(INDEX('Facility Summary'!$K:$K,MATCH(K1715,'Facility Summary'!$J:$J,0)),INDEX('Raw Annual DMR Data'!$M:$M,MATCH(K1715,'Raw Annual DMR Data'!$L:$L,0)))</f>
        <v>POTW</v>
      </c>
      <c r="M1715" s="28"/>
      <c r="N1715" s="28"/>
      <c r="O1715" s="28"/>
      <c r="P1715" s="28"/>
      <c r="Q1715" s="28"/>
      <c r="R1715" s="28">
        <f t="shared" si="8"/>
        <v>5.4594912222619616</v>
      </c>
      <c r="S1715" s="28">
        <v>2.4763835625000001</v>
      </c>
    </row>
    <row r="1716" spans="1:19" x14ac:dyDescent="0.25">
      <c r="A1716" s="28">
        <v>2023</v>
      </c>
      <c r="B1716" s="28"/>
      <c r="C1716" s="28" t="s">
        <v>1065</v>
      </c>
      <c r="D1716" s="28" t="s">
        <v>1648</v>
      </c>
      <c r="E1716" s="28" t="s">
        <v>1066</v>
      </c>
      <c r="F1716" s="28" t="s">
        <v>324</v>
      </c>
      <c r="G1716" s="28">
        <v>42728</v>
      </c>
      <c r="H1716" s="28">
        <v>37.108094000000001</v>
      </c>
      <c r="I1716" s="28">
        <v>-85.303033999999997</v>
      </c>
      <c r="J1716" s="28"/>
      <c r="K1716" s="61">
        <v>110009696356</v>
      </c>
      <c r="L1716" s="61" t="str">
        <f>IFERROR(INDEX('Facility Summary'!$K:$K,MATCH(K1716,'Facility Summary'!$J:$J,0)),INDEX('Raw Annual DMR Data'!$M:$M,MATCH(K1716,'Raw Annual DMR Data'!$L:$L,0)))</f>
        <v>POTW</v>
      </c>
      <c r="M1716" s="28"/>
      <c r="N1716" s="28"/>
      <c r="O1716" s="28"/>
      <c r="P1716" s="28"/>
      <c r="Q1716" s="28"/>
      <c r="R1716" s="28">
        <f t="shared" si="8"/>
        <v>4.1993157727719277</v>
      </c>
      <c r="S1716" s="28">
        <v>1.90477759375</v>
      </c>
    </row>
    <row r="1717" spans="1:19" x14ac:dyDescent="0.25">
      <c r="A1717" s="28">
        <v>2022</v>
      </c>
      <c r="B1717" s="28"/>
      <c r="C1717" s="28" t="s">
        <v>6829</v>
      </c>
      <c r="D1717" s="28" t="s">
        <v>6983</v>
      </c>
      <c r="E1717" s="28" t="s">
        <v>1066</v>
      </c>
      <c r="F1717" s="28" t="s">
        <v>541</v>
      </c>
      <c r="G1717" s="28">
        <v>29210</v>
      </c>
      <c r="H1717" s="28">
        <v>34.047217000000003</v>
      </c>
      <c r="I1717" s="28">
        <v>-81.151325999999997</v>
      </c>
      <c r="J1717" s="28" t="s">
        <v>7126</v>
      </c>
      <c r="K1717" s="61">
        <v>110000854246</v>
      </c>
      <c r="L1717" s="61" t="str">
        <f>IFERROR(INDEX('Facility Summary'!$K:$K,MATCH(K1717,'Facility Summary'!$J:$J,0)),INDEX('Raw Annual DMR Data'!$M:$M,MATCH(K1717,'Raw Annual DMR Data'!$L:$L,0)))</f>
        <v>Unknown</v>
      </c>
      <c r="M1717" s="28"/>
      <c r="N1717" s="28"/>
      <c r="O1717" s="28"/>
      <c r="P1717" s="28"/>
      <c r="Q1717" s="28"/>
      <c r="R1717" s="28">
        <f t="shared" si="8"/>
        <v>0.73065602933312124</v>
      </c>
      <c r="S1717" s="28">
        <v>0.33141999999999999</v>
      </c>
    </row>
    <row r="1718" spans="1:19" x14ac:dyDescent="0.25">
      <c r="A1718" s="28">
        <v>2023</v>
      </c>
      <c r="B1718" s="28"/>
      <c r="C1718" s="28" t="s">
        <v>6829</v>
      </c>
      <c r="D1718" s="28" t="s">
        <v>6983</v>
      </c>
      <c r="E1718" s="28" t="s">
        <v>1066</v>
      </c>
      <c r="F1718" s="28" t="s">
        <v>541</v>
      </c>
      <c r="G1718" s="28">
        <v>29210</v>
      </c>
      <c r="H1718" s="28">
        <v>34.047217000000003</v>
      </c>
      <c r="I1718" s="28">
        <v>-81.151325999999997</v>
      </c>
      <c r="J1718" s="28" t="s">
        <v>7126</v>
      </c>
      <c r="K1718" s="61">
        <v>110000854246</v>
      </c>
      <c r="L1718" s="61" t="str">
        <f>IFERROR(INDEX('Facility Summary'!$K:$K,MATCH(K1718,'Facility Summary'!$J:$J,0)),INDEX('Raw Annual DMR Data'!$M:$M,MATCH(K1718,'Raw Annual DMR Data'!$L:$L,0)))</f>
        <v>Unknown</v>
      </c>
      <c r="M1718" s="28"/>
      <c r="N1718" s="28"/>
      <c r="O1718" s="28"/>
      <c r="P1718" s="28"/>
      <c r="Q1718" s="28"/>
      <c r="R1718" s="28">
        <f t="shared" si="8"/>
        <v>0.73065602933312124</v>
      </c>
      <c r="S1718" s="28">
        <v>0.33141999999999999</v>
      </c>
    </row>
    <row r="1719" spans="1:19" x14ac:dyDescent="0.25">
      <c r="A1719" s="28">
        <v>2024</v>
      </c>
      <c r="B1719" s="28"/>
      <c r="C1719" s="28" t="s">
        <v>6829</v>
      </c>
      <c r="D1719" s="28" t="s">
        <v>6983</v>
      </c>
      <c r="E1719" s="28" t="s">
        <v>1066</v>
      </c>
      <c r="F1719" s="28" t="s">
        <v>541</v>
      </c>
      <c r="G1719" s="28">
        <v>29210</v>
      </c>
      <c r="H1719" s="28">
        <v>34.047217000000003</v>
      </c>
      <c r="I1719" s="28">
        <v>-81.151325999999997</v>
      </c>
      <c r="J1719" s="28" t="s">
        <v>7126</v>
      </c>
      <c r="K1719" s="61">
        <v>110000854246</v>
      </c>
      <c r="L1719" s="61" t="str">
        <f>IFERROR(INDEX('Facility Summary'!$K:$K,MATCH(K1719,'Facility Summary'!$J:$J,0)),INDEX('Raw Annual DMR Data'!$M:$M,MATCH(K1719,'Raw Annual DMR Data'!$L:$L,0)))</f>
        <v>Unknown</v>
      </c>
      <c r="M1719" s="28"/>
      <c r="N1719" s="28"/>
      <c r="O1719" s="28"/>
      <c r="P1719" s="28"/>
      <c r="Q1719" s="28"/>
      <c r="R1719" s="28">
        <f t="shared" si="8"/>
        <v>0.36532801466656062</v>
      </c>
      <c r="S1719" s="28">
        <v>0.16571</v>
      </c>
    </row>
    <row r="1720" spans="1:19" x14ac:dyDescent="0.25">
      <c r="A1720" s="28">
        <v>2024</v>
      </c>
      <c r="B1720" s="28"/>
      <c r="C1720" s="28" t="s">
        <v>6777</v>
      </c>
      <c r="D1720" s="28" t="s">
        <v>6920</v>
      </c>
      <c r="E1720" s="28" t="s">
        <v>6921</v>
      </c>
      <c r="F1720" s="28" t="s">
        <v>311</v>
      </c>
      <c r="G1720" s="28">
        <v>25064</v>
      </c>
      <c r="H1720" s="28">
        <v>38.382550000000002</v>
      </c>
      <c r="I1720" s="28">
        <v>-81.782629</v>
      </c>
      <c r="J1720" s="28" t="s">
        <v>7118</v>
      </c>
      <c r="K1720" s="61">
        <v>110070676994</v>
      </c>
      <c r="L1720" s="61" t="str">
        <f>IFERROR(INDEX('Facility Summary'!$K:$K,MATCH(K1720,'Facility Summary'!$J:$J,0)),INDEX('Raw Annual DMR Data'!$M:$M,MATCH(K1720,'Raw Annual DMR Data'!$L:$L,0)))</f>
        <v>Unknown</v>
      </c>
      <c r="M1720" s="28"/>
      <c r="N1720" s="28"/>
      <c r="O1720" s="28"/>
      <c r="P1720" s="28"/>
      <c r="Q1720" s="28"/>
      <c r="R1720" s="28">
        <f t="shared" si="8"/>
        <v>1.542293860173898</v>
      </c>
      <c r="S1720" s="28">
        <v>0.69957272727272701</v>
      </c>
    </row>
    <row r="1721" spans="1:19" x14ac:dyDescent="0.25">
      <c r="A1721" s="28">
        <v>2021</v>
      </c>
      <c r="B1721" s="28"/>
      <c r="C1721" s="28" t="s">
        <v>6844</v>
      </c>
      <c r="D1721" s="28" t="s">
        <v>1652</v>
      </c>
      <c r="E1721" s="28" t="s">
        <v>1068</v>
      </c>
      <c r="F1721" s="28" t="s">
        <v>349</v>
      </c>
      <c r="G1721" s="28">
        <v>63401</v>
      </c>
      <c r="H1721" s="28">
        <v>39.683477000000003</v>
      </c>
      <c r="I1721" s="28">
        <v>-91.334682999999998</v>
      </c>
      <c r="J1721" s="28" t="s">
        <v>709</v>
      </c>
      <c r="K1721" s="61">
        <v>110000595981</v>
      </c>
      <c r="L1721" s="61" t="str">
        <f>IFERROR(INDEX('Facility Summary'!$K:$K,MATCH(K1721,'Facility Summary'!$J:$J,0)),INDEX('Raw Annual DMR Data'!$M:$M,MATCH(K1721,'Raw Annual DMR Data'!$L:$L,0)))</f>
        <v>Unknown</v>
      </c>
      <c r="M1721" s="28"/>
      <c r="N1721" s="28"/>
      <c r="O1721" s="28"/>
      <c r="P1721" s="28"/>
      <c r="Q1721" s="28"/>
      <c r="R1721" s="28">
        <f t="shared" si="8"/>
        <v>2.0482610024943764</v>
      </c>
      <c r="S1721" s="28">
        <v>0.92907556250000001</v>
      </c>
    </row>
    <row r="1722" spans="1:19" x14ac:dyDescent="0.25">
      <c r="A1722" s="28">
        <v>2022</v>
      </c>
      <c r="B1722" s="28"/>
      <c r="C1722" s="28" t="s">
        <v>6844</v>
      </c>
      <c r="D1722" s="28" t="s">
        <v>1652</v>
      </c>
      <c r="E1722" s="28" t="s">
        <v>1068</v>
      </c>
      <c r="F1722" s="28" t="s">
        <v>349</v>
      </c>
      <c r="G1722" s="28">
        <v>63401</v>
      </c>
      <c r="H1722" s="28">
        <v>39.683477000000003</v>
      </c>
      <c r="I1722" s="28">
        <v>-91.334682999999998</v>
      </c>
      <c r="J1722" s="28" t="s">
        <v>709</v>
      </c>
      <c r="K1722" s="61">
        <v>110000595981</v>
      </c>
      <c r="L1722" s="61" t="str">
        <f>IFERROR(INDEX('Facility Summary'!$K:$K,MATCH(K1722,'Facility Summary'!$J:$J,0)),INDEX('Raw Annual DMR Data'!$M:$M,MATCH(K1722,'Raw Annual DMR Data'!$L:$L,0)))</f>
        <v>Unknown</v>
      </c>
      <c r="M1722" s="28"/>
      <c r="N1722" s="28"/>
      <c r="O1722" s="28"/>
      <c r="P1722" s="28"/>
      <c r="Q1722" s="28"/>
      <c r="R1722" s="28">
        <f t="shared" si="8"/>
        <v>1.2182965070598519</v>
      </c>
      <c r="S1722" s="28">
        <v>0.55261000000000005</v>
      </c>
    </row>
    <row r="1723" spans="1:19" x14ac:dyDescent="0.25">
      <c r="A1723" s="28">
        <v>2023</v>
      </c>
      <c r="B1723" s="28"/>
      <c r="C1723" s="28" t="s">
        <v>6844</v>
      </c>
      <c r="D1723" s="28" t="s">
        <v>1652</v>
      </c>
      <c r="E1723" s="28" t="s">
        <v>1068</v>
      </c>
      <c r="F1723" s="28" t="s">
        <v>349</v>
      </c>
      <c r="G1723" s="28">
        <v>63401</v>
      </c>
      <c r="H1723" s="28">
        <v>39.683477000000003</v>
      </c>
      <c r="I1723" s="28">
        <v>-91.334682999999998</v>
      </c>
      <c r="J1723" s="28" t="s">
        <v>709</v>
      </c>
      <c r="K1723" s="61">
        <v>110000595981</v>
      </c>
      <c r="L1723" s="61" t="str">
        <f>IFERROR(INDEX('Facility Summary'!$K:$K,MATCH(K1723,'Facility Summary'!$J:$J,0)),INDEX('Raw Annual DMR Data'!$M:$M,MATCH(K1723,'Raw Annual DMR Data'!$L:$L,0)))</f>
        <v>Unknown</v>
      </c>
      <c r="M1723" s="28"/>
      <c r="N1723" s="28"/>
      <c r="O1723" s="28"/>
      <c r="P1723" s="28"/>
      <c r="Q1723" s="28"/>
      <c r="R1723" s="28">
        <f t="shared" si="8"/>
        <v>0.24365930141197037</v>
      </c>
      <c r="S1723" s="28">
        <v>0.110522</v>
      </c>
    </row>
    <row r="1724" spans="1:19" x14ac:dyDescent="0.25">
      <c r="A1724" s="28">
        <v>2024</v>
      </c>
      <c r="B1724" s="28"/>
      <c r="C1724" s="28" t="s">
        <v>6844</v>
      </c>
      <c r="D1724" s="28" t="s">
        <v>1652</v>
      </c>
      <c r="E1724" s="28" t="s">
        <v>1068</v>
      </c>
      <c r="F1724" s="28" t="s">
        <v>349</v>
      </c>
      <c r="G1724" s="28">
        <v>63401</v>
      </c>
      <c r="H1724" s="28">
        <v>39.683477000000003</v>
      </c>
      <c r="I1724" s="28">
        <v>-91.334682999999998</v>
      </c>
      <c r="J1724" s="28" t="s">
        <v>709</v>
      </c>
      <c r="K1724" s="61">
        <v>110000595981</v>
      </c>
      <c r="L1724" s="61" t="str">
        <f>IFERROR(INDEX('Facility Summary'!$K:$K,MATCH(K1724,'Facility Summary'!$J:$J,0)),INDEX('Raw Annual DMR Data'!$M:$M,MATCH(K1724,'Raw Annual DMR Data'!$L:$L,0)))</f>
        <v>Unknown</v>
      </c>
      <c r="M1724" s="28"/>
      <c r="N1724" s="28"/>
      <c r="O1724" s="28"/>
      <c r="P1724" s="28"/>
      <c r="Q1724" s="28"/>
      <c r="R1724" s="28">
        <f t="shared" ref="R1724:R1787" si="9">CONVERT(S1724,"g","lbm")*1000</f>
        <v>2.8934542042671485E-2</v>
      </c>
      <c r="S1724" s="28">
        <v>1.31244875E-2</v>
      </c>
    </row>
    <row r="1725" spans="1:19" x14ac:dyDescent="0.25">
      <c r="A1725" s="28">
        <v>2023</v>
      </c>
      <c r="B1725" s="28"/>
      <c r="C1725" s="28" t="s">
        <v>1069</v>
      </c>
      <c r="D1725" s="28" t="s">
        <v>1656</v>
      </c>
      <c r="E1725" s="28" t="s">
        <v>1070</v>
      </c>
      <c r="F1725" s="28" t="s">
        <v>338</v>
      </c>
      <c r="G1725" s="28" t="s">
        <v>1659</v>
      </c>
      <c r="H1725" s="28">
        <v>40.798532000000002</v>
      </c>
      <c r="I1725" s="28">
        <v>-74.701402000000002</v>
      </c>
      <c r="J1725" s="28"/>
      <c r="K1725" s="61">
        <v>110000616049</v>
      </c>
      <c r="L1725" s="61" t="str">
        <f>IFERROR(INDEX('Facility Summary'!$K:$K,MATCH(K1725,'Facility Summary'!$J:$J,0)),INDEX('Raw Annual DMR Data'!$M:$M,MATCH(K1725,'Raw Annual DMR Data'!$L:$L,0)))</f>
        <v>Unknown</v>
      </c>
      <c r="M1725" s="28"/>
      <c r="N1725" s="28"/>
      <c r="O1725" s="28"/>
      <c r="P1725" s="28"/>
      <c r="Q1725" s="28"/>
      <c r="R1725" s="28">
        <f t="shared" si="9"/>
        <v>1.8761649385768988E-2</v>
      </c>
      <c r="S1725" s="28">
        <v>8.5101410099999997E-3</v>
      </c>
    </row>
    <row r="1726" spans="1:19" x14ac:dyDescent="0.25">
      <c r="A1726" s="28">
        <v>2024</v>
      </c>
      <c r="B1726" s="28"/>
      <c r="C1726" s="28" t="s">
        <v>1069</v>
      </c>
      <c r="D1726" s="28" t="s">
        <v>1656</v>
      </c>
      <c r="E1726" s="28" t="s">
        <v>1070</v>
      </c>
      <c r="F1726" s="28" t="s">
        <v>338</v>
      </c>
      <c r="G1726" s="28">
        <v>79302221</v>
      </c>
      <c r="H1726" s="28">
        <v>40.798532000000002</v>
      </c>
      <c r="I1726" s="28">
        <v>-74.701402000000002</v>
      </c>
      <c r="J1726" s="28"/>
      <c r="K1726" s="61">
        <v>110000616049</v>
      </c>
      <c r="L1726" s="61" t="str">
        <f>IFERROR(INDEX('Facility Summary'!$K:$K,MATCH(K1726,'Facility Summary'!$J:$J,0)),INDEX('Raw Annual DMR Data'!$M:$M,MATCH(K1726,'Raw Annual DMR Data'!$L:$L,0)))</f>
        <v>Unknown</v>
      </c>
      <c r="M1726" s="28"/>
      <c r="N1726" s="28"/>
      <c r="O1726" s="28"/>
      <c r="P1726" s="28"/>
      <c r="Q1726" s="28"/>
      <c r="R1726" s="28">
        <f t="shared" si="9"/>
        <v>1.8616905747334329E-2</v>
      </c>
      <c r="S1726" s="28">
        <v>8.4444863999999994E-3</v>
      </c>
    </row>
    <row r="1727" spans="1:19" x14ac:dyDescent="0.25">
      <c r="A1727" s="28">
        <v>2021</v>
      </c>
      <c r="B1727" s="28"/>
      <c r="C1727" s="28" t="s">
        <v>1069</v>
      </c>
      <c r="D1727" s="28" t="s">
        <v>1656</v>
      </c>
      <c r="E1727" s="28" t="s">
        <v>1070</v>
      </c>
      <c r="F1727" s="28" t="s">
        <v>338</v>
      </c>
      <c r="G1727" s="28">
        <v>79302221</v>
      </c>
      <c r="H1727" s="28">
        <v>40.798532000000002</v>
      </c>
      <c r="I1727" s="28">
        <v>-74.701402000000002</v>
      </c>
      <c r="J1727" s="28"/>
      <c r="K1727" s="61">
        <v>110000616049</v>
      </c>
      <c r="L1727" s="61" t="str">
        <f>IFERROR(INDEX('Facility Summary'!$K:$K,MATCH(K1727,'Facility Summary'!$J:$J,0)),INDEX('Raw Annual DMR Data'!$M:$M,MATCH(K1727,'Raw Annual DMR Data'!$L:$L,0)))</f>
        <v>Unknown</v>
      </c>
      <c r="M1727" s="28"/>
      <c r="N1727" s="28"/>
      <c r="O1727" s="28"/>
      <c r="P1727" s="28"/>
      <c r="Q1727" s="28"/>
      <c r="R1727" s="28">
        <f t="shared" si="9"/>
        <v>1.2199028226599138E-2</v>
      </c>
      <c r="S1727" s="28">
        <v>5.5333861250000003E-3</v>
      </c>
    </row>
    <row r="1728" spans="1:19" x14ac:dyDescent="0.25">
      <c r="A1728" s="28">
        <v>2022</v>
      </c>
      <c r="B1728" s="28"/>
      <c r="C1728" s="28" t="s">
        <v>1069</v>
      </c>
      <c r="D1728" s="28" t="s">
        <v>1656</v>
      </c>
      <c r="E1728" s="28" t="s">
        <v>1070</v>
      </c>
      <c r="F1728" s="28" t="s">
        <v>338</v>
      </c>
      <c r="G1728" s="28">
        <v>79302221</v>
      </c>
      <c r="H1728" s="28">
        <v>40.798532000000002</v>
      </c>
      <c r="I1728" s="28">
        <v>-74.701402000000002</v>
      </c>
      <c r="J1728" s="28"/>
      <c r="K1728" s="61">
        <v>110000616049</v>
      </c>
      <c r="L1728" s="61" t="str">
        <f>IFERROR(INDEX('Facility Summary'!$K:$K,MATCH(K1728,'Facility Summary'!$J:$J,0)),INDEX('Raw Annual DMR Data'!$M:$M,MATCH(K1728,'Raw Annual DMR Data'!$L:$L,0)))</f>
        <v>Unknown</v>
      </c>
      <c r="M1728" s="28"/>
      <c r="N1728" s="28"/>
      <c r="O1728" s="28"/>
      <c r="P1728" s="28"/>
      <c r="Q1728" s="28"/>
      <c r="R1728" s="28">
        <f t="shared" si="9"/>
        <v>6.4779370351842561E-3</v>
      </c>
      <c r="S1728" s="28">
        <v>2.9383428125E-3</v>
      </c>
    </row>
    <row r="1729" spans="1:19" x14ac:dyDescent="0.25">
      <c r="A1729" s="28">
        <v>2021</v>
      </c>
      <c r="B1729" s="28"/>
      <c r="C1729" s="28" t="s">
        <v>6869</v>
      </c>
      <c r="D1729" s="28" t="s">
        <v>7037</v>
      </c>
      <c r="E1729" s="28" t="s">
        <v>7038</v>
      </c>
      <c r="F1729" s="28" t="s">
        <v>366</v>
      </c>
      <c r="G1729" s="28">
        <v>95228</v>
      </c>
      <c r="H1729" s="28">
        <v>37.908380000000001</v>
      </c>
      <c r="I1729" s="28">
        <v>-120.61605</v>
      </c>
      <c r="J1729" s="28"/>
      <c r="K1729" s="61">
        <v>110027858432</v>
      </c>
      <c r="L1729" s="61" t="str">
        <f>IFERROR(INDEX('Facility Summary'!$K:$K,MATCH(K1729,'Facility Summary'!$J:$J,0)),INDEX('Raw Annual DMR Data'!$M:$M,MATCH(K1729,'Raw Annual DMR Data'!$L:$L,0)))</f>
        <v>POTW</v>
      </c>
      <c r="M1729" s="28"/>
      <c r="N1729" s="28"/>
      <c r="O1729" s="28"/>
      <c r="P1729" s="28"/>
      <c r="Q1729" s="28"/>
      <c r="R1729" s="28">
        <f t="shared" si="9"/>
        <v>0.37081899933634244</v>
      </c>
      <c r="S1729" s="28">
        <v>0.16820066875</v>
      </c>
    </row>
    <row r="1730" spans="1:19" x14ac:dyDescent="0.25">
      <c r="A1730" s="28">
        <v>2023</v>
      </c>
      <c r="B1730" s="28"/>
      <c r="C1730" s="28" t="s">
        <v>1071</v>
      </c>
      <c r="D1730" s="28" t="s">
        <v>1661</v>
      </c>
      <c r="E1730" s="28" t="s">
        <v>1072</v>
      </c>
      <c r="F1730" s="28" t="s">
        <v>366</v>
      </c>
      <c r="G1730" s="28">
        <v>96021</v>
      </c>
      <c r="H1730" s="28">
        <v>39.913755999999999</v>
      </c>
      <c r="I1730" s="28">
        <v>-122.09274000000001</v>
      </c>
      <c r="J1730" s="28"/>
      <c r="K1730" s="61">
        <v>110000730451</v>
      </c>
      <c r="L1730" s="61" t="str">
        <f>IFERROR(INDEX('Facility Summary'!$K:$K,MATCH(K1730,'Facility Summary'!$J:$J,0)),INDEX('Raw Annual DMR Data'!$M:$M,MATCH(K1730,'Raw Annual DMR Data'!$L:$L,0)))</f>
        <v>POTW</v>
      </c>
      <c r="M1730" s="28"/>
      <c r="N1730" s="28"/>
      <c r="O1730" s="28"/>
      <c r="P1730" s="28"/>
      <c r="Q1730" s="28"/>
      <c r="R1730" s="28">
        <f t="shared" si="9"/>
        <v>4.3887735354396058E-2</v>
      </c>
      <c r="S1730" s="28">
        <v>1.9907141893333299E-2</v>
      </c>
    </row>
    <row r="1731" spans="1:19" x14ac:dyDescent="0.25">
      <c r="A1731" s="28">
        <v>2021</v>
      </c>
      <c r="B1731" s="28"/>
      <c r="C1731" s="28" t="s">
        <v>6831</v>
      </c>
      <c r="D1731" s="28" t="s">
        <v>6984</v>
      </c>
      <c r="E1731" s="28" t="s">
        <v>968</v>
      </c>
      <c r="F1731" s="28" t="s">
        <v>294</v>
      </c>
      <c r="G1731" s="28">
        <v>22306</v>
      </c>
      <c r="H1731" s="28">
        <v>38.741570000000003</v>
      </c>
      <c r="I1731" s="28">
        <v>-77.086209999999994</v>
      </c>
      <c r="J1731" s="28"/>
      <c r="K1731" s="61">
        <v>110055415732</v>
      </c>
      <c r="L1731" s="61" t="str">
        <f>IFERROR(INDEX('Facility Summary'!$K:$K,MATCH(K1731,'Facility Summary'!$J:$J,0)),INDEX('Raw Annual DMR Data'!$M:$M,MATCH(K1731,'Raw Annual DMR Data'!$L:$L,0)))</f>
        <v>Unknown</v>
      </c>
      <c r="M1731" s="28"/>
      <c r="N1731" s="28"/>
      <c r="O1731" s="28"/>
      <c r="P1731" s="28"/>
      <c r="Q1731" s="28"/>
      <c r="R1731" s="28">
        <f t="shared" si="9"/>
        <v>2.0547488486193012E-2</v>
      </c>
      <c r="S1731" s="28">
        <v>9.3201840000000005E-3</v>
      </c>
    </row>
    <row r="1732" spans="1:19" x14ac:dyDescent="0.25">
      <c r="A1732" s="28">
        <v>2023</v>
      </c>
      <c r="B1732" s="28"/>
      <c r="C1732" s="28" t="s">
        <v>6777</v>
      </c>
      <c r="D1732" s="28" t="s">
        <v>6920</v>
      </c>
      <c r="E1732" s="28" t="s">
        <v>6921</v>
      </c>
      <c r="F1732" s="28" t="s">
        <v>311</v>
      </c>
      <c r="G1732" s="28">
        <v>25064</v>
      </c>
      <c r="H1732" s="28">
        <v>38.382550000000002</v>
      </c>
      <c r="I1732" s="28">
        <v>-81.782629</v>
      </c>
      <c r="J1732" s="28" t="s">
        <v>7118</v>
      </c>
      <c r="K1732" s="61">
        <v>110070676994</v>
      </c>
      <c r="L1732" s="61" t="str">
        <f>IFERROR(INDEX('Facility Summary'!$K:$K,MATCH(K1732,'Facility Summary'!$J:$J,0)),INDEX('Raw Annual DMR Data'!$M:$M,MATCH(K1732,'Raw Annual DMR Data'!$L:$L,0)))</f>
        <v>Unknown</v>
      </c>
      <c r="M1732" s="28"/>
      <c r="N1732" s="28"/>
      <c r="O1732" s="28"/>
      <c r="P1732" s="28"/>
      <c r="Q1732" s="28"/>
      <c r="R1732" s="28">
        <f t="shared" si="9"/>
        <v>1.4167720678370317</v>
      </c>
      <c r="S1732" s="28">
        <v>0.64263700000000001</v>
      </c>
    </row>
    <row r="1733" spans="1:19" x14ac:dyDescent="0.25">
      <c r="A1733" s="28">
        <v>2022</v>
      </c>
      <c r="B1733" s="28"/>
      <c r="C1733" s="28" t="s">
        <v>6777</v>
      </c>
      <c r="D1733" s="28" t="s">
        <v>6920</v>
      </c>
      <c r="E1733" s="28" t="s">
        <v>6921</v>
      </c>
      <c r="F1733" s="28" t="s">
        <v>311</v>
      </c>
      <c r="G1733" s="28">
        <v>25064</v>
      </c>
      <c r="H1733" s="28">
        <v>38.382550000000002</v>
      </c>
      <c r="I1733" s="28">
        <v>-81.782629</v>
      </c>
      <c r="J1733" s="28" t="s">
        <v>7118</v>
      </c>
      <c r="K1733" s="61">
        <v>110070676994</v>
      </c>
      <c r="L1733" s="61" t="str">
        <f>IFERROR(INDEX('Facility Summary'!$K:$K,MATCH(K1733,'Facility Summary'!$J:$J,0)),INDEX('Raw Annual DMR Data'!$M:$M,MATCH(K1733,'Raw Annual DMR Data'!$L:$L,0)))</f>
        <v>Unknown</v>
      </c>
      <c r="M1733" s="28"/>
      <c r="N1733" s="28"/>
      <c r="O1733" s="28"/>
      <c r="P1733" s="28"/>
      <c r="Q1733" s="28"/>
      <c r="R1733" s="28">
        <f t="shared" si="9"/>
        <v>1.2316058138279529</v>
      </c>
      <c r="S1733" s="28">
        <v>0.558647</v>
      </c>
    </row>
    <row r="1734" spans="1:19" x14ac:dyDescent="0.25">
      <c r="A1734" s="28">
        <v>2021</v>
      </c>
      <c r="B1734" s="28"/>
      <c r="C1734" s="28" t="s">
        <v>6777</v>
      </c>
      <c r="D1734" s="28" t="s">
        <v>6920</v>
      </c>
      <c r="E1734" s="28" t="s">
        <v>6921</v>
      </c>
      <c r="F1734" s="28" t="s">
        <v>311</v>
      </c>
      <c r="G1734" s="28">
        <v>25064</v>
      </c>
      <c r="H1734" s="28">
        <v>38.382550000000002</v>
      </c>
      <c r="I1734" s="28">
        <v>-81.782629</v>
      </c>
      <c r="J1734" s="28" t="s">
        <v>7118</v>
      </c>
      <c r="K1734" s="61">
        <v>110070676994</v>
      </c>
      <c r="L1734" s="61" t="str">
        <f>IFERROR(INDEX('Facility Summary'!$K:$K,MATCH(K1734,'Facility Summary'!$J:$J,0)),INDEX('Raw Annual DMR Data'!$M:$M,MATCH(K1734,'Raw Annual DMR Data'!$L:$L,0)))</f>
        <v>Unknown</v>
      </c>
      <c r="M1734" s="28"/>
      <c r="N1734" s="28"/>
      <c r="O1734" s="28"/>
      <c r="P1734" s="28"/>
      <c r="Q1734" s="28"/>
      <c r="R1734" s="28">
        <f t="shared" si="9"/>
        <v>0.91432093533672099</v>
      </c>
      <c r="S1734" s="28">
        <v>0.41472900000000001</v>
      </c>
    </row>
    <row r="1735" spans="1:19" x14ac:dyDescent="0.25">
      <c r="A1735" s="28">
        <v>2024</v>
      </c>
      <c r="B1735" s="28"/>
      <c r="C1735" s="28" t="s">
        <v>6768</v>
      </c>
      <c r="D1735" s="28" t="s">
        <v>6913</v>
      </c>
      <c r="E1735" s="28" t="s">
        <v>6914</v>
      </c>
      <c r="F1735" s="28" t="s">
        <v>6915</v>
      </c>
      <c r="G1735" s="28">
        <v>35601</v>
      </c>
      <c r="H1735" s="28">
        <v>34.63147</v>
      </c>
      <c r="I1735" s="28">
        <v>-87.038430000000005</v>
      </c>
      <c r="J1735" s="28" t="s">
        <v>7117</v>
      </c>
      <c r="K1735" s="61">
        <v>110045447469</v>
      </c>
      <c r="L1735" s="61" t="str">
        <f>IFERROR(INDEX('Facility Summary'!$K:$K,MATCH(K1735,'Facility Summary'!$J:$J,0)),INDEX('Raw Annual DMR Data'!$M:$M,MATCH(K1735,'Raw Annual DMR Data'!$L:$L,0)))</f>
        <v>Unknown</v>
      </c>
      <c r="M1735" s="28"/>
      <c r="N1735" s="28"/>
      <c r="O1735" s="28"/>
      <c r="P1735" s="28"/>
      <c r="Q1735" s="28"/>
      <c r="R1735" s="28">
        <f t="shared" si="9"/>
        <v>3.6532801466656064</v>
      </c>
      <c r="S1735" s="28">
        <v>1.6571</v>
      </c>
    </row>
    <row r="1736" spans="1:19" x14ac:dyDescent="0.25">
      <c r="A1736" s="28">
        <v>2023</v>
      </c>
      <c r="B1736" s="28"/>
      <c r="C1736" s="28" t="s">
        <v>6860</v>
      </c>
      <c r="D1736" s="28" t="s">
        <v>7021</v>
      </c>
      <c r="E1736" s="28" t="s">
        <v>7022</v>
      </c>
      <c r="F1736" s="28" t="s">
        <v>324</v>
      </c>
      <c r="G1736" s="28">
        <v>41031</v>
      </c>
      <c r="H1736" s="28">
        <v>38.394444</v>
      </c>
      <c r="I1736" s="28">
        <v>-84.284999999999997</v>
      </c>
      <c r="J1736" s="28"/>
      <c r="K1736" s="61">
        <v>110020737540</v>
      </c>
      <c r="L1736" s="61" t="str">
        <f>IFERROR(INDEX('Facility Summary'!$K:$K,MATCH(K1736,'Facility Summary'!$J:$J,0)),INDEX('Raw Annual DMR Data'!$M:$M,MATCH(K1736,'Raw Annual DMR Data'!$L:$L,0)))</f>
        <v>POTW</v>
      </c>
      <c r="M1736" s="28"/>
      <c r="N1736" s="28"/>
      <c r="O1736" s="28"/>
      <c r="P1736" s="28"/>
      <c r="Q1736" s="28"/>
      <c r="R1736" s="28">
        <f t="shared" si="9"/>
        <v>6.4645858405863397</v>
      </c>
      <c r="S1736" s="28">
        <v>2.9322868125000001</v>
      </c>
    </row>
    <row r="1737" spans="1:19" x14ac:dyDescent="0.25">
      <c r="A1737" s="28">
        <v>2021</v>
      </c>
      <c r="B1737" s="28"/>
      <c r="C1737" s="28" t="s">
        <v>6860</v>
      </c>
      <c r="D1737" s="28" t="s">
        <v>7021</v>
      </c>
      <c r="E1737" s="28" t="s">
        <v>7022</v>
      </c>
      <c r="F1737" s="28" t="s">
        <v>324</v>
      </c>
      <c r="G1737" s="28">
        <v>41031</v>
      </c>
      <c r="H1737" s="28">
        <v>38.394444</v>
      </c>
      <c r="I1737" s="28">
        <v>-84.284999999999997</v>
      </c>
      <c r="J1737" s="28"/>
      <c r="K1737" s="61">
        <v>110020737540</v>
      </c>
      <c r="L1737" s="61" t="str">
        <f>IFERROR(INDEX('Facility Summary'!$K:$K,MATCH(K1737,'Facility Summary'!$J:$J,0)),INDEX('Raw Annual DMR Data'!$M:$M,MATCH(K1737,'Raw Annual DMR Data'!$L:$L,0)))</f>
        <v>POTW</v>
      </c>
      <c r="M1737" s="28"/>
      <c r="N1737" s="28"/>
      <c r="O1737" s="28"/>
      <c r="P1737" s="28"/>
      <c r="Q1737" s="28"/>
      <c r="R1737" s="28">
        <f t="shared" si="9"/>
        <v>6.4425042163958794</v>
      </c>
      <c r="S1737" s="28">
        <v>2.9222707562500001</v>
      </c>
    </row>
    <row r="1738" spans="1:19" x14ac:dyDescent="0.25">
      <c r="A1738" s="28">
        <v>2022</v>
      </c>
      <c r="B1738" s="28"/>
      <c r="C1738" s="28" t="s">
        <v>6860</v>
      </c>
      <c r="D1738" s="28" t="s">
        <v>7021</v>
      </c>
      <c r="E1738" s="28" t="s">
        <v>7022</v>
      </c>
      <c r="F1738" s="28" t="s">
        <v>324</v>
      </c>
      <c r="G1738" s="28">
        <v>41031</v>
      </c>
      <c r="H1738" s="28">
        <v>38.394444</v>
      </c>
      <c r="I1738" s="28">
        <v>-84.284999999999997</v>
      </c>
      <c r="J1738" s="28"/>
      <c r="K1738" s="61">
        <v>110020737540</v>
      </c>
      <c r="L1738" s="61" t="str">
        <f>IFERROR(INDEX('Facility Summary'!$K:$K,MATCH(K1738,'Facility Summary'!$J:$J,0)),INDEX('Raw Annual DMR Data'!$M:$M,MATCH(K1738,'Raw Annual DMR Data'!$L:$L,0)))</f>
        <v>POTW</v>
      </c>
      <c r="M1738" s="28"/>
      <c r="N1738" s="28"/>
      <c r="O1738" s="28"/>
      <c r="P1738" s="28"/>
      <c r="Q1738" s="28"/>
      <c r="R1738" s="28">
        <f t="shared" si="9"/>
        <v>6.0534107694536399</v>
      </c>
      <c r="S1738" s="28">
        <v>2.7457809375000002</v>
      </c>
    </row>
    <row r="1739" spans="1:19" x14ac:dyDescent="0.25">
      <c r="A1739" s="28">
        <v>2024</v>
      </c>
      <c r="B1739" s="28"/>
      <c r="C1739" s="28" t="s">
        <v>6860</v>
      </c>
      <c r="D1739" s="28" t="s">
        <v>7021</v>
      </c>
      <c r="E1739" s="28" t="s">
        <v>7022</v>
      </c>
      <c r="F1739" s="28" t="s">
        <v>324</v>
      </c>
      <c r="G1739" s="28">
        <v>41031</v>
      </c>
      <c r="H1739" s="28">
        <v>38.394444</v>
      </c>
      <c r="I1739" s="28">
        <v>-84.284999999999997</v>
      </c>
      <c r="J1739" s="28"/>
      <c r="K1739" s="61">
        <v>110020737540</v>
      </c>
      <c r="L1739" s="61" t="str">
        <f>IFERROR(INDEX('Facility Summary'!$K:$K,MATCH(K1739,'Facility Summary'!$J:$J,0)),INDEX('Raw Annual DMR Data'!$M:$M,MATCH(K1739,'Raw Annual DMR Data'!$L:$L,0)))</f>
        <v>POTW</v>
      </c>
      <c r="M1739" s="28"/>
      <c r="N1739" s="28"/>
      <c r="O1739" s="28"/>
      <c r="P1739" s="28"/>
      <c r="Q1739" s="28"/>
      <c r="R1739" s="28">
        <f t="shared" si="9"/>
        <v>7.15749197897663E-4</v>
      </c>
      <c r="S1739" s="28">
        <v>3.2465837499999999E-4</v>
      </c>
    </row>
    <row r="1740" spans="1:19" x14ac:dyDescent="0.25">
      <c r="A1740" s="28">
        <v>2023</v>
      </c>
      <c r="B1740" s="28"/>
      <c r="C1740" s="28" t="s">
        <v>6849</v>
      </c>
      <c r="D1740" s="28" t="s">
        <v>7004</v>
      </c>
      <c r="E1740" s="28" t="s">
        <v>520</v>
      </c>
      <c r="F1740" s="28" t="s">
        <v>362</v>
      </c>
      <c r="G1740" s="28" t="s">
        <v>7005</v>
      </c>
      <c r="H1740" s="28">
        <v>29.706247999999999</v>
      </c>
      <c r="I1740" s="28">
        <v>-95.251079000000004</v>
      </c>
      <c r="J1740" s="28" t="s">
        <v>7129</v>
      </c>
      <c r="K1740" s="61">
        <v>110000461107</v>
      </c>
      <c r="L1740" s="61" t="str">
        <f>IFERROR(INDEX('Facility Summary'!$K:$K,MATCH(K1740,'Facility Summary'!$J:$J,0)),INDEX('Raw Annual DMR Data'!$M:$M,MATCH(K1740,'Raw Annual DMR Data'!$L:$L,0)))</f>
        <v>Unknown</v>
      </c>
      <c r="M1740" s="28"/>
      <c r="N1740" s="28"/>
      <c r="O1740" s="28"/>
      <c r="P1740" s="28"/>
      <c r="Q1740" s="28"/>
      <c r="R1740" s="28">
        <f t="shared" si="9"/>
        <v>7.3065602933312115E-2</v>
      </c>
      <c r="S1740" s="28">
        <v>3.3141999999999998E-2</v>
      </c>
    </row>
    <row r="1741" spans="1:19" x14ac:dyDescent="0.25">
      <c r="A1741" s="28">
        <v>2023</v>
      </c>
      <c r="B1741" s="28"/>
      <c r="C1741" s="28" t="s">
        <v>6783</v>
      </c>
      <c r="D1741" s="28" t="s">
        <v>6929</v>
      </c>
      <c r="E1741" s="28" t="s">
        <v>6930</v>
      </c>
      <c r="F1741" s="28" t="s">
        <v>362</v>
      </c>
      <c r="G1741" s="28">
        <v>77627</v>
      </c>
      <c r="H1741" s="28">
        <v>30.014958</v>
      </c>
      <c r="I1741" s="28">
        <v>-94.029087000000004</v>
      </c>
      <c r="J1741" s="28"/>
      <c r="K1741" s="61">
        <v>110071710882</v>
      </c>
      <c r="L1741" s="61" t="str">
        <f>IFERROR(INDEX('Facility Summary'!$K:$K,MATCH(K1741,'Facility Summary'!$J:$J,0)),INDEX('Raw Annual DMR Data'!$M:$M,MATCH(K1741,'Raw Annual DMR Data'!$L:$L,0)))</f>
        <v>Unknown</v>
      </c>
      <c r="M1741" s="28"/>
      <c r="N1741" s="28"/>
      <c r="O1741" s="28"/>
      <c r="P1741" s="28"/>
      <c r="Q1741" s="28"/>
      <c r="R1741" s="28">
        <f t="shared" si="9"/>
        <v>29.114140522249084</v>
      </c>
      <c r="S1741" s="28">
        <v>13.205952</v>
      </c>
    </row>
    <row r="1742" spans="1:19" x14ac:dyDescent="0.25">
      <c r="A1742" s="28">
        <v>2022</v>
      </c>
      <c r="B1742" s="28"/>
      <c r="C1742" s="28" t="s">
        <v>6812</v>
      </c>
      <c r="D1742" s="28" t="s">
        <v>6965</v>
      </c>
      <c r="E1742" s="28" t="s">
        <v>6966</v>
      </c>
      <c r="F1742" s="28" t="s">
        <v>362</v>
      </c>
      <c r="G1742" s="28">
        <v>77580</v>
      </c>
      <c r="H1742" s="28">
        <v>29.857654</v>
      </c>
      <c r="I1742" s="28">
        <v>-94.910674</v>
      </c>
      <c r="J1742" s="28" t="s">
        <v>7124</v>
      </c>
      <c r="K1742" s="61">
        <v>110056961480</v>
      </c>
      <c r="L1742" s="61" t="str">
        <f>IFERROR(INDEX('Facility Summary'!$K:$K,MATCH(K1742,'Facility Summary'!$J:$J,0)),INDEX('Raw Annual DMR Data'!$M:$M,MATCH(K1742,'Raw Annual DMR Data'!$L:$L,0)))</f>
        <v>Unknown</v>
      </c>
      <c r="M1742" s="28"/>
      <c r="N1742" s="28"/>
      <c r="O1742" s="28"/>
      <c r="P1742" s="28"/>
      <c r="Q1742" s="28"/>
      <c r="R1742" s="28">
        <f t="shared" si="9"/>
        <v>0.36532801466656062</v>
      </c>
      <c r="S1742" s="28">
        <v>0.16571</v>
      </c>
    </row>
    <row r="1743" spans="1:19" x14ac:dyDescent="0.25">
      <c r="A1743" s="28">
        <v>2021</v>
      </c>
      <c r="B1743" s="28"/>
      <c r="C1743" s="28" t="s">
        <v>6786</v>
      </c>
      <c r="D1743" s="28" t="s">
        <v>6936</v>
      </c>
      <c r="E1743" s="28" t="s">
        <v>6937</v>
      </c>
      <c r="F1743" s="28" t="s">
        <v>324</v>
      </c>
      <c r="G1743" s="28">
        <v>40422</v>
      </c>
      <c r="H1743" s="28">
        <v>37.621431000000001</v>
      </c>
      <c r="I1743" s="28">
        <v>-84.733756</v>
      </c>
      <c r="J1743" s="28"/>
      <c r="K1743" s="61">
        <v>110000732351</v>
      </c>
      <c r="L1743" s="61" t="str">
        <f>IFERROR(INDEX('Facility Summary'!$K:$K,MATCH(K1743,'Facility Summary'!$J:$J,0)),INDEX('Raw Annual DMR Data'!$M:$M,MATCH(K1743,'Raw Annual DMR Data'!$L:$L,0)))</f>
        <v>POTW</v>
      </c>
      <c r="M1743" s="28"/>
      <c r="N1743" s="28"/>
      <c r="O1743" s="28"/>
      <c r="P1743" s="28"/>
      <c r="Q1743" s="28"/>
      <c r="R1743" s="28">
        <f t="shared" si="9"/>
        <v>55.813208729679467</v>
      </c>
      <c r="S1743" s="28">
        <v>25.316445625</v>
      </c>
    </row>
    <row r="1744" spans="1:19" x14ac:dyDescent="0.25">
      <c r="A1744" s="28">
        <v>2022</v>
      </c>
      <c r="B1744" s="28"/>
      <c r="C1744" s="28" t="s">
        <v>6786</v>
      </c>
      <c r="D1744" s="28" t="s">
        <v>6936</v>
      </c>
      <c r="E1744" s="28" t="s">
        <v>6937</v>
      </c>
      <c r="F1744" s="28" t="s">
        <v>324</v>
      </c>
      <c r="G1744" s="28">
        <v>40422</v>
      </c>
      <c r="H1744" s="28">
        <v>37.621431000000001</v>
      </c>
      <c r="I1744" s="28">
        <v>-84.733756</v>
      </c>
      <c r="J1744" s="28"/>
      <c r="K1744" s="61">
        <v>110000732351</v>
      </c>
      <c r="L1744" s="61" t="str">
        <f>IFERROR(INDEX('Facility Summary'!$K:$K,MATCH(K1744,'Facility Summary'!$J:$J,0)),INDEX('Raw Annual DMR Data'!$M:$M,MATCH(K1744,'Raw Annual DMR Data'!$L:$L,0)))</f>
        <v>POTW</v>
      </c>
      <c r="M1744" s="28"/>
      <c r="N1744" s="28"/>
      <c r="O1744" s="28"/>
      <c r="P1744" s="28"/>
      <c r="Q1744" s="28"/>
      <c r="R1744" s="28">
        <f t="shared" si="9"/>
        <v>45.000827229523281</v>
      </c>
      <c r="S1744" s="28">
        <v>20.412031875</v>
      </c>
    </row>
    <row r="1745" spans="1:19" x14ac:dyDescent="0.25">
      <c r="A1745" s="28">
        <v>2023</v>
      </c>
      <c r="B1745" s="28"/>
      <c r="C1745" s="28" t="s">
        <v>6786</v>
      </c>
      <c r="D1745" s="28" t="s">
        <v>6936</v>
      </c>
      <c r="E1745" s="28" t="s">
        <v>6937</v>
      </c>
      <c r="F1745" s="28" t="s">
        <v>324</v>
      </c>
      <c r="G1745" s="28">
        <v>40422</v>
      </c>
      <c r="H1745" s="28">
        <v>37.621431000000001</v>
      </c>
      <c r="I1745" s="28">
        <v>-84.733756</v>
      </c>
      <c r="J1745" s="28"/>
      <c r="K1745" s="61">
        <v>110000732351</v>
      </c>
      <c r="L1745" s="61" t="str">
        <f>IFERROR(INDEX('Facility Summary'!$K:$K,MATCH(K1745,'Facility Summary'!$J:$J,0)),INDEX('Raw Annual DMR Data'!$M:$M,MATCH(K1745,'Raw Annual DMR Data'!$L:$L,0)))</f>
        <v>POTW</v>
      </c>
      <c r="M1745" s="28"/>
      <c r="N1745" s="28"/>
      <c r="O1745" s="28"/>
      <c r="P1745" s="28"/>
      <c r="Q1745" s="28"/>
      <c r="R1745" s="28">
        <f t="shared" si="9"/>
        <v>33.960015134293371</v>
      </c>
      <c r="S1745" s="28">
        <v>15.404003749999999</v>
      </c>
    </row>
    <row r="1746" spans="1:19" x14ac:dyDescent="0.25">
      <c r="A1746" s="28">
        <v>2022</v>
      </c>
      <c r="B1746" s="28"/>
      <c r="C1746" s="28" t="s">
        <v>6774</v>
      </c>
      <c r="D1746" s="28" t="s">
        <v>581</v>
      </c>
      <c r="E1746" s="28" t="s">
        <v>2421</v>
      </c>
      <c r="F1746" s="28" t="s">
        <v>362</v>
      </c>
      <c r="G1746" s="28">
        <v>78359</v>
      </c>
      <c r="H1746" s="28">
        <v>27.883610999999998</v>
      </c>
      <c r="I1746" s="28">
        <v>-97.241382999999999</v>
      </c>
      <c r="J1746" s="28" t="s">
        <v>583</v>
      </c>
      <c r="K1746" s="61">
        <v>110070725501</v>
      </c>
      <c r="L1746" s="61" t="str">
        <f>IFERROR(INDEX('Facility Summary'!$K:$K,MATCH(K1746,'Facility Summary'!$J:$J,0)),INDEX('Raw Annual DMR Data'!$M:$M,MATCH(K1746,'Raw Annual DMR Data'!$L:$L,0)))</f>
        <v>Manufacturing</v>
      </c>
      <c r="M1746" s="28"/>
      <c r="N1746" s="28"/>
      <c r="O1746" s="28"/>
      <c r="P1746" s="28"/>
      <c r="Q1746" s="28"/>
      <c r="R1746" s="28">
        <f t="shared" si="9"/>
        <v>2767.2846436989225</v>
      </c>
      <c r="S1746" s="28">
        <v>1255.2192</v>
      </c>
    </row>
    <row r="1747" spans="1:19" x14ac:dyDescent="0.25">
      <c r="A1747" s="28">
        <v>2024</v>
      </c>
      <c r="B1747" s="28"/>
      <c r="C1747" s="28" t="s">
        <v>6846</v>
      </c>
      <c r="D1747" s="28" t="s">
        <v>7000</v>
      </c>
      <c r="E1747" s="28" t="s">
        <v>1267</v>
      </c>
      <c r="F1747" s="28" t="s">
        <v>491</v>
      </c>
      <c r="G1747" s="28" t="s">
        <v>7001</v>
      </c>
      <c r="H1747" s="28">
        <v>40.670580000000001</v>
      </c>
      <c r="I1747" s="28">
        <v>-80.336500000000001</v>
      </c>
      <c r="J1747" s="28" t="s">
        <v>7128</v>
      </c>
      <c r="K1747" s="61">
        <v>110000329038</v>
      </c>
      <c r="L1747" s="61" t="str">
        <f>IFERROR(INDEX('Facility Summary'!$K:$K,MATCH(K1747,'Facility Summary'!$J:$J,0)),INDEX('Raw Annual DMR Data'!$M:$M,MATCH(K1747,'Raw Annual DMR Data'!$L:$L,0)))</f>
        <v>Unknown</v>
      </c>
      <c r="M1747" s="28"/>
      <c r="N1747" s="28"/>
      <c r="O1747" s="28"/>
      <c r="P1747" s="28"/>
      <c r="Q1747" s="28"/>
      <c r="R1747" s="28">
        <f t="shared" si="9"/>
        <v>0.10509436038353114</v>
      </c>
      <c r="S1747" s="28">
        <v>4.7669999999999997E-2</v>
      </c>
    </row>
    <row r="1748" spans="1:19" x14ac:dyDescent="0.25">
      <c r="A1748" s="28">
        <v>2021</v>
      </c>
      <c r="B1748" s="28"/>
      <c r="C1748" s="28" t="s">
        <v>208</v>
      </c>
      <c r="D1748" s="28" t="s">
        <v>647</v>
      </c>
      <c r="E1748" s="28" t="s">
        <v>648</v>
      </c>
      <c r="F1748" s="28" t="s">
        <v>328</v>
      </c>
      <c r="G1748" s="28">
        <v>30721</v>
      </c>
      <c r="H1748" s="28">
        <v>34.632592000000002</v>
      </c>
      <c r="I1748" s="28">
        <v>-84.927667999999997</v>
      </c>
      <c r="J1748" s="28" t="s">
        <v>649</v>
      </c>
      <c r="K1748" s="61">
        <v>110000611703</v>
      </c>
      <c r="L1748" s="61" t="str">
        <f>IFERROR(INDEX('Facility Summary'!$K:$K,MATCH(K1748,'Facility Summary'!$J:$J,0)),INDEX('Raw Annual DMR Data'!$M:$M,MATCH(K1748,'Raw Annual DMR Data'!$L:$L,0)))</f>
        <v>Processing as a Reactant</v>
      </c>
      <c r="M1748" s="28"/>
      <c r="N1748" s="28"/>
      <c r="O1748" s="28"/>
      <c r="P1748" s="28"/>
      <c r="Q1748" s="28"/>
      <c r="R1748" s="28">
        <f t="shared" si="9"/>
        <v>1.5513929389949836E-2</v>
      </c>
      <c r="S1748" s="28">
        <v>7.0369999999999999E-3</v>
      </c>
    </row>
    <row r="1749" spans="1:19" x14ac:dyDescent="0.25">
      <c r="A1749" s="28">
        <v>2021</v>
      </c>
      <c r="B1749" s="28"/>
      <c r="C1749" s="28" t="s">
        <v>1077</v>
      </c>
      <c r="D1749" s="28" t="s">
        <v>1670</v>
      </c>
      <c r="E1749" s="28" t="s">
        <v>1078</v>
      </c>
      <c r="F1749" s="28" t="s">
        <v>366</v>
      </c>
      <c r="G1749" s="28">
        <v>95682</v>
      </c>
      <c r="H1749" s="28">
        <v>38.627777999999999</v>
      </c>
      <c r="I1749" s="28">
        <v>-120.984167</v>
      </c>
      <c r="J1749" s="28"/>
      <c r="K1749" s="61">
        <v>110070619860</v>
      </c>
      <c r="L1749" s="61" t="str">
        <f>IFERROR(INDEX('Facility Summary'!$K:$K,MATCH(K1749,'Facility Summary'!$J:$J,0)),INDEX('Raw Annual DMR Data'!$M:$M,MATCH(K1749,'Raw Annual DMR Data'!$L:$L,0)))</f>
        <v>POTW</v>
      </c>
      <c r="M1749" s="28"/>
      <c r="N1749" s="28"/>
      <c r="O1749" s="28"/>
      <c r="P1749" s="28"/>
      <c r="Q1749" s="28"/>
      <c r="R1749" s="28">
        <f t="shared" si="9"/>
        <v>0.15355042017130929</v>
      </c>
      <c r="S1749" s="28">
        <v>6.9649298999999998E-2</v>
      </c>
    </row>
    <row r="1750" spans="1:19" x14ac:dyDescent="0.25">
      <c r="A1750" s="28">
        <v>2021</v>
      </c>
      <c r="B1750" s="28"/>
      <c r="C1750" s="28" t="s">
        <v>133</v>
      </c>
      <c r="D1750" s="28" t="s">
        <v>429</v>
      </c>
      <c r="E1750" s="28" t="s">
        <v>430</v>
      </c>
      <c r="F1750" s="28" t="s">
        <v>366</v>
      </c>
      <c r="G1750" s="28" t="s">
        <v>431</v>
      </c>
      <c r="H1750" s="28">
        <v>33.892391000000003</v>
      </c>
      <c r="I1750" s="28">
        <v>-118.072909</v>
      </c>
      <c r="J1750" s="28"/>
      <c r="K1750" s="61">
        <v>110000781609</v>
      </c>
      <c r="L1750" s="61" t="str">
        <f>IFERROR(INDEX('Facility Summary'!$K:$K,MATCH(K1750,'Facility Summary'!$J:$J,0)),INDEX('Raw Annual DMR Data'!$M:$M,MATCH(K1750,'Raw Annual DMR Data'!$L:$L,0)))</f>
        <v>Repackaging</v>
      </c>
      <c r="M1750" s="28"/>
      <c r="N1750" s="28"/>
      <c r="O1750" s="28"/>
      <c r="P1750" s="28"/>
      <c r="Q1750" s="28"/>
      <c r="R1750" s="28">
        <f t="shared" si="9"/>
        <v>4.1389161815045519E-4</v>
      </c>
      <c r="S1750" s="28">
        <v>1.8773807999999999E-4</v>
      </c>
    </row>
    <row r="1751" spans="1:19" x14ac:dyDescent="0.25">
      <c r="A1751" s="28">
        <v>2021</v>
      </c>
      <c r="B1751" s="28"/>
      <c r="C1751" s="28" t="s">
        <v>1079</v>
      </c>
      <c r="D1751" s="28" t="s">
        <v>1673</v>
      </c>
      <c r="E1751" s="28" t="s">
        <v>381</v>
      </c>
      <c r="F1751" s="28" t="s">
        <v>338</v>
      </c>
      <c r="G1751" s="28">
        <v>80140309</v>
      </c>
      <c r="H1751" s="28">
        <v>39.80142</v>
      </c>
      <c r="I1751" s="28">
        <v>-75.354990000000001</v>
      </c>
      <c r="J1751" s="28" t="s">
        <v>710</v>
      </c>
      <c r="K1751" s="61">
        <v>110000582003</v>
      </c>
      <c r="L1751" s="61" t="str">
        <f>IFERROR(INDEX('Facility Summary'!$K:$K,MATCH(K1751,'Facility Summary'!$J:$J,0)),INDEX('Raw Annual DMR Data'!$M:$M,MATCH(K1751,'Raw Annual DMR Data'!$L:$L,0)))</f>
        <v>Unknown</v>
      </c>
      <c r="M1751" s="28"/>
      <c r="N1751" s="28"/>
      <c r="O1751" s="28"/>
      <c r="P1751" s="28"/>
      <c r="Q1751" s="28"/>
      <c r="R1751" s="28">
        <f t="shared" si="9"/>
        <v>2.3115468190084414</v>
      </c>
      <c r="S1751" s="28">
        <v>1.0485</v>
      </c>
    </row>
    <row r="1752" spans="1:19" x14ac:dyDescent="0.25">
      <c r="A1752" s="28">
        <v>2022</v>
      </c>
      <c r="B1752" s="28"/>
      <c r="C1752" s="28" t="s">
        <v>1079</v>
      </c>
      <c r="D1752" s="28" t="s">
        <v>1673</v>
      </c>
      <c r="E1752" s="28" t="s">
        <v>381</v>
      </c>
      <c r="F1752" s="28" t="s">
        <v>338</v>
      </c>
      <c r="G1752" s="28">
        <v>80140309</v>
      </c>
      <c r="H1752" s="28">
        <v>39.80142</v>
      </c>
      <c r="I1752" s="28">
        <v>-75.354990000000001</v>
      </c>
      <c r="J1752" s="28" t="s">
        <v>710</v>
      </c>
      <c r="K1752" s="61">
        <v>110000582003</v>
      </c>
      <c r="L1752" s="61" t="str">
        <f>IFERROR(INDEX('Facility Summary'!$K:$K,MATCH(K1752,'Facility Summary'!$J:$J,0)),INDEX('Raw Annual DMR Data'!$M:$M,MATCH(K1752,'Raw Annual DMR Data'!$L:$L,0)))</f>
        <v>Unknown</v>
      </c>
      <c r="M1752" s="28"/>
      <c r="N1752" s="28"/>
      <c r="O1752" s="28"/>
      <c r="P1752" s="28"/>
      <c r="Q1752" s="28"/>
      <c r="R1752" s="28">
        <f t="shared" si="9"/>
        <v>2.020536632924403</v>
      </c>
      <c r="S1752" s="28">
        <v>0.91649999999999998</v>
      </c>
    </row>
    <row r="1753" spans="1:19" x14ac:dyDescent="0.25">
      <c r="A1753" s="28">
        <v>2024</v>
      </c>
      <c r="B1753" s="28"/>
      <c r="C1753" s="28" t="s">
        <v>1079</v>
      </c>
      <c r="D1753" s="28" t="s">
        <v>1673</v>
      </c>
      <c r="E1753" s="28" t="s">
        <v>381</v>
      </c>
      <c r="F1753" s="28" t="s">
        <v>338</v>
      </c>
      <c r="G1753" s="28">
        <v>80140309</v>
      </c>
      <c r="H1753" s="28">
        <v>39.80142</v>
      </c>
      <c r="I1753" s="28">
        <v>-75.354990000000001</v>
      </c>
      <c r="J1753" s="28" t="s">
        <v>710</v>
      </c>
      <c r="K1753" s="61">
        <v>110000582003</v>
      </c>
      <c r="L1753" s="61" t="str">
        <f>IFERROR(INDEX('Facility Summary'!$K:$K,MATCH(K1753,'Facility Summary'!$J:$J,0)),INDEX('Raw Annual DMR Data'!$M:$M,MATCH(K1753,'Raw Annual DMR Data'!$L:$L,0)))</f>
        <v>Unknown</v>
      </c>
      <c r="M1753" s="28"/>
      <c r="N1753" s="28"/>
      <c r="O1753" s="28"/>
      <c r="P1753" s="28"/>
      <c r="Q1753" s="28"/>
      <c r="R1753" s="28">
        <f t="shared" si="9"/>
        <v>0.62523097555631291</v>
      </c>
      <c r="S1753" s="28">
        <v>0.28360000000000002</v>
      </c>
    </row>
    <row r="1754" spans="1:19" x14ac:dyDescent="0.25">
      <c r="A1754" s="28">
        <v>2023</v>
      </c>
      <c r="B1754" s="28"/>
      <c r="C1754" s="28" t="s">
        <v>1079</v>
      </c>
      <c r="D1754" s="28" t="s">
        <v>1673</v>
      </c>
      <c r="E1754" s="28" t="s">
        <v>381</v>
      </c>
      <c r="F1754" s="28" t="s">
        <v>338</v>
      </c>
      <c r="G1754" s="28" t="s">
        <v>7086</v>
      </c>
      <c r="H1754" s="28">
        <v>39.80142</v>
      </c>
      <c r="I1754" s="28">
        <v>-75.354990000000001</v>
      </c>
      <c r="J1754" s="28" t="s">
        <v>710</v>
      </c>
      <c r="K1754" s="61">
        <v>110000582003</v>
      </c>
      <c r="L1754" s="61" t="str">
        <f>IFERROR(INDEX('Facility Summary'!$K:$K,MATCH(K1754,'Facility Summary'!$J:$J,0)),INDEX('Raw Annual DMR Data'!$M:$M,MATCH(K1754,'Raw Annual DMR Data'!$L:$L,0)))</f>
        <v>Unknown</v>
      </c>
      <c r="M1754" s="28"/>
      <c r="N1754" s="28"/>
      <c r="O1754" s="28"/>
      <c r="P1754" s="28"/>
      <c r="Q1754" s="28"/>
      <c r="R1754" s="28">
        <f t="shared" si="9"/>
        <v>0.43751838241899876</v>
      </c>
      <c r="S1754" s="28">
        <v>0.19845499999999999</v>
      </c>
    </row>
    <row r="1755" spans="1:19" x14ac:dyDescent="0.25">
      <c r="A1755" s="28">
        <v>2022</v>
      </c>
      <c r="B1755" s="28"/>
      <c r="C1755" s="28" t="s">
        <v>1080</v>
      </c>
      <c r="D1755" s="28" t="s">
        <v>1677</v>
      </c>
      <c r="E1755" s="28" t="s">
        <v>1081</v>
      </c>
      <c r="F1755" s="28" t="s">
        <v>338</v>
      </c>
      <c r="G1755" s="28">
        <v>8075</v>
      </c>
      <c r="H1755" s="28">
        <v>40.038871999999998</v>
      </c>
      <c r="I1755" s="28">
        <v>-74.975640999999996</v>
      </c>
      <c r="J1755" s="28"/>
      <c r="K1755" s="61">
        <v>110006620095</v>
      </c>
      <c r="L1755" s="61" t="str">
        <f>IFERROR(INDEX('Facility Summary'!$K:$K,MATCH(K1755,'Facility Summary'!$J:$J,0)),INDEX('Raw Annual DMR Data'!$M:$M,MATCH(K1755,'Raw Annual DMR Data'!$L:$L,0)))</f>
        <v>POTW</v>
      </c>
      <c r="M1755" s="28"/>
      <c r="N1755" s="28"/>
      <c r="O1755" s="28"/>
      <c r="P1755" s="28"/>
      <c r="Q1755" s="28"/>
      <c r="R1755" s="28">
        <f t="shared" si="9"/>
        <v>0.39619252744485095</v>
      </c>
      <c r="S1755" s="28">
        <v>0.17970990749999999</v>
      </c>
    </row>
    <row r="1756" spans="1:19" x14ac:dyDescent="0.25">
      <c r="A1756" s="28">
        <v>2023</v>
      </c>
      <c r="B1756" s="28"/>
      <c r="C1756" s="28" t="s">
        <v>1080</v>
      </c>
      <c r="D1756" s="28" t="s">
        <v>1677</v>
      </c>
      <c r="E1756" s="28" t="s">
        <v>1081</v>
      </c>
      <c r="F1756" s="28" t="s">
        <v>338</v>
      </c>
      <c r="G1756" s="28" t="s">
        <v>1678</v>
      </c>
      <c r="H1756" s="28">
        <v>40.038871999999998</v>
      </c>
      <c r="I1756" s="28">
        <v>-74.975640999999996</v>
      </c>
      <c r="J1756" s="28"/>
      <c r="K1756" s="61">
        <v>110006620095</v>
      </c>
      <c r="L1756" s="61" t="str">
        <f>IFERROR(INDEX('Facility Summary'!$K:$K,MATCH(K1756,'Facility Summary'!$J:$J,0)),INDEX('Raw Annual DMR Data'!$M:$M,MATCH(K1756,'Raw Annual DMR Data'!$L:$L,0)))</f>
        <v>POTW</v>
      </c>
      <c r="M1756" s="28"/>
      <c r="N1756" s="28"/>
      <c r="O1756" s="28"/>
      <c r="P1756" s="28"/>
      <c r="Q1756" s="28"/>
      <c r="R1756" s="28">
        <f t="shared" si="9"/>
        <v>0.3203619143769989</v>
      </c>
      <c r="S1756" s="28">
        <v>0.14531372000000001</v>
      </c>
    </row>
    <row r="1757" spans="1:19" x14ac:dyDescent="0.25">
      <c r="A1757" s="28">
        <v>2021</v>
      </c>
      <c r="B1757" s="28"/>
      <c r="C1757" s="28" t="s">
        <v>1080</v>
      </c>
      <c r="D1757" s="28" t="s">
        <v>1677</v>
      </c>
      <c r="E1757" s="28" t="s">
        <v>1081</v>
      </c>
      <c r="F1757" s="28" t="s">
        <v>338</v>
      </c>
      <c r="G1757" s="28">
        <v>8075</v>
      </c>
      <c r="H1757" s="28">
        <v>40.038871999999998</v>
      </c>
      <c r="I1757" s="28">
        <v>-74.975640999999996</v>
      </c>
      <c r="J1757" s="28"/>
      <c r="K1757" s="61">
        <v>110006620095</v>
      </c>
      <c r="L1757" s="61" t="str">
        <f>IFERROR(INDEX('Facility Summary'!$K:$K,MATCH(K1757,'Facility Summary'!$J:$J,0)),INDEX('Raw Annual DMR Data'!$M:$M,MATCH(K1757,'Raw Annual DMR Data'!$L:$L,0)))</f>
        <v>POTW</v>
      </c>
      <c r="M1757" s="28"/>
      <c r="N1757" s="28"/>
      <c r="O1757" s="28"/>
      <c r="P1757" s="28"/>
      <c r="Q1757" s="28"/>
      <c r="R1757" s="28">
        <f t="shared" si="9"/>
        <v>0.31509653700744567</v>
      </c>
      <c r="S1757" s="28">
        <v>0.14292538499999999</v>
      </c>
    </row>
    <row r="1758" spans="1:19" x14ac:dyDescent="0.25">
      <c r="A1758" s="28">
        <v>2021</v>
      </c>
      <c r="B1758" s="28"/>
      <c r="C1758" s="28" t="s">
        <v>1682</v>
      </c>
      <c r="D1758" s="28" t="s">
        <v>501</v>
      </c>
      <c r="E1758" s="28" t="s">
        <v>502</v>
      </c>
      <c r="F1758" s="28" t="s">
        <v>303</v>
      </c>
      <c r="G1758" s="28">
        <v>70058</v>
      </c>
      <c r="H1758" s="28">
        <v>29.910609999999998</v>
      </c>
      <c r="I1758" s="28">
        <v>-90.085269999999994</v>
      </c>
      <c r="J1758" s="28"/>
      <c r="K1758" s="61">
        <v>110070117180</v>
      </c>
      <c r="L1758" s="61" t="str">
        <f>IFERROR(INDEX('Facility Summary'!$K:$K,MATCH(K1758,'Facility Summary'!$J:$J,0)),INDEX('Raw Annual DMR Data'!$M:$M,MATCH(K1758,'Raw Annual DMR Data'!$L:$L,0)))</f>
        <v>Repackaging</v>
      </c>
      <c r="M1758" s="28"/>
      <c r="N1758" s="28"/>
      <c r="O1758" s="28"/>
      <c r="P1758" s="28"/>
      <c r="Q1758" s="28"/>
      <c r="R1758" s="28">
        <f t="shared" si="9"/>
        <v>8.4283026790612017E-2</v>
      </c>
      <c r="S1758" s="28">
        <v>3.82301378727272E-2</v>
      </c>
    </row>
    <row r="1759" spans="1:19" x14ac:dyDescent="0.25">
      <c r="A1759" s="28">
        <v>2024</v>
      </c>
      <c r="B1759" s="28"/>
      <c r="C1759" s="28" t="s">
        <v>1682</v>
      </c>
      <c r="D1759" s="28" t="s">
        <v>501</v>
      </c>
      <c r="E1759" s="28" t="s">
        <v>502</v>
      </c>
      <c r="F1759" s="28" t="s">
        <v>303</v>
      </c>
      <c r="G1759" s="28">
        <v>70058</v>
      </c>
      <c r="H1759" s="28">
        <v>29.910609999999998</v>
      </c>
      <c r="I1759" s="28">
        <v>-90.085269999999994</v>
      </c>
      <c r="J1759" s="28"/>
      <c r="K1759" s="61">
        <v>110070117180</v>
      </c>
      <c r="L1759" s="61" t="str">
        <f>IFERROR(INDEX('Facility Summary'!$K:$K,MATCH(K1759,'Facility Summary'!$J:$J,0)),INDEX('Raw Annual DMR Data'!$M:$M,MATCH(K1759,'Raw Annual DMR Data'!$L:$L,0)))</f>
        <v>Repackaging</v>
      </c>
      <c r="M1759" s="28"/>
      <c r="N1759" s="28"/>
      <c r="O1759" s="28"/>
      <c r="P1759" s="28"/>
      <c r="Q1759" s="28"/>
      <c r="R1759" s="28">
        <f t="shared" si="9"/>
        <v>8.3183366267823244E-2</v>
      </c>
      <c r="S1759" s="28">
        <v>3.7731340250000002E-2</v>
      </c>
    </row>
    <row r="1760" spans="1:19" x14ac:dyDescent="0.25">
      <c r="A1760" s="28">
        <v>2024</v>
      </c>
      <c r="B1760" s="28"/>
      <c r="C1760" s="28" t="s">
        <v>1682</v>
      </c>
      <c r="D1760" s="28" t="s">
        <v>501</v>
      </c>
      <c r="E1760" s="28" t="s">
        <v>502</v>
      </c>
      <c r="F1760" s="28" t="s">
        <v>303</v>
      </c>
      <c r="G1760" s="28">
        <v>70058</v>
      </c>
      <c r="H1760" s="28">
        <v>29.910609999999998</v>
      </c>
      <c r="I1760" s="28">
        <v>-90.085269999999994</v>
      </c>
      <c r="J1760" s="28"/>
      <c r="K1760" s="61">
        <v>110070117180</v>
      </c>
      <c r="L1760" s="61" t="str">
        <f>IFERROR(INDEX('Facility Summary'!$K:$K,MATCH(K1760,'Facility Summary'!$J:$J,0)),INDEX('Raw Annual DMR Data'!$M:$M,MATCH(K1760,'Raw Annual DMR Data'!$L:$L,0)))</f>
        <v>Repackaging</v>
      </c>
      <c r="M1760" s="28"/>
      <c r="N1760" s="28"/>
      <c r="O1760" s="28"/>
      <c r="P1760" s="28"/>
      <c r="Q1760" s="28"/>
      <c r="R1760" s="28">
        <f t="shared" si="9"/>
        <v>7.9018961782800726E-2</v>
      </c>
      <c r="S1760" s="28">
        <v>3.5842398150000003E-2</v>
      </c>
    </row>
    <row r="1761" spans="1:19" x14ac:dyDescent="0.25">
      <c r="A1761" s="28">
        <v>2023</v>
      </c>
      <c r="B1761" s="28"/>
      <c r="C1761" s="28" t="s">
        <v>1682</v>
      </c>
      <c r="D1761" s="28" t="s">
        <v>501</v>
      </c>
      <c r="E1761" s="28" t="s">
        <v>502</v>
      </c>
      <c r="F1761" s="28" t="s">
        <v>303</v>
      </c>
      <c r="G1761" s="28">
        <v>70058</v>
      </c>
      <c r="H1761" s="28">
        <v>29.910609999999998</v>
      </c>
      <c r="I1761" s="28">
        <v>-90.085269999999994</v>
      </c>
      <c r="J1761" s="28"/>
      <c r="K1761" s="61">
        <v>110070117180</v>
      </c>
      <c r="L1761" s="61" t="str">
        <f>IFERROR(INDEX('Facility Summary'!$K:$K,MATCH(K1761,'Facility Summary'!$J:$J,0)),INDEX('Raw Annual DMR Data'!$M:$M,MATCH(K1761,'Raw Annual DMR Data'!$L:$L,0)))</f>
        <v>Repackaging</v>
      </c>
      <c r="M1761" s="28"/>
      <c r="N1761" s="28"/>
      <c r="O1761" s="28"/>
      <c r="P1761" s="28"/>
      <c r="Q1761" s="28"/>
      <c r="R1761" s="28">
        <f t="shared" si="9"/>
        <v>6.228029207810528E-2</v>
      </c>
      <c r="S1761" s="28">
        <v>2.8249865288000001E-2</v>
      </c>
    </row>
    <row r="1762" spans="1:19" x14ac:dyDescent="0.25">
      <c r="A1762" s="28">
        <v>2022</v>
      </c>
      <c r="B1762" s="28"/>
      <c r="C1762" s="28" t="s">
        <v>1682</v>
      </c>
      <c r="D1762" s="28" t="s">
        <v>501</v>
      </c>
      <c r="E1762" s="28" t="s">
        <v>502</v>
      </c>
      <c r="F1762" s="28" t="s">
        <v>303</v>
      </c>
      <c r="G1762" s="28">
        <v>70058</v>
      </c>
      <c r="H1762" s="28">
        <v>29.910609999999998</v>
      </c>
      <c r="I1762" s="28">
        <v>-90.085269999999994</v>
      </c>
      <c r="J1762" s="28"/>
      <c r="K1762" s="61">
        <v>110070117180</v>
      </c>
      <c r="L1762" s="61" t="str">
        <f>IFERROR(INDEX('Facility Summary'!$K:$K,MATCH(K1762,'Facility Summary'!$J:$J,0)),INDEX('Raw Annual DMR Data'!$M:$M,MATCH(K1762,'Raw Annual DMR Data'!$L:$L,0)))</f>
        <v>Repackaging</v>
      </c>
      <c r="M1762" s="28"/>
      <c r="N1762" s="28"/>
      <c r="O1762" s="28"/>
      <c r="P1762" s="28"/>
      <c r="Q1762" s="28"/>
      <c r="R1762" s="28">
        <f t="shared" si="9"/>
        <v>5.5334985628175348E-2</v>
      </c>
      <c r="S1762" s="28">
        <v>2.5099527274999998E-2</v>
      </c>
    </row>
    <row r="1763" spans="1:19" x14ac:dyDescent="0.25">
      <c r="A1763" s="28">
        <v>2021</v>
      </c>
      <c r="B1763" s="28"/>
      <c r="C1763" s="28" t="s">
        <v>1682</v>
      </c>
      <c r="D1763" s="28" t="s">
        <v>501</v>
      </c>
      <c r="E1763" s="28" t="s">
        <v>502</v>
      </c>
      <c r="F1763" s="28" t="s">
        <v>303</v>
      </c>
      <c r="G1763" s="28">
        <v>70058</v>
      </c>
      <c r="H1763" s="28">
        <v>29.910609999999998</v>
      </c>
      <c r="I1763" s="28">
        <v>-90.085269999999994</v>
      </c>
      <c r="J1763" s="28"/>
      <c r="K1763" s="61">
        <v>110070117180</v>
      </c>
      <c r="L1763" s="61" t="str">
        <f>IFERROR(INDEX('Facility Summary'!$K:$K,MATCH(K1763,'Facility Summary'!$J:$J,0)),INDEX('Raw Annual DMR Data'!$M:$M,MATCH(K1763,'Raw Annual DMR Data'!$L:$L,0)))</f>
        <v>Repackaging</v>
      </c>
      <c r="M1763" s="28"/>
      <c r="N1763" s="28"/>
      <c r="O1763" s="28"/>
      <c r="P1763" s="28"/>
      <c r="Q1763" s="28"/>
      <c r="R1763" s="28">
        <f t="shared" si="9"/>
        <v>4.6657099813689769E-2</v>
      </c>
      <c r="S1763" s="28">
        <v>2.11633044818181E-2</v>
      </c>
    </row>
    <row r="1764" spans="1:19" x14ac:dyDescent="0.25">
      <c r="A1764" s="28">
        <v>2023</v>
      </c>
      <c r="B1764" s="28"/>
      <c r="C1764" s="28" t="s">
        <v>1682</v>
      </c>
      <c r="D1764" s="28" t="s">
        <v>501</v>
      </c>
      <c r="E1764" s="28" t="s">
        <v>502</v>
      </c>
      <c r="F1764" s="28" t="s">
        <v>303</v>
      </c>
      <c r="G1764" s="28">
        <v>70058</v>
      </c>
      <c r="H1764" s="28">
        <v>29.910609999999998</v>
      </c>
      <c r="I1764" s="28">
        <v>-90.085269999999994</v>
      </c>
      <c r="J1764" s="28"/>
      <c r="K1764" s="61">
        <v>110070117180</v>
      </c>
      <c r="L1764" s="61" t="str">
        <f>IFERROR(INDEX('Facility Summary'!$K:$K,MATCH(K1764,'Facility Summary'!$J:$J,0)),INDEX('Raw Annual DMR Data'!$M:$M,MATCH(K1764,'Raw Annual DMR Data'!$L:$L,0)))</f>
        <v>Repackaging</v>
      </c>
      <c r="M1764" s="28"/>
      <c r="N1764" s="28"/>
      <c r="O1764" s="28"/>
      <c r="P1764" s="28"/>
      <c r="Q1764" s="28"/>
      <c r="R1764" s="28">
        <f t="shared" si="9"/>
        <v>3.7465997113223043E-2</v>
      </c>
      <c r="S1764" s="28">
        <v>1.6994290424999999E-2</v>
      </c>
    </row>
    <row r="1765" spans="1:19" x14ac:dyDescent="0.25">
      <c r="A1765" s="28">
        <v>2022</v>
      </c>
      <c r="B1765" s="28"/>
      <c r="C1765" s="28" t="s">
        <v>1682</v>
      </c>
      <c r="D1765" s="28" t="s">
        <v>501</v>
      </c>
      <c r="E1765" s="28" t="s">
        <v>502</v>
      </c>
      <c r="F1765" s="28" t="s">
        <v>303</v>
      </c>
      <c r="G1765" s="28">
        <v>70058</v>
      </c>
      <c r="H1765" s="28">
        <v>29.910609999999998</v>
      </c>
      <c r="I1765" s="28">
        <v>-90.085269999999994</v>
      </c>
      <c r="J1765" s="28"/>
      <c r="K1765" s="61">
        <v>110070117180</v>
      </c>
      <c r="L1765" s="61" t="str">
        <f>IFERROR(INDEX('Facility Summary'!$K:$K,MATCH(K1765,'Facility Summary'!$J:$J,0)),INDEX('Raw Annual DMR Data'!$M:$M,MATCH(K1765,'Raw Annual DMR Data'!$L:$L,0)))</f>
        <v>Repackaging</v>
      </c>
      <c r="M1765" s="28"/>
      <c r="N1765" s="28"/>
      <c r="O1765" s="28"/>
      <c r="P1765" s="28"/>
      <c r="Q1765" s="28"/>
      <c r="R1765" s="28">
        <f t="shared" si="9"/>
        <v>3.5171657739745489E-2</v>
      </c>
      <c r="S1765" s="28">
        <v>1.5953595591E-2</v>
      </c>
    </row>
    <row r="1766" spans="1:19" x14ac:dyDescent="0.25">
      <c r="A1766" s="28">
        <v>2024</v>
      </c>
      <c r="B1766" s="28"/>
      <c r="C1766" s="28" t="s">
        <v>1082</v>
      </c>
      <c r="D1766" s="28" t="s">
        <v>1684</v>
      </c>
      <c r="E1766" s="28" t="s">
        <v>987</v>
      </c>
      <c r="F1766" s="28" t="s">
        <v>324</v>
      </c>
      <c r="G1766" s="28">
        <v>40272</v>
      </c>
      <c r="H1766" s="28">
        <v>38.08614</v>
      </c>
      <c r="I1766" s="28">
        <v>-85.898780000000002</v>
      </c>
      <c r="J1766" s="28"/>
      <c r="K1766" s="61">
        <v>110000732379</v>
      </c>
      <c r="L1766" s="61" t="str">
        <f>IFERROR(INDEX('Facility Summary'!$K:$K,MATCH(K1766,'Facility Summary'!$J:$J,0)),INDEX('Raw Annual DMR Data'!$M:$M,MATCH(K1766,'Raw Annual DMR Data'!$L:$L,0)))</f>
        <v>POTW</v>
      </c>
      <c r="M1766" s="28"/>
      <c r="N1766" s="28"/>
      <c r="O1766" s="28"/>
      <c r="P1766" s="28"/>
      <c r="Q1766" s="28"/>
      <c r="R1766" s="28">
        <f t="shared" si="9"/>
        <v>443.31525585957274</v>
      </c>
      <c r="S1766" s="28">
        <v>201.08441756249999</v>
      </c>
    </row>
    <row r="1767" spans="1:19" x14ac:dyDescent="0.25">
      <c r="A1767" s="28">
        <v>2021</v>
      </c>
      <c r="B1767" s="28"/>
      <c r="C1767" s="28" t="s">
        <v>1082</v>
      </c>
      <c r="D1767" s="28" t="s">
        <v>1684</v>
      </c>
      <c r="E1767" s="28" t="s">
        <v>987</v>
      </c>
      <c r="F1767" s="28" t="s">
        <v>324</v>
      </c>
      <c r="G1767" s="28">
        <v>40272</v>
      </c>
      <c r="H1767" s="28">
        <v>38.08614</v>
      </c>
      <c r="I1767" s="28">
        <v>-85.898780000000002</v>
      </c>
      <c r="J1767" s="28"/>
      <c r="K1767" s="61">
        <v>110000732379</v>
      </c>
      <c r="L1767" s="61" t="str">
        <f>IFERROR(INDEX('Facility Summary'!$K:$K,MATCH(K1767,'Facility Summary'!$J:$J,0)),INDEX('Raw Annual DMR Data'!$M:$M,MATCH(K1767,'Raw Annual DMR Data'!$L:$L,0)))</f>
        <v>POTW</v>
      </c>
      <c r="M1767" s="28"/>
      <c r="N1767" s="28"/>
      <c r="O1767" s="28"/>
      <c r="P1767" s="28"/>
      <c r="Q1767" s="28"/>
      <c r="R1767" s="28">
        <f t="shared" si="9"/>
        <v>272.51769992295061</v>
      </c>
      <c r="S1767" s="28">
        <v>123.61194937499999</v>
      </c>
    </row>
    <row r="1768" spans="1:19" x14ac:dyDescent="0.25">
      <c r="A1768" s="28">
        <v>2022</v>
      </c>
      <c r="B1768" s="28"/>
      <c r="C1768" s="28" t="s">
        <v>1082</v>
      </c>
      <c r="D1768" s="28" t="s">
        <v>1684</v>
      </c>
      <c r="E1768" s="28" t="s">
        <v>987</v>
      </c>
      <c r="F1768" s="28" t="s">
        <v>324</v>
      </c>
      <c r="G1768" s="28">
        <v>40272</v>
      </c>
      <c r="H1768" s="28">
        <v>38.08614</v>
      </c>
      <c r="I1768" s="28">
        <v>-85.898780000000002</v>
      </c>
      <c r="J1768" s="28"/>
      <c r="K1768" s="61">
        <v>110000732379</v>
      </c>
      <c r="L1768" s="61" t="str">
        <f>IFERROR(INDEX('Facility Summary'!$K:$K,MATCH(K1768,'Facility Summary'!$J:$J,0)),INDEX('Raw Annual DMR Data'!$M:$M,MATCH(K1768,'Raw Annual DMR Data'!$L:$L,0)))</f>
        <v>POTW</v>
      </c>
      <c r="M1768" s="28"/>
      <c r="N1768" s="28"/>
      <c r="O1768" s="28"/>
      <c r="P1768" s="28"/>
      <c r="Q1768" s="28"/>
      <c r="R1768" s="28">
        <f t="shared" si="9"/>
        <v>236.57795296468501</v>
      </c>
      <c r="S1768" s="28">
        <v>107.309954375</v>
      </c>
    </row>
    <row r="1769" spans="1:19" x14ac:dyDescent="0.25">
      <c r="A1769" s="28">
        <v>2023</v>
      </c>
      <c r="B1769" s="28"/>
      <c r="C1769" s="28" t="s">
        <v>1082</v>
      </c>
      <c r="D1769" s="28" t="s">
        <v>1684</v>
      </c>
      <c r="E1769" s="28" t="s">
        <v>987</v>
      </c>
      <c r="F1769" s="28" t="s">
        <v>324</v>
      </c>
      <c r="G1769" s="28">
        <v>40272</v>
      </c>
      <c r="H1769" s="28">
        <v>38.08614</v>
      </c>
      <c r="I1769" s="28">
        <v>-85.898780000000002</v>
      </c>
      <c r="J1769" s="28"/>
      <c r="K1769" s="61">
        <v>110000732379</v>
      </c>
      <c r="L1769" s="61" t="str">
        <f>IFERROR(INDEX('Facility Summary'!$K:$K,MATCH(K1769,'Facility Summary'!$J:$J,0)),INDEX('Raw Annual DMR Data'!$M:$M,MATCH(K1769,'Raw Annual DMR Data'!$L:$L,0)))</f>
        <v>POTW</v>
      </c>
      <c r="M1769" s="28"/>
      <c r="N1769" s="28"/>
      <c r="O1769" s="28"/>
      <c r="P1769" s="28"/>
      <c r="Q1769" s="28"/>
      <c r="R1769" s="28">
        <f t="shared" si="9"/>
        <v>193.77767380103859</v>
      </c>
      <c r="S1769" s="28">
        <v>87.896074312500005</v>
      </c>
    </row>
    <row r="1770" spans="1:19" x14ac:dyDescent="0.25">
      <c r="A1770" s="28">
        <v>2021</v>
      </c>
      <c r="B1770" s="28"/>
      <c r="C1770" s="28" t="s">
        <v>134</v>
      </c>
      <c r="D1770" s="28" t="s">
        <v>433</v>
      </c>
      <c r="E1770" s="28" t="s">
        <v>434</v>
      </c>
      <c r="F1770" s="28" t="s">
        <v>435</v>
      </c>
      <c r="G1770" s="28">
        <v>28203</v>
      </c>
      <c r="H1770" s="28">
        <v>35.215859999999999</v>
      </c>
      <c r="I1770" s="28">
        <v>-80.856890000000007</v>
      </c>
      <c r="J1770" s="28"/>
      <c r="K1770" s="61">
        <v>110070048003</v>
      </c>
      <c r="L1770" s="61" t="str">
        <f>IFERROR(INDEX('Facility Summary'!$K:$K,MATCH(K1770,'Facility Summary'!$J:$J,0)),INDEX('Raw Annual DMR Data'!$M:$M,MATCH(K1770,'Raw Annual DMR Data'!$L:$L,0)))</f>
        <v>Remediation</v>
      </c>
      <c r="M1770" s="28"/>
      <c r="N1770" s="28"/>
      <c r="O1770" s="28"/>
      <c r="P1770" s="28"/>
      <c r="Q1770" s="28"/>
      <c r="R1770" s="28">
        <f t="shared" si="9"/>
        <v>0.11172716891159346</v>
      </c>
      <c r="S1770" s="28">
        <v>5.0678591340000002E-2</v>
      </c>
    </row>
    <row r="1771" spans="1:19" x14ac:dyDescent="0.25">
      <c r="A1771" s="28">
        <v>2021</v>
      </c>
      <c r="B1771" s="28"/>
      <c r="C1771" s="28" t="s">
        <v>6876</v>
      </c>
      <c r="D1771" s="28" t="s">
        <v>7048</v>
      </c>
      <c r="E1771" s="28" t="s">
        <v>7049</v>
      </c>
      <c r="F1771" s="28" t="s">
        <v>366</v>
      </c>
      <c r="G1771" s="28">
        <v>94514</v>
      </c>
      <c r="H1771" s="28">
        <v>37.894722000000002</v>
      </c>
      <c r="I1771" s="28">
        <v>-121.587222</v>
      </c>
      <c r="J1771" s="28"/>
      <c r="K1771" s="61">
        <v>110001103911</v>
      </c>
      <c r="L1771" s="61" t="str">
        <f>IFERROR(INDEX('Facility Summary'!$K:$K,MATCH(K1771,'Facility Summary'!$J:$J,0)),INDEX('Raw Annual DMR Data'!$M:$M,MATCH(K1771,'Raw Annual DMR Data'!$L:$L,0)))</f>
        <v>POTW</v>
      </c>
      <c r="M1771" s="28"/>
      <c r="N1771" s="28"/>
      <c r="O1771" s="28"/>
      <c r="P1771" s="28"/>
      <c r="Q1771" s="28"/>
      <c r="R1771" s="28">
        <f t="shared" si="9"/>
        <v>0.15040654762336497</v>
      </c>
      <c r="S1771" s="28">
        <v>6.8223262399999998E-2</v>
      </c>
    </row>
    <row r="1772" spans="1:19" x14ac:dyDescent="0.25">
      <c r="A1772" s="28">
        <v>2022</v>
      </c>
      <c r="B1772" s="28"/>
      <c r="C1772" s="28" t="s">
        <v>1083</v>
      </c>
      <c r="D1772" s="28" t="s">
        <v>6935</v>
      </c>
      <c r="E1772" s="28" t="s">
        <v>1084</v>
      </c>
      <c r="F1772" s="28" t="s">
        <v>491</v>
      </c>
      <c r="G1772" s="28">
        <v>17961</v>
      </c>
      <c r="H1772" s="28">
        <v>40.627648000000001</v>
      </c>
      <c r="I1772" s="28">
        <v>-76.064880000000002</v>
      </c>
      <c r="J1772" s="28"/>
      <c r="K1772" s="61">
        <v>110000584305</v>
      </c>
      <c r="L1772" s="61" t="str">
        <f>IFERROR(INDEX('Facility Summary'!$K:$K,MATCH(K1772,'Facility Summary'!$J:$J,0)),INDEX('Raw Annual DMR Data'!$M:$M,MATCH(K1772,'Raw Annual DMR Data'!$L:$L,0)))</f>
        <v>Unknown</v>
      </c>
      <c r="M1772" s="28"/>
      <c r="N1772" s="28"/>
      <c r="O1772" s="28"/>
      <c r="P1772" s="28"/>
      <c r="Q1772" s="28"/>
      <c r="R1772" s="28">
        <f t="shared" si="9"/>
        <v>1.7345573956634233E-2</v>
      </c>
      <c r="S1772" s="28">
        <v>7.8678199999999993E-3</v>
      </c>
    </row>
    <row r="1773" spans="1:19" x14ac:dyDescent="0.25">
      <c r="A1773" s="28">
        <v>2023</v>
      </c>
      <c r="B1773" s="28"/>
      <c r="C1773" s="28" t="s">
        <v>1083</v>
      </c>
      <c r="D1773" s="28" t="s">
        <v>6935</v>
      </c>
      <c r="E1773" s="28" t="s">
        <v>1084</v>
      </c>
      <c r="F1773" s="28" t="s">
        <v>491</v>
      </c>
      <c r="G1773" s="28">
        <v>17961</v>
      </c>
      <c r="H1773" s="28">
        <v>40.627648000000001</v>
      </c>
      <c r="I1773" s="28">
        <v>-76.064880000000002</v>
      </c>
      <c r="J1773" s="28"/>
      <c r="K1773" s="61">
        <v>110000584305</v>
      </c>
      <c r="L1773" s="61" t="str">
        <f>IFERROR(INDEX('Facility Summary'!$K:$K,MATCH(K1773,'Facility Summary'!$J:$J,0)),INDEX('Raw Annual DMR Data'!$M:$M,MATCH(K1773,'Raw Annual DMR Data'!$L:$L,0)))</f>
        <v>Unknown</v>
      </c>
      <c r="M1773" s="28"/>
      <c r="N1773" s="28"/>
      <c r="O1773" s="28"/>
      <c r="P1773" s="28"/>
      <c r="Q1773" s="28"/>
      <c r="R1773" s="28">
        <f t="shared" si="9"/>
        <v>1.6429751673292036E-2</v>
      </c>
      <c r="S1773" s="28">
        <v>7.4524099999999996E-3</v>
      </c>
    </row>
    <row r="1774" spans="1:19" x14ac:dyDescent="0.25">
      <c r="A1774" s="28">
        <v>2024</v>
      </c>
      <c r="B1774" s="28"/>
      <c r="C1774" s="28" t="s">
        <v>1083</v>
      </c>
      <c r="D1774" s="28" t="s">
        <v>6935</v>
      </c>
      <c r="E1774" s="28" t="s">
        <v>1084</v>
      </c>
      <c r="F1774" s="28" t="s">
        <v>491</v>
      </c>
      <c r="G1774" s="28">
        <v>17961</v>
      </c>
      <c r="H1774" s="28">
        <v>40.627648000000001</v>
      </c>
      <c r="I1774" s="28">
        <v>-76.064880000000002</v>
      </c>
      <c r="J1774" s="28"/>
      <c r="K1774" s="61">
        <v>110000584305</v>
      </c>
      <c r="L1774" s="61" t="str">
        <f>IFERROR(INDEX('Facility Summary'!$K:$K,MATCH(K1774,'Facility Summary'!$J:$J,0)),INDEX('Raw Annual DMR Data'!$M:$M,MATCH(K1774,'Raw Annual DMR Data'!$L:$L,0)))</f>
        <v>Unknown</v>
      </c>
      <c r="M1774" s="28"/>
      <c r="N1774" s="28"/>
      <c r="O1774" s="28"/>
      <c r="P1774" s="28"/>
      <c r="Q1774" s="28"/>
      <c r="R1774" s="28">
        <f t="shared" si="9"/>
        <v>1.4147702704963931E-2</v>
      </c>
      <c r="S1774" s="28">
        <v>6.41729E-3</v>
      </c>
    </row>
    <row r="1775" spans="1:19" x14ac:dyDescent="0.25">
      <c r="A1775" s="28">
        <v>2021</v>
      </c>
      <c r="B1775" s="28"/>
      <c r="C1775" s="28" t="s">
        <v>1083</v>
      </c>
      <c r="D1775" s="28" t="s">
        <v>6935</v>
      </c>
      <c r="E1775" s="28" t="s">
        <v>1084</v>
      </c>
      <c r="F1775" s="28" t="s">
        <v>491</v>
      </c>
      <c r="G1775" s="28">
        <v>17961</v>
      </c>
      <c r="H1775" s="28">
        <v>40.627648000000001</v>
      </c>
      <c r="I1775" s="28">
        <v>-76.064880000000002</v>
      </c>
      <c r="J1775" s="28"/>
      <c r="K1775" s="61">
        <v>110000584305</v>
      </c>
      <c r="L1775" s="61" t="str">
        <f>IFERROR(INDEX('Facility Summary'!$K:$K,MATCH(K1775,'Facility Summary'!$J:$J,0)),INDEX('Raw Annual DMR Data'!$M:$M,MATCH(K1775,'Raw Annual DMR Data'!$L:$L,0)))</f>
        <v>Unknown</v>
      </c>
      <c r="M1775" s="28"/>
      <c r="N1775" s="28"/>
      <c r="O1775" s="28"/>
      <c r="P1775" s="28"/>
      <c r="Q1775" s="28"/>
      <c r="R1775" s="28">
        <f t="shared" si="9"/>
        <v>1.2806498486736009E-2</v>
      </c>
      <c r="S1775" s="28">
        <v>5.8089300000000003E-3</v>
      </c>
    </row>
    <row r="1776" spans="1:19" x14ac:dyDescent="0.25">
      <c r="A1776" s="28">
        <v>2024</v>
      </c>
      <c r="B1776" s="28"/>
      <c r="C1776" s="28" t="s">
        <v>6899</v>
      </c>
      <c r="D1776" s="28" t="s">
        <v>7091</v>
      </c>
      <c r="E1776" s="28" t="s">
        <v>1388</v>
      </c>
      <c r="F1776" s="28" t="s">
        <v>294</v>
      </c>
      <c r="G1776" s="28">
        <v>221822205</v>
      </c>
      <c r="H1776" s="28">
        <v>38.926856000000001</v>
      </c>
      <c r="I1776" s="28">
        <v>-77.245693000000003</v>
      </c>
      <c r="J1776" s="28"/>
      <c r="K1776" s="61">
        <v>110071725441</v>
      </c>
      <c r="L1776" s="61" t="str">
        <f>IFERROR(INDEX('Facility Summary'!$K:$K,MATCH(K1776,'Facility Summary'!$J:$J,0)),INDEX('Raw Annual DMR Data'!$M:$M,MATCH(K1776,'Raw Annual DMR Data'!$L:$L,0)))</f>
        <v>Unknown</v>
      </c>
      <c r="M1776" s="28"/>
      <c r="N1776" s="28"/>
      <c r="O1776" s="28"/>
      <c r="P1776" s="28"/>
      <c r="Q1776" s="28"/>
      <c r="R1776" s="28">
        <f t="shared" si="9"/>
        <v>0.11956952043086615</v>
      </c>
      <c r="S1776" s="28">
        <v>5.4235822151999999E-2</v>
      </c>
    </row>
    <row r="1777" spans="1:19" x14ac:dyDescent="0.25">
      <c r="A1777" s="28">
        <v>2022</v>
      </c>
      <c r="B1777" s="28"/>
      <c r="C1777" s="28" t="s">
        <v>135</v>
      </c>
      <c r="D1777" s="28" t="s">
        <v>439</v>
      </c>
      <c r="E1777" s="28" t="s">
        <v>426</v>
      </c>
      <c r="F1777" s="28" t="s">
        <v>427</v>
      </c>
      <c r="G1777" s="28">
        <v>48640</v>
      </c>
      <c r="H1777" s="28">
        <v>43.590555999999999</v>
      </c>
      <c r="I1777" s="28">
        <v>-84.206943999999993</v>
      </c>
      <c r="J1777" s="28"/>
      <c r="K1777" s="61">
        <v>110027360629</v>
      </c>
      <c r="L1777" s="61" t="str">
        <f>IFERROR(INDEX('Facility Summary'!$K:$K,MATCH(K1777,'Facility Summary'!$J:$J,0)),INDEX('Raw Annual DMR Data'!$M:$M,MATCH(K1777,'Raw Annual DMR Data'!$L:$L,0)))</f>
        <v>Manufacturing</v>
      </c>
      <c r="M1777" s="28"/>
      <c r="N1777" s="28"/>
      <c r="O1777" s="28"/>
      <c r="P1777" s="28"/>
      <c r="Q1777" s="28"/>
      <c r="R1777" s="28">
        <f t="shared" si="9"/>
        <v>136.92293809968629</v>
      </c>
      <c r="S1777" s="28">
        <v>62.107199999999999</v>
      </c>
    </row>
    <row r="1778" spans="1:19" x14ac:dyDescent="0.25">
      <c r="A1778" s="28">
        <v>2021</v>
      </c>
      <c r="B1778" s="28"/>
      <c r="C1778" s="28" t="s">
        <v>135</v>
      </c>
      <c r="D1778" s="28" t="s">
        <v>439</v>
      </c>
      <c r="E1778" s="28" t="s">
        <v>426</v>
      </c>
      <c r="F1778" s="28" t="s">
        <v>427</v>
      </c>
      <c r="G1778" s="28">
        <v>48640</v>
      </c>
      <c r="H1778" s="28">
        <v>43.590555999999999</v>
      </c>
      <c r="I1778" s="28">
        <v>-84.206943999999993</v>
      </c>
      <c r="J1778" s="28"/>
      <c r="K1778" s="61">
        <v>110027360629</v>
      </c>
      <c r="L1778" s="61" t="str">
        <f>IFERROR(INDEX('Facility Summary'!$K:$K,MATCH(K1778,'Facility Summary'!$J:$J,0)),INDEX('Raw Annual DMR Data'!$M:$M,MATCH(K1778,'Raw Annual DMR Data'!$L:$L,0)))</f>
        <v>Manufacturing</v>
      </c>
      <c r="M1778" s="28"/>
      <c r="N1778" s="28"/>
      <c r="O1778" s="28"/>
      <c r="P1778" s="28"/>
      <c r="Q1778" s="28"/>
      <c r="R1778" s="28">
        <f t="shared" si="9"/>
        <v>95.125409627150461</v>
      </c>
      <c r="S1778" s="28">
        <v>43.148159999999997</v>
      </c>
    </row>
    <row r="1779" spans="1:19" x14ac:dyDescent="0.25">
      <c r="A1779" s="28">
        <v>2021</v>
      </c>
      <c r="B1779" s="28"/>
      <c r="C1779" s="28" t="s">
        <v>6788</v>
      </c>
      <c r="D1779" s="28" t="s">
        <v>2058</v>
      </c>
      <c r="E1779" s="28" t="s">
        <v>1263</v>
      </c>
      <c r="F1779" s="28" t="s">
        <v>324</v>
      </c>
      <c r="G1779" s="28">
        <v>41018</v>
      </c>
      <c r="H1779" s="28">
        <v>39.058610999999999</v>
      </c>
      <c r="I1779" s="28">
        <v>-84.618055999999996</v>
      </c>
      <c r="J1779" s="28"/>
      <c r="K1779" s="61">
        <v>110039639736</v>
      </c>
      <c r="L1779" s="61" t="str">
        <f>IFERROR(INDEX('Facility Summary'!$K:$K,MATCH(K1779,'Facility Summary'!$J:$J,0)),INDEX('Raw Annual DMR Data'!$M:$M,MATCH(K1779,'Raw Annual DMR Data'!$L:$L,0)))</f>
        <v>POTW</v>
      </c>
      <c r="M1779" s="28"/>
      <c r="N1779" s="28"/>
      <c r="O1779" s="28"/>
      <c r="P1779" s="28"/>
      <c r="Q1779" s="28"/>
      <c r="R1779" s="28">
        <f t="shared" si="9"/>
        <v>49.310551123247507</v>
      </c>
      <c r="S1779" s="28">
        <v>22.366889749999999</v>
      </c>
    </row>
    <row r="1780" spans="1:19" x14ac:dyDescent="0.25">
      <c r="A1780" s="28">
        <v>2024</v>
      </c>
      <c r="B1780" s="28"/>
      <c r="C1780" s="28" t="s">
        <v>136</v>
      </c>
      <c r="D1780" s="28" t="s">
        <v>440</v>
      </c>
      <c r="E1780" s="28" t="s">
        <v>441</v>
      </c>
      <c r="F1780" s="28" t="s">
        <v>338</v>
      </c>
      <c r="G1780" s="28" t="s">
        <v>442</v>
      </c>
      <c r="H1780" s="28">
        <v>40.843611000000003</v>
      </c>
      <c r="I1780" s="28">
        <v>-75.066389000000001</v>
      </c>
      <c r="J1780" s="28" t="s">
        <v>443</v>
      </c>
      <c r="K1780" s="61">
        <v>110040963286</v>
      </c>
      <c r="L1780" s="61" t="str">
        <f>IFERROR(INDEX('Facility Summary'!$K:$K,MATCH(K1780,'Facility Summary'!$J:$J,0)),INDEX('Raw Annual DMR Data'!$M:$M,MATCH(K1780,'Raw Annual DMR Data'!$L:$L,0)))</f>
        <v>Processing into formulation, mixture, or reaction product</v>
      </c>
      <c r="M1780" s="28"/>
      <c r="N1780" s="28"/>
      <c r="O1780" s="28"/>
      <c r="P1780" s="28"/>
      <c r="Q1780" s="28"/>
      <c r="R1780" s="28">
        <f t="shared" si="9"/>
        <v>0.5350449512631793</v>
      </c>
      <c r="S1780" s="28">
        <v>0.24269230750000001</v>
      </c>
    </row>
    <row r="1781" spans="1:19" x14ac:dyDescent="0.25">
      <c r="A1781" s="28">
        <v>2021</v>
      </c>
      <c r="B1781" s="28"/>
      <c r="C1781" s="28" t="s">
        <v>136</v>
      </c>
      <c r="D1781" s="28" t="s">
        <v>440</v>
      </c>
      <c r="E1781" s="28" t="s">
        <v>441</v>
      </c>
      <c r="F1781" s="28" t="s">
        <v>338</v>
      </c>
      <c r="G1781" s="28" t="s">
        <v>442</v>
      </c>
      <c r="H1781" s="28">
        <v>40.843611000000003</v>
      </c>
      <c r="I1781" s="28">
        <v>-75.066389000000001</v>
      </c>
      <c r="J1781" s="28" t="s">
        <v>443</v>
      </c>
      <c r="K1781" s="61">
        <v>110040963286</v>
      </c>
      <c r="L1781" s="61" t="str">
        <f>IFERROR(INDEX('Facility Summary'!$K:$K,MATCH(K1781,'Facility Summary'!$J:$J,0)),INDEX('Raw Annual DMR Data'!$M:$M,MATCH(K1781,'Raw Annual DMR Data'!$L:$L,0)))</f>
        <v>Processing into formulation, mixture, or reaction product</v>
      </c>
      <c r="M1781" s="28"/>
      <c r="N1781" s="28"/>
      <c r="O1781" s="28"/>
      <c r="P1781" s="28"/>
      <c r="Q1781" s="28"/>
      <c r="R1781" s="28">
        <f t="shared" si="9"/>
        <v>0.22473711225565809</v>
      </c>
      <c r="S1781" s="28">
        <v>0.101939039375</v>
      </c>
    </row>
    <row r="1782" spans="1:19" x14ac:dyDescent="0.25">
      <c r="A1782" s="28">
        <v>2022</v>
      </c>
      <c r="B1782" s="28"/>
      <c r="C1782" s="28" t="s">
        <v>136</v>
      </c>
      <c r="D1782" s="28" t="s">
        <v>440</v>
      </c>
      <c r="E1782" s="28" t="s">
        <v>441</v>
      </c>
      <c r="F1782" s="28" t="s">
        <v>338</v>
      </c>
      <c r="G1782" s="28" t="s">
        <v>442</v>
      </c>
      <c r="H1782" s="28">
        <v>40.843611000000003</v>
      </c>
      <c r="I1782" s="28">
        <v>-75.066389000000001</v>
      </c>
      <c r="J1782" s="28" t="s">
        <v>443</v>
      </c>
      <c r="K1782" s="61">
        <v>110040963286</v>
      </c>
      <c r="L1782" s="61" t="str">
        <f>IFERROR(INDEX('Facility Summary'!$K:$K,MATCH(K1782,'Facility Summary'!$J:$J,0)),INDEX('Raw Annual DMR Data'!$M:$M,MATCH(K1782,'Raw Annual DMR Data'!$L:$L,0)))</f>
        <v>Processing into formulation, mixture, or reaction product</v>
      </c>
      <c r="M1782" s="28"/>
      <c r="N1782" s="28"/>
      <c r="O1782" s="28"/>
      <c r="P1782" s="28"/>
      <c r="Q1782" s="28"/>
      <c r="R1782" s="28">
        <f t="shared" si="9"/>
        <v>0.20224994552928657</v>
      </c>
      <c r="S1782" s="28">
        <v>9.1739032124999995E-2</v>
      </c>
    </row>
    <row r="1783" spans="1:19" x14ac:dyDescent="0.25">
      <c r="A1783" s="28">
        <v>2023</v>
      </c>
      <c r="B1783" s="28"/>
      <c r="C1783" s="28" t="s">
        <v>136</v>
      </c>
      <c r="D1783" s="28" t="s">
        <v>440</v>
      </c>
      <c r="E1783" s="28" t="s">
        <v>441</v>
      </c>
      <c r="F1783" s="28" t="s">
        <v>338</v>
      </c>
      <c r="G1783" s="28" t="s">
        <v>442</v>
      </c>
      <c r="H1783" s="28">
        <v>40.843611000000003</v>
      </c>
      <c r="I1783" s="28">
        <v>-75.066389000000001</v>
      </c>
      <c r="J1783" s="28" t="s">
        <v>443</v>
      </c>
      <c r="K1783" s="61">
        <v>110040963286</v>
      </c>
      <c r="L1783" s="61" t="str">
        <f>IFERROR(INDEX('Facility Summary'!$K:$K,MATCH(K1783,'Facility Summary'!$J:$J,0)),INDEX('Raw Annual DMR Data'!$M:$M,MATCH(K1783,'Raw Annual DMR Data'!$L:$L,0)))</f>
        <v>Processing into formulation, mixture, or reaction product</v>
      </c>
      <c r="M1783" s="28"/>
      <c r="N1783" s="28"/>
      <c r="O1783" s="28"/>
      <c r="P1783" s="28"/>
      <c r="Q1783" s="28"/>
      <c r="R1783" s="28">
        <f t="shared" si="9"/>
        <v>0.11123949566766302</v>
      </c>
      <c r="S1783" s="28">
        <v>5.0457386477499998E-2</v>
      </c>
    </row>
    <row r="1784" spans="1:19" x14ac:dyDescent="0.25">
      <c r="A1784" s="28">
        <v>2023</v>
      </c>
      <c r="B1784" s="28"/>
      <c r="C1784" s="28" t="s">
        <v>1088</v>
      </c>
      <c r="D1784" s="28" t="s">
        <v>1699</v>
      </c>
      <c r="E1784" s="28" t="s">
        <v>985</v>
      </c>
      <c r="F1784" s="28" t="s">
        <v>979</v>
      </c>
      <c r="G1784" s="28">
        <v>37660</v>
      </c>
      <c r="H1784" s="28">
        <v>36.527054999999997</v>
      </c>
      <c r="I1784" s="28">
        <v>-82.538579999999996</v>
      </c>
      <c r="J1784" s="28" t="s">
        <v>711</v>
      </c>
      <c r="K1784" s="61">
        <v>110000574423</v>
      </c>
      <c r="L1784" s="61" t="str">
        <f>IFERROR(INDEX('Facility Summary'!$K:$K,MATCH(K1784,'Facility Summary'!$J:$J,0)),INDEX('Raw Annual DMR Data'!$M:$M,MATCH(K1784,'Raw Annual DMR Data'!$L:$L,0)))</f>
        <v>Unknown</v>
      </c>
      <c r="M1784" s="28"/>
      <c r="N1784" s="28"/>
      <c r="O1784" s="28"/>
      <c r="P1784" s="28"/>
      <c r="Q1784" s="28"/>
      <c r="R1784" s="28">
        <f t="shared" si="9"/>
        <v>18.248134332594702</v>
      </c>
      <c r="S1784" s="28">
        <v>8.2772144999999995</v>
      </c>
    </row>
    <row r="1785" spans="1:19" x14ac:dyDescent="0.25">
      <c r="A1785" s="28">
        <v>2024</v>
      </c>
      <c r="B1785" s="28"/>
      <c r="C1785" s="28" t="s">
        <v>1088</v>
      </c>
      <c r="D1785" s="28" t="s">
        <v>1699</v>
      </c>
      <c r="E1785" s="28" t="s">
        <v>985</v>
      </c>
      <c r="F1785" s="28" t="s">
        <v>979</v>
      </c>
      <c r="G1785" s="28">
        <v>37660</v>
      </c>
      <c r="H1785" s="28">
        <v>36.527054999999997</v>
      </c>
      <c r="I1785" s="28">
        <v>-82.538579999999996</v>
      </c>
      <c r="J1785" s="28" t="s">
        <v>711</v>
      </c>
      <c r="K1785" s="61">
        <v>110000574423</v>
      </c>
      <c r="L1785" s="61" t="str">
        <f>IFERROR(INDEX('Facility Summary'!$K:$K,MATCH(K1785,'Facility Summary'!$J:$J,0)),INDEX('Raw Annual DMR Data'!$M:$M,MATCH(K1785,'Raw Annual DMR Data'!$L:$L,0)))</f>
        <v>Unknown</v>
      </c>
      <c r="M1785" s="28"/>
      <c r="N1785" s="28"/>
      <c r="O1785" s="28"/>
      <c r="P1785" s="28"/>
      <c r="Q1785" s="28"/>
      <c r="R1785" s="28">
        <f t="shared" si="9"/>
        <v>18.120269527461407</v>
      </c>
      <c r="S1785" s="28">
        <v>8.2192159999999994</v>
      </c>
    </row>
    <row r="1786" spans="1:19" x14ac:dyDescent="0.25">
      <c r="A1786" s="28">
        <v>2024</v>
      </c>
      <c r="B1786" s="28"/>
      <c r="C1786" s="28" t="s">
        <v>1088</v>
      </c>
      <c r="D1786" s="28" t="s">
        <v>1699</v>
      </c>
      <c r="E1786" s="28" t="s">
        <v>985</v>
      </c>
      <c r="F1786" s="28" t="s">
        <v>979</v>
      </c>
      <c r="G1786" s="28">
        <v>37660</v>
      </c>
      <c r="H1786" s="28">
        <v>36.527054999999997</v>
      </c>
      <c r="I1786" s="28">
        <v>-82.538579999999996</v>
      </c>
      <c r="J1786" s="28" t="s">
        <v>711</v>
      </c>
      <c r="K1786" s="61">
        <v>110000574423</v>
      </c>
      <c r="L1786" s="61" t="str">
        <f>IFERROR(INDEX('Facility Summary'!$K:$K,MATCH(K1786,'Facility Summary'!$J:$J,0)),INDEX('Raw Annual DMR Data'!$M:$M,MATCH(K1786,'Raw Annual DMR Data'!$L:$L,0)))</f>
        <v>Unknown</v>
      </c>
      <c r="M1786" s="28"/>
      <c r="N1786" s="28"/>
      <c r="O1786" s="28"/>
      <c r="P1786" s="28"/>
      <c r="Q1786" s="28"/>
      <c r="R1786" s="28">
        <f t="shared" si="9"/>
        <v>0.80590313942009206</v>
      </c>
      <c r="S1786" s="28">
        <v>0.36555151499999999</v>
      </c>
    </row>
    <row r="1787" spans="1:19" x14ac:dyDescent="0.25">
      <c r="A1787" s="28">
        <v>2023</v>
      </c>
      <c r="B1787" s="28"/>
      <c r="C1787" s="28" t="s">
        <v>1088</v>
      </c>
      <c r="D1787" s="28" t="s">
        <v>1699</v>
      </c>
      <c r="E1787" s="28" t="s">
        <v>985</v>
      </c>
      <c r="F1787" s="28" t="s">
        <v>979</v>
      </c>
      <c r="G1787" s="28">
        <v>37660</v>
      </c>
      <c r="H1787" s="28">
        <v>36.527054999999997</v>
      </c>
      <c r="I1787" s="28">
        <v>-82.538579999999996</v>
      </c>
      <c r="J1787" s="28" t="s">
        <v>711</v>
      </c>
      <c r="K1787" s="61">
        <v>110000574423</v>
      </c>
      <c r="L1787" s="61" t="str">
        <f>IFERROR(INDEX('Facility Summary'!$K:$K,MATCH(K1787,'Facility Summary'!$J:$J,0)),INDEX('Raw Annual DMR Data'!$M:$M,MATCH(K1787,'Raw Annual DMR Data'!$L:$L,0)))</f>
        <v>Unknown</v>
      </c>
      <c r="M1787" s="28"/>
      <c r="N1787" s="28"/>
      <c r="O1787" s="28"/>
      <c r="P1787" s="28"/>
      <c r="Q1787" s="28"/>
      <c r="R1787" s="28">
        <f t="shared" si="9"/>
        <v>0.45412002300655985</v>
      </c>
      <c r="S1787" s="28">
        <v>0.20598537750000001</v>
      </c>
    </row>
    <row r="1788" spans="1:19" x14ac:dyDescent="0.25">
      <c r="A1788" s="28">
        <v>2021</v>
      </c>
      <c r="B1788" s="28"/>
      <c r="C1788" s="28" t="s">
        <v>6817</v>
      </c>
      <c r="D1788" s="28" t="s">
        <v>519</v>
      </c>
      <c r="E1788" s="28" t="s">
        <v>520</v>
      </c>
      <c r="F1788" s="28" t="s">
        <v>362</v>
      </c>
      <c r="G1788" s="28">
        <v>77012</v>
      </c>
      <c r="H1788" s="28">
        <v>29.718139000000001</v>
      </c>
      <c r="I1788" s="28">
        <v>-95.268749999999997</v>
      </c>
      <c r="J1788" s="28" t="s">
        <v>521</v>
      </c>
      <c r="K1788" s="61">
        <v>110000460901</v>
      </c>
      <c r="L1788" s="61" t="str">
        <f>IFERROR(INDEX('Facility Summary'!$K:$K,MATCH(K1788,'Facility Summary'!$J:$J,0)),INDEX('Raw Annual DMR Data'!$M:$M,MATCH(K1788,'Raw Annual DMR Data'!$L:$L,0)))</f>
        <v>Processing into formulation, mixture, or reaction product</v>
      </c>
      <c r="M1788" s="28"/>
      <c r="N1788" s="28"/>
      <c r="O1788" s="28"/>
      <c r="P1788" s="28"/>
      <c r="Q1788" s="28"/>
      <c r="R1788" s="28">
        <f t="shared" ref="R1788:R1851" si="10">CONVERT(S1788,"g","lbm")*1000</f>
        <v>31.007840806493284</v>
      </c>
      <c r="S1788" s="28">
        <v>14.064920000000001</v>
      </c>
    </row>
    <row r="1789" spans="1:19" x14ac:dyDescent="0.25">
      <c r="A1789" s="28">
        <v>2024</v>
      </c>
      <c r="B1789" s="28"/>
      <c r="C1789" s="28" t="s">
        <v>6817</v>
      </c>
      <c r="D1789" s="28" t="s">
        <v>519</v>
      </c>
      <c r="E1789" s="28" t="s">
        <v>520</v>
      </c>
      <c r="F1789" s="28" t="s">
        <v>362</v>
      </c>
      <c r="G1789" s="28">
        <v>77012</v>
      </c>
      <c r="H1789" s="28">
        <v>29.718139000000001</v>
      </c>
      <c r="I1789" s="28">
        <v>-95.268749999999997</v>
      </c>
      <c r="J1789" s="28" t="s">
        <v>521</v>
      </c>
      <c r="K1789" s="61">
        <v>110000460901</v>
      </c>
      <c r="L1789" s="61" t="str">
        <f>IFERROR(INDEX('Facility Summary'!$K:$K,MATCH(K1789,'Facility Summary'!$J:$J,0)),INDEX('Raw Annual DMR Data'!$M:$M,MATCH(K1789,'Raw Annual DMR Data'!$L:$L,0)))</f>
        <v>Processing into formulation, mixture, or reaction product</v>
      </c>
      <c r="M1789" s="28"/>
      <c r="N1789" s="28"/>
      <c r="O1789" s="28"/>
      <c r="P1789" s="28"/>
      <c r="Q1789" s="28"/>
      <c r="R1789" s="28">
        <f t="shared" si="10"/>
        <v>29.196214213215271</v>
      </c>
      <c r="S1789" s="28">
        <v>13.243180000000001</v>
      </c>
    </row>
    <row r="1790" spans="1:19" x14ac:dyDescent="0.25">
      <c r="A1790" s="28">
        <v>2024</v>
      </c>
      <c r="B1790" s="28"/>
      <c r="C1790" s="28" t="s">
        <v>6817</v>
      </c>
      <c r="D1790" s="28" t="s">
        <v>519</v>
      </c>
      <c r="E1790" s="28" t="s">
        <v>520</v>
      </c>
      <c r="F1790" s="28" t="s">
        <v>362</v>
      </c>
      <c r="G1790" s="28">
        <v>77012</v>
      </c>
      <c r="H1790" s="28">
        <v>29.718139000000001</v>
      </c>
      <c r="I1790" s="28">
        <v>-95.268749999999997</v>
      </c>
      <c r="J1790" s="28" t="s">
        <v>521</v>
      </c>
      <c r="K1790" s="61">
        <v>110000460901</v>
      </c>
      <c r="L1790" s="61" t="str">
        <f>IFERROR(INDEX('Facility Summary'!$K:$K,MATCH(K1790,'Facility Summary'!$J:$J,0)),INDEX('Raw Annual DMR Data'!$M:$M,MATCH(K1790,'Raw Annual DMR Data'!$L:$L,0)))</f>
        <v>Processing into formulation, mixture, or reaction product</v>
      </c>
      <c r="M1790" s="28"/>
      <c r="N1790" s="28"/>
      <c r="O1790" s="28"/>
      <c r="P1790" s="28"/>
      <c r="Q1790" s="28"/>
      <c r="R1790" s="28">
        <f t="shared" si="10"/>
        <v>29.196214213215271</v>
      </c>
      <c r="S1790" s="28">
        <v>13.243180000000001</v>
      </c>
    </row>
    <row r="1791" spans="1:19" x14ac:dyDescent="0.25">
      <c r="A1791" s="28">
        <v>2022</v>
      </c>
      <c r="B1791" s="28"/>
      <c r="C1791" s="28" t="s">
        <v>6817</v>
      </c>
      <c r="D1791" s="28" t="s">
        <v>519</v>
      </c>
      <c r="E1791" s="28" t="s">
        <v>520</v>
      </c>
      <c r="F1791" s="28" t="s">
        <v>362</v>
      </c>
      <c r="G1791" s="28">
        <v>77012</v>
      </c>
      <c r="H1791" s="28">
        <v>29.718139000000001</v>
      </c>
      <c r="I1791" s="28">
        <v>-95.268749999999997</v>
      </c>
      <c r="J1791" s="28" t="s">
        <v>521</v>
      </c>
      <c r="K1791" s="61">
        <v>110000460901</v>
      </c>
      <c r="L1791" s="61" t="str">
        <f>IFERROR(INDEX('Facility Summary'!$K:$K,MATCH(K1791,'Facility Summary'!$J:$J,0)),INDEX('Raw Annual DMR Data'!$M:$M,MATCH(K1791,'Raw Annual DMR Data'!$L:$L,0)))</f>
        <v>Processing into formulation, mixture, or reaction product</v>
      </c>
      <c r="M1791" s="28"/>
      <c r="N1791" s="28"/>
      <c r="O1791" s="28"/>
      <c r="P1791" s="28"/>
      <c r="Q1791" s="28"/>
      <c r="R1791" s="28">
        <f t="shared" si="10"/>
        <v>27.414614580046837</v>
      </c>
      <c r="S1791" s="28">
        <v>12.43506</v>
      </c>
    </row>
    <row r="1792" spans="1:19" x14ac:dyDescent="0.25">
      <c r="A1792" s="28">
        <v>2023</v>
      </c>
      <c r="B1792" s="28"/>
      <c r="C1792" s="28" t="s">
        <v>6817</v>
      </c>
      <c r="D1792" s="28" t="s">
        <v>519</v>
      </c>
      <c r="E1792" s="28" t="s">
        <v>520</v>
      </c>
      <c r="F1792" s="28" t="s">
        <v>362</v>
      </c>
      <c r="G1792" s="28">
        <v>77012</v>
      </c>
      <c r="H1792" s="28">
        <v>29.718139000000001</v>
      </c>
      <c r="I1792" s="28">
        <v>-95.268749999999997</v>
      </c>
      <c r="J1792" s="28" t="s">
        <v>521</v>
      </c>
      <c r="K1792" s="61">
        <v>110000460901</v>
      </c>
      <c r="L1792" s="61" t="str">
        <f>IFERROR(INDEX('Facility Summary'!$K:$K,MATCH(K1792,'Facility Summary'!$J:$J,0)),INDEX('Raw Annual DMR Data'!$M:$M,MATCH(K1792,'Raw Annual DMR Data'!$L:$L,0)))</f>
        <v>Processing into formulation, mixture, or reaction product</v>
      </c>
      <c r="M1792" s="28"/>
      <c r="N1792" s="28"/>
      <c r="O1792" s="28"/>
      <c r="P1792" s="28"/>
      <c r="Q1792" s="28"/>
      <c r="R1792" s="28">
        <f t="shared" si="10"/>
        <v>27.384587619937257</v>
      </c>
      <c r="S1792" s="28">
        <v>12.42144</v>
      </c>
    </row>
    <row r="1793" spans="1:19" x14ac:dyDescent="0.25">
      <c r="A1793" s="28">
        <v>2023</v>
      </c>
      <c r="B1793" s="28"/>
      <c r="C1793" s="28" t="s">
        <v>6817</v>
      </c>
      <c r="D1793" s="28" t="s">
        <v>519</v>
      </c>
      <c r="E1793" s="28" t="s">
        <v>520</v>
      </c>
      <c r="F1793" s="28" t="s">
        <v>362</v>
      </c>
      <c r="G1793" s="28">
        <v>77012</v>
      </c>
      <c r="H1793" s="28">
        <v>29.718139000000001</v>
      </c>
      <c r="I1793" s="28">
        <v>-95.268749999999997</v>
      </c>
      <c r="J1793" s="28" t="s">
        <v>521</v>
      </c>
      <c r="K1793" s="61">
        <v>110000460901</v>
      </c>
      <c r="L1793" s="61" t="str">
        <f>IFERROR(INDEX('Facility Summary'!$K:$K,MATCH(K1793,'Facility Summary'!$J:$J,0)),INDEX('Raw Annual DMR Data'!$M:$M,MATCH(K1793,'Raw Annual DMR Data'!$L:$L,0)))</f>
        <v>Processing into formulation, mixture, or reaction product</v>
      </c>
      <c r="M1793" s="28"/>
      <c r="N1793" s="28"/>
      <c r="O1793" s="28"/>
      <c r="P1793" s="28"/>
      <c r="Q1793" s="28"/>
      <c r="R1793" s="28">
        <f t="shared" si="10"/>
        <v>27.384587619937257</v>
      </c>
      <c r="S1793" s="28">
        <v>12.42144</v>
      </c>
    </row>
    <row r="1794" spans="1:19" x14ac:dyDescent="0.25">
      <c r="A1794" s="28">
        <v>2022</v>
      </c>
      <c r="B1794" s="28"/>
      <c r="C1794" s="28" t="s">
        <v>6817</v>
      </c>
      <c r="D1794" s="28" t="s">
        <v>519</v>
      </c>
      <c r="E1794" s="28" t="s">
        <v>520</v>
      </c>
      <c r="F1794" s="28" t="s">
        <v>362</v>
      </c>
      <c r="G1794" s="28">
        <v>77012</v>
      </c>
      <c r="H1794" s="28">
        <v>29.718139000000001</v>
      </c>
      <c r="I1794" s="28">
        <v>-95.268749999999997</v>
      </c>
      <c r="J1794" s="28" t="s">
        <v>521</v>
      </c>
      <c r="K1794" s="61">
        <v>110000460901</v>
      </c>
      <c r="L1794" s="61" t="str">
        <f>IFERROR(INDEX('Facility Summary'!$K:$K,MATCH(K1794,'Facility Summary'!$J:$J,0)),INDEX('Raw Annual DMR Data'!$M:$M,MATCH(K1794,'Raw Annual DMR Data'!$L:$L,0)))</f>
        <v>Processing into formulation, mixture, or reaction product</v>
      </c>
      <c r="M1794" s="28"/>
      <c r="N1794" s="28"/>
      <c r="O1794" s="28"/>
      <c r="P1794" s="28"/>
      <c r="Q1794" s="28"/>
      <c r="R1794" s="28">
        <f t="shared" si="10"/>
        <v>25.362772305892182</v>
      </c>
      <c r="S1794" s="28">
        <v>11.50436</v>
      </c>
    </row>
    <row r="1795" spans="1:19" x14ac:dyDescent="0.25">
      <c r="A1795" s="28">
        <v>2022</v>
      </c>
      <c r="B1795" s="28"/>
      <c r="C1795" s="28" t="s">
        <v>6817</v>
      </c>
      <c r="D1795" s="28" t="s">
        <v>519</v>
      </c>
      <c r="E1795" s="28" t="s">
        <v>520</v>
      </c>
      <c r="F1795" s="28" t="s">
        <v>362</v>
      </c>
      <c r="G1795" s="28">
        <v>77012</v>
      </c>
      <c r="H1795" s="28">
        <v>29.718139000000001</v>
      </c>
      <c r="I1795" s="28">
        <v>-95.268749999999997</v>
      </c>
      <c r="J1795" s="28" t="s">
        <v>521</v>
      </c>
      <c r="K1795" s="61">
        <v>110000460901</v>
      </c>
      <c r="L1795" s="61" t="str">
        <f>IFERROR(INDEX('Facility Summary'!$K:$K,MATCH(K1795,'Facility Summary'!$J:$J,0)),INDEX('Raw Annual DMR Data'!$M:$M,MATCH(K1795,'Raw Annual DMR Data'!$L:$L,0)))</f>
        <v>Processing into formulation, mixture, or reaction product</v>
      </c>
      <c r="M1795" s="28"/>
      <c r="N1795" s="28"/>
      <c r="O1795" s="28"/>
      <c r="P1795" s="28"/>
      <c r="Q1795" s="28"/>
      <c r="R1795" s="28">
        <f t="shared" si="10"/>
        <v>25.362772305892182</v>
      </c>
      <c r="S1795" s="28">
        <v>11.50436</v>
      </c>
    </row>
    <row r="1796" spans="1:19" x14ac:dyDescent="0.25">
      <c r="A1796" s="28">
        <v>2024</v>
      </c>
      <c r="B1796" s="28"/>
      <c r="C1796" s="28" t="s">
        <v>1089</v>
      </c>
      <c r="D1796" s="28" t="s">
        <v>1703</v>
      </c>
      <c r="E1796" s="28" t="s">
        <v>1090</v>
      </c>
      <c r="F1796" s="28" t="s">
        <v>324</v>
      </c>
      <c r="G1796" s="28">
        <v>42038</v>
      </c>
      <c r="H1796" s="28">
        <v>37.075277999999997</v>
      </c>
      <c r="I1796" s="28">
        <v>-88.09</v>
      </c>
      <c r="J1796" s="28"/>
      <c r="K1796" s="61">
        <v>110009938719</v>
      </c>
      <c r="L1796" s="61" t="str">
        <f>IFERROR(INDEX('Facility Summary'!$K:$K,MATCH(K1796,'Facility Summary'!$J:$J,0)),INDEX('Raw Annual DMR Data'!$M:$M,MATCH(K1796,'Raw Annual DMR Data'!$L:$L,0)))</f>
        <v>POTW</v>
      </c>
      <c r="M1796" s="28"/>
      <c r="N1796" s="28"/>
      <c r="O1796" s="28"/>
      <c r="P1796" s="28"/>
      <c r="Q1796" s="28"/>
      <c r="R1796" s="28">
        <f t="shared" si="10"/>
        <v>0.87412774381544378</v>
      </c>
      <c r="S1796" s="28">
        <v>0.39649767499999999</v>
      </c>
    </row>
    <row r="1797" spans="1:19" x14ac:dyDescent="0.25">
      <c r="A1797" s="28">
        <v>2021</v>
      </c>
      <c r="B1797" s="28"/>
      <c r="C1797" s="28" t="s">
        <v>140</v>
      </c>
      <c r="D1797" s="28" t="s">
        <v>456</v>
      </c>
      <c r="E1797" s="28" t="s">
        <v>457</v>
      </c>
      <c r="F1797" s="28" t="s">
        <v>366</v>
      </c>
      <c r="G1797" s="28">
        <v>92243</v>
      </c>
      <c r="H1797" s="28">
        <v>32.803809999999999</v>
      </c>
      <c r="I1797" s="28">
        <v>-115.53973999999999</v>
      </c>
      <c r="J1797" s="28"/>
      <c r="K1797" s="61">
        <v>110002672484</v>
      </c>
      <c r="L1797" s="61" t="str">
        <f>IFERROR(INDEX('Facility Summary'!$K:$K,MATCH(K1797,'Facility Summary'!$J:$J,0)),INDEX('Raw Annual DMR Data'!$M:$M,MATCH(K1797,'Raw Annual DMR Data'!$L:$L,0)))</f>
        <v>Unknown</v>
      </c>
      <c r="M1797" s="28"/>
      <c r="N1797" s="28"/>
      <c r="O1797" s="28"/>
      <c r="P1797" s="28"/>
      <c r="Q1797" s="28"/>
      <c r="R1797" s="28">
        <f t="shared" si="10"/>
        <v>0.11726103880451075</v>
      </c>
      <c r="S1797" s="28">
        <v>5.3188712499999999E-2</v>
      </c>
    </row>
    <row r="1798" spans="1:19" x14ac:dyDescent="0.25">
      <c r="A1798" s="28">
        <v>2022</v>
      </c>
      <c r="B1798" s="28"/>
      <c r="C1798" s="28" t="s">
        <v>140</v>
      </c>
      <c r="D1798" s="28" t="s">
        <v>456</v>
      </c>
      <c r="E1798" s="28" t="s">
        <v>457</v>
      </c>
      <c r="F1798" s="28" t="s">
        <v>366</v>
      </c>
      <c r="G1798" s="28">
        <v>92243</v>
      </c>
      <c r="H1798" s="28">
        <v>32.803809999999999</v>
      </c>
      <c r="I1798" s="28">
        <v>-115.53973999999999</v>
      </c>
      <c r="J1798" s="28"/>
      <c r="K1798" s="61">
        <v>110002672484</v>
      </c>
      <c r="L1798" s="61" t="str">
        <f>IFERROR(INDEX('Facility Summary'!$K:$K,MATCH(K1798,'Facility Summary'!$J:$J,0)),INDEX('Raw Annual DMR Data'!$M:$M,MATCH(K1798,'Raw Annual DMR Data'!$L:$L,0)))</f>
        <v>Unknown</v>
      </c>
      <c r="M1798" s="28"/>
      <c r="N1798" s="28"/>
      <c r="O1798" s="28"/>
      <c r="P1798" s="28"/>
      <c r="Q1798" s="28"/>
      <c r="R1798" s="28">
        <f t="shared" si="10"/>
        <v>6.7006307888291844E-2</v>
      </c>
      <c r="S1798" s="28">
        <v>3.0393549999999998E-2</v>
      </c>
    </row>
    <row r="1799" spans="1:19" x14ac:dyDescent="0.25">
      <c r="A1799" s="28">
        <v>2021</v>
      </c>
      <c r="B1799" s="28"/>
      <c r="C1799" s="28" t="s">
        <v>140</v>
      </c>
      <c r="D1799" s="28" t="s">
        <v>456</v>
      </c>
      <c r="E1799" s="28" t="s">
        <v>457</v>
      </c>
      <c r="F1799" s="28" t="s">
        <v>366</v>
      </c>
      <c r="G1799" s="28">
        <v>92243</v>
      </c>
      <c r="H1799" s="28">
        <v>32.803809999999999</v>
      </c>
      <c r="I1799" s="28">
        <v>-115.53973999999999</v>
      </c>
      <c r="J1799" s="28"/>
      <c r="K1799" s="61">
        <v>110002672484</v>
      </c>
      <c r="L1799" s="61" t="str">
        <f>IFERROR(INDEX('Facility Summary'!$K:$K,MATCH(K1799,'Facility Summary'!$J:$J,0)),INDEX('Raw Annual DMR Data'!$M:$M,MATCH(K1799,'Raw Annual DMR Data'!$L:$L,0)))</f>
        <v>Unknown</v>
      </c>
      <c r="M1799" s="28"/>
      <c r="N1799" s="28"/>
      <c r="O1799" s="28"/>
      <c r="P1799" s="28"/>
      <c r="Q1799" s="28"/>
      <c r="R1799" s="28">
        <f t="shared" si="10"/>
        <v>4.4163248380919638E-2</v>
      </c>
      <c r="S1799" s="28">
        <v>2.0032112500000001E-2</v>
      </c>
    </row>
    <row r="1800" spans="1:19" x14ac:dyDescent="0.25">
      <c r="A1800" s="28">
        <v>2022</v>
      </c>
      <c r="B1800" s="28"/>
      <c r="C1800" s="28" t="s">
        <v>140</v>
      </c>
      <c r="D1800" s="28" t="s">
        <v>456</v>
      </c>
      <c r="E1800" s="28" t="s">
        <v>457</v>
      </c>
      <c r="F1800" s="28" t="s">
        <v>366</v>
      </c>
      <c r="G1800" s="28">
        <v>92243</v>
      </c>
      <c r="H1800" s="28">
        <v>32.803809999999999</v>
      </c>
      <c r="I1800" s="28">
        <v>-115.53973999999999</v>
      </c>
      <c r="J1800" s="28"/>
      <c r="K1800" s="61">
        <v>110002672484</v>
      </c>
      <c r="L1800" s="61" t="str">
        <f>IFERROR(INDEX('Facility Summary'!$K:$K,MATCH(K1800,'Facility Summary'!$J:$J,0)),INDEX('Raw Annual DMR Data'!$M:$M,MATCH(K1800,'Raw Annual DMR Data'!$L:$L,0)))</f>
        <v>Unknown</v>
      </c>
      <c r="M1800" s="28"/>
      <c r="N1800" s="28"/>
      <c r="O1800" s="28"/>
      <c r="P1800" s="28"/>
      <c r="Q1800" s="28"/>
      <c r="R1800" s="28">
        <f t="shared" si="10"/>
        <v>2.2843059507372226E-2</v>
      </c>
      <c r="S1800" s="28">
        <v>1.0361437500000001E-2</v>
      </c>
    </row>
    <row r="1801" spans="1:19" x14ac:dyDescent="0.25">
      <c r="A1801" s="28">
        <v>2023</v>
      </c>
      <c r="B1801" s="28"/>
      <c r="C1801" s="28" t="s">
        <v>1095</v>
      </c>
      <c r="D1801" s="28" t="s">
        <v>1714</v>
      </c>
      <c r="E1801" s="28" t="s">
        <v>1096</v>
      </c>
      <c r="F1801" s="28" t="s">
        <v>450</v>
      </c>
      <c r="G1801" s="28">
        <v>14132</v>
      </c>
      <c r="H1801" s="28">
        <v>43.129750000000001</v>
      </c>
      <c r="I1801" s="28">
        <v>-78.939679999999996</v>
      </c>
      <c r="J1801" s="28"/>
      <c r="K1801" s="61">
        <v>110000737365</v>
      </c>
      <c r="L1801" s="61" t="str">
        <f>IFERROR(INDEX('Facility Summary'!$K:$K,MATCH(K1801,'Facility Summary'!$J:$J,0)),INDEX('Raw Annual DMR Data'!$M:$M,MATCH(K1801,'Raw Annual DMR Data'!$L:$L,0)))</f>
        <v>Unknown</v>
      </c>
      <c r="M1801" s="28"/>
      <c r="N1801" s="28"/>
      <c r="O1801" s="28"/>
      <c r="P1801" s="28"/>
      <c r="Q1801" s="28"/>
      <c r="R1801" s="28">
        <f t="shared" si="10"/>
        <v>2.1713432539330411E-2</v>
      </c>
      <c r="S1801" s="28">
        <v>9.8490473263500005E-3</v>
      </c>
    </row>
    <row r="1802" spans="1:19" x14ac:dyDescent="0.25">
      <c r="A1802" s="28">
        <v>2024</v>
      </c>
      <c r="B1802" s="28"/>
      <c r="C1802" s="28" t="s">
        <v>1095</v>
      </c>
      <c r="D1802" s="28" t="s">
        <v>1714</v>
      </c>
      <c r="E1802" s="28" t="s">
        <v>1096</v>
      </c>
      <c r="F1802" s="28" t="s">
        <v>450</v>
      </c>
      <c r="G1802" s="28">
        <v>14132</v>
      </c>
      <c r="H1802" s="28">
        <v>43.129750000000001</v>
      </c>
      <c r="I1802" s="28">
        <v>-78.939679999999996</v>
      </c>
      <c r="J1802" s="28"/>
      <c r="K1802" s="61">
        <v>110000737365</v>
      </c>
      <c r="L1802" s="61" t="str">
        <f>IFERROR(INDEX('Facility Summary'!$K:$K,MATCH(K1802,'Facility Summary'!$J:$J,0)),INDEX('Raw Annual DMR Data'!$M:$M,MATCH(K1802,'Raw Annual DMR Data'!$L:$L,0)))</f>
        <v>Unknown</v>
      </c>
      <c r="M1802" s="28"/>
      <c r="N1802" s="28"/>
      <c r="O1802" s="28"/>
      <c r="P1802" s="28"/>
      <c r="Q1802" s="28"/>
      <c r="R1802" s="28">
        <f t="shared" si="10"/>
        <v>2.1632841808163574E-2</v>
      </c>
      <c r="S1802" s="28">
        <v>9.8124919856000005E-3</v>
      </c>
    </row>
    <row r="1803" spans="1:19" x14ac:dyDescent="0.25">
      <c r="A1803" s="28">
        <v>2022</v>
      </c>
      <c r="B1803" s="28"/>
      <c r="C1803" s="28" t="s">
        <v>1095</v>
      </c>
      <c r="D1803" s="28" t="s">
        <v>1714</v>
      </c>
      <c r="E1803" s="28" t="s">
        <v>1096</v>
      </c>
      <c r="F1803" s="28" t="s">
        <v>450</v>
      </c>
      <c r="G1803" s="28">
        <v>14132</v>
      </c>
      <c r="H1803" s="28">
        <v>43.129750000000001</v>
      </c>
      <c r="I1803" s="28">
        <v>-78.939679999999996</v>
      </c>
      <c r="J1803" s="28"/>
      <c r="K1803" s="61">
        <v>110000737365</v>
      </c>
      <c r="L1803" s="61" t="str">
        <f>IFERROR(INDEX('Facility Summary'!$K:$K,MATCH(K1803,'Facility Summary'!$J:$J,0)),INDEX('Raw Annual DMR Data'!$M:$M,MATCH(K1803,'Raw Annual DMR Data'!$L:$L,0)))</f>
        <v>Unknown</v>
      </c>
      <c r="M1803" s="28"/>
      <c r="N1803" s="28"/>
      <c r="O1803" s="28"/>
      <c r="P1803" s="28"/>
      <c r="Q1803" s="28"/>
      <c r="R1803" s="28">
        <f t="shared" si="10"/>
        <v>2.0100148032913337E-2</v>
      </c>
      <c r="S1803" s="28">
        <v>9.1172737835999995E-3</v>
      </c>
    </row>
    <row r="1804" spans="1:19" x14ac:dyDescent="0.25">
      <c r="A1804" s="28">
        <v>2021</v>
      </c>
      <c r="B1804" s="28"/>
      <c r="C1804" s="28" t="s">
        <v>1095</v>
      </c>
      <c r="D1804" s="28" t="s">
        <v>1714</v>
      </c>
      <c r="E1804" s="28" t="s">
        <v>1096</v>
      </c>
      <c r="F1804" s="28" t="s">
        <v>450</v>
      </c>
      <c r="G1804" s="28">
        <v>14132</v>
      </c>
      <c r="H1804" s="28">
        <v>43.129750000000001</v>
      </c>
      <c r="I1804" s="28">
        <v>-78.939679999999996</v>
      </c>
      <c r="J1804" s="28"/>
      <c r="K1804" s="61">
        <v>110000737365</v>
      </c>
      <c r="L1804" s="61" t="str">
        <f>IFERROR(INDEX('Facility Summary'!$K:$K,MATCH(K1804,'Facility Summary'!$J:$J,0)),INDEX('Raw Annual DMR Data'!$M:$M,MATCH(K1804,'Raw Annual DMR Data'!$L:$L,0)))</f>
        <v>Unknown</v>
      </c>
      <c r="M1804" s="28"/>
      <c r="N1804" s="28"/>
      <c r="O1804" s="28"/>
      <c r="P1804" s="28"/>
      <c r="Q1804" s="28"/>
      <c r="R1804" s="28">
        <f t="shared" si="10"/>
        <v>1.5999300532932244E-2</v>
      </c>
      <c r="S1804" s="28">
        <v>7.2571606470749998E-3</v>
      </c>
    </row>
    <row r="1805" spans="1:19" x14ac:dyDescent="0.25">
      <c r="A1805" s="28">
        <v>2022</v>
      </c>
      <c r="B1805" s="28"/>
      <c r="C1805" s="28" t="s">
        <v>6843</v>
      </c>
      <c r="D1805" s="28" t="s">
        <v>650</v>
      </c>
      <c r="E1805" s="28" t="s">
        <v>651</v>
      </c>
      <c r="F1805" s="28" t="s">
        <v>418</v>
      </c>
      <c r="G1805" s="28">
        <v>89015</v>
      </c>
      <c r="H1805" s="28">
        <v>36.035440000000001</v>
      </c>
      <c r="I1805" s="28">
        <v>-114.99994</v>
      </c>
      <c r="J1805" s="28" t="s">
        <v>652</v>
      </c>
      <c r="K1805" s="61">
        <v>110043808467</v>
      </c>
      <c r="L1805" s="61" t="str">
        <f>IFERROR(INDEX('Facility Summary'!$K:$K,MATCH(K1805,'Facility Summary'!$J:$J,0)),INDEX('Raw Annual DMR Data'!$M:$M,MATCH(K1805,'Raw Annual DMR Data'!$L:$L,0)))</f>
        <v>Remediation</v>
      </c>
      <c r="M1805" s="28"/>
      <c r="N1805" s="28"/>
      <c r="O1805" s="28"/>
      <c r="P1805" s="28"/>
      <c r="Q1805" s="28"/>
      <c r="R1805" s="28">
        <f t="shared" si="10"/>
        <v>3.7793314165535898</v>
      </c>
      <c r="S1805" s="28">
        <v>1.71427589425</v>
      </c>
    </row>
    <row r="1806" spans="1:19" x14ac:dyDescent="0.25">
      <c r="A1806" s="28">
        <v>2021</v>
      </c>
      <c r="B1806" s="28"/>
      <c r="C1806" s="28" t="s">
        <v>6843</v>
      </c>
      <c r="D1806" s="28" t="s">
        <v>650</v>
      </c>
      <c r="E1806" s="28" t="s">
        <v>651</v>
      </c>
      <c r="F1806" s="28" t="s">
        <v>418</v>
      </c>
      <c r="G1806" s="28">
        <v>89015</v>
      </c>
      <c r="H1806" s="28">
        <v>36.035440000000001</v>
      </c>
      <c r="I1806" s="28">
        <v>-114.99994</v>
      </c>
      <c r="J1806" s="28" t="s">
        <v>652</v>
      </c>
      <c r="K1806" s="61">
        <v>110043808467</v>
      </c>
      <c r="L1806" s="61" t="str">
        <f>IFERROR(INDEX('Facility Summary'!$K:$K,MATCH(K1806,'Facility Summary'!$J:$J,0)),INDEX('Raw Annual DMR Data'!$M:$M,MATCH(K1806,'Raw Annual DMR Data'!$L:$L,0)))</f>
        <v>Remediation</v>
      </c>
      <c r="M1806" s="28"/>
      <c r="N1806" s="28"/>
      <c r="O1806" s="28"/>
      <c r="P1806" s="28"/>
      <c r="Q1806" s="28"/>
      <c r="R1806" s="28">
        <f t="shared" si="10"/>
        <v>1.4043470726811387</v>
      </c>
      <c r="S1806" s="28">
        <v>0.63700111699999995</v>
      </c>
    </row>
    <row r="1807" spans="1:19" x14ac:dyDescent="0.25">
      <c r="A1807" s="28">
        <v>2023</v>
      </c>
      <c r="B1807" s="28"/>
      <c r="C1807" s="28" t="s">
        <v>6843</v>
      </c>
      <c r="D1807" s="28" t="s">
        <v>650</v>
      </c>
      <c r="E1807" s="28" t="s">
        <v>651</v>
      </c>
      <c r="F1807" s="28" t="s">
        <v>418</v>
      </c>
      <c r="G1807" s="28">
        <v>89015</v>
      </c>
      <c r="H1807" s="28">
        <v>36.035440000000001</v>
      </c>
      <c r="I1807" s="28">
        <v>-114.99994</v>
      </c>
      <c r="J1807" s="28" t="s">
        <v>652</v>
      </c>
      <c r="K1807" s="61">
        <v>110043808467</v>
      </c>
      <c r="L1807" s="61" t="str">
        <f>IFERROR(INDEX('Facility Summary'!$K:$K,MATCH(K1807,'Facility Summary'!$J:$J,0)),INDEX('Raw Annual DMR Data'!$M:$M,MATCH(K1807,'Raw Annual DMR Data'!$L:$L,0)))</f>
        <v>Remediation</v>
      </c>
      <c r="M1807" s="28"/>
      <c r="N1807" s="28"/>
      <c r="O1807" s="28"/>
      <c r="P1807" s="28"/>
      <c r="Q1807" s="28"/>
      <c r="R1807" s="28">
        <f t="shared" si="10"/>
        <v>1.3300255618276824</v>
      </c>
      <c r="S1807" s="28">
        <v>0.60328944674999996</v>
      </c>
    </row>
    <row r="1808" spans="1:19" x14ac:dyDescent="0.25">
      <c r="A1808" s="28">
        <v>2024</v>
      </c>
      <c r="B1808" s="28"/>
      <c r="C1808" s="28" t="s">
        <v>6843</v>
      </c>
      <c r="D1808" s="28" t="s">
        <v>650</v>
      </c>
      <c r="E1808" s="28" t="s">
        <v>651</v>
      </c>
      <c r="F1808" s="28" t="s">
        <v>418</v>
      </c>
      <c r="G1808" s="28">
        <v>89015</v>
      </c>
      <c r="H1808" s="28">
        <v>36.035440000000001</v>
      </c>
      <c r="I1808" s="28">
        <v>-114.99994</v>
      </c>
      <c r="J1808" s="28" t="s">
        <v>652</v>
      </c>
      <c r="K1808" s="61">
        <v>110043808467</v>
      </c>
      <c r="L1808" s="61" t="str">
        <f>IFERROR(INDEX('Facility Summary'!$K:$K,MATCH(K1808,'Facility Summary'!$J:$J,0)),INDEX('Raw Annual DMR Data'!$M:$M,MATCH(K1808,'Raw Annual DMR Data'!$L:$L,0)))</f>
        <v>Remediation</v>
      </c>
      <c r="M1808" s="28"/>
      <c r="N1808" s="28"/>
      <c r="O1808" s="28"/>
      <c r="P1808" s="28"/>
      <c r="Q1808" s="28"/>
      <c r="R1808" s="28">
        <f t="shared" si="10"/>
        <v>1.3033352721519542</v>
      </c>
      <c r="S1808" s="28">
        <v>0.59118293499999996</v>
      </c>
    </row>
    <row r="1809" spans="1:19" x14ac:dyDescent="0.25">
      <c r="A1809" s="28">
        <v>2024</v>
      </c>
      <c r="B1809" s="28"/>
      <c r="C1809" s="28" t="s">
        <v>1097</v>
      </c>
      <c r="D1809" s="28" t="s">
        <v>1718</v>
      </c>
      <c r="E1809" s="28" t="s">
        <v>1098</v>
      </c>
      <c r="F1809" s="28" t="s">
        <v>324</v>
      </c>
      <c r="G1809" s="28" t="s">
        <v>1719</v>
      </c>
      <c r="H1809" s="28">
        <v>38.642556999999996</v>
      </c>
      <c r="I1809" s="28">
        <v>-83.737931000000003</v>
      </c>
      <c r="J1809" s="28"/>
      <c r="K1809" s="61">
        <v>110000379787</v>
      </c>
      <c r="L1809" s="61" t="str">
        <f>IFERROR(INDEX('Facility Summary'!$K:$K,MATCH(K1809,'Facility Summary'!$J:$J,0)),INDEX('Raw Annual DMR Data'!$M:$M,MATCH(K1809,'Raw Annual DMR Data'!$L:$L,0)))</f>
        <v>Unknown</v>
      </c>
      <c r="M1809" s="28"/>
      <c r="N1809" s="28"/>
      <c r="O1809" s="28"/>
      <c r="P1809" s="28"/>
      <c r="Q1809" s="28"/>
      <c r="R1809" s="28">
        <f t="shared" si="10"/>
        <v>6.506162295013912E-2</v>
      </c>
      <c r="S1809" s="28">
        <v>2.9511455749999999E-2</v>
      </c>
    </row>
    <row r="1810" spans="1:19" x14ac:dyDescent="0.25">
      <c r="A1810" s="28">
        <v>2021</v>
      </c>
      <c r="B1810" s="28"/>
      <c r="C1810" s="28" t="s">
        <v>1097</v>
      </c>
      <c r="D1810" s="28" t="s">
        <v>1718</v>
      </c>
      <c r="E1810" s="28" t="s">
        <v>1098</v>
      </c>
      <c r="F1810" s="28" t="s">
        <v>324</v>
      </c>
      <c r="G1810" s="28" t="s">
        <v>1719</v>
      </c>
      <c r="H1810" s="28">
        <v>38.642556999999996</v>
      </c>
      <c r="I1810" s="28">
        <v>-83.737931000000003</v>
      </c>
      <c r="J1810" s="28"/>
      <c r="K1810" s="61">
        <v>110000379787</v>
      </c>
      <c r="L1810" s="61" t="str">
        <f>IFERROR(INDEX('Facility Summary'!$K:$K,MATCH(K1810,'Facility Summary'!$J:$J,0)),INDEX('Raw Annual DMR Data'!$M:$M,MATCH(K1810,'Raw Annual DMR Data'!$L:$L,0)))</f>
        <v>Unknown</v>
      </c>
      <c r="M1810" s="28"/>
      <c r="N1810" s="28"/>
      <c r="O1810" s="28"/>
      <c r="P1810" s="28"/>
      <c r="Q1810" s="28"/>
      <c r="R1810" s="28">
        <f t="shared" si="10"/>
        <v>5.0880568162996215E-2</v>
      </c>
      <c r="S1810" s="28">
        <v>2.30790375E-2</v>
      </c>
    </row>
    <row r="1811" spans="1:19" x14ac:dyDescent="0.25">
      <c r="A1811" s="28">
        <v>2021</v>
      </c>
      <c r="B1811" s="28"/>
      <c r="C1811" s="28" t="s">
        <v>6867</v>
      </c>
      <c r="D1811" s="28" t="s">
        <v>7034</v>
      </c>
      <c r="E1811" s="28" t="s">
        <v>7035</v>
      </c>
      <c r="F1811" s="28" t="s">
        <v>324</v>
      </c>
      <c r="G1811" s="28">
        <v>40019</v>
      </c>
      <c r="H1811" s="28">
        <v>38.369734999999999</v>
      </c>
      <c r="I1811" s="28">
        <v>-85.180234999999996</v>
      </c>
      <c r="J1811" s="28"/>
      <c r="K1811" s="61">
        <v>110064268260</v>
      </c>
      <c r="L1811" s="61" t="str">
        <f>IFERROR(INDEX('Facility Summary'!$K:$K,MATCH(K1811,'Facility Summary'!$J:$J,0)),INDEX('Raw Annual DMR Data'!$M:$M,MATCH(K1811,'Raw Annual DMR Data'!$L:$L,0)))</f>
        <v>POTW</v>
      </c>
      <c r="M1811" s="28"/>
      <c r="N1811" s="28"/>
      <c r="O1811" s="28"/>
      <c r="P1811" s="28"/>
      <c r="Q1811" s="28"/>
      <c r="R1811" s="28">
        <f t="shared" si="10"/>
        <v>5.1853745081734948</v>
      </c>
      <c r="S1811" s="28">
        <v>2.3520463125000002</v>
      </c>
    </row>
    <row r="1812" spans="1:19" x14ac:dyDescent="0.25">
      <c r="A1812" s="28">
        <v>2022</v>
      </c>
      <c r="B1812" s="28"/>
      <c r="C1812" s="28" t="s">
        <v>6867</v>
      </c>
      <c r="D1812" s="28" t="s">
        <v>7034</v>
      </c>
      <c r="E1812" s="28" t="s">
        <v>7035</v>
      </c>
      <c r="F1812" s="28" t="s">
        <v>324</v>
      </c>
      <c r="G1812" s="28">
        <v>40019</v>
      </c>
      <c r="H1812" s="28">
        <v>38.369734999999999</v>
      </c>
      <c r="I1812" s="28">
        <v>-85.180234999999996</v>
      </c>
      <c r="J1812" s="28"/>
      <c r="K1812" s="61">
        <v>110064268260</v>
      </c>
      <c r="L1812" s="61" t="str">
        <f>IFERROR(INDEX('Facility Summary'!$K:$K,MATCH(K1812,'Facility Summary'!$J:$J,0)),INDEX('Raw Annual DMR Data'!$M:$M,MATCH(K1812,'Raw Annual DMR Data'!$L:$L,0)))</f>
        <v>POTW</v>
      </c>
      <c r="M1812" s="28"/>
      <c r="N1812" s="28"/>
      <c r="O1812" s="28"/>
      <c r="P1812" s="28"/>
      <c r="Q1812" s="28"/>
      <c r="R1812" s="28">
        <f t="shared" si="10"/>
        <v>3.0305125613113812</v>
      </c>
      <c r="S1812" s="28">
        <v>1.3746173749999999</v>
      </c>
    </row>
    <row r="1813" spans="1:19" x14ac:dyDescent="0.25">
      <c r="A1813" s="28">
        <v>2023</v>
      </c>
      <c r="B1813" s="28"/>
      <c r="C1813" s="28" t="s">
        <v>6867</v>
      </c>
      <c r="D1813" s="28" t="s">
        <v>7034</v>
      </c>
      <c r="E1813" s="28" t="s">
        <v>7035</v>
      </c>
      <c r="F1813" s="28" t="s">
        <v>324</v>
      </c>
      <c r="G1813" s="28">
        <v>40019</v>
      </c>
      <c r="H1813" s="28">
        <v>38.369734999999999</v>
      </c>
      <c r="I1813" s="28">
        <v>-85.180234999999996</v>
      </c>
      <c r="J1813" s="28"/>
      <c r="K1813" s="61">
        <v>110064268260</v>
      </c>
      <c r="L1813" s="61" t="str">
        <f>IFERROR(INDEX('Facility Summary'!$K:$K,MATCH(K1813,'Facility Summary'!$J:$J,0)),INDEX('Raw Annual DMR Data'!$M:$M,MATCH(K1813,'Raw Annual DMR Data'!$L:$L,0)))</f>
        <v>POTW</v>
      </c>
      <c r="M1813" s="28"/>
      <c r="N1813" s="28"/>
      <c r="O1813" s="28"/>
      <c r="P1813" s="28"/>
      <c r="Q1813" s="28"/>
      <c r="R1813" s="28">
        <f t="shared" si="10"/>
        <v>1.7589155820676612</v>
      </c>
      <c r="S1813" s="28">
        <v>0.79783068749999997</v>
      </c>
    </row>
    <row r="1814" spans="1:19" x14ac:dyDescent="0.25">
      <c r="A1814" s="28">
        <v>2024</v>
      </c>
      <c r="B1814" s="28"/>
      <c r="C1814" s="28" t="s">
        <v>1099</v>
      </c>
      <c r="D1814" s="28" t="s">
        <v>1723</v>
      </c>
      <c r="E1814" s="28" t="s">
        <v>1100</v>
      </c>
      <c r="F1814" s="28" t="s">
        <v>1101</v>
      </c>
      <c r="G1814" s="28">
        <v>0</v>
      </c>
      <c r="H1814" s="28">
        <v>37.041677</v>
      </c>
      <c r="I1814" s="28">
        <v>-109.500685</v>
      </c>
      <c r="J1814" s="28"/>
      <c r="K1814" s="61">
        <v>110010134185</v>
      </c>
      <c r="L1814" s="61" t="str">
        <f>IFERROR(INDEX('Facility Summary'!$K:$K,MATCH(K1814,'Facility Summary'!$J:$J,0)),INDEX('Raw Annual DMR Data'!$M:$M,MATCH(K1814,'Raw Annual DMR Data'!$L:$L,0)))</f>
        <v>Unknown</v>
      </c>
      <c r="M1814" s="28"/>
      <c r="N1814" s="28"/>
      <c r="O1814" s="28"/>
      <c r="P1814" s="28"/>
      <c r="Q1814" s="28"/>
      <c r="R1814" s="28">
        <f t="shared" si="10"/>
        <v>3.7967459637824152E-3</v>
      </c>
      <c r="S1814" s="28">
        <v>1.7221750000000001E-3</v>
      </c>
    </row>
    <row r="1815" spans="1:19" x14ac:dyDescent="0.25">
      <c r="A1815" s="28">
        <v>2023</v>
      </c>
      <c r="B1815" s="28"/>
      <c r="C1815" s="28" t="s">
        <v>1099</v>
      </c>
      <c r="D1815" s="28" t="s">
        <v>1723</v>
      </c>
      <c r="E1815" s="28" t="s">
        <v>1100</v>
      </c>
      <c r="F1815" s="28" t="s">
        <v>1101</v>
      </c>
      <c r="G1815" s="28" t="s">
        <v>7085</v>
      </c>
      <c r="H1815" s="28">
        <v>37.041677</v>
      </c>
      <c r="I1815" s="28">
        <v>-109.500685</v>
      </c>
      <c r="J1815" s="28"/>
      <c r="K1815" s="61">
        <v>110010134185</v>
      </c>
      <c r="L1815" s="61" t="str">
        <f>IFERROR(INDEX('Facility Summary'!$K:$K,MATCH(K1815,'Facility Summary'!$J:$J,0)),INDEX('Raw Annual DMR Data'!$M:$M,MATCH(K1815,'Raw Annual DMR Data'!$L:$L,0)))</f>
        <v>Unknown</v>
      </c>
      <c r="M1815" s="28"/>
      <c r="N1815" s="28"/>
      <c r="O1815" s="28"/>
      <c r="P1815" s="28"/>
      <c r="Q1815" s="28"/>
      <c r="R1815" s="28">
        <f t="shared" si="10"/>
        <v>2.4783154972381921E-3</v>
      </c>
      <c r="S1815" s="28">
        <v>1.124145E-3</v>
      </c>
    </row>
    <row r="1816" spans="1:19" x14ac:dyDescent="0.25">
      <c r="A1816" s="28">
        <v>2021</v>
      </c>
      <c r="B1816" s="28"/>
      <c r="C1816" s="28" t="s">
        <v>1104</v>
      </c>
      <c r="D1816" s="28" t="s">
        <v>1731</v>
      </c>
      <c r="E1816" s="28" t="s">
        <v>446</v>
      </c>
      <c r="F1816" s="28" t="s">
        <v>303</v>
      </c>
      <c r="G1816" s="28">
        <v>70669</v>
      </c>
      <c r="H1816" s="28">
        <v>30.189167000000001</v>
      </c>
      <c r="I1816" s="28">
        <v>-93.316389000000001</v>
      </c>
      <c r="J1816" s="28" t="s">
        <v>713</v>
      </c>
      <c r="K1816" s="61">
        <v>110000597266</v>
      </c>
      <c r="L1816" s="61" t="str">
        <f>IFERROR(INDEX('Facility Summary'!$K:$K,MATCH(K1816,'Facility Summary'!$J:$J,0)),INDEX('Raw Annual DMR Data'!$M:$M,MATCH(K1816,'Raw Annual DMR Data'!$L:$L,0)))</f>
        <v>Unknown</v>
      </c>
      <c r="M1816" s="28"/>
      <c r="N1816" s="28"/>
      <c r="O1816" s="28"/>
      <c r="P1816" s="28"/>
      <c r="Q1816" s="28"/>
      <c r="R1816" s="28">
        <f t="shared" si="10"/>
        <v>1.8266400733328032</v>
      </c>
      <c r="S1816" s="28">
        <v>0.82855000000000001</v>
      </c>
    </row>
    <row r="1817" spans="1:19" x14ac:dyDescent="0.25">
      <c r="A1817" s="28">
        <v>2021</v>
      </c>
      <c r="B1817" s="28"/>
      <c r="C1817" s="28" t="s">
        <v>1105</v>
      </c>
      <c r="D1817" s="28" t="s">
        <v>7006</v>
      </c>
      <c r="E1817" s="28" t="s">
        <v>1106</v>
      </c>
      <c r="F1817" s="28" t="s">
        <v>345</v>
      </c>
      <c r="G1817" s="28">
        <v>61953</v>
      </c>
      <c r="H1817" s="28">
        <v>39.795811999999998</v>
      </c>
      <c r="I1817" s="28">
        <v>-88.347945999999993</v>
      </c>
      <c r="J1817" s="28" t="s">
        <v>714</v>
      </c>
      <c r="K1817" s="61">
        <v>110000746211</v>
      </c>
      <c r="L1817" s="61" t="str">
        <f>IFERROR(INDEX('Facility Summary'!$K:$K,MATCH(K1817,'Facility Summary'!$J:$J,0)),INDEX('Raw Annual DMR Data'!$M:$M,MATCH(K1817,'Raw Annual DMR Data'!$L:$L,0)))</f>
        <v>Processing as a Reactant</v>
      </c>
      <c r="M1817" s="28"/>
      <c r="N1817" s="28"/>
      <c r="O1817" s="28"/>
      <c r="P1817" s="28"/>
      <c r="Q1817" s="28"/>
      <c r="R1817" s="28">
        <f t="shared" si="10"/>
        <v>11.260110041092622</v>
      </c>
      <c r="S1817" s="28">
        <v>5.1074999999999999</v>
      </c>
    </row>
    <row r="1818" spans="1:19" x14ac:dyDescent="0.25">
      <c r="A1818" s="28">
        <v>2022</v>
      </c>
      <c r="B1818" s="28"/>
      <c r="C1818" s="28" t="s">
        <v>1105</v>
      </c>
      <c r="D1818" s="28" t="s">
        <v>7006</v>
      </c>
      <c r="E1818" s="28" t="s">
        <v>1106</v>
      </c>
      <c r="F1818" s="28" t="s">
        <v>345</v>
      </c>
      <c r="G1818" s="28">
        <v>61953</v>
      </c>
      <c r="H1818" s="28">
        <v>39.795811999999998</v>
      </c>
      <c r="I1818" s="28">
        <v>-88.347945999999993</v>
      </c>
      <c r="J1818" s="28" t="s">
        <v>714</v>
      </c>
      <c r="K1818" s="61">
        <v>110000746211</v>
      </c>
      <c r="L1818" s="61" t="str">
        <f>IFERROR(INDEX('Facility Summary'!$K:$K,MATCH(K1818,'Facility Summary'!$J:$J,0)),INDEX('Raw Annual DMR Data'!$M:$M,MATCH(K1818,'Raw Annual DMR Data'!$L:$L,0)))</f>
        <v>Processing as a Reactant</v>
      </c>
      <c r="M1818" s="28"/>
      <c r="N1818" s="28"/>
      <c r="O1818" s="28"/>
      <c r="P1818" s="28"/>
      <c r="Q1818" s="28"/>
      <c r="R1818" s="28">
        <f t="shared" si="10"/>
        <v>10.941824263931071</v>
      </c>
      <c r="S1818" s="28">
        <v>4.9631280000000002</v>
      </c>
    </row>
    <row r="1819" spans="1:19" x14ac:dyDescent="0.25">
      <c r="A1819" s="28">
        <v>2024</v>
      </c>
      <c r="B1819" s="28"/>
      <c r="C1819" s="28" t="s">
        <v>1105</v>
      </c>
      <c r="D1819" s="28" t="s">
        <v>7006</v>
      </c>
      <c r="E1819" s="28" t="s">
        <v>1106</v>
      </c>
      <c r="F1819" s="28" t="s">
        <v>345</v>
      </c>
      <c r="G1819" s="28">
        <v>61953</v>
      </c>
      <c r="H1819" s="28">
        <v>39.795811999999998</v>
      </c>
      <c r="I1819" s="28">
        <v>-88.347945999999993</v>
      </c>
      <c r="J1819" s="28" t="s">
        <v>714</v>
      </c>
      <c r="K1819" s="61">
        <v>110000746211</v>
      </c>
      <c r="L1819" s="61" t="str">
        <f>IFERROR(INDEX('Facility Summary'!$K:$K,MATCH(K1819,'Facility Summary'!$J:$J,0)),INDEX('Raw Annual DMR Data'!$M:$M,MATCH(K1819,'Raw Annual DMR Data'!$L:$L,0)))</f>
        <v>Processing as a Reactant</v>
      </c>
      <c r="M1819" s="28"/>
      <c r="N1819" s="28"/>
      <c r="O1819" s="28"/>
      <c r="P1819" s="28"/>
      <c r="Q1819" s="28"/>
      <c r="R1819" s="28">
        <f t="shared" si="10"/>
        <v>6.3296831910995328</v>
      </c>
      <c r="S1819" s="28">
        <v>2.8710960000000001</v>
      </c>
    </row>
    <row r="1820" spans="1:19" x14ac:dyDescent="0.25">
      <c r="A1820" s="28">
        <v>2024</v>
      </c>
      <c r="B1820" s="28"/>
      <c r="C1820" s="28" t="s">
        <v>6847</v>
      </c>
      <c r="D1820" s="28" t="s">
        <v>1726</v>
      </c>
      <c r="E1820" s="28" t="s">
        <v>1103</v>
      </c>
      <c r="F1820" s="28" t="s">
        <v>345</v>
      </c>
      <c r="G1820" s="28">
        <v>60450</v>
      </c>
      <c r="H1820" s="28">
        <v>41.412897000000001</v>
      </c>
      <c r="I1820" s="28">
        <v>-88.329773000000003</v>
      </c>
      <c r="J1820" s="28" t="s">
        <v>712</v>
      </c>
      <c r="K1820" s="61">
        <v>110000433013</v>
      </c>
      <c r="L1820" s="61" t="str">
        <f>IFERROR(INDEX('Facility Summary'!$K:$K,MATCH(K1820,'Facility Summary'!$J:$J,0)),INDEX('Raw Annual DMR Data'!$M:$M,MATCH(K1820,'Raw Annual DMR Data'!$L:$L,0)))</f>
        <v>Unknown</v>
      </c>
      <c r="M1820" s="28"/>
      <c r="N1820" s="28"/>
      <c r="O1820" s="28"/>
      <c r="P1820" s="28"/>
      <c r="Q1820" s="28"/>
      <c r="R1820" s="28">
        <f t="shared" si="10"/>
        <v>6.3957425033406103</v>
      </c>
      <c r="S1820" s="28">
        <v>2.9010600000000002</v>
      </c>
    </row>
    <row r="1821" spans="1:19" x14ac:dyDescent="0.25">
      <c r="A1821" s="28">
        <v>2023</v>
      </c>
      <c r="B1821" s="28"/>
      <c r="C1821" s="28" t="s">
        <v>6847</v>
      </c>
      <c r="D1821" s="28" t="s">
        <v>1726</v>
      </c>
      <c r="E1821" s="28" t="s">
        <v>1103</v>
      </c>
      <c r="F1821" s="28" t="s">
        <v>345</v>
      </c>
      <c r="G1821" s="28">
        <v>60450</v>
      </c>
      <c r="H1821" s="28">
        <v>41.412897000000001</v>
      </c>
      <c r="I1821" s="28">
        <v>-88.329773000000003</v>
      </c>
      <c r="J1821" s="28" t="s">
        <v>712</v>
      </c>
      <c r="K1821" s="61">
        <v>110000433013</v>
      </c>
      <c r="L1821" s="61" t="str">
        <f>IFERROR(INDEX('Facility Summary'!$K:$K,MATCH(K1821,'Facility Summary'!$J:$J,0)),INDEX('Raw Annual DMR Data'!$M:$M,MATCH(K1821,'Raw Annual DMR Data'!$L:$L,0)))</f>
        <v>Unknown</v>
      </c>
      <c r="M1821" s="28"/>
      <c r="N1821" s="28"/>
      <c r="O1821" s="28"/>
      <c r="P1821" s="28"/>
      <c r="Q1821" s="28"/>
      <c r="R1821" s="28">
        <f t="shared" si="10"/>
        <v>3.69331609347838</v>
      </c>
      <c r="S1821" s="28">
        <v>1.67526</v>
      </c>
    </row>
    <row r="1822" spans="1:19" x14ac:dyDescent="0.25">
      <c r="A1822" s="28">
        <v>2024</v>
      </c>
      <c r="B1822" s="28"/>
      <c r="C1822" s="28" t="s">
        <v>6847</v>
      </c>
      <c r="D1822" s="28" t="s">
        <v>1726</v>
      </c>
      <c r="E1822" s="28" t="s">
        <v>1103</v>
      </c>
      <c r="F1822" s="28" t="s">
        <v>345</v>
      </c>
      <c r="G1822" s="28">
        <v>60450</v>
      </c>
      <c r="H1822" s="28">
        <v>41.412897000000001</v>
      </c>
      <c r="I1822" s="28">
        <v>-88.329773000000003</v>
      </c>
      <c r="J1822" s="28" t="s">
        <v>712</v>
      </c>
      <c r="K1822" s="61">
        <v>110000433013</v>
      </c>
      <c r="L1822" s="61" t="str">
        <f>IFERROR(INDEX('Facility Summary'!$K:$K,MATCH(K1822,'Facility Summary'!$J:$J,0)),INDEX('Raw Annual DMR Data'!$M:$M,MATCH(K1822,'Raw Annual DMR Data'!$L:$L,0)))</f>
        <v>Unknown</v>
      </c>
      <c r="M1822" s="28"/>
      <c r="N1822" s="28"/>
      <c r="O1822" s="28"/>
      <c r="P1822" s="28"/>
      <c r="Q1822" s="28"/>
      <c r="R1822" s="28">
        <f t="shared" si="10"/>
        <v>3.6332621732592196</v>
      </c>
      <c r="S1822" s="28">
        <v>1.64802</v>
      </c>
    </row>
    <row r="1823" spans="1:19" x14ac:dyDescent="0.25">
      <c r="A1823" s="28">
        <v>2023</v>
      </c>
      <c r="B1823" s="28"/>
      <c r="C1823" s="28" t="s">
        <v>6847</v>
      </c>
      <c r="D1823" s="28" t="s">
        <v>1726</v>
      </c>
      <c r="E1823" s="28" t="s">
        <v>1103</v>
      </c>
      <c r="F1823" s="28" t="s">
        <v>345</v>
      </c>
      <c r="G1823" s="28">
        <v>60450</v>
      </c>
      <c r="H1823" s="28">
        <v>41.412897000000001</v>
      </c>
      <c r="I1823" s="28">
        <v>-88.329773000000003</v>
      </c>
      <c r="J1823" s="28" t="s">
        <v>712</v>
      </c>
      <c r="K1823" s="61">
        <v>110000433013</v>
      </c>
      <c r="L1823" s="61" t="str">
        <f>IFERROR(INDEX('Facility Summary'!$K:$K,MATCH(K1823,'Facility Summary'!$J:$J,0)),INDEX('Raw Annual DMR Data'!$M:$M,MATCH(K1823,'Raw Annual DMR Data'!$L:$L,0)))</f>
        <v>Unknown</v>
      </c>
      <c r="M1823" s="28"/>
      <c r="N1823" s="28"/>
      <c r="O1823" s="28"/>
      <c r="P1823" s="28"/>
      <c r="Q1823" s="28"/>
      <c r="R1823" s="28">
        <f t="shared" si="10"/>
        <v>2.7624803300813898</v>
      </c>
      <c r="S1823" s="28">
        <v>1.2530399999999999</v>
      </c>
    </row>
    <row r="1824" spans="1:19" x14ac:dyDescent="0.25">
      <c r="A1824" s="28">
        <v>2021</v>
      </c>
      <c r="B1824" s="28"/>
      <c r="C1824" s="28" t="s">
        <v>6847</v>
      </c>
      <c r="D1824" s="28" t="s">
        <v>1726</v>
      </c>
      <c r="E1824" s="28" t="s">
        <v>1103</v>
      </c>
      <c r="F1824" s="28" t="s">
        <v>345</v>
      </c>
      <c r="G1824" s="28">
        <v>60450</v>
      </c>
      <c r="H1824" s="28">
        <v>41.412897000000001</v>
      </c>
      <c r="I1824" s="28">
        <v>-88.329773000000003</v>
      </c>
      <c r="J1824" s="28" t="s">
        <v>712</v>
      </c>
      <c r="K1824" s="61">
        <v>110000433013</v>
      </c>
      <c r="L1824" s="61" t="str">
        <f>IFERROR(INDEX('Facility Summary'!$K:$K,MATCH(K1824,'Facility Summary'!$J:$J,0)),INDEX('Raw Annual DMR Data'!$M:$M,MATCH(K1824,'Raw Annual DMR Data'!$L:$L,0)))</f>
        <v>Unknown</v>
      </c>
      <c r="M1824" s="28"/>
      <c r="N1824" s="28"/>
      <c r="O1824" s="28"/>
      <c r="P1824" s="28"/>
      <c r="Q1824" s="28"/>
      <c r="R1824" s="28">
        <f t="shared" si="10"/>
        <v>1.8316445666843999</v>
      </c>
      <c r="S1824" s="28">
        <v>0.83082</v>
      </c>
    </row>
    <row r="1825" spans="1:19" x14ac:dyDescent="0.25">
      <c r="A1825" s="28">
        <v>2021</v>
      </c>
      <c r="B1825" s="28"/>
      <c r="C1825" s="28" t="s">
        <v>6847</v>
      </c>
      <c r="D1825" s="28" t="s">
        <v>1726</v>
      </c>
      <c r="E1825" s="28" t="s">
        <v>1103</v>
      </c>
      <c r="F1825" s="28" t="s">
        <v>345</v>
      </c>
      <c r="G1825" s="28">
        <v>60450</v>
      </c>
      <c r="H1825" s="28">
        <v>41.412897000000001</v>
      </c>
      <c r="I1825" s="28">
        <v>-88.329773000000003</v>
      </c>
      <c r="J1825" s="28" t="s">
        <v>712</v>
      </c>
      <c r="K1825" s="61">
        <v>110000433013</v>
      </c>
      <c r="L1825" s="61" t="str">
        <f>IFERROR(INDEX('Facility Summary'!$K:$K,MATCH(K1825,'Facility Summary'!$J:$J,0)),INDEX('Raw Annual DMR Data'!$M:$M,MATCH(K1825,'Raw Annual DMR Data'!$L:$L,0)))</f>
        <v>Unknown</v>
      </c>
      <c r="M1825" s="28"/>
      <c r="N1825" s="28"/>
      <c r="O1825" s="28"/>
      <c r="P1825" s="28"/>
      <c r="Q1825" s="28"/>
      <c r="R1825" s="28">
        <f t="shared" si="10"/>
        <v>1.8316445666843999</v>
      </c>
      <c r="S1825" s="28">
        <v>0.83082</v>
      </c>
    </row>
    <row r="1826" spans="1:19" x14ac:dyDescent="0.25">
      <c r="A1826" s="28">
        <v>2022</v>
      </c>
      <c r="B1826" s="28"/>
      <c r="C1826" s="28" t="s">
        <v>6847</v>
      </c>
      <c r="D1826" s="28" t="s">
        <v>1726</v>
      </c>
      <c r="E1826" s="28" t="s">
        <v>1103</v>
      </c>
      <c r="F1826" s="28" t="s">
        <v>345</v>
      </c>
      <c r="G1826" s="28">
        <v>60450</v>
      </c>
      <c r="H1826" s="28">
        <v>41.412897000000001</v>
      </c>
      <c r="I1826" s="28">
        <v>-88.329773000000003</v>
      </c>
      <c r="J1826" s="28" t="s">
        <v>712</v>
      </c>
      <c r="K1826" s="61">
        <v>110000433013</v>
      </c>
      <c r="L1826" s="61" t="str">
        <f>IFERROR(INDEX('Facility Summary'!$K:$K,MATCH(K1826,'Facility Summary'!$J:$J,0)),INDEX('Raw Annual DMR Data'!$M:$M,MATCH(K1826,'Raw Annual DMR Data'!$L:$L,0)))</f>
        <v>Unknown</v>
      </c>
      <c r="M1826" s="28"/>
      <c r="N1826" s="28"/>
      <c r="O1826" s="28"/>
      <c r="P1826" s="28"/>
      <c r="Q1826" s="28"/>
      <c r="R1826" s="28">
        <f t="shared" si="10"/>
        <v>1.8316445666843999</v>
      </c>
      <c r="S1826" s="28">
        <v>0.83082</v>
      </c>
    </row>
    <row r="1827" spans="1:19" x14ac:dyDescent="0.25">
      <c r="A1827" s="28">
        <v>2022</v>
      </c>
      <c r="B1827" s="28"/>
      <c r="C1827" s="28" t="s">
        <v>6847</v>
      </c>
      <c r="D1827" s="28" t="s">
        <v>1726</v>
      </c>
      <c r="E1827" s="28" t="s">
        <v>1103</v>
      </c>
      <c r="F1827" s="28" t="s">
        <v>345</v>
      </c>
      <c r="G1827" s="28">
        <v>60450</v>
      </c>
      <c r="H1827" s="28">
        <v>41.412897000000001</v>
      </c>
      <c r="I1827" s="28">
        <v>-88.329773000000003</v>
      </c>
      <c r="J1827" s="28" t="s">
        <v>712</v>
      </c>
      <c r="K1827" s="61">
        <v>110000433013</v>
      </c>
      <c r="L1827" s="61" t="str">
        <f>IFERROR(INDEX('Facility Summary'!$K:$K,MATCH(K1827,'Facility Summary'!$J:$J,0)),INDEX('Raw Annual DMR Data'!$M:$M,MATCH(K1827,'Raw Annual DMR Data'!$L:$L,0)))</f>
        <v>Unknown</v>
      </c>
      <c r="M1827" s="28"/>
      <c r="N1827" s="28"/>
      <c r="O1827" s="28"/>
      <c r="P1827" s="28"/>
      <c r="Q1827" s="28"/>
      <c r="R1827" s="28">
        <f t="shared" si="10"/>
        <v>1.8316445666843999</v>
      </c>
      <c r="S1827" s="28">
        <v>0.83082</v>
      </c>
    </row>
    <row r="1828" spans="1:19" x14ac:dyDescent="0.25">
      <c r="A1828" s="28">
        <v>2022</v>
      </c>
      <c r="B1828" s="28"/>
      <c r="C1828" s="28" t="s">
        <v>144</v>
      </c>
      <c r="D1828" s="28" t="s">
        <v>467</v>
      </c>
      <c r="E1828" s="28" t="s">
        <v>302</v>
      </c>
      <c r="F1828" s="28" t="s">
        <v>303</v>
      </c>
      <c r="G1828" s="28">
        <v>70805</v>
      </c>
      <c r="H1828" s="28">
        <v>30.483523000000002</v>
      </c>
      <c r="I1828" s="28">
        <v>-91.183440000000004</v>
      </c>
      <c r="J1828" s="28"/>
      <c r="K1828" s="61">
        <v>110001143584</v>
      </c>
      <c r="L1828" s="61" t="str">
        <f>IFERROR(INDEX('Facility Summary'!$K:$K,MATCH(K1828,'Facility Summary'!$J:$J,0)),INDEX('Raw Annual DMR Data'!$M:$M,MATCH(K1828,'Raw Annual DMR Data'!$L:$L,0)))</f>
        <v>Processing into formulation, mixture, or reaction product</v>
      </c>
      <c r="M1828" s="28"/>
      <c r="N1828" s="28"/>
      <c r="O1828" s="28"/>
      <c r="P1828" s="28"/>
      <c r="Q1828" s="28"/>
      <c r="R1828" s="28">
        <f t="shared" si="10"/>
        <v>17.363570698951573</v>
      </c>
      <c r="S1828" s="28">
        <v>7.8759831849999999</v>
      </c>
    </row>
    <row r="1829" spans="1:19" x14ac:dyDescent="0.25">
      <c r="A1829" s="28">
        <v>2021</v>
      </c>
      <c r="B1829" s="28"/>
      <c r="C1829" s="28" t="s">
        <v>144</v>
      </c>
      <c r="D1829" s="28" t="s">
        <v>467</v>
      </c>
      <c r="E1829" s="28" t="s">
        <v>302</v>
      </c>
      <c r="F1829" s="28" t="s">
        <v>303</v>
      </c>
      <c r="G1829" s="28">
        <v>70805</v>
      </c>
      <c r="H1829" s="28">
        <v>30.483523000000002</v>
      </c>
      <c r="I1829" s="28">
        <v>-91.183440000000004</v>
      </c>
      <c r="J1829" s="28"/>
      <c r="K1829" s="61">
        <v>110001143584</v>
      </c>
      <c r="L1829" s="61" t="str">
        <f>IFERROR(INDEX('Facility Summary'!$K:$K,MATCH(K1829,'Facility Summary'!$J:$J,0)),INDEX('Raw Annual DMR Data'!$M:$M,MATCH(K1829,'Raw Annual DMR Data'!$L:$L,0)))</f>
        <v>Processing into formulation, mixture, or reaction product</v>
      </c>
      <c r="M1829" s="28"/>
      <c r="N1829" s="28"/>
      <c r="O1829" s="28"/>
      <c r="P1829" s="28"/>
      <c r="Q1829" s="28"/>
      <c r="R1829" s="28">
        <f t="shared" si="10"/>
        <v>7.1027687701184208</v>
      </c>
      <c r="S1829" s="28">
        <v>3.2217617199999999</v>
      </c>
    </row>
    <row r="1830" spans="1:19" x14ac:dyDescent="0.25">
      <c r="A1830" s="28">
        <v>2023</v>
      </c>
      <c r="B1830" s="28"/>
      <c r="C1830" s="28" t="s">
        <v>144</v>
      </c>
      <c r="D1830" s="28" t="s">
        <v>467</v>
      </c>
      <c r="E1830" s="28" t="s">
        <v>302</v>
      </c>
      <c r="F1830" s="28" t="s">
        <v>303</v>
      </c>
      <c r="G1830" s="28">
        <v>70805</v>
      </c>
      <c r="H1830" s="28">
        <v>30.483523000000002</v>
      </c>
      <c r="I1830" s="28">
        <v>-91.183440000000004</v>
      </c>
      <c r="J1830" s="28"/>
      <c r="K1830" s="61">
        <v>110001143584</v>
      </c>
      <c r="L1830" s="61" t="str">
        <f>IFERROR(INDEX('Facility Summary'!$K:$K,MATCH(K1830,'Facility Summary'!$J:$J,0)),INDEX('Raw Annual DMR Data'!$M:$M,MATCH(K1830,'Raw Annual DMR Data'!$L:$L,0)))</f>
        <v>Processing into formulation, mixture, or reaction product</v>
      </c>
      <c r="M1830" s="28"/>
      <c r="N1830" s="28"/>
      <c r="O1830" s="28"/>
      <c r="P1830" s="28"/>
      <c r="Q1830" s="28"/>
      <c r="R1830" s="28">
        <f t="shared" si="10"/>
        <v>3.0025112177041251</v>
      </c>
      <c r="S1830" s="28">
        <v>1.3619161791900001</v>
      </c>
    </row>
    <row r="1831" spans="1:19" x14ac:dyDescent="0.25">
      <c r="A1831" s="28">
        <v>2024</v>
      </c>
      <c r="B1831" s="28"/>
      <c r="C1831" s="28" t="s">
        <v>144</v>
      </c>
      <c r="D1831" s="28" t="s">
        <v>467</v>
      </c>
      <c r="E1831" s="28" t="s">
        <v>302</v>
      </c>
      <c r="F1831" s="28" t="s">
        <v>303</v>
      </c>
      <c r="G1831" s="28">
        <v>70805</v>
      </c>
      <c r="H1831" s="28">
        <v>30.483523000000002</v>
      </c>
      <c r="I1831" s="28">
        <v>-91.183440000000004</v>
      </c>
      <c r="J1831" s="28"/>
      <c r="K1831" s="61">
        <v>110001143584</v>
      </c>
      <c r="L1831" s="61" t="str">
        <f>IFERROR(INDEX('Facility Summary'!$K:$K,MATCH(K1831,'Facility Summary'!$J:$J,0)),INDEX('Raw Annual DMR Data'!$M:$M,MATCH(K1831,'Raw Annual DMR Data'!$L:$L,0)))</f>
        <v>Processing into formulation, mixture, or reaction product</v>
      </c>
      <c r="M1831" s="28"/>
      <c r="N1831" s="28"/>
      <c r="O1831" s="28"/>
      <c r="P1831" s="28"/>
      <c r="Q1831" s="28"/>
      <c r="R1831" s="28">
        <f t="shared" si="10"/>
        <v>1.6804398211471236</v>
      </c>
      <c r="S1831" s="28">
        <v>0.76223468111649995</v>
      </c>
    </row>
    <row r="1832" spans="1:19" x14ac:dyDescent="0.25">
      <c r="A1832" s="28">
        <v>2024</v>
      </c>
      <c r="B1832" s="28"/>
      <c r="C1832" s="28" t="s">
        <v>144</v>
      </c>
      <c r="D1832" s="28" t="s">
        <v>467</v>
      </c>
      <c r="E1832" s="28" t="s">
        <v>302</v>
      </c>
      <c r="F1832" s="28" t="s">
        <v>303</v>
      </c>
      <c r="G1832" s="28">
        <v>70805</v>
      </c>
      <c r="H1832" s="28">
        <v>30.483523000000002</v>
      </c>
      <c r="I1832" s="28">
        <v>-91.183440000000004</v>
      </c>
      <c r="J1832" s="28"/>
      <c r="K1832" s="61">
        <v>110001143584</v>
      </c>
      <c r="L1832" s="61" t="str">
        <f>IFERROR(INDEX('Facility Summary'!$K:$K,MATCH(K1832,'Facility Summary'!$J:$J,0)),INDEX('Raw Annual DMR Data'!$M:$M,MATCH(K1832,'Raw Annual DMR Data'!$L:$L,0)))</f>
        <v>Processing into formulation, mixture, or reaction product</v>
      </c>
      <c r="M1832" s="28"/>
      <c r="N1832" s="28"/>
      <c r="O1832" s="28"/>
      <c r="P1832" s="28"/>
      <c r="Q1832" s="28"/>
      <c r="R1832" s="28">
        <f t="shared" si="10"/>
        <v>1.5543494128880521E-2</v>
      </c>
      <c r="S1832" s="28">
        <v>7.0504103400000004E-3</v>
      </c>
    </row>
    <row r="1833" spans="1:19" x14ac:dyDescent="0.25">
      <c r="A1833" s="28">
        <v>2023</v>
      </c>
      <c r="B1833" s="28"/>
      <c r="C1833" s="28" t="s">
        <v>144</v>
      </c>
      <c r="D1833" s="28" t="s">
        <v>467</v>
      </c>
      <c r="E1833" s="28" t="s">
        <v>302</v>
      </c>
      <c r="F1833" s="28" t="s">
        <v>303</v>
      </c>
      <c r="G1833" s="28">
        <v>70805</v>
      </c>
      <c r="H1833" s="28">
        <v>30.483523000000002</v>
      </c>
      <c r="I1833" s="28">
        <v>-91.183440000000004</v>
      </c>
      <c r="J1833" s="28"/>
      <c r="K1833" s="61">
        <v>110001143584</v>
      </c>
      <c r="L1833" s="61" t="str">
        <f>IFERROR(INDEX('Facility Summary'!$K:$K,MATCH(K1833,'Facility Summary'!$J:$J,0)),INDEX('Raw Annual DMR Data'!$M:$M,MATCH(K1833,'Raw Annual DMR Data'!$L:$L,0)))</f>
        <v>Processing into formulation, mixture, or reaction product</v>
      </c>
      <c r="M1833" s="28"/>
      <c r="N1833" s="28"/>
      <c r="O1833" s="28"/>
      <c r="P1833" s="28"/>
      <c r="Q1833" s="28"/>
      <c r="R1833" s="28">
        <f t="shared" si="10"/>
        <v>8.9148429679273486E-3</v>
      </c>
      <c r="S1833" s="28">
        <v>4.04370475E-3</v>
      </c>
    </row>
    <row r="1834" spans="1:19" x14ac:dyDescent="0.25">
      <c r="A1834" s="28">
        <v>2023</v>
      </c>
      <c r="B1834" s="28"/>
      <c r="C1834" s="28" t="s">
        <v>1107</v>
      </c>
      <c r="D1834" s="28" t="s">
        <v>1741</v>
      </c>
      <c r="E1834" s="28" t="s">
        <v>1108</v>
      </c>
      <c r="F1834" s="28" t="s">
        <v>338</v>
      </c>
      <c r="G1834" s="28" t="s">
        <v>1744</v>
      </c>
      <c r="H1834" s="28">
        <v>40.665252000000002</v>
      </c>
      <c r="I1834" s="28">
        <v>-74.200059999999993</v>
      </c>
      <c r="J1834" s="28"/>
      <c r="K1834" s="61">
        <v>110070212717</v>
      </c>
      <c r="L1834" s="61" t="str">
        <f>IFERROR(INDEX('Facility Summary'!$K:$K,MATCH(K1834,'Facility Summary'!$J:$J,0)),INDEX('Raw Annual DMR Data'!$M:$M,MATCH(K1834,'Raw Annual DMR Data'!$L:$L,0)))</f>
        <v>Unknown</v>
      </c>
      <c r="M1834" s="28"/>
      <c r="N1834" s="28"/>
      <c r="O1834" s="28"/>
      <c r="P1834" s="28"/>
      <c r="Q1834" s="28"/>
      <c r="R1834" s="28">
        <f t="shared" si="10"/>
        <v>3.8046899245681759E-3</v>
      </c>
      <c r="S1834" s="28">
        <v>1.7257783200000001E-3</v>
      </c>
    </row>
    <row r="1835" spans="1:19" x14ac:dyDescent="0.25">
      <c r="A1835" s="28">
        <v>2022</v>
      </c>
      <c r="B1835" s="28"/>
      <c r="C1835" s="28" t="s">
        <v>1107</v>
      </c>
      <c r="D1835" s="28" t="s">
        <v>1741</v>
      </c>
      <c r="E1835" s="28" t="s">
        <v>1108</v>
      </c>
      <c r="F1835" s="28" t="s">
        <v>338</v>
      </c>
      <c r="G1835" s="28">
        <v>8872</v>
      </c>
      <c r="H1835" s="28">
        <v>40.665252000000002</v>
      </c>
      <c r="I1835" s="28">
        <v>-74.200059999999993</v>
      </c>
      <c r="J1835" s="28"/>
      <c r="K1835" s="61">
        <v>110070212717</v>
      </c>
      <c r="L1835" s="61" t="str">
        <f>IFERROR(INDEX('Facility Summary'!$K:$K,MATCH(K1835,'Facility Summary'!$J:$J,0)),INDEX('Raw Annual DMR Data'!$M:$M,MATCH(K1835,'Raw Annual DMR Data'!$L:$L,0)))</f>
        <v>Unknown</v>
      </c>
      <c r="M1835" s="28"/>
      <c r="N1835" s="28"/>
      <c r="O1835" s="28"/>
      <c r="P1835" s="28"/>
      <c r="Q1835" s="28"/>
      <c r="R1835" s="28">
        <f t="shared" si="10"/>
        <v>1.3247722839782336E-3</v>
      </c>
      <c r="S1835" s="28">
        <v>6.009066E-4</v>
      </c>
    </row>
    <row r="1836" spans="1:19" x14ac:dyDescent="0.25">
      <c r="A1836" s="28">
        <v>2021</v>
      </c>
      <c r="B1836" s="28"/>
      <c r="C1836" s="28" t="s">
        <v>1107</v>
      </c>
      <c r="D1836" s="28" t="s">
        <v>1741</v>
      </c>
      <c r="E1836" s="28" t="s">
        <v>1108</v>
      </c>
      <c r="F1836" s="28" t="s">
        <v>338</v>
      </c>
      <c r="G1836" s="28">
        <v>8872</v>
      </c>
      <c r="H1836" s="28">
        <v>40.665252000000002</v>
      </c>
      <c r="I1836" s="28">
        <v>-74.200059999999993</v>
      </c>
      <c r="J1836" s="28"/>
      <c r="K1836" s="61">
        <v>110070212717</v>
      </c>
      <c r="L1836" s="61" t="str">
        <f>IFERROR(INDEX('Facility Summary'!$K:$K,MATCH(K1836,'Facility Summary'!$J:$J,0)),INDEX('Raw Annual DMR Data'!$M:$M,MATCH(K1836,'Raw Annual DMR Data'!$L:$L,0)))</f>
        <v>Unknown</v>
      </c>
      <c r="M1836" s="28"/>
      <c r="N1836" s="28"/>
      <c r="O1836" s="28"/>
      <c r="P1836" s="28"/>
      <c r="Q1836" s="28"/>
      <c r="R1836" s="28">
        <f t="shared" si="10"/>
        <v>6.8569232105910422E-4</v>
      </c>
      <c r="S1836" s="28">
        <v>3.11024805E-4</v>
      </c>
    </row>
    <row r="1837" spans="1:19" x14ac:dyDescent="0.25">
      <c r="A1837" s="28">
        <v>2021</v>
      </c>
      <c r="B1837" s="28"/>
      <c r="C1837" s="28" t="s">
        <v>145</v>
      </c>
      <c r="D1837" s="28" t="s">
        <v>468</v>
      </c>
      <c r="E1837" s="28" t="s">
        <v>314</v>
      </c>
      <c r="F1837" s="28" t="s">
        <v>469</v>
      </c>
      <c r="G1837" s="28">
        <v>479099201</v>
      </c>
      <c r="H1837" s="28">
        <v>40.390543999999998</v>
      </c>
      <c r="I1837" s="28">
        <v>-86.936173999999994</v>
      </c>
      <c r="J1837" s="28" t="s">
        <v>470</v>
      </c>
      <c r="K1837" s="61">
        <v>110000404296</v>
      </c>
      <c r="L1837" s="61" t="str">
        <f>IFERROR(INDEX('Facility Summary'!$K:$K,MATCH(K1837,'Facility Summary'!$J:$J,0)),INDEX('Raw Annual DMR Data'!$M:$M,MATCH(K1837,'Raw Annual DMR Data'!$L:$L,0)))</f>
        <v>Processing into formulation, mixture, or reaction product</v>
      </c>
      <c r="M1837" s="28"/>
      <c r="N1837" s="28"/>
      <c r="O1837" s="28"/>
      <c r="P1837" s="28"/>
      <c r="Q1837" s="28"/>
      <c r="R1837" s="28">
        <f t="shared" si="10"/>
        <v>0.94626962089331446</v>
      </c>
      <c r="S1837" s="28">
        <v>0.42922068000000002</v>
      </c>
    </row>
    <row r="1838" spans="1:19" x14ac:dyDescent="0.25">
      <c r="A1838" s="28">
        <v>2023</v>
      </c>
      <c r="B1838" s="28"/>
      <c r="C1838" s="28" t="s">
        <v>145</v>
      </c>
      <c r="D1838" s="28" t="s">
        <v>468</v>
      </c>
      <c r="E1838" s="28" t="s">
        <v>314</v>
      </c>
      <c r="F1838" s="28" t="s">
        <v>469</v>
      </c>
      <c r="G1838" s="28">
        <v>479099201</v>
      </c>
      <c r="H1838" s="28">
        <v>40.390543999999998</v>
      </c>
      <c r="I1838" s="28">
        <v>-86.936173999999994</v>
      </c>
      <c r="J1838" s="28" t="s">
        <v>470</v>
      </c>
      <c r="K1838" s="61">
        <v>110000404296</v>
      </c>
      <c r="L1838" s="61" t="str">
        <f>IFERROR(INDEX('Facility Summary'!$K:$K,MATCH(K1838,'Facility Summary'!$J:$J,0)),INDEX('Raw Annual DMR Data'!$M:$M,MATCH(K1838,'Raw Annual DMR Data'!$L:$L,0)))</f>
        <v>Processing into formulation, mixture, or reaction product</v>
      </c>
      <c r="M1838" s="28"/>
      <c r="N1838" s="28"/>
      <c r="O1838" s="28"/>
      <c r="P1838" s="28"/>
      <c r="Q1838" s="28"/>
      <c r="R1838" s="28">
        <f t="shared" si="10"/>
        <v>0.45696028793429661</v>
      </c>
      <c r="S1838" s="28">
        <v>0.20727370000000001</v>
      </c>
    </row>
    <row r="1839" spans="1:19" x14ac:dyDescent="0.25">
      <c r="A1839" s="28">
        <v>2024</v>
      </c>
      <c r="B1839" s="28"/>
      <c r="C1839" s="28" t="s">
        <v>145</v>
      </c>
      <c r="D1839" s="28" t="s">
        <v>468</v>
      </c>
      <c r="E1839" s="28" t="s">
        <v>314</v>
      </c>
      <c r="F1839" s="28" t="s">
        <v>469</v>
      </c>
      <c r="G1839" s="28">
        <v>479099201</v>
      </c>
      <c r="H1839" s="28">
        <v>40.390543999999998</v>
      </c>
      <c r="I1839" s="28">
        <v>-86.936173999999994</v>
      </c>
      <c r="J1839" s="28" t="s">
        <v>470</v>
      </c>
      <c r="K1839" s="61">
        <v>110000404296</v>
      </c>
      <c r="L1839" s="61" t="str">
        <f>IFERROR(INDEX('Facility Summary'!$K:$K,MATCH(K1839,'Facility Summary'!$J:$J,0)),INDEX('Raw Annual DMR Data'!$M:$M,MATCH(K1839,'Raw Annual DMR Data'!$L:$L,0)))</f>
        <v>Processing into formulation, mixture, or reaction product</v>
      </c>
      <c r="M1839" s="28"/>
      <c r="N1839" s="28"/>
      <c r="O1839" s="28"/>
      <c r="P1839" s="28"/>
      <c r="Q1839" s="28"/>
      <c r="R1839" s="28">
        <f t="shared" si="10"/>
        <v>0.42378049701321036</v>
      </c>
      <c r="S1839" s="28">
        <v>0.19222359999999999</v>
      </c>
    </row>
    <row r="1840" spans="1:19" x14ac:dyDescent="0.25">
      <c r="A1840" s="28">
        <v>2022</v>
      </c>
      <c r="B1840" s="28"/>
      <c r="C1840" s="28" t="s">
        <v>145</v>
      </c>
      <c r="D1840" s="28" t="s">
        <v>468</v>
      </c>
      <c r="E1840" s="28" t="s">
        <v>314</v>
      </c>
      <c r="F1840" s="28" t="s">
        <v>469</v>
      </c>
      <c r="G1840" s="28">
        <v>479099201</v>
      </c>
      <c r="H1840" s="28">
        <v>40.390543999999998</v>
      </c>
      <c r="I1840" s="28">
        <v>-86.936173999999994</v>
      </c>
      <c r="J1840" s="28" t="s">
        <v>470</v>
      </c>
      <c r="K1840" s="61">
        <v>110000404296</v>
      </c>
      <c r="L1840" s="61" t="str">
        <f>IFERROR(INDEX('Facility Summary'!$K:$K,MATCH(K1840,'Facility Summary'!$J:$J,0)),INDEX('Raw Annual DMR Data'!$M:$M,MATCH(K1840,'Raw Annual DMR Data'!$L:$L,0)))</f>
        <v>Processing into formulation, mixture, or reaction product</v>
      </c>
      <c r="M1840" s="28"/>
      <c r="N1840" s="28"/>
      <c r="O1840" s="28"/>
      <c r="P1840" s="28"/>
      <c r="Q1840" s="28"/>
      <c r="R1840" s="28">
        <f t="shared" si="10"/>
        <v>0.39700645758216785</v>
      </c>
      <c r="S1840" s="28">
        <v>0.18007909999999999</v>
      </c>
    </row>
    <row r="1841" spans="1:19" x14ac:dyDescent="0.25">
      <c r="A1841" s="28">
        <v>2023</v>
      </c>
      <c r="B1841" s="28"/>
      <c r="C1841" s="28" t="s">
        <v>6808</v>
      </c>
      <c r="D1841" s="28" t="s">
        <v>6962</v>
      </c>
      <c r="E1841" s="28" t="s">
        <v>472</v>
      </c>
      <c r="F1841" s="28" t="s">
        <v>450</v>
      </c>
      <c r="G1841" s="28">
        <v>11222</v>
      </c>
      <c r="H1841" s="28">
        <v>40.73095</v>
      </c>
      <c r="I1841" s="28">
        <v>-73.942520000000002</v>
      </c>
      <c r="J1841" s="28"/>
      <c r="K1841" s="61">
        <v>110037107154</v>
      </c>
      <c r="L1841" s="61" t="str">
        <f>IFERROR(INDEX('Facility Summary'!$K:$K,MATCH(K1841,'Facility Summary'!$J:$J,0)),INDEX('Raw Annual DMR Data'!$M:$M,MATCH(K1841,'Raw Annual DMR Data'!$L:$L,0)))</f>
        <v>Remediation</v>
      </c>
      <c r="M1841" s="28"/>
      <c r="N1841" s="28"/>
      <c r="O1841" s="28"/>
      <c r="P1841" s="28"/>
      <c r="Q1841" s="28"/>
      <c r="R1841" s="28">
        <f t="shared" si="10"/>
        <v>1.7374816994276159</v>
      </c>
      <c r="S1841" s="28">
        <v>0.78810844187499995</v>
      </c>
    </row>
    <row r="1842" spans="1:19" x14ac:dyDescent="0.25">
      <c r="A1842" s="28">
        <v>2022</v>
      </c>
      <c r="B1842" s="28"/>
      <c r="C1842" s="28" t="s">
        <v>6808</v>
      </c>
      <c r="D1842" s="28" t="s">
        <v>6962</v>
      </c>
      <c r="E1842" s="28" t="s">
        <v>472</v>
      </c>
      <c r="F1842" s="28" t="s">
        <v>450</v>
      </c>
      <c r="G1842" s="28">
        <v>11222</v>
      </c>
      <c r="H1842" s="28">
        <v>40.73095</v>
      </c>
      <c r="I1842" s="28">
        <v>-73.942520000000002</v>
      </c>
      <c r="J1842" s="28"/>
      <c r="K1842" s="61">
        <v>110037107154</v>
      </c>
      <c r="L1842" s="61" t="str">
        <f>IFERROR(INDEX('Facility Summary'!$K:$K,MATCH(K1842,'Facility Summary'!$J:$J,0)),INDEX('Raw Annual DMR Data'!$M:$M,MATCH(K1842,'Raw Annual DMR Data'!$L:$L,0)))</f>
        <v>Remediation</v>
      </c>
      <c r="M1842" s="28"/>
      <c r="N1842" s="28"/>
      <c r="O1842" s="28"/>
      <c r="P1842" s="28"/>
      <c r="Q1842" s="28"/>
      <c r="R1842" s="28">
        <f t="shared" si="10"/>
        <v>1.6514034186686166</v>
      </c>
      <c r="S1842" s="28">
        <v>0.74906399050000005</v>
      </c>
    </row>
    <row r="1843" spans="1:19" x14ac:dyDescent="0.25">
      <c r="A1843" s="28">
        <v>2021</v>
      </c>
      <c r="B1843" s="28"/>
      <c r="C1843" s="28" t="s">
        <v>6808</v>
      </c>
      <c r="D1843" s="28" t="s">
        <v>6962</v>
      </c>
      <c r="E1843" s="28" t="s">
        <v>472</v>
      </c>
      <c r="F1843" s="28" t="s">
        <v>450</v>
      </c>
      <c r="G1843" s="28">
        <v>11222</v>
      </c>
      <c r="H1843" s="28">
        <v>40.73095</v>
      </c>
      <c r="I1843" s="28">
        <v>-73.942520000000002</v>
      </c>
      <c r="J1843" s="28"/>
      <c r="K1843" s="61">
        <v>110037107154</v>
      </c>
      <c r="L1843" s="61" t="str">
        <f>IFERROR(INDEX('Facility Summary'!$K:$K,MATCH(K1843,'Facility Summary'!$J:$J,0)),INDEX('Raw Annual DMR Data'!$M:$M,MATCH(K1843,'Raw Annual DMR Data'!$L:$L,0)))</f>
        <v>Remediation</v>
      </c>
      <c r="M1843" s="28"/>
      <c r="N1843" s="28"/>
      <c r="O1843" s="28"/>
      <c r="P1843" s="28"/>
      <c r="Q1843" s="28"/>
      <c r="R1843" s="28">
        <f t="shared" si="10"/>
        <v>1.5173290536170172</v>
      </c>
      <c r="S1843" s="28">
        <v>0.68824888149999996</v>
      </c>
    </row>
    <row r="1844" spans="1:19" x14ac:dyDescent="0.25">
      <c r="A1844" s="28">
        <v>2024</v>
      </c>
      <c r="B1844" s="28"/>
      <c r="C1844" s="28" t="s">
        <v>6808</v>
      </c>
      <c r="D1844" s="28" t="s">
        <v>6962</v>
      </c>
      <c r="E1844" s="28" t="s">
        <v>472</v>
      </c>
      <c r="F1844" s="28" t="s">
        <v>450</v>
      </c>
      <c r="G1844" s="28">
        <v>11222</v>
      </c>
      <c r="H1844" s="28">
        <v>40.73095</v>
      </c>
      <c r="I1844" s="28">
        <v>-73.942520000000002</v>
      </c>
      <c r="J1844" s="28"/>
      <c r="K1844" s="61">
        <v>110037107154</v>
      </c>
      <c r="L1844" s="61" t="str">
        <f>IFERROR(INDEX('Facility Summary'!$K:$K,MATCH(K1844,'Facility Summary'!$J:$J,0)),INDEX('Raw Annual DMR Data'!$M:$M,MATCH(K1844,'Raw Annual DMR Data'!$L:$L,0)))</f>
        <v>Remediation</v>
      </c>
      <c r="M1844" s="28"/>
      <c r="N1844" s="28"/>
      <c r="O1844" s="28"/>
      <c r="P1844" s="28"/>
      <c r="Q1844" s="28"/>
      <c r="R1844" s="28">
        <f t="shared" si="10"/>
        <v>1.1062411824740348</v>
      </c>
      <c r="S1844" s="28">
        <v>0.50178255974999997</v>
      </c>
    </row>
    <row r="1845" spans="1:19" x14ac:dyDescent="0.25">
      <c r="A1845" s="28">
        <v>2021</v>
      </c>
      <c r="B1845" s="28"/>
      <c r="C1845" s="28" t="s">
        <v>6845</v>
      </c>
      <c r="D1845" s="28" t="s">
        <v>6999</v>
      </c>
      <c r="E1845" s="28" t="s">
        <v>6927</v>
      </c>
      <c r="F1845" s="28" t="s">
        <v>418</v>
      </c>
      <c r="G1845" s="28">
        <v>89406</v>
      </c>
      <c r="H1845" s="28">
        <v>39.463894000000003</v>
      </c>
      <c r="I1845" s="28">
        <v>-118.75532800000001</v>
      </c>
      <c r="J1845" s="28"/>
      <c r="K1845" s="61">
        <v>110000734616</v>
      </c>
      <c r="L1845" s="61" t="str">
        <f>IFERROR(INDEX('Facility Summary'!$K:$K,MATCH(K1845,'Facility Summary'!$J:$J,0)),INDEX('Raw Annual DMR Data'!$M:$M,MATCH(K1845,'Raw Annual DMR Data'!$L:$L,0)))</f>
        <v>POTW</v>
      </c>
      <c r="M1845" s="28"/>
      <c r="N1845" s="28"/>
      <c r="O1845" s="28"/>
      <c r="P1845" s="28"/>
      <c r="Q1845" s="28"/>
      <c r="R1845" s="28">
        <f t="shared" si="10"/>
        <v>7.9189272958890378</v>
      </c>
      <c r="S1845" s="28">
        <v>3.5919650000000001</v>
      </c>
    </row>
    <row r="1846" spans="1:19" x14ac:dyDescent="0.25">
      <c r="A1846" s="28">
        <v>2023</v>
      </c>
      <c r="B1846" s="28"/>
      <c r="C1846" s="28" t="s">
        <v>6775</v>
      </c>
      <c r="D1846" s="28" t="s">
        <v>6918</v>
      </c>
      <c r="E1846" s="28" t="s">
        <v>6919</v>
      </c>
      <c r="F1846" s="28" t="s">
        <v>324</v>
      </c>
      <c r="G1846" s="28">
        <v>41040</v>
      </c>
      <c r="H1846" s="28">
        <v>38.691943999999999</v>
      </c>
      <c r="I1846" s="28">
        <v>-84.325000000000003</v>
      </c>
      <c r="J1846" s="28"/>
      <c r="K1846" s="61">
        <v>110023140420</v>
      </c>
      <c r="L1846" s="61" t="str">
        <f>IFERROR(INDEX('Facility Summary'!$K:$K,MATCH(K1846,'Facility Summary'!$J:$J,0)),INDEX('Raw Annual DMR Data'!$M:$M,MATCH(K1846,'Raw Annual DMR Data'!$L:$L,0)))</f>
        <v>POTW</v>
      </c>
      <c r="M1846" s="28"/>
      <c r="N1846" s="28"/>
      <c r="O1846" s="28"/>
      <c r="P1846" s="28"/>
      <c r="Q1846" s="28"/>
      <c r="R1846" s="28">
        <f t="shared" si="10"/>
        <v>3.1292478788554132</v>
      </c>
      <c r="S1846" s="28">
        <v>1.4194029616874999</v>
      </c>
    </row>
    <row r="1847" spans="1:19" x14ac:dyDescent="0.25">
      <c r="A1847" s="28">
        <v>2021</v>
      </c>
      <c r="B1847" s="28"/>
      <c r="C1847" s="28" t="s">
        <v>6838</v>
      </c>
      <c r="D1847" s="28" t="s">
        <v>6992</v>
      </c>
      <c r="E1847" s="28" t="s">
        <v>293</v>
      </c>
      <c r="F1847" s="28" t="s">
        <v>294</v>
      </c>
      <c r="G1847" s="28">
        <v>22204</v>
      </c>
      <c r="H1847" s="28">
        <v>38.862986999999997</v>
      </c>
      <c r="I1847" s="28">
        <v>-77.085927999999996</v>
      </c>
      <c r="J1847" s="28"/>
      <c r="K1847" s="61">
        <v>110071065066</v>
      </c>
      <c r="L1847" s="61" t="str">
        <f>IFERROR(INDEX('Facility Summary'!$K:$K,MATCH(K1847,'Facility Summary'!$J:$J,0)),INDEX('Raw Annual DMR Data'!$M:$M,MATCH(K1847,'Raw Annual DMR Data'!$L:$L,0)))</f>
        <v>Unknown</v>
      </c>
      <c r="M1847" s="28"/>
      <c r="N1847" s="28"/>
      <c r="O1847" s="28"/>
      <c r="P1847" s="28"/>
      <c r="Q1847" s="28"/>
      <c r="R1847" s="28">
        <f t="shared" si="10"/>
        <v>1.074771165132253E-4</v>
      </c>
      <c r="S1847" s="28">
        <v>4.8750800000000001E-5</v>
      </c>
    </row>
    <row r="1848" spans="1:19" x14ac:dyDescent="0.25">
      <c r="A1848" s="28">
        <v>2022</v>
      </c>
      <c r="B1848" s="28"/>
      <c r="C1848" s="28" t="s">
        <v>6838</v>
      </c>
      <c r="D1848" s="28" t="s">
        <v>6992</v>
      </c>
      <c r="E1848" s="28" t="s">
        <v>293</v>
      </c>
      <c r="F1848" s="28" t="s">
        <v>294</v>
      </c>
      <c r="G1848" s="28">
        <v>22204</v>
      </c>
      <c r="H1848" s="28">
        <v>38.862986999999997</v>
      </c>
      <c r="I1848" s="28">
        <v>-77.085927999999996</v>
      </c>
      <c r="J1848" s="28"/>
      <c r="K1848" s="61">
        <v>110071065066</v>
      </c>
      <c r="L1848" s="61" t="str">
        <f>IFERROR(INDEX('Facility Summary'!$K:$K,MATCH(K1848,'Facility Summary'!$J:$J,0)),INDEX('Raw Annual DMR Data'!$M:$M,MATCH(K1848,'Raw Annual DMR Data'!$L:$L,0)))</f>
        <v>Unknown</v>
      </c>
      <c r="M1848" s="28"/>
      <c r="N1848" s="28"/>
      <c r="O1848" s="28"/>
      <c r="P1848" s="28"/>
      <c r="Q1848" s="28"/>
      <c r="R1848" s="28">
        <f t="shared" si="10"/>
        <v>8.8785444076142637E-5</v>
      </c>
      <c r="S1848" s="28">
        <v>4.0272399999999997E-5</v>
      </c>
    </row>
    <row r="1849" spans="1:19" x14ac:dyDescent="0.25">
      <c r="A1849" s="28">
        <v>2022</v>
      </c>
      <c r="B1849" s="28"/>
      <c r="C1849" s="28" t="s">
        <v>1109</v>
      </c>
      <c r="D1849" s="28" t="s">
        <v>1748</v>
      </c>
      <c r="E1849" s="28" t="s">
        <v>1110</v>
      </c>
      <c r="F1849" s="28" t="s">
        <v>338</v>
      </c>
      <c r="G1849" s="28">
        <v>8536</v>
      </c>
      <c r="H1849" s="28">
        <v>40.331944</v>
      </c>
      <c r="I1849" s="28">
        <v>-74.619721999999996</v>
      </c>
      <c r="J1849" s="28" t="s">
        <v>7127</v>
      </c>
      <c r="K1849" s="61">
        <v>110000321651</v>
      </c>
      <c r="L1849" s="61" t="str">
        <f>IFERROR(INDEX('Facility Summary'!$K:$K,MATCH(K1849,'Facility Summary'!$J:$J,0)),INDEX('Raw Annual DMR Data'!$M:$M,MATCH(K1849,'Raw Annual DMR Data'!$L:$L,0)))</f>
        <v>Unknown</v>
      </c>
      <c r="M1849" s="28"/>
      <c r="N1849" s="28"/>
      <c r="O1849" s="28"/>
      <c r="P1849" s="28"/>
      <c r="Q1849" s="28"/>
      <c r="R1849" s="28">
        <f t="shared" si="10"/>
        <v>6.7670891377648174E-2</v>
      </c>
      <c r="S1849" s="28">
        <v>3.0695E-2</v>
      </c>
    </row>
    <row r="1850" spans="1:19" x14ac:dyDescent="0.25">
      <c r="A1850" s="28">
        <v>2021</v>
      </c>
      <c r="B1850" s="28"/>
      <c r="C1850" s="28" t="s">
        <v>1109</v>
      </c>
      <c r="D1850" s="28" t="s">
        <v>1748</v>
      </c>
      <c r="E1850" s="28" t="s">
        <v>1110</v>
      </c>
      <c r="F1850" s="28" t="s">
        <v>338</v>
      </c>
      <c r="G1850" s="28">
        <v>8536</v>
      </c>
      <c r="H1850" s="28">
        <v>40.331944</v>
      </c>
      <c r="I1850" s="28">
        <v>-74.619721999999996</v>
      </c>
      <c r="J1850" s="28" t="s">
        <v>7127</v>
      </c>
      <c r="K1850" s="61">
        <v>110000321651</v>
      </c>
      <c r="L1850" s="61" t="str">
        <f>IFERROR(INDEX('Facility Summary'!$K:$K,MATCH(K1850,'Facility Summary'!$J:$J,0)),INDEX('Raw Annual DMR Data'!$M:$M,MATCH(K1850,'Raw Annual DMR Data'!$L:$L,0)))</f>
        <v>Unknown</v>
      </c>
      <c r="M1850" s="28"/>
      <c r="N1850" s="28"/>
      <c r="O1850" s="28"/>
      <c r="P1850" s="28"/>
      <c r="Q1850" s="28"/>
      <c r="R1850" s="28">
        <f t="shared" si="10"/>
        <v>4.8933803714555427E-2</v>
      </c>
      <c r="S1850" s="28">
        <v>2.2196E-2</v>
      </c>
    </row>
    <row r="1851" spans="1:19" x14ac:dyDescent="0.25">
      <c r="A1851" s="28">
        <v>2024</v>
      </c>
      <c r="B1851" s="28"/>
      <c r="C1851" s="28" t="s">
        <v>1109</v>
      </c>
      <c r="D1851" s="28" t="s">
        <v>1748</v>
      </c>
      <c r="E1851" s="28" t="s">
        <v>1110</v>
      </c>
      <c r="F1851" s="28" t="s">
        <v>338</v>
      </c>
      <c r="G1851" s="28">
        <v>8536</v>
      </c>
      <c r="H1851" s="28">
        <v>40.331944</v>
      </c>
      <c r="I1851" s="28">
        <v>-74.619721999999996</v>
      </c>
      <c r="J1851" s="28" t="s">
        <v>7127</v>
      </c>
      <c r="K1851" s="61">
        <v>110000321651</v>
      </c>
      <c r="L1851" s="61" t="str">
        <f>IFERROR(INDEX('Facility Summary'!$K:$K,MATCH(K1851,'Facility Summary'!$J:$J,0)),INDEX('Raw Annual DMR Data'!$M:$M,MATCH(K1851,'Raw Annual DMR Data'!$L:$L,0)))</f>
        <v>Unknown</v>
      </c>
      <c r="M1851" s="28"/>
      <c r="N1851" s="28"/>
      <c r="O1851" s="28"/>
      <c r="P1851" s="28"/>
      <c r="Q1851" s="28"/>
      <c r="R1851" s="28">
        <f t="shared" si="10"/>
        <v>2.2310780933109613E-2</v>
      </c>
      <c r="S1851" s="28">
        <v>1.0120000000000001E-2</v>
      </c>
    </row>
    <row r="1852" spans="1:19" x14ac:dyDescent="0.25">
      <c r="A1852" s="28">
        <v>2023</v>
      </c>
      <c r="B1852" s="28"/>
      <c r="C1852" s="28" t="s">
        <v>1109</v>
      </c>
      <c r="D1852" s="28" t="s">
        <v>1748</v>
      </c>
      <c r="E1852" s="28" t="s">
        <v>1110</v>
      </c>
      <c r="F1852" s="28" t="s">
        <v>338</v>
      </c>
      <c r="G1852" s="28" t="s">
        <v>1751</v>
      </c>
      <c r="H1852" s="28">
        <v>40.331944</v>
      </c>
      <c r="I1852" s="28">
        <v>-74.619721999999996</v>
      </c>
      <c r="J1852" s="28" t="s">
        <v>7127</v>
      </c>
      <c r="K1852" s="61">
        <v>110000321651</v>
      </c>
      <c r="L1852" s="61" t="str">
        <f>IFERROR(INDEX('Facility Summary'!$K:$K,MATCH(K1852,'Facility Summary'!$J:$J,0)),INDEX('Raw Annual DMR Data'!$M:$M,MATCH(K1852,'Raw Annual DMR Data'!$L:$L,0)))</f>
        <v>Unknown</v>
      </c>
      <c r="M1852" s="28"/>
      <c r="N1852" s="28"/>
      <c r="O1852" s="28"/>
      <c r="P1852" s="28"/>
      <c r="Q1852" s="28"/>
      <c r="R1852" s="28">
        <f t="shared" ref="R1852:R1915" si="11">CONVERT(S1852,"g","lbm")*1000</f>
        <v>6.8343301277312045E-3</v>
      </c>
      <c r="S1852" s="28">
        <v>3.0999999999999999E-3</v>
      </c>
    </row>
    <row r="1853" spans="1:19" x14ac:dyDescent="0.25">
      <c r="A1853" s="28">
        <v>2024</v>
      </c>
      <c r="B1853" s="28"/>
      <c r="C1853" s="28" t="s">
        <v>6870</v>
      </c>
      <c r="D1853" s="28" t="s">
        <v>1753</v>
      </c>
      <c r="E1853" s="28" t="s">
        <v>1112</v>
      </c>
      <c r="F1853" s="28" t="s">
        <v>338</v>
      </c>
      <c r="G1853" s="28">
        <v>7410</v>
      </c>
      <c r="H1853" s="28">
        <v>40.9375</v>
      </c>
      <c r="I1853" s="28">
        <v>-74.131929999999997</v>
      </c>
      <c r="J1853" s="28" t="s">
        <v>715</v>
      </c>
      <c r="K1853" s="61">
        <v>110000319904</v>
      </c>
      <c r="L1853" s="61" t="str">
        <f>IFERROR(INDEX('Facility Summary'!$K:$K,MATCH(K1853,'Facility Summary'!$J:$J,0)),INDEX('Raw Annual DMR Data'!$M:$M,MATCH(K1853,'Raw Annual DMR Data'!$L:$L,0)))</f>
        <v>Unknown</v>
      </c>
      <c r="M1853" s="28"/>
      <c r="N1853" s="28"/>
      <c r="O1853" s="28"/>
      <c r="P1853" s="28"/>
      <c r="Q1853" s="28"/>
      <c r="R1853" s="28">
        <f t="shared" si="11"/>
        <v>0.12826350793775479</v>
      </c>
      <c r="S1853" s="28">
        <v>5.8179348550000003E-2</v>
      </c>
    </row>
    <row r="1854" spans="1:19" x14ac:dyDescent="0.25">
      <c r="A1854" s="28">
        <v>2023</v>
      </c>
      <c r="B1854" s="28"/>
      <c r="C1854" s="28" t="s">
        <v>6870</v>
      </c>
      <c r="D1854" s="28" t="s">
        <v>1753</v>
      </c>
      <c r="E1854" s="28" t="s">
        <v>1112</v>
      </c>
      <c r="F1854" s="28" t="s">
        <v>338</v>
      </c>
      <c r="G1854" s="28" t="s">
        <v>1756</v>
      </c>
      <c r="H1854" s="28">
        <v>40.9375</v>
      </c>
      <c r="I1854" s="28">
        <v>-74.131929999999997</v>
      </c>
      <c r="J1854" s="28" t="s">
        <v>715</v>
      </c>
      <c r="K1854" s="61">
        <v>110000319904</v>
      </c>
      <c r="L1854" s="61" t="str">
        <f>IFERROR(INDEX('Facility Summary'!$K:$K,MATCH(K1854,'Facility Summary'!$J:$J,0)),INDEX('Raw Annual DMR Data'!$M:$M,MATCH(K1854,'Raw Annual DMR Data'!$L:$L,0)))</f>
        <v>Unknown</v>
      </c>
      <c r="M1854" s="28"/>
      <c r="N1854" s="28"/>
      <c r="O1854" s="28"/>
      <c r="P1854" s="28"/>
      <c r="Q1854" s="28"/>
      <c r="R1854" s="28">
        <f t="shared" si="11"/>
        <v>0.10362027765700733</v>
      </c>
      <c r="S1854" s="28">
        <v>4.7001367322500001E-2</v>
      </c>
    </row>
    <row r="1855" spans="1:19" x14ac:dyDescent="0.25">
      <c r="A1855" s="28">
        <v>2022</v>
      </c>
      <c r="B1855" s="28"/>
      <c r="C1855" s="28" t="s">
        <v>6870</v>
      </c>
      <c r="D1855" s="28" t="s">
        <v>1753</v>
      </c>
      <c r="E1855" s="28" t="s">
        <v>1112</v>
      </c>
      <c r="F1855" s="28" t="s">
        <v>338</v>
      </c>
      <c r="G1855" s="28">
        <v>7410</v>
      </c>
      <c r="H1855" s="28">
        <v>40.9375</v>
      </c>
      <c r="I1855" s="28">
        <v>-74.131929999999997</v>
      </c>
      <c r="J1855" s="28" t="s">
        <v>715</v>
      </c>
      <c r="K1855" s="61">
        <v>110000319904</v>
      </c>
      <c r="L1855" s="61" t="str">
        <f>IFERROR(INDEX('Facility Summary'!$K:$K,MATCH(K1855,'Facility Summary'!$J:$J,0)),INDEX('Raw Annual DMR Data'!$M:$M,MATCH(K1855,'Raw Annual DMR Data'!$L:$L,0)))</f>
        <v>Unknown</v>
      </c>
      <c r="M1855" s="28"/>
      <c r="N1855" s="28"/>
      <c r="O1855" s="28"/>
      <c r="P1855" s="28"/>
      <c r="Q1855" s="28"/>
      <c r="R1855" s="28">
        <f t="shared" si="11"/>
        <v>7.1146930557936847E-2</v>
      </c>
      <c r="S1855" s="28">
        <v>3.2271704849999999E-2</v>
      </c>
    </row>
    <row r="1856" spans="1:19" x14ac:dyDescent="0.25">
      <c r="A1856" s="28">
        <v>2021</v>
      </c>
      <c r="B1856" s="28"/>
      <c r="C1856" s="28" t="s">
        <v>6870</v>
      </c>
      <c r="D1856" s="28" t="s">
        <v>1753</v>
      </c>
      <c r="E1856" s="28" t="s">
        <v>1112</v>
      </c>
      <c r="F1856" s="28" t="s">
        <v>338</v>
      </c>
      <c r="G1856" s="28">
        <v>7410</v>
      </c>
      <c r="H1856" s="28">
        <v>40.9375</v>
      </c>
      <c r="I1856" s="28">
        <v>-74.131929999999997</v>
      </c>
      <c r="J1856" s="28" t="s">
        <v>715</v>
      </c>
      <c r="K1856" s="61">
        <v>110000319904</v>
      </c>
      <c r="L1856" s="61" t="str">
        <f>IFERROR(INDEX('Facility Summary'!$K:$K,MATCH(K1856,'Facility Summary'!$J:$J,0)),INDEX('Raw Annual DMR Data'!$M:$M,MATCH(K1856,'Raw Annual DMR Data'!$L:$L,0)))</f>
        <v>Unknown</v>
      </c>
      <c r="M1856" s="28"/>
      <c r="N1856" s="28"/>
      <c r="O1856" s="28"/>
      <c r="P1856" s="28"/>
      <c r="Q1856" s="28"/>
      <c r="R1856" s="28">
        <f t="shared" si="11"/>
        <v>5.5390101028374876E-2</v>
      </c>
      <c r="S1856" s="28">
        <v>2.51245272E-2</v>
      </c>
    </row>
    <row r="1857" spans="1:19" x14ac:dyDescent="0.25">
      <c r="A1857" s="28">
        <v>2021</v>
      </c>
      <c r="B1857" s="28"/>
      <c r="C1857" s="28" t="s">
        <v>1113</v>
      </c>
      <c r="D1857" s="28" t="s">
        <v>1758</v>
      </c>
      <c r="E1857" s="28" t="s">
        <v>1114</v>
      </c>
      <c r="F1857" s="28" t="s">
        <v>324</v>
      </c>
      <c r="G1857" s="28">
        <v>41041</v>
      </c>
      <c r="H1857" s="28">
        <v>38.421495999999998</v>
      </c>
      <c r="I1857" s="28">
        <v>-83.734424000000004</v>
      </c>
      <c r="J1857" s="28"/>
      <c r="K1857" s="61">
        <v>110003251427</v>
      </c>
      <c r="L1857" s="61" t="str">
        <f>IFERROR(INDEX('Facility Summary'!$K:$K,MATCH(K1857,'Facility Summary'!$J:$J,0)),INDEX('Raw Annual DMR Data'!$M:$M,MATCH(K1857,'Raw Annual DMR Data'!$L:$L,0)))</f>
        <v>POTW</v>
      </c>
      <c r="M1857" s="28"/>
      <c r="N1857" s="28"/>
      <c r="O1857" s="28"/>
      <c r="P1857" s="28"/>
      <c r="Q1857" s="28"/>
      <c r="R1857" s="28">
        <f t="shared" si="11"/>
        <v>0.6426514074740719</v>
      </c>
      <c r="S1857" s="28">
        <v>0.29150177500000002</v>
      </c>
    </row>
    <row r="1858" spans="1:19" x14ac:dyDescent="0.25">
      <c r="A1858" s="28">
        <v>2024</v>
      </c>
      <c r="B1858" s="28"/>
      <c r="C1858" s="28" t="s">
        <v>1115</v>
      </c>
      <c r="D1858" s="28" t="s">
        <v>1762</v>
      </c>
      <c r="E1858" s="28" t="s">
        <v>987</v>
      </c>
      <c r="F1858" s="28" t="s">
        <v>324</v>
      </c>
      <c r="G1858" s="28">
        <v>40245</v>
      </c>
      <c r="H1858" s="28">
        <v>38.236699999999999</v>
      </c>
      <c r="I1858" s="28">
        <v>-85.466710000000006</v>
      </c>
      <c r="J1858" s="28"/>
      <c r="K1858" s="61">
        <v>110043486457</v>
      </c>
      <c r="L1858" s="61" t="str">
        <f>IFERROR(INDEX('Facility Summary'!$K:$K,MATCH(K1858,'Facility Summary'!$J:$J,0)),INDEX('Raw Annual DMR Data'!$M:$M,MATCH(K1858,'Raw Annual DMR Data'!$L:$L,0)))</f>
        <v>POTW</v>
      </c>
      <c r="M1858" s="28"/>
      <c r="N1858" s="28"/>
      <c r="O1858" s="28"/>
      <c r="P1858" s="28"/>
      <c r="Q1858" s="28"/>
      <c r="R1858" s="28">
        <f t="shared" si="11"/>
        <v>35.45242835544169</v>
      </c>
      <c r="S1858" s="28">
        <v>16.080950999999999</v>
      </c>
    </row>
    <row r="1859" spans="1:19" x14ac:dyDescent="0.25">
      <c r="A1859" s="28">
        <v>2022</v>
      </c>
      <c r="B1859" s="28"/>
      <c r="C1859" s="28" t="s">
        <v>1115</v>
      </c>
      <c r="D1859" s="28" t="s">
        <v>1762</v>
      </c>
      <c r="E1859" s="28" t="s">
        <v>987</v>
      </c>
      <c r="F1859" s="28" t="s">
        <v>324</v>
      </c>
      <c r="G1859" s="28">
        <v>40245</v>
      </c>
      <c r="H1859" s="28">
        <v>38.236699999999999</v>
      </c>
      <c r="I1859" s="28">
        <v>-85.466710000000006</v>
      </c>
      <c r="J1859" s="28"/>
      <c r="K1859" s="61">
        <v>110043486457</v>
      </c>
      <c r="L1859" s="61" t="str">
        <f>IFERROR(INDEX('Facility Summary'!$K:$K,MATCH(K1859,'Facility Summary'!$J:$J,0)),INDEX('Raw Annual DMR Data'!$M:$M,MATCH(K1859,'Raw Annual DMR Data'!$L:$L,0)))</f>
        <v>POTW</v>
      </c>
      <c r="M1859" s="28"/>
      <c r="N1859" s="28"/>
      <c r="O1859" s="28"/>
      <c r="P1859" s="28"/>
      <c r="Q1859" s="28"/>
      <c r="R1859" s="28">
        <f t="shared" si="11"/>
        <v>31.873682365953371</v>
      </c>
      <c r="S1859" s="28">
        <v>14.457659124999999</v>
      </c>
    </row>
    <row r="1860" spans="1:19" x14ac:dyDescent="0.25">
      <c r="A1860" s="28">
        <v>2021</v>
      </c>
      <c r="B1860" s="28"/>
      <c r="C1860" s="28" t="s">
        <v>1115</v>
      </c>
      <c r="D1860" s="28" t="s">
        <v>1762</v>
      </c>
      <c r="E1860" s="28" t="s">
        <v>987</v>
      </c>
      <c r="F1860" s="28" t="s">
        <v>324</v>
      </c>
      <c r="G1860" s="28">
        <v>40245</v>
      </c>
      <c r="H1860" s="28">
        <v>38.236699999999999</v>
      </c>
      <c r="I1860" s="28">
        <v>-85.466710000000006</v>
      </c>
      <c r="J1860" s="28"/>
      <c r="K1860" s="61">
        <v>110043486457</v>
      </c>
      <c r="L1860" s="61" t="str">
        <f>IFERROR(INDEX('Facility Summary'!$K:$K,MATCH(K1860,'Facility Summary'!$J:$J,0)),INDEX('Raw Annual DMR Data'!$M:$M,MATCH(K1860,'Raw Annual DMR Data'!$L:$L,0)))</f>
        <v>POTW</v>
      </c>
      <c r="M1860" s="28"/>
      <c r="N1860" s="28"/>
      <c r="O1860" s="28"/>
      <c r="P1860" s="28"/>
      <c r="Q1860" s="28"/>
      <c r="R1860" s="28">
        <f t="shared" si="11"/>
        <v>28.256864610619441</v>
      </c>
      <c r="S1860" s="28">
        <v>12.817098187499999</v>
      </c>
    </row>
    <row r="1861" spans="1:19" x14ac:dyDescent="0.25">
      <c r="A1861" s="28">
        <v>2023</v>
      </c>
      <c r="B1861" s="28"/>
      <c r="C1861" s="28" t="s">
        <v>1115</v>
      </c>
      <c r="D1861" s="28" t="s">
        <v>1762</v>
      </c>
      <c r="E1861" s="28" t="s">
        <v>987</v>
      </c>
      <c r="F1861" s="28" t="s">
        <v>324</v>
      </c>
      <c r="G1861" s="28">
        <v>40245</v>
      </c>
      <c r="H1861" s="28">
        <v>38.236699999999999</v>
      </c>
      <c r="I1861" s="28">
        <v>-85.466710000000006</v>
      </c>
      <c r="J1861" s="28"/>
      <c r="K1861" s="61">
        <v>110043486457</v>
      </c>
      <c r="L1861" s="61" t="str">
        <f>IFERROR(INDEX('Facility Summary'!$K:$K,MATCH(K1861,'Facility Summary'!$J:$J,0)),INDEX('Raw Annual DMR Data'!$M:$M,MATCH(K1861,'Raw Annual DMR Data'!$L:$L,0)))</f>
        <v>POTW</v>
      </c>
      <c r="M1861" s="28"/>
      <c r="N1861" s="28"/>
      <c r="O1861" s="28"/>
      <c r="P1861" s="28"/>
      <c r="Q1861" s="28"/>
      <c r="R1861" s="28">
        <f t="shared" si="11"/>
        <v>25.84311465600711</v>
      </c>
      <c r="S1861" s="28">
        <v>11.722239625</v>
      </c>
    </row>
    <row r="1862" spans="1:19" x14ac:dyDescent="0.25">
      <c r="A1862" s="28">
        <v>2021</v>
      </c>
      <c r="B1862" s="28"/>
      <c r="C1862" s="28" t="s">
        <v>1118</v>
      </c>
      <c r="D1862" s="28" t="s">
        <v>1769</v>
      </c>
      <c r="E1862" s="28" t="s">
        <v>1119</v>
      </c>
      <c r="F1862" s="28" t="s">
        <v>427</v>
      </c>
      <c r="G1862" s="28">
        <v>49128</v>
      </c>
      <c r="H1862" s="28">
        <v>41.775967999999999</v>
      </c>
      <c r="I1862" s="28">
        <v>-86.654864000000003</v>
      </c>
      <c r="J1862" s="28"/>
      <c r="K1862" s="61">
        <v>110001847761</v>
      </c>
      <c r="L1862" s="61" t="str">
        <f>IFERROR(INDEX('Facility Summary'!$K:$K,MATCH(K1862,'Facility Summary'!$J:$J,0)),INDEX('Raw Annual DMR Data'!$M:$M,MATCH(K1862,'Raw Annual DMR Data'!$L:$L,0)))</f>
        <v>Waste Handling, Disposal and Treatment (Landfill)</v>
      </c>
      <c r="M1862" s="28"/>
      <c r="N1862" s="28"/>
      <c r="O1862" s="28"/>
      <c r="P1862" s="28"/>
      <c r="Q1862" s="28"/>
      <c r="R1862" s="28">
        <f t="shared" si="11"/>
        <v>3.8176072053416597E-3</v>
      </c>
      <c r="S1862" s="28">
        <v>1.7316375E-3</v>
      </c>
    </row>
    <row r="1863" spans="1:19" x14ac:dyDescent="0.25">
      <c r="A1863" s="28">
        <v>2023</v>
      </c>
      <c r="B1863" s="28"/>
      <c r="C1863" s="28" t="s">
        <v>6846</v>
      </c>
      <c r="D1863" s="28" t="s">
        <v>7000</v>
      </c>
      <c r="E1863" s="28" t="s">
        <v>1267</v>
      </c>
      <c r="F1863" s="28" t="s">
        <v>491</v>
      </c>
      <c r="G1863" s="28" t="s">
        <v>7001</v>
      </c>
      <c r="H1863" s="28">
        <v>40.670580000000001</v>
      </c>
      <c r="I1863" s="28">
        <v>-80.336500000000001</v>
      </c>
      <c r="J1863" s="28" t="s">
        <v>7128</v>
      </c>
      <c r="K1863" s="61">
        <v>110000329038</v>
      </c>
      <c r="L1863" s="61" t="str">
        <f>IFERROR(INDEX('Facility Summary'!$K:$K,MATCH(K1863,'Facility Summary'!$J:$J,0)),INDEX('Raw Annual DMR Data'!$M:$M,MATCH(K1863,'Raw Annual DMR Data'!$L:$L,0)))</f>
        <v>Unknown</v>
      </c>
      <c r="M1863" s="28"/>
      <c r="N1863" s="28"/>
      <c r="O1863" s="28"/>
      <c r="P1863" s="28"/>
      <c r="Q1863" s="28"/>
      <c r="R1863" s="28">
        <f t="shared" si="11"/>
        <v>6.2055717559799342E-2</v>
      </c>
      <c r="S1863" s="28">
        <v>2.8147999999999999E-2</v>
      </c>
    </row>
    <row r="1864" spans="1:19" x14ac:dyDescent="0.25">
      <c r="A1864" s="28">
        <v>2022</v>
      </c>
      <c r="B1864" s="28"/>
      <c r="C1864" s="28" t="s">
        <v>1120</v>
      </c>
      <c r="D1864" s="28" t="s">
        <v>1773</v>
      </c>
      <c r="E1864" s="28" t="s">
        <v>1121</v>
      </c>
      <c r="F1864" s="28" t="s">
        <v>338</v>
      </c>
      <c r="G1864" s="28">
        <v>8832</v>
      </c>
      <c r="H1864" s="28">
        <v>40.515906999999999</v>
      </c>
      <c r="I1864" s="28">
        <v>-74.325175999999999</v>
      </c>
      <c r="J1864" s="28"/>
      <c r="K1864" s="61">
        <v>110070215141</v>
      </c>
      <c r="L1864" s="61" t="str">
        <f>IFERROR(INDEX('Facility Summary'!$K:$K,MATCH(K1864,'Facility Summary'!$J:$J,0)),INDEX('Raw Annual DMR Data'!$M:$M,MATCH(K1864,'Raw Annual DMR Data'!$L:$L,0)))</f>
        <v>Unknown</v>
      </c>
      <c r="M1864" s="28"/>
      <c r="N1864" s="28"/>
      <c r="O1864" s="28"/>
      <c r="P1864" s="28"/>
      <c r="Q1864" s="28"/>
      <c r="R1864" s="28">
        <f t="shared" si="11"/>
        <v>0.10450637207654087</v>
      </c>
      <c r="S1864" s="28">
        <v>4.7403292990300001E-2</v>
      </c>
    </row>
    <row r="1865" spans="1:19" x14ac:dyDescent="0.25">
      <c r="A1865" s="28">
        <v>2021</v>
      </c>
      <c r="B1865" s="28"/>
      <c r="C1865" s="28" t="s">
        <v>1120</v>
      </c>
      <c r="D1865" s="28" t="s">
        <v>1773</v>
      </c>
      <c r="E1865" s="28" t="s">
        <v>1121</v>
      </c>
      <c r="F1865" s="28" t="s">
        <v>338</v>
      </c>
      <c r="G1865" s="28">
        <v>8832</v>
      </c>
      <c r="H1865" s="28">
        <v>40.515906999999999</v>
      </c>
      <c r="I1865" s="28">
        <v>-74.325175999999999</v>
      </c>
      <c r="J1865" s="28"/>
      <c r="K1865" s="61">
        <v>110070215141</v>
      </c>
      <c r="L1865" s="61" t="str">
        <f>IFERROR(INDEX('Facility Summary'!$K:$K,MATCH(K1865,'Facility Summary'!$J:$J,0)),INDEX('Raw Annual DMR Data'!$M:$M,MATCH(K1865,'Raw Annual DMR Data'!$L:$L,0)))</f>
        <v>Unknown</v>
      </c>
      <c r="M1865" s="28"/>
      <c r="N1865" s="28"/>
      <c r="O1865" s="28"/>
      <c r="P1865" s="28"/>
      <c r="Q1865" s="28"/>
      <c r="R1865" s="28">
        <f t="shared" si="11"/>
        <v>0.10161098962599394</v>
      </c>
      <c r="S1865" s="28">
        <v>4.6089969602500003E-2</v>
      </c>
    </row>
    <row r="1866" spans="1:19" x14ac:dyDescent="0.25">
      <c r="A1866" s="28">
        <v>2023</v>
      </c>
      <c r="B1866" s="28"/>
      <c r="C1866" s="28" t="s">
        <v>1120</v>
      </c>
      <c r="D1866" s="28" t="s">
        <v>1773</v>
      </c>
      <c r="E1866" s="28" t="s">
        <v>1121</v>
      </c>
      <c r="F1866" s="28" t="s">
        <v>338</v>
      </c>
      <c r="G1866" s="28" t="s">
        <v>1776</v>
      </c>
      <c r="H1866" s="28">
        <v>40.515906999999999</v>
      </c>
      <c r="I1866" s="28">
        <v>-74.325175999999999</v>
      </c>
      <c r="J1866" s="28"/>
      <c r="K1866" s="61">
        <v>110070215141</v>
      </c>
      <c r="L1866" s="61" t="str">
        <f>IFERROR(INDEX('Facility Summary'!$K:$K,MATCH(K1866,'Facility Summary'!$J:$J,0)),INDEX('Raw Annual DMR Data'!$M:$M,MATCH(K1866,'Raw Annual DMR Data'!$L:$L,0)))</f>
        <v>Unknown</v>
      </c>
      <c r="M1866" s="28"/>
      <c r="N1866" s="28"/>
      <c r="O1866" s="28"/>
      <c r="P1866" s="28"/>
      <c r="Q1866" s="28"/>
      <c r="R1866" s="28">
        <f t="shared" si="11"/>
        <v>9.31063187207051E-2</v>
      </c>
      <c r="S1866" s="28">
        <v>4.2232315770499997E-2</v>
      </c>
    </row>
    <row r="1867" spans="1:19" x14ac:dyDescent="0.25">
      <c r="A1867" s="28">
        <v>2024</v>
      </c>
      <c r="B1867" s="28"/>
      <c r="C1867" s="28" t="s">
        <v>1120</v>
      </c>
      <c r="D1867" s="28" t="s">
        <v>1773</v>
      </c>
      <c r="E1867" s="28" t="s">
        <v>1121</v>
      </c>
      <c r="F1867" s="28" t="s">
        <v>338</v>
      </c>
      <c r="G1867" s="28">
        <v>8832</v>
      </c>
      <c r="H1867" s="28">
        <v>40.515906999999999</v>
      </c>
      <c r="I1867" s="28">
        <v>-74.325175999999999</v>
      </c>
      <c r="J1867" s="28"/>
      <c r="K1867" s="61">
        <v>110070215141</v>
      </c>
      <c r="L1867" s="61" t="str">
        <f>IFERROR(INDEX('Facility Summary'!$K:$K,MATCH(K1867,'Facility Summary'!$J:$J,0)),INDEX('Raw Annual DMR Data'!$M:$M,MATCH(K1867,'Raw Annual DMR Data'!$L:$L,0)))</f>
        <v>Unknown</v>
      </c>
      <c r="M1867" s="28"/>
      <c r="N1867" s="28"/>
      <c r="O1867" s="28"/>
      <c r="P1867" s="28"/>
      <c r="Q1867" s="28"/>
      <c r="R1867" s="28">
        <f t="shared" si="11"/>
        <v>6.8825239092756341E-2</v>
      </c>
      <c r="S1867" s="28">
        <v>3.1218603315900002E-2</v>
      </c>
    </row>
    <row r="1868" spans="1:19" x14ac:dyDescent="0.25">
      <c r="A1868" s="28">
        <v>2022</v>
      </c>
      <c r="B1868" s="28"/>
      <c r="C1868" s="28" t="s">
        <v>1120</v>
      </c>
      <c r="D1868" s="28" t="s">
        <v>1773</v>
      </c>
      <c r="E1868" s="28" t="s">
        <v>1121</v>
      </c>
      <c r="F1868" s="28" t="s">
        <v>338</v>
      </c>
      <c r="G1868" s="28">
        <v>8832</v>
      </c>
      <c r="H1868" s="28">
        <v>40.515906999999999</v>
      </c>
      <c r="I1868" s="28">
        <v>-74.325175999999999</v>
      </c>
      <c r="J1868" s="28"/>
      <c r="K1868" s="61">
        <v>110070215141</v>
      </c>
      <c r="L1868" s="61" t="str">
        <f>IFERROR(INDEX('Facility Summary'!$K:$K,MATCH(K1868,'Facility Summary'!$J:$J,0)),INDEX('Raw Annual DMR Data'!$M:$M,MATCH(K1868,'Raw Annual DMR Data'!$L:$L,0)))</f>
        <v>Unknown</v>
      </c>
      <c r="M1868" s="28"/>
      <c r="N1868" s="28"/>
      <c r="O1868" s="28"/>
      <c r="P1868" s="28"/>
      <c r="Q1868" s="28"/>
      <c r="R1868" s="28">
        <f t="shared" si="11"/>
        <v>1.3500072099978224E-2</v>
      </c>
      <c r="S1868" s="28">
        <v>6.1235296990000002E-3</v>
      </c>
    </row>
    <row r="1869" spans="1:19" x14ac:dyDescent="0.25">
      <c r="A1869" s="28">
        <v>2023</v>
      </c>
      <c r="B1869" s="28"/>
      <c r="C1869" s="28" t="s">
        <v>1120</v>
      </c>
      <c r="D1869" s="28" t="s">
        <v>1773</v>
      </c>
      <c r="E1869" s="28" t="s">
        <v>1121</v>
      </c>
      <c r="F1869" s="28" t="s">
        <v>338</v>
      </c>
      <c r="G1869" s="28" t="s">
        <v>1776</v>
      </c>
      <c r="H1869" s="28">
        <v>40.515906999999999</v>
      </c>
      <c r="I1869" s="28">
        <v>-74.325175999999999</v>
      </c>
      <c r="J1869" s="28"/>
      <c r="K1869" s="61">
        <v>110070215141</v>
      </c>
      <c r="L1869" s="61" t="str">
        <f>IFERROR(INDEX('Facility Summary'!$K:$K,MATCH(K1869,'Facility Summary'!$J:$J,0)),INDEX('Raw Annual DMR Data'!$M:$M,MATCH(K1869,'Raw Annual DMR Data'!$L:$L,0)))</f>
        <v>Unknown</v>
      </c>
      <c r="M1869" s="28"/>
      <c r="N1869" s="28"/>
      <c r="O1869" s="28"/>
      <c r="P1869" s="28"/>
      <c r="Q1869" s="28"/>
      <c r="R1869" s="28">
        <f t="shared" si="11"/>
        <v>7.3292150438950281E-4</v>
      </c>
      <c r="S1869" s="28">
        <v>3.3244760219999997E-4</v>
      </c>
    </row>
    <row r="1870" spans="1:19" x14ac:dyDescent="0.25">
      <c r="A1870" s="28">
        <v>2021</v>
      </c>
      <c r="B1870" s="28"/>
      <c r="C1870" s="28" t="s">
        <v>147</v>
      </c>
      <c r="D1870" s="28" t="s">
        <v>473</v>
      </c>
      <c r="E1870" s="28" t="s">
        <v>474</v>
      </c>
      <c r="F1870" s="28" t="s">
        <v>338</v>
      </c>
      <c r="G1870" s="28">
        <v>7470</v>
      </c>
      <c r="H1870" s="28">
        <v>40.891950000000001</v>
      </c>
      <c r="I1870" s="28">
        <v>-74.249369999999999</v>
      </c>
      <c r="J1870" s="28"/>
      <c r="K1870" s="61">
        <v>110070213656</v>
      </c>
      <c r="L1870" s="61" t="str">
        <f>IFERROR(INDEX('Facility Summary'!$K:$K,MATCH(K1870,'Facility Summary'!$J:$J,0)),INDEX('Raw Annual DMR Data'!$M:$M,MATCH(K1870,'Raw Annual DMR Data'!$L:$L,0)))</f>
        <v>Unknown</v>
      </c>
      <c r="M1870" s="28"/>
      <c r="N1870" s="28"/>
      <c r="O1870" s="28"/>
      <c r="P1870" s="28"/>
      <c r="Q1870" s="28"/>
      <c r="R1870" s="28">
        <f t="shared" si="11"/>
        <v>6.9886794744805777E-4</v>
      </c>
      <c r="S1870" s="28">
        <v>3.1700116859999998E-4</v>
      </c>
    </row>
    <row r="1871" spans="1:19" x14ac:dyDescent="0.25">
      <c r="A1871" s="28">
        <v>2022</v>
      </c>
      <c r="B1871" s="28"/>
      <c r="C1871" s="28" t="s">
        <v>147</v>
      </c>
      <c r="D1871" s="28" t="s">
        <v>473</v>
      </c>
      <c r="E1871" s="28" t="s">
        <v>474</v>
      </c>
      <c r="F1871" s="28" t="s">
        <v>338</v>
      </c>
      <c r="G1871" s="28">
        <v>7470</v>
      </c>
      <c r="H1871" s="28">
        <v>40.891950000000001</v>
      </c>
      <c r="I1871" s="28">
        <v>-74.249369999999999</v>
      </c>
      <c r="J1871" s="28"/>
      <c r="K1871" s="61">
        <v>110070213656</v>
      </c>
      <c r="L1871" s="61" t="str">
        <f>IFERROR(INDEX('Facility Summary'!$K:$K,MATCH(K1871,'Facility Summary'!$J:$J,0)),INDEX('Raw Annual DMR Data'!$M:$M,MATCH(K1871,'Raw Annual DMR Data'!$L:$L,0)))</f>
        <v>Unknown</v>
      </c>
      <c r="M1871" s="28"/>
      <c r="N1871" s="28"/>
      <c r="O1871" s="28"/>
      <c r="P1871" s="28"/>
      <c r="Q1871" s="28"/>
      <c r="R1871" s="28">
        <f t="shared" si="11"/>
        <v>3.6941253443041819E-5</v>
      </c>
      <c r="S1871" s="28">
        <v>1.67562707E-5</v>
      </c>
    </row>
    <row r="1872" spans="1:19" x14ac:dyDescent="0.25">
      <c r="A1872" s="28">
        <v>2021</v>
      </c>
      <c r="B1872" s="28"/>
      <c r="C1872" s="28" t="s">
        <v>149</v>
      </c>
      <c r="D1872" s="28" t="s">
        <v>479</v>
      </c>
      <c r="E1872" s="28" t="s">
        <v>480</v>
      </c>
      <c r="F1872" s="28" t="s">
        <v>362</v>
      </c>
      <c r="G1872" s="28">
        <v>77978</v>
      </c>
      <c r="H1872" s="28">
        <v>28.697590000000002</v>
      </c>
      <c r="I1872" s="28">
        <v>-96.542101000000002</v>
      </c>
      <c r="J1872" s="28" t="s">
        <v>481</v>
      </c>
      <c r="K1872" s="61">
        <v>110018925957</v>
      </c>
      <c r="L1872" s="61" t="str">
        <f>IFERROR(INDEX('Facility Summary'!$K:$K,MATCH(K1872,'Facility Summary'!$J:$J,0)),INDEX('Raw Annual DMR Data'!$M:$M,MATCH(K1872,'Raw Annual DMR Data'!$L:$L,0)))</f>
        <v>Manufacturing</v>
      </c>
      <c r="M1872" s="28"/>
      <c r="N1872" s="28"/>
      <c r="O1872" s="28"/>
      <c r="P1872" s="28"/>
      <c r="Q1872" s="28"/>
      <c r="R1872" s="28">
        <f t="shared" si="11"/>
        <v>325.93603812162888</v>
      </c>
      <c r="S1872" s="28">
        <v>147.84209999999999</v>
      </c>
    </row>
    <row r="1873" spans="1:19" x14ac:dyDescent="0.25">
      <c r="A1873" s="28">
        <v>2021</v>
      </c>
      <c r="B1873" s="28"/>
      <c r="C1873" s="28" t="s">
        <v>149</v>
      </c>
      <c r="D1873" s="28" t="s">
        <v>479</v>
      </c>
      <c r="E1873" s="28" t="s">
        <v>480</v>
      </c>
      <c r="F1873" s="28" t="s">
        <v>362</v>
      </c>
      <c r="G1873" s="28">
        <v>77978</v>
      </c>
      <c r="H1873" s="28">
        <v>28.697590000000002</v>
      </c>
      <c r="I1873" s="28">
        <v>-96.542101000000002</v>
      </c>
      <c r="J1873" s="28" t="s">
        <v>481</v>
      </c>
      <c r="K1873" s="61">
        <v>110018925957</v>
      </c>
      <c r="L1873" s="61" t="str">
        <f>IFERROR(INDEX('Facility Summary'!$K:$K,MATCH(K1873,'Facility Summary'!$J:$J,0)),INDEX('Raw Annual DMR Data'!$M:$M,MATCH(K1873,'Raw Annual DMR Data'!$L:$L,0)))</f>
        <v>Manufacturing</v>
      </c>
      <c r="M1873" s="28"/>
      <c r="N1873" s="28"/>
      <c r="O1873" s="28"/>
      <c r="P1873" s="28"/>
      <c r="Q1873" s="28"/>
      <c r="R1873" s="28">
        <f t="shared" si="11"/>
        <v>147.86448017192174</v>
      </c>
      <c r="S1873" s="28">
        <v>67.0702</v>
      </c>
    </row>
    <row r="1874" spans="1:19" x14ac:dyDescent="0.25">
      <c r="A1874" s="28">
        <v>2021</v>
      </c>
      <c r="B1874" s="28"/>
      <c r="C1874" s="28" t="s">
        <v>149</v>
      </c>
      <c r="D1874" s="28" t="s">
        <v>479</v>
      </c>
      <c r="E1874" s="28" t="s">
        <v>480</v>
      </c>
      <c r="F1874" s="28" t="s">
        <v>362</v>
      </c>
      <c r="G1874" s="28">
        <v>77978</v>
      </c>
      <c r="H1874" s="28">
        <v>28.697590000000002</v>
      </c>
      <c r="I1874" s="28">
        <v>-96.542101000000002</v>
      </c>
      <c r="J1874" s="28" t="s">
        <v>481</v>
      </c>
      <c r="K1874" s="61">
        <v>110018925957</v>
      </c>
      <c r="L1874" s="61" t="str">
        <f>IFERROR(INDEX('Facility Summary'!$K:$K,MATCH(K1874,'Facility Summary'!$J:$J,0)),INDEX('Raw Annual DMR Data'!$M:$M,MATCH(K1874,'Raw Annual DMR Data'!$L:$L,0)))</f>
        <v>Manufacturing</v>
      </c>
      <c r="M1874" s="28"/>
      <c r="N1874" s="28"/>
      <c r="O1874" s="28"/>
      <c r="P1874" s="28"/>
      <c r="Q1874" s="28"/>
      <c r="R1874" s="28">
        <f t="shared" si="11"/>
        <v>89.675523716003639</v>
      </c>
      <c r="S1874" s="28">
        <v>40.676133333333297</v>
      </c>
    </row>
    <row r="1875" spans="1:19" x14ac:dyDescent="0.25">
      <c r="A1875" s="28">
        <v>2021</v>
      </c>
      <c r="B1875" s="28"/>
      <c r="C1875" s="28" t="s">
        <v>149</v>
      </c>
      <c r="D1875" s="28" t="s">
        <v>479</v>
      </c>
      <c r="E1875" s="28" t="s">
        <v>480</v>
      </c>
      <c r="F1875" s="28" t="s">
        <v>362</v>
      </c>
      <c r="G1875" s="28">
        <v>77978</v>
      </c>
      <c r="H1875" s="28">
        <v>28.697590000000002</v>
      </c>
      <c r="I1875" s="28">
        <v>-96.542101000000002</v>
      </c>
      <c r="J1875" s="28" t="s">
        <v>481</v>
      </c>
      <c r="K1875" s="61">
        <v>110018925957</v>
      </c>
      <c r="L1875" s="61" t="str">
        <f>IFERROR(INDEX('Facility Summary'!$K:$K,MATCH(K1875,'Facility Summary'!$J:$J,0)),INDEX('Raw Annual DMR Data'!$M:$M,MATCH(K1875,'Raw Annual DMR Data'!$L:$L,0)))</f>
        <v>Manufacturing</v>
      </c>
      <c r="M1875" s="28"/>
      <c r="N1875" s="28"/>
      <c r="O1875" s="28"/>
      <c r="P1875" s="28"/>
      <c r="Q1875" s="28"/>
      <c r="R1875" s="28">
        <f t="shared" si="11"/>
        <v>81.713367444871267</v>
      </c>
      <c r="S1875" s="28">
        <v>37.06456</v>
      </c>
    </row>
    <row r="1876" spans="1:19" x14ac:dyDescent="0.25">
      <c r="A1876" s="28">
        <v>2021</v>
      </c>
      <c r="B1876" s="28"/>
      <c r="C1876" s="28" t="s">
        <v>149</v>
      </c>
      <c r="D1876" s="28" t="s">
        <v>479</v>
      </c>
      <c r="E1876" s="28" t="s">
        <v>480</v>
      </c>
      <c r="F1876" s="28" t="s">
        <v>362</v>
      </c>
      <c r="G1876" s="28">
        <v>77978</v>
      </c>
      <c r="H1876" s="28">
        <v>28.697590000000002</v>
      </c>
      <c r="I1876" s="28">
        <v>-96.542101000000002</v>
      </c>
      <c r="J1876" s="28" t="s">
        <v>481</v>
      </c>
      <c r="K1876" s="61">
        <v>110018925957</v>
      </c>
      <c r="L1876" s="61" t="str">
        <f>IFERROR(INDEX('Facility Summary'!$K:$K,MATCH(K1876,'Facility Summary'!$J:$J,0)),INDEX('Raw Annual DMR Data'!$M:$M,MATCH(K1876,'Raw Annual DMR Data'!$L:$L,0)))</f>
        <v>Manufacturing</v>
      </c>
      <c r="M1876" s="28"/>
      <c r="N1876" s="28"/>
      <c r="O1876" s="28"/>
      <c r="P1876" s="28"/>
      <c r="Q1876" s="28"/>
      <c r="R1876" s="28">
        <f t="shared" si="11"/>
        <v>58.978902136294749</v>
      </c>
      <c r="S1876" s="28">
        <v>26.752379999999999</v>
      </c>
    </row>
    <row r="1877" spans="1:19" x14ac:dyDescent="0.25">
      <c r="A1877" s="28">
        <v>2022</v>
      </c>
      <c r="B1877" s="28"/>
      <c r="C1877" s="28" t="s">
        <v>149</v>
      </c>
      <c r="D1877" s="28" t="s">
        <v>479</v>
      </c>
      <c r="E1877" s="28" t="s">
        <v>480</v>
      </c>
      <c r="F1877" s="28" t="s">
        <v>362</v>
      </c>
      <c r="G1877" s="28">
        <v>77978</v>
      </c>
      <c r="H1877" s="28">
        <v>28.697590000000002</v>
      </c>
      <c r="I1877" s="28">
        <v>-96.542101000000002</v>
      </c>
      <c r="J1877" s="28" t="s">
        <v>481</v>
      </c>
      <c r="K1877" s="61">
        <v>110018925957</v>
      </c>
      <c r="L1877" s="61" t="str">
        <f>IFERROR(INDEX('Facility Summary'!$K:$K,MATCH(K1877,'Facility Summary'!$J:$J,0)),INDEX('Raw Annual DMR Data'!$M:$M,MATCH(K1877,'Raw Annual DMR Data'!$L:$L,0)))</f>
        <v>Manufacturing</v>
      </c>
      <c r="M1877" s="28"/>
      <c r="N1877" s="28"/>
      <c r="O1877" s="28"/>
      <c r="P1877" s="28"/>
      <c r="Q1877" s="28"/>
      <c r="R1877" s="28">
        <f t="shared" si="11"/>
        <v>34.711165886674856</v>
      </c>
      <c r="S1877" s="28">
        <v>15.744719999999999</v>
      </c>
    </row>
    <row r="1878" spans="1:19" x14ac:dyDescent="0.25">
      <c r="A1878" s="28">
        <v>2023</v>
      </c>
      <c r="B1878" s="28"/>
      <c r="C1878" s="28" t="s">
        <v>149</v>
      </c>
      <c r="D1878" s="28" t="s">
        <v>479</v>
      </c>
      <c r="E1878" s="28" t="s">
        <v>480</v>
      </c>
      <c r="F1878" s="28" t="s">
        <v>362</v>
      </c>
      <c r="G1878" s="28">
        <v>77978</v>
      </c>
      <c r="H1878" s="28">
        <v>28.697590000000002</v>
      </c>
      <c r="I1878" s="28">
        <v>-96.542101000000002</v>
      </c>
      <c r="J1878" s="28" t="s">
        <v>481</v>
      </c>
      <c r="K1878" s="61">
        <v>110018925957</v>
      </c>
      <c r="L1878" s="61" t="str">
        <f>IFERROR(INDEX('Facility Summary'!$K:$K,MATCH(K1878,'Facility Summary'!$J:$J,0)),INDEX('Raw Annual DMR Data'!$M:$M,MATCH(K1878,'Raw Annual DMR Data'!$L:$L,0)))</f>
        <v>Manufacturing</v>
      </c>
      <c r="M1878" s="28"/>
      <c r="N1878" s="28"/>
      <c r="O1878" s="28"/>
      <c r="P1878" s="28"/>
      <c r="Q1878" s="28"/>
      <c r="R1878" s="28">
        <f t="shared" si="11"/>
        <v>33.510087482291645</v>
      </c>
      <c r="S1878" s="28">
        <v>15.199920000000001</v>
      </c>
    </row>
    <row r="1879" spans="1:19" x14ac:dyDescent="0.25">
      <c r="A1879" s="28">
        <v>2024</v>
      </c>
      <c r="B1879" s="28"/>
      <c r="C1879" s="28" t="s">
        <v>149</v>
      </c>
      <c r="D1879" s="28" t="s">
        <v>479</v>
      </c>
      <c r="E1879" s="28" t="s">
        <v>480</v>
      </c>
      <c r="F1879" s="28" t="s">
        <v>362</v>
      </c>
      <c r="G1879" s="28">
        <v>77978</v>
      </c>
      <c r="H1879" s="28">
        <v>28.697590000000002</v>
      </c>
      <c r="I1879" s="28">
        <v>-96.542101000000002</v>
      </c>
      <c r="J1879" s="28" t="s">
        <v>481</v>
      </c>
      <c r="K1879" s="61">
        <v>110018925957</v>
      </c>
      <c r="L1879" s="61" t="str">
        <f>IFERROR(INDEX('Facility Summary'!$K:$K,MATCH(K1879,'Facility Summary'!$J:$J,0)),INDEX('Raw Annual DMR Data'!$M:$M,MATCH(K1879,'Raw Annual DMR Data'!$L:$L,0)))</f>
        <v>Manufacturing</v>
      </c>
      <c r="M1879" s="28"/>
      <c r="N1879" s="28"/>
      <c r="O1879" s="28"/>
      <c r="P1879" s="28"/>
      <c r="Q1879" s="28"/>
      <c r="R1879" s="28">
        <f t="shared" si="11"/>
        <v>24.301819715353677</v>
      </c>
      <c r="S1879" s="28">
        <v>11.02312</v>
      </c>
    </row>
    <row r="1880" spans="1:19" x14ac:dyDescent="0.25">
      <c r="A1880" s="28">
        <v>2023</v>
      </c>
      <c r="B1880" s="28"/>
      <c r="C1880" s="28" t="s">
        <v>149</v>
      </c>
      <c r="D1880" s="28" t="s">
        <v>479</v>
      </c>
      <c r="E1880" s="28" t="s">
        <v>480</v>
      </c>
      <c r="F1880" s="28" t="s">
        <v>362</v>
      </c>
      <c r="G1880" s="28">
        <v>77978</v>
      </c>
      <c r="H1880" s="28">
        <v>28.697590000000002</v>
      </c>
      <c r="I1880" s="28">
        <v>-96.542101000000002</v>
      </c>
      <c r="J1880" s="28" t="s">
        <v>481</v>
      </c>
      <c r="K1880" s="61">
        <v>110018925957</v>
      </c>
      <c r="L1880" s="61" t="str">
        <f>IFERROR(INDEX('Facility Summary'!$K:$K,MATCH(K1880,'Facility Summary'!$J:$J,0)),INDEX('Raw Annual DMR Data'!$M:$M,MATCH(K1880,'Raw Annual DMR Data'!$L:$L,0)))</f>
        <v>Manufacturing</v>
      </c>
      <c r="M1880" s="28"/>
      <c r="N1880" s="28"/>
      <c r="O1880" s="28"/>
      <c r="P1880" s="28"/>
      <c r="Q1880" s="28"/>
      <c r="R1880" s="28">
        <f t="shared" si="11"/>
        <v>7.7603818600387822</v>
      </c>
      <c r="S1880" s="28">
        <v>3.5200499999999999</v>
      </c>
    </row>
    <row r="1881" spans="1:19" x14ac:dyDescent="0.25">
      <c r="A1881" s="28">
        <v>2024</v>
      </c>
      <c r="B1881" s="28"/>
      <c r="C1881" s="28" t="s">
        <v>150</v>
      </c>
      <c r="D1881" s="28" t="s">
        <v>482</v>
      </c>
      <c r="E1881" s="28" t="s">
        <v>302</v>
      </c>
      <c r="F1881" s="28" t="s">
        <v>303</v>
      </c>
      <c r="G1881" s="28">
        <v>70805</v>
      </c>
      <c r="H1881" s="28">
        <v>30.503836</v>
      </c>
      <c r="I1881" s="28">
        <v>-91.186507000000006</v>
      </c>
      <c r="J1881" s="28" t="s">
        <v>483</v>
      </c>
      <c r="K1881" s="61">
        <v>110000597444</v>
      </c>
      <c r="L1881" s="61" t="str">
        <f>IFERROR(INDEX('Facility Summary'!$K:$K,MATCH(K1881,'Facility Summary'!$J:$J,0)),INDEX('Raw Annual DMR Data'!$M:$M,MATCH(K1881,'Raw Annual DMR Data'!$L:$L,0)))</f>
        <v>Manufacturing</v>
      </c>
      <c r="M1881" s="28"/>
      <c r="N1881" s="28"/>
      <c r="O1881" s="28"/>
      <c r="P1881" s="28"/>
      <c r="Q1881" s="28"/>
      <c r="R1881" s="28">
        <f t="shared" si="11"/>
        <v>115.23346391386609</v>
      </c>
      <c r="S1881" s="28">
        <v>52.269019999999998</v>
      </c>
    </row>
    <row r="1882" spans="1:19" x14ac:dyDescent="0.25">
      <c r="A1882" s="28">
        <v>2021</v>
      </c>
      <c r="B1882" s="28"/>
      <c r="C1882" s="28" t="s">
        <v>150</v>
      </c>
      <c r="D1882" s="28" t="s">
        <v>482</v>
      </c>
      <c r="E1882" s="28" t="s">
        <v>302</v>
      </c>
      <c r="F1882" s="28" t="s">
        <v>303</v>
      </c>
      <c r="G1882" s="28">
        <v>70805</v>
      </c>
      <c r="H1882" s="28">
        <v>30.503836</v>
      </c>
      <c r="I1882" s="28">
        <v>-91.186507000000006</v>
      </c>
      <c r="J1882" s="28" t="s">
        <v>483</v>
      </c>
      <c r="K1882" s="61">
        <v>110000597444</v>
      </c>
      <c r="L1882" s="61" t="str">
        <f>IFERROR(INDEX('Facility Summary'!$K:$K,MATCH(K1882,'Facility Summary'!$J:$J,0)),INDEX('Raw Annual DMR Data'!$M:$M,MATCH(K1882,'Raw Annual DMR Data'!$L:$L,0)))</f>
        <v>Manufacturing</v>
      </c>
      <c r="M1882" s="28"/>
      <c r="N1882" s="28"/>
      <c r="O1882" s="28"/>
      <c r="P1882" s="28"/>
      <c r="Q1882" s="28"/>
      <c r="R1882" s="28">
        <f t="shared" si="11"/>
        <v>109.29813479887238</v>
      </c>
      <c r="S1882" s="28">
        <v>49.576799999999999</v>
      </c>
    </row>
    <row r="1883" spans="1:19" x14ac:dyDescent="0.25">
      <c r="A1883" s="28">
        <v>2023</v>
      </c>
      <c r="B1883" s="28"/>
      <c r="C1883" s="28" t="s">
        <v>150</v>
      </c>
      <c r="D1883" s="28" t="s">
        <v>482</v>
      </c>
      <c r="E1883" s="28" t="s">
        <v>302</v>
      </c>
      <c r="F1883" s="28" t="s">
        <v>303</v>
      </c>
      <c r="G1883" s="28">
        <v>70805</v>
      </c>
      <c r="H1883" s="28">
        <v>30.503836</v>
      </c>
      <c r="I1883" s="28">
        <v>-91.186507000000006</v>
      </c>
      <c r="J1883" s="28" t="s">
        <v>483</v>
      </c>
      <c r="K1883" s="61">
        <v>110000597444</v>
      </c>
      <c r="L1883" s="61" t="str">
        <f>IFERROR(INDEX('Facility Summary'!$K:$K,MATCH(K1883,'Facility Summary'!$J:$J,0)),INDEX('Raw Annual DMR Data'!$M:$M,MATCH(K1883,'Raw Annual DMR Data'!$L:$L,0)))</f>
        <v>Manufacturing</v>
      </c>
      <c r="M1883" s="28"/>
      <c r="N1883" s="28"/>
      <c r="O1883" s="28"/>
      <c r="P1883" s="28"/>
      <c r="Q1883" s="28"/>
      <c r="R1883" s="28">
        <f t="shared" si="11"/>
        <v>34.631093993049305</v>
      </c>
      <c r="S1883" s="28">
        <v>15.708399999999999</v>
      </c>
    </row>
    <row r="1884" spans="1:19" x14ac:dyDescent="0.25">
      <c r="A1884" s="28">
        <v>2022</v>
      </c>
      <c r="B1884" s="28"/>
      <c r="C1884" s="28" t="s">
        <v>150</v>
      </c>
      <c r="D1884" s="28" t="s">
        <v>482</v>
      </c>
      <c r="E1884" s="28" t="s">
        <v>302</v>
      </c>
      <c r="F1884" s="28" t="s">
        <v>303</v>
      </c>
      <c r="G1884" s="28">
        <v>70805</v>
      </c>
      <c r="H1884" s="28">
        <v>30.503836</v>
      </c>
      <c r="I1884" s="28">
        <v>-91.186507000000006</v>
      </c>
      <c r="J1884" s="28" t="s">
        <v>483</v>
      </c>
      <c r="K1884" s="61">
        <v>110000597444</v>
      </c>
      <c r="L1884" s="61" t="str">
        <f>IFERROR(INDEX('Facility Summary'!$K:$K,MATCH(K1884,'Facility Summary'!$J:$J,0)),INDEX('Raw Annual DMR Data'!$M:$M,MATCH(K1884,'Raw Annual DMR Data'!$L:$L,0)))</f>
        <v>Manufacturing</v>
      </c>
      <c r="M1884" s="28"/>
      <c r="N1884" s="28"/>
      <c r="O1884" s="28"/>
      <c r="P1884" s="28"/>
      <c r="Q1884" s="28"/>
      <c r="R1884" s="28">
        <f t="shared" si="11"/>
        <v>29.466456854201493</v>
      </c>
      <c r="S1884" s="28">
        <v>13.36576</v>
      </c>
    </row>
    <row r="1885" spans="1:19" x14ac:dyDescent="0.25">
      <c r="A1885" s="28">
        <v>2023</v>
      </c>
      <c r="B1885" s="28"/>
      <c r="C1885" s="28" t="s">
        <v>6902</v>
      </c>
      <c r="D1885" s="28" t="s">
        <v>7096</v>
      </c>
      <c r="E1885" s="28" t="s">
        <v>1125</v>
      </c>
      <c r="F1885" s="28" t="s">
        <v>294</v>
      </c>
      <c r="G1885" s="28">
        <v>22046</v>
      </c>
      <c r="H1885" s="28">
        <v>38.884332000000001</v>
      </c>
      <c r="I1885" s="28">
        <v>-77.174546000000007</v>
      </c>
      <c r="J1885" s="28"/>
      <c r="K1885" s="61">
        <v>110071426611</v>
      </c>
      <c r="L1885" s="61" t="str">
        <f>IFERROR(INDEX('Facility Summary'!$K:$K,MATCH(K1885,'Facility Summary'!$J:$J,0)),INDEX('Raw Annual DMR Data'!$M:$M,MATCH(K1885,'Raw Annual DMR Data'!$L:$L,0)))</f>
        <v>Unknown</v>
      </c>
      <c r="M1885" s="28"/>
      <c r="N1885" s="28"/>
      <c r="O1885" s="28"/>
      <c r="P1885" s="28"/>
      <c r="Q1885" s="28"/>
      <c r="R1885" s="28">
        <f t="shared" si="11"/>
        <v>6.3563606995543379E-2</v>
      </c>
      <c r="S1885" s="28">
        <v>2.8831967142857101E-2</v>
      </c>
    </row>
    <row r="1886" spans="1:19" x14ac:dyDescent="0.25">
      <c r="A1886" s="28">
        <v>2024</v>
      </c>
      <c r="B1886" s="28"/>
      <c r="C1886" s="28" t="s">
        <v>1126</v>
      </c>
      <c r="D1886" s="28" t="s">
        <v>1789</v>
      </c>
      <c r="E1886" s="28" t="s">
        <v>1127</v>
      </c>
      <c r="F1886" s="28" t="s">
        <v>1128</v>
      </c>
      <c r="G1886" s="28">
        <v>80537</v>
      </c>
      <c r="H1886" s="28">
        <v>40.393799999999999</v>
      </c>
      <c r="I1886" s="28">
        <v>-105.074</v>
      </c>
      <c r="J1886" s="28"/>
      <c r="K1886" s="61">
        <v>110070053140</v>
      </c>
      <c r="L1886" s="61" t="str">
        <f>IFERROR(INDEX('Facility Summary'!$K:$K,MATCH(K1886,'Facility Summary'!$J:$J,0)),INDEX('Raw Annual DMR Data'!$M:$M,MATCH(K1886,'Raw Annual DMR Data'!$L:$L,0)))</f>
        <v>Unknown</v>
      </c>
      <c r="M1886" s="28"/>
      <c r="N1886" s="28"/>
      <c r="O1886" s="28"/>
      <c r="P1886" s="28"/>
      <c r="Q1886" s="28"/>
      <c r="R1886" s="28">
        <f t="shared" si="11"/>
        <v>0.24526166589288084</v>
      </c>
      <c r="S1886" s="28">
        <v>0.1112488203025</v>
      </c>
    </row>
    <row r="1887" spans="1:19" x14ac:dyDescent="0.25">
      <c r="A1887" s="28">
        <v>2023</v>
      </c>
      <c r="B1887" s="28"/>
      <c r="C1887" s="28" t="s">
        <v>1126</v>
      </c>
      <c r="D1887" s="28" t="s">
        <v>1789</v>
      </c>
      <c r="E1887" s="28" t="s">
        <v>1127</v>
      </c>
      <c r="F1887" s="28" t="s">
        <v>1128</v>
      </c>
      <c r="G1887" s="28">
        <v>80537</v>
      </c>
      <c r="H1887" s="28">
        <v>40.393799999999999</v>
      </c>
      <c r="I1887" s="28">
        <v>-105.074</v>
      </c>
      <c r="J1887" s="28"/>
      <c r="K1887" s="61">
        <v>110070053140</v>
      </c>
      <c r="L1887" s="61" t="str">
        <f>IFERROR(INDEX('Facility Summary'!$K:$K,MATCH(K1887,'Facility Summary'!$J:$J,0)),INDEX('Raw Annual DMR Data'!$M:$M,MATCH(K1887,'Raw Annual DMR Data'!$L:$L,0)))</f>
        <v>Unknown</v>
      </c>
      <c r="M1887" s="28"/>
      <c r="N1887" s="28"/>
      <c r="O1887" s="28"/>
      <c r="P1887" s="28"/>
      <c r="Q1887" s="28"/>
      <c r="R1887" s="28">
        <f t="shared" si="11"/>
        <v>0.12947279238846102</v>
      </c>
      <c r="S1887" s="28">
        <v>5.8727870750000001E-2</v>
      </c>
    </row>
    <row r="1888" spans="1:19" x14ac:dyDescent="0.25">
      <c r="A1888" s="28">
        <v>2021</v>
      </c>
      <c r="B1888" s="28"/>
      <c r="C1888" s="28" t="s">
        <v>1126</v>
      </c>
      <c r="D1888" s="28" t="s">
        <v>1789</v>
      </c>
      <c r="E1888" s="28" t="s">
        <v>1127</v>
      </c>
      <c r="F1888" s="28" t="s">
        <v>1128</v>
      </c>
      <c r="G1888" s="28">
        <v>80537</v>
      </c>
      <c r="H1888" s="28">
        <v>40.393799999999999</v>
      </c>
      <c r="I1888" s="28">
        <v>-105.074</v>
      </c>
      <c r="J1888" s="28"/>
      <c r="K1888" s="61">
        <v>110070053140</v>
      </c>
      <c r="L1888" s="61" t="str">
        <f>IFERROR(INDEX('Facility Summary'!$K:$K,MATCH(K1888,'Facility Summary'!$J:$J,0)),INDEX('Raw Annual DMR Data'!$M:$M,MATCH(K1888,'Raw Annual DMR Data'!$L:$L,0)))</f>
        <v>Unknown</v>
      </c>
      <c r="M1888" s="28"/>
      <c r="N1888" s="28"/>
      <c r="O1888" s="28"/>
      <c r="P1888" s="28"/>
      <c r="Q1888" s="28"/>
      <c r="R1888" s="28">
        <f t="shared" si="11"/>
        <v>8.6440640524883608E-2</v>
      </c>
      <c r="S1888" s="28">
        <v>3.9208815000000001E-2</v>
      </c>
    </row>
    <row r="1889" spans="1:19" x14ac:dyDescent="0.25">
      <c r="A1889" s="28">
        <v>2022</v>
      </c>
      <c r="B1889" s="28"/>
      <c r="C1889" s="28" t="s">
        <v>1126</v>
      </c>
      <c r="D1889" s="28" t="s">
        <v>1789</v>
      </c>
      <c r="E1889" s="28" t="s">
        <v>1127</v>
      </c>
      <c r="F1889" s="28" t="s">
        <v>1128</v>
      </c>
      <c r="G1889" s="28">
        <v>80537</v>
      </c>
      <c r="H1889" s="28">
        <v>40.393799999999999</v>
      </c>
      <c r="I1889" s="28">
        <v>-105.074</v>
      </c>
      <c r="J1889" s="28"/>
      <c r="K1889" s="61">
        <v>110070053140</v>
      </c>
      <c r="L1889" s="61" t="str">
        <f>IFERROR(INDEX('Facility Summary'!$K:$K,MATCH(K1889,'Facility Summary'!$J:$J,0)),INDEX('Raw Annual DMR Data'!$M:$M,MATCH(K1889,'Raw Annual DMR Data'!$L:$L,0)))</f>
        <v>Unknown</v>
      </c>
      <c r="M1889" s="28"/>
      <c r="N1889" s="28"/>
      <c r="O1889" s="28"/>
      <c r="P1889" s="28"/>
      <c r="Q1889" s="28"/>
      <c r="R1889" s="28">
        <f t="shared" si="11"/>
        <v>4.3107669558021887E-2</v>
      </c>
      <c r="S1889" s="28">
        <v>1.9553310000000001E-2</v>
      </c>
    </row>
    <row r="1890" spans="1:19" x14ac:dyDescent="0.25">
      <c r="A1890" s="28">
        <v>2024</v>
      </c>
      <c r="B1890" s="28"/>
      <c r="C1890" s="28" t="s">
        <v>6887</v>
      </c>
      <c r="D1890" s="28" t="s">
        <v>7065</v>
      </c>
      <c r="E1890" s="28" t="s">
        <v>7066</v>
      </c>
      <c r="F1890" s="28" t="s">
        <v>324</v>
      </c>
      <c r="G1890" s="28">
        <v>40601</v>
      </c>
      <c r="H1890" s="28">
        <v>38.194721999999999</v>
      </c>
      <c r="I1890" s="28">
        <v>-84.869444000000001</v>
      </c>
      <c r="J1890" s="28"/>
      <c r="K1890" s="61">
        <v>110000732299</v>
      </c>
      <c r="L1890" s="61" t="str">
        <f>IFERROR(INDEX('Facility Summary'!$K:$K,MATCH(K1890,'Facility Summary'!$J:$J,0)),INDEX('Raw Annual DMR Data'!$M:$M,MATCH(K1890,'Raw Annual DMR Data'!$L:$L,0)))</f>
        <v>POTW</v>
      </c>
      <c r="M1890" s="28"/>
      <c r="N1890" s="28"/>
      <c r="O1890" s="28"/>
      <c r="P1890" s="28"/>
      <c r="Q1890" s="28"/>
      <c r="R1890" s="28">
        <f t="shared" si="11"/>
        <v>46.447554331656853</v>
      </c>
      <c r="S1890" s="28">
        <v>21.068256250000001</v>
      </c>
    </row>
    <row r="1891" spans="1:19" x14ac:dyDescent="0.25">
      <c r="A1891" s="28">
        <v>2023</v>
      </c>
      <c r="B1891" s="28"/>
      <c r="C1891" s="28" t="s">
        <v>6887</v>
      </c>
      <c r="D1891" s="28" t="s">
        <v>7065</v>
      </c>
      <c r="E1891" s="28" t="s">
        <v>7066</v>
      </c>
      <c r="F1891" s="28" t="s">
        <v>324</v>
      </c>
      <c r="G1891" s="28">
        <v>40601</v>
      </c>
      <c r="H1891" s="28">
        <v>38.194721999999999</v>
      </c>
      <c r="I1891" s="28">
        <v>-84.869444000000001</v>
      </c>
      <c r="J1891" s="28"/>
      <c r="K1891" s="61">
        <v>110000732299</v>
      </c>
      <c r="L1891" s="61" t="str">
        <f>IFERROR(INDEX('Facility Summary'!$K:$K,MATCH(K1891,'Facility Summary'!$J:$J,0)),INDEX('Raw Annual DMR Data'!$M:$M,MATCH(K1891,'Raw Annual DMR Data'!$L:$L,0)))</f>
        <v>POTW</v>
      </c>
      <c r="M1891" s="28"/>
      <c r="N1891" s="28"/>
      <c r="O1891" s="28"/>
      <c r="P1891" s="28"/>
      <c r="Q1891" s="28"/>
      <c r="R1891" s="28">
        <f t="shared" si="11"/>
        <v>29.543690296201408</v>
      </c>
      <c r="S1891" s="28">
        <v>13.4007925</v>
      </c>
    </row>
    <row r="1892" spans="1:19" x14ac:dyDescent="0.25">
      <c r="A1892" s="28">
        <v>2022</v>
      </c>
      <c r="B1892" s="28"/>
      <c r="C1892" s="28" t="s">
        <v>1129</v>
      </c>
      <c r="D1892" s="28" t="s">
        <v>1792</v>
      </c>
      <c r="E1892" s="28" t="s">
        <v>1130</v>
      </c>
      <c r="F1892" s="28" t="s">
        <v>366</v>
      </c>
      <c r="G1892" s="28">
        <v>93420</v>
      </c>
      <c r="H1892" s="28">
        <v>35.178620000000002</v>
      </c>
      <c r="I1892" s="28">
        <v>-120.62067500000001</v>
      </c>
      <c r="J1892" s="28"/>
      <c r="K1892" s="61">
        <v>110037256867</v>
      </c>
      <c r="L1892" s="61" t="str">
        <f>IFERROR(INDEX('Facility Summary'!$K:$K,MATCH(K1892,'Facility Summary'!$J:$J,0)),INDEX('Raw Annual DMR Data'!$M:$M,MATCH(K1892,'Raw Annual DMR Data'!$L:$L,0)))</f>
        <v>Waste Handling, Disposal and Treatment (Landfill)</v>
      </c>
      <c r="M1892" s="28"/>
      <c r="N1892" s="28"/>
      <c r="O1892" s="28"/>
      <c r="P1892" s="28"/>
      <c r="Q1892" s="28"/>
      <c r="R1892" s="28">
        <f t="shared" si="11"/>
        <v>0.3578745989488315</v>
      </c>
      <c r="S1892" s="28">
        <v>0.1623291875</v>
      </c>
    </row>
    <row r="1893" spans="1:19" x14ac:dyDescent="0.25">
      <c r="A1893" s="28">
        <v>2023</v>
      </c>
      <c r="B1893" s="28"/>
      <c r="C1893" s="28" t="s">
        <v>1129</v>
      </c>
      <c r="D1893" s="28" t="s">
        <v>1792</v>
      </c>
      <c r="E1893" s="28" t="s">
        <v>1130</v>
      </c>
      <c r="F1893" s="28" t="s">
        <v>366</v>
      </c>
      <c r="G1893" s="28">
        <v>93420</v>
      </c>
      <c r="H1893" s="28">
        <v>35.178620000000002</v>
      </c>
      <c r="I1893" s="28">
        <v>-120.62067500000001</v>
      </c>
      <c r="J1893" s="28"/>
      <c r="K1893" s="61">
        <v>110037256867</v>
      </c>
      <c r="L1893" s="61" t="str">
        <f>IFERROR(INDEX('Facility Summary'!$K:$K,MATCH(K1893,'Facility Summary'!$J:$J,0)),INDEX('Raw Annual DMR Data'!$M:$M,MATCH(K1893,'Raw Annual DMR Data'!$L:$L,0)))</f>
        <v>Waste Handling, Disposal and Treatment (Landfill)</v>
      </c>
      <c r="M1893" s="28"/>
      <c r="N1893" s="28"/>
      <c r="O1893" s="28"/>
      <c r="P1893" s="28"/>
      <c r="Q1893" s="28"/>
      <c r="R1893" s="28">
        <f t="shared" si="11"/>
        <v>5.3848705612045453E-2</v>
      </c>
      <c r="S1893" s="28">
        <v>2.4425361999999999E-2</v>
      </c>
    </row>
    <row r="1894" spans="1:19" x14ac:dyDescent="0.25">
      <c r="A1894" s="28">
        <v>2024</v>
      </c>
      <c r="B1894" s="28"/>
      <c r="C1894" s="28" t="s">
        <v>1129</v>
      </c>
      <c r="D1894" s="28" t="s">
        <v>1792</v>
      </c>
      <c r="E1894" s="28" t="s">
        <v>1130</v>
      </c>
      <c r="F1894" s="28" t="s">
        <v>366</v>
      </c>
      <c r="G1894" s="28">
        <v>93420</v>
      </c>
      <c r="H1894" s="28">
        <v>35.178620000000002</v>
      </c>
      <c r="I1894" s="28">
        <v>-120.62067500000001</v>
      </c>
      <c r="J1894" s="28"/>
      <c r="K1894" s="61">
        <v>110037256867</v>
      </c>
      <c r="L1894" s="61" t="str">
        <f>IFERROR(INDEX('Facility Summary'!$K:$K,MATCH(K1894,'Facility Summary'!$J:$J,0)),INDEX('Raw Annual DMR Data'!$M:$M,MATCH(K1894,'Raw Annual DMR Data'!$L:$L,0)))</f>
        <v>Waste Handling, Disposal and Treatment (Landfill)</v>
      </c>
      <c r="M1894" s="28"/>
      <c r="N1894" s="28"/>
      <c r="O1894" s="28"/>
      <c r="P1894" s="28"/>
      <c r="Q1894" s="28"/>
      <c r="R1894" s="28">
        <f t="shared" si="11"/>
        <v>3.1066560930026226E-2</v>
      </c>
      <c r="S1894" s="28">
        <v>1.4091555E-2</v>
      </c>
    </row>
    <row r="1895" spans="1:19" x14ac:dyDescent="0.25">
      <c r="A1895" s="28">
        <v>2021</v>
      </c>
      <c r="B1895" s="28"/>
      <c r="C1895" s="28" t="s">
        <v>1132</v>
      </c>
      <c r="D1895" s="28" t="s">
        <v>1797</v>
      </c>
      <c r="E1895" s="28" t="s">
        <v>1133</v>
      </c>
      <c r="F1895" s="28" t="s">
        <v>999</v>
      </c>
      <c r="G1895" s="28" t="s">
        <v>1798</v>
      </c>
      <c r="H1895" s="28">
        <v>43.585476</v>
      </c>
      <c r="I1895" s="28">
        <v>-71.750524999999996</v>
      </c>
      <c r="J1895" s="28" t="s">
        <v>717</v>
      </c>
      <c r="K1895" s="61">
        <v>110007681758</v>
      </c>
      <c r="L1895" s="61" t="str">
        <f>IFERROR(INDEX('Facility Summary'!$K:$K,MATCH(K1895,'Facility Summary'!$J:$J,0)),INDEX('Raw Annual DMR Data'!$M:$M,MATCH(K1895,'Raw Annual DMR Data'!$L:$L,0)))</f>
        <v>Unknown</v>
      </c>
      <c r="M1895" s="28"/>
      <c r="N1895" s="28"/>
      <c r="O1895" s="28"/>
      <c r="P1895" s="28"/>
      <c r="Q1895" s="28"/>
      <c r="R1895" s="28">
        <f t="shared" si="11"/>
        <v>9.8285653482222367E-3</v>
      </c>
      <c r="S1895" s="28">
        <v>4.4581622499999998E-3</v>
      </c>
    </row>
    <row r="1896" spans="1:19" x14ac:dyDescent="0.25">
      <c r="A1896" s="28">
        <v>2023</v>
      </c>
      <c r="B1896" s="28"/>
      <c r="C1896" s="28" t="s">
        <v>1132</v>
      </c>
      <c r="D1896" s="28" t="s">
        <v>7098</v>
      </c>
      <c r="E1896" s="28" t="s">
        <v>1133</v>
      </c>
      <c r="F1896" s="28" t="s">
        <v>999</v>
      </c>
      <c r="G1896" s="28" t="s">
        <v>1798</v>
      </c>
      <c r="H1896" s="28">
        <v>43.585476</v>
      </c>
      <c r="I1896" s="28">
        <v>-71.750524999999996</v>
      </c>
      <c r="J1896" s="28" t="s">
        <v>717</v>
      </c>
      <c r="K1896" s="61">
        <v>110007681758</v>
      </c>
      <c r="L1896" s="61" t="str">
        <f>IFERROR(INDEX('Facility Summary'!$K:$K,MATCH(K1896,'Facility Summary'!$J:$J,0)),INDEX('Raw Annual DMR Data'!$M:$M,MATCH(K1896,'Raw Annual DMR Data'!$L:$L,0)))</f>
        <v>Unknown</v>
      </c>
      <c r="M1896" s="28"/>
      <c r="N1896" s="28"/>
      <c r="O1896" s="28"/>
      <c r="P1896" s="28"/>
      <c r="Q1896" s="28"/>
      <c r="R1896" s="28">
        <f t="shared" si="11"/>
        <v>9.5406206111573466E-3</v>
      </c>
      <c r="S1896" s="28">
        <v>4.3275527142857097E-3</v>
      </c>
    </row>
    <row r="1897" spans="1:19" x14ac:dyDescent="0.25">
      <c r="A1897" s="28">
        <v>2024</v>
      </c>
      <c r="B1897" s="28"/>
      <c r="C1897" s="28" t="s">
        <v>1132</v>
      </c>
      <c r="D1897" s="28" t="s">
        <v>7098</v>
      </c>
      <c r="E1897" s="28" t="s">
        <v>1133</v>
      </c>
      <c r="F1897" s="28" t="s">
        <v>999</v>
      </c>
      <c r="G1897" s="28" t="s">
        <v>1798</v>
      </c>
      <c r="H1897" s="28">
        <v>43.585476</v>
      </c>
      <c r="I1897" s="28">
        <v>-71.750524999999996</v>
      </c>
      <c r="J1897" s="28" t="s">
        <v>717</v>
      </c>
      <c r="K1897" s="61">
        <v>110007681758</v>
      </c>
      <c r="L1897" s="61" t="str">
        <f>IFERROR(INDEX('Facility Summary'!$K:$K,MATCH(K1897,'Facility Summary'!$J:$J,0)),INDEX('Raw Annual DMR Data'!$M:$M,MATCH(K1897,'Raw Annual DMR Data'!$L:$L,0)))</f>
        <v>Unknown</v>
      </c>
      <c r="M1897" s="28"/>
      <c r="N1897" s="28"/>
      <c r="O1897" s="28"/>
      <c r="P1897" s="28"/>
      <c r="Q1897" s="28"/>
      <c r="R1897" s="28">
        <f t="shared" si="11"/>
        <v>9.105514715778841E-3</v>
      </c>
      <c r="S1897" s="28">
        <v>4.1301920000000004E-3</v>
      </c>
    </row>
    <row r="1898" spans="1:19" x14ac:dyDescent="0.25">
      <c r="A1898" s="28">
        <v>2022</v>
      </c>
      <c r="B1898" s="28"/>
      <c r="C1898" s="28" t="s">
        <v>1132</v>
      </c>
      <c r="D1898" s="28" t="s">
        <v>1797</v>
      </c>
      <c r="E1898" s="28" t="s">
        <v>1133</v>
      </c>
      <c r="F1898" s="28" t="s">
        <v>999</v>
      </c>
      <c r="G1898" s="28" t="s">
        <v>1798</v>
      </c>
      <c r="H1898" s="28">
        <v>43.585476</v>
      </c>
      <c r="I1898" s="28">
        <v>-71.750524999999996</v>
      </c>
      <c r="J1898" s="28" t="s">
        <v>717</v>
      </c>
      <c r="K1898" s="61">
        <v>110007681758</v>
      </c>
      <c r="L1898" s="61" t="str">
        <f>IFERROR(INDEX('Facility Summary'!$K:$K,MATCH(K1898,'Facility Summary'!$J:$J,0)),INDEX('Raw Annual DMR Data'!$M:$M,MATCH(K1898,'Raw Annual DMR Data'!$L:$L,0)))</f>
        <v>Unknown</v>
      </c>
      <c r="M1898" s="28"/>
      <c r="N1898" s="28"/>
      <c r="O1898" s="28"/>
      <c r="P1898" s="28"/>
      <c r="Q1898" s="28"/>
      <c r="R1898" s="28">
        <f t="shared" si="11"/>
        <v>7.4190919481295506E-3</v>
      </c>
      <c r="S1898" s="28">
        <v>3.3652435000000001E-3</v>
      </c>
    </row>
    <row r="1899" spans="1:19" x14ac:dyDescent="0.25">
      <c r="A1899" s="28">
        <v>2023</v>
      </c>
      <c r="B1899" s="28"/>
      <c r="C1899" s="28" t="s">
        <v>1132</v>
      </c>
      <c r="D1899" s="28" t="s">
        <v>1797</v>
      </c>
      <c r="E1899" s="28" t="s">
        <v>1133</v>
      </c>
      <c r="F1899" s="28" t="s">
        <v>999</v>
      </c>
      <c r="G1899" s="28" t="s">
        <v>1798</v>
      </c>
      <c r="H1899" s="28">
        <v>43.585476</v>
      </c>
      <c r="I1899" s="28">
        <v>-71.750524999999996</v>
      </c>
      <c r="J1899" s="28" t="s">
        <v>717</v>
      </c>
      <c r="K1899" s="61">
        <v>110007681758</v>
      </c>
      <c r="L1899" s="61" t="str">
        <f>IFERROR(INDEX('Facility Summary'!$K:$K,MATCH(K1899,'Facility Summary'!$J:$J,0)),INDEX('Raw Annual DMR Data'!$M:$M,MATCH(K1899,'Raw Annual DMR Data'!$L:$L,0)))</f>
        <v>Unknown</v>
      </c>
      <c r="M1899" s="28"/>
      <c r="N1899" s="28"/>
      <c r="O1899" s="28"/>
      <c r="P1899" s="28"/>
      <c r="Q1899" s="28"/>
      <c r="R1899" s="28">
        <f t="shared" si="11"/>
        <v>6.3615104460421146E-3</v>
      </c>
      <c r="S1899" s="28">
        <v>2.8855325999999999E-3</v>
      </c>
    </row>
    <row r="1900" spans="1:19" x14ac:dyDescent="0.25">
      <c r="A1900" s="28">
        <v>2022</v>
      </c>
      <c r="B1900" s="28"/>
      <c r="C1900" s="28" t="s">
        <v>1134</v>
      </c>
      <c r="D1900" s="28" t="s">
        <v>1800</v>
      </c>
      <c r="E1900" s="28" t="s">
        <v>1135</v>
      </c>
      <c r="F1900" s="28" t="s">
        <v>299</v>
      </c>
      <c r="G1900" s="28">
        <v>72501</v>
      </c>
      <c r="H1900" s="28">
        <v>35.722341999999998</v>
      </c>
      <c r="I1900" s="28">
        <v>-91.524983000000006</v>
      </c>
      <c r="J1900" s="28" t="s">
        <v>718</v>
      </c>
      <c r="K1900" s="61">
        <v>110017432937</v>
      </c>
      <c r="L1900" s="61" t="str">
        <f>IFERROR(INDEX('Facility Summary'!$K:$K,MATCH(K1900,'Facility Summary'!$J:$J,0)),INDEX('Raw Annual DMR Data'!$M:$M,MATCH(K1900,'Raw Annual DMR Data'!$L:$L,0)))</f>
        <v>Unknown</v>
      </c>
      <c r="M1900" s="28"/>
      <c r="N1900" s="28"/>
      <c r="O1900" s="28"/>
      <c r="P1900" s="28"/>
      <c r="Q1900" s="28"/>
      <c r="R1900" s="28">
        <f t="shared" si="11"/>
        <v>11.880667216690616</v>
      </c>
      <c r="S1900" s="28">
        <v>5.3889800000000001</v>
      </c>
    </row>
    <row r="1901" spans="1:19" x14ac:dyDescent="0.25">
      <c r="A1901" s="28">
        <v>2023</v>
      </c>
      <c r="B1901" s="28"/>
      <c r="C1901" s="28" t="s">
        <v>1134</v>
      </c>
      <c r="D1901" s="28" t="s">
        <v>1800</v>
      </c>
      <c r="E1901" s="28" t="s">
        <v>1135</v>
      </c>
      <c r="F1901" s="28" t="s">
        <v>299</v>
      </c>
      <c r="G1901" s="28">
        <v>72501</v>
      </c>
      <c r="H1901" s="28">
        <v>35.722341999999998</v>
      </c>
      <c r="I1901" s="28">
        <v>-91.524983000000006</v>
      </c>
      <c r="J1901" s="28" t="s">
        <v>718</v>
      </c>
      <c r="K1901" s="61">
        <v>110017432937</v>
      </c>
      <c r="L1901" s="61" t="str">
        <f>IFERROR(INDEX('Facility Summary'!$K:$K,MATCH(K1901,'Facility Summary'!$J:$J,0)),INDEX('Raw Annual DMR Data'!$M:$M,MATCH(K1901,'Raw Annual DMR Data'!$L:$L,0)))</f>
        <v>Unknown</v>
      </c>
      <c r="M1901" s="28"/>
      <c r="N1901" s="28"/>
      <c r="O1901" s="28"/>
      <c r="P1901" s="28"/>
      <c r="Q1901" s="28"/>
      <c r="R1901" s="28">
        <f t="shared" si="11"/>
        <v>10.039013663303022</v>
      </c>
      <c r="S1901" s="28">
        <v>4.5536199999999996</v>
      </c>
    </row>
    <row r="1902" spans="1:19" x14ac:dyDescent="0.25">
      <c r="A1902" s="28">
        <v>2024</v>
      </c>
      <c r="B1902" s="28"/>
      <c r="C1902" s="28" t="s">
        <v>1134</v>
      </c>
      <c r="D1902" s="28" t="s">
        <v>1800</v>
      </c>
      <c r="E1902" s="28" t="s">
        <v>1135</v>
      </c>
      <c r="F1902" s="28" t="s">
        <v>299</v>
      </c>
      <c r="G1902" s="28">
        <v>72501</v>
      </c>
      <c r="H1902" s="28">
        <v>35.722341999999998</v>
      </c>
      <c r="I1902" s="28">
        <v>-91.524983000000006</v>
      </c>
      <c r="J1902" s="28" t="s">
        <v>718</v>
      </c>
      <c r="K1902" s="61">
        <v>110017432937</v>
      </c>
      <c r="L1902" s="61" t="str">
        <f>IFERROR(INDEX('Facility Summary'!$K:$K,MATCH(K1902,'Facility Summary'!$J:$J,0)),INDEX('Raw Annual DMR Data'!$M:$M,MATCH(K1902,'Raw Annual DMR Data'!$L:$L,0)))</f>
        <v>Unknown</v>
      </c>
      <c r="M1902" s="28"/>
      <c r="N1902" s="28"/>
      <c r="O1902" s="28"/>
      <c r="P1902" s="28"/>
      <c r="Q1902" s="28"/>
      <c r="R1902" s="28">
        <f t="shared" si="11"/>
        <v>8.2123735899702179</v>
      </c>
      <c r="S1902" s="28">
        <v>3.7250700000000001</v>
      </c>
    </row>
    <row r="1903" spans="1:19" x14ac:dyDescent="0.25">
      <c r="A1903" s="28">
        <v>2021</v>
      </c>
      <c r="B1903" s="28"/>
      <c r="C1903" s="28" t="s">
        <v>1134</v>
      </c>
      <c r="D1903" s="28" t="s">
        <v>1800</v>
      </c>
      <c r="E1903" s="28" t="s">
        <v>1135</v>
      </c>
      <c r="F1903" s="28" t="s">
        <v>299</v>
      </c>
      <c r="G1903" s="28">
        <v>72501</v>
      </c>
      <c r="H1903" s="28">
        <v>35.722341999999998</v>
      </c>
      <c r="I1903" s="28">
        <v>-91.524983000000006</v>
      </c>
      <c r="J1903" s="28" t="s">
        <v>718</v>
      </c>
      <c r="K1903" s="61">
        <v>110017432937</v>
      </c>
      <c r="L1903" s="61" t="str">
        <f>IFERROR(INDEX('Facility Summary'!$K:$K,MATCH(K1903,'Facility Summary'!$J:$J,0)),INDEX('Raw Annual DMR Data'!$M:$M,MATCH(K1903,'Raw Annual DMR Data'!$L:$L,0)))</f>
        <v>Unknown</v>
      </c>
      <c r="M1903" s="28"/>
      <c r="N1903" s="28"/>
      <c r="O1903" s="28"/>
      <c r="P1903" s="28"/>
      <c r="Q1903" s="28"/>
      <c r="R1903" s="28">
        <f t="shared" si="11"/>
        <v>7.3065602933312128</v>
      </c>
      <c r="S1903" s="28">
        <v>3.3142</v>
      </c>
    </row>
    <row r="1904" spans="1:19" x14ac:dyDescent="0.25">
      <c r="A1904" s="28">
        <v>2023</v>
      </c>
      <c r="B1904" s="28"/>
      <c r="C1904" s="28" t="s">
        <v>151</v>
      </c>
      <c r="D1904" s="28" t="s">
        <v>485</v>
      </c>
      <c r="E1904" s="28" t="s">
        <v>486</v>
      </c>
      <c r="F1904" s="28" t="s">
        <v>308</v>
      </c>
      <c r="G1904" s="28" t="s">
        <v>1807</v>
      </c>
      <c r="H1904" s="28">
        <v>42.452603000000003</v>
      </c>
      <c r="I1904" s="28">
        <v>-70.973436000000007</v>
      </c>
      <c r="J1904" s="28" t="s">
        <v>487</v>
      </c>
      <c r="K1904" s="61">
        <v>110000310191</v>
      </c>
      <c r="L1904" s="61" t="str">
        <f>IFERROR(INDEX('Facility Summary'!$K:$K,MATCH(K1904,'Facility Summary'!$J:$J,0)),INDEX('Raw Annual DMR Data'!$M:$M,MATCH(K1904,'Raw Annual DMR Data'!$L:$L,0)))</f>
        <v>Unknown</v>
      </c>
      <c r="M1904" s="28"/>
      <c r="N1904" s="28"/>
      <c r="O1904" s="28"/>
      <c r="P1904" s="28"/>
      <c r="Q1904" s="28"/>
      <c r="R1904" s="28">
        <f t="shared" si="11"/>
        <v>0.32750480348688399</v>
      </c>
      <c r="S1904" s="28">
        <v>0.14855367999999999</v>
      </c>
    </row>
    <row r="1905" spans="1:19" x14ac:dyDescent="0.25">
      <c r="A1905" s="28">
        <v>2024</v>
      </c>
      <c r="B1905" s="28"/>
      <c r="C1905" s="28" t="s">
        <v>151</v>
      </c>
      <c r="D1905" s="28" t="s">
        <v>485</v>
      </c>
      <c r="E1905" s="28" t="s">
        <v>486</v>
      </c>
      <c r="F1905" s="28" t="s">
        <v>308</v>
      </c>
      <c r="G1905" s="28">
        <v>1905</v>
      </c>
      <c r="H1905" s="28">
        <v>42.452603000000003</v>
      </c>
      <c r="I1905" s="28">
        <v>-70.973436000000007</v>
      </c>
      <c r="J1905" s="28" t="s">
        <v>487</v>
      </c>
      <c r="K1905" s="61">
        <v>110000310191</v>
      </c>
      <c r="L1905" s="61" t="str">
        <f>IFERROR(INDEX('Facility Summary'!$K:$K,MATCH(K1905,'Facility Summary'!$J:$J,0)),INDEX('Raw Annual DMR Data'!$M:$M,MATCH(K1905,'Raw Annual DMR Data'!$L:$L,0)))</f>
        <v>Unknown</v>
      </c>
      <c r="M1905" s="28"/>
      <c r="N1905" s="28"/>
      <c r="O1905" s="28"/>
      <c r="P1905" s="28"/>
      <c r="Q1905" s="28"/>
      <c r="R1905" s="28">
        <f t="shared" si="11"/>
        <v>0.32215472947660034</v>
      </c>
      <c r="S1905" s="28">
        <v>0.14612692725000001</v>
      </c>
    </row>
    <row r="1906" spans="1:19" x14ac:dyDescent="0.25">
      <c r="A1906" s="28">
        <v>2023</v>
      </c>
      <c r="B1906" s="28"/>
      <c r="C1906" s="28" t="s">
        <v>151</v>
      </c>
      <c r="D1906" s="28" t="s">
        <v>485</v>
      </c>
      <c r="E1906" s="28" t="s">
        <v>486</v>
      </c>
      <c r="F1906" s="28" t="s">
        <v>308</v>
      </c>
      <c r="G1906" s="28" t="s">
        <v>1807</v>
      </c>
      <c r="H1906" s="28">
        <v>42.452603000000003</v>
      </c>
      <c r="I1906" s="28">
        <v>-70.973436000000007</v>
      </c>
      <c r="J1906" s="28" t="s">
        <v>487</v>
      </c>
      <c r="K1906" s="61">
        <v>110000310191</v>
      </c>
      <c r="L1906" s="61" t="str">
        <f>IFERROR(INDEX('Facility Summary'!$K:$K,MATCH(K1906,'Facility Summary'!$J:$J,0)),INDEX('Raw Annual DMR Data'!$M:$M,MATCH(K1906,'Raw Annual DMR Data'!$L:$L,0)))</f>
        <v>Unknown</v>
      </c>
      <c r="M1906" s="28"/>
      <c r="N1906" s="28"/>
      <c r="O1906" s="28"/>
      <c r="P1906" s="28"/>
      <c r="Q1906" s="28"/>
      <c r="R1906" s="28">
        <f t="shared" si="11"/>
        <v>0.30571022998027941</v>
      </c>
      <c r="S1906" s="28">
        <v>0.13866782775</v>
      </c>
    </row>
    <row r="1907" spans="1:19" x14ac:dyDescent="0.25">
      <c r="A1907" s="28">
        <v>2024</v>
      </c>
      <c r="B1907" s="28"/>
      <c r="C1907" s="28" t="s">
        <v>151</v>
      </c>
      <c r="D1907" s="28" t="s">
        <v>485</v>
      </c>
      <c r="E1907" s="28" t="s">
        <v>486</v>
      </c>
      <c r="F1907" s="28" t="s">
        <v>308</v>
      </c>
      <c r="G1907" s="28">
        <v>1905</v>
      </c>
      <c r="H1907" s="28">
        <v>42.452603000000003</v>
      </c>
      <c r="I1907" s="28">
        <v>-70.973436000000007</v>
      </c>
      <c r="J1907" s="28" t="s">
        <v>487</v>
      </c>
      <c r="K1907" s="61">
        <v>110000310191</v>
      </c>
      <c r="L1907" s="61" t="str">
        <f>IFERROR(INDEX('Facility Summary'!$K:$K,MATCH(K1907,'Facility Summary'!$J:$J,0)),INDEX('Raw Annual DMR Data'!$M:$M,MATCH(K1907,'Raw Annual DMR Data'!$L:$L,0)))</f>
        <v>Unknown</v>
      </c>
      <c r="M1907" s="28"/>
      <c r="N1907" s="28"/>
      <c r="O1907" s="28"/>
      <c r="P1907" s="28"/>
      <c r="Q1907" s="28"/>
      <c r="R1907" s="28">
        <f t="shared" si="11"/>
        <v>0.29572896034384349</v>
      </c>
      <c r="S1907" s="28">
        <v>0.13414039999999999</v>
      </c>
    </row>
    <row r="1908" spans="1:19" x14ac:dyDescent="0.25">
      <c r="A1908" s="28">
        <v>2022</v>
      </c>
      <c r="B1908" s="28"/>
      <c r="C1908" s="28" t="s">
        <v>151</v>
      </c>
      <c r="D1908" s="28" t="s">
        <v>485</v>
      </c>
      <c r="E1908" s="28" t="s">
        <v>486</v>
      </c>
      <c r="F1908" s="28" t="s">
        <v>308</v>
      </c>
      <c r="G1908" s="28">
        <v>1905</v>
      </c>
      <c r="H1908" s="28">
        <v>42.452603000000003</v>
      </c>
      <c r="I1908" s="28">
        <v>-70.973436000000007</v>
      </c>
      <c r="J1908" s="28" t="s">
        <v>487</v>
      </c>
      <c r="K1908" s="61">
        <v>110000310191</v>
      </c>
      <c r="L1908" s="61" t="str">
        <f>IFERROR(INDEX('Facility Summary'!$K:$K,MATCH(K1908,'Facility Summary'!$J:$J,0)),INDEX('Raw Annual DMR Data'!$M:$M,MATCH(K1908,'Raw Annual DMR Data'!$L:$L,0)))</f>
        <v>Unknown</v>
      </c>
      <c r="M1908" s="28"/>
      <c r="N1908" s="28"/>
      <c r="O1908" s="28"/>
      <c r="P1908" s="28"/>
      <c r="Q1908" s="28"/>
      <c r="R1908" s="28">
        <f t="shared" si="11"/>
        <v>0.2392742684362173</v>
      </c>
      <c r="S1908" s="28">
        <v>0.1085329825</v>
      </c>
    </row>
    <row r="1909" spans="1:19" x14ac:dyDescent="0.25">
      <c r="A1909" s="28">
        <v>2021</v>
      </c>
      <c r="B1909" s="28"/>
      <c r="C1909" s="28" t="s">
        <v>151</v>
      </c>
      <c r="D1909" s="28" t="s">
        <v>485</v>
      </c>
      <c r="E1909" s="28" t="s">
        <v>486</v>
      </c>
      <c r="F1909" s="28" t="s">
        <v>308</v>
      </c>
      <c r="G1909" s="28">
        <v>1905</v>
      </c>
      <c r="H1909" s="28">
        <v>42.452603000000003</v>
      </c>
      <c r="I1909" s="28">
        <v>-70.973436000000007</v>
      </c>
      <c r="J1909" s="28" t="s">
        <v>487</v>
      </c>
      <c r="K1909" s="61">
        <v>110000310191</v>
      </c>
      <c r="L1909" s="61" t="str">
        <f>IFERROR(INDEX('Facility Summary'!$K:$K,MATCH(K1909,'Facility Summary'!$J:$J,0)),INDEX('Raw Annual DMR Data'!$M:$M,MATCH(K1909,'Raw Annual DMR Data'!$L:$L,0)))</f>
        <v>Unknown</v>
      </c>
      <c r="M1909" s="28"/>
      <c r="N1909" s="28"/>
      <c r="O1909" s="28"/>
      <c r="P1909" s="28"/>
      <c r="Q1909" s="28"/>
      <c r="R1909" s="28">
        <f t="shared" si="11"/>
        <v>0.20615523948664877</v>
      </c>
      <c r="S1909" s="28">
        <v>9.3510443666666596E-2</v>
      </c>
    </row>
    <row r="1910" spans="1:19" x14ac:dyDescent="0.25">
      <c r="A1910" s="28">
        <v>2022</v>
      </c>
      <c r="B1910" s="28"/>
      <c r="C1910" s="28" t="s">
        <v>151</v>
      </c>
      <c r="D1910" s="28" t="s">
        <v>485</v>
      </c>
      <c r="E1910" s="28" t="s">
        <v>486</v>
      </c>
      <c r="F1910" s="28" t="s">
        <v>308</v>
      </c>
      <c r="G1910" s="28">
        <v>1905</v>
      </c>
      <c r="H1910" s="28">
        <v>42.452603000000003</v>
      </c>
      <c r="I1910" s="28">
        <v>-70.973436000000007</v>
      </c>
      <c r="J1910" s="28" t="s">
        <v>487</v>
      </c>
      <c r="K1910" s="61">
        <v>110000310191</v>
      </c>
      <c r="L1910" s="61" t="str">
        <f>IFERROR(INDEX('Facility Summary'!$K:$K,MATCH(K1910,'Facility Summary'!$J:$J,0)),INDEX('Raw Annual DMR Data'!$M:$M,MATCH(K1910,'Raw Annual DMR Data'!$L:$L,0)))</f>
        <v>Unknown</v>
      </c>
      <c r="M1910" s="28"/>
      <c r="N1910" s="28"/>
      <c r="O1910" s="28"/>
      <c r="P1910" s="28"/>
      <c r="Q1910" s="28"/>
      <c r="R1910" s="28">
        <f t="shared" si="11"/>
        <v>0.20316971766963363</v>
      </c>
      <c r="S1910" s="28">
        <v>9.2156233749999997E-2</v>
      </c>
    </row>
    <row r="1911" spans="1:19" x14ac:dyDescent="0.25">
      <c r="A1911" s="28">
        <v>2021</v>
      </c>
      <c r="B1911" s="28"/>
      <c r="C1911" s="28" t="s">
        <v>151</v>
      </c>
      <c r="D1911" s="28" t="s">
        <v>485</v>
      </c>
      <c r="E1911" s="28" t="s">
        <v>486</v>
      </c>
      <c r="F1911" s="28" t="s">
        <v>308</v>
      </c>
      <c r="G1911" s="28">
        <v>1905</v>
      </c>
      <c r="H1911" s="28">
        <v>42.452603000000003</v>
      </c>
      <c r="I1911" s="28">
        <v>-70.973436000000007</v>
      </c>
      <c r="J1911" s="28" t="s">
        <v>487</v>
      </c>
      <c r="K1911" s="61">
        <v>110000310191</v>
      </c>
      <c r="L1911" s="61" t="str">
        <f>IFERROR(INDEX('Facility Summary'!$K:$K,MATCH(K1911,'Facility Summary'!$J:$J,0)),INDEX('Raw Annual DMR Data'!$M:$M,MATCH(K1911,'Raw Annual DMR Data'!$L:$L,0)))</f>
        <v>Unknown</v>
      </c>
      <c r="M1911" s="28"/>
      <c r="N1911" s="28"/>
      <c r="O1911" s="28"/>
      <c r="P1911" s="28"/>
      <c r="Q1911" s="28"/>
      <c r="R1911" s="28">
        <f t="shared" si="11"/>
        <v>6.4832566517818629E-2</v>
      </c>
      <c r="S1911" s="28">
        <v>2.9407557500000001E-2</v>
      </c>
    </row>
    <row r="1912" spans="1:19" x14ac:dyDescent="0.25">
      <c r="A1912" s="28">
        <v>2024</v>
      </c>
      <c r="B1912" s="28"/>
      <c r="C1912" s="28" t="s">
        <v>151</v>
      </c>
      <c r="D1912" s="28" t="s">
        <v>485</v>
      </c>
      <c r="E1912" s="28" t="s">
        <v>486</v>
      </c>
      <c r="F1912" s="28" t="s">
        <v>308</v>
      </c>
      <c r="G1912" s="28">
        <v>1905</v>
      </c>
      <c r="H1912" s="28">
        <v>42.452603000000003</v>
      </c>
      <c r="I1912" s="28">
        <v>-70.973436000000007</v>
      </c>
      <c r="J1912" s="28" t="s">
        <v>487</v>
      </c>
      <c r="K1912" s="61">
        <v>110000310191</v>
      </c>
      <c r="L1912" s="61" t="str">
        <f>IFERROR(INDEX('Facility Summary'!$K:$K,MATCH(K1912,'Facility Summary'!$J:$J,0)),INDEX('Raw Annual DMR Data'!$M:$M,MATCH(K1912,'Raw Annual DMR Data'!$L:$L,0)))</f>
        <v>Unknown</v>
      </c>
      <c r="M1912" s="28"/>
      <c r="N1912" s="28"/>
      <c r="O1912" s="28"/>
      <c r="P1912" s="28"/>
      <c r="Q1912" s="28"/>
      <c r="R1912" s="28">
        <f t="shared" si="11"/>
        <v>1.3586926627535642E-2</v>
      </c>
      <c r="S1912" s="28">
        <v>6.1629262499999999E-3</v>
      </c>
    </row>
    <row r="1913" spans="1:19" x14ac:dyDescent="0.25">
      <c r="A1913" s="28">
        <v>2023</v>
      </c>
      <c r="B1913" s="28"/>
      <c r="C1913" s="28" t="s">
        <v>151</v>
      </c>
      <c r="D1913" s="28" t="s">
        <v>485</v>
      </c>
      <c r="E1913" s="28" t="s">
        <v>486</v>
      </c>
      <c r="F1913" s="28" t="s">
        <v>308</v>
      </c>
      <c r="G1913" s="28" t="s">
        <v>1807</v>
      </c>
      <c r="H1913" s="28">
        <v>42.452603000000003</v>
      </c>
      <c r="I1913" s="28">
        <v>-70.973436000000007</v>
      </c>
      <c r="J1913" s="28" t="s">
        <v>487</v>
      </c>
      <c r="K1913" s="61">
        <v>110000310191</v>
      </c>
      <c r="L1913" s="61" t="str">
        <f>IFERROR(INDEX('Facility Summary'!$K:$K,MATCH(K1913,'Facility Summary'!$J:$J,0)),INDEX('Raw Annual DMR Data'!$M:$M,MATCH(K1913,'Raw Annual DMR Data'!$L:$L,0)))</f>
        <v>Unknown</v>
      </c>
      <c r="M1913" s="28"/>
      <c r="N1913" s="28"/>
      <c r="O1913" s="28"/>
      <c r="P1913" s="28"/>
      <c r="Q1913" s="28"/>
      <c r="R1913" s="28">
        <f t="shared" si="11"/>
        <v>1.3037858749696341E-2</v>
      </c>
      <c r="S1913" s="28">
        <v>5.9138732499999999E-3</v>
      </c>
    </row>
    <row r="1914" spans="1:19" x14ac:dyDescent="0.25">
      <c r="A1914" s="28">
        <v>2021</v>
      </c>
      <c r="B1914" s="28"/>
      <c r="C1914" s="28" t="s">
        <v>151</v>
      </c>
      <c r="D1914" s="28" t="s">
        <v>485</v>
      </c>
      <c r="E1914" s="28" t="s">
        <v>486</v>
      </c>
      <c r="F1914" s="28" t="s">
        <v>308</v>
      </c>
      <c r="G1914" s="28">
        <v>1905</v>
      </c>
      <c r="H1914" s="28">
        <v>42.452603000000003</v>
      </c>
      <c r="I1914" s="28">
        <v>-70.973436000000007</v>
      </c>
      <c r="J1914" s="28" t="s">
        <v>487</v>
      </c>
      <c r="K1914" s="61">
        <v>110000310191</v>
      </c>
      <c r="L1914" s="61" t="str">
        <f>IFERROR(INDEX('Facility Summary'!$K:$K,MATCH(K1914,'Facility Summary'!$J:$J,0)),INDEX('Raw Annual DMR Data'!$M:$M,MATCH(K1914,'Raw Annual DMR Data'!$L:$L,0)))</f>
        <v>Unknown</v>
      </c>
      <c r="M1914" s="28"/>
      <c r="N1914" s="28"/>
      <c r="O1914" s="28"/>
      <c r="P1914" s="28"/>
      <c r="Q1914" s="28"/>
      <c r="R1914" s="28">
        <f t="shared" si="11"/>
        <v>8.3239135320258145E-3</v>
      </c>
      <c r="S1914" s="28">
        <v>3.7756636666666601E-3</v>
      </c>
    </row>
    <row r="1915" spans="1:19" x14ac:dyDescent="0.25">
      <c r="A1915" s="28">
        <v>2022</v>
      </c>
      <c r="B1915" s="28"/>
      <c r="C1915" s="28" t="s">
        <v>151</v>
      </c>
      <c r="D1915" s="28" t="s">
        <v>485</v>
      </c>
      <c r="E1915" s="28" t="s">
        <v>486</v>
      </c>
      <c r="F1915" s="28" t="s">
        <v>308</v>
      </c>
      <c r="G1915" s="28">
        <v>1905</v>
      </c>
      <c r="H1915" s="28">
        <v>42.452603000000003</v>
      </c>
      <c r="I1915" s="28">
        <v>-70.973436000000007</v>
      </c>
      <c r="J1915" s="28" t="s">
        <v>487</v>
      </c>
      <c r="K1915" s="61">
        <v>110000310191</v>
      </c>
      <c r="L1915" s="61" t="str">
        <f>IFERROR(INDEX('Facility Summary'!$K:$K,MATCH(K1915,'Facility Summary'!$J:$J,0)),INDEX('Raw Annual DMR Data'!$M:$M,MATCH(K1915,'Raw Annual DMR Data'!$L:$L,0)))</f>
        <v>Unknown</v>
      </c>
      <c r="M1915" s="28"/>
      <c r="N1915" s="28"/>
      <c r="O1915" s="28"/>
      <c r="P1915" s="28"/>
      <c r="Q1915" s="28"/>
      <c r="R1915" s="28">
        <f t="shared" si="11"/>
        <v>4.6099171597617479E-3</v>
      </c>
      <c r="S1915" s="28">
        <v>2.0910232499999999E-3</v>
      </c>
    </row>
    <row r="1916" spans="1:19" x14ac:dyDescent="0.25">
      <c r="A1916" s="28">
        <v>2024</v>
      </c>
      <c r="B1916" s="28"/>
      <c r="C1916" s="28" t="s">
        <v>153</v>
      </c>
      <c r="D1916" s="28" t="s">
        <v>1811</v>
      </c>
      <c r="E1916" s="28" t="s">
        <v>495</v>
      </c>
      <c r="F1916" s="28" t="s">
        <v>427</v>
      </c>
      <c r="G1916" s="28">
        <v>48380</v>
      </c>
      <c r="H1916" s="28">
        <v>42.569099999999999</v>
      </c>
      <c r="I1916" s="28">
        <v>-83.674499999999995</v>
      </c>
      <c r="J1916" s="28"/>
      <c r="K1916" s="61">
        <v>110017422733</v>
      </c>
      <c r="L1916" s="61" t="str">
        <f>IFERROR(INDEX('Facility Summary'!$K:$K,MATCH(K1916,'Facility Summary'!$J:$J,0)),INDEX('Raw Annual DMR Data'!$M:$M,MATCH(K1916,'Raw Annual DMR Data'!$L:$L,0)))</f>
        <v>Laboratory Use</v>
      </c>
      <c r="M1916" s="28"/>
      <c r="N1916" s="28"/>
      <c r="O1916" s="28"/>
      <c r="P1916" s="28"/>
      <c r="Q1916" s="28"/>
      <c r="R1916" s="28">
        <f t="shared" ref="R1916:R1979" si="12">CONVERT(S1916,"g","lbm")*1000</f>
        <v>2.5450714702277732E-2</v>
      </c>
      <c r="S1916" s="28">
        <v>1.1544250000000001E-2</v>
      </c>
    </row>
    <row r="1917" spans="1:19" x14ac:dyDescent="0.25">
      <c r="A1917" s="28">
        <v>2021</v>
      </c>
      <c r="B1917" s="28"/>
      <c r="C1917" s="28" t="s">
        <v>153</v>
      </c>
      <c r="D1917" s="28" t="s">
        <v>1811</v>
      </c>
      <c r="E1917" s="28" t="s">
        <v>495</v>
      </c>
      <c r="F1917" s="28" t="s">
        <v>427</v>
      </c>
      <c r="G1917" s="28">
        <v>48380</v>
      </c>
      <c r="H1917" s="28">
        <v>42.569099999999999</v>
      </c>
      <c r="I1917" s="28">
        <v>-83.674499999999995</v>
      </c>
      <c r="J1917" s="28"/>
      <c r="K1917" s="61">
        <v>110017422733</v>
      </c>
      <c r="L1917" s="61" t="str">
        <f>IFERROR(INDEX('Facility Summary'!$K:$K,MATCH(K1917,'Facility Summary'!$J:$J,0)),INDEX('Raw Annual DMR Data'!$M:$M,MATCH(K1917,'Raw Annual DMR Data'!$L:$L,0)))</f>
        <v>Laboratory Use</v>
      </c>
      <c r="M1917" s="28"/>
      <c r="N1917" s="28"/>
      <c r="O1917" s="28"/>
      <c r="P1917" s="28"/>
      <c r="Q1917" s="28"/>
      <c r="R1917" s="28">
        <f t="shared" si="12"/>
        <v>2.3260284338557105E-2</v>
      </c>
      <c r="S1917" s="28">
        <v>1.0550687499999999E-2</v>
      </c>
    </row>
    <row r="1918" spans="1:19" x14ac:dyDescent="0.25">
      <c r="A1918" s="28">
        <v>2023</v>
      </c>
      <c r="B1918" s="28"/>
      <c r="C1918" s="28" t="s">
        <v>153</v>
      </c>
      <c r="D1918" s="28" t="s">
        <v>1811</v>
      </c>
      <c r="E1918" s="28" t="s">
        <v>495</v>
      </c>
      <c r="F1918" s="28" t="s">
        <v>427</v>
      </c>
      <c r="G1918" s="28">
        <v>48380</v>
      </c>
      <c r="H1918" s="28">
        <v>42.569099999999999</v>
      </c>
      <c r="I1918" s="28">
        <v>-83.674499999999995</v>
      </c>
      <c r="J1918" s="28"/>
      <c r="K1918" s="61">
        <v>110017422733</v>
      </c>
      <c r="L1918" s="61" t="str">
        <f>IFERROR(INDEX('Facility Summary'!$K:$K,MATCH(K1918,'Facility Summary'!$J:$J,0)),INDEX('Raw Annual DMR Data'!$M:$M,MATCH(K1918,'Raw Annual DMR Data'!$L:$L,0)))</f>
        <v>Laboratory Use</v>
      </c>
      <c r="M1918" s="28"/>
      <c r="N1918" s="28"/>
      <c r="O1918" s="28"/>
      <c r="P1918" s="28"/>
      <c r="Q1918" s="28"/>
      <c r="R1918" s="28">
        <f t="shared" si="12"/>
        <v>1.78488782780892E-2</v>
      </c>
      <c r="S1918" s="28">
        <v>8.0961149999999992E-3</v>
      </c>
    </row>
    <row r="1919" spans="1:19" x14ac:dyDescent="0.25">
      <c r="A1919" s="28">
        <v>2024</v>
      </c>
      <c r="B1919" s="28"/>
      <c r="C1919" s="28" t="s">
        <v>6883</v>
      </c>
      <c r="D1919" s="28" t="s">
        <v>7057</v>
      </c>
      <c r="E1919" s="28" t="s">
        <v>6982</v>
      </c>
      <c r="F1919" s="28" t="s">
        <v>324</v>
      </c>
      <c r="G1919" s="28">
        <v>40324</v>
      </c>
      <c r="H1919" s="28">
        <v>38.217222</v>
      </c>
      <c r="I1919" s="28">
        <v>-84.564166999999998</v>
      </c>
      <c r="J1919" s="28"/>
      <c r="K1919" s="61">
        <v>110000732208</v>
      </c>
      <c r="L1919" s="61" t="str">
        <f>IFERROR(INDEX('Facility Summary'!$K:$K,MATCH(K1919,'Facility Summary'!$J:$J,0)),INDEX('Raw Annual DMR Data'!$M:$M,MATCH(K1919,'Raw Annual DMR Data'!$L:$L,0)))</f>
        <v>POTW</v>
      </c>
      <c r="M1919" s="28"/>
      <c r="N1919" s="28"/>
      <c r="O1919" s="28"/>
      <c r="P1919" s="28"/>
      <c r="Q1919" s="28"/>
      <c r="R1919" s="28">
        <f t="shared" si="12"/>
        <v>25.673314580335642</v>
      </c>
      <c r="S1919" s="28">
        <v>11.64521960625</v>
      </c>
    </row>
    <row r="1920" spans="1:19" x14ac:dyDescent="0.25">
      <c r="A1920" s="28">
        <v>2022</v>
      </c>
      <c r="B1920" s="28"/>
      <c r="C1920" s="28" t="s">
        <v>6883</v>
      </c>
      <c r="D1920" s="28" t="s">
        <v>7057</v>
      </c>
      <c r="E1920" s="28" t="s">
        <v>6982</v>
      </c>
      <c r="F1920" s="28" t="s">
        <v>324</v>
      </c>
      <c r="G1920" s="28">
        <v>40324</v>
      </c>
      <c r="H1920" s="28">
        <v>38.217222</v>
      </c>
      <c r="I1920" s="28">
        <v>-84.564166999999998</v>
      </c>
      <c r="J1920" s="28"/>
      <c r="K1920" s="61">
        <v>110000732208</v>
      </c>
      <c r="L1920" s="61" t="str">
        <f>IFERROR(INDEX('Facility Summary'!$K:$K,MATCH(K1920,'Facility Summary'!$J:$J,0)),INDEX('Raw Annual DMR Data'!$M:$M,MATCH(K1920,'Raw Annual DMR Data'!$L:$L,0)))</f>
        <v>POTW</v>
      </c>
      <c r="M1920" s="28"/>
      <c r="N1920" s="28"/>
      <c r="O1920" s="28"/>
      <c r="P1920" s="28"/>
      <c r="Q1920" s="28"/>
      <c r="R1920" s="28">
        <f t="shared" si="12"/>
        <v>19.34045704957515</v>
      </c>
      <c r="S1920" s="28">
        <v>8.7726837500000006</v>
      </c>
    </row>
    <row r="1921" spans="1:19" x14ac:dyDescent="0.25">
      <c r="A1921" s="28">
        <v>2023</v>
      </c>
      <c r="B1921" s="28"/>
      <c r="C1921" s="28" t="s">
        <v>6883</v>
      </c>
      <c r="D1921" s="28" t="s">
        <v>7057</v>
      </c>
      <c r="E1921" s="28" t="s">
        <v>6982</v>
      </c>
      <c r="F1921" s="28" t="s">
        <v>324</v>
      </c>
      <c r="G1921" s="28">
        <v>40324</v>
      </c>
      <c r="H1921" s="28">
        <v>38.217222</v>
      </c>
      <c r="I1921" s="28">
        <v>-84.564166999999998</v>
      </c>
      <c r="J1921" s="28"/>
      <c r="K1921" s="61">
        <v>110000732208</v>
      </c>
      <c r="L1921" s="61" t="str">
        <f>IFERROR(INDEX('Facility Summary'!$K:$K,MATCH(K1921,'Facility Summary'!$J:$J,0)),INDEX('Raw Annual DMR Data'!$M:$M,MATCH(K1921,'Raw Annual DMR Data'!$L:$L,0)))</f>
        <v>POTW</v>
      </c>
      <c r="M1921" s="28"/>
      <c r="N1921" s="28"/>
      <c r="O1921" s="28"/>
      <c r="P1921" s="28"/>
      <c r="Q1921" s="28"/>
      <c r="R1921" s="28">
        <f t="shared" si="12"/>
        <v>18.655165264353986</v>
      </c>
      <c r="S1921" s="28">
        <v>8.4618406250000007</v>
      </c>
    </row>
    <row r="1922" spans="1:19" x14ac:dyDescent="0.25">
      <c r="A1922" s="28">
        <v>2021</v>
      </c>
      <c r="B1922" s="28"/>
      <c r="C1922" s="28" t="s">
        <v>6828</v>
      </c>
      <c r="D1922" s="28" t="s">
        <v>6981</v>
      </c>
      <c r="E1922" s="28" t="s">
        <v>6982</v>
      </c>
      <c r="F1922" s="28" t="s">
        <v>324</v>
      </c>
      <c r="G1922" s="28">
        <v>40324</v>
      </c>
      <c r="H1922" s="28">
        <v>38.267437999999999</v>
      </c>
      <c r="I1922" s="28">
        <v>-84.527996000000002</v>
      </c>
      <c r="J1922" s="28"/>
      <c r="K1922" s="61">
        <v>110000759741</v>
      </c>
      <c r="L1922" s="61" t="str">
        <f>IFERROR(INDEX('Facility Summary'!$K:$K,MATCH(K1922,'Facility Summary'!$J:$J,0)),INDEX('Raw Annual DMR Data'!$M:$M,MATCH(K1922,'Raw Annual DMR Data'!$L:$L,0)))</f>
        <v>POTW</v>
      </c>
      <c r="M1922" s="28"/>
      <c r="N1922" s="28"/>
      <c r="O1922" s="28"/>
      <c r="P1922" s="28"/>
      <c r="Q1922" s="28"/>
      <c r="R1922" s="28">
        <f t="shared" si="12"/>
        <v>10.081403595920277</v>
      </c>
      <c r="S1922" s="28">
        <v>4.5728477500000002</v>
      </c>
    </row>
    <row r="1923" spans="1:19" x14ac:dyDescent="0.25">
      <c r="A1923" s="28">
        <v>2024</v>
      </c>
      <c r="B1923" s="28"/>
      <c r="C1923" s="28" t="s">
        <v>6828</v>
      </c>
      <c r="D1923" s="28" t="s">
        <v>6981</v>
      </c>
      <c r="E1923" s="28" t="s">
        <v>6982</v>
      </c>
      <c r="F1923" s="28" t="s">
        <v>324</v>
      </c>
      <c r="G1923" s="28">
        <v>40324</v>
      </c>
      <c r="H1923" s="28">
        <v>38.267437999999999</v>
      </c>
      <c r="I1923" s="28">
        <v>-84.527996000000002</v>
      </c>
      <c r="J1923" s="28"/>
      <c r="K1923" s="61">
        <v>110000759741</v>
      </c>
      <c r="L1923" s="61" t="str">
        <f>IFERROR(INDEX('Facility Summary'!$K:$K,MATCH(K1923,'Facility Summary'!$J:$J,0)),INDEX('Raw Annual DMR Data'!$M:$M,MATCH(K1923,'Raw Annual DMR Data'!$L:$L,0)))</f>
        <v>POTW</v>
      </c>
      <c r="M1923" s="28"/>
      <c r="N1923" s="28"/>
      <c r="O1923" s="28"/>
      <c r="P1923" s="28"/>
      <c r="Q1923" s="28"/>
      <c r="R1923" s="28">
        <f t="shared" si="12"/>
        <v>10.012874417398159</v>
      </c>
      <c r="S1923" s="28">
        <v>4.5417634375000002</v>
      </c>
    </row>
    <row r="1924" spans="1:19" x14ac:dyDescent="0.25">
      <c r="A1924" s="28">
        <v>2023</v>
      </c>
      <c r="B1924" s="28"/>
      <c r="C1924" s="28" t="s">
        <v>6828</v>
      </c>
      <c r="D1924" s="28" t="s">
        <v>6981</v>
      </c>
      <c r="E1924" s="28" t="s">
        <v>6982</v>
      </c>
      <c r="F1924" s="28" t="s">
        <v>324</v>
      </c>
      <c r="G1924" s="28">
        <v>40324</v>
      </c>
      <c r="H1924" s="28">
        <v>38.267437999999999</v>
      </c>
      <c r="I1924" s="28">
        <v>-84.527996000000002</v>
      </c>
      <c r="J1924" s="28"/>
      <c r="K1924" s="61">
        <v>110000759741</v>
      </c>
      <c r="L1924" s="61" t="str">
        <f>IFERROR(INDEX('Facility Summary'!$K:$K,MATCH(K1924,'Facility Summary'!$J:$J,0)),INDEX('Raw Annual DMR Data'!$M:$M,MATCH(K1924,'Raw Annual DMR Data'!$L:$L,0)))</f>
        <v>POTW</v>
      </c>
      <c r="M1924" s="28"/>
      <c r="N1924" s="28"/>
      <c r="O1924" s="28"/>
      <c r="P1924" s="28"/>
      <c r="Q1924" s="28"/>
      <c r="R1924" s="28">
        <f t="shared" si="12"/>
        <v>8.9925510927355301</v>
      </c>
      <c r="S1924" s="28">
        <v>4.0789525624999996</v>
      </c>
    </row>
    <row r="1925" spans="1:19" x14ac:dyDescent="0.25">
      <c r="A1925" s="28">
        <v>2021</v>
      </c>
      <c r="B1925" s="28"/>
      <c r="C1925" s="28" t="s">
        <v>6814</v>
      </c>
      <c r="D1925" s="28" t="s">
        <v>1813</v>
      </c>
      <c r="E1925" s="28" t="s">
        <v>1139</v>
      </c>
      <c r="F1925" s="28" t="s">
        <v>324</v>
      </c>
      <c r="G1925" s="28">
        <v>42141</v>
      </c>
      <c r="H1925" s="28">
        <v>36.983809999999998</v>
      </c>
      <c r="I1925" s="28">
        <v>-85.957089999999994</v>
      </c>
      <c r="J1925" s="28"/>
      <c r="K1925" s="61">
        <v>110001123276</v>
      </c>
      <c r="L1925" s="61" t="str">
        <f>IFERROR(INDEX('Facility Summary'!$K:$K,MATCH(K1925,'Facility Summary'!$J:$J,0)),INDEX('Raw Annual DMR Data'!$M:$M,MATCH(K1925,'Raw Annual DMR Data'!$L:$L,0)))</f>
        <v>POTW</v>
      </c>
      <c r="M1925" s="28"/>
      <c r="N1925" s="28"/>
      <c r="O1925" s="28"/>
      <c r="P1925" s="28"/>
      <c r="Q1925" s="28"/>
      <c r="R1925" s="28">
        <f t="shared" si="12"/>
        <v>7.992025086312629</v>
      </c>
      <c r="S1925" s="28">
        <v>3.6251215999999999</v>
      </c>
    </row>
    <row r="1926" spans="1:19" x14ac:dyDescent="0.25">
      <c r="A1926" s="28">
        <v>2022</v>
      </c>
      <c r="B1926" s="28"/>
      <c r="C1926" s="28" t="s">
        <v>6846</v>
      </c>
      <c r="D1926" s="28" t="s">
        <v>7000</v>
      </c>
      <c r="E1926" s="28" t="s">
        <v>1267</v>
      </c>
      <c r="F1926" s="28" t="s">
        <v>491</v>
      </c>
      <c r="G1926" s="28" t="s">
        <v>7001</v>
      </c>
      <c r="H1926" s="28">
        <v>40.670580000000001</v>
      </c>
      <c r="I1926" s="28">
        <v>-80.336500000000001</v>
      </c>
      <c r="J1926" s="28" t="s">
        <v>7128</v>
      </c>
      <c r="K1926" s="61">
        <v>110000329038</v>
      </c>
      <c r="L1926" s="61" t="str">
        <f>IFERROR(INDEX('Facility Summary'!$K:$K,MATCH(K1926,'Facility Summary'!$J:$J,0)),INDEX('Raw Annual DMR Data'!$M:$M,MATCH(K1926,'Raw Annual DMR Data'!$L:$L,0)))</f>
        <v>Unknown</v>
      </c>
      <c r="M1926" s="28"/>
      <c r="N1926" s="28"/>
      <c r="O1926" s="28"/>
      <c r="P1926" s="28"/>
      <c r="Q1926" s="28"/>
      <c r="R1926" s="28">
        <f t="shared" si="12"/>
        <v>7.5067400273950815E-3</v>
      </c>
      <c r="S1926" s="28">
        <v>3.405E-3</v>
      </c>
    </row>
    <row r="1927" spans="1:19" x14ac:dyDescent="0.25">
      <c r="A1927" s="28">
        <v>2024</v>
      </c>
      <c r="B1927" s="28"/>
      <c r="C1927" s="28" t="s">
        <v>6799</v>
      </c>
      <c r="D1927" s="28" t="s">
        <v>6951</v>
      </c>
      <c r="E1927" s="28" t="s">
        <v>590</v>
      </c>
      <c r="F1927" s="28" t="s">
        <v>362</v>
      </c>
      <c r="G1927" s="28">
        <v>77536</v>
      </c>
      <c r="H1927" s="28">
        <v>29.717469999999999</v>
      </c>
      <c r="I1927" s="28">
        <v>-95.113280000000003</v>
      </c>
      <c r="J1927" s="28" t="s">
        <v>7122</v>
      </c>
      <c r="K1927" s="61">
        <v>110056537804</v>
      </c>
      <c r="L1927" s="61" t="str">
        <f>IFERROR(INDEX('Facility Summary'!$K:$K,MATCH(K1927,'Facility Summary'!$J:$J,0)),INDEX('Raw Annual DMR Data'!$M:$M,MATCH(K1927,'Raw Annual DMR Data'!$L:$L,0)))</f>
        <v>Unknown</v>
      </c>
      <c r="M1927" s="28"/>
      <c r="N1927" s="28"/>
      <c r="O1927" s="28"/>
      <c r="P1927" s="28"/>
      <c r="Q1927" s="28"/>
      <c r="R1927" s="28">
        <f t="shared" si="12"/>
        <v>5.4799202199984096</v>
      </c>
      <c r="S1927" s="28">
        <v>2.4856500000000001</v>
      </c>
    </row>
    <row r="1928" spans="1:19" x14ac:dyDescent="0.25">
      <c r="A1928" s="28">
        <v>2023</v>
      </c>
      <c r="B1928" s="28"/>
      <c r="C1928" s="28" t="s">
        <v>1816</v>
      </c>
      <c r="D1928" s="28" t="s">
        <v>497</v>
      </c>
      <c r="E1928" s="28" t="s">
        <v>498</v>
      </c>
      <c r="F1928" s="28" t="s">
        <v>338</v>
      </c>
      <c r="G1928" s="28" t="s">
        <v>1817</v>
      </c>
      <c r="H1928" s="28">
        <v>39.852891</v>
      </c>
      <c r="I1928" s="28">
        <v>-75.225210000000004</v>
      </c>
      <c r="J1928" s="28"/>
      <c r="K1928" s="61">
        <v>110064625730</v>
      </c>
      <c r="L1928" s="61" t="str">
        <f>IFERROR(INDEX('Facility Summary'!$K:$K,MATCH(K1928,'Facility Summary'!$J:$J,0)),INDEX('Raw Annual DMR Data'!$M:$M,MATCH(K1928,'Raw Annual DMR Data'!$L:$L,0)))</f>
        <v>POTW</v>
      </c>
      <c r="M1928" s="28"/>
      <c r="N1928" s="28"/>
      <c r="O1928" s="28"/>
      <c r="P1928" s="28"/>
      <c r="Q1928" s="28"/>
      <c r="R1928" s="28">
        <f t="shared" si="12"/>
        <v>38.707661683109876</v>
      </c>
      <c r="S1928" s="28">
        <v>17.557500000000001</v>
      </c>
    </row>
    <row r="1929" spans="1:19" x14ac:dyDescent="0.25">
      <c r="A1929" s="28">
        <v>2024</v>
      </c>
      <c r="B1929" s="28"/>
      <c r="C1929" s="28" t="s">
        <v>1816</v>
      </c>
      <c r="D1929" s="28" t="s">
        <v>497</v>
      </c>
      <c r="E1929" s="28" t="s">
        <v>498</v>
      </c>
      <c r="F1929" s="28" t="s">
        <v>338</v>
      </c>
      <c r="G1929" s="28">
        <v>8066</v>
      </c>
      <c r="H1929" s="28">
        <v>39.852891</v>
      </c>
      <c r="I1929" s="28">
        <v>-75.225210000000004</v>
      </c>
      <c r="J1929" s="28"/>
      <c r="K1929" s="61">
        <v>110064625730</v>
      </c>
      <c r="L1929" s="61" t="str">
        <f>IFERROR(INDEX('Facility Summary'!$K:$K,MATCH(K1929,'Facility Summary'!$J:$J,0)),INDEX('Raw Annual DMR Data'!$M:$M,MATCH(K1929,'Raw Annual DMR Data'!$L:$L,0)))</f>
        <v>POTW</v>
      </c>
      <c r="M1929" s="28"/>
      <c r="N1929" s="28"/>
      <c r="O1929" s="28"/>
      <c r="P1929" s="28"/>
      <c r="Q1929" s="28"/>
      <c r="R1929" s="28">
        <f t="shared" si="12"/>
        <v>31.851285329160184</v>
      </c>
      <c r="S1929" s="28">
        <v>14.4475</v>
      </c>
    </row>
    <row r="1930" spans="1:19" x14ac:dyDescent="0.25">
      <c r="A1930" s="28">
        <v>2021</v>
      </c>
      <c r="B1930" s="28"/>
      <c r="C1930" s="28" t="s">
        <v>1816</v>
      </c>
      <c r="D1930" s="28" t="s">
        <v>497</v>
      </c>
      <c r="E1930" s="28" t="s">
        <v>498</v>
      </c>
      <c r="F1930" s="28" t="s">
        <v>338</v>
      </c>
      <c r="G1930" s="28">
        <v>8066</v>
      </c>
      <c r="H1930" s="28">
        <v>39.852891</v>
      </c>
      <c r="I1930" s="28">
        <v>-75.225210000000004</v>
      </c>
      <c r="J1930" s="28"/>
      <c r="K1930" s="61">
        <v>110064625730</v>
      </c>
      <c r="L1930" s="61" t="str">
        <f>IFERROR(INDEX('Facility Summary'!$K:$K,MATCH(K1930,'Facility Summary'!$J:$J,0)),INDEX('Raw Annual DMR Data'!$M:$M,MATCH(K1930,'Raw Annual DMR Data'!$L:$L,0)))</f>
        <v>POTW</v>
      </c>
      <c r="M1930" s="28"/>
      <c r="N1930" s="28"/>
      <c r="O1930" s="28"/>
      <c r="P1930" s="28"/>
      <c r="Q1930" s="28"/>
      <c r="R1930" s="28">
        <f t="shared" si="12"/>
        <v>8.0552501357110575</v>
      </c>
      <c r="S1930" s="28">
        <v>3.6537999999999999</v>
      </c>
    </row>
    <row r="1931" spans="1:19" x14ac:dyDescent="0.25">
      <c r="A1931" s="28">
        <v>2022</v>
      </c>
      <c r="B1931" s="28"/>
      <c r="C1931" s="28" t="s">
        <v>1816</v>
      </c>
      <c r="D1931" s="28" t="s">
        <v>497</v>
      </c>
      <c r="E1931" s="28" t="s">
        <v>498</v>
      </c>
      <c r="F1931" s="28" t="s">
        <v>338</v>
      </c>
      <c r="G1931" s="28">
        <v>8066</v>
      </c>
      <c r="H1931" s="28">
        <v>39.852891</v>
      </c>
      <c r="I1931" s="28">
        <v>-75.225210000000004</v>
      </c>
      <c r="J1931" s="28"/>
      <c r="K1931" s="61">
        <v>110064625730</v>
      </c>
      <c r="L1931" s="61" t="str">
        <f>IFERROR(INDEX('Facility Summary'!$K:$K,MATCH(K1931,'Facility Summary'!$J:$J,0)),INDEX('Raw Annual DMR Data'!$M:$M,MATCH(K1931,'Raw Annual DMR Data'!$L:$L,0)))</f>
        <v>POTW</v>
      </c>
      <c r="M1931" s="28"/>
      <c r="N1931" s="28"/>
      <c r="O1931" s="28"/>
      <c r="P1931" s="28"/>
      <c r="Q1931" s="28"/>
      <c r="R1931" s="28">
        <f t="shared" si="12"/>
        <v>4.8145651127244493</v>
      </c>
      <c r="S1931" s="28">
        <v>2.1838500000000001</v>
      </c>
    </row>
    <row r="1932" spans="1:19" x14ac:dyDescent="0.25">
      <c r="A1932" s="28">
        <v>2023</v>
      </c>
      <c r="B1932" s="28"/>
      <c r="C1932" s="28" t="s">
        <v>6848</v>
      </c>
      <c r="D1932" s="28" t="s">
        <v>7002</v>
      </c>
      <c r="E1932" s="28" t="s">
        <v>657</v>
      </c>
      <c r="F1932" s="28" t="s">
        <v>418</v>
      </c>
      <c r="G1932" s="28" t="s">
        <v>7003</v>
      </c>
      <c r="H1932" s="28">
        <v>36.170819999999999</v>
      </c>
      <c r="I1932" s="28">
        <v>-115.14431</v>
      </c>
      <c r="J1932" s="28"/>
      <c r="K1932" s="61">
        <v>110004300596</v>
      </c>
      <c r="L1932" s="61" t="str">
        <f>IFERROR(INDEX('Facility Summary'!$K:$K,MATCH(K1932,'Facility Summary'!$J:$J,0)),INDEX('Raw Annual DMR Data'!$M:$M,MATCH(K1932,'Raw Annual DMR Data'!$L:$L,0)))</f>
        <v>Unknown</v>
      </c>
      <c r="M1932" s="28"/>
      <c r="N1932" s="28"/>
      <c r="O1932" s="28"/>
      <c r="P1932" s="28"/>
      <c r="Q1932" s="28"/>
      <c r="R1932" s="28">
        <f t="shared" si="12"/>
        <v>5.0483161511292616E-3</v>
      </c>
      <c r="S1932" s="28">
        <v>2.2898776875000001E-3</v>
      </c>
    </row>
    <row r="1933" spans="1:19" x14ac:dyDescent="0.25">
      <c r="A1933" s="28">
        <v>2024</v>
      </c>
      <c r="B1933" s="28"/>
      <c r="C1933" s="28" t="s">
        <v>6848</v>
      </c>
      <c r="D1933" s="28" t="s">
        <v>7002</v>
      </c>
      <c r="E1933" s="28" t="s">
        <v>657</v>
      </c>
      <c r="F1933" s="28" t="s">
        <v>418</v>
      </c>
      <c r="G1933" s="28" t="s">
        <v>7003</v>
      </c>
      <c r="H1933" s="28">
        <v>36.170819999999999</v>
      </c>
      <c r="I1933" s="28">
        <v>-115.14431</v>
      </c>
      <c r="J1933" s="28"/>
      <c r="K1933" s="61">
        <v>110004300596</v>
      </c>
      <c r="L1933" s="61" t="str">
        <f>IFERROR(INDEX('Facility Summary'!$K:$K,MATCH(K1933,'Facility Summary'!$J:$J,0)),INDEX('Raw Annual DMR Data'!$M:$M,MATCH(K1933,'Raw Annual DMR Data'!$L:$L,0)))</f>
        <v>Unknown</v>
      </c>
      <c r="M1933" s="28"/>
      <c r="N1933" s="28"/>
      <c r="O1933" s="28"/>
      <c r="P1933" s="28"/>
      <c r="Q1933" s="28"/>
      <c r="R1933" s="28">
        <f t="shared" si="12"/>
        <v>1.218296507059852E-5</v>
      </c>
      <c r="S1933" s="28">
        <v>5.5261000000000003E-6</v>
      </c>
    </row>
    <row r="1934" spans="1:19" x14ac:dyDescent="0.25">
      <c r="A1934" s="28">
        <v>2024</v>
      </c>
      <c r="B1934" s="28"/>
      <c r="C1934" s="28" t="s">
        <v>6796</v>
      </c>
      <c r="D1934" s="28" t="s">
        <v>499</v>
      </c>
      <c r="E1934" s="28" t="s">
        <v>302</v>
      </c>
      <c r="F1934" s="28" t="s">
        <v>303</v>
      </c>
      <c r="G1934" s="28">
        <v>70807</v>
      </c>
      <c r="H1934" s="28">
        <v>30.563776000000001</v>
      </c>
      <c r="I1934" s="28">
        <v>-91.212565999999995</v>
      </c>
      <c r="J1934" s="28"/>
      <c r="K1934" s="61">
        <v>110012254363</v>
      </c>
      <c r="L1934" s="61" t="str">
        <f>IFERROR(INDEX('Facility Summary'!$K:$K,MATCH(K1934,'Facility Summary'!$J:$J,0)),INDEX('Raw Annual DMR Data'!$M:$M,MATCH(K1934,'Raw Annual DMR Data'!$L:$L,0)))</f>
        <v>Repackaging</v>
      </c>
      <c r="M1934" s="28"/>
      <c r="N1934" s="28"/>
      <c r="O1934" s="28"/>
      <c r="P1934" s="28"/>
      <c r="Q1934" s="28"/>
      <c r="R1934" s="28">
        <f t="shared" si="12"/>
        <v>0.38863486845468764</v>
      </c>
      <c r="S1934" s="28">
        <v>0.176281811047</v>
      </c>
    </row>
    <row r="1935" spans="1:19" x14ac:dyDescent="0.25">
      <c r="A1935" s="28">
        <v>2023</v>
      </c>
      <c r="B1935" s="28"/>
      <c r="C1935" s="28" t="s">
        <v>6796</v>
      </c>
      <c r="D1935" s="28" t="s">
        <v>499</v>
      </c>
      <c r="E1935" s="28" t="s">
        <v>302</v>
      </c>
      <c r="F1935" s="28" t="s">
        <v>303</v>
      </c>
      <c r="G1935" s="28">
        <v>70807</v>
      </c>
      <c r="H1935" s="28">
        <v>30.563776000000001</v>
      </c>
      <c r="I1935" s="28">
        <v>-91.212565999999995</v>
      </c>
      <c r="J1935" s="28"/>
      <c r="K1935" s="61">
        <v>110012254363</v>
      </c>
      <c r="L1935" s="61" t="str">
        <f>IFERROR(INDEX('Facility Summary'!$K:$K,MATCH(K1935,'Facility Summary'!$J:$J,0)),INDEX('Raw Annual DMR Data'!$M:$M,MATCH(K1935,'Raw Annual DMR Data'!$L:$L,0)))</f>
        <v>Repackaging</v>
      </c>
      <c r="M1935" s="28"/>
      <c r="N1935" s="28"/>
      <c r="O1935" s="28"/>
      <c r="P1935" s="28"/>
      <c r="Q1935" s="28"/>
      <c r="R1935" s="28">
        <f t="shared" si="12"/>
        <v>0.32362889286640778</v>
      </c>
      <c r="S1935" s="28">
        <v>0.14679559651575</v>
      </c>
    </row>
    <row r="1936" spans="1:19" x14ac:dyDescent="0.25">
      <c r="A1936" s="28">
        <v>2021</v>
      </c>
      <c r="B1936" s="28"/>
      <c r="C1936" s="28" t="s">
        <v>6796</v>
      </c>
      <c r="D1936" s="28" t="s">
        <v>499</v>
      </c>
      <c r="E1936" s="28" t="s">
        <v>302</v>
      </c>
      <c r="F1936" s="28" t="s">
        <v>303</v>
      </c>
      <c r="G1936" s="28">
        <v>70807</v>
      </c>
      <c r="H1936" s="28">
        <v>30.563776000000001</v>
      </c>
      <c r="I1936" s="28">
        <v>-91.212565999999995</v>
      </c>
      <c r="J1936" s="28"/>
      <c r="K1936" s="61">
        <v>110012254363</v>
      </c>
      <c r="L1936" s="61" t="str">
        <f>IFERROR(INDEX('Facility Summary'!$K:$K,MATCH(K1936,'Facility Summary'!$J:$J,0)),INDEX('Raw Annual DMR Data'!$M:$M,MATCH(K1936,'Raw Annual DMR Data'!$L:$L,0)))</f>
        <v>Repackaging</v>
      </c>
      <c r="M1936" s="28"/>
      <c r="N1936" s="28"/>
      <c r="O1936" s="28"/>
      <c r="P1936" s="28"/>
      <c r="Q1936" s="28"/>
      <c r="R1936" s="28">
        <f t="shared" si="12"/>
        <v>3.0639406147859142E-5</v>
      </c>
      <c r="S1936" s="28">
        <v>1.389780085E-5</v>
      </c>
    </row>
    <row r="1937" spans="1:19" x14ac:dyDescent="0.25">
      <c r="A1937" s="28">
        <v>2022</v>
      </c>
      <c r="B1937" s="28"/>
      <c r="C1937" s="28" t="s">
        <v>6796</v>
      </c>
      <c r="D1937" s="28" t="s">
        <v>499</v>
      </c>
      <c r="E1937" s="28" t="s">
        <v>302</v>
      </c>
      <c r="F1937" s="28" t="s">
        <v>303</v>
      </c>
      <c r="G1937" s="28">
        <v>70807</v>
      </c>
      <c r="H1937" s="28">
        <v>30.563776000000001</v>
      </c>
      <c r="I1937" s="28">
        <v>-91.212565999999995</v>
      </c>
      <c r="J1937" s="28"/>
      <c r="K1937" s="61">
        <v>110012254363</v>
      </c>
      <c r="L1937" s="61" t="str">
        <f>IFERROR(INDEX('Facility Summary'!$K:$K,MATCH(K1937,'Facility Summary'!$J:$J,0)),INDEX('Raw Annual DMR Data'!$M:$M,MATCH(K1937,'Raw Annual DMR Data'!$L:$L,0)))</f>
        <v>Repackaging</v>
      </c>
      <c r="M1937" s="28"/>
      <c r="N1937" s="28"/>
      <c r="O1937" s="28"/>
      <c r="P1937" s="28"/>
      <c r="Q1937" s="28"/>
      <c r="R1937" s="28">
        <f t="shared" si="12"/>
        <v>1.7339863984043645E-5</v>
      </c>
      <c r="S1937" s="28">
        <v>7.8652299999999992E-6</v>
      </c>
    </row>
    <row r="1938" spans="1:19" x14ac:dyDescent="0.25">
      <c r="A1938" s="28">
        <v>2021</v>
      </c>
      <c r="B1938" s="28"/>
      <c r="C1938" s="28" t="s">
        <v>1144</v>
      </c>
      <c r="D1938" s="28" t="s">
        <v>1825</v>
      </c>
      <c r="E1938" s="28" t="s">
        <v>1145</v>
      </c>
      <c r="F1938" s="28" t="s">
        <v>324</v>
      </c>
      <c r="G1938" s="28">
        <v>41144</v>
      </c>
      <c r="H1938" s="28">
        <v>38.551630000000003</v>
      </c>
      <c r="I1938" s="28">
        <v>-82.778199999999998</v>
      </c>
      <c r="J1938" s="28"/>
      <c r="K1938" s="61">
        <v>110000759723</v>
      </c>
      <c r="L1938" s="61" t="str">
        <f>IFERROR(INDEX('Facility Summary'!$K:$K,MATCH(K1938,'Facility Summary'!$J:$J,0)),INDEX('Raw Annual DMR Data'!$M:$M,MATCH(K1938,'Raw Annual DMR Data'!$L:$L,0)))</f>
        <v>POTW</v>
      </c>
      <c r="M1938" s="28"/>
      <c r="N1938" s="28"/>
      <c r="O1938" s="28"/>
      <c r="P1938" s="28"/>
      <c r="Q1938" s="28"/>
      <c r="R1938" s="28">
        <f t="shared" si="12"/>
        <v>2.2157767722151056</v>
      </c>
      <c r="S1938" s="28">
        <v>1.0050594374999999</v>
      </c>
    </row>
    <row r="1939" spans="1:19" x14ac:dyDescent="0.25">
      <c r="A1939" s="28">
        <v>2022</v>
      </c>
      <c r="B1939" s="28"/>
      <c r="C1939" s="28" t="s">
        <v>1150</v>
      </c>
      <c r="D1939" s="28" t="s">
        <v>1835</v>
      </c>
      <c r="E1939" s="28" t="s">
        <v>1151</v>
      </c>
      <c r="F1939" s="28" t="s">
        <v>338</v>
      </c>
      <c r="G1939" s="28">
        <v>8610</v>
      </c>
      <c r="H1939" s="28">
        <v>40.183062999999997</v>
      </c>
      <c r="I1939" s="28">
        <v>-74.710695000000001</v>
      </c>
      <c r="J1939" s="28"/>
      <c r="K1939" s="61">
        <v>110056977080</v>
      </c>
      <c r="L1939" s="61" t="str">
        <f>IFERROR(INDEX('Facility Summary'!$K:$K,MATCH(K1939,'Facility Summary'!$J:$J,0)),INDEX('Raw Annual DMR Data'!$M:$M,MATCH(K1939,'Raw Annual DMR Data'!$L:$L,0)))</f>
        <v>POTW</v>
      </c>
      <c r="M1939" s="28"/>
      <c r="N1939" s="28"/>
      <c r="O1939" s="28"/>
      <c r="P1939" s="28"/>
      <c r="Q1939" s="28"/>
      <c r="R1939" s="28">
        <f t="shared" si="12"/>
        <v>4.0755355959801536</v>
      </c>
      <c r="S1939" s="28">
        <v>1.8486318500000001</v>
      </c>
    </row>
    <row r="1940" spans="1:19" x14ac:dyDescent="0.25">
      <c r="A1940" s="28">
        <v>2023</v>
      </c>
      <c r="B1940" s="28"/>
      <c r="C1940" s="28" t="s">
        <v>1150</v>
      </c>
      <c r="D1940" s="28" t="s">
        <v>1835</v>
      </c>
      <c r="E1940" s="28" t="s">
        <v>1151</v>
      </c>
      <c r="F1940" s="28" t="s">
        <v>338</v>
      </c>
      <c r="G1940" s="28" t="s">
        <v>1838</v>
      </c>
      <c r="H1940" s="28">
        <v>40.183062999999997</v>
      </c>
      <c r="I1940" s="28">
        <v>-74.710695000000001</v>
      </c>
      <c r="J1940" s="28"/>
      <c r="K1940" s="61">
        <v>110056977080</v>
      </c>
      <c r="L1940" s="61" t="str">
        <f>IFERROR(INDEX('Facility Summary'!$K:$K,MATCH(K1940,'Facility Summary'!$J:$J,0)),INDEX('Raw Annual DMR Data'!$M:$M,MATCH(K1940,'Raw Annual DMR Data'!$L:$L,0)))</f>
        <v>POTW</v>
      </c>
      <c r="M1940" s="28"/>
      <c r="N1940" s="28"/>
      <c r="O1940" s="28"/>
      <c r="P1940" s="28"/>
      <c r="Q1940" s="28"/>
      <c r="R1940" s="28">
        <f t="shared" si="12"/>
        <v>3.8998505640648236</v>
      </c>
      <c r="S1940" s="28">
        <v>1.7689424600000001</v>
      </c>
    </row>
    <row r="1941" spans="1:19" x14ac:dyDescent="0.25">
      <c r="A1941" s="28">
        <v>2021</v>
      </c>
      <c r="B1941" s="28"/>
      <c r="C1941" s="28" t="s">
        <v>1150</v>
      </c>
      <c r="D1941" s="28" t="s">
        <v>1835</v>
      </c>
      <c r="E1941" s="28" t="s">
        <v>1151</v>
      </c>
      <c r="F1941" s="28" t="s">
        <v>338</v>
      </c>
      <c r="G1941" s="28">
        <v>8610</v>
      </c>
      <c r="H1941" s="28">
        <v>40.183062999999997</v>
      </c>
      <c r="I1941" s="28">
        <v>-74.710695000000001</v>
      </c>
      <c r="J1941" s="28"/>
      <c r="K1941" s="61">
        <v>110056977080</v>
      </c>
      <c r="L1941" s="61" t="str">
        <f>IFERROR(INDEX('Facility Summary'!$K:$K,MATCH(K1941,'Facility Summary'!$J:$J,0)),INDEX('Raw Annual DMR Data'!$M:$M,MATCH(K1941,'Raw Annual DMR Data'!$L:$L,0)))</f>
        <v>POTW</v>
      </c>
      <c r="M1941" s="28"/>
      <c r="N1941" s="28"/>
      <c r="O1941" s="28"/>
      <c r="P1941" s="28"/>
      <c r="Q1941" s="28"/>
      <c r="R1941" s="28">
        <f t="shared" si="12"/>
        <v>2.6605008920233821</v>
      </c>
      <c r="S1941" s="28">
        <v>1.2067829050000001</v>
      </c>
    </row>
    <row r="1942" spans="1:19" x14ac:dyDescent="0.25">
      <c r="A1942" s="28">
        <v>2021</v>
      </c>
      <c r="B1942" s="28"/>
      <c r="C1942" s="28" t="s">
        <v>1154</v>
      </c>
      <c r="D1942" s="28" t="s">
        <v>7009</v>
      </c>
      <c r="E1942" s="28" t="s">
        <v>1155</v>
      </c>
      <c r="F1942" s="28" t="s">
        <v>366</v>
      </c>
      <c r="G1942" s="28" t="s">
        <v>1846</v>
      </c>
      <c r="H1942" s="28">
        <v>38.730832999999997</v>
      </c>
      <c r="I1942" s="28">
        <v>-120.846667</v>
      </c>
      <c r="J1942" s="28"/>
      <c r="K1942" s="61">
        <v>110039757992</v>
      </c>
      <c r="L1942" s="61" t="str">
        <f>IFERROR(INDEX('Facility Summary'!$K:$K,MATCH(K1942,'Facility Summary'!$J:$J,0)),INDEX('Raw Annual DMR Data'!$M:$M,MATCH(K1942,'Raw Annual DMR Data'!$L:$L,0)))</f>
        <v>POTW</v>
      </c>
      <c r="M1942" s="28"/>
      <c r="N1942" s="28"/>
      <c r="O1942" s="28"/>
      <c r="P1942" s="28"/>
      <c r="Q1942" s="28"/>
      <c r="R1942" s="28">
        <f t="shared" si="12"/>
        <v>0.14371225865196982</v>
      </c>
      <c r="S1942" s="28">
        <v>6.5186783999999998E-2</v>
      </c>
    </row>
    <row r="1943" spans="1:19" x14ac:dyDescent="0.25">
      <c r="A1943" s="28">
        <v>2022</v>
      </c>
      <c r="B1943" s="28"/>
      <c r="C1943" s="28" t="s">
        <v>1154</v>
      </c>
      <c r="D1943" s="28" t="s">
        <v>7009</v>
      </c>
      <c r="E1943" s="28" t="s">
        <v>1155</v>
      </c>
      <c r="F1943" s="28" t="s">
        <v>366</v>
      </c>
      <c r="G1943" s="28" t="s">
        <v>1846</v>
      </c>
      <c r="H1943" s="28">
        <v>38.730832999999997</v>
      </c>
      <c r="I1943" s="28">
        <v>-120.846667</v>
      </c>
      <c r="J1943" s="28"/>
      <c r="K1943" s="61">
        <v>110039757992</v>
      </c>
      <c r="L1943" s="61" t="str">
        <f>IFERROR(INDEX('Facility Summary'!$K:$K,MATCH(K1943,'Facility Summary'!$J:$J,0)),INDEX('Raw Annual DMR Data'!$M:$M,MATCH(K1943,'Raw Annual DMR Data'!$L:$L,0)))</f>
        <v>POTW</v>
      </c>
      <c r="M1943" s="28"/>
      <c r="N1943" s="28"/>
      <c r="O1943" s="28"/>
      <c r="P1943" s="28"/>
      <c r="Q1943" s="28"/>
      <c r="R1943" s="28">
        <f t="shared" si="12"/>
        <v>5.8290481164839696E-2</v>
      </c>
      <c r="S1943" s="28">
        <v>2.6440117499999999E-2</v>
      </c>
    </row>
    <row r="1944" spans="1:19" x14ac:dyDescent="0.25">
      <c r="A1944" s="28">
        <v>2022</v>
      </c>
      <c r="B1944" s="28"/>
      <c r="C1944" s="28" t="s">
        <v>6778</v>
      </c>
      <c r="D1944" s="28" t="s">
        <v>6922</v>
      </c>
      <c r="E1944" s="28" t="s">
        <v>6923</v>
      </c>
      <c r="F1944" s="28" t="s">
        <v>1171</v>
      </c>
      <c r="G1944" s="28">
        <v>96720</v>
      </c>
      <c r="H1944" s="28">
        <v>19.713750000000001</v>
      </c>
      <c r="I1944" s="28">
        <v>-155.01927800000001</v>
      </c>
      <c r="J1944" s="28"/>
      <c r="K1944" s="61">
        <v>110013786698</v>
      </c>
      <c r="L1944" s="61" t="str">
        <f>IFERROR(INDEX('Facility Summary'!$K:$K,MATCH(K1944,'Facility Summary'!$J:$J,0)),INDEX('Raw Annual DMR Data'!$M:$M,MATCH(K1944,'Raw Annual DMR Data'!$L:$L,0)))</f>
        <v>POTW</v>
      </c>
      <c r="M1944" s="28"/>
      <c r="N1944" s="28"/>
      <c r="O1944" s="28"/>
      <c r="P1944" s="28"/>
      <c r="Q1944" s="28"/>
      <c r="R1944" s="28">
        <f t="shared" si="12"/>
        <v>8.8326496761839284</v>
      </c>
      <c r="S1944" s="28">
        <v>4.0064225000000002</v>
      </c>
    </row>
    <row r="1945" spans="1:19" x14ac:dyDescent="0.25">
      <c r="A1945" s="28">
        <v>2024</v>
      </c>
      <c r="B1945" s="28"/>
      <c r="C1945" s="28" t="s">
        <v>6778</v>
      </c>
      <c r="D1945" s="28" t="s">
        <v>6922</v>
      </c>
      <c r="E1945" s="28" t="s">
        <v>6923</v>
      </c>
      <c r="F1945" s="28" t="s">
        <v>1171</v>
      </c>
      <c r="G1945" s="28">
        <v>96720</v>
      </c>
      <c r="H1945" s="28">
        <v>19.713750000000001</v>
      </c>
      <c r="I1945" s="28">
        <v>-155.01927800000001</v>
      </c>
      <c r="J1945" s="28"/>
      <c r="K1945" s="61">
        <v>110013786698</v>
      </c>
      <c r="L1945" s="61" t="str">
        <f>IFERROR(INDEX('Facility Summary'!$K:$K,MATCH(K1945,'Facility Summary'!$J:$J,0)),INDEX('Raw Annual DMR Data'!$M:$M,MATCH(K1945,'Raw Annual DMR Data'!$L:$L,0)))</f>
        <v>POTW</v>
      </c>
      <c r="M1945" s="28"/>
      <c r="N1945" s="28"/>
      <c r="O1945" s="28"/>
      <c r="P1945" s="28"/>
      <c r="Q1945" s="28"/>
      <c r="R1945" s="28">
        <f t="shared" si="12"/>
        <v>5.2965440644427062</v>
      </c>
      <c r="S1945" s="28">
        <v>2.4024719750000001</v>
      </c>
    </row>
    <row r="1946" spans="1:19" x14ac:dyDescent="0.25">
      <c r="A1946" s="28">
        <v>2021</v>
      </c>
      <c r="B1946" s="28"/>
      <c r="C1946" s="28" t="s">
        <v>6778</v>
      </c>
      <c r="D1946" s="28" t="s">
        <v>6922</v>
      </c>
      <c r="E1946" s="28" t="s">
        <v>6923</v>
      </c>
      <c r="F1946" s="28" t="s">
        <v>1171</v>
      </c>
      <c r="G1946" s="28">
        <v>96720</v>
      </c>
      <c r="H1946" s="28">
        <v>19.713750000000001</v>
      </c>
      <c r="I1946" s="28">
        <v>-155.01927800000001</v>
      </c>
      <c r="J1946" s="28"/>
      <c r="K1946" s="61">
        <v>110013786698</v>
      </c>
      <c r="L1946" s="61" t="str">
        <f>IFERROR(INDEX('Facility Summary'!$K:$K,MATCH(K1946,'Facility Summary'!$J:$J,0)),INDEX('Raw Annual DMR Data'!$M:$M,MATCH(K1946,'Raw Annual DMR Data'!$L:$L,0)))</f>
        <v>POTW</v>
      </c>
      <c r="M1946" s="28"/>
      <c r="N1946" s="28"/>
      <c r="O1946" s="28"/>
      <c r="P1946" s="28"/>
      <c r="Q1946" s="28"/>
      <c r="R1946" s="28">
        <f t="shared" si="12"/>
        <v>5.0833421757072319</v>
      </c>
      <c r="S1946" s="28">
        <v>2.305765225</v>
      </c>
    </row>
    <row r="1947" spans="1:19" x14ac:dyDescent="0.25">
      <c r="A1947" s="28">
        <v>2023</v>
      </c>
      <c r="B1947" s="28"/>
      <c r="C1947" s="28" t="s">
        <v>6778</v>
      </c>
      <c r="D1947" s="28" t="s">
        <v>6922</v>
      </c>
      <c r="E1947" s="28" t="s">
        <v>6923</v>
      </c>
      <c r="F1947" s="28" t="s">
        <v>1171</v>
      </c>
      <c r="G1947" s="28">
        <v>96720</v>
      </c>
      <c r="H1947" s="28">
        <v>19.713750000000001</v>
      </c>
      <c r="I1947" s="28">
        <v>-155.01927800000001</v>
      </c>
      <c r="J1947" s="28"/>
      <c r="K1947" s="61">
        <v>110013786698</v>
      </c>
      <c r="L1947" s="61" t="str">
        <f>IFERROR(INDEX('Facility Summary'!$K:$K,MATCH(K1947,'Facility Summary'!$J:$J,0)),INDEX('Raw Annual DMR Data'!$M:$M,MATCH(K1947,'Raw Annual DMR Data'!$L:$L,0)))</f>
        <v>POTW</v>
      </c>
      <c r="M1947" s="28"/>
      <c r="N1947" s="28"/>
      <c r="O1947" s="28"/>
      <c r="P1947" s="28"/>
      <c r="Q1947" s="28"/>
      <c r="R1947" s="28">
        <f t="shared" si="12"/>
        <v>5.0026300321145172</v>
      </c>
      <c r="S1947" s="28">
        <v>2.2691548125000001</v>
      </c>
    </row>
    <row r="1948" spans="1:19" x14ac:dyDescent="0.25">
      <c r="A1948" s="28">
        <v>2022</v>
      </c>
      <c r="B1948" s="28"/>
      <c r="C1948" s="28" t="s">
        <v>1160</v>
      </c>
      <c r="D1948" s="28" t="s">
        <v>1856</v>
      </c>
      <c r="E1948" s="28" t="s">
        <v>1103</v>
      </c>
      <c r="F1948" s="28" t="s">
        <v>345</v>
      </c>
      <c r="G1948" s="28" t="s">
        <v>1857</v>
      </c>
      <c r="H1948" s="28">
        <v>41.304952</v>
      </c>
      <c r="I1948" s="28">
        <v>-88.561650999999998</v>
      </c>
      <c r="J1948" s="28" t="s">
        <v>720</v>
      </c>
      <c r="K1948" s="61">
        <v>110000433022</v>
      </c>
      <c r="L1948" s="61" t="str">
        <f>IFERROR(INDEX('Facility Summary'!$K:$K,MATCH(K1948,'Facility Summary'!$J:$J,0)),INDEX('Raw Annual DMR Data'!$M:$M,MATCH(K1948,'Raw Annual DMR Data'!$L:$L,0)))</f>
        <v>Unknown</v>
      </c>
      <c r="M1948" s="28"/>
      <c r="N1948" s="28"/>
      <c r="O1948" s="28"/>
      <c r="P1948" s="28"/>
      <c r="Q1948" s="28"/>
      <c r="R1948" s="28">
        <f t="shared" si="12"/>
        <v>0.38103711929722267</v>
      </c>
      <c r="S1948" s="28">
        <v>0.17283552999999999</v>
      </c>
    </row>
    <row r="1949" spans="1:19" x14ac:dyDescent="0.25">
      <c r="A1949" s="28">
        <v>2021</v>
      </c>
      <c r="B1949" s="28"/>
      <c r="C1949" s="28" t="s">
        <v>1160</v>
      </c>
      <c r="D1949" s="28" t="s">
        <v>1856</v>
      </c>
      <c r="E1949" s="28" t="s">
        <v>1103</v>
      </c>
      <c r="F1949" s="28" t="s">
        <v>345</v>
      </c>
      <c r="G1949" s="28" t="s">
        <v>1857</v>
      </c>
      <c r="H1949" s="28">
        <v>41.304952</v>
      </c>
      <c r="I1949" s="28">
        <v>-88.561650999999998</v>
      </c>
      <c r="J1949" s="28" t="s">
        <v>720</v>
      </c>
      <c r="K1949" s="61">
        <v>110000433022</v>
      </c>
      <c r="L1949" s="61" t="str">
        <f>IFERROR(INDEX('Facility Summary'!$K:$K,MATCH(K1949,'Facility Summary'!$J:$J,0)),INDEX('Raw Annual DMR Data'!$M:$M,MATCH(K1949,'Raw Annual DMR Data'!$L:$L,0)))</f>
        <v>Unknown</v>
      </c>
      <c r="M1949" s="28"/>
      <c r="N1949" s="28"/>
      <c r="O1949" s="28"/>
      <c r="P1949" s="28"/>
      <c r="Q1949" s="28"/>
      <c r="R1949" s="28">
        <f t="shared" si="12"/>
        <v>6.199616408891534E-2</v>
      </c>
      <c r="S1949" s="28">
        <v>2.8120987E-2</v>
      </c>
    </row>
    <row r="1950" spans="1:19" x14ac:dyDescent="0.25">
      <c r="A1950" s="28">
        <v>2024</v>
      </c>
      <c r="B1950" s="28"/>
      <c r="C1950" s="28" t="s">
        <v>1160</v>
      </c>
      <c r="D1950" s="28" t="s">
        <v>1856</v>
      </c>
      <c r="E1950" s="28" t="s">
        <v>1103</v>
      </c>
      <c r="F1950" s="28" t="s">
        <v>345</v>
      </c>
      <c r="G1950" s="28" t="s">
        <v>1857</v>
      </c>
      <c r="H1950" s="28">
        <v>41.304952</v>
      </c>
      <c r="I1950" s="28">
        <v>-88.561650999999998</v>
      </c>
      <c r="J1950" s="28" t="s">
        <v>720</v>
      </c>
      <c r="K1950" s="61">
        <v>110000433022</v>
      </c>
      <c r="L1950" s="61" t="str">
        <f>IFERROR(INDEX('Facility Summary'!$K:$K,MATCH(K1950,'Facility Summary'!$J:$J,0)),INDEX('Raw Annual DMR Data'!$M:$M,MATCH(K1950,'Raw Annual DMR Data'!$L:$L,0)))</f>
        <v>Unknown</v>
      </c>
      <c r="M1950" s="28"/>
      <c r="N1950" s="28"/>
      <c r="O1950" s="28"/>
      <c r="P1950" s="28"/>
      <c r="Q1950" s="28"/>
      <c r="R1950" s="28">
        <f t="shared" si="12"/>
        <v>4.2743377715987588E-2</v>
      </c>
      <c r="S1950" s="28">
        <v>1.938807E-2</v>
      </c>
    </row>
    <row r="1951" spans="1:19" x14ac:dyDescent="0.25">
      <c r="A1951" s="28">
        <v>2023</v>
      </c>
      <c r="B1951" s="28"/>
      <c r="C1951" s="28" t="s">
        <v>1160</v>
      </c>
      <c r="D1951" s="28" t="s">
        <v>1856</v>
      </c>
      <c r="E1951" s="28" t="s">
        <v>1103</v>
      </c>
      <c r="F1951" s="28" t="s">
        <v>345</v>
      </c>
      <c r="G1951" s="28" t="s">
        <v>1857</v>
      </c>
      <c r="H1951" s="28">
        <v>41.304952</v>
      </c>
      <c r="I1951" s="28">
        <v>-88.561650999999998</v>
      </c>
      <c r="J1951" s="28" t="s">
        <v>720</v>
      </c>
      <c r="K1951" s="61">
        <v>110000433022</v>
      </c>
      <c r="L1951" s="61" t="str">
        <f>IFERROR(INDEX('Facility Summary'!$K:$K,MATCH(K1951,'Facility Summary'!$J:$J,0)),INDEX('Raw Annual DMR Data'!$M:$M,MATCH(K1951,'Raw Annual DMR Data'!$L:$L,0)))</f>
        <v>Unknown</v>
      </c>
      <c r="M1951" s="28"/>
      <c r="N1951" s="28"/>
      <c r="O1951" s="28"/>
      <c r="P1951" s="28"/>
      <c r="Q1951" s="28"/>
      <c r="R1951" s="28">
        <f t="shared" si="12"/>
        <v>4.5483337825986793E-3</v>
      </c>
      <c r="S1951" s="28">
        <v>2.0630894999999999E-3</v>
      </c>
    </row>
    <row r="1952" spans="1:19" x14ac:dyDescent="0.25">
      <c r="A1952" s="28">
        <v>2024</v>
      </c>
      <c r="B1952" s="28"/>
      <c r="C1952" s="28" t="s">
        <v>1161</v>
      </c>
      <c r="D1952" s="28" t="s">
        <v>1861</v>
      </c>
      <c r="E1952" s="28" t="s">
        <v>1162</v>
      </c>
      <c r="F1952" s="28" t="s">
        <v>338</v>
      </c>
      <c r="G1952" s="28">
        <v>80271164</v>
      </c>
      <c r="H1952" s="28">
        <v>39.827696000000003</v>
      </c>
      <c r="I1952" s="28">
        <v>-75.277782000000002</v>
      </c>
      <c r="J1952" s="28"/>
      <c r="K1952" s="61">
        <v>110070210457</v>
      </c>
      <c r="L1952" s="61" t="str">
        <f>IFERROR(INDEX('Facility Summary'!$K:$K,MATCH(K1952,'Facility Summary'!$J:$J,0)),INDEX('Raw Annual DMR Data'!$M:$M,MATCH(K1952,'Raw Annual DMR Data'!$L:$L,0)))</f>
        <v>Remediation</v>
      </c>
      <c r="M1952" s="28"/>
      <c r="N1952" s="28"/>
      <c r="O1952" s="28"/>
      <c r="P1952" s="28"/>
      <c r="Q1952" s="28"/>
      <c r="R1952" s="28">
        <f t="shared" si="12"/>
        <v>1.7633139662380122E-2</v>
      </c>
      <c r="S1952" s="28">
        <v>7.9982576100000001E-3</v>
      </c>
    </row>
    <row r="1953" spans="1:19" x14ac:dyDescent="0.25">
      <c r="A1953" s="28">
        <v>2023</v>
      </c>
      <c r="B1953" s="28"/>
      <c r="C1953" s="28" t="s">
        <v>1161</v>
      </c>
      <c r="D1953" s="28" t="s">
        <v>1861</v>
      </c>
      <c r="E1953" s="28" t="s">
        <v>1162</v>
      </c>
      <c r="F1953" s="28" t="s">
        <v>338</v>
      </c>
      <c r="G1953" s="28" t="s">
        <v>1863</v>
      </c>
      <c r="H1953" s="28">
        <v>39.827696000000003</v>
      </c>
      <c r="I1953" s="28">
        <v>-75.277782000000002</v>
      </c>
      <c r="J1953" s="28"/>
      <c r="K1953" s="61">
        <v>110070210457</v>
      </c>
      <c r="L1953" s="61" t="str">
        <f>IFERROR(INDEX('Facility Summary'!$K:$K,MATCH(K1953,'Facility Summary'!$J:$J,0)),INDEX('Raw Annual DMR Data'!$M:$M,MATCH(K1953,'Raw Annual DMR Data'!$L:$L,0)))</f>
        <v>Remediation</v>
      </c>
      <c r="M1953" s="28"/>
      <c r="N1953" s="28"/>
      <c r="O1953" s="28"/>
      <c r="P1953" s="28"/>
      <c r="Q1953" s="28"/>
      <c r="R1953" s="28">
        <f t="shared" si="12"/>
        <v>1.7632088255805537E-2</v>
      </c>
      <c r="S1953" s="28">
        <v>7.9977807000000001E-3</v>
      </c>
    </row>
    <row r="1954" spans="1:19" x14ac:dyDescent="0.25">
      <c r="A1954" s="28">
        <v>2021</v>
      </c>
      <c r="B1954" s="28"/>
      <c r="C1954" s="28" t="s">
        <v>1161</v>
      </c>
      <c r="D1954" s="28" t="s">
        <v>1861</v>
      </c>
      <c r="E1954" s="28" t="s">
        <v>1162</v>
      </c>
      <c r="F1954" s="28" t="s">
        <v>338</v>
      </c>
      <c r="G1954" s="28">
        <v>80271164</v>
      </c>
      <c r="H1954" s="28">
        <v>39.827696000000003</v>
      </c>
      <c r="I1954" s="28">
        <v>-75.277782000000002</v>
      </c>
      <c r="J1954" s="28"/>
      <c r="K1954" s="61">
        <v>110070210457</v>
      </c>
      <c r="L1954" s="61" t="str">
        <f>IFERROR(INDEX('Facility Summary'!$K:$K,MATCH(K1954,'Facility Summary'!$J:$J,0)),INDEX('Raw Annual DMR Data'!$M:$M,MATCH(K1954,'Raw Annual DMR Data'!$L:$L,0)))</f>
        <v>Remediation</v>
      </c>
      <c r="M1954" s="28"/>
      <c r="N1954" s="28"/>
      <c r="O1954" s="28"/>
      <c r="P1954" s="28"/>
      <c r="Q1954" s="28"/>
      <c r="R1954" s="28">
        <f t="shared" si="12"/>
        <v>9.2413213983295189E-3</v>
      </c>
      <c r="S1954" s="28">
        <v>4.1917928750000001E-3</v>
      </c>
    </row>
    <row r="1955" spans="1:19" x14ac:dyDescent="0.25">
      <c r="A1955" s="28">
        <v>2022</v>
      </c>
      <c r="B1955" s="28"/>
      <c r="C1955" s="28" t="s">
        <v>1161</v>
      </c>
      <c r="D1955" s="28" t="s">
        <v>1861</v>
      </c>
      <c r="E1955" s="28" t="s">
        <v>1162</v>
      </c>
      <c r="F1955" s="28" t="s">
        <v>338</v>
      </c>
      <c r="G1955" s="28">
        <v>80271164</v>
      </c>
      <c r="H1955" s="28">
        <v>39.827696000000003</v>
      </c>
      <c r="I1955" s="28">
        <v>-75.277782000000002</v>
      </c>
      <c r="J1955" s="28"/>
      <c r="K1955" s="61">
        <v>110070210457</v>
      </c>
      <c r="L1955" s="61" t="str">
        <f>IFERROR(INDEX('Facility Summary'!$K:$K,MATCH(K1955,'Facility Summary'!$J:$J,0)),INDEX('Raw Annual DMR Data'!$M:$M,MATCH(K1955,'Raw Annual DMR Data'!$L:$L,0)))</f>
        <v>Remediation</v>
      </c>
      <c r="M1955" s="28"/>
      <c r="N1955" s="28"/>
      <c r="O1955" s="28"/>
      <c r="P1955" s="28"/>
      <c r="Q1955" s="28"/>
      <c r="R1955" s="28">
        <f t="shared" si="12"/>
        <v>5.3611304683101263E-3</v>
      </c>
      <c r="S1955" s="28">
        <v>2.431767875E-3</v>
      </c>
    </row>
    <row r="1956" spans="1:19" x14ac:dyDescent="0.25">
      <c r="A1956" s="28">
        <v>2021</v>
      </c>
      <c r="B1956" s="28"/>
      <c r="C1956" s="28" t="s">
        <v>157</v>
      </c>
      <c r="D1956" s="28" t="s">
        <v>504</v>
      </c>
      <c r="E1956" s="28" t="s">
        <v>505</v>
      </c>
      <c r="F1956" s="28" t="s">
        <v>506</v>
      </c>
      <c r="G1956" s="28">
        <v>20910</v>
      </c>
      <c r="H1956" s="28">
        <v>38.987340000000003</v>
      </c>
      <c r="I1956" s="28">
        <v>-77.026660000000007</v>
      </c>
      <c r="J1956" s="28"/>
      <c r="K1956" s="61">
        <v>110037096674</v>
      </c>
      <c r="L1956" s="61" t="str">
        <f>IFERROR(INDEX('Facility Summary'!$K:$K,MATCH(K1956,'Facility Summary'!$J:$J,0)),INDEX('Raw Annual DMR Data'!$M:$M,MATCH(K1956,'Raw Annual DMR Data'!$L:$L,0)))</f>
        <v>Remediation</v>
      </c>
      <c r="M1956" s="28"/>
      <c r="N1956" s="28"/>
      <c r="O1956" s="28"/>
      <c r="P1956" s="28"/>
      <c r="Q1956" s="28"/>
      <c r="R1956" s="28">
        <f t="shared" si="12"/>
        <v>0.15315157409393812</v>
      </c>
      <c r="S1956" s="28">
        <v>6.9468385462500004E-2</v>
      </c>
    </row>
    <row r="1957" spans="1:19" x14ac:dyDescent="0.25">
      <c r="A1957" s="28">
        <v>2022</v>
      </c>
      <c r="B1957" s="28"/>
      <c r="C1957" s="28" t="s">
        <v>157</v>
      </c>
      <c r="D1957" s="28" t="s">
        <v>504</v>
      </c>
      <c r="E1957" s="28" t="s">
        <v>505</v>
      </c>
      <c r="F1957" s="28" t="s">
        <v>506</v>
      </c>
      <c r="G1957" s="28">
        <v>20910</v>
      </c>
      <c r="H1957" s="28">
        <v>38.987340000000003</v>
      </c>
      <c r="I1957" s="28">
        <v>-77.026660000000007</v>
      </c>
      <c r="J1957" s="28"/>
      <c r="K1957" s="61">
        <v>110037096674</v>
      </c>
      <c r="L1957" s="61" t="str">
        <f>IFERROR(INDEX('Facility Summary'!$K:$K,MATCH(K1957,'Facility Summary'!$J:$J,0)),INDEX('Raw Annual DMR Data'!$M:$M,MATCH(K1957,'Raw Annual DMR Data'!$L:$L,0)))</f>
        <v>Remediation</v>
      </c>
      <c r="M1957" s="28"/>
      <c r="N1957" s="28"/>
      <c r="O1957" s="28"/>
      <c r="P1957" s="28"/>
      <c r="Q1957" s="28"/>
      <c r="R1957" s="28">
        <f t="shared" si="12"/>
        <v>5.9287497375848708E-2</v>
      </c>
      <c r="S1957" s="28">
        <v>2.6892356446079999E-2</v>
      </c>
    </row>
    <row r="1958" spans="1:19" x14ac:dyDescent="0.25">
      <c r="A1958" s="28">
        <v>2024</v>
      </c>
      <c r="B1958" s="28"/>
      <c r="C1958" s="28" t="s">
        <v>1163</v>
      </c>
      <c r="D1958" s="28" t="s">
        <v>1865</v>
      </c>
      <c r="E1958" s="28" t="s">
        <v>987</v>
      </c>
      <c r="F1958" s="28" t="s">
        <v>324</v>
      </c>
      <c r="G1958" s="28" t="s">
        <v>1866</v>
      </c>
      <c r="H1958" s="28">
        <v>38.322221999999996</v>
      </c>
      <c r="I1958" s="28">
        <v>-85.555000000000007</v>
      </c>
      <c r="J1958" s="28"/>
      <c r="K1958" s="61">
        <v>110000732271</v>
      </c>
      <c r="L1958" s="61" t="str">
        <f>IFERROR(INDEX('Facility Summary'!$K:$K,MATCH(K1958,'Facility Summary'!$J:$J,0)),INDEX('Raw Annual DMR Data'!$M:$M,MATCH(K1958,'Raw Annual DMR Data'!$L:$L,0)))</f>
        <v>POTW</v>
      </c>
      <c r="M1958" s="28"/>
      <c r="N1958" s="28"/>
      <c r="O1958" s="28"/>
      <c r="P1958" s="28"/>
      <c r="Q1958" s="28"/>
      <c r="R1958" s="28">
        <f t="shared" si="12"/>
        <v>42.868808342168542</v>
      </c>
      <c r="S1958" s="28">
        <v>19.444964375000001</v>
      </c>
    </row>
    <row r="1959" spans="1:19" x14ac:dyDescent="0.25">
      <c r="A1959" s="28">
        <v>2021</v>
      </c>
      <c r="B1959" s="28"/>
      <c r="C1959" s="28" t="s">
        <v>1163</v>
      </c>
      <c r="D1959" s="28" t="s">
        <v>1865</v>
      </c>
      <c r="E1959" s="28" t="s">
        <v>987</v>
      </c>
      <c r="F1959" s="28" t="s">
        <v>324</v>
      </c>
      <c r="G1959" s="28" t="s">
        <v>1866</v>
      </c>
      <c r="H1959" s="28">
        <v>38.322221999999996</v>
      </c>
      <c r="I1959" s="28">
        <v>-85.555000000000007</v>
      </c>
      <c r="J1959" s="28"/>
      <c r="K1959" s="61">
        <v>110000732271</v>
      </c>
      <c r="L1959" s="61" t="str">
        <f>IFERROR(INDEX('Facility Summary'!$K:$K,MATCH(K1959,'Facility Summary'!$J:$J,0)),INDEX('Raw Annual DMR Data'!$M:$M,MATCH(K1959,'Raw Annual DMR Data'!$L:$L,0)))</f>
        <v>POTW</v>
      </c>
      <c r="M1959" s="28"/>
      <c r="N1959" s="28"/>
      <c r="O1959" s="28"/>
      <c r="P1959" s="28"/>
      <c r="Q1959" s="28"/>
      <c r="R1959" s="28">
        <f t="shared" si="12"/>
        <v>32.414301440961189</v>
      </c>
      <c r="S1959" s="28">
        <v>14.702879812500001</v>
      </c>
    </row>
    <row r="1960" spans="1:19" x14ac:dyDescent="0.25">
      <c r="A1960" s="28">
        <v>2022</v>
      </c>
      <c r="B1960" s="28"/>
      <c r="C1960" s="28" t="s">
        <v>1163</v>
      </c>
      <c r="D1960" s="28" t="s">
        <v>1865</v>
      </c>
      <c r="E1960" s="28" t="s">
        <v>987</v>
      </c>
      <c r="F1960" s="28" t="s">
        <v>324</v>
      </c>
      <c r="G1960" s="28" t="s">
        <v>1866</v>
      </c>
      <c r="H1960" s="28">
        <v>38.322221999999996</v>
      </c>
      <c r="I1960" s="28">
        <v>-85.555000000000007</v>
      </c>
      <c r="J1960" s="28"/>
      <c r="K1960" s="61">
        <v>110000732271</v>
      </c>
      <c r="L1960" s="61" t="str">
        <f>IFERROR(INDEX('Facility Summary'!$K:$K,MATCH(K1960,'Facility Summary'!$J:$J,0)),INDEX('Raw Annual DMR Data'!$M:$M,MATCH(K1960,'Raw Annual DMR Data'!$L:$L,0)))</f>
        <v>POTW</v>
      </c>
      <c r="M1960" s="28"/>
      <c r="N1960" s="28"/>
      <c r="O1960" s="28"/>
      <c r="P1960" s="28"/>
      <c r="Q1960" s="28"/>
      <c r="R1960" s="28">
        <f t="shared" si="12"/>
        <v>0.31401592469467687</v>
      </c>
      <c r="S1960" s="28">
        <v>0.14243522750000001</v>
      </c>
    </row>
    <row r="1961" spans="1:19" x14ac:dyDescent="0.25">
      <c r="A1961" s="28">
        <v>2024</v>
      </c>
      <c r="B1961" s="28"/>
      <c r="C1961" s="28" t="s">
        <v>1167</v>
      </c>
      <c r="D1961" s="28" t="s">
        <v>1875</v>
      </c>
      <c r="E1961" s="28" t="s">
        <v>1168</v>
      </c>
      <c r="F1961" s="28" t="s">
        <v>338</v>
      </c>
      <c r="G1961" s="28">
        <v>79621057</v>
      </c>
      <c r="H1961" s="28">
        <v>40.792712999999999</v>
      </c>
      <c r="I1961" s="28">
        <v>-74.434799999999996</v>
      </c>
      <c r="J1961" s="28"/>
      <c r="K1961" s="61">
        <v>110070212650</v>
      </c>
      <c r="L1961" s="61" t="str">
        <f>IFERROR(INDEX('Facility Summary'!$K:$K,MATCH(K1961,'Facility Summary'!$J:$J,0)),INDEX('Raw Annual DMR Data'!$M:$M,MATCH(K1961,'Raw Annual DMR Data'!$L:$L,0)))</f>
        <v>Processing into formulation, mixture, or reaction product</v>
      </c>
      <c r="M1961" s="28"/>
      <c r="N1961" s="28"/>
      <c r="O1961" s="28"/>
      <c r="P1961" s="28"/>
      <c r="Q1961" s="28"/>
      <c r="R1961" s="28">
        <f t="shared" si="12"/>
        <v>8.5122122441124839E-2</v>
      </c>
      <c r="S1961" s="28">
        <v>3.8610745257500002E-2</v>
      </c>
    </row>
    <row r="1962" spans="1:19" x14ac:dyDescent="0.25">
      <c r="A1962" s="28">
        <v>2022</v>
      </c>
      <c r="B1962" s="28"/>
      <c r="C1962" s="28" t="s">
        <v>1167</v>
      </c>
      <c r="D1962" s="28" t="s">
        <v>1875</v>
      </c>
      <c r="E1962" s="28" t="s">
        <v>1168</v>
      </c>
      <c r="F1962" s="28" t="s">
        <v>338</v>
      </c>
      <c r="G1962" s="28">
        <v>79621057</v>
      </c>
      <c r="H1962" s="28">
        <v>40.792712999999999</v>
      </c>
      <c r="I1962" s="28">
        <v>-74.434799999999996</v>
      </c>
      <c r="J1962" s="28"/>
      <c r="K1962" s="61">
        <v>110070212650</v>
      </c>
      <c r="L1962" s="61" t="str">
        <f>IFERROR(INDEX('Facility Summary'!$K:$K,MATCH(K1962,'Facility Summary'!$J:$J,0)),INDEX('Raw Annual DMR Data'!$M:$M,MATCH(K1962,'Raw Annual DMR Data'!$L:$L,0)))</f>
        <v>Processing into formulation, mixture, or reaction product</v>
      </c>
      <c r="M1962" s="28"/>
      <c r="N1962" s="28"/>
      <c r="O1962" s="28"/>
      <c r="P1962" s="28"/>
      <c r="Q1962" s="28"/>
      <c r="R1962" s="28">
        <f t="shared" si="12"/>
        <v>6.3898358398312566E-2</v>
      </c>
      <c r="S1962" s="28">
        <v>2.8983807824999999E-2</v>
      </c>
    </row>
    <row r="1963" spans="1:19" x14ac:dyDescent="0.25">
      <c r="A1963" s="28">
        <v>2021</v>
      </c>
      <c r="B1963" s="28"/>
      <c r="C1963" s="28" t="s">
        <v>1167</v>
      </c>
      <c r="D1963" s="28" t="s">
        <v>1875</v>
      </c>
      <c r="E1963" s="28" t="s">
        <v>1168</v>
      </c>
      <c r="F1963" s="28" t="s">
        <v>338</v>
      </c>
      <c r="G1963" s="28">
        <v>79621057</v>
      </c>
      <c r="H1963" s="28">
        <v>40.792712999999999</v>
      </c>
      <c r="I1963" s="28">
        <v>-74.434799999999996</v>
      </c>
      <c r="J1963" s="28"/>
      <c r="K1963" s="61">
        <v>110070212650</v>
      </c>
      <c r="L1963" s="61" t="str">
        <f>IFERROR(INDEX('Facility Summary'!$K:$K,MATCH(K1963,'Facility Summary'!$J:$J,0)),INDEX('Raw Annual DMR Data'!$M:$M,MATCH(K1963,'Raw Annual DMR Data'!$L:$L,0)))</f>
        <v>Processing into formulation, mixture, or reaction product</v>
      </c>
      <c r="M1963" s="28"/>
      <c r="N1963" s="28"/>
      <c r="O1963" s="28"/>
      <c r="P1963" s="28"/>
      <c r="Q1963" s="28"/>
      <c r="R1963" s="28">
        <f t="shared" si="12"/>
        <v>6.0487161556531471E-2</v>
      </c>
      <c r="S1963" s="28">
        <v>2.7436514964999999E-2</v>
      </c>
    </row>
    <row r="1964" spans="1:19" x14ac:dyDescent="0.25">
      <c r="A1964" s="28">
        <v>2023</v>
      </c>
      <c r="B1964" s="28"/>
      <c r="C1964" s="28" t="s">
        <v>1167</v>
      </c>
      <c r="D1964" s="28" t="s">
        <v>1875</v>
      </c>
      <c r="E1964" s="28" t="s">
        <v>1168</v>
      </c>
      <c r="F1964" s="28" t="s">
        <v>338</v>
      </c>
      <c r="G1964" s="28" t="s">
        <v>1878</v>
      </c>
      <c r="H1964" s="28">
        <v>40.792712999999999</v>
      </c>
      <c r="I1964" s="28">
        <v>-74.434799999999996</v>
      </c>
      <c r="J1964" s="28"/>
      <c r="K1964" s="61">
        <v>110070212650</v>
      </c>
      <c r="L1964" s="61" t="str">
        <f>IFERROR(INDEX('Facility Summary'!$K:$K,MATCH(K1964,'Facility Summary'!$J:$J,0)),INDEX('Raw Annual DMR Data'!$M:$M,MATCH(K1964,'Raw Annual DMR Data'!$L:$L,0)))</f>
        <v>Processing into formulation, mixture, or reaction product</v>
      </c>
      <c r="M1964" s="28"/>
      <c r="N1964" s="28"/>
      <c r="O1964" s="28"/>
      <c r="P1964" s="28"/>
      <c r="Q1964" s="28"/>
      <c r="R1964" s="28">
        <f t="shared" si="12"/>
        <v>3.9924678009905679E-2</v>
      </c>
      <c r="S1964" s="28">
        <v>1.8109529320000001E-2</v>
      </c>
    </row>
    <row r="1965" spans="1:19" x14ac:dyDescent="0.25">
      <c r="A1965" s="28">
        <v>2021</v>
      </c>
      <c r="B1965" s="28"/>
      <c r="C1965" s="28" t="s">
        <v>160</v>
      </c>
      <c r="D1965" s="28" t="s">
        <v>515</v>
      </c>
      <c r="E1965" s="28" t="s">
        <v>516</v>
      </c>
      <c r="F1965" s="28" t="s">
        <v>303</v>
      </c>
      <c r="G1965" s="28" t="s">
        <v>517</v>
      </c>
      <c r="H1965" s="28">
        <v>30.221900000000002</v>
      </c>
      <c r="I1965" s="28">
        <v>-91.051500000000004</v>
      </c>
      <c r="J1965" s="28" t="s">
        <v>518</v>
      </c>
      <c r="K1965" s="61">
        <v>110033659878</v>
      </c>
      <c r="L1965" s="61" t="str">
        <f>IFERROR(INDEX('Facility Summary'!$K:$K,MATCH(K1965,'Facility Summary'!$J:$J,0)),INDEX('Raw Annual DMR Data'!$M:$M,MATCH(K1965,'Raw Annual DMR Data'!$L:$L,0)))</f>
        <v>Manufacturing</v>
      </c>
      <c r="M1965" s="28"/>
      <c r="N1965" s="28"/>
      <c r="O1965" s="28"/>
      <c r="P1965" s="28"/>
      <c r="Q1965" s="28"/>
      <c r="R1965" s="28">
        <f t="shared" si="12"/>
        <v>8.7678723519974557</v>
      </c>
      <c r="S1965" s="28">
        <v>3.9770400000000001</v>
      </c>
    </row>
    <row r="1966" spans="1:19" x14ac:dyDescent="0.25">
      <c r="A1966" s="28">
        <v>2023</v>
      </c>
      <c r="B1966" s="28"/>
      <c r="C1966" s="28" t="s">
        <v>160</v>
      </c>
      <c r="D1966" s="28" t="s">
        <v>515</v>
      </c>
      <c r="E1966" s="28" t="s">
        <v>516</v>
      </c>
      <c r="F1966" s="28" t="s">
        <v>303</v>
      </c>
      <c r="G1966" s="28" t="s">
        <v>517</v>
      </c>
      <c r="H1966" s="28">
        <v>30.221900000000002</v>
      </c>
      <c r="I1966" s="28">
        <v>-91.051500000000004</v>
      </c>
      <c r="J1966" s="28" t="s">
        <v>518</v>
      </c>
      <c r="K1966" s="61">
        <v>110033659878</v>
      </c>
      <c r="L1966" s="61" t="str">
        <f>IFERROR(INDEX('Facility Summary'!$K:$K,MATCH(K1966,'Facility Summary'!$J:$J,0)),INDEX('Raw Annual DMR Data'!$M:$M,MATCH(K1966,'Raw Annual DMR Data'!$L:$L,0)))</f>
        <v>Manufacturing</v>
      </c>
      <c r="M1966" s="28"/>
      <c r="N1966" s="28"/>
      <c r="O1966" s="28"/>
      <c r="P1966" s="28"/>
      <c r="Q1966" s="28"/>
      <c r="R1966" s="28">
        <f t="shared" si="12"/>
        <v>8.4025443373308946</v>
      </c>
      <c r="S1966" s="28">
        <v>3.8113299999999999</v>
      </c>
    </row>
    <row r="1967" spans="1:19" x14ac:dyDescent="0.25">
      <c r="A1967" s="28">
        <v>2024</v>
      </c>
      <c r="B1967" s="28"/>
      <c r="C1967" s="28" t="s">
        <v>160</v>
      </c>
      <c r="D1967" s="28" t="s">
        <v>515</v>
      </c>
      <c r="E1967" s="28" t="s">
        <v>516</v>
      </c>
      <c r="F1967" s="28" t="s">
        <v>303</v>
      </c>
      <c r="G1967" s="28" t="s">
        <v>517</v>
      </c>
      <c r="H1967" s="28">
        <v>30.221900000000002</v>
      </c>
      <c r="I1967" s="28">
        <v>-91.051500000000004</v>
      </c>
      <c r="J1967" s="28" t="s">
        <v>518</v>
      </c>
      <c r="K1967" s="61">
        <v>110033659878</v>
      </c>
      <c r="L1967" s="61" t="str">
        <f>IFERROR(INDEX('Facility Summary'!$K:$K,MATCH(K1967,'Facility Summary'!$J:$J,0)),INDEX('Raw Annual DMR Data'!$M:$M,MATCH(K1967,'Raw Annual DMR Data'!$L:$L,0)))</f>
        <v>Manufacturing</v>
      </c>
      <c r="M1967" s="28"/>
      <c r="N1967" s="28"/>
      <c r="O1967" s="28"/>
      <c r="P1967" s="28"/>
      <c r="Q1967" s="28"/>
      <c r="R1967" s="28">
        <f t="shared" si="12"/>
        <v>1.8266400733328032</v>
      </c>
      <c r="S1967" s="28">
        <v>0.82855000000000001</v>
      </c>
    </row>
    <row r="1968" spans="1:19" x14ac:dyDescent="0.25">
      <c r="A1968" s="28">
        <v>2021</v>
      </c>
      <c r="B1968" s="28"/>
      <c r="C1968" s="28" t="s">
        <v>1172</v>
      </c>
      <c r="D1968" s="28" t="s">
        <v>1884</v>
      </c>
      <c r="E1968" s="28" t="s">
        <v>1173</v>
      </c>
      <c r="F1968" s="28" t="s">
        <v>324</v>
      </c>
      <c r="G1968" s="28">
        <v>42240</v>
      </c>
      <c r="H1968" s="28">
        <v>36.803610999999997</v>
      </c>
      <c r="I1968" s="28">
        <v>-87.516389000000004</v>
      </c>
      <c r="J1968" s="28"/>
      <c r="K1968" s="61">
        <v>110039994897</v>
      </c>
      <c r="L1968" s="61" t="str">
        <f>IFERROR(INDEX('Facility Summary'!$K:$K,MATCH(K1968,'Facility Summary'!$J:$J,0)),INDEX('Raw Annual DMR Data'!$M:$M,MATCH(K1968,'Raw Annual DMR Data'!$L:$L,0)))</f>
        <v>POTW</v>
      </c>
      <c r="M1968" s="28"/>
      <c r="N1968" s="28"/>
      <c r="O1968" s="28"/>
      <c r="P1968" s="28"/>
      <c r="Q1968" s="28"/>
      <c r="R1968" s="28">
        <f t="shared" si="12"/>
        <v>11.509856250447951</v>
      </c>
      <c r="S1968" s="28">
        <v>5.2207829749999997</v>
      </c>
    </row>
    <row r="1969" spans="1:19" x14ac:dyDescent="0.25">
      <c r="A1969" s="28">
        <v>2024</v>
      </c>
      <c r="B1969" s="28"/>
      <c r="C1969" s="28" t="s">
        <v>1172</v>
      </c>
      <c r="D1969" s="28" t="s">
        <v>1884</v>
      </c>
      <c r="E1969" s="28" t="s">
        <v>1173</v>
      </c>
      <c r="F1969" s="28" t="s">
        <v>324</v>
      </c>
      <c r="G1969" s="28">
        <v>42240</v>
      </c>
      <c r="H1969" s="28">
        <v>36.803610999999997</v>
      </c>
      <c r="I1969" s="28">
        <v>-87.516389000000004</v>
      </c>
      <c r="J1969" s="28"/>
      <c r="K1969" s="61">
        <v>110039994897</v>
      </c>
      <c r="L1969" s="61" t="str">
        <f>IFERROR(INDEX('Facility Summary'!$K:$K,MATCH(K1969,'Facility Summary'!$J:$J,0)),INDEX('Raw Annual DMR Data'!$M:$M,MATCH(K1969,'Raw Annual DMR Data'!$L:$L,0)))</f>
        <v>POTW</v>
      </c>
      <c r="M1969" s="28"/>
      <c r="N1969" s="28"/>
      <c r="O1969" s="28"/>
      <c r="P1969" s="28"/>
      <c r="Q1969" s="28"/>
      <c r="R1969" s="28">
        <f t="shared" si="12"/>
        <v>9.1098121315400444</v>
      </c>
      <c r="S1969" s="28">
        <v>4.1321412750000004</v>
      </c>
    </row>
    <row r="1970" spans="1:19" x14ac:dyDescent="0.25">
      <c r="A1970" s="28">
        <v>2021</v>
      </c>
      <c r="B1970" s="28"/>
      <c r="C1970" s="28" t="s">
        <v>1176</v>
      </c>
      <c r="D1970" s="28" t="s">
        <v>1891</v>
      </c>
      <c r="E1970" s="28" t="s">
        <v>657</v>
      </c>
      <c r="F1970" s="28" t="s">
        <v>418</v>
      </c>
      <c r="G1970" s="28">
        <v>89169</v>
      </c>
      <c r="H1970" s="28">
        <v>36.119079999999997</v>
      </c>
      <c r="I1970" s="28">
        <v>-115.15727</v>
      </c>
      <c r="J1970" s="28"/>
      <c r="K1970" s="61">
        <v>110037274133</v>
      </c>
      <c r="L1970" s="61" t="str">
        <f>IFERROR(INDEX('Facility Summary'!$K:$K,MATCH(K1970,'Facility Summary'!$J:$J,0)),INDEX('Raw Annual DMR Data'!$M:$M,MATCH(K1970,'Raw Annual DMR Data'!$L:$L,0)))</f>
        <v>Unknown</v>
      </c>
      <c r="M1970" s="28"/>
      <c r="N1970" s="28"/>
      <c r="O1970" s="28"/>
      <c r="P1970" s="28"/>
      <c r="Q1970" s="28"/>
      <c r="R1970" s="28">
        <f t="shared" si="12"/>
        <v>1.4132239481894284E-3</v>
      </c>
      <c r="S1970" s="28">
        <v>6.4102759999999995E-4</v>
      </c>
    </row>
    <row r="1971" spans="1:19" x14ac:dyDescent="0.25">
      <c r="A1971" s="28">
        <v>2024</v>
      </c>
      <c r="B1971" s="28"/>
      <c r="C1971" s="28" t="s">
        <v>1176</v>
      </c>
      <c r="D1971" s="28" t="s">
        <v>1891</v>
      </c>
      <c r="E1971" s="28" t="s">
        <v>657</v>
      </c>
      <c r="F1971" s="28" t="s">
        <v>418</v>
      </c>
      <c r="G1971" s="28">
        <v>89169</v>
      </c>
      <c r="H1971" s="28">
        <v>36.119079999999997</v>
      </c>
      <c r="I1971" s="28">
        <v>-115.15727</v>
      </c>
      <c r="J1971" s="28"/>
      <c r="K1971" s="61">
        <v>110037274133</v>
      </c>
      <c r="L1971" s="61" t="str">
        <f>IFERROR(INDEX('Facility Summary'!$K:$K,MATCH(K1971,'Facility Summary'!$J:$J,0)),INDEX('Raw Annual DMR Data'!$M:$M,MATCH(K1971,'Raw Annual DMR Data'!$L:$L,0)))</f>
        <v>Unknown</v>
      </c>
      <c r="M1971" s="28"/>
      <c r="N1971" s="28"/>
      <c r="O1971" s="28"/>
      <c r="P1971" s="28"/>
      <c r="Q1971" s="28"/>
      <c r="R1971" s="28">
        <f t="shared" si="12"/>
        <v>3.0914273866643741E-4</v>
      </c>
      <c r="S1971" s="28">
        <v>1.4022478749999999E-4</v>
      </c>
    </row>
    <row r="1972" spans="1:19" x14ac:dyDescent="0.25">
      <c r="A1972" s="28">
        <v>2023</v>
      </c>
      <c r="B1972" s="28"/>
      <c r="C1972" s="28" t="s">
        <v>1176</v>
      </c>
      <c r="D1972" s="28" t="s">
        <v>1891</v>
      </c>
      <c r="E1972" s="28" t="s">
        <v>657</v>
      </c>
      <c r="F1972" s="28" t="s">
        <v>418</v>
      </c>
      <c r="G1972" s="28">
        <v>89169</v>
      </c>
      <c r="H1972" s="28">
        <v>36.119079999999997</v>
      </c>
      <c r="I1972" s="28">
        <v>-115.15727</v>
      </c>
      <c r="J1972" s="28"/>
      <c r="K1972" s="61">
        <v>110037274133</v>
      </c>
      <c r="L1972" s="61" t="str">
        <f>IFERROR(INDEX('Facility Summary'!$K:$K,MATCH(K1972,'Facility Summary'!$J:$J,0)),INDEX('Raw Annual DMR Data'!$M:$M,MATCH(K1972,'Raw Annual DMR Data'!$L:$L,0)))</f>
        <v>Unknown</v>
      </c>
      <c r="M1972" s="28"/>
      <c r="N1972" s="28"/>
      <c r="O1972" s="28"/>
      <c r="P1972" s="28"/>
      <c r="Q1972" s="28"/>
      <c r="R1972" s="28">
        <f t="shared" si="12"/>
        <v>4.5686119014744448E-6</v>
      </c>
      <c r="S1972" s="28">
        <v>2.0722875E-6</v>
      </c>
    </row>
    <row r="1973" spans="1:19" x14ac:dyDescent="0.25">
      <c r="A1973" s="28">
        <v>2022</v>
      </c>
      <c r="B1973" s="28"/>
      <c r="C1973" s="28" t="s">
        <v>1176</v>
      </c>
      <c r="D1973" s="28" t="s">
        <v>1891</v>
      </c>
      <c r="E1973" s="28" t="s">
        <v>657</v>
      </c>
      <c r="F1973" s="28" t="s">
        <v>418</v>
      </c>
      <c r="G1973" s="28">
        <v>89169</v>
      </c>
      <c r="H1973" s="28">
        <v>36.119079999999997</v>
      </c>
      <c r="I1973" s="28">
        <v>-115.15727</v>
      </c>
      <c r="J1973" s="28"/>
      <c r="K1973" s="61">
        <v>110037274133</v>
      </c>
      <c r="L1973" s="61" t="str">
        <f>IFERROR(INDEX('Facility Summary'!$K:$K,MATCH(K1973,'Facility Summary'!$J:$J,0)),INDEX('Raw Annual DMR Data'!$M:$M,MATCH(K1973,'Raw Annual DMR Data'!$L:$L,0)))</f>
        <v>Unknown</v>
      </c>
      <c r="M1973" s="28"/>
      <c r="N1973" s="28"/>
      <c r="O1973" s="28"/>
      <c r="P1973" s="28"/>
      <c r="Q1973" s="28"/>
      <c r="R1973" s="28">
        <f t="shared" si="12"/>
        <v>3.04574126764963E-6</v>
      </c>
      <c r="S1973" s="28">
        <v>1.3815250000000001E-6</v>
      </c>
    </row>
    <row r="1974" spans="1:19" x14ac:dyDescent="0.25">
      <c r="A1974" s="28">
        <v>2021</v>
      </c>
      <c r="B1974" s="28"/>
      <c r="C1974" s="28" t="s">
        <v>162</v>
      </c>
      <c r="D1974" s="28" t="s">
        <v>525</v>
      </c>
      <c r="E1974" s="28" t="s">
        <v>526</v>
      </c>
      <c r="F1974" s="28" t="s">
        <v>362</v>
      </c>
      <c r="G1974" s="28">
        <v>77301</v>
      </c>
      <c r="H1974" s="28">
        <v>30.316129</v>
      </c>
      <c r="I1974" s="28">
        <v>-95.387682999999996</v>
      </c>
      <c r="J1974" s="28" t="s">
        <v>527</v>
      </c>
      <c r="K1974" s="61">
        <v>110000748095</v>
      </c>
      <c r="L1974" s="61" t="str">
        <f>IFERROR(INDEX('Facility Summary'!$K:$K,MATCH(K1974,'Facility Summary'!$J:$J,0)),INDEX('Raw Annual DMR Data'!$M:$M,MATCH(K1974,'Raw Annual DMR Data'!$L:$L,0)))</f>
        <v>Manufacturing</v>
      </c>
      <c r="M1974" s="28"/>
      <c r="N1974" s="28"/>
      <c r="O1974" s="28"/>
      <c r="P1974" s="28"/>
      <c r="Q1974" s="28"/>
      <c r="R1974" s="28">
        <f t="shared" si="12"/>
        <v>8.8592043556640938</v>
      </c>
      <c r="S1974" s="28">
        <v>4.0184674999999999</v>
      </c>
    </row>
    <row r="1975" spans="1:19" x14ac:dyDescent="0.25">
      <c r="A1975" s="28">
        <v>2021</v>
      </c>
      <c r="B1975" s="28"/>
      <c r="C1975" s="28" t="s">
        <v>162</v>
      </c>
      <c r="D1975" s="28" t="s">
        <v>525</v>
      </c>
      <c r="E1975" s="28" t="s">
        <v>526</v>
      </c>
      <c r="F1975" s="28" t="s">
        <v>362</v>
      </c>
      <c r="G1975" s="28">
        <v>77301</v>
      </c>
      <c r="H1975" s="28">
        <v>30.316129</v>
      </c>
      <c r="I1975" s="28">
        <v>-95.387682999999996</v>
      </c>
      <c r="J1975" s="28" t="s">
        <v>527</v>
      </c>
      <c r="K1975" s="61">
        <v>110000748095</v>
      </c>
      <c r="L1975" s="61" t="str">
        <f>IFERROR(INDEX('Facility Summary'!$K:$K,MATCH(K1975,'Facility Summary'!$J:$J,0)),INDEX('Raw Annual DMR Data'!$M:$M,MATCH(K1975,'Raw Annual DMR Data'!$L:$L,0)))</f>
        <v>Manufacturing</v>
      </c>
      <c r="M1975" s="28"/>
      <c r="N1975" s="28"/>
      <c r="O1975" s="28"/>
      <c r="P1975" s="28"/>
      <c r="Q1975" s="28"/>
      <c r="R1975" s="28">
        <f t="shared" si="12"/>
        <v>3.0504889224657812</v>
      </c>
      <c r="S1975" s="28">
        <v>1.3836785</v>
      </c>
    </row>
    <row r="1976" spans="1:19" x14ac:dyDescent="0.25">
      <c r="A1976" s="28">
        <v>2022</v>
      </c>
      <c r="B1976" s="28"/>
      <c r="C1976" s="28" t="s">
        <v>162</v>
      </c>
      <c r="D1976" s="28" t="s">
        <v>525</v>
      </c>
      <c r="E1976" s="28" t="s">
        <v>526</v>
      </c>
      <c r="F1976" s="28" t="s">
        <v>362</v>
      </c>
      <c r="G1976" s="28">
        <v>77301</v>
      </c>
      <c r="H1976" s="28">
        <v>30.316129</v>
      </c>
      <c r="I1976" s="28">
        <v>-95.387682999999996</v>
      </c>
      <c r="J1976" s="28" t="s">
        <v>527</v>
      </c>
      <c r="K1976" s="61">
        <v>110000748095</v>
      </c>
      <c r="L1976" s="61" t="str">
        <f>IFERROR(INDEX('Facility Summary'!$K:$K,MATCH(K1976,'Facility Summary'!$J:$J,0)),INDEX('Raw Annual DMR Data'!$M:$M,MATCH(K1976,'Raw Annual DMR Data'!$L:$L,0)))</f>
        <v>Manufacturing</v>
      </c>
      <c r="M1976" s="28"/>
      <c r="N1976" s="28"/>
      <c r="O1976" s="28"/>
      <c r="P1976" s="28"/>
      <c r="Q1976" s="28"/>
      <c r="R1976" s="28">
        <f t="shared" si="12"/>
        <v>0.4566600183332008</v>
      </c>
      <c r="S1976" s="28">
        <v>0.2071375</v>
      </c>
    </row>
    <row r="1977" spans="1:19" x14ac:dyDescent="0.25">
      <c r="A1977" s="28">
        <v>2024</v>
      </c>
      <c r="B1977" s="28"/>
      <c r="C1977" s="28" t="s">
        <v>162</v>
      </c>
      <c r="D1977" s="28" t="s">
        <v>525</v>
      </c>
      <c r="E1977" s="28" t="s">
        <v>526</v>
      </c>
      <c r="F1977" s="28" t="s">
        <v>362</v>
      </c>
      <c r="G1977" s="28">
        <v>77301</v>
      </c>
      <c r="H1977" s="28">
        <v>30.316129</v>
      </c>
      <c r="I1977" s="28">
        <v>-95.387682999999996</v>
      </c>
      <c r="J1977" s="28" t="s">
        <v>527</v>
      </c>
      <c r="K1977" s="61">
        <v>110000748095</v>
      </c>
      <c r="L1977" s="61" t="str">
        <f>IFERROR(INDEX('Facility Summary'!$K:$K,MATCH(K1977,'Facility Summary'!$J:$J,0)),INDEX('Raw Annual DMR Data'!$M:$M,MATCH(K1977,'Raw Annual DMR Data'!$L:$L,0)))</f>
        <v>Manufacturing</v>
      </c>
      <c r="M1977" s="28"/>
      <c r="N1977" s="28"/>
      <c r="O1977" s="28"/>
      <c r="P1977" s="28"/>
      <c r="Q1977" s="28"/>
      <c r="R1977" s="28">
        <f t="shared" si="12"/>
        <v>0.27929326721258563</v>
      </c>
      <c r="S1977" s="28">
        <v>0.126685295</v>
      </c>
    </row>
    <row r="1978" spans="1:19" x14ac:dyDescent="0.25">
      <c r="A1978" s="28">
        <v>2023</v>
      </c>
      <c r="B1978" s="28"/>
      <c r="C1978" s="28" t="s">
        <v>1177</v>
      </c>
      <c r="D1978" s="28" t="s">
        <v>1894</v>
      </c>
      <c r="E1978" s="28" t="s">
        <v>1178</v>
      </c>
      <c r="F1978" s="28" t="s">
        <v>308</v>
      </c>
      <c r="G1978" s="28" t="s">
        <v>7106</v>
      </c>
      <c r="H1978" s="28">
        <v>42.482259999999997</v>
      </c>
      <c r="I1978" s="28">
        <v>-71.191800000000001</v>
      </c>
      <c r="J1978" s="28"/>
      <c r="K1978" s="61">
        <v>110024468128</v>
      </c>
      <c r="L1978" s="61" t="str">
        <f>IFERROR(INDEX('Facility Summary'!$K:$K,MATCH(K1978,'Facility Summary'!$J:$J,0)),INDEX('Raw Annual DMR Data'!$M:$M,MATCH(K1978,'Raw Annual DMR Data'!$L:$L,0)))</f>
        <v>Unknown</v>
      </c>
      <c r="M1978" s="28"/>
      <c r="N1978" s="28"/>
      <c r="O1978" s="28"/>
      <c r="P1978" s="28"/>
      <c r="Q1978" s="28"/>
      <c r="R1978" s="28">
        <f t="shared" si="12"/>
        <v>7.4145775754561299E-2</v>
      </c>
      <c r="S1978" s="28">
        <v>3.3631958150000002E-2</v>
      </c>
    </row>
    <row r="1979" spans="1:19" x14ac:dyDescent="0.25">
      <c r="A1979" s="28">
        <v>2021</v>
      </c>
      <c r="B1979" s="28"/>
      <c r="C1979" s="28" t="s">
        <v>1177</v>
      </c>
      <c r="D1979" s="28" t="s">
        <v>1894</v>
      </c>
      <c r="E1979" s="28" t="s">
        <v>1178</v>
      </c>
      <c r="F1979" s="28" t="s">
        <v>308</v>
      </c>
      <c r="G1979" s="28">
        <v>1803</v>
      </c>
      <c r="H1979" s="28">
        <v>42.482259999999997</v>
      </c>
      <c r="I1979" s="28">
        <v>-71.191800000000001</v>
      </c>
      <c r="J1979" s="28"/>
      <c r="K1979" s="61">
        <v>110024468128</v>
      </c>
      <c r="L1979" s="61" t="str">
        <f>IFERROR(INDEX('Facility Summary'!$K:$K,MATCH(K1979,'Facility Summary'!$J:$J,0)),INDEX('Raw Annual DMR Data'!$M:$M,MATCH(K1979,'Raw Annual DMR Data'!$L:$L,0)))</f>
        <v>Unknown</v>
      </c>
      <c r="M1979" s="28"/>
      <c r="N1979" s="28"/>
      <c r="O1979" s="28"/>
      <c r="P1979" s="28"/>
      <c r="Q1979" s="28"/>
      <c r="R1979" s="28">
        <f t="shared" si="12"/>
        <v>6.5488694287339971E-2</v>
      </c>
      <c r="S1979" s="28">
        <v>2.9705172049999999E-2</v>
      </c>
    </row>
    <row r="1980" spans="1:19" x14ac:dyDescent="0.25">
      <c r="A1980" s="28">
        <v>2022</v>
      </c>
      <c r="B1980" s="28"/>
      <c r="C1980" s="28" t="s">
        <v>1177</v>
      </c>
      <c r="D1980" s="28" t="s">
        <v>1894</v>
      </c>
      <c r="E1980" s="28" t="s">
        <v>1178</v>
      </c>
      <c r="F1980" s="28" t="s">
        <v>308</v>
      </c>
      <c r="G1980" s="28">
        <v>1803</v>
      </c>
      <c r="H1980" s="28">
        <v>42.482259999999997</v>
      </c>
      <c r="I1980" s="28">
        <v>-71.191800000000001</v>
      </c>
      <c r="J1980" s="28"/>
      <c r="K1980" s="61">
        <v>110024468128</v>
      </c>
      <c r="L1980" s="61" t="str">
        <f>IFERROR(INDEX('Facility Summary'!$K:$K,MATCH(K1980,'Facility Summary'!$J:$J,0)),INDEX('Raw Annual DMR Data'!$M:$M,MATCH(K1980,'Raw Annual DMR Data'!$L:$L,0)))</f>
        <v>Unknown</v>
      </c>
      <c r="M1980" s="28"/>
      <c r="N1980" s="28"/>
      <c r="O1980" s="28"/>
      <c r="P1980" s="28"/>
      <c r="Q1980" s="28"/>
      <c r="R1980" s="28">
        <f t="shared" ref="R1980:R2043" si="13">CONVERT(S1980,"g","lbm")*1000</f>
        <v>6.4849505845964731E-2</v>
      </c>
      <c r="S1980" s="28">
        <v>2.9415241049999999E-2</v>
      </c>
    </row>
    <row r="1981" spans="1:19" x14ac:dyDescent="0.25">
      <c r="A1981" s="28">
        <v>2022</v>
      </c>
      <c r="B1981" s="28"/>
      <c r="C1981" s="28" t="s">
        <v>6836</v>
      </c>
      <c r="D1981" s="28" t="s">
        <v>528</v>
      </c>
      <c r="E1981" s="28" t="s">
        <v>529</v>
      </c>
      <c r="F1981" s="28" t="s">
        <v>311</v>
      </c>
      <c r="G1981" s="28">
        <v>25515</v>
      </c>
      <c r="H1981" s="28">
        <v>38.772219999999997</v>
      </c>
      <c r="I1981" s="28">
        <v>-82.205560000000006</v>
      </c>
      <c r="J1981" s="28" t="s">
        <v>531</v>
      </c>
      <c r="K1981" s="61">
        <v>110000607772</v>
      </c>
      <c r="L1981" s="61" t="str">
        <f>IFERROR(INDEX('Facility Summary'!$K:$K,MATCH(K1981,'Facility Summary'!$J:$J,0)),INDEX('Raw Annual DMR Data'!$M:$M,MATCH(K1981,'Raw Annual DMR Data'!$L:$L,0)))</f>
        <v>Processing as a Reactant</v>
      </c>
      <c r="M1981" s="28"/>
      <c r="N1981" s="28"/>
      <c r="O1981" s="28"/>
      <c r="P1981" s="28"/>
      <c r="Q1981" s="28"/>
      <c r="R1981" s="28">
        <f t="shared" si="13"/>
        <v>0.91968289249914403</v>
      </c>
      <c r="S1981" s="28">
        <v>0.41716114285714201</v>
      </c>
    </row>
    <row r="1982" spans="1:19" x14ac:dyDescent="0.25">
      <c r="A1982" s="28">
        <v>2021</v>
      </c>
      <c r="B1982" s="28"/>
      <c r="C1982" s="28" t="s">
        <v>6836</v>
      </c>
      <c r="D1982" s="28" t="s">
        <v>528</v>
      </c>
      <c r="E1982" s="28" t="s">
        <v>529</v>
      </c>
      <c r="F1982" s="28" t="s">
        <v>311</v>
      </c>
      <c r="G1982" s="28">
        <v>25515</v>
      </c>
      <c r="H1982" s="28">
        <v>38.772219999999997</v>
      </c>
      <c r="I1982" s="28">
        <v>-82.205560000000006</v>
      </c>
      <c r="J1982" s="28" t="s">
        <v>531</v>
      </c>
      <c r="K1982" s="61">
        <v>110000607772</v>
      </c>
      <c r="L1982" s="61" t="str">
        <f>IFERROR(INDEX('Facility Summary'!$K:$K,MATCH(K1982,'Facility Summary'!$J:$J,0)),INDEX('Raw Annual DMR Data'!$M:$M,MATCH(K1982,'Raw Annual DMR Data'!$L:$L,0)))</f>
        <v>Processing as a Reactant</v>
      </c>
      <c r="M1982" s="28"/>
      <c r="N1982" s="28"/>
      <c r="O1982" s="28"/>
      <c r="P1982" s="28"/>
      <c r="Q1982" s="28"/>
      <c r="R1982" s="28">
        <f t="shared" si="13"/>
        <v>0.37628785510655743</v>
      </c>
      <c r="S1982" s="28">
        <v>0.17068130000000001</v>
      </c>
    </row>
    <row r="1983" spans="1:19" x14ac:dyDescent="0.25">
      <c r="A1983" s="28">
        <v>2021</v>
      </c>
      <c r="B1983" s="28"/>
      <c r="C1983" s="28" t="s">
        <v>1181</v>
      </c>
      <c r="D1983" s="28" t="s">
        <v>1903</v>
      </c>
      <c r="E1983" s="28" t="s">
        <v>1182</v>
      </c>
      <c r="F1983" s="28" t="s">
        <v>345</v>
      </c>
      <c r="G1983" s="28">
        <v>60439</v>
      </c>
      <c r="H1983" s="28">
        <v>41.692782000000001</v>
      </c>
      <c r="I1983" s="28">
        <v>-87.951100999999994</v>
      </c>
      <c r="J1983" s="28"/>
      <c r="K1983" s="61">
        <v>110018199377</v>
      </c>
      <c r="L1983" s="61" t="str">
        <f>IFERROR(INDEX('Facility Summary'!$K:$K,MATCH(K1983,'Facility Summary'!$J:$J,0)),INDEX('Raw Annual DMR Data'!$M:$M,MATCH(K1983,'Raw Annual DMR Data'!$L:$L,0)))</f>
        <v>Unknown</v>
      </c>
      <c r="M1983" s="28"/>
      <c r="N1983" s="28"/>
      <c r="O1983" s="28"/>
      <c r="P1983" s="28"/>
      <c r="Q1983" s="28"/>
      <c r="R1983" s="28">
        <f t="shared" si="13"/>
        <v>942.1498272777385</v>
      </c>
      <c r="S1983" s="28">
        <v>427.35197305000003</v>
      </c>
    </row>
    <row r="1984" spans="1:19" x14ac:dyDescent="0.25">
      <c r="A1984" s="28">
        <v>2024</v>
      </c>
      <c r="B1984" s="28"/>
      <c r="C1984" s="28" t="s">
        <v>1181</v>
      </c>
      <c r="D1984" s="28" t="s">
        <v>1903</v>
      </c>
      <c r="E1984" s="28" t="s">
        <v>1182</v>
      </c>
      <c r="F1984" s="28" t="s">
        <v>345</v>
      </c>
      <c r="G1984" s="28">
        <v>60439</v>
      </c>
      <c r="H1984" s="28">
        <v>41.692782000000001</v>
      </c>
      <c r="I1984" s="28">
        <v>-87.951100999999994</v>
      </c>
      <c r="J1984" s="28"/>
      <c r="K1984" s="61">
        <v>110018199377</v>
      </c>
      <c r="L1984" s="61" t="str">
        <f>IFERROR(INDEX('Facility Summary'!$K:$K,MATCH(K1984,'Facility Summary'!$J:$J,0)),INDEX('Raw Annual DMR Data'!$M:$M,MATCH(K1984,'Raw Annual DMR Data'!$L:$L,0)))</f>
        <v>Unknown</v>
      </c>
      <c r="M1984" s="28"/>
      <c r="N1984" s="28"/>
      <c r="O1984" s="28"/>
      <c r="P1984" s="28"/>
      <c r="Q1984" s="28"/>
      <c r="R1984" s="28">
        <f t="shared" si="13"/>
        <v>2.7712073287299779</v>
      </c>
      <c r="S1984" s="28">
        <v>1.2569984999999999</v>
      </c>
    </row>
    <row r="1985" spans="1:19" x14ac:dyDescent="0.25">
      <c r="A1985" s="28">
        <v>2022</v>
      </c>
      <c r="B1985" s="28"/>
      <c r="C1985" s="28" t="s">
        <v>1181</v>
      </c>
      <c r="D1985" s="28" t="s">
        <v>1903</v>
      </c>
      <c r="E1985" s="28" t="s">
        <v>1182</v>
      </c>
      <c r="F1985" s="28" t="s">
        <v>345</v>
      </c>
      <c r="G1985" s="28">
        <v>60439</v>
      </c>
      <c r="H1985" s="28">
        <v>41.692782000000001</v>
      </c>
      <c r="I1985" s="28">
        <v>-87.951100999999994</v>
      </c>
      <c r="J1985" s="28"/>
      <c r="K1985" s="61">
        <v>110018199377</v>
      </c>
      <c r="L1985" s="61" t="str">
        <f>IFERROR(INDEX('Facility Summary'!$K:$K,MATCH(K1985,'Facility Summary'!$J:$J,0)),INDEX('Raw Annual DMR Data'!$M:$M,MATCH(K1985,'Raw Annual DMR Data'!$L:$L,0)))</f>
        <v>Unknown</v>
      </c>
      <c r="M1985" s="28"/>
      <c r="N1985" s="28"/>
      <c r="O1985" s="28"/>
      <c r="P1985" s="28"/>
      <c r="Q1985" s="28"/>
      <c r="R1985" s="28">
        <f t="shared" si="13"/>
        <v>2.7198886744942379</v>
      </c>
      <c r="S1985" s="28">
        <v>1.23372075</v>
      </c>
    </row>
    <row r="1986" spans="1:19" x14ac:dyDescent="0.25">
      <c r="A1986" s="28">
        <v>2023</v>
      </c>
      <c r="B1986" s="28"/>
      <c r="C1986" s="28" t="s">
        <v>1181</v>
      </c>
      <c r="D1986" s="28" t="s">
        <v>1903</v>
      </c>
      <c r="E1986" s="28" t="s">
        <v>1182</v>
      </c>
      <c r="F1986" s="28" t="s">
        <v>345</v>
      </c>
      <c r="G1986" s="28">
        <v>60439</v>
      </c>
      <c r="H1986" s="28">
        <v>41.692782000000001</v>
      </c>
      <c r="I1986" s="28">
        <v>-87.951100999999994</v>
      </c>
      <c r="J1986" s="28"/>
      <c r="K1986" s="61">
        <v>110018199377</v>
      </c>
      <c r="L1986" s="61" t="str">
        <f>IFERROR(INDEX('Facility Summary'!$K:$K,MATCH(K1986,'Facility Summary'!$J:$J,0)),INDEX('Raw Annual DMR Data'!$M:$M,MATCH(K1986,'Raw Annual DMR Data'!$L:$L,0)))</f>
        <v>Unknown</v>
      </c>
      <c r="M1986" s="28"/>
      <c r="N1986" s="28"/>
      <c r="O1986" s="28"/>
      <c r="P1986" s="28"/>
      <c r="Q1986" s="28"/>
      <c r="R1986" s="28">
        <f t="shared" si="13"/>
        <v>2.1510234784152122</v>
      </c>
      <c r="S1986" s="28">
        <v>0.97568783749999999</v>
      </c>
    </row>
    <row r="1987" spans="1:19" x14ac:dyDescent="0.25">
      <c r="A1987" s="28">
        <v>2024</v>
      </c>
      <c r="B1987" s="28"/>
      <c r="C1987" s="28" t="s">
        <v>1181</v>
      </c>
      <c r="D1987" s="28" t="s">
        <v>1903</v>
      </c>
      <c r="E1987" s="28" t="s">
        <v>1182</v>
      </c>
      <c r="F1987" s="28" t="s">
        <v>345</v>
      </c>
      <c r="G1987" s="28">
        <v>60439</v>
      </c>
      <c r="H1987" s="28">
        <v>41.692782000000001</v>
      </c>
      <c r="I1987" s="28">
        <v>-87.951100999999994</v>
      </c>
      <c r="J1987" s="28"/>
      <c r="K1987" s="61">
        <v>110018199377</v>
      </c>
      <c r="L1987" s="61" t="str">
        <f>IFERROR(INDEX('Facility Summary'!$K:$K,MATCH(K1987,'Facility Summary'!$J:$J,0)),INDEX('Raw Annual DMR Data'!$M:$M,MATCH(K1987,'Raw Annual DMR Data'!$L:$L,0)))</f>
        <v>Unknown</v>
      </c>
      <c r="M1987" s="28"/>
      <c r="N1987" s="28"/>
      <c r="O1987" s="28"/>
      <c r="P1987" s="28"/>
      <c r="Q1987" s="28"/>
      <c r="R1987" s="28">
        <f t="shared" si="13"/>
        <v>0.22655308333339028</v>
      </c>
      <c r="S1987" s="28">
        <v>0.10276275</v>
      </c>
    </row>
    <row r="1988" spans="1:19" x14ac:dyDescent="0.25">
      <c r="A1988" s="28">
        <v>2023</v>
      </c>
      <c r="B1988" s="28"/>
      <c r="C1988" s="28" t="s">
        <v>1181</v>
      </c>
      <c r="D1988" s="28" t="s">
        <v>1903</v>
      </c>
      <c r="E1988" s="28" t="s">
        <v>1182</v>
      </c>
      <c r="F1988" s="28" t="s">
        <v>345</v>
      </c>
      <c r="G1988" s="28">
        <v>60439</v>
      </c>
      <c r="H1988" s="28">
        <v>41.692782000000001</v>
      </c>
      <c r="I1988" s="28">
        <v>-87.951100999999994</v>
      </c>
      <c r="J1988" s="28"/>
      <c r="K1988" s="61">
        <v>110018199377</v>
      </c>
      <c r="L1988" s="61" t="str">
        <f>IFERROR(INDEX('Facility Summary'!$K:$K,MATCH(K1988,'Facility Summary'!$J:$J,0)),INDEX('Raw Annual DMR Data'!$M:$M,MATCH(K1988,'Raw Annual DMR Data'!$L:$L,0)))</f>
        <v>Unknown</v>
      </c>
      <c r="M1988" s="28"/>
      <c r="N1988" s="28"/>
      <c r="O1988" s="28"/>
      <c r="P1988" s="28"/>
      <c r="Q1988" s="28"/>
      <c r="R1988" s="28">
        <f t="shared" si="13"/>
        <v>0.22137949542669777</v>
      </c>
      <c r="S1988" s="28">
        <v>0.10041605000000001</v>
      </c>
    </row>
    <row r="1989" spans="1:19" x14ac:dyDescent="0.25">
      <c r="A1989" s="28">
        <v>2022</v>
      </c>
      <c r="B1989" s="28"/>
      <c r="C1989" s="28" t="s">
        <v>1181</v>
      </c>
      <c r="D1989" s="28" t="s">
        <v>1903</v>
      </c>
      <c r="E1989" s="28" t="s">
        <v>1182</v>
      </c>
      <c r="F1989" s="28" t="s">
        <v>345</v>
      </c>
      <c r="G1989" s="28">
        <v>60439</v>
      </c>
      <c r="H1989" s="28">
        <v>41.692782000000001</v>
      </c>
      <c r="I1989" s="28">
        <v>-87.951100999999994</v>
      </c>
      <c r="J1989" s="28"/>
      <c r="K1989" s="61">
        <v>110018199377</v>
      </c>
      <c r="L1989" s="61" t="str">
        <f>IFERROR(INDEX('Facility Summary'!$K:$K,MATCH(K1989,'Facility Summary'!$J:$J,0)),INDEX('Raw Annual DMR Data'!$M:$M,MATCH(K1989,'Raw Annual DMR Data'!$L:$L,0)))</f>
        <v>Unknown</v>
      </c>
      <c r="M1989" s="28"/>
      <c r="N1989" s="28"/>
      <c r="O1989" s="28"/>
      <c r="P1989" s="28"/>
      <c r="Q1989" s="28"/>
      <c r="R1989" s="28">
        <f t="shared" si="13"/>
        <v>0.2168526060083418</v>
      </c>
      <c r="S1989" s="28">
        <v>9.8362687500000004E-2</v>
      </c>
    </row>
    <row r="1990" spans="1:19" x14ac:dyDescent="0.25">
      <c r="A1990" s="28">
        <v>2021</v>
      </c>
      <c r="B1990" s="28"/>
      <c r="C1990" s="28" t="s">
        <v>1181</v>
      </c>
      <c r="D1990" s="28" t="s">
        <v>1903</v>
      </c>
      <c r="E1990" s="28" t="s">
        <v>1182</v>
      </c>
      <c r="F1990" s="28" t="s">
        <v>345</v>
      </c>
      <c r="G1990" s="28">
        <v>60439</v>
      </c>
      <c r="H1990" s="28">
        <v>41.692782000000001</v>
      </c>
      <c r="I1990" s="28">
        <v>-87.951100999999994</v>
      </c>
      <c r="J1990" s="28"/>
      <c r="K1990" s="61">
        <v>110018199377</v>
      </c>
      <c r="L1990" s="61" t="str">
        <f>IFERROR(INDEX('Facility Summary'!$K:$K,MATCH(K1990,'Facility Summary'!$J:$J,0)),INDEX('Raw Annual DMR Data'!$M:$M,MATCH(K1990,'Raw Annual DMR Data'!$L:$L,0)))</f>
        <v>Unknown</v>
      </c>
      <c r="M1990" s="28"/>
      <c r="N1990" s="28"/>
      <c r="O1990" s="28"/>
      <c r="P1990" s="28"/>
      <c r="Q1990" s="28"/>
      <c r="R1990" s="28">
        <f t="shared" si="13"/>
        <v>0.21320188873547408</v>
      </c>
      <c r="S1990" s="28">
        <v>9.6706749999999994E-2</v>
      </c>
    </row>
    <row r="1991" spans="1:19" x14ac:dyDescent="0.25">
      <c r="A1991" s="28">
        <v>2023</v>
      </c>
      <c r="B1991" s="28"/>
      <c r="C1991" s="28" t="s">
        <v>1181</v>
      </c>
      <c r="D1991" s="28" t="s">
        <v>1903</v>
      </c>
      <c r="E1991" s="28" t="s">
        <v>1182</v>
      </c>
      <c r="F1991" s="28" t="s">
        <v>345</v>
      </c>
      <c r="G1991" s="28">
        <v>60439</v>
      </c>
      <c r="H1991" s="28">
        <v>41.692782000000001</v>
      </c>
      <c r="I1991" s="28">
        <v>-87.951100999999994</v>
      </c>
      <c r="J1991" s="28"/>
      <c r="K1991" s="61">
        <v>110018199377</v>
      </c>
      <c r="L1991" s="61" t="str">
        <f>IFERROR(INDEX('Facility Summary'!$K:$K,MATCH(K1991,'Facility Summary'!$J:$J,0)),INDEX('Raw Annual DMR Data'!$M:$M,MATCH(K1991,'Raw Annual DMR Data'!$L:$L,0)))</f>
        <v>Unknown</v>
      </c>
      <c r="M1991" s="28"/>
      <c r="N1991" s="28"/>
      <c r="O1991" s="28"/>
      <c r="P1991" s="28"/>
      <c r="Q1991" s="28"/>
      <c r="R1991" s="28">
        <f t="shared" si="13"/>
        <v>0.17513012288985375</v>
      </c>
      <c r="S1991" s="28">
        <v>7.9437687500000007E-2</v>
      </c>
    </row>
    <row r="1992" spans="1:19" x14ac:dyDescent="0.25">
      <c r="A1992" s="28">
        <v>2022</v>
      </c>
      <c r="B1992" s="28"/>
      <c r="C1992" s="28" t="s">
        <v>1181</v>
      </c>
      <c r="D1992" s="28" t="s">
        <v>1903</v>
      </c>
      <c r="E1992" s="28" t="s">
        <v>1182</v>
      </c>
      <c r="F1992" s="28" t="s">
        <v>345</v>
      </c>
      <c r="G1992" s="28">
        <v>60439</v>
      </c>
      <c r="H1992" s="28">
        <v>41.692782000000001</v>
      </c>
      <c r="I1992" s="28">
        <v>-87.951100999999994</v>
      </c>
      <c r="J1992" s="28"/>
      <c r="K1992" s="61">
        <v>110018199377</v>
      </c>
      <c r="L1992" s="61" t="str">
        <f>IFERROR(INDEX('Facility Summary'!$K:$K,MATCH(K1992,'Facility Summary'!$J:$J,0)),INDEX('Raw Annual DMR Data'!$M:$M,MATCH(K1992,'Raw Annual DMR Data'!$L:$L,0)))</f>
        <v>Unknown</v>
      </c>
      <c r="M1992" s="28"/>
      <c r="N1992" s="28"/>
      <c r="O1992" s="28"/>
      <c r="P1992" s="28"/>
      <c r="Q1992" s="28"/>
      <c r="R1992" s="28">
        <f t="shared" si="13"/>
        <v>0.13334505604668789</v>
      </c>
      <c r="S1992" s="28">
        <v>6.0484299999999998E-2</v>
      </c>
    </row>
    <row r="1993" spans="1:19" x14ac:dyDescent="0.25">
      <c r="A1993" s="28">
        <v>2024</v>
      </c>
      <c r="B1993" s="28"/>
      <c r="C1993" s="28" t="s">
        <v>1181</v>
      </c>
      <c r="D1993" s="28" t="s">
        <v>1903</v>
      </c>
      <c r="E1993" s="28" t="s">
        <v>1182</v>
      </c>
      <c r="F1993" s="28" t="s">
        <v>345</v>
      </c>
      <c r="G1993" s="28">
        <v>60439</v>
      </c>
      <c r="H1993" s="28">
        <v>41.692782000000001</v>
      </c>
      <c r="I1993" s="28">
        <v>-87.951100999999994</v>
      </c>
      <c r="J1993" s="28"/>
      <c r="K1993" s="61">
        <v>110018199377</v>
      </c>
      <c r="L1993" s="61" t="str">
        <f>IFERROR(INDEX('Facility Summary'!$K:$K,MATCH(K1993,'Facility Summary'!$J:$J,0)),INDEX('Raw Annual DMR Data'!$M:$M,MATCH(K1993,'Raw Annual DMR Data'!$L:$L,0)))</f>
        <v>Unknown</v>
      </c>
      <c r="M1993" s="28"/>
      <c r="N1993" s="28"/>
      <c r="O1993" s="28"/>
      <c r="P1993" s="28"/>
      <c r="Q1993" s="28"/>
      <c r="R1993" s="28">
        <f t="shared" si="13"/>
        <v>0.13215596527781101</v>
      </c>
      <c r="S1993" s="28">
        <v>5.9944937500000003E-2</v>
      </c>
    </row>
    <row r="1994" spans="1:19" x14ac:dyDescent="0.25">
      <c r="A1994" s="28">
        <v>2021</v>
      </c>
      <c r="B1994" s="28"/>
      <c r="C1994" s="28" t="s">
        <v>1181</v>
      </c>
      <c r="D1994" s="28" t="s">
        <v>1903</v>
      </c>
      <c r="E1994" s="28" t="s">
        <v>1182</v>
      </c>
      <c r="F1994" s="28" t="s">
        <v>345</v>
      </c>
      <c r="G1994" s="28">
        <v>60439</v>
      </c>
      <c r="H1994" s="28">
        <v>41.692782000000001</v>
      </c>
      <c r="I1994" s="28">
        <v>-87.951100999999994</v>
      </c>
      <c r="J1994" s="28"/>
      <c r="K1994" s="61">
        <v>110018199377</v>
      </c>
      <c r="L1994" s="61" t="str">
        <f>IFERROR(INDEX('Facility Summary'!$K:$K,MATCH(K1994,'Facility Summary'!$J:$J,0)),INDEX('Raw Annual DMR Data'!$M:$M,MATCH(K1994,'Raw Annual DMR Data'!$L:$L,0)))</f>
        <v>Unknown</v>
      </c>
      <c r="M1994" s="28"/>
      <c r="N1994" s="28"/>
      <c r="O1994" s="28"/>
      <c r="P1994" s="28"/>
      <c r="Q1994" s="28"/>
      <c r="R1994" s="28">
        <f t="shared" si="13"/>
        <v>0.12944400387510926</v>
      </c>
      <c r="S1994" s="28">
        <v>5.8714812499999998E-2</v>
      </c>
    </row>
    <row r="1995" spans="1:19" x14ac:dyDescent="0.25">
      <c r="A1995" s="28">
        <v>2022</v>
      </c>
      <c r="B1995" s="28"/>
      <c r="C1995" s="28" t="s">
        <v>6770</v>
      </c>
      <c r="D1995" s="28" t="s">
        <v>6916</v>
      </c>
      <c r="E1995" s="28" t="s">
        <v>1292</v>
      </c>
      <c r="F1995" s="28" t="s">
        <v>366</v>
      </c>
      <c r="G1995" s="28">
        <v>90056</v>
      </c>
      <c r="H1995" s="28">
        <v>33.990146000000003</v>
      </c>
      <c r="I1995" s="28">
        <v>-118.36358</v>
      </c>
      <c r="J1995" s="28"/>
      <c r="K1995" s="61">
        <v>110064624018</v>
      </c>
      <c r="L1995" s="61" t="str">
        <f>IFERROR(INDEX('Facility Summary'!$K:$K,MATCH(K1995,'Facility Summary'!$J:$J,0)),INDEX('Raw Annual DMR Data'!$M:$M,MATCH(K1995,'Raw Annual DMR Data'!$L:$L,0)))</f>
        <v>Unknown</v>
      </c>
      <c r="M1995" s="28"/>
      <c r="N1995" s="28"/>
      <c r="O1995" s="28"/>
      <c r="P1995" s="28"/>
      <c r="Q1995" s="28"/>
      <c r="R1995" s="28">
        <f t="shared" si="13"/>
        <v>0.76600392881388191</v>
      </c>
      <c r="S1995" s="28">
        <v>0.34745353750000002</v>
      </c>
    </row>
    <row r="1996" spans="1:19" x14ac:dyDescent="0.25">
      <c r="A1996" s="28">
        <v>2022</v>
      </c>
      <c r="B1996" s="28"/>
      <c r="C1996" s="28" t="s">
        <v>6770</v>
      </c>
      <c r="D1996" s="28" t="s">
        <v>6916</v>
      </c>
      <c r="E1996" s="28" t="s">
        <v>1292</v>
      </c>
      <c r="F1996" s="28" t="s">
        <v>366</v>
      </c>
      <c r="G1996" s="28">
        <v>90056</v>
      </c>
      <c r="H1996" s="28">
        <v>33.990146000000003</v>
      </c>
      <c r="I1996" s="28">
        <v>-118.36358</v>
      </c>
      <c r="J1996" s="28"/>
      <c r="K1996" s="61">
        <v>110064624018</v>
      </c>
      <c r="L1996" s="61" t="str">
        <f>IFERROR(INDEX('Facility Summary'!$K:$K,MATCH(K1996,'Facility Summary'!$J:$J,0)),INDEX('Raw Annual DMR Data'!$M:$M,MATCH(K1996,'Raw Annual DMR Data'!$L:$L,0)))</f>
        <v>Unknown</v>
      </c>
      <c r="M1996" s="28"/>
      <c r="N1996" s="28"/>
      <c r="O1996" s="28"/>
      <c r="P1996" s="28"/>
      <c r="Q1996" s="28"/>
      <c r="R1996" s="28">
        <f t="shared" si="13"/>
        <v>0.4538154488797948</v>
      </c>
      <c r="S1996" s="28">
        <v>0.20584722499999999</v>
      </c>
    </row>
    <row r="1997" spans="1:19" x14ac:dyDescent="0.25">
      <c r="A1997" s="28">
        <v>2023</v>
      </c>
      <c r="B1997" s="28"/>
      <c r="C1997" s="28" t="s">
        <v>6770</v>
      </c>
      <c r="D1997" s="28" t="s">
        <v>6916</v>
      </c>
      <c r="E1997" s="28" t="s">
        <v>1292</v>
      </c>
      <c r="F1997" s="28" t="s">
        <v>366</v>
      </c>
      <c r="G1997" s="28">
        <v>90056</v>
      </c>
      <c r="H1997" s="28">
        <v>33.990146000000003</v>
      </c>
      <c r="I1997" s="28">
        <v>-118.36358</v>
      </c>
      <c r="J1997" s="28"/>
      <c r="K1997" s="61">
        <v>110064624018</v>
      </c>
      <c r="L1997" s="61" t="str">
        <f>IFERROR(INDEX('Facility Summary'!$K:$K,MATCH(K1997,'Facility Summary'!$J:$J,0)),INDEX('Raw Annual DMR Data'!$M:$M,MATCH(K1997,'Raw Annual DMR Data'!$L:$L,0)))</f>
        <v>Unknown</v>
      </c>
      <c r="M1997" s="28"/>
      <c r="N1997" s="28"/>
      <c r="O1997" s="28"/>
      <c r="P1997" s="28"/>
      <c r="Q1997" s="28"/>
      <c r="R1997" s="28">
        <f t="shared" si="13"/>
        <v>0.22896359979556091</v>
      </c>
      <c r="S1997" s="28">
        <v>0.103856141875</v>
      </c>
    </row>
    <row r="1998" spans="1:19" x14ac:dyDescent="0.25">
      <c r="A1998" s="28">
        <v>2023</v>
      </c>
      <c r="B1998" s="28"/>
      <c r="C1998" s="28" t="s">
        <v>6770</v>
      </c>
      <c r="D1998" s="28" t="s">
        <v>6916</v>
      </c>
      <c r="E1998" s="28" t="s">
        <v>1292</v>
      </c>
      <c r="F1998" s="28" t="s">
        <v>366</v>
      </c>
      <c r="G1998" s="28">
        <v>90056</v>
      </c>
      <c r="H1998" s="28">
        <v>33.990146000000003</v>
      </c>
      <c r="I1998" s="28">
        <v>-118.36358</v>
      </c>
      <c r="J1998" s="28"/>
      <c r="K1998" s="61">
        <v>110064624018</v>
      </c>
      <c r="L1998" s="61" t="str">
        <f>IFERROR(INDEX('Facility Summary'!$K:$K,MATCH(K1998,'Facility Summary'!$J:$J,0)),INDEX('Raw Annual DMR Data'!$M:$M,MATCH(K1998,'Raw Annual DMR Data'!$L:$L,0)))</f>
        <v>Unknown</v>
      </c>
      <c r="M1998" s="28"/>
      <c r="N1998" s="28"/>
      <c r="O1998" s="28"/>
      <c r="P1998" s="28"/>
      <c r="Q1998" s="28"/>
      <c r="R1998" s="28">
        <f t="shared" si="13"/>
        <v>0.20101892366487559</v>
      </c>
      <c r="S1998" s="28">
        <v>9.1180650000000002E-2</v>
      </c>
    </row>
    <row r="1999" spans="1:19" x14ac:dyDescent="0.25">
      <c r="A1999" s="28">
        <v>2021</v>
      </c>
      <c r="B1999" s="28"/>
      <c r="C1999" s="28" t="s">
        <v>6770</v>
      </c>
      <c r="D1999" s="28" t="s">
        <v>6916</v>
      </c>
      <c r="E1999" s="28" t="s">
        <v>1292</v>
      </c>
      <c r="F1999" s="28" t="s">
        <v>366</v>
      </c>
      <c r="G1999" s="28">
        <v>90056</v>
      </c>
      <c r="H1999" s="28">
        <v>33.990146000000003</v>
      </c>
      <c r="I1999" s="28">
        <v>-118.36358</v>
      </c>
      <c r="J1999" s="28"/>
      <c r="K1999" s="61">
        <v>110064624018</v>
      </c>
      <c r="L1999" s="61" t="str">
        <f>IFERROR(INDEX('Facility Summary'!$K:$K,MATCH(K1999,'Facility Summary'!$J:$J,0)),INDEX('Raw Annual DMR Data'!$M:$M,MATCH(K1999,'Raw Annual DMR Data'!$L:$L,0)))</f>
        <v>Unknown</v>
      </c>
      <c r="M1999" s="28"/>
      <c r="N1999" s="28"/>
      <c r="O1999" s="28"/>
      <c r="P1999" s="28"/>
      <c r="Q1999" s="28"/>
      <c r="R1999" s="28">
        <f t="shared" si="13"/>
        <v>1.5076419274865667E-2</v>
      </c>
      <c r="S1999" s="28">
        <v>6.8385487500000003E-3</v>
      </c>
    </row>
    <row r="2000" spans="1:19" x14ac:dyDescent="0.25">
      <c r="A2000" s="28">
        <v>2021</v>
      </c>
      <c r="B2000" s="28"/>
      <c r="C2000" s="28" t="s">
        <v>6770</v>
      </c>
      <c r="D2000" s="28" t="s">
        <v>6916</v>
      </c>
      <c r="E2000" s="28" t="s">
        <v>1292</v>
      </c>
      <c r="F2000" s="28" t="s">
        <v>366</v>
      </c>
      <c r="G2000" s="28">
        <v>90056</v>
      </c>
      <c r="H2000" s="28">
        <v>33.990146000000003</v>
      </c>
      <c r="I2000" s="28">
        <v>-118.36358</v>
      </c>
      <c r="J2000" s="28"/>
      <c r="K2000" s="61">
        <v>110064624018</v>
      </c>
      <c r="L2000" s="61" t="str">
        <f>IFERROR(INDEX('Facility Summary'!$K:$K,MATCH(K2000,'Facility Summary'!$J:$J,0)),INDEX('Raw Annual DMR Data'!$M:$M,MATCH(K2000,'Raw Annual DMR Data'!$L:$L,0)))</f>
        <v>Unknown</v>
      </c>
      <c r="M2000" s="28"/>
      <c r="N2000" s="28"/>
      <c r="O2000" s="28"/>
      <c r="P2000" s="28"/>
      <c r="Q2000" s="28"/>
      <c r="R2000" s="28">
        <f t="shared" si="13"/>
        <v>1.4010409831188298E-2</v>
      </c>
      <c r="S2000" s="28">
        <v>6.3550150000000003E-3</v>
      </c>
    </row>
    <row r="2001" spans="1:19" x14ac:dyDescent="0.25">
      <c r="A2001" s="28">
        <v>2023</v>
      </c>
      <c r="B2001" s="28"/>
      <c r="C2001" s="28" t="s">
        <v>6770</v>
      </c>
      <c r="D2001" s="28" t="s">
        <v>6916</v>
      </c>
      <c r="E2001" s="28" t="s">
        <v>1292</v>
      </c>
      <c r="F2001" s="28" t="s">
        <v>366</v>
      </c>
      <c r="G2001" s="28">
        <v>90056</v>
      </c>
      <c r="H2001" s="28">
        <v>33.990146000000003</v>
      </c>
      <c r="I2001" s="28">
        <v>-118.36358</v>
      </c>
      <c r="J2001" s="28"/>
      <c r="K2001" s="61">
        <v>110064624018</v>
      </c>
      <c r="L2001" s="61" t="str">
        <f>IFERROR(INDEX('Facility Summary'!$K:$K,MATCH(K2001,'Facility Summary'!$J:$J,0)),INDEX('Raw Annual DMR Data'!$M:$M,MATCH(K2001,'Raw Annual DMR Data'!$L:$L,0)))</f>
        <v>Unknown</v>
      </c>
      <c r="M2001" s="28"/>
      <c r="N2001" s="28"/>
      <c r="O2001" s="28"/>
      <c r="P2001" s="28"/>
      <c r="Q2001" s="28"/>
      <c r="R2001" s="28">
        <f t="shared" si="13"/>
        <v>6.0914825352992601E-4</v>
      </c>
      <c r="S2001" s="28">
        <v>2.7630500000000002E-4</v>
      </c>
    </row>
    <row r="2002" spans="1:19" x14ac:dyDescent="0.25">
      <c r="A2002" s="28">
        <v>2024</v>
      </c>
      <c r="B2002" s="28"/>
      <c r="C2002" s="28" t="s">
        <v>1184</v>
      </c>
      <c r="D2002" s="28" t="s">
        <v>1909</v>
      </c>
      <c r="E2002" s="28" t="s">
        <v>500</v>
      </c>
      <c r="F2002" s="28" t="s">
        <v>303</v>
      </c>
      <c r="G2002" s="28">
        <v>70767</v>
      </c>
      <c r="H2002" s="28">
        <v>30.44361</v>
      </c>
      <c r="I2002" s="28">
        <v>-91.220929999999996</v>
      </c>
      <c r="J2002" s="28"/>
      <c r="K2002" s="61">
        <v>110003363351</v>
      </c>
      <c r="L2002" s="61" t="str">
        <f>IFERROR(INDEX('Facility Summary'!$K:$K,MATCH(K2002,'Facility Summary'!$J:$J,0)),INDEX('Raw Annual DMR Data'!$M:$M,MATCH(K2002,'Raw Annual DMR Data'!$L:$L,0)))</f>
        <v>Unknown</v>
      </c>
      <c r="M2002" s="28"/>
      <c r="N2002" s="28"/>
      <c r="O2002" s="28"/>
      <c r="P2002" s="28"/>
      <c r="Q2002" s="28"/>
      <c r="R2002" s="28">
        <f t="shared" si="13"/>
        <v>4.818946800185373E-3</v>
      </c>
      <c r="S2002" s="28">
        <v>2.1858375000000001E-3</v>
      </c>
    </row>
    <row r="2003" spans="1:19" x14ac:dyDescent="0.25">
      <c r="A2003" s="28">
        <v>2023</v>
      </c>
      <c r="B2003" s="28"/>
      <c r="C2003" s="28" t="s">
        <v>1184</v>
      </c>
      <c r="D2003" s="28" t="s">
        <v>1909</v>
      </c>
      <c r="E2003" s="28" t="s">
        <v>500</v>
      </c>
      <c r="F2003" s="28" t="s">
        <v>303</v>
      </c>
      <c r="G2003" s="28">
        <v>70767</v>
      </c>
      <c r="H2003" s="28">
        <v>30.44361</v>
      </c>
      <c r="I2003" s="28">
        <v>-91.220929999999996</v>
      </c>
      <c r="J2003" s="28"/>
      <c r="K2003" s="61">
        <v>110003363351</v>
      </c>
      <c r="L2003" s="61" t="str">
        <f>IFERROR(INDEX('Facility Summary'!$K:$K,MATCH(K2003,'Facility Summary'!$J:$J,0)),INDEX('Raw Annual DMR Data'!$M:$M,MATCH(K2003,'Raw Annual DMR Data'!$L:$L,0)))</f>
        <v>Unknown</v>
      </c>
      <c r="M2003" s="28"/>
      <c r="N2003" s="28"/>
      <c r="O2003" s="28"/>
      <c r="P2003" s="28"/>
      <c r="Q2003" s="28"/>
      <c r="R2003" s="28">
        <f t="shared" si="13"/>
        <v>3.7550234806639268E-3</v>
      </c>
      <c r="S2003" s="28">
        <v>1.7032499999999999E-3</v>
      </c>
    </row>
    <row r="2004" spans="1:19" x14ac:dyDescent="0.25">
      <c r="A2004" s="28">
        <v>2022</v>
      </c>
      <c r="B2004" s="28"/>
      <c r="C2004" s="28" t="s">
        <v>1184</v>
      </c>
      <c r="D2004" s="28" t="s">
        <v>1909</v>
      </c>
      <c r="E2004" s="28" t="s">
        <v>500</v>
      </c>
      <c r="F2004" s="28" t="s">
        <v>303</v>
      </c>
      <c r="G2004" s="28">
        <v>70767</v>
      </c>
      <c r="H2004" s="28">
        <v>30.44361</v>
      </c>
      <c r="I2004" s="28">
        <v>-91.220929999999996</v>
      </c>
      <c r="J2004" s="28"/>
      <c r="K2004" s="61">
        <v>110003363351</v>
      </c>
      <c r="L2004" s="61" t="str">
        <f>IFERROR(INDEX('Facility Summary'!$K:$K,MATCH(K2004,'Facility Summary'!$J:$J,0)),INDEX('Raw Annual DMR Data'!$M:$M,MATCH(K2004,'Raw Annual DMR Data'!$L:$L,0)))</f>
        <v>Unknown</v>
      </c>
      <c r="M2004" s="28"/>
      <c r="N2004" s="28"/>
      <c r="O2004" s="28"/>
      <c r="P2004" s="28"/>
      <c r="Q2004" s="28"/>
      <c r="R2004" s="28">
        <f t="shared" si="13"/>
        <v>3.0457412676496301E-3</v>
      </c>
      <c r="S2004" s="28">
        <v>1.381525E-3</v>
      </c>
    </row>
    <row r="2005" spans="1:19" x14ac:dyDescent="0.25">
      <c r="A2005" s="28">
        <v>2021</v>
      </c>
      <c r="B2005" s="28"/>
      <c r="C2005" s="28" t="s">
        <v>1185</v>
      </c>
      <c r="D2005" s="28" t="s">
        <v>1911</v>
      </c>
      <c r="E2005" s="28" t="s">
        <v>968</v>
      </c>
      <c r="F2005" s="28" t="s">
        <v>294</v>
      </c>
      <c r="G2005" s="28">
        <v>22305</v>
      </c>
      <c r="H2005" s="28">
        <v>38.840600000000002</v>
      </c>
      <c r="I2005" s="28">
        <v>-77.068200000000004</v>
      </c>
      <c r="J2005" s="28"/>
      <c r="K2005" s="61">
        <v>110070598729</v>
      </c>
      <c r="L2005" s="61" t="str">
        <f>IFERROR(INDEX('Facility Summary'!$K:$K,MATCH(K2005,'Facility Summary'!$J:$J,0)),INDEX('Raw Annual DMR Data'!$M:$M,MATCH(K2005,'Raw Annual DMR Data'!$L:$L,0)))</f>
        <v>Unknown</v>
      </c>
      <c r="M2005" s="28"/>
      <c r="N2005" s="28"/>
      <c r="O2005" s="28"/>
      <c r="P2005" s="28"/>
      <c r="Q2005" s="28"/>
      <c r="R2005" s="28">
        <f t="shared" si="13"/>
        <v>1.2096432640610777E-4</v>
      </c>
      <c r="S2005" s="28">
        <v>5.4868495500000003E-5</v>
      </c>
    </row>
    <row r="2006" spans="1:19" x14ac:dyDescent="0.25">
      <c r="A2006" s="28">
        <v>2024</v>
      </c>
      <c r="B2006" s="28"/>
      <c r="C2006" s="28" t="s">
        <v>6910</v>
      </c>
      <c r="D2006" s="28" t="s">
        <v>7111</v>
      </c>
      <c r="E2006" s="28" t="s">
        <v>7112</v>
      </c>
      <c r="F2006" s="28" t="s">
        <v>1128</v>
      </c>
      <c r="G2006" s="28">
        <v>80022</v>
      </c>
      <c r="H2006" s="28">
        <v>39.805556000000003</v>
      </c>
      <c r="I2006" s="28">
        <v>-104.944444</v>
      </c>
      <c r="J2006" s="28" t="s">
        <v>7135</v>
      </c>
      <c r="K2006" s="61">
        <v>110032913024</v>
      </c>
      <c r="L2006" s="61" t="str">
        <f>IFERROR(INDEX('Facility Summary'!$K:$K,MATCH(K2006,'Facility Summary'!$J:$J,0)),INDEX('Raw Annual DMR Data'!$M:$M,MATCH(K2006,'Raw Annual DMR Data'!$L:$L,0)))</f>
        <v>Unknown</v>
      </c>
      <c r="M2006" s="28"/>
      <c r="N2006" s="28"/>
      <c r="O2006" s="28"/>
      <c r="P2006" s="28"/>
      <c r="Q2006" s="28"/>
      <c r="R2006" s="28">
        <f t="shared" si="13"/>
        <v>3.1410771415753751</v>
      </c>
      <c r="S2006" s="28">
        <v>1.424768625</v>
      </c>
    </row>
    <row r="2007" spans="1:19" x14ac:dyDescent="0.25">
      <c r="A2007" s="28">
        <v>2022</v>
      </c>
      <c r="B2007" s="28"/>
      <c r="C2007" s="28" t="s">
        <v>6886</v>
      </c>
      <c r="D2007" s="28" t="s">
        <v>7062</v>
      </c>
      <c r="E2007" s="28" t="s">
        <v>7063</v>
      </c>
      <c r="F2007" s="28" t="s">
        <v>366</v>
      </c>
      <c r="G2007" s="28" t="s">
        <v>7064</v>
      </c>
      <c r="H2007" s="28">
        <v>38.030833000000001</v>
      </c>
      <c r="I2007" s="28">
        <v>-122.075</v>
      </c>
      <c r="J2007" s="28" t="s">
        <v>7132</v>
      </c>
      <c r="K2007" s="61">
        <v>110071349304</v>
      </c>
      <c r="L2007" s="61" t="str">
        <f>IFERROR(INDEX('Facility Summary'!$K:$K,MATCH(K2007,'Facility Summary'!$J:$J,0)),INDEX('Raw Annual DMR Data'!$M:$M,MATCH(K2007,'Raw Annual DMR Data'!$L:$L,0)))</f>
        <v>Unknown</v>
      </c>
      <c r="M2007" s="28"/>
      <c r="N2007" s="28"/>
      <c r="O2007" s="28"/>
      <c r="P2007" s="28"/>
      <c r="Q2007" s="28"/>
      <c r="R2007" s="28">
        <f t="shared" si="13"/>
        <v>2.9893992264464236E-2</v>
      </c>
      <c r="S2007" s="28">
        <v>1.35596868E-2</v>
      </c>
    </row>
    <row r="2008" spans="1:19" x14ac:dyDescent="0.25">
      <c r="A2008" s="28">
        <v>2023</v>
      </c>
      <c r="B2008" s="28"/>
      <c r="C2008" s="28" t="s">
        <v>6886</v>
      </c>
      <c r="D2008" s="28" t="s">
        <v>7062</v>
      </c>
      <c r="E2008" s="28" t="s">
        <v>7063</v>
      </c>
      <c r="F2008" s="28" t="s">
        <v>366</v>
      </c>
      <c r="G2008" s="28" t="s">
        <v>7064</v>
      </c>
      <c r="H2008" s="28">
        <v>38.030833000000001</v>
      </c>
      <c r="I2008" s="28">
        <v>-122.075</v>
      </c>
      <c r="J2008" s="28" t="s">
        <v>7132</v>
      </c>
      <c r="K2008" s="61">
        <v>110071349304</v>
      </c>
      <c r="L2008" s="61" t="str">
        <f>IFERROR(INDEX('Facility Summary'!$K:$K,MATCH(K2008,'Facility Summary'!$J:$J,0)),INDEX('Raw Annual DMR Data'!$M:$M,MATCH(K2008,'Raw Annual DMR Data'!$L:$L,0)))</f>
        <v>Unknown</v>
      </c>
      <c r="M2008" s="28"/>
      <c r="N2008" s="28"/>
      <c r="O2008" s="28"/>
      <c r="P2008" s="28"/>
      <c r="Q2008" s="28"/>
      <c r="R2008" s="28">
        <f t="shared" si="13"/>
        <v>2.4742767608723227E-2</v>
      </c>
      <c r="S2008" s="28">
        <v>1.1223130600000001E-2</v>
      </c>
    </row>
    <row r="2009" spans="1:19" x14ac:dyDescent="0.25">
      <c r="A2009" s="28">
        <v>2024</v>
      </c>
      <c r="B2009" s="28"/>
      <c r="C2009" s="28" t="s">
        <v>6886</v>
      </c>
      <c r="D2009" s="28" t="s">
        <v>7062</v>
      </c>
      <c r="E2009" s="28" t="s">
        <v>7063</v>
      </c>
      <c r="F2009" s="28" t="s">
        <v>366</v>
      </c>
      <c r="G2009" s="28" t="s">
        <v>7064</v>
      </c>
      <c r="H2009" s="28">
        <v>38.030833000000001</v>
      </c>
      <c r="I2009" s="28">
        <v>-122.075</v>
      </c>
      <c r="J2009" s="28" t="s">
        <v>7132</v>
      </c>
      <c r="K2009" s="61">
        <v>110071349304</v>
      </c>
      <c r="L2009" s="61" t="str">
        <f>IFERROR(INDEX('Facility Summary'!$K:$K,MATCH(K2009,'Facility Summary'!$J:$J,0)),INDEX('Raw Annual DMR Data'!$M:$M,MATCH(K2009,'Raw Annual DMR Data'!$L:$L,0)))</f>
        <v>Unknown</v>
      </c>
      <c r="M2009" s="28"/>
      <c r="N2009" s="28"/>
      <c r="O2009" s="28"/>
      <c r="P2009" s="28"/>
      <c r="Q2009" s="28"/>
      <c r="R2009" s="28">
        <f t="shared" si="13"/>
        <v>2.0847489828808186E-2</v>
      </c>
      <c r="S2009" s="28">
        <v>9.4562623200000005E-3</v>
      </c>
    </row>
    <row r="2010" spans="1:19" x14ac:dyDescent="0.25">
      <c r="A2010" s="28">
        <v>2023</v>
      </c>
      <c r="B2010" s="28"/>
      <c r="C2010" s="28" t="s">
        <v>6785</v>
      </c>
      <c r="D2010" s="28" t="s">
        <v>6932</v>
      </c>
      <c r="E2010" s="28" t="s">
        <v>6933</v>
      </c>
      <c r="F2010" s="28" t="s">
        <v>366</v>
      </c>
      <c r="G2010" s="28" t="s">
        <v>6934</v>
      </c>
      <c r="H2010" s="28">
        <v>38.074433999999997</v>
      </c>
      <c r="I2010" s="28">
        <v>-122.144397</v>
      </c>
      <c r="J2010" s="28" t="s">
        <v>7119</v>
      </c>
      <c r="K2010" s="61">
        <v>110033145353</v>
      </c>
      <c r="L2010" s="61" t="str">
        <f>IFERROR(INDEX('Facility Summary'!$K:$K,MATCH(K2010,'Facility Summary'!$J:$J,0)),INDEX('Raw Annual DMR Data'!$M:$M,MATCH(K2010,'Raw Annual DMR Data'!$L:$L,0)))</f>
        <v>Unknown</v>
      </c>
      <c r="M2010" s="28"/>
      <c r="N2010" s="28"/>
      <c r="O2010" s="28"/>
      <c r="P2010" s="28"/>
      <c r="Q2010" s="28"/>
      <c r="R2010" s="28">
        <f t="shared" si="13"/>
        <v>0.69325243500017419</v>
      </c>
      <c r="S2010" s="28">
        <v>0.31445401499999998</v>
      </c>
    </row>
    <row r="2011" spans="1:19" x14ac:dyDescent="0.25">
      <c r="A2011" s="28">
        <v>2021</v>
      </c>
      <c r="B2011" s="28"/>
      <c r="C2011" s="28" t="s">
        <v>1188</v>
      </c>
      <c r="D2011" s="28" t="s">
        <v>1917</v>
      </c>
      <c r="E2011" s="28" t="s">
        <v>1189</v>
      </c>
      <c r="F2011" s="28" t="s">
        <v>324</v>
      </c>
      <c r="G2011" s="28">
        <v>40336</v>
      </c>
      <c r="H2011" s="28">
        <v>37.700833000000003</v>
      </c>
      <c r="I2011" s="28">
        <v>-83.984443999999996</v>
      </c>
      <c r="J2011" s="28"/>
      <c r="K2011" s="61">
        <v>110006749162</v>
      </c>
      <c r="L2011" s="61" t="str">
        <f>IFERROR(INDEX('Facility Summary'!$K:$K,MATCH(K2011,'Facility Summary'!$J:$J,0)),INDEX('Raw Annual DMR Data'!$M:$M,MATCH(K2011,'Raw Annual DMR Data'!$L:$L,0)))</f>
        <v>POTW</v>
      </c>
      <c r="M2011" s="28"/>
      <c r="N2011" s="28"/>
      <c r="O2011" s="28"/>
      <c r="P2011" s="28"/>
      <c r="Q2011" s="28"/>
      <c r="R2011" s="28">
        <f t="shared" si="13"/>
        <v>1.2837799443143192</v>
      </c>
      <c r="S2011" s="28">
        <v>0.58231278750000004</v>
      </c>
    </row>
    <row r="2012" spans="1:19" x14ac:dyDescent="0.25">
      <c r="A2012" s="28">
        <v>2024</v>
      </c>
      <c r="B2012" s="28"/>
      <c r="C2012" s="28" t="s">
        <v>1190</v>
      </c>
      <c r="D2012" s="28" t="s">
        <v>1920</v>
      </c>
      <c r="E2012" s="28" t="s">
        <v>1191</v>
      </c>
      <c r="F2012" s="28" t="s">
        <v>491</v>
      </c>
      <c r="G2012" s="28">
        <v>17853</v>
      </c>
      <c r="H2012" s="28">
        <v>40.725278000000003</v>
      </c>
      <c r="I2012" s="28">
        <v>-77.056944000000001</v>
      </c>
      <c r="J2012" s="28"/>
      <c r="K2012" s="61">
        <v>110017796330</v>
      </c>
      <c r="L2012" s="61" t="str">
        <f>IFERROR(INDEX('Facility Summary'!$K:$K,MATCH(K2012,'Facility Summary'!$J:$J,0)),INDEX('Raw Annual DMR Data'!$M:$M,MATCH(K2012,'Raw Annual DMR Data'!$L:$L,0)))</f>
        <v>Unknown</v>
      </c>
      <c r="M2012" s="28"/>
      <c r="N2012" s="28"/>
      <c r="O2012" s="28"/>
      <c r="P2012" s="28"/>
      <c r="Q2012" s="28"/>
      <c r="R2012" s="28">
        <f t="shared" si="13"/>
        <v>1.0435627477596238E-2</v>
      </c>
      <c r="S2012" s="28">
        <v>4.7335210000000001E-3</v>
      </c>
    </row>
    <row r="2013" spans="1:19" x14ac:dyDescent="0.25">
      <c r="A2013" s="28">
        <v>2023</v>
      </c>
      <c r="B2013" s="28"/>
      <c r="C2013" s="28" t="s">
        <v>1190</v>
      </c>
      <c r="D2013" s="28" t="s">
        <v>1920</v>
      </c>
      <c r="E2013" s="28" t="s">
        <v>1191</v>
      </c>
      <c r="F2013" s="28" t="s">
        <v>491</v>
      </c>
      <c r="G2013" s="28">
        <v>17853</v>
      </c>
      <c r="H2013" s="28">
        <v>40.725278000000003</v>
      </c>
      <c r="I2013" s="28">
        <v>-77.056944000000001</v>
      </c>
      <c r="J2013" s="28"/>
      <c r="K2013" s="61">
        <v>110017796330</v>
      </c>
      <c r="L2013" s="61" t="str">
        <f>IFERROR(INDEX('Facility Summary'!$K:$K,MATCH(K2013,'Facility Summary'!$J:$J,0)),INDEX('Raw Annual DMR Data'!$M:$M,MATCH(K2013,'Raw Annual DMR Data'!$L:$L,0)))</f>
        <v>Unknown</v>
      </c>
      <c r="M2013" s="28"/>
      <c r="N2013" s="28"/>
      <c r="O2013" s="28"/>
      <c r="P2013" s="28"/>
      <c r="Q2013" s="28"/>
      <c r="R2013" s="28">
        <f t="shared" si="13"/>
        <v>9.7551337779336975E-3</v>
      </c>
      <c r="S2013" s="28">
        <v>4.4248542499999996E-3</v>
      </c>
    </row>
    <row r="2014" spans="1:19" x14ac:dyDescent="0.25">
      <c r="A2014" s="28">
        <v>2021</v>
      </c>
      <c r="B2014" s="28"/>
      <c r="C2014" s="28" t="s">
        <v>1190</v>
      </c>
      <c r="D2014" s="28" t="s">
        <v>1920</v>
      </c>
      <c r="E2014" s="28" t="s">
        <v>1191</v>
      </c>
      <c r="F2014" s="28" t="s">
        <v>491</v>
      </c>
      <c r="G2014" s="28">
        <v>17853</v>
      </c>
      <c r="H2014" s="28">
        <v>40.725278000000003</v>
      </c>
      <c r="I2014" s="28">
        <v>-77.056944000000001</v>
      </c>
      <c r="J2014" s="28"/>
      <c r="K2014" s="61">
        <v>110017796330</v>
      </c>
      <c r="L2014" s="61" t="str">
        <f>IFERROR(INDEX('Facility Summary'!$K:$K,MATCH(K2014,'Facility Summary'!$J:$J,0)),INDEX('Raw Annual DMR Data'!$M:$M,MATCH(K2014,'Raw Annual DMR Data'!$L:$L,0)))</f>
        <v>Unknown</v>
      </c>
      <c r="M2014" s="28"/>
      <c r="N2014" s="28"/>
      <c r="O2014" s="28"/>
      <c r="P2014" s="28"/>
      <c r="Q2014" s="28"/>
      <c r="R2014" s="28">
        <f t="shared" si="13"/>
        <v>8.9453003806038451E-3</v>
      </c>
      <c r="S2014" s="28">
        <v>4.0575200000000002E-3</v>
      </c>
    </row>
    <row r="2015" spans="1:19" x14ac:dyDescent="0.25">
      <c r="A2015" s="28">
        <v>2022</v>
      </c>
      <c r="B2015" s="28"/>
      <c r="C2015" s="28" t="s">
        <v>1190</v>
      </c>
      <c r="D2015" s="28" t="s">
        <v>1920</v>
      </c>
      <c r="E2015" s="28" t="s">
        <v>1191</v>
      </c>
      <c r="F2015" s="28" t="s">
        <v>491</v>
      </c>
      <c r="G2015" s="28">
        <v>17853</v>
      </c>
      <c r="H2015" s="28">
        <v>40.725278000000003</v>
      </c>
      <c r="I2015" s="28">
        <v>-77.056944000000001</v>
      </c>
      <c r="J2015" s="28"/>
      <c r="K2015" s="61">
        <v>110017796330</v>
      </c>
      <c r="L2015" s="61" t="str">
        <f>IFERROR(INDEX('Facility Summary'!$K:$K,MATCH(K2015,'Facility Summary'!$J:$J,0)),INDEX('Raw Annual DMR Data'!$M:$M,MATCH(K2015,'Raw Annual DMR Data'!$L:$L,0)))</f>
        <v>Unknown</v>
      </c>
      <c r="M2015" s="28"/>
      <c r="N2015" s="28"/>
      <c r="O2015" s="28"/>
      <c r="P2015" s="28"/>
      <c r="Q2015" s="28"/>
      <c r="R2015" s="28">
        <f t="shared" si="13"/>
        <v>8.6415607035012516E-3</v>
      </c>
      <c r="S2015" s="28">
        <v>3.919746E-3</v>
      </c>
    </row>
    <row r="2016" spans="1:19" x14ac:dyDescent="0.25">
      <c r="A2016" s="28">
        <v>2021</v>
      </c>
      <c r="B2016" s="28"/>
      <c r="C2016" s="28" t="s">
        <v>6795</v>
      </c>
      <c r="D2016" s="28" t="s">
        <v>1924</v>
      </c>
      <c r="E2016" s="28" t="s">
        <v>323</v>
      </c>
      <c r="F2016" s="28" t="s">
        <v>324</v>
      </c>
      <c r="G2016" s="28">
        <v>42029</v>
      </c>
      <c r="H2016" s="28">
        <v>37.047736999999998</v>
      </c>
      <c r="I2016" s="28">
        <v>-88.35866</v>
      </c>
      <c r="J2016" s="28" t="s">
        <v>721</v>
      </c>
      <c r="K2016" s="61">
        <v>110000741608</v>
      </c>
      <c r="L2016" s="61" t="str">
        <f>IFERROR(INDEX('Facility Summary'!$K:$K,MATCH(K2016,'Facility Summary'!$J:$J,0)),INDEX('Raw Annual DMR Data'!$M:$M,MATCH(K2016,'Raw Annual DMR Data'!$L:$L,0)))</f>
        <v>Unknown</v>
      </c>
      <c r="M2016" s="28"/>
      <c r="N2016" s="28"/>
      <c r="O2016" s="28"/>
      <c r="P2016" s="28"/>
      <c r="Q2016" s="28"/>
      <c r="R2016" s="28">
        <f t="shared" si="13"/>
        <v>8.9505363593307354</v>
      </c>
      <c r="S2016" s="28">
        <v>4.059895</v>
      </c>
    </row>
    <row r="2017" spans="1:19" x14ac:dyDescent="0.25">
      <c r="A2017" s="28">
        <v>2022</v>
      </c>
      <c r="B2017" s="28"/>
      <c r="C2017" s="28" t="s">
        <v>6795</v>
      </c>
      <c r="D2017" s="28" t="s">
        <v>1924</v>
      </c>
      <c r="E2017" s="28" t="s">
        <v>323</v>
      </c>
      <c r="F2017" s="28" t="s">
        <v>324</v>
      </c>
      <c r="G2017" s="28">
        <v>42029</v>
      </c>
      <c r="H2017" s="28">
        <v>37.047736999999998</v>
      </c>
      <c r="I2017" s="28">
        <v>-88.35866</v>
      </c>
      <c r="J2017" s="28" t="s">
        <v>721</v>
      </c>
      <c r="K2017" s="61">
        <v>110000741608</v>
      </c>
      <c r="L2017" s="61" t="str">
        <f>IFERROR(INDEX('Facility Summary'!$K:$K,MATCH(K2017,'Facility Summary'!$J:$J,0)),INDEX('Raw Annual DMR Data'!$M:$M,MATCH(K2017,'Raw Annual DMR Data'!$L:$L,0)))</f>
        <v>Unknown</v>
      </c>
      <c r="M2017" s="28"/>
      <c r="N2017" s="28"/>
      <c r="O2017" s="28"/>
      <c r="P2017" s="28"/>
      <c r="Q2017" s="28"/>
      <c r="R2017" s="28">
        <f t="shared" si="13"/>
        <v>2.7399601099992048</v>
      </c>
      <c r="S2017" s="28">
        <v>1.2428250000000001</v>
      </c>
    </row>
    <row r="2018" spans="1:19" x14ac:dyDescent="0.25">
      <c r="A2018" s="28">
        <v>2024</v>
      </c>
      <c r="B2018" s="28"/>
      <c r="C2018" s="28" t="s">
        <v>6795</v>
      </c>
      <c r="D2018" s="28" t="s">
        <v>1924</v>
      </c>
      <c r="E2018" s="28" t="s">
        <v>323</v>
      </c>
      <c r="F2018" s="28" t="s">
        <v>324</v>
      </c>
      <c r="G2018" s="28">
        <v>42029</v>
      </c>
      <c r="H2018" s="28">
        <v>37.047736999999998</v>
      </c>
      <c r="I2018" s="28">
        <v>-88.35866</v>
      </c>
      <c r="J2018" s="28" t="s">
        <v>721</v>
      </c>
      <c r="K2018" s="61">
        <v>110000741608</v>
      </c>
      <c r="L2018" s="61" t="str">
        <f>IFERROR(INDEX('Facility Summary'!$K:$K,MATCH(K2018,'Facility Summary'!$J:$J,0)),INDEX('Raw Annual DMR Data'!$M:$M,MATCH(K2018,'Raw Annual DMR Data'!$L:$L,0)))</f>
        <v>Unknown</v>
      </c>
      <c r="M2018" s="28"/>
      <c r="N2018" s="28"/>
      <c r="O2018" s="28"/>
      <c r="P2018" s="28"/>
      <c r="Q2018" s="28"/>
      <c r="R2018" s="28">
        <f t="shared" si="13"/>
        <v>2.1919680879993639</v>
      </c>
      <c r="S2018" s="28">
        <v>0.99426000000000003</v>
      </c>
    </row>
    <row r="2019" spans="1:19" x14ac:dyDescent="0.25">
      <c r="A2019" s="28">
        <v>2023</v>
      </c>
      <c r="B2019" s="28"/>
      <c r="C2019" s="28" t="s">
        <v>6795</v>
      </c>
      <c r="D2019" s="28" t="s">
        <v>1924</v>
      </c>
      <c r="E2019" s="28" t="s">
        <v>323</v>
      </c>
      <c r="F2019" s="28" t="s">
        <v>324</v>
      </c>
      <c r="G2019" s="28">
        <v>42029</v>
      </c>
      <c r="H2019" s="28">
        <v>37.047736999999998</v>
      </c>
      <c r="I2019" s="28">
        <v>-88.35866</v>
      </c>
      <c r="J2019" s="28" t="s">
        <v>721</v>
      </c>
      <c r="K2019" s="61">
        <v>110000741608</v>
      </c>
      <c r="L2019" s="61" t="str">
        <f>IFERROR(INDEX('Facility Summary'!$K:$K,MATCH(K2019,'Facility Summary'!$J:$J,0)),INDEX('Raw Annual DMR Data'!$M:$M,MATCH(K2019,'Raw Annual DMR Data'!$L:$L,0)))</f>
        <v>Unknown</v>
      </c>
      <c r="M2019" s="28"/>
      <c r="N2019" s="28"/>
      <c r="O2019" s="28"/>
      <c r="P2019" s="28"/>
      <c r="Q2019" s="28"/>
      <c r="R2019" s="28">
        <f t="shared" si="13"/>
        <v>1.095984043999682</v>
      </c>
      <c r="S2019" s="28">
        <v>0.49713000000000002</v>
      </c>
    </row>
    <row r="2020" spans="1:19" x14ac:dyDescent="0.25">
      <c r="A2020" s="28">
        <v>2021</v>
      </c>
      <c r="B2020" s="28"/>
      <c r="C2020" s="28" t="s">
        <v>6877</v>
      </c>
      <c r="D2020" s="28" t="s">
        <v>7051</v>
      </c>
      <c r="E2020" s="28" t="s">
        <v>7052</v>
      </c>
      <c r="F2020" s="28" t="s">
        <v>366</v>
      </c>
      <c r="G2020" s="28">
        <v>95642</v>
      </c>
      <c r="H2020" s="28">
        <v>38.333300000000001</v>
      </c>
      <c r="I2020" s="28">
        <v>-120.7833</v>
      </c>
      <c r="J2020" s="28"/>
      <c r="K2020" s="61">
        <v>110011373637</v>
      </c>
      <c r="L2020" s="61" t="str">
        <f>IFERROR(INDEX('Facility Summary'!$K:$K,MATCH(K2020,'Facility Summary'!$J:$J,0)),INDEX('Raw Annual DMR Data'!$M:$M,MATCH(K2020,'Raw Annual DMR Data'!$L:$L,0)))</f>
        <v>POTW</v>
      </c>
      <c r="M2020" s="28"/>
      <c r="N2020" s="28"/>
      <c r="O2020" s="28"/>
      <c r="P2020" s="28"/>
      <c r="Q2020" s="28"/>
      <c r="R2020" s="28">
        <f t="shared" si="13"/>
        <v>0.20063774705910506</v>
      </c>
      <c r="S2020" s="28">
        <v>9.1007751200000001E-2</v>
      </c>
    </row>
    <row r="2021" spans="1:19" x14ac:dyDescent="0.25">
      <c r="A2021" s="28">
        <v>2024</v>
      </c>
      <c r="B2021" s="28"/>
      <c r="C2021" s="28" t="s">
        <v>1193</v>
      </c>
      <c r="D2021" s="28" t="s">
        <v>1927</v>
      </c>
      <c r="E2021" s="28" t="s">
        <v>293</v>
      </c>
      <c r="F2021" s="28" t="s">
        <v>294</v>
      </c>
      <c r="G2021" s="28">
        <v>22203</v>
      </c>
      <c r="H2021" s="28">
        <v>38.861800000000002</v>
      </c>
      <c r="I2021" s="28">
        <v>-77.086969999999994</v>
      </c>
      <c r="J2021" s="28"/>
      <c r="K2021" s="61">
        <v>110070546877</v>
      </c>
      <c r="L2021" s="61" t="str">
        <f>IFERROR(INDEX('Facility Summary'!$K:$K,MATCH(K2021,'Facility Summary'!$J:$J,0)),INDEX('Raw Annual DMR Data'!$M:$M,MATCH(K2021,'Raw Annual DMR Data'!$L:$L,0)))</f>
        <v>Unknown</v>
      </c>
      <c r="M2021" s="28"/>
      <c r="N2021" s="28"/>
      <c r="O2021" s="28"/>
      <c r="P2021" s="28"/>
      <c r="Q2021" s="28"/>
      <c r="R2021" s="28">
        <f t="shared" si="13"/>
        <v>2.083599111246073E-2</v>
      </c>
      <c r="S2021" s="28">
        <v>9.4510465899999997E-3</v>
      </c>
    </row>
    <row r="2022" spans="1:19" x14ac:dyDescent="0.25">
      <c r="A2022" s="28">
        <v>2023</v>
      </c>
      <c r="B2022" s="28"/>
      <c r="C2022" s="28" t="s">
        <v>1193</v>
      </c>
      <c r="D2022" s="28" t="s">
        <v>1927</v>
      </c>
      <c r="E2022" s="28" t="s">
        <v>293</v>
      </c>
      <c r="F2022" s="28" t="s">
        <v>294</v>
      </c>
      <c r="G2022" s="28">
        <v>22203</v>
      </c>
      <c r="H2022" s="28">
        <v>38.861800000000002</v>
      </c>
      <c r="I2022" s="28">
        <v>-77.086969999999994</v>
      </c>
      <c r="J2022" s="28"/>
      <c r="K2022" s="61">
        <v>110070546877</v>
      </c>
      <c r="L2022" s="61" t="str">
        <f>IFERROR(INDEX('Facility Summary'!$K:$K,MATCH(K2022,'Facility Summary'!$J:$J,0)),INDEX('Raw Annual DMR Data'!$M:$M,MATCH(K2022,'Raw Annual DMR Data'!$L:$L,0)))</f>
        <v>Unknown</v>
      </c>
      <c r="M2022" s="28"/>
      <c r="N2022" s="28"/>
      <c r="O2022" s="28"/>
      <c r="P2022" s="28"/>
      <c r="Q2022" s="28"/>
      <c r="R2022" s="28">
        <f t="shared" si="13"/>
        <v>1.9832930298298447E-2</v>
      </c>
      <c r="S2022" s="28">
        <v>8.9960658580500001E-3</v>
      </c>
    </row>
    <row r="2023" spans="1:19" x14ac:dyDescent="0.25">
      <c r="A2023" s="28">
        <v>2022</v>
      </c>
      <c r="B2023" s="28"/>
      <c r="C2023" s="28" t="s">
        <v>1193</v>
      </c>
      <c r="D2023" s="28" t="s">
        <v>1927</v>
      </c>
      <c r="E2023" s="28" t="s">
        <v>293</v>
      </c>
      <c r="F2023" s="28" t="s">
        <v>294</v>
      </c>
      <c r="G2023" s="28">
        <v>22203</v>
      </c>
      <c r="H2023" s="28">
        <v>38.861800000000002</v>
      </c>
      <c r="I2023" s="28">
        <v>-77.086969999999994</v>
      </c>
      <c r="J2023" s="28"/>
      <c r="K2023" s="61">
        <v>110070546877</v>
      </c>
      <c r="L2023" s="61" t="str">
        <f>IFERROR(INDEX('Facility Summary'!$K:$K,MATCH(K2023,'Facility Summary'!$J:$J,0)),INDEX('Raw Annual DMR Data'!$M:$M,MATCH(K2023,'Raw Annual DMR Data'!$L:$L,0)))</f>
        <v>Unknown</v>
      </c>
      <c r="M2023" s="28"/>
      <c r="N2023" s="28"/>
      <c r="O2023" s="28"/>
      <c r="P2023" s="28"/>
      <c r="Q2023" s="28"/>
      <c r="R2023" s="28">
        <f t="shared" si="13"/>
        <v>6.4770057893610508E-4</v>
      </c>
      <c r="S2023" s="28">
        <v>2.9379204064999999E-4</v>
      </c>
    </row>
    <row r="2024" spans="1:19" x14ac:dyDescent="0.25">
      <c r="A2024" s="28">
        <v>2021</v>
      </c>
      <c r="B2024" s="28"/>
      <c r="C2024" s="28" t="s">
        <v>1193</v>
      </c>
      <c r="D2024" s="28" t="s">
        <v>1927</v>
      </c>
      <c r="E2024" s="28" t="s">
        <v>293</v>
      </c>
      <c r="F2024" s="28" t="s">
        <v>294</v>
      </c>
      <c r="G2024" s="28">
        <v>22203</v>
      </c>
      <c r="H2024" s="28">
        <v>38.861800000000002</v>
      </c>
      <c r="I2024" s="28">
        <v>-77.086969999999994</v>
      </c>
      <c r="J2024" s="28"/>
      <c r="K2024" s="61">
        <v>110070546877</v>
      </c>
      <c r="L2024" s="61" t="str">
        <f>IFERROR(INDEX('Facility Summary'!$K:$K,MATCH(K2024,'Facility Summary'!$J:$J,0)),INDEX('Raw Annual DMR Data'!$M:$M,MATCH(K2024,'Raw Annual DMR Data'!$L:$L,0)))</f>
        <v>Unknown</v>
      </c>
      <c r="M2024" s="28"/>
      <c r="N2024" s="28"/>
      <c r="O2024" s="28"/>
      <c r="P2024" s="28"/>
      <c r="Q2024" s="28"/>
      <c r="R2024" s="28">
        <f t="shared" si="13"/>
        <v>6.3173330120169335E-4</v>
      </c>
      <c r="S2024" s="28">
        <v>2.8654940529999998E-4</v>
      </c>
    </row>
    <row r="2025" spans="1:19" x14ac:dyDescent="0.25">
      <c r="A2025" s="28">
        <v>2022</v>
      </c>
      <c r="B2025" s="28"/>
      <c r="C2025" s="28" t="s">
        <v>6803</v>
      </c>
      <c r="D2025" s="28" t="s">
        <v>6957</v>
      </c>
      <c r="E2025" s="28" t="s">
        <v>6958</v>
      </c>
      <c r="F2025" s="28" t="s">
        <v>362</v>
      </c>
      <c r="G2025" s="28">
        <v>77539</v>
      </c>
      <c r="H2025" s="28">
        <v>29.460277999999999</v>
      </c>
      <c r="I2025" s="28">
        <v>-95.043890000000005</v>
      </c>
      <c r="J2025" s="28"/>
      <c r="K2025" s="61">
        <v>110042005503</v>
      </c>
      <c r="L2025" s="61" t="str">
        <f>IFERROR(INDEX('Facility Summary'!$K:$K,MATCH(K2025,'Facility Summary'!$J:$J,0)),INDEX('Raw Annual DMR Data'!$M:$M,MATCH(K2025,'Raw Annual DMR Data'!$L:$L,0)))</f>
        <v>Unknown</v>
      </c>
      <c r="M2025" s="28"/>
      <c r="N2025" s="28"/>
      <c r="O2025" s="28"/>
      <c r="P2025" s="28"/>
      <c r="Q2025" s="28"/>
      <c r="R2025" s="28">
        <f t="shared" si="13"/>
        <v>0.36532801466656062</v>
      </c>
      <c r="S2025" s="28">
        <v>0.16571</v>
      </c>
    </row>
    <row r="2026" spans="1:19" x14ac:dyDescent="0.25">
      <c r="A2026" s="28">
        <v>2021</v>
      </c>
      <c r="B2026" s="28"/>
      <c r="C2026" s="28" t="s">
        <v>1194</v>
      </c>
      <c r="D2026" s="28" t="s">
        <v>1929</v>
      </c>
      <c r="E2026" s="28" t="s">
        <v>1195</v>
      </c>
      <c r="F2026" s="28" t="s">
        <v>324</v>
      </c>
      <c r="G2026" s="28">
        <v>40004</v>
      </c>
      <c r="H2026" s="28">
        <v>37.780760000000001</v>
      </c>
      <c r="I2026" s="28">
        <v>-85.510740999999996</v>
      </c>
      <c r="J2026" s="28"/>
      <c r="K2026" s="61">
        <v>110009933402</v>
      </c>
      <c r="L2026" s="61" t="str">
        <f>IFERROR(INDEX('Facility Summary'!$K:$K,MATCH(K2026,'Facility Summary'!$J:$J,0)),INDEX('Raw Annual DMR Data'!$M:$M,MATCH(K2026,'Raw Annual DMR Data'!$L:$L,0)))</f>
        <v>POTW</v>
      </c>
      <c r="M2026" s="28"/>
      <c r="N2026" s="28"/>
      <c r="O2026" s="28"/>
      <c r="P2026" s="28"/>
      <c r="Q2026" s="28"/>
      <c r="R2026" s="28">
        <f t="shared" si="13"/>
        <v>3.5757002482206657</v>
      </c>
      <c r="S2026" s="28">
        <v>1.6219103500000001</v>
      </c>
    </row>
    <row r="2027" spans="1:19" x14ac:dyDescent="0.25">
      <c r="A2027" s="28">
        <v>2021</v>
      </c>
      <c r="B2027" s="28"/>
      <c r="C2027" s="28" t="s">
        <v>6842</v>
      </c>
      <c r="D2027" s="28" t="s">
        <v>6998</v>
      </c>
      <c r="E2027" s="28" t="s">
        <v>1286</v>
      </c>
      <c r="F2027" s="28" t="s">
        <v>1171</v>
      </c>
      <c r="G2027" s="28">
        <v>96816</v>
      </c>
      <c r="H2027" s="28">
        <v>21.27167</v>
      </c>
      <c r="I2027" s="28">
        <v>-157.77395999999999</v>
      </c>
      <c r="J2027" s="28"/>
      <c r="K2027" s="61">
        <v>110006777210</v>
      </c>
      <c r="L2027" s="61" t="str">
        <f>IFERROR(INDEX('Facility Summary'!$K:$K,MATCH(K2027,'Facility Summary'!$J:$J,0)),INDEX('Raw Annual DMR Data'!$M:$M,MATCH(K2027,'Raw Annual DMR Data'!$L:$L,0)))</f>
        <v>Unknown</v>
      </c>
      <c r="M2027" s="28"/>
      <c r="N2027" s="28"/>
      <c r="O2027" s="28"/>
      <c r="P2027" s="28"/>
      <c r="Q2027" s="28"/>
      <c r="R2027" s="28">
        <f t="shared" si="13"/>
        <v>7.4340696520093577</v>
      </c>
      <c r="S2027" s="28">
        <v>3.3720372722</v>
      </c>
    </row>
    <row r="2028" spans="1:19" x14ac:dyDescent="0.25">
      <c r="A2028" s="28">
        <v>2021</v>
      </c>
      <c r="B2028" s="28"/>
      <c r="C2028" s="28" t="s">
        <v>166</v>
      </c>
      <c r="D2028" s="28" t="s">
        <v>537</v>
      </c>
      <c r="E2028" s="28" t="s">
        <v>538</v>
      </c>
      <c r="F2028" s="28" t="s">
        <v>362</v>
      </c>
      <c r="G2028" s="28">
        <v>77578</v>
      </c>
      <c r="H2028" s="28">
        <v>29.458400000000001</v>
      </c>
      <c r="I2028" s="28">
        <v>-95.330399999999997</v>
      </c>
      <c r="J2028" s="28" t="s">
        <v>539</v>
      </c>
      <c r="K2028" s="61">
        <v>110000599479</v>
      </c>
      <c r="L2028" s="61" t="str">
        <f>IFERROR(INDEX('Facility Summary'!$K:$K,MATCH(K2028,'Facility Summary'!$J:$J,0)),INDEX('Raw Annual DMR Data'!$M:$M,MATCH(K2028,'Raw Annual DMR Data'!$L:$L,0)))</f>
        <v>Manufacturing</v>
      </c>
      <c r="M2028" s="28"/>
      <c r="N2028" s="28"/>
      <c r="O2028" s="28"/>
      <c r="P2028" s="28"/>
      <c r="Q2028" s="28"/>
      <c r="R2028" s="28">
        <f t="shared" si="13"/>
        <v>3.287952131999046E-2</v>
      </c>
      <c r="S2028" s="28">
        <v>1.4913900000000001E-2</v>
      </c>
    </row>
    <row r="2029" spans="1:19" x14ac:dyDescent="0.25">
      <c r="A2029" s="28">
        <v>2021</v>
      </c>
      <c r="B2029" s="28"/>
      <c r="C2029" s="28" t="s">
        <v>166</v>
      </c>
      <c r="D2029" s="28" t="s">
        <v>537</v>
      </c>
      <c r="E2029" s="28" t="s">
        <v>538</v>
      </c>
      <c r="F2029" s="28" t="s">
        <v>362</v>
      </c>
      <c r="G2029" s="28">
        <v>77578</v>
      </c>
      <c r="H2029" s="28">
        <v>29.458400000000001</v>
      </c>
      <c r="I2029" s="28">
        <v>-95.330399999999997</v>
      </c>
      <c r="J2029" s="28" t="s">
        <v>539</v>
      </c>
      <c r="K2029" s="61">
        <v>110000599479</v>
      </c>
      <c r="L2029" s="61" t="str">
        <f>IFERROR(INDEX('Facility Summary'!$K:$K,MATCH(K2029,'Facility Summary'!$J:$J,0)),INDEX('Raw Annual DMR Data'!$M:$M,MATCH(K2029,'Raw Annual DMR Data'!$L:$L,0)))</f>
        <v>Manufacturing</v>
      </c>
      <c r="M2029" s="28"/>
      <c r="N2029" s="28"/>
      <c r="O2029" s="28"/>
      <c r="P2029" s="28"/>
      <c r="Q2029" s="28"/>
      <c r="R2029" s="28">
        <f t="shared" si="13"/>
        <v>3.287952131999046E-2</v>
      </c>
      <c r="S2029" s="28">
        <v>1.4913900000000001E-2</v>
      </c>
    </row>
    <row r="2030" spans="1:19" x14ac:dyDescent="0.25">
      <c r="A2030" s="28">
        <v>2022</v>
      </c>
      <c r="B2030" s="28"/>
      <c r="C2030" s="28" t="s">
        <v>166</v>
      </c>
      <c r="D2030" s="28" t="s">
        <v>537</v>
      </c>
      <c r="E2030" s="28" t="s">
        <v>538</v>
      </c>
      <c r="F2030" s="28" t="s">
        <v>362</v>
      </c>
      <c r="G2030" s="28">
        <v>77578</v>
      </c>
      <c r="H2030" s="28">
        <v>29.458400000000001</v>
      </c>
      <c r="I2030" s="28">
        <v>-95.330399999999997</v>
      </c>
      <c r="J2030" s="28" t="s">
        <v>539</v>
      </c>
      <c r="K2030" s="61">
        <v>110000599479</v>
      </c>
      <c r="L2030" s="61" t="str">
        <f>IFERROR(INDEX('Facility Summary'!$K:$K,MATCH(K2030,'Facility Summary'!$J:$J,0)),INDEX('Raw Annual DMR Data'!$M:$M,MATCH(K2030,'Raw Annual DMR Data'!$L:$L,0)))</f>
        <v>Manufacturing</v>
      </c>
      <c r="M2030" s="28"/>
      <c r="N2030" s="28"/>
      <c r="O2030" s="28"/>
      <c r="P2030" s="28"/>
      <c r="Q2030" s="28"/>
      <c r="R2030" s="28">
        <f t="shared" si="13"/>
        <v>3.287952131999046E-2</v>
      </c>
      <c r="S2030" s="28">
        <v>1.4913900000000001E-2</v>
      </c>
    </row>
    <row r="2031" spans="1:19" x14ac:dyDescent="0.25">
      <c r="A2031" s="28">
        <v>2022</v>
      </c>
      <c r="B2031" s="28"/>
      <c r="C2031" s="28" t="s">
        <v>166</v>
      </c>
      <c r="D2031" s="28" t="s">
        <v>537</v>
      </c>
      <c r="E2031" s="28" t="s">
        <v>538</v>
      </c>
      <c r="F2031" s="28" t="s">
        <v>362</v>
      </c>
      <c r="G2031" s="28">
        <v>77578</v>
      </c>
      <c r="H2031" s="28">
        <v>29.458400000000001</v>
      </c>
      <c r="I2031" s="28">
        <v>-95.330399999999997</v>
      </c>
      <c r="J2031" s="28" t="s">
        <v>539</v>
      </c>
      <c r="K2031" s="61">
        <v>110000599479</v>
      </c>
      <c r="L2031" s="61" t="str">
        <f>IFERROR(INDEX('Facility Summary'!$K:$K,MATCH(K2031,'Facility Summary'!$J:$J,0)),INDEX('Raw Annual DMR Data'!$M:$M,MATCH(K2031,'Raw Annual DMR Data'!$L:$L,0)))</f>
        <v>Manufacturing</v>
      </c>
      <c r="M2031" s="28"/>
      <c r="N2031" s="28"/>
      <c r="O2031" s="28"/>
      <c r="P2031" s="28"/>
      <c r="Q2031" s="28"/>
      <c r="R2031" s="28">
        <f t="shared" si="13"/>
        <v>3.287952131999046E-2</v>
      </c>
      <c r="S2031" s="28">
        <v>1.4913900000000001E-2</v>
      </c>
    </row>
    <row r="2032" spans="1:19" x14ac:dyDescent="0.25">
      <c r="A2032" s="28">
        <v>2023</v>
      </c>
      <c r="B2032" s="28"/>
      <c r="C2032" s="28" t="s">
        <v>166</v>
      </c>
      <c r="D2032" s="28" t="s">
        <v>537</v>
      </c>
      <c r="E2032" s="28" t="s">
        <v>538</v>
      </c>
      <c r="F2032" s="28" t="s">
        <v>362</v>
      </c>
      <c r="G2032" s="28">
        <v>77578</v>
      </c>
      <c r="H2032" s="28">
        <v>29.458400000000001</v>
      </c>
      <c r="I2032" s="28">
        <v>-95.330399999999997</v>
      </c>
      <c r="J2032" s="28" t="s">
        <v>539</v>
      </c>
      <c r="K2032" s="61">
        <v>110000599479</v>
      </c>
      <c r="L2032" s="61" t="str">
        <f>IFERROR(INDEX('Facility Summary'!$K:$K,MATCH(K2032,'Facility Summary'!$J:$J,0)),INDEX('Raw Annual DMR Data'!$M:$M,MATCH(K2032,'Raw Annual DMR Data'!$L:$L,0)))</f>
        <v>Manufacturing</v>
      </c>
      <c r="M2032" s="28"/>
      <c r="N2032" s="28"/>
      <c r="O2032" s="28"/>
      <c r="P2032" s="28"/>
      <c r="Q2032" s="28"/>
      <c r="R2032" s="28">
        <f t="shared" si="13"/>
        <v>3.287952131999046E-2</v>
      </c>
      <c r="S2032" s="28">
        <v>1.4913900000000001E-2</v>
      </c>
    </row>
    <row r="2033" spans="1:19" x14ac:dyDescent="0.25">
      <c r="A2033" s="28">
        <v>2023</v>
      </c>
      <c r="B2033" s="28"/>
      <c r="C2033" s="28" t="s">
        <v>166</v>
      </c>
      <c r="D2033" s="28" t="s">
        <v>537</v>
      </c>
      <c r="E2033" s="28" t="s">
        <v>538</v>
      </c>
      <c r="F2033" s="28" t="s">
        <v>362</v>
      </c>
      <c r="G2033" s="28">
        <v>77578</v>
      </c>
      <c r="H2033" s="28">
        <v>29.458400000000001</v>
      </c>
      <c r="I2033" s="28">
        <v>-95.330399999999997</v>
      </c>
      <c r="J2033" s="28" t="s">
        <v>539</v>
      </c>
      <c r="K2033" s="61">
        <v>110000599479</v>
      </c>
      <c r="L2033" s="61" t="str">
        <f>IFERROR(INDEX('Facility Summary'!$K:$K,MATCH(K2033,'Facility Summary'!$J:$J,0)),INDEX('Raw Annual DMR Data'!$M:$M,MATCH(K2033,'Raw Annual DMR Data'!$L:$L,0)))</f>
        <v>Manufacturing</v>
      </c>
      <c r="M2033" s="28"/>
      <c r="N2033" s="28"/>
      <c r="O2033" s="28"/>
      <c r="P2033" s="28"/>
      <c r="Q2033" s="28"/>
      <c r="R2033" s="28">
        <f t="shared" si="13"/>
        <v>3.287952131999046E-2</v>
      </c>
      <c r="S2033" s="28">
        <v>1.4913900000000001E-2</v>
      </c>
    </row>
    <row r="2034" spans="1:19" x14ac:dyDescent="0.25">
      <c r="A2034" s="28">
        <v>2024</v>
      </c>
      <c r="B2034" s="28"/>
      <c r="C2034" s="28" t="s">
        <v>166</v>
      </c>
      <c r="D2034" s="28" t="s">
        <v>537</v>
      </c>
      <c r="E2034" s="28" t="s">
        <v>538</v>
      </c>
      <c r="F2034" s="28" t="s">
        <v>362</v>
      </c>
      <c r="G2034" s="28">
        <v>77578</v>
      </c>
      <c r="H2034" s="28">
        <v>29.458400000000001</v>
      </c>
      <c r="I2034" s="28">
        <v>-95.330399999999997</v>
      </c>
      <c r="J2034" s="28" t="s">
        <v>539</v>
      </c>
      <c r="K2034" s="61">
        <v>110000599479</v>
      </c>
      <c r="L2034" s="61" t="str">
        <f>IFERROR(INDEX('Facility Summary'!$K:$K,MATCH(K2034,'Facility Summary'!$J:$J,0)),INDEX('Raw Annual DMR Data'!$M:$M,MATCH(K2034,'Raw Annual DMR Data'!$L:$L,0)))</f>
        <v>Manufacturing</v>
      </c>
      <c r="M2034" s="28"/>
      <c r="N2034" s="28"/>
      <c r="O2034" s="28"/>
      <c r="P2034" s="28"/>
      <c r="Q2034" s="28"/>
      <c r="R2034" s="28">
        <f t="shared" si="13"/>
        <v>3.287952131999046E-2</v>
      </c>
      <c r="S2034" s="28">
        <v>1.4913900000000001E-2</v>
      </c>
    </row>
    <row r="2035" spans="1:19" x14ac:dyDescent="0.25">
      <c r="A2035" s="28">
        <v>2024</v>
      </c>
      <c r="B2035" s="28"/>
      <c r="C2035" s="28" t="s">
        <v>166</v>
      </c>
      <c r="D2035" s="28" t="s">
        <v>537</v>
      </c>
      <c r="E2035" s="28" t="s">
        <v>538</v>
      </c>
      <c r="F2035" s="28" t="s">
        <v>362</v>
      </c>
      <c r="G2035" s="28">
        <v>77578</v>
      </c>
      <c r="H2035" s="28">
        <v>29.458400000000001</v>
      </c>
      <c r="I2035" s="28">
        <v>-95.330399999999997</v>
      </c>
      <c r="J2035" s="28" t="s">
        <v>539</v>
      </c>
      <c r="K2035" s="61">
        <v>110000599479</v>
      </c>
      <c r="L2035" s="61" t="str">
        <f>IFERROR(INDEX('Facility Summary'!$K:$K,MATCH(K2035,'Facility Summary'!$J:$J,0)),INDEX('Raw Annual DMR Data'!$M:$M,MATCH(K2035,'Raw Annual DMR Data'!$L:$L,0)))</f>
        <v>Manufacturing</v>
      </c>
      <c r="M2035" s="28"/>
      <c r="N2035" s="28"/>
      <c r="O2035" s="28"/>
      <c r="P2035" s="28"/>
      <c r="Q2035" s="28"/>
      <c r="R2035" s="28">
        <f t="shared" si="13"/>
        <v>3.287952131999046E-2</v>
      </c>
      <c r="S2035" s="28">
        <v>1.4913900000000001E-2</v>
      </c>
    </row>
    <row r="2036" spans="1:19" x14ac:dyDescent="0.25">
      <c r="A2036" s="28">
        <v>2022</v>
      </c>
      <c r="B2036" s="28"/>
      <c r="C2036" s="28" t="s">
        <v>6787</v>
      </c>
      <c r="D2036" s="28" t="s">
        <v>6938</v>
      </c>
      <c r="E2036" s="28" t="s">
        <v>1403</v>
      </c>
      <c r="F2036" s="28" t="s">
        <v>294</v>
      </c>
      <c r="G2036" s="28">
        <v>23462</v>
      </c>
      <c r="H2036" s="28">
        <v>36.825991999999999</v>
      </c>
      <c r="I2036" s="28">
        <v>-76.161393000000004</v>
      </c>
      <c r="J2036" s="28"/>
      <c r="K2036" s="61">
        <v>110071357531</v>
      </c>
      <c r="L2036" s="61" t="str">
        <f>IFERROR(INDEX('Facility Summary'!$K:$K,MATCH(K2036,'Facility Summary'!$J:$J,0)),INDEX('Raw Annual DMR Data'!$M:$M,MATCH(K2036,'Raw Annual DMR Data'!$L:$L,0)))</f>
        <v>Unknown</v>
      </c>
      <c r="M2036" s="28"/>
      <c r="N2036" s="28"/>
      <c r="O2036" s="28"/>
      <c r="P2036" s="28"/>
      <c r="Q2036" s="28"/>
      <c r="R2036" s="28">
        <f t="shared" si="13"/>
        <v>3.0040187845311421E-3</v>
      </c>
      <c r="S2036" s="28">
        <v>1.3626000000000001E-3</v>
      </c>
    </row>
    <row r="2037" spans="1:19" x14ac:dyDescent="0.25">
      <c r="A2037" s="28">
        <v>2023</v>
      </c>
      <c r="B2037" s="28"/>
      <c r="C2037" s="28" t="s">
        <v>6803</v>
      </c>
      <c r="D2037" s="28" t="s">
        <v>6957</v>
      </c>
      <c r="E2037" s="28" t="s">
        <v>6958</v>
      </c>
      <c r="F2037" s="28" t="s">
        <v>362</v>
      </c>
      <c r="G2037" s="28">
        <v>77539</v>
      </c>
      <c r="H2037" s="28">
        <v>29.460277999999999</v>
      </c>
      <c r="I2037" s="28">
        <v>-95.043890000000005</v>
      </c>
      <c r="J2037" s="28"/>
      <c r="K2037" s="61">
        <v>110042005503</v>
      </c>
      <c r="L2037" s="61" t="str">
        <f>IFERROR(INDEX('Facility Summary'!$K:$K,MATCH(K2037,'Facility Summary'!$J:$J,0)),INDEX('Raw Annual DMR Data'!$M:$M,MATCH(K2037,'Raw Annual DMR Data'!$L:$L,0)))</f>
        <v>Unknown</v>
      </c>
      <c r="M2037" s="28"/>
      <c r="N2037" s="28"/>
      <c r="O2037" s="28"/>
      <c r="P2037" s="28"/>
      <c r="Q2037" s="28"/>
      <c r="R2037" s="28">
        <f t="shared" si="13"/>
        <v>0.36532801466656062</v>
      </c>
      <c r="S2037" s="28">
        <v>0.16571</v>
      </c>
    </row>
    <row r="2038" spans="1:19" x14ac:dyDescent="0.25">
      <c r="A2038" s="28">
        <v>2021</v>
      </c>
      <c r="B2038" s="28"/>
      <c r="C2038" s="28" t="s">
        <v>6861</v>
      </c>
      <c r="D2038" s="28" t="s">
        <v>7023</v>
      </c>
      <c r="E2038" s="28" t="s">
        <v>7024</v>
      </c>
      <c r="F2038" s="28" t="s">
        <v>491</v>
      </c>
      <c r="G2038" s="28" t="s">
        <v>7025</v>
      </c>
      <c r="H2038" s="28">
        <v>40.080860000000001</v>
      </c>
      <c r="I2038" s="28">
        <v>-76.18674</v>
      </c>
      <c r="J2038" s="28"/>
      <c r="K2038" s="61">
        <v>110001063483</v>
      </c>
      <c r="L2038" s="61" t="str">
        <f>IFERROR(INDEX('Facility Summary'!$K:$K,MATCH(K2038,'Facility Summary'!$J:$J,0)),INDEX('Raw Annual DMR Data'!$M:$M,MATCH(K2038,'Raw Annual DMR Data'!$L:$L,0)))</f>
        <v>Waste Handling, Disposal and Treatment (non-POTW WWT)</v>
      </c>
      <c r="M2038" s="28"/>
      <c r="N2038" s="28"/>
      <c r="O2038" s="28"/>
      <c r="P2038" s="28"/>
      <c r="Q2038" s="28"/>
      <c r="R2038" s="28">
        <f t="shared" si="13"/>
        <v>928.94838879234237</v>
      </c>
      <c r="S2038" s="28">
        <v>421.36390127999999</v>
      </c>
    </row>
    <row r="2039" spans="1:19" x14ac:dyDescent="0.25">
      <c r="A2039" s="28">
        <v>2023</v>
      </c>
      <c r="B2039" s="28"/>
      <c r="C2039" s="28" t="s">
        <v>6875</v>
      </c>
      <c r="D2039" s="28" t="s">
        <v>7045</v>
      </c>
      <c r="E2039" s="28" t="s">
        <v>318</v>
      </c>
      <c r="F2039" s="28" t="s">
        <v>319</v>
      </c>
      <c r="G2039" s="28">
        <v>44622</v>
      </c>
      <c r="H2039" s="28">
        <v>40.506320000000002</v>
      </c>
      <c r="I2039" s="28">
        <v>-81.474299999999999</v>
      </c>
      <c r="J2039" s="28" t="s">
        <v>321</v>
      </c>
      <c r="K2039" s="61">
        <v>110000496981</v>
      </c>
      <c r="L2039" s="61" t="str">
        <f>IFERROR(INDEX('Facility Summary'!$K:$K,MATCH(K2039,'Facility Summary'!$J:$J,0)),INDEX('Raw Annual DMR Data'!$M:$M,MATCH(K2039,'Raw Annual DMR Data'!$L:$L,0)))</f>
        <v>Manufacturing</v>
      </c>
      <c r="M2039" s="28"/>
      <c r="N2039" s="28"/>
      <c r="O2039" s="28"/>
      <c r="P2039" s="28"/>
      <c r="Q2039" s="28"/>
      <c r="R2039" s="28">
        <f t="shared" si="13"/>
        <v>2.5754401468437393</v>
      </c>
      <c r="S2039" s="28">
        <v>1.1681999999999999</v>
      </c>
    </row>
    <row r="2040" spans="1:19" x14ac:dyDescent="0.25">
      <c r="A2040" s="28">
        <v>2024</v>
      </c>
      <c r="B2040" s="28"/>
      <c r="C2040" s="28" t="s">
        <v>1206</v>
      </c>
      <c r="D2040" s="28" t="s">
        <v>1947</v>
      </c>
      <c r="E2040" s="28" t="s">
        <v>1207</v>
      </c>
      <c r="F2040" s="28" t="s">
        <v>324</v>
      </c>
      <c r="G2040" s="28">
        <v>40031</v>
      </c>
      <c r="H2040" s="28">
        <v>38.391995999999999</v>
      </c>
      <c r="I2040" s="28">
        <v>-85.416021999999998</v>
      </c>
      <c r="J2040" s="28"/>
      <c r="K2040" s="61">
        <v>110002108059</v>
      </c>
      <c r="L2040" s="61" t="str">
        <f>IFERROR(INDEX('Facility Summary'!$K:$K,MATCH(K2040,'Facility Summary'!$J:$J,0)),INDEX('Raw Annual DMR Data'!$M:$M,MATCH(K2040,'Raw Annual DMR Data'!$L:$L,0)))</f>
        <v>POTW</v>
      </c>
      <c r="M2040" s="28"/>
      <c r="N2040" s="28"/>
      <c r="O2040" s="28"/>
      <c r="P2040" s="28"/>
      <c r="Q2040" s="28"/>
      <c r="R2040" s="28">
        <f t="shared" si="13"/>
        <v>5.4290338095854649</v>
      </c>
      <c r="S2040" s="28">
        <v>2.4625683125000002</v>
      </c>
    </row>
    <row r="2041" spans="1:19" x14ac:dyDescent="0.25">
      <c r="A2041" s="28">
        <v>2023</v>
      </c>
      <c r="B2041" s="28"/>
      <c r="C2041" s="28" t="s">
        <v>1206</v>
      </c>
      <c r="D2041" s="28" t="s">
        <v>1947</v>
      </c>
      <c r="E2041" s="28" t="s">
        <v>1207</v>
      </c>
      <c r="F2041" s="28" t="s">
        <v>324</v>
      </c>
      <c r="G2041" s="28">
        <v>40031</v>
      </c>
      <c r="H2041" s="28">
        <v>38.391995999999999</v>
      </c>
      <c r="I2041" s="28">
        <v>-85.416021999999998</v>
      </c>
      <c r="J2041" s="28"/>
      <c r="K2041" s="61">
        <v>110002108059</v>
      </c>
      <c r="L2041" s="61" t="str">
        <f>IFERROR(INDEX('Facility Summary'!$K:$K,MATCH(K2041,'Facility Summary'!$J:$J,0)),INDEX('Raw Annual DMR Data'!$M:$M,MATCH(K2041,'Raw Annual DMR Data'!$L:$L,0)))</f>
        <v>POTW</v>
      </c>
      <c r="M2041" s="28"/>
      <c r="N2041" s="28"/>
      <c r="O2041" s="28"/>
      <c r="P2041" s="28"/>
      <c r="Q2041" s="28"/>
      <c r="R2041" s="28">
        <f t="shared" si="13"/>
        <v>3.9137775289297743</v>
      </c>
      <c r="S2041" s="28">
        <v>1.7752596249999999</v>
      </c>
    </row>
    <row r="2042" spans="1:19" x14ac:dyDescent="0.25">
      <c r="A2042" s="28">
        <v>2021</v>
      </c>
      <c r="B2042" s="28"/>
      <c r="C2042" s="28" t="s">
        <v>1955</v>
      </c>
      <c r="D2042" s="28" t="s">
        <v>604</v>
      </c>
      <c r="E2042" s="28" t="s">
        <v>446</v>
      </c>
      <c r="F2042" s="28" t="s">
        <v>303</v>
      </c>
      <c r="G2042" s="28">
        <v>70669</v>
      </c>
      <c r="H2042" s="28">
        <v>30.240278</v>
      </c>
      <c r="I2042" s="28">
        <v>-93.277221999999995</v>
      </c>
      <c r="J2042" s="28" t="s">
        <v>605</v>
      </c>
      <c r="K2042" s="61">
        <v>110000539757</v>
      </c>
      <c r="L2042" s="61" t="str">
        <f>IFERROR(INDEX('Facility Summary'!$K:$K,MATCH(K2042,'Facility Summary'!$J:$J,0)),INDEX('Raw Annual DMR Data'!$M:$M,MATCH(K2042,'Raw Annual DMR Data'!$L:$L,0)))</f>
        <v>Repackaging</v>
      </c>
      <c r="M2042" s="28"/>
      <c r="N2042" s="28"/>
      <c r="O2042" s="28"/>
      <c r="P2042" s="28"/>
      <c r="Q2042" s="28"/>
      <c r="R2042" s="28">
        <f t="shared" si="13"/>
        <v>15.320495801108823</v>
      </c>
      <c r="S2042" s="28">
        <v>6.9492599999999998</v>
      </c>
    </row>
    <row r="2043" spans="1:19" x14ac:dyDescent="0.25">
      <c r="A2043" s="28">
        <v>2022</v>
      </c>
      <c r="B2043" s="28"/>
      <c r="C2043" s="28" t="s">
        <v>1955</v>
      </c>
      <c r="D2043" s="28" t="s">
        <v>604</v>
      </c>
      <c r="E2043" s="28" t="s">
        <v>446</v>
      </c>
      <c r="F2043" s="28" t="s">
        <v>303</v>
      </c>
      <c r="G2043" s="28">
        <v>70669</v>
      </c>
      <c r="H2043" s="28">
        <v>30.240278</v>
      </c>
      <c r="I2043" s="28">
        <v>-93.277221999999995</v>
      </c>
      <c r="J2043" s="28" t="s">
        <v>605</v>
      </c>
      <c r="K2043" s="61">
        <v>110000539757</v>
      </c>
      <c r="L2043" s="61" t="str">
        <f>IFERROR(INDEX('Facility Summary'!$K:$K,MATCH(K2043,'Facility Summary'!$J:$J,0)),INDEX('Raw Annual DMR Data'!$M:$M,MATCH(K2043,'Raw Annual DMR Data'!$L:$L,0)))</f>
        <v>Repackaging</v>
      </c>
      <c r="M2043" s="28"/>
      <c r="N2043" s="28"/>
      <c r="O2043" s="28"/>
      <c r="P2043" s="28"/>
      <c r="Q2043" s="28"/>
      <c r="R2043" s="28">
        <f t="shared" si="13"/>
        <v>3.4546216022108136</v>
      </c>
      <c r="S2043" s="28">
        <v>1.5669900000000001</v>
      </c>
    </row>
    <row r="2044" spans="1:19" x14ac:dyDescent="0.25">
      <c r="A2044" s="28">
        <v>2021</v>
      </c>
      <c r="B2044" s="28"/>
      <c r="C2044" s="28" t="s">
        <v>6856</v>
      </c>
      <c r="D2044" s="28" t="s">
        <v>7016</v>
      </c>
      <c r="E2044" s="28" t="s">
        <v>7017</v>
      </c>
      <c r="F2044" s="28" t="s">
        <v>324</v>
      </c>
      <c r="G2044" s="28">
        <v>40444</v>
      </c>
      <c r="H2044" s="28">
        <v>37.616959999999999</v>
      </c>
      <c r="I2044" s="28">
        <v>-84.585099999999997</v>
      </c>
      <c r="J2044" s="28"/>
      <c r="K2044" s="61">
        <v>110039705049</v>
      </c>
      <c r="L2044" s="61" t="str">
        <f>IFERROR(INDEX('Facility Summary'!$K:$K,MATCH(K2044,'Facility Summary'!$J:$J,0)),INDEX('Raw Annual DMR Data'!$M:$M,MATCH(K2044,'Raw Annual DMR Data'!$L:$L,0)))</f>
        <v>POTW</v>
      </c>
      <c r="M2044" s="28"/>
      <c r="N2044" s="28"/>
      <c r="O2044" s="28"/>
      <c r="P2044" s="28"/>
      <c r="Q2044" s="28"/>
      <c r="R2044" s="28">
        <f t="shared" ref="R2044:R2107" si="14">CONVERT(S2044,"g","lbm")*1000</f>
        <v>7.2092695805266738</v>
      </c>
      <c r="S2044" s="28">
        <v>3.2700696749999998</v>
      </c>
    </row>
    <row r="2045" spans="1:19" x14ac:dyDescent="0.25">
      <c r="A2045" s="28">
        <v>2024</v>
      </c>
      <c r="B2045" s="28"/>
      <c r="C2045" s="28" t="s">
        <v>6890</v>
      </c>
      <c r="D2045" s="28" t="s">
        <v>7072</v>
      </c>
      <c r="E2045" s="28" t="s">
        <v>968</v>
      </c>
      <c r="F2045" s="28" t="s">
        <v>294</v>
      </c>
      <c r="G2045" s="28">
        <v>22304</v>
      </c>
      <c r="H2045" s="28">
        <v>38.816679000000001</v>
      </c>
      <c r="I2045" s="28">
        <v>-77.132997000000003</v>
      </c>
      <c r="J2045" s="28"/>
      <c r="K2045" s="61">
        <v>110071816702</v>
      </c>
      <c r="L2045" s="61" t="str">
        <f>IFERROR(INDEX('Facility Summary'!$K:$K,MATCH(K2045,'Facility Summary'!$J:$J,0)),INDEX('Raw Annual DMR Data'!$M:$M,MATCH(K2045,'Raw Annual DMR Data'!$L:$L,0)))</f>
        <v>Unknown</v>
      </c>
      <c r="M2045" s="28"/>
      <c r="N2045" s="28"/>
      <c r="O2045" s="28"/>
      <c r="P2045" s="28"/>
      <c r="Q2045" s="28"/>
      <c r="R2045" s="28">
        <f t="shared" si="14"/>
        <v>2.6715740390430287E-2</v>
      </c>
      <c r="S2045" s="28">
        <v>1.2118056E-2</v>
      </c>
    </row>
    <row r="2046" spans="1:19" x14ac:dyDescent="0.25">
      <c r="A2046" s="28">
        <v>2024</v>
      </c>
      <c r="B2046" s="28"/>
      <c r="C2046" s="28" t="s">
        <v>6890</v>
      </c>
      <c r="D2046" s="28" t="s">
        <v>7072</v>
      </c>
      <c r="E2046" s="28" t="s">
        <v>968</v>
      </c>
      <c r="F2046" s="28" t="s">
        <v>294</v>
      </c>
      <c r="G2046" s="28">
        <v>22304</v>
      </c>
      <c r="H2046" s="28">
        <v>38.816679000000001</v>
      </c>
      <c r="I2046" s="28">
        <v>-77.132997000000003</v>
      </c>
      <c r="J2046" s="28"/>
      <c r="K2046" s="61">
        <v>110071816702</v>
      </c>
      <c r="L2046" s="61" t="str">
        <f>IFERROR(INDEX('Facility Summary'!$K:$K,MATCH(K2046,'Facility Summary'!$J:$J,0)),INDEX('Raw Annual DMR Data'!$M:$M,MATCH(K2046,'Raw Annual DMR Data'!$L:$L,0)))</f>
        <v>Unknown</v>
      </c>
      <c r="M2046" s="28"/>
      <c r="N2046" s="28"/>
      <c r="O2046" s="28"/>
      <c r="P2046" s="28"/>
      <c r="Q2046" s="28"/>
      <c r="R2046" s="28">
        <f t="shared" si="14"/>
        <v>2.6715740390430287E-2</v>
      </c>
      <c r="S2046" s="28">
        <v>1.2118056E-2</v>
      </c>
    </row>
    <row r="2047" spans="1:19" x14ac:dyDescent="0.25">
      <c r="A2047" s="28">
        <v>2022</v>
      </c>
      <c r="B2047" s="28"/>
      <c r="C2047" s="28" t="s">
        <v>6861</v>
      </c>
      <c r="D2047" s="28" t="s">
        <v>7023</v>
      </c>
      <c r="E2047" s="28" t="s">
        <v>7024</v>
      </c>
      <c r="F2047" s="28" t="s">
        <v>491</v>
      </c>
      <c r="G2047" s="28" t="s">
        <v>7025</v>
      </c>
      <c r="H2047" s="28">
        <v>40.080860000000001</v>
      </c>
      <c r="I2047" s="28">
        <v>-76.18674</v>
      </c>
      <c r="J2047" s="28"/>
      <c r="K2047" s="61">
        <v>110001063483</v>
      </c>
      <c r="L2047" s="61" t="str">
        <f>IFERROR(INDEX('Facility Summary'!$K:$K,MATCH(K2047,'Facility Summary'!$J:$J,0)),INDEX('Raw Annual DMR Data'!$M:$M,MATCH(K2047,'Raw Annual DMR Data'!$L:$L,0)))</f>
        <v>Waste Handling, Disposal and Treatment (non-POTW WWT)</v>
      </c>
      <c r="M2047" s="28"/>
      <c r="N2047" s="28"/>
      <c r="O2047" s="28"/>
      <c r="P2047" s="28"/>
      <c r="Q2047" s="28"/>
      <c r="R2047" s="28">
        <f t="shared" si="14"/>
        <v>517.67780397187903</v>
      </c>
      <c r="S2047" s="28">
        <v>234.81470200000001</v>
      </c>
    </row>
    <row r="2048" spans="1:19" x14ac:dyDescent="0.25">
      <c r="A2048" s="28">
        <v>2024</v>
      </c>
      <c r="B2048" s="28"/>
      <c r="C2048" s="28" t="s">
        <v>6861</v>
      </c>
      <c r="D2048" s="28" t="s">
        <v>7023</v>
      </c>
      <c r="E2048" s="28" t="s">
        <v>7024</v>
      </c>
      <c r="F2048" s="28" t="s">
        <v>491</v>
      </c>
      <c r="G2048" s="28" t="s">
        <v>7025</v>
      </c>
      <c r="H2048" s="28">
        <v>40.080860000000001</v>
      </c>
      <c r="I2048" s="28">
        <v>-76.18674</v>
      </c>
      <c r="J2048" s="28"/>
      <c r="K2048" s="61">
        <v>110001063483</v>
      </c>
      <c r="L2048" s="61" t="str">
        <f>IFERROR(INDEX('Facility Summary'!$K:$K,MATCH(K2048,'Facility Summary'!$J:$J,0)),INDEX('Raw Annual DMR Data'!$M:$M,MATCH(K2048,'Raw Annual DMR Data'!$L:$L,0)))</f>
        <v>Waste Handling, Disposal and Treatment (non-POTW WWT)</v>
      </c>
      <c r="M2048" s="28"/>
      <c r="N2048" s="28"/>
      <c r="O2048" s="28"/>
      <c r="P2048" s="28"/>
      <c r="Q2048" s="28"/>
      <c r="R2048" s="28">
        <f t="shared" si="14"/>
        <v>1.0329274277695633</v>
      </c>
      <c r="S2048" s="28">
        <v>0.468528</v>
      </c>
    </row>
    <row r="2049" spans="1:19" x14ac:dyDescent="0.25">
      <c r="A2049" s="28">
        <v>2023</v>
      </c>
      <c r="B2049" s="28"/>
      <c r="C2049" s="28" t="s">
        <v>6861</v>
      </c>
      <c r="D2049" s="28" t="s">
        <v>7023</v>
      </c>
      <c r="E2049" s="28" t="s">
        <v>7024</v>
      </c>
      <c r="F2049" s="28" t="s">
        <v>491</v>
      </c>
      <c r="G2049" s="28" t="s">
        <v>7025</v>
      </c>
      <c r="H2049" s="28">
        <v>40.080860000000001</v>
      </c>
      <c r="I2049" s="28">
        <v>-76.18674</v>
      </c>
      <c r="J2049" s="28"/>
      <c r="K2049" s="61">
        <v>110001063483</v>
      </c>
      <c r="L2049" s="61" t="str">
        <f>IFERROR(INDEX('Facility Summary'!$K:$K,MATCH(K2049,'Facility Summary'!$J:$J,0)),INDEX('Raw Annual DMR Data'!$M:$M,MATCH(K2049,'Raw Annual DMR Data'!$L:$L,0)))</f>
        <v>Waste Handling, Disposal and Treatment (non-POTW WWT)</v>
      </c>
      <c r="M2049" s="28"/>
      <c r="N2049" s="28"/>
      <c r="O2049" s="28"/>
      <c r="P2049" s="28"/>
      <c r="Q2049" s="28"/>
      <c r="R2049" s="28">
        <f t="shared" si="14"/>
        <v>0.81873511232122353</v>
      </c>
      <c r="S2049" s="28">
        <v>0.37137199999999998</v>
      </c>
    </row>
    <row r="2050" spans="1:19" x14ac:dyDescent="0.25">
      <c r="A2050" s="28">
        <v>2021</v>
      </c>
      <c r="B2050" s="28"/>
      <c r="C2050" s="28" t="s">
        <v>1211</v>
      </c>
      <c r="D2050" s="28" t="s">
        <v>1958</v>
      </c>
      <c r="E2050" s="28" t="s">
        <v>657</v>
      </c>
      <c r="F2050" s="28" t="s">
        <v>418</v>
      </c>
      <c r="G2050" s="28">
        <v>89109</v>
      </c>
      <c r="H2050" s="28">
        <v>36.131489999999999</v>
      </c>
      <c r="I2050" s="28">
        <v>-115.15483</v>
      </c>
      <c r="J2050" s="28"/>
      <c r="K2050" s="61">
        <v>110059844156</v>
      </c>
      <c r="L2050" s="61" t="str">
        <f>IFERROR(INDEX('Facility Summary'!$K:$K,MATCH(K2050,'Facility Summary'!$J:$J,0)),INDEX('Raw Annual DMR Data'!$M:$M,MATCH(K2050,'Raw Annual DMR Data'!$L:$L,0)))</f>
        <v>Remediation</v>
      </c>
      <c r="M2050" s="28"/>
      <c r="N2050" s="28"/>
      <c r="O2050" s="28"/>
      <c r="P2050" s="28"/>
      <c r="Q2050" s="28"/>
      <c r="R2050" s="28">
        <f t="shared" si="14"/>
        <v>9.7817787987152419E-2</v>
      </c>
      <c r="S2050" s="28">
        <v>4.4369402281249998E-2</v>
      </c>
    </row>
    <row r="2051" spans="1:19" x14ac:dyDescent="0.25">
      <c r="A2051" s="28">
        <v>2023</v>
      </c>
      <c r="B2051" s="28"/>
      <c r="C2051" s="28" t="s">
        <v>1211</v>
      </c>
      <c r="D2051" s="28" t="s">
        <v>1958</v>
      </c>
      <c r="E2051" s="28" t="s">
        <v>657</v>
      </c>
      <c r="F2051" s="28" t="s">
        <v>418</v>
      </c>
      <c r="G2051" s="28">
        <v>89109</v>
      </c>
      <c r="H2051" s="28">
        <v>36.131489999999999</v>
      </c>
      <c r="I2051" s="28">
        <v>-115.15483</v>
      </c>
      <c r="J2051" s="28"/>
      <c r="K2051" s="61">
        <v>110059844156</v>
      </c>
      <c r="L2051" s="61" t="str">
        <f>IFERROR(INDEX('Facility Summary'!$K:$K,MATCH(K2051,'Facility Summary'!$J:$J,0)),INDEX('Raw Annual DMR Data'!$M:$M,MATCH(K2051,'Raw Annual DMR Data'!$L:$L,0)))</f>
        <v>Remediation</v>
      </c>
      <c r="M2051" s="28"/>
      <c r="N2051" s="28"/>
      <c r="O2051" s="28"/>
      <c r="P2051" s="28"/>
      <c r="Q2051" s="28"/>
      <c r="R2051" s="28">
        <f t="shared" si="14"/>
        <v>9.0222470700951157E-2</v>
      </c>
      <c r="S2051" s="28">
        <v>4.09242243125E-2</v>
      </c>
    </row>
    <row r="2052" spans="1:19" x14ac:dyDescent="0.25">
      <c r="A2052" s="28">
        <v>2023</v>
      </c>
      <c r="B2052" s="28"/>
      <c r="C2052" s="28" t="s">
        <v>1211</v>
      </c>
      <c r="D2052" s="28" t="s">
        <v>1958</v>
      </c>
      <c r="E2052" s="28" t="s">
        <v>657</v>
      </c>
      <c r="F2052" s="28" t="s">
        <v>418</v>
      </c>
      <c r="G2052" s="28">
        <v>89109</v>
      </c>
      <c r="H2052" s="28">
        <v>36.131489999999999</v>
      </c>
      <c r="I2052" s="28">
        <v>-115.15483</v>
      </c>
      <c r="J2052" s="28"/>
      <c r="K2052" s="61">
        <v>110059844156</v>
      </c>
      <c r="L2052" s="61" t="str">
        <f>IFERROR(INDEX('Facility Summary'!$K:$K,MATCH(K2052,'Facility Summary'!$J:$J,0)),INDEX('Raw Annual DMR Data'!$M:$M,MATCH(K2052,'Raw Annual DMR Data'!$L:$L,0)))</f>
        <v>Remediation</v>
      </c>
      <c r="M2052" s="28"/>
      <c r="N2052" s="28"/>
      <c r="O2052" s="28"/>
      <c r="P2052" s="28"/>
      <c r="Q2052" s="28"/>
      <c r="R2052" s="28">
        <f t="shared" si="14"/>
        <v>8.3030714132713457E-2</v>
      </c>
      <c r="S2052" s="28">
        <v>3.7662098406249997E-2</v>
      </c>
    </row>
    <row r="2053" spans="1:19" x14ac:dyDescent="0.25">
      <c r="A2053" s="28">
        <v>2024</v>
      </c>
      <c r="B2053" s="28"/>
      <c r="C2053" s="28" t="s">
        <v>1211</v>
      </c>
      <c r="D2053" s="28" t="s">
        <v>1958</v>
      </c>
      <c r="E2053" s="28" t="s">
        <v>657</v>
      </c>
      <c r="F2053" s="28" t="s">
        <v>418</v>
      </c>
      <c r="G2053" s="28">
        <v>89109</v>
      </c>
      <c r="H2053" s="28">
        <v>36.131489999999999</v>
      </c>
      <c r="I2053" s="28">
        <v>-115.15483</v>
      </c>
      <c r="J2053" s="28"/>
      <c r="K2053" s="61">
        <v>110059844156</v>
      </c>
      <c r="L2053" s="61" t="str">
        <f>IFERROR(INDEX('Facility Summary'!$K:$K,MATCH(K2053,'Facility Summary'!$J:$J,0)),INDEX('Raw Annual DMR Data'!$M:$M,MATCH(K2053,'Raw Annual DMR Data'!$L:$L,0)))</f>
        <v>Remediation</v>
      </c>
      <c r="M2053" s="28"/>
      <c r="N2053" s="28"/>
      <c r="O2053" s="28"/>
      <c r="P2053" s="28"/>
      <c r="Q2053" s="28"/>
      <c r="R2053" s="28">
        <f t="shared" si="14"/>
        <v>1.4476408245138692E-2</v>
      </c>
      <c r="S2053" s="28">
        <v>6.5663883250000003E-3</v>
      </c>
    </row>
    <row r="2054" spans="1:19" x14ac:dyDescent="0.25">
      <c r="A2054" s="28">
        <v>2024</v>
      </c>
      <c r="B2054" s="28"/>
      <c r="C2054" s="28" t="s">
        <v>1211</v>
      </c>
      <c r="D2054" s="28" t="s">
        <v>1958</v>
      </c>
      <c r="E2054" s="28" t="s">
        <v>657</v>
      </c>
      <c r="F2054" s="28" t="s">
        <v>418</v>
      </c>
      <c r="G2054" s="28">
        <v>89109</v>
      </c>
      <c r="H2054" s="28">
        <v>36.131489999999999</v>
      </c>
      <c r="I2054" s="28">
        <v>-115.15483</v>
      </c>
      <c r="J2054" s="28"/>
      <c r="K2054" s="61">
        <v>110059844156</v>
      </c>
      <c r="L2054" s="61" t="str">
        <f>IFERROR(INDEX('Facility Summary'!$K:$K,MATCH(K2054,'Facility Summary'!$J:$J,0)),INDEX('Raw Annual DMR Data'!$M:$M,MATCH(K2054,'Raw Annual DMR Data'!$L:$L,0)))</f>
        <v>Remediation</v>
      </c>
      <c r="M2054" s="28"/>
      <c r="N2054" s="28"/>
      <c r="O2054" s="28"/>
      <c r="P2054" s="28"/>
      <c r="Q2054" s="28"/>
      <c r="R2054" s="28">
        <f t="shared" si="14"/>
        <v>1.3784263542065312E-2</v>
      </c>
      <c r="S2054" s="28">
        <v>6.2524367687500004E-3</v>
      </c>
    </row>
    <row r="2055" spans="1:19" x14ac:dyDescent="0.25">
      <c r="A2055" s="28">
        <v>2021</v>
      </c>
      <c r="B2055" s="28"/>
      <c r="C2055" s="28" t="s">
        <v>1211</v>
      </c>
      <c r="D2055" s="28" t="s">
        <v>1958</v>
      </c>
      <c r="E2055" s="28" t="s">
        <v>657</v>
      </c>
      <c r="F2055" s="28" t="s">
        <v>418</v>
      </c>
      <c r="G2055" s="28">
        <v>89109</v>
      </c>
      <c r="H2055" s="28">
        <v>36.131489999999999</v>
      </c>
      <c r="I2055" s="28">
        <v>-115.15483</v>
      </c>
      <c r="J2055" s="28"/>
      <c r="K2055" s="61">
        <v>110059844156</v>
      </c>
      <c r="L2055" s="61" t="str">
        <f>IFERROR(INDEX('Facility Summary'!$K:$K,MATCH(K2055,'Facility Summary'!$J:$J,0)),INDEX('Raw Annual DMR Data'!$M:$M,MATCH(K2055,'Raw Annual DMR Data'!$L:$L,0)))</f>
        <v>Remediation</v>
      </c>
      <c r="M2055" s="28"/>
      <c r="N2055" s="28"/>
      <c r="O2055" s="28"/>
      <c r="P2055" s="28"/>
      <c r="Q2055" s="28"/>
      <c r="R2055" s="28">
        <f t="shared" si="14"/>
        <v>4.1977929021381025E-5</v>
      </c>
      <c r="S2055" s="28">
        <v>1.9040868312500001E-5</v>
      </c>
    </row>
    <row r="2056" spans="1:19" x14ac:dyDescent="0.25">
      <c r="A2056" s="28">
        <v>2021</v>
      </c>
      <c r="B2056" s="28"/>
      <c r="C2056" s="28" t="s">
        <v>6816</v>
      </c>
      <c r="D2056" s="28" t="s">
        <v>6971</v>
      </c>
      <c r="E2056" s="28" t="s">
        <v>6972</v>
      </c>
      <c r="F2056" s="28" t="s">
        <v>979</v>
      </c>
      <c r="G2056" s="28">
        <v>38012</v>
      </c>
      <c r="H2056" s="28">
        <v>35.607599999999998</v>
      </c>
      <c r="I2056" s="28">
        <v>-89.237700000000004</v>
      </c>
      <c r="J2056" s="28" t="s">
        <v>7125</v>
      </c>
      <c r="K2056" s="61">
        <v>110000373621</v>
      </c>
      <c r="L2056" s="61" t="str">
        <f>IFERROR(INDEX('Facility Summary'!$K:$K,MATCH(K2056,'Facility Summary'!$J:$J,0)),INDEX('Raw Annual DMR Data'!$M:$M,MATCH(K2056,'Raw Annual DMR Data'!$L:$L,0)))</f>
        <v>Unknown</v>
      </c>
      <c r="M2056" s="28"/>
      <c r="N2056" s="28"/>
      <c r="O2056" s="28"/>
      <c r="P2056" s="28"/>
      <c r="Q2056" s="28"/>
      <c r="R2056" s="28">
        <f t="shared" si="14"/>
        <v>2.7533501059552652</v>
      </c>
      <c r="S2056" s="28">
        <v>1.2488986</v>
      </c>
    </row>
    <row r="2057" spans="1:19" x14ac:dyDescent="0.25">
      <c r="A2057" s="28">
        <v>2021</v>
      </c>
      <c r="B2057" s="28"/>
      <c r="C2057" s="28" t="s">
        <v>6816</v>
      </c>
      <c r="D2057" s="28" t="s">
        <v>6971</v>
      </c>
      <c r="E2057" s="28" t="s">
        <v>6972</v>
      </c>
      <c r="F2057" s="28" t="s">
        <v>979</v>
      </c>
      <c r="G2057" s="28">
        <v>38012</v>
      </c>
      <c r="H2057" s="28">
        <v>35.607599999999998</v>
      </c>
      <c r="I2057" s="28">
        <v>-89.237700000000004</v>
      </c>
      <c r="J2057" s="28" t="s">
        <v>7125</v>
      </c>
      <c r="K2057" s="61">
        <v>110000373621</v>
      </c>
      <c r="L2057" s="61" t="str">
        <f>IFERROR(INDEX('Facility Summary'!$K:$K,MATCH(K2057,'Facility Summary'!$J:$J,0)),INDEX('Raw Annual DMR Data'!$M:$M,MATCH(K2057,'Raw Annual DMR Data'!$L:$L,0)))</f>
        <v>Unknown</v>
      </c>
      <c r="M2057" s="28"/>
      <c r="N2057" s="28"/>
      <c r="O2057" s="28"/>
      <c r="P2057" s="28"/>
      <c r="Q2057" s="28"/>
      <c r="R2057" s="28">
        <f t="shared" si="14"/>
        <v>2.4975078394726964</v>
      </c>
      <c r="S2057" s="28">
        <v>1.1328505</v>
      </c>
    </row>
    <row r="2058" spans="1:19" x14ac:dyDescent="0.25">
      <c r="A2058" s="28">
        <v>2022</v>
      </c>
      <c r="B2058" s="28"/>
      <c r="C2058" s="28" t="s">
        <v>6816</v>
      </c>
      <c r="D2058" s="28" t="s">
        <v>6971</v>
      </c>
      <c r="E2058" s="28" t="s">
        <v>6972</v>
      </c>
      <c r="F2058" s="28" t="s">
        <v>979</v>
      </c>
      <c r="G2058" s="28">
        <v>38012</v>
      </c>
      <c r="H2058" s="28">
        <v>35.607599999999998</v>
      </c>
      <c r="I2058" s="28">
        <v>-89.237700000000004</v>
      </c>
      <c r="J2058" s="28" t="s">
        <v>7125</v>
      </c>
      <c r="K2058" s="61">
        <v>110000373621</v>
      </c>
      <c r="L2058" s="61" t="str">
        <f>IFERROR(INDEX('Facility Summary'!$K:$K,MATCH(K2058,'Facility Summary'!$J:$J,0)),INDEX('Raw Annual DMR Data'!$M:$M,MATCH(K2058,'Raw Annual DMR Data'!$L:$L,0)))</f>
        <v>Unknown</v>
      </c>
      <c r="M2058" s="28"/>
      <c r="N2058" s="28"/>
      <c r="O2058" s="28"/>
      <c r="P2058" s="28"/>
      <c r="Q2058" s="28"/>
      <c r="R2058" s="28">
        <f t="shared" si="14"/>
        <v>0.95027127550668455</v>
      </c>
      <c r="S2058" s="28">
        <v>0.43103580000000002</v>
      </c>
    </row>
    <row r="2059" spans="1:19" x14ac:dyDescent="0.25">
      <c r="A2059" s="28">
        <v>2021</v>
      </c>
      <c r="B2059" s="28"/>
      <c r="C2059" s="28" t="s">
        <v>167</v>
      </c>
      <c r="D2059" s="28" t="s">
        <v>543</v>
      </c>
      <c r="E2059" s="28" t="s">
        <v>544</v>
      </c>
      <c r="F2059" s="28" t="s">
        <v>338</v>
      </c>
      <c r="G2059" s="28">
        <v>7036</v>
      </c>
      <c r="H2059" s="28">
        <v>40.610097000000003</v>
      </c>
      <c r="I2059" s="28">
        <v>-74.204927999999995</v>
      </c>
      <c r="J2059" s="28"/>
      <c r="K2059" s="61">
        <v>110002468669</v>
      </c>
      <c r="L2059" s="61" t="str">
        <f>IFERROR(INDEX('Facility Summary'!$K:$K,MATCH(K2059,'Facility Summary'!$J:$J,0)),INDEX('Raw Annual DMR Data'!$M:$M,MATCH(K2059,'Raw Annual DMR Data'!$L:$L,0)))</f>
        <v>Industrial and commercial non-aerosol cleaning/degreasing</v>
      </c>
      <c r="M2059" s="28"/>
      <c r="N2059" s="28"/>
      <c r="O2059" s="28"/>
      <c r="P2059" s="28"/>
      <c r="Q2059" s="28"/>
      <c r="R2059" s="28">
        <f t="shared" si="14"/>
        <v>4.4935114318611663E-2</v>
      </c>
      <c r="S2059" s="28">
        <v>2.0382225E-2</v>
      </c>
    </row>
    <row r="2060" spans="1:19" x14ac:dyDescent="0.25">
      <c r="A2060" s="28">
        <v>2023</v>
      </c>
      <c r="B2060" s="28"/>
      <c r="C2060" s="28" t="s">
        <v>6905</v>
      </c>
      <c r="D2060" s="28" t="s">
        <v>7103</v>
      </c>
      <c r="E2060" s="28" t="s">
        <v>968</v>
      </c>
      <c r="F2060" s="28" t="s">
        <v>294</v>
      </c>
      <c r="G2060" s="28">
        <v>22302</v>
      </c>
      <c r="H2060" s="28">
        <v>38.829189999999997</v>
      </c>
      <c r="I2060" s="28">
        <v>-77.084609999999998</v>
      </c>
      <c r="J2060" s="28"/>
      <c r="K2060" s="61">
        <v>110005219913</v>
      </c>
      <c r="L2060" s="61" t="str">
        <f>IFERROR(INDEX('Facility Summary'!$K:$K,MATCH(K2060,'Facility Summary'!$J:$J,0)),INDEX('Raw Annual DMR Data'!$M:$M,MATCH(K2060,'Raw Annual DMR Data'!$L:$L,0)))</f>
        <v>Unknown</v>
      </c>
      <c r="M2060" s="28"/>
      <c r="N2060" s="28"/>
      <c r="O2060" s="28"/>
      <c r="P2060" s="28"/>
      <c r="Q2060" s="28"/>
      <c r="R2060" s="28">
        <f t="shared" si="14"/>
        <v>7.1333378560011484E-3</v>
      </c>
      <c r="S2060" s="28">
        <v>3.2356276241142798E-3</v>
      </c>
    </row>
    <row r="2061" spans="1:19" x14ac:dyDescent="0.25">
      <c r="A2061" s="28">
        <v>2023</v>
      </c>
      <c r="B2061" s="28"/>
      <c r="C2061" s="28" t="s">
        <v>1212</v>
      </c>
      <c r="D2061" s="28" t="s">
        <v>1963</v>
      </c>
      <c r="E2061" s="28" t="s">
        <v>1213</v>
      </c>
      <c r="F2061" s="28" t="s">
        <v>1128</v>
      </c>
      <c r="G2061" s="28">
        <v>80125</v>
      </c>
      <c r="H2061" s="28">
        <v>39.496341999999999</v>
      </c>
      <c r="I2061" s="28">
        <v>-105.10758800000001</v>
      </c>
      <c r="J2061" s="28" t="s">
        <v>724</v>
      </c>
      <c r="K2061" s="61">
        <v>110000610429</v>
      </c>
      <c r="L2061" s="61" t="str">
        <f>IFERROR(INDEX('Facility Summary'!$K:$K,MATCH(K2061,'Facility Summary'!$J:$J,0)),INDEX('Raw Annual DMR Data'!$M:$M,MATCH(K2061,'Raw Annual DMR Data'!$L:$L,0)))</f>
        <v>Unknown</v>
      </c>
      <c r="M2061" s="28"/>
      <c r="N2061" s="28"/>
      <c r="O2061" s="28"/>
      <c r="P2061" s="28"/>
      <c r="Q2061" s="28"/>
      <c r="R2061" s="28">
        <f t="shared" si="14"/>
        <v>0.16315243243619815</v>
      </c>
      <c r="S2061" s="28">
        <v>7.4004698499999993E-2</v>
      </c>
    </row>
    <row r="2062" spans="1:19" x14ac:dyDescent="0.25">
      <c r="A2062" s="28">
        <v>2021</v>
      </c>
      <c r="B2062" s="28"/>
      <c r="C2062" s="28" t="s">
        <v>1212</v>
      </c>
      <c r="D2062" s="28" t="s">
        <v>1963</v>
      </c>
      <c r="E2062" s="28" t="s">
        <v>1213</v>
      </c>
      <c r="F2062" s="28" t="s">
        <v>1128</v>
      </c>
      <c r="G2062" s="28">
        <v>80125</v>
      </c>
      <c r="H2062" s="28">
        <v>39.496341999999999</v>
      </c>
      <c r="I2062" s="28">
        <v>-105.10758800000001</v>
      </c>
      <c r="J2062" s="28" t="s">
        <v>724</v>
      </c>
      <c r="K2062" s="61">
        <v>110000610429</v>
      </c>
      <c r="L2062" s="61" t="str">
        <f>IFERROR(INDEX('Facility Summary'!$K:$K,MATCH(K2062,'Facility Summary'!$J:$J,0)),INDEX('Raw Annual DMR Data'!$M:$M,MATCH(K2062,'Raw Annual DMR Data'!$L:$L,0)))</f>
        <v>Unknown</v>
      </c>
      <c r="M2062" s="28"/>
      <c r="N2062" s="28"/>
      <c r="O2062" s="28"/>
      <c r="P2062" s="28"/>
      <c r="Q2062" s="28"/>
      <c r="R2062" s="28">
        <f t="shared" si="14"/>
        <v>9.8894801735752297E-2</v>
      </c>
      <c r="S2062" s="28">
        <v>4.4857927499999999E-2</v>
      </c>
    </row>
    <row r="2063" spans="1:19" x14ac:dyDescent="0.25">
      <c r="A2063" s="28">
        <v>2024</v>
      </c>
      <c r="B2063" s="28"/>
      <c r="C2063" s="28" t="s">
        <v>1212</v>
      </c>
      <c r="D2063" s="28" t="s">
        <v>1963</v>
      </c>
      <c r="E2063" s="28" t="s">
        <v>1213</v>
      </c>
      <c r="F2063" s="28" t="s">
        <v>1128</v>
      </c>
      <c r="G2063" s="28">
        <v>80125</v>
      </c>
      <c r="H2063" s="28">
        <v>39.496341999999999</v>
      </c>
      <c r="I2063" s="28">
        <v>-105.10758800000001</v>
      </c>
      <c r="J2063" s="28" t="s">
        <v>724</v>
      </c>
      <c r="K2063" s="61">
        <v>110000610429</v>
      </c>
      <c r="L2063" s="61" t="str">
        <f>IFERROR(INDEX('Facility Summary'!$K:$K,MATCH(K2063,'Facility Summary'!$J:$J,0)),INDEX('Raw Annual DMR Data'!$M:$M,MATCH(K2063,'Raw Annual DMR Data'!$L:$L,0)))</f>
        <v>Unknown</v>
      </c>
      <c r="M2063" s="28"/>
      <c r="N2063" s="28"/>
      <c r="O2063" s="28"/>
      <c r="P2063" s="28"/>
      <c r="Q2063" s="28"/>
      <c r="R2063" s="28">
        <f t="shared" si="14"/>
        <v>9.3646530584277687E-2</v>
      </c>
      <c r="S2063" s="28">
        <v>4.2477351750000003E-2</v>
      </c>
    </row>
    <row r="2064" spans="1:19" x14ac:dyDescent="0.25">
      <c r="A2064" s="28">
        <v>2022</v>
      </c>
      <c r="B2064" s="28"/>
      <c r="C2064" s="28" t="s">
        <v>1212</v>
      </c>
      <c r="D2064" s="28" t="s">
        <v>1963</v>
      </c>
      <c r="E2064" s="28" t="s">
        <v>1213</v>
      </c>
      <c r="F2064" s="28" t="s">
        <v>1128</v>
      </c>
      <c r="G2064" s="28">
        <v>80125</v>
      </c>
      <c r="H2064" s="28">
        <v>39.496341999999999</v>
      </c>
      <c r="I2064" s="28">
        <v>-105.10758800000001</v>
      </c>
      <c r="J2064" s="28" t="s">
        <v>724</v>
      </c>
      <c r="K2064" s="61">
        <v>110000610429</v>
      </c>
      <c r="L2064" s="61" t="str">
        <f>IFERROR(INDEX('Facility Summary'!$K:$K,MATCH(K2064,'Facility Summary'!$J:$J,0)),INDEX('Raw Annual DMR Data'!$M:$M,MATCH(K2064,'Raw Annual DMR Data'!$L:$L,0)))</f>
        <v>Unknown</v>
      </c>
      <c r="M2064" s="28"/>
      <c r="N2064" s="28"/>
      <c r="O2064" s="28"/>
      <c r="P2064" s="28"/>
      <c r="Q2064" s="28"/>
      <c r="R2064" s="28">
        <f t="shared" si="14"/>
        <v>8.1038413410701768E-2</v>
      </c>
      <c r="S2064" s="28">
        <v>3.6758406E-2</v>
      </c>
    </row>
    <row r="2065" spans="1:19" x14ac:dyDescent="0.25">
      <c r="A2065" s="28">
        <v>2024</v>
      </c>
      <c r="B2065" s="28"/>
      <c r="C2065" s="28" t="s">
        <v>6815</v>
      </c>
      <c r="D2065" s="28" t="s">
        <v>6968</v>
      </c>
      <c r="E2065" s="28" t="s">
        <v>6969</v>
      </c>
      <c r="F2065" s="28" t="s">
        <v>366</v>
      </c>
      <c r="G2065" s="28">
        <v>95551</v>
      </c>
      <c r="H2065" s="28">
        <v>40.638300000000001</v>
      </c>
      <c r="I2065" s="28">
        <v>-124.22553000000001</v>
      </c>
      <c r="J2065" s="28"/>
      <c r="K2065" s="61">
        <v>110010059649</v>
      </c>
      <c r="L2065" s="61" t="str">
        <f>IFERROR(INDEX('Facility Summary'!$K:$K,MATCH(K2065,'Facility Summary'!$J:$J,0)),INDEX('Raw Annual DMR Data'!$M:$M,MATCH(K2065,'Raw Annual DMR Data'!$L:$L,0)))</f>
        <v>POTW</v>
      </c>
      <c r="M2065" s="28"/>
      <c r="N2065" s="28"/>
      <c r="O2065" s="28"/>
      <c r="P2065" s="28"/>
      <c r="Q2065" s="28"/>
      <c r="R2065" s="28">
        <f t="shared" si="14"/>
        <v>13.834670560044914</v>
      </c>
      <c r="S2065" s="28">
        <v>6.2753010075000004</v>
      </c>
    </row>
    <row r="2066" spans="1:19" x14ac:dyDescent="0.25">
      <c r="A2066" s="28">
        <v>2022</v>
      </c>
      <c r="B2066" s="28"/>
      <c r="C2066" s="28" t="s">
        <v>6815</v>
      </c>
      <c r="D2066" s="28" t="s">
        <v>6968</v>
      </c>
      <c r="E2066" s="28" t="s">
        <v>6969</v>
      </c>
      <c r="F2066" s="28" t="s">
        <v>366</v>
      </c>
      <c r="G2066" s="28">
        <v>95551</v>
      </c>
      <c r="H2066" s="28">
        <v>40.638300000000001</v>
      </c>
      <c r="I2066" s="28">
        <v>-124.22553000000001</v>
      </c>
      <c r="J2066" s="28"/>
      <c r="K2066" s="61">
        <v>110010059649</v>
      </c>
      <c r="L2066" s="61" t="str">
        <f>IFERROR(INDEX('Facility Summary'!$K:$K,MATCH(K2066,'Facility Summary'!$J:$J,0)),INDEX('Raw Annual DMR Data'!$M:$M,MATCH(K2066,'Raw Annual DMR Data'!$L:$L,0)))</f>
        <v>POTW</v>
      </c>
      <c r="M2066" s="28"/>
      <c r="N2066" s="28"/>
      <c r="O2066" s="28"/>
      <c r="P2066" s="28"/>
      <c r="Q2066" s="28"/>
      <c r="R2066" s="28">
        <f t="shared" si="14"/>
        <v>0.15076419274865668</v>
      </c>
      <c r="S2066" s="28">
        <v>6.8385487499999995E-2</v>
      </c>
    </row>
    <row r="2067" spans="1:19" x14ac:dyDescent="0.25">
      <c r="A2067" s="28">
        <v>2023</v>
      </c>
      <c r="B2067" s="28"/>
      <c r="C2067" s="28" t="s">
        <v>6815</v>
      </c>
      <c r="D2067" s="28" t="s">
        <v>6968</v>
      </c>
      <c r="E2067" s="28" t="s">
        <v>6969</v>
      </c>
      <c r="F2067" s="28" t="s">
        <v>366</v>
      </c>
      <c r="G2067" s="28">
        <v>95551</v>
      </c>
      <c r="H2067" s="28">
        <v>40.638300000000001</v>
      </c>
      <c r="I2067" s="28">
        <v>-124.22553000000001</v>
      </c>
      <c r="J2067" s="28"/>
      <c r="K2067" s="61">
        <v>110010059649</v>
      </c>
      <c r="L2067" s="61" t="str">
        <f>IFERROR(INDEX('Facility Summary'!$K:$K,MATCH(K2067,'Facility Summary'!$J:$J,0)),INDEX('Raw Annual DMR Data'!$M:$M,MATCH(K2067,'Raw Annual DMR Data'!$L:$L,0)))</f>
        <v>POTW</v>
      </c>
      <c r="M2067" s="28"/>
      <c r="N2067" s="28"/>
      <c r="O2067" s="28"/>
      <c r="P2067" s="28"/>
      <c r="Q2067" s="28"/>
      <c r="R2067" s="28">
        <f t="shared" si="14"/>
        <v>5.2112633089485168E-2</v>
      </c>
      <c r="S2067" s="28">
        <v>2.363789275E-2</v>
      </c>
    </row>
    <row r="2068" spans="1:19" x14ac:dyDescent="0.25">
      <c r="A2068" s="28">
        <v>2021</v>
      </c>
      <c r="B2068" s="28"/>
      <c r="C2068" s="28" t="s">
        <v>6800</v>
      </c>
      <c r="D2068" s="28" t="s">
        <v>1966</v>
      </c>
      <c r="E2068" s="28" t="s">
        <v>1215</v>
      </c>
      <c r="F2068" s="28" t="s">
        <v>324</v>
      </c>
      <c r="G2068" s="28" t="s">
        <v>1967</v>
      </c>
      <c r="H2068" s="28">
        <v>37.106380000000001</v>
      </c>
      <c r="I2068" s="28">
        <v>-84.066829999999996</v>
      </c>
      <c r="J2068" s="28"/>
      <c r="K2068" s="61">
        <v>110000557013</v>
      </c>
      <c r="L2068" s="61" t="str">
        <f>IFERROR(INDEX('Facility Summary'!$K:$K,MATCH(K2068,'Facility Summary'!$J:$J,0)),INDEX('Raw Annual DMR Data'!$M:$M,MATCH(K2068,'Raw Annual DMR Data'!$L:$L,0)))</f>
        <v>POTW</v>
      </c>
      <c r="M2068" s="28"/>
      <c r="N2068" s="28"/>
      <c r="O2068" s="28"/>
      <c r="P2068" s="28"/>
      <c r="Q2068" s="28"/>
      <c r="R2068" s="28">
        <f t="shared" si="14"/>
        <v>4.7589707307025462</v>
      </c>
      <c r="S2068" s="28">
        <v>2.1586328125000001</v>
      </c>
    </row>
    <row r="2069" spans="1:19" x14ac:dyDescent="0.25">
      <c r="A2069" s="28">
        <v>2021</v>
      </c>
      <c r="B2069" s="28"/>
      <c r="C2069" s="28" t="s">
        <v>1218</v>
      </c>
      <c r="D2069" s="28" t="s">
        <v>1975</v>
      </c>
      <c r="E2069" s="28" t="s">
        <v>1219</v>
      </c>
      <c r="F2069" s="28" t="s">
        <v>324</v>
      </c>
      <c r="G2069" s="28">
        <v>42431</v>
      </c>
      <c r="H2069" s="28">
        <v>37.318492999999997</v>
      </c>
      <c r="I2069" s="28">
        <v>-87.549857000000003</v>
      </c>
      <c r="J2069" s="28"/>
      <c r="K2069" s="61">
        <v>110002041380</v>
      </c>
      <c r="L2069" s="61" t="str">
        <f>IFERROR(INDEX('Facility Summary'!$K:$K,MATCH(K2069,'Facility Summary'!$J:$J,0)),INDEX('Raw Annual DMR Data'!$M:$M,MATCH(K2069,'Raw Annual DMR Data'!$L:$L,0)))</f>
        <v>POTW</v>
      </c>
      <c r="M2069" s="28"/>
      <c r="N2069" s="28"/>
      <c r="O2069" s="28"/>
      <c r="P2069" s="28"/>
      <c r="Q2069" s="28"/>
      <c r="R2069" s="28">
        <f t="shared" si="14"/>
        <v>42.708906925616937</v>
      </c>
      <c r="S2069" s="28">
        <v>19.372434312500001</v>
      </c>
    </row>
    <row r="2070" spans="1:19" x14ac:dyDescent="0.25">
      <c r="A2070" s="28">
        <v>2022</v>
      </c>
      <c r="B2070" s="28"/>
      <c r="C2070" s="28" t="s">
        <v>1218</v>
      </c>
      <c r="D2070" s="28" t="s">
        <v>1975</v>
      </c>
      <c r="E2070" s="28" t="s">
        <v>1219</v>
      </c>
      <c r="F2070" s="28" t="s">
        <v>324</v>
      </c>
      <c r="G2070" s="28">
        <v>42431</v>
      </c>
      <c r="H2070" s="28">
        <v>37.318492999999997</v>
      </c>
      <c r="I2070" s="28">
        <v>-87.549857000000003</v>
      </c>
      <c r="J2070" s="28"/>
      <c r="K2070" s="61">
        <v>110002041380</v>
      </c>
      <c r="L2070" s="61" t="str">
        <f>IFERROR(INDEX('Facility Summary'!$K:$K,MATCH(K2070,'Facility Summary'!$J:$J,0)),INDEX('Raw Annual DMR Data'!$M:$M,MATCH(K2070,'Raw Annual DMR Data'!$L:$L,0)))</f>
        <v>POTW</v>
      </c>
      <c r="M2070" s="28"/>
      <c r="N2070" s="28"/>
      <c r="O2070" s="28"/>
      <c r="P2070" s="28"/>
      <c r="Q2070" s="28"/>
      <c r="R2070" s="28">
        <f t="shared" si="14"/>
        <v>14.129193740626633</v>
      </c>
      <c r="S2070" s="28">
        <v>6.4088944750000003</v>
      </c>
    </row>
    <row r="2071" spans="1:19" x14ac:dyDescent="0.25">
      <c r="A2071" s="28">
        <v>2021</v>
      </c>
      <c r="B2071" s="28"/>
      <c r="C2071" s="28" t="s">
        <v>1222</v>
      </c>
      <c r="D2071" s="28" t="s">
        <v>1983</v>
      </c>
      <c r="E2071" s="28" t="s">
        <v>1223</v>
      </c>
      <c r="F2071" s="28" t="s">
        <v>324</v>
      </c>
      <c r="G2071" s="28">
        <v>40962</v>
      </c>
      <c r="H2071" s="28">
        <v>37.177222</v>
      </c>
      <c r="I2071" s="28">
        <v>-83.761388999999994</v>
      </c>
      <c r="J2071" s="28"/>
      <c r="K2071" s="61">
        <v>110009938808</v>
      </c>
      <c r="L2071" s="61" t="str">
        <f>IFERROR(INDEX('Facility Summary'!$K:$K,MATCH(K2071,'Facility Summary'!$J:$J,0)),INDEX('Raw Annual DMR Data'!$M:$M,MATCH(K2071,'Raw Annual DMR Data'!$L:$L,0)))</f>
        <v>POTW</v>
      </c>
      <c r="M2071" s="28"/>
      <c r="N2071" s="28"/>
      <c r="O2071" s="28"/>
      <c r="P2071" s="28"/>
      <c r="Q2071" s="28"/>
      <c r="R2071" s="28">
        <f t="shared" si="14"/>
        <v>6.29707007086561</v>
      </c>
      <c r="S2071" s="28">
        <v>2.8563029375000002</v>
      </c>
    </row>
    <row r="2072" spans="1:19" x14ac:dyDescent="0.25">
      <c r="A2072" s="28">
        <v>2022</v>
      </c>
      <c r="B2072" s="28"/>
      <c r="C2072" s="28" t="s">
        <v>6864</v>
      </c>
      <c r="D2072" s="28" t="s">
        <v>7028</v>
      </c>
      <c r="E2072" s="28" t="s">
        <v>7029</v>
      </c>
      <c r="F2072" s="28" t="s">
        <v>366</v>
      </c>
      <c r="G2072" s="28">
        <v>95337</v>
      </c>
      <c r="H2072" s="28">
        <v>37.795589999999997</v>
      </c>
      <c r="I2072" s="28">
        <v>-121.26000999999999</v>
      </c>
      <c r="J2072" s="28"/>
      <c r="K2072" s="61">
        <v>110039801462</v>
      </c>
      <c r="L2072" s="61" t="str">
        <f>IFERROR(INDEX('Facility Summary'!$K:$K,MATCH(K2072,'Facility Summary'!$J:$J,0)),INDEX('Raw Annual DMR Data'!$M:$M,MATCH(K2072,'Raw Annual DMR Data'!$L:$L,0)))</f>
        <v>POTW</v>
      </c>
      <c r="M2072" s="28"/>
      <c r="N2072" s="28"/>
      <c r="O2072" s="28"/>
      <c r="P2072" s="28"/>
      <c r="Q2072" s="28"/>
      <c r="R2072" s="28">
        <f t="shared" si="14"/>
        <v>0.59737695029276172</v>
      </c>
      <c r="S2072" s="28">
        <v>0.27096562666666602</v>
      </c>
    </row>
    <row r="2073" spans="1:19" x14ac:dyDescent="0.25">
      <c r="A2073" s="28">
        <v>2024</v>
      </c>
      <c r="B2073" s="28"/>
      <c r="C2073" s="28" t="s">
        <v>1224</v>
      </c>
      <c r="D2073" s="28" t="s">
        <v>1985</v>
      </c>
      <c r="E2073" s="28" t="s">
        <v>657</v>
      </c>
      <c r="F2073" s="28" t="s">
        <v>418</v>
      </c>
      <c r="G2073" s="28">
        <v>89101</v>
      </c>
      <c r="H2073" s="28">
        <v>36.176639999999999</v>
      </c>
      <c r="I2073" s="28">
        <v>-115.12891999999999</v>
      </c>
      <c r="J2073" s="28"/>
      <c r="K2073" s="61">
        <v>110008995490</v>
      </c>
      <c r="L2073" s="61" t="str">
        <f>IFERROR(INDEX('Facility Summary'!$K:$K,MATCH(K2073,'Facility Summary'!$J:$J,0)),INDEX('Raw Annual DMR Data'!$M:$M,MATCH(K2073,'Raw Annual DMR Data'!$L:$L,0)))</f>
        <v>Unknown</v>
      </c>
      <c r="M2073" s="28"/>
      <c r="N2073" s="28"/>
      <c r="O2073" s="28"/>
      <c r="P2073" s="28"/>
      <c r="Q2073" s="28"/>
      <c r="R2073" s="28">
        <f t="shared" si="14"/>
        <v>1.3083743050505896</v>
      </c>
      <c r="S2073" s="28">
        <v>0.59346860187499995</v>
      </c>
    </row>
    <row r="2074" spans="1:19" x14ac:dyDescent="0.25">
      <c r="A2074" s="28">
        <v>2023</v>
      </c>
      <c r="B2074" s="28"/>
      <c r="C2074" s="28" t="s">
        <v>1224</v>
      </c>
      <c r="D2074" s="28" t="s">
        <v>1985</v>
      </c>
      <c r="E2074" s="28" t="s">
        <v>657</v>
      </c>
      <c r="F2074" s="28" t="s">
        <v>418</v>
      </c>
      <c r="G2074" s="28">
        <v>89101</v>
      </c>
      <c r="H2074" s="28">
        <v>36.176639999999999</v>
      </c>
      <c r="I2074" s="28">
        <v>-115.12891999999999</v>
      </c>
      <c r="J2074" s="28"/>
      <c r="K2074" s="61">
        <v>110008995490</v>
      </c>
      <c r="L2074" s="61" t="str">
        <f>IFERROR(INDEX('Facility Summary'!$K:$K,MATCH(K2074,'Facility Summary'!$J:$J,0)),INDEX('Raw Annual DMR Data'!$M:$M,MATCH(K2074,'Raw Annual DMR Data'!$L:$L,0)))</f>
        <v>Unknown</v>
      </c>
      <c r="M2074" s="28"/>
      <c r="N2074" s="28"/>
      <c r="O2074" s="28"/>
      <c r="P2074" s="28"/>
      <c r="Q2074" s="28"/>
      <c r="R2074" s="28">
        <f t="shared" si="14"/>
        <v>0.5544771977756151</v>
      </c>
      <c r="S2074" s="28">
        <v>0.25150662624999998</v>
      </c>
    </row>
    <row r="2075" spans="1:19" x14ac:dyDescent="0.25">
      <c r="A2075" s="28">
        <v>2021</v>
      </c>
      <c r="B2075" s="28"/>
      <c r="C2075" s="28" t="s">
        <v>1224</v>
      </c>
      <c r="D2075" s="28" t="s">
        <v>1985</v>
      </c>
      <c r="E2075" s="28" t="s">
        <v>657</v>
      </c>
      <c r="F2075" s="28" t="s">
        <v>418</v>
      </c>
      <c r="G2075" s="28">
        <v>89101</v>
      </c>
      <c r="H2075" s="28">
        <v>36.176639999999999</v>
      </c>
      <c r="I2075" s="28">
        <v>-115.12891999999999</v>
      </c>
      <c r="J2075" s="28"/>
      <c r="K2075" s="61">
        <v>110008995490</v>
      </c>
      <c r="L2075" s="61" t="str">
        <f>IFERROR(INDEX('Facility Summary'!$K:$K,MATCH(K2075,'Facility Summary'!$J:$J,0)),INDEX('Raw Annual DMR Data'!$M:$M,MATCH(K2075,'Raw Annual DMR Data'!$L:$L,0)))</f>
        <v>Unknown</v>
      </c>
      <c r="M2075" s="28"/>
      <c r="N2075" s="28"/>
      <c r="O2075" s="28"/>
      <c r="P2075" s="28"/>
      <c r="Q2075" s="28"/>
      <c r="R2075" s="28">
        <f t="shared" si="14"/>
        <v>1.2944400387510928E-2</v>
      </c>
      <c r="S2075" s="28">
        <v>5.8714812500000003E-3</v>
      </c>
    </row>
    <row r="2076" spans="1:19" x14ac:dyDescent="0.25">
      <c r="A2076" s="28">
        <v>2022</v>
      </c>
      <c r="B2076" s="28"/>
      <c r="C2076" s="28" t="s">
        <v>1224</v>
      </c>
      <c r="D2076" s="28" t="s">
        <v>1985</v>
      </c>
      <c r="E2076" s="28" t="s">
        <v>657</v>
      </c>
      <c r="F2076" s="28" t="s">
        <v>418</v>
      </c>
      <c r="G2076" s="28">
        <v>89101</v>
      </c>
      <c r="H2076" s="28">
        <v>36.176639999999999</v>
      </c>
      <c r="I2076" s="28">
        <v>-115.12891999999999</v>
      </c>
      <c r="J2076" s="28"/>
      <c r="K2076" s="61">
        <v>110008995490</v>
      </c>
      <c r="L2076" s="61" t="str">
        <f>IFERROR(INDEX('Facility Summary'!$K:$K,MATCH(K2076,'Facility Summary'!$J:$J,0)),INDEX('Raw Annual DMR Data'!$M:$M,MATCH(K2076,'Raw Annual DMR Data'!$L:$L,0)))</f>
        <v>Unknown</v>
      </c>
      <c r="M2076" s="28"/>
      <c r="N2076" s="28"/>
      <c r="O2076" s="28"/>
      <c r="P2076" s="28"/>
      <c r="Q2076" s="28"/>
      <c r="R2076" s="28">
        <f t="shared" si="14"/>
        <v>3.350315394414593E-3</v>
      </c>
      <c r="S2076" s="28">
        <v>1.5196775E-3</v>
      </c>
    </row>
    <row r="2077" spans="1:19" x14ac:dyDescent="0.25">
      <c r="A2077" s="28">
        <v>2023</v>
      </c>
      <c r="B2077" s="28"/>
      <c r="C2077" s="28" t="s">
        <v>1226</v>
      </c>
      <c r="D2077" s="28" t="s">
        <v>1990</v>
      </c>
      <c r="E2077" s="28" t="s">
        <v>657</v>
      </c>
      <c r="F2077" s="28" t="s">
        <v>418</v>
      </c>
      <c r="G2077" s="28">
        <v>89119</v>
      </c>
      <c r="H2077" s="28">
        <v>36.075400000000002</v>
      </c>
      <c r="I2077" s="28">
        <v>-115.1669</v>
      </c>
      <c r="J2077" s="28"/>
      <c r="K2077" s="61">
        <v>110064134459</v>
      </c>
      <c r="L2077" s="61" t="str">
        <f>IFERROR(INDEX('Facility Summary'!$K:$K,MATCH(K2077,'Facility Summary'!$J:$J,0)),INDEX('Raw Annual DMR Data'!$M:$M,MATCH(K2077,'Raw Annual DMR Data'!$L:$L,0)))</f>
        <v>Unknown</v>
      </c>
      <c r="M2077" s="28"/>
      <c r="N2077" s="28"/>
      <c r="O2077" s="28"/>
      <c r="P2077" s="28"/>
      <c r="Q2077" s="28"/>
      <c r="R2077" s="28">
        <f t="shared" si="14"/>
        <v>1.5716650778318866E-2</v>
      </c>
      <c r="S2077" s="28">
        <v>7.1289528749999996E-3</v>
      </c>
    </row>
    <row r="2078" spans="1:19" x14ac:dyDescent="0.25">
      <c r="A2078" s="28">
        <v>2024</v>
      </c>
      <c r="B2078" s="28"/>
      <c r="C2078" s="28" t="s">
        <v>1226</v>
      </c>
      <c r="D2078" s="28" t="s">
        <v>1990</v>
      </c>
      <c r="E2078" s="28" t="s">
        <v>657</v>
      </c>
      <c r="F2078" s="28" t="s">
        <v>418</v>
      </c>
      <c r="G2078" s="28">
        <v>89119</v>
      </c>
      <c r="H2078" s="28">
        <v>36.075400000000002</v>
      </c>
      <c r="I2078" s="28">
        <v>-115.1669</v>
      </c>
      <c r="J2078" s="28"/>
      <c r="K2078" s="61">
        <v>110064134459</v>
      </c>
      <c r="L2078" s="61" t="str">
        <f>IFERROR(INDEX('Facility Summary'!$K:$K,MATCH(K2078,'Facility Summary'!$J:$J,0)),INDEX('Raw Annual DMR Data'!$M:$M,MATCH(K2078,'Raw Annual DMR Data'!$L:$L,0)))</f>
        <v>Unknown</v>
      </c>
      <c r="M2078" s="28"/>
      <c r="N2078" s="28"/>
      <c r="O2078" s="28"/>
      <c r="P2078" s="28"/>
      <c r="Q2078" s="28"/>
      <c r="R2078" s="28">
        <f t="shared" si="14"/>
        <v>1.2335252133981001E-2</v>
      </c>
      <c r="S2078" s="28">
        <v>5.5951762500000002E-3</v>
      </c>
    </row>
    <row r="2079" spans="1:19" x14ac:dyDescent="0.25">
      <c r="A2079" s="28">
        <v>2023</v>
      </c>
      <c r="B2079" s="28"/>
      <c r="C2079" s="28" t="s">
        <v>1226</v>
      </c>
      <c r="D2079" s="28" t="s">
        <v>1990</v>
      </c>
      <c r="E2079" s="28" t="s">
        <v>657</v>
      </c>
      <c r="F2079" s="28" t="s">
        <v>418</v>
      </c>
      <c r="G2079" s="28">
        <v>89119</v>
      </c>
      <c r="H2079" s="28">
        <v>36.075400000000002</v>
      </c>
      <c r="I2079" s="28">
        <v>-115.1669</v>
      </c>
      <c r="J2079" s="28"/>
      <c r="K2079" s="61">
        <v>110064134459</v>
      </c>
      <c r="L2079" s="61" t="str">
        <f>IFERROR(INDEX('Facility Summary'!$K:$K,MATCH(K2079,'Facility Summary'!$J:$J,0)),INDEX('Raw Annual DMR Data'!$M:$M,MATCH(K2079,'Raw Annual DMR Data'!$L:$L,0)))</f>
        <v>Unknown</v>
      </c>
      <c r="M2079" s="28"/>
      <c r="N2079" s="28"/>
      <c r="O2079" s="28"/>
      <c r="P2079" s="28"/>
      <c r="Q2079" s="28"/>
      <c r="R2079" s="28">
        <f t="shared" si="14"/>
        <v>8.9058726340568734E-3</v>
      </c>
      <c r="S2079" s="28">
        <v>4.0396358750000002E-3</v>
      </c>
    </row>
    <row r="2080" spans="1:19" x14ac:dyDescent="0.25">
      <c r="A2080" s="28">
        <v>2021</v>
      </c>
      <c r="B2080" s="28"/>
      <c r="C2080" s="28" t="s">
        <v>1226</v>
      </c>
      <c r="D2080" s="28" t="s">
        <v>1990</v>
      </c>
      <c r="E2080" s="28" t="s">
        <v>657</v>
      </c>
      <c r="F2080" s="28" t="s">
        <v>418</v>
      </c>
      <c r="G2080" s="28">
        <v>89119</v>
      </c>
      <c r="H2080" s="28">
        <v>36.075400000000002</v>
      </c>
      <c r="I2080" s="28">
        <v>-115.1669</v>
      </c>
      <c r="J2080" s="28"/>
      <c r="K2080" s="61">
        <v>110064134459</v>
      </c>
      <c r="L2080" s="61" t="str">
        <f>IFERROR(INDEX('Facility Summary'!$K:$K,MATCH(K2080,'Facility Summary'!$J:$J,0)),INDEX('Raw Annual DMR Data'!$M:$M,MATCH(K2080,'Raw Annual DMR Data'!$L:$L,0)))</f>
        <v>Unknown</v>
      </c>
      <c r="M2080" s="28"/>
      <c r="N2080" s="28"/>
      <c r="O2080" s="28"/>
      <c r="P2080" s="28"/>
      <c r="Q2080" s="28"/>
      <c r="R2080" s="28">
        <f t="shared" si="14"/>
        <v>8.5122210058339379E-3</v>
      </c>
      <c r="S2080" s="28">
        <v>3.8610785000000002E-3</v>
      </c>
    </row>
    <row r="2081" spans="1:19" x14ac:dyDescent="0.25">
      <c r="A2081" s="28">
        <v>2024</v>
      </c>
      <c r="B2081" s="28"/>
      <c r="C2081" s="28" t="s">
        <v>1226</v>
      </c>
      <c r="D2081" s="28" t="s">
        <v>1990</v>
      </c>
      <c r="E2081" s="28" t="s">
        <v>657</v>
      </c>
      <c r="F2081" s="28" t="s">
        <v>418</v>
      </c>
      <c r="G2081" s="28">
        <v>89119</v>
      </c>
      <c r="H2081" s="28">
        <v>36.075400000000002</v>
      </c>
      <c r="I2081" s="28">
        <v>-115.1669</v>
      </c>
      <c r="J2081" s="28"/>
      <c r="K2081" s="61">
        <v>110064134459</v>
      </c>
      <c r="L2081" s="61" t="str">
        <f>IFERROR(INDEX('Facility Summary'!$K:$K,MATCH(K2081,'Facility Summary'!$J:$J,0)),INDEX('Raw Annual DMR Data'!$M:$M,MATCH(K2081,'Raw Annual DMR Data'!$L:$L,0)))</f>
        <v>Unknown</v>
      </c>
      <c r="M2081" s="28"/>
      <c r="N2081" s="28"/>
      <c r="O2081" s="28"/>
      <c r="P2081" s="28"/>
      <c r="Q2081" s="28"/>
      <c r="R2081" s="28">
        <f t="shared" si="14"/>
        <v>8.225726621753646E-3</v>
      </c>
      <c r="S2081" s="28">
        <v>3.7311268333333298E-3</v>
      </c>
    </row>
    <row r="2082" spans="1:19" x14ac:dyDescent="0.25">
      <c r="A2082" s="28">
        <v>2022</v>
      </c>
      <c r="B2082" s="28"/>
      <c r="C2082" s="28" t="s">
        <v>1226</v>
      </c>
      <c r="D2082" s="28" t="s">
        <v>1990</v>
      </c>
      <c r="E2082" s="28" t="s">
        <v>657</v>
      </c>
      <c r="F2082" s="28" t="s">
        <v>418</v>
      </c>
      <c r="G2082" s="28">
        <v>89119</v>
      </c>
      <c r="H2082" s="28">
        <v>36.075400000000002</v>
      </c>
      <c r="I2082" s="28">
        <v>-115.1669</v>
      </c>
      <c r="J2082" s="28"/>
      <c r="K2082" s="61">
        <v>110064134459</v>
      </c>
      <c r="L2082" s="61" t="str">
        <f>IFERROR(INDEX('Facility Summary'!$K:$K,MATCH(K2082,'Facility Summary'!$J:$J,0)),INDEX('Raw Annual DMR Data'!$M:$M,MATCH(K2082,'Raw Annual DMR Data'!$L:$L,0)))</f>
        <v>Unknown</v>
      </c>
      <c r="M2082" s="28"/>
      <c r="N2082" s="28"/>
      <c r="O2082" s="28"/>
      <c r="P2082" s="28"/>
      <c r="Q2082" s="28"/>
      <c r="R2082" s="28">
        <f t="shared" si="14"/>
        <v>7.9495933209811267E-3</v>
      </c>
      <c r="S2082" s="28">
        <v>3.6058748750000002E-3</v>
      </c>
    </row>
    <row r="2083" spans="1:19" x14ac:dyDescent="0.25">
      <c r="A2083" s="28">
        <v>2021</v>
      </c>
      <c r="B2083" s="28"/>
      <c r="C2083" s="28" t="s">
        <v>1226</v>
      </c>
      <c r="D2083" s="28" t="s">
        <v>1990</v>
      </c>
      <c r="E2083" s="28" t="s">
        <v>657</v>
      </c>
      <c r="F2083" s="28" t="s">
        <v>418</v>
      </c>
      <c r="G2083" s="28">
        <v>89119</v>
      </c>
      <c r="H2083" s="28">
        <v>36.075400000000002</v>
      </c>
      <c r="I2083" s="28">
        <v>-115.1669</v>
      </c>
      <c r="J2083" s="28"/>
      <c r="K2083" s="61">
        <v>110064134459</v>
      </c>
      <c r="L2083" s="61" t="str">
        <f>IFERROR(INDEX('Facility Summary'!$K:$K,MATCH(K2083,'Facility Summary'!$J:$J,0)),INDEX('Raw Annual DMR Data'!$M:$M,MATCH(K2083,'Raw Annual DMR Data'!$L:$L,0)))</f>
        <v>Unknown</v>
      </c>
      <c r="M2083" s="28"/>
      <c r="N2083" s="28"/>
      <c r="O2083" s="28"/>
      <c r="P2083" s="28"/>
      <c r="Q2083" s="28"/>
      <c r="R2083" s="28">
        <f t="shared" si="14"/>
        <v>4.8135228773799705E-3</v>
      </c>
      <c r="S2083" s="28">
        <v>2.1833772500000001E-3</v>
      </c>
    </row>
    <row r="2084" spans="1:19" x14ac:dyDescent="0.25">
      <c r="A2084" s="28">
        <v>2022</v>
      </c>
      <c r="B2084" s="28"/>
      <c r="C2084" s="28" t="s">
        <v>1226</v>
      </c>
      <c r="D2084" s="28" t="s">
        <v>1990</v>
      </c>
      <c r="E2084" s="28" t="s">
        <v>657</v>
      </c>
      <c r="F2084" s="28" t="s">
        <v>418</v>
      </c>
      <c r="G2084" s="28">
        <v>89119</v>
      </c>
      <c r="H2084" s="28">
        <v>36.075400000000002</v>
      </c>
      <c r="I2084" s="28">
        <v>-115.1669</v>
      </c>
      <c r="J2084" s="28"/>
      <c r="K2084" s="61">
        <v>110064134459</v>
      </c>
      <c r="L2084" s="61" t="str">
        <f>IFERROR(INDEX('Facility Summary'!$K:$K,MATCH(K2084,'Facility Summary'!$J:$J,0)),INDEX('Raw Annual DMR Data'!$M:$M,MATCH(K2084,'Raw Annual DMR Data'!$L:$L,0)))</f>
        <v>Unknown</v>
      </c>
      <c r="M2084" s="28"/>
      <c r="N2084" s="28"/>
      <c r="O2084" s="28"/>
      <c r="P2084" s="28"/>
      <c r="Q2084" s="28"/>
      <c r="R2084" s="28">
        <f t="shared" si="14"/>
        <v>4.4340568934173206E-3</v>
      </c>
      <c r="S2084" s="28">
        <v>2.0112543749999999E-3</v>
      </c>
    </row>
    <row r="2085" spans="1:19" x14ac:dyDescent="0.25">
      <c r="A2085" s="28">
        <v>2024</v>
      </c>
      <c r="B2085" s="28"/>
      <c r="C2085" s="28" t="s">
        <v>1226</v>
      </c>
      <c r="D2085" s="28" t="s">
        <v>1990</v>
      </c>
      <c r="E2085" s="28" t="s">
        <v>657</v>
      </c>
      <c r="F2085" s="28" t="s">
        <v>418</v>
      </c>
      <c r="G2085" s="28">
        <v>89119</v>
      </c>
      <c r="H2085" s="28">
        <v>36.075400000000002</v>
      </c>
      <c r="I2085" s="28">
        <v>-115.1669</v>
      </c>
      <c r="J2085" s="28"/>
      <c r="K2085" s="61">
        <v>110064134459</v>
      </c>
      <c r="L2085" s="61" t="str">
        <f>IFERROR(INDEX('Facility Summary'!$K:$K,MATCH(K2085,'Facility Summary'!$J:$J,0)),INDEX('Raw Annual DMR Data'!$M:$M,MATCH(K2085,'Raw Annual DMR Data'!$L:$L,0)))</f>
        <v>Unknown</v>
      </c>
      <c r="M2085" s="28"/>
      <c r="N2085" s="28"/>
      <c r="O2085" s="28"/>
      <c r="P2085" s="28"/>
      <c r="Q2085" s="28"/>
      <c r="R2085" s="28">
        <f t="shared" si="14"/>
        <v>3.4010777488754059E-3</v>
      </c>
      <c r="S2085" s="28">
        <v>1.5427029166666601E-3</v>
      </c>
    </row>
    <row r="2086" spans="1:19" x14ac:dyDescent="0.25">
      <c r="A2086" s="28">
        <v>2024</v>
      </c>
      <c r="B2086" s="28"/>
      <c r="C2086" s="28" t="s">
        <v>1226</v>
      </c>
      <c r="D2086" s="28" t="s">
        <v>1990</v>
      </c>
      <c r="E2086" s="28" t="s">
        <v>657</v>
      </c>
      <c r="F2086" s="28" t="s">
        <v>418</v>
      </c>
      <c r="G2086" s="28">
        <v>89119</v>
      </c>
      <c r="H2086" s="28">
        <v>36.075400000000002</v>
      </c>
      <c r="I2086" s="28">
        <v>-115.1669</v>
      </c>
      <c r="J2086" s="28"/>
      <c r="K2086" s="61">
        <v>110064134459</v>
      </c>
      <c r="L2086" s="61" t="str">
        <f>IFERROR(INDEX('Facility Summary'!$K:$K,MATCH(K2086,'Facility Summary'!$J:$J,0)),INDEX('Raw Annual DMR Data'!$M:$M,MATCH(K2086,'Raw Annual DMR Data'!$L:$L,0)))</f>
        <v>Unknown</v>
      </c>
      <c r="M2086" s="28"/>
      <c r="N2086" s="28"/>
      <c r="O2086" s="28"/>
      <c r="P2086" s="28"/>
      <c r="Q2086" s="28"/>
      <c r="R2086" s="28">
        <f t="shared" si="14"/>
        <v>1.7992125470129338E-3</v>
      </c>
      <c r="S2086" s="28">
        <v>8.1610908333333305E-4</v>
      </c>
    </row>
    <row r="2087" spans="1:19" x14ac:dyDescent="0.25">
      <c r="A2087" s="28">
        <v>2024</v>
      </c>
      <c r="B2087" s="28"/>
      <c r="C2087" s="28" t="s">
        <v>1227</v>
      </c>
      <c r="D2087" s="28" t="s">
        <v>1993</v>
      </c>
      <c r="E2087" s="28" t="s">
        <v>1228</v>
      </c>
      <c r="F2087" s="28" t="s">
        <v>1128</v>
      </c>
      <c r="G2087" s="28">
        <v>80216</v>
      </c>
      <c r="H2087" s="28">
        <v>39.781474000000003</v>
      </c>
      <c r="I2087" s="28">
        <v>-104.97438</v>
      </c>
      <c r="J2087" s="28"/>
      <c r="K2087" s="61">
        <v>110070162955</v>
      </c>
      <c r="L2087" s="61" t="str">
        <f>IFERROR(INDEX('Facility Summary'!$K:$K,MATCH(K2087,'Facility Summary'!$J:$J,0)),INDEX('Raw Annual DMR Data'!$M:$M,MATCH(K2087,'Raw Annual DMR Data'!$L:$L,0)))</f>
        <v>Unknown</v>
      </c>
      <c r="M2087" s="28"/>
      <c r="N2087" s="28"/>
      <c r="O2087" s="28"/>
      <c r="P2087" s="28"/>
      <c r="Q2087" s="28"/>
      <c r="R2087" s="28">
        <f t="shared" si="14"/>
        <v>2.622459166365607E-2</v>
      </c>
      <c r="S2087" s="28">
        <v>1.1895274685E-2</v>
      </c>
    </row>
    <row r="2088" spans="1:19" x14ac:dyDescent="0.25">
      <c r="A2088" s="28">
        <v>2022</v>
      </c>
      <c r="B2088" s="28"/>
      <c r="C2088" s="28" t="s">
        <v>1227</v>
      </c>
      <c r="D2088" s="28" t="s">
        <v>1993</v>
      </c>
      <c r="E2088" s="28" t="s">
        <v>1228</v>
      </c>
      <c r="F2088" s="28" t="s">
        <v>1128</v>
      </c>
      <c r="G2088" s="28">
        <v>80216</v>
      </c>
      <c r="H2088" s="28">
        <v>39.781474000000003</v>
      </c>
      <c r="I2088" s="28">
        <v>-104.97438</v>
      </c>
      <c r="J2088" s="28"/>
      <c r="K2088" s="61">
        <v>110070162955</v>
      </c>
      <c r="L2088" s="61" t="str">
        <f>IFERROR(INDEX('Facility Summary'!$K:$K,MATCH(K2088,'Facility Summary'!$J:$J,0)),INDEX('Raw Annual DMR Data'!$M:$M,MATCH(K2088,'Raw Annual DMR Data'!$L:$L,0)))</f>
        <v>Unknown</v>
      </c>
      <c r="M2088" s="28"/>
      <c r="N2088" s="28"/>
      <c r="O2088" s="28"/>
      <c r="P2088" s="28"/>
      <c r="Q2088" s="28"/>
      <c r="R2088" s="28">
        <f t="shared" si="14"/>
        <v>1.7414964453656926E-2</v>
      </c>
      <c r="S2088" s="28">
        <v>7.8992950000000006E-3</v>
      </c>
    </row>
    <row r="2089" spans="1:19" x14ac:dyDescent="0.25">
      <c r="A2089" s="28">
        <v>2021</v>
      </c>
      <c r="B2089" s="28"/>
      <c r="C2089" s="28" t="s">
        <v>1227</v>
      </c>
      <c r="D2089" s="28" t="s">
        <v>1993</v>
      </c>
      <c r="E2089" s="28" t="s">
        <v>1228</v>
      </c>
      <c r="F2089" s="28" t="s">
        <v>1128</v>
      </c>
      <c r="G2089" s="28">
        <v>80216</v>
      </c>
      <c r="H2089" s="28">
        <v>39.781474000000003</v>
      </c>
      <c r="I2089" s="28">
        <v>-104.97438</v>
      </c>
      <c r="J2089" s="28"/>
      <c r="K2089" s="61">
        <v>110070162955</v>
      </c>
      <c r="L2089" s="61" t="str">
        <f>IFERROR(INDEX('Facility Summary'!$K:$K,MATCH(K2089,'Facility Summary'!$J:$J,0)),INDEX('Raw Annual DMR Data'!$M:$M,MATCH(K2089,'Raw Annual DMR Data'!$L:$L,0)))</f>
        <v>Unknown</v>
      </c>
      <c r="M2089" s="28"/>
      <c r="N2089" s="28"/>
      <c r="O2089" s="28"/>
      <c r="P2089" s="28"/>
      <c r="Q2089" s="28"/>
      <c r="R2089" s="28">
        <f t="shared" si="14"/>
        <v>6.7427704967788589E-3</v>
      </c>
      <c r="S2089" s="28">
        <v>3.0584692500000002E-3</v>
      </c>
    </row>
    <row r="2090" spans="1:19" x14ac:dyDescent="0.25">
      <c r="A2090" s="28">
        <v>2023</v>
      </c>
      <c r="B2090" s="28"/>
      <c r="C2090" s="28" t="s">
        <v>1227</v>
      </c>
      <c r="D2090" s="28" t="s">
        <v>1993</v>
      </c>
      <c r="E2090" s="28" t="s">
        <v>1228</v>
      </c>
      <c r="F2090" s="28" t="s">
        <v>1128</v>
      </c>
      <c r="G2090" s="28">
        <v>80216</v>
      </c>
      <c r="H2090" s="28">
        <v>39.781474000000003</v>
      </c>
      <c r="I2090" s="28">
        <v>-104.97438</v>
      </c>
      <c r="J2090" s="28"/>
      <c r="K2090" s="61">
        <v>110070162955</v>
      </c>
      <c r="L2090" s="61" t="str">
        <f>IFERROR(INDEX('Facility Summary'!$K:$K,MATCH(K2090,'Facility Summary'!$J:$J,0)),INDEX('Raw Annual DMR Data'!$M:$M,MATCH(K2090,'Raw Annual DMR Data'!$L:$L,0)))</f>
        <v>Unknown</v>
      </c>
      <c r="M2090" s="28"/>
      <c r="N2090" s="28"/>
      <c r="O2090" s="28"/>
      <c r="P2090" s="28"/>
      <c r="Q2090" s="28"/>
      <c r="R2090" s="28">
        <f t="shared" si="14"/>
        <v>5.5276490706843238E-3</v>
      </c>
      <c r="S2090" s="28">
        <v>2.5072994424999999E-3</v>
      </c>
    </row>
    <row r="2091" spans="1:19" x14ac:dyDescent="0.25">
      <c r="A2091" s="28">
        <v>2022</v>
      </c>
      <c r="B2091" s="28"/>
      <c r="C2091" s="28" t="s">
        <v>1230</v>
      </c>
      <c r="D2091" s="28" t="s">
        <v>1997</v>
      </c>
      <c r="E2091" s="28" t="s">
        <v>1231</v>
      </c>
      <c r="F2091" s="28" t="s">
        <v>541</v>
      </c>
      <c r="G2091" s="28" t="s">
        <v>1998</v>
      </c>
      <c r="H2091" s="28">
        <v>34.807729999999999</v>
      </c>
      <c r="I2091" s="28">
        <v>-82.006420000000006</v>
      </c>
      <c r="J2091" s="28"/>
      <c r="K2091" s="61">
        <v>110000587384</v>
      </c>
      <c r="L2091" s="61" t="str">
        <f>IFERROR(INDEX('Facility Summary'!$K:$K,MATCH(K2091,'Facility Summary'!$J:$J,0)),INDEX('Raw Annual DMR Data'!$M:$M,MATCH(K2091,'Raw Annual DMR Data'!$L:$L,0)))</f>
        <v>Unknown</v>
      </c>
      <c r="M2091" s="28"/>
      <c r="N2091" s="28"/>
      <c r="O2091" s="28"/>
      <c r="P2091" s="28"/>
      <c r="Q2091" s="28"/>
      <c r="R2091" s="28">
        <f t="shared" si="14"/>
        <v>0.20388275490612862</v>
      </c>
      <c r="S2091" s="28">
        <v>9.2479662000000004E-2</v>
      </c>
    </row>
    <row r="2092" spans="1:19" x14ac:dyDescent="0.25">
      <c r="A2092" s="28">
        <v>2023</v>
      </c>
      <c r="B2092" s="28"/>
      <c r="C2092" s="28" t="s">
        <v>1230</v>
      </c>
      <c r="D2092" s="28" t="s">
        <v>1997</v>
      </c>
      <c r="E2092" s="28" t="s">
        <v>1231</v>
      </c>
      <c r="F2092" s="28" t="s">
        <v>541</v>
      </c>
      <c r="G2092" s="28" t="s">
        <v>1998</v>
      </c>
      <c r="H2092" s="28">
        <v>34.807729999999999</v>
      </c>
      <c r="I2092" s="28">
        <v>-82.006420000000006</v>
      </c>
      <c r="J2092" s="28"/>
      <c r="K2092" s="61">
        <v>110000587384</v>
      </c>
      <c r="L2092" s="61" t="str">
        <f>IFERROR(INDEX('Facility Summary'!$K:$K,MATCH(K2092,'Facility Summary'!$J:$J,0)),INDEX('Raw Annual DMR Data'!$M:$M,MATCH(K2092,'Raw Annual DMR Data'!$L:$L,0)))</f>
        <v>Unknown</v>
      </c>
      <c r="M2092" s="28"/>
      <c r="N2092" s="28"/>
      <c r="O2092" s="28"/>
      <c r="P2092" s="28"/>
      <c r="Q2092" s="28"/>
      <c r="R2092" s="28">
        <f t="shared" si="14"/>
        <v>8.1340484188479611E-2</v>
      </c>
      <c r="S2092" s="28">
        <v>3.6895422999999997E-2</v>
      </c>
    </row>
    <row r="2093" spans="1:19" x14ac:dyDescent="0.25">
      <c r="A2093" s="28">
        <v>2024</v>
      </c>
      <c r="B2093" s="28"/>
      <c r="C2093" s="28" t="s">
        <v>1230</v>
      </c>
      <c r="D2093" s="28" t="s">
        <v>1997</v>
      </c>
      <c r="E2093" s="28" t="s">
        <v>1231</v>
      </c>
      <c r="F2093" s="28" t="s">
        <v>541</v>
      </c>
      <c r="G2093" s="28" t="s">
        <v>1998</v>
      </c>
      <c r="H2093" s="28">
        <v>34.807729999999999</v>
      </c>
      <c r="I2093" s="28">
        <v>-82.006420000000006</v>
      </c>
      <c r="J2093" s="28"/>
      <c r="K2093" s="61">
        <v>110000587384</v>
      </c>
      <c r="L2093" s="61" t="str">
        <f>IFERROR(INDEX('Facility Summary'!$K:$K,MATCH(K2093,'Facility Summary'!$J:$J,0)),INDEX('Raw Annual DMR Data'!$M:$M,MATCH(K2093,'Raw Annual DMR Data'!$L:$L,0)))</f>
        <v>Unknown</v>
      </c>
      <c r="M2093" s="28"/>
      <c r="N2093" s="28"/>
      <c r="O2093" s="28"/>
      <c r="P2093" s="28"/>
      <c r="Q2093" s="28"/>
      <c r="R2093" s="28">
        <f t="shared" si="14"/>
        <v>8.0329965647349844E-2</v>
      </c>
      <c r="S2093" s="28">
        <v>3.6437059500000001E-2</v>
      </c>
    </row>
    <row r="2094" spans="1:19" x14ac:dyDescent="0.25">
      <c r="A2094" s="28">
        <v>2021</v>
      </c>
      <c r="B2094" s="28"/>
      <c r="C2094" s="28" t="s">
        <v>1230</v>
      </c>
      <c r="D2094" s="28" t="s">
        <v>1997</v>
      </c>
      <c r="E2094" s="28" t="s">
        <v>1231</v>
      </c>
      <c r="F2094" s="28" t="s">
        <v>541</v>
      </c>
      <c r="G2094" s="28" t="s">
        <v>1998</v>
      </c>
      <c r="H2094" s="28">
        <v>34.807729999999999</v>
      </c>
      <c r="I2094" s="28">
        <v>-82.006420000000006</v>
      </c>
      <c r="J2094" s="28"/>
      <c r="K2094" s="61">
        <v>110000587384</v>
      </c>
      <c r="L2094" s="61" t="str">
        <f>IFERROR(INDEX('Facility Summary'!$K:$K,MATCH(K2094,'Facility Summary'!$J:$J,0)),INDEX('Raw Annual DMR Data'!$M:$M,MATCH(K2094,'Raw Annual DMR Data'!$L:$L,0)))</f>
        <v>Unknown</v>
      </c>
      <c r="M2094" s="28"/>
      <c r="N2094" s="28"/>
      <c r="O2094" s="28"/>
      <c r="P2094" s="28"/>
      <c r="Q2094" s="28"/>
      <c r="R2094" s="28">
        <f t="shared" si="14"/>
        <v>7.6218632160854033E-2</v>
      </c>
      <c r="S2094" s="28">
        <v>3.4572190000000003E-2</v>
      </c>
    </row>
    <row r="2095" spans="1:19" x14ac:dyDescent="0.25">
      <c r="A2095" s="28">
        <v>2024</v>
      </c>
      <c r="B2095" s="28"/>
      <c r="C2095" s="28" t="s">
        <v>171</v>
      </c>
      <c r="D2095" s="28" t="s">
        <v>555</v>
      </c>
      <c r="E2095" s="28" t="s">
        <v>556</v>
      </c>
      <c r="F2095" s="28" t="s">
        <v>338</v>
      </c>
      <c r="G2095" s="28">
        <v>7065</v>
      </c>
      <c r="H2095" s="28">
        <v>40.612743000000002</v>
      </c>
      <c r="I2095" s="28">
        <v>-74.260920999999996</v>
      </c>
      <c r="J2095" s="28" t="s">
        <v>557</v>
      </c>
      <c r="K2095" s="61">
        <v>110000492020</v>
      </c>
      <c r="L2095" s="61" t="str">
        <f>IFERROR(INDEX('Facility Summary'!$K:$K,MATCH(K2095,'Facility Summary'!$J:$J,0)),INDEX('Raw Annual DMR Data'!$M:$M,MATCH(K2095,'Raw Annual DMR Data'!$L:$L,0)))</f>
        <v>Processing into formulation, mixture, or reaction product</v>
      </c>
      <c r="M2095" s="28"/>
      <c r="N2095" s="28"/>
      <c r="O2095" s="28"/>
      <c r="P2095" s="28"/>
      <c r="Q2095" s="28"/>
      <c r="R2095" s="28">
        <f t="shared" si="14"/>
        <v>153.1987805802377</v>
      </c>
      <c r="S2095" s="28">
        <v>69.489797964499999</v>
      </c>
    </row>
    <row r="2096" spans="1:19" x14ac:dyDescent="0.25">
      <c r="A2096" s="28">
        <v>2021</v>
      </c>
      <c r="B2096" s="28"/>
      <c r="C2096" s="28" t="s">
        <v>171</v>
      </c>
      <c r="D2096" s="28" t="s">
        <v>555</v>
      </c>
      <c r="E2096" s="28" t="s">
        <v>556</v>
      </c>
      <c r="F2096" s="28" t="s">
        <v>338</v>
      </c>
      <c r="G2096" s="28">
        <v>7065</v>
      </c>
      <c r="H2096" s="28">
        <v>40.612743000000002</v>
      </c>
      <c r="I2096" s="28">
        <v>-74.260920999999996</v>
      </c>
      <c r="J2096" s="28" t="s">
        <v>557</v>
      </c>
      <c r="K2096" s="61">
        <v>110000492020</v>
      </c>
      <c r="L2096" s="61" t="str">
        <f>IFERROR(INDEX('Facility Summary'!$K:$K,MATCH(K2096,'Facility Summary'!$J:$J,0)),INDEX('Raw Annual DMR Data'!$M:$M,MATCH(K2096,'Raw Annual DMR Data'!$L:$L,0)))</f>
        <v>Processing into formulation, mixture, or reaction product</v>
      </c>
      <c r="M2096" s="28"/>
      <c r="N2096" s="28"/>
      <c r="O2096" s="28"/>
      <c r="P2096" s="28"/>
      <c r="Q2096" s="28"/>
      <c r="R2096" s="28">
        <f t="shared" si="14"/>
        <v>8.8842360218713559</v>
      </c>
      <c r="S2096" s="28">
        <v>4.0298216727999998</v>
      </c>
    </row>
    <row r="2097" spans="1:19" x14ac:dyDescent="0.25">
      <c r="A2097" s="28">
        <v>2023</v>
      </c>
      <c r="B2097" s="28"/>
      <c r="C2097" s="28" t="s">
        <v>171</v>
      </c>
      <c r="D2097" s="28" t="s">
        <v>555</v>
      </c>
      <c r="E2097" s="28" t="s">
        <v>556</v>
      </c>
      <c r="F2097" s="28" t="s">
        <v>338</v>
      </c>
      <c r="G2097" s="28" t="s">
        <v>2002</v>
      </c>
      <c r="H2097" s="28">
        <v>40.612743000000002</v>
      </c>
      <c r="I2097" s="28">
        <v>-74.260920999999996</v>
      </c>
      <c r="J2097" s="28" t="s">
        <v>557</v>
      </c>
      <c r="K2097" s="61">
        <v>110000492020</v>
      </c>
      <c r="L2097" s="61" t="str">
        <f>IFERROR(INDEX('Facility Summary'!$K:$K,MATCH(K2097,'Facility Summary'!$J:$J,0)),INDEX('Raw Annual DMR Data'!$M:$M,MATCH(K2097,'Raw Annual DMR Data'!$L:$L,0)))</f>
        <v>Processing into formulation, mixture, or reaction product</v>
      </c>
      <c r="M2097" s="28"/>
      <c r="N2097" s="28"/>
      <c r="O2097" s="28"/>
      <c r="P2097" s="28"/>
      <c r="Q2097" s="28"/>
      <c r="R2097" s="28">
        <f t="shared" si="14"/>
        <v>1.181983761102507</v>
      </c>
      <c r="S2097" s="28">
        <v>0.53613881549999998</v>
      </c>
    </row>
    <row r="2098" spans="1:19" x14ac:dyDescent="0.25">
      <c r="A2098" s="28">
        <v>2021</v>
      </c>
      <c r="B2098" s="28"/>
      <c r="C2098" s="28" t="s">
        <v>1233</v>
      </c>
      <c r="D2098" s="28" t="s">
        <v>2006</v>
      </c>
      <c r="E2098" s="28" t="s">
        <v>293</v>
      </c>
      <c r="F2098" s="28" t="s">
        <v>294</v>
      </c>
      <c r="G2098" s="28">
        <v>22202</v>
      </c>
      <c r="H2098" s="28">
        <v>38.86157</v>
      </c>
      <c r="I2098" s="28">
        <v>-77.053929999999994</v>
      </c>
      <c r="J2098" s="28"/>
      <c r="K2098" s="61">
        <v>110070882213</v>
      </c>
      <c r="L2098" s="61" t="str">
        <f>IFERROR(INDEX('Facility Summary'!$K:$K,MATCH(K2098,'Facility Summary'!$J:$J,0)),INDEX('Raw Annual DMR Data'!$M:$M,MATCH(K2098,'Raw Annual DMR Data'!$L:$L,0)))</f>
        <v>Unknown</v>
      </c>
      <c r="M2098" s="28"/>
      <c r="N2098" s="28"/>
      <c r="O2098" s="28"/>
      <c r="P2098" s="28"/>
      <c r="Q2098" s="28"/>
      <c r="R2098" s="28">
        <f t="shared" si="14"/>
        <v>8.2570462990812638E-2</v>
      </c>
      <c r="S2098" s="28">
        <v>3.7453331999999999E-2</v>
      </c>
    </row>
    <row r="2099" spans="1:19" x14ac:dyDescent="0.25">
      <c r="A2099" s="28">
        <v>2022</v>
      </c>
      <c r="B2099" s="28"/>
      <c r="C2099" s="28" t="s">
        <v>1234</v>
      </c>
      <c r="D2099" s="28" t="s">
        <v>2008</v>
      </c>
      <c r="E2099" s="28" t="s">
        <v>361</v>
      </c>
      <c r="F2099" s="28" t="s">
        <v>362</v>
      </c>
      <c r="G2099" s="28">
        <v>77571</v>
      </c>
      <c r="H2099" s="28">
        <v>29.726065999999999</v>
      </c>
      <c r="I2099" s="28">
        <v>-95.079583999999997</v>
      </c>
      <c r="J2099" s="28" t="s">
        <v>725</v>
      </c>
      <c r="K2099" s="61">
        <v>110000463677</v>
      </c>
      <c r="L2099" s="61" t="str">
        <f>IFERROR(INDEX('Facility Summary'!$K:$K,MATCH(K2099,'Facility Summary'!$J:$J,0)),INDEX('Raw Annual DMR Data'!$M:$M,MATCH(K2099,'Raw Annual DMR Data'!$L:$L,0)))</f>
        <v>Unknown</v>
      </c>
      <c r="M2099" s="28"/>
      <c r="N2099" s="28"/>
      <c r="O2099" s="28"/>
      <c r="P2099" s="28"/>
      <c r="Q2099" s="28"/>
      <c r="R2099" s="28">
        <f t="shared" si="14"/>
        <v>8.6948067490641434E-3</v>
      </c>
      <c r="S2099" s="28">
        <v>3.9438980000000004E-3</v>
      </c>
    </row>
    <row r="2100" spans="1:19" x14ac:dyDescent="0.25">
      <c r="A2100" s="28">
        <v>2023</v>
      </c>
      <c r="B2100" s="28"/>
      <c r="C2100" s="28" t="s">
        <v>1234</v>
      </c>
      <c r="D2100" s="28" t="s">
        <v>2008</v>
      </c>
      <c r="E2100" s="28" t="s">
        <v>361</v>
      </c>
      <c r="F2100" s="28" t="s">
        <v>362</v>
      </c>
      <c r="G2100" s="28">
        <v>77571</v>
      </c>
      <c r="H2100" s="28">
        <v>29.726065999999999</v>
      </c>
      <c r="I2100" s="28">
        <v>-95.079583999999997</v>
      </c>
      <c r="J2100" s="28" t="s">
        <v>725</v>
      </c>
      <c r="K2100" s="61">
        <v>110000463677</v>
      </c>
      <c r="L2100" s="61" t="str">
        <f>IFERROR(INDEX('Facility Summary'!$K:$K,MATCH(K2100,'Facility Summary'!$J:$J,0)),INDEX('Raw Annual DMR Data'!$M:$M,MATCH(K2100,'Raw Annual DMR Data'!$L:$L,0)))</f>
        <v>Unknown</v>
      </c>
      <c r="M2100" s="28"/>
      <c r="N2100" s="28"/>
      <c r="O2100" s="28"/>
      <c r="P2100" s="28"/>
      <c r="Q2100" s="28"/>
      <c r="R2100" s="28">
        <f t="shared" si="14"/>
        <v>7.7084211094644289E-3</v>
      </c>
      <c r="S2100" s="28">
        <v>3.4964810000000001E-3</v>
      </c>
    </row>
    <row r="2101" spans="1:19" x14ac:dyDescent="0.25">
      <c r="A2101" s="28">
        <v>2021</v>
      </c>
      <c r="B2101" s="28"/>
      <c r="C2101" s="28" t="s">
        <v>1234</v>
      </c>
      <c r="D2101" s="28" t="s">
        <v>2008</v>
      </c>
      <c r="E2101" s="28" t="s">
        <v>361</v>
      </c>
      <c r="F2101" s="28" t="s">
        <v>362</v>
      </c>
      <c r="G2101" s="28">
        <v>77571</v>
      </c>
      <c r="H2101" s="28">
        <v>29.726065999999999</v>
      </c>
      <c r="I2101" s="28">
        <v>-95.079583999999997</v>
      </c>
      <c r="J2101" s="28" t="s">
        <v>725</v>
      </c>
      <c r="K2101" s="61">
        <v>110000463677</v>
      </c>
      <c r="L2101" s="61" t="str">
        <f>IFERROR(INDEX('Facility Summary'!$K:$K,MATCH(K2101,'Facility Summary'!$J:$J,0)),INDEX('Raw Annual DMR Data'!$M:$M,MATCH(K2101,'Raw Annual DMR Data'!$L:$L,0)))</f>
        <v>Unknown</v>
      </c>
      <c r="M2101" s="28"/>
      <c r="N2101" s="28"/>
      <c r="O2101" s="28"/>
      <c r="P2101" s="28"/>
      <c r="Q2101" s="28"/>
      <c r="R2101" s="28">
        <f t="shared" si="14"/>
        <v>6.7220354698647152E-3</v>
      </c>
      <c r="S2101" s="28">
        <v>3.0490640000000002E-3</v>
      </c>
    </row>
    <row r="2102" spans="1:19" x14ac:dyDescent="0.25">
      <c r="A2102" s="28">
        <v>2023</v>
      </c>
      <c r="B2102" s="28"/>
      <c r="C2102" s="28" t="s">
        <v>172</v>
      </c>
      <c r="D2102" s="28" t="s">
        <v>558</v>
      </c>
      <c r="E2102" s="28" t="s">
        <v>559</v>
      </c>
      <c r="F2102" s="28" t="s">
        <v>338</v>
      </c>
      <c r="G2102" s="28" t="s">
        <v>560</v>
      </c>
      <c r="H2102" s="28">
        <v>39.766944000000002</v>
      </c>
      <c r="I2102" s="28">
        <v>-75.421361000000005</v>
      </c>
      <c r="J2102" s="28" t="s">
        <v>561</v>
      </c>
      <c r="K2102" s="61">
        <v>110041022274</v>
      </c>
      <c r="L2102" s="61" t="str">
        <f>IFERROR(INDEX('Facility Summary'!$K:$K,MATCH(K2102,'Facility Summary'!$J:$J,0)),INDEX('Raw Annual DMR Data'!$M:$M,MATCH(K2102,'Raw Annual DMR Data'!$L:$L,0)))</f>
        <v>Processing as a Reactant</v>
      </c>
      <c r="M2102" s="28"/>
      <c r="N2102" s="28"/>
      <c r="O2102" s="28"/>
      <c r="P2102" s="28"/>
      <c r="Q2102" s="28"/>
      <c r="R2102" s="28">
        <f t="shared" si="14"/>
        <v>8.730305582521152E-5</v>
      </c>
      <c r="S2102" s="28">
        <v>3.96E-5</v>
      </c>
    </row>
    <row r="2103" spans="1:19" x14ac:dyDescent="0.25">
      <c r="A2103" s="28">
        <v>2024</v>
      </c>
      <c r="B2103" s="28"/>
      <c r="C2103" s="28" t="s">
        <v>172</v>
      </c>
      <c r="D2103" s="28" t="s">
        <v>558</v>
      </c>
      <c r="E2103" s="28" t="s">
        <v>559</v>
      </c>
      <c r="F2103" s="28" t="s">
        <v>338</v>
      </c>
      <c r="G2103" s="28" t="s">
        <v>560</v>
      </c>
      <c r="H2103" s="28">
        <v>39.766944000000002</v>
      </c>
      <c r="I2103" s="28">
        <v>-75.421361000000005</v>
      </c>
      <c r="J2103" s="28" t="s">
        <v>561</v>
      </c>
      <c r="K2103" s="61">
        <v>110041022274</v>
      </c>
      <c r="L2103" s="61" t="str">
        <f>IFERROR(INDEX('Facility Summary'!$K:$K,MATCH(K2103,'Facility Summary'!$J:$J,0)),INDEX('Raw Annual DMR Data'!$M:$M,MATCH(K2103,'Raw Annual DMR Data'!$L:$L,0)))</f>
        <v>Processing as a Reactant</v>
      </c>
      <c r="M2103" s="28"/>
      <c r="N2103" s="28"/>
      <c r="O2103" s="28"/>
      <c r="P2103" s="28"/>
      <c r="Q2103" s="28"/>
      <c r="R2103" s="28">
        <f t="shared" si="14"/>
        <v>6.9445612588236441E-5</v>
      </c>
      <c r="S2103" s="28">
        <v>3.15E-5</v>
      </c>
    </row>
    <row r="2104" spans="1:19" x14ac:dyDescent="0.25">
      <c r="A2104" s="28">
        <v>2022</v>
      </c>
      <c r="B2104" s="28"/>
      <c r="C2104" s="28" t="s">
        <v>172</v>
      </c>
      <c r="D2104" s="28" t="s">
        <v>558</v>
      </c>
      <c r="E2104" s="28" t="s">
        <v>559</v>
      </c>
      <c r="F2104" s="28" t="s">
        <v>338</v>
      </c>
      <c r="G2104" s="28" t="s">
        <v>560</v>
      </c>
      <c r="H2104" s="28">
        <v>39.766944000000002</v>
      </c>
      <c r="I2104" s="28">
        <v>-75.421361000000005</v>
      </c>
      <c r="J2104" s="28" t="s">
        <v>561</v>
      </c>
      <c r="K2104" s="61">
        <v>110041022274</v>
      </c>
      <c r="L2104" s="61" t="str">
        <f>IFERROR(INDEX('Facility Summary'!$K:$K,MATCH(K2104,'Facility Summary'!$J:$J,0)),INDEX('Raw Annual DMR Data'!$M:$M,MATCH(K2104,'Raw Annual DMR Data'!$L:$L,0)))</f>
        <v>Processing as a Reactant</v>
      </c>
      <c r="M2104" s="28"/>
      <c r="N2104" s="28"/>
      <c r="O2104" s="28"/>
      <c r="P2104" s="28"/>
      <c r="Q2104" s="28"/>
      <c r="R2104" s="28">
        <f t="shared" si="14"/>
        <v>4.4974301485715028E-5</v>
      </c>
      <c r="S2104" s="28">
        <v>2.0400000000000001E-5</v>
      </c>
    </row>
    <row r="2105" spans="1:19" x14ac:dyDescent="0.25">
      <c r="A2105" s="28">
        <v>2021</v>
      </c>
      <c r="B2105" s="28"/>
      <c r="C2105" s="28" t="s">
        <v>172</v>
      </c>
      <c r="D2105" s="28" t="s">
        <v>558</v>
      </c>
      <c r="E2105" s="28" t="s">
        <v>559</v>
      </c>
      <c r="F2105" s="28" t="s">
        <v>338</v>
      </c>
      <c r="G2105" s="28" t="s">
        <v>560</v>
      </c>
      <c r="H2105" s="28">
        <v>39.766944000000002</v>
      </c>
      <c r="I2105" s="28">
        <v>-75.421361000000005</v>
      </c>
      <c r="J2105" s="28" t="s">
        <v>561</v>
      </c>
      <c r="K2105" s="61">
        <v>110041022274</v>
      </c>
      <c r="L2105" s="61" t="str">
        <f>IFERROR(INDEX('Facility Summary'!$K:$K,MATCH(K2105,'Facility Summary'!$J:$J,0)),INDEX('Raw Annual DMR Data'!$M:$M,MATCH(K2105,'Raw Annual DMR Data'!$L:$L,0)))</f>
        <v>Processing as a Reactant</v>
      </c>
      <c r="M2105" s="28"/>
      <c r="N2105" s="28"/>
      <c r="O2105" s="28"/>
      <c r="P2105" s="28"/>
      <c r="Q2105" s="28"/>
      <c r="R2105" s="28">
        <f t="shared" si="14"/>
        <v>2.6455471462185312E-5</v>
      </c>
      <c r="S2105" s="28">
        <v>1.2E-5</v>
      </c>
    </row>
    <row r="2106" spans="1:19" x14ac:dyDescent="0.25">
      <c r="A2106" s="28">
        <v>2024</v>
      </c>
      <c r="B2106" s="28"/>
      <c r="C2106" s="28" t="s">
        <v>6816</v>
      </c>
      <c r="D2106" s="28" t="s">
        <v>6971</v>
      </c>
      <c r="E2106" s="28" t="s">
        <v>6972</v>
      </c>
      <c r="F2106" s="28" t="s">
        <v>979</v>
      </c>
      <c r="G2106" s="28">
        <v>38012</v>
      </c>
      <c r="H2106" s="28">
        <v>35.607599999999998</v>
      </c>
      <c r="I2106" s="28">
        <v>-89.237700000000004</v>
      </c>
      <c r="J2106" s="28" t="s">
        <v>7125</v>
      </c>
      <c r="K2106" s="61">
        <v>110000373621</v>
      </c>
      <c r="L2106" s="61" t="str">
        <f>IFERROR(INDEX('Facility Summary'!$K:$K,MATCH(K2106,'Facility Summary'!$J:$J,0)),INDEX('Raw Annual DMR Data'!$M:$M,MATCH(K2106,'Raw Annual DMR Data'!$L:$L,0)))</f>
        <v>Unknown</v>
      </c>
      <c r="M2106" s="28"/>
      <c r="N2106" s="28"/>
      <c r="O2106" s="28"/>
      <c r="P2106" s="28"/>
      <c r="Q2106" s="28"/>
      <c r="R2106" s="28">
        <f t="shared" si="14"/>
        <v>0.91372238029488895</v>
      </c>
      <c r="S2106" s="28">
        <v>0.41445749999999998</v>
      </c>
    </row>
    <row r="2107" spans="1:19" x14ac:dyDescent="0.25">
      <c r="A2107" s="28">
        <v>2023</v>
      </c>
      <c r="B2107" s="28"/>
      <c r="C2107" s="28" t="s">
        <v>1235</v>
      </c>
      <c r="D2107" s="28" t="s">
        <v>2012</v>
      </c>
      <c r="E2107" s="28" t="s">
        <v>1236</v>
      </c>
      <c r="F2107" s="28" t="s">
        <v>450</v>
      </c>
      <c r="G2107" s="28">
        <v>13502</v>
      </c>
      <c r="H2107" s="28">
        <v>43.107216000000001</v>
      </c>
      <c r="I2107" s="28">
        <v>-75.225815999999995</v>
      </c>
      <c r="J2107" s="28"/>
      <c r="K2107" s="61">
        <v>110002321345</v>
      </c>
      <c r="L2107" s="61" t="str">
        <f>IFERROR(INDEX('Facility Summary'!$K:$K,MATCH(K2107,'Facility Summary'!$J:$J,0)),INDEX('Raw Annual DMR Data'!$M:$M,MATCH(K2107,'Raw Annual DMR Data'!$L:$L,0)))</f>
        <v>Unknown</v>
      </c>
      <c r="M2107" s="28"/>
      <c r="N2107" s="28"/>
      <c r="O2107" s="28"/>
      <c r="P2107" s="28"/>
      <c r="Q2107" s="28"/>
      <c r="R2107" s="28">
        <f t="shared" si="14"/>
        <v>1.3246220830390069E-2</v>
      </c>
      <c r="S2107" s="28">
        <v>6.0083847000000001E-3</v>
      </c>
    </row>
    <row r="2108" spans="1:19" x14ac:dyDescent="0.25">
      <c r="A2108" s="28">
        <v>2024</v>
      </c>
      <c r="B2108" s="28"/>
      <c r="C2108" s="28" t="s">
        <v>1235</v>
      </c>
      <c r="D2108" s="28" t="s">
        <v>2012</v>
      </c>
      <c r="E2108" s="28" t="s">
        <v>1236</v>
      </c>
      <c r="F2108" s="28" t="s">
        <v>450</v>
      </c>
      <c r="G2108" s="28">
        <v>13502</v>
      </c>
      <c r="H2108" s="28">
        <v>43.107216000000001</v>
      </c>
      <c r="I2108" s="28">
        <v>-75.225815999999995</v>
      </c>
      <c r="J2108" s="28"/>
      <c r="K2108" s="61">
        <v>110002321345</v>
      </c>
      <c r="L2108" s="61" t="str">
        <f>IFERROR(INDEX('Facility Summary'!$K:$K,MATCH(K2108,'Facility Summary'!$J:$J,0)),INDEX('Raw Annual DMR Data'!$M:$M,MATCH(K2108,'Raw Annual DMR Data'!$L:$L,0)))</f>
        <v>Unknown</v>
      </c>
      <c r="M2108" s="28"/>
      <c r="N2108" s="28"/>
      <c r="O2108" s="28"/>
      <c r="P2108" s="28"/>
      <c r="Q2108" s="28"/>
      <c r="R2108" s="28">
        <f t="shared" ref="R2108:R2171" si="15">CONVERT(S2108,"g","lbm")*1000</f>
        <v>1.3157602276246402E-2</v>
      </c>
      <c r="S2108" s="28">
        <v>5.9681880000000001E-3</v>
      </c>
    </row>
    <row r="2109" spans="1:19" x14ac:dyDescent="0.25">
      <c r="A2109" s="28">
        <v>2022</v>
      </c>
      <c r="B2109" s="28"/>
      <c r="C2109" s="28" t="s">
        <v>1235</v>
      </c>
      <c r="D2109" s="28" t="s">
        <v>2012</v>
      </c>
      <c r="E2109" s="28" t="s">
        <v>1236</v>
      </c>
      <c r="F2109" s="28" t="s">
        <v>450</v>
      </c>
      <c r="G2109" s="28">
        <v>13502</v>
      </c>
      <c r="H2109" s="28">
        <v>43.107216000000001</v>
      </c>
      <c r="I2109" s="28">
        <v>-75.225815999999995</v>
      </c>
      <c r="J2109" s="28"/>
      <c r="K2109" s="61">
        <v>110002321345</v>
      </c>
      <c r="L2109" s="61" t="str">
        <f>IFERROR(INDEX('Facility Summary'!$K:$K,MATCH(K2109,'Facility Summary'!$J:$J,0)),INDEX('Raw Annual DMR Data'!$M:$M,MATCH(K2109,'Raw Annual DMR Data'!$L:$L,0)))</f>
        <v>Unknown</v>
      </c>
      <c r="M2109" s="28"/>
      <c r="N2109" s="28"/>
      <c r="O2109" s="28"/>
      <c r="P2109" s="28"/>
      <c r="Q2109" s="28"/>
      <c r="R2109" s="28">
        <f t="shared" si="15"/>
        <v>1.3141080172931481E-2</v>
      </c>
      <c r="S2109" s="28">
        <v>5.9606937000000002E-3</v>
      </c>
    </row>
    <row r="2110" spans="1:19" x14ac:dyDescent="0.25">
      <c r="A2110" s="28">
        <v>2021</v>
      </c>
      <c r="B2110" s="28"/>
      <c r="C2110" s="28" t="s">
        <v>1235</v>
      </c>
      <c r="D2110" s="28" t="s">
        <v>2012</v>
      </c>
      <c r="E2110" s="28" t="s">
        <v>1236</v>
      </c>
      <c r="F2110" s="28" t="s">
        <v>450</v>
      </c>
      <c r="G2110" s="28">
        <v>13502</v>
      </c>
      <c r="H2110" s="28">
        <v>43.107216000000001</v>
      </c>
      <c r="I2110" s="28">
        <v>-75.225815999999995</v>
      </c>
      <c r="J2110" s="28"/>
      <c r="K2110" s="61">
        <v>110002321345</v>
      </c>
      <c r="L2110" s="61" t="str">
        <f>IFERROR(INDEX('Facility Summary'!$K:$K,MATCH(K2110,'Facility Summary'!$J:$J,0)),INDEX('Raw Annual DMR Data'!$M:$M,MATCH(K2110,'Raw Annual DMR Data'!$L:$L,0)))</f>
        <v>Unknown</v>
      </c>
      <c r="M2110" s="28"/>
      <c r="N2110" s="28"/>
      <c r="O2110" s="28"/>
      <c r="P2110" s="28"/>
      <c r="Q2110" s="28"/>
      <c r="R2110" s="28">
        <f t="shared" si="15"/>
        <v>1.2013071119340035E-2</v>
      </c>
      <c r="S2110" s="28">
        <v>5.4490373999999996E-3</v>
      </c>
    </row>
    <row r="2111" spans="1:19" x14ac:dyDescent="0.25">
      <c r="A2111" s="28">
        <v>2021</v>
      </c>
      <c r="B2111" s="28"/>
      <c r="C2111" s="28" t="s">
        <v>6837</v>
      </c>
      <c r="D2111" s="28" t="s">
        <v>566</v>
      </c>
      <c r="E2111" s="28" t="s">
        <v>520</v>
      </c>
      <c r="F2111" s="28" t="s">
        <v>362</v>
      </c>
      <c r="G2111" s="28">
        <v>770156544</v>
      </c>
      <c r="H2111" s="28">
        <v>29.75487</v>
      </c>
      <c r="I2111" s="28">
        <v>-95.103269999999995</v>
      </c>
      <c r="J2111" s="28" t="s">
        <v>567</v>
      </c>
      <c r="K2111" s="61">
        <v>110000460983</v>
      </c>
      <c r="L2111" s="61" t="str">
        <f>IFERROR(INDEX('Facility Summary'!$K:$K,MATCH(K2111,'Facility Summary'!$J:$J,0)),INDEX('Raw Annual DMR Data'!$M:$M,MATCH(K2111,'Raw Annual DMR Data'!$L:$L,0)))</f>
        <v>Manufacturing</v>
      </c>
      <c r="M2111" s="28"/>
      <c r="N2111" s="28"/>
      <c r="O2111" s="28"/>
      <c r="P2111" s="28"/>
      <c r="Q2111" s="28"/>
      <c r="R2111" s="28">
        <f t="shared" si="15"/>
        <v>0.82564131314642708</v>
      </c>
      <c r="S2111" s="28">
        <v>0.37450460000000002</v>
      </c>
    </row>
    <row r="2112" spans="1:19" x14ac:dyDescent="0.25">
      <c r="A2112" s="28">
        <v>2023</v>
      </c>
      <c r="B2112" s="28"/>
      <c r="C2112" s="28" t="s">
        <v>6837</v>
      </c>
      <c r="D2112" s="28" t="s">
        <v>566</v>
      </c>
      <c r="E2112" s="28" t="s">
        <v>520</v>
      </c>
      <c r="F2112" s="28" t="s">
        <v>362</v>
      </c>
      <c r="G2112" s="28">
        <v>770156544</v>
      </c>
      <c r="H2112" s="28">
        <v>29.75487</v>
      </c>
      <c r="I2112" s="28">
        <v>-95.103269999999995</v>
      </c>
      <c r="J2112" s="28" t="s">
        <v>567</v>
      </c>
      <c r="K2112" s="61">
        <v>110000460983</v>
      </c>
      <c r="L2112" s="61" t="str">
        <f>IFERROR(INDEX('Facility Summary'!$K:$K,MATCH(K2112,'Facility Summary'!$J:$J,0)),INDEX('Raw Annual DMR Data'!$M:$M,MATCH(K2112,'Raw Annual DMR Data'!$L:$L,0)))</f>
        <v>Manufacturing</v>
      </c>
      <c r="M2112" s="28"/>
      <c r="N2112" s="28"/>
      <c r="O2112" s="28"/>
      <c r="P2112" s="28"/>
      <c r="Q2112" s="28"/>
      <c r="R2112" s="28">
        <f t="shared" si="15"/>
        <v>0.43839361759987272</v>
      </c>
      <c r="S2112" s="28">
        <v>0.198852</v>
      </c>
    </row>
    <row r="2113" spans="1:19" x14ac:dyDescent="0.25">
      <c r="A2113" s="28">
        <v>2022</v>
      </c>
      <c r="B2113" s="28"/>
      <c r="C2113" s="28" t="s">
        <v>6837</v>
      </c>
      <c r="D2113" s="28" t="s">
        <v>566</v>
      </c>
      <c r="E2113" s="28" t="s">
        <v>520</v>
      </c>
      <c r="F2113" s="28" t="s">
        <v>362</v>
      </c>
      <c r="G2113" s="28">
        <v>770156544</v>
      </c>
      <c r="H2113" s="28">
        <v>29.75487</v>
      </c>
      <c r="I2113" s="28">
        <v>-95.103269999999995</v>
      </c>
      <c r="J2113" s="28" t="s">
        <v>567</v>
      </c>
      <c r="K2113" s="61">
        <v>110000460983</v>
      </c>
      <c r="L2113" s="61" t="str">
        <f>IFERROR(INDEX('Facility Summary'!$K:$K,MATCH(K2113,'Facility Summary'!$J:$J,0)),INDEX('Raw Annual DMR Data'!$M:$M,MATCH(K2113,'Raw Annual DMR Data'!$L:$L,0)))</f>
        <v>Manufacturing</v>
      </c>
      <c r="M2113" s="28"/>
      <c r="N2113" s="28"/>
      <c r="O2113" s="28"/>
      <c r="P2113" s="28"/>
      <c r="Q2113" s="28"/>
      <c r="R2113" s="28">
        <f t="shared" si="15"/>
        <v>0.36532801466656062</v>
      </c>
      <c r="S2113" s="28">
        <v>0.16571</v>
      </c>
    </row>
    <row r="2114" spans="1:19" x14ac:dyDescent="0.25">
      <c r="A2114" s="28">
        <v>2021</v>
      </c>
      <c r="B2114" s="28"/>
      <c r="C2114" s="28" t="s">
        <v>1239</v>
      </c>
      <c r="D2114" s="28" t="s">
        <v>2020</v>
      </c>
      <c r="E2114" s="28" t="s">
        <v>1240</v>
      </c>
      <c r="F2114" s="28" t="s">
        <v>324</v>
      </c>
      <c r="G2114" s="28">
        <v>42437</v>
      </c>
      <c r="H2114" s="28">
        <v>37.671391</v>
      </c>
      <c r="I2114" s="28">
        <v>-87.828888000000006</v>
      </c>
      <c r="J2114" s="28"/>
      <c r="K2114" s="61">
        <v>110064612557</v>
      </c>
      <c r="L2114" s="61" t="str">
        <f>IFERROR(INDEX('Facility Summary'!$K:$K,MATCH(K2114,'Facility Summary'!$J:$J,0)),INDEX('Raw Annual DMR Data'!$M:$M,MATCH(K2114,'Raw Annual DMR Data'!$L:$L,0)))</f>
        <v>POTW</v>
      </c>
      <c r="M2114" s="28"/>
      <c r="N2114" s="28"/>
      <c r="O2114" s="28"/>
      <c r="P2114" s="28"/>
      <c r="Q2114" s="28"/>
      <c r="R2114" s="28">
        <f t="shared" si="15"/>
        <v>13.127144863569905</v>
      </c>
      <c r="S2114" s="28">
        <v>5.9543727500000001</v>
      </c>
    </row>
    <row r="2115" spans="1:19" x14ac:dyDescent="0.25">
      <c r="A2115" s="28">
        <v>2022</v>
      </c>
      <c r="B2115" s="28"/>
      <c r="C2115" s="28" t="s">
        <v>1239</v>
      </c>
      <c r="D2115" s="28" t="s">
        <v>2020</v>
      </c>
      <c r="E2115" s="28" t="s">
        <v>1240</v>
      </c>
      <c r="F2115" s="28" t="s">
        <v>324</v>
      </c>
      <c r="G2115" s="28">
        <v>42437</v>
      </c>
      <c r="H2115" s="28">
        <v>37.671391</v>
      </c>
      <c r="I2115" s="28">
        <v>-87.828888000000006</v>
      </c>
      <c r="J2115" s="28"/>
      <c r="K2115" s="61">
        <v>110064612557</v>
      </c>
      <c r="L2115" s="61" t="str">
        <f>IFERROR(INDEX('Facility Summary'!$K:$K,MATCH(K2115,'Facility Summary'!$J:$J,0)),INDEX('Raw Annual DMR Data'!$M:$M,MATCH(K2115,'Raw Annual DMR Data'!$L:$L,0)))</f>
        <v>POTW</v>
      </c>
      <c r="M2115" s="28"/>
      <c r="N2115" s="28"/>
      <c r="O2115" s="28"/>
      <c r="P2115" s="28"/>
      <c r="Q2115" s="28"/>
      <c r="R2115" s="28">
        <f t="shared" si="15"/>
        <v>7.8732411768742923</v>
      </c>
      <c r="S2115" s="28">
        <v>3.5712421249999999</v>
      </c>
    </row>
    <row r="2116" spans="1:19" x14ac:dyDescent="0.25">
      <c r="A2116" s="28">
        <v>2021</v>
      </c>
      <c r="B2116" s="28"/>
      <c r="C2116" s="28" t="s">
        <v>1243</v>
      </c>
      <c r="D2116" s="28" t="s">
        <v>2027</v>
      </c>
      <c r="E2116" s="28" t="s">
        <v>1244</v>
      </c>
      <c r="F2116" s="28" t="s">
        <v>324</v>
      </c>
      <c r="G2116" s="28">
        <v>40353</v>
      </c>
      <c r="H2116" s="28">
        <v>38.101582000000001</v>
      </c>
      <c r="I2116" s="28">
        <v>-83.919770999999997</v>
      </c>
      <c r="J2116" s="28"/>
      <c r="K2116" s="61">
        <v>110039705361</v>
      </c>
      <c r="L2116" s="61" t="str">
        <f>IFERROR(INDEX('Facility Summary'!$K:$K,MATCH(K2116,'Facility Summary'!$J:$J,0)),INDEX('Raw Annual DMR Data'!$M:$M,MATCH(K2116,'Raw Annual DMR Data'!$L:$L,0)))</f>
        <v>POTW</v>
      </c>
      <c r="M2116" s="28"/>
      <c r="N2116" s="28"/>
      <c r="O2116" s="28"/>
      <c r="P2116" s="28"/>
      <c r="Q2116" s="28"/>
      <c r="R2116" s="28">
        <f t="shared" si="15"/>
        <v>16.370859313616759</v>
      </c>
      <c r="S2116" s="28">
        <v>7.4256968749999999</v>
      </c>
    </row>
    <row r="2117" spans="1:19" x14ac:dyDescent="0.25">
      <c r="A2117" s="28">
        <v>2023</v>
      </c>
      <c r="B2117" s="28"/>
      <c r="C2117" s="28" t="s">
        <v>174</v>
      </c>
      <c r="D2117" s="28" t="s">
        <v>568</v>
      </c>
      <c r="E2117" s="28" t="s">
        <v>569</v>
      </c>
      <c r="F2117" s="28" t="s">
        <v>311</v>
      </c>
      <c r="G2117" s="28">
        <v>26146</v>
      </c>
      <c r="H2117" s="28">
        <v>39.484572</v>
      </c>
      <c r="I2117" s="28">
        <v>-81.093402999999995</v>
      </c>
      <c r="J2117" s="28" t="s">
        <v>570</v>
      </c>
      <c r="K2117" s="61">
        <v>110000344814</v>
      </c>
      <c r="L2117" s="61" t="str">
        <f>IFERROR(INDEX('Facility Summary'!$K:$K,MATCH(K2117,'Facility Summary'!$J:$J,0)),INDEX('Raw Annual DMR Data'!$M:$M,MATCH(K2117,'Raw Annual DMR Data'!$L:$L,0)))</f>
        <v>Manufacturing</v>
      </c>
      <c r="M2117" s="28"/>
      <c r="N2117" s="28"/>
      <c r="O2117" s="28"/>
      <c r="P2117" s="28"/>
      <c r="Q2117" s="28"/>
      <c r="R2117" s="28">
        <f t="shared" si="15"/>
        <v>4.1036845483093112</v>
      </c>
      <c r="S2117" s="28">
        <v>1.8613999999999999</v>
      </c>
    </row>
    <row r="2118" spans="1:19" x14ac:dyDescent="0.25">
      <c r="A2118" s="28">
        <v>2024</v>
      </c>
      <c r="B2118" s="28"/>
      <c r="C2118" s="28" t="s">
        <v>174</v>
      </c>
      <c r="D2118" s="28" t="s">
        <v>568</v>
      </c>
      <c r="E2118" s="28" t="s">
        <v>569</v>
      </c>
      <c r="F2118" s="28" t="s">
        <v>311</v>
      </c>
      <c r="G2118" s="28">
        <v>26146</v>
      </c>
      <c r="H2118" s="28">
        <v>39.484572</v>
      </c>
      <c r="I2118" s="28">
        <v>-81.093402999999995</v>
      </c>
      <c r="J2118" s="28" t="s">
        <v>570</v>
      </c>
      <c r="K2118" s="61">
        <v>110000344814</v>
      </c>
      <c r="L2118" s="61" t="str">
        <f>IFERROR(INDEX('Facility Summary'!$K:$K,MATCH(K2118,'Facility Summary'!$J:$J,0)),INDEX('Raw Annual DMR Data'!$M:$M,MATCH(K2118,'Raw Annual DMR Data'!$L:$L,0)))</f>
        <v>Manufacturing</v>
      </c>
      <c r="M2118" s="28"/>
      <c r="N2118" s="28"/>
      <c r="O2118" s="28"/>
      <c r="P2118" s="28"/>
      <c r="Q2118" s="28"/>
      <c r="R2118" s="28">
        <f t="shared" si="15"/>
        <v>2.2820489683281049</v>
      </c>
      <c r="S2118" s="28">
        <v>1.03512</v>
      </c>
    </row>
    <row r="2119" spans="1:19" x14ac:dyDescent="0.25">
      <c r="A2119" s="28">
        <v>2021</v>
      </c>
      <c r="B2119" s="28"/>
      <c r="C2119" s="28" t="s">
        <v>174</v>
      </c>
      <c r="D2119" s="28" t="s">
        <v>568</v>
      </c>
      <c r="E2119" s="28" t="s">
        <v>569</v>
      </c>
      <c r="F2119" s="28" t="s">
        <v>311</v>
      </c>
      <c r="G2119" s="28">
        <v>26146</v>
      </c>
      <c r="H2119" s="28">
        <v>39.484572</v>
      </c>
      <c r="I2119" s="28">
        <v>-81.093402999999995</v>
      </c>
      <c r="J2119" s="28" t="s">
        <v>570</v>
      </c>
      <c r="K2119" s="61">
        <v>110000344814</v>
      </c>
      <c r="L2119" s="61" t="str">
        <f>IFERROR(INDEX('Facility Summary'!$K:$K,MATCH(K2119,'Facility Summary'!$J:$J,0)),INDEX('Raw Annual DMR Data'!$M:$M,MATCH(K2119,'Raw Annual DMR Data'!$L:$L,0)))</f>
        <v>Manufacturing</v>
      </c>
      <c r="M2119" s="28"/>
      <c r="N2119" s="28"/>
      <c r="O2119" s="28"/>
      <c r="P2119" s="28"/>
      <c r="Q2119" s="28"/>
      <c r="R2119" s="28">
        <f t="shared" si="15"/>
        <v>2.2335053828176168</v>
      </c>
      <c r="S2119" s="28">
        <v>1.013101</v>
      </c>
    </row>
    <row r="2120" spans="1:19" x14ac:dyDescent="0.25">
      <c r="A2120" s="28">
        <v>2022</v>
      </c>
      <c r="B2120" s="28"/>
      <c r="C2120" s="28" t="s">
        <v>174</v>
      </c>
      <c r="D2120" s="28" t="s">
        <v>568</v>
      </c>
      <c r="E2120" s="28" t="s">
        <v>569</v>
      </c>
      <c r="F2120" s="28" t="s">
        <v>311</v>
      </c>
      <c r="G2120" s="28">
        <v>26146</v>
      </c>
      <c r="H2120" s="28">
        <v>39.484572</v>
      </c>
      <c r="I2120" s="28">
        <v>-81.093402999999995</v>
      </c>
      <c r="J2120" s="28" t="s">
        <v>570</v>
      </c>
      <c r="K2120" s="61">
        <v>110000344814</v>
      </c>
      <c r="L2120" s="61" t="str">
        <f>IFERROR(INDEX('Facility Summary'!$K:$K,MATCH(K2120,'Facility Summary'!$J:$J,0)),INDEX('Raw Annual DMR Data'!$M:$M,MATCH(K2120,'Raw Annual DMR Data'!$L:$L,0)))</f>
        <v>Manufacturing</v>
      </c>
      <c r="M2120" s="28"/>
      <c r="N2120" s="28"/>
      <c r="O2120" s="28"/>
      <c r="P2120" s="28"/>
      <c r="Q2120" s="28"/>
      <c r="R2120" s="28">
        <f t="shared" si="15"/>
        <v>1.8266400733328032</v>
      </c>
      <c r="S2120" s="28">
        <v>0.82855000000000001</v>
      </c>
    </row>
    <row r="2121" spans="1:19" x14ac:dyDescent="0.25">
      <c r="A2121" s="28">
        <v>2022</v>
      </c>
      <c r="B2121" s="28"/>
      <c r="C2121" s="28" t="s">
        <v>6816</v>
      </c>
      <c r="D2121" s="28" t="s">
        <v>6971</v>
      </c>
      <c r="E2121" s="28" t="s">
        <v>6972</v>
      </c>
      <c r="F2121" s="28" t="s">
        <v>979</v>
      </c>
      <c r="G2121" s="28">
        <v>38012</v>
      </c>
      <c r="H2121" s="28">
        <v>35.607599999999998</v>
      </c>
      <c r="I2121" s="28">
        <v>-89.237700000000004</v>
      </c>
      <c r="J2121" s="28" t="s">
        <v>7125</v>
      </c>
      <c r="K2121" s="61">
        <v>110000373621</v>
      </c>
      <c r="L2121" s="61" t="str">
        <f>IFERROR(INDEX('Facility Summary'!$K:$K,MATCH(K2121,'Facility Summary'!$J:$J,0)),INDEX('Raw Annual DMR Data'!$M:$M,MATCH(K2121,'Raw Annual DMR Data'!$L:$L,0)))</f>
        <v>Unknown</v>
      </c>
      <c r="M2121" s="28"/>
      <c r="N2121" s="28"/>
      <c r="O2121" s="28"/>
      <c r="P2121" s="28"/>
      <c r="Q2121" s="28"/>
      <c r="R2121" s="28">
        <f t="shared" si="15"/>
        <v>0.49950156789453931</v>
      </c>
      <c r="S2121" s="28">
        <v>0.2265701</v>
      </c>
    </row>
    <row r="2122" spans="1:19" x14ac:dyDescent="0.25">
      <c r="A2122" s="28">
        <v>2024</v>
      </c>
      <c r="B2122" s="28"/>
      <c r="C2122" s="28" t="s">
        <v>6816</v>
      </c>
      <c r="D2122" s="28" t="s">
        <v>6971</v>
      </c>
      <c r="E2122" s="28" t="s">
        <v>6972</v>
      </c>
      <c r="F2122" s="28" t="s">
        <v>979</v>
      </c>
      <c r="G2122" s="28">
        <v>38012</v>
      </c>
      <c r="H2122" s="28">
        <v>35.607599999999998</v>
      </c>
      <c r="I2122" s="28">
        <v>-89.237700000000004</v>
      </c>
      <c r="J2122" s="28" t="s">
        <v>7125</v>
      </c>
      <c r="K2122" s="61">
        <v>110000373621</v>
      </c>
      <c r="L2122" s="61" t="str">
        <f>IFERROR(INDEX('Facility Summary'!$K:$K,MATCH(K2122,'Facility Summary'!$J:$J,0)),INDEX('Raw Annual DMR Data'!$M:$M,MATCH(K2122,'Raw Annual DMR Data'!$L:$L,0)))</f>
        <v>Unknown</v>
      </c>
      <c r="M2122" s="28"/>
      <c r="N2122" s="28"/>
      <c r="O2122" s="28"/>
      <c r="P2122" s="28"/>
      <c r="Q2122" s="28"/>
      <c r="R2122" s="28">
        <f t="shared" si="15"/>
        <v>0.3167570918355615</v>
      </c>
      <c r="S2122" s="28">
        <v>0.14367859999999999</v>
      </c>
    </row>
    <row r="2123" spans="1:19" x14ac:dyDescent="0.25">
      <c r="A2123" s="28">
        <v>2023</v>
      </c>
      <c r="B2123" s="28"/>
      <c r="C2123" s="28" t="s">
        <v>6816</v>
      </c>
      <c r="D2123" s="28" t="s">
        <v>6971</v>
      </c>
      <c r="E2123" s="28" t="s">
        <v>6972</v>
      </c>
      <c r="F2123" s="28" t="s">
        <v>979</v>
      </c>
      <c r="G2123" s="28">
        <v>38012</v>
      </c>
      <c r="H2123" s="28">
        <v>35.607599999999998</v>
      </c>
      <c r="I2123" s="28">
        <v>-89.237700000000004</v>
      </c>
      <c r="J2123" s="28" t="s">
        <v>7125</v>
      </c>
      <c r="K2123" s="61">
        <v>110000373621</v>
      </c>
      <c r="L2123" s="61" t="str">
        <f>IFERROR(INDEX('Facility Summary'!$K:$K,MATCH(K2123,'Facility Summary'!$J:$J,0)),INDEX('Raw Annual DMR Data'!$M:$M,MATCH(K2123,'Raw Annual DMR Data'!$L:$L,0)))</f>
        <v>Unknown</v>
      </c>
      <c r="M2123" s="28"/>
      <c r="N2123" s="28"/>
      <c r="O2123" s="28"/>
      <c r="P2123" s="28"/>
      <c r="Q2123" s="28"/>
      <c r="R2123" s="28">
        <f t="shared" si="15"/>
        <v>0.26802523155316738</v>
      </c>
      <c r="S2123" s="28">
        <v>0.12157419999999999</v>
      </c>
    </row>
    <row r="2124" spans="1:19" x14ac:dyDescent="0.25">
      <c r="A2124" s="28">
        <v>2023</v>
      </c>
      <c r="B2124" s="28"/>
      <c r="C2124" s="28" t="s">
        <v>6816</v>
      </c>
      <c r="D2124" s="28" t="s">
        <v>6971</v>
      </c>
      <c r="E2124" s="28" t="s">
        <v>6972</v>
      </c>
      <c r="F2124" s="28" t="s">
        <v>979</v>
      </c>
      <c r="G2124" s="28">
        <v>38012</v>
      </c>
      <c r="H2124" s="28">
        <v>35.607599999999998</v>
      </c>
      <c r="I2124" s="28">
        <v>-89.237700000000004</v>
      </c>
      <c r="J2124" s="28" t="s">
        <v>7125</v>
      </c>
      <c r="K2124" s="61">
        <v>110000373621</v>
      </c>
      <c r="L2124" s="61" t="str">
        <f>IFERROR(INDEX('Facility Summary'!$K:$K,MATCH(K2124,'Facility Summary'!$J:$J,0)),INDEX('Raw Annual DMR Data'!$M:$M,MATCH(K2124,'Raw Annual DMR Data'!$L:$L,0)))</f>
        <v>Unknown</v>
      </c>
      <c r="M2124" s="28"/>
      <c r="N2124" s="28"/>
      <c r="O2124" s="28"/>
      <c r="P2124" s="28"/>
      <c r="Q2124" s="28"/>
      <c r="R2124" s="28">
        <f t="shared" si="15"/>
        <v>8.5280755494189633E-2</v>
      </c>
      <c r="S2124" s="28">
        <v>3.86827E-2</v>
      </c>
    </row>
    <row r="2125" spans="1:19" x14ac:dyDescent="0.25">
      <c r="A2125" s="28">
        <v>2024</v>
      </c>
      <c r="B2125" s="28"/>
      <c r="C2125" s="28" t="s">
        <v>6794</v>
      </c>
      <c r="D2125" s="28" t="s">
        <v>6945</v>
      </c>
      <c r="E2125" s="28" t="s">
        <v>6917</v>
      </c>
      <c r="F2125" s="28" t="s">
        <v>366</v>
      </c>
      <c r="G2125" s="28">
        <v>95014</v>
      </c>
      <c r="H2125" s="28">
        <v>37.318058999999998</v>
      </c>
      <c r="I2125" s="28">
        <v>-122.09263199999999</v>
      </c>
      <c r="J2125" s="28" t="s">
        <v>7121</v>
      </c>
      <c r="K2125" s="61">
        <v>110000484039</v>
      </c>
      <c r="L2125" s="61" t="str">
        <f>IFERROR(INDEX('Facility Summary'!$K:$K,MATCH(K2125,'Facility Summary'!$J:$J,0)),INDEX('Raw Annual DMR Data'!$M:$M,MATCH(K2125,'Raw Annual DMR Data'!$L:$L,0)))</f>
        <v>Unknown</v>
      </c>
      <c r="M2125" s="28"/>
      <c r="N2125" s="28"/>
      <c r="O2125" s="28"/>
      <c r="P2125" s="28"/>
      <c r="Q2125" s="28"/>
      <c r="R2125" s="28">
        <f t="shared" si="15"/>
        <v>7.2592197373161277E-2</v>
      </c>
      <c r="S2125" s="28">
        <v>3.2927266849999998E-2</v>
      </c>
    </row>
    <row r="2126" spans="1:19" x14ac:dyDescent="0.25">
      <c r="A2126" s="28">
        <v>2023</v>
      </c>
      <c r="B2126" s="28"/>
      <c r="C2126" s="28" t="s">
        <v>6794</v>
      </c>
      <c r="D2126" s="28" t="s">
        <v>6945</v>
      </c>
      <c r="E2126" s="28" t="s">
        <v>6917</v>
      </c>
      <c r="F2126" s="28" t="s">
        <v>366</v>
      </c>
      <c r="G2126" s="28">
        <v>95014</v>
      </c>
      <c r="H2126" s="28">
        <v>37.318058999999998</v>
      </c>
      <c r="I2126" s="28">
        <v>-122.09263199999999</v>
      </c>
      <c r="J2126" s="28" t="s">
        <v>7121</v>
      </c>
      <c r="K2126" s="61">
        <v>110000484039</v>
      </c>
      <c r="L2126" s="61" t="str">
        <f>IFERROR(INDEX('Facility Summary'!$K:$K,MATCH(K2126,'Facility Summary'!$J:$J,0)),INDEX('Raw Annual DMR Data'!$M:$M,MATCH(K2126,'Raw Annual DMR Data'!$L:$L,0)))</f>
        <v>Unknown</v>
      </c>
      <c r="M2126" s="28"/>
      <c r="N2126" s="28"/>
      <c r="O2126" s="28"/>
      <c r="P2126" s="28"/>
      <c r="Q2126" s="28"/>
      <c r="R2126" s="28">
        <f t="shared" si="15"/>
        <v>6.7725102827457168E-2</v>
      </c>
      <c r="S2126" s="28">
        <v>3.07195899E-2</v>
      </c>
    </row>
    <row r="2127" spans="1:19" x14ac:dyDescent="0.25">
      <c r="A2127" s="28">
        <v>2022</v>
      </c>
      <c r="B2127" s="28"/>
      <c r="C2127" s="28" t="s">
        <v>6794</v>
      </c>
      <c r="D2127" s="28" t="s">
        <v>6945</v>
      </c>
      <c r="E2127" s="28" t="s">
        <v>6917</v>
      </c>
      <c r="F2127" s="28" t="s">
        <v>366</v>
      </c>
      <c r="G2127" s="28">
        <v>95014</v>
      </c>
      <c r="H2127" s="28">
        <v>37.318058999999998</v>
      </c>
      <c r="I2127" s="28">
        <v>-122.09263199999999</v>
      </c>
      <c r="J2127" s="28" t="s">
        <v>7121</v>
      </c>
      <c r="K2127" s="61">
        <v>110000484039</v>
      </c>
      <c r="L2127" s="61" t="str">
        <f>IFERROR(INDEX('Facility Summary'!$K:$K,MATCH(K2127,'Facility Summary'!$J:$J,0)),INDEX('Raw Annual DMR Data'!$M:$M,MATCH(K2127,'Raw Annual DMR Data'!$L:$L,0)))</f>
        <v>Unknown</v>
      </c>
      <c r="M2127" s="28"/>
      <c r="N2127" s="28"/>
      <c r="O2127" s="28"/>
      <c r="P2127" s="28"/>
      <c r="Q2127" s="28"/>
      <c r="R2127" s="28">
        <f t="shared" si="15"/>
        <v>5.5919809674047208E-2</v>
      </c>
      <c r="S2127" s="28">
        <v>2.5364799E-2</v>
      </c>
    </row>
    <row r="2128" spans="1:19" x14ac:dyDescent="0.25">
      <c r="A2128" s="28">
        <v>2022</v>
      </c>
      <c r="B2128" s="28"/>
      <c r="C2128" s="28" t="s">
        <v>6801</v>
      </c>
      <c r="D2128" s="28" t="s">
        <v>6952</v>
      </c>
      <c r="E2128" s="28" t="s">
        <v>6953</v>
      </c>
      <c r="F2128" s="28" t="s">
        <v>553</v>
      </c>
      <c r="G2128" s="28" t="s">
        <v>6954</v>
      </c>
      <c r="H2128" s="28">
        <v>41.633920000000003</v>
      </c>
      <c r="I2128" s="28">
        <v>-71.493690000000001</v>
      </c>
      <c r="J2128" s="28"/>
      <c r="K2128" s="61">
        <v>110000581255</v>
      </c>
      <c r="L2128" s="61" t="str">
        <f>IFERROR(INDEX('Facility Summary'!$K:$K,MATCH(K2128,'Facility Summary'!$J:$J,0)),INDEX('Raw Annual DMR Data'!$M:$M,MATCH(K2128,'Raw Annual DMR Data'!$L:$L,0)))</f>
        <v>Unknown</v>
      </c>
      <c r="M2128" s="28"/>
      <c r="N2128" s="28"/>
      <c r="O2128" s="28"/>
      <c r="P2128" s="28"/>
      <c r="Q2128" s="28"/>
      <c r="R2128" s="28">
        <f t="shared" si="15"/>
        <v>0.5139275336575877</v>
      </c>
      <c r="S2128" s="28">
        <v>0.233113608</v>
      </c>
    </row>
    <row r="2129" spans="1:19" x14ac:dyDescent="0.25">
      <c r="A2129" s="28">
        <v>2021</v>
      </c>
      <c r="B2129" s="28"/>
      <c r="C2129" s="28" t="s">
        <v>6871</v>
      </c>
      <c r="D2129" s="28" t="s">
        <v>7039</v>
      </c>
      <c r="E2129" s="28" t="s">
        <v>7040</v>
      </c>
      <c r="F2129" s="28" t="s">
        <v>311</v>
      </c>
      <c r="G2129" s="28">
        <v>26101</v>
      </c>
      <c r="H2129" s="28">
        <v>39.237650000000002</v>
      </c>
      <c r="I2129" s="28">
        <v>-81.526092000000006</v>
      </c>
      <c r="J2129" s="28"/>
      <c r="K2129" s="61">
        <v>110043086941</v>
      </c>
      <c r="L2129" s="61" t="str">
        <f>IFERROR(INDEX('Facility Summary'!$K:$K,MATCH(K2129,'Facility Summary'!$J:$J,0)),INDEX('Raw Annual DMR Data'!$M:$M,MATCH(K2129,'Raw Annual DMR Data'!$L:$L,0)))</f>
        <v>Unknown</v>
      </c>
      <c r="M2129" s="28"/>
      <c r="N2129" s="28"/>
      <c r="O2129" s="28"/>
      <c r="P2129" s="28"/>
      <c r="Q2129" s="28"/>
      <c r="R2129" s="28">
        <f t="shared" si="15"/>
        <v>0.74734525506799199</v>
      </c>
      <c r="S2129" s="28">
        <v>0.338990105454545</v>
      </c>
    </row>
    <row r="2130" spans="1:19" x14ac:dyDescent="0.25">
      <c r="A2130" s="28">
        <v>2022</v>
      </c>
      <c r="B2130" s="28"/>
      <c r="C2130" s="28" t="s">
        <v>6871</v>
      </c>
      <c r="D2130" s="28" t="s">
        <v>7039</v>
      </c>
      <c r="E2130" s="28" t="s">
        <v>7040</v>
      </c>
      <c r="F2130" s="28" t="s">
        <v>311</v>
      </c>
      <c r="G2130" s="28">
        <v>26101</v>
      </c>
      <c r="H2130" s="28">
        <v>39.237650000000002</v>
      </c>
      <c r="I2130" s="28">
        <v>-81.526092000000006</v>
      </c>
      <c r="J2130" s="28"/>
      <c r="K2130" s="61">
        <v>110043086941</v>
      </c>
      <c r="L2130" s="61" t="str">
        <f>IFERROR(INDEX('Facility Summary'!$K:$K,MATCH(K2130,'Facility Summary'!$J:$J,0)),INDEX('Raw Annual DMR Data'!$M:$M,MATCH(K2130,'Raw Annual DMR Data'!$L:$L,0)))</f>
        <v>Unknown</v>
      </c>
      <c r="M2130" s="28"/>
      <c r="N2130" s="28"/>
      <c r="O2130" s="28"/>
      <c r="P2130" s="28"/>
      <c r="Q2130" s="28"/>
      <c r="R2130" s="28">
        <f t="shared" si="15"/>
        <v>4.5686119014744448E-3</v>
      </c>
      <c r="S2130" s="28">
        <v>2.0722875000000001E-3</v>
      </c>
    </row>
    <row r="2131" spans="1:19" x14ac:dyDescent="0.25">
      <c r="A2131" s="28">
        <v>2023</v>
      </c>
      <c r="B2131" s="28"/>
      <c r="C2131" s="28" t="s">
        <v>6871</v>
      </c>
      <c r="D2131" s="28" t="s">
        <v>7039</v>
      </c>
      <c r="E2131" s="28" t="s">
        <v>7040</v>
      </c>
      <c r="F2131" s="28" t="s">
        <v>311</v>
      </c>
      <c r="G2131" s="28">
        <v>26101</v>
      </c>
      <c r="H2131" s="28">
        <v>39.237650000000002</v>
      </c>
      <c r="I2131" s="28">
        <v>-81.526092000000006</v>
      </c>
      <c r="J2131" s="28"/>
      <c r="K2131" s="61">
        <v>110043086941</v>
      </c>
      <c r="L2131" s="61" t="str">
        <f>IFERROR(INDEX('Facility Summary'!$K:$K,MATCH(K2131,'Facility Summary'!$J:$J,0)),INDEX('Raw Annual DMR Data'!$M:$M,MATCH(K2131,'Raw Annual DMR Data'!$L:$L,0)))</f>
        <v>Unknown</v>
      </c>
      <c r="M2131" s="28"/>
      <c r="N2131" s="28"/>
      <c r="O2131" s="28"/>
      <c r="P2131" s="28"/>
      <c r="Q2131" s="28"/>
      <c r="R2131" s="28">
        <f t="shared" si="15"/>
        <v>4.5686119014744448E-3</v>
      </c>
      <c r="S2131" s="28">
        <v>2.0722875000000001E-3</v>
      </c>
    </row>
    <row r="2132" spans="1:19" x14ac:dyDescent="0.25">
      <c r="A2132" s="28">
        <v>2021</v>
      </c>
      <c r="B2132" s="28"/>
      <c r="C2132" s="28" t="s">
        <v>6881</v>
      </c>
      <c r="D2132" s="28" t="s">
        <v>571</v>
      </c>
      <c r="E2132" s="28" t="s">
        <v>572</v>
      </c>
      <c r="F2132" s="28" t="s">
        <v>303</v>
      </c>
      <c r="G2132" s="28">
        <v>70051</v>
      </c>
      <c r="H2132" s="28">
        <v>30.048590999999998</v>
      </c>
      <c r="I2132" s="28">
        <v>-90.630941000000007</v>
      </c>
      <c r="J2132" s="28" t="s">
        <v>573</v>
      </c>
      <c r="K2132" s="61">
        <v>110007015871</v>
      </c>
      <c r="L2132" s="61" t="str">
        <f>IFERROR(INDEX('Facility Summary'!$K:$K,MATCH(K2132,'Facility Summary'!$J:$J,0)),INDEX('Raw Annual DMR Data'!$M:$M,MATCH(K2132,'Raw Annual DMR Data'!$L:$L,0)))</f>
        <v>Manufacturing</v>
      </c>
      <c r="M2132" s="28"/>
      <c r="N2132" s="28"/>
      <c r="O2132" s="28"/>
      <c r="P2132" s="28"/>
      <c r="Q2132" s="28"/>
      <c r="R2132" s="28">
        <f t="shared" si="15"/>
        <v>0.36532801466656062</v>
      </c>
      <c r="S2132" s="28">
        <v>0.16571</v>
      </c>
    </row>
    <row r="2133" spans="1:19" x14ac:dyDescent="0.25">
      <c r="A2133" s="28">
        <v>2022</v>
      </c>
      <c r="B2133" s="28"/>
      <c r="C2133" s="28" t="s">
        <v>6881</v>
      </c>
      <c r="D2133" s="28" t="s">
        <v>571</v>
      </c>
      <c r="E2133" s="28" t="s">
        <v>572</v>
      </c>
      <c r="F2133" s="28" t="s">
        <v>303</v>
      </c>
      <c r="G2133" s="28">
        <v>70051</v>
      </c>
      <c r="H2133" s="28">
        <v>30.048590999999998</v>
      </c>
      <c r="I2133" s="28">
        <v>-90.630941000000007</v>
      </c>
      <c r="J2133" s="28" t="s">
        <v>573</v>
      </c>
      <c r="K2133" s="61">
        <v>110007015871</v>
      </c>
      <c r="L2133" s="61" t="str">
        <f>IFERROR(INDEX('Facility Summary'!$K:$K,MATCH(K2133,'Facility Summary'!$J:$J,0)),INDEX('Raw Annual DMR Data'!$M:$M,MATCH(K2133,'Raw Annual DMR Data'!$L:$L,0)))</f>
        <v>Manufacturing</v>
      </c>
      <c r="M2133" s="28"/>
      <c r="N2133" s="28"/>
      <c r="O2133" s="28"/>
      <c r="P2133" s="28"/>
      <c r="Q2133" s="28"/>
      <c r="R2133" s="28">
        <f t="shared" si="15"/>
        <v>0.18266400733328031</v>
      </c>
      <c r="S2133" s="28">
        <v>8.2854999999999998E-2</v>
      </c>
    </row>
    <row r="2134" spans="1:19" x14ac:dyDescent="0.25">
      <c r="A2134" s="28">
        <v>2023</v>
      </c>
      <c r="B2134" s="28"/>
      <c r="C2134" s="28" t="s">
        <v>6881</v>
      </c>
      <c r="D2134" s="28" t="s">
        <v>571</v>
      </c>
      <c r="E2134" s="28" t="s">
        <v>572</v>
      </c>
      <c r="F2134" s="28" t="s">
        <v>303</v>
      </c>
      <c r="G2134" s="28">
        <v>70051</v>
      </c>
      <c r="H2134" s="28">
        <v>30.048590999999998</v>
      </c>
      <c r="I2134" s="28">
        <v>-90.630941000000007</v>
      </c>
      <c r="J2134" s="28" t="s">
        <v>573</v>
      </c>
      <c r="K2134" s="61">
        <v>110007015871</v>
      </c>
      <c r="L2134" s="61" t="str">
        <f>IFERROR(INDEX('Facility Summary'!$K:$K,MATCH(K2134,'Facility Summary'!$J:$J,0)),INDEX('Raw Annual DMR Data'!$M:$M,MATCH(K2134,'Raw Annual DMR Data'!$L:$L,0)))</f>
        <v>Manufacturing</v>
      </c>
      <c r="M2134" s="28"/>
      <c r="N2134" s="28"/>
      <c r="O2134" s="28"/>
      <c r="P2134" s="28"/>
      <c r="Q2134" s="28"/>
      <c r="R2134" s="28">
        <f t="shared" si="15"/>
        <v>0.18266400733328031</v>
      </c>
      <c r="S2134" s="28">
        <v>8.2854999999999998E-2</v>
      </c>
    </row>
    <row r="2135" spans="1:19" x14ac:dyDescent="0.25">
      <c r="A2135" s="28">
        <v>2024</v>
      </c>
      <c r="B2135" s="28"/>
      <c r="C2135" s="28" t="s">
        <v>6881</v>
      </c>
      <c r="D2135" s="28" t="s">
        <v>571</v>
      </c>
      <c r="E2135" s="28" t="s">
        <v>572</v>
      </c>
      <c r="F2135" s="28" t="s">
        <v>303</v>
      </c>
      <c r="G2135" s="28">
        <v>70051</v>
      </c>
      <c r="H2135" s="28">
        <v>30.048590999999998</v>
      </c>
      <c r="I2135" s="28">
        <v>-90.630941000000007</v>
      </c>
      <c r="J2135" s="28" t="s">
        <v>573</v>
      </c>
      <c r="K2135" s="61">
        <v>110007015871</v>
      </c>
      <c r="L2135" s="61" t="str">
        <f>IFERROR(INDEX('Facility Summary'!$K:$K,MATCH(K2135,'Facility Summary'!$J:$J,0)),INDEX('Raw Annual DMR Data'!$M:$M,MATCH(K2135,'Raw Annual DMR Data'!$L:$L,0)))</f>
        <v>Manufacturing</v>
      </c>
      <c r="M2135" s="28"/>
      <c r="N2135" s="28"/>
      <c r="O2135" s="28"/>
      <c r="P2135" s="28"/>
      <c r="Q2135" s="28"/>
      <c r="R2135" s="28">
        <f t="shared" si="15"/>
        <v>0.18266400733328031</v>
      </c>
      <c r="S2135" s="28">
        <v>8.2854999999999998E-2</v>
      </c>
    </row>
    <row r="2136" spans="1:19" x14ac:dyDescent="0.25">
      <c r="A2136" s="28">
        <v>2021</v>
      </c>
      <c r="B2136" s="28"/>
      <c r="C2136" s="28" t="s">
        <v>1250</v>
      </c>
      <c r="D2136" s="28" t="s">
        <v>2038</v>
      </c>
      <c r="E2136" s="28" t="s">
        <v>1463</v>
      </c>
      <c r="F2136" s="28" t="s">
        <v>366</v>
      </c>
      <c r="G2136" s="28" t="s">
        <v>1463</v>
      </c>
      <c r="H2136" s="28">
        <v>33.022727000000003</v>
      </c>
      <c r="I2136" s="28">
        <v>-118.58829299999999</v>
      </c>
      <c r="J2136" s="28" t="s">
        <v>726</v>
      </c>
      <c r="K2136" s="61">
        <v>110071169347</v>
      </c>
      <c r="L2136" s="61" t="str">
        <f>IFERROR(INDEX('Facility Summary'!$K:$K,MATCH(K2136,'Facility Summary'!$J:$J,0)),INDEX('Raw Annual DMR Data'!$M:$M,MATCH(K2136,'Raw Annual DMR Data'!$L:$L,0)))</f>
        <v>POTW</v>
      </c>
      <c r="M2136" s="28"/>
      <c r="N2136" s="28"/>
      <c r="O2136" s="28"/>
      <c r="P2136" s="28"/>
      <c r="Q2136" s="28"/>
      <c r="R2136" s="28">
        <f t="shared" si="15"/>
        <v>1.8502953301441114E-2</v>
      </c>
      <c r="S2136" s="28">
        <v>8.3927984399999999E-3</v>
      </c>
    </row>
    <row r="2137" spans="1:19" x14ac:dyDescent="0.25">
      <c r="A2137" s="28">
        <v>2024</v>
      </c>
      <c r="B2137" s="28"/>
      <c r="C2137" s="28" t="s">
        <v>6871</v>
      </c>
      <c r="D2137" s="28" t="s">
        <v>7039</v>
      </c>
      <c r="E2137" s="28" t="s">
        <v>7040</v>
      </c>
      <c r="F2137" s="28" t="s">
        <v>311</v>
      </c>
      <c r="G2137" s="28">
        <v>26101</v>
      </c>
      <c r="H2137" s="28">
        <v>39.237650000000002</v>
      </c>
      <c r="I2137" s="28">
        <v>-81.526092000000006</v>
      </c>
      <c r="J2137" s="28"/>
      <c r="K2137" s="61">
        <v>110043086941</v>
      </c>
      <c r="L2137" s="61" t="str">
        <f>IFERROR(INDEX('Facility Summary'!$K:$K,MATCH(K2137,'Facility Summary'!$J:$J,0)),INDEX('Raw Annual DMR Data'!$M:$M,MATCH(K2137,'Raw Annual DMR Data'!$L:$L,0)))</f>
        <v>Unknown</v>
      </c>
      <c r="M2137" s="28"/>
      <c r="N2137" s="28"/>
      <c r="O2137" s="28"/>
      <c r="P2137" s="28"/>
      <c r="Q2137" s="28"/>
      <c r="R2137" s="28">
        <f t="shared" si="15"/>
        <v>3.4170713674041737E-3</v>
      </c>
      <c r="S2137" s="28">
        <v>1.5499575E-3</v>
      </c>
    </row>
    <row r="2138" spans="1:19" x14ac:dyDescent="0.25">
      <c r="A2138" s="28">
        <v>2023</v>
      </c>
      <c r="B2138" s="28"/>
      <c r="C2138" s="28" t="s">
        <v>1256</v>
      </c>
      <c r="D2138" s="28" t="s">
        <v>2046</v>
      </c>
      <c r="E2138" s="28" t="s">
        <v>549</v>
      </c>
      <c r="F2138" s="28" t="s">
        <v>366</v>
      </c>
      <c r="G2138" s="28">
        <v>95959</v>
      </c>
      <c r="H2138" s="28">
        <v>39.259293999999997</v>
      </c>
      <c r="I2138" s="28">
        <v>-121.03256</v>
      </c>
      <c r="J2138" s="28"/>
      <c r="K2138" s="61">
        <v>110000519920</v>
      </c>
      <c r="L2138" s="61" t="str">
        <f>IFERROR(INDEX('Facility Summary'!$K:$K,MATCH(K2138,'Facility Summary'!$J:$J,0)),INDEX('Raw Annual DMR Data'!$M:$M,MATCH(K2138,'Raw Annual DMR Data'!$L:$L,0)))</f>
        <v>POTW</v>
      </c>
      <c r="M2138" s="28"/>
      <c r="N2138" s="28"/>
      <c r="O2138" s="28"/>
      <c r="P2138" s="28"/>
      <c r="Q2138" s="28"/>
      <c r="R2138" s="28">
        <f t="shared" si="15"/>
        <v>7.6968969297256926E-2</v>
      </c>
      <c r="S2138" s="28">
        <v>3.4912537200000003E-2</v>
      </c>
    </row>
    <row r="2139" spans="1:19" x14ac:dyDescent="0.25">
      <c r="A2139" s="28">
        <v>2024</v>
      </c>
      <c r="B2139" s="28"/>
      <c r="C2139" s="28" t="s">
        <v>6896</v>
      </c>
      <c r="D2139" s="28" t="s">
        <v>7082</v>
      </c>
      <c r="E2139" s="28" t="s">
        <v>7083</v>
      </c>
      <c r="F2139" s="28" t="s">
        <v>294</v>
      </c>
      <c r="G2139" s="28">
        <v>22191</v>
      </c>
      <c r="H2139" s="28">
        <v>38.654493000000002</v>
      </c>
      <c r="I2139" s="28">
        <v>-77.248682000000002</v>
      </c>
      <c r="J2139" s="28"/>
      <c r="K2139" s="61">
        <v>110071672105</v>
      </c>
      <c r="L2139" s="61" t="str">
        <f>IFERROR(INDEX('Facility Summary'!$K:$K,MATCH(K2139,'Facility Summary'!$J:$J,0)),INDEX('Raw Annual DMR Data'!$M:$M,MATCH(K2139,'Raw Annual DMR Data'!$L:$L,0)))</f>
        <v>Unknown</v>
      </c>
      <c r="M2139" s="28"/>
      <c r="N2139" s="28"/>
      <c r="O2139" s="28"/>
      <c r="P2139" s="28"/>
      <c r="Q2139" s="28"/>
      <c r="R2139" s="28">
        <f t="shared" si="15"/>
        <v>2.6486076001927018E-4</v>
      </c>
      <c r="S2139" s="28">
        <v>1.20138819857142E-4</v>
      </c>
    </row>
    <row r="2140" spans="1:19" x14ac:dyDescent="0.25">
      <c r="A2140" s="28">
        <v>2024</v>
      </c>
      <c r="B2140" s="28"/>
      <c r="C2140" s="28" t="s">
        <v>6896</v>
      </c>
      <c r="D2140" s="28" t="s">
        <v>7082</v>
      </c>
      <c r="E2140" s="28" t="s">
        <v>7083</v>
      </c>
      <c r="F2140" s="28" t="s">
        <v>294</v>
      </c>
      <c r="G2140" s="28">
        <v>22191</v>
      </c>
      <c r="H2140" s="28">
        <v>38.654493000000002</v>
      </c>
      <c r="I2140" s="28">
        <v>-77.248682000000002</v>
      </c>
      <c r="J2140" s="28"/>
      <c r="K2140" s="61">
        <v>110071672105</v>
      </c>
      <c r="L2140" s="61" t="str">
        <f>IFERROR(INDEX('Facility Summary'!$K:$K,MATCH(K2140,'Facility Summary'!$J:$J,0)),INDEX('Raw Annual DMR Data'!$M:$M,MATCH(K2140,'Raw Annual DMR Data'!$L:$L,0)))</f>
        <v>Unknown</v>
      </c>
      <c r="M2140" s="28"/>
      <c r="N2140" s="28"/>
      <c r="O2140" s="28"/>
      <c r="P2140" s="28"/>
      <c r="Q2140" s="28"/>
      <c r="R2140" s="28">
        <f t="shared" si="15"/>
        <v>2.4882573689298388E-5</v>
      </c>
      <c r="S2140" s="28">
        <v>1.12865455714285E-5</v>
      </c>
    </row>
    <row r="2141" spans="1:19" x14ac:dyDescent="0.25">
      <c r="A2141" s="28">
        <v>2021</v>
      </c>
      <c r="B2141" s="28"/>
      <c r="C2141" s="28" t="s">
        <v>6834</v>
      </c>
      <c r="D2141" s="28" t="s">
        <v>6989</v>
      </c>
      <c r="E2141" s="28" t="s">
        <v>500</v>
      </c>
      <c r="F2141" s="28" t="s">
        <v>303</v>
      </c>
      <c r="G2141" s="28">
        <v>70767</v>
      </c>
      <c r="H2141" s="28">
        <v>30.4375</v>
      </c>
      <c r="I2141" s="28">
        <v>-91.203056000000004</v>
      </c>
      <c r="J2141" s="28"/>
      <c r="K2141" s="61">
        <v>110008052926</v>
      </c>
      <c r="L2141" s="61" t="str">
        <f>IFERROR(INDEX('Facility Summary'!$K:$K,MATCH(K2141,'Facility Summary'!$J:$J,0)),INDEX('Raw Annual DMR Data'!$M:$M,MATCH(K2141,'Raw Annual DMR Data'!$L:$L,0)))</f>
        <v>Unknown</v>
      </c>
      <c r="M2141" s="28"/>
      <c r="N2141" s="28"/>
      <c r="O2141" s="28"/>
      <c r="P2141" s="28"/>
      <c r="Q2141" s="28"/>
      <c r="R2141" s="28">
        <f t="shared" si="15"/>
        <v>1.9146414125087687E-2</v>
      </c>
      <c r="S2141" s="28">
        <v>8.6846673600000004E-3</v>
      </c>
    </row>
    <row r="2142" spans="1:19" x14ac:dyDescent="0.25">
      <c r="A2142" s="28">
        <v>2021</v>
      </c>
      <c r="B2142" s="28"/>
      <c r="C2142" s="28" t="s">
        <v>6790</v>
      </c>
      <c r="D2142" s="28" t="s">
        <v>6941</v>
      </c>
      <c r="E2142" s="28" t="s">
        <v>6942</v>
      </c>
      <c r="F2142" s="28" t="s">
        <v>1249</v>
      </c>
      <c r="G2142" s="28">
        <v>87416</v>
      </c>
      <c r="H2142" s="28">
        <v>36.688809999999997</v>
      </c>
      <c r="I2142" s="28">
        <v>-108.48036</v>
      </c>
      <c r="J2142" s="28" t="s">
        <v>7120</v>
      </c>
      <c r="K2142" s="61">
        <v>110042068473</v>
      </c>
      <c r="L2142" s="61" t="str">
        <f>IFERROR(INDEX('Facility Summary'!$K:$K,MATCH(K2142,'Facility Summary'!$J:$J,0)),INDEX('Raw Annual DMR Data'!$M:$M,MATCH(K2142,'Raw Annual DMR Data'!$L:$L,0)))</f>
        <v>Unknown</v>
      </c>
      <c r="M2142" s="28"/>
      <c r="N2142" s="28"/>
      <c r="O2142" s="28"/>
      <c r="P2142" s="28"/>
      <c r="Q2142" s="28"/>
      <c r="R2142" s="28">
        <f t="shared" si="15"/>
        <v>3.5697756556178404</v>
      </c>
      <c r="S2142" s="28">
        <v>1.6192230000000001</v>
      </c>
    </row>
    <row r="2143" spans="1:19" x14ac:dyDescent="0.25">
      <c r="A2143" s="28">
        <v>2024</v>
      </c>
      <c r="B2143" s="28"/>
      <c r="C2143" s="28" t="s">
        <v>6894</v>
      </c>
      <c r="D2143" s="28" t="s">
        <v>7076</v>
      </c>
      <c r="E2143" s="28" t="s">
        <v>1403</v>
      </c>
      <c r="F2143" s="28" t="s">
        <v>294</v>
      </c>
      <c r="G2143" s="28">
        <v>23451</v>
      </c>
      <c r="H2143" s="28">
        <v>36.816054000000001</v>
      </c>
      <c r="I2143" s="28">
        <v>-75.971458999999996</v>
      </c>
      <c r="J2143" s="28"/>
      <c r="K2143" s="61">
        <v>110071538714</v>
      </c>
      <c r="L2143" s="61" t="str">
        <f>IFERROR(INDEX('Facility Summary'!$K:$K,MATCH(K2143,'Facility Summary'!$J:$J,0)),INDEX('Raw Annual DMR Data'!$M:$M,MATCH(K2143,'Raw Annual DMR Data'!$L:$L,0)))</f>
        <v>Unknown</v>
      </c>
      <c r="M2143" s="28"/>
      <c r="N2143" s="28"/>
      <c r="O2143" s="28"/>
      <c r="P2143" s="28"/>
      <c r="Q2143" s="28"/>
      <c r="R2143" s="28">
        <f t="shared" si="15"/>
        <v>0.26816055425491392</v>
      </c>
      <c r="S2143" s="28">
        <v>0.12163558134499999</v>
      </c>
    </row>
    <row r="2144" spans="1:19" x14ac:dyDescent="0.25">
      <c r="A2144" s="28">
        <v>2024</v>
      </c>
      <c r="B2144" s="28"/>
      <c r="C2144" s="28" t="s">
        <v>6889</v>
      </c>
      <c r="D2144" s="28" t="s">
        <v>7069</v>
      </c>
      <c r="E2144" s="28" t="s">
        <v>6925</v>
      </c>
      <c r="F2144" s="28" t="s">
        <v>366</v>
      </c>
      <c r="G2144" s="28" t="s">
        <v>7070</v>
      </c>
      <c r="H2144" s="28">
        <v>38.055900000000001</v>
      </c>
      <c r="I2144" s="28">
        <v>-122.21435</v>
      </c>
      <c r="J2144" s="28"/>
      <c r="K2144" s="61">
        <v>110001163062</v>
      </c>
      <c r="L2144" s="61" t="str">
        <f>IFERROR(INDEX('Facility Summary'!$K:$K,MATCH(K2144,'Facility Summary'!$J:$J,0)),INDEX('Raw Annual DMR Data'!$M:$M,MATCH(K2144,'Raw Annual DMR Data'!$L:$L,0)))</f>
        <v>Unknown</v>
      </c>
      <c r="M2144" s="28"/>
      <c r="N2144" s="28"/>
      <c r="O2144" s="28"/>
      <c r="P2144" s="28"/>
      <c r="Q2144" s="28"/>
      <c r="R2144" s="28">
        <f t="shared" si="15"/>
        <v>2.5667905343844297E-3</v>
      </c>
      <c r="S2144" s="28">
        <v>1.164276601785E-3</v>
      </c>
    </row>
    <row r="2145" spans="1:19" x14ac:dyDescent="0.25">
      <c r="A2145" s="28">
        <v>2023</v>
      </c>
      <c r="B2145" s="28"/>
      <c r="C2145" s="28" t="s">
        <v>6889</v>
      </c>
      <c r="D2145" s="28" t="s">
        <v>7069</v>
      </c>
      <c r="E2145" s="28" t="s">
        <v>6925</v>
      </c>
      <c r="F2145" s="28" t="s">
        <v>366</v>
      </c>
      <c r="G2145" s="28" t="s">
        <v>7070</v>
      </c>
      <c r="H2145" s="28">
        <v>38.055900000000001</v>
      </c>
      <c r="I2145" s="28">
        <v>-122.21435</v>
      </c>
      <c r="J2145" s="28"/>
      <c r="K2145" s="61">
        <v>110001163062</v>
      </c>
      <c r="L2145" s="61" t="str">
        <f>IFERROR(INDEX('Facility Summary'!$K:$K,MATCH(K2145,'Facility Summary'!$J:$J,0)),INDEX('Raw Annual DMR Data'!$M:$M,MATCH(K2145,'Raw Annual DMR Data'!$L:$L,0)))</f>
        <v>Unknown</v>
      </c>
      <c r="M2145" s="28"/>
      <c r="N2145" s="28"/>
      <c r="O2145" s="28"/>
      <c r="P2145" s="28"/>
      <c r="Q2145" s="28"/>
      <c r="R2145" s="28">
        <f t="shared" si="15"/>
        <v>2.2724016709926138E-3</v>
      </c>
      <c r="S2145" s="28">
        <v>1.0307440595375E-3</v>
      </c>
    </row>
    <row r="2146" spans="1:19" x14ac:dyDescent="0.25">
      <c r="A2146" s="28">
        <v>2024</v>
      </c>
      <c r="B2146" s="28"/>
      <c r="C2146" s="28" t="s">
        <v>1261</v>
      </c>
      <c r="D2146" s="28" t="s">
        <v>2053</v>
      </c>
      <c r="E2146" s="28" t="s">
        <v>966</v>
      </c>
      <c r="F2146" s="28" t="s">
        <v>491</v>
      </c>
      <c r="G2146" s="28" t="s">
        <v>2054</v>
      </c>
      <c r="H2146" s="28">
        <v>39.991410000000002</v>
      </c>
      <c r="I2146" s="28">
        <v>-75.085030000000003</v>
      </c>
      <c r="J2146" s="28"/>
      <c r="K2146" s="61">
        <v>110001076978</v>
      </c>
      <c r="L2146" s="61" t="str">
        <f>IFERROR(INDEX('Facility Summary'!$K:$K,MATCH(K2146,'Facility Summary'!$J:$J,0)),INDEX('Raw Annual DMR Data'!$M:$M,MATCH(K2146,'Raw Annual DMR Data'!$L:$L,0)))</f>
        <v>POTW</v>
      </c>
      <c r="M2146" s="28"/>
      <c r="N2146" s="28"/>
      <c r="O2146" s="28"/>
      <c r="P2146" s="28"/>
      <c r="Q2146" s="28"/>
      <c r="R2146" s="28">
        <f t="shared" si="15"/>
        <v>638.82336964795059</v>
      </c>
      <c r="S2146" s="28">
        <v>289.76540625000001</v>
      </c>
    </row>
    <row r="2147" spans="1:19" x14ac:dyDescent="0.25">
      <c r="A2147" s="28">
        <v>2022</v>
      </c>
      <c r="B2147" s="28"/>
      <c r="C2147" s="28" t="s">
        <v>1261</v>
      </c>
      <c r="D2147" s="28" t="s">
        <v>2053</v>
      </c>
      <c r="E2147" s="28" t="s">
        <v>966</v>
      </c>
      <c r="F2147" s="28" t="s">
        <v>491</v>
      </c>
      <c r="G2147" s="28" t="s">
        <v>2054</v>
      </c>
      <c r="H2147" s="28">
        <v>39.991410000000002</v>
      </c>
      <c r="I2147" s="28">
        <v>-75.085030000000003</v>
      </c>
      <c r="J2147" s="28"/>
      <c r="K2147" s="61">
        <v>110001076978</v>
      </c>
      <c r="L2147" s="61" t="str">
        <f>IFERROR(INDEX('Facility Summary'!$K:$K,MATCH(K2147,'Facility Summary'!$J:$J,0)),INDEX('Raw Annual DMR Data'!$M:$M,MATCH(K2147,'Raw Annual DMR Data'!$L:$L,0)))</f>
        <v>POTW</v>
      </c>
      <c r="M2147" s="28"/>
      <c r="N2147" s="28"/>
      <c r="O2147" s="28"/>
      <c r="P2147" s="28"/>
      <c r="Q2147" s="28"/>
      <c r="R2147" s="28">
        <f t="shared" si="15"/>
        <v>626.52566774877619</v>
      </c>
      <c r="S2147" s="28">
        <v>284.18726249999997</v>
      </c>
    </row>
    <row r="2148" spans="1:19" x14ac:dyDescent="0.25">
      <c r="A2148" s="28">
        <v>2021</v>
      </c>
      <c r="B2148" s="28"/>
      <c r="C2148" s="28" t="s">
        <v>1261</v>
      </c>
      <c r="D2148" s="28" t="s">
        <v>2053</v>
      </c>
      <c r="E2148" s="28" t="s">
        <v>966</v>
      </c>
      <c r="F2148" s="28" t="s">
        <v>491</v>
      </c>
      <c r="G2148" s="28" t="s">
        <v>2054</v>
      </c>
      <c r="H2148" s="28">
        <v>39.991410000000002</v>
      </c>
      <c r="I2148" s="28">
        <v>-75.085030000000003</v>
      </c>
      <c r="J2148" s="28"/>
      <c r="K2148" s="61">
        <v>110001076978</v>
      </c>
      <c r="L2148" s="61" t="str">
        <f>IFERROR(INDEX('Facility Summary'!$K:$K,MATCH(K2148,'Facility Summary'!$J:$J,0)),INDEX('Raw Annual DMR Data'!$M:$M,MATCH(K2148,'Raw Annual DMR Data'!$L:$L,0)))</f>
        <v>POTW</v>
      </c>
      <c r="M2148" s="28"/>
      <c r="N2148" s="28"/>
      <c r="O2148" s="28"/>
      <c r="P2148" s="28"/>
      <c r="Q2148" s="28"/>
      <c r="R2148" s="28">
        <f t="shared" si="15"/>
        <v>622.38679742342231</v>
      </c>
      <c r="S2148" s="28">
        <v>282.30990250000002</v>
      </c>
    </row>
    <row r="2149" spans="1:19" x14ac:dyDescent="0.25">
      <c r="A2149" s="28">
        <v>2023</v>
      </c>
      <c r="B2149" s="28"/>
      <c r="C2149" s="28" t="s">
        <v>1261</v>
      </c>
      <c r="D2149" s="28" t="s">
        <v>2053</v>
      </c>
      <c r="E2149" s="28" t="s">
        <v>966</v>
      </c>
      <c r="F2149" s="28" t="s">
        <v>491</v>
      </c>
      <c r="G2149" s="28" t="s">
        <v>2054</v>
      </c>
      <c r="H2149" s="28">
        <v>39.991410000000002</v>
      </c>
      <c r="I2149" s="28">
        <v>-75.085030000000003</v>
      </c>
      <c r="J2149" s="28"/>
      <c r="K2149" s="61">
        <v>110001076978</v>
      </c>
      <c r="L2149" s="61" t="str">
        <f>IFERROR(INDEX('Facility Summary'!$K:$K,MATCH(K2149,'Facility Summary'!$J:$J,0)),INDEX('Raw Annual DMR Data'!$M:$M,MATCH(K2149,'Raw Annual DMR Data'!$L:$L,0)))</f>
        <v>POTW</v>
      </c>
      <c r="M2149" s="28"/>
      <c r="N2149" s="28"/>
      <c r="O2149" s="28"/>
      <c r="P2149" s="28"/>
      <c r="Q2149" s="28"/>
      <c r="R2149" s="28">
        <f t="shared" si="15"/>
        <v>603.20279968554132</v>
      </c>
      <c r="S2149" s="28">
        <v>273.60818749999999</v>
      </c>
    </row>
    <row r="2150" spans="1:19" x14ac:dyDescent="0.25">
      <c r="A2150" s="28">
        <v>2021</v>
      </c>
      <c r="B2150" s="28"/>
      <c r="C2150" s="28" t="s">
        <v>6872</v>
      </c>
      <c r="D2150" s="28" t="s">
        <v>7041</v>
      </c>
      <c r="E2150" s="28" t="s">
        <v>6942</v>
      </c>
      <c r="F2150" s="28" t="s">
        <v>1249</v>
      </c>
      <c r="G2150" s="28">
        <v>87416</v>
      </c>
      <c r="H2150" s="28">
        <v>36.716268999999997</v>
      </c>
      <c r="I2150" s="28">
        <v>-108.255737</v>
      </c>
      <c r="J2150" s="28"/>
      <c r="K2150" s="61">
        <v>110064631457</v>
      </c>
      <c r="L2150" s="61" t="str">
        <f>IFERROR(INDEX('Facility Summary'!$K:$K,MATCH(K2150,'Facility Summary'!$J:$J,0)),INDEX('Raw Annual DMR Data'!$M:$M,MATCH(K2150,'Raw Annual DMR Data'!$L:$L,0)))</f>
        <v>POTW</v>
      </c>
      <c r="M2150" s="28"/>
      <c r="N2150" s="28"/>
      <c r="O2150" s="28"/>
      <c r="P2150" s="28"/>
      <c r="Q2150" s="28"/>
      <c r="R2150" s="28">
        <f t="shared" si="15"/>
        <v>0.24566198060165781</v>
      </c>
      <c r="S2150" s="28">
        <v>0.1114304</v>
      </c>
    </row>
    <row r="2151" spans="1:19" x14ac:dyDescent="0.25">
      <c r="A2151" s="28">
        <v>2024</v>
      </c>
      <c r="B2151" s="28"/>
      <c r="C2151" s="28" t="s">
        <v>6872</v>
      </c>
      <c r="D2151" s="28" t="s">
        <v>7041</v>
      </c>
      <c r="E2151" s="28" t="s">
        <v>6942</v>
      </c>
      <c r="F2151" s="28" t="s">
        <v>1249</v>
      </c>
      <c r="G2151" s="28">
        <v>87416</v>
      </c>
      <c r="H2151" s="28">
        <v>36.716268999999997</v>
      </c>
      <c r="I2151" s="28">
        <v>-108.255737</v>
      </c>
      <c r="J2151" s="28"/>
      <c r="K2151" s="61">
        <v>110064631457</v>
      </c>
      <c r="L2151" s="61" t="str">
        <f>IFERROR(INDEX('Facility Summary'!$K:$K,MATCH(K2151,'Facility Summary'!$J:$J,0)),INDEX('Raw Annual DMR Data'!$M:$M,MATCH(K2151,'Raw Annual DMR Data'!$L:$L,0)))</f>
        <v>POTW</v>
      </c>
      <c r="M2151" s="28"/>
      <c r="N2151" s="28"/>
      <c r="O2151" s="28"/>
      <c r="P2151" s="28"/>
      <c r="Q2151" s="28"/>
      <c r="R2151" s="28">
        <f t="shared" si="15"/>
        <v>3.9594636479445187E-2</v>
      </c>
      <c r="S2151" s="28">
        <v>1.7959824999999999E-2</v>
      </c>
    </row>
    <row r="2152" spans="1:19" x14ac:dyDescent="0.25">
      <c r="A2152" s="28">
        <v>2021</v>
      </c>
      <c r="B2152" s="28"/>
      <c r="C2152" s="28" t="s">
        <v>1264</v>
      </c>
      <c r="D2152" s="28" t="s">
        <v>2061</v>
      </c>
      <c r="E2152" s="28" t="s">
        <v>1265</v>
      </c>
      <c r="F2152" s="28" t="s">
        <v>324</v>
      </c>
      <c r="G2152" s="28">
        <v>40475</v>
      </c>
      <c r="H2152" s="28">
        <v>37.852220000000003</v>
      </c>
      <c r="I2152" s="28">
        <v>-84.363079999999997</v>
      </c>
      <c r="J2152" s="28"/>
      <c r="K2152" s="61">
        <v>110016759444</v>
      </c>
      <c r="L2152" s="61" t="str">
        <f>IFERROR(INDEX('Facility Summary'!$K:$K,MATCH(K2152,'Facility Summary'!$J:$J,0)),INDEX('Raw Annual DMR Data'!$M:$M,MATCH(K2152,'Raw Annual DMR Data'!$L:$L,0)))</f>
        <v>POTW</v>
      </c>
      <c r="M2152" s="28"/>
      <c r="N2152" s="28"/>
      <c r="O2152" s="28"/>
      <c r="P2152" s="28"/>
      <c r="Q2152" s="28"/>
      <c r="R2152" s="28">
        <f t="shared" si="15"/>
        <v>1.5289621163601144</v>
      </c>
      <c r="S2152" s="28">
        <v>0.69352555000000005</v>
      </c>
    </row>
    <row r="2153" spans="1:19" x14ac:dyDescent="0.25">
      <c r="A2153" s="28">
        <v>2024</v>
      </c>
      <c r="B2153" s="28"/>
      <c r="C2153" s="28" t="s">
        <v>1264</v>
      </c>
      <c r="D2153" s="28" t="s">
        <v>2061</v>
      </c>
      <c r="E2153" s="28" t="s">
        <v>1265</v>
      </c>
      <c r="F2153" s="28" t="s">
        <v>324</v>
      </c>
      <c r="G2153" s="28">
        <v>40475</v>
      </c>
      <c r="H2153" s="28">
        <v>37.852220000000003</v>
      </c>
      <c r="I2153" s="28">
        <v>-84.363079999999997</v>
      </c>
      <c r="J2153" s="28"/>
      <c r="K2153" s="61">
        <v>110016759444</v>
      </c>
      <c r="L2153" s="61" t="str">
        <f>IFERROR(INDEX('Facility Summary'!$K:$K,MATCH(K2153,'Facility Summary'!$J:$J,0)),INDEX('Raw Annual DMR Data'!$M:$M,MATCH(K2153,'Raw Annual DMR Data'!$L:$L,0)))</f>
        <v>POTW</v>
      </c>
      <c r="M2153" s="28"/>
      <c r="N2153" s="28"/>
      <c r="O2153" s="28"/>
      <c r="P2153" s="28"/>
      <c r="Q2153" s="28"/>
      <c r="R2153" s="28">
        <f t="shared" si="15"/>
        <v>0.79798421212420301</v>
      </c>
      <c r="S2153" s="28">
        <v>0.36195955000000002</v>
      </c>
    </row>
    <row r="2154" spans="1:19" x14ac:dyDescent="0.25">
      <c r="A2154" s="28">
        <v>2024</v>
      </c>
      <c r="B2154" s="28"/>
      <c r="C2154" s="28" t="s">
        <v>215</v>
      </c>
      <c r="D2154" s="28" t="s">
        <v>2065</v>
      </c>
      <c r="E2154" s="28" t="s">
        <v>1103</v>
      </c>
      <c r="F2154" s="28" t="s">
        <v>345</v>
      </c>
      <c r="G2154" s="28">
        <v>60450</v>
      </c>
      <c r="H2154" s="28">
        <v>41.405655000000003</v>
      </c>
      <c r="I2154" s="28">
        <v>-88.335212999999996</v>
      </c>
      <c r="J2154" s="28" t="s">
        <v>727</v>
      </c>
      <c r="K2154" s="61">
        <v>110000547196</v>
      </c>
      <c r="L2154" s="61" t="str">
        <f>IFERROR(INDEX('Facility Summary'!$K:$K,MATCH(K2154,'Facility Summary'!$J:$J,0)),INDEX('Raw Annual DMR Data'!$M:$M,MATCH(K2154,'Raw Annual DMR Data'!$L:$L,0)))</f>
        <v>Processing as a Reactant</v>
      </c>
      <c r="M2154" s="28"/>
      <c r="N2154" s="28"/>
      <c r="O2154" s="28"/>
      <c r="P2154" s="28"/>
      <c r="Q2154" s="28"/>
      <c r="R2154" s="28">
        <f t="shared" si="15"/>
        <v>1.1820613296471456</v>
      </c>
      <c r="S2154" s="28">
        <v>0.53617400000000004</v>
      </c>
    </row>
    <row r="2155" spans="1:19" x14ac:dyDescent="0.25">
      <c r="A2155" s="28">
        <v>2022</v>
      </c>
      <c r="B2155" s="28"/>
      <c r="C2155" s="28" t="s">
        <v>215</v>
      </c>
      <c r="D2155" s="28" t="s">
        <v>2065</v>
      </c>
      <c r="E2155" s="28" t="s">
        <v>1103</v>
      </c>
      <c r="F2155" s="28" t="s">
        <v>345</v>
      </c>
      <c r="G2155" s="28">
        <v>60450</v>
      </c>
      <c r="H2155" s="28">
        <v>41.405655000000003</v>
      </c>
      <c r="I2155" s="28">
        <v>-88.335212999999996</v>
      </c>
      <c r="J2155" s="28" t="s">
        <v>727</v>
      </c>
      <c r="K2155" s="61">
        <v>110000547196</v>
      </c>
      <c r="L2155" s="61" t="str">
        <f>IFERROR(INDEX('Facility Summary'!$K:$K,MATCH(K2155,'Facility Summary'!$J:$J,0)),INDEX('Raw Annual DMR Data'!$M:$M,MATCH(K2155,'Raw Annual DMR Data'!$L:$L,0)))</f>
        <v>Processing as a Reactant</v>
      </c>
      <c r="M2155" s="28"/>
      <c r="N2155" s="28"/>
      <c r="O2155" s="28"/>
      <c r="P2155" s="28"/>
      <c r="Q2155" s="28"/>
      <c r="R2155" s="28">
        <f t="shared" si="15"/>
        <v>0.19061114277561592</v>
      </c>
      <c r="S2155" s="28">
        <v>8.6459759999999997E-2</v>
      </c>
    </row>
    <row r="2156" spans="1:19" x14ac:dyDescent="0.25">
      <c r="A2156" s="28">
        <v>2021</v>
      </c>
      <c r="B2156" s="28"/>
      <c r="C2156" s="28" t="s">
        <v>215</v>
      </c>
      <c r="D2156" s="28" t="s">
        <v>2065</v>
      </c>
      <c r="E2156" s="28" t="s">
        <v>1103</v>
      </c>
      <c r="F2156" s="28" t="s">
        <v>345</v>
      </c>
      <c r="G2156" s="28">
        <v>60450</v>
      </c>
      <c r="H2156" s="28">
        <v>41.405655000000003</v>
      </c>
      <c r="I2156" s="28">
        <v>-88.335212999999996</v>
      </c>
      <c r="J2156" s="28" t="s">
        <v>727</v>
      </c>
      <c r="K2156" s="61">
        <v>110000547196</v>
      </c>
      <c r="L2156" s="61" t="str">
        <f>IFERROR(INDEX('Facility Summary'!$K:$K,MATCH(K2156,'Facility Summary'!$J:$J,0)),INDEX('Raw Annual DMR Data'!$M:$M,MATCH(K2156,'Raw Annual DMR Data'!$L:$L,0)))</f>
        <v>Processing as a Reactant</v>
      </c>
      <c r="M2156" s="28"/>
      <c r="N2156" s="28"/>
      <c r="O2156" s="28"/>
      <c r="P2156" s="28"/>
      <c r="Q2156" s="28"/>
      <c r="R2156" s="28">
        <f t="shared" si="15"/>
        <v>0.13178832792094805</v>
      </c>
      <c r="S2156" s="28">
        <v>5.977818E-2</v>
      </c>
    </row>
    <row r="2157" spans="1:19" x14ac:dyDescent="0.25">
      <c r="A2157" s="28">
        <v>2023</v>
      </c>
      <c r="B2157" s="28"/>
      <c r="C2157" s="28" t="s">
        <v>215</v>
      </c>
      <c r="D2157" s="28" t="s">
        <v>2065</v>
      </c>
      <c r="E2157" s="28" t="s">
        <v>1103</v>
      </c>
      <c r="F2157" s="28" t="s">
        <v>345</v>
      </c>
      <c r="G2157" s="28">
        <v>60450</v>
      </c>
      <c r="H2157" s="28">
        <v>41.405655000000003</v>
      </c>
      <c r="I2157" s="28">
        <v>-88.335212999999996</v>
      </c>
      <c r="J2157" s="28" t="s">
        <v>727</v>
      </c>
      <c r="K2157" s="61">
        <v>110000547196</v>
      </c>
      <c r="L2157" s="61" t="str">
        <f>IFERROR(INDEX('Facility Summary'!$K:$K,MATCH(K2157,'Facility Summary'!$J:$J,0)),INDEX('Raw Annual DMR Data'!$M:$M,MATCH(K2157,'Raw Annual DMR Data'!$L:$L,0)))</f>
        <v>Processing as a Reactant</v>
      </c>
      <c r="M2157" s="28"/>
      <c r="N2157" s="28"/>
      <c r="O2157" s="28"/>
      <c r="P2157" s="28"/>
      <c r="Q2157" s="28"/>
      <c r="R2157" s="28">
        <f t="shared" si="15"/>
        <v>0.12720421201088544</v>
      </c>
      <c r="S2157" s="28">
        <v>5.7698859999999998E-2</v>
      </c>
    </row>
    <row r="2158" spans="1:19" x14ac:dyDescent="0.25">
      <c r="A2158" s="28">
        <v>2021</v>
      </c>
      <c r="B2158" s="28"/>
      <c r="C2158" s="28" t="s">
        <v>6833</v>
      </c>
      <c r="D2158" s="28" t="s">
        <v>6987</v>
      </c>
      <c r="E2158" s="28" t="s">
        <v>6988</v>
      </c>
      <c r="F2158" s="28" t="s">
        <v>366</v>
      </c>
      <c r="G2158" s="28">
        <v>95954</v>
      </c>
      <c r="H2158" s="28">
        <v>39.814230000000002</v>
      </c>
      <c r="I2158" s="28">
        <v>-121.58031699999999</v>
      </c>
      <c r="J2158" s="28"/>
      <c r="K2158" s="61">
        <v>110000520026</v>
      </c>
      <c r="L2158" s="61" t="str">
        <f>IFERROR(INDEX('Facility Summary'!$K:$K,MATCH(K2158,'Facility Summary'!$J:$J,0)),INDEX('Raw Annual DMR Data'!$M:$M,MATCH(K2158,'Raw Annual DMR Data'!$L:$L,0)))</f>
        <v>Waste Handling, Disposal and Treatment (non-POTW WWT)</v>
      </c>
      <c r="M2158" s="28"/>
      <c r="N2158" s="28"/>
      <c r="O2158" s="28"/>
      <c r="P2158" s="28"/>
      <c r="Q2158" s="28"/>
      <c r="R2158" s="28">
        <f t="shared" si="15"/>
        <v>2.5585866341843445E-2</v>
      </c>
      <c r="S2158" s="28">
        <v>1.1605553752499999E-2</v>
      </c>
    </row>
    <row r="2159" spans="1:19" x14ac:dyDescent="0.25">
      <c r="A2159" s="28">
        <v>2023</v>
      </c>
      <c r="B2159" s="28"/>
      <c r="C2159" s="28" t="s">
        <v>6807</v>
      </c>
      <c r="D2159" s="28" t="s">
        <v>6960</v>
      </c>
      <c r="E2159" s="28" t="s">
        <v>457</v>
      </c>
      <c r="F2159" s="28" t="s">
        <v>366</v>
      </c>
      <c r="G2159" s="28" t="s">
        <v>6961</v>
      </c>
      <c r="H2159" s="28">
        <v>32.796432000000003</v>
      </c>
      <c r="I2159" s="28">
        <v>-115.667761</v>
      </c>
      <c r="J2159" s="28"/>
      <c r="K2159" s="61">
        <v>110013128169</v>
      </c>
      <c r="L2159" s="61" t="str">
        <f>IFERROR(INDEX('Facility Summary'!$K:$K,MATCH(K2159,'Facility Summary'!$J:$J,0)),INDEX('Raw Annual DMR Data'!$M:$M,MATCH(K2159,'Raw Annual DMR Data'!$L:$L,0)))</f>
        <v>Unknown</v>
      </c>
      <c r="M2159" s="28"/>
      <c r="N2159" s="28"/>
      <c r="O2159" s="28"/>
      <c r="P2159" s="28"/>
      <c r="Q2159" s="28"/>
      <c r="R2159" s="28">
        <f t="shared" si="15"/>
        <v>4.5686119014744448E-3</v>
      </c>
      <c r="S2159" s="28">
        <v>2.0722875000000001E-3</v>
      </c>
    </row>
    <row r="2160" spans="1:19" x14ac:dyDescent="0.25">
      <c r="A2160" s="28">
        <v>2024</v>
      </c>
      <c r="B2160" s="28"/>
      <c r="C2160" s="28" t="s">
        <v>6807</v>
      </c>
      <c r="D2160" s="28" t="s">
        <v>6960</v>
      </c>
      <c r="E2160" s="28" t="s">
        <v>457</v>
      </c>
      <c r="F2160" s="28" t="s">
        <v>366</v>
      </c>
      <c r="G2160" s="28" t="s">
        <v>6961</v>
      </c>
      <c r="H2160" s="28">
        <v>32.796432000000003</v>
      </c>
      <c r="I2160" s="28">
        <v>-115.667761</v>
      </c>
      <c r="J2160" s="28"/>
      <c r="K2160" s="61">
        <v>110013128169</v>
      </c>
      <c r="L2160" s="61" t="str">
        <f>IFERROR(INDEX('Facility Summary'!$K:$K,MATCH(K2160,'Facility Summary'!$J:$J,0)),INDEX('Raw Annual DMR Data'!$M:$M,MATCH(K2160,'Raw Annual DMR Data'!$L:$L,0)))</f>
        <v>Unknown</v>
      </c>
      <c r="M2160" s="28"/>
      <c r="N2160" s="28"/>
      <c r="O2160" s="28"/>
      <c r="P2160" s="28"/>
      <c r="Q2160" s="28"/>
      <c r="R2160" s="28">
        <f t="shared" si="15"/>
        <v>3.807176584562037E-3</v>
      </c>
      <c r="S2160" s="28">
        <v>1.7269062499999999E-3</v>
      </c>
    </row>
    <row r="2161" spans="1:19" x14ac:dyDescent="0.25">
      <c r="A2161" s="28">
        <v>2024</v>
      </c>
      <c r="B2161" s="28"/>
      <c r="C2161" s="28" t="s">
        <v>6852</v>
      </c>
      <c r="D2161" s="28" t="s">
        <v>7010</v>
      </c>
      <c r="E2161" s="28" t="s">
        <v>6942</v>
      </c>
      <c r="F2161" s="28" t="s">
        <v>1249</v>
      </c>
      <c r="G2161" s="28" t="s">
        <v>7011</v>
      </c>
      <c r="H2161" s="28">
        <v>36.739803999999999</v>
      </c>
      <c r="I2161" s="28">
        <v>-108.397068</v>
      </c>
      <c r="J2161" s="28"/>
      <c r="K2161" s="61">
        <v>110020662166</v>
      </c>
      <c r="L2161" s="61" t="str">
        <f>IFERROR(INDEX('Facility Summary'!$K:$K,MATCH(K2161,'Facility Summary'!$J:$J,0)),INDEX('Raw Annual DMR Data'!$M:$M,MATCH(K2161,'Raw Annual DMR Data'!$L:$L,0)))</f>
        <v>Unknown</v>
      </c>
      <c r="M2161" s="28"/>
      <c r="N2161" s="28"/>
      <c r="O2161" s="28"/>
      <c r="P2161" s="28"/>
      <c r="Q2161" s="28"/>
      <c r="R2161" s="28">
        <f t="shared" si="15"/>
        <v>0.11573816817068594</v>
      </c>
      <c r="S2161" s="28">
        <v>5.2497950000000002E-2</v>
      </c>
    </row>
    <row r="2162" spans="1:19" x14ac:dyDescent="0.25">
      <c r="A2162" s="28">
        <v>2023</v>
      </c>
      <c r="B2162" s="28"/>
      <c r="C2162" s="28" t="s">
        <v>6904</v>
      </c>
      <c r="D2162" s="28" t="s">
        <v>7100</v>
      </c>
      <c r="E2162" s="28" t="s">
        <v>7101</v>
      </c>
      <c r="F2162" s="28" t="s">
        <v>1128</v>
      </c>
      <c r="G2162" s="28" t="s">
        <v>7102</v>
      </c>
      <c r="H2162" s="28">
        <v>40.49682</v>
      </c>
      <c r="I2162" s="28">
        <v>-105.11552</v>
      </c>
      <c r="J2162" s="28"/>
      <c r="K2162" s="61">
        <v>110012150858</v>
      </c>
      <c r="L2162" s="61" t="str">
        <f>IFERROR(INDEX('Facility Summary'!$K:$K,MATCH(K2162,'Facility Summary'!$J:$J,0)),INDEX('Raw Annual DMR Data'!$M:$M,MATCH(K2162,'Raw Annual DMR Data'!$L:$L,0)))</f>
        <v>Waste Handling, Disposal and Treatment (Incinerator)</v>
      </c>
      <c r="M2162" s="28"/>
      <c r="N2162" s="28"/>
      <c r="O2162" s="28"/>
      <c r="P2162" s="28"/>
      <c r="Q2162" s="28"/>
      <c r="R2162" s="28">
        <f t="shared" si="15"/>
        <v>3.9684908761101513E-3</v>
      </c>
      <c r="S2162" s="28">
        <v>1.8000771818181801E-3</v>
      </c>
    </row>
    <row r="2163" spans="1:19" x14ac:dyDescent="0.25">
      <c r="A2163" s="28">
        <v>2024</v>
      </c>
      <c r="B2163" s="28"/>
      <c r="C2163" s="28" t="s">
        <v>6904</v>
      </c>
      <c r="D2163" s="28" t="s">
        <v>7100</v>
      </c>
      <c r="E2163" s="28" t="s">
        <v>7101</v>
      </c>
      <c r="F2163" s="28" t="s">
        <v>1128</v>
      </c>
      <c r="G2163" s="28" t="s">
        <v>7102</v>
      </c>
      <c r="H2163" s="28">
        <v>40.49682</v>
      </c>
      <c r="I2163" s="28">
        <v>-105.11552</v>
      </c>
      <c r="J2163" s="28"/>
      <c r="K2163" s="61">
        <v>110012150858</v>
      </c>
      <c r="L2163" s="61" t="str">
        <f>IFERROR(INDEX('Facility Summary'!$K:$K,MATCH(K2163,'Facility Summary'!$J:$J,0)),INDEX('Raw Annual DMR Data'!$M:$M,MATCH(K2163,'Raw Annual DMR Data'!$L:$L,0)))</f>
        <v>Waste Handling, Disposal and Treatment (Incinerator)</v>
      </c>
      <c r="M2163" s="28"/>
      <c r="N2163" s="28"/>
      <c r="O2163" s="28"/>
      <c r="P2163" s="28"/>
      <c r="Q2163" s="28"/>
      <c r="R2163" s="28">
        <f t="shared" si="15"/>
        <v>1.1023080039904553E-3</v>
      </c>
      <c r="S2163" s="28">
        <v>4.9999850000000004E-4</v>
      </c>
    </row>
    <row r="2164" spans="1:19" x14ac:dyDescent="0.25">
      <c r="A2164" s="28">
        <v>2024</v>
      </c>
      <c r="B2164" s="28"/>
      <c r="C2164" s="28" t="s">
        <v>6904</v>
      </c>
      <c r="D2164" s="28" t="s">
        <v>7100</v>
      </c>
      <c r="E2164" s="28" t="s">
        <v>7101</v>
      </c>
      <c r="F2164" s="28" t="s">
        <v>1128</v>
      </c>
      <c r="G2164" s="28" t="s">
        <v>7102</v>
      </c>
      <c r="H2164" s="28">
        <v>40.49682</v>
      </c>
      <c r="I2164" s="28">
        <v>-105.11552</v>
      </c>
      <c r="J2164" s="28"/>
      <c r="K2164" s="61">
        <v>110012150858</v>
      </c>
      <c r="L2164" s="61" t="str">
        <f>IFERROR(INDEX('Facility Summary'!$K:$K,MATCH(K2164,'Facility Summary'!$J:$J,0)),INDEX('Raw Annual DMR Data'!$M:$M,MATCH(K2164,'Raw Annual DMR Data'!$L:$L,0)))</f>
        <v>Waste Handling, Disposal and Treatment (Incinerator)</v>
      </c>
      <c r="M2164" s="28"/>
      <c r="N2164" s="28"/>
      <c r="O2164" s="28"/>
      <c r="P2164" s="28"/>
      <c r="Q2164" s="28"/>
      <c r="R2164" s="28">
        <f t="shared" si="15"/>
        <v>7.9189272958890371E-5</v>
      </c>
      <c r="S2164" s="28">
        <v>3.5919649999999998E-5</v>
      </c>
    </row>
    <row r="2165" spans="1:19" x14ac:dyDescent="0.25">
      <c r="A2165" s="28">
        <v>2022</v>
      </c>
      <c r="B2165" s="28"/>
      <c r="C2165" s="28" t="s">
        <v>6789</v>
      </c>
      <c r="D2165" s="28" t="s">
        <v>6940</v>
      </c>
      <c r="E2165" s="28" t="s">
        <v>302</v>
      </c>
      <c r="F2165" s="28" t="s">
        <v>303</v>
      </c>
      <c r="G2165" s="28">
        <v>70807</v>
      </c>
      <c r="H2165" s="28">
        <v>30.584540000000001</v>
      </c>
      <c r="I2165" s="28">
        <v>-91.247479999999996</v>
      </c>
      <c r="J2165" s="28"/>
      <c r="K2165" s="61">
        <v>110064644782</v>
      </c>
      <c r="L2165" s="61" t="str">
        <f>IFERROR(INDEX('Facility Summary'!$K:$K,MATCH(K2165,'Facility Summary'!$J:$J,0)),INDEX('Raw Annual DMR Data'!$M:$M,MATCH(K2165,'Raw Annual DMR Data'!$L:$L,0)))</f>
        <v>Remediation</v>
      </c>
      <c r="M2165" s="28"/>
      <c r="N2165" s="28"/>
      <c r="O2165" s="28"/>
      <c r="P2165" s="28"/>
      <c r="Q2165" s="28"/>
      <c r="R2165" s="28">
        <f t="shared" si="15"/>
        <v>2.1968139036377528</v>
      </c>
      <c r="S2165" s="28">
        <v>0.99645802500000002</v>
      </c>
    </row>
    <row r="2166" spans="1:19" x14ac:dyDescent="0.25">
      <c r="A2166" s="28">
        <v>2022</v>
      </c>
      <c r="B2166" s="28"/>
      <c r="C2166" s="28" t="s">
        <v>6822</v>
      </c>
      <c r="D2166" s="28" t="s">
        <v>584</v>
      </c>
      <c r="E2166" s="28" t="s">
        <v>516</v>
      </c>
      <c r="F2166" s="28" t="s">
        <v>303</v>
      </c>
      <c r="G2166" s="28">
        <v>707340227</v>
      </c>
      <c r="H2166" s="28">
        <v>30.185099999999998</v>
      </c>
      <c r="I2166" s="28">
        <v>-90.980400000000003</v>
      </c>
      <c r="J2166" s="28" t="s">
        <v>585</v>
      </c>
      <c r="K2166" s="61">
        <v>110000449774</v>
      </c>
      <c r="L2166" s="61" t="str">
        <f>IFERROR(INDEX('Facility Summary'!$K:$K,MATCH(K2166,'Facility Summary'!$J:$J,0)),INDEX('Raw Annual DMR Data'!$M:$M,MATCH(K2166,'Raw Annual DMR Data'!$L:$L,0)))</f>
        <v>Manufacturing</v>
      </c>
      <c r="M2166" s="28"/>
      <c r="N2166" s="28"/>
      <c r="O2166" s="28"/>
      <c r="P2166" s="28"/>
      <c r="Q2166" s="28"/>
      <c r="R2166" s="28">
        <f t="shared" si="15"/>
        <v>202.86214250032469</v>
      </c>
      <c r="S2166" s="28">
        <v>92.016720000000007</v>
      </c>
    </row>
    <row r="2167" spans="1:19" x14ac:dyDescent="0.25">
      <c r="A2167" s="28">
        <v>2022</v>
      </c>
      <c r="B2167" s="28"/>
      <c r="C2167" s="28" t="s">
        <v>6789</v>
      </c>
      <c r="D2167" s="28" t="s">
        <v>6940</v>
      </c>
      <c r="E2167" s="28" t="s">
        <v>302</v>
      </c>
      <c r="F2167" s="28" t="s">
        <v>303</v>
      </c>
      <c r="G2167" s="28">
        <v>70807</v>
      </c>
      <c r="H2167" s="28">
        <v>30.584540000000001</v>
      </c>
      <c r="I2167" s="28">
        <v>-91.247479999999996</v>
      </c>
      <c r="J2167" s="28"/>
      <c r="K2167" s="61">
        <v>110064644782</v>
      </c>
      <c r="L2167" s="61" t="str">
        <f>IFERROR(INDEX('Facility Summary'!$K:$K,MATCH(K2167,'Facility Summary'!$J:$J,0)),INDEX('Raw Annual DMR Data'!$M:$M,MATCH(K2167,'Raw Annual DMR Data'!$L:$L,0)))</f>
        <v>Remediation</v>
      </c>
      <c r="M2167" s="28"/>
      <c r="N2167" s="28"/>
      <c r="O2167" s="28"/>
      <c r="P2167" s="28"/>
      <c r="Q2167" s="28"/>
      <c r="R2167" s="28">
        <f t="shared" si="15"/>
        <v>0.36507172728677073</v>
      </c>
      <c r="S2167" s="28">
        <v>0.16559375000000001</v>
      </c>
    </row>
    <row r="2168" spans="1:19" x14ac:dyDescent="0.25">
      <c r="A2168" s="28">
        <v>2022</v>
      </c>
      <c r="B2168" s="28"/>
      <c r="C2168" s="28" t="s">
        <v>1268</v>
      </c>
      <c r="D2168" s="28" t="s">
        <v>2074</v>
      </c>
      <c r="E2168" s="28" t="s">
        <v>1269</v>
      </c>
      <c r="F2168" s="28" t="s">
        <v>324</v>
      </c>
      <c r="G2168" s="28">
        <v>40026</v>
      </c>
      <c r="H2168" s="28">
        <v>38.417499999999997</v>
      </c>
      <c r="I2168" s="28">
        <v>-85.611109999999996</v>
      </c>
      <c r="J2168" s="28"/>
      <c r="K2168" s="61">
        <v>110022905588</v>
      </c>
      <c r="L2168" s="61" t="str">
        <f>IFERROR(INDEX('Facility Summary'!$K:$K,MATCH(K2168,'Facility Summary'!$J:$J,0)),INDEX('Raw Annual DMR Data'!$M:$M,MATCH(K2168,'Raw Annual DMR Data'!$L:$L,0)))</f>
        <v>POTW</v>
      </c>
      <c r="M2168" s="28"/>
      <c r="N2168" s="28"/>
      <c r="O2168" s="28"/>
      <c r="P2168" s="28"/>
      <c r="Q2168" s="28"/>
      <c r="R2168" s="28">
        <f t="shared" si="15"/>
        <v>6.0762538289610122</v>
      </c>
      <c r="S2168" s="28">
        <v>2.756142375</v>
      </c>
    </row>
    <row r="2169" spans="1:19" x14ac:dyDescent="0.25">
      <c r="A2169" s="28">
        <v>2024</v>
      </c>
      <c r="B2169" s="28"/>
      <c r="C2169" s="28" t="s">
        <v>1268</v>
      </c>
      <c r="D2169" s="28" t="s">
        <v>2074</v>
      </c>
      <c r="E2169" s="28" t="s">
        <v>1269</v>
      </c>
      <c r="F2169" s="28" t="s">
        <v>324</v>
      </c>
      <c r="G2169" s="28">
        <v>40026</v>
      </c>
      <c r="H2169" s="28">
        <v>38.417499999999997</v>
      </c>
      <c r="I2169" s="28">
        <v>-85.611109999999996</v>
      </c>
      <c r="J2169" s="28"/>
      <c r="K2169" s="61">
        <v>110022905588</v>
      </c>
      <c r="L2169" s="61" t="str">
        <f>IFERROR(INDEX('Facility Summary'!$K:$K,MATCH(K2169,'Facility Summary'!$J:$J,0)),INDEX('Raw Annual DMR Data'!$M:$M,MATCH(K2169,'Raw Annual DMR Data'!$L:$L,0)))</f>
        <v>POTW</v>
      </c>
      <c r="M2169" s="28"/>
      <c r="N2169" s="28"/>
      <c r="O2169" s="28"/>
      <c r="P2169" s="28"/>
      <c r="Q2169" s="28"/>
      <c r="R2169" s="28">
        <f t="shared" si="15"/>
        <v>5.1526327895462609</v>
      </c>
      <c r="S2169" s="28">
        <v>2.3371949187499999</v>
      </c>
    </row>
    <row r="2170" spans="1:19" x14ac:dyDescent="0.25">
      <c r="A2170" s="28">
        <v>2021</v>
      </c>
      <c r="B2170" s="28"/>
      <c r="C2170" s="28" t="s">
        <v>1268</v>
      </c>
      <c r="D2170" s="28" t="s">
        <v>2074</v>
      </c>
      <c r="E2170" s="28" t="s">
        <v>1269</v>
      </c>
      <c r="F2170" s="28" t="s">
        <v>324</v>
      </c>
      <c r="G2170" s="28">
        <v>40026</v>
      </c>
      <c r="H2170" s="28">
        <v>38.417499999999997</v>
      </c>
      <c r="I2170" s="28">
        <v>-85.611109999999996</v>
      </c>
      <c r="J2170" s="28"/>
      <c r="K2170" s="61">
        <v>110022905588</v>
      </c>
      <c r="L2170" s="61" t="str">
        <f>IFERROR(INDEX('Facility Summary'!$K:$K,MATCH(K2170,'Facility Summary'!$J:$J,0)),INDEX('Raw Annual DMR Data'!$M:$M,MATCH(K2170,'Raw Annual DMR Data'!$L:$L,0)))</f>
        <v>POTW</v>
      </c>
      <c r="M2170" s="28"/>
      <c r="N2170" s="28"/>
      <c r="O2170" s="28"/>
      <c r="P2170" s="28"/>
      <c r="Q2170" s="28"/>
      <c r="R2170" s="28">
        <f t="shared" si="15"/>
        <v>4.3706387190772196</v>
      </c>
      <c r="S2170" s="28">
        <v>1.982488375</v>
      </c>
    </row>
    <row r="2171" spans="1:19" x14ac:dyDescent="0.25">
      <c r="A2171" s="28">
        <v>2024</v>
      </c>
      <c r="B2171" s="28"/>
      <c r="C2171" s="28" t="s">
        <v>6818</v>
      </c>
      <c r="D2171" s="28" t="s">
        <v>6974</v>
      </c>
      <c r="E2171" s="28" t="s">
        <v>6975</v>
      </c>
      <c r="F2171" s="28" t="s">
        <v>324</v>
      </c>
      <c r="G2171" s="28">
        <v>40014</v>
      </c>
      <c r="H2171" s="28">
        <v>38.32978</v>
      </c>
      <c r="I2171" s="28">
        <v>-85.540719999999993</v>
      </c>
      <c r="J2171" s="28"/>
      <c r="K2171" s="61">
        <v>110064615590</v>
      </c>
      <c r="L2171" s="61" t="str">
        <f>IFERROR(INDEX('Facility Summary'!$K:$K,MATCH(K2171,'Facility Summary'!$J:$J,0)),INDEX('Raw Annual DMR Data'!$M:$M,MATCH(K2171,'Raw Annual DMR Data'!$L:$L,0)))</f>
        <v>POTW</v>
      </c>
      <c r="M2171" s="28"/>
      <c r="N2171" s="28"/>
      <c r="O2171" s="28"/>
      <c r="P2171" s="28"/>
      <c r="Q2171" s="28"/>
      <c r="R2171" s="28">
        <f t="shared" si="15"/>
        <v>2.9010685574362727</v>
      </c>
      <c r="S2171" s="28">
        <v>1.3159025625</v>
      </c>
    </row>
    <row r="2172" spans="1:19" x14ac:dyDescent="0.25">
      <c r="A2172" s="28">
        <v>2021</v>
      </c>
      <c r="B2172" s="28"/>
      <c r="C2172" s="28" t="s">
        <v>6818</v>
      </c>
      <c r="D2172" s="28" t="s">
        <v>6974</v>
      </c>
      <c r="E2172" s="28" t="s">
        <v>6975</v>
      </c>
      <c r="F2172" s="28" t="s">
        <v>324</v>
      </c>
      <c r="G2172" s="28">
        <v>40014</v>
      </c>
      <c r="H2172" s="28">
        <v>38.32978</v>
      </c>
      <c r="I2172" s="28">
        <v>-85.540719999999993</v>
      </c>
      <c r="J2172" s="28"/>
      <c r="K2172" s="61">
        <v>110064615590</v>
      </c>
      <c r="L2172" s="61" t="str">
        <f>IFERROR(INDEX('Facility Summary'!$K:$K,MATCH(K2172,'Facility Summary'!$J:$J,0)),INDEX('Raw Annual DMR Data'!$M:$M,MATCH(K2172,'Raw Annual DMR Data'!$L:$L,0)))</f>
        <v>POTW</v>
      </c>
      <c r="M2172" s="28"/>
      <c r="N2172" s="28"/>
      <c r="O2172" s="28"/>
      <c r="P2172" s="28"/>
      <c r="Q2172" s="28"/>
      <c r="R2172" s="28">
        <f t="shared" ref="R2172:R2235" si="16">CONVERT(S2172,"g","lbm")*1000</f>
        <v>2.611723137009557</v>
      </c>
      <c r="S2172" s="28">
        <v>1.1846576874999999</v>
      </c>
    </row>
    <row r="2173" spans="1:19" x14ac:dyDescent="0.25">
      <c r="A2173" s="28">
        <v>2022</v>
      </c>
      <c r="B2173" s="28"/>
      <c r="C2173" s="28" t="s">
        <v>6818</v>
      </c>
      <c r="D2173" s="28" t="s">
        <v>6974</v>
      </c>
      <c r="E2173" s="28" t="s">
        <v>6975</v>
      </c>
      <c r="F2173" s="28" t="s">
        <v>324</v>
      </c>
      <c r="G2173" s="28">
        <v>40014</v>
      </c>
      <c r="H2173" s="28">
        <v>38.32978</v>
      </c>
      <c r="I2173" s="28">
        <v>-85.540719999999993</v>
      </c>
      <c r="J2173" s="28"/>
      <c r="K2173" s="61">
        <v>110064615590</v>
      </c>
      <c r="L2173" s="61" t="str">
        <f>IFERROR(INDEX('Facility Summary'!$K:$K,MATCH(K2173,'Facility Summary'!$J:$J,0)),INDEX('Raw Annual DMR Data'!$M:$M,MATCH(K2173,'Raw Annual DMR Data'!$L:$L,0)))</f>
        <v>POTW</v>
      </c>
      <c r="M2173" s="28"/>
      <c r="N2173" s="28"/>
      <c r="O2173" s="28"/>
      <c r="P2173" s="28"/>
      <c r="Q2173" s="28"/>
      <c r="R2173" s="28">
        <f t="shared" si="16"/>
        <v>2.1472475936929891</v>
      </c>
      <c r="S2173" s="28">
        <v>0.97397512500000005</v>
      </c>
    </row>
    <row r="2174" spans="1:19" x14ac:dyDescent="0.25">
      <c r="A2174" s="28">
        <v>2023</v>
      </c>
      <c r="B2174" s="28"/>
      <c r="C2174" s="28" t="s">
        <v>6818</v>
      </c>
      <c r="D2174" s="28" t="s">
        <v>6974</v>
      </c>
      <c r="E2174" s="28" t="s">
        <v>6975</v>
      </c>
      <c r="F2174" s="28" t="s">
        <v>324</v>
      </c>
      <c r="G2174" s="28">
        <v>40014</v>
      </c>
      <c r="H2174" s="28">
        <v>38.32978</v>
      </c>
      <c r="I2174" s="28">
        <v>-85.540719999999993</v>
      </c>
      <c r="J2174" s="28"/>
      <c r="K2174" s="61">
        <v>110064615590</v>
      </c>
      <c r="L2174" s="61" t="str">
        <f>IFERROR(INDEX('Facility Summary'!$K:$K,MATCH(K2174,'Facility Summary'!$J:$J,0)),INDEX('Raw Annual DMR Data'!$M:$M,MATCH(K2174,'Raw Annual DMR Data'!$L:$L,0)))</f>
        <v>POTW</v>
      </c>
      <c r="M2174" s="28"/>
      <c r="N2174" s="28"/>
      <c r="O2174" s="28"/>
      <c r="P2174" s="28"/>
      <c r="Q2174" s="28"/>
      <c r="R2174" s="28">
        <f t="shared" si="16"/>
        <v>1.6370859313616761</v>
      </c>
      <c r="S2174" s="28">
        <v>0.74256968749999996</v>
      </c>
    </row>
    <row r="2175" spans="1:19" x14ac:dyDescent="0.25">
      <c r="A2175" s="28">
        <v>2022</v>
      </c>
      <c r="B2175" s="28"/>
      <c r="C2175" s="28" t="s">
        <v>1270</v>
      </c>
      <c r="D2175" s="28" t="s">
        <v>2076</v>
      </c>
      <c r="E2175" s="28" t="s">
        <v>1271</v>
      </c>
      <c r="F2175" s="28" t="s">
        <v>427</v>
      </c>
      <c r="G2175" s="28">
        <v>49424</v>
      </c>
      <c r="H2175" s="28">
        <v>42.813049999999997</v>
      </c>
      <c r="I2175" s="28">
        <v>-86.197429999999997</v>
      </c>
      <c r="J2175" s="28"/>
      <c r="K2175" s="61">
        <v>110006740161</v>
      </c>
      <c r="L2175" s="61" t="str">
        <f>IFERROR(INDEX('Facility Summary'!$K:$K,MATCH(K2175,'Facility Summary'!$J:$J,0)),INDEX('Raw Annual DMR Data'!$M:$M,MATCH(K2175,'Raw Annual DMR Data'!$L:$L,0)))</f>
        <v>Unknown</v>
      </c>
      <c r="M2175" s="28"/>
      <c r="N2175" s="28"/>
      <c r="O2175" s="28"/>
      <c r="P2175" s="28"/>
      <c r="Q2175" s="28"/>
      <c r="R2175" s="28">
        <f t="shared" si="16"/>
        <v>0.43184272037027432</v>
      </c>
      <c r="S2175" s="28">
        <v>0.19588056300000001</v>
      </c>
    </row>
    <row r="2176" spans="1:19" x14ac:dyDescent="0.25">
      <c r="A2176" s="28">
        <v>2021</v>
      </c>
      <c r="B2176" s="28"/>
      <c r="C2176" s="28" t="s">
        <v>1270</v>
      </c>
      <c r="D2176" s="28" t="s">
        <v>2076</v>
      </c>
      <c r="E2176" s="28" t="s">
        <v>1271</v>
      </c>
      <c r="F2176" s="28" t="s">
        <v>427</v>
      </c>
      <c r="G2176" s="28">
        <v>49424</v>
      </c>
      <c r="H2176" s="28">
        <v>42.813049999999997</v>
      </c>
      <c r="I2176" s="28">
        <v>-86.197429999999997</v>
      </c>
      <c r="J2176" s="28"/>
      <c r="K2176" s="61">
        <v>110006740161</v>
      </c>
      <c r="L2176" s="61" t="str">
        <f>IFERROR(INDEX('Facility Summary'!$K:$K,MATCH(K2176,'Facility Summary'!$J:$J,0)),INDEX('Raw Annual DMR Data'!$M:$M,MATCH(K2176,'Raw Annual DMR Data'!$L:$L,0)))</f>
        <v>Unknown</v>
      </c>
      <c r="M2176" s="28"/>
      <c r="N2176" s="28"/>
      <c r="O2176" s="28"/>
      <c r="P2176" s="28"/>
      <c r="Q2176" s="28"/>
      <c r="R2176" s="28">
        <f t="shared" si="16"/>
        <v>0.40133273736504871</v>
      </c>
      <c r="S2176" s="28">
        <v>0.1820414675</v>
      </c>
    </row>
    <row r="2177" spans="1:19" x14ac:dyDescent="0.25">
      <c r="A2177" s="28">
        <v>2021</v>
      </c>
      <c r="B2177" s="28"/>
      <c r="C2177" s="28" t="s">
        <v>1272</v>
      </c>
      <c r="D2177" s="28" t="s">
        <v>2080</v>
      </c>
      <c r="E2177" s="28" t="s">
        <v>1273</v>
      </c>
      <c r="F2177" s="28" t="s">
        <v>324</v>
      </c>
      <c r="G2177" s="28">
        <v>42303</v>
      </c>
      <c r="H2177" s="28">
        <v>37.770769999999999</v>
      </c>
      <c r="I2177" s="28">
        <v>-87.065669999999997</v>
      </c>
      <c r="J2177" s="28"/>
      <c r="K2177" s="61">
        <v>110043734983</v>
      </c>
      <c r="L2177" s="61" t="str">
        <f>IFERROR(INDEX('Facility Summary'!$K:$K,MATCH(K2177,'Facility Summary'!$J:$J,0)),INDEX('Raw Annual DMR Data'!$M:$M,MATCH(K2177,'Raw Annual DMR Data'!$L:$L,0)))</f>
        <v>POTW</v>
      </c>
      <c r="M2177" s="28"/>
      <c r="N2177" s="28"/>
      <c r="O2177" s="28"/>
      <c r="P2177" s="28"/>
      <c r="Q2177" s="28"/>
      <c r="R2177" s="28">
        <f t="shared" si="16"/>
        <v>31.599565651864907</v>
      </c>
      <c r="S2177" s="28">
        <v>14.333321874999999</v>
      </c>
    </row>
    <row r="2178" spans="1:19" x14ac:dyDescent="0.25">
      <c r="A2178" s="28">
        <v>2023</v>
      </c>
      <c r="B2178" s="28"/>
      <c r="C2178" s="28" t="s">
        <v>1272</v>
      </c>
      <c r="D2178" s="28" t="s">
        <v>2080</v>
      </c>
      <c r="E2178" s="28" t="s">
        <v>1273</v>
      </c>
      <c r="F2178" s="28" t="s">
        <v>324</v>
      </c>
      <c r="G2178" s="28">
        <v>42303</v>
      </c>
      <c r="H2178" s="28">
        <v>37.770769999999999</v>
      </c>
      <c r="I2178" s="28">
        <v>-87.065669999999997</v>
      </c>
      <c r="J2178" s="28"/>
      <c r="K2178" s="61">
        <v>110043734983</v>
      </c>
      <c r="L2178" s="61" t="str">
        <f>IFERROR(INDEX('Facility Summary'!$K:$K,MATCH(K2178,'Facility Summary'!$J:$J,0)),INDEX('Raw Annual DMR Data'!$M:$M,MATCH(K2178,'Raw Annual DMR Data'!$L:$L,0)))</f>
        <v>POTW</v>
      </c>
      <c r="M2178" s="28"/>
      <c r="N2178" s="28"/>
      <c r="O2178" s="28"/>
      <c r="P2178" s="28"/>
      <c r="Q2178" s="28"/>
      <c r="R2178" s="28">
        <f t="shared" si="16"/>
        <v>10.416435135361734</v>
      </c>
      <c r="S2178" s="28">
        <v>4.7248155000000001</v>
      </c>
    </row>
    <row r="2179" spans="1:19" x14ac:dyDescent="0.25">
      <c r="A2179" s="28">
        <v>2024</v>
      </c>
      <c r="B2179" s="28"/>
      <c r="C2179" s="28" t="s">
        <v>1272</v>
      </c>
      <c r="D2179" s="28" t="s">
        <v>2080</v>
      </c>
      <c r="E2179" s="28" t="s">
        <v>1273</v>
      </c>
      <c r="F2179" s="28" t="s">
        <v>324</v>
      </c>
      <c r="G2179" s="28">
        <v>42303</v>
      </c>
      <c r="H2179" s="28">
        <v>37.770769999999999</v>
      </c>
      <c r="I2179" s="28">
        <v>-87.065669999999997</v>
      </c>
      <c r="J2179" s="28"/>
      <c r="K2179" s="61">
        <v>110043734983</v>
      </c>
      <c r="L2179" s="61" t="str">
        <f>IFERROR(INDEX('Facility Summary'!$K:$K,MATCH(K2179,'Facility Summary'!$J:$J,0)),INDEX('Raw Annual DMR Data'!$M:$M,MATCH(K2179,'Raw Annual DMR Data'!$L:$L,0)))</f>
        <v>POTW</v>
      </c>
      <c r="M2179" s="28"/>
      <c r="N2179" s="28"/>
      <c r="O2179" s="28"/>
      <c r="P2179" s="28"/>
      <c r="Q2179" s="28"/>
      <c r="R2179" s="28">
        <f t="shared" si="16"/>
        <v>6.4417427810789665</v>
      </c>
      <c r="S2179" s="28">
        <v>2.9219253749999998</v>
      </c>
    </row>
    <row r="2180" spans="1:19" x14ac:dyDescent="0.25">
      <c r="A2180" s="28">
        <v>2022</v>
      </c>
      <c r="B2180" s="28"/>
      <c r="C2180" s="28" t="s">
        <v>1272</v>
      </c>
      <c r="D2180" s="28" t="s">
        <v>2080</v>
      </c>
      <c r="E2180" s="28" t="s">
        <v>1273</v>
      </c>
      <c r="F2180" s="28" t="s">
        <v>324</v>
      </c>
      <c r="G2180" s="28">
        <v>42303</v>
      </c>
      <c r="H2180" s="28">
        <v>37.770769999999999</v>
      </c>
      <c r="I2180" s="28">
        <v>-87.065669999999997</v>
      </c>
      <c r="J2180" s="28"/>
      <c r="K2180" s="61">
        <v>110043734983</v>
      </c>
      <c r="L2180" s="61" t="str">
        <f>IFERROR(INDEX('Facility Summary'!$K:$K,MATCH(K2180,'Facility Summary'!$J:$J,0)),INDEX('Raw Annual DMR Data'!$M:$M,MATCH(K2180,'Raw Annual DMR Data'!$L:$L,0)))</f>
        <v>POTW</v>
      </c>
      <c r="M2180" s="28"/>
      <c r="N2180" s="28"/>
      <c r="O2180" s="28"/>
      <c r="P2180" s="28"/>
      <c r="Q2180" s="28"/>
      <c r="R2180" s="28">
        <f t="shared" si="16"/>
        <v>2.06013939343821</v>
      </c>
      <c r="S2180" s="28">
        <v>0.93446351000000005</v>
      </c>
    </row>
    <row r="2181" spans="1:19" x14ac:dyDescent="0.25">
      <c r="A2181" s="28">
        <v>2022</v>
      </c>
      <c r="B2181" s="28"/>
      <c r="C2181" s="28" t="s">
        <v>6804</v>
      </c>
      <c r="D2181" s="28" t="s">
        <v>2083</v>
      </c>
      <c r="E2181" s="28" t="s">
        <v>1273</v>
      </c>
      <c r="F2181" s="28" t="s">
        <v>324</v>
      </c>
      <c r="G2181" s="28">
        <v>42303</v>
      </c>
      <c r="H2181" s="28">
        <v>37.8125</v>
      </c>
      <c r="I2181" s="28">
        <v>-87.05</v>
      </c>
      <c r="J2181" s="28" t="s">
        <v>729</v>
      </c>
      <c r="K2181" s="61">
        <v>110000747835</v>
      </c>
      <c r="L2181" s="61" t="str">
        <f>IFERROR(INDEX('Facility Summary'!$K:$K,MATCH(K2181,'Facility Summary'!$J:$J,0)),INDEX('Raw Annual DMR Data'!$M:$M,MATCH(K2181,'Raw Annual DMR Data'!$L:$L,0)))</f>
        <v>Unknown</v>
      </c>
      <c r="M2181" s="28"/>
      <c r="N2181" s="28"/>
      <c r="O2181" s="28"/>
      <c r="P2181" s="28"/>
      <c r="Q2181" s="28"/>
      <c r="R2181" s="28">
        <f t="shared" si="16"/>
        <v>0.98260449464791488</v>
      </c>
      <c r="S2181" s="28">
        <v>0.4457019015</v>
      </c>
    </row>
    <row r="2182" spans="1:19" x14ac:dyDescent="0.25">
      <c r="A2182" s="28">
        <v>2021</v>
      </c>
      <c r="B2182" s="28"/>
      <c r="C2182" s="28" t="s">
        <v>6804</v>
      </c>
      <c r="D2182" s="28" t="s">
        <v>2083</v>
      </c>
      <c r="E2182" s="28" t="s">
        <v>1273</v>
      </c>
      <c r="F2182" s="28" t="s">
        <v>324</v>
      </c>
      <c r="G2182" s="28">
        <v>42303</v>
      </c>
      <c r="H2182" s="28">
        <v>37.8125</v>
      </c>
      <c r="I2182" s="28">
        <v>-87.05</v>
      </c>
      <c r="J2182" s="28" t="s">
        <v>729</v>
      </c>
      <c r="K2182" s="61">
        <v>110000747835</v>
      </c>
      <c r="L2182" s="61" t="str">
        <f>IFERROR(INDEX('Facility Summary'!$K:$K,MATCH(K2182,'Facility Summary'!$J:$J,0)),INDEX('Raw Annual DMR Data'!$M:$M,MATCH(K2182,'Raw Annual DMR Data'!$L:$L,0)))</f>
        <v>Unknown</v>
      </c>
      <c r="M2182" s="28"/>
      <c r="N2182" s="28"/>
      <c r="O2182" s="28"/>
      <c r="P2182" s="28"/>
      <c r="Q2182" s="28"/>
      <c r="R2182" s="28">
        <f t="shared" si="16"/>
        <v>3.6532801466656058E-2</v>
      </c>
      <c r="S2182" s="28">
        <v>1.6570999999999999E-2</v>
      </c>
    </row>
    <row r="2183" spans="1:19" x14ac:dyDescent="0.25">
      <c r="A2183" s="28">
        <v>2024</v>
      </c>
      <c r="B2183" s="28"/>
      <c r="C2183" s="28" t="s">
        <v>1275</v>
      </c>
      <c r="D2183" s="28" t="s">
        <v>2087</v>
      </c>
      <c r="E2183" s="28" t="s">
        <v>1276</v>
      </c>
      <c r="F2183" s="28" t="s">
        <v>366</v>
      </c>
      <c r="G2183" s="28">
        <v>93033</v>
      </c>
      <c r="H2183" s="28">
        <v>34.141618999999999</v>
      </c>
      <c r="I2183" s="28">
        <v>-119.184014</v>
      </c>
      <c r="J2183" s="28"/>
      <c r="K2183" s="61">
        <v>110070097306</v>
      </c>
      <c r="L2183" s="61" t="str">
        <f>IFERROR(INDEX('Facility Summary'!$K:$K,MATCH(K2183,'Facility Summary'!$J:$J,0)),INDEX('Raw Annual DMR Data'!$M:$M,MATCH(K2183,'Raw Annual DMR Data'!$L:$L,0)))</f>
        <v>POTW</v>
      </c>
      <c r="M2183" s="28"/>
      <c r="N2183" s="28"/>
      <c r="O2183" s="28"/>
      <c r="P2183" s="28"/>
      <c r="Q2183" s="28"/>
      <c r="R2183" s="28">
        <f t="shared" si="16"/>
        <v>12.460419583336465</v>
      </c>
      <c r="S2183" s="28">
        <v>5.6519512499999998</v>
      </c>
    </row>
    <row r="2184" spans="1:19" x14ac:dyDescent="0.25">
      <c r="A2184" s="28">
        <v>2023</v>
      </c>
      <c r="B2184" s="28"/>
      <c r="C2184" s="28" t="s">
        <v>1275</v>
      </c>
      <c r="D2184" s="28" t="s">
        <v>2087</v>
      </c>
      <c r="E2184" s="28" t="s">
        <v>1276</v>
      </c>
      <c r="F2184" s="28" t="s">
        <v>366</v>
      </c>
      <c r="G2184" s="28">
        <v>93033</v>
      </c>
      <c r="H2184" s="28">
        <v>34.141618999999999</v>
      </c>
      <c r="I2184" s="28">
        <v>-119.184014</v>
      </c>
      <c r="J2184" s="28"/>
      <c r="K2184" s="61">
        <v>110070097306</v>
      </c>
      <c r="L2184" s="61" t="str">
        <f>IFERROR(INDEX('Facility Summary'!$K:$K,MATCH(K2184,'Facility Summary'!$J:$J,0)),INDEX('Raw Annual DMR Data'!$M:$M,MATCH(K2184,'Raw Annual DMR Data'!$L:$L,0)))</f>
        <v>POTW</v>
      </c>
      <c r="M2184" s="28"/>
      <c r="N2184" s="28"/>
      <c r="O2184" s="28"/>
      <c r="P2184" s="28"/>
      <c r="Q2184" s="28"/>
      <c r="R2184" s="28">
        <f t="shared" si="16"/>
        <v>12.044271192216041</v>
      </c>
      <c r="S2184" s="28">
        <v>5.4631895149999998</v>
      </c>
    </row>
    <row r="2185" spans="1:19" x14ac:dyDescent="0.25">
      <c r="A2185" s="28">
        <v>2021</v>
      </c>
      <c r="B2185" s="28"/>
      <c r="C2185" s="28" t="s">
        <v>1275</v>
      </c>
      <c r="D2185" s="28" t="s">
        <v>2087</v>
      </c>
      <c r="E2185" s="28" t="s">
        <v>1276</v>
      </c>
      <c r="F2185" s="28" t="s">
        <v>366</v>
      </c>
      <c r="G2185" s="28">
        <v>93033</v>
      </c>
      <c r="H2185" s="28">
        <v>34.141618999999999</v>
      </c>
      <c r="I2185" s="28">
        <v>-119.184014</v>
      </c>
      <c r="J2185" s="28"/>
      <c r="K2185" s="61">
        <v>110070097306</v>
      </c>
      <c r="L2185" s="61" t="str">
        <f>IFERROR(INDEX('Facility Summary'!$K:$K,MATCH(K2185,'Facility Summary'!$J:$J,0)),INDEX('Raw Annual DMR Data'!$M:$M,MATCH(K2185,'Raw Annual DMR Data'!$L:$L,0)))</f>
        <v>POTW</v>
      </c>
      <c r="M2185" s="28"/>
      <c r="N2185" s="28"/>
      <c r="O2185" s="28"/>
      <c r="P2185" s="28"/>
      <c r="Q2185" s="28"/>
      <c r="R2185" s="28">
        <f t="shared" si="16"/>
        <v>2.074571200348895</v>
      </c>
      <c r="S2185" s="28">
        <v>0.94100966750000004</v>
      </c>
    </row>
    <row r="2186" spans="1:19" x14ac:dyDescent="0.25">
      <c r="A2186" s="28">
        <v>2022</v>
      </c>
      <c r="B2186" s="28"/>
      <c r="C2186" s="28" t="s">
        <v>1275</v>
      </c>
      <c r="D2186" s="28" t="s">
        <v>2087</v>
      </c>
      <c r="E2186" s="28" t="s">
        <v>1276</v>
      </c>
      <c r="F2186" s="28" t="s">
        <v>366</v>
      </c>
      <c r="G2186" s="28">
        <v>93033</v>
      </c>
      <c r="H2186" s="28">
        <v>34.141618999999999</v>
      </c>
      <c r="I2186" s="28">
        <v>-119.184014</v>
      </c>
      <c r="J2186" s="28"/>
      <c r="K2186" s="61">
        <v>110070097306</v>
      </c>
      <c r="L2186" s="61" t="str">
        <f>IFERROR(INDEX('Facility Summary'!$K:$K,MATCH(K2186,'Facility Summary'!$J:$J,0)),INDEX('Raw Annual DMR Data'!$M:$M,MATCH(K2186,'Raw Annual DMR Data'!$L:$L,0)))</f>
        <v>POTW</v>
      </c>
      <c r="M2186" s="28"/>
      <c r="N2186" s="28"/>
      <c r="O2186" s="28"/>
      <c r="P2186" s="28"/>
      <c r="Q2186" s="28"/>
      <c r="R2186" s="28">
        <f t="shared" si="16"/>
        <v>1.6509820215891196</v>
      </c>
      <c r="S2186" s="28">
        <v>0.74887284799999998</v>
      </c>
    </row>
    <row r="2187" spans="1:19" x14ac:dyDescent="0.25">
      <c r="A2187" s="28">
        <v>2021</v>
      </c>
      <c r="B2187" s="28"/>
      <c r="C2187" s="28" t="s">
        <v>179</v>
      </c>
      <c r="D2187" s="28" t="s">
        <v>6970</v>
      </c>
      <c r="E2187" s="28" t="s">
        <v>590</v>
      </c>
      <c r="F2187" s="28" t="s">
        <v>362</v>
      </c>
      <c r="G2187" s="28">
        <v>77536</v>
      </c>
      <c r="H2187" s="28">
        <v>29.726130000000001</v>
      </c>
      <c r="I2187" s="28">
        <v>-95.108019999999996</v>
      </c>
      <c r="J2187" s="28" t="s">
        <v>591</v>
      </c>
      <c r="K2187" s="61">
        <v>110043782788</v>
      </c>
      <c r="L2187" s="61" t="str">
        <f>IFERROR(INDEX('Facility Summary'!$K:$K,MATCH(K2187,'Facility Summary'!$J:$J,0)),INDEX('Raw Annual DMR Data'!$M:$M,MATCH(K2187,'Raw Annual DMR Data'!$L:$L,0)))</f>
        <v>Processing as a Reactant</v>
      </c>
      <c r="M2187" s="28"/>
      <c r="N2187" s="28"/>
      <c r="O2187" s="28"/>
      <c r="P2187" s="28"/>
      <c r="Q2187" s="28"/>
      <c r="R2187" s="28">
        <f t="shared" si="16"/>
        <v>118.25987505036736</v>
      </c>
      <c r="S2187" s="28">
        <v>53.641776999999998</v>
      </c>
    </row>
    <row r="2188" spans="1:19" x14ac:dyDescent="0.25">
      <c r="A2188" s="28">
        <v>2024</v>
      </c>
      <c r="B2188" s="28"/>
      <c r="C2188" s="28" t="s">
        <v>179</v>
      </c>
      <c r="D2188" s="28" t="s">
        <v>6970</v>
      </c>
      <c r="E2188" s="28" t="s">
        <v>590</v>
      </c>
      <c r="F2188" s="28" t="s">
        <v>362</v>
      </c>
      <c r="G2188" s="28">
        <v>77536</v>
      </c>
      <c r="H2188" s="28">
        <v>29.726130000000001</v>
      </c>
      <c r="I2188" s="28">
        <v>-95.108019999999996</v>
      </c>
      <c r="J2188" s="28" t="s">
        <v>591</v>
      </c>
      <c r="K2188" s="61">
        <v>110043782788</v>
      </c>
      <c r="L2188" s="61" t="str">
        <f>IFERROR(INDEX('Facility Summary'!$K:$K,MATCH(K2188,'Facility Summary'!$J:$J,0)),INDEX('Raw Annual DMR Data'!$M:$M,MATCH(K2188,'Raw Annual DMR Data'!$L:$L,0)))</f>
        <v>Processing as a Reactant</v>
      </c>
      <c r="M2188" s="28"/>
      <c r="N2188" s="28"/>
      <c r="O2188" s="28"/>
      <c r="P2188" s="28"/>
      <c r="Q2188" s="28"/>
      <c r="R2188" s="28">
        <f t="shared" si="16"/>
        <v>117.31694693188953</v>
      </c>
      <c r="S2188" s="28">
        <v>53.214072000000002</v>
      </c>
    </row>
    <row r="2189" spans="1:19" x14ac:dyDescent="0.25">
      <c r="A2189" s="28">
        <v>2023</v>
      </c>
      <c r="B2189" s="28"/>
      <c r="C2189" s="28" t="s">
        <v>179</v>
      </c>
      <c r="D2189" s="28" t="s">
        <v>6970</v>
      </c>
      <c r="E2189" s="28" t="s">
        <v>590</v>
      </c>
      <c r="F2189" s="28" t="s">
        <v>362</v>
      </c>
      <c r="G2189" s="28">
        <v>77536</v>
      </c>
      <c r="H2189" s="28">
        <v>29.726130000000001</v>
      </c>
      <c r="I2189" s="28">
        <v>-95.108019999999996</v>
      </c>
      <c r="J2189" s="28" t="s">
        <v>591</v>
      </c>
      <c r="K2189" s="61">
        <v>110043782788</v>
      </c>
      <c r="L2189" s="61" t="str">
        <f>IFERROR(INDEX('Facility Summary'!$K:$K,MATCH(K2189,'Facility Summary'!$J:$J,0)),INDEX('Raw Annual DMR Data'!$M:$M,MATCH(K2189,'Raw Annual DMR Data'!$L:$L,0)))</f>
        <v>Processing as a Reactant</v>
      </c>
      <c r="M2189" s="28"/>
      <c r="N2189" s="28"/>
      <c r="O2189" s="28"/>
      <c r="P2189" s="28"/>
      <c r="Q2189" s="28"/>
      <c r="R2189" s="28">
        <f t="shared" si="16"/>
        <v>86.13523194845628</v>
      </c>
      <c r="S2189" s="28">
        <v>39.070284000000001</v>
      </c>
    </row>
    <row r="2190" spans="1:19" x14ac:dyDescent="0.25">
      <c r="A2190" s="28">
        <v>2024</v>
      </c>
      <c r="B2190" s="28"/>
      <c r="C2190" s="28" t="s">
        <v>6789</v>
      </c>
      <c r="D2190" s="28" t="s">
        <v>6940</v>
      </c>
      <c r="E2190" s="28" t="s">
        <v>302</v>
      </c>
      <c r="F2190" s="28" t="s">
        <v>303</v>
      </c>
      <c r="G2190" s="28">
        <v>70807</v>
      </c>
      <c r="H2190" s="28">
        <v>30.584540000000001</v>
      </c>
      <c r="I2190" s="28">
        <v>-91.247479999999996</v>
      </c>
      <c r="J2190" s="28"/>
      <c r="K2190" s="61">
        <v>110064644782</v>
      </c>
      <c r="L2190" s="61" t="str">
        <f>IFERROR(INDEX('Facility Summary'!$K:$K,MATCH(K2190,'Facility Summary'!$J:$J,0)),INDEX('Raw Annual DMR Data'!$M:$M,MATCH(K2190,'Raw Annual DMR Data'!$L:$L,0)))</f>
        <v>Remediation</v>
      </c>
      <c r="M2190" s="28"/>
      <c r="N2190" s="28"/>
      <c r="O2190" s="28"/>
      <c r="P2190" s="28"/>
      <c r="Q2190" s="28"/>
      <c r="R2190" s="28">
        <f t="shared" si="16"/>
        <v>0.20999447284574033</v>
      </c>
      <c r="S2190" s="28">
        <v>9.5251890625000002E-2</v>
      </c>
    </row>
    <row r="2191" spans="1:19" x14ac:dyDescent="0.25">
      <c r="A2191" s="28">
        <v>2023</v>
      </c>
      <c r="B2191" s="28"/>
      <c r="C2191" s="28" t="s">
        <v>6789</v>
      </c>
      <c r="D2191" s="28" t="s">
        <v>6940</v>
      </c>
      <c r="E2191" s="28" t="s">
        <v>302</v>
      </c>
      <c r="F2191" s="28" t="s">
        <v>303</v>
      </c>
      <c r="G2191" s="28">
        <v>70807</v>
      </c>
      <c r="H2191" s="28">
        <v>30.584540000000001</v>
      </c>
      <c r="I2191" s="28">
        <v>-91.247479999999996</v>
      </c>
      <c r="J2191" s="28"/>
      <c r="K2191" s="61">
        <v>110064644782</v>
      </c>
      <c r="L2191" s="61" t="str">
        <f>IFERROR(INDEX('Facility Summary'!$K:$K,MATCH(K2191,'Facility Summary'!$J:$J,0)),INDEX('Raw Annual DMR Data'!$M:$M,MATCH(K2191,'Raw Annual DMR Data'!$L:$L,0)))</f>
        <v>Remediation</v>
      </c>
      <c r="M2191" s="28"/>
      <c r="N2191" s="28"/>
      <c r="O2191" s="28"/>
      <c r="P2191" s="28"/>
      <c r="Q2191" s="28"/>
      <c r="R2191" s="28">
        <f t="shared" si="16"/>
        <v>4.2958995661677463E-2</v>
      </c>
      <c r="S2191" s="28">
        <v>1.9485872655E-2</v>
      </c>
    </row>
    <row r="2192" spans="1:19" x14ac:dyDescent="0.25">
      <c r="A2192" s="28">
        <v>2024</v>
      </c>
      <c r="B2192" s="28"/>
      <c r="C2192" s="28" t="s">
        <v>6789</v>
      </c>
      <c r="D2192" s="28" t="s">
        <v>6940</v>
      </c>
      <c r="E2192" s="28" t="s">
        <v>302</v>
      </c>
      <c r="F2192" s="28" t="s">
        <v>303</v>
      </c>
      <c r="G2192" s="28">
        <v>70807</v>
      </c>
      <c r="H2192" s="28">
        <v>30.584540000000001</v>
      </c>
      <c r="I2192" s="28">
        <v>-91.247479999999996</v>
      </c>
      <c r="J2192" s="28"/>
      <c r="K2192" s="61">
        <v>110064644782</v>
      </c>
      <c r="L2192" s="61" t="str">
        <f>IFERROR(INDEX('Facility Summary'!$K:$K,MATCH(K2192,'Facility Summary'!$J:$J,0)),INDEX('Raw Annual DMR Data'!$M:$M,MATCH(K2192,'Raw Annual DMR Data'!$L:$L,0)))</f>
        <v>Remediation</v>
      </c>
      <c r="M2192" s="28"/>
      <c r="N2192" s="28"/>
      <c r="O2192" s="28"/>
      <c r="P2192" s="28"/>
      <c r="Q2192" s="28"/>
      <c r="R2192" s="28">
        <f t="shared" si="16"/>
        <v>1.9677887631795919E-2</v>
      </c>
      <c r="S2192" s="28">
        <v>8.9257396874999999E-3</v>
      </c>
    </row>
    <row r="2193" spans="1:19" x14ac:dyDescent="0.25">
      <c r="A2193" s="28">
        <v>2021</v>
      </c>
      <c r="B2193" s="28"/>
      <c r="C2193" s="28" t="s">
        <v>6789</v>
      </c>
      <c r="D2193" s="28" t="s">
        <v>6940</v>
      </c>
      <c r="E2193" s="28" t="s">
        <v>302</v>
      </c>
      <c r="F2193" s="28" t="s">
        <v>303</v>
      </c>
      <c r="G2193" s="28">
        <v>70807</v>
      </c>
      <c r="H2193" s="28">
        <v>30.584540000000001</v>
      </c>
      <c r="I2193" s="28">
        <v>-91.247479999999996</v>
      </c>
      <c r="J2193" s="28"/>
      <c r="K2193" s="61">
        <v>110064644782</v>
      </c>
      <c r="L2193" s="61" t="str">
        <f>IFERROR(INDEX('Facility Summary'!$K:$K,MATCH(K2193,'Facility Summary'!$J:$J,0)),INDEX('Raw Annual DMR Data'!$M:$M,MATCH(K2193,'Raw Annual DMR Data'!$L:$L,0)))</f>
        <v>Remediation</v>
      </c>
      <c r="M2193" s="28"/>
      <c r="N2193" s="28"/>
      <c r="O2193" s="28"/>
      <c r="P2193" s="28"/>
      <c r="Q2193" s="28"/>
      <c r="R2193" s="28">
        <f t="shared" si="16"/>
        <v>1.1054789127074601E-2</v>
      </c>
      <c r="S2193" s="28">
        <v>5.014368E-3</v>
      </c>
    </row>
    <row r="2194" spans="1:19" x14ac:dyDescent="0.25">
      <c r="A2194" s="28">
        <v>2021</v>
      </c>
      <c r="B2194" s="28"/>
      <c r="C2194" s="28" t="s">
        <v>1277</v>
      </c>
      <c r="D2194" s="28" t="s">
        <v>2089</v>
      </c>
      <c r="E2194" s="28" t="s">
        <v>1278</v>
      </c>
      <c r="F2194" s="28" t="s">
        <v>324</v>
      </c>
      <c r="G2194" s="28">
        <v>42001</v>
      </c>
      <c r="H2194" s="28">
        <v>37.021974</v>
      </c>
      <c r="I2194" s="28">
        <v>-88.512833000000001</v>
      </c>
      <c r="J2194" s="28"/>
      <c r="K2194" s="61">
        <v>110006367136</v>
      </c>
      <c r="L2194" s="61" t="str">
        <f>IFERROR(INDEX('Facility Summary'!$K:$K,MATCH(K2194,'Facility Summary'!$J:$J,0)),INDEX('Raw Annual DMR Data'!$M:$M,MATCH(K2194,'Raw Annual DMR Data'!$L:$L,0)))</f>
        <v>POTW</v>
      </c>
      <c r="M2194" s="28"/>
      <c r="N2194" s="28"/>
      <c r="O2194" s="28"/>
      <c r="P2194" s="28"/>
      <c r="Q2194" s="28"/>
      <c r="R2194" s="28">
        <f t="shared" si="16"/>
        <v>4.3782530722463431</v>
      </c>
      <c r="S2194" s="28">
        <v>1.9859421875000001</v>
      </c>
    </row>
    <row r="2195" spans="1:19" x14ac:dyDescent="0.25">
      <c r="A2195" s="28">
        <v>2024</v>
      </c>
      <c r="B2195" s="28"/>
      <c r="C2195" s="28" t="s">
        <v>1277</v>
      </c>
      <c r="D2195" s="28" t="s">
        <v>2089</v>
      </c>
      <c r="E2195" s="28" t="s">
        <v>1278</v>
      </c>
      <c r="F2195" s="28" t="s">
        <v>324</v>
      </c>
      <c r="G2195" s="28">
        <v>42001</v>
      </c>
      <c r="H2195" s="28">
        <v>37.021974</v>
      </c>
      <c r="I2195" s="28">
        <v>-88.512833000000001</v>
      </c>
      <c r="J2195" s="28"/>
      <c r="K2195" s="61">
        <v>110006367136</v>
      </c>
      <c r="L2195" s="61" t="str">
        <f>IFERROR(INDEX('Facility Summary'!$K:$K,MATCH(K2195,'Facility Summary'!$J:$J,0)),INDEX('Raw Annual DMR Data'!$M:$M,MATCH(K2195,'Raw Annual DMR Data'!$L:$L,0)))</f>
        <v>POTW</v>
      </c>
      <c r="M2195" s="28"/>
      <c r="N2195" s="28"/>
      <c r="O2195" s="28"/>
      <c r="P2195" s="28"/>
      <c r="Q2195" s="28"/>
      <c r="R2195" s="28">
        <f t="shared" si="16"/>
        <v>2.6376119377845795</v>
      </c>
      <c r="S2195" s="28">
        <v>1.19640065</v>
      </c>
    </row>
    <row r="2196" spans="1:19" x14ac:dyDescent="0.25">
      <c r="A2196" s="28">
        <v>2022</v>
      </c>
      <c r="B2196" s="28"/>
      <c r="C2196" s="28" t="s">
        <v>1277</v>
      </c>
      <c r="D2196" s="28" t="s">
        <v>2089</v>
      </c>
      <c r="E2196" s="28" t="s">
        <v>1278</v>
      </c>
      <c r="F2196" s="28" t="s">
        <v>324</v>
      </c>
      <c r="G2196" s="28">
        <v>42001</v>
      </c>
      <c r="H2196" s="28">
        <v>37.021974</v>
      </c>
      <c r="I2196" s="28">
        <v>-88.512833000000001</v>
      </c>
      <c r="J2196" s="28"/>
      <c r="K2196" s="61">
        <v>110006367136</v>
      </c>
      <c r="L2196" s="61" t="str">
        <f>IFERROR(INDEX('Facility Summary'!$K:$K,MATCH(K2196,'Facility Summary'!$J:$J,0)),INDEX('Raw Annual DMR Data'!$M:$M,MATCH(K2196,'Raw Annual DMR Data'!$L:$L,0)))</f>
        <v>POTW</v>
      </c>
      <c r="M2196" s="28"/>
      <c r="N2196" s="28"/>
      <c r="O2196" s="28"/>
      <c r="P2196" s="28"/>
      <c r="Q2196" s="28"/>
      <c r="R2196" s="28">
        <f t="shared" si="16"/>
        <v>1.4680472910071216</v>
      </c>
      <c r="S2196" s="28">
        <v>0.66589505000000004</v>
      </c>
    </row>
    <row r="2197" spans="1:19" x14ac:dyDescent="0.25">
      <c r="A2197" s="28">
        <v>2023</v>
      </c>
      <c r="B2197" s="28"/>
      <c r="C2197" s="28" t="s">
        <v>1277</v>
      </c>
      <c r="D2197" s="28" t="s">
        <v>2089</v>
      </c>
      <c r="E2197" s="28" t="s">
        <v>1278</v>
      </c>
      <c r="F2197" s="28" t="s">
        <v>324</v>
      </c>
      <c r="G2197" s="28">
        <v>42001</v>
      </c>
      <c r="H2197" s="28">
        <v>37.021974</v>
      </c>
      <c r="I2197" s="28">
        <v>-88.512833000000001</v>
      </c>
      <c r="J2197" s="28"/>
      <c r="K2197" s="61">
        <v>110006367136</v>
      </c>
      <c r="L2197" s="61" t="str">
        <f>IFERROR(INDEX('Facility Summary'!$K:$K,MATCH(K2197,'Facility Summary'!$J:$J,0)),INDEX('Raw Annual DMR Data'!$M:$M,MATCH(K2197,'Raw Annual DMR Data'!$L:$L,0)))</f>
        <v>POTW</v>
      </c>
      <c r="M2197" s="28"/>
      <c r="N2197" s="28"/>
      <c r="O2197" s="28"/>
      <c r="P2197" s="28"/>
      <c r="Q2197" s="28"/>
      <c r="R2197" s="28">
        <f t="shared" si="16"/>
        <v>1.8030788304485808E-3</v>
      </c>
      <c r="S2197" s="28">
        <v>8.1786279999999999E-4</v>
      </c>
    </row>
    <row r="2198" spans="1:19" x14ac:dyDescent="0.25">
      <c r="A2198" s="28">
        <v>2021</v>
      </c>
      <c r="B2198" s="28"/>
      <c r="C2198" s="28" t="s">
        <v>6826</v>
      </c>
      <c r="D2198" s="28" t="s">
        <v>2096</v>
      </c>
      <c r="E2198" s="28" t="s">
        <v>1284</v>
      </c>
      <c r="F2198" s="28" t="s">
        <v>324</v>
      </c>
      <c r="G2198" s="28" t="s">
        <v>2097</v>
      </c>
      <c r="H2198" s="28">
        <v>38.223610999999998</v>
      </c>
      <c r="I2198" s="28">
        <v>-84.253332999999998</v>
      </c>
      <c r="J2198" s="28"/>
      <c r="K2198" s="61">
        <v>110000551082</v>
      </c>
      <c r="L2198" s="61" t="str">
        <f>IFERROR(INDEX('Facility Summary'!$K:$K,MATCH(K2198,'Facility Summary'!$J:$J,0)),INDEX('Raw Annual DMR Data'!$M:$M,MATCH(K2198,'Raw Annual DMR Data'!$L:$L,0)))</f>
        <v>POTW</v>
      </c>
      <c r="M2198" s="28"/>
      <c r="N2198" s="28"/>
      <c r="O2198" s="28"/>
      <c r="P2198" s="28"/>
      <c r="Q2198" s="28"/>
      <c r="R2198" s="28">
        <f t="shared" si="16"/>
        <v>1.3850508414636692E-2</v>
      </c>
      <c r="S2198" s="28">
        <v>6.2824849375E-3</v>
      </c>
    </row>
    <row r="2199" spans="1:19" x14ac:dyDescent="0.25">
      <c r="A2199" s="28">
        <v>2024</v>
      </c>
      <c r="B2199" s="28"/>
      <c r="C2199" s="28" t="s">
        <v>1285</v>
      </c>
      <c r="D2199" s="28" t="s">
        <v>2101</v>
      </c>
      <c r="E2199" s="28" t="s">
        <v>1286</v>
      </c>
      <c r="F2199" s="28" t="s">
        <v>1171</v>
      </c>
      <c r="G2199" s="28">
        <v>96818</v>
      </c>
      <c r="H2199" s="28">
        <v>21.347193999999998</v>
      </c>
      <c r="I2199" s="28">
        <v>-157.943556</v>
      </c>
      <c r="J2199" s="28"/>
      <c r="K2199" s="61">
        <v>110046184516</v>
      </c>
      <c r="L2199" s="61" t="str">
        <f>IFERROR(INDEX('Facility Summary'!$K:$K,MATCH(K2199,'Facility Summary'!$J:$J,0)),INDEX('Raw Annual DMR Data'!$M:$M,MATCH(K2199,'Raw Annual DMR Data'!$L:$L,0)))</f>
        <v>Unknown</v>
      </c>
      <c r="M2199" s="28"/>
      <c r="N2199" s="28"/>
      <c r="O2199" s="28"/>
      <c r="P2199" s="28"/>
      <c r="Q2199" s="28"/>
      <c r="R2199" s="28">
        <f t="shared" si="16"/>
        <v>3.6548895211795558</v>
      </c>
      <c r="S2199" s="28">
        <v>1.6578299999999999</v>
      </c>
    </row>
    <row r="2200" spans="1:19" x14ac:dyDescent="0.25">
      <c r="A2200" s="28">
        <v>2021</v>
      </c>
      <c r="B2200" s="28"/>
      <c r="C2200" s="28" t="s">
        <v>1285</v>
      </c>
      <c r="D2200" s="28" t="s">
        <v>2101</v>
      </c>
      <c r="E2200" s="28" t="s">
        <v>1286</v>
      </c>
      <c r="F2200" s="28" t="s">
        <v>1171</v>
      </c>
      <c r="G2200" s="28">
        <v>96818</v>
      </c>
      <c r="H2200" s="28">
        <v>21.347193999999998</v>
      </c>
      <c r="I2200" s="28">
        <v>-157.943556</v>
      </c>
      <c r="J2200" s="28"/>
      <c r="K2200" s="61">
        <v>110046184516</v>
      </c>
      <c r="L2200" s="61" t="str">
        <f>IFERROR(INDEX('Facility Summary'!$K:$K,MATCH(K2200,'Facility Summary'!$J:$J,0)),INDEX('Raw Annual DMR Data'!$M:$M,MATCH(K2200,'Raw Annual DMR Data'!$L:$L,0)))</f>
        <v>Unknown</v>
      </c>
      <c r="M2200" s="28"/>
      <c r="N2200" s="28"/>
      <c r="O2200" s="28"/>
      <c r="P2200" s="28"/>
      <c r="Q2200" s="28"/>
      <c r="R2200" s="28">
        <f t="shared" si="16"/>
        <v>2.29953465707547</v>
      </c>
      <c r="S2200" s="28">
        <v>1.0430513749999999</v>
      </c>
    </row>
    <row r="2201" spans="1:19" x14ac:dyDescent="0.25">
      <c r="A2201" s="28">
        <v>2023</v>
      </c>
      <c r="B2201" s="28"/>
      <c r="C2201" s="28" t="s">
        <v>1285</v>
      </c>
      <c r="D2201" s="28" t="s">
        <v>2101</v>
      </c>
      <c r="E2201" s="28" t="s">
        <v>1286</v>
      </c>
      <c r="F2201" s="28" t="s">
        <v>1171</v>
      </c>
      <c r="G2201" s="28">
        <v>96818</v>
      </c>
      <c r="H2201" s="28">
        <v>21.347193999999998</v>
      </c>
      <c r="I2201" s="28">
        <v>-157.943556</v>
      </c>
      <c r="J2201" s="28"/>
      <c r="K2201" s="61">
        <v>110046184516</v>
      </c>
      <c r="L2201" s="61" t="str">
        <f>IFERROR(INDEX('Facility Summary'!$K:$K,MATCH(K2201,'Facility Summary'!$J:$J,0)),INDEX('Raw Annual DMR Data'!$M:$M,MATCH(K2201,'Raw Annual DMR Data'!$L:$L,0)))</f>
        <v>Unknown</v>
      </c>
      <c r="M2201" s="28"/>
      <c r="N2201" s="28"/>
      <c r="O2201" s="28"/>
      <c r="P2201" s="28"/>
      <c r="Q2201" s="28"/>
      <c r="R2201" s="28">
        <f t="shared" si="16"/>
        <v>1.8274447605897779</v>
      </c>
      <c r="S2201" s="28">
        <v>0.82891499999999996</v>
      </c>
    </row>
    <row r="2202" spans="1:19" x14ac:dyDescent="0.25">
      <c r="A2202" s="28">
        <v>2022</v>
      </c>
      <c r="B2202" s="28"/>
      <c r="C2202" s="28" t="s">
        <v>1285</v>
      </c>
      <c r="D2202" s="28" t="s">
        <v>2101</v>
      </c>
      <c r="E2202" s="28" t="s">
        <v>1286</v>
      </c>
      <c r="F2202" s="28" t="s">
        <v>1171</v>
      </c>
      <c r="G2202" s="28">
        <v>96818</v>
      </c>
      <c r="H2202" s="28">
        <v>21.347193999999998</v>
      </c>
      <c r="I2202" s="28">
        <v>-157.943556</v>
      </c>
      <c r="J2202" s="28"/>
      <c r="K2202" s="61">
        <v>110046184516</v>
      </c>
      <c r="L2202" s="61" t="str">
        <f>IFERROR(INDEX('Facility Summary'!$K:$K,MATCH(K2202,'Facility Summary'!$J:$J,0)),INDEX('Raw Annual DMR Data'!$M:$M,MATCH(K2202,'Raw Annual DMR Data'!$L:$L,0)))</f>
        <v>Unknown</v>
      </c>
      <c r="M2202" s="28"/>
      <c r="N2202" s="28"/>
      <c r="O2202" s="28"/>
      <c r="P2202" s="28"/>
      <c r="Q2202" s="28"/>
      <c r="R2202" s="28">
        <f t="shared" si="16"/>
        <v>0.60914825352992596</v>
      </c>
      <c r="S2202" s="28">
        <v>0.27630500000000002</v>
      </c>
    </row>
    <row r="2203" spans="1:19" x14ac:dyDescent="0.25">
      <c r="A2203" s="28">
        <v>2024</v>
      </c>
      <c r="B2203" s="28"/>
      <c r="C2203" s="28" t="s">
        <v>1285</v>
      </c>
      <c r="D2203" s="28" t="s">
        <v>2101</v>
      </c>
      <c r="E2203" s="28" t="s">
        <v>1286</v>
      </c>
      <c r="F2203" s="28" t="s">
        <v>1171</v>
      </c>
      <c r="G2203" s="28">
        <v>96818</v>
      </c>
      <c r="H2203" s="28">
        <v>21.347193999999998</v>
      </c>
      <c r="I2203" s="28">
        <v>-157.943556</v>
      </c>
      <c r="J2203" s="28"/>
      <c r="K2203" s="61">
        <v>110046184516</v>
      </c>
      <c r="L2203" s="61" t="str">
        <f>IFERROR(INDEX('Facility Summary'!$K:$K,MATCH(K2203,'Facility Summary'!$J:$J,0)),INDEX('Raw Annual DMR Data'!$M:$M,MATCH(K2203,'Raw Annual DMR Data'!$L:$L,0)))</f>
        <v>Unknown</v>
      </c>
      <c r="M2203" s="28"/>
      <c r="N2203" s="28"/>
      <c r="O2203" s="28"/>
      <c r="P2203" s="28"/>
      <c r="Q2203" s="28"/>
      <c r="R2203" s="28">
        <f t="shared" si="16"/>
        <v>0.45686119014744447</v>
      </c>
      <c r="S2203" s="28">
        <v>0.20722874999999999</v>
      </c>
    </row>
    <row r="2204" spans="1:19" x14ac:dyDescent="0.25">
      <c r="A2204" s="28">
        <v>2023</v>
      </c>
      <c r="B2204" s="28"/>
      <c r="C2204" s="28" t="s">
        <v>180</v>
      </c>
      <c r="D2204" s="28" t="s">
        <v>596</v>
      </c>
      <c r="E2204" s="28" t="s">
        <v>597</v>
      </c>
      <c r="F2204" s="28" t="s">
        <v>338</v>
      </c>
      <c r="G2204" s="28" t="s">
        <v>7093</v>
      </c>
      <c r="H2204" s="28">
        <v>40.52516</v>
      </c>
      <c r="I2204" s="28">
        <v>-74.601039999999998</v>
      </c>
      <c r="J2204" s="28"/>
      <c r="K2204" s="61">
        <v>110070217974</v>
      </c>
      <c r="L2204" s="61" t="str">
        <f>IFERROR(INDEX('Facility Summary'!$K:$K,MATCH(K2204,'Facility Summary'!$J:$J,0)),INDEX('Raw Annual DMR Data'!$M:$M,MATCH(K2204,'Raw Annual DMR Data'!$L:$L,0)))</f>
        <v>Processing into formulation, mixture, or reaction product</v>
      </c>
      <c r="M2204" s="28"/>
      <c r="N2204" s="28"/>
      <c r="O2204" s="28"/>
      <c r="P2204" s="28"/>
      <c r="Q2204" s="28"/>
      <c r="R2204" s="28">
        <f t="shared" si="16"/>
        <v>3.4296945547386522E-3</v>
      </c>
      <c r="S2204" s="28">
        <v>1.55568328146E-3</v>
      </c>
    </row>
    <row r="2205" spans="1:19" x14ac:dyDescent="0.25">
      <c r="A2205" s="28">
        <v>2022</v>
      </c>
      <c r="B2205" s="28"/>
      <c r="C2205" s="28" t="s">
        <v>180</v>
      </c>
      <c r="D2205" s="28" t="s">
        <v>596</v>
      </c>
      <c r="E2205" s="28" t="s">
        <v>597</v>
      </c>
      <c r="F2205" s="28" t="s">
        <v>338</v>
      </c>
      <c r="G2205" s="28">
        <v>8844</v>
      </c>
      <c r="H2205" s="28">
        <v>40.52516</v>
      </c>
      <c r="I2205" s="28">
        <v>-74.601039999999998</v>
      </c>
      <c r="J2205" s="28"/>
      <c r="K2205" s="61">
        <v>110070217974</v>
      </c>
      <c r="L2205" s="61" t="str">
        <f>IFERROR(INDEX('Facility Summary'!$K:$K,MATCH(K2205,'Facility Summary'!$J:$J,0)),INDEX('Raw Annual DMR Data'!$M:$M,MATCH(K2205,'Raw Annual DMR Data'!$L:$L,0)))</f>
        <v>Processing into formulation, mixture, or reaction product</v>
      </c>
      <c r="M2205" s="28"/>
      <c r="N2205" s="28"/>
      <c r="O2205" s="28"/>
      <c r="P2205" s="28"/>
      <c r="Q2205" s="28"/>
      <c r="R2205" s="28">
        <f t="shared" si="16"/>
        <v>2.8106764097409749E-3</v>
      </c>
      <c r="S2205" s="28">
        <v>1.2749013739975E-3</v>
      </c>
    </row>
    <row r="2206" spans="1:19" x14ac:dyDescent="0.25">
      <c r="A2206" s="28">
        <v>2024</v>
      </c>
      <c r="B2206" s="28"/>
      <c r="C2206" s="28" t="s">
        <v>180</v>
      </c>
      <c r="D2206" s="28" t="s">
        <v>596</v>
      </c>
      <c r="E2206" s="28" t="s">
        <v>597</v>
      </c>
      <c r="F2206" s="28" t="s">
        <v>338</v>
      </c>
      <c r="G2206" s="28">
        <v>8844</v>
      </c>
      <c r="H2206" s="28">
        <v>40.52516</v>
      </c>
      <c r="I2206" s="28">
        <v>-74.601039999999998</v>
      </c>
      <c r="J2206" s="28"/>
      <c r="K2206" s="61">
        <v>110070217974</v>
      </c>
      <c r="L2206" s="61" t="str">
        <f>IFERROR(INDEX('Facility Summary'!$K:$K,MATCH(K2206,'Facility Summary'!$J:$J,0)),INDEX('Raw Annual DMR Data'!$M:$M,MATCH(K2206,'Raw Annual DMR Data'!$L:$L,0)))</f>
        <v>Processing into formulation, mixture, or reaction product</v>
      </c>
      <c r="M2206" s="28"/>
      <c r="N2206" s="28"/>
      <c r="O2206" s="28"/>
      <c r="P2206" s="28"/>
      <c r="Q2206" s="28"/>
      <c r="R2206" s="28">
        <f t="shared" si="16"/>
        <v>1.5495659552320069E-3</v>
      </c>
      <c r="S2206" s="28">
        <v>7.02871294105E-4</v>
      </c>
    </row>
    <row r="2207" spans="1:19" x14ac:dyDescent="0.25">
      <c r="A2207" s="28">
        <v>2021</v>
      </c>
      <c r="B2207" s="28"/>
      <c r="C2207" s="28" t="s">
        <v>180</v>
      </c>
      <c r="D2207" s="28" t="s">
        <v>596</v>
      </c>
      <c r="E2207" s="28" t="s">
        <v>597</v>
      </c>
      <c r="F2207" s="28" t="s">
        <v>338</v>
      </c>
      <c r="G2207" s="28">
        <v>8844</v>
      </c>
      <c r="H2207" s="28">
        <v>40.52516</v>
      </c>
      <c r="I2207" s="28">
        <v>-74.601039999999998</v>
      </c>
      <c r="J2207" s="28"/>
      <c r="K2207" s="61">
        <v>110070217974</v>
      </c>
      <c r="L2207" s="61" t="str">
        <f>IFERROR(INDEX('Facility Summary'!$K:$K,MATCH(K2207,'Facility Summary'!$J:$J,0)),INDEX('Raw Annual DMR Data'!$M:$M,MATCH(K2207,'Raw Annual DMR Data'!$L:$L,0)))</f>
        <v>Processing into formulation, mixture, or reaction product</v>
      </c>
      <c r="M2207" s="28"/>
      <c r="N2207" s="28"/>
      <c r="O2207" s="28"/>
      <c r="P2207" s="28"/>
      <c r="Q2207" s="28"/>
      <c r="R2207" s="28">
        <f t="shared" si="16"/>
        <v>1.4470473639139917E-4</v>
      </c>
      <c r="S2207" s="28">
        <v>6.5636964330000001E-5</v>
      </c>
    </row>
    <row r="2208" spans="1:19" x14ac:dyDescent="0.25">
      <c r="A2208" s="28">
        <v>2023</v>
      </c>
      <c r="B2208" s="28"/>
      <c r="C2208" s="28" t="s">
        <v>6789</v>
      </c>
      <c r="D2208" s="28" t="s">
        <v>6940</v>
      </c>
      <c r="E2208" s="28" t="s">
        <v>302</v>
      </c>
      <c r="F2208" s="28" t="s">
        <v>303</v>
      </c>
      <c r="G2208" s="28">
        <v>70807</v>
      </c>
      <c r="H2208" s="28">
        <v>30.584540000000001</v>
      </c>
      <c r="I2208" s="28">
        <v>-91.247479999999996</v>
      </c>
      <c r="J2208" s="28"/>
      <c r="K2208" s="61">
        <v>110064644782</v>
      </c>
      <c r="L2208" s="61" t="str">
        <f>IFERROR(INDEX('Facility Summary'!$K:$K,MATCH(K2208,'Facility Summary'!$J:$J,0)),INDEX('Raw Annual DMR Data'!$M:$M,MATCH(K2208,'Raw Annual DMR Data'!$L:$L,0)))</f>
        <v>Remediation</v>
      </c>
      <c r="M2208" s="28"/>
      <c r="N2208" s="28"/>
      <c r="O2208" s="28"/>
      <c r="P2208" s="28"/>
      <c r="Q2208" s="28"/>
      <c r="R2208" s="28">
        <f t="shared" si="16"/>
        <v>4.4049471169455515E-3</v>
      </c>
      <c r="S2208" s="28">
        <v>1.9980504024999998E-3</v>
      </c>
    </row>
    <row r="2209" spans="1:19" x14ac:dyDescent="0.25">
      <c r="A2209" s="28">
        <v>2021</v>
      </c>
      <c r="B2209" s="28"/>
      <c r="C2209" s="28" t="s">
        <v>6789</v>
      </c>
      <c r="D2209" s="28" t="s">
        <v>6940</v>
      </c>
      <c r="E2209" s="28" t="s">
        <v>302</v>
      </c>
      <c r="F2209" s="28" t="s">
        <v>303</v>
      </c>
      <c r="G2209" s="28">
        <v>70807</v>
      </c>
      <c r="H2209" s="28">
        <v>30.584540000000001</v>
      </c>
      <c r="I2209" s="28">
        <v>-91.247479999999996</v>
      </c>
      <c r="J2209" s="28"/>
      <c r="K2209" s="61">
        <v>110064644782</v>
      </c>
      <c r="L2209" s="61" t="str">
        <f>IFERROR(INDEX('Facility Summary'!$K:$K,MATCH(K2209,'Facility Summary'!$J:$J,0)),INDEX('Raw Annual DMR Data'!$M:$M,MATCH(K2209,'Raw Annual DMR Data'!$L:$L,0)))</f>
        <v>Remediation</v>
      </c>
      <c r="M2209" s="28"/>
      <c r="N2209" s="28"/>
      <c r="O2209" s="28"/>
      <c r="P2209" s="28"/>
      <c r="Q2209" s="28"/>
      <c r="R2209" s="28">
        <f t="shared" si="16"/>
        <v>1.1054789127074602E-3</v>
      </c>
      <c r="S2209" s="28">
        <v>5.0143680000000002E-4</v>
      </c>
    </row>
    <row r="2210" spans="1:19" x14ac:dyDescent="0.25">
      <c r="A2210" s="28">
        <v>2022</v>
      </c>
      <c r="B2210" s="28"/>
      <c r="C2210" s="28" t="s">
        <v>1289</v>
      </c>
      <c r="D2210" s="28" t="s">
        <v>2111</v>
      </c>
      <c r="E2210" s="28" t="s">
        <v>966</v>
      </c>
      <c r="F2210" s="28" t="s">
        <v>491</v>
      </c>
      <c r="G2210" s="28">
        <v>19153</v>
      </c>
      <c r="H2210" s="28">
        <v>39.886130000000001</v>
      </c>
      <c r="I2210" s="28">
        <v>-75.218249999999998</v>
      </c>
      <c r="J2210" s="28"/>
      <c r="K2210" s="61">
        <v>110000542119</v>
      </c>
      <c r="L2210" s="61" t="str">
        <f>IFERROR(INDEX('Facility Summary'!$K:$K,MATCH(K2210,'Facility Summary'!$J:$J,0)),INDEX('Raw Annual DMR Data'!$M:$M,MATCH(K2210,'Raw Annual DMR Data'!$L:$L,0)))</f>
        <v>POTW</v>
      </c>
      <c r="M2210" s="28"/>
      <c r="N2210" s="28"/>
      <c r="O2210" s="28"/>
      <c r="P2210" s="28"/>
      <c r="Q2210" s="28"/>
      <c r="R2210" s="28">
        <f t="shared" si="16"/>
        <v>862.76462553812348</v>
      </c>
      <c r="S2210" s="28">
        <v>391.34345124999999</v>
      </c>
    </row>
    <row r="2211" spans="1:19" x14ac:dyDescent="0.25">
      <c r="A2211" s="28">
        <v>2021</v>
      </c>
      <c r="B2211" s="28"/>
      <c r="C2211" s="28" t="s">
        <v>1289</v>
      </c>
      <c r="D2211" s="28" t="s">
        <v>2111</v>
      </c>
      <c r="E2211" s="28" t="s">
        <v>966</v>
      </c>
      <c r="F2211" s="28" t="s">
        <v>491</v>
      </c>
      <c r="G2211" s="28">
        <v>19153</v>
      </c>
      <c r="H2211" s="28">
        <v>39.886130000000001</v>
      </c>
      <c r="I2211" s="28">
        <v>-75.218249999999998</v>
      </c>
      <c r="J2211" s="28"/>
      <c r="K2211" s="61">
        <v>110000542119</v>
      </c>
      <c r="L2211" s="61" t="str">
        <f>IFERROR(INDEX('Facility Summary'!$K:$K,MATCH(K2211,'Facility Summary'!$J:$J,0)),INDEX('Raw Annual DMR Data'!$M:$M,MATCH(K2211,'Raw Annual DMR Data'!$L:$L,0)))</f>
        <v>POTW</v>
      </c>
      <c r="M2211" s="28"/>
      <c r="N2211" s="28"/>
      <c r="O2211" s="28"/>
      <c r="P2211" s="28"/>
      <c r="Q2211" s="28"/>
      <c r="R2211" s="28">
        <f t="shared" si="16"/>
        <v>677.90899183335023</v>
      </c>
      <c r="S2211" s="28">
        <v>307.49434624999998</v>
      </c>
    </row>
    <row r="2212" spans="1:19" x14ac:dyDescent="0.25">
      <c r="A2212" s="28">
        <v>2024</v>
      </c>
      <c r="B2212" s="28"/>
      <c r="C2212" s="28" t="s">
        <v>1289</v>
      </c>
      <c r="D2212" s="28" t="s">
        <v>2111</v>
      </c>
      <c r="E2212" s="28" t="s">
        <v>966</v>
      </c>
      <c r="F2212" s="28" t="s">
        <v>491</v>
      </c>
      <c r="G2212" s="28">
        <v>19153</v>
      </c>
      <c r="H2212" s="28">
        <v>39.886130000000001</v>
      </c>
      <c r="I2212" s="28">
        <v>-75.218249999999998</v>
      </c>
      <c r="J2212" s="28"/>
      <c r="K2212" s="61">
        <v>110000542119</v>
      </c>
      <c r="L2212" s="61" t="str">
        <f>IFERROR(INDEX('Facility Summary'!$K:$K,MATCH(K2212,'Facility Summary'!$J:$J,0)),INDEX('Raw Annual DMR Data'!$M:$M,MATCH(K2212,'Raw Annual DMR Data'!$L:$L,0)))</f>
        <v>POTW</v>
      </c>
      <c r="M2212" s="28"/>
      <c r="N2212" s="28"/>
      <c r="O2212" s="28"/>
      <c r="P2212" s="28"/>
      <c r="Q2212" s="28"/>
      <c r="R2212" s="28">
        <f t="shared" si="16"/>
        <v>660.49819962800518</v>
      </c>
      <c r="S2212" s="28">
        <v>299.59694374999998</v>
      </c>
    </row>
    <row r="2213" spans="1:19" x14ac:dyDescent="0.25">
      <c r="A2213" s="28">
        <v>2023</v>
      </c>
      <c r="B2213" s="28"/>
      <c r="C2213" s="28" t="s">
        <v>1289</v>
      </c>
      <c r="D2213" s="28" t="s">
        <v>2111</v>
      </c>
      <c r="E2213" s="28" t="s">
        <v>966</v>
      </c>
      <c r="F2213" s="28" t="s">
        <v>491</v>
      </c>
      <c r="G2213" s="28">
        <v>19153</v>
      </c>
      <c r="H2213" s="28">
        <v>39.886130000000001</v>
      </c>
      <c r="I2213" s="28">
        <v>-75.218249999999998</v>
      </c>
      <c r="J2213" s="28"/>
      <c r="K2213" s="61">
        <v>110000542119</v>
      </c>
      <c r="L2213" s="61" t="str">
        <f>IFERROR(INDEX('Facility Summary'!$K:$K,MATCH(K2213,'Facility Summary'!$J:$J,0)),INDEX('Raw Annual DMR Data'!$M:$M,MATCH(K2213,'Raw Annual DMR Data'!$L:$L,0)))</f>
        <v>POTW</v>
      </c>
      <c r="M2213" s="28"/>
      <c r="N2213" s="28"/>
      <c r="O2213" s="28"/>
      <c r="P2213" s="28"/>
      <c r="Q2213" s="28"/>
      <c r="R2213" s="28">
        <f t="shared" si="16"/>
        <v>616.96329184284991</v>
      </c>
      <c r="S2213" s="28">
        <v>279.84984175</v>
      </c>
    </row>
    <row r="2214" spans="1:19" x14ac:dyDescent="0.25">
      <c r="A2214" s="28">
        <v>2024</v>
      </c>
      <c r="B2214" s="28"/>
      <c r="C2214" s="28" t="s">
        <v>1290</v>
      </c>
      <c r="D2214" s="28" t="s">
        <v>2115</v>
      </c>
      <c r="E2214" s="28" t="s">
        <v>544</v>
      </c>
      <c r="F2214" s="28" t="s">
        <v>338</v>
      </c>
      <c r="G2214" s="28">
        <v>7036</v>
      </c>
      <c r="H2214" s="28">
        <v>40.640135000000001</v>
      </c>
      <c r="I2214" s="28">
        <v>-74.218879999999999</v>
      </c>
      <c r="J2214" s="28" t="s">
        <v>730</v>
      </c>
      <c r="K2214" s="61">
        <v>110041133163</v>
      </c>
      <c r="L2214" s="61" t="str">
        <f>IFERROR(INDEX('Facility Summary'!$K:$K,MATCH(K2214,'Facility Summary'!$J:$J,0)),INDEX('Raw Annual DMR Data'!$M:$M,MATCH(K2214,'Raw Annual DMR Data'!$L:$L,0)))</f>
        <v>Unknown</v>
      </c>
      <c r="M2214" s="28"/>
      <c r="N2214" s="28"/>
      <c r="O2214" s="28"/>
      <c r="P2214" s="28"/>
      <c r="Q2214" s="28"/>
      <c r="R2214" s="28">
        <f t="shared" si="16"/>
        <v>5.4233716497479882</v>
      </c>
      <c r="S2214" s="28">
        <v>2.46</v>
      </c>
    </row>
    <row r="2215" spans="1:19" x14ac:dyDescent="0.25">
      <c r="A2215" s="28">
        <v>2023</v>
      </c>
      <c r="B2215" s="28"/>
      <c r="C2215" s="28" t="s">
        <v>1290</v>
      </c>
      <c r="D2215" s="28" t="s">
        <v>2115</v>
      </c>
      <c r="E2215" s="28" t="s">
        <v>544</v>
      </c>
      <c r="F2215" s="28" t="s">
        <v>338</v>
      </c>
      <c r="G2215" s="28" t="s">
        <v>1961</v>
      </c>
      <c r="H2215" s="28">
        <v>40.640135000000001</v>
      </c>
      <c r="I2215" s="28">
        <v>-74.218879999999999</v>
      </c>
      <c r="J2215" s="28" t="s">
        <v>730</v>
      </c>
      <c r="K2215" s="61">
        <v>110041133163</v>
      </c>
      <c r="L2215" s="61" t="str">
        <f>IFERROR(INDEX('Facility Summary'!$K:$K,MATCH(K2215,'Facility Summary'!$J:$J,0)),INDEX('Raw Annual DMR Data'!$M:$M,MATCH(K2215,'Raw Annual DMR Data'!$L:$L,0)))</f>
        <v>Unknown</v>
      </c>
      <c r="M2215" s="28"/>
      <c r="N2215" s="28"/>
      <c r="O2215" s="28"/>
      <c r="P2215" s="28"/>
      <c r="Q2215" s="28"/>
      <c r="R2215" s="28">
        <f t="shared" si="16"/>
        <v>5.081655143361429</v>
      </c>
      <c r="S2215" s="28">
        <v>2.3050000000000002</v>
      </c>
    </row>
    <row r="2216" spans="1:19" x14ac:dyDescent="0.25">
      <c r="A2216" s="28">
        <v>2022</v>
      </c>
      <c r="B2216" s="28"/>
      <c r="C2216" s="28" t="s">
        <v>1290</v>
      </c>
      <c r="D2216" s="28" t="s">
        <v>2115</v>
      </c>
      <c r="E2216" s="28" t="s">
        <v>544</v>
      </c>
      <c r="F2216" s="28" t="s">
        <v>338</v>
      </c>
      <c r="G2216" s="28">
        <v>7036</v>
      </c>
      <c r="H2216" s="28">
        <v>40.640135000000001</v>
      </c>
      <c r="I2216" s="28">
        <v>-74.218879999999999</v>
      </c>
      <c r="J2216" s="28" t="s">
        <v>730</v>
      </c>
      <c r="K2216" s="61">
        <v>110041133163</v>
      </c>
      <c r="L2216" s="61" t="str">
        <f>IFERROR(INDEX('Facility Summary'!$K:$K,MATCH(K2216,'Facility Summary'!$J:$J,0)),INDEX('Raw Annual DMR Data'!$M:$M,MATCH(K2216,'Raw Annual DMR Data'!$L:$L,0)))</f>
        <v>Unknown</v>
      </c>
      <c r="M2216" s="28"/>
      <c r="N2216" s="28"/>
      <c r="O2216" s="28"/>
      <c r="P2216" s="28"/>
      <c r="Q2216" s="28"/>
      <c r="R2216" s="28">
        <f t="shared" si="16"/>
        <v>4.3982221305883078</v>
      </c>
      <c r="S2216" s="28">
        <v>1.9950000000000001</v>
      </c>
    </row>
    <row r="2217" spans="1:19" x14ac:dyDescent="0.25">
      <c r="A2217" s="28">
        <v>2021</v>
      </c>
      <c r="B2217" s="28"/>
      <c r="C2217" s="28" t="s">
        <v>1290</v>
      </c>
      <c r="D2217" s="28" t="s">
        <v>2115</v>
      </c>
      <c r="E2217" s="28" t="s">
        <v>544</v>
      </c>
      <c r="F2217" s="28" t="s">
        <v>338</v>
      </c>
      <c r="G2217" s="28">
        <v>7036</v>
      </c>
      <c r="H2217" s="28">
        <v>40.640135000000001</v>
      </c>
      <c r="I2217" s="28">
        <v>-74.218879999999999</v>
      </c>
      <c r="J2217" s="28" t="s">
        <v>730</v>
      </c>
      <c r="K2217" s="61">
        <v>110041133163</v>
      </c>
      <c r="L2217" s="61" t="str">
        <f>IFERROR(INDEX('Facility Summary'!$K:$K,MATCH(K2217,'Facility Summary'!$J:$J,0)),INDEX('Raw Annual DMR Data'!$M:$M,MATCH(K2217,'Raw Annual DMR Data'!$L:$L,0)))</f>
        <v>Unknown</v>
      </c>
      <c r="M2217" s="28"/>
      <c r="N2217" s="28"/>
      <c r="O2217" s="28"/>
      <c r="P2217" s="28"/>
      <c r="Q2217" s="28"/>
      <c r="R2217" s="28">
        <f t="shared" si="16"/>
        <v>4.0675287373109912</v>
      </c>
      <c r="S2217" s="28">
        <v>1.845</v>
      </c>
    </row>
    <row r="2218" spans="1:19" x14ac:dyDescent="0.25">
      <c r="A2218" s="28">
        <v>2024</v>
      </c>
      <c r="B2218" s="28"/>
      <c r="C2218" s="28" t="s">
        <v>6907</v>
      </c>
      <c r="D2218" s="28" t="s">
        <v>1894</v>
      </c>
      <c r="E2218" s="28" t="s">
        <v>1178</v>
      </c>
      <c r="F2218" s="28" t="s">
        <v>308</v>
      </c>
      <c r="G2218" s="28">
        <v>1803</v>
      </c>
      <c r="H2218" s="28">
        <v>42.481274999999997</v>
      </c>
      <c r="I2218" s="28">
        <v>-71.198278999999999</v>
      </c>
      <c r="J2218" s="28"/>
      <c r="K2218" s="61">
        <v>110045415207</v>
      </c>
      <c r="L2218" s="61" t="str">
        <f>IFERROR(INDEX('Facility Summary'!$K:$K,MATCH(K2218,'Facility Summary'!$J:$J,0)),INDEX('Raw Annual DMR Data'!$M:$M,MATCH(K2218,'Raw Annual DMR Data'!$L:$L,0)))</f>
        <v>Unknown</v>
      </c>
      <c r="M2218" s="28"/>
      <c r="N2218" s="28"/>
      <c r="O2218" s="28"/>
      <c r="P2218" s="28"/>
      <c r="Q2218" s="28"/>
      <c r="R2218" s="28">
        <f t="shared" si="16"/>
        <v>6.0388220693174351E-2</v>
      </c>
      <c r="S2218" s="28">
        <v>2.7391636144299999E-2</v>
      </c>
    </row>
    <row r="2219" spans="1:19" x14ac:dyDescent="0.25">
      <c r="A2219" s="28">
        <v>2024</v>
      </c>
      <c r="B2219" s="28"/>
      <c r="C2219" s="28" t="s">
        <v>1293</v>
      </c>
      <c r="D2219" s="28" t="s">
        <v>2122</v>
      </c>
      <c r="E2219" s="28" t="s">
        <v>1294</v>
      </c>
      <c r="F2219" s="28" t="s">
        <v>324</v>
      </c>
      <c r="G2219" s="28">
        <v>41501</v>
      </c>
      <c r="H2219" s="28">
        <v>37.491857000000003</v>
      </c>
      <c r="I2219" s="28">
        <v>-82.539703000000003</v>
      </c>
      <c r="J2219" s="28"/>
      <c r="K2219" s="61">
        <v>110006644872</v>
      </c>
      <c r="L2219" s="61" t="str">
        <f>IFERROR(INDEX('Facility Summary'!$K:$K,MATCH(K2219,'Facility Summary'!$J:$J,0)),INDEX('Raw Annual DMR Data'!$M:$M,MATCH(K2219,'Raw Annual DMR Data'!$L:$L,0)))</f>
        <v>POTW</v>
      </c>
      <c r="M2219" s="28"/>
      <c r="N2219" s="28"/>
      <c r="O2219" s="28"/>
      <c r="P2219" s="28"/>
      <c r="Q2219" s="28"/>
      <c r="R2219" s="28">
        <f t="shared" si="16"/>
        <v>3.0518327501849289E-3</v>
      </c>
      <c r="S2219" s="28">
        <v>1.38428805E-3</v>
      </c>
    </row>
    <row r="2220" spans="1:19" x14ac:dyDescent="0.25">
      <c r="A2220" s="28">
        <v>2023</v>
      </c>
      <c r="B2220" s="28"/>
      <c r="C2220" s="28" t="s">
        <v>1293</v>
      </c>
      <c r="D2220" s="28" t="s">
        <v>2122</v>
      </c>
      <c r="E2220" s="28" t="s">
        <v>1294</v>
      </c>
      <c r="F2220" s="28" t="s">
        <v>324</v>
      </c>
      <c r="G2220" s="28">
        <v>41501</v>
      </c>
      <c r="H2220" s="28">
        <v>37.491857000000003</v>
      </c>
      <c r="I2220" s="28">
        <v>-82.539703000000003</v>
      </c>
      <c r="J2220" s="28"/>
      <c r="K2220" s="61">
        <v>110006644872</v>
      </c>
      <c r="L2220" s="61" t="str">
        <f>IFERROR(INDEX('Facility Summary'!$K:$K,MATCH(K2220,'Facility Summary'!$J:$J,0)),INDEX('Raw Annual DMR Data'!$M:$M,MATCH(K2220,'Raw Annual DMR Data'!$L:$L,0)))</f>
        <v>POTW</v>
      </c>
      <c r="M2220" s="28"/>
      <c r="N2220" s="28"/>
      <c r="O2220" s="28"/>
      <c r="P2220" s="28"/>
      <c r="Q2220" s="28"/>
      <c r="R2220" s="28">
        <f t="shared" si="16"/>
        <v>2.6938058641727157E-3</v>
      </c>
      <c r="S2220" s="28">
        <v>1.2218897862500001E-3</v>
      </c>
    </row>
    <row r="2221" spans="1:19" x14ac:dyDescent="0.25">
      <c r="A2221" s="28">
        <v>2024</v>
      </c>
      <c r="B2221" s="28"/>
      <c r="C2221" s="28" t="s">
        <v>6832</v>
      </c>
      <c r="D2221" s="28" t="s">
        <v>6985</v>
      </c>
      <c r="E2221" s="28" t="s">
        <v>6986</v>
      </c>
      <c r="F2221" s="28" t="s">
        <v>338</v>
      </c>
      <c r="G2221" s="28">
        <v>8533</v>
      </c>
      <c r="H2221" s="28">
        <v>40.085931000000002</v>
      </c>
      <c r="I2221" s="28">
        <v>-74.536839999999998</v>
      </c>
      <c r="J2221" s="28"/>
      <c r="K2221" s="61">
        <v>110070214056</v>
      </c>
      <c r="L2221" s="61" t="str">
        <f>IFERROR(INDEX('Facility Summary'!$K:$K,MATCH(K2221,'Facility Summary'!$J:$J,0)),INDEX('Raw Annual DMR Data'!$M:$M,MATCH(K2221,'Raw Annual DMR Data'!$L:$L,0)))</f>
        <v>POTW</v>
      </c>
      <c r="M2221" s="28"/>
      <c r="N2221" s="28"/>
      <c r="O2221" s="28"/>
      <c r="P2221" s="28"/>
      <c r="Q2221" s="28"/>
      <c r="R2221" s="28">
        <f t="shared" si="16"/>
        <v>6.019101954360475E-2</v>
      </c>
      <c r="S2221" s="28">
        <v>2.7302187207499998E-2</v>
      </c>
    </row>
    <row r="2222" spans="1:19" x14ac:dyDescent="0.25">
      <c r="A2222" s="28">
        <v>2023</v>
      </c>
      <c r="B2222" s="28"/>
      <c r="C2222" s="28" t="s">
        <v>6832</v>
      </c>
      <c r="D2222" s="28" t="s">
        <v>6985</v>
      </c>
      <c r="E2222" s="28" t="s">
        <v>6986</v>
      </c>
      <c r="F2222" s="28" t="s">
        <v>338</v>
      </c>
      <c r="G2222" s="28" t="s">
        <v>7104</v>
      </c>
      <c r="H2222" s="28">
        <v>40.085931000000002</v>
      </c>
      <c r="I2222" s="28">
        <v>-74.536839999999998</v>
      </c>
      <c r="J2222" s="28"/>
      <c r="K2222" s="61">
        <v>110070214056</v>
      </c>
      <c r="L2222" s="61" t="str">
        <f>IFERROR(INDEX('Facility Summary'!$K:$K,MATCH(K2222,'Facility Summary'!$J:$J,0)),INDEX('Raw Annual DMR Data'!$M:$M,MATCH(K2222,'Raw Annual DMR Data'!$L:$L,0)))</f>
        <v>POTW</v>
      </c>
      <c r="M2222" s="28"/>
      <c r="N2222" s="28"/>
      <c r="O2222" s="28"/>
      <c r="P2222" s="28"/>
      <c r="Q2222" s="28"/>
      <c r="R2222" s="28">
        <f t="shared" si="16"/>
        <v>2.1875969898920478E-2</v>
      </c>
      <c r="S2222" s="28">
        <v>9.9227730325000003E-3</v>
      </c>
    </row>
    <row r="2223" spans="1:19" x14ac:dyDescent="0.25">
      <c r="A2223" s="28">
        <v>2022</v>
      </c>
      <c r="B2223" s="28"/>
      <c r="C2223" s="28" t="s">
        <v>6832</v>
      </c>
      <c r="D2223" s="28" t="s">
        <v>6985</v>
      </c>
      <c r="E2223" s="28" t="s">
        <v>6986</v>
      </c>
      <c r="F2223" s="28" t="s">
        <v>338</v>
      </c>
      <c r="G2223" s="28">
        <v>8533</v>
      </c>
      <c r="H2223" s="28">
        <v>40.085931000000002</v>
      </c>
      <c r="I2223" s="28">
        <v>-74.536839999999998</v>
      </c>
      <c r="J2223" s="28"/>
      <c r="K2223" s="61">
        <v>110070214056</v>
      </c>
      <c r="L2223" s="61" t="str">
        <f>IFERROR(INDEX('Facility Summary'!$K:$K,MATCH(K2223,'Facility Summary'!$J:$J,0)),INDEX('Raw Annual DMR Data'!$M:$M,MATCH(K2223,'Raw Annual DMR Data'!$L:$L,0)))</f>
        <v>POTW</v>
      </c>
      <c r="M2223" s="28"/>
      <c r="N2223" s="28"/>
      <c r="O2223" s="28"/>
      <c r="P2223" s="28"/>
      <c r="Q2223" s="28"/>
      <c r="R2223" s="28">
        <f t="shared" si="16"/>
        <v>4.9665150507271537E-3</v>
      </c>
      <c r="S2223" s="28">
        <v>2.2527733325000002E-3</v>
      </c>
    </row>
    <row r="2224" spans="1:19" x14ac:dyDescent="0.25">
      <c r="A2224" s="28">
        <v>2024</v>
      </c>
      <c r="B2224" s="28"/>
      <c r="C2224" s="28" t="s">
        <v>6857</v>
      </c>
      <c r="D2224" s="28" t="s">
        <v>7018</v>
      </c>
      <c r="E2224" s="28" t="s">
        <v>7019</v>
      </c>
      <c r="F2224" s="28" t="s">
        <v>366</v>
      </c>
      <c r="G2224" s="28">
        <v>94569</v>
      </c>
      <c r="H2224" s="28">
        <v>38.045079999999999</v>
      </c>
      <c r="I2224" s="28">
        <v>-122.18787</v>
      </c>
      <c r="J2224" s="28"/>
      <c r="K2224" s="61">
        <v>110010059293</v>
      </c>
      <c r="L2224" s="61" t="str">
        <f>IFERROR(INDEX('Facility Summary'!$K:$K,MATCH(K2224,'Facility Summary'!$J:$J,0)),INDEX('Raw Annual DMR Data'!$M:$M,MATCH(K2224,'Raw Annual DMR Data'!$L:$L,0)))</f>
        <v>POTW</v>
      </c>
      <c r="M2224" s="28"/>
      <c r="N2224" s="28"/>
      <c r="O2224" s="28"/>
      <c r="P2224" s="28"/>
      <c r="Q2224" s="28"/>
      <c r="R2224" s="28">
        <f t="shared" si="16"/>
        <v>1.3401261577658369E-3</v>
      </c>
      <c r="S2224" s="28">
        <v>6.0787099999999995E-4</v>
      </c>
    </row>
    <row r="2225" spans="1:19" x14ac:dyDescent="0.25">
      <c r="A2225" s="28">
        <v>2023</v>
      </c>
      <c r="B2225" s="28"/>
      <c r="C2225" s="28" t="s">
        <v>6819</v>
      </c>
      <c r="D2225" s="28" t="s">
        <v>377</v>
      </c>
      <c r="E2225" s="28" t="s">
        <v>480</v>
      </c>
      <c r="F2225" s="28" t="s">
        <v>362</v>
      </c>
      <c r="G2225" s="28">
        <v>77978</v>
      </c>
      <c r="H2225" s="28">
        <v>28.643972000000002</v>
      </c>
      <c r="I2225" s="28">
        <v>-96.547583000000003</v>
      </c>
      <c r="J2225" s="28"/>
      <c r="K2225" s="61">
        <v>110063004528</v>
      </c>
      <c r="L2225" s="61" t="str">
        <f>IFERROR(INDEX('Facility Summary'!$K:$K,MATCH(K2225,'Facility Summary'!$J:$J,0)),INDEX('Raw Annual DMR Data'!$M:$M,MATCH(K2225,'Raw Annual DMR Data'!$L:$L,0)))</f>
        <v>Repackaging</v>
      </c>
      <c r="M2225" s="28"/>
      <c r="N2225" s="28"/>
      <c r="O2225" s="28"/>
      <c r="P2225" s="28"/>
      <c r="Q2225" s="28"/>
      <c r="R2225" s="28">
        <f t="shared" si="16"/>
        <v>0.48489869880306852</v>
      </c>
      <c r="S2225" s="28">
        <v>0.21994635000000001</v>
      </c>
    </row>
    <row r="2226" spans="1:19" x14ac:dyDescent="0.25">
      <c r="A2226" s="28">
        <v>2021</v>
      </c>
      <c r="B2226" s="28"/>
      <c r="C2226" s="28" t="s">
        <v>6819</v>
      </c>
      <c r="D2226" s="28" t="s">
        <v>377</v>
      </c>
      <c r="E2226" s="28" t="s">
        <v>480</v>
      </c>
      <c r="F2226" s="28" t="s">
        <v>362</v>
      </c>
      <c r="G2226" s="28">
        <v>77978</v>
      </c>
      <c r="H2226" s="28">
        <v>28.643972000000002</v>
      </c>
      <c r="I2226" s="28">
        <v>-96.547583000000003</v>
      </c>
      <c r="J2226" s="28"/>
      <c r="K2226" s="61">
        <v>110063004528</v>
      </c>
      <c r="L2226" s="61" t="str">
        <f>IFERROR(INDEX('Facility Summary'!$K:$K,MATCH(K2226,'Facility Summary'!$J:$J,0)),INDEX('Raw Annual DMR Data'!$M:$M,MATCH(K2226,'Raw Annual DMR Data'!$L:$L,0)))</f>
        <v>Repackaging</v>
      </c>
      <c r="M2226" s="28"/>
      <c r="N2226" s="28"/>
      <c r="O2226" s="28"/>
      <c r="P2226" s="28"/>
      <c r="Q2226" s="28"/>
      <c r="R2226" s="28">
        <f t="shared" si="16"/>
        <v>5.5280621232671967E-2</v>
      </c>
      <c r="S2226" s="28">
        <v>2.5074868E-2</v>
      </c>
    </row>
    <row r="2227" spans="1:19" x14ac:dyDescent="0.25">
      <c r="A2227" s="28">
        <v>2022</v>
      </c>
      <c r="B2227" s="28"/>
      <c r="C2227" s="28" t="s">
        <v>6813</v>
      </c>
      <c r="D2227" s="28" t="s">
        <v>6967</v>
      </c>
      <c r="E2227" s="28" t="s">
        <v>968</v>
      </c>
      <c r="F2227" s="28" t="s">
        <v>294</v>
      </c>
      <c r="G2227" s="28">
        <v>22305</v>
      </c>
      <c r="H2227" s="28">
        <v>38.840083999999997</v>
      </c>
      <c r="I2227" s="28">
        <v>-77.048516000000006</v>
      </c>
      <c r="J2227" s="28"/>
      <c r="K2227" s="61">
        <v>110070949081</v>
      </c>
      <c r="L2227" s="61" t="str">
        <f>IFERROR(INDEX('Facility Summary'!$K:$K,MATCH(K2227,'Facility Summary'!$J:$J,0)),INDEX('Raw Annual DMR Data'!$M:$M,MATCH(K2227,'Raw Annual DMR Data'!$L:$L,0)))</f>
        <v>Unknown</v>
      </c>
      <c r="M2227" s="28"/>
      <c r="N2227" s="28"/>
      <c r="O2227" s="28"/>
      <c r="P2227" s="28"/>
      <c r="Q2227" s="28"/>
      <c r="R2227" s="28">
        <f t="shared" si="16"/>
        <v>8.1925850626632005E-2</v>
      </c>
      <c r="S2227" s="28">
        <v>3.7160940750000003E-2</v>
      </c>
    </row>
    <row r="2228" spans="1:19" x14ac:dyDescent="0.25">
      <c r="A2228" s="28">
        <v>2021</v>
      </c>
      <c r="B2228" s="28"/>
      <c r="C2228" s="28" t="s">
        <v>6813</v>
      </c>
      <c r="D2228" s="28" t="s">
        <v>6967</v>
      </c>
      <c r="E2228" s="28" t="s">
        <v>968</v>
      </c>
      <c r="F2228" s="28" t="s">
        <v>294</v>
      </c>
      <c r="G2228" s="28">
        <v>22305</v>
      </c>
      <c r="H2228" s="28">
        <v>38.840083999999997</v>
      </c>
      <c r="I2228" s="28">
        <v>-77.048516000000006</v>
      </c>
      <c r="J2228" s="28"/>
      <c r="K2228" s="61">
        <v>110070949081</v>
      </c>
      <c r="L2228" s="61" t="str">
        <f>IFERROR(INDEX('Facility Summary'!$K:$K,MATCH(K2228,'Facility Summary'!$J:$J,0)),INDEX('Raw Annual DMR Data'!$M:$M,MATCH(K2228,'Raw Annual DMR Data'!$L:$L,0)))</f>
        <v>Unknown</v>
      </c>
      <c r="M2228" s="28"/>
      <c r="N2228" s="28"/>
      <c r="O2228" s="28"/>
      <c r="P2228" s="28"/>
      <c r="Q2228" s="28"/>
      <c r="R2228" s="28">
        <f t="shared" si="16"/>
        <v>6.6803655827430461E-2</v>
      </c>
      <c r="S2228" s="28">
        <v>3.0301628571428499E-2</v>
      </c>
    </row>
    <row r="2229" spans="1:19" x14ac:dyDescent="0.25">
      <c r="A2229" s="28">
        <v>2021</v>
      </c>
      <c r="B2229" s="28"/>
      <c r="C2229" s="28" t="s">
        <v>1300</v>
      </c>
      <c r="D2229" s="28" t="s">
        <v>2135</v>
      </c>
      <c r="E2229" s="28" t="s">
        <v>968</v>
      </c>
      <c r="F2229" s="28" t="s">
        <v>294</v>
      </c>
      <c r="G2229" s="28">
        <v>22301</v>
      </c>
      <c r="H2229" s="28">
        <v>38.828830000000004</v>
      </c>
      <c r="I2229" s="28">
        <v>-77.049679999999995</v>
      </c>
      <c r="J2229" s="28"/>
      <c r="K2229" s="61">
        <v>110070884091</v>
      </c>
      <c r="L2229" s="61" t="str">
        <f>IFERROR(INDEX('Facility Summary'!$K:$K,MATCH(K2229,'Facility Summary'!$J:$J,0)),INDEX('Raw Annual DMR Data'!$M:$M,MATCH(K2229,'Raw Annual DMR Data'!$L:$L,0)))</f>
        <v>Unknown</v>
      </c>
      <c r="M2229" s="28"/>
      <c r="N2229" s="28"/>
      <c r="O2229" s="28"/>
      <c r="P2229" s="28"/>
      <c r="Q2229" s="28"/>
      <c r="R2229" s="28">
        <f t="shared" si="16"/>
        <v>0.26813274621991545</v>
      </c>
      <c r="S2229" s="28">
        <v>0.1216229678325</v>
      </c>
    </row>
    <row r="2230" spans="1:19" x14ac:dyDescent="0.25">
      <c r="A2230" s="28">
        <v>2021</v>
      </c>
      <c r="B2230" s="28"/>
      <c r="C2230" s="28" t="s">
        <v>1300</v>
      </c>
      <c r="D2230" s="28" t="s">
        <v>2135</v>
      </c>
      <c r="E2230" s="28" t="s">
        <v>968</v>
      </c>
      <c r="F2230" s="28" t="s">
        <v>294</v>
      </c>
      <c r="G2230" s="28">
        <v>22301</v>
      </c>
      <c r="H2230" s="28">
        <v>38.828830000000004</v>
      </c>
      <c r="I2230" s="28">
        <v>-77.049679999999995</v>
      </c>
      <c r="J2230" s="28"/>
      <c r="K2230" s="61">
        <v>110070884091</v>
      </c>
      <c r="L2230" s="61" t="str">
        <f>IFERROR(INDEX('Facility Summary'!$K:$K,MATCH(K2230,'Facility Summary'!$J:$J,0)),INDEX('Raw Annual DMR Data'!$M:$M,MATCH(K2230,'Raw Annual DMR Data'!$L:$L,0)))</f>
        <v>Unknown</v>
      </c>
      <c r="M2230" s="28"/>
      <c r="N2230" s="28"/>
      <c r="O2230" s="28"/>
      <c r="P2230" s="28"/>
      <c r="Q2230" s="28"/>
      <c r="R2230" s="28">
        <f t="shared" si="16"/>
        <v>0.26813274621991545</v>
      </c>
      <c r="S2230" s="28">
        <v>0.1216229678325</v>
      </c>
    </row>
    <row r="2231" spans="1:19" x14ac:dyDescent="0.25">
      <c r="A2231" s="28">
        <v>2022</v>
      </c>
      <c r="B2231" s="28"/>
      <c r="C2231" s="28" t="s">
        <v>1300</v>
      </c>
      <c r="D2231" s="28" t="s">
        <v>2135</v>
      </c>
      <c r="E2231" s="28" t="s">
        <v>968</v>
      </c>
      <c r="F2231" s="28" t="s">
        <v>294</v>
      </c>
      <c r="G2231" s="28">
        <v>22301</v>
      </c>
      <c r="H2231" s="28">
        <v>38.828830000000004</v>
      </c>
      <c r="I2231" s="28">
        <v>-77.049679999999995</v>
      </c>
      <c r="J2231" s="28"/>
      <c r="K2231" s="61">
        <v>110070884091</v>
      </c>
      <c r="L2231" s="61" t="str">
        <f>IFERROR(INDEX('Facility Summary'!$K:$K,MATCH(K2231,'Facility Summary'!$J:$J,0)),INDEX('Raw Annual DMR Data'!$M:$M,MATCH(K2231,'Raw Annual DMR Data'!$L:$L,0)))</f>
        <v>Unknown</v>
      </c>
      <c r="M2231" s="28"/>
      <c r="N2231" s="28"/>
      <c r="O2231" s="28"/>
      <c r="P2231" s="28"/>
      <c r="Q2231" s="28"/>
      <c r="R2231" s="28">
        <f t="shared" si="16"/>
        <v>5.445007917886383E-4</v>
      </c>
      <c r="S2231" s="28">
        <v>2.4698140461428501E-4</v>
      </c>
    </row>
    <row r="2232" spans="1:19" x14ac:dyDescent="0.25">
      <c r="A2232" s="28">
        <v>2022</v>
      </c>
      <c r="B2232" s="28"/>
      <c r="C2232" s="28" t="s">
        <v>1300</v>
      </c>
      <c r="D2232" s="28" t="s">
        <v>2135</v>
      </c>
      <c r="E2232" s="28" t="s">
        <v>968</v>
      </c>
      <c r="F2232" s="28" t="s">
        <v>294</v>
      </c>
      <c r="G2232" s="28">
        <v>22301</v>
      </c>
      <c r="H2232" s="28">
        <v>38.828830000000004</v>
      </c>
      <c r="I2232" s="28">
        <v>-77.049679999999995</v>
      </c>
      <c r="J2232" s="28"/>
      <c r="K2232" s="61">
        <v>110070884091</v>
      </c>
      <c r="L2232" s="61" t="str">
        <f>IFERROR(INDEX('Facility Summary'!$K:$K,MATCH(K2232,'Facility Summary'!$J:$J,0)),INDEX('Raw Annual DMR Data'!$M:$M,MATCH(K2232,'Raw Annual DMR Data'!$L:$L,0)))</f>
        <v>Unknown</v>
      </c>
      <c r="M2232" s="28"/>
      <c r="N2232" s="28"/>
      <c r="O2232" s="28"/>
      <c r="P2232" s="28"/>
      <c r="Q2232" s="28"/>
      <c r="R2232" s="28">
        <f t="shared" si="16"/>
        <v>5.445007917886383E-4</v>
      </c>
      <c r="S2232" s="28">
        <v>2.4698140461428501E-4</v>
      </c>
    </row>
    <row r="2233" spans="1:19" x14ac:dyDescent="0.25">
      <c r="A2233" s="28">
        <v>2023</v>
      </c>
      <c r="B2233" s="28"/>
      <c r="C2233" s="28" t="s">
        <v>1301</v>
      </c>
      <c r="D2233" s="28" t="s">
        <v>2137</v>
      </c>
      <c r="E2233" s="28" t="s">
        <v>1302</v>
      </c>
      <c r="F2233" s="28" t="s">
        <v>345</v>
      </c>
      <c r="G2233" s="28">
        <v>622573438</v>
      </c>
      <c r="H2233" s="28">
        <v>38.2774</v>
      </c>
      <c r="I2233" s="28">
        <v>-89.666899999999998</v>
      </c>
      <c r="J2233" s="28" t="s">
        <v>731</v>
      </c>
      <c r="K2233" s="61">
        <v>110044852068</v>
      </c>
      <c r="L2233" s="61" t="str">
        <f>IFERROR(INDEX('Facility Summary'!$K:$K,MATCH(K2233,'Facility Summary'!$J:$J,0)),INDEX('Raw Annual DMR Data'!$M:$M,MATCH(K2233,'Raw Annual DMR Data'!$L:$L,0)))</f>
        <v>Unknown</v>
      </c>
      <c r="M2233" s="28"/>
      <c r="N2233" s="28"/>
      <c r="O2233" s="28"/>
      <c r="P2233" s="28"/>
      <c r="Q2233" s="28"/>
      <c r="R2233" s="28">
        <f t="shared" si="16"/>
        <v>5.3568497415421694</v>
      </c>
      <c r="S2233" s="28">
        <v>2.4298261700000001</v>
      </c>
    </row>
    <row r="2234" spans="1:19" x14ac:dyDescent="0.25">
      <c r="A2234" s="28">
        <v>2021</v>
      </c>
      <c r="B2234" s="28"/>
      <c r="C2234" s="28" t="s">
        <v>1301</v>
      </c>
      <c r="D2234" s="28" t="s">
        <v>2137</v>
      </c>
      <c r="E2234" s="28" t="s">
        <v>1302</v>
      </c>
      <c r="F2234" s="28" t="s">
        <v>345</v>
      </c>
      <c r="G2234" s="28">
        <v>622573438</v>
      </c>
      <c r="H2234" s="28">
        <v>38.2774</v>
      </c>
      <c r="I2234" s="28">
        <v>-89.666899999999998</v>
      </c>
      <c r="J2234" s="28" t="s">
        <v>731</v>
      </c>
      <c r="K2234" s="61">
        <v>110044852068</v>
      </c>
      <c r="L2234" s="61" t="str">
        <f>IFERROR(INDEX('Facility Summary'!$K:$K,MATCH(K2234,'Facility Summary'!$J:$J,0)),INDEX('Raw Annual DMR Data'!$M:$M,MATCH(K2234,'Raw Annual DMR Data'!$L:$L,0)))</f>
        <v>Unknown</v>
      </c>
      <c r="M2234" s="28"/>
      <c r="N2234" s="28"/>
      <c r="O2234" s="28"/>
      <c r="P2234" s="28"/>
      <c r="Q2234" s="28"/>
      <c r="R2234" s="28">
        <f t="shared" si="16"/>
        <v>2.8806620909430198</v>
      </c>
      <c r="S2234" s="28">
        <v>1.3066463450000001</v>
      </c>
    </row>
    <row r="2235" spans="1:19" x14ac:dyDescent="0.25">
      <c r="A2235" s="28">
        <v>2024</v>
      </c>
      <c r="B2235" s="28"/>
      <c r="C2235" s="28" t="s">
        <v>1301</v>
      </c>
      <c r="D2235" s="28" t="s">
        <v>2137</v>
      </c>
      <c r="E2235" s="28" t="s">
        <v>1302</v>
      </c>
      <c r="F2235" s="28" t="s">
        <v>345</v>
      </c>
      <c r="G2235" s="28">
        <v>622573438</v>
      </c>
      <c r="H2235" s="28">
        <v>38.2774</v>
      </c>
      <c r="I2235" s="28">
        <v>-89.666899999999998</v>
      </c>
      <c r="J2235" s="28" t="s">
        <v>731</v>
      </c>
      <c r="K2235" s="61">
        <v>110044852068</v>
      </c>
      <c r="L2235" s="61" t="str">
        <f>IFERROR(INDEX('Facility Summary'!$K:$K,MATCH(K2235,'Facility Summary'!$J:$J,0)),INDEX('Raw Annual DMR Data'!$M:$M,MATCH(K2235,'Raw Annual DMR Data'!$L:$L,0)))</f>
        <v>Unknown</v>
      </c>
      <c r="M2235" s="28"/>
      <c r="N2235" s="28"/>
      <c r="O2235" s="28"/>
      <c r="P2235" s="28"/>
      <c r="Q2235" s="28"/>
      <c r="R2235" s="28">
        <f t="shared" si="16"/>
        <v>1.9498835595492932</v>
      </c>
      <c r="S2235" s="28">
        <v>0.88445230500000005</v>
      </c>
    </row>
    <row r="2236" spans="1:19" x14ac:dyDescent="0.25">
      <c r="A2236" s="28">
        <v>2021</v>
      </c>
      <c r="B2236" s="28"/>
      <c r="C2236" s="28" t="s">
        <v>6850</v>
      </c>
      <c r="D2236" s="28" t="s">
        <v>462</v>
      </c>
      <c r="E2236" s="28" t="s">
        <v>463</v>
      </c>
      <c r="F2236" s="28" t="s">
        <v>362</v>
      </c>
      <c r="G2236" s="28">
        <v>77503</v>
      </c>
      <c r="H2236" s="28">
        <v>29.738610999999999</v>
      </c>
      <c r="I2236" s="28">
        <v>-95.166944000000001</v>
      </c>
      <c r="J2236" s="28" t="s">
        <v>7130</v>
      </c>
      <c r="K2236" s="61">
        <v>110060340162</v>
      </c>
      <c r="L2236" s="61" t="str">
        <f>IFERROR(INDEX('Facility Summary'!$K:$K,MATCH(K2236,'Facility Summary'!$J:$J,0)),INDEX('Raw Annual DMR Data'!$M:$M,MATCH(K2236,'Raw Annual DMR Data'!$L:$L,0)))</f>
        <v>Manufacturing</v>
      </c>
      <c r="M2236" s="28"/>
      <c r="N2236" s="28"/>
      <c r="O2236" s="28"/>
      <c r="P2236" s="28"/>
      <c r="Q2236" s="28"/>
      <c r="R2236" s="28">
        <f t="shared" ref="R2236:R2299" si="17">CONVERT(S2236,"g","lbm")*1000</f>
        <v>1.5837854591778073</v>
      </c>
      <c r="S2236" s="28">
        <v>0.71839299999999995</v>
      </c>
    </row>
    <row r="2237" spans="1:19" x14ac:dyDescent="0.25">
      <c r="A2237" s="28">
        <v>2022</v>
      </c>
      <c r="B2237" s="28"/>
      <c r="C2237" s="28" t="s">
        <v>6850</v>
      </c>
      <c r="D2237" s="28" t="s">
        <v>462</v>
      </c>
      <c r="E2237" s="28" t="s">
        <v>463</v>
      </c>
      <c r="F2237" s="28" t="s">
        <v>362</v>
      </c>
      <c r="G2237" s="28">
        <v>77503</v>
      </c>
      <c r="H2237" s="28">
        <v>29.738610999999999</v>
      </c>
      <c r="I2237" s="28">
        <v>-95.166944000000001</v>
      </c>
      <c r="J2237" s="28" t="s">
        <v>7130</v>
      </c>
      <c r="K2237" s="61">
        <v>110060340162</v>
      </c>
      <c r="L2237" s="61" t="str">
        <f>IFERROR(INDEX('Facility Summary'!$K:$K,MATCH(K2237,'Facility Summary'!$J:$J,0)),INDEX('Raw Annual DMR Data'!$M:$M,MATCH(K2237,'Raw Annual DMR Data'!$L:$L,0)))</f>
        <v>Manufacturing</v>
      </c>
      <c r="M2237" s="28"/>
      <c r="N2237" s="28"/>
      <c r="O2237" s="28"/>
      <c r="P2237" s="28"/>
      <c r="Q2237" s="28"/>
      <c r="R2237" s="28">
        <f t="shared" si="17"/>
        <v>1.2487539197363482</v>
      </c>
      <c r="S2237" s="28">
        <v>0.56642524999999999</v>
      </c>
    </row>
    <row r="2238" spans="1:19" x14ac:dyDescent="0.25">
      <c r="A2238" s="28">
        <v>2023</v>
      </c>
      <c r="B2238" s="28"/>
      <c r="C2238" s="28" t="s">
        <v>6850</v>
      </c>
      <c r="D2238" s="28" t="s">
        <v>462</v>
      </c>
      <c r="E2238" s="28" t="s">
        <v>463</v>
      </c>
      <c r="F2238" s="28" t="s">
        <v>362</v>
      </c>
      <c r="G2238" s="28">
        <v>77503</v>
      </c>
      <c r="H2238" s="28">
        <v>29.738610999999999</v>
      </c>
      <c r="I2238" s="28">
        <v>-95.166944000000001</v>
      </c>
      <c r="J2238" s="28" t="s">
        <v>7130</v>
      </c>
      <c r="K2238" s="61">
        <v>110060340162</v>
      </c>
      <c r="L2238" s="61" t="str">
        <f>IFERROR(INDEX('Facility Summary'!$K:$K,MATCH(K2238,'Facility Summary'!$J:$J,0)),INDEX('Raw Annual DMR Data'!$M:$M,MATCH(K2238,'Raw Annual DMR Data'!$L:$L,0)))</f>
        <v>Manufacturing</v>
      </c>
      <c r="M2238" s="28"/>
      <c r="N2238" s="28"/>
      <c r="O2238" s="28"/>
      <c r="P2238" s="28"/>
      <c r="Q2238" s="28"/>
      <c r="R2238" s="28">
        <f t="shared" si="17"/>
        <v>0.14162696894570778</v>
      </c>
      <c r="S2238" s="28">
        <v>6.4240912499999997E-2</v>
      </c>
    </row>
    <row r="2239" spans="1:19" x14ac:dyDescent="0.25">
      <c r="A2239" s="28">
        <v>2021</v>
      </c>
      <c r="B2239" s="28"/>
      <c r="C2239" s="28" t="s">
        <v>6809</v>
      </c>
      <c r="D2239" s="28" t="s">
        <v>2282</v>
      </c>
      <c r="E2239" s="28" t="s">
        <v>516</v>
      </c>
      <c r="F2239" s="28" t="s">
        <v>303</v>
      </c>
      <c r="G2239" s="28">
        <v>707340000</v>
      </c>
      <c r="H2239" s="28">
        <v>30.233011999999999</v>
      </c>
      <c r="I2239" s="28">
        <v>-91.022057000000004</v>
      </c>
      <c r="J2239" s="28"/>
      <c r="K2239" s="61">
        <v>110000911309</v>
      </c>
      <c r="L2239" s="61" t="str">
        <f>IFERROR(INDEX('Facility Summary'!$K:$K,MATCH(K2239,'Facility Summary'!$J:$J,0)),INDEX('Raw Annual DMR Data'!$M:$M,MATCH(K2239,'Raw Annual DMR Data'!$L:$L,0)))</f>
        <v>Repackaging</v>
      </c>
      <c r="M2239" s="28"/>
      <c r="N2239" s="28"/>
      <c r="O2239" s="28"/>
      <c r="P2239" s="28"/>
      <c r="Q2239" s="28"/>
      <c r="R2239" s="28">
        <f t="shared" si="17"/>
        <v>8.0601301975163301E-3</v>
      </c>
      <c r="S2239" s="28">
        <v>3.6560135587999998E-3</v>
      </c>
    </row>
    <row r="2240" spans="1:19" x14ac:dyDescent="0.25">
      <c r="A2240" s="28">
        <v>2022</v>
      </c>
      <c r="B2240" s="28"/>
      <c r="C2240" s="28" t="s">
        <v>6809</v>
      </c>
      <c r="D2240" s="28" t="s">
        <v>2282</v>
      </c>
      <c r="E2240" s="28" t="s">
        <v>516</v>
      </c>
      <c r="F2240" s="28" t="s">
        <v>303</v>
      </c>
      <c r="G2240" s="28">
        <v>707340000</v>
      </c>
      <c r="H2240" s="28">
        <v>30.233011999999999</v>
      </c>
      <c r="I2240" s="28">
        <v>-91.022057000000004</v>
      </c>
      <c r="J2240" s="28"/>
      <c r="K2240" s="61">
        <v>110000911309</v>
      </c>
      <c r="L2240" s="61" t="str">
        <f>IFERROR(INDEX('Facility Summary'!$K:$K,MATCH(K2240,'Facility Summary'!$J:$J,0)),INDEX('Raw Annual DMR Data'!$M:$M,MATCH(K2240,'Raw Annual DMR Data'!$L:$L,0)))</f>
        <v>Repackaging</v>
      </c>
      <c r="M2240" s="28"/>
      <c r="N2240" s="28"/>
      <c r="O2240" s="28"/>
      <c r="P2240" s="28"/>
      <c r="Q2240" s="28"/>
      <c r="R2240" s="28">
        <f t="shared" si="17"/>
        <v>4.4742584585141937E-3</v>
      </c>
      <c r="S2240" s="28">
        <v>2.0294894981899999E-3</v>
      </c>
    </row>
    <row r="2241" spans="1:19" x14ac:dyDescent="0.25">
      <c r="A2241" s="28">
        <v>2021</v>
      </c>
      <c r="B2241" s="28"/>
      <c r="C2241" s="28" t="s">
        <v>1306</v>
      </c>
      <c r="D2241" s="28" t="s">
        <v>2146</v>
      </c>
      <c r="E2241" s="28" t="s">
        <v>1307</v>
      </c>
      <c r="F2241" s="28" t="s">
        <v>324</v>
      </c>
      <c r="G2241" s="28">
        <v>40160</v>
      </c>
      <c r="H2241" s="28">
        <v>37.845027999999999</v>
      </c>
      <c r="I2241" s="28">
        <v>-85.940962999999996</v>
      </c>
      <c r="J2241" s="28"/>
      <c r="K2241" s="61">
        <v>110000732253</v>
      </c>
      <c r="L2241" s="61" t="str">
        <f>IFERROR(INDEX('Facility Summary'!$K:$K,MATCH(K2241,'Facility Summary'!$J:$J,0)),INDEX('Raw Annual DMR Data'!$M:$M,MATCH(K2241,'Raw Annual DMR Data'!$L:$L,0)))</f>
        <v>POTW</v>
      </c>
      <c r="M2241" s="28"/>
      <c r="N2241" s="28"/>
      <c r="O2241" s="28"/>
      <c r="P2241" s="28"/>
      <c r="Q2241" s="28"/>
      <c r="R2241" s="28">
        <f t="shared" si="17"/>
        <v>19.606959410494493</v>
      </c>
      <c r="S2241" s="28">
        <v>8.8935671875000004</v>
      </c>
    </row>
    <row r="2242" spans="1:19" x14ac:dyDescent="0.25">
      <c r="A2242" s="28">
        <v>2024</v>
      </c>
      <c r="B2242" s="28"/>
      <c r="C2242" s="28" t="s">
        <v>6882</v>
      </c>
      <c r="D2242" s="28" t="s">
        <v>7056</v>
      </c>
      <c r="E2242" s="28" t="s">
        <v>6991</v>
      </c>
      <c r="F2242" s="28" t="s">
        <v>308</v>
      </c>
      <c r="G2242" s="28">
        <v>2142</v>
      </c>
      <c r="H2242" s="28">
        <v>42.365363000000002</v>
      </c>
      <c r="I2242" s="28">
        <v>-71.087440999999998</v>
      </c>
      <c r="J2242" s="28"/>
      <c r="K2242" s="61">
        <v>110071501940</v>
      </c>
      <c r="L2242" s="61" t="str">
        <f>IFERROR(INDEX('Facility Summary'!$K:$K,MATCH(K2242,'Facility Summary'!$J:$J,0)),INDEX('Raw Annual DMR Data'!$M:$M,MATCH(K2242,'Raw Annual DMR Data'!$L:$L,0)))</f>
        <v>Unknown</v>
      </c>
      <c r="M2242" s="28"/>
      <c r="N2242" s="28"/>
      <c r="O2242" s="28"/>
      <c r="P2242" s="28"/>
      <c r="Q2242" s="28"/>
      <c r="R2242" s="28">
        <f t="shared" si="17"/>
        <v>0.11848973464048788</v>
      </c>
      <c r="S2242" s="28">
        <v>5.374603955625E-2</v>
      </c>
    </row>
    <row r="2243" spans="1:19" x14ac:dyDescent="0.25">
      <c r="A2243" s="28">
        <v>2021</v>
      </c>
      <c r="B2243" s="28"/>
      <c r="C2243" s="28" t="s">
        <v>6866</v>
      </c>
      <c r="D2243" s="28" t="s">
        <v>7032</v>
      </c>
      <c r="E2243" s="28" t="s">
        <v>7033</v>
      </c>
      <c r="F2243" s="28" t="s">
        <v>324</v>
      </c>
      <c r="G2243" s="28">
        <v>40380</v>
      </c>
      <c r="H2243" s="28">
        <v>37.857500000000002</v>
      </c>
      <c r="I2243" s="28">
        <v>-83.865278000000004</v>
      </c>
      <c r="J2243" s="28"/>
      <c r="K2243" s="61">
        <v>110009938470</v>
      </c>
      <c r="L2243" s="61" t="str">
        <f>IFERROR(INDEX('Facility Summary'!$K:$K,MATCH(K2243,'Facility Summary'!$J:$J,0)),INDEX('Raw Annual DMR Data'!$M:$M,MATCH(K2243,'Raw Annual DMR Data'!$L:$L,0)))</f>
        <v>POTW</v>
      </c>
      <c r="M2243" s="28"/>
      <c r="N2243" s="28"/>
      <c r="O2243" s="28"/>
      <c r="P2243" s="28"/>
      <c r="Q2243" s="28"/>
      <c r="R2243" s="28">
        <f t="shared" si="17"/>
        <v>8.7565061444926862</v>
      </c>
      <c r="S2243" s="28">
        <v>3.9718843750000001</v>
      </c>
    </row>
    <row r="2244" spans="1:19" x14ac:dyDescent="0.25">
      <c r="A2244" s="28">
        <v>2024</v>
      </c>
      <c r="B2244" s="28"/>
      <c r="C2244" s="28" t="s">
        <v>1308</v>
      </c>
      <c r="D2244" s="28" t="s">
        <v>2149</v>
      </c>
      <c r="E2244" s="28" t="s">
        <v>657</v>
      </c>
      <c r="F2244" s="28" t="s">
        <v>418</v>
      </c>
      <c r="G2244" s="28">
        <v>89109</v>
      </c>
      <c r="H2244" s="28">
        <v>36.132570000000001</v>
      </c>
      <c r="I2244" s="28">
        <v>-115.16477</v>
      </c>
      <c r="J2244" s="28"/>
      <c r="K2244" s="61">
        <v>110041253256</v>
      </c>
      <c r="L2244" s="61" t="str">
        <f>IFERROR(INDEX('Facility Summary'!$K:$K,MATCH(K2244,'Facility Summary'!$J:$J,0)),INDEX('Raw Annual DMR Data'!$M:$M,MATCH(K2244,'Raw Annual DMR Data'!$L:$L,0)))</f>
        <v>Remediation</v>
      </c>
      <c r="M2244" s="28"/>
      <c r="N2244" s="28"/>
      <c r="O2244" s="28"/>
      <c r="P2244" s="28"/>
      <c r="Q2244" s="28"/>
      <c r="R2244" s="28">
        <f t="shared" si="17"/>
        <v>0.97768294691553115</v>
      </c>
      <c r="S2244" s="28">
        <v>0.44346952499999998</v>
      </c>
    </row>
    <row r="2245" spans="1:19" x14ac:dyDescent="0.25">
      <c r="A2245" s="28">
        <v>2023</v>
      </c>
      <c r="B2245" s="28"/>
      <c r="C2245" s="28" t="s">
        <v>1308</v>
      </c>
      <c r="D2245" s="28" t="s">
        <v>2149</v>
      </c>
      <c r="E2245" s="28" t="s">
        <v>657</v>
      </c>
      <c r="F2245" s="28" t="s">
        <v>418</v>
      </c>
      <c r="G2245" s="28">
        <v>89109</v>
      </c>
      <c r="H2245" s="28">
        <v>36.132570000000001</v>
      </c>
      <c r="I2245" s="28">
        <v>-115.16477</v>
      </c>
      <c r="J2245" s="28"/>
      <c r="K2245" s="61">
        <v>110041253256</v>
      </c>
      <c r="L2245" s="61" t="str">
        <f>IFERROR(INDEX('Facility Summary'!$K:$K,MATCH(K2245,'Facility Summary'!$J:$J,0)),INDEX('Raw Annual DMR Data'!$M:$M,MATCH(K2245,'Raw Annual DMR Data'!$L:$L,0)))</f>
        <v>Remediation</v>
      </c>
      <c r="M2245" s="28"/>
      <c r="N2245" s="28"/>
      <c r="O2245" s="28"/>
      <c r="P2245" s="28"/>
      <c r="Q2245" s="28"/>
      <c r="R2245" s="28">
        <f t="shared" si="17"/>
        <v>0.28020819662376595</v>
      </c>
      <c r="S2245" s="28">
        <v>0.1271003</v>
      </c>
    </row>
    <row r="2246" spans="1:19" x14ac:dyDescent="0.25">
      <c r="A2246" s="28">
        <v>2021</v>
      </c>
      <c r="B2246" s="28"/>
      <c r="C2246" s="28" t="s">
        <v>1308</v>
      </c>
      <c r="D2246" s="28" t="s">
        <v>2149</v>
      </c>
      <c r="E2246" s="28" t="s">
        <v>657</v>
      </c>
      <c r="F2246" s="28" t="s">
        <v>418</v>
      </c>
      <c r="G2246" s="28">
        <v>89109</v>
      </c>
      <c r="H2246" s="28">
        <v>36.132570000000001</v>
      </c>
      <c r="I2246" s="28">
        <v>-115.16477</v>
      </c>
      <c r="J2246" s="28"/>
      <c r="K2246" s="61">
        <v>110041253256</v>
      </c>
      <c r="L2246" s="61" t="str">
        <f>IFERROR(INDEX('Facility Summary'!$K:$K,MATCH(K2246,'Facility Summary'!$J:$J,0)),INDEX('Raw Annual DMR Data'!$M:$M,MATCH(K2246,'Raw Annual DMR Data'!$L:$L,0)))</f>
        <v>Remediation</v>
      </c>
      <c r="M2246" s="28"/>
      <c r="N2246" s="28"/>
      <c r="O2246" s="28"/>
      <c r="P2246" s="28"/>
      <c r="Q2246" s="28"/>
      <c r="R2246" s="28">
        <f t="shared" si="17"/>
        <v>0.22843059507372224</v>
      </c>
      <c r="S2246" s="28">
        <v>0.10361437499999999</v>
      </c>
    </row>
    <row r="2247" spans="1:19" x14ac:dyDescent="0.25">
      <c r="A2247" s="28">
        <v>2022</v>
      </c>
      <c r="B2247" s="28"/>
      <c r="C2247" s="28" t="s">
        <v>1308</v>
      </c>
      <c r="D2247" s="28" t="s">
        <v>2149</v>
      </c>
      <c r="E2247" s="28" t="s">
        <v>657</v>
      </c>
      <c r="F2247" s="28" t="s">
        <v>418</v>
      </c>
      <c r="G2247" s="28">
        <v>89109</v>
      </c>
      <c r="H2247" s="28">
        <v>36.132570000000001</v>
      </c>
      <c r="I2247" s="28">
        <v>-115.16477</v>
      </c>
      <c r="J2247" s="28"/>
      <c r="K2247" s="61">
        <v>110041253256</v>
      </c>
      <c r="L2247" s="61" t="str">
        <f>IFERROR(INDEX('Facility Summary'!$K:$K,MATCH(K2247,'Facility Summary'!$J:$J,0)),INDEX('Raw Annual DMR Data'!$M:$M,MATCH(K2247,'Raw Annual DMR Data'!$L:$L,0)))</f>
        <v>Remediation</v>
      </c>
      <c r="M2247" s="28"/>
      <c r="N2247" s="28"/>
      <c r="O2247" s="28"/>
      <c r="P2247" s="28"/>
      <c r="Q2247" s="28"/>
      <c r="R2247" s="28">
        <f t="shared" si="17"/>
        <v>0.21320188873547408</v>
      </c>
      <c r="S2247" s="28">
        <v>9.6706749999999994E-2</v>
      </c>
    </row>
    <row r="2248" spans="1:19" x14ac:dyDescent="0.25">
      <c r="A2248" s="28">
        <v>2023</v>
      </c>
      <c r="B2248" s="28"/>
      <c r="C2248" s="28" t="s">
        <v>1309</v>
      </c>
      <c r="D2248" s="28" t="s">
        <v>2152</v>
      </c>
      <c r="E2248" s="28" t="s">
        <v>1310</v>
      </c>
      <c r="F2248" s="28" t="s">
        <v>366</v>
      </c>
      <c r="G2248" s="28">
        <v>92316</v>
      </c>
      <c r="H2248" s="28">
        <v>34.055900000000001</v>
      </c>
      <c r="I2248" s="28">
        <v>-117.36134</v>
      </c>
      <c r="J2248" s="28"/>
      <c r="K2248" s="61">
        <v>110000525842</v>
      </c>
      <c r="L2248" s="61" t="str">
        <f>IFERROR(INDEX('Facility Summary'!$K:$K,MATCH(K2248,'Facility Summary'!$J:$J,0)),INDEX('Raw Annual DMR Data'!$M:$M,MATCH(K2248,'Raw Annual DMR Data'!$L:$L,0)))</f>
        <v>POTW</v>
      </c>
      <c r="M2248" s="28"/>
      <c r="N2248" s="28"/>
      <c r="O2248" s="28"/>
      <c r="P2248" s="28"/>
      <c r="Q2248" s="28"/>
      <c r="R2248" s="28">
        <f t="shared" si="17"/>
        <v>17.515031657168308</v>
      </c>
      <c r="S2248" s="28">
        <v>7.9446847199999997</v>
      </c>
    </row>
    <row r="2249" spans="1:19" x14ac:dyDescent="0.25">
      <c r="A2249" s="28">
        <v>2021</v>
      </c>
      <c r="B2249" s="28"/>
      <c r="C2249" s="28" t="s">
        <v>1309</v>
      </c>
      <c r="D2249" s="28" t="s">
        <v>2152</v>
      </c>
      <c r="E2249" s="28" t="s">
        <v>1310</v>
      </c>
      <c r="F2249" s="28" t="s">
        <v>366</v>
      </c>
      <c r="G2249" s="28">
        <v>92316</v>
      </c>
      <c r="H2249" s="28">
        <v>34.055900000000001</v>
      </c>
      <c r="I2249" s="28">
        <v>-117.36134</v>
      </c>
      <c r="J2249" s="28"/>
      <c r="K2249" s="61">
        <v>110000525842</v>
      </c>
      <c r="L2249" s="61" t="str">
        <f>IFERROR(INDEX('Facility Summary'!$K:$K,MATCH(K2249,'Facility Summary'!$J:$J,0)),INDEX('Raw Annual DMR Data'!$M:$M,MATCH(K2249,'Raw Annual DMR Data'!$L:$L,0)))</f>
        <v>POTW</v>
      </c>
      <c r="M2249" s="28"/>
      <c r="N2249" s="28"/>
      <c r="O2249" s="28"/>
      <c r="P2249" s="28"/>
      <c r="Q2249" s="28"/>
      <c r="R2249" s="28">
        <f t="shared" si="17"/>
        <v>5.3137128662459636</v>
      </c>
      <c r="S2249" s="28">
        <v>2.4102596125</v>
      </c>
    </row>
    <row r="2250" spans="1:19" x14ac:dyDescent="0.25">
      <c r="A2250" s="28">
        <v>2022</v>
      </c>
      <c r="B2250" s="28"/>
      <c r="C2250" s="28" t="s">
        <v>1309</v>
      </c>
      <c r="D2250" s="28" t="s">
        <v>2152</v>
      </c>
      <c r="E2250" s="28" t="s">
        <v>1310</v>
      </c>
      <c r="F2250" s="28" t="s">
        <v>366</v>
      </c>
      <c r="G2250" s="28">
        <v>92316</v>
      </c>
      <c r="H2250" s="28">
        <v>34.055900000000001</v>
      </c>
      <c r="I2250" s="28">
        <v>-117.36134</v>
      </c>
      <c r="J2250" s="28"/>
      <c r="K2250" s="61">
        <v>110000525842</v>
      </c>
      <c r="L2250" s="61" t="str">
        <f>IFERROR(INDEX('Facility Summary'!$K:$K,MATCH(K2250,'Facility Summary'!$J:$J,0)),INDEX('Raw Annual DMR Data'!$M:$M,MATCH(K2250,'Raw Annual DMR Data'!$L:$L,0)))</f>
        <v>POTW</v>
      </c>
      <c r="M2250" s="28"/>
      <c r="N2250" s="28"/>
      <c r="O2250" s="28"/>
      <c r="P2250" s="28"/>
      <c r="Q2250" s="28"/>
      <c r="R2250" s="28">
        <f t="shared" si="17"/>
        <v>5.284331893633925</v>
      </c>
      <c r="S2250" s="28">
        <v>2.3969326275</v>
      </c>
    </row>
    <row r="2251" spans="1:19" x14ac:dyDescent="0.25">
      <c r="A2251" s="28">
        <v>2024</v>
      </c>
      <c r="B2251" s="28"/>
      <c r="C2251" s="28" t="s">
        <v>1309</v>
      </c>
      <c r="D2251" s="28" t="s">
        <v>2152</v>
      </c>
      <c r="E2251" s="28" t="s">
        <v>1310</v>
      </c>
      <c r="F2251" s="28" t="s">
        <v>366</v>
      </c>
      <c r="G2251" s="28">
        <v>92316</v>
      </c>
      <c r="H2251" s="28">
        <v>34.055900000000001</v>
      </c>
      <c r="I2251" s="28">
        <v>-117.36134</v>
      </c>
      <c r="J2251" s="28"/>
      <c r="K2251" s="61">
        <v>110000525842</v>
      </c>
      <c r="L2251" s="61" t="str">
        <f>IFERROR(INDEX('Facility Summary'!$K:$K,MATCH(K2251,'Facility Summary'!$J:$J,0)),INDEX('Raw Annual DMR Data'!$M:$M,MATCH(K2251,'Raw Annual DMR Data'!$L:$L,0)))</f>
        <v>POTW</v>
      </c>
      <c r="M2251" s="28"/>
      <c r="N2251" s="28"/>
      <c r="O2251" s="28"/>
      <c r="P2251" s="28"/>
      <c r="Q2251" s="28"/>
      <c r="R2251" s="28">
        <f t="shared" si="17"/>
        <v>4.3272845530889326</v>
      </c>
      <c r="S2251" s="28">
        <v>1.9628232561000001</v>
      </c>
    </row>
    <row r="2252" spans="1:19" x14ac:dyDescent="0.25">
      <c r="A2252" s="28">
        <v>2022</v>
      </c>
      <c r="B2252" s="28"/>
      <c r="C2252" s="28" t="s">
        <v>6868</v>
      </c>
      <c r="D2252" s="28" t="s">
        <v>7036</v>
      </c>
      <c r="E2252" s="28" t="s">
        <v>1265</v>
      </c>
      <c r="F2252" s="28" t="s">
        <v>324</v>
      </c>
      <c r="G2252" s="28">
        <v>40475</v>
      </c>
      <c r="H2252" s="28">
        <v>37.801943999999999</v>
      </c>
      <c r="I2252" s="28">
        <v>-84.261111</v>
      </c>
      <c r="J2252" s="28"/>
      <c r="K2252" s="61">
        <v>110031112659</v>
      </c>
      <c r="L2252" s="61" t="str">
        <f>IFERROR(INDEX('Facility Summary'!$K:$K,MATCH(K2252,'Facility Summary'!$J:$J,0)),INDEX('Raw Annual DMR Data'!$M:$M,MATCH(K2252,'Raw Annual DMR Data'!$L:$L,0)))</f>
        <v>POTW</v>
      </c>
      <c r="M2252" s="28"/>
      <c r="N2252" s="28"/>
      <c r="O2252" s="28"/>
      <c r="P2252" s="28"/>
      <c r="Q2252" s="28"/>
      <c r="R2252" s="28">
        <f t="shared" si="17"/>
        <v>75.945558508843519</v>
      </c>
      <c r="S2252" s="28">
        <v>34.448325875000002</v>
      </c>
    </row>
    <row r="2253" spans="1:19" x14ac:dyDescent="0.25">
      <c r="A2253" s="28">
        <v>2023</v>
      </c>
      <c r="B2253" s="28"/>
      <c r="C2253" s="28" t="s">
        <v>6868</v>
      </c>
      <c r="D2253" s="28" t="s">
        <v>7036</v>
      </c>
      <c r="E2253" s="28" t="s">
        <v>1265</v>
      </c>
      <c r="F2253" s="28" t="s">
        <v>324</v>
      </c>
      <c r="G2253" s="28">
        <v>40475</v>
      </c>
      <c r="H2253" s="28">
        <v>37.801943999999999</v>
      </c>
      <c r="I2253" s="28">
        <v>-84.261111</v>
      </c>
      <c r="J2253" s="28"/>
      <c r="K2253" s="61">
        <v>110031112659</v>
      </c>
      <c r="L2253" s="61" t="str">
        <f>IFERROR(INDEX('Facility Summary'!$K:$K,MATCH(K2253,'Facility Summary'!$J:$J,0)),INDEX('Raw Annual DMR Data'!$M:$M,MATCH(K2253,'Raw Annual DMR Data'!$L:$L,0)))</f>
        <v>POTW</v>
      </c>
      <c r="M2253" s="28"/>
      <c r="N2253" s="28"/>
      <c r="O2253" s="28"/>
      <c r="P2253" s="28"/>
      <c r="Q2253" s="28"/>
      <c r="R2253" s="28">
        <f t="shared" si="17"/>
        <v>61.432601368493039</v>
      </c>
      <c r="S2253" s="28">
        <v>27.865359250000001</v>
      </c>
    </row>
    <row r="2254" spans="1:19" x14ac:dyDescent="0.25">
      <c r="A2254" s="28">
        <v>2024</v>
      </c>
      <c r="B2254" s="28"/>
      <c r="C2254" s="28" t="s">
        <v>6868</v>
      </c>
      <c r="D2254" s="28" t="s">
        <v>7036</v>
      </c>
      <c r="E2254" s="28" t="s">
        <v>1265</v>
      </c>
      <c r="F2254" s="28" t="s">
        <v>324</v>
      </c>
      <c r="G2254" s="28">
        <v>40475</v>
      </c>
      <c r="H2254" s="28">
        <v>37.801943999999999</v>
      </c>
      <c r="I2254" s="28">
        <v>-84.261111</v>
      </c>
      <c r="J2254" s="28"/>
      <c r="K2254" s="61">
        <v>110031112659</v>
      </c>
      <c r="L2254" s="61" t="str">
        <f>IFERROR(INDEX('Facility Summary'!$K:$K,MATCH(K2254,'Facility Summary'!$J:$J,0)),INDEX('Raw Annual DMR Data'!$M:$M,MATCH(K2254,'Raw Annual DMR Data'!$L:$L,0)))</f>
        <v>POTW</v>
      </c>
      <c r="M2254" s="28"/>
      <c r="N2254" s="28"/>
      <c r="O2254" s="28"/>
      <c r="P2254" s="28"/>
      <c r="Q2254" s="28"/>
      <c r="R2254" s="28">
        <f t="shared" si="17"/>
        <v>16.355630607278513</v>
      </c>
      <c r="S2254" s="28">
        <v>7.4187892499999997</v>
      </c>
    </row>
    <row r="2255" spans="1:19" x14ac:dyDescent="0.25">
      <c r="A2255" s="28">
        <v>2022</v>
      </c>
      <c r="B2255" s="28"/>
      <c r="C2255" s="28" t="s">
        <v>1311</v>
      </c>
      <c r="D2255" s="28" t="s">
        <v>2155</v>
      </c>
      <c r="E2255" s="28" t="s">
        <v>1312</v>
      </c>
      <c r="F2255" s="28" t="s">
        <v>506</v>
      </c>
      <c r="G2255" s="28">
        <v>21157</v>
      </c>
      <c r="H2255" s="28">
        <v>39.567390000000003</v>
      </c>
      <c r="I2255" s="28">
        <v>-76.920410000000004</v>
      </c>
      <c r="J2255" s="28"/>
      <c r="K2255" s="61">
        <v>110041245015</v>
      </c>
      <c r="L2255" s="61" t="str">
        <f>IFERROR(INDEX('Facility Summary'!$K:$K,MATCH(K2255,'Facility Summary'!$J:$J,0)),INDEX('Raw Annual DMR Data'!$M:$M,MATCH(K2255,'Raw Annual DMR Data'!$L:$L,0)))</f>
        <v>Unknown</v>
      </c>
      <c r="M2255" s="28"/>
      <c r="N2255" s="28"/>
      <c r="O2255" s="28"/>
      <c r="P2255" s="28"/>
      <c r="Q2255" s="28"/>
      <c r="R2255" s="28">
        <f t="shared" si="17"/>
        <v>2.3376064229210908E-3</v>
      </c>
      <c r="S2255" s="28">
        <v>1.0603204375E-3</v>
      </c>
    </row>
    <row r="2256" spans="1:19" x14ac:dyDescent="0.25">
      <c r="A2256" s="28">
        <v>2022</v>
      </c>
      <c r="B2256" s="28"/>
      <c r="C2256" s="28" t="s">
        <v>1311</v>
      </c>
      <c r="D2256" s="28" t="s">
        <v>2155</v>
      </c>
      <c r="E2256" s="28" t="s">
        <v>1312</v>
      </c>
      <c r="F2256" s="28" t="s">
        <v>506</v>
      </c>
      <c r="G2256" s="28">
        <v>21157</v>
      </c>
      <c r="H2256" s="28">
        <v>39.567390000000003</v>
      </c>
      <c r="I2256" s="28">
        <v>-76.920410000000004</v>
      </c>
      <c r="J2256" s="28"/>
      <c r="K2256" s="61">
        <v>110041245015</v>
      </c>
      <c r="L2256" s="61" t="str">
        <f>IFERROR(INDEX('Facility Summary'!$K:$K,MATCH(K2256,'Facility Summary'!$J:$J,0)),INDEX('Raw Annual DMR Data'!$M:$M,MATCH(K2256,'Raw Annual DMR Data'!$L:$L,0)))</f>
        <v>Unknown</v>
      </c>
      <c r="M2256" s="28"/>
      <c r="N2256" s="28"/>
      <c r="O2256" s="28"/>
      <c r="P2256" s="28"/>
      <c r="Q2256" s="28"/>
      <c r="R2256" s="28">
        <f t="shared" si="17"/>
        <v>2.3376064229210908E-3</v>
      </c>
      <c r="S2256" s="28">
        <v>1.0603204375E-3</v>
      </c>
    </row>
    <row r="2257" spans="1:19" x14ac:dyDescent="0.25">
      <c r="A2257" s="28">
        <v>2023</v>
      </c>
      <c r="B2257" s="28"/>
      <c r="C2257" s="28" t="s">
        <v>1311</v>
      </c>
      <c r="D2257" s="28" t="s">
        <v>2155</v>
      </c>
      <c r="E2257" s="28" t="s">
        <v>1312</v>
      </c>
      <c r="F2257" s="28" t="s">
        <v>506</v>
      </c>
      <c r="G2257" s="28">
        <v>21157</v>
      </c>
      <c r="H2257" s="28">
        <v>39.567390000000003</v>
      </c>
      <c r="I2257" s="28">
        <v>-76.920410000000004</v>
      </c>
      <c r="J2257" s="28"/>
      <c r="K2257" s="61">
        <v>110041245015</v>
      </c>
      <c r="L2257" s="61" t="str">
        <f>IFERROR(INDEX('Facility Summary'!$K:$K,MATCH(K2257,'Facility Summary'!$J:$J,0)),INDEX('Raw Annual DMR Data'!$M:$M,MATCH(K2257,'Raw Annual DMR Data'!$L:$L,0)))</f>
        <v>Unknown</v>
      </c>
      <c r="M2257" s="28"/>
      <c r="N2257" s="28"/>
      <c r="O2257" s="28"/>
      <c r="P2257" s="28"/>
      <c r="Q2257" s="28"/>
      <c r="R2257" s="28">
        <f t="shared" si="17"/>
        <v>2.2614628912298504E-3</v>
      </c>
      <c r="S2257" s="28">
        <v>1.0257823125000001E-3</v>
      </c>
    </row>
    <row r="2258" spans="1:19" x14ac:dyDescent="0.25">
      <c r="A2258" s="28">
        <v>2023</v>
      </c>
      <c r="B2258" s="28"/>
      <c r="C2258" s="28" t="s">
        <v>1311</v>
      </c>
      <c r="D2258" s="28" t="s">
        <v>2155</v>
      </c>
      <c r="E2258" s="28" t="s">
        <v>1312</v>
      </c>
      <c r="F2258" s="28" t="s">
        <v>506</v>
      </c>
      <c r="G2258" s="28">
        <v>21157</v>
      </c>
      <c r="H2258" s="28">
        <v>39.567390000000003</v>
      </c>
      <c r="I2258" s="28">
        <v>-76.920410000000004</v>
      </c>
      <c r="J2258" s="28"/>
      <c r="K2258" s="61">
        <v>110041245015</v>
      </c>
      <c r="L2258" s="61" t="str">
        <f>IFERROR(INDEX('Facility Summary'!$K:$K,MATCH(K2258,'Facility Summary'!$J:$J,0)),INDEX('Raw Annual DMR Data'!$M:$M,MATCH(K2258,'Raw Annual DMR Data'!$L:$L,0)))</f>
        <v>Unknown</v>
      </c>
      <c r="M2258" s="28"/>
      <c r="N2258" s="28"/>
      <c r="O2258" s="28"/>
      <c r="P2258" s="28"/>
      <c r="Q2258" s="28"/>
      <c r="R2258" s="28">
        <f t="shared" si="17"/>
        <v>2.2614628912298504E-3</v>
      </c>
      <c r="S2258" s="28">
        <v>1.0257823125000001E-3</v>
      </c>
    </row>
    <row r="2259" spans="1:19" x14ac:dyDescent="0.25">
      <c r="A2259" s="28">
        <v>2024</v>
      </c>
      <c r="B2259" s="28"/>
      <c r="C2259" s="28" t="s">
        <v>1311</v>
      </c>
      <c r="D2259" s="28" t="s">
        <v>2155</v>
      </c>
      <c r="E2259" s="28" t="s">
        <v>1312</v>
      </c>
      <c r="F2259" s="28" t="s">
        <v>506</v>
      </c>
      <c r="G2259" s="28">
        <v>21157</v>
      </c>
      <c r="H2259" s="28">
        <v>39.567390000000003</v>
      </c>
      <c r="I2259" s="28">
        <v>-76.920410000000004</v>
      </c>
      <c r="J2259" s="28"/>
      <c r="K2259" s="61">
        <v>110041245015</v>
      </c>
      <c r="L2259" s="61" t="str">
        <f>IFERROR(INDEX('Facility Summary'!$K:$K,MATCH(K2259,'Facility Summary'!$J:$J,0)),INDEX('Raw Annual DMR Data'!$M:$M,MATCH(K2259,'Raw Annual DMR Data'!$L:$L,0)))</f>
        <v>Unknown</v>
      </c>
      <c r="M2259" s="28"/>
      <c r="N2259" s="28"/>
      <c r="O2259" s="28"/>
      <c r="P2259" s="28"/>
      <c r="Q2259" s="28"/>
      <c r="R2259" s="28">
        <f t="shared" si="17"/>
        <v>2.1624763000312372E-3</v>
      </c>
      <c r="S2259" s="28">
        <v>9.8088275000000002E-4</v>
      </c>
    </row>
    <row r="2260" spans="1:19" x14ac:dyDescent="0.25">
      <c r="A2260" s="28">
        <v>2024</v>
      </c>
      <c r="B2260" s="28"/>
      <c r="C2260" s="28" t="s">
        <v>1311</v>
      </c>
      <c r="D2260" s="28" t="s">
        <v>2155</v>
      </c>
      <c r="E2260" s="28" t="s">
        <v>1312</v>
      </c>
      <c r="F2260" s="28" t="s">
        <v>506</v>
      </c>
      <c r="G2260" s="28">
        <v>21157</v>
      </c>
      <c r="H2260" s="28">
        <v>39.567390000000003</v>
      </c>
      <c r="I2260" s="28">
        <v>-76.920410000000004</v>
      </c>
      <c r="J2260" s="28"/>
      <c r="K2260" s="61">
        <v>110041245015</v>
      </c>
      <c r="L2260" s="61" t="str">
        <f>IFERROR(INDEX('Facility Summary'!$K:$K,MATCH(K2260,'Facility Summary'!$J:$J,0)),INDEX('Raw Annual DMR Data'!$M:$M,MATCH(K2260,'Raw Annual DMR Data'!$L:$L,0)))</f>
        <v>Unknown</v>
      </c>
      <c r="M2260" s="28"/>
      <c r="N2260" s="28"/>
      <c r="O2260" s="28"/>
      <c r="P2260" s="28"/>
      <c r="Q2260" s="28"/>
      <c r="R2260" s="28">
        <f t="shared" si="17"/>
        <v>2.1624763000312372E-3</v>
      </c>
      <c r="S2260" s="28">
        <v>9.8088275000000002E-4</v>
      </c>
    </row>
    <row r="2261" spans="1:19" x14ac:dyDescent="0.25">
      <c r="A2261" s="28">
        <v>2021</v>
      </c>
      <c r="B2261" s="28"/>
      <c r="C2261" s="28" t="s">
        <v>1311</v>
      </c>
      <c r="D2261" s="28" t="s">
        <v>2155</v>
      </c>
      <c r="E2261" s="28" t="s">
        <v>1312</v>
      </c>
      <c r="F2261" s="28" t="s">
        <v>506</v>
      </c>
      <c r="G2261" s="28">
        <v>21157</v>
      </c>
      <c r="H2261" s="28">
        <v>39.567390000000003</v>
      </c>
      <c r="I2261" s="28">
        <v>-76.920410000000004</v>
      </c>
      <c r="J2261" s="28"/>
      <c r="K2261" s="61">
        <v>110041245015</v>
      </c>
      <c r="L2261" s="61" t="str">
        <f>IFERROR(INDEX('Facility Summary'!$K:$K,MATCH(K2261,'Facility Summary'!$J:$J,0)),INDEX('Raw Annual DMR Data'!$M:$M,MATCH(K2261,'Raw Annual DMR Data'!$L:$L,0)))</f>
        <v>Unknown</v>
      </c>
      <c r="M2261" s="28"/>
      <c r="N2261" s="28"/>
      <c r="O2261" s="28"/>
      <c r="P2261" s="28"/>
      <c r="Q2261" s="28"/>
      <c r="R2261" s="28">
        <f t="shared" si="17"/>
        <v>1.629471578192552E-3</v>
      </c>
      <c r="S2261" s="28">
        <v>7.3911587500000001E-4</v>
      </c>
    </row>
    <row r="2262" spans="1:19" x14ac:dyDescent="0.25">
      <c r="A2262" s="28">
        <v>2021</v>
      </c>
      <c r="B2262" s="28"/>
      <c r="C2262" s="28" t="s">
        <v>1311</v>
      </c>
      <c r="D2262" s="28" t="s">
        <v>2155</v>
      </c>
      <c r="E2262" s="28" t="s">
        <v>1312</v>
      </c>
      <c r="F2262" s="28" t="s">
        <v>506</v>
      </c>
      <c r="G2262" s="28">
        <v>21157</v>
      </c>
      <c r="H2262" s="28">
        <v>39.567390000000003</v>
      </c>
      <c r="I2262" s="28">
        <v>-76.920410000000004</v>
      </c>
      <c r="J2262" s="28"/>
      <c r="K2262" s="61">
        <v>110041245015</v>
      </c>
      <c r="L2262" s="61" t="str">
        <f>IFERROR(INDEX('Facility Summary'!$K:$K,MATCH(K2262,'Facility Summary'!$J:$J,0)),INDEX('Raw Annual DMR Data'!$M:$M,MATCH(K2262,'Raw Annual DMR Data'!$L:$L,0)))</f>
        <v>Unknown</v>
      </c>
      <c r="M2262" s="28"/>
      <c r="N2262" s="28"/>
      <c r="O2262" s="28"/>
      <c r="P2262" s="28"/>
      <c r="Q2262" s="28"/>
      <c r="R2262" s="28">
        <f t="shared" si="17"/>
        <v>1.629471578192552E-3</v>
      </c>
      <c r="S2262" s="28">
        <v>7.3911587500000001E-4</v>
      </c>
    </row>
    <row r="2263" spans="1:19" x14ac:dyDescent="0.25">
      <c r="A2263" s="28">
        <v>2021</v>
      </c>
      <c r="B2263" s="28"/>
      <c r="C2263" s="28" t="s">
        <v>1315</v>
      </c>
      <c r="D2263" s="28" t="s">
        <v>2160</v>
      </c>
      <c r="E2263" s="28" t="s">
        <v>1316</v>
      </c>
      <c r="F2263" s="28" t="s">
        <v>294</v>
      </c>
      <c r="G2263" s="28">
        <v>22801</v>
      </c>
      <c r="H2263" s="28">
        <v>38.400409000000003</v>
      </c>
      <c r="I2263" s="28">
        <v>-78.895222000000004</v>
      </c>
      <c r="J2263" s="28"/>
      <c r="K2263" s="61">
        <v>110070544905</v>
      </c>
      <c r="L2263" s="61" t="str">
        <f>IFERROR(INDEX('Facility Summary'!$K:$K,MATCH(K2263,'Facility Summary'!$J:$J,0)),INDEX('Raw Annual DMR Data'!$M:$M,MATCH(K2263,'Raw Annual DMR Data'!$L:$L,0)))</f>
        <v>Waste Handling, Disposal and Treatment (Landfill)</v>
      </c>
      <c r="M2263" s="28"/>
      <c r="N2263" s="28"/>
      <c r="O2263" s="28"/>
      <c r="P2263" s="28"/>
      <c r="Q2263" s="28"/>
      <c r="R2263" s="28">
        <f t="shared" si="17"/>
        <v>0.1097452253787911</v>
      </c>
      <c r="S2263" s="28">
        <v>4.9779596875750003E-2</v>
      </c>
    </row>
    <row r="2264" spans="1:19" x14ac:dyDescent="0.25">
      <c r="A2264" s="28">
        <v>2022</v>
      </c>
      <c r="B2264" s="28"/>
      <c r="C2264" s="28" t="s">
        <v>1315</v>
      </c>
      <c r="D2264" s="28" t="s">
        <v>2160</v>
      </c>
      <c r="E2264" s="28" t="s">
        <v>1316</v>
      </c>
      <c r="F2264" s="28" t="s">
        <v>294</v>
      </c>
      <c r="G2264" s="28">
        <v>22801</v>
      </c>
      <c r="H2264" s="28">
        <v>38.400409000000003</v>
      </c>
      <c r="I2264" s="28">
        <v>-78.895222000000004</v>
      </c>
      <c r="J2264" s="28"/>
      <c r="K2264" s="61">
        <v>110070544905</v>
      </c>
      <c r="L2264" s="61" t="str">
        <f>IFERROR(INDEX('Facility Summary'!$K:$K,MATCH(K2264,'Facility Summary'!$J:$J,0)),INDEX('Raw Annual DMR Data'!$M:$M,MATCH(K2264,'Raw Annual DMR Data'!$L:$L,0)))</f>
        <v>Waste Handling, Disposal and Treatment (Landfill)</v>
      </c>
      <c r="M2264" s="28"/>
      <c r="N2264" s="28"/>
      <c r="O2264" s="28"/>
      <c r="P2264" s="28"/>
      <c r="Q2264" s="28"/>
      <c r="R2264" s="28">
        <f t="shared" si="17"/>
        <v>0.10141892935390424</v>
      </c>
      <c r="S2264" s="28">
        <v>4.6002852528499998E-2</v>
      </c>
    </row>
    <row r="2265" spans="1:19" x14ac:dyDescent="0.25">
      <c r="A2265" s="28">
        <v>2023</v>
      </c>
      <c r="B2265" s="28"/>
      <c r="C2265" s="28" t="s">
        <v>1315</v>
      </c>
      <c r="D2265" s="28" t="s">
        <v>2160</v>
      </c>
      <c r="E2265" s="28" t="s">
        <v>1316</v>
      </c>
      <c r="F2265" s="28" t="s">
        <v>294</v>
      </c>
      <c r="G2265" s="28">
        <v>22801</v>
      </c>
      <c r="H2265" s="28">
        <v>38.400409000000003</v>
      </c>
      <c r="I2265" s="28">
        <v>-78.895222000000004</v>
      </c>
      <c r="J2265" s="28"/>
      <c r="K2265" s="61">
        <v>110070544905</v>
      </c>
      <c r="L2265" s="61" t="str">
        <f>IFERROR(INDEX('Facility Summary'!$K:$K,MATCH(K2265,'Facility Summary'!$J:$J,0)),INDEX('Raw Annual DMR Data'!$M:$M,MATCH(K2265,'Raw Annual DMR Data'!$L:$L,0)))</f>
        <v>Waste Handling, Disposal and Treatment (Landfill)</v>
      </c>
      <c r="M2265" s="28"/>
      <c r="N2265" s="28"/>
      <c r="O2265" s="28"/>
      <c r="P2265" s="28"/>
      <c r="Q2265" s="28"/>
      <c r="R2265" s="28">
        <f t="shared" si="17"/>
        <v>4.1337877759054904E-2</v>
      </c>
      <c r="S2265" s="28">
        <v>1.8750545943500001E-2</v>
      </c>
    </row>
    <row r="2266" spans="1:19" x14ac:dyDescent="0.25">
      <c r="A2266" s="28">
        <v>2024</v>
      </c>
      <c r="B2266" s="28"/>
      <c r="C2266" s="28" t="s">
        <v>1315</v>
      </c>
      <c r="D2266" s="28" t="s">
        <v>2160</v>
      </c>
      <c r="E2266" s="28" t="s">
        <v>1316</v>
      </c>
      <c r="F2266" s="28" t="s">
        <v>294</v>
      </c>
      <c r="G2266" s="28">
        <v>22801</v>
      </c>
      <c r="H2266" s="28">
        <v>38.400409000000003</v>
      </c>
      <c r="I2266" s="28">
        <v>-78.895222000000004</v>
      </c>
      <c r="J2266" s="28"/>
      <c r="K2266" s="61">
        <v>110070544905</v>
      </c>
      <c r="L2266" s="61" t="str">
        <f>IFERROR(INDEX('Facility Summary'!$K:$K,MATCH(K2266,'Facility Summary'!$J:$J,0)),INDEX('Raw Annual DMR Data'!$M:$M,MATCH(K2266,'Raw Annual DMR Data'!$L:$L,0)))</f>
        <v>Waste Handling, Disposal and Treatment (Landfill)</v>
      </c>
      <c r="M2266" s="28"/>
      <c r="N2266" s="28"/>
      <c r="O2266" s="28"/>
      <c r="P2266" s="28"/>
      <c r="Q2266" s="28"/>
      <c r="R2266" s="28">
        <f t="shared" si="17"/>
        <v>2.6799185356667266E-3</v>
      </c>
      <c r="S2266" s="28">
        <v>1.2155906000000001E-3</v>
      </c>
    </row>
    <row r="2267" spans="1:19" x14ac:dyDescent="0.25">
      <c r="A2267" s="28">
        <v>2023</v>
      </c>
      <c r="B2267" s="28"/>
      <c r="C2267" s="28" t="s">
        <v>1317</v>
      </c>
      <c r="D2267" s="28" t="s">
        <v>2163</v>
      </c>
      <c r="E2267" s="28" t="s">
        <v>1133</v>
      </c>
      <c r="F2267" s="28" t="s">
        <v>491</v>
      </c>
      <c r="G2267" s="28" t="s">
        <v>6950</v>
      </c>
      <c r="H2267" s="28">
        <v>40.094276999999998</v>
      </c>
      <c r="I2267" s="28">
        <v>-74.865442000000002</v>
      </c>
      <c r="J2267" s="28"/>
      <c r="K2267" s="61">
        <v>110064634686</v>
      </c>
      <c r="L2267" s="61" t="str">
        <f>IFERROR(INDEX('Facility Summary'!$K:$K,MATCH(K2267,'Facility Summary'!$J:$J,0)),INDEX('Raw Annual DMR Data'!$M:$M,MATCH(K2267,'Raw Annual DMR Data'!$L:$L,0)))</f>
        <v>Unknown</v>
      </c>
      <c r="M2267" s="28"/>
      <c r="N2267" s="28"/>
      <c r="O2267" s="28"/>
      <c r="P2267" s="28"/>
      <c r="Q2267" s="28"/>
      <c r="R2267" s="28">
        <f t="shared" si="17"/>
        <v>0.85676926179335866</v>
      </c>
      <c r="S2267" s="28">
        <v>0.38862400000000002</v>
      </c>
    </row>
    <row r="2268" spans="1:19" x14ac:dyDescent="0.25">
      <c r="A2268" s="28">
        <v>2021</v>
      </c>
      <c r="B2268" s="28"/>
      <c r="C2268" s="28" t="s">
        <v>1317</v>
      </c>
      <c r="D2268" s="28" t="s">
        <v>2163</v>
      </c>
      <c r="E2268" s="28" t="s">
        <v>1133</v>
      </c>
      <c r="F2268" s="28" t="s">
        <v>491</v>
      </c>
      <c r="G2268" s="28" t="s">
        <v>6950</v>
      </c>
      <c r="H2268" s="28">
        <v>40.094276999999998</v>
      </c>
      <c r="I2268" s="28">
        <v>-74.865442000000002</v>
      </c>
      <c r="J2268" s="28"/>
      <c r="K2268" s="61">
        <v>110064634686</v>
      </c>
      <c r="L2268" s="61" t="str">
        <f>IFERROR(INDEX('Facility Summary'!$K:$K,MATCH(K2268,'Facility Summary'!$J:$J,0)),INDEX('Raw Annual DMR Data'!$M:$M,MATCH(K2268,'Raw Annual DMR Data'!$L:$L,0)))</f>
        <v>Unknown</v>
      </c>
      <c r="M2268" s="28"/>
      <c r="N2268" s="28"/>
      <c r="O2268" s="28"/>
      <c r="P2268" s="28"/>
      <c r="Q2268" s="28"/>
      <c r="R2268" s="28">
        <f t="shared" si="17"/>
        <v>0.81533205684213772</v>
      </c>
      <c r="S2268" s="28">
        <v>0.3698284</v>
      </c>
    </row>
    <row r="2269" spans="1:19" x14ac:dyDescent="0.25">
      <c r="A2269" s="28">
        <v>2024</v>
      </c>
      <c r="B2269" s="28"/>
      <c r="C2269" s="28" t="s">
        <v>1317</v>
      </c>
      <c r="D2269" s="28" t="s">
        <v>2163</v>
      </c>
      <c r="E2269" s="28" t="s">
        <v>1133</v>
      </c>
      <c r="F2269" s="28" t="s">
        <v>491</v>
      </c>
      <c r="G2269" s="28" t="s">
        <v>6950</v>
      </c>
      <c r="H2269" s="28">
        <v>40.094276999999998</v>
      </c>
      <c r="I2269" s="28">
        <v>-74.865442000000002</v>
      </c>
      <c r="J2269" s="28"/>
      <c r="K2269" s="61">
        <v>110064634686</v>
      </c>
      <c r="L2269" s="61" t="str">
        <f>IFERROR(INDEX('Facility Summary'!$K:$K,MATCH(K2269,'Facility Summary'!$J:$J,0)),INDEX('Raw Annual DMR Data'!$M:$M,MATCH(K2269,'Raw Annual DMR Data'!$L:$L,0)))</f>
        <v>Unknown</v>
      </c>
      <c r="M2269" s="28"/>
      <c r="N2269" s="28"/>
      <c r="O2269" s="28"/>
      <c r="P2269" s="28"/>
      <c r="Q2269" s="28"/>
      <c r="R2269" s="28">
        <f t="shared" si="17"/>
        <v>0.78860806234461123</v>
      </c>
      <c r="S2269" s="28">
        <v>0.35770659999999999</v>
      </c>
    </row>
    <row r="2270" spans="1:19" x14ac:dyDescent="0.25">
      <c r="A2270" s="28">
        <v>2022</v>
      </c>
      <c r="B2270" s="28"/>
      <c r="C2270" s="28" t="s">
        <v>1317</v>
      </c>
      <c r="D2270" s="28" t="s">
        <v>2163</v>
      </c>
      <c r="E2270" s="28" t="s">
        <v>1133</v>
      </c>
      <c r="F2270" s="28" t="s">
        <v>491</v>
      </c>
      <c r="G2270" s="28" t="s">
        <v>6950</v>
      </c>
      <c r="H2270" s="28">
        <v>40.094276999999998</v>
      </c>
      <c r="I2270" s="28">
        <v>-74.865442000000002</v>
      </c>
      <c r="J2270" s="28"/>
      <c r="K2270" s="61">
        <v>110064634686</v>
      </c>
      <c r="L2270" s="61" t="str">
        <f>IFERROR(INDEX('Facility Summary'!$K:$K,MATCH(K2270,'Facility Summary'!$J:$J,0)),INDEX('Raw Annual DMR Data'!$M:$M,MATCH(K2270,'Raw Annual DMR Data'!$L:$L,0)))</f>
        <v>Unknown</v>
      </c>
      <c r="M2270" s="28"/>
      <c r="N2270" s="28"/>
      <c r="O2270" s="28"/>
      <c r="P2270" s="28"/>
      <c r="Q2270" s="28"/>
      <c r="R2270" s="28">
        <f t="shared" si="17"/>
        <v>0.72580167078207247</v>
      </c>
      <c r="S2270" s="28">
        <v>0.32921810000000001</v>
      </c>
    </row>
    <row r="2271" spans="1:19" x14ac:dyDescent="0.25">
      <c r="A2271" s="28">
        <v>2021</v>
      </c>
      <c r="B2271" s="28"/>
      <c r="C2271" s="28" t="s">
        <v>1319</v>
      </c>
      <c r="D2271" s="28" t="s">
        <v>2167</v>
      </c>
      <c r="E2271" s="28" t="s">
        <v>1320</v>
      </c>
      <c r="F2271" s="28" t="s">
        <v>324</v>
      </c>
      <c r="G2271" s="28">
        <v>42629</v>
      </c>
      <c r="H2271" s="28">
        <v>36.946111000000002</v>
      </c>
      <c r="I2271" s="28">
        <v>-85.020832999999996</v>
      </c>
      <c r="J2271" s="28"/>
      <c r="K2271" s="61">
        <v>110000719045</v>
      </c>
      <c r="L2271" s="61" t="str">
        <f>IFERROR(INDEX('Facility Summary'!$K:$K,MATCH(K2271,'Facility Summary'!$J:$J,0)),INDEX('Raw Annual DMR Data'!$M:$M,MATCH(K2271,'Raw Annual DMR Data'!$L:$L,0)))</f>
        <v>POTW</v>
      </c>
      <c r="M2271" s="28"/>
      <c r="N2271" s="28"/>
      <c r="O2271" s="28"/>
      <c r="P2271" s="28"/>
      <c r="Q2271" s="28"/>
      <c r="R2271" s="28">
        <f t="shared" si="17"/>
        <v>0.95179414614050939</v>
      </c>
      <c r="S2271" s="28">
        <v>0.43172656250000002</v>
      </c>
    </row>
    <row r="2272" spans="1:19" x14ac:dyDescent="0.25">
      <c r="A2272" s="28">
        <v>2022</v>
      </c>
      <c r="B2272" s="28"/>
      <c r="C2272" s="28" t="s">
        <v>1321</v>
      </c>
      <c r="D2272" s="28" t="s">
        <v>2171</v>
      </c>
      <c r="E2272" s="28" t="s">
        <v>626</v>
      </c>
      <c r="F2272" s="28" t="s">
        <v>324</v>
      </c>
      <c r="G2272" s="28">
        <v>42276</v>
      </c>
      <c r="H2272" s="28">
        <v>36.856732000000001</v>
      </c>
      <c r="I2272" s="28">
        <v>-86.889048000000003</v>
      </c>
      <c r="J2272" s="28"/>
      <c r="K2272" s="61">
        <v>110000736730</v>
      </c>
      <c r="L2272" s="61" t="str">
        <f>IFERROR(INDEX('Facility Summary'!$K:$K,MATCH(K2272,'Facility Summary'!$J:$J,0)),INDEX('Raw Annual DMR Data'!$M:$M,MATCH(K2272,'Raw Annual DMR Data'!$L:$L,0)))</f>
        <v>POTW</v>
      </c>
      <c r="M2272" s="28"/>
      <c r="N2272" s="28"/>
      <c r="O2272" s="28"/>
      <c r="P2272" s="28"/>
      <c r="Q2272" s="28"/>
      <c r="R2272" s="28">
        <f t="shared" si="17"/>
        <v>8.4214746050512278E-3</v>
      </c>
      <c r="S2272" s="28">
        <v>3.8199166250000001E-3</v>
      </c>
    </row>
    <row r="2273" spans="1:19" x14ac:dyDescent="0.25">
      <c r="A2273" s="28">
        <v>2024</v>
      </c>
      <c r="B2273" s="28"/>
      <c r="C2273" s="28" t="s">
        <v>1321</v>
      </c>
      <c r="D2273" s="28" t="s">
        <v>2171</v>
      </c>
      <c r="E2273" s="28" t="s">
        <v>626</v>
      </c>
      <c r="F2273" s="28" t="s">
        <v>324</v>
      </c>
      <c r="G2273" s="28">
        <v>42276</v>
      </c>
      <c r="H2273" s="28">
        <v>36.856732000000001</v>
      </c>
      <c r="I2273" s="28">
        <v>-86.889048000000003</v>
      </c>
      <c r="J2273" s="28"/>
      <c r="K2273" s="61">
        <v>110000736730</v>
      </c>
      <c r="L2273" s="61" t="str">
        <f>IFERROR(INDEX('Facility Summary'!$K:$K,MATCH(K2273,'Facility Summary'!$J:$J,0)),INDEX('Raw Annual DMR Data'!$M:$M,MATCH(K2273,'Raw Annual DMR Data'!$L:$L,0)))</f>
        <v>POTW</v>
      </c>
      <c r="M2273" s="28"/>
      <c r="N2273" s="28"/>
      <c r="O2273" s="28"/>
      <c r="P2273" s="28"/>
      <c r="Q2273" s="28"/>
      <c r="R2273" s="28">
        <f t="shared" si="17"/>
        <v>2.6848209274331486E-3</v>
      </c>
      <c r="S2273" s="28">
        <v>1.2178142874999999E-3</v>
      </c>
    </row>
    <row r="2274" spans="1:19" x14ac:dyDescent="0.25">
      <c r="A2274" s="28">
        <v>2021</v>
      </c>
      <c r="B2274" s="28"/>
      <c r="C2274" s="28" t="s">
        <v>1321</v>
      </c>
      <c r="D2274" s="28" t="s">
        <v>2171</v>
      </c>
      <c r="E2274" s="28" t="s">
        <v>626</v>
      </c>
      <c r="F2274" s="28" t="s">
        <v>324</v>
      </c>
      <c r="G2274" s="28">
        <v>42276</v>
      </c>
      <c r="H2274" s="28">
        <v>36.856732000000001</v>
      </c>
      <c r="I2274" s="28">
        <v>-86.889048000000003</v>
      </c>
      <c r="J2274" s="28"/>
      <c r="K2274" s="61">
        <v>110000736730</v>
      </c>
      <c r="L2274" s="61" t="str">
        <f>IFERROR(INDEX('Facility Summary'!$K:$K,MATCH(K2274,'Facility Summary'!$J:$J,0)),INDEX('Raw Annual DMR Data'!$M:$M,MATCH(K2274,'Raw Annual DMR Data'!$L:$L,0)))</f>
        <v>POTW</v>
      </c>
      <c r="M2274" s="28"/>
      <c r="N2274" s="28"/>
      <c r="O2274" s="28"/>
      <c r="P2274" s="28"/>
      <c r="Q2274" s="28"/>
      <c r="R2274" s="28">
        <f t="shared" si="17"/>
        <v>1.7817586415750336E-3</v>
      </c>
      <c r="S2274" s="28">
        <v>8.0819212500000005E-4</v>
      </c>
    </row>
    <row r="2275" spans="1:19" x14ac:dyDescent="0.25">
      <c r="A2275" s="28">
        <v>2023</v>
      </c>
      <c r="B2275" s="28"/>
      <c r="C2275" s="28" t="s">
        <v>1321</v>
      </c>
      <c r="D2275" s="28" t="s">
        <v>2171</v>
      </c>
      <c r="E2275" s="28" t="s">
        <v>626</v>
      </c>
      <c r="F2275" s="28" t="s">
        <v>324</v>
      </c>
      <c r="G2275" s="28">
        <v>42276</v>
      </c>
      <c r="H2275" s="28">
        <v>36.856732000000001</v>
      </c>
      <c r="I2275" s="28">
        <v>-86.889048000000003</v>
      </c>
      <c r="J2275" s="28"/>
      <c r="K2275" s="61">
        <v>110000736730</v>
      </c>
      <c r="L2275" s="61" t="str">
        <f>IFERROR(INDEX('Facility Summary'!$K:$K,MATCH(K2275,'Facility Summary'!$J:$J,0)),INDEX('Raw Annual DMR Data'!$M:$M,MATCH(K2275,'Raw Annual DMR Data'!$L:$L,0)))</f>
        <v>POTW</v>
      </c>
      <c r="M2275" s="28"/>
      <c r="N2275" s="28"/>
      <c r="O2275" s="28"/>
      <c r="P2275" s="28"/>
      <c r="Q2275" s="28"/>
      <c r="R2275" s="28">
        <f t="shared" si="17"/>
        <v>1.0264148071979253E-3</v>
      </c>
      <c r="S2275" s="28">
        <v>4.6557392499999999E-4</v>
      </c>
    </row>
    <row r="2276" spans="1:19" x14ac:dyDescent="0.25">
      <c r="A2276" s="28">
        <v>2021</v>
      </c>
      <c r="B2276" s="28"/>
      <c r="C2276" s="28" t="s">
        <v>1322</v>
      </c>
      <c r="D2276" s="28" t="s">
        <v>2173</v>
      </c>
      <c r="E2276" s="28" t="s">
        <v>1273</v>
      </c>
      <c r="F2276" s="28" t="s">
        <v>324</v>
      </c>
      <c r="G2276" s="28">
        <v>42301</v>
      </c>
      <c r="H2276" s="28">
        <v>37.790278000000001</v>
      </c>
      <c r="I2276" s="28">
        <v>-87.140277999999995</v>
      </c>
      <c r="J2276" s="28"/>
      <c r="K2276" s="61">
        <v>110039998214</v>
      </c>
      <c r="L2276" s="61" t="str">
        <f>IFERROR(INDEX('Facility Summary'!$K:$K,MATCH(K2276,'Facility Summary'!$J:$J,0)),INDEX('Raw Annual DMR Data'!$M:$M,MATCH(K2276,'Raw Annual DMR Data'!$L:$L,0)))</f>
        <v>POTW</v>
      </c>
      <c r="M2276" s="28"/>
      <c r="N2276" s="28"/>
      <c r="O2276" s="28"/>
      <c r="P2276" s="28"/>
      <c r="Q2276" s="28"/>
      <c r="R2276" s="28">
        <f t="shared" si="17"/>
        <v>65.452979841790551</v>
      </c>
      <c r="S2276" s="28">
        <v>29.688972249999999</v>
      </c>
    </row>
    <row r="2277" spans="1:19" x14ac:dyDescent="0.25">
      <c r="A2277" s="28">
        <v>2023</v>
      </c>
      <c r="B2277" s="28"/>
      <c r="C2277" s="28" t="s">
        <v>1322</v>
      </c>
      <c r="D2277" s="28" t="s">
        <v>2173</v>
      </c>
      <c r="E2277" s="28" t="s">
        <v>1273</v>
      </c>
      <c r="F2277" s="28" t="s">
        <v>324</v>
      </c>
      <c r="G2277" s="28">
        <v>42301</v>
      </c>
      <c r="H2277" s="28">
        <v>37.790278000000001</v>
      </c>
      <c r="I2277" s="28">
        <v>-87.140277999999995</v>
      </c>
      <c r="J2277" s="28"/>
      <c r="K2277" s="61">
        <v>110039998214</v>
      </c>
      <c r="L2277" s="61" t="str">
        <f>IFERROR(INDEX('Facility Summary'!$K:$K,MATCH(K2277,'Facility Summary'!$J:$J,0)),INDEX('Raw Annual DMR Data'!$M:$M,MATCH(K2277,'Raw Annual DMR Data'!$L:$L,0)))</f>
        <v>POTW</v>
      </c>
      <c r="M2277" s="28"/>
      <c r="N2277" s="28"/>
      <c r="O2277" s="28"/>
      <c r="P2277" s="28"/>
      <c r="Q2277" s="28"/>
      <c r="R2277" s="28">
        <f t="shared" si="17"/>
        <v>21.167901810164931</v>
      </c>
      <c r="S2277" s="28">
        <v>9.6015987500000008</v>
      </c>
    </row>
    <row r="2278" spans="1:19" x14ac:dyDescent="0.25">
      <c r="A2278" s="28">
        <v>2024</v>
      </c>
      <c r="B2278" s="28"/>
      <c r="C2278" s="28" t="s">
        <v>1322</v>
      </c>
      <c r="D2278" s="28" t="s">
        <v>2173</v>
      </c>
      <c r="E2278" s="28" t="s">
        <v>1273</v>
      </c>
      <c r="F2278" s="28" t="s">
        <v>324</v>
      </c>
      <c r="G2278" s="28">
        <v>42301</v>
      </c>
      <c r="H2278" s="28">
        <v>37.790278000000001</v>
      </c>
      <c r="I2278" s="28">
        <v>-87.140277999999995</v>
      </c>
      <c r="J2278" s="28"/>
      <c r="K2278" s="61">
        <v>110039998214</v>
      </c>
      <c r="L2278" s="61" t="str">
        <f>IFERROR(INDEX('Facility Summary'!$K:$K,MATCH(K2278,'Facility Summary'!$J:$J,0)),INDEX('Raw Annual DMR Data'!$M:$M,MATCH(K2278,'Raw Annual DMR Data'!$L:$L,0)))</f>
        <v>POTW</v>
      </c>
      <c r="M2278" s="28"/>
      <c r="N2278" s="28"/>
      <c r="O2278" s="28"/>
      <c r="P2278" s="28"/>
      <c r="Q2278" s="28"/>
      <c r="R2278" s="28">
        <f t="shared" si="17"/>
        <v>12.533225316378227</v>
      </c>
      <c r="S2278" s="28">
        <v>5.6849753749999996</v>
      </c>
    </row>
    <row r="2279" spans="1:19" x14ac:dyDescent="0.25">
      <c r="A2279" s="28">
        <v>2022</v>
      </c>
      <c r="B2279" s="28"/>
      <c r="C2279" s="28" t="s">
        <v>1322</v>
      </c>
      <c r="D2279" s="28" t="s">
        <v>2173</v>
      </c>
      <c r="E2279" s="28" t="s">
        <v>1273</v>
      </c>
      <c r="F2279" s="28" t="s">
        <v>324</v>
      </c>
      <c r="G2279" s="28">
        <v>42301</v>
      </c>
      <c r="H2279" s="28">
        <v>37.790278000000001</v>
      </c>
      <c r="I2279" s="28">
        <v>-87.140277999999995</v>
      </c>
      <c r="J2279" s="28"/>
      <c r="K2279" s="61">
        <v>110039998214</v>
      </c>
      <c r="L2279" s="61" t="str">
        <f>IFERROR(INDEX('Facility Summary'!$K:$K,MATCH(K2279,'Facility Summary'!$J:$J,0)),INDEX('Raw Annual DMR Data'!$M:$M,MATCH(K2279,'Raw Annual DMR Data'!$L:$L,0)))</f>
        <v>POTW</v>
      </c>
      <c r="M2279" s="28"/>
      <c r="N2279" s="28"/>
      <c r="O2279" s="28"/>
      <c r="P2279" s="28"/>
      <c r="Q2279" s="28"/>
      <c r="R2279" s="28">
        <f t="shared" si="17"/>
        <v>4.723853333886546</v>
      </c>
      <c r="S2279" s="28">
        <v>2.1427038292499998</v>
      </c>
    </row>
    <row r="2280" spans="1:19" x14ac:dyDescent="0.25">
      <c r="A2280" s="28">
        <v>2021</v>
      </c>
      <c r="B2280" s="28"/>
      <c r="C2280" s="28" t="s">
        <v>6805</v>
      </c>
      <c r="D2280" s="28" t="s">
        <v>6959</v>
      </c>
      <c r="E2280" s="28" t="s">
        <v>1324</v>
      </c>
      <c r="F2280" s="28" t="s">
        <v>450</v>
      </c>
      <c r="G2280" s="28">
        <v>12158</v>
      </c>
      <c r="H2280" s="28">
        <v>42.575806</v>
      </c>
      <c r="I2280" s="28">
        <v>-73.859943999999999</v>
      </c>
      <c r="J2280" s="28"/>
      <c r="K2280" s="61">
        <v>110000324391</v>
      </c>
      <c r="L2280" s="61" t="str">
        <f>IFERROR(INDEX('Facility Summary'!$K:$K,MATCH(K2280,'Facility Summary'!$J:$J,0)),INDEX('Raw Annual DMR Data'!$M:$M,MATCH(K2280,'Raw Annual DMR Data'!$L:$L,0)))</f>
        <v>Unknown</v>
      </c>
      <c r="M2280" s="28"/>
      <c r="N2280" s="28"/>
      <c r="O2280" s="28"/>
      <c r="P2280" s="28"/>
      <c r="Q2280" s="28"/>
      <c r="R2280" s="28">
        <f t="shared" si="17"/>
        <v>1.8266400733328032</v>
      </c>
      <c r="S2280" s="28">
        <v>0.82855000000000001</v>
      </c>
    </row>
    <row r="2281" spans="1:19" x14ac:dyDescent="0.25">
      <c r="A2281" s="28">
        <v>2022</v>
      </c>
      <c r="B2281" s="28"/>
      <c r="C2281" s="28" t="s">
        <v>6805</v>
      </c>
      <c r="D2281" s="28" t="s">
        <v>6959</v>
      </c>
      <c r="E2281" s="28" t="s">
        <v>1324</v>
      </c>
      <c r="F2281" s="28" t="s">
        <v>450</v>
      </c>
      <c r="G2281" s="28">
        <v>12158</v>
      </c>
      <c r="H2281" s="28">
        <v>42.575806</v>
      </c>
      <c r="I2281" s="28">
        <v>-73.859943999999999</v>
      </c>
      <c r="J2281" s="28"/>
      <c r="K2281" s="61">
        <v>110000324391</v>
      </c>
      <c r="L2281" s="61" t="str">
        <f>IFERROR(INDEX('Facility Summary'!$K:$K,MATCH(K2281,'Facility Summary'!$J:$J,0)),INDEX('Raw Annual DMR Data'!$M:$M,MATCH(K2281,'Raw Annual DMR Data'!$L:$L,0)))</f>
        <v>Unknown</v>
      </c>
      <c r="M2281" s="28"/>
      <c r="N2281" s="28"/>
      <c r="O2281" s="28"/>
      <c r="P2281" s="28"/>
      <c r="Q2281" s="28"/>
      <c r="R2281" s="28">
        <f t="shared" si="17"/>
        <v>1.8266400733328032</v>
      </c>
      <c r="S2281" s="28">
        <v>0.82855000000000001</v>
      </c>
    </row>
    <row r="2282" spans="1:19" x14ac:dyDescent="0.25">
      <c r="A2282" s="28">
        <v>2023</v>
      </c>
      <c r="B2282" s="28"/>
      <c r="C2282" s="28" t="s">
        <v>6805</v>
      </c>
      <c r="D2282" s="28" t="s">
        <v>6959</v>
      </c>
      <c r="E2282" s="28" t="s">
        <v>1324</v>
      </c>
      <c r="F2282" s="28" t="s">
        <v>450</v>
      </c>
      <c r="G2282" s="28">
        <v>12158</v>
      </c>
      <c r="H2282" s="28">
        <v>42.575806</v>
      </c>
      <c r="I2282" s="28">
        <v>-73.859943999999999</v>
      </c>
      <c r="J2282" s="28"/>
      <c r="K2282" s="61">
        <v>110000324391</v>
      </c>
      <c r="L2282" s="61" t="str">
        <f>IFERROR(INDEX('Facility Summary'!$K:$K,MATCH(K2282,'Facility Summary'!$J:$J,0)),INDEX('Raw Annual DMR Data'!$M:$M,MATCH(K2282,'Raw Annual DMR Data'!$L:$L,0)))</f>
        <v>Unknown</v>
      </c>
      <c r="M2282" s="28"/>
      <c r="N2282" s="28"/>
      <c r="O2282" s="28"/>
      <c r="P2282" s="28"/>
      <c r="Q2282" s="28"/>
      <c r="R2282" s="28">
        <f t="shared" si="17"/>
        <v>1.8266400733328032</v>
      </c>
      <c r="S2282" s="28">
        <v>0.82855000000000001</v>
      </c>
    </row>
    <row r="2283" spans="1:19" x14ac:dyDescent="0.25">
      <c r="A2283" s="28">
        <v>2024</v>
      </c>
      <c r="B2283" s="28"/>
      <c r="C2283" s="28" t="s">
        <v>6805</v>
      </c>
      <c r="D2283" s="28" t="s">
        <v>6959</v>
      </c>
      <c r="E2283" s="28" t="s">
        <v>1324</v>
      </c>
      <c r="F2283" s="28" t="s">
        <v>450</v>
      </c>
      <c r="G2283" s="28">
        <v>12158</v>
      </c>
      <c r="H2283" s="28">
        <v>42.575806</v>
      </c>
      <c r="I2283" s="28">
        <v>-73.859943999999999</v>
      </c>
      <c r="J2283" s="28"/>
      <c r="K2283" s="61">
        <v>110000324391</v>
      </c>
      <c r="L2283" s="61" t="str">
        <f>IFERROR(INDEX('Facility Summary'!$K:$K,MATCH(K2283,'Facility Summary'!$J:$J,0)),INDEX('Raw Annual DMR Data'!$M:$M,MATCH(K2283,'Raw Annual DMR Data'!$L:$L,0)))</f>
        <v>Unknown</v>
      </c>
      <c r="M2283" s="28"/>
      <c r="N2283" s="28"/>
      <c r="O2283" s="28"/>
      <c r="P2283" s="28"/>
      <c r="Q2283" s="28"/>
      <c r="R2283" s="28">
        <f t="shared" si="17"/>
        <v>1.3737334250132998</v>
      </c>
      <c r="S2283" s="28">
        <v>0.62311499999999997</v>
      </c>
    </row>
    <row r="2284" spans="1:19" x14ac:dyDescent="0.25">
      <c r="A2284" s="28">
        <v>2024</v>
      </c>
      <c r="B2284" s="28"/>
      <c r="C2284" s="28" t="s">
        <v>6805</v>
      </c>
      <c r="D2284" s="28" t="s">
        <v>6959</v>
      </c>
      <c r="E2284" s="28" t="s">
        <v>1324</v>
      </c>
      <c r="F2284" s="28" t="s">
        <v>450</v>
      </c>
      <c r="G2284" s="28">
        <v>12158</v>
      </c>
      <c r="H2284" s="28">
        <v>42.575806</v>
      </c>
      <c r="I2284" s="28">
        <v>-73.859943999999999</v>
      </c>
      <c r="J2284" s="28"/>
      <c r="K2284" s="61">
        <v>110000324391</v>
      </c>
      <c r="L2284" s="61" t="str">
        <f>IFERROR(INDEX('Facility Summary'!$K:$K,MATCH(K2284,'Facility Summary'!$J:$J,0)),INDEX('Raw Annual DMR Data'!$M:$M,MATCH(K2284,'Raw Annual DMR Data'!$L:$L,0)))</f>
        <v>Unknown</v>
      </c>
      <c r="M2284" s="28"/>
      <c r="N2284" s="28"/>
      <c r="O2284" s="28"/>
      <c r="P2284" s="28"/>
      <c r="Q2284" s="28"/>
      <c r="R2284" s="28">
        <f t="shared" si="17"/>
        <v>0.45440799632498224</v>
      </c>
      <c r="S2284" s="28">
        <v>0.20611599999999999</v>
      </c>
    </row>
    <row r="2285" spans="1:19" x14ac:dyDescent="0.25">
      <c r="A2285" s="28">
        <v>2021</v>
      </c>
      <c r="B2285" s="28"/>
      <c r="C2285" s="28" t="s">
        <v>6805</v>
      </c>
      <c r="D2285" s="28" t="s">
        <v>6959</v>
      </c>
      <c r="E2285" s="28" t="s">
        <v>1324</v>
      </c>
      <c r="F2285" s="28" t="s">
        <v>450</v>
      </c>
      <c r="G2285" s="28">
        <v>12158</v>
      </c>
      <c r="H2285" s="28">
        <v>42.575806</v>
      </c>
      <c r="I2285" s="28">
        <v>-73.859943999999999</v>
      </c>
      <c r="J2285" s="28"/>
      <c r="K2285" s="61">
        <v>110000324391</v>
      </c>
      <c r="L2285" s="61" t="str">
        <f>IFERROR(INDEX('Facility Summary'!$K:$K,MATCH(K2285,'Facility Summary'!$J:$J,0)),INDEX('Raw Annual DMR Data'!$M:$M,MATCH(K2285,'Raw Annual DMR Data'!$L:$L,0)))</f>
        <v>Unknown</v>
      </c>
      <c r="M2285" s="28"/>
      <c r="N2285" s="28"/>
      <c r="O2285" s="28"/>
      <c r="P2285" s="28"/>
      <c r="Q2285" s="28"/>
      <c r="R2285" s="28">
        <f t="shared" si="17"/>
        <v>0.27324533699718095</v>
      </c>
      <c r="S2285" s="28">
        <v>0.123942</v>
      </c>
    </row>
    <row r="2286" spans="1:19" x14ac:dyDescent="0.25">
      <c r="A2286" s="28">
        <v>2023</v>
      </c>
      <c r="B2286" s="28"/>
      <c r="C2286" s="28" t="s">
        <v>6805</v>
      </c>
      <c r="D2286" s="28" t="s">
        <v>6959</v>
      </c>
      <c r="E2286" s="28" t="s">
        <v>1324</v>
      </c>
      <c r="F2286" s="28" t="s">
        <v>450</v>
      </c>
      <c r="G2286" s="28">
        <v>12158</v>
      </c>
      <c r="H2286" s="28">
        <v>42.575806</v>
      </c>
      <c r="I2286" s="28">
        <v>-73.859943999999999</v>
      </c>
      <c r="J2286" s="28"/>
      <c r="K2286" s="61">
        <v>110000324391</v>
      </c>
      <c r="L2286" s="61" t="str">
        <f>IFERROR(INDEX('Facility Summary'!$K:$K,MATCH(K2286,'Facility Summary'!$J:$J,0)),INDEX('Raw Annual DMR Data'!$M:$M,MATCH(K2286,'Raw Annual DMR Data'!$L:$L,0)))</f>
        <v>Unknown</v>
      </c>
      <c r="M2286" s="28"/>
      <c r="N2286" s="28"/>
      <c r="O2286" s="28"/>
      <c r="P2286" s="28"/>
      <c r="Q2286" s="28"/>
      <c r="R2286" s="28">
        <f t="shared" si="17"/>
        <v>0.27324533699718095</v>
      </c>
      <c r="S2286" s="28">
        <v>0.123942</v>
      </c>
    </row>
    <row r="2287" spans="1:19" x14ac:dyDescent="0.25">
      <c r="A2287" s="28">
        <v>2022</v>
      </c>
      <c r="B2287" s="28"/>
      <c r="C2287" s="28" t="s">
        <v>6805</v>
      </c>
      <c r="D2287" s="28" t="s">
        <v>6959</v>
      </c>
      <c r="E2287" s="28" t="s">
        <v>1324</v>
      </c>
      <c r="F2287" s="28" t="s">
        <v>450</v>
      </c>
      <c r="G2287" s="28">
        <v>12158</v>
      </c>
      <c r="H2287" s="28">
        <v>42.575806</v>
      </c>
      <c r="I2287" s="28">
        <v>-73.859943999999999</v>
      </c>
      <c r="J2287" s="28"/>
      <c r="K2287" s="61">
        <v>110000324391</v>
      </c>
      <c r="L2287" s="61" t="str">
        <f>IFERROR(INDEX('Facility Summary'!$K:$K,MATCH(K2287,'Facility Summary'!$J:$J,0)),INDEX('Raw Annual DMR Data'!$M:$M,MATCH(K2287,'Raw Annual DMR Data'!$L:$L,0)))</f>
        <v>Unknown</v>
      </c>
      <c r="M2287" s="28"/>
      <c r="N2287" s="28"/>
      <c r="O2287" s="28"/>
      <c r="P2287" s="28"/>
      <c r="Q2287" s="28"/>
      <c r="R2287" s="28">
        <f t="shared" si="17"/>
        <v>0.18266400733328031</v>
      </c>
      <c r="S2287" s="28">
        <v>8.2854999999999998E-2</v>
      </c>
    </row>
    <row r="2288" spans="1:19" x14ac:dyDescent="0.25">
      <c r="A2288" s="28">
        <v>2021</v>
      </c>
      <c r="B2288" s="28"/>
      <c r="C2288" s="28" t="s">
        <v>1325</v>
      </c>
      <c r="D2288" s="28" t="s">
        <v>2179</v>
      </c>
      <c r="E2288" s="28" t="s">
        <v>1326</v>
      </c>
      <c r="F2288" s="28" t="s">
        <v>469</v>
      </c>
      <c r="G2288" s="28">
        <v>47620</v>
      </c>
      <c r="H2288" s="28">
        <v>37.907200000000003</v>
      </c>
      <c r="I2288" s="28">
        <v>-87.927099999999996</v>
      </c>
      <c r="J2288" s="28" t="s">
        <v>732</v>
      </c>
      <c r="K2288" s="61">
        <v>110000403670</v>
      </c>
      <c r="L2288" s="61" t="str">
        <f>IFERROR(INDEX('Facility Summary'!$K:$K,MATCH(K2288,'Facility Summary'!$J:$J,0)),INDEX('Raw Annual DMR Data'!$M:$M,MATCH(K2288,'Raw Annual DMR Data'!$L:$L,0)))</f>
        <v>Processing as a Reactant</v>
      </c>
      <c r="M2288" s="28"/>
      <c r="N2288" s="28"/>
      <c r="O2288" s="28"/>
      <c r="P2288" s="28"/>
      <c r="Q2288" s="28"/>
      <c r="R2288" s="28">
        <f t="shared" si="17"/>
        <v>18.416535533875933</v>
      </c>
      <c r="S2288" s="28">
        <v>8.3536000000000001</v>
      </c>
    </row>
    <row r="2289" spans="1:19" x14ac:dyDescent="0.25">
      <c r="A2289" s="28">
        <v>2022</v>
      </c>
      <c r="B2289" s="28"/>
      <c r="C2289" s="28" t="s">
        <v>1325</v>
      </c>
      <c r="D2289" s="28" t="s">
        <v>2179</v>
      </c>
      <c r="E2289" s="28" t="s">
        <v>1326</v>
      </c>
      <c r="F2289" s="28" t="s">
        <v>469</v>
      </c>
      <c r="G2289" s="28">
        <v>47620</v>
      </c>
      <c r="H2289" s="28">
        <v>37.907200000000003</v>
      </c>
      <c r="I2289" s="28">
        <v>-87.927099999999996</v>
      </c>
      <c r="J2289" s="28" t="s">
        <v>732</v>
      </c>
      <c r="K2289" s="61">
        <v>110000403670</v>
      </c>
      <c r="L2289" s="61" t="str">
        <f>IFERROR(INDEX('Facility Summary'!$K:$K,MATCH(K2289,'Facility Summary'!$J:$J,0)),INDEX('Raw Annual DMR Data'!$M:$M,MATCH(K2289,'Raw Annual DMR Data'!$L:$L,0)))</f>
        <v>Processing as a Reactant</v>
      </c>
      <c r="M2289" s="28"/>
      <c r="N2289" s="28"/>
      <c r="O2289" s="28"/>
      <c r="P2289" s="28"/>
      <c r="Q2289" s="28"/>
      <c r="R2289" s="28">
        <f t="shared" si="17"/>
        <v>14.733228427100746</v>
      </c>
      <c r="S2289" s="28">
        <v>6.6828799999999999</v>
      </c>
    </row>
    <row r="2290" spans="1:19" x14ac:dyDescent="0.25">
      <c r="A2290" s="28">
        <v>2024</v>
      </c>
      <c r="B2290" s="28"/>
      <c r="C2290" s="28" t="s">
        <v>1325</v>
      </c>
      <c r="D2290" s="28" t="s">
        <v>2179</v>
      </c>
      <c r="E2290" s="28" t="s">
        <v>1326</v>
      </c>
      <c r="F2290" s="28" t="s">
        <v>469</v>
      </c>
      <c r="G2290" s="28">
        <v>47620</v>
      </c>
      <c r="H2290" s="28">
        <v>37.907200000000003</v>
      </c>
      <c r="I2290" s="28">
        <v>-87.927099999999996</v>
      </c>
      <c r="J2290" s="28" t="s">
        <v>732</v>
      </c>
      <c r="K2290" s="61">
        <v>110000403670</v>
      </c>
      <c r="L2290" s="61" t="str">
        <f>IFERROR(INDEX('Facility Summary'!$K:$K,MATCH(K2290,'Facility Summary'!$J:$J,0)),INDEX('Raw Annual DMR Data'!$M:$M,MATCH(K2290,'Raw Annual DMR Data'!$L:$L,0)))</f>
        <v>Processing as a Reactant</v>
      </c>
      <c r="M2290" s="28"/>
      <c r="N2290" s="28"/>
      <c r="O2290" s="28"/>
      <c r="P2290" s="28"/>
      <c r="Q2290" s="28"/>
      <c r="R2290" s="28">
        <f t="shared" si="17"/>
        <v>9.1332003666640169</v>
      </c>
      <c r="S2290" s="28">
        <v>4.1427500000000004</v>
      </c>
    </row>
    <row r="2291" spans="1:19" x14ac:dyDescent="0.25">
      <c r="A2291" s="28">
        <v>2023</v>
      </c>
      <c r="B2291" s="28"/>
      <c r="C2291" s="28" t="s">
        <v>1325</v>
      </c>
      <c r="D2291" s="28" t="s">
        <v>2179</v>
      </c>
      <c r="E2291" s="28" t="s">
        <v>1326</v>
      </c>
      <c r="F2291" s="28" t="s">
        <v>469</v>
      </c>
      <c r="G2291" s="28">
        <v>47620</v>
      </c>
      <c r="H2291" s="28">
        <v>37.907200000000003</v>
      </c>
      <c r="I2291" s="28">
        <v>-87.927099999999996</v>
      </c>
      <c r="J2291" s="28" t="s">
        <v>732</v>
      </c>
      <c r="K2291" s="61">
        <v>110000403670</v>
      </c>
      <c r="L2291" s="61" t="str">
        <f>IFERROR(INDEX('Facility Summary'!$K:$K,MATCH(K2291,'Facility Summary'!$J:$J,0)),INDEX('Raw Annual DMR Data'!$M:$M,MATCH(K2291,'Raw Annual DMR Data'!$L:$L,0)))</f>
        <v>Processing as a Reactant</v>
      </c>
      <c r="M2291" s="28"/>
      <c r="N2291" s="28"/>
      <c r="O2291" s="28"/>
      <c r="P2291" s="28"/>
      <c r="Q2291" s="28"/>
      <c r="R2291" s="28">
        <f t="shared" si="17"/>
        <v>7.3666142135503732</v>
      </c>
      <c r="S2291" s="28">
        <v>3.34144</v>
      </c>
    </row>
    <row r="2292" spans="1:19" x14ac:dyDescent="0.25">
      <c r="A2292" s="28">
        <v>2024</v>
      </c>
      <c r="B2292" s="28"/>
      <c r="C2292" s="28" t="s">
        <v>6912</v>
      </c>
      <c r="D2292" s="28" t="s">
        <v>7114</v>
      </c>
      <c r="E2292" s="28" t="s">
        <v>7115</v>
      </c>
      <c r="F2292" s="28" t="s">
        <v>338</v>
      </c>
      <c r="G2292" s="28" t="s">
        <v>7116</v>
      </c>
      <c r="H2292" s="28">
        <v>39.573918999999997</v>
      </c>
      <c r="I2292" s="28">
        <v>-75.479337000000001</v>
      </c>
      <c r="J2292" s="28"/>
      <c r="K2292" s="61">
        <v>110000734484</v>
      </c>
      <c r="L2292" s="61" t="str">
        <f>IFERROR(INDEX('Facility Summary'!$K:$K,MATCH(K2292,'Facility Summary'!$J:$J,0)),INDEX('Raw Annual DMR Data'!$M:$M,MATCH(K2292,'Raw Annual DMR Data'!$L:$L,0)))</f>
        <v>POTW</v>
      </c>
      <c r="M2292" s="28"/>
      <c r="N2292" s="28"/>
      <c r="O2292" s="28"/>
      <c r="P2292" s="28"/>
      <c r="Q2292" s="28"/>
      <c r="R2292" s="28">
        <f t="shared" si="17"/>
        <v>80.64509550722822</v>
      </c>
      <c r="S2292" s="28">
        <v>36.58</v>
      </c>
    </row>
    <row r="2293" spans="1:19" x14ac:dyDescent="0.25">
      <c r="A2293" s="28">
        <v>2021</v>
      </c>
      <c r="B2293" s="28"/>
      <c r="C2293" s="28" t="s">
        <v>1332</v>
      </c>
      <c r="D2293" s="28" t="s">
        <v>2189</v>
      </c>
      <c r="E2293" s="28" t="s">
        <v>1333</v>
      </c>
      <c r="F2293" s="28" t="s">
        <v>491</v>
      </c>
      <c r="G2293" s="28">
        <v>18370</v>
      </c>
      <c r="H2293" s="28">
        <v>41.094749999999998</v>
      </c>
      <c r="I2293" s="28">
        <v>-75.326319999999996</v>
      </c>
      <c r="J2293" s="28" t="s">
        <v>733</v>
      </c>
      <c r="K2293" s="61">
        <v>110006522735</v>
      </c>
      <c r="L2293" s="61" t="str">
        <f>IFERROR(INDEX('Facility Summary'!$K:$K,MATCH(K2293,'Facility Summary'!$J:$J,0)),INDEX('Raw Annual DMR Data'!$M:$M,MATCH(K2293,'Raw Annual DMR Data'!$L:$L,0)))</f>
        <v>Unknown</v>
      </c>
      <c r="M2293" s="28"/>
      <c r="N2293" s="28"/>
      <c r="O2293" s="28"/>
      <c r="P2293" s="28"/>
      <c r="Q2293" s="28"/>
      <c r="R2293" s="28">
        <f t="shared" si="17"/>
        <v>4.5741069233594028E-2</v>
      </c>
      <c r="S2293" s="28">
        <v>2.07478E-2</v>
      </c>
    </row>
    <row r="2294" spans="1:19" x14ac:dyDescent="0.25">
      <c r="A2294" s="28">
        <v>2022</v>
      </c>
      <c r="B2294" s="28"/>
      <c r="C2294" s="28" t="s">
        <v>1332</v>
      </c>
      <c r="D2294" s="28" t="s">
        <v>2189</v>
      </c>
      <c r="E2294" s="28" t="s">
        <v>1333</v>
      </c>
      <c r="F2294" s="28" t="s">
        <v>491</v>
      </c>
      <c r="G2294" s="28">
        <v>18370</v>
      </c>
      <c r="H2294" s="28">
        <v>41.094749999999998</v>
      </c>
      <c r="I2294" s="28">
        <v>-75.326319999999996</v>
      </c>
      <c r="J2294" s="28" t="s">
        <v>733</v>
      </c>
      <c r="K2294" s="61">
        <v>110006522735</v>
      </c>
      <c r="L2294" s="61" t="str">
        <f>IFERROR(INDEX('Facility Summary'!$K:$K,MATCH(K2294,'Facility Summary'!$J:$J,0)),INDEX('Raw Annual DMR Data'!$M:$M,MATCH(K2294,'Raw Annual DMR Data'!$L:$L,0)))</f>
        <v>Unknown</v>
      </c>
      <c r="M2294" s="28"/>
      <c r="N2294" s="28"/>
      <c r="O2294" s="28"/>
      <c r="P2294" s="28"/>
      <c r="Q2294" s="28"/>
      <c r="R2294" s="28">
        <f t="shared" si="17"/>
        <v>4.5590934433046126E-2</v>
      </c>
      <c r="S2294" s="28">
        <v>2.0679699999999999E-2</v>
      </c>
    </row>
    <row r="2295" spans="1:19" x14ac:dyDescent="0.25">
      <c r="A2295" s="28">
        <v>2023</v>
      </c>
      <c r="B2295" s="28"/>
      <c r="C2295" s="28" t="s">
        <v>1332</v>
      </c>
      <c r="D2295" s="28" t="s">
        <v>2189</v>
      </c>
      <c r="E2295" s="28" t="s">
        <v>1333</v>
      </c>
      <c r="F2295" s="28" t="s">
        <v>491</v>
      </c>
      <c r="G2295" s="28">
        <v>18370</v>
      </c>
      <c r="H2295" s="28">
        <v>41.094749999999998</v>
      </c>
      <c r="I2295" s="28">
        <v>-75.326319999999996</v>
      </c>
      <c r="J2295" s="28" t="s">
        <v>733</v>
      </c>
      <c r="K2295" s="61">
        <v>110006522735</v>
      </c>
      <c r="L2295" s="61" t="str">
        <f>IFERROR(INDEX('Facility Summary'!$K:$K,MATCH(K2295,'Facility Summary'!$J:$J,0)),INDEX('Raw Annual DMR Data'!$M:$M,MATCH(K2295,'Raw Annual DMR Data'!$L:$L,0)))</f>
        <v>Unknown</v>
      </c>
      <c r="M2295" s="28"/>
      <c r="N2295" s="28"/>
      <c r="O2295" s="28"/>
      <c r="P2295" s="28"/>
      <c r="Q2295" s="28"/>
      <c r="R2295" s="28">
        <f t="shared" si="17"/>
        <v>3.6532801466656058E-2</v>
      </c>
      <c r="S2295" s="28">
        <v>1.6570999999999999E-2</v>
      </c>
    </row>
    <row r="2296" spans="1:19" x14ac:dyDescent="0.25">
      <c r="A2296" s="28">
        <v>2024</v>
      </c>
      <c r="B2296" s="28"/>
      <c r="C2296" s="28" t="s">
        <v>1332</v>
      </c>
      <c r="D2296" s="28" t="s">
        <v>2189</v>
      </c>
      <c r="E2296" s="28" t="s">
        <v>1333</v>
      </c>
      <c r="F2296" s="28" t="s">
        <v>491</v>
      </c>
      <c r="G2296" s="28">
        <v>18370</v>
      </c>
      <c r="H2296" s="28">
        <v>41.094749999999998</v>
      </c>
      <c r="I2296" s="28">
        <v>-75.326319999999996</v>
      </c>
      <c r="J2296" s="28" t="s">
        <v>733</v>
      </c>
      <c r="K2296" s="61">
        <v>110006522735</v>
      </c>
      <c r="L2296" s="61" t="str">
        <f>IFERROR(INDEX('Facility Summary'!$K:$K,MATCH(K2296,'Facility Summary'!$J:$J,0)),INDEX('Raw Annual DMR Data'!$M:$M,MATCH(K2296,'Raw Annual DMR Data'!$L:$L,0)))</f>
        <v>Unknown</v>
      </c>
      <c r="M2296" s="28"/>
      <c r="N2296" s="28"/>
      <c r="O2296" s="28"/>
      <c r="P2296" s="28"/>
      <c r="Q2296" s="28"/>
      <c r="R2296" s="28">
        <f t="shared" si="17"/>
        <v>2.7474668500265999E-2</v>
      </c>
      <c r="S2296" s="28">
        <v>1.2462300000000001E-2</v>
      </c>
    </row>
    <row r="2297" spans="1:19" x14ac:dyDescent="0.25">
      <c r="A2297" s="28">
        <v>2023</v>
      </c>
      <c r="B2297" s="28"/>
      <c r="C2297" s="28" t="s">
        <v>1334</v>
      </c>
      <c r="D2297" s="28" t="s">
        <v>2193</v>
      </c>
      <c r="E2297" s="28" t="s">
        <v>1335</v>
      </c>
      <c r="F2297" s="28" t="s">
        <v>366</v>
      </c>
      <c r="G2297" s="28" t="s">
        <v>2194</v>
      </c>
      <c r="H2297" s="28">
        <v>36.963245999999998</v>
      </c>
      <c r="I2297" s="28">
        <v>-122.034009</v>
      </c>
      <c r="J2297" s="28"/>
      <c r="K2297" s="61">
        <v>110013848453</v>
      </c>
      <c r="L2297" s="61" t="str">
        <f>IFERROR(INDEX('Facility Summary'!$K:$K,MATCH(K2297,'Facility Summary'!$J:$J,0)),INDEX('Raw Annual DMR Data'!$M:$M,MATCH(K2297,'Raw Annual DMR Data'!$L:$L,0)))</f>
        <v>POTW</v>
      </c>
      <c r="M2297" s="28"/>
      <c r="N2297" s="28"/>
      <c r="O2297" s="28"/>
      <c r="P2297" s="28"/>
      <c r="Q2297" s="28"/>
      <c r="R2297" s="28">
        <f t="shared" si="17"/>
        <v>0.22870295944351973</v>
      </c>
      <c r="S2297" s="28">
        <v>0.1037379174</v>
      </c>
    </row>
    <row r="2298" spans="1:19" x14ac:dyDescent="0.25">
      <c r="A2298" s="28">
        <v>2021</v>
      </c>
      <c r="B2298" s="28"/>
      <c r="C2298" s="28" t="s">
        <v>1334</v>
      </c>
      <c r="D2298" s="28" t="s">
        <v>2193</v>
      </c>
      <c r="E2298" s="28" t="s">
        <v>1335</v>
      </c>
      <c r="F2298" s="28" t="s">
        <v>366</v>
      </c>
      <c r="G2298" s="28" t="s">
        <v>2194</v>
      </c>
      <c r="H2298" s="28">
        <v>36.963245999999998</v>
      </c>
      <c r="I2298" s="28">
        <v>-122.034009</v>
      </c>
      <c r="J2298" s="28"/>
      <c r="K2298" s="61">
        <v>110013848453</v>
      </c>
      <c r="L2298" s="61" t="str">
        <f>IFERROR(INDEX('Facility Summary'!$K:$K,MATCH(K2298,'Facility Summary'!$J:$J,0)),INDEX('Raw Annual DMR Data'!$M:$M,MATCH(K2298,'Raw Annual DMR Data'!$L:$L,0)))</f>
        <v>POTW</v>
      </c>
      <c r="M2298" s="28"/>
      <c r="N2298" s="28"/>
      <c r="O2298" s="28"/>
      <c r="P2298" s="28"/>
      <c r="Q2298" s="28"/>
      <c r="R2298" s="28">
        <f t="shared" si="17"/>
        <v>0.21634733004878368</v>
      </c>
      <c r="S2298" s="28">
        <v>9.8133498180000001E-2</v>
      </c>
    </row>
    <row r="2299" spans="1:19" x14ac:dyDescent="0.25">
      <c r="A2299" s="28">
        <v>2024</v>
      </c>
      <c r="B2299" s="28"/>
      <c r="C2299" s="28" t="s">
        <v>1334</v>
      </c>
      <c r="D2299" s="28" t="s">
        <v>2193</v>
      </c>
      <c r="E2299" s="28" t="s">
        <v>1335</v>
      </c>
      <c r="F2299" s="28" t="s">
        <v>366</v>
      </c>
      <c r="G2299" s="28" t="s">
        <v>2194</v>
      </c>
      <c r="H2299" s="28">
        <v>36.963245999999998</v>
      </c>
      <c r="I2299" s="28">
        <v>-122.034009</v>
      </c>
      <c r="J2299" s="28"/>
      <c r="K2299" s="61">
        <v>110013848453</v>
      </c>
      <c r="L2299" s="61" t="str">
        <f>IFERROR(INDEX('Facility Summary'!$K:$K,MATCH(K2299,'Facility Summary'!$J:$J,0)),INDEX('Raw Annual DMR Data'!$M:$M,MATCH(K2299,'Raw Annual DMR Data'!$L:$L,0)))</f>
        <v>POTW</v>
      </c>
      <c r="M2299" s="28"/>
      <c r="N2299" s="28"/>
      <c r="O2299" s="28"/>
      <c r="P2299" s="28"/>
      <c r="Q2299" s="28"/>
      <c r="R2299" s="28">
        <f t="shared" si="17"/>
        <v>0.19259189996956957</v>
      </c>
      <c r="S2299" s="28">
        <v>8.7358216350000004E-2</v>
      </c>
    </row>
    <row r="2300" spans="1:19" x14ac:dyDescent="0.25">
      <c r="A2300" s="28">
        <v>2021</v>
      </c>
      <c r="B2300" s="28"/>
      <c r="C2300" s="28" t="s">
        <v>1338</v>
      </c>
      <c r="D2300" s="28" t="s">
        <v>2201</v>
      </c>
      <c r="E2300" s="28" t="s">
        <v>1339</v>
      </c>
      <c r="F2300" s="28" t="s">
        <v>491</v>
      </c>
      <c r="G2300" s="28" t="s">
        <v>2202</v>
      </c>
      <c r="H2300" s="28">
        <v>41.452778000000002</v>
      </c>
      <c r="I2300" s="28">
        <v>-79.690278000000006</v>
      </c>
      <c r="J2300" s="28" t="s">
        <v>734</v>
      </c>
      <c r="K2300" s="61">
        <v>110008476327</v>
      </c>
      <c r="L2300" s="61" t="str">
        <f>IFERROR(INDEX('Facility Summary'!$K:$K,MATCH(K2300,'Facility Summary'!$J:$J,0)),INDEX('Raw Annual DMR Data'!$M:$M,MATCH(K2300,'Raw Annual DMR Data'!$L:$L,0)))</f>
        <v>Unknown</v>
      </c>
      <c r="M2300" s="28"/>
      <c r="N2300" s="28"/>
      <c r="O2300" s="28"/>
      <c r="P2300" s="28"/>
      <c r="Q2300" s="28"/>
      <c r="R2300" s="28">
        <f t="shared" ref="R2300:R2363" si="18">CONVERT(S2300,"g","lbm")*1000</f>
        <v>2.3746320953326443E-2</v>
      </c>
      <c r="S2300" s="28">
        <v>1.077115E-2</v>
      </c>
    </row>
    <row r="2301" spans="1:19" x14ac:dyDescent="0.25">
      <c r="A2301" s="28">
        <v>2024</v>
      </c>
      <c r="B2301" s="28"/>
      <c r="C2301" s="28" t="s">
        <v>1338</v>
      </c>
      <c r="D2301" s="28" t="s">
        <v>2201</v>
      </c>
      <c r="E2301" s="28" t="s">
        <v>1339</v>
      </c>
      <c r="F2301" s="28" t="s">
        <v>491</v>
      </c>
      <c r="G2301" s="28" t="s">
        <v>2202</v>
      </c>
      <c r="H2301" s="28">
        <v>41.452778000000002</v>
      </c>
      <c r="I2301" s="28">
        <v>-79.690278000000006</v>
      </c>
      <c r="J2301" s="28" t="s">
        <v>734</v>
      </c>
      <c r="K2301" s="61">
        <v>110008476327</v>
      </c>
      <c r="L2301" s="61" t="str">
        <f>IFERROR(INDEX('Facility Summary'!$K:$K,MATCH(K2301,'Facility Summary'!$J:$J,0)),INDEX('Raw Annual DMR Data'!$M:$M,MATCH(K2301,'Raw Annual DMR Data'!$L:$L,0)))</f>
        <v>Unknown</v>
      </c>
      <c r="M2301" s="28"/>
      <c r="N2301" s="28"/>
      <c r="O2301" s="28"/>
      <c r="P2301" s="28"/>
      <c r="Q2301" s="28"/>
      <c r="R2301" s="28">
        <f t="shared" si="18"/>
        <v>1.4613120586662424E-2</v>
      </c>
      <c r="S2301" s="28">
        <v>6.6283999999999996E-3</v>
      </c>
    </row>
    <row r="2302" spans="1:19" x14ac:dyDescent="0.25">
      <c r="A2302" s="28">
        <v>2022</v>
      </c>
      <c r="B2302" s="28"/>
      <c r="C2302" s="28" t="s">
        <v>1338</v>
      </c>
      <c r="D2302" s="28" t="s">
        <v>2201</v>
      </c>
      <c r="E2302" s="28" t="s">
        <v>1339</v>
      </c>
      <c r="F2302" s="28" t="s">
        <v>491</v>
      </c>
      <c r="G2302" s="28" t="s">
        <v>2202</v>
      </c>
      <c r="H2302" s="28">
        <v>41.452778000000002</v>
      </c>
      <c r="I2302" s="28">
        <v>-79.690278000000006</v>
      </c>
      <c r="J2302" s="28" t="s">
        <v>734</v>
      </c>
      <c r="K2302" s="61">
        <v>110008476327</v>
      </c>
      <c r="L2302" s="61" t="str">
        <f>IFERROR(INDEX('Facility Summary'!$K:$K,MATCH(K2302,'Facility Summary'!$J:$J,0)),INDEX('Raw Annual DMR Data'!$M:$M,MATCH(K2302,'Raw Annual DMR Data'!$L:$L,0)))</f>
        <v>Unknown</v>
      </c>
      <c r="M2302" s="28"/>
      <c r="N2302" s="28"/>
      <c r="O2302" s="28"/>
      <c r="P2302" s="28"/>
      <c r="Q2302" s="28"/>
      <c r="R2302" s="28">
        <f t="shared" si="18"/>
        <v>5.4799202199984094E-3</v>
      </c>
      <c r="S2302" s="28">
        <v>2.4856499999999998E-3</v>
      </c>
    </row>
    <row r="2303" spans="1:19" x14ac:dyDescent="0.25">
      <c r="A2303" s="28">
        <v>2023</v>
      </c>
      <c r="B2303" s="28"/>
      <c r="C2303" s="28" t="s">
        <v>1338</v>
      </c>
      <c r="D2303" s="28" t="s">
        <v>2201</v>
      </c>
      <c r="E2303" s="28" t="s">
        <v>1339</v>
      </c>
      <c r="F2303" s="28" t="s">
        <v>491</v>
      </c>
      <c r="G2303" s="28" t="s">
        <v>2202</v>
      </c>
      <c r="H2303" s="28">
        <v>41.452778000000002</v>
      </c>
      <c r="I2303" s="28">
        <v>-79.690278000000006</v>
      </c>
      <c r="J2303" s="28" t="s">
        <v>734</v>
      </c>
      <c r="K2303" s="61">
        <v>110008476327</v>
      </c>
      <c r="L2303" s="61" t="str">
        <f>IFERROR(INDEX('Facility Summary'!$K:$K,MATCH(K2303,'Facility Summary'!$J:$J,0)),INDEX('Raw Annual DMR Data'!$M:$M,MATCH(K2303,'Raw Annual DMR Data'!$L:$L,0)))</f>
        <v>Unknown</v>
      </c>
      <c r="M2303" s="28"/>
      <c r="N2303" s="28"/>
      <c r="O2303" s="28"/>
      <c r="P2303" s="28"/>
      <c r="Q2303" s="28"/>
      <c r="R2303" s="28">
        <f t="shared" si="18"/>
        <v>3.6532801466656059E-3</v>
      </c>
      <c r="S2303" s="28">
        <v>1.6570999999999999E-3</v>
      </c>
    </row>
    <row r="2304" spans="1:19" x14ac:dyDescent="0.25">
      <c r="A2304" s="28">
        <v>2021</v>
      </c>
      <c r="B2304" s="28"/>
      <c r="C2304" s="28" t="s">
        <v>6776</v>
      </c>
      <c r="D2304" s="28" t="s">
        <v>1953</v>
      </c>
      <c r="E2304" s="28" t="s">
        <v>446</v>
      </c>
      <c r="F2304" s="28" t="s">
        <v>303</v>
      </c>
      <c r="G2304" s="28">
        <v>70669</v>
      </c>
      <c r="H2304" s="28">
        <v>30.258800000000001</v>
      </c>
      <c r="I2304" s="28">
        <v>-93.293700000000001</v>
      </c>
      <c r="J2304" s="28" t="s">
        <v>723</v>
      </c>
      <c r="K2304" s="61">
        <v>110017418061</v>
      </c>
      <c r="L2304" s="61" t="str">
        <f>IFERROR(INDEX('Facility Summary'!$K:$K,MATCH(K2304,'Facility Summary'!$J:$J,0)),INDEX('Raw Annual DMR Data'!$M:$M,MATCH(K2304,'Raw Annual DMR Data'!$L:$L,0)))</f>
        <v>Unknown</v>
      </c>
      <c r="M2304" s="28"/>
      <c r="N2304" s="28"/>
      <c r="O2304" s="28"/>
      <c r="P2304" s="28"/>
      <c r="Q2304" s="28"/>
      <c r="R2304" s="28">
        <f t="shared" si="18"/>
        <v>1075.4988052378394</v>
      </c>
      <c r="S2304" s="28">
        <v>487.838052</v>
      </c>
    </row>
    <row r="2305" spans="1:19" x14ac:dyDescent="0.25">
      <c r="A2305" s="28">
        <v>2021</v>
      </c>
      <c r="B2305" s="28"/>
      <c r="C2305" s="28" t="s">
        <v>6776</v>
      </c>
      <c r="D2305" s="28" t="s">
        <v>1953</v>
      </c>
      <c r="E2305" s="28" t="s">
        <v>446</v>
      </c>
      <c r="F2305" s="28" t="s">
        <v>303</v>
      </c>
      <c r="G2305" s="28">
        <v>70669</v>
      </c>
      <c r="H2305" s="28">
        <v>30.258800000000001</v>
      </c>
      <c r="I2305" s="28">
        <v>-93.293700000000001</v>
      </c>
      <c r="J2305" s="28" t="s">
        <v>723</v>
      </c>
      <c r="K2305" s="61">
        <v>110017418061</v>
      </c>
      <c r="L2305" s="61" t="str">
        <f>IFERROR(INDEX('Facility Summary'!$K:$K,MATCH(K2305,'Facility Summary'!$J:$J,0)),INDEX('Raw Annual DMR Data'!$M:$M,MATCH(K2305,'Raw Annual DMR Data'!$L:$L,0)))</f>
        <v>Unknown</v>
      </c>
      <c r="M2305" s="28"/>
      <c r="N2305" s="28"/>
      <c r="O2305" s="28"/>
      <c r="P2305" s="28"/>
      <c r="Q2305" s="28"/>
      <c r="R2305" s="28">
        <f t="shared" si="18"/>
        <v>106.23538486769519</v>
      </c>
      <c r="S2305" s="28">
        <v>48.187559999999998</v>
      </c>
    </row>
    <row r="2306" spans="1:19" x14ac:dyDescent="0.25">
      <c r="A2306" s="28">
        <v>2022</v>
      </c>
      <c r="B2306" s="28"/>
      <c r="C2306" s="28" t="s">
        <v>6776</v>
      </c>
      <c r="D2306" s="28" t="s">
        <v>1953</v>
      </c>
      <c r="E2306" s="28" t="s">
        <v>446</v>
      </c>
      <c r="F2306" s="28" t="s">
        <v>303</v>
      </c>
      <c r="G2306" s="28">
        <v>70669</v>
      </c>
      <c r="H2306" s="28">
        <v>30.258800000000001</v>
      </c>
      <c r="I2306" s="28">
        <v>-93.293700000000001</v>
      </c>
      <c r="J2306" s="28" t="s">
        <v>723</v>
      </c>
      <c r="K2306" s="61">
        <v>110017418061</v>
      </c>
      <c r="L2306" s="61" t="str">
        <f>IFERROR(INDEX('Facility Summary'!$K:$K,MATCH(K2306,'Facility Summary'!$J:$J,0)),INDEX('Raw Annual DMR Data'!$M:$M,MATCH(K2306,'Raw Annual DMR Data'!$L:$L,0)))</f>
        <v>Unknown</v>
      </c>
      <c r="M2306" s="28"/>
      <c r="N2306" s="28"/>
      <c r="O2306" s="28"/>
      <c r="P2306" s="28"/>
      <c r="Q2306" s="28"/>
      <c r="R2306" s="28">
        <f t="shared" si="18"/>
        <v>7.0305721853301897</v>
      </c>
      <c r="S2306" s="28">
        <v>3.1890139</v>
      </c>
    </row>
    <row r="2307" spans="1:19" x14ac:dyDescent="0.25">
      <c r="A2307" s="28">
        <v>2024</v>
      </c>
      <c r="B2307" s="28"/>
      <c r="C2307" s="28" t="s">
        <v>6776</v>
      </c>
      <c r="D2307" s="28" t="s">
        <v>1953</v>
      </c>
      <c r="E2307" s="28" t="s">
        <v>446</v>
      </c>
      <c r="F2307" s="28" t="s">
        <v>303</v>
      </c>
      <c r="G2307" s="28">
        <v>70669</v>
      </c>
      <c r="H2307" s="28">
        <v>30.258800000000001</v>
      </c>
      <c r="I2307" s="28">
        <v>-93.293700000000001</v>
      </c>
      <c r="J2307" s="28" t="s">
        <v>723</v>
      </c>
      <c r="K2307" s="61">
        <v>110017418061</v>
      </c>
      <c r="L2307" s="61" t="str">
        <f>IFERROR(INDEX('Facility Summary'!$K:$K,MATCH(K2307,'Facility Summary'!$J:$J,0)),INDEX('Raw Annual DMR Data'!$M:$M,MATCH(K2307,'Raw Annual DMR Data'!$L:$L,0)))</f>
        <v>Unknown</v>
      </c>
      <c r="M2307" s="28"/>
      <c r="N2307" s="28"/>
      <c r="O2307" s="28"/>
      <c r="P2307" s="28"/>
      <c r="Q2307" s="28"/>
      <c r="R2307" s="28">
        <f t="shared" si="18"/>
        <v>3.4884001245435412</v>
      </c>
      <c r="S2307" s="28">
        <v>1.5823116800000001</v>
      </c>
    </row>
    <row r="2308" spans="1:19" x14ac:dyDescent="0.25">
      <c r="A2308" s="28">
        <v>2022</v>
      </c>
      <c r="B2308" s="28"/>
      <c r="C2308" s="28" t="s">
        <v>6776</v>
      </c>
      <c r="D2308" s="28" t="s">
        <v>1953</v>
      </c>
      <c r="E2308" s="28" t="s">
        <v>446</v>
      </c>
      <c r="F2308" s="28" t="s">
        <v>303</v>
      </c>
      <c r="G2308" s="28">
        <v>70669</v>
      </c>
      <c r="H2308" s="28">
        <v>30.258800000000001</v>
      </c>
      <c r="I2308" s="28">
        <v>-93.293700000000001</v>
      </c>
      <c r="J2308" s="28" t="s">
        <v>723</v>
      </c>
      <c r="K2308" s="61">
        <v>110017418061</v>
      </c>
      <c r="L2308" s="61" t="str">
        <f>IFERROR(INDEX('Facility Summary'!$K:$K,MATCH(K2308,'Facility Summary'!$J:$J,0)),INDEX('Raw Annual DMR Data'!$M:$M,MATCH(K2308,'Raw Annual DMR Data'!$L:$L,0)))</f>
        <v>Unknown</v>
      </c>
      <c r="M2308" s="28"/>
      <c r="N2308" s="28"/>
      <c r="O2308" s="28"/>
      <c r="P2308" s="28"/>
      <c r="Q2308" s="28"/>
      <c r="R2308" s="28">
        <f t="shared" si="18"/>
        <v>2.4566198060165783</v>
      </c>
      <c r="S2308" s="28">
        <v>1.114304</v>
      </c>
    </row>
    <row r="2309" spans="1:19" x14ac:dyDescent="0.25">
      <c r="A2309" s="28">
        <v>2022</v>
      </c>
      <c r="B2309" s="28"/>
      <c r="C2309" s="28" t="s">
        <v>6776</v>
      </c>
      <c r="D2309" s="28" t="s">
        <v>1953</v>
      </c>
      <c r="E2309" s="28" t="s">
        <v>446</v>
      </c>
      <c r="F2309" s="28" t="s">
        <v>303</v>
      </c>
      <c r="G2309" s="28">
        <v>70669</v>
      </c>
      <c r="H2309" s="28">
        <v>30.258800000000001</v>
      </c>
      <c r="I2309" s="28">
        <v>-93.293700000000001</v>
      </c>
      <c r="J2309" s="28" t="s">
        <v>723</v>
      </c>
      <c r="K2309" s="61">
        <v>110017418061</v>
      </c>
      <c r="L2309" s="61" t="str">
        <f>IFERROR(INDEX('Facility Summary'!$K:$K,MATCH(K2309,'Facility Summary'!$J:$J,0)),INDEX('Raw Annual DMR Data'!$M:$M,MATCH(K2309,'Raw Annual DMR Data'!$L:$L,0)))</f>
        <v>Unknown</v>
      </c>
      <c r="M2309" s="28"/>
      <c r="N2309" s="28"/>
      <c r="O2309" s="28"/>
      <c r="P2309" s="28"/>
      <c r="Q2309" s="28"/>
      <c r="R2309" s="28">
        <f t="shared" si="18"/>
        <v>1.7656954855744156</v>
      </c>
      <c r="S2309" s="28">
        <v>0.80090600000000001</v>
      </c>
    </row>
    <row r="2310" spans="1:19" x14ac:dyDescent="0.25">
      <c r="A2310" s="28">
        <v>2023</v>
      </c>
      <c r="B2310" s="28"/>
      <c r="C2310" s="28" t="s">
        <v>6776</v>
      </c>
      <c r="D2310" s="28" t="s">
        <v>1953</v>
      </c>
      <c r="E2310" s="28" t="s">
        <v>446</v>
      </c>
      <c r="F2310" s="28" t="s">
        <v>303</v>
      </c>
      <c r="G2310" s="28">
        <v>70669</v>
      </c>
      <c r="H2310" s="28">
        <v>30.258800000000001</v>
      </c>
      <c r="I2310" s="28">
        <v>-93.293700000000001</v>
      </c>
      <c r="J2310" s="28" t="s">
        <v>723</v>
      </c>
      <c r="K2310" s="61">
        <v>110017418061</v>
      </c>
      <c r="L2310" s="61" t="str">
        <f>IFERROR(INDEX('Facility Summary'!$K:$K,MATCH(K2310,'Facility Summary'!$J:$J,0)),INDEX('Raw Annual DMR Data'!$M:$M,MATCH(K2310,'Raw Annual DMR Data'!$L:$L,0)))</f>
        <v>Unknown</v>
      </c>
      <c r="M2310" s="28"/>
      <c r="N2310" s="28"/>
      <c r="O2310" s="28"/>
      <c r="P2310" s="28"/>
      <c r="Q2310" s="28"/>
      <c r="R2310" s="28">
        <f t="shared" si="18"/>
        <v>1.2528761010684548</v>
      </c>
      <c r="S2310" s="28">
        <v>0.56829503999999997</v>
      </c>
    </row>
    <row r="2311" spans="1:19" x14ac:dyDescent="0.25">
      <c r="A2311" s="28">
        <v>2022</v>
      </c>
      <c r="B2311" s="28"/>
      <c r="C2311" s="28" t="s">
        <v>6776</v>
      </c>
      <c r="D2311" s="28" t="s">
        <v>1953</v>
      </c>
      <c r="E2311" s="28" t="s">
        <v>446</v>
      </c>
      <c r="F2311" s="28" t="s">
        <v>303</v>
      </c>
      <c r="G2311" s="28">
        <v>70669</v>
      </c>
      <c r="H2311" s="28">
        <v>30.258800000000001</v>
      </c>
      <c r="I2311" s="28">
        <v>-93.293700000000001</v>
      </c>
      <c r="J2311" s="28" t="s">
        <v>723</v>
      </c>
      <c r="K2311" s="61">
        <v>110017418061</v>
      </c>
      <c r="L2311" s="61" t="str">
        <f>IFERROR(INDEX('Facility Summary'!$K:$K,MATCH(K2311,'Facility Summary'!$J:$J,0)),INDEX('Raw Annual DMR Data'!$M:$M,MATCH(K2311,'Raw Annual DMR Data'!$L:$L,0)))</f>
        <v>Unknown</v>
      </c>
      <c r="M2311" s="28"/>
      <c r="N2311" s="28"/>
      <c r="O2311" s="28"/>
      <c r="P2311" s="28"/>
      <c r="Q2311" s="28"/>
      <c r="R2311" s="28">
        <f t="shared" si="18"/>
        <v>1.2283099030082891</v>
      </c>
      <c r="S2311" s="28">
        <v>0.55715199999999998</v>
      </c>
    </row>
    <row r="2312" spans="1:19" x14ac:dyDescent="0.25">
      <c r="A2312" s="28">
        <v>2022</v>
      </c>
      <c r="B2312" s="28"/>
      <c r="C2312" s="28" t="s">
        <v>6776</v>
      </c>
      <c r="D2312" s="28" t="s">
        <v>1953</v>
      </c>
      <c r="E2312" s="28" t="s">
        <v>446</v>
      </c>
      <c r="F2312" s="28" t="s">
        <v>303</v>
      </c>
      <c r="G2312" s="28">
        <v>70669</v>
      </c>
      <c r="H2312" s="28">
        <v>30.258800000000001</v>
      </c>
      <c r="I2312" s="28">
        <v>-93.293700000000001</v>
      </c>
      <c r="J2312" s="28" t="s">
        <v>723</v>
      </c>
      <c r="K2312" s="61">
        <v>110017418061</v>
      </c>
      <c r="L2312" s="61" t="str">
        <f>IFERROR(INDEX('Facility Summary'!$K:$K,MATCH(K2312,'Facility Summary'!$J:$J,0)),INDEX('Raw Annual DMR Data'!$M:$M,MATCH(K2312,'Raw Annual DMR Data'!$L:$L,0)))</f>
        <v>Unknown</v>
      </c>
      <c r="M2312" s="28"/>
      <c r="N2312" s="28"/>
      <c r="O2312" s="28"/>
      <c r="P2312" s="28"/>
      <c r="Q2312" s="28"/>
      <c r="R2312" s="28">
        <f t="shared" si="18"/>
        <v>1.1515405340702711</v>
      </c>
      <c r="S2312" s="28">
        <v>0.52232999999999996</v>
      </c>
    </row>
    <row r="2313" spans="1:19" x14ac:dyDescent="0.25">
      <c r="A2313" s="28">
        <v>2022</v>
      </c>
      <c r="B2313" s="28"/>
      <c r="C2313" s="28" t="s">
        <v>6776</v>
      </c>
      <c r="D2313" s="28" t="s">
        <v>1953</v>
      </c>
      <c r="E2313" s="28" t="s">
        <v>446</v>
      </c>
      <c r="F2313" s="28" t="s">
        <v>303</v>
      </c>
      <c r="G2313" s="28">
        <v>70669</v>
      </c>
      <c r="H2313" s="28">
        <v>30.258800000000001</v>
      </c>
      <c r="I2313" s="28">
        <v>-93.293700000000001</v>
      </c>
      <c r="J2313" s="28" t="s">
        <v>723</v>
      </c>
      <c r="K2313" s="61">
        <v>110017418061</v>
      </c>
      <c r="L2313" s="61" t="str">
        <f>IFERROR(INDEX('Facility Summary'!$K:$K,MATCH(K2313,'Facility Summary'!$J:$J,0)),INDEX('Raw Annual DMR Data'!$M:$M,MATCH(K2313,'Raw Annual DMR Data'!$L:$L,0)))</f>
        <v>Unknown</v>
      </c>
      <c r="M2313" s="28"/>
      <c r="N2313" s="28"/>
      <c r="O2313" s="28"/>
      <c r="P2313" s="28"/>
      <c r="Q2313" s="28"/>
      <c r="R2313" s="28">
        <f t="shared" si="18"/>
        <v>0.61415495150414456</v>
      </c>
      <c r="S2313" s="28">
        <v>0.27857599999999999</v>
      </c>
    </row>
    <row r="2314" spans="1:19" x14ac:dyDescent="0.25">
      <c r="A2314" s="28">
        <v>2024</v>
      </c>
      <c r="B2314" s="28"/>
      <c r="C2314" s="28" t="s">
        <v>1340</v>
      </c>
      <c r="D2314" s="28" t="s">
        <v>2206</v>
      </c>
      <c r="E2314" s="28" t="s">
        <v>1341</v>
      </c>
      <c r="F2314" s="28" t="s">
        <v>338</v>
      </c>
      <c r="G2314" s="28">
        <v>7041</v>
      </c>
      <c r="H2314" s="28">
        <v>40.723140000000001</v>
      </c>
      <c r="I2314" s="28">
        <v>-74.310130000000001</v>
      </c>
      <c r="J2314" s="28"/>
      <c r="K2314" s="61">
        <v>110070218704</v>
      </c>
      <c r="L2314" s="61" t="str">
        <f>IFERROR(INDEX('Facility Summary'!$K:$K,MATCH(K2314,'Facility Summary'!$J:$J,0)),INDEX('Raw Annual DMR Data'!$M:$M,MATCH(K2314,'Raw Annual DMR Data'!$L:$L,0)))</f>
        <v>Unknown</v>
      </c>
      <c r="M2314" s="28"/>
      <c r="N2314" s="28"/>
      <c r="O2314" s="28"/>
      <c r="P2314" s="28"/>
      <c r="Q2314" s="28"/>
      <c r="R2314" s="28">
        <f t="shared" si="18"/>
        <v>5.6375869792518773E-4</v>
      </c>
      <c r="S2314" s="28">
        <v>2.5571664390000001E-4</v>
      </c>
    </row>
    <row r="2315" spans="1:19" x14ac:dyDescent="0.25">
      <c r="A2315" s="28">
        <v>2021</v>
      </c>
      <c r="B2315" s="28"/>
      <c r="C2315" s="28" t="s">
        <v>1340</v>
      </c>
      <c r="D2315" s="28" t="s">
        <v>2206</v>
      </c>
      <c r="E2315" s="28" t="s">
        <v>1341</v>
      </c>
      <c r="F2315" s="28" t="s">
        <v>338</v>
      </c>
      <c r="G2315" s="28">
        <v>7041</v>
      </c>
      <c r="H2315" s="28">
        <v>40.723140000000001</v>
      </c>
      <c r="I2315" s="28">
        <v>-74.310130000000001</v>
      </c>
      <c r="J2315" s="28"/>
      <c r="K2315" s="61">
        <v>110070218704</v>
      </c>
      <c r="L2315" s="61" t="str">
        <f>IFERROR(INDEX('Facility Summary'!$K:$K,MATCH(K2315,'Facility Summary'!$J:$J,0)),INDEX('Raw Annual DMR Data'!$M:$M,MATCH(K2315,'Raw Annual DMR Data'!$L:$L,0)))</f>
        <v>Unknown</v>
      </c>
      <c r="M2315" s="28"/>
      <c r="N2315" s="28"/>
      <c r="O2315" s="28"/>
      <c r="P2315" s="28"/>
      <c r="Q2315" s="28"/>
      <c r="R2315" s="28">
        <f t="shared" si="18"/>
        <v>1.2718614997866916E-4</v>
      </c>
      <c r="S2315" s="28">
        <v>5.7690667199999999E-5</v>
      </c>
    </row>
    <row r="2316" spans="1:19" x14ac:dyDescent="0.25">
      <c r="A2316" s="28">
        <v>2022</v>
      </c>
      <c r="B2316" s="28"/>
      <c r="C2316" s="28" t="s">
        <v>1340</v>
      </c>
      <c r="D2316" s="28" t="s">
        <v>2206</v>
      </c>
      <c r="E2316" s="28" t="s">
        <v>1341</v>
      </c>
      <c r="F2316" s="28" t="s">
        <v>338</v>
      </c>
      <c r="G2316" s="28">
        <v>7041</v>
      </c>
      <c r="H2316" s="28">
        <v>40.723140000000001</v>
      </c>
      <c r="I2316" s="28">
        <v>-74.310130000000001</v>
      </c>
      <c r="J2316" s="28"/>
      <c r="K2316" s="61">
        <v>110070218704</v>
      </c>
      <c r="L2316" s="61" t="str">
        <f>IFERROR(INDEX('Facility Summary'!$K:$K,MATCH(K2316,'Facility Summary'!$J:$J,0)),INDEX('Raw Annual DMR Data'!$M:$M,MATCH(K2316,'Raw Annual DMR Data'!$L:$L,0)))</f>
        <v>Unknown</v>
      </c>
      <c r="M2316" s="28"/>
      <c r="N2316" s="28"/>
      <c r="O2316" s="28"/>
      <c r="P2316" s="28"/>
      <c r="Q2316" s="28"/>
      <c r="R2316" s="28">
        <f t="shared" si="18"/>
        <v>1.0880080401264246E-4</v>
      </c>
      <c r="S2316" s="28">
        <v>4.9351214550000002E-5</v>
      </c>
    </row>
    <row r="2317" spans="1:19" x14ac:dyDescent="0.25">
      <c r="A2317" s="28">
        <v>2023</v>
      </c>
      <c r="B2317" s="28"/>
      <c r="C2317" s="28" t="s">
        <v>1340</v>
      </c>
      <c r="D2317" s="28" t="s">
        <v>2206</v>
      </c>
      <c r="E2317" s="28" t="s">
        <v>1341</v>
      </c>
      <c r="F2317" s="28" t="s">
        <v>338</v>
      </c>
      <c r="G2317" s="28" t="s">
        <v>7105</v>
      </c>
      <c r="H2317" s="28">
        <v>40.723140000000001</v>
      </c>
      <c r="I2317" s="28">
        <v>-74.310130000000001</v>
      </c>
      <c r="J2317" s="28"/>
      <c r="K2317" s="61">
        <v>110070218704</v>
      </c>
      <c r="L2317" s="61" t="str">
        <f>IFERROR(INDEX('Facility Summary'!$K:$K,MATCH(K2317,'Facility Summary'!$J:$J,0)),INDEX('Raw Annual DMR Data'!$M:$M,MATCH(K2317,'Raw Annual DMR Data'!$L:$L,0)))</f>
        <v>Unknown</v>
      </c>
      <c r="M2317" s="28"/>
      <c r="N2317" s="28"/>
      <c r="O2317" s="28"/>
      <c r="P2317" s="28"/>
      <c r="Q2317" s="28"/>
      <c r="R2317" s="28">
        <f t="shared" si="18"/>
        <v>9.7992594760798113E-5</v>
      </c>
      <c r="S2317" s="28">
        <v>4.4448693300000003E-5</v>
      </c>
    </row>
    <row r="2318" spans="1:19" x14ac:dyDescent="0.25">
      <c r="A2318" s="28">
        <v>2024</v>
      </c>
      <c r="B2318" s="28"/>
      <c r="C2318" s="28" t="s">
        <v>6882</v>
      </c>
      <c r="D2318" s="28" t="s">
        <v>7056</v>
      </c>
      <c r="E2318" s="28" t="s">
        <v>6991</v>
      </c>
      <c r="F2318" s="28" t="s">
        <v>308</v>
      </c>
      <c r="G2318" s="28">
        <v>2142</v>
      </c>
      <c r="H2318" s="28">
        <v>42.365363000000002</v>
      </c>
      <c r="I2318" s="28">
        <v>-71.087440999999998</v>
      </c>
      <c r="J2318" s="28"/>
      <c r="K2318" s="61">
        <v>110071501940</v>
      </c>
      <c r="L2318" s="61" t="str">
        <f>IFERROR(INDEX('Facility Summary'!$K:$K,MATCH(K2318,'Facility Summary'!$J:$J,0)),INDEX('Raw Annual DMR Data'!$M:$M,MATCH(K2318,'Raw Annual DMR Data'!$L:$L,0)))</f>
        <v>Unknown</v>
      </c>
      <c r="M2318" s="28"/>
      <c r="N2318" s="28"/>
      <c r="O2318" s="28"/>
      <c r="P2318" s="28"/>
      <c r="Q2318" s="28"/>
      <c r="R2318" s="28">
        <f t="shared" si="18"/>
        <v>6.8693961469193141E-2</v>
      </c>
      <c r="S2318" s="28">
        <v>3.11590567875E-2</v>
      </c>
    </row>
    <row r="2319" spans="1:19" x14ac:dyDescent="0.25">
      <c r="A2319" s="28">
        <v>2024</v>
      </c>
      <c r="B2319" s="28"/>
      <c r="C2319" s="28" t="s">
        <v>6873</v>
      </c>
      <c r="D2319" s="28" t="s">
        <v>7042</v>
      </c>
      <c r="E2319" s="28" t="s">
        <v>7043</v>
      </c>
      <c r="F2319" s="28" t="s">
        <v>366</v>
      </c>
      <c r="G2319" s="28">
        <v>92273</v>
      </c>
      <c r="H2319" s="28">
        <v>32.7958</v>
      </c>
      <c r="I2319" s="28">
        <v>-115.6957</v>
      </c>
      <c r="J2319" s="28"/>
      <c r="K2319" s="61">
        <v>110006657554</v>
      </c>
      <c r="L2319" s="61" t="str">
        <f>IFERROR(INDEX('Facility Summary'!$K:$K,MATCH(K2319,'Facility Summary'!$J:$J,0)),INDEX('Raw Annual DMR Data'!$M:$M,MATCH(K2319,'Raw Annual DMR Data'!$L:$L,0)))</f>
        <v>POTW</v>
      </c>
      <c r="M2319" s="28"/>
      <c r="N2319" s="28"/>
      <c r="O2319" s="28"/>
      <c r="P2319" s="28"/>
      <c r="Q2319" s="28"/>
      <c r="R2319" s="28">
        <f t="shared" si="18"/>
        <v>2.3954755070064341E-2</v>
      </c>
      <c r="S2319" s="28">
        <v>1.0865694125E-2</v>
      </c>
    </row>
    <row r="2320" spans="1:19" x14ac:dyDescent="0.25">
      <c r="A2320" s="28">
        <v>2023</v>
      </c>
      <c r="B2320" s="28"/>
      <c r="C2320" s="28" t="s">
        <v>6882</v>
      </c>
      <c r="D2320" s="28" t="s">
        <v>7056</v>
      </c>
      <c r="E2320" s="28" t="s">
        <v>6991</v>
      </c>
      <c r="F2320" s="28" t="s">
        <v>308</v>
      </c>
      <c r="G2320" s="28" t="s">
        <v>7089</v>
      </c>
      <c r="H2320" s="28">
        <v>42.365363000000002</v>
      </c>
      <c r="I2320" s="28">
        <v>-71.087440999999998</v>
      </c>
      <c r="J2320" s="28"/>
      <c r="K2320" s="61">
        <v>110071501940</v>
      </c>
      <c r="L2320" s="61" t="str">
        <f>IFERROR(INDEX('Facility Summary'!$K:$K,MATCH(K2320,'Facility Summary'!$J:$J,0)),INDEX('Raw Annual DMR Data'!$M:$M,MATCH(K2320,'Raw Annual DMR Data'!$L:$L,0)))</f>
        <v>Unknown</v>
      </c>
      <c r="M2320" s="28"/>
      <c r="N2320" s="28"/>
      <c r="O2320" s="28"/>
      <c r="P2320" s="28"/>
      <c r="Q2320" s="28"/>
      <c r="R2320" s="28">
        <f t="shared" si="18"/>
        <v>2.8577606199592816E-2</v>
      </c>
      <c r="S2320" s="28">
        <v>1.2962584124999999E-2</v>
      </c>
    </row>
    <row r="2321" spans="1:19" x14ac:dyDescent="0.25">
      <c r="A2321" s="28">
        <v>2023</v>
      </c>
      <c r="B2321" s="28"/>
      <c r="C2321" s="28" t="s">
        <v>6882</v>
      </c>
      <c r="D2321" s="28" t="s">
        <v>7056</v>
      </c>
      <c r="E2321" s="28" t="s">
        <v>6991</v>
      </c>
      <c r="F2321" s="28" t="s">
        <v>308</v>
      </c>
      <c r="G2321" s="28" t="s">
        <v>7089</v>
      </c>
      <c r="H2321" s="28">
        <v>42.365363000000002</v>
      </c>
      <c r="I2321" s="28">
        <v>-71.087440999999998</v>
      </c>
      <c r="J2321" s="28"/>
      <c r="K2321" s="61">
        <v>110071501940</v>
      </c>
      <c r="L2321" s="61" t="str">
        <f>IFERROR(INDEX('Facility Summary'!$K:$K,MATCH(K2321,'Facility Summary'!$J:$J,0)),INDEX('Raw Annual DMR Data'!$M:$M,MATCH(K2321,'Raw Annual DMR Data'!$L:$L,0)))</f>
        <v>Unknown</v>
      </c>
      <c r="M2321" s="28"/>
      <c r="N2321" s="28"/>
      <c r="O2321" s="28"/>
      <c r="P2321" s="28"/>
      <c r="Q2321" s="28"/>
      <c r="R2321" s="28">
        <f t="shared" si="18"/>
        <v>2.8577606199592816E-2</v>
      </c>
      <c r="S2321" s="28">
        <v>1.2962584124999999E-2</v>
      </c>
    </row>
    <row r="2322" spans="1:19" x14ac:dyDescent="0.25">
      <c r="A2322" s="28">
        <v>2024</v>
      </c>
      <c r="B2322" s="28"/>
      <c r="C2322" s="28" t="s">
        <v>6882</v>
      </c>
      <c r="D2322" s="28" t="s">
        <v>7056</v>
      </c>
      <c r="E2322" s="28" t="s">
        <v>6991</v>
      </c>
      <c r="F2322" s="28" t="s">
        <v>308</v>
      </c>
      <c r="G2322" s="28">
        <v>2142</v>
      </c>
      <c r="H2322" s="28">
        <v>42.365363000000002</v>
      </c>
      <c r="I2322" s="28">
        <v>-71.087440999999998</v>
      </c>
      <c r="J2322" s="28"/>
      <c r="K2322" s="61">
        <v>110071501940</v>
      </c>
      <c r="L2322" s="61" t="str">
        <f>IFERROR(INDEX('Facility Summary'!$K:$K,MATCH(K2322,'Facility Summary'!$J:$J,0)),INDEX('Raw Annual DMR Data'!$M:$M,MATCH(K2322,'Raw Annual DMR Data'!$L:$L,0)))</f>
        <v>Unknown</v>
      </c>
      <c r="M2322" s="28"/>
      <c r="N2322" s="28"/>
      <c r="O2322" s="28"/>
      <c r="P2322" s="28"/>
      <c r="Q2322" s="28"/>
      <c r="R2322" s="28">
        <f t="shared" si="18"/>
        <v>3.8671067593134336E-4</v>
      </c>
      <c r="S2322" s="28">
        <v>1.7540901199999999E-4</v>
      </c>
    </row>
    <row r="2323" spans="1:19" x14ac:dyDescent="0.25">
      <c r="A2323" s="28">
        <v>2023</v>
      </c>
      <c r="B2323" s="28"/>
      <c r="C2323" s="28" t="s">
        <v>6882</v>
      </c>
      <c r="D2323" s="28" t="s">
        <v>7056</v>
      </c>
      <c r="E2323" s="28" t="s">
        <v>6991</v>
      </c>
      <c r="F2323" s="28" t="s">
        <v>308</v>
      </c>
      <c r="G2323" s="28" t="s">
        <v>7089</v>
      </c>
      <c r="H2323" s="28">
        <v>42.365363000000002</v>
      </c>
      <c r="I2323" s="28">
        <v>-71.087440999999998</v>
      </c>
      <c r="J2323" s="28"/>
      <c r="K2323" s="61">
        <v>110071501940</v>
      </c>
      <c r="L2323" s="61" t="str">
        <f>IFERROR(INDEX('Facility Summary'!$K:$K,MATCH(K2323,'Facility Summary'!$J:$J,0)),INDEX('Raw Annual DMR Data'!$M:$M,MATCH(K2323,'Raw Annual DMR Data'!$L:$L,0)))</f>
        <v>Unknown</v>
      </c>
      <c r="M2323" s="28"/>
      <c r="N2323" s="28"/>
      <c r="O2323" s="28"/>
      <c r="P2323" s="28"/>
      <c r="Q2323" s="28"/>
      <c r="R2323" s="28">
        <f t="shared" si="18"/>
        <v>4.9879228568152498E-5</v>
      </c>
      <c r="S2323" s="28">
        <v>2.26248375E-5</v>
      </c>
    </row>
    <row r="2324" spans="1:19" x14ac:dyDescent="0.25">
      <c r="A2324" s="28">
        <v>2022</v>
      </c>
      <c r="B2324" s="28"/>
      <c r="C2324" s="28" t="s">
        <v>6882</v>
      </c>
      <c r="D2324" s="28" t="s">
        <v>7056</v>
      </c>
      <c r="E2324" s="28" t="s">
        <v>6991</v>
      </c>
      <c r="F2324" s="28" t="s">
        <v>308</v>
      </c>
      <c r="G2324" s="28">
        <v>2142</v>
      </c>
      <c r="H2324" s="28">
        <v>42.365363000000002</v>
      </c>
      <c r="I2324" s="28">
        <v>-71.087440999999998</v>
      </c>
      <c r="J2324" s="28"/>
      <c r="K2324" s="61">
        <v>110071501940</v>
      </c>
      <c r="L2324" s="61" t="str">
        <f>IFERROR(INDEX('Facility Summary'!$K:$K,MATCH(K2324,'Facility Summary'!$J:$J,0)),INDEX('Raw Annual DMR Data'!$M:$M,MATCH(K2324,'Raw Annual DMR Data'!$L:$L,0)))</f>
        <v>Unknown</v>
      </c>
      <c r="M2324" s="28"/>
      <c r="N2324" s="28"/>
      <c r="O2324" s="28"/>
      <c r="P2324" s="28"/>
      <c r="Q2324" s="28"/>
      <c r="R2324" s="28">
        <f t="shared" si="18"/>
        <v>4.6562291160232696E-5</v>
      </c>
      <c r="S2324" s="28">
        <v>2.1120299999999998E-5</v>
      </c>
    </row>
    <row r="2325" spans="1:19" x14ac:dyDescent="0.25">
      <c r="A2325" s="28">
        <v>2024</v>
      </c>
      <c r="B2325" s="28"/>
      <c r="C2325" s="28" t="s">
        <v>6885</v>
      </c>
      <c r="D2325" s="28" t="s">
        <v>7060</v>
      </c>
      <c r="E2325" s="28" t="s">
        <v>7061</v>
      </c>
      <c r="F2325" s="28" t="s">
        <v>324</v>
      </c>
      <c r="G2325" s="28">
        <v>40065</v>
      </c>
      <c r="H2325" s="28">
        <v>38.198332999999998</v>
      </c>
      <c r="I2325" s="28">
        <v>-85.224999999999994</v>
      </c>
      <c r="J2325" s="28"/>
      <c r="K2325" s="61">
        <v>110000732217</v>
      </c>
      <c r="L2325" s="61" t="str">
        <f>IFERROR(INDEX('Facility Summary'!$K:$K,MATCH(K2325,'Facility Summary'!$J:$J,0)),INDEX('Raw Annual DMR Data'!$M:$M,MATCH(K2325,'Raw Annual DMR Data'!$L:$L,0)))</f>
        <v>POTW</v>
      </c>
      <c r="M2325" s="28"/>
      <c r="N2325" s="28"/>
      <c r="O2325" s="28"/>
      <c r="P2325" s="28"/>
      <c r="Q2325" s="28"/>
      <c r="R2325" s="28">
        <f t="shared" si="18"/>
        <v>24.04612730809383</v>
      </c>
      <c r="S2325" s="28">
        <v>10.907139875</v>
      </c>
    </row>
    <row r="2326" spans="1:19" x14ac:dyDescent="0.25">
      <c r="A2326" s="28">
        <v>2023</v>
      </c>
      <c r="B2326" s="28"/>
      <c r="C2326" s="28" t="s">
        <v>6901</v>
      </c>
      <c r="D2326" s="28" t="s">
        <v>7094</v>
      </c>
      <c r="E2326" s="28" t="s">
        <v>1370</v>
      </c>
      <c r="F2326" s="28" t="s">
        <v>308</v>
      </c>
      <c r="G2326" s="28" t="s">
        <v>7095</v>
      </c>
      <c r="H2326" s="28">
        <v>42.012988</v>
      </c>
      <c r="I2326" s="28">
        <v>-71.213122999999996</v>
      </c>
      <c r="J2326" s="28"/>
      <c r="K2326" s="61">
        <v>110003499857</v>
      </c>
      <c r="L2326" s="61" t="str">
        <f>IFERROR(INDEX('Facility Summary'!$K:$K,MATCH(K2326,'Facility Summary'!$J:$J,0)),INDEX('Raw Annual DMR Data'!$M:$M,MATCH(K2326,'Raw Annual DMR Data'!$L:$L,0)))</f>
        <v>Unknown</v>
      </c>
      <c r="M2326" s="28"/>
      <c r="N2326" s="28"/>
      <c r="O2326" s="28"/>
      <c r="P2326" s="28"/>
      <c r="Q2326" s="28"/>
      <c r="R2326" s="28">
        <f t="shared" si="18"/>
        <v>0.19399350361017492</v>
      </c>
      <c r="S2326" s="28">
        <v>8.7993973067142794E-2</v>
      </c>
    </row>
    <row r="2327" spans="1:19" x14ac:dyDescent="0.25">
      <c r="A2327" s="28">
        <v>2024</v>
      </c>
      <c r="B2327" s="28"/>
      <c r="C2327" s="28" t="s">
        <v>6901</v>
      </c>
      <c r="D2327" s="28" t="s">
        <v>7094</v>
      </c>
      <c r="E2327" s="28" t="s">
        <v>1370</v>
      </c>
      <c r="F2327" s="28" t="s">
        <v>308</v>
      </c>
      <c r="G2327" s="28">
        <v>2048</v>
      </c>
      <c r="H2327" s="28">
        <v>42.012988</v>
      </c>
      <c r="I2327" s="28">
        <v>-71.213122999999996</v>
      </c>
      <c r="J2327" s="28"/>
      <c r="K2327" s="61">
        <v>110003499857</v>
      </c>
      <c r="L2327" s="61" t="str">
        <f>IFERROR(INDEX('Facility Summary'!$K:$K,MATCH(K2327,'Facility Summary'!$J:$J,0)),INDEX('Raw Annual DMR Data'!$M:$M,MATCH(K2327,'Raw Annual DMR Data'!$L:$L,0)))</f>
        <v>Unknown</v>
      </c>
      <c r="M2327" s="28"/>
      <c r="N2327" s="28"/>
      <c r="O2327" s="28"/>
      <c r="P2327" s="28"/>
      <c r="Q2327" s="28"/>
      <c r="R2327" s="28">
        <f t="shared" si="18"/>
        <v>2.1857365843697945E-3</v>
      </c>
      <c r="S2327" s="28">
        <v>9.914334375000001E-4</v>
      </c>
    </row>
    <row r="2328" spans="1:19" x14ac:dyDescent="0.25">
      <c r="A2328" s="28">
        <v>2023</v>
      </c>
      <c r="B2328" s="28"/>
      <c r="C2328" s="28" t="s">
        <v>6901</v>
      </c>
      <c r="D2328" s="28" t="s">
        <v>7094</v>
      </c>
      <c r="E2328" s="28" t="s">
        <v>1370</v>
      </c>
      <c r="F2328" s="28" t="s">
        <v>308</v>
      </c>
      <c r="G2328" s="28" t="s">
        <v>7095</v>
      </c>
      <c r="H2328" s="28">
        <v>42.012988</v>
      </c>
      <c r="I2328" s="28">
        <v>-71.213122999999996</v>
      </c>
      <c r="J2328" s="28"/>
      <c r="K2328" s="61">
        <v>110003499857</v>
      </c>
      <c r="L2328" s="61" t="str">
        <f>IFERROR(INDEX('Facility Summary'!$K:$K,MATCH(K2328,'Facility Summary'!$J:$J,0)),INDEX('Raw Annual DMR Data'!$M:$M,MATCH(K2328,'Raw Annual DMR Data'!$L:$L,0)))</f>
        <v>Unknown</v>
      </c>
      <c r="M2328" s="28"/>
      <c r="N2328" s="28"/>
      <c r="O2328" s="28"/>
      <c r="P2328" s="28"/>
      <c r="Q2328" s="28"/>
      <c r="R2328" s="28">
        <f t="shared" si="18"/>
        <v>8.2614688822918252E-4</v>
      </c>
      <c r="S2328" s="28">
        <v>3.7473392500000002E-4</v>
      </c>
    </row>
    <row r="2329" spans="1:19" x14ac:dyDescent="0.25">
      <c r="A2329" s="28">
        <v>2021</v>
      </c>
      <c r="B2329" s="28"/>
      <c r="C2329" s="28" t="s">
        <v>1346</v>
      </c>
      <c r="D2329" s="28" t="s">
        <v>2213</v>
      </c>
      <c r="E2329" s="28" t="s">
        <v>1347</v>
      </c>
      <c r="F2329" s="28" t="s">
        <v>324</v>
      </c>
      <c r="G2329" s="28">
        <v>40165</v>
      </c>
      <c r="H2329" s="28">
        <v>37.987499999999997</v>
      </c>
      <c r="I2329" s="28">
        <v>-85.720832999999999</v>
      </c>
      <c r="J2329" s="28"/>
      <c r="K2329" s="61">
        <v>110020941383</v>
      </c>
      <c r="L2329" s="61" t="str">
        <f>IFERROR(INDEX('Facility Summary'!$K:$K,MATCH(K2329,'Facility Summary'!$J:$J,0)),INDEX('Raw Annual DMR Data'!$M:$M,MATCH(K2329,'Raw Annual DMR Data'!$L:$L,0)))</f>
        <v>POTW</v>
      </c>
      <c r="M2329" s="28"/>
      <c r="N2329" s="28"/>
      <c r="O2329" s="28"/>
      <c r="P2329" s="28"/>
      <c r="Q2329" s="28"/>
      <c r="R2329" s="28">
        <f t="shared" si="18"/>
        <v>4.8122712028864152</v>
      </c>
      <c r="S2329" s="28">
        <v>2.1828094999999998</v>
      </c>
    </row>
    <row r="2330" spans="1:19" x14ac:dyDescent="0.25">
      <c r="A2330" s="28">
        <v>2023</v>
      </c>
      <c r="B2330" s="28"/>
      <c r="C2330" s="28" t="s">
        <v>1348</v>
      </c>
      <c r="D2330" s="28" t="s">
        <v>2217</v>
      </c>
      <c r="E2330" s="28" t="s">
        <v>1349</v>
      </c>
      <c r="F2330" s="28" t="s">
        <v>1249</v>
      </c>
      <c r="G2330" s="28">
        <v>87420</v>
      </c>
      <c r="H2330" s="28">
        <v>36.786963999999998</v>
      </c>
      <c r="I2330" s="28">
        <v>-108.711493</v>
      </c>
      <c r="J2330" s="28"/>
      <c r="K2330" s="61">
        <v>110024409362</v>
      </c>
      <c r="L2330" s="61" t="str">
        <f>IFERROR(INDEX('Facility Summary'!$K:$K,MATCH(K2330,'Facility Summary'!$J:$J,0)),INDEX('Raw Annual DMR Data'!$M:$M,MATCH(K2330,'Raw Annual DMR Data'!$L:$L,0)))</f>
        <v>POTW</v>
      </c>
      <c r="M2330" s="28"/>
      <c r="N2330" s="28"/>
      <c r="O2330" s="28"/>
      <c r="P2330" s="28"/>
      <c r="Q2330" s="28"/>
      <c r="R2330" s="28">
        <f t="shared" si="18"/>
        <v>1.77136974327853</v>
      </c>
      <c r="S2330" s="28">
        <v>0.80347979999999997</v>
      </c>
    </row>
    <row r="2331" spans="1:19" x14ac:dyDescent="0.25">
      <c r="A2331" s="28">
        <v>2024</v>
      </c>
      <c r="B2331" s="28"/>
      <c r="C2331" s="28" t="s">
        <v>1348</v>
      </c>
      <c r="D2331" s="28" t="s">
        <v>2217</v>
      </c>
      <c r="E2331" s="28" t="s">
        <v>1349</v>
      </c>
      <c r="F2331" s="28" t="s">
        <v>1249</v>
      </c>
      <c r="G2331" s="28">
        <v>87420</v>
      </c>
      <c r="H2331" s="28">
        <v>36.786963999999998</v>
      </c>
      <c r="I2331" s="28">
        <v>-108.711493</v>
      </c>
      <c r="J2331" s="28"/>
      <c r="K2331" s="61">
        <v>110024409362</v>
      </c>
      <c r="L2331" s="61" t="str">
        <f>IFERROR(INDEX('Facility Summary'!$K:$K,MATCH(K2331,'Facility Summary'!$J:$J,0)),INDEX('Raw Annual DMR Data'!$M:$M,MATCH(K2331,'Raw Annual DMR Data'!$L:$L,0)))</f>
        <v>POTW</v>
      </c>
      <c r="M2331" s="28"/>
      <c r="N2331" s="28"/>
      <c r="O2331" s="28"/>
      <c r="P2331" s="28"/>
      <c r="Q2331" s="28"/>
      <c r="R2331" s="28">
        <f t="shared" si="18"/>
        <v>1.6447002845308001</v>
      </c>
      <c r="S2331" s="28">
        <v>0.74602349999999995</v>
      </c>
    </row>
    <row r="2332" spans="1:19" x14ac:dyDescent="0.25">
      <c r="A2332" s="28">
        <v>2021</v>
      </c>
      <c r="B2332" s="28"/>
      <c r="C2332" s="28" t="s">
        <v>6779</v>
      </c>
      <c r="D2332" s="28" t="s">
        <v>617</v>
      </c>
      <c r="E2332" s="28" t="s">
        <v>618</v>
      </c>
      <c r="F2332" s="28" t="s">
        <v>311</v>
      </c>
      <c r="G2332" s="28">
        <v>26501</v>
      </c>
      <c r="H2332" s="28">
        <v>39.599829999999997</v>
      </c>
      <c r="I2332" s="28">
        <v>-79.97148</v>
      </c>
      <c r="J2332" s="28" t="s">
        <v>619</v>
      </c>
      <c r="K2332" s="61">
        <v>110000572782</v>
      </c>
      <c r="L2332" s="61" t="str">
        <f>IFERROR(INDEX('Facility Summary'!$K:$K,MATCH(K2332,'Facility Summary'!$J:$J,0)),INDEX('Raw Annual DMR Data'!$M:$M,MATCH(K2332,'Raw Annual DMR Data'!$L:$L,0)))</f>
        <v>Manufacturing</v>
      </c>
      <c r="M2332" s="28"/>
      <c r="N2332" s="28"/>
      <c r="O2332" s="28"/>
      <c r="P2332" s="28"/>
      <c r="Q2332" s="28"/>
      <c r="R2332" s="28">
        <f t="shared" si="18"/>
        <v>0.72196734989170996</v>
      </c>
      <c r="S2332" s="28">
        <v>0.32747888130000002</v>
      </c>
    </row>
    <row r="2333" spans="1:19" x14ac:dyDescent="0.25">
      <c r="A2333" s="28">
        <v>2021</v>
      </c>
      <c r="B2333" s="28"/>
      <c r="C2333" s="28" t="s">
        <v>6779</v>
      </c>
      <c r="D2333" s="28" t="s">
        <v>617</v>
      </c>
      <c r="E2333" s="28" t="s">
        <v>618</v>
      </c>
      <c r="F2333" s="28" t="s">
        <v>311</v>
      </c>
      <c r="G2333" s="28">
        <v>26501</v>
      </c>
      <c r="H2333" s="28">
        <v>39.599829999999997</v>
      </c>
      <c r="I2333" s="28">
        <v>-79.97148</v>
      </c>
      <c r="J2333" s="28" t="s">
        <v>619</v>
      </c>
      <c r="K2333" s="61">
        <v>110000572782</v>
      </c>
      <c r="L2333" s="61" t="str">
        <f>IFERROR(INDEX('Facility Summary'!$K:$K,MATCH(K2333,'Facility Summary'!$J:$J,0)),INDEX('Raw Annual DMR Data'!$M:$M,MATCH(K2333,'Raw Annual DMR Data'!$L:$L,0)))</f>
        <v>Manufacturing</v>
      </c>
      <c r="M2333" s="28"/>
      <c r="N2333" s="28"/>
      <c r="O2333" s="28"/>
      <c r="P2333" s="28"/>
      <c r="Q2333" s="28"/>
      <c r="R2333" s="28">
        <f t="shared" si="18"/>
        <v>0.37306496138812922</v>
      </c>
      <c r="S2333" s="28">
        <v>0.16921942000000001</v>
      </c>
    </row>
    <row r="2334" spans="1:19" x14ac:dyDescent="0.25">
      <c r="A2334" s="28">
        <v>2023</v>
      </c>
      <c r="B2334" s="28"/>
      <c r="C2334" s="28" t="s">
        <v>6779</v>
      </c>
      <c r="D2334" s="28" t="s">
        <v>617</v>
      </c>
      <c r="E2334" s="28" t="s">
        <v>618</v>
      </c>
      <c r="F2334" s="28" t="s">
        <v>311</v>
      </c>
      <c r="G2334" s="28">
        <v>26501</v>
      </c>
      <c r="H2334" s="28">
        <v>39.599829999999997</v>
      </c>
      <c r="I2334" s="28">
        <v>-79.97148</v>
      </c>
      <c r="J2334" s="28" t="s">
        <v>619</v>
      </c>
      <c r="K2334" s="61">
        <v>110000572782</v>
      </c>
      <c r="L2334" s="61" t="str">
        <f>IFERROR(INDEX('Facility Summary'!$K:$K,MATCH(K2334,'Facility Summary'!$J:$J,0)),INDEX('Raw Annual DMR Data'!$M:$M,MATCH(K2334,'Raw Annual DMR Data'!$L:$L,0)))</f>
        <v>Manufacturing</v>
      </c>
      <c r="M2334" s="28"/>
      <c r="N2334" s="28"/>
      <c r="O2334" s="28"/>
      <c r="P2334" s="28"/>
      <c r="Q2334" s="28"/>
      <c r="R2334" s="28">
        <f t="shared" si="18"/>
        <v>0.17310042053837899</v>
      </c>
      <c r="S2334" s="28">
        <v>7.8517030000000002E-2</v>
      </c>
    </row>
    <row r="2335" spans="1:19" x14ac:dyDescent="0.25">
      <c r="A2335" s="28">
        <v>2024</v>
      </c>
      <c r="B2335" s="28"/>
      <c r="C2335" s="28" t="s">
        <v>6779</v>
      </c>
      <c r="D2335" s="28" t="s">
        <v>617</v>
      </c>
      <c r="E2335" s="28" t="s">
        <v>618</v>
      </c>
      <c r="F2335" s="28" t="s">
        <v>311</v>
      </c>
      <c r="G2335" s="28">
        <v>26501</v>
      </c>
      <c r="H2335" s="28">
        <v>39.599829999999997</v>
      </c>
      <c r="I2335" s="28">
        <v>-79.97148</v>
      </c>
      <c r="J2335" s="28" t="s">
        <v>619</v>
      </c>
      <c r="K2335" s="61">
        <v>110000572782</v>
      </c>
      <c r="L2335" s="61" t="str">
        <f>IFERROR(INDEX('Facility Summary'!$K:$K,MATCH(K2335,'Facility Summary'!$J:$J,0)),INDEX('Raw Annual DMR Data'!$M:$M,MATCH(K2335,'Raw Annual DMR Data'!$L:$L,0)))</f>
        <v>Manufacturing</v>
      </c>
      <c r="M2335" s="28"/>
      <c r="N2335" s="28"/>
      <c r="O2335" s="28"/>
      <c r="P2335" s="28"/>
      <c r="Q2335" s="28"/>
      <c r="R2335" s="28">
        <f t="shared" si="18"/>
        <v>0.12928913001777345</v>
      </c>
      <c r="S2335" s="28">
        <v>5.8644562900000002E-2</v>
      </c>
    </row>
    <row r="2336" spans="1:19" x14ac:dyDescent="0.25">
      <c r="A2336" s="28">
        <v>2023</v>
      </c>
      <c r="B2336" s="28"/>
      <c r="C2336" s="28" t="s">
        <v>6779</v>
      </c>
      <c r="D2336" s="28" t="s">
        <v>617</v>
      </c>
      <c r="E2336" s="28" t="s">
        <v>618</v>
      </c>
      <c r="F2336" s="28" t="s">
        <v>311</v>
      </c>
      <c r="G2336" s="28">
        <v>26501</v>
      </c>
      <c r="H2336" s="28">
        <v>39.599829999999997</v>
      </c>
      <c r="I2336" s="28">
        <v>-79.97148</v>
      </c>
      <c r="J2336" s="28" t="s">
        <v>619</v>
      </c>
      <c r="K2336" s="61">
        <v>110000572782</v>
      </c>
      <c r="L2336" s="61" t="str">
        <f>IFERROR(INDEX('Facility Summary'!$K:$K,MATCH(K2336,'Facility Summary'!$J:$J,0)),INDEX('Raw Annual DMR Data'!$M:$M,MATCH(K2336,'Raw Annual DMR Data'!$L:$L,0)))</f>
        <v>Manufacturing</v>
      </c>
      <c r="M2336" s="28"/>
      <c r="N2336" s="28"/>
      <c r="O2336" s="28"/>
      <c r="P2336" s="28"/>
      <c r="Q2336" s="28"/>
      <c r="R2336" s="28">
        <f t="shared" si="18"/>
        <v>0.1210262425710556</v>
      </c>
      <c r="S2336" s="28">
        <v>5.4896580200000003E-2</v>
      </c>
    </row>
    <row r="2337" spans="1:19" x14ac:dyDescent="0.25">
      <c r="A2337" s="28">
        <v>2022</v>
      </c>
      <c r="B2337" s="28"/>
      <c r="C2337" s="28" t="s">
        <v>6779</v>
      </c>
      <c r="D2337" s="28" t="s">
        <v>617</v>
      </c>
      <c r="E2337" s="28" t="s">
        <v>618</v>
      </c>
      <c r="F2337" s="28" t="s">
        <v>311</v>
      </c>
      <c r="G2337" s="28">
        <v>26501</v>
      </c>
      <c r="H2337" s="28">
        <v>39.599829999999997</v>
      </c>
      <c r="I2337" s="28">
        <v>-79.97148</v>
      </c>
      <c r="J2337" s="28" t="s">
        <v>619</v>
      </c>
      <c r="K2337" s="61">
        <v>110000572782</v>
      </c>
      <c r="L2337" s="61" t="str">
        <f>IFERROR(INDEX('Facility Summary'!$K:$K,MATCH(K2337,'Facility Summary'!$J:$J,0)),INDEX('Raw Annual DMR Data'!$M:$M,MATCH(K2337,'Raw Annual DMR Data'!$L:$L,0)))</f>
        <v>Manufacturing</v>
      </c>
      <c r="M2337" s="28"/>
      <c r="N2337" s="28"/>
      <c r="O2337" s="28"/>
      <c r="P2337" s="28"/>
      <c r="Q2337" s="28"/>
      <c r="R2337" s="28">
        <f t="shared" si="18"/>
        <v>0.11984633074846475</v>
      </c>
      <c r="S2337" s="28">
        <v>5.4361381200000003E-2</v>
      </c>
    </row>
    <row r="2338" spans="1:19" x14ac:dyDescent="0.25">
      <c r="A2338" s="28">
        <v>2024</v>
      </c>
      <c r="B2338" s="28"/>
      <c r="C2338" s="28" t="s">
        <v>6779</v>
      </c>
      <c r="D2338" s="28" t="s">
        <v>617</v>
      </c>
      <c r="E2338" s="28" t="s">
        <v>618</v>
      </c>
      <c r="F2338" s="28" t="s">
        <v>311</v>
      </c>
      <c r="G2338" s="28">
        <v>26501</v>
      </c>
      <c r="H2338" s="28">
        <v>39.599829999999997</v>
      </c>
      <c r="I2338" s="28">
        <v>-79.97148</v>
      </c>
      <c r="J2338" s="28" t="s">
        <v>619</v>
      </c>
      <c r="K2338" s="61">
        <v>110000572782</v>
      </c>
      <c r="L2338" s="61" t="str">
        <f>IFERROR(INDEX('Facility Summary'!$K:$K,MATCH(K2338,'Facility Summary'!$J:$J,0)),INDEX('Raw Annual DMR Data'!$M:$M,MATCH(K2338,'Raw Annual DMR Data'!$L:$L,0)))</f>
        <v>Manufacturing</v>
      </c>
      <c r="M2338" s="28"/>
      <c r="N2338" s="28"/>
      <c r="O2338" s="28"/>
      <c r="P2338" s="28"/>
      <c r="Q2338" s="28"/>
      <c r="R2338" s="28">
        <f t="shared" si="18"/>
        <v>7.8840788261054742E-2</v>
      </c>
      <c r="S2338" s="28">
        <v>3.5761580000000001E-2</v>
      </c>
    </row>
    <row r="2339" spans="1:19" x14ac:dyDescent="0.25">
      <c r="A2339" s="28">
        <v>2022</v>
      </c>
      <c r="B2339" s="28"/>
      <c r="C2339" s="28" t="s">
        <v>6779</v>
      </c>
      <c r="D2339" s="28" t="s">
        <v>617</v>
      </c>
      <c r="E2339" s="28" t="s">
        <v>618</v>
      </c>
      <c r="F2339" s="28" t="s">
        <v>311</v>
      </c>
      <c r="G2339" s="28">
        <v>26501</v>
      </c>
      <c r="H2339" s="28">
        <v>39.599829999999997</v>
      </c>
      <c r="I2339" s="28">
        <v>-79.97148</v>
      </c>
      <c r="J2339" s="28" t="s">
        <v>619</v>
      </c>
      <c r="K2339" s="61">
        <v>110000572782</v>
      </c>
      <c r="L2339" s="61" t="str">
        <f>IFERROR(INDEX('Facility Summary'!$K:$K,MATCH(K2339,'Facility Summary'!$J:$J,0)),INDEX('Raw Annual DMR Data'!$M:$M,MATCH(K2339,'Raw Annual DMR Data'!$L:$L,0)))</f>
        <v>Manufacturing</v>
      </c>
      <c r="M2339" s="28"/>
      <c r="N2339" s="28"/>
      <c r="O2339" s="28"/>
      <c r="P2339" s="28"/>
      <c r="Q2339" s="28"/>
      <c r="R2339" s="28">
        <f t="shared" si="18"/>
        <v>6.1029796422722007E-2</v>
      </c>
      <c r="S2339" s="28">
        <v>2.768265E-2</v>
      </c>
    </row>
    <row r="2340" spans="1:19" x14ac:dyDescent="0.25">
      <c r="A2340" s="28">
        <v>2024</v>
      </c>
      <c r="B2340" s="28"/>
      <c r="C2340" s="28" t="s">
        <v>190</v>
      </c>
      <c r="D2340" s="28" t="s">
        <v>622</v>
      </c>
      <c r="E2340" s="28" t="s">
        <v>623</v>
      </c>
      <c r="F2340" s="28" t="s">
        <v>338</v>
      </c>
      <c r="G2340" s="28">
        <v>8086</v>
      </c>
      <c r="H2340" s="28">
        <v>39.845474000000003</v>
      </c>
      <c r="I2340" s="28">
        <v>-75.209485999999998</v>
      </c>
      <c r="J2340" s="28" t="s">
        <v>624</v>
      </c>
      <c r="K2340" s="61">
        <v>110013317614</v>
      </c>
      <c r="L2340" s="61" t="str">
        <f>IFERROR(INDEX('Facility Summary'!$K:$K,MATCH(K2340,'Facility Summary'!$J:$J,0)),INDEX('Raw Annual DMR Data'!$M:$M,MATCH(K2340,'Raw Annual DMR Data'!$L:$L,0)))</f>
        <v>Processing as a Reactant</v>
      </c>
      <c r="M2340" s="28"/>
      <c r="N2340" s="28"/>
      <c r="O2340" s="28"/>
      <c r="P2340" s="28"/>
      <c r="Q2340" s="28"/>
      <c r="R2340" s="28">
        <f t="shared" si="18"/>
        <v>0.16999591505474398</v>
      </c>
      <c r="S2340" s="28">
        <v>7.7108850000000007E-2</v>
      </c>
    </row>
    <row r="2341" spans="1:19" x14ac:dyDescent="0.25">
      <c r="A2341" s="28">
        <v>2023</v>
      </c>
      <c r="B2341" s="28"/>
      <c r="C2341" s="28" t="s">
        <v>190</v>
      </c>
      <c r="D2341" s="28" t="s">
        <v>622</v>
      </c>
      <c r="E2341" s="28" t="s">
        <v>623</v>
      </c>
      <c r="F2341" s="28" t="s">
        <v>338</v>
      </c>
      <c r="G2341" s="28" t="s">
        <v>2223</v>
      </c>
      <c r="H2341" s="28">
        <v>39.845474000000003</v>
      </c>
      <c r="I2341" s="28">
        <v>-75.209485999999998</v>
      </c>
      <c r="J2341" s="28" t="s">
        <v>624</v>
      </c>
      <c r="K2341" s="61">
        <v>110013317614</v>
      </c>
      <c r="L2341" s="61" t="str">
        <f>IFERROR(INDEX('Facility Summary'!$K:$K,MATCH(K2341,'Facility Summary'!$J:$J,0)),INDEX('Raw Annual DMR Data'!$M:$M,MATCH(K2341,'Raw Annual DMR Data'!$L:$L,0)))</f>
        <v>Processing as a Reactant</v>
      </c>
      <c r="M2341" s="28"/>
      <c r="N2341" s="28"/>
      <c r="O2341" s="28"/>
      <c r="P2341" s="28"/>
      <c r="Q2341" s="28"/>
      <c r="R2341" s="28">
        <f t="shared" si="18"/>
        <v>7.9548516215120629E-2</v>
      </c>
      <c r="S2341" s="28">
        <v>3.6082599999999999E-2</v>
      </c>
    </row>
    <row r="2342" spans="1:19" x14ac:dyDescent="0.25">
      <c r="A2342" s="28">
        <v>2021</v>
      </c>
      <c r="B2342" s="28"/>
      <c r="C2342" s="28" t="s">
        <v>190</v>
      </c>
      <c r="D2342" s="28" t="s">
        <v>622</v>
      </c>
      <c r="E2342" s="28" t="s">
        <v>623</v>
      </c>
      <c r="F2342" s="28" t="s">
        <v>338</v>
      </c>
      <c r="G2342" s="28">
        <v>8086</v>
      </c>
      <c r="H2342" s="28">
        <v>39.845474000000003</v>
      </c>
      <c r="I2342" s="28">
        <v>-75.209485999999998</v>
      </c>
      <c r="J2342" s="28" t="s">
        <v>624</v>
      </c>
      <c r="K2342" s="61">
        <v>110013317614</v>
      </c>
      <c r="L2342" s="61" t="str">
        <f>IFERROR(INDEX('Facility Summary'!$K:$K,MATCH(K2342,'Facility Summary'!$J:$J,0)),INDEX('Raw Annual DMR Data'!$M:$M,MATCH(K2342,'Raw Annual DMR Data'!$L:$L,0)))</f>
        <v>Processing as a Reactant</v>
      </c>
      <c r="M2342" s="28"/>
      <c r="N2342" s="28"/>
      <c r="O2342" s="28"/>
      <c r="P2342" s="28"/>
      <c r="Q2342" s="28"/>
      <c r="R2342" s="28">
        <f t="shared" si="18"/>
        <v>6.0729857515019491E-2</v>
      </c>
      <c r="S2342" s="28">
        <v>2.7546600000000001E-2</v>
      </c>
    </row>
    <row r="2343" spans="1:19" x14ac:dyDescent="0.25">
      <c r="A2343" s="28">
        <v>2022</v>
      </c>
      <c r="B2343" s="28"/>
      <c r="C2343" s="28" t="s">
        <v>190</v>
      </c>
      <c r="D2343" s="28" t="s">
        <v>622</v>
      </c>
      <c r="E2343" s="28" t="s">
        <v>623</v>
      </c>
      <c r="F2343" s="28" t="s">
        <v>338</v>
      </c>
      <c r="G2343" s="28">
        <v>8086</v>
      </c>
      <c r="H2343" s="28">
        <v>39.845474000000003</v>
      </c>
      <c r="I2343" s="28">
        <v>-75.209485999999998</v>
      </c>
      <c r="J2343" s="28" t="s">
        <v>624</v>
      </c>
      <c r="K2343" s="61">
        <v>110013317614</v>
      </c>
      <c r="L2343" s="61" t="str">
        <f>IFERROR(INDEX('Facility Summary'!$K:$K,MATCH(K2343,'Facility Summary'!$J:$J,0)),INDEX('Raw Annual DMR Data'!$M:$M,MATCH(K2343,'Raw Annual DMR Data'!$L:$L,0)))</f>
        <v>Processing as a Reactant</v>
      </c>
      <c r="M2343" s="28"/>
      <c r="N2343" s="28"/>
      <c r="O2343" s="28"/>
      <c r="P2343" s="28"/>
      <c r="Q2343" s="28"/>
      <c r="R2343" s="28">
        <f t="shared" si="18"/>
        <v>5.7975622473543806E-2</v>
      </c>
      <c r="S2343" s="28">
        <v>2.6297299999999999E-2</v>
      </c>
    </row>
    <row r="2344" spans="1:19" x14ac:dyDescent="0.25">
      <c r="A2344" s="28">
        <v>2021</v>
      </c>
      <c r="B2344" s="28"/>
      <c r="C2344" s="28" t="s">
        <v>1353</v>
      </c>
      <c r="D2344" s="28" t="s">
        <v>2225</v>
      </c>
      <c r="E2344" s="28" t="s">
        <v>612</v>
      </c>
      <c r="F2344" s="28" t="s">
        <v>366</v>
      </c>
      <c r="G2344" s="28" t="s">
        <v>2226</v>
      </c>
      <c r="H2344" s="28">
        <v>32.544722</v>
      </c>
      <c r="I2344" s="28">
        <v>-117.068056</v>
      </c>
      <c r="J2344" s="28"/>
      <c r="K2344" s="61">
        <v>110002912750</v>
      </c>
      <c r="L2344" s="61" t="str">
        <f>IFERROR(INDEX('Facility Summary'!$K:$K,MATCH(K2344,'Facility Summary'!$J:$J,0)),INDEX('Raw Annual DMR Data'!$M:$M,MATCH(K2344,'Raw Annual DMR Data'!$L:$L,0)))</f>
        <v>POTW</v>
      </c>
      <c r="M2344" s="28"/>
      <c r="N2344" s="28"/>
      <c r="O2344" s="28"/>
      <c r="P2344" s="28"/>
      <c r="Q2344" s="28"/>
      <c r="R2344" s="28">
        <f t="shared" si="18"/>
        <v>6.3757245299342227</v>
      </c>
      <c r="S2344" s="28">
        <v>2.8919800000000002</v>
      </c>
    </row>
    <row r="2345" spans="1:19" x14ac:dyDescent="0.25">
      <c r="A2345" s="28">
        <v>2021</v>
      </c>
      <c r="B2345" s="28"/>
      <c r="C2345" s="28" t="s">
        <v>1354</v>
      </c>
      <c r="D2345" s="28" t="s">
        <v>2228</v>
      </c>
      <c r="E2345" s="28" t="s">
        <v>1355</v>
      </c>
      <c r="F2345" s="28" t="s">
        <v>366</v>
      </c>
      <c r="G2345" s="28" t="s">
        <v>2229</v>
      </c>
      <c r="H2345" s="28">
        <v>35.102089999999997</v>
      </c>
      <c r="I2345" s="28">
        <v>-120.62509</v>
      </c>
      <c r="J2345" s="28"/>
      <c r="K2345" s="61">
        <v>110000730629</v>
      </c>
      <c r="L2345" s="61" t="str">
        <f>IFERROR(INDEX('Facility Summary'!$K:$K,MATCH(K2345,'Facility Summary'!$J:$J,0)),INDEX('Raw Annual DMR Data'!$M:$M,MATCH(K2345,'Raw Annual DMR Data'!$L:$L,0)))</f>
        <v>POTW</v>
      </c>
      <c r="M2345" s="28"/>
      <c r="N2345" s="28"/>
      <c r="O2345" s="28"/>
      <c r="P2345" s="28"/>
      <c r="Q2345" s="28"/>
      <c r="R2345" s="28">
        <f t="shared" si="18"/>
        <v>1.7353080696661629</v>
      </c>
      <c r="S2345" s="28">
        <v>0.78712249999999995</v>
      </c>
    </row>
    <row r="2346" spans="1:19" x14ac:dyDescent="0.25">
      <c r="A2346" s="28">
        <v>2024</v>
      </c>
      <c r="B2346" s="28"/>
      <c r="C2346" s="28" t="s">
        <v>6811</v>
      </c>
      <c r="D2346" s="28" t="s">
        <v>2107</v>
      </c>
      <c r="E2346" s="28" t="s">
        <v>966</v>
      </c>
      <c r="F2346" s="28" t="s">
        <v>491</v>
      </c>
      <c r="G2346" s="28" t="s">
        <v>2108</v>
      </c>
      <c r="H2346" s="28">
        <v>39.901820000000001</v>
      </c>
      <c r="I2346" s="28">
        <v>-75.144549999999995</v>
      </c>
      <c r="J2346" s="28"/>
      <c r="K2346" s="61">
        <v>110000540610</v>
      </c>
      <c r="L2346" s="61" t="str">
        <f>IFERROR(INDEX('Facility Summary'!$K:$K,MATCH(K2346,'Facility Summary'!$J:$J,0)),INDEX('Raw Annual DMR Data'!$M:$M,MATCH(K2346,'Raw Annual DMR Data'!$L:$L,0)))</f>
        <v>POTW</v>
      </c>
      <c r="M2346" s="28"/>
      <c r="N2346" s="28"/>
      <c r="O2346" s="28"/>
      <c r="P2346" s="28"/>
      <c r="Q2346" s="28"/>
      <c r="R2346" s="28">
        <f t="shared" si="18"/>
        <v>329.06522435551551</v>
      </c>
      <c r="S2346" s="28">
        <v>149.26147499999999</v>
      </c>
    </row>
    <row r="2347" spans="1:19" x14ac:dyDescent="0.25">
      <c r="A2347" s="28">
        <v>2023</v>
      </c>
      <c r="B2347" s="28"/>
      <c r="C2347" s="28" t="s">
        <v>6811</v>
      </c>
      <c r="D2347" s="28" t="s">
        <v>2107</v>
      </c>
      <c r="E2347" s="28" t="s">
        <v>966</v>
      </c>
      <c r="F2347" s="28" t="s">
        <v>491</v>
      </c>
      <c r="G2347" s="28" t="s">
        <v>2108</v>
      </c>
      <c r="H2347" s="28">
        <v>39.901820000000001</v>
      </c>
      <c r="I2347" s="28">
        <v>-75.144549999999995</v>
      </c>
      <c r="J2347" s="28"/>
      <c r="K2347" s="61">
        <v>110000540610</v>
      </c>
      <c r="L2347" s="61" t="str">
        <f>IFERROR(INDEX('Facility Summary'!$K:$K,MATCH(K2347,'Facility Summary'!$J:$J,0)),INDEX('Raw Annual DMR Data'!$M:$M,MATCH(K2347,'Raw Annual DMR Data'!$L:$L,0)))</f>
        <v>POTW</v>
      </c>
      <c r="M2347" s="28"/>
      <c r="N2347" s="28"/>
      <c r="O2347" s="28"/>
      <c r="P2347" s="28"/>
      <c r="Q2347" s="28"/>
      <c r="R2347" s="28">
        <f t="shared" si="18"/>
        <v>296.40252811130841</v>
      </c>
      <c r="S2347" s="28">
        <v>134.4459252</v>
      </c>
    </row>
    <row r="2348" spans="1:19" x14ac:dyDescent="0.25">
      <c r="A2348" s="28">
        <v>2022</v>
      </c>
      <c r="B2348" s="28"/>
      <c r="C2348" s="28" t="s">
        <v>6811</v>
      </c>
      <c r="D2348" s="28" t="s">
        <v>2107</v>
      </c>
      <c r="E2348" s="28" t="s">
        <v>966</v>
      </c>
      <c r="F2348" s="28" t="s">
        <v>491</v>
      </c>
      <c r="G2348" s="28" t="s">
        <v>2108</v>
      </c>
      <c r="H2348" s="28">
        <v>39.901820000000001</v>
      </c>
      <c r="I2348" s="28">
        <v>-75.144549999999995</v>
      </c>
      <c r="J2348" s="28"/>
      <c r="K2348" s="61">
        <v>110000540610</v>
      </c>
      <c r="L2348" s="61" t="str">
        <f>IFERROR(INDEX('Facility Summary'!$K:$K,MATCH(K2348,'Facility Summary'!$J:$J,0)),INDEX('Raw Annual DMR Data'!$M:$M,MATCH(K2348,'Raw Annual DMR Data'!$L:$L,0)))</f>
        <v>POTW</v>
      </c>
      <c r="M2348" s="28"/>
      <c r="N2348" s="28"/>
      <c r="O2348" s="28"/>
      <c r="P2348" s="28"/>
      <c r="Q2348" s="28"/>
      <c r="R2348" s="28">
        <f t="shared" si="18"/>
        <v>295.14484558018466</v>
      </c>
      <c r="S2348" s="28">
        <v>133.87545</v>
      </c>
    </row>
    <row r="2349" spans="1:19" x14ac:dyDescent="0.25">
      <c r="A2349" s="28">
        <v>2021</v>
      </c>
      <c r="B2349" s="28"/>
      <c r="C2349" s="28" t="s">
        <v>6811</v>
      </c>
      <c r="D2349" s="28" t="s">
        <v>2107</v>
      </c>
      <c r="E2349" s="28" t="s">
        <v>966</v>
      </c>
      <c r="F2349" s="28" t="s">
        <v>491</v>
      </c>
      <c r="G2349" s="28" t="s">
        <v>2108</v>
      </c>
      <c r="H2349" s="28">
        <v>39.901820000000001</v>
      </c>
      <c r="I2349" s="28">
        <v>-75.144549999999995</v>
      </c>
      <c r="J2349" s="28"/>
      <c r="K2349" s="61">
        <v>110000540610</v>
      </c>
      <c r="L2349" s="61" t="str">
        <f>IFERROR(INDEX('Facility Summary'!$K:$K,MATCH(K2349,'Facility Summary'!$J:$J,0)),INDEX('Raw Annual DMR Data'!$M:$M,MATCH(K2349,'Raw Annual DMR Data'!$L:$L,0)))</f>
        <v>POTW</v>
      </c>
      <c r="M2349" s="28"/>
      <c r="N2349" s="28"/>
      <c r="O2349" s="28"/>
      <c r="P2349" s="28"/>
      <c r="Q2349" s="28"/>
      <c r="R2349" s="28">
        <f t="shared" si="18"/>
        <v>262.40688197643186</v>
      </c>
      <c r="S2349" s="28">
        <v>119.02575950000001</v>
      </c>
    </row>
    <row r="2350" spans="1:19" x14ac:dyDescent="0.25">
      <c r="A2350" s="28">
        <v>2024</v>
      </c>
      <c r="B2350" s="28"/>
      <c r="C2350" s="28" t="s">
        <v>1356</v>
      </c>
      <c r="D2350" s="28" t="s">
        <v>2231</v>
      </c>
      <c r="E2350" s="28" t="s">
        <v>1357</v>
      </c>
      <c r="F2350" s="28" t="s">
        <v>418</v>
      </c>
      <c r="G2350" s="28">
        <v>89434</v>
      </c>
      <c r="H2350" s="28">
        <v>39.530619999999999</v>
      </c>
      <c r="I2350" s="28">
        <v>-119.73309</v>
      </c>
      <c r="J2350" s="28"/>
      <c r="K2350" s="61">
        <v>110009830200</v>
      </c>
      <c r="L2350" s="61" t="str">
        <f>IFERROR(INDEX('Facility Summary'!$K:$K,MATCH(K2350,'Facility Summary'!$J:$J,0)),INDEX('Raw Annual DMR Data'!$M:$M,MATCH(K2350,'Raw Annual DMR Data'!$L:$L,0)))</f>
        <v>Unknown</v>
      </c>
      <c r="M2350" s="28"/>
      <c r="N2350" s="28"/>
      <c r="O2350" s="28"/>
      <c r="P2350" s="28"/>
      <c r="Q2350" s="28"/>
      <c r="R2350" s="28">
        <f t="shared" si="18"/>
        <v>17.589155820676613</v>
      </c>
      <c r="S2350" s="28">
        <v>7.9783068750000004</v>
      </c>
    </row>
    <row r="2351" spans="1:19" x14ac:dyDescent="0.25">
      <c r="A2351" s="28">
        <v>2021</v>
      </c>
      <c r="B2351" s="28"/>
      <c r="C2351" s="28" t="s">
        <v>1356</v>
      </c>
      <c r="D2351" s="28" t="s">
        <v>2231</v>
      </c>
      <c r="E2351" s="28" t="s">
        <v>1357</v>
      </c>
      <c r="F2351" s="28" t="s">
        <v>418</v>
      </c>
      <c r="G2351" s="28">
        <v>89434</v>
      </c>
      <c r="H2351" s="28">
        <v>39.530619999999999</v>
      </c>
      <c r="I2351" s="28">
        <v>-119.73309</v>
      </c>
      <c r="J2351" s="28"/>
      <c r="K2351" s="61">
        <v>110009830200</v>
      </c>
      <c r="L2351" s="61" t="str">
        <f>IFERROR(INDEX('Facility Summary'!$K:$K,MATCH(K2351,'Facility Summary'!$J:$J,0)),INDEX('Raw Annual DMR Data'!$M:$M,MATCH(K2351,'Raw Annual DMR Data'!$L:$L,0)))</f>
        <v>Unknown</v>
      </c>
      <c r="M2351" s="28"/>
      <c r="N2351" s="28"/>
      <c r="O2351" s="28"/>
      <c r="P2351" s="28"/>
      <c r="Q2351" s="28"/>
      <c r="R2351" s="28">
        <f t="shared" si="18"/>
        <v>6.1371686543140038</v>
      </c>
      <c r="S2351" s="28">
        <v>2.7837728749999999</v>
      </c>
    </row>
    <row r="2352" spans="1:19" x14ac:dyDescent="0.25">
      <c r="A2352" s="28">
        <v>2023</v>
      </c>
      <c r="B2352" s="28"/>
      <c r="C2352" s="28" t="s">
        <v>1356</v>
      </c>
      <c r="D2352" s="28" t="s">
        <v>2231</v>
      </c>
      <c r="E2352" s="28" t="s">
        <v>1357</v>
      </c>
      <c r="F2352" s="28" t="s">
        <v>418</v>
      </c>
      <c r="G2352" s="28">
        <v>89434</v>
      </c>
      <c r="H2352" s="28">
        <v>39.530619999999999</v>
      </c>
      <c r="I2352" s="28">
        <v>-119.73309</v>
      </c>
      <c r="J2352" s="28"/>
      <c r="K2352" s="61">
        <v>110009830200</v>
      </c>
      <c r="L2352" s="61" t="str">
        <f>IFERROR(INDEX('Facility Summary'!$K:$K,MATCH(K2352,'Facility Summary'!$J:$J,0)),INDEX('Raw Annual DMR Data'!$M:$M,MATCH(K2352,'Raw Annual DMR Data'!$L:$L,0)))</f>
        <v>Unknown</v>
      </c>
      <c r="M2352" s="28"/>
      <c r="N2352" s="28"/>
      <c r="O2352" s="28"/>
      <c r="P2352" s="28"/>
      <c r="Q2352" s="28"/>
      <c r="R2352" s="28">
        <f t="shared" si="18"/>
        <v>4.4315535444302112</v>
      </c>
      <c r="S2352" s="28">
        <v>2.0101188749999999</v>
      </c>
    </row>
    <row r="2353" spans="1:19" x14ac:dyDescent="0.25">
      <c r="A2353" s="28">
        <v>2022</v>
      </c>
      <c r="B2353" s="28"/>
      <c r="C2353" s="28" t="s">
        <v>1356</v>
      </c>
      <c r="D2353" s="28" t="s">
        <v>2231</v>
      </c>
      <c r="E2353" s="28" t="s">
        <v>1357</v>
      </c>
      <c r="F2353" s="28" t="s">
        <v>418</v>
      </c>
      <c r="G2353" s="28">
        <v>89434</v>
      </c>
      <c r="H2353" s="28">
        <v>39.530619999999999</v>
      </c>
      <c r="I2353" s="28">
        <v>-119.73309</v>
      </c>
      <c r="J2353" s="28"/>
      <c r="K2353" s="61">
        <v>110009830200</v>
      </c>
      <c r="L2353" s="61" t="str">
        <f>IFERROR(INDEX('Facility Summary'!$K:$K,MATCH(K2353,'Facility Summary'!$J:$J,0)),INDEX('Raw Annual DMR Data'!$M:$M,MATCH(K2353,'Raw Annual DMR Data'!$L:$L,0)))</f>
        <v>Unknown</v>
      </c>
      <c r="M2353" s="28"/>
      <c r="N2353" s="28"/>
      <c r="O2353" s="28"/>
      <c r="P2353" s="28"/>
      <c r="Q2353" s="28"/>
      <c r="R2353" s="28">
        <f t="shared" si="18"/>
        <v>3.6244321085030595</v>
      </c>
      <c r="S2353" s="28">
        <v>1.64401475</v>
      </c>
    </row>
    <row r="2354" spans="1:19" x14ac:dyDescent="0.25">
      <c r="A2354" s="28">
        <v>2024</v>
      </c>
      <c r="B2354" s="28"/>
      <c r="C2354" s="28" t="s">
        <v>6893</v>
      </c>
      <c r="D2354" s="28" t="s">
        <v>7075</v>
      </c>
      <c r="E2354" s="28" t="s">
        <v>7050</v>
      </c>
      <c r="F2354" s="28" t="s">
        <v>303</v>
      </c>
      <c r="G2354" s="28">
        <v>70578</v>
      </c>
      <c r="H2354" s="28">
        <v>30.230833000000001</v>
      </c>
      <c r="I2354" s="28">
        <v>-92.306667000000004</v>
      </c>
      <c r="J2354" s="28" t="s">
        <v>7133</v>
      </c>
      <c r="K2354" s="61">
        <v>110000449435</v>
      </c>
      <c r="L2354" s="61" t="str">
        <f>IFERROR(INDEX('Facility Summary'!$K:$K,MATCH(K2354,'Facility Summary'!$J:$J,0)),INDEX('Raw Annual DMR Data'!$M:$M,MATCH(K2354,'Raw Annual DMR Data'!$L:$L,0)))</f>
        <v>Unknown</v>
      </c>
      <c r="M2354" s="28"/>
      <c r="N2354" s="28"/>
      <c r="O2354" s="28"/>
      <c r="P2354" s="28"/>
      <c r="Q2354" s="28"/>
      <c r="R2354" s="28">
        <f t="shared" si="18"/>
        <v>1.6217529188156316E-3</v>
      </c>
      <c r="S2354" s="28">
        <v>7.3561475000000003E-4</v>
      </c>
    </row>
    <row r="2355" spans="1:19" x14ac:dyDescent="0.25">
      <c r="A2355" s="28">
        <v>2022</v>
      </c>
      <c r="B2355" s="28"/>
      <c r="C2355" s="28" t="s">
        <v>6830</v>
      </c>
      <c r="D2355" s="28" t="s">
        <v>628</v>
      </c>
      <c r="E2355" s="28" t="s">
        <v>629</v>
      </c>
      <c r="F2355" s="28" t="s">
        <v>345</v>
      </c>
      <c r="G2355" s="28">
        <v>604219646</v>
      </c>
      <c r="H2355" s="28">
        <v>41.441667000000002</v>
      </c>
      <c r="I2355" s="28">
        <v>-88.159719999999993</v>
      </c>
      <c r="J2355" s="28" t="s">
        <v>631</v>
      </c>
      <c r="K2355" s="61">
        <v>110000432504</v>
      </c>
      <c r="L2355" s="61" t="str">
        <f>IFERROR(INDEX('Facility Summary'!$K:$K,MATCH(K2355,'Facility Summary'!$J:$J,0)),INDEX('Raw Annual DMR Data'!$M:$M,MATCH(K2355,'Raw Annual DMR Data'!$L:$L,0)))</f>
        <v>Processing into formulation, mixture, or reaction product</v>
      </c>
      <c r="M2355" s="28"/>
      <c r="N2355" s="28"/>
      <c r="O2355" s="28"/>
      <c r="P2355" s="28"/>
      <c r="Q2355" s="28"/>
      <c r="R2355" s="28">
        <f t="shared" si="18"/>
        <v>1.2801493993384412</v>
      </c>
      <c r="S2355" s="28">
        <v>0.58066600000000002</v>
      </c>
    </row>
    <row r="2356" spans="1:19" x14ac:dyDescent="0.25">
      <c r="A2356" s="28">
        <v>2023</v>
      </c>
      <c r="B2356" s="28"/>
      <c r="C2356" s="28" t="s">
        <v>6830</v>
      </c>
      <c r="D2356" s="28" t="s">
        <v>628</v>
      </c>
      <c r="E2356" s="28" t="s">
        <v>629</v>
      </c>
      <c r="F2356" s="28" t="s">
        <v>345</v>
      </c>
      <c r="G2356" s="28">
        <v>604219646</v>
      </c>
      <c r="H2356" s="28">
        <v>41.441667000000002</v>
      </c>
      <c r="I2356" s="28">
        <v>-88.159719999999993</v>
      </c>
      <c r="J2356" s="28" t="s">
        <v>631</v>
      </c>
      <c r="K2356" s="61">
        <v>110000432504</v>
      </c>
      <c r="L2356" s="61" t="str">
        <f>IFERROR(INDEX('Facility Summary'!$K:$K,MATCH(K2356,'Facility Summary'!$J:$J,0)),INDEX('Raw Annual DMR Data'!$M:$M,MATCH(K2356,'Raw Annual DMR Data'!$L:$L,0)))</f>
        <v>Processing into formulation, mixture, or reaction product</v>
      </c>
      <c r="M2356" s="28"/>
      <c r="N2356" s="28"/>
      <c r="O2356" s="28"/>
      <c r="P2356" s="28"/>
      <c r="Q2356" s="28"/>
      <c r="R2356" s="28">
        <f t="shared" si="18"/>
        <v>1.095984043999682</v>
      </c>
      <c r="S2356" s="28">
        <v>0.49713000000000002</v>
      </c>
    </row>
    <row r="2357" spans="1:19" x14ac:dyDescent="0.25">
      <c r="A2357" s="28">
        <v>2024</v>
      </c>
      <c r="B2357" s="28"/>
      <c r="C2357" s="28" t="s">
        <v>6830</v>
      </c>
      <c r="D2357" s="28" t="s">
        <v>628</v>
      </c>
      <c r="E2357" s="28" t="s">
        <v>629</v>
      </c>
      <c r="F2357" s="28" t="s">
        <v>345</v>
      </c>
      <c r="G2357" s="28">
        <v>604219646</v>
      </c>
      <c r="H2357" s="28">
        <v>41.441667000000002</v>
      </c>
      <c r="I2357" s="28">
        <v>-88.159719999999993</v>
      </c>
      <c r="J2357" s="28" t="s">
        <v>631</v>
      </c>
      <c r="K2357" s="61">
        <v>110000432504</v>
      </c>
      <c r="L2357" s="61" t="str">
        <f>IFERROR(INDEX('Facility Summary'!$K:$K,MATCH(K2357,'Facility Summary'!$J:$J,0)),INDEX('Raw Annual DMR Data'!$M:$M,MATCH(K2357,'Raw Annual DMR Data'!$L:$L,0)))</f>
        <v>Processing into formulation, mixture, or reaction product</v>
      </c>
      <c r="M2357" s="28"/>
      <c r="N2357" s="28"/>
      <c r="O2357" s="28"/>
      <c r="P2357" s="28"/>
      <c r="Q2357" s="28"/>
      <c r="R2357" s="28">
        <f t="shared" si="18"/>
        <v>0.91181868866092253</v>
      </c>
      <c r="S2357" s="28">
        <v>0.41359400000000002</v>
      </c>
    </row>
    <row r="2358" spans="1:19" x14ac:dyDescent="0.25">
      <c r="A2358" s="28">
        <v>2021</v>
      </c>
      <c r="B2358" s="28"/>
      <c r="C2358" s="28" t="s">
        <v>6830</v>
      </c>
      <c r="D2358" s="28" t="s">
        <v>628</v>
      </c>
      <c r="E2358" s="28" t="s">
        <v>629</v>
      </c>
      <c r="F2358" s="28" t="s">
        <v>345</v>
      </c>
      <c r="G2358" s="28">
        <v>604219646</v>
      </c>
      <c r="H2358" s="28">
        <v>41.441667000000002</v>
      </c>
      <c r="I2358" s="28">
        <v>-88.159719999999993</v>
      </c>
      <c r="J2358" s="28" t="s">
        <v>631</v>
      </c>
      <c r="K2358" s="61">
        <v>110000432504</v>
      </c>
      <c r="L2358" s="61" t="str">
        <f>IFERROR(INDEX('Facility Summary'!$K:$K,MATCH(K2358,'Facility Summary'!$J:$J,0)),INDEX('Raw Annual DMR Data'!$M:$M,MATCH(K2358,'Raw Annual DMR Data'!$L:$L,0)))</f>
        <v>Processing into formulation, mixture, or reaction product</v>
      </c>
      <c r="M2358" s="28"/>
      <c r="N2358" s="28"/>
      <c r="O2358" s="28"/>
      <c r="P2358" s="28"/>
      <c r="Q2358" s="28"/>
      <c r="R2358" s="28">
        <f t="shared" si="18"/>
        <v>0.72765333332216331</v>
      </c>
      <c r="S2358" s="28">
        <v>0.33005800000000002</v>
      </c>
    </row>
    <row r="2359" spans="1:19" x14ac:dyDescent="0.25">
      <c r="A2359" s="28">
        <v>2022</v>
      </c>
      <c r="B2359" s="28"/>
      <c r="C2359" s="28" t="s">
        <v>1362</v>
      </c>
      <c r="D2359" s="28" t="s">
        <v>2240</v>
      </c>
      <c r="E2359" s="28" t="s">
        <v>1282</v>
      </c>
      <c r="F2359" s="28" t="s">
        <v>366</v>
      </c>
      <c r="G2359" s="28">
        <v>92029</v>
      </c>
      <c r="H2359" s="28">
        <v>33.115580000000001</v>
      </c>
      <c r="I2359" s="28">
        <v>-117.1194</v>
      </c>
      <c r="J2359" s="28"/>
      <c r="K2359" s="61">
        <v>110045515180</v>
      </c>
      <c r="L2359" s="61" t="str">
        <f>IFERROR(INDEX('Facility Summary'!$K:$K,MATCH(K2359,'Facility Summary'!$J:$J,0)),INDEX('Raw Annual DMR Data'!$M:$M,MATCH(K2359,'Raw Annual DMR Data'!$L:$L,0)))</f>
        <v>Unknown</v>
      </c>
      <c r="M2359" s="28"/>
      <c r="N2359" s="28"/>
      <c r="O2359" s="28"/>
      <c r="P2359" s="28"/>
      <c r="Q2359" s="28"/>
      <c r="R2359" s="28">
        <f t="shared" si="18"/>
        <v>0.10054027143357812</v>
      </c>
      <c r="S2359" s="28">
        <v>4.56043E-2</v>
      </c>
    </row>
    <row r="2360" spans="1:19" x14ac:dyDescent="0.25">
      <c r="A2360" s="28">
        <v>2024</v>
      </c>
      <c r="B2360" s="28"/>
      <c r="C2360" s="28" t="s">
        <v>1362</v>
      </c>
      <c r="D2360" s="28" t="s">
        <v>2240</v>
      </c>
      <c r="E2360" s="28" t="s">
        <v>1282</v>
      </c>
      <c r="F2360" s="28" t="s">
        <v>366</v>
      </c>
      <c r="G2360" s="28">
        <v>92029</v>
      </c>
      <c r="H2360" s="28">
        <v>33.115580000000001</v>
      </c>
      <c r="I2360" s="28">
        <v>-117.1194</v>
      </c>
      <c r="J2360" s="28"/>
      <c r="K2360" s="61">
        <v>110045515180</v>
      </c>
      <c r="L2360" s="61" t="str">
        <f>IFERROR(INDEX('Facility Summary'!$K:$K,MATCH(K2360,'Facility Summary'!$J:$J,0)),INDEX('Raw Annual DMR Data'!$M:$M,MATCH(K2360,'Raw Annual DMR Data'!$L:$L,0)))</f>
        <v>Unknown</v>
      </c>
      <c r="M2360" s="28"/>
      <c r="N2360" s="28"/>
      <c r="O2360" s="28"/>
      <c r="P2360" s="28"/>
      <c r="Q2360" s="28"/>
      <c r="R2360" s="28">
        <f t="shared" si="18"/>
        <v>2.7474668500265999E-2</v>
      </c>
      <c r="S2360" s="28">
        <v>1.2462300000000001E-2</v>
      </c>
    </row>
    <row r="2361" spans="1:19" x14ac:dyDescent="0.25">
      <c r="A2361" s="28">
        <v>2023</v>
      </c>
      <c r="B2361" s="28"/>
      <c r="C2361" s="28" t="s">
        <v>1362</v>
      </c>
      <c r="D2361" s="28" t="s">
        <v>2240</v>
      </c>
      <c r="E2361" s="28" t="s">
        <v>1282</v>
      </c>
      <c r="F2361" s="28" t="s">
        <v>366</v>
      </c>
      <c r="G2361" s="28">
        <v>92029</v>
      </c>
      <c r="H2361" s="28">
        <v>33.115580000000001</v>
      </c>
      <c r="I2361" s="28">
        <v>-117.1194</v>
      </c>
      <c r="J2361" s="28"/>
      <c r="K2361" s="61">
        <v>110045515180</v>
      </c>
      <c r="L2361" s="61" t="str">
        <f>IFERROR(INDEX('Facility Summary'!$K:$K,MATCH(K2361,'Facility Summary'!$J:$J,0)),INDEX('Raw Annual DMR Data'!$M:$M,MATCH(K2361,'Raw Annual DMR Data'!$L:$L,0)))</f>
        <v>Unknown</v>
      </c>
      <c r="M2361" s="28"/>
      <c r="N2361" s="28"/>
      <c r="O2361" s="28"/>
      <c r="P2361" s="28"/>
      <c r="Q2361" s="28"/>
      <c r="R2361" s="28">
        <f t="shared" si="18"/>
        <v>1.8416535533875931E-2</v>
      </c>
      <c r="S2361" s="28">
        <v>8.3535999999999992E-3</v>
      </c>
    </row>
    <row r="2362" spans="1:19" x14ac:dyDescent="0.25">
      <c r="A2362" s="28">
        <v>2021</v>
      </c>
      <c r="B2362" s="28"/>
      <c r="C2362" s="28" t="s">
        <v>1362</v>
      </c>
      <c r="D2362" s="28" t="s">
        <v>2240</v>
      </c>
      <c r="E2362" s="28" t="s">
        <v>1282</v>
      </c>
      <c r="F2362" s="28" t="s">
        <v>366</v>
      </c>
      <c r="G2362" s="28">
        <v>92029</v>
      </c>
      <c r="H2362" s="28">
        <v>33.115580000000001</v>
      </c>
      <c r="I2362" s="28">
        <v>-117.1194</v>
      </c>
      <c r="J2362" s="28"/>
      <c r="K2362" s="61">
        <v>110045515180</v>
      </c>
      <c r="L2362" s="61" t="str">
        <f>IFERROR(INDEX('Facility Summary'!$K:$K,MATCH(K2362,'Facility Summary'!$J:$J,0)),INDEX('Raw Annual DMR Data'!$M:$M,MATCH(K2362,'Raw Annual DMR Data'!$L:$L,0)))</f>
        <v>Unknown</v>
      </c>
      <c r="M2362" s="28"/>
      <c r="N2362" s="28"/>
      <c r="O2362" s="28"/>
      <c r="P2362" s="28"/>
      <c r="Q2362" s="28"/>
      <c r="R2362" s="28">
        <f t="shared" si="18"/>
        <v>1.4521037908993046E-2</v>
      </c>
      <c r="S2362" s="28">
        <v>6.5866320000000003E-3</v>
      </c>
    </row>
    <row r="2363" spans="1:19" x14ac:dyDescent="0.25">
      <c r="A2363" s="28">
        <v>2023</v>
      </c>
      <c r="B2363" s="28"/>
      <c r="C2363" s="28" t="s">
        <v>6893</v>
      </c>
      <c r="D2363" s="28" t="s">
        <v>7075</v>
      </c>
      <c r="E2363" s="28" t="s">
        <v>7050</v>
      </c>
      <c r="F2363" s="28" t="s">
        <v>303</v>
      </c>
      <c r="G2363" s="28">
        <v>70578</v>
      </c>
      <c r="H2363" s="28">
        <v>30.230833000000001</v>
      </c>
      <c r="I2363" s="28">
        <v>-92.306667000000004</v>
      </c>
      <c r="J2363" s="28" t="s">
        <v>7133</v>
      </c>
      <c r="K2363" s="61">
        <v>110000449435</v>
      </c>
      <c r="L2363" s="61" t="str">
        <f>IFERROR(INDEX('Facility Summary'!$K:$K,MATCH(K2363,'Facility Summary'!$J:$J,0)),INDEX('Raw Annual DMR Data'!$M:$M,MATCH(K2363,'Raw Annual DMR Data'!$L:$L,0)))</f>
        <v>Unknown</v>
      </c>
      <c r="M2363" s="28"/>
      <c r="N2363" s="28"/>
      <c r="O2363" s="28"/>
      <c r="P2363" s="28"/>
      <c r="Q2363" s="28"/>
      <c r="R2363" s="28">
        <f t="shared" si="18"/>
        <v>6.3459896823220372E-4</v>
      </c>
      <c r="S2363" s="28">
        <v>2.8784924999999999E-4</v>
      </c>
    </row>
    <row r="2364" spans="1:19" x14ac:dyDescent="0.25">
      <c r="A2364" s="28">
        <v>2024</v>
      </c>
      <c r="B2364" s="28"/>
      <c r="C2364" s="28" t="s">
        <v>1363</v>
      </c>
      <c r="D2364" s="28" t="s">
        <v>2242</v>
      </c>
      <c r="E2364" s="28" t="s">
        <v>1364</v>
      </c>
      <c r="F2364" s="28" t="s">
        <v>303</v>
      </c>
      <c r="G2364" s="28">
        <v>70776</v>
      </c>
      <c r="H2364" s="28">
        <v>30.241299999999999</v>
      </c>
      <c r="I2364" s="28">
        <v>-91.100899999999996</v>
      </c>
      <c r="J2364" s="28" t="s">
        <v>735</v>
      </c>
      <c r="K2364" s="61">
        <v>110000597426</v>
      </c>
      <c r="L2364" s="61" t="str">
        <f>IFERROR(INDEX('Facility Summary'!$K:$K,MATCH(K2364,'Facility Summary'!$J:$J,0)),INDEX('Raw Annual DMR Data'!$M:$M,MATCH(K2364,'Raw Annual DMR Data'!$L:$L,0)))</f>
        <v>Unknown</v>
      </c>
      <c r="M2364" s="28"/>
      <c r="N2364" s="28"/>
      <c r="O2364" s="28"/>
      <c r="P2364" s="28"/>
      <c r="Q2364" s="28"/>
      <c r="R2364" s="28">
        <f t="shared" ref="R2364:R2427" si="19">CONVERT(S2364,"g","lbm")*1000</f>
        <v>3.6532801466656064</v>
      </c>
      <c r="S2364" s="28">
        <v>1.6571</v>
      </c>
    </row>
    <row r="2365" spans="1:19" x14ac:dyDescent="0.25">
      <c r="A2365" s="28">
        <v>2021</v>
      </c>
      <c r="B2365" s="28"/>
      <c r="C2365" s="28" t="s">
        <v>1363</v>
      </c>
      <c r="D2365" s="28" t="s">
        <v>2242</v>
      </c>
      <c r="E2365" s="28" t="s">
        <v>1364</v>
      </c>
      <c r="F2365" s="28" t="s">
        <v>303</v>
      </c>
      <c r="G2365" s="28">
        <v>70776</v>
      </c>
      <c r="H2365" s="28">
        <v>30.241299999999999</v>
      </c>
      <c r="I2365" s="28">
        <v>-91.100899999999996</v>
      </c>
      <c r="J2365" s="28" t="s">
        <v>735</v>
      </c>
      <c r="K2365" s="61">
        <v>110000597426</v>
      </c>
      <c r="L2365" s="61" t="str">
        <f>IFERROR(INDEX('Facility Summary'!$K:$K,MATCH(K2365,'Facility Summary'!$J:$J,0)),INDEX('Raw Annual DMR Data'!$M:$M,MATCH(K2365,'Raw Annual DMR Data'!$L:$L,0)))</f>
        <v>Unknown</v>
      </c>
      <c r="M2365" s="28"/>
      <c r="N2365" s="28"/>
      <c r="O2365" s="28"/>
      <c r="P2365" s="28"/>
      <c r="Q2365" s="28"/>
      <c r="R2365" s="28">
        <f t="shared" si="19"/>
        <v>1.8266400733328032</v>
      </c>
      <c r="S2365" s="28">
        <v>0.82855000000000001</v>
      </c>
    </row>
    <row r="2366" spans="1:19" x14ac:dyDescent="0.25">
      <c r="A2366" s="28">
        <v>2022</v>
      </c>
      <c r="B2366" s="28"/>
      <c r="C2366" s="28" t="s">
        <v>1363</v>
      </c>
      <c r="D2366" s="28" t="s">
        <v>2242</v>
      </c>
      <c r="E2366" s="28" t="s">
        <v>1364</v>
      </c>
      <c r="F2366" s="28" t="s">
        <v>303</v>
      </c>
      <c r="G2366" s="28">
        <v>70776</v>
      </c>
      <c r="H2366" s="28">
        <v>30.241299999999999</v>
      </c>
      <c r="I2366" s="28">
        <v>-91.100899999999996</v>
      </c>
      <c r="J2366" s="28" t="s">
        <v>735</v>
      </c>
      <c r="K2366" s="61">
        <v>110000597426</v>
      </c>
      <c r="L2366" s="61" t="str">
        <f>IFERROR(INDEX('Facility Summary'!$K:$K,MATCH(K2366,'Facility Summary'!$J:$J,0)),INDEX('Raw Annual DMR Data'!$M:$M,MATCH(K2366,'Raw Annual DMR Data'!$L:$L,0)))</f>
        <v>Unknown</v>
      </c>
      <c r="M2366" s="28"/>
      <c r="N2366" s="28"/>
      <c r="O2366" s="28"/>
      <c r="P2366" s="28"/>
      <c r="Q2366" s="28"/>
      <c r="R2366" s="28">
        <f t="shared" si="19"/>
        <v>0.54799202199984098</v>
      </c>
      <c r="S2366" s="28">
        <v>0.24856500000000001</v>
      </c>
    </row>
    <row r="2367" spans="1:19" x14ac:dyDescent="0.25">
      <c r="A2367" s="28">
        <v>2021</v>
      </c>
      <c r="B2367" s="28"/>
      <c r="C2367" s="28" t="s">
        <v>1367</v>
      </c>
      <c r="D2367" s="28" t="s">
        <v>2251</v>
      </c>
      <c r="E2367" s="28" t="s">
        <v>1364</v>
      </c>
      <c r="F2367" s="28" t="s">
        <v>303</v>
      </c>
      <c r="G2367" s="28">
        <v>70776</v>
      </c>
      <c r="H2367" s="28">
        <v>30.250833</v>
      </c>
      <c r="I2367" s="28">
        <v>-91.092277999999993</v>
      </c>
      <c r="J2367" s="28" t="s">
        <v>736</v>
      </c>
      <c r="K2367" s="61">
        <v>110056972432</v>
      </c>
      <c r="L2367" s="61" t="str">
        <f>IFERROR(INDEX('Facility Summary'!$K:$K,MATCH(K2367,'Facility Summary'!$J:$J,0)),INDEX('Raw Annual DMR Data'!$M:$M,MATCH(K2367,'Raw Annual DMR Data'!$L:$L,0)))</f>
        <v>Unknown</v>
      </c>
      <c r="M2367" s="28"/>
      <c r="N2367" s="28"/>
      <c r="O2367" s="28"/>
      <c r="P2367" s="28"/>
      <c r="Q2367" s="28"/>
      <c r="R2367" s="28">
        <f t="shared" si="19"/>
        <v>0.9133200366664016</v>
      </c>
      <c r="S2367" s="28">
        <v>0.414275</v>
      </c>
    </row>
    <row r="2368" spans="1:19" x14ac:dyDescent="0.25">
      <c r="A2368" s="28">
        <v>2022</v>
      </c>
      <c r="B2368" s="28"/>
      <c r="C2368" s="28" t="s">
        <v>1367</v>
      </c>
      <c r="D2368" s="28" t="s">
        <v>2251</v>
      </c>
      <c r="E2368" s="28" t="s">
        <v>1364</v>
      </c>
      <c r="F2368" s="28" t="s">
        <v>303</v>
      </c>
      <c r="G2368" s="28">
        <v>70776</v>
      </c>
      <c r="H2368" s="28">
        <v>30.250833</v>
      </c>
      <c r="I2368" s="28">
        <v>-91.092277999999993</v>
      </c>
      <c r="J2368" s="28" t="s">
        <v>736</v>
      </c>
      <c r="K2368" s="61">
        <v>110056972432</v>
      </c>
      <c r="L2368" s="61" t="str">
        <f>IFERROR(INDEX('Facility Summary'!$K:$K,MATCH(K2368,'Facility Summary'!$J:$J,0)),INDEX('Raw Annual DMR Data'!$M:$M,MATCH(K2368,'Raw Annual DMR Data'!$L:$L,0)))</f>
        <v>Unknown</v>
      </c>
      <c r="M2368" s="28"/>
      <c r="N2368" s="28"/>
      <c r="O2368" s="28"/>
      <c r="P2368" s="28"/>
      <c r="Q2368" s="28"/>
      <c r="R2368" s="28">
        <f t="shared" si="19"/>
        <v>0.9133200366664016</v>
      </c>
      <c r="S2368" s="28">
        <v>0.414275</v>
      </c>
    </row>
    <row r="2369" spans="1:19" x14ac:dyDescent="0.25">
      <c r="A2369" s="28">
        <v>2024</v>
      </c>
      <c r="B2369" s="28"/>
      <c r="C2369" s="28" t="s">
        <v>6893</v>
      </c>
      <c r="D2369" s="28" t="s">
        <v>7075</v>
      </c>
      <c r="E2369" s="28" t="s">
        <v>7050</v>
      </c>
      <c r="F2369" s="28" t="s">
        <v>303</v>
      </c>
      <c r="G2369" s="28">
        <v>70578</v>
      </c>
      <c r="H2369" s="28">
        <v>30.230833000000001</v>
      </c>
      <c r="I2369" s="28">
        <v>-92.306667000000004</v>
      </c>
      <c r="J2369" s="28" t="s">
        <v>7133</v>
      </c>
      <c r="K2369" s="61">
        <v>110000449435</v>
      </c>
      <c r="L2369" s="61" t="str">
        <f>IFERROR(INDEX('Facility Summary'!$K:$K,MATCH(K2369,'Facility Summary'!$J:$J,0)),INDEX('Raw Annual DMR Data'!$M:$M,MATCH(K2369,'Raw Annual DMR Data'!$L:$L,0)))</f>
        <v>Unknown</v>
      </c>
      <c r="M2369" s="28"/>
      <c r="N2369" s="28"/>
      <c r="O2369" s="28"/>
      <c r="P2369" s="28"/>
      <c r="Q2369" s="28"/>
      <c r="R2369" s="28">
        <f t="shared" si="19"/>
        <v>1.6217529188156316E-4</v>
      </c>
      <c r="S2369" s="28">
        <v>7.3561474999999995E-5</v>
      </c>
    </row>
    <row r="2370" spans="1:19" x14ac:dyDescent="0.25">
      <c r="A2370" s="28">
        <v>2024</v>
      </c>
      <c r="B2370" s="28"/>
      <c r="C2370" s="28" t="s">
        <v>6893</v>
      </c>
      <c r="D2370" s="28" t="s">
        <v>7075</v>
      </c>
      <c r="E2370" s="28" t="s">
        <v>7050</v>
      </c>
      <c r="F2370" s="28" t="s">
        <v>303</v>
      </c>
      <c r="G2370" s="28">
        <v>70578</v>
      </c>
      <c r="H2370" s="28">
        <v>30.230833000000001</v>
      </c>
      <c r="I2370" s="28">
        <v>-92.306667000000004</v>
      </c>
      <c r="J2370" s="28" t="s">
        <v>7133</v>
      </c>
      <c r="K2370" s="61">
        <v>110000449435</v>
      </c>
      <c r="L2370" s="61" t="str">
        <f>IFERROR(INDEX('Facility Summary'!$K:$K,MATCH(K2370,'Facility Summary'!$J:$J,0)),INDEX('Raw Annual DMR Data'!$M:$M,MATCH(K2370,'Raw Annual DMR Data'!$L:$L,0)))</f>
        <v>Unknown</v>
      </c>
      <c r="M2370" s="28"/>
      <c r="N2370" s="28"/>
      <c r="O2370" s="28"/>
      <c r="P2370" s="28"/>
      <c r="Q2370" s="28"/>
      <c r="R2370" s="28">
        <f t="shared" si="19"/>
        <v>1.6217529188156316E-4</v>
      </c>
      <c r="S2370" s="28">
        <v>7.3561474999999995E-5</v>
      </c>
    </row>
    <row r="2371" spans="1:19" x14ac:dyDescent="0.25">
      <c r="A2371" s="28">
        <v>2023</v>
      </c>
      <c r="B2371" s="28"/>
      <c r="C2371" s="28" t="s">
        <v>6893</v>
      </c>
      <c r="D2371" s="28" t="s">
        <v>7075</v>
      </c>
      <c r="E2371" s="28" t="s">
        <v>7050</v>
      </c>
      <c r="F2371" s="28" t="s">
        <v>303</v>
      </c>
      <c r="G2371" s="28">
        <v>70578</v>
      </c>
      <c r="H2371" s="28">
        <v>30.230833000000001</v>
      </c>
      <c r="I2371" s="28">
        <v>-92.306667000000004</v>
      </c>
      <c r="J2371" s="28" t="s">
        <v>7133</v>
      </c>
      <c r="K2371" s="61">
        <v>110000449435</v>
      </c>
      <c r="L2371" s="61" t="str">
        <f>IFERROR(INDEX('Facility Summary'!$K:$K,MATCH(K2371,'Facility Summary'!$J:$J,0)),INDEX('Raw Annual DMR Data'!$M:$M,MATCH(K2371,'Raw Annual DMR Data'!$L:$L,0)))</f>
        <v>Unknown</v>
      </c>
      <c r="M2371" s="28"/>
      <c r="N2371" s="28"/>
      <c r="O2371" s="28"/>
      <c r="P2371" s="28"/>
      <c r="Q2371" s="28"/>
      <c r="R2371" s="28">
        <f t="shared" si="19"/>
        <v>1.2691979364644074E-4</v>
      </c>
      <c r="S2371" s="28">
        <v>5.7569850000000002E-5</v>
      </c>
    </row>
    <row r="2372" spans="1:19" x14ac:dyDescent="0.25">
      <c r="A2372" s="28">
        <v>2023</v>
      </c>
      <c r="B2372" s="28"/>
      <c r="C2372" s="28" t="s">
        <v>6893</v>
      </c>
      <c r="D2372" s="28" t="s">
        <v>7075</v>
      </c>
      <c r="E2372" s="28" t="s">
        <v>7050</v>
      </c>
      <c r="F2372" s="28" t="s">
        <v>303</v>
      </c>
      <c r="G2372" s="28">
        <v>70578</v>
      </c>
      <c r="H2372" s="28">
        <v>30.230833000000001</v>
      </c>
      <c r="I2372" s="28">
        <v>-92.306667000000004</v>
      </c>
      <c r="J2372" s="28" t="s">
        <v>7133</v>
      </c>
      <c r="K2372" s="61">
        <v>110000449435</v>
      </c>
      <c r="L2372" s="61" t="str">
        <f>IFERROR(INDEX('Facility Summary'!$K:$K,MATCH(K2372,'Facility Summary'!$J:$J,0)),INDEX('Raw Annual DMR Data'!$M:$M,MATCH(K2372,'Raw Annual DMR Data'!$L:$L,0)))</f>
        <v>Unknown</v>
      </c>
      <c r="M2372" s="28"/>
      <c r="N2372" s="28"/>
      <c r="O2372" s="28"/>
      <c r="P2372" s="28"/>
      <c r="Q2372" s="28"/>
      <c r="R2372" s="28">
        <f t="shared" si="19"/>
        <v>6.3459896823220372E-5</v>
      </c>
      <c r="S2372" s="28">
        <v>2.8784925000000001E-5</v>
      </c>
    </row>
    <row r="2373" spans="1:19" x14ac:dyDescent="0.25">
      <c r="A2373" s="28">
        <v>2023</v>
      </c>
      <c r="B2373" s="28"/>
      <c r="C2373" s="28" t="s">
        <v>6895</v>
      </c>
      <c r="D2373" s="28" t="s">
        <v>7077</v>
      </c>
      <c r="E2373" s="28" t="s">
        <v>7078</v>
      </c>
      <c r="F2373" s="28" t="s">
        <v>294</v>
      </c>
      <c r="G2373" s="28">
        <v>23601</v>
      </c>
      <c r="H2373" s="28">
        <v>37.094301999999999</v>
      </c>
      <c r="I2373" s="28">
        <v>-76.458343999999997</v>
      </c>
      <c r="J2373" s="28"/>
      <c r="K2373" s="61">
        <v>110071437899</v>
      </c>
      <c r="L2373" s="61" t="str">
        <f>IFERROR(INDEX('Facility Summary'!$K:$K,MATCH(K2373,'Facility Summary'!$J:$J,0)),INDEX('Raw Annual DMR Data'!$M:$M,MATCH(K2373,'Raw Annual DMR Data'!$L:$L,0)))</f>
        <v>Unknown</v>
      </c>
      <c r="M2373" s="28"/>
      <c r="N2373" s="28"/>
      <c r="O2373" s="28"/>
      <c r="P2373" s="28"/>
      <c r="Q2373" s="28"/>
      <c r="R2373" s="28">
        <f t="shared" si="19"/>
        <v>8.5614535359137547E-4</v>
      </c>
      <c r="S2373" s="28">
        <v>3.88341E-4</v>
      </c>
    </row>
    <row r="2374" spans="1:19" x14ac:dyDescent="0.25">
      <c r="A2374" s="28">
        <v>2023</v>
      </c>
      <c r="B2374" s="28"/>
      <c r="C2374" s="28" t="s">
        <v>6909</v>
      </c>
      <c r="D2374" s="28" t="s">
        <v>7110</v>
      </c>
      <c r="E2374" s="28" t="s">
        <v>968</v>
      </c>
      <c r="F2374" s="28" t="s">
        <v>294</v>
      </c>
      <c r="G2374" s="28">
        <v>223021508</v>
      </c>
      <c r="H2374" s="28">
        <v>38.837760000000003</v>
      </c>
      <c r="I2374" s="28">
        <v>-77.103750000000005</v>
      </c>
      <c r="J2374" s="28"/>
      <c r="K2374" s="61">
        <v>110070545278</v>
      </c>
      <c r="L2374" s="61" t="str">
        <f>IFERROR(INDEX('Facility Summary'!$K:$K,MATCH(K2374,'Facility Summary'!$J:$J,0)),INDEX('Raw Annual DMR Data'!$M:$M,MATCH(K2374,'Raw Annual DMR Data'!$L:$L,0)))</f>
        <v>Unknown</v>
      </c>
      <c r="M2374" s="28"/>
      <c r="N2374" s="28"/>
      <c r="O2374" s="28"/>
      <c r="P2374" s="28"/>
      <c r="Q2374" s="28"/>
      <c r="R2374" s="28">
        <f t="shared" si="19"/>
        <v>8.2062561296316781E-4</v>
      </c>
      <c r="S2374" s="28">
        <v>3.7222951666666601E-4</v>
      </c>
    </row>
    <row r="2375" spans="1:19" x14ac:dyDescent="0.25">
      <c r="A2375" s="28">
        <v>2024</v>
      </c>
      <c r="B2375" s="28"/>
      <c r="C2375" s="28" t="s">
        <v>6909</v>
      </c>
      <c r="D2375" s="28" t="s">
        <v>7110</v>
      </c>
      <c r="E2375" s="28" t="s">
        <v>968</v>
      </c>
      <c r="F2375" s="28" t="s">
        <v>294</v>
      </c>
      <c r="G2375" s="28">
        <v>223021508</v>
      </c>
      <c r="H2375" s="28">
        <v>38.837760000000003</v>
      </c>
      <c r="I2375" s="28">
        <v>-77.103750000000005</v>
      </c>
      <c r="J2375" s="28"/>
      <c r="K2375" s="61">
        <v>110070545278</v>
      </c>
      <c r="L2375" s="61" t="str">
        <f>IFERROR(INDEX('Facility Summary'!$K:$K,MATCH(K2375,'Facility Summary'!$J:$J,0)),INDEX('Raw Annual DMR Data'!$M:$M,MATCH(K2375,'Raw Annual DMR Data'!$L:$L,0)))</f>
        <v>Unknown</v>
      </c>
      <c r="M2375" s="28"/>
      <c r="N2375" s="28"/>
      <c r="O2375" s="28"/>
      <c r="P2375" s="28"/>
      <c r="Q2375" s="28"/>
      <c r="R2375" s="28">
        <f t="shared" si="19"/>
        <v>4.9547952052191708E-4</v>
      </c>
      <c r="S2375" s="28">
        <v>2.2474573E-4</v>
      </c>
    </row>
    <row r="2376" spans="1:19" x14ac:dyDescent="0.25">
      <c r="A2376" s="28">
        <v>2024</v>
      </c>
      <c r="B2376" s="28"/>
      <c r="C2376" s="28" t="s">
        <v>6911</v>
      </c>
      <c r="D2376" s="28" t="s">
        <v>7113</v>
      </c>
      <c r="E2376" s="28" t="s">
        <v>657</v>
      </c>
      <c r="F2376" s="28" t="s">
        <v>418</v>
      </c>
      <c r="G2376" s="28">
        <v>89115</v>
      </c>
      <c r="H2376" s="28">
        <v>36.217517000000001</v>
      </c>
      <c r="I2376" s="28">
        <v>-115.094336</v>
      </c>
      <c r="J2376" s="28"/>
      <c r="K2376" s="61">
        <v>110071662000</v>
      </c>
      <c r="L2376" s="61" t="str">
        <f>IFERROR(INDEX('Facility Summary'!$K:$K,MATCH(K2376,'Facility Summary'!$J:$J,0)),INDEX('Raw Annual DMR Data'!$M:$M,MATCH(K2376,'Raw Annual DMR Data'!$L:$L,0)))</f>
        <v>Unknown</v>
      </c>
      <c r="M2376" s="28"/>
      <c r="N2376" s="28"/>
      <c r="O2376" s="28"/>
      <c r="P2376" s="28"/>
      <c r="Q2376" s="28"/>
      <c r="R2376" s="28">
        <f t="shared" si="19"/>
        <v>0.27212676621648418</v>
      </c>
      <c r="S2376" s="28">
        <v>0.123434624828571</v>
      </c>
    </row>
    <row r="2377" spans="1:19" x14ac:dyDescent="0.25">
      <c r="A2377" s="28">
        <v>2024</v>
      </c>
      <c r="B2377" s="28"/>
      <c r="C2377" s="28" t="s">
        <v>6903</v>
      </c>
      <c r="D2377" s="28" t="s">
        <v>7097</v>
      </c>
      <c r="E2377" s="28" t="s">
        <v>1316</v>
      </c>
      <c r="F2377" s="28" t="s">
        <v>294</v>
      </c>
      <c r="G2377" s="28">
        <v>22801</v>
      </c>
      <c r="H2377" s="28">
        <v>38.428930000000001</v>
      </c>
      <c r="I2377" s="28">
        <v>-78.856080000000006</v>
      </c>
      <c r="J2377" s="28"/>
      <c r="K2377" s="61">
        <v>110022316411</v>
      </c>
      <c r="L2377" s="61" t="str">
        <f>IFERROR(INDEX('Facility Summary'!$K:$K,MATCH(K2377,'Facility Summary'!$J:$J,0)),INDEX('Raw Annual DMR Data'!$M:$M,MATCH(K2377,'Raw Annual DMR Data'!$L:$L,0)))</f>
        <v>Unknown</v>
      </c>
      <c r="M2377" s="28"/>
      <c r="N2377" s="28"/>
      <c r="O2377" s="28"/>
      <c r="P2377" s="28"/>
      <c r="Q2377" s="28"/>
      <c r="R2377" s="28">
        <f t="shared" si="19"/>
        <v>6.1570369007750286E-3</v>
      </c>
      <c r="S2377" s="28">
        <v>2.79278496E-3</v>
      </c>
    </row>
    <row r="2378" spans="1:19" x14ac:dyDescent="0.25">
      <c r="A2378" s="28">
        <v>2021</v>
      </c>
      <c r="B2378" s="28"/>
      <c r="C2378" s="28" t="s">
        <v>6781</v>
      </c>
      <c r="D2378" s="28" t="s">
        <v>6926</v>
      </c>
      <c r="E2378" s="28" t="s">
        <v>1228</v>
      </c>
      <c r="F2378" s="28" t="s">
        <v>1128</v>
      </c>
      <c r="G2378" s="28">
        <v>80202</v>
      </c>
      <c r="H2378" s="28">
        <v>39.753999999999998</v>
      </c>
      <c r="I2378" s="28">
        <v>-104.999</v>
      </c>
      <c r="J2378" s="28"/>
      <c r="K2378" s="61">
        <v>110056127007</v>
      </c>
      <c r="L2378" s="61" t="str">
        <f>IFERROR(INDEX('Facility Summary'!$K:$K,MATCH(K2378,'Facility Summary'!$J:$J,0)),INDEX('Raw Annual DMR Data'!$M:$M,MATCH(K2378,'Raw Annual DMR Data'!$L:$L,0)))</f>
        <v>Unknown</v>
      </c>
      <c r="M2378" s="28"/>
      <c r="N2378" s="28"/>
      <c r="O2378" s="28"/>
      <c r="P2378" s="28"/>
      <c r="Q2378" s="28"/>
      <c r="R2378" s="28">
        <f t="shared" si="19"/>
        <v>0.35142680640770035</v>
      </c>
      <c r="S2378" s="28">
        <v>0.159404518</v>
      </c>
    </row>
    <row r="2379" spans="1:19" x14ac:dyDescent="0.25">
      <c r="A2379" s="28">
        <v>2021</v>
      </c>
      <c r="B2379" s="28"/>
      <c r="C2379" s="28" t="s">
        <v>6878</v>
      </c>
      <c r="D2379" s="28" t="s">
        <v>7053</v>
      </c>
      <c r="E2379" s="28" t="s">
        <v>1228</v>
      </c>
      <c r="F2379" s="28" t="s">
        <v>1128</v>
      </c>
      <c r="G2379" s="28">
        <v>80206</v>
      </c>
      <c r="H2379" s="28">
        <v>39.744531000000002</v>
      </c>
      <c r="I2379" s="28">
        <v>-104.95984</v>
      </c>
      <c r="J2379" s="28"/>
      <c r="K2379" s="61">
        <v>110070097711</v>
      </c>
      <c r="L2379" s="61" t="str">
        <f>IFERROR(INDEX('Facility Summary'!$K:$K,MATCH(K2379,'Facility Summary'!$J:$J,0)),INDEX('Raw Annual DMR Data'!$M:$M,MATCH(K2379,'Raw Annual DMR Data'!$L:$L,0)))</f>
        <v>Unknown</v>
      </c>
      <c r="M2379" s="28"/>
      <c r="N2379" s="28"/>
      <c r="O2379" s="28"/>
      <c r="P2379" s="28"/>
      <c r="Q2379" s="28"/>
      <c r="R2379" s="28">
        <f t="shared" si="19"/>
        <v>7.226334076122136E-4</v>
      </c>
      <c r="S2379" s="28">
        <v>3.2778100000000003E-4</v>
      </c>
    </row>
    <row r="2380" spans="1:19" x14ac:dyDescent="0.25">
      <c r="A2380" s="28">
        <v>2024</v>
      </c>
      <c r="B2380" s="28"/>
      <c r="C2380" s="28" t="s">
        <v>6878</v>
      </c>
      <c r="D2380" s="28" t="s">
        <v>7053</v>
      </c>
      <c r="E2380" s="28" t="s">
        <v>1228</v>
      </c>
      <c r="F2380" s="28" t="s">
        <v>1128</v>
      </c>
      <c r="G2380" s="28">
        <v>80206</v>
      </c>
      <c r="H2380" s="28">
        <v>39.744531000000002</v>
      </c>
      <c r="I2380" s="28">
        <v>-104.95984</v>
      </c>
      <c r="J2380" s="28"/>
      <c r="K2380" s="61">
        <v>110070097711</v>
      </c>
      <c r="L2380" s="61" t="str">
        <f>IFERROR(INDEX('Facility Summary'!$K:$K,MATCH(K2380,'Facility Summary'!$J:$J,0)),INDEX('Raw Annual DMR Data'!$M:$M,MATCH(K2380,'Raw Annual DMR Data'!$L:$L,0)))</f>
        <v>Unknown</v>
      </c>
      <c r="M2380" s="28"/>
      <c r="N2380" s="28"/>
      <c r="O2380" s="28"/>
      <c r="P2380" s="28"/>
      <c r="Q2380" s="28"/>
      <c r="R2380" s="28">
        <f t="shared" si="19"/>
        <v>2.3030810681405422E-4</v>
      </c>
      <c r="S2380" s="28">
        <v>1.04466E-4</v>
      </c>
    </row>
    <row r="2381" spans="1:19" x14ac:dyDescent="0.25">
      <c r="A2381" s="28">
        <v>2023</v>
      </c>
      <c r="B2381" s="28"/>
      <c r="C2381" s="28" t="s">
        <v>6851</v>
      </c>
      <c r="D2381" s="28" t="s">
        <v>7007</v>
      </c>
      <c r="E2381" s="28" t="s">
        <v>457</v>
      </c>
      <c r="F2381" s="28" t="s">
        <v>366</v>
      </c>
      <c r="G2381" s="28" t="s">
        <v>7008</v>
      </c>
      <c r="H2381" s="28">
        <v>32.781489999999998</v>
      </c>
      <c r="I2381" s="28">
        <v>-115.5035</v>
      </c>
      <c r="J2381" s="28"/>
      <c r="K2381" s="61">
        <v>110012876557</v>
      </c>
      <c r="L2381" s="61" t="str">
        <f>IFERROR(INDEX('Facility Summary'!$K:$K,MATCH(K2381,'Facility Summary'!$J:$J,0)),INDEX('Raw Annual DMR Data'!$M:$M,MATCH(K2381,'Raw Annual DMR Data'!$L:$L,0)))</f>
        <v>Unknown</v>
      </c>
      <c r="M2381" s="28"/>
      <c r="N2381" s="28"/>
      <c r="O2381" s="28"/>
      <c r="P2381" s="28"/>
      <c r="Q2381" s="28"/>
      <c r="R2381" s="28">
        <f t="shared" si="19"/>
        <v>1.7513012288985372E-2</v>
      </c>
      <c r="S2381" s="28">
        <v>7.94376875E-3</v>
      </c>
    </row>
    <row r="2382" spans="1:19" x14ac:dyDescent="0.25">
      <c r="A2382" s="28">
        <v>2024</v>
      </c>
      <c r="B2382" s="28"/>
      <c r="C2382" s="28" t="s">
        <v>6851</v>
      </c>
      <c r="D2382" s="28" t="s">
        <v>7007</v>
      </c>
      <c r="E2382" s="28" t="s">
        <v>457</v>
      </c>
      <c r="F2382" s="28" t="s">
        <v>366</v>
      </c>
      <c r="G2382" s="28" t="s">
        <v>7008</v>
      </c>
      <c r="H2382" s="28">
        <v>32.781489999999998</v>
      </c>
      <c r="I2382" s="28">
        <v>-115.5035</v>
      </c>
      <c r="J2382" s="28"/>
      <c r="K2382" s="61">
        <v>110012876557</v>
      </c>
      <c r="L2382" s="61" t="str">
        <f>IFERROR(INDEX('Facility Summary'!$K:$K,MATCH(K2382,'Facility Summary'!$J:$J,0)),INDEX('Raw Annual DMR Data'!$M:$M,MATCH(K2382,'Raw Annual DMR Data'!$L:$L,0)))</f>
        <v>Unknown</v>
      </c>
      <c r="M2382" s="28"/>
      <c r="N2382" s="28"/>
      <c r="O2382" s="28"/>
      <c r="P2382" s="28"/>
      <c r="Q2382" s="28"/>
      <c r="R2382" s="28">
        <f t="shared" si="19"/>
        <v>1.7513012288985372E-2</v>
      </c>
      <c r="S2382" s="28">
        <v>7.94376875E-3</v>
      </c>
    </row>
    <row r="2383" spans="1:19" x14ac:dyDescent="0.25">
      <c r="A2383" s="28">
        <v>2021</v>
      </c>
      <c r="B2383" s="28"/>
      <c r="C2383" s="28" t="s">
        <v>1369</v>
      </c>
      <c r="D2383" s="28" t="s">
        <v>2256</v>
      </c>
      <c r="E2383" s="28" t="s">
        <v>1370</v>
      </c>
      <c r="F2383" s="28" t="s">
        <v>308</v>
      </c>
      <c r="G2383" s="28">
        <v>2048</v>
      </c>
      <c r="H2383" s="28">
        <v>42.020510000000002</v>
      </c>
      <c r="I2383" s="28">
        <v>-71.267250000000004</v>
      </c>
      <c r="J2383" s="28"/>
      <c r="K2383" s="61">
        <v>110070602569</v>
      </c>
      <c r="L2383" s="61" t="str">
        <f>IFERROR(INDEX('Facility Summary'!$K:$K,MATCH(K2383,'Facility Summary'!$J:$J,0)),INDEX('Raw Annual DMR Data'!$M:$M,MATCH(K2383,'Raw Annual DMR Data'!$L:$L,0)))</f>
        <v>Unknown</v>
      </c>
      <c r="M2383" s="28"/>
      <c r="N2383" s="28"/>
      <c r="O2383" s="28"/>
      <c r="P2383" s="28"/>
      <c r="Q2383" s="28"/>
      <c r="R2383" s="28">
        <f t="shared" si="19"/>
        <v>2.6182109831344825E-2</v>
      </c>
      <c r="S2383" s="28">
        <v>1.187600525E-2</v>
      </c>
    </row>
    <row r="2384" spans="1:19" x14ac:dyDescent="0.25">
      <c r="A2384" s="28">
        <v>2022</v>
      </c>
      <c r="B2384" s="28"/>
      <c r="C2384" s="28" t="s">
        <v>1369</v>
      </c>
      <c r="D2384" s="28" t="s">
        <v>2256</v>
      </c>
      <c r="E2384" s="28" t="s">
        <v>1370</v>
      </c>
      <c r="F2384" s="28" t="s">
        <v>308</v>
      </c>
      <c r="G2384" s="28">
        <v>2048</v>
      </c>
      <c r="H2384" s="28">
        <v>42.020510000000002</v>
      </c>
      <c r="I2384" s="28">
        <v>-71.267250000000004</v>
      </c>
      <c r="J2384" s="28"/>
      <c r="K2384" s="61">
        <v>110070602569</v>
      </c>
      <c r="L2384" s="61" t="str">
        <f>IFERROR(INDEX('Facility Summary'!$K:$K,MATCH(K2384,'Facility Summary'!$J:$J,0)),INDEX('Raw Annual DMR Data'!$M:$M,MATCH(K2384,'Raw Annual DMR Data'!$L:$L,0)))</f>
        <v>Unknown</v>
      </c>
      <c r="M2384" s="28"/>
      <c r="N2384" s="28"/>
      <c r="O2384" s="28"/>
      <c r="P2384" s="28"/>
      <c r="Q2384" s="28"/>
      <c r="R2384" s="28">
        <f t="shared" si="19"/>
        <v>2.7301106828582673E-3</v>
      </c>
      <c r="S2384" s="28">
        <v>1.2383573750000001E-3</v>
      </c>
    </row>
    <row r="2385" spans="1:19" x14ac:dyDescent="0.25">
      <c r="A2385" s="28">
        <v>2023</v>
      </c>
      <c r="B2385" s="28"/>
      <c r="C2385" s="28" t="s">
        <v>1369</v>
      </c>
      <c r="D2385" s="28" t="s">
        <v>2256</v>
      </c>
      <c r="E2385" s="28" t="s">
        <v>1370</v>
      </c>
      <c r="F2385" s="28" t="s">
        <v>308</v>
      </c>
      <c r="G2385" s="28" t="s">
        <v>7095</v>
      </c>
      <c r="H2385" s="28">
        <v>42.020510000000002</v>
      </c>
      <c r="I2385" s="28">
        <v>-71.267250000000004</v>
      </c>
      <c r="J2385" s="28"/>
      <c r="K2385" s="61">
        <v>110070602569</v>
      </c>
      <c r="L2385" s="61" t="str">
        <f>IFERROR(INDEX('Facility Summary'!$K:$K,MATCH(K2385,'Facility Summary'!$J:$J,0)),INDEX('Raw Annual DMR Data'!$M:$M,MATCH(K2385,'Raw Annual DMR Data'!$L:$L,0)))</f>
        <v>Unknown</v>
      </c>
      <c r="M2385" s="28"/>
      <c r="N2385" s="28"/>
      <c r="O2385" s="28"/>
      <c r="P2385" s="28"/>
      <c r="Q2385" s="28"/>
      <c r="R2385" s="28">
        <f t="shared" si="19"/>
        <v>1.4490322693258709E-3</v>
      </c>
      <c r="S2385" s="28">
        <v>6.5726998125000002E-4</v>
      </c>
    </row>
    <row r="2386" spans="1:19" x14ac:dyDescent="0.25">
      <c r="A2386" s="28">
        <v>2024</v>
      </c>
      <c r="B2386" s="28"/>
      <c r="C2386" s="28" t="s">
        <v>6855</v>
      </c>
      <c r="D2386" s="28" t="s">
        <v>7014</v>
      </c>
      <c r="E2386" s="28" t="s">
        <v>7015</v>
      </c>
      <c r="F2386" s="28" t="s">
        <v>491</v>
      </c>
      <c r="G2386" s="28">
        <v>15317</v>
      </c>
      <c r="H2386" s="28">
        <v>40.269072000000001</v>
      </c>
      <c r="I2386" s="28">
        <v>-80.170649999999995</v>
      </c>
      <c r="J2386" s="28"/>
      <c r="K2386" s="61">
        <v>110000329886</v>
      </c>
      <c r="L2386" s="61" t="str">
        <f>IFERROR(INDEX('Facility Summary'!$K:$K,MATCH(K2386,'Facility Summary'!$J:$J,0)),INDEX('Raw Annual DMR Data'!$M:$M,MATCH(K2386,'Raw Annual DMR Data'!$L:$L,0)))</f>
        <v>Unknown</v>
      </c>
      <c r="M2386" s="28"/>
      <c r="N2386" s="28"/>
      <c r="O2386" s="28"/>
      <c r="P2386" s="28"/>
      <c r="Q2386" s="28"/>
      <c r="R2386" s="28">
        <f t="shared" si="19"/>
        <v>2.3395348360908275E-2</v>
      </c>
      <c r="S2386" s="28">
        <v>1.061195151E-2</v>
      </c>
    </row>
    <row r="2387" spans="1:19" x14ac:dyDescent="0.25">
      <c r="A2387" s="28">
        <v>2024</v>
      </c>
      <c r="B2387" s="28"/>
      <c r="C2387" s="28" t="s">
        <v>1373</v>
      </c>
      <c r="D2387" s="28" t="s">
        <v>2262</v>
      </c>
      <c r="E2387" s="28" t="s">
        <v>657</v>
      </c>
      <c r="F2387" s="28" t="s">
        <v>418</v>
      </c>
      <c r="G2387" s="28">
        <v>89103</v>
      </c>
      <c r="H2387" s="28">
        <v>36.108890000000002</v>
      </c>
      <c r="I2387" s="28">
        <v>-115.18118</v>
      </c>
      <c r="J2387" s="28"/>
      <c r="K2387" s="61">
        <v>110059861065</v>
      </c>
      <c r="L2387" s="61" t="str">
        <f>IFERROR(INDEX('Facility Summary'!$K:$K,MATCH(K2387,'Facility Summary'!$J:$J,0)),INDEX('Raw Annual DMR Data'!$M:$M,MATCH(K2387,'Raw Annual DMR Data'!$L:$L,0)))</f>
        <v>Unknown</v>
      </c>
      <c r="M2387" s="28"/>
      <c r="N2387" s="28"/>
      <c r="O2387" s="28"/>
      <c r="P2387" s="28"/>
      <c r="Q2387" s="28"/>
      <c r="R2387" s="28">
        <f t="shared" si="19"/>
        <v>2.3071490102445948E-3</v>
      </c>
      <c r="S2387" s="28">
        <v>1.0465051875E-3</v>
      </c>
    </row>
    <row r="2388" spans="1:19" x14ac:dyDescent="0.25">
      <c r="A2388" s="28">
        <v>2021</v>
      </c>
      <c r="B2388" s="28"/>
      <c r="C2388" s="28" t="s">
        <v>1373</v>
      </c>
      <c r="D2388" s="28" t="s">
        <v>2262</v>
      </c>
      <c r="E2388" s="28" t="s">
        <v>657</v>
      </c>
      <c r="F2388" s="28" t="s">
        <v>418</v>
      </c>
      <c r="G2388" s="28">
        <v>89103</v>
      </c>
      <c r="H2388" s="28">
        <v>36.108890000000002</v>
      </c>
      <c r="I2388" s="28">
        <v>-115.18118</v>
      </c>
      <c r="J2388" s="28"/>
      <c r="K2388" s="61">
        <v>110059861065</v>
      </c>
      <c r="L2388" s="61" t="str">
        <f>IFERROR(INDEX('Facility Summary'!$K:$K,MATCH(K2388,'Facility Summary'!$J:$J,0)),INDEX('Raw Annual DMR Data'!$M:$M,MATCH(K2388,'Raw Annual DMR Data'!$L:$L,0)))</f>
        <v>Unknown</v>
      </c>
      <c r="M2388" s="28"/>
      <c r="N2388" s="28"/>
      <c r="O2388" s="28"/>
      <c r="P2388" s="28"/>
      <c r="Q2388" s="28"/>
      <c r="R2388" s="28">
        <f t="shared" si="19"/>
        <v>1.5152562806556909E-3</v>
      </c>
      <c r="S2388" s="28">
        <v>6.8730868750000004E-4</v>
      </c>
    </row>
    <row r="2389" spans="1:19" x14ac:dyDescent="0.25">
      <c r="A2389" s="28">
        <v>2022</v>
      </c>
      <c r="B2389" s="28"/>
      <c r="C2389" s="28" t="s">
        <v>1373</v>
      </c>
      <c r="D2389" s="28" t="s">
        <v>2262</v>
      </c>
      <c r="E2389" s="28" t="s">
        <v>657</v>
      </c>
      <c r="F2389" s="28" t="s">
        <v>418</v>
      </c>
      <c r="G2389" s="28">
        <v>89103</v>
      </c>
      <c r="H2389" s="28">
        <v>36.108890000000002</v>
      </c>
      <c r="I2389" s="28">
        <v>-115.18118</v>
      </c>
      <c r="J2389" s="28"/>
      <c r="K2389" s="61">
        <v>110059861065</v>
      </c>
      <c r="L2389" s="61" t="str">
        <f>IFERROR(INDEX('Facility Summary'!$K:$K,MATCH(K2389,'Facility Summary'!$J:$J,0)),INDEX('Raw Annual DMR Data'!$M:$M,MATCH(K2389,'Raw Annual DMR Data'!$L:$L,0)))</f>
        <v>Unknown</v>
      </c>
      <c r="M2389" s="28"/>
      <c r="N2389" s="28"/>
      <c r="O2389" s="28"/>
      <c r="P2389" s="28"/>
      <c r="Q2389" s="28"/>
      <c r="R2389" s="28">
        <f t="shared" si="19"/>
        <v>1.513733410021866E-3</v>
      </c>
      <c r="S2389" s="28">
        <v>6.8661792500000003E-4</v>
      </c>
    </row>
    <row r="2390" spans="1:19" x14ac:dyDescent="0.25">
      <c r="A2390" s="28">
        <v>2024</v>
      </c>
      <c r="B2390" s="28"/>
      <c r="C2390" s="28" t="s">
        <v>1373</v>
      </c>
      <c r="D2390" s="28" t="s">
        <v>2262</v>
      </c>
      <c r="E2390" s="28" t="s">
        <v>657</v>
      </c>
      <c r="F2390" s="28" t="s">
        <v>418</v>
      </c>
      <c r="G2390" s="28">
        <v>89103</v>
      </c>
      <c r="H2390" s="28">
        <v>36.108890000000002</v>
      </c>
      <c r="I2390" s="28">
        <v>-115.18118</v>
      </c>
      <c r="J2390" s="28"/>
      <c r="K2390" s="61">
        <v>110059861065</v>
      </c>
      <c r="L2390" s="61" t="str">
        <f>IFERROR(INDEX('Facility Summary'!$K:$K,MATCH(K2390,'Facility Summary'!$J:$J,0)),INDEX('Raw Annual DMR Data'!$M:$M,MATCH(K2390,'Raw Annual DMR Data'!$L:$L,0)))</f>
        <v>Unknown</v>
      </c>
      <c r="M2390" s="28"/>
      <c r="N2390" s="28"/>
      <c r="O2390" s="28"/>
      <c r="P2390" s="28"/>
      <c r="Q2390" s="28"/>
      <c r="R2390" s="28">
        <f t="shared" si="19"/>
        <v>9.274282159993124E-4</v>
      </c>
      <c r="S2390" s="28">
        <v>4.2067436250000002E-4</v>
      </c>
    </row>
    <row r="2391" spans="1:19" x14ac:dyDescent="0.25">
      <c r="A2391" s="28">
        <v>2023</v>
      </c>
      <c r="B2391" s="28"/>
      <c r="C2391" s="28" t="s">
        <v>1373</v>
      </c>
      <c r="D2391" s="28" t="s">
        <v>2262</v>
      </c>
      <c r="E2391" s="28" t="s">
        <v>657</v>
      </c>
      <c r="F2391" s="28" t="s">
        <v>418</v>
      </c>
      <c r="G2391" s="28">
        <v>89103</v>
      </c>
      <c r="H2391" s="28">
        <v>36.108890000000002</v>
      </c>
      <c r="I2391" s="28">
        <v>-115.18118</v>
      </c>
      <c r="J2391" s="28"/>
      <c r="K2391" s="61">
        <v>110059861065</v>
      </c>
      <c r="L2391" s="61" t="str">
        <f>IFERROR(INDEX('Facility Summary'!$K:$K,MATCH(K2391,'Facility Summary'!$J:$J,0)),INDEX('Raw Annual DMR Data'!$M:$M,MATCH(K2391,'Raw Annual DMR Data'!$L:$L,0)))</f>
        <v>Unknown</v>
      </c>
      <c r="M2391" s="28"/>
      <c r="N2391" s="28"/>
      <c r="O2391" s="28"/>
      <c r="P2391" s="28"/>
      <c r="Q2391" s="28"/>
      <c r="R2391" s="28">
        <f t="shared" si="19"/>
        <v>7.9798421212420303E-4</v>
      </c>
      <c r="S2391" s="28">
        <v>3.6195954999999999E-4</v>
      </c>
    </row>
    <row r="2392" spans="1:19" x14ac:dyDescent="0.25">
      <c r="A2392" s="28">
        <v>2022</v>
      </c>
      <c r="B2392" s="28"/>
      <c r="C2392" s="28" t="s">
        <v>1373</v>
      </c>
      <c r="D2392" s="28" t="s">
        <v>2262</v>
      </c>
      <c r="E2392" s="28" t="s">
        <v>657</v>
      </c>
      <c r="F2392" s="28" t="s">
        <v>418</v>
      </c>
      <c r="G2392" s="28">
        <v>89103</v>
      </c>
      <c r="H2392" s="28">
        <v>36.108890000000002</v>
      </c>
      <c r="I2392" s="28">
        <v>-115.18118</v>
      </c>
      <c r="J2392" s="28"/>
      <c r="K2392" s="61">
        <v>110059861065</v>
      </c>
      <c r="L2392" s="61" t="str">
        <f>IFERROR(INDEX('Facility Summary'!$K:$K,MATCH(K2392,'Facility Summary'!$J:$J,0)),INDEX('Raw Annual DMR Data'!$M:$M,MATCH(K2392,'Raw Annual DMR Data'!$L:$L,0)))</f>
        <v>Unknown</v>
      </c>
      <c r="M2392" s="28"/>
      <c r="N2392" s="28"/>
      <c r="O2392" s="28"/>
      <c r="P2392" s="28"/>
      <c r="Q2392" s="28"/>
      <c r="R2392" s="28">
        <f t="shared" si="19"/>
        <v>7.2031780979913752E-4</v>
      </c>
      <c r="S2392" s="28">
        <v>3.2673066250000002E-4</v>
      </c>
    </row>
    <row r="2393" spans="1:19" x14ac:dyDescent="0.25">
      <c r="A2393" s="28">
        <v>2021</v>
      </c>
      <c r="B2393" s="28"/>
      <c r="C2393" s="28" t="s">
        <v>1373</v>
      </c>
      <c r="D2393" s="28" t="s">
        <v>2262</v>
      </c>
      <c r="E2393" s="28" t="s">
        <v>657</v>
      </c>
      <c r="F2393" s="28" t="s">
        <v>418</v>
      </c>
      <c r="G2393" s="28">
        <v>89103</v>
      </c>
      <c r="H2393" s="28">
        <v>36.108890000000002</v>
      </c>
      <c r="I2393" s="28">
        <v>-115.18118</v>
      </c>
      <c r="J2393" s="28"/>
      <c r="K2393" s="61">
        <v>110059861065</v>
      </c>
      <c r="L2393" s="61" t="str">
        <f>IFERROR(INDEX('Facility Summary'!$K:$K,MATCH(K2393,'Facility Summary'!$J:$J,0)),INDEX('Raw Annual DMR Data'!$M:$M,MATCH(K2393,'Raw Annual DMR Data'!$L:$L,0)))</f>
        <v>Unknown</v>
      </c>
      <c r="M2393" s="28"/>
      <c r="N2393" s="28"/>
      <c r="O2393" s="28"/>
      <c r="P2393" s="28"/>
      <c r="Q2393" s="28"/>
      <c r="R2393" s="28">
        <f t="shared" si="19"/>
        <v>4.6752128458421821E-4</v>
      </c>
      <c r="S2393" s="28">
        <v>2.1206408750000001E-4</v>
      </c>
    </row>
    <row r="2394" spans="1:19" x14ac:dyDescent="0.25">
      <c r="A2394" s="28">
        <v>2023</v>
      </c>
      <c r="B2394" s="28"/>
      <c r="C2394" s="28" t="s">
        <v>1373</v>
      </c>
      <c r="D2394" s="28" t="s">
        <v>2262</v>
      </c>
      <c r="E2394" s="28" t="s">
        <v>657</v>
      </c>
      <c r="F2394" s="28" t="s">
        <v>418</v>
      </c>
      <c r="G2394" s="28">
        <v>89103</v>
      </c>
      <c r="H2394" s="28">
        <v>36.108890000000002</v>
      </c>
      <c r="I2394" s="28">
        <v>-115.18118</v>
      </c>
      <c r="J2394" s="28"/>
      <c r="K2394" s="61">
        <v>110059861065</v>
      </c>
      <c r="L2394" s="61" t="str">
        <f>IFERROR(INDEX('Facility Summary'!$K:$K,MATCH(K2394,'Facility Summary'!$J:$J,0)),INDEX('Raw Annual DMR Data'!$M:$M,MATCH(K2394,'Raw Annual DMR Data'!$L:$L,0)))</f>
        <v>Unknown</v>
      </c>
      <c r="M2394" s="28"/>
      <c r="N2394" s="28"/>
      <c r="O2394" s="28"/>
      <c r="P2394" s="28"/>
      <c r="Q2394" s="28"/>
      <c r="R2394" s="28">
        <f t="shared" si="19"/>
        <v>3.8147909377311611E-4</v>
      </c>
      <c r="S2394" s="28">
        <v>1.7303600625E-4</v>
      </c>
    </row>
    <row r="2395" spans="1:19" x14ac:dyDescent="0.25">
      <c r="A2395" s="28">
        <v>2021</v>
      </c>
      <c r="B2395" s="28"/>
      <c r="C2395" s="28" t="s">
        <v>1374</v>
      </c>
      <c r="D2395" s="28" t="s">
        <v>2264</v>
      </c>
      <c r="E2395" s="28" t="s">
        <v>293</v>
      </c>
      <c r="F2395" s="28" t="s">
        <v>294</v>
      </c>
      <c r="G2395" s="28">
        <v>222031606</v>
      </c>
      <c r="H2395" s="28">
        <v>38.88223</v>
      </c>
      <c r="I2395" s="28">
        <v>-77.112300000000005</v>
      </c>
      <c r="J2395" s="28"/>
      <c r="K2395" s="61">
        <v>110010844426</v>
      </c>
      <c r="L2395" s="61" t="str">
        <f>IFERROR(INDEX('Facility Summary'!$K:$K,MATCH(K2395,'Facility Summary'!$J:$J,0)),INDEX('Raw Annual DMR Data'!$M:$M,MATCH(K2395,'Raw Annual DMR Data'!$L:$L,0)))</f>
        <v>Unknown</v>
      </c>
      <c r="M2395" s="28"/>
      <c r="N2395" s="28"/>
      <c r="O2395" s="28"/>
      <c r="P2395" s="28"/>
      <c r="Q2395" s="28"/>
      <c r="R2395" s="28">
        <f t="shared" si="19"/>
        <v>1.8274447605897779E-4</v>
      </c>
      <c r="S2395" s="28">
        <v>8.2891499999999997E-5</v>
      </c>
    </row>
    <row r="2396" spans="1:19" x14ac:dyDescent="0.25">
      <c r="A2396" s="28">
        <v>2023</v>
      </c>
      <c r="B2396" s="28"/>
      <c r="C2396" s="28" t="s">
        <v>1374</v>
      </c>
      <c r="D2396" s="28" t="s">
        <v>2264</v>
      </c>
      <c r="E2396" s="28" t="s">
        <v>293</v>
      </c>
      <c r="F2396" s="28" t="s">
        <v>294</v>
      </c>
      <c r="G2396" s="28">
        <v>222031606</v>
      </c>
      <c r="H2396" s="28">
        <v>38.88223</v>
      </c>
      <c r="I2396" s="28">
        <v>-77.112300000000005</v>
      </c>
      <c r="J2396" s="28"/>
      <c r="K2396" s="61">
        <v>110010844426</v>
      </c>
      <c r="L2396" s="61" t="str">
        <f>IFERROR(INDEX('Facility Summary'!$K:$K,MATCH(K2396,'Facility Summary'!$J:$J,0)),INDEX('Raw Annual DMR Data'!$M:$M,MATCH(K2396,'Raw Annual DMR Data'!$L:$L,0)))</f>
        <v>Unknown</v>
      </c>
      <c r="M2396" s="28"/>
      <c r="N2396" s="28"/>
      <c r="O2396" s="28"/>
      <c r="P2396" s="28"/>
      <c r="Q2396" s="28"/>
      <c r="R2396" s="28">
        <f t="shared" si="19"/>
        <v>9.0621233333356121E-5</v>
      </c>
      <c r="S2396" s="28">
        <v>4.1105100000000001E-5</v>
      </c>
    </row>
    <row r="2397" spans="1:19" x14ac:dyDescent="0.25">
      <c r="A2397" s="28">
        <v>2022</v>
      </c>
      <c r="B2397" s="28"/>
      <c r="C2397" s="28" t="s">
        <v>1374</v>
      </c>
      <c r="D2397" s="28" t="s">
        <v>2264</v>
      </c>
      <c r="E2397" s="28" t="s">
        <v>293</v>
      </c>
      <c r="F2397" s="28" t="s">
        <v>294</v>
      </c>
      <c r="G2397" s="28">
        <v>222031606</v>
      </c>
      <c r="H2397" s="28">
        <v>38.88223</v>
      </c>
      <c r="I2397" s="28">
        <v>-77.112300000000005</v>
      </c>
      <c r="J2397" s="28"/>
      <c r="K2397" s="61">
        <v>110010844426</v>
      </c>
      <c r="L2397" s="61" t="str">
        <f>IFERROR(INDEX('Facility Summary'!$K:$K,MATCH(K2397,'Facility Summary'!$J:$J,0)),INDEX('Raw Annual DMR Data'!$M:$M,MATCH(K2397,'Raw Annual DMR Data'!$L:$L,0)))</f>
        <v>Unknown</v>
      </c>
      <c r="M2397" s="28"/>
      <c r="N2397" s="28"/>
      <c r="O2397" s="28"/>
      <c r="P2397" s="28"/>
      <c r="Q2397" s="28"/>
      <c r="R2397" s="28">
        <f t="shared" si="19"/>
        <v>7.8974819395661355E-5</v>
      </c>
      <c r="S2397" s="28">
        <v>3.5822375500000001E-5</v>
      </c>
    </row>
    <row r="2398" spans="1:19" x14ac:dyDescent="0.25">
      <c r="A2398" s="28">
        <v>2024</v>
      </c>
      <c r="B2398" s="28"/>
      <c r="C2398" s="28" t="s">
        <v>1374</v>
      </c>
      <c r="D2398" s="28" t="s">
        <v>2264</v>
      </c>
      <c r="E2398" s="28" t="s">
        <v>293</v>
      </c>
      <c r="F2398" s="28" t="s">
        <v>294</v>
      </c>
      <c r="G2398" s="28">
        <v>222031606</v>
      </c>
      <c r="H2398" s="28">
        <v>38.88223</v>
      </c>
      <c r="I2398" s="28">
        <v>-77.112300000000005</v>
      </c>
      <c r="J2398" s="28"/>
      <c r="K2398" s="61">
        <v>110010844426</v>
      </c>
      <c r="L2398" s="61" t="str">
        <f>IFERROR(INDEX('Facility Summary'!$K:$K,MATCH(K2398,'Facility Summary'!$J:$J,0)),INDEX('Raw Annual DMR Data'!$M:$M,MATCH(K2398,'Raw Annual DMR Data'!$L:$L,0)))</f>
        <v>Unknown</v>
      </c>
      <c r="M2398" s="28"/>
      <c r="N2398" s="28"/>
      <c r="O2398" s="28"/>
      <c r="P2398" s="28"/>
      <c r="Q2398" s="28"/>
      <c r="R2398" s="28">
        <f t="shared" si="19"/>
        <v>6.2766636043723578E-5</v>
      </c>
      <c r="S2398" s="28">
        <v>2.8470467200000001E-5</v>
      </c>
    </row>
    <row r="2399" spans="1:19" x14ac:dyDescent="0.25">
      <c r="A2399" s="28">
        <v>2021</v>
      </c>
      <c r="B2399" s="28"/>
      <c r="C2399" s="28" t="s">
        <v>1375</v>
      </c>
      <c r="D2399" s="28" t="s">
        <v>2268</v>
      </c>
      <c r="E2399" s="28" t="s">
        <v>657</v>
      </c>
      <c r="F2399" s="28" t="s">
        <v>418</v>
      </c>
      <c r="G2399" s="28">
        <v>89109</v>
      </c>
      <c r="H2399" s="28">
        <v>36.137529999999998</v>
      </c>
      <c r="I2399" s="28">
        <v>-115.15479000000001</v>
      </c>
      <c r="J2399" s="28"/>
      <c r="K2399" s="61">
        <v>110020039402</v>
      </c>
      <c r="L2399" s="61" t="str">
        <f>IFERROR(INDEX('Facility Summary'!$K:$K,MATCH(K2399,'Facility Summary'!$J:$J,0)),INDEX('Raw Annual DMR Data'!$M:$M,MATCH(K2399,'Raw Annual DMR Data'!$L:$L,0)))</f>
        <v>Unknown</v>
      </c>
      <c r="M2399" s="28"/>
      <c r="N2399" s="28"/>
      <c r="O2399" s="28"/>
      <c r="P2399" s="28"/>
      <c r="Q2399" s="28"/>
      <c r="R2399" s="28">
        <f t="shared" si="19"/>
        <v>7.2931090390999081E-3</v>
      </c>
      <c r="S2399" s="28">
        <v>3.3080986137137502E-3</v>
      </c>
    </row>
    <row r="2400" spans="1:19" x14ac:dyDescent="0.25">
      <c r="A2400" s="28">
        <v>2023</v>
      </c>
      <c r="B2400" s="28"/>
      <c r="C2400" s="28" t="s">
        <v>1375</v>
      </c>
      <c r="D2400" s="28" t="s">
        <v>2268</v>
      </c>
      <c r="E2400" s="28" t="s">
        <v>657</v>
      </c>
      <c r="F2400" s="28" t="s">
        <v>418</v>
      </c>
      <c r="G2400" s="28">
        <v>89109</v>
      </c>
      <c r="H2400" s="28">
        <v>36.137529999999998</v>
      </c>
      <c r="I2400" s="28">
        <v>-115.15479000000001</v>
      </c>
      <c r="J2400" s="28"/>
      <c r="K2400" s="61">
        <v>110020039402</v>
      </c>
      <c r="L2400" s="61" t="str">
        <f>IFERROR(INDEX('Facility Summary'!$K:$K,MATCH(K2400,'Facility Summary'!$J:$J,0)),INDEX('Raw Annual DMR Data'!$M:$M,MATCH(K2400,'Raw Annual DMR Data'!$L:$L,0)))</f>
        <v>Unknown</v>
      </c>
      <c r="M2400" s="28"/>
      <c r="N2400" s="28"/>
      <c r="O2400" s="28"/>
      <c r="P2400" s="28"/>
      <c r="Q2400" s="28"/>
      <c r="R2400" s="28">
        <f t="shared" si="19"/>
        <v>4.3001304825492324E-3</v>
      </c>
      <c r="S2400" s="28">
        <v>1.9505063768887501E-3</v>
      </c>
    </row>
    <row r="2401" spans="1:19" x14ac:dyDescent="0.25">
      <c r="A2401" s="28">
        <v>2024</v>
      </c>
      <c r="B2401" s="28"/>
      <c r="C2401" s="28" t="s">
        <v>1375</v>
      </c>
      <c r="D2401" s="28" t="s">
        <v>2268</v>
      </c>
      <c r="E2401" s="28" t="s">
        <v>657</v>
      </c>
      <c r="F2401" s="28" t="s">
        <v>418</v>
      </c>
      <c r="G2401" s="28">
        <v>89109</v>
      </c>
      <c r="H2401" s="28">
        <v>36.137529999999998</v>
      </c>
      <c r="I2401" s="28">
        <v>-115.15479000000001</v>
      </c>
      <c r="J2401" s="28"/>
      <c r="K2401" s="61">
        <v>110020039402</v>
      </c>
      <c r="L2401" s="61" t="str">
        <f>IFERROR(INDEX('Facility Summary'!$K:$K,MATCH(K2401,'Facility Summary'!$J:$J,0)),INDEX('Raw Annual DMR Data'!$M:$M,MATCH(K2401,'Raw Annual DMR Data'!$L:$L,0)))</f>
        <v>Unknown</v>
      </c>
      <c r="M2401" s="28"/>
      <c r="N2401" s="28"/>
      <c r="O2401" s="28"/>
      <c r="P2401" s="28"/>
      <c r="Q2401" s="28"/>
      <c r="R2401" s="28">
        <f t="shared" si="19"/>
        <v>3.7379197972261967E-3</v>
      </c>
      <c r="S2401" s="28">
        <v>1.69549189969375E-3</v>
      </c>
    </row>
    <row r="2402" spans="1:19" x14ac:dyDescent="0.25">
      <c r="A2402" s="28">
        <v>2022</v>
      </c>
      <c r="B2402" s="28"/>
      <c r="C2402" s="28" t="s">
        <v>1375</v>
      </c>
      <c r="D2402" s="28" t="s">
        <v>2268</v>
      </c>
      <c r="E2402" s="28" t="s">
        <v>657</v>
      </c>
      <c r="F2402" s="28" t="s">
        <v>418</v>
      </c>
      <c r="G2402" s="28">
        <v>89109</v>
      </c>
      <c r="H2402" s="28">
        <v>36.137529999999998</v>
      </c>
      <c r="I2402" s="28">
        <v>-115.15479000000001</v>
      </c>
      <c r="J2402" s="28"/>
      <c r="K2402" s="61">
        <v>110020039402</v>
      </c>
      <c r="L2402" s="61" t="str">
        <f>IFERROR(INDEX('Facility Summary'!$K:$K,MATCH(K2402,'Facility Summary'!$J:$J,0)),INDEX('Raw Annual DMR Data'!$M:$M,MATCH(K2402,'Raw Annual DMR Data'!$L:$L,0)))</f>
        <v>Unknown</v>
      </c>
      <c r="M2402" s="28"/>
      <c r="N2402" s="28"/>
      <c r="O2402" s="28"/>
      <c r="P2402" s="28"/>
      <c r="Q2402" s="28"/>
      <c r="R2402" s="28">
        <f t="shared" si="19"/>
        <v>1.4788116916516913E-8</v>
      </c>
      <c r="S2402" s="28">
        <v>6.7077769999999996E-9</v>
      </c>
    </row>
    <row r="2403" spans="1:19" x14ac:dyDescent="0.25">
      <c r="A2403" s="28">
        <v>2023</v>
      </c>
      <c r="B2403" s="28"/>
      <c r="C2403" s="28" t="s">
        <v>6855</v>
      </c>
      <c r="D2403" s="28" t="s">
        <v>7014</v>
      </c>
      <c r="E2403" s="28" t="s">
        <v>7015</v>
      </c>
      <c r="F2403" s="28" t="s">
        <v>491</v>
      </c>
      <c r="G2403" s="28">
        <v>15317</v>
      </c>
      <c r="H2403" s="28">
        <v>40.269072000000001</v>
      </c>
      <c r="I2403" s="28">
        <v>-80.170649999999995</v>
      </c>
      <c r="J2403" s="28"/>
      <c r="K2403" s="61">
        <v>110000329886</v>
      </c>
      <c r="L2403" s="61" t="str">
        <f>IFERROR(INDEX('Facility Summary'!$K:$K,MATCH(K2403,'Facility Summary'!$J:$J,0)),INDEX('Raw Annual DMR Data'!$M:$M,MATCH(K2403,'Raw Annual DMR Data'!$L:$L,0)))</f>
        <v>Unknown</v>
      </c>
      <c r="M2403" s="28"/>
      <c r="N2403" s="28"/>
      <c r="O2403" s="28"/>
      <c r="P2403" s="28"/>
      <c r="Q2403" s="28"/>
      <c r="R2403" s="28">
        <f t="shared" si="19"/>
        <v>1.4664989696585947E-2</v>
      </c>
      <c r="S2403" s="28">
        <v>6.6519274325000004E-3</v>
      </c>
    </row>
    <row r="2404" spans="1:19" x14ac:dyDescent="0.25">
      <c r="A2404" s="28">
        <v>2022</v>
      </c>
      <c r="B2404" s="28"/>
      <c r="C2404" s="28" t="s">
        <v>6855</v>
      </c>
      <c r="D2404" s="28" t="s">
        <v>7014</v>
      </c>
      <c r="E2404" s="28" t="s">
        <v>7015</v>
      </c>
      <c r="F2404" s="28" t="s">
        <v>491</v>
      </c>
      <c r="G2404" s="28">
        <v>15317</v>
      </c>
      <c r="H2404" s="28">
        <v>40.269072000000001</v>
      </c>
      <c r="I2404" s="28">
        <v>-80.170649999999995</v>
      </c>
      <c r="J2404" s="28"/>
      <c r="K2404" s="61">
        <v>110000329886</v>
      </c>
      <c r="L2404" s="61" t="str">
        <f>IFERROR(INDEX('Facility Summary'!$K:$K,MATCH(K2404,'Facility Summary'!$J:$J,0)),INDEX('Raw Annual DMR Data'!$M:$M,MATCH(K2404,'Raw Annual DMR Data'!$L:$L,0)))</f>
        <v>Unknown</v>
      </c>
      <c r="M2404" s="28"/>
      <c r="N2404" s="28"/>
      <c r="O2404" s="28"/>
      <c r="P2404" s="28"/>
      <c r="Q2404" s="28"/>
      <c r="R2404" s="28">
        <f t="shared" si="19"/>
        <v>1.4508367875819867E-2</v>
      </c>
      <c r="S2404" s="28">
        <v>6.5808849696249996E-3</v>
      </c>
    </row>
    <row r="2405" spans="1:19" x14ac:dyDescent="0.25">
      <c r="A2405" s="28">
        <v>2024</v>
      </c>
      <c r="B2405" s="28"/>
      <c r="C2405" s="28" t="s">
        <v>1378</v>
      </c>
      <c r="D2405" s="28" t="s">
        <v>2274</v>
      </c>
      <c r="E2405" s="28" t="s">
        <v>474</v>
      </c>
      <c r="F2405" s="28" t="s">
        <v>338</v>
      </c>
      <c r="G2405" s="28">
        <v>7470</v>
      </c>
      <c r="H2405" s="28">
        <v>40.936109999999999</v>
      </c>
      <c r="I2405" s="28">
        <v>-74.273809999999997</v>
      </c>
      <c r="J2405" s="28"/>
      <c r="K2405" s="61">
        <v>110070212009</v>
      </c>
      <c r="L2405" s="61" t="str">
        <f>IFERROR(INDEX('Facility Summary'!$K:$K,MATCH(K2405,'Facility Summary'!$J:$J,0)),INDEX('Raw Annual DMR Data'!$M:$M,MATCH(K2405,'Raw Annual DMR Data'!$L:$L,0)))</f>
        <v>Unknown</v>
      </c>
      <c r="M2405" s="28"/>
      <c r="N2405" s="28"/>
      <c r="O2405" s="28"/>
      <c r="P2405" s="28"/>
      <c r="Q2405" s="28"/>
      <c r="R2405" s="28">
        <f t="shared" si="19"/>
        <v>3.0413146790806908E-3</v>
      </c>
      <c r="S2405" s="28">
        <v>1.3795171332000001E-3</v>
      </c>
    </row>
    <row r="2406" spans="1:19" x14ac:dyDescent="0.25">
      <c r="A2406" s="28">
        <v>2023</v>
      </c>
      <c r="B2406" s="28"/>
      <c r="C2406" s="28" t="s">
        <v>1378</v>
      </c>
      <c r="D2406" s="28" t="s">
        <v>2274</v>
      </c>
      <c r="E2406" s="28" t="s">
        <v>474</v>
      </c>
      <c r="F2406" s="28" t="s">
        <v>338</v>
      </c>
      <c r="G2406" s="28" t="s">
        <v>1778</v>
      </c>
      <c r="H2406" s="28">
        <v>40.936109999999999</v>
      </c>
      <c r="I2406" s="28">
        <v>-74.273809999999997</v>
      </c>
      <c r="J2406" s="28"/>
      <c r="K2406" s="61">
        <v>110070212009</v>
      </c>
      <c r="L2406" s="61" t="str">
        <f>IFERROR(INDEX('Facility Summary'!$K:$K,MATCH(K2406,'Facility Summary'!$J:$J,0)),INDEX('Raw Annual DMR Data'!$M:$M,MATCH(K2406,'Raw Annual DMR Data'!$L:$L,0)))</f>
        <v>Unknown</v>
      </c>
      <c r="M2406" s="28"/>
      <c r="N2406" s="28"/>
      <c r="O2406" s="28"/>
      <c r="P2406" s="28"/>
      <c r="Q2406" s="28"/>
      <c r="R2406" s="28">
        <f t="shared" si="19"/>
        <v>2.1398063053838404E-3</v>
      </c>
      <c r="S2406" s="28">
        <v>9.7059981339999997E-4</v>
      </c>
    </row>
    <row r="2407" spans="1:19" x14ac:dyDescent="0.25">
      <c r="A2407" s="28">
        <v>2021</v>
      </c>
      <c r="B2407" s="28"/>
      <c r="C2407" s="28" t="s">
        <v>1378</v>
      </c>
      <c r="D2407" s="28" t="s">
        <v>2274</v>
      </c>
      <c r="E2407" s="28" t="s">
        <v>474</v>
      </c>
      <c r="F2407" s="28" t="s">
        <v>338</v>
      </c>
      <c r="G2407" s="28">
        <v>7470</v>
      </c>
      <c r="H2407" s="28">
        <v>40.936109999999999</v>
      </c>
      <c r="I2407" s="28">
        <v>-74.273809999999997</v>
      </c>
      <c r="J2407" s="28"/>
      <c r="K2407" s="61">
        <v>110070212009</v>
      </c>
      <c r="L2407" s="61" t="str">
        <f>IFERROR(INDEX('Facility Summary'!$K:$K,MATCH(K2407,'Facility Summary'!$J:$J,0)),INDEX('Raw Annual DMR Data'!$M:$M,MATCH(K2407,'Raw Annual DMR Data'!$L:$L,0)))</f>
        <v>Unknown</v>
      </c>
      <c r="M2407" s="28"/>
      <c r="N2407" s="28"/>
      <c r="O2407" s="28"/>
      <c r="P2407" s="28"/>
      <c r="Q2407" s="28"/>
      <c r="R2407" s="28">
        <f t="shared" si="19"/>
        <v>1.7527300987778961E-3</v>
      </c>
      <c r="S2407" s="28">
        <v>7.9502499947500002E-4</v>
      </c>
    </row>
    <row r="2408" spans="1:19" x14ac:dyDescent="0.25">
      <c r="A2408" s="28">
        <v>2022</v>
      </c>
      <c r="B2408" s="28"/>
      <c r="C2408" s="28" t="s">
        <v>1378</v>
      </c>
      <c r="D2408" s="28" t="s">
        <v>2274</v>
      </c>
      <c r="E2408" s="28" t="s">
        <v>474</v>
      </c>
      <c r="F2408" s="28" t="s">
        <v>338</v>
      </c>
      <c r="G2408" s="28">
        <v>7470</v>
      </c>
      <c r="H2408" s="28">
        <v>40.936109999999999</v>
      </c>
      <c r="I2408" s="28">
        <v>-74.273809999999997</v>
      </c>
      <c r="J2408" s="28"/>
      <c r="K2408" s="61">
        <v>110070212009</v>
      </c>
      <c r="L2408" s="61" t="str">
        <f>IFERROR(INDEX('Facility Summary'!$K:$K,MATCH(K2408,'Facility Summary'!$J:$J,0)),INDEX('Raw Annual DMR Data'!$M:$M,MATCH(K2408,'Raw Annual DMR Data'!$L:$L,0)))</f>
        <v>Unknown</v>
      </c>
      <c r="M2408" s="28"/>
      <c r="N2408" s="28"/>
      <c r="O2408" s="28"/>
      <c r="P2408" s="28"/>
      <c r="Q2408" s="28"/>
      <c r="R2408" s="28">
        <f t="shared" si="19"/>
        <v>1.5912068041400254E-3</v>
      </c>
      <c r="S2408" s="28">
        <v>7.2175926544999997E-4</v>
      </c>
    </row>
    <row r="2409" spans="1:19" x14ac:dyDescent="0.25">
      <c r="A2409" s="28">
        <v>2022</v>
      </c>
      <c r="B2409" s="28"/>
      <c r="C2409" s="28" t="s">
        <v>1384</v>
      </c>
      <c r="D2409" s="28" t="s">
        <v>2285</v>
      </c>
      <c r="E2409" s="28" t="s">
        <v>1385</v>
      </c>
      <c r="F2409" s="28" t="s">
        <v>374</v>
      </c>
      <c r="G2409" s="28">
        <v>86045</v>
      </c>
      <c r="H2409" s="28">
        <v>36.091380999999998</v>
      </c>
      <c r="I2409" s="28">
        <v>-111.289585</v>
      </c>
      <c r="J2409" s="28"/>
      <c r="K2409" s="61">
        <v>110024409344</v>
      </c>
      <c r="L2409" s="61" t="str">
        <f>IFERROR(INDEX('Facility Summary'!$K:$K,MATCH(K2409,'Facility Summary'!$J:$J,0)),INDEX('Raw Annual DMR Data'!$M:$M,MATCH(K2409,'Raw Annual DMR Data'!$L:$L,0)))</f>
        <v>POTW</v>
      </c>
      <c r="M2409" s="28"/>
      <c r="N2409" s="28"/>
      <c r="O2409" s="28"/>
      <c r="P2409" s="28"/>
      <c r="Q2409" s="28"/>
      <c r="R2409" s="28">
        <f t="shared" si="19"/>
        <v>4.3727832547095096</v>
      </c>
      <c r="S2409" s="28">
        <v>1.9834611200000001</v>
      </c>
    </row>
    <row r="2410" spans="1:19" x14ac:dyDescent="0.25">
      <c r="A2410" s="28">
        <v>2024</v>
      </c>
      <c r="B2410" s="28"/>
      <c r="C2410" s="28" t="s">
        <v>1384</v>
      </c>
      <c r="D2410" s="28" t="s">
        <v>2285</v>
      </c>
      <c r="E2410" s="28" t="s">
        <v>1385</v>
      </c>
      <c r="F2410" s="28" t="s">
        <v>374</v>
      </c>
      <c r="G2410" s="28">
        <v>86045</v>
      </c>
      <c r="H2410" s="28">
        <v>36.091380999999998</v>
      </c>
      <c r="I2410" s="28">
        <v>-111.289585</v>
      </c>
      <c r="J2410" s="28"/>
      <c r="K2410" s="61">
        <v>110024409344</v>
      </c>
      <c r="L2410" s="61" t="str">
        <f>IFERROR(INDEX('Facility Summary'!$K:$K,MATCH(K2410,'Facility Summary'!$J:$J,0)),INDEX('Raw Annual DMR Data'!$M:$M,MATCH(K2410,'Raw Annual DMR Data'!$L:$L,0)))</f>
        <v>POTW</v>
      </c>
      <c r="M2410" s="28"/>
      <c r="N2410" s="28"/>
      <c r="O2410" s="28"/>
      <c r="P2410" s="28"/>
      <c r="Q2410" s="28"/>
      <c r="R2410" s="28">
        <f t="shared" si="19"/>
        <v>3.9766533109893358</v>
      </c>
      <c r="S2410" s="28">
        <v>1.8037795999999999</v>
      </c>
    </row>
    <row r="2411" spans="1:19" x14ac:dyDescent="0.25">
      <c r="A2411" s="28">
        <v>2023</v>
      </c>
      <c r="B2411" s="28"/>
      <c r="C2411" s="28" t="s">
        <v>1384</v>
      </c>
      <c r="D2411" s="28" t="s">
        <v>2285</v>
      </c>
      <c r="E2411" s="28" t="s">
        <v>1385</v>
      </c>
      <c r="F2411" s="28" t="s">
        <v>374</v>
      </c>
      <c r="G2411" s="28">
        <v>86045</v>
      </c>
      <c r="H2411" s="28">
        <v>36.091380999999998</v>
      </c>
      <c r="I2411" s="28">
        <v>-111.289585</v>
      </c>
      <c r="J2411" s="28"/>
      <c r="K2411" s="61">
        <v>110024409344</v>
      </c>
      <c r="L2411" s="61" t="str">
        <f>IFERROR(INDEX('Facility Summary'!$K:$K,MATCH(K2411,'Facility Summary'!$J:$J,0)),INDEX('Raw Annual DMR Data'!$M:$M,MATCH(K2411,'Raw Annual DMR Data'!$L:$L,0)))</f>
        <v>POTW</v>
      </c>
      <c r="M2411" s="28"/>
      <c r="N2411" s="28"/>
      <c r="O2411" s="28"/>
      <c r="P2411" s="28"/>
      <c r="Q2411" s="28"/>
      <c r="R2411" s="28">
        <f t="shared" si="19"/>
        <v>2.7156329812161522</v>
      </c>
      <c r="S2411" s="28">
        <v>1.2317904</v>
      </c>
    </row>
    <row r="2412" spans="1:19" x14ac:dyDescent="0.25">
      <c r="A2412" s="28">
        <v>2021</v>
      </c>
      <c r="B2412" s="28"/>
      <c r="C2412" s="28" t="s">
        <v>1387</v>
      </c>
      <c r="D2412" s="28" t="s">
        <v>2291</v>
      </c>
      <c r="E2412" s="28" t="s">
        <v>1388</v>
      </c>
      <c r="F2412" s="28" t="s">
        <v>294</v>
      </c>
      <c r="G2412" s="28">
        <v>221822454</v>
      </c>
      <c r="H2412" s="28">
        <v>38.920251999999998</v>
      </c>
      <c r="I2412" s="28">
        <v>-77.231944999999996</v>
      </c>
      <c r="J2412" s="28"/>
      <c r="K2412" s="61">
        <v>110070684897</v>
      </c>
      <c r="L2412" s="61" t="str">
        <f>IFERROR(INDEX('Facility Summary'!$K:$K,MATCH(K2412,'Facility Summary'!$J:$J,0)),INDEX('Raw Annual DMR Data'!$M:$M,MATCH(K2412,'Raw Annual DMR Data'!$L:$L,0)))</f>
        <v>Unknown</v>
      </c>
      <c r="M2412" s="28"/>
      <c r="N2412" s="28"/>
      <c r="O2412" s="28"/>
      <c r="P2412" s="28"/>
      <c r="Q2412" s="28"/>
      <c r="R2412" s="28">
        <f t="shared" si="19"/>
        <v>1.5385774798196009E-2</v>
      </c>
      <c r="S2412" s="28">
        <v>6.9788700550000001E-3</v>
      </c>
    </row>
    <row r="2413" spans="1:19" x14ac:dyDescent="0.25">
      <c r="A2413" s="28">
        <v>2022</v>
      </c>
      <c r="B2413" s="28"/>
      <c r="C2413" s="28" t="s">
        <v>1387</v>
      </c>
      <c r="D2413" s="28" t="s">
        <v>2291</v>
      </c>
      <c r="E2413" s="28" t="s">
        <v>1388</v>
      </c>
      <c r="F2413" s="28" t="s">
        <v>294</v>
      </c>
      <c r="G2413" s="28">
        <v>221822454</v>
      </c>
      <c r="H2413" s="28">
        <v>38.920251999999998</v>
      </c>
      <c r="I2413" s="28">
        <v>-77.231944999999996</v>
      </c>
      <c r="J2413" s="28"/>
      <c r="K2413" s="61">
        <v>110070684897</v>
      </c>
      <c r="L2413" s="61" t="str">
        <f>IFERROR(INDEX('Facility Summary'!$K:$K,MATCH(K2413,'Facility Summary'!$J:$J,0)),INDEX('Raw Annual DMR Data'!$M:$M,MATCH(K2413,'Raw Annual DMR Data'!$L:$L,0)))</f>
        <v>Unknown</v>
      </c>
      <c r="M2413" s="28"/>
      <c r="N2413" s="28"/>
      <c r="O2413" s="28"/>
      <c r="P2413" s="28"/>
      <c r="Q2413" s="28"/>
      <c r="R2413" s="28">
        <f t="shared" si="19"/>
        <v>1.1327537343716783E-2</v>
      </c>
      <c r="S2413" s="28">
        <v>5.1380845099999999E-3</v>
      </c>
    </row>
    <row r="2414" spans="1:19" x14ac:dyDescent="0.25">
      <c r="A2414" s="28">
        <v>2023</v>
      </c>
      <c r="B2414" s="28"/>
      <c r="C2414" s="28" t="s">
        <v>1387</v>
      </c>
      <c r="D2414" s="28" t="s">
        <v>2291</v>
      </c>
      <c r="E2414" s="28" t="s">
        <v>1388</v>
      </c>
      <c r="F2414" s="28" t="s">
        <v>294</v>
      </c>
      <c r="G2414" s="28">
        <v>221822454</v>
      </c>
      <c r="H2414" s="28">
        <v>38.920251999999998</v>
      </c>
      <c r="I2414" s="28">
        <v>-77.231944999999996</v>
      </c>
      <c r="J2414" s="28"/>
      <c r="K2414" s="61">
        <v>110070684897</v>
      </c>
      <c r="L2414" s="61" t="str">
        <f>IFERROR(INDEX('Facility Summary'!$K:$K,MATCH(K2414,'Facility Summary'!$J:$J,0)),INDEX('Raw Annual DMR Data'!$M:$M,MATCH(K2414,'Raw Annual DMR Data'!$L:$L,0)))</f>
        <v>Unknown</v>
      </c>
      <c r="M2414" s="28"/>
      <c r="N2414" s="28"/>
      <c r="O2414" s="28"/>
      <c r="P2414" s="28"/>
      <c r="Q2414" s="28"/>
      <c r="R2414" s="28">
        <f t="shared" si="19"/>
        <v>9.5371861463911314E-3</v>
      </c>
      <c r="S2414" s="28">
        <v>4.3259948672727203E-3</v>
      </c>
    </row>
    <row r="2415" spans="1:19" x14ac:dyDescent="0.25">
      <c r="A2415" s="28">
        <v>2024</v>
      </c>
      <c r="B2415" s="28"/>
      <c r="C2415" s="28" t="s">
        <v>1387</v>
      </c>
      <c r="D2415" s="28" t="s">
        <v>2291</v>
      </c>
      <c r="E2415" s="28" t="s">
        <v>1388</v>
      </c>
      <c r="F2415" s="28" t="s">
        <v>294</v>
      </c>
      <c r="G2415" s="28">
        <v>221822454</v>
      </c>
      <c r="H2415" s="28">
        <v>38.920251999999998</v>
      </c>
      <c r="I2415" s="28">
        <v>-77.231944999999996</v>
      </c>
      <c r="J2415" s="28"/>
      <c r="K2415" s="61">
        <v>110070684897</v>
      </c>
      <c r="L2415" s="61" t="str">
        <f>IFERROR(INDEX('Facility Summary'!$K:$K,MATCH(K2415,'Facility Summary'!$J:$J,0)),INDEX('Raw Annual DMR Data'!$M:$M,MATCH(K2415,'Raw Annual DMR Data'!$L:$L,0)))</f>
        <v>Unknown</v>
      </c>
      <c r="M2415" s="28"/>
      <c r="N2415" s="28"/>
      <c r="O2415" s="28"/>
      <c r="P2415" s="28"/>
      <c r="Q2415" s="28"/>
      <c r="R2415" s="28">
        <f t="shared" si="19"/>
        <v>7.0141585604713754E-3</v>
      </c>
      <c r="S2415" s="28">
        <v>3.1815688049999999E-3</v>
      </c>
    </row>
    <row r="2416" spans="1:19" x14ac:dyDescent="0.25">
      <c r="A2416" s="28">
        <v>2021</v>
      </c>
      <c r="B2416" s="28"/>
      <c r="C2416" s="28" t="s">
        <v>6855</v>
      </c>
      <c r="D2416" s="28" t="s">
        <v>7014</v>
      </c>
      <c r="E2416" s="28" t="s">
        <v>7015</v>
      </c>
      <c r="F2416" s="28" t="s">
        <v>491</v>
      </c>
      <c r="G2416" s="28">
        <v>15317</v>
      </c>
      <c r="H2416" s="28">
        <v>40.269072000000001</v>
      </c>
      <c r="I2416" s="28">
        <v>-80.170649999999995</v>
      </c>
      <c r="J2416" s="28"/>
      <c r="K2416" s="61">
        <v>110000329886</v>
      </c>
      <c r="L2416" s="61" t="str">
        <f>IFERROR(INDEX('Facility Summary'!$K:$K,MATCH(K2416,'Facility Summary'!$J:$J,0)),INDEX('Raw Annual DMR Data'!$M:$M,MATCH(K2416,'Raw Annual DMR Data'!$L:$L,0)))</f>
        <v>Unknown</v>
      </c>
      <c r="M2416" s="28"/>
      <c r="N2416" s="28"/>
      <c r="O2416" s="28"/>
      <c r="P2416" s="28"/>
      <c r="Q2416" s="28"/>
      <c r="R2416" s="28">
        <f t="shared" si="19"/>
        <v>1.3157256501167556E-2</v>
      </c>
      <c r="S2416" s="28">
        <v>5.9680311590624997E-3</v>
      </c>
    </row>
    <row r="2417" spans="1:19" x14ac:dyDescent="0.25">
      <c r="A2417" s="28">
        <v>2024</v>
      </c>
      <c r="B2417" s="28"/>
      <c r="C2417" s="28" t="s">
        <v>6880</v>
      </c>
      <c r="D2417" s="28" t="s">
        <v>2297</v>
      </c>
      <c r="E2417" s="28" t="s">
        <v>1007</v>
      </c>
      <c r="F2417" s="28" t="s">
        <v>1008</v>
      </c>
      <c r="G2417" s="28">
        <v>972101412</v>
      </c>
      <c r="H2417" s="28">
        <v>45.548641000000003</v>
      </c>
      <c r="I2417" s="28">
        <v>-122.72292299999999</v>
      </c>
      <c r="J2417" s="28" t="s">
        <v>737</v>
      </c>
      <c r="K2417" s="61">
        <v>110000487447</v>
      </c>
      <c r="L2417" s="61" t="str">
        <f>IFERROR(INDEX('Facility Summary'!$K:$K,MATCH(K2417,'Facility Summary'!$J:$J,0)),INDEX('Raw Annual DMR Data'!$M:$M,MATCH(K2417,'Raw Annual DMR Data'!$L:$L,0)))</f>
        <v>Repackaging</v>
      </c>
      <c r="M2417" s="28"/>
      <c r="N2417" s="28"/>
      <c r="O2417" s="28"/>
      <c r="P2417" s="28"/>
      <c r="Q2417" s="28"/>
      <c r="R2417" s="28">
        <f t="shared" si="19"/>
        <v>5.8220107018114075E-3</v>
      </c>
      <c r="S2417" s="28">
        <v>2.6408196324E-3</v>
      </c>
    </row>
    <row r="2418" spans="1:19" x14ac:dyDescent="0.25">
      <c r="A2418" s="28">
        <v>2021</v>
      </c>
      <c r="B2418" s="28"/>
      <c r="C2418" s="28" t="s">
        <v>6880</v>
      </c>
      <c r="D2418" s="28" t="s">
        <v>2297</v>
      </c>
      <c r="E2418" s="28" t="s">
        <v>1007</v>
      </c>
      <c r="F2418" s="28" t="s">
        <v>1008</v>
      </c>
      <c r="G2418" s="28">
        <v>972101412</v>
      </c>
      <c r="H2418" s="28">
        <v>45.548641000000003</v>
      </c>
      <c r="I2418" s="28">
        <v>-122.72292299999999</v>
      </c>
      <c r="J2418" s="28" t="s">
        <v>737</v>
      </c>
      <c r="K2418" s="61">
        <v>110000487447</v>
      </c>
      <c r="L2418" s="61" t="str">
        <f>IFERROR(INDEX('Facility Summary'!$K:$K,MATCH(K2418,'Facility Summary'!$J:$J,0)),INDEX('Raw Annual DMR Data'!$M:$M,MATCH(K2418,'Raw Annual DMR Data'!$L:$L,0)))</f>
        <v>Repackaging</v>
      </c>
      <c r="M2418" s="28"/>
      <c r="N2418" s="28"/>
      <c r="O2418" s="28"/>
      <c r="P2418" s="28"/>
      <c r="Q2418" s="28"/>
      <c r="R2418" s="28">
        <f t="shared" si="19"/>
        <v>5.6327515103483774E-3</v>
      </c>
      <c r="S2418" s="28">
        <v>2.5549731072000001E-3</v>
      </c>
    </row>
    <row r="2419" spans="1:19" x14ac:dyDescent="0.25">
      <c r="A2419" s="28">
        <v>2022</v>
      </c>
      <c r="B2419" s="28"/>
      <c r="C2419" s="28" t="s">
        <v>6880</v>
      </c>
      <c r="D2419" s="28" t="s">
        <v>2297</v>
      </c>
      <c r="E2419" s="28" t="s">
        <v>1007</v>
      </c>
      <c r="F2419" s="28" t="s">
        <v>1008</v>
      </c>
      <c r="G2419" s="28">
        <v>972101412</v>
      </c>
      <c r="H2419" s="28">
        <v>45.548641000000003</v>
      </c>
      <c r="I2419" s="28">
        <v>-122.72292299999999</v>
      </c>
      <c r="J2419" s="28" t="s">
        <v>737</v>
      </c>
      <c r="K2419" s="61">
        <v>110000487447</v>
      </c>
      <c r="L2419" s="61" t="str">
        <f>IFERROR(INDEX('Facility Summary'!$K:$K,MATCH(K2419,'Facility Summary'!$J:$J,0)),INDEX('Raw Annual DMR Data'!$M:$M,MATCH(K2419,'Raw Annual DMR Data'!$L:$L,0)))</f>
        <v>Repackaging</v>
      </c>
      <c r="M2419" s="28"/>
      <c r="N2419" s="28"/>
      <c r="O2419" s="28"/>
      <c r="P2419" s="28"/>
      <c r="Q2419" s="28"/>
      <c r="R2419" s="28">
        <f t="shared" si="19"/>
        <v>4.745628715050916E-3</v>
      </c>
      <c r="S2419" s="28">
        <v>2.1525809759999999E-3</v>
      </c>
    </row>
    <row r="2420" spans="1:19" x14ac:dyDescent="0.25">
      <c r="A2420" s="28">
        <v>2023</v>
      </c>
      <c r="B2420" s="28"/>
      <c r="C2420" s="28" t="s">
        <v>6880</v>
      </c>
      <c r="D2420" s="28" t="s">
        <v>2297</v>
      </c>
      <c r="E2420" s="28" t="s">
        <v>1007</v>
      </c>
      <c r="F2420" s="28" t="s">
        <v>1008</v>
      </c>
      <c r="G2420" s="28">
        <v>972101412</v>
      </c>
      <c r="H2420" s="28">
        <v>45.548641000000003</v>
      </c>
      <c r="I2420" s="28">
        <v>-122.72292299999999</v>
      </c>
      <c r="J2420" s="28" t="s">
        <v>737</v>
      </c>
      <c r="K2420" s="61">
        <v>110000487447</v>
      </c>
      <c r="L2420" s="61" t="str">
        <f>IFERROR(INDEX('Facility Summary'!$K:$K,MATCH(K2420,'Facility Summary'!$J:$J,0)),INDEX('Raw Annual DMR Data'!$M:$M,MATCH(K2420,'Raw Annual DMR Data'!$L:$L,0)))</f>
        <v>Repackaging</v>
      </c>
      <c r="M2420" s="28"/>
      <c r="N2420" s="28"/>
      <c r="O2420" s="28"/>
      <c r="P2420" s="28"/>
      <c r="Q2420" s="28"/>
      <c r="R2420" s="28">
        <f t="shared" si="19"/>
        <v>3.318791888849453E-3</v>
      </c>
      <c r="S2420" s="28">
        <v>1.5053786783999999E-3</v>
      </c>
    </row>
    <row r="2421" spans="1:19" x14ac:dyDescent="0.25">
      <c r="A2421" s="28">
        <v>2024</v>
      </c>
      <c r="B2421" s="28"/>
      <c r="C2421" s="28" t="s">
        <v>1389</v>
      </c>
      <c r="D2421" s="28" t="s">
        <v>2294</v>
      </c>
      <c r="E2421" s="28" t="s">
        <v>358</v>
      </c>
      <c r="F2421" s="28" t="s">
        <v>275</v>
      </c>
      <c r="G2421" s="28">
        <v>83704</v>
      </c>
      <c r="H2421" s="28">
        <v>43.605383000000003</v>
      </c>
      <c r="I2421" s="28">
        <v>-116.27849000000001</v>
      </c>
      <c r="J2421" s="28"/>
      <c r="K2421" s="61">
        <v>110062644367</v>
      </c>
      <c r="L2421" s="61" t="str">
        <f>IFERROR(INDEX('Facility Summary'!$K:$K,MATCH(K2421,'Facility Summary'!$J:$J,0)),INDEX('Raw Annual DMR Data'!$M:$M,MATCH(K2421,'Raw Annual DMR Data'!$L:$L,0)))</f>
        <v>Unknown</v>
      </c>
      <c r="M2421" s="28"/>
      <c r="N2421" s="28"/>
      <c r="O2421" s="28"/>
      <c r="P2421" s="28"/>
      <c r="Q2421" s="28"/>
      <c r="R2421" s="28">
        <f t="shared" si="19"/>
        <v>2.8630635475636421E-2</v>
      </c>
      <c r="S2421" s="28">
        <v>1.2986637800000001E-2</v>
      </c>
    </row>
    <row r="2422" spans="1:19" x14ac:dyDescent="0.25">
      <c r="A2422" s="28">
        <v>2022</v>
      </c>
      <c r="B2422" s="28"/>
      <c r="C2422" s="28" t="s">
        <v>1389</v>
      </c>
      <c r="D2422" s="28" t="s">
        <v>2294</v>
      </c>
      <c r="E2422" s="28" t="s">
        <v>358</v>
      </c>
      <c r="F2422" s="28" t="s">
        <v>275</v>
      </c>
      <c r="G2422" s="28">
        <v>83704</v>
      </c>
      <c r="H2422" s="28">
        <v>43.605383000000003</v>
      </c>
      <c r="I2422" s="28">
        <v>-116.27849000000001</v>
      </c>
      <c r="J2422" s="28"/>
      <c r="K2422" s="61">
        <v>110062644367</v>
      </c>
      <c r="L2422" s="61" t="str">
        <f>IFERROR(INDEX('Facility Summary'!$K:$K,MATCH(K2422,'Facility Summary'!$J:$J,0)),INDEX('Raw Annual DMR Data'!$M:$M,MATCH(K2422,'Raw Annual DMR Data'!$L:$L,0)))</f>
        <v>Unknown</v>
      </c>
      <c r="M2422" s="28"/>
      <c r="N2422" s="28"/>
      <c r="O2422" s="28"/>
      <c r="P2422" s="28"/>
      <c r="Q2422" s="28"/>
      <c r="R2422" s="28">
        <f t="shared" si="19"/>
        <v>2.3453684736804547E-2</v>
      </c>
      <c r="S2422" s="28">
        <v>1.0638412445E-2</v>
      </c>
    </row>
    <row r="2423" spans="1:19" x14ac:dyDescent="0.25">
      <c r="A2423" s="28">
        <v>2021</v>
      </c>
      <c r="B2423" s="28"/>
      <c r="C2423" s="28" t="s">
        <v>1389</v>
      </c>
      <c r="D2423" s="28" t="s">
        <v>2294</v>
      </c>
      <c r="E2423" s="28" t="s">
        <v>358</v>
      </c>
      <c r="F2423" s="28" t="s">
        <v>275</v>
      </c>
      <c r="G2423" s="28">
        <v>83704</v>
      </c>
      <c r="H2423" s="28">
        <v>43.605383000000003</v>
      </c>
      <c r="I2423" s="28">
        <v>-116.27849000000001</v>
      </c>
      <c r="J2423" s="28"/>
      <c r="K2423" s="61">
        <v>110062644367</v>
      </c>
      <c r="L2423" s="61" t="str">
        <f>IFERROR(INDEX('Facility Summary'!$K:$K,MATCH(K2423,'Facility Summary'!$J:$J,0)),INDEX('Raw Annual DMR Data'!$M:$M,MATCH(K2423,'Raw Annual DMR Data'!$L:$L,0)))</f>
        <v>Unknown</v>
      </c>
      <c r="M2423" s="28"/>
      <c r="N2423" s="28"/>
      <c r="O2423" s="28"/>
      <c r="P2423" s="28"/>
      <c r="Q2423" s="28"/>
      <c r="R2423" s="28">
        <f t="shared" si="19"/>
        <v>2.2000941252605283E-2</v>
      </c>
      <c r="S2423" s="28">
        <v>9.9794590849999996E-3</v>
      </c>
    </row>
    <row r="2424" spans="1:19" x14ac:dyDescent="0.25">
      <c r="A2424" s="28">
        <v>2023</v>
      </c>
      <c r="B2424" s="28"/>
      <c r="C2424" s="28" t="s">
        <v>1389</v>
      </c>
      <c r="D2424" s="28" t="s">
        <v>2294</v>
      </c>
      <c r="E2424" s="28" t="s">
        <v>358</v>
      </c>
      <c r="F2424" s="28" t="s">
        <v>275</v>
      </c>
      <c r="G2424" s="28">
        <v>83704</v>
      </c>
      <c r="H2424" s="28">
        <v>43.605383000000003</v>
      </c>
      <c r="I2424" s="28">
        <v>-116.27849000000001</v>
      </c>
      <c r="J2424" s="28"/>
      <c r="K2424" s="61">
        <v>110062644367</v>
      </c>
      <c r="L2424" s="61" t="str">
        <f>IFERROR(INDEX('Facility Summary'!$K:$K,MATCH(K2424,'Facility Summary'!$J:$J,0)),INDEX('Raw Annual DMR Data'!$M:$M,MATCH(K2424,'Raw Annual DMR Data'!$L:$L,0)))</f>
        <v>Unknown</v>
      </c>
      <c r="M2424" s="28"/>
      <c r="N2424" s="28"/>
      <c r="O2424" s="28"/>
      <c r="P2424" s="28"/>
      <c r="Q2424" s="28"/>
      <c r="R2424" s="28">
        <f t="shared" si="19"/>
        <v>2.1696734283691763E-2</v>
      </c>
      <c r="S2424" s="28">
        <v>9.8414731249999998E-3</v>
      </c>
    </row>
    <row r="2425" spans="1:19" x14ac:dyDescent="0.25">
      <c r="A2425" s="28">
        <v>2021</v>
      </c>
      <c r="B2425" s="28"/>
      <c r="C2425" s="28" t="s">
        <v>1392</v>
      </c>
      <c r="D2425" s="28" t="s">
        <v>2302</v>
      </c>
      <c r="E2425" s="28" t="s">
        <v>1393</v>
      </c>
      <c r="F2425" s="28" t="s">
        <v>294</v>
      </c>
      <c r="G2425" s="28">
        <v>22060</v>
      </c>
      <c r="H2425" s="28">
        <v>38.711596</v>
      </c>
      <c r="I2425" s="28">
        <v>-77.147887999999995</v>
      </c>
      <c r="J2425" s="28"/>
      <c r="K2425" s="61">
        <v>110070596765</v>
      </c>
      <c r="L2425" s="61" t="str">
        <f>IFERROR(INDEX('Facility Summary'!$K:$K,MATCH(K2425,'Facility Summary'!$J:$J,0)),INDEX('Raw Annual DMR Data'!$M:$M,MATCH(K2425,'Raw Annual DMR Data'!$L:$L,0)))</f>
        <v>Laboratory Use</v>
      </c>
      <c r="M2425" s="28"/>
      <c r="N2425" s="28"/>
      <c r="O2425" s="28"/>
      <c r="P2425" s="28"/>
      <c r="Q2425" s="28"/>
      <c r="R2425" s="28">
        <f t="shared" si="19"/>
        <v>7.6677996699988571E-3</v>
      </c>
      <c r="S2425" s="28">
        <v>3.4780554249999999E-3</v>
      </c>
    </row>
    <row r="2426" spans="1:19" x14ac:dyDescent="0.25">
      <c r="A2426" s="28">
        <v>2022</v>
      </c>
      <c r="B2426" s="28"/>
      <c r="C2426" s="28" t="s">
        <v>1392</v>
      </c>
      <c r="D2426" s="28" t="s">
        <v>2302</v>
      </c>
      <c r="E2426" s="28" t="s">
        <v>1393</v>
      </c>
      <c r="F2426" s="28" t="s">
        <v>294</v>
      </c>
      <c r="G2426" s="28">
        <v>22060</v>
      </c>
      <c r="H2426" s="28">
        <v>38.711596</v>
      </c>
      <c r="I2426" s="28">
        <v>-77.147887999999995</v>
      </c>
      <c r="J2426" s="28"/>
      <c r="K2426" s="61">
        <v>110070596765</v>
      </c>
      <c r="L2426" s="61" t="str">
        <f>IFERROR(INDEX('Facility Summary'!$K:$K,MATCH(K2426,'Facility Summary'!$J:$J,0)),INDEX('Raw Annual DMR Data'!$M:$M,MATCH(K2426,'Raw Annual DMR Data'!$L:$L,0)))</f>
        <v>Laboratory Use</v>
      </c>
      <c r="M2426" s="28"/>
      <c r="N2426" s="28"/>
      <c r="O2426" s="28"/>
      <c r="P2426" s="28"/>
      <c r="Q2426" s="28"/>
      <c r="R2426" s="28">
        <f t="shared" si="19"/>
        <v>9.9118017020436225E-4</v>
      </c>
      <c r="S2426" s="28">
        <v>4.4959176249999999E-4</v>
      </c>
    </row>
    <row r="2427" spans="1:19" x14ac:dyDescent="0.25">
      <c r="A2427" s="28">
        <v>2021</v>
      </c>
      <c r="B2427" s="28"/>
      <c r="C2427" s="28" t="s">
        <v>1394</v>
      </c>
      <c r="D2427" s="28" t="s">
        <v>6973</v>
      </c>
      <c r="E2427" s="28" t="s">
        <v>1395</v>
      </c>
      <c r="F2427" s="28" t="s">
        <v>362</v>
      </c>
      <c r="G2427" s="28">
        <v>78241</v>
      </c>
      <c r="H2427" s="28">
        <v>29.378699999999998</v>
      </c>
      <c r="I2427" s="28">
        <v>-98.551670000000001</v>
      </c>
      <c r="J2427" s="28"/>
      <c r="K2427" s="61">
        <v>110042004915</v>
      </c>
      <c r="L2427" s="61" t="str">
        <f>IFERROR(INDEX('Facility Summary'!$K:$K,MATCH(K2427,'Facility Summary'!$J:$J,0)),INDEX('Raw Annual DMR Data'!$M:$M,MATCH(K2427,'Raw Annual DMR Data'!$L:$L,0)))</f>
        <v>Unknown</v>
      </c>
      <c r="M2427" s="28"/>
      <c r="N2427" s="28"/>
      <c r="O2427" s="28"/>
      <c r="P2427" s="28"/>
      <c r="Q2427" s="28"/>
      <c r="R2427" s="28">
        <f t="shared" si="19"/>
        <v>4.1552925450443534E-2</v>
      </c>
      <c r="S2427" s="28">
        <v>1.8848089935499999E-2</v>
      </c>
    </row>
    <row r="2428" spans="1:19" x14ac:dyDescent="0.25">
      <c r="A2428" s="28">
        <v>2022</v>
      </c>
      <c r="B2428" s="28"/>
      <c r="C2428" s="28" t="s">
        <v>1394</v>
      </c>
      <c r="D2428" s="28" t="s">
        <v>6973</v>
      </c>
      <c r="E2428" s="28" t="s">
        <v>1395</v>
      </c>
      <c r="F2428" s="28" t="s">
        <v>362</v>
      </c>
      <c r="G2428" s="28">
        <v>78241</v>
      </c>
      <c r="H2428" s="28">
        <v>29.378699999999998</v>
      </c>
      <c r="I2428" s="28">
        <v>-98.551670000000001</v>
      </c>
      <c r="J2428" s="28"/>
      <c r="K2428" s="61">
        <v>110042004915</v>
      </c>
      <c r="L2428" s="61" t="str">
        <f>IFERROR(INDEX('Facility Summary'!$K:$K,MATCH(K2428,'Facility Summary'!$J:$J,0)),INDEX('Raw Annual DMR Data'!$M:$M,MATCH(K2428,'Raw Annual DMR Data'!$L:$L,0)))</f>
        <v>Unknown</v>
      </c>
      <c r="M2428" s="28"/>
      <c r="N2428" s="28"/>
      <c r="O2428" s="28"/>
      <c r="P2428" s="28"/>
      <c r="Q2428" s="28"/>
      <c r="R2428" s="28">
        <f t="shared" ref="R2428:R2491" si="20">CONVERT(S2428,"g","lbm")*1000</f>
        <v>3.1155490733893954E-2</v>
      </c>
      <c r="S2428" s="28">
        <v>1.4131892880499999E-2</v>
      </c>
    </row>
    <row r="2429" spans="1:19" x14ac:dyDescent="0.25">
      <c r="A2429" s="28">
        <v>2023</v>
      </c>
      <c r="B2429" s="28"/>
      <c r="C2429" s="28" t="s">
        <v>1394</v>
      </c>
      <c r="D2429" s="28" t="s">
        <v>6973</v>
      </c>
      <c r="E2429" s="28" t="s">
        <v>1395</v>
      </c>
      <c r="F2429" s="28" t="s">
        <v>362</v>
      </c>
      <c r="G2429" s="28">
        <v>78241</v>
      </c>
      <c r="H2429" s="28">
        <v>29.378699999999998</v>
      </c>
      <c r="I2429" s="28">
        <v>-98.551670000000001</v>
      </c>
      <c r="J2429" s="28"/>
      <c r="K2429" s="61">
        <v>110042004915</v>
      </c>
      <c r="L2429" s="61" t="str">
        <f>IFERROR(INDEX('Facility Summary'!$K:$K,MATCH(K2429,'Facility Summary'!$J:$J,0)),INDEX('Raw Annual DMR Data'!$M:$M,MATCH(K2429,'Raw Annual DMR Data'!$L:$L,0)))</f>
        <v>Unknown</v>
      </c>
      <c r="M2429" s="28"/>
      <c r="N2429" s="28"/>
      <c r="O2429" s="28"/>
      <c r="P2429" s="28"/>
      <c r="Q2429" s="28"/>
      <c r="R2429" s="28">
        <f t="shared" si="20"/>
        <v>3.0560008262484662E-2</v>
      </c>
      <c r="S2429" s="28">
        <v>1.3861786575E-2</v>
      </c>
    </row>
    <row r="2430" spans="1:19" x14ac:dyDescent="0.25">
      <c r="A2430" s="28">
        <v>2024</v>
      </c>
      <c r="B2430" s="28"/>
      <c r="C2430" s="28" t="s">
        <v>1394</v>
      </c>
      <c r="D2430" s="28" t="s">
        <v>6973</v>
      </c>
      <c r="E2430" s="28" t="s">
        <v>1395</v>
      </c>
      <c r="F2430" s="28" t="s">
        <v>362</v>
      </c>
      <c r="G2430" s="28">
        <v>78241</v>
      </c>
      <c r="H2430" s="28">
        <v>29.378699999999998</v>
      </c>
      <c r="I2430" s="28">
        <v>-98.551670000000001</v>
      </c>
      <c r="J2430" s="28"/>
      <c r="K2430" s="61">
        <v>110042004915</v>
      </c>
      <c r="L2430" s="61" t="str">
        <f>IFERROR(INDEX('Facility Summary'!$K:$K,MATCH(K2430,'Facility Summary'!$J:$J,0)),INDEX('Raw Annual DMR Data'!$M:$M,MATCH(K2430,'Raw Annual DMR Data'!$L:$L,0)))</f>
        <v>Unknown</v>
      </c>
      <c r="M2430" s="28"/>
      <c r="N2430" s="28"/>
      <c r="O2430" s="28"/>
      <c r="P2430" s="28"/>
      <c r="Q2430" s="28"/>
      <c r="R2430" s="28">
        <f t="shared" si="20"/>
        <v>2.7506335550794205E-2</v>
      </c>
      <c r="S2430" s="28">
        <v>1.24766639325E-2</v>
      </c>
    </row>
    <row r="2431" spans="1:19" x14ac:dyDescent="0.25">
      <c r="A2431" s="28">
        <v>2021</v>
      </c>
      <c r="B2431" s="28"/>
      <c r="C2431" s="28" t="s">
        <v>1398</v>
      </c>
      <c r="D2431" s="28" t="s">
        <v>2311</v>
      </c>
      <c r="E2431" s="28" t="s">
        <v>1399</v>
      </c>
      <c r="F2431" s="28" t="s">
        <v>1171</v>
      </c>
      <c r="G2431" s="28">
        <v>968633062</v>
      </c>
      <c r="H2431" s="28">
        <v>21.438638999999998</v>
      </c>
      <c r="I2431" s="28">
        <v>-157.75847200000001</v>
      </c>
      <c r="J2431" s="28"/>
      <c r="K2431" s="61">
        <v>110041973460</v>
      </c>
      <c r="L2431" s="61" t="str">
        <f>IFERROR(INDEX('Facility Summary'!$K:$K,MATCH(K2431,'Facility Summary'!$J:$J,0)),INDEX('Raw Annual DMR Data'!$M:$M,MATCH(K2431,'Raw Annual DMR Data'!$L:$L,0)))</f>
        <v>POTW</v>
      </c>
      <c r="M2431" s="28"/>
      <c r="N2431" s="28"/>
      <c r="O2431" s="28"/>
      <c r="P2431" s="28"/>
      <c r="Q2431" s="28"/>
      <c r="R2431" s="28">
        <f t="shared" si="20"/>
        <v>3.8528627035767817</v>
      </c>
      <c r="S2431" s="28">
        <v>1.747629125</v>
      </c>
    </row>
    <row r="2432" spans="1:19" x14ac:dyDescent="0.25">
      <c r="A2432" s="28">
        <v>2023</v>
      </c>
      <c r="B2432" s="28"/>
      <c r="C2432" s="28" t="s">
        <v>1398</v>
      </c>
      <c r="D2432" s="28" t="s">
        <v>2311</v>
      </c>
      <c r="E2432" s="28" t="s">
        <v>1399</v>
      </c>
      <c r="F2432" s="28" t="s">
        <v>1171</v>
      </c>
      <c r="G2432" s="28">
        <v>968633062</v>
      </c>
      <c r="H2432" s="28">
        <v>21.438638999999998</v>
      </c>
      <c r="I2432" s="28">
        <v>-157.75847200000001</v>
      </c>
      <c r="J2432" s="28"/>
      <c r="K2432" s="61">
        <v>110041973460</v>
      </c>
      <c r="L2432" s="61" t="str">
        <f>IFERROR(INDEX('Facility Summary'!$K:$K,MATCH(K2432,'Facility Summary'!$J:$J,0)),INDEX('Raw Annual DMR Data'!$M:$M,MATCH(K2432,'Raw Annual DMR Data'!$L:$L,0)))</f>
        <v>POTW</v>
      </c>
      <c r="M2432" s="28"/>
      <c r="N2432" s="28"/>
      <c r="O2432" s="28"/>
      <c r="P2432" s="28"/>
      <c r="Q2432" s="28"/>
      <c r="R2432" s="28">
        <f t="shared" si="20"/>
        <v>3.6427065561089575</v>
      </c>
      <c r="S2432" s="28">
        <v>1.6523038999999999</v>
      </c>
    </row>
    <row r="2433" spans="1:19" x14ac:dyDescent="0.25">
      <c r="A2433" s="28">
        <v>2022</v>
      </c>
      <c r="B2433" s="28"/>
      <c r="C2433" s="28" t="s">
        <v>1398</v>
      </c>
      <c r="D2433" s="28" t="s">
        <v>2311</v>
      </c>
      <c r="E2433" s="28" t="s">
        <v>1399</v>
      </c>
      <c r="F2433" s="28" t="s">
        <v>1171</v>
      </c>
      <c r="G2433" s="28">
        <v>968633062</v>
      </c>
      <c r="H2433" s="28">
        <v>21.438638999999998</v>
      </c>
      <c r="I2433" s="28">
        <v>-157.75847200000001</v>
      </c>
      <c r="J2433" s="28"/>
      <c r="K2433" s="61">
        <v>110041973460</v>
      </c>
      <c r="L2433" s="61" t="str">
        <f>IFERROR(INDEX('Facility Summary'!$K:$K,MATCH(K2433,'Facility Summary'!$J:$J,0)),INDEX('Raw Annual DMR Data'!$M:$M,MATCH(K2433,'Raw Annual DMR Data'!$L:$L,0)))</f>
        <v>POTW</v>
      </c>
      <c r="M2433" s="28"/>
      <c r="N2433" s="28"/>
      <c r="O2433" s="28"/>
      <c r="P2433" s="28"/>
      <c r="Q2433" s="28"/>
      <c r="R2433" s="28">
        <f t="shared" si="20"/>
        <v>2.8492909558862287</v>
      </c>
      <c r="S2433" s="28">
        <v>1.2924166374999999</v>
      </c>
    </row>
    <row r="2434" spans="1:19" x14ac:dyDescent="0.25">
      <c r="A2434" s="28">
        <v>2021</v>
      </c>
      <c r="B2434" s="28"/>
      <c r="C2434" s="28" t="s">
        <v>6797</v>
      </c>
      <c r="D2434" s="28" t="s">
        <v>6946</v>
      </c>
      <c r="E2434" s="28" t="s">
        <v>6947</v>
      </c>
      <c r="F2434" s="28" t="s">
        <v>308</v>
      </c>
      <c r="G2434" s="28">
        <v>2210</v>
      </c>
      <c r="H2434" s="28">
        <v>42.349516999999999</v>
      </c>
      <c r="I2434" s="28">
        <v>-71.047058000000007</v>
      </c>
      <c r="J2434" s="28"/>
      <c r="K2434" s="61">
        <v>110070917345</v>
      </c>
      <c r="L2434" s="61" t="str">
        <f>IFERROR(INDEX('Facility Summary'!$K:$K,MATCH(K2434,'Facility Summary'!$J:$J,0)),INDEX('Raw Annual DMR Data'!$M:$M,MATCH(K2434,'Raw Annual DMR Data'!$L:$L,0)))</f>
        <v>Unknown</v>
      </c>
      <c r="M2434" s="28"/>
      <c r="N2434" s="28"/>
      <c r="O2434" s="28"/>
      <c r="P2434" s="28"/>
      <c r="Q2434" s="28"/>
      <c r="R2434" s="28">
        <f t="shared" si="20"/>
        <v>2.0187006232049272E-4</v>
      </c>
      <c r="S2434" s="28">
        <v>9.1566719999999993E-5</v>
      </c>
    </row>
    <row r="2435" spans="1:19" x14ac:dyDescent="0.25">
      <c r="A2435" s="28">
        <v>2024</v>
      </c>
      <c r="B2435" s="28"/>
      <c r="C2435" s="28" t="s">
        <v>1400</v>
      </c>
      <c r="D2435" s="28" t="s">
        <v>2313</v>
      </c>
      <c r="E2435" s="28" t="s">
        <v>1401</v>
      </c>
      <c r="F2435" s="28" t="s">
        <v>324</v>
      </c>
      <c r="G2435" s="28" t="s">
        <v>2314</v>
      </c>
      <c r="H2435" s="28">
        <v>37.642310000000002</v>
      </c>
      <c r="I2435" s="28">
        <v>-85.903570000000002</v>
      </c>
      <c r="J2435" s="28"/>
      <c r="K2435" s="61">
        <v>110000571373</v>
      </c>
      <c r="L2435" s="61" t="str">
        <f>IFERROR(INDEX('Facility Summary'!$K:$K,MATCH(K2435,'Facility Summary'!$J:$J,0)),INDEX('Raw Annual DMR Data'!$M:$M,MATCH(K2435,'Raw Annual DMR Data'!$L:$L,0)))</f>
        <v>POTW</v>
      </c>
      <c r="M2435" s="28"/>
      <c r="N2435" s="28"/>
      <c r="O2435" s="28"/>
      <c r="P2435" s="28"/>
      <c r="Q2435" s="28"/>
      <c r="R2435" s="28">
        <f t="shared" si="20"/>
        <v>60.914825352992601</v>
      </c>
      <c r="S2435" s="28">
        <v>27.630500000000001</v>
      </c>
    </row>
    <row r="2436" spans="1:19" x14ac:dyDescent="0.25">
      <c r="A2436" s="28">
        <v>2021</v>
      </c>
      <c r="B2436" s="28"/>
      <c r="C2436" s="28" t="s">
        <v>1400</v>
      </c>
      <c r="D2436" s="28" t="s">
        <v>2313</v>
      </c>
      <c r="E2436" s="28" t="s">
        <v>1401</v>
      </c>
      <c r="F2436" s="28" t="s">
        <v>324</v>
      </c>
      <c r="G2436" s="28" t="s">
        <v>2314</v>
      </c>
      <c r="H2436" s="28">
        <v>37.642310000000002</v>
      </c>
      <c r="I2436" s="28">
        <v>-85.903570000000002</v>
      </c>
      <c r="J2436" s="28"/>
      <c r="K2436" s="61">
        <v>110000571373</v>
      </c>
      <c r="L2436" s="61" t="str">
        <f>IFERROR(INDEX('Facility Summary'!$K:$K,MATCH(K2436,'Facility Summary'!$J:$J,0)),INDEX('Raw Annual DMR Data'!$M:$M,MATCH(K2436,'Raw Annual DMR Data'!$L:$L,0)))</f>
        <v>POTW</v>
      </c>
      <c r="M2436" s="28"/>
      <c r="N2436" s="28"/>
      <c r="O2436" s="28"/>
      <c r="P2436" s="28"/>
      <c r="Q2436" s="28"/>
      <c r="R2436" s="28">
        <f t="shared" si="20"/>
        <v>50.25473091621889</v>
      </c>
      <c r="S2436" s="28">
        <v>22.7951625</v>
      </c>
    </row>
    <row r="2437" spans="1:19" x14ac:dyDescent="0.25">
      <c r="A2437" s="28">
        <v>2022</v>
      </c>
      <c r="B2437" s="28"/>
      <c r="C2437" s="28" t="s">
        <v>1400</v>
      </c>
      <c r="D2437" s="28" t="s">
        <v>2313</v>
      </c>
      <c r="E2437" s="28" t="s">
        <v>1401</v>
      </c>
      <c r="F2437" s="28" t="s">
        <v>324</v>
      </c>
      <c r="G2437" s="28" t="s">
        <v>2314</v>
      </c>
      <c r="H2437" s="28">
        <v>37.642310000000002</v>
      </c>
      <c r="I2437" s="28">
        <v>-85.903570000000002</v>
      </c>
      <c r="J2437" s="28"/>
      <c r="K2437" s="61">
        <v>110000571373</v>
      </c>
      <c r="L2437" s="61" t="str">
        <f>IFERROR(INDEX('Facility Summary'!$K:$K,MATCH(K2437,'Facility Summary'!$J:$J,0)),INDEX('Raw Annual DMR Data'!$M:$M,MATCH(K2437,'Raw Annual DMR Data'!$L:$L,0)))</f>
        <v>POTW</v>
      </c>
      <c r="M2437" s="28"/>
      <c r="N2437" s="28"/>
      <c r="O2437" s="28"/>
      <c r="P2437" s="28"/>
      <c r="Q2437" s="28"/>
      <c r="R2437" s="28">
        <f t="shared" si="20"/>
        <v>44.163248380919633</v>
      </c>
      <c r="S2437" s="28">
        <v>20.0321125</v>
      </c>
    </row>
    <row r="2438" spans="1:19" x14ac:dyDescent="0.25">
      <c r="A2438" s="28">
        <v>2023</v>
      </c>
      <c r="B2438" s="28"/>
      <c r="C2438" s="28" t="s">
        <v>1400</v>
      </c>
      <c r="D2438" s="28" t="s">
        <v>2313</v>
      </c>
      <c r="E2438" s="28" t="s">
        <v>1401</v>
      </c>
      <c r="F2438" s="28" t="s">
        <v>324</v>
      </c>
      <c r="G2438" s="28" t="s">
        <v>2314</v>
      </c>
      <c r="H2438" s="28">
        <v>37.642310000000002</v>
      </c>
      <c r="I2438" s="28">
        <v>-85.903570000000002</v>
      </c>
      <c r="J2438" s="28"/>
      <c r="K2438" s="61">
        <v>110000571373</v>
      </c>
      <c r="L2438" s="61" t="str">
        <f>IFERROR(INDEX('Facility Summary'!$K:$K,MATCH(K2438,'Facility Summary'!$J:$J,0)),INDEX('Raw Annual DMR Data'!$M:$M,MATCH(K2438,'Raw Annual DMR Data'!$L:$L,0)))</f>
        <v>POTW</v>
      </c>
      <c r="M2438" s="28"/>
      <c r="N2438" s="28"/>
      <c r="O2438" s="28"/>
      <c r="P2438" s="28"/>
      <c r="Q2438" s="28"/>
      <c r="R2438" s="28">
        <f t="shared" si="20"/>
        <v>7.3097790423591116</v>
      </c>
      <c r="S2438" s="28">
        <v>3.3156599999999998</v>
      </c>
    </row>
    <row r="2439" spans="1:19" x14ac:dyDescent="0.25">
      <c r="A2439" s="28">
        <v>2024</v>
      </c>
      <c r="B2439" s="28"/>
      <c r="C2439" s="28" t="s">
        <v>6798</v>
      </c>
      <c r="D2439" s="28" t="s">
        <v>6948</v>
      </c>
      <c r="E2439" s="28" t="s">
        <v>6949</v>
      </c>
      <c r="F2439" s="28" t="s">
        <v>294</v>
      </c>
      <c r="G2439" s="28">
        <v>231500000</v>
      </c>
      <c r="H2439" s="28">
        <v>37.497348000000002</v>
      </c>
      <c r="I2439" s="28">
        <v>-77.244916000000003</v>
      </c>
      <c r="J2439" s="28"/>
      <c r="K2439" s="61">
        <v>110001905163</v>
      </c>
      <c r="L2439" s="61" t="str">
        <f>IFERROR(INDEX('Facility Summary'!$K:$K,MATCH(K2439,'Facility Summary'!$J:$J,0)),INDEX('Raw Annual DMR Data'!$M:$M,MATCH(K2439,'Raw Annual DMR Data'!$L:$L,0)))</f>
        <v>Laboratory Use</v>
      </c>
      <c r="M2439" s="28"/>
      <c r="N2439" s="28"/>
      <c r="O2439" s="28"/>
      <c r="P2439" s="28"/>
      <c r="Q2439" s="28"/>
      <c r="R2439" s="28">
        <f t="shared" si="20"/>
        <v>1.8478438743298304E-3</v>
      </c>
      <c r="S2439" s="28">
        <v>8.3816788234724997E-4</v>
      </c>
    </row>
    <row r="2440" spans="1:19" x14ac:dyDescent="0.25">
      <c r="A2440" s="28">
        <v>2024</v>
      </c>
      <c r="B2440" s="28"/>
      <c r="C2440" s="28" t="s">
        <v>198</v>
      </c>
      <c r="D2440" s="28" t="s">
        <v>656</v>
      </c>
      <c r="E2440" s="28" t="s">
        <v>657</v>
      </c>
      <c r="F2440" s="28" t="s">
        <v>418</v>
      </c>
      <c r="G2440" s="28">
        <v>89109</v>
      </c>
      <c r="H2440" s="28">
        <v>36.122100000000003</v>
      </c>
      <c r="I2440" s="28">
        <v>-115.17139</v>
      </c>
      <c r="J2440" s="28"/>
      <c r="K2440" s="61">
        <v>110004306938</v>
      </c>
      <c r="L2440" s="61" t="str">
        <f>IFERROR(INDEX('Facility Summary'!$K:$K,MATCH(K2440,'Facility Summary'!$J:$J,0)),INDEX('Raw Annual DMR Data'!$M:$M,MATCH(K2440,'Raw Annual DMR Data'!$L:$L,0)))</f>
        <v>Unknown</v>
      </c>
      <c r="M2440" s="28"/>
      <c r="N2440" s="28"/>
      <c r="O2440" s="28"/>
      <c r="P2440" s="28"/>
      <c r="Q2440" s="28"/>
      <c r="R2440" s="28">
        <f t="shared" si="20"/>
        <v>1.497400622474095</v>
      </c>
      <c r="S2440" s="28">
        <v>0.67920949718750001</v>
      </c>
    </row>
    <row r="2441" spans="1:19" x14ac:dyDescent="0.25">
      <c r="A2441" s="28">
        <v>2023</v>
      </c>
      <c r="B2441" s="28"/>
      <c r="C2441" s="28" t="s">
        <v>198</v>
      </c>
      <c r="D2441" s="28" t="s">
        <v>656</v>
      </c>
      <c r="E2441" s="28" t="s">
        <v>657</v>
      </c>
      <c r="F2441" s="28" t="s">
        <v>418</v>
      </c>
      <c r="G2441" s="28">
        <v>89109</v>
      </c>
      <c r="H2441" s="28">
        <v>36.122100000000003</v>
      </c>
      <c r="I2441" s="28">
        <v>-115.17139</v>
      </c>
      <c r="J2441" s="28"/>
      <c r="K2441" s="61">
        <v>110004306938</v>
      </c>
      <c r="L2441" s="61" t="str">
        <f>IFERROR(INDEX('Facility Summary'!$K:$K,MATCH(K2441,'Facility Summary'!$J:$J,0)),INDEX('Raw Annual DMR Data'!$M:$M,MATCH(K2441,'Raw Annual DMR Data'!$L:$L,0)))</f>
        <v>Unknown</v>
      </c>
      <c r="M2441" s="28"/>
      <c r="N2441" s="28"/>
      <c r="O2441" s="28"/>
      <c r="P2441" s="28"/>
      <c r="Q2441" s="28"/>
      <c r="R2441" s="28">
        <f t="shared" si="20"/>
        <v>1.4795754217051758</v>
      </c>
      <c r="S2441" s="28">
        <v>0.67112412212500006</v>
      </c>
    </row>
    <row r="2442" spans="1:19" x14ac:dyDescent="0.25">
      <c r="A2442" s="28">
        <v>2022</v>
      </c>
      <c r="B2442" s="28"/>
      <c r="C2442" s="28" t="s">
        <v>198</v>
      </c>
      <c r="D2442" s="28" t="s">
        <v>656</v>
      </c>
      <c r="E2442" s="28" t="s">
        <v>657</v>
      </c>
      <c r="F2442" s="28" t="s">
        <v>418</v>
      </c>
      <c r="G2442" s="28">
        <v>89109</v>
      </c>
      <c r="H2442" s="28">
        <v>36.122100000000003</v>
      </c>
      <c r="I2442" s="28">
        <v>-115.17139</v>
      </c>
      <c r="J2442" s="28"/>
      <c r="K2442" s="61">
        <v>110004306938</v>
      </c>
      <c r="L2442" s="61" t="str">
        <f>IFERROR(INDEX('Facility Summary'!$K:$K,MATCH(K2442,'Facility Summary'!$J:$J,0)),INDEX('Raw Annual DMR Data'!$M:$M,MATCH(K2442,'Raw Annual DMR Data'!$L:$L,0)))</f>
        <v>Unknown</v>
      </c>
      <c r="M2442" s="28"/>
      <c r="N2442" s="28"/>
      <c r="O2442" s="28"/>
      <c r="P2442" s="28"/>
      <c r="Q2442" s="28"/>
      <c r="R2442" s="28">
        <f t="shared" si="20"/>
        <v>0.7273230147147316</v>
      </c>
      <c r="S2442" s="28">
        <v>0.32990817</v>
      </c>
    </row>
    <row r="2443" spans="1:19" x14ac:dyDescent="0.25">
      <c r="A2443" s="28">
        <v>2021</v>
      </c>
      <c r="B2443" s="28"/>
      <c r="C2443" s="28" t="s">
        <v>198</v>
      </c>
      <c r="D2443" s="28" t="s">
        <v>656</v>
      </c>
      <c r="E2443" s="28" t="s">
        <v>657</v>
      </c>
      <c r="F2443" s="28" t="s">
        <v>418</v>
      </c>
      <c r="G2443" s="28">
        <v>89109</v>
      </c>
      <c r="H2443" s="28">
        <v>36.122100000000003</v>
      </c>
      <c r="I2443" s="28">
        <v>-115.17139</v>
      </c>
      <c r="J2443" s="28"/>
      <c r="K2443" s="61">
        <v>110004306938</v>
      </c>
      <c r="L2443" s="61" t="str">
        <f>IFERROR(INDEX('Facility Summary'!$K:$K,MATCH(K2443,'Facility Summary'!$J:$J,0)),INDEX('Raw Annual DMR Data'!$M:$M,MATCH(K2443,'Raw Annual DMR Data'!$L:$L,0)))</f>
        <v>Unknown</v>
      </c>
      <c r="M2443" s="28"/>
      <c r="N2443" s="28"/>
      <c r="O2443" s="28"/>
      <c r="P2443" s="28"/>
      <c r="Q2443" s="28"/>
      <c r="R2443" s="28">
        <f t="shared" si="20"/>
        <v>0.3667529347440302</v>
      </c>
      <c r="S2443" s="28">
        <v>0.16635633287500001</v>
      </c>
    </row>
    <row r="2444" spans="1:19" x14ac:dyDescent="0.25">
      <c r="A2444" s="28">
        <v>2022</v>
      </c>
      <c r="B2444" s="28"/>
      <c r="C2444" s="28" t="s">
        <v>198</v>
      </c>
      <c r="D2444" s="28" t="s">
        <v>656</v>
      </c>
      <c r="E2444" s="28" t="s">
        <v>657</v>
      </c>
      <c r="F2444" s="28" t="s">
        <v>418</v>
      </c>
      <c r="G2444" s="28">
        <v>89109</v>
      </c>
      <c r="H2444" s="28">
        <v>36.122100000000003</v>
      </c>
      <c r="I2444" s="28">
        <v>-115.17139</v>
      </c>
      <c r="J2444" s="28"/>
      <c r="K2444" s="61">
        <v>110004306938</v>
      </c>
      <c r="L2444" s="61" t="str">
        <f>IFERROR(INDEX('Facility Summary'!$K:$K,MATCH(K2444,'Facility Summary'!$J:$J,0)),INDEX('Raw Annual DMR Data'!$M:$M,MATCH(K2444,'Raw Annual DMR Data'!$L:$L,0)))</f>
        <v>Unknown</v>
      </c>
      <c r="M2444" s="28"/>
      <c r="N2444" s="28"/>
      <c r="O2444" s="28"/>
      <c r="P2444" s="28"/>
      <c r="Q2444" s="28"/>
      <c r="R2444" s="28">
        <f t="shared" si="20"/>
        <v>0.3198485192222259</v>
      </c>
      <c r="S2444" s="28">
        <v>0.145080847875</v>
      </c>
    </row>
    <row r="2445" spans="1:19" x14ac:dyDescent="0.25">
      <c r="A2445" s="28">
        <v>2022</v>
      </c>
      <c r="B2445" s="28"/>
      <c r="C2445" s="28" t="s">
        <v>198</v>
      </c>
      <c r="D2445" s="28" t="s">
        <v>656</v>
      </c>
      <c r="E2445" s="28" t="s">
        <v>657</v>
      </c>
      <c r="F2445" s="28" t="s">
        <v>418</v>
      </c>
      <c r="G2445" s="28">
        <v>89109</v>
      </c>
      <c r="H2445" s="28">
        <v>36.122100000000003</v>
      </c>
      <c r="I2445" s="28">
        <v>-115.17139</v>
      </c>
      <c r="J2445" s="28"/>
      <c r="K2445" s="61">
        <v>110004306938</v>
      </c>
      <c r="L2445" s="61" t="str">
        <f>IFERROR(INDEX('Facility Summary'!$K:$K,MATCH(K2445,'Facility Summary'!$J:$J,0)),INDEX('Raw Annual DMR Data'!$M:$M,MATCH(K2445,'Raw Annual DMR Data'!$L:$L,0)))</f>
        <v>Unknown</v>
      </c>
      <c r="M2445" s="28"/>
      <c r="N2445" s="28"/>
      <c r="O2445" s="28"/>
      <c r="P2445" s="28"/>
      <c r="Q2445" s="28"/>
      <c r="R2445" s="28">
        <f t="shared" si="20"/>
        <v>0.20095039448635346</v>
      </c>
      <c r="S2445" s="28">
        <v>9.1149565687500003E-2</v>
      </c>
    </row>
    <row r="2446" spans="1:19" x14ac:dyDescent="0.25">
      <c r="A2446" s="28">
        <v>2022</v>
      </c>
      <c r="B2446" s="28"/>
      <c r="C2446" s="28" t="s">
        <v>198</v>
      </c>
      <c r="D2446" s="28" t="s">
        <v>656</v>
      </c>
      <c r="E2446" s="28" t="s">
        <v>657</v>
      </c>
      <c r="F2446" s="28" t="s">
        <v>418</v>
      </c>
      <c r="G2446" s="28">
        <v>89109</v>
      </c>
      <c r="H2446" s="28">
        <v>36.122100000000003</v>
      </c>
      <c r="I2446" s="28">
        <v>-115.17139</v>
      </c>
      <c r="J2446" s="28"/>
      <c r="K2446" s="61">
        <v>110004306938</v>
      </c>
      <c r="L2446" s="61" t="str">
        <f>IFERROR(INDEX('Facility Summary'!$K:$K,MATCH(K2446,'Facility Summary'!$J:$J,0)),INDEX('Raw Annual DMR Data'!$M:$M,MATCH(K2446,'Raw Annual DMR Data'!$L:$L,0)))</f>
        <v>Unknown</v>
      </c>
      <c r="M2446" s="28"/>
      <c r="N2446" s="28"/>
      <c r="O2446" s="28"/>
      <c r="P2446" s="28"/>
      <c r="Q2446" s="28"/>
      <c r="R2446" s="28">
        <f t="shared" si="20"/>
        <v>0.14736819123522732</v>
      </c>
      <c r="S2446" s="28">
        <v>6.6845087124999994E-2</v>
      </c>
    </row>
    <row r="2447" spans="1:19" x14ac:dyDescent="0.25">
      <c r="A2447" s="28">
        <v>2021</v>
      </c>
      <c r="B2447" s="28"/>
      <c r="C2447" s="28" t="s">
        <v>198</v>
      </c>
      <c r="D2447" s="28" t="s">
        <v>656</v>
      </c>
      <c r="E2447" s="28" t="s">
        <v>657</v>
      </c>
      <c r="F2447" s="28" t="s">
        <v>418</v>
      </c>
      <c r="G2447" s="28">
        <v>89109</v>
      </c>
      <c r="H2447" s="28">
        <v>36.122100000000003</v>
      </c>
      <c r="I2447" s="28">
        <v>-115.17139</v>
      </c>
      <c r="J2447" s="28"/>
      <c r="K2447" s="61">
        <v>110004306938</v>
      </c>
      <c r="L2447" s="61" t="str">
        <f>IFERROR(INDEX('Facility Summary'!$K:$K,MATCH(K2447,'Facility Summary'!$J:$J,0)),INDEX('Raw Annual DMR Data'!$M:$M,MATCH(K2447,'Raw Annual DMR Data'!$L:$L,0)))</f>
        <v>Unknown</v>
      </c>
      <c r="M2447" s="28"/>
      <c r="N2447" s="28"/>
      <c r="O2447" s="28"/>
      <c r="P2447" s="28"/>
      <c r="Q2447" s="28"/>
      <c r="R2447" s="28">
        <f t="shared" si="20"/>
        <v>9.7463720564788164E-2</v>
      </c>
      <c r="S2447" s="28">
        <v>4.4208799999999999E-2</v>
      </c>
    </row>
    <row r="2448" spans="1:19" x14ac:dyDescent="0.25">
      <c r="A2448" s="28">
        <v>2023</v>
      </c>
      <c r="B2448" s="28"/>
      <c r="C2448" s="28" t="s">
        <v>198</v>
      </c>
      <c r="D2448" s="28" t="s">
        <v>656</v>
      </c>
      <c r="E2448" s="28" t="s">
        <v>657</v>
      </c>
      <c r="F2448" s="28" t="s">
        <v>418</v>
      </c>
      <c r="G2448" s="28">
        <v>89109</v>
      </c>
      <c r="H2448" s="28">
        <v>36.122100000000003</v>
      </c>
      <c r="I2448" s="28">
        <v>-115.17139</v>
      </c>
      <c r="J2448" s="28"/>
      <c r="K2448" s="61">
        <v>110004306938</v>
      </c>
      <c r="L2448" s="61" t="str">
        <f>IFERROR(INDEX('Facility Summary'!$K:$K,MATCH(K2448,'Facility Summary'!$J:$J,0)),INDEX('Raw Annual DMR Data'!$M:$M,MATCH(K2448,'Raw Annual DMR Data'!$L:$L,0)))</f>
        <v>Unknown</v>
      </c>
      <c r="M2448" s="28"/>
      <c r="N2448" s="28"/>
      <c r="O2448" s="28"/>
      <c r="P2448" s="28"/>
      <c r="Q2448" s="28"/>
      <c r="R2448" s="28">
        <f t="shared" si="20"/>
        <v>8.7717348508309326E-2</v>
      </c>
      <c r="S2448" s="28">
        <v>3.9787919999999997E-2</v>
      </c>
    </row>
    <row r="2449" spans="1:19" x14ac:dyDescent="0.25">
      <c r="A2449" s="28">
        <v>2023</v>
      </c>
      <c r="B2449" s="28"/>
      <c r="C2449" s="28" t="s">
        <v>198</v>
      </c>
      <c r="D2449" s="28" t="s">
        <v>656</v>
      </c>
      <c r="E2449" s="28" t="s">
        <v>657</v>
      </c>
      <c r="F2449" s="28" t="s">
        <v>418</v>
      </c>
      <c r="G2449" s="28">
        <v>89109</v>
      </c>
      <c r="H2449" s="28">
        <v>36.122100000000003</v>
      </c>
      <c r="I2449" s="28">
        <v>-115.17139</v>
      </c>
      <c r="J2449" s="28"/>
      <c r="K2449" s="61">
        <v>110004306938</v>
      </c>
      <c r="L2449" s="61" t="str">
        <f>IFERROR(INDEX('Facility Summary'!$K:$K,MATCH(K2449,'Facility Summary'!$J:$J,0)),INDEX('Raw Annual DMR Data'!$M:$M,MATCH(K2449,'Raw Annual DMR Data'!$L:$L,0)))</f>
        <v>Unknown</v>
      </c>
      <c r="M2449" s="28"/>
      <c r="N2449" s="28"/>
      <c r="O2449" s="28"/>
      <c r="P2449" s="28"/>
      <c r="Q2449" s="28"/>
      <c r="R2449" s="28">
        <f t="shared" si="20"/>
        <v>5.5881737908201577E-2</v>
      </c>
      <c r="S2449" s="28">
        <v>2.5347529937499998E-2</v>
      </c>
    </row>
    <row r="2450" spans="1:19" x14ac:dyDescent="0.25">
      <c r="A2450" s="28">
        <v>2021</v>
      </c>
      <c r="B2450" s="28"/>
      <c r="C2450" s="28" t="s">
        <v>198</v>
      </c>
      <c r="D2450" s="28" t="s">
        <v>656</v>
      </c>
      <c r="E2450" s="28" t="s">
        <v>657</v>
      </c>
      <c r="F2450" s="28" t="s">
        <v>418</v>
      </c>
      <c r="G2450" s="28">
        <v>89109</v>
      </c>
      <c r="H2450" s="28">
        <v>36.122100000000003</v>
      </c>
      <c r="I2450" s="28">
        <v>-115.17139</v>
      </c>
      <c r="J2450" s="28"/>
      <c r="K2450" s="61">
        <v>110004306938</v>
      </c>
      <c r="L2450" s="61" t="str">
        <f>IFERROR(INDEX('Facility Summary'!$K:$K,MATCH(K2450,'Facility Summary'!$J:$J,0)),INDEX('Raw Annual DMR Data'!$M:$M,MATCH(K2450,'Raw Annual DMR Data'!$L:$L,0)))</f>
        <v>Unknown</v>
      </c>
      <c r="M2450" s="28"/>
      <c r="N2450" s="28"/>
      <c r="O2450" s="28"/>
      <c r="P2450" s="28"/>
      <c r="Q2450" s="28"/>
      <c r="R2450" s="28">
        <f t="shared" si="20"/>
        <v>5.1442570010602248E-2</v>
      </c>
      <c r="S2450" s="28">
        <v>2.3333957249999999E-2</v>
      </c>
    </row>
    <row r="2451" spans="1:19" x14ac:dyDescent="0.25">
      <c r="A2451" s="28">
        <v>2024</v>
      </c>
      <c r="B2451" s="28"/>
      <c r="C2451" s="28" t="s">
        <v>198</v>
      </c>
      <c r="D2451" s="28" t="s">
        <v>656</v>
      </c>
      <c r="E2451" s="28" t="s">
        <v>657</v>
      </c>
      <c r="F2451" s="28" t="s">
        <v>418</v>
      </c>
      <c r="G2451" s="28">
        <v>89109</v>
      </c>
      <c r="H2451" s="28">
        <v>36.122100000000003</v>
      </c>
      <c r="I2451" s="28">
        <v>-115.17139</v>
      </c>
      <c r="J2451" s="28"/>
      <c r="K2451" s="61">
        <v>110004306938</v>
      </c>
      <c r="L2451" s="61" t="str">
        <f>IFERROR(INDEX('Facility Summary'!$K:$K,MATCH(K2451,'Facility Summary'!$J:$J,0)),INDEX('Raw Annual DMR Data'!$M:$M,MATCH(K2451,'Raw Annual DMR Data'!$L:$L,0)))</f>
        <v>Unknown</v>
      </c>
      <c r="M2451" s="28"/>
      <c r="N2451" s="28"/>
      <c r="O2451" s="28"/>
      <c r="P2451" s="28"/>
      <c r="Q2451" s="28"/>
      <c r="R2451" s="28">
        <f t="shared" si="20"/>
        <v>4.9219178885218019E-2</v>
      </c>
      <c r="S2451" s="28">
        <v>2.2325444E-2</v>
      </c>
    </row>
    <row r="2452" spans="1:19" x14ac:dyDescent="0.25">
      <c r="A2452" s="28">
        <v>2024</v>
      </c>
      <c r="B2452" s="28"/>
      <c r="C2452" s="28" t="s">
        <v>198</v>
      </c>
      <c r="D2452" s="28" t="s">
        <v>656</v>
      </c>
      <c r="E2452" s="28" t="s">
        <v>657</v>
      </c>
      <c r="F2452" s="28" t="s">
        <v>418</v>
      </c>
      <c r="G2452" s="28">
        <v>89109</v>
      </c>
      <c r="H2452" s="28">
        <v>36.122100000000003</v>
      </c>
      <c r="I2452" s="28">
        <v>-115.17139</v>
      </c>
      <c r="J2452" s="28"/>
      <c r="K2452" s="61">
        <v>110004306938</v>
      </c>
      <c r="L2452" s="61" t="str">
        <f>IFERROR(INDEX('Facility Summary'!$K:$K,MATCH(K2452,'Facility Summary'!$J:$J,0)),INDEX('Raw Annual DMR Data'!$M:$M,MATCH(K2452,'Raw Annual DMR Data'!$L:$L,0)))</f>
        <v>Unknown</v>
      </c>
      <c r="M2452" s="28"/>
      <c r="N2452" s="28"/>
      <c r="O2452" s="28"/>
      <c r="P2452" s="28"/>
      <c r="Q2452" s="28"/>
      <c r="R2452" s="28">
        <f t="shared" si="20"/>
        <v>4.6302881621443498E-2</v>
      </c>
      <c r="S2452" s="28">
        <v>2.1002633812500001E-2</v>
      </c>
    </row>
    <row r="2453" spans="1:19" x14ac:dyDescent="0.25">
      <c r="A2453" s="28">
        <v>2023</v>
      </c>
      <c r="B2453" s="28"/>
      <c r="C2453" s="28" t="s">
        <v>198</v>
      </c>
      <c r="D2453" s="28" t="s">
        <v>656</v>
      </c>
      <c r="E2453" s="28" t="s">
        <v>657</v>
      </c>
      <c r="F2453" s="28" t="s">
        <v>418</v>
      </c>
      <c r="G2453" s="28">
        <v>89109</v>
      </c>
      <c r="H2453" s="28">
        <v>36.122100000000003</v>
      </c>
      <c r="I2453" s="28">
        <v>-115.17139</v>
      </c>
      <c r="J2453" s="28"/>
      <c r="K2453" s="61">
        <v>110004306938</v>
      </c>
      <c r="L2453" s="61" t="str">
        <f>IFERROR(INDEX('Facility Summary'!$K:$K,MATCH(K2453,'Facility Summary'!$J:$J,0)),INDEX('Raw Annual DMR Data'!$M:$M,MATCH(K2453,'Raw Annual DMR Data'!$L:$L,0)))</f>
        <v>Unknown</v>
      </c>
      <c r="M2453" s="28"/>
      <c r="N2453" s="28"/>
      <c r="O2453" s="28"/>
      <c r="P2453" s="28"/>
      <c r="Q2453" s="28"/>
      <c r="R2453" s="28">
        <f t="shared" si="20"/>
        <v>4.2800279163646419E-2</v>
      </c>
      <c r="S2453" s="28">
        <v>1.94138800625E-2</v>
      </c>
    </row>
    <row r="2454" spans="1:19" x14ac:dyDescent="0.25">
      <c r="A2454" s="28">
        <v>2021</v>
      </c>
      <c r="B2454" s="28"/>
      <c r="C2454" s="28" t="s">
        <v>198</v>
      </c>
      <c r="D2454" s="28" t="s">
        <v>656</v>
      </c>
      <c r="E2454" s="28" t="s">
        <v>657</v>
      </c>
      <c r="F2454" s="28" t="s">
        <v>418</v>
      </c>
      <c r="G2454" s="28">
        <v>89109</v>
      </c>
      <c r="H2454" s="28">
        <v>36.122100000000003</v>
      </c>
      <c r="I2454" s="28">
        <v>-115.17139</v>
      </c>
      <c r="J2454" s="28"/>
      <c r="K2454" s="61">
        <v>110004306938</v>
      </c>
      <c r="L2454" s="61" t="str">
        <f>IFERROR(INDEX('Facility Summary'!$K:$K,MATCH(K2454,'Facility Summary'!$J:$J,0)),INDEX('Raw Annual DMR Data'!$M:$M,MATCH(K2454,'Raw Annual DMR Data'!$L:$L,0)))</f>
        <v>Unknown</v>
      </c>
      <c r="M2454" s="28"/>
      <c r="N2454" s="28"/>
      <c r="O2454" s="28"/>
      <c r="P2454" s="28"/>
      <c r="Q2454" s="28"/>
      <c r="R2454" s="28">
        <f t="shared" si="20"/>
        <v>3.3861028543094758E-2</v>
      </c>
      <c r="S2454" s="28">
        <v>1.53591041875E-2</v>
      </c>
    </row>
    <row r="2455" spans="1:19" x14ac:dyDescent="0.25">
      <c r="A2455" s="28">
        <v>2021</v>
      </c>
      <c r="B2455" s="28"/>
      <c r="C2455" s="28" t="s">
        <v>198</v>
      </c>
      <c r="D2455" s="28" t="s">
        <v>656</v>
      </c>
      <c r="E2455" s="28" t="s">
        <v>657</v>
      </c>
      <c r="F2455" s="28" t="s">
        <v>418</v>
      </c>
      <c r="G2455" s="28">
        <v>89109</v>
      </c>
      <c r="H2455" s="28">
        <v>36.122100000000003</v>
      </c>
      <c r="I2455" s="28">
        <v>-115.17139</v>
      </c>
      <c r="J2455" s="28"/>
      <c r="K2455" s="61">
        <v>110004306938</v>
      </c>
      <c r="L2455" s="61" t="str">
        <f>IFERROR(INDEX('Facility Summary'!$K:$K,MATCH(K2455,'Facility Summary'!$J:$J,0)),INDEX('Raw Annual DMR Data'!$M:$M,MATCH(K2455,'Raw Annual DMR Data'!$L:$L,0)))</f>
        <v>Unknown</v>
      </c>
      <c r="M2455" s="28"/>
      <c r="N2455" s="28"/>
      <c r="O2455" s="28"/>
      <c r="P2455" s="28"/>
      <c r="Q2455" s="28"/>
      <c r="R2455" s="28">
        <f t="shared" si="20"/>
        <v>1.7246509928066027E-2</v>
      </c>
      <c r="S2455" s="28">
        <v>7.8228853124999997E-3</v>
      </c>
    </row>
    <row r="2456" spans="1:19" x14ac:dyDescent="0.25">
      <c r="A2456" s="28">
        <v>2021</v>
      </c>
      <c r="B2456" s="28"/>
      <c r="C2456" s="28" t="s">
        <v>198</v>
      </c>
      <c r="D2456" s="28" t="s">
        <v>656</v>
      </c>
      <c r="E2456" s="28" t="s">
        <v>657</v>
      </c>
      <c r="F2456" s="28" t="s">
        <v>418</v>
      </c>
      <c r="G2456" s="28">
        <v>89109</v>
      </c>
      <c r="H2456" s="28">
        <v>36.122100000000003</v>
      </c>
      <c r="I2456" s="28">
        <v>-115.17139</v>
      </c>
      <c r="J2456" s="28"/>
      <c r="K2456" s="61">
        <v>110004306938</v>
      </c>
      <c r="L2456" s="61" t="str">
        <f>IFERROR(INDEX('Facility Summary'!$K:$K,MATCH(K2456,'Facility Summary'!$J:$J,0)),INDEX('Raw Annual DMR Data'!$M:$M,MATCH(K2456,'Raw Annual DMR Data'!$L:$L,0)))</f>
        <v>Unknown</v>
      </c>
      <c r="M2456" s="28"/>
      <c r="N2456" s="28"/>
      <c r="O2456" s="28"/>
      <c r="P2456" s="28"/>
      <c r="Q2456" s="28"/>
      <c r="R2456" s="28">
        <f t="shared" si="20"/>
        <v>1.6043442127344425E-2</v>
      </c>
      <c r="S2456" s="28">
        <v>7.2771829374999996E-3</v>
      </c>
    </row>
    <row r="2457" spans="1:19" x14ac:dyDescent="0.25">
      <c r="A2457" s="28">
        <v>2024</v>
      </c>
      <c r="B2457" s="28"/>
      <c r="C2457" s="28" t="s">
        <v>198</v>
      </c>
      <c r="D2457" s="28" t="s">
        <v>656</v>
      </c>
      <c r="E2457" s="28" t="s">
        <v>657</v>
      </c>
      <c r="F2457" s="28" t="s">
        <v>418</v>
      </c>
      <c r="G2457" s="28">
        <v>89109</v>
      </c>
      <c r="H2457" s="28">
        <v>36.122100000000003</v>
      </c>
      <c r="I2457" s="28">
        <v>-115.17139</v>
      </c>
      <c r="J2457" s="28"/>
      <c r="K2457" s="61">
        <v>110004306938</v>
      </c>
      <c r="L2457" s="61" t="str">
        <f>IFERROR(INDEX('Facility Summary'!$K:$K,MATCH(K2457,'Facility Summary'!$J:$J,0)),INDEX('Raw Annual DMR Data'!$M:$M,MATCH(K2457,'Raw Annual DMR Data'!$L:$L,0)))</f>
        <v>Unknown</v>
      </c>
      <c r="M2457" s="28"/>
      <c r="N2457" s="28"/>
      <c r="O2457" s="28"/>
      <c r="P2457" s="28"/>
      <c r="Q2457" s="28"/>
      <c r="R2457" s="28">
        <f t="shared" si="20"/>
        <v>7.4772948120798415E-3</v>
      </c>
      <c r="S2457" s="28">
        <v>3.3916438750000001E-3</v>
      </c>
    </row>
    <row r="2458" spans="1:19" x14ac:dyDescent="0.25">
      <c r="A2458" s="28">
        <v>2024</v>
      </c>
      <c r="B2458" s="28"/>
      <c r="C2458" s="28" t="s">
        <v>198</v>
      </c>
      <c r="D2458" s="28" t="s">
        <v>656</v>
      </c>
      <c r="E2458" s="28" t="s">
        <v>657</v>
      </c>
      <c r="F2458" s="28" t="s">
        <v>418</v>
      </c>
      <c r="G2458" s="28">
        <v>89109</v>
      </c>
      <c r="H2458" s="28">
        <v>36.122100000000003</v>
      </c>
      <c r="I2458" s="28">
        <v>-115.17139</v>
      </c>
      <c r="J2458" s="28"/>
      <c r="K2458" s="61">
        <v>110004306938</v>
      </c>
      <c r="L2458" s="61" t="str">
        <f>IFERROR(INDEX('Facility Summary'!$K:$K,MATCH(K2458,'Facility Summary'!$J:$J,0)),INDEX('Raw Annual DMR Data'!$M:$M,MATCH(K2458,'Raw Annual DMR Data'!$L:$L,0)))</f>
        <v>Unknown</v>
      </c>
      <c r="M2458" s="28"/>
      <c r="N2458" s="28"/>
      <c r="O2458" s="28"/>
      <c r="P2458" s="28"/>
      <c r="Q2458" s="28"/>
      <c r="R2458" s="28">
        <f t="shared" si="20"/>
        <v>5.7945227617034207E-3</v>
      </c>
      <c r="S2458" s="28">
        <v>2.6283513125E-3</v>
      </c>
    </row>
    <row r="2459" spans="1:19" x14ac:dyDescent="0.25">
      <c r="A2459" s="28">
        <v>2022</v>
      </c>
      <c r="B2459" s="28"/>
      <c r="C2459" s="28" t="s">
        <v>198</v>
      </c>
      <c r="D2459" s="28" t="s">
        <v>656</v>
      </c>
      <c r="E2459" s="28" t="s">
        <v>657</v>
      </c>
      <c r="F2459" s="28" t="s">
        <v>418</v>
      </c>
      <c r="G2459" s="28">
        <v>89109</v>
      </c>
      <c r="H2459" s="28">
        <v>36.122100000000003</v>
      </c>
      <c r="I2459" s="28">
        <v>-115.17139</v>
      </c>
      <c r="J2459" s="28"/>
      <c r="K2459" s="61">
        <v>110004306938</v>
      </c>
      <c r="L2459" s="61" t="str">
        <f>IFERROR(INDEX('Facility Summary'!$K:$K,MATCH(K2459,'Facility Summary'!$J:$J,0)),INDEX('Raw Annual DMR Data'!$M:$M,MATCH(K2459,'Raw Annual DMR Data'!$L:$L,0)))</f>
        <v>Unknown</v>
      </c>
      <c r="M2459" s="28"/>
      <c r="N2459" s="28"/>
      <c r="O2459" s="28"/>
      <c r="P2459" s="28"/>
      <c r="Q2459" s="28"/>
      <c r="R2459" s="28">
        <f t="shared" si="20"/>
        <v>1.2487539197363485E-3</v>
      </c>
      <c r="S2459" s="28">
        <v>5.6642525000000004E-4</v>
      </c>
    </row>
    <row r="2460" spans="1:19" x14ac:dyDescent="0.25">
      <c r="A2460" s="28">
        <v>2024</v>
      </c>
      <c r="B2460" s="28"/>
      <c r="C2460" s="28" t="s">
        <v>6858</v>
      </c>
      <c r="D2460" s="28" t="s">
        <v>2320</v>
      </c>
      <c r="E2460" s="28" t="s">
        <v>1405</v>
      </c>
      <c r="F2460" s="28" t="s">
        <v>427</v>
      </c>
      <c r="G2460" s="28" t="s">
        <v>2321</v>
      </c>
      <c r="H2460" s="28">
        <v>42.338805999999998</v>
      </c>
      <c r="I2460" s="28">
        <v>-85.144028000000006</v>
      </c>
      <c r="J2460" s="28"/>
      <c r="K2460" s="61">
        <v>110006040989</v>
      </c>
      <c r="L2460" s="61" t="str">
        <f>IFERROR(INDEX('Facility Summary'!$K:$K,MATCH(K2460,'Facility Summary'!$J:$J,0)),INDEX('Raw Annual DMR Data'!$M:$M,MATCH(K2460,'Raw Annual DMR Data'!$L:$L,0)))</f>
        <v>Unknown</v>
      </c>
      <c r="M2460" s="28"/>
      <c r="N2460" s="28"/>
      <c r="O2460" s="28"/>
      <c r="P2460" s="28"/>
      <c r="Q2460" s="28"/>
      <c r="R2460" s="28">
        <f t="shared" si="20"/>
        <v>2.105608555540738</v>
      </c>
      <c r="S2460" s="28">
        <v>0.95508797499999998</v>
      </c>
    </row>
    <row r="2461" spans="1:19" x14ac:dyDescent="0.25">
      <c r="A2461" s="28">
        <v>2023</v>
      </c>
      <c r="B2461" s="28"/>
      <c r="C2461" s="28" t="s">
        <v>6858</v>
      </c>
      <c r="D2461" s="28" t="s">
        <v>2320</v>
      </c>
      <c r="E2461" s="28" t="s">
        <v>1405</v>
      </c>
      <c r="F2461" s="28" t="s">
        <v>427</v>
      </c>
      <c r="G2461" s="28" t="s">
        <v>2321</v>
      </c>
      <c r="H2461" s="28">
        <v>42.338805999999998</v>
      </c>
      <c r="I2461" s="28">
        <v>-85.144028000000006</v>
      </c>
      <c r="J2461" s="28"/>
      <c r="K2461" s="61">
        <v>110006040989</v>
      </c>
      <c r="L2461" s="61" t="str">
        <f>IFERROR(INDEX('Facility Summary'!$K:$K,MATCH(K2461,'Facility Summary'!$J:$J,0)),INDEX('Raw Annual DMR Data'!$M:$M,MATCH(K2461,'Raw Annual DMR Data'!$L:$L,0)))</f>
        <v>Unknown</v>
      </c>
      <c r="M2461" s="28"/>
      <c r="N2461" s="28"/>
      <c r="O2461" s="28"/>
      <c r="P2461" s="28"/>
      <c r="Q2461" s="28"/>
      <c r="R2461" s="28">
        <f t="shared" si="20"/>
        <v>1.9934167984351236</v>
      </c>
      <c r="S2461" s="28">
        <v>0.90419864999999999</v>
      </c>
    </row>
    <row r="2462" spans="1:19" x14ac:dyDescent="0.25">
      <c r="A2462" s="28">
        <v>2021</v>
      </c>
      <c r="B2462" s="28"/>
      <c r="C2462" s="28" t="s">
        <v>6858</v>
      </c>
      <c r="D2462" s="28" t="s">
        <v>2320</v>
      </c>
      <c r="E2462" s="28" t="s">
        <v>1405</v>
      </c>
      <c r="F2462" s="28" t="s">
        <v>427</v>
      </c>
      <c r="G2462" s="28" t="s">
        <v>2321</v>
      </c>
      <c r="H2462" s="28">
        <v>42.338805999999998</v>
      </c>
      <c r="I2462" s="28">
        <v>-85.144028000000006</v>
      </c>
      <c r="J2462" s="28"/>
      <c r="K2462" s="61">
        <v>110006040989</v>
      </c>
      <c r="L2462" s="61" t="str">
        <f>IFERROR(INDEX('Facility Summary'!$K:$K,MATCH(K2462,'Facility Summary'!$J:$J,0)),INDEX('Raw Annual DMR Data'!$M:$M,MATCH(K2462,'Raw Annual DMR Data'!$L:$L,0)))</f>
        <v>Unknown</v>
      </c>
      <c r="M2462" s="28"/>
      <c r="N2462" s="28"/>
      <c r="O2462" s="28"/>
      <c r="P2462" s="28"/>
      <c r="Q2462" s="28"/>
      <c r="R2462" s="28">
        <f t="shared" si="20"/>
        <v>1.9467710623086538</v>
      </c>
      <c r="S2462" s="28">
        <v>0.88304050000000001</v>
      </c>
    </row>
    <row r="2463" spans="1:19" x14ac:dyDescent="0.25">
      <c r="A2463" s="28">
        <v>2022</v>
      </c>
      <c r="B2463" s="28"/>
      <c r="C2463" s="28" t="s">
        <v>6858</v>
      </c>
      <c r="D2463" s="28" t="s">
        <v>2320</v>
      </c>
      <c r="E2463" s="28" t="s">
        <v>1405</v>
      </c>
      <c r="F2463" s="28" t="s">
        <v>427</v>
      </c>
      <c r="G2463" s="28" t="s">
        <v>2321</v>
      </c>
      <c r="H2463" s="28">
        <v>42.338805999999998</v>
      </c>
      <c r="I2463" s="28">
        <v>-85.144028000000006</v>
      </c>
      <c r="J2463" s="28"/>
      <c r="K2463" s="61">
        <v>110006040989</v>
      </c>
      <c r="L2463" s="61" t="str">
        <f>IFERROR(INDEX('Facility Summary'!$K:$K,MATCH(K2463,'Facility Summary'!$J:$J,0)),INDEX('Raw Annual DMR Data'!$M:$M,MATCH(K2463,'Raw Annual DMR Data'!$L:$L,0)))</f>
        <v>Unknown</v>
      </c>
      <c r="M2463" s="28"/>
      <c r="N2463" s="28"/>
      <c r="O2463" s="28"/>
      <c r="P2463" s="28"/>
      <c r="Q2463" s="28"/>
      <c r="R2463" s="28">
        <f t="shared" si="20"/>
        <v>1.9282462798040452</v>
      </c>
      <c r="S2463" s="28">
        <v>0.87463780000000002</v>
      </c>
    </row>
    <row r="2464" spans="1:19" x14ac:dyDescent="0.25">
      <c r="A2464" s="28">
        <v>2023</v>
      </c>
      <c r="B2464" s="28"/>
      <c r="C2464" s="28" t="s">
        <v>6908</v>
      </c>
      <c r="D2464" s="28" t="s">
        <v>7108</v>
      </c>
      <c r="E2464" s="28" t="s">
        <v>7109</v>
      </c>
      <c r="F2464" s="28" t="s">
        <v>294</v>
      </c>
      <c r="G2464" s="28">
        <v>22180</v>
      </c>
      <c r="H2464" s="28">
        <v>38.899099999999997</v>
      </c>
      <c r="I2464" s="28">
        <v>-77.269300000000001</v>
      </c>
      <c r="J2464" s="28"/>
      <c r="K2464" s="61">
        <v>110071428198</v>
      </c>
      <c r="L2464" s="61" t="str">
        <f>IFERROR(INDEX('Facility Summary'!$K:$K,MATCH(K2464,'Facility Summary'!$J:$J,0)),INDEX('Raw Annual DMR Data'!$M:$M,MATCH(K2464,'Raw Annual DMR Data'!$L:$L,0)))</f>
        <v>Unknown</v>
      </c>
      <c r="M2464" s="28"/>
      <c r="N2464" s="28"/>
      <c r="O2464" s="28"/>
      <c r="P2464" s="28"/>
      <c r="Q2464" s="28"/>
      <c r="R2464" s="28">
        <f t="shared" si="20"/>
        <v>1.1816300729375144E-2</v>
      </c>
      <c r="S2464" s="28">
        <v>5.3597838524699999E-3</v>
      </c>
    </row>
    <row r="2465" spans="1:19" x14ac:dyDescent="0.25">
      <c r="A2465" s="28">
        <v>2024</v>
      </c>
      <c r="B2465" s="28"/>
      <c r="C2465" s="28" t="s">
        <v>6908</v>
      </c>
      <c r="D2465" s="28" t="s">
        <v>7108</v>
      </c>
      <c r="E2465" s="28" t="s">
        <v>7109</v>
      </c>
      <c r="F2465" s="28" t="s">
        <v>294</v>
      </c>
      <c r="G2465" s="28">
        <v>22180</v>
      </c>
      <c r="H2465" s="28">
        <v>38.899099999999997</v>
      </c>
      <c r="I2465" s="28">
        <v>-77.269300000000001</v>
      </c>
      <c r="J2465" s="28"/>
      <c r="K2465" s="61">
        <v>110071428198</v>
      </c>
      <c r="L2465" s="61" t="str">
        <f>IFERROR(INDEX('Facility Summary'!$K:$K,MATCH(K2465,'Facility Summary'!$J:$J,0)),INDEX('Raw Annual DMR Data'!$M:$M,MATCH(K2465,'Raw Annual DMR Data'!$L:$L,0)))</f>
        <v>Unknown</v>
      </c>
      <c r="M2465" s="28"/>
      <c r="N2465" s="28"/>
      <c r="O2465" s="28"/>
      <c r="P2465" s="28"/>
      <c r="Q2465" s="28"/>
      <c r="R2465" s="28">
        <f t="shared" si="20"/>
        <v>5.4820397686467697E-3</v>
      </c>
      <c r="S2465" s="28">
        <v>2.48661141109474E-3</v>
      </c>
    </row>
    <row r="2466" spans="1:19" x14ac:dyDescent="0.25">
      <c r="A2466" s="28">
        <v>2021</v>
      </c>
      <c r="B2466" s="28"/>
      <c r="C2466" s="28" t="s">
        <v>1410</v>
      </c>
      <c r="D2466" s="28" t="s">
        <v>2331</v>
      </c>
      <c r="E2466" s="28" t="s">
        <v>657</v>
      </c>
      <c r="F2466" s="28" t="s">
        <v>418</v>
      </c>
      <c r="G2466" s="28">
        <v>89106</v>
      </c>
      <c r="H2466" s="28">
        <v>36.19997</v>
      </c>
      <c r="I2466" s="28">
        <v>-115.19658</v>
      </c>
      <c r="J2466" s="28"/>
      <c r="K2466" s="61">
        <v>110064418553</v>
      </c>
      <c r="L2466" s="61" t="str">
        <f>IFERROR(INDEX('Facility Summary'!$K:$K,MATCH(K2466,'Facility Summary'!$J:$J,0)),INDEX('Raw Annual DMR Data'!$M:$M,MATCH(K2466,'Raw Annual DMR Data'!$L:$L,0)))</f>
        <v>Unknown</v>
      </c>
      <c r="M2466" s="28"/>
      <c r="N2466" s="28"/>
      <c r="O2466" s="28"/>
      <c r="P2466" s="28"/>
      <c r="Q2466" s="28"/>
      <c r="R2466" s="28">
        <f t="shared" si="20"/>
        <v>1.0964668563538666E-2</v>
      </c>
      <c r="S2466" s="28">
        <v>4.9734899999999997E-3</v>
      </c>
    </row>
    <row r="2467" spans="1:19" x14ac:dyDescent="0.25">
      <c r="A2467" s="28">
        <v>2021</v>
      </c>
      <c r="B2467" s="28"/>
      <c r="C2467" s="28" t="s">
        <v>1411</v>
      </c>
      <c r="D2467" s="28" t="s">
        <v>2333</v>
      </c>
      <c r="E2467" s="28" t="s">
        <v>1403</v>
      </c>
      <c r="F2467" s="28" t="s">
        <v>294</v>
      </c>
      <c r="G2467" s="28">
        <v>23452</v>
      </c>
      <c r="H2467" s="28">
        <v>36.844686000000003</v>
      </c>
      <c r="I2467" s="28">
        <v>-76.072886999999994</v>
      </c>
      <c r="J2467" s="28"/>
      <c r="K2467" s="61">
        <v>110070884632</v>
      </c>
      <c r="L2467" s="61" t="str">
        <f>IFERROR(INDEX('Facility Summary'!$K:$K,MATCH(K2467,'Facility Summary'!$J:$J,0)),INDEX('Raw Annual DMR Data'!$M:$M,MATCH(K2467,'Raw Annual DMR Data'!$L:$L,0)))</f>
        <v>Unknown</v>
      </c>
      <c r="M2467" s="28"/>
      <c r="N2467" s="28"/>
      <c r="O2467" s="28"/>
      <c r="P2467" s="28"/>
      <c r="Q2467" s="28"/>
      <c r="R2467" s="28">
        <f t="shared" si="20"/>
        <v>7.2577093834272396E-2</v>
      </c>
      <c r="S2467" s="28">
        <v>3.2920416000000001E-2</v>
      </c>
    </row>
    <row r="2468" spans="1:19" x14ac:dyDescent="0.25">
      <c r="A2468" s="28">
        <v>2021</v>
      </c>
      <c r="B2468" s="28"/>
      <c r="C2468" s="28" t="s">
        <v>6854</v>
      </c>
      <c r="D2468" s="28" t="s">
        <v>7013</v>
      </c>
      <c r="E2468" s="28" t="s">
        <v>968</v>
      </c>
      <c r="F2468" s="28" t="s">
        <v>294</v>
      </c>
      <c r="G2468" s="28">
        <v>22305</v>
      </c>
      <c r="H2468" s="28">
        <v>38.837561999999998</v>
      </c>
      <c r="I2468" s="28">
        <v>-77.048931999999994</v>
      </c>
      <c r="J2468" s="28"/>
      <c r="K2468" s="61">
        <v>110071149439</v>
      </c>
      <c r="L2468" s="61" t="str">
        <f>IFERROR(INDEX('Facility Summary'!$K:$K,MATCH(K2468,'Facility Summary'!$J:$J,0)),INDEX('Raw Annual DMR Data'!$M:$M,MATCH(K2468,'Raw Annual DMR Data'!$L:$L,0)))</f>
        <v>Unknown</v>
      </c>
      <c r="M2468" s="28"/>
      <c r="N2468" s="28"/>
      <c r="O2468" s="28"/>
      <c r="P2468" s="28"/>
      <c r="Q2468" s="28"/>
      <c r="R2468" s="28">
        <f t="shared" si="20"/>
        <v>0.51063512906974162</v>
      </c>
      <c r="S2468" s="28">
        <v>0.2316201984</v>
      </c>
    </row>
    <row r="2469" spans="1:19" x14ac:dyDescent="0.25">
      <c r="A2469" s="28">
        <v>2022</v>
      </c>
      <c r="B2469" s="28"/>
      <c r="C2469" s="28" t="s">
        <v>6854</v>
      </c>
      <c r="D2469" s="28" t="s">
        <v>7013</v>
      </c>
      <c r="E2469" s="28" t="s">
        <v>968</v>
      </c>
      <c r="F2469" s="28" t="s">
        <v>294</v>
      </c>
      <c r="G2469" s="28">
        <v>22305</v>
      </c>
      <c r="H2469" s="28">
        <v>38.837561999999998</v>
      </c>
      <c r="I2469" s="28">
        <v>-77.048931999999994</v>
      </c>
      <c r="J2469" s="28"/>
      <c r="K2469" s="61">
        <v>110071149439</v>
      </c>
      <c r="L2469" s="61" t="str">
        <f>IFERROR(INDEX('Facility Summary'!$K:$K,MATCH(K2469,'Facility Summary'!$J:$J,0)),INDEX('Raw Annual DMR Data'!$M:$M,MATCH(K2469,'Raw Annual DMR Data'!$L:$L,0)))</f>
        <v>Unknown</v>
      </c>
      <c r="M2469" s="28"/>
      <c r="N2469" s="28"/>
      <c r="O2469" s="28"/>
      <c r="P2469" s="28"/>
      <c r="Q2469" s="28"/>
      <c r="R2469" s="28">
        <f t="shared" si="20"/>
        <v>0.16497060812993836</v>
      </c>
      <c r="S2469" s="28">
        <v>7.4829409122000007E-2</v>
      </c>
    </row>
    <row r="2470" spans="1:19" x14ac:dyDescent="0.25">
      <c r="A2470" s="28">
        <v>2024</v>
      </c>
      <c r="B2470" s="28"/>
      <c r="C2470" s="28" t="s">
        <v>1419</v>
      </c>
      <c r="D2470" s="28" t="s">
        <v>2346</v>
      </c>
      <c r="E2470" s="28" t="s">
        <v>1420</v>
      </c>
      <c r="F2470" s="28" t="s">
        <v>427</v>
      </c>
      <c r="G2470" s="28">
        <v>49221</v>
      </c>
      <c r="H2470" s="28">
        <v>41.948850999999998</v>
      </c>
      <c r="I2470" s="28">
        <v>-83.958619999999996</v>
      </c>
      <c r="J2470" s="28" t="s">
        <v>739</v>
      </c>
      <c r="K2470" s="61">
        <v>110056966699</v>
      </c>
      <c r="L2470" s="61" t="str">
        <f>IFERROR(INDEX('Facility Summary'!$K:$K,MATCH(K2470,'Facility Summary'!$J:$J,0)),INDEX('Raw Annual DMR Data'!$M:$M,MATCH(K2470,'Raw Annual DMR Data'!$L:$L,0)))</f>
        <v>Unknown</v>
      </c>
      <c r="M2470" s="28"/>
      <c r="N2470" s="28"/>
      <c r="O2470" s="28"/>
      <c r="P2470" s="28"/>
      <c r="Q2470" s="28"/>
      <c r="R2470" s="28">
        <f t="shared" si="20"/>
        <v>7.8990253076787866E-5</v>
      </c>
      <c r="S2470" s="28">
        <v>3.5829376099999999E-5</v>
      </c>
    </row>
    <row r="2471" spans="1:19" x14ac:dyDescent="0.25">
      <c r="A2471" s="28">
        <v>2023</v>
      </c>
      <c r="B2471" s="28"/>
      <c r="C2471" s="28" t="s">
        <v>1419</v>
      </c>
      <c r="D2471" s="28" t="s">
        <v>2346</v>
      </c>
      <c r="E2471" s="28" t="s">
        <v>1420</v>
      </c>
      <c r="F2471" s="28" t="s">
        <v>427</v>
      </c>
      <c r="G2471" s="28">
        <v>49221</v>
      </c>
      <c r="H2471" s="28">
        <v>41.948850999999998</v>
      </c>
      <c r="I2471" s="28">
        <v>-83.958619999999996</v>
      </c>
      <c r="J2471" s="28" t="s">
        <v>739</v>
      </c>
      <c r="K2471" s="61">
        <v>110056966699</v>
      </c>
      <c r="L2471" s="61" t="str">
        <f>IFERROR(INDEX('Facility Summary'!$K:$K,MATCH(K2471,'Facility Summary'!$J:$J,0)),INDEX('Raw Annual DMR Data'!$M:$M,MATCH(K2471,'Raw Annual DMR Data'!$L:$L,0)))</f>
        <v>Unknown</v>
      </c>
      <c r="M2471" s="28"/>
      <c r="N2471" s="28"/>
      <c r="O2471" s="28"/>
      <c r="P2471" s="28"/>
      <c r="Q2471" s="28"/>
      <c r="R2471" s="28">
        <f t="shared" si="20"/>
        <v>9.902968275237963E-6</v>
      </c>
      <c r="S2471" s="28">
        <v>4.4919108500000003E-6</v>
      </c>
    </row>
    <row r="2472" spans="1:19" x14ac:dyDescent="0.25">
      <c r="A2472" s="28">
        <v>2022</v>
      </c>
      <c r="B2472" s="28"/>
      <c r="C2472" s="28" t="s">
        <v>1419</v>
      </c>
      <c r="D2472" s="28" t="s">
        <v>2346</v>
      </c>
      <c r="E2472" s="28" t="s">
        <v>1420</v>
      </c>
      <c r="F2472" s="28" t="s">
        <v>427</v>
      </c>
      <c r="G2472" s="28">
        <v>49221</v>
      </c>
      <c r="H2472" s="28">
        <v>41.948850999999998</v>
      </c>
      <c r="I2472" s="28">
        <v>-83.958619999999996</v>
      </c>
      <c r="J2472" s="28" t="s">
        <v>739</v>
      </c>
      <c r="K2472" s="61">
        <v>110056966699</v>
      </c>
      <c r="L2472" s="61" t="str">
        <f>IFERROR(INDEX('Facility Summary'!$K:$K,MATCH(K2472,'Facility Summary'!$J:$J,0)),INDEX('Raw Annual DMR Data'!$M:$M,MATCH(K2472,'Raw Annual DMR Data'!$L:$L,0)))</f>
        <v>Unknown</v>
      </c>
      <c r="M2472" s="28"/>
      <c r="N2472" s="28"/>
      <c r="O2472" s="28"/>
      <c r="P2472" s="28"/>
      <c r="Q2472" s="28"/>
      <c r="R2472" s="28">
        <f t="shared" si="20"/>
        <v>7.1329903543130588E-6</v>
      </c>
      <c r="S2472" s="28">
        <v>3.2354700000000002E-6</v>
      </c>
    </row>
    <row r="2473" spans="1:19" x14ac:dyDescent="0.25">
      <c r="A2473" s="28">
        <v>2022</v>
      </c>
      <c r="B2473" s="28"/>
      <c r="C2473" s="28" t="s">
        <v>1421</v>
      </c>
      <c r="D2473" s="28" t="s">
        <v>2350</v>
      </c>
      <c r="E2473" s="28" t="s">
        <v>1422</v>
      </c>
      <c r="F2473" s="28" t="s">
        <v>1171</v>
      </c>
      <c r="G2473" s="28">
        <v>96746</v>
      </c>
      <c r="H2473" s="28">
        <v>22.079093</v>
      </c>
      <c r="I2473" s="28">
        <v>-159.35138900000001</v>
      </c>
      <c r="J2473" s="28"/>
      <c r="K2473" s="61">
        <v>110010731262</v>
      </c>
      <c r="L2473" s="61" t="str">
        <f>IFERROR(INDEX('Facility Summary'!$K:$K,MATCH(K2473,'Facility Summary'!$J:$J,0)),INDEX('Raw Annual DMR Data'!$M:$M,MATCH(K2473,'Raw Annual DMR Data'!$L:$L,0)))</f>
        <v>POTW</v>
      </c>
      <c r="M2473" s="28"/>
      <c r="N2473" s="28"/>
      <c r="O2473" s="28"/>
      <c r="P2473" s="28"/>
      <c r="Q2473" s="28"/>
      <c r="R2473" s="28">
        <f t="shared" si="20"/>
        <v>0.59123929487614613</v>
      </c>
      <c r="S2473" s="28">
        <v>0.26818163299999997</v>
      </c>
    </row>
    <row r="2474" spans="1:19" x14ac:dyDescent="0.25">
      <c r="A2474" s="28">
        <v>2021</v>
      </c>
      <c r="B2474" s="28"/>
      <c r="C2474" s="28" t="s">
        <v>1421</v>
      </c>
      <c r="D2474" s="28" t="s">
        <v>2350</v>
      </c>
      <c r="E2474" s="28" t="s">
        <v>1422</v>
      </c>
      <c r="F2474" s="28" t="s">
        <v>1171</v>
      </c>
      <c r="G2474" s="28">
        <v>96746</v>
      </c>
      <c r="H2474" s="28">
        <v>22.079093</v>
      </c>
      <c r="I2474" s="28">
        <v>-159.35138900000001</v>
      </c>
      <c r="J2474" s="28"/>
      <c r="K2474" s="61">
        <v>110010731262</v>
      </c>
      <c r="L2474" s="61" t="str">
        <f>IFERROR(INDEX('Facility Summary'!$K:$K,MATCH(K2474,'Facility Summary'!$J:$J,0)),INDEX('Raw Annual DMR Data'!$M:$M,MATCH(K2474,'Raw Annual DMR Data'!$L:$L,0)))</f>
        <v>POTW</v>
      </c>
      <c r="M2474" s="28"/>
      <c r="N2474" s="28"/>
      <c r="O2474" s="28"/>
      <c r="P2474" s="28"/>
      <c r="Q2474" s="28"/>
      <c r="R2474" s="28">
        <f t="shared" si="20"/>
        <v>0.36320464616721837</v>
      </c>
      <c r="S2474" s="28">
        <v>0.16474685624999999</v>
      </c>
    </row>
    <row r="2475" spans="1:19" x14ac:dyDescent="0.25">
      <c r="A2475" s="28">
        <v>2023</v>
      </c>
      <c r="B2475" s="28"/>
      <c r="C2475" s="28" t="s">
        <v>1421</v>
      </c>
      <c r="D2475" s="28" t="s">
        <v>2350</v>
      </c>
      <c r="E2475" s="28" t="s">
        <v>1422</v>
      </c>
      <c r="F2475" s="28" t="s">
        <v>1171</v>
      </c>
      <c r="G2475" s="28">
        <v>96746</v>
      </c>
      <c r="H2475" s="28">
        <v>22.079093</v>
      </c>
      <c r="I2475" s="28">
        <v>-159.35138900000001</v>
      </c>
      <c r="J2475" s="28"/>
      <c r="K2475" s="61">
        <v>110010731262</v>
      </c>
      <c r="L2475" s="61" t="str">
        <f>IFERROR(INDEX('Facility Summary'!$K:$K,MATCH(K2475,'Facility Summary'!$J:$J,0)),INDEX('Raw Annual DMR Data'!$M:$M,MATCH(K2475,'Raw Annual DMR Data'!$L:$L,0)))</f>
        <v>POTW</v>
      </c>
      <c r="M2475" s="28"/>
      <c r="N2475" s="28"/>
      <c r="O2475" s="28"/>
      <c r="P2475" s="28"/>
      <c r="Q2475" s="28"/>
      <c r="R2475" s="28">
        <f t="shared" si="20"/>
        <v>8.9453421030869631E-2</v>
      </c>
      <c r="S2475" s="28">
        <v>4.0575389250000003E-2</v>
      </c>
    </row>
    <row r="2476" spans="1:19" x14ac:dyDescent="0.25">
      <c r="A2476" s="28">
        <v>2024</v>
      </c>
      <c r="B2476" s="28"/>
      <c r="C2476" s="28" t="s">
        <v>1421</v>
      </c>
      <c r="D2476" s="28" t="s">
        <v>2350</v>
      </c>
      <c r="E2476" s="28" t="s">
        <v>1422</v>
      </c>
      <c r="F2476" s="28" t="s">
        <v>1171</v>
      </c>
      <c r="G2476" s="28">
        <v>96746</v>
      </c>
      <c r="H2476" s="28">
        <v>22.079093</v>
      </c>
      <c r="I2476" s="28">
        <v>-159.35138900000001</v>
      </c>
      <c r="J2476" s="28"/>
      <c r="K2476" s="61">
        <v>110010731262</v>
      </c>
      <c r="L2476" s="61" t="str">
        <f>IFERROR(INDEX('Facility Summary'!$K:$K,MATCH(K2476,'Facility Summary'!$J:$J,0)),INDEX('Raw Annual DMR Data'!$M:$M,MATCH(K2476,'Raw Annual DMR Data'!$L:$L,0)))</f>
        <v>POTW</v>
      </c>
      <c r="M2476" s="28"/>
      <c r="N2476" s="28"/>
      <c r="O2476" s="28"/>
      <c r="P2476" s="28"/>
      <c r="Q2476" s="28"/>
      <c r="R2476" s="28">
        <f t="shared" si="20"/>
        <v>7.7894832920139281E-2</v>
      </c>
      <c r="S2476" s="28">
        <v>3.5332501874999998E-2</v>
      </c>
    </row>
    <row r="2477" spans="1:19" x14ac:dyDescent="0.25">
      <c r="A2477" s="28">
        <v>2023</v>
      </c>
      <c r="B2477" s="28"/>
      <c r="C2477" s="28" t="s">
        <v>1423</v>
      </c>
      <c r="D2477" s="28" t="s">
        <v>2353</v>
      </c>
      <c r="E2477" s="28" t="s">
        <v>1424</v>
      </c>
      <c r="F2477" s="28" t="s">
        <v>294</v>
      </c>
      <c r="G2477" s="28">
        <v>22610</v>
      </c>
      <c r="H2477" s="28">
        <v>38.814979999999998</v>
      </c>
      <c r="I2477" s="28">
        <v>-78.2834</v>
      </c>
      <c r="J2477" s="28"/>
      <c r="K2477" s="61">
        <v>110054919406</v>
      </c>
      <c r="L2477" s="61" t="str">
        <f>IFERROR(INDEX('Facility Summary'!$K:$K,MATCH(K2477,'Facility Summary'!$J:$J,0)),INDEX('Raw Annual DMR Data'!$M:$M,MATCH(K2477,'Raw Annual DMR Data'!$L:$L,0)))</f>
        <v>Waste Handling, Disposal and Treatment (Landfill)</v>
      </c>
      <c r="M2477" s="28"/>
      <c r="N2477" s="28"/>
      <c r="O2477" s="28"/>
      <c r="P2477" s="28"/>
      <c r="Q2477" s="28"/>
      <c r="R2477" s="28">
        <f t="shared" si="20"/>
        <v>2.0359758173401372E-2</v>
      </c>
      <c r="S2477" s="28">
        <v>9.2350309624999998E-3</v>
      </c>
    </row>
    <row r="2478" spans="1:19" x14ac:dyDescent="0.25">
      <c r="A2478" s="28">
        <v>2024</v>
      </c>
      <c r="B2478" s="28"/>
      <c r="C2478" s="28" t="s">
        <v>1423</v>
      </c>
      <c r="D2478" s="28" t="s">
        <v>2353</v>
      </c>
      <c r="E2478" s="28" t="s">
        <v>1424</v>
      </c>
      <c r="F2478" s="28" t="s">
        <v>294</v>
      </c>
      <c r="G2478" s="28">
        <v>22610</v>
      </c>
      <c r="H2478" s="28">
        <v>38.814979999999998</v>
      </c>
      <c r="I2478" s="28">
        <v>-78.2834</v>
      </c>
      <c r="J2478" s="28"/>
      <c r="K2478" s="61">
        <v>110054919406</v>
      </c>
      <c r="L2478" s="61" t="str">
        <f>IFERROR(INDEX('Facility Summary'!$K:$K,MATCH(K2478,'Facility Summary'!$J:$J,0)),INDEX('Raw Annual DMR Data'!$M:$M,MATCH(K2478,'Raw Annual DMR Data'!$L:$L,0)))</f>
        <v>Waste Handling, Disposal and Treatment (Landfill)</v>
      </c>
      <c r="M2478" s="28"/>
      <c r="N2478" s="28"/>
      <c r="O2478" s="28"/>
      <c r="P2478" s="28"/>
      <c r="Q2478" s="28"/>
      <c r="R2478" s="28">
        <f t="shared" si="20"/>
        <v>1.7094431477099138E-2</v>
      </c>
      <c r="S2478" s="28">
        <v>7.7539036875E-3</v>
      </c>
    </row>
    <row r="2479" spans="1:19" x14ac:dyDescent="0.25">
      <c r="A2479" s="28">
        <v>2022</v>
      </c>
      <c r="B2479" s="28"/>
      <c r="C2479" s="28" t="s">
        <v>1423</v>
      </c>
      <c r="D2479" s="28" t="s">
        <v>2353</v>
      </c>
      <c r="E2479" s="28" t="s">
        <v>1424</v>
      </c>
      <c r="F2479" s="28" t="s">
        <v>294</v>
      </c>
      <c r="G2479" s="28">
        <v>22610</v>
      </c>
      <c r="H2479" s="28">
        <v>38.814979999999998</v>
      </c>
      <c r="I2479" s="28">
        <v>-78.2834</v>
      </c>
      <c r="J2479" s="28"/>
      <c r="K2479" s="61">
        <v>110054919406</v>
      </c>
      <c r="L2479" s="61" t="str">
        <f>IFERROR(INDEX('Facility Summary'!$K:$K,MATCH(K2479,'Facility Summary'!$J:$J,0)),INDEX('Raw Annual DMR Data'!$M:$M,MATCH(K2479,'Raw Annual DMR Data'!$L:$L,0)))</f>
        <v>Waste Handling, Disposal and Treatment (Landfill)</v>
      </c>
      <c r="M2479" s="28"/>
      <c r="N2479" s="28"/>
      <c r="O2479" s="28"/>
      <c r="P2479" s="28"/>
      <c r="Q2479" s="28"/>
      <c r="R2479" s="28">
        <f t="shared" si="20"/>
        <v>3.569435056630251E-3</v>
      </c>
      <c r="S2479" s="28">
        <v>1.6190685068979999E-3</v>
      </c>
    </row>
    <row r="2480" spans="1:19" x14ac:dyDescent="0.25">
      <c r="A2480" s="28">
        <v>2021</v>
      </c>
      <c r="B2480" s="28"/>
      <c r="C2480" s="28" t="s">
        <v>1423</v>
      </c>
      <c r="D2480" s="28" t="s">
        <v>2353</v>
      </c>
      <c r="E2480" s="28" t="s">
        <v>1424</v>
      </c>
      <c r="F2480" s="28" t="s">
        <v>294</v>
      </c>
      <c r="G2480" s="28">
        <v>22610</v>
      </c>
      <c r="H2480" s="28">
        <v>38.814979999999998</v>
      </c>
      <c r="I2480" s="28">
        <v>-78.2834</v>
      </c>
      <c r="J2480" s="28"/>
      <c r="K2480" s="61">
        <v>110054919406</v>
      </c>
      <c r="L2480" s="61" t="str">
        <f>IFERROR(INDEX('Facility Summary'!$K:$K,MATCH(K2480,'Facility Summary'!$J:$J,0)),INDEX('Raw Annual DMR Data'!$M:$M,MATCH(K2480,'Raw Annual DMR Data'!$L:$L,0)))</f>
        <v>Waste Handling, Disposal and Treatment (Landfill)</v>
      </c>
      <c r="M2480" s="28"/>
      <c r="N2480" s="28"/>
      <c r="O2480" s="28"/>
      <c r="P2480" s="28"/>
      <c r="Q2480" s="28"/>
      <c r="R2480" s="28">
        <f t="shared" si="20"/>
        <v>1.110176447081771E-3</v>
      </c>
      <c r="S2480" s="28">
        <v>5.0356756575000003E-4</v>
      </c>
    </row>
    <row r="2481" spans="1:19" x14ac:dyDescent="0.25">
      <c r="A2481" s="28">
        <v>2021</v>
      </c>
      <c r="B2481" s="28"/>
      <c r="C2481" s="28" t="s">
        <v>6853</v>
      </c>
      <c r="D2481" s="28" t="s">
        <v>7012</v>
      </c>
      <c r="E2481" s="28" t="s">
        <v>1147</v>
      </c>
      <c r="F2481" s="28" t="s">
        <v>491</v>
      </c>
      <c r="G2481" s="28">
        <v>19067</v>
      </c>
      <c r="H2481" s="28">
        <v>40.159343999999997</v>
      </c>
      <c r="I2481" s="28">
        <v>-74.776695000000004</v>
      </c>
      <c r="J2481" s="28"/>
      <c r="K2481" s="61">
        <v>110000817439</v>
      </c>
      <c r="L2481" s="61" t="str">
        <f>IFERROR(INDEX('Facility Summary'!$K:$K,MATCH(K2481,'Facility Summary'!$J:$J,0)),INDEX('Raw Annual DMR Data'!$M:$M,MATCH(K2481,'Raw Annual DMR Data'!$L:$L,0)))</f>
        <v>Waste Handling, Disposal and Treatment (Landfill)</v>
      </c>
      <c r="M2481" s="28"/>
      <c r="N2481" s="28"/>
      <c r="O2481" s="28"/>
      <c r="P2481" s="28"/>
      <c r="Q2481" s="28"/>
      <c r="R2481" s="28">
        <f t="shared" si="20"/>
        <v>0.10998783577697746</v>
      </c>
      <c r="S2481" s="28">
        <v>4.9889643101249999E-2</v>
      </c>
    </row>
    <row r="2482" spans="1:19" x14ac:dyDescent="0.25">
      <c r="A2482" s="28">
        <v>2022</v>
      </c>
      <c r="B2482" s="28"/>
      <c r="C2482" s="28" t="s">
        <v>6853</v>
      </c>
      <c r="D2482" s="28" t="s">
        <v>7068</v>
      </c>
      <c r="E2482" s="28" t="s">
        <v>1147</v>
      </c>
      <c r="F2482" s="28" t="s">
        <v>491</v>
      </c>
      <c r="G2482" s="28">
        <v>19067</v>
      </c>
      <c r="H2482" s="28">
        <v>40.159343999999997</v>
      </c>
      <c r="I2482" s="28">
        <v>-74.776695000000004</v>
      </c>
      <c r="J2482" s="28"/>
      <c r="K2482" s="61">
        <v>110000817439</v>
      </c>
      <c r="L2482" s="61" t="str">
        <f>IFERROR(INDEX('Facility Summary'!$K:$K,MATCH(K2482,'Facility Summary'!$J:$J,0)),INDEX('Raw Annual DMR Data'!$M:$M,MATCH(K2482,'Raw Annual DMR Data'!$L:$L,0)))</f>
        <v>Waste Handling, Disposal and Treatment (Landfill)</v>
      </c>
      <c r="M2482" s="28"/>
      <c r="N2482" s="28"/>
      <c r="O2482" s="28"/>
      <c r="P2482" s="28"/>
      <c r="Q2482" s="28"/>
      <c r="R2482" s="28">
        <f t="shared" si="20"/>
        <v>8.2823470214567319E-2</v>
      </c>
      <c r="S2482" s="28">
        <v>3.7568094146250001E-2</v>
      </c>
    </row>
    <row r="2483" spans="1:19" x14ac:dyDescent="0.25">
      <c r="A2483" s="28">
        <v>2023</v>
      </c>
      <c r="B2483" s="28"/>
      <c r="C2483" s="28" t="s">
        <v>6853</v>
      </c>
      <c r="D2483" s="28" t="s">
        <v>7068</v>
      </c>
      <c r="E2483" s="28" t="s">
        <v>1147</v>
      </c>
      <c r="F2483" s="28" t="s">
        <v>491</v>
      </c>
      <c r="G2483" s="28">
        <v>19067</v>
      </c>
      <c r="H2483" s="28">
        <v>40.159343999999997</v>
      </c>
      <c r="I2483" s="28">
        <v>-74.776695000000004</v>
      </c>
      <c r="J2483" s="28"/>
      <c r="K2483" s="61">
        <v>110000817439</v>
      </c>
      <c r="L2483" s="61" t="str">
        <f>IFERROR(INDEX('Facility Summary'!$K:$K,MATCH(K2483,'Facility Summary'!$J:$J,0)),INDEX('Raw Annual DMR Data'!$M:$M,MATCH(K2483,'Raw Annual DMR Data'!$L:$L,0)))</f>
        <v>Waste Handling, Disposal and Treatment (Landfill)</v>
      </c>
      <c r="M2483" s="28"/>
      <c r="N2483" s="28"/>
      <c r="O2483" s="28"/>
      <c r="P2483" s="28"/>
      <c r="Q2483" s="28"/>
      <c r="R2483" s="28">
        <f t="shared" si="20"/>
        <v>7.5924136099886338E-2</v>
      </c>
      <c r="S2483" s="28">
        <v>3.4438608833750002E-2</v>
      </c>
    </row>
    <row r="2484" spans="1:19" x14ac:dyDescent="0.25">
      <c r="A2484" s="28">
        <v>2024</v>
      </c>
      <c r="B2484" s="28"/>
      <c r="C2484" s="28" t="s">
        <v>6853</v>
      </c>
      <c r="D2484" s="28" t="s">
        <v>7068</v>
      </c>
      <c r="E2484" s="28" t="s">
        <v>1147</v>
      </c>
      <c r="F2484" s="28" t="s">
        <v>491</v>
      </c>
      <c r="G2484" s="28">
        <v>19067</v>
      </c>
      <c r="H2484" s="28">
        <v>40.159343999999997</v>
      </c>
      <c r="I2484" s="28">
        <v>-74.776695000000004</v>
      </c>
      <c r="J2484" s="28"/>
      <c r="K2484" s="61">
        <v>110000817439</v>
      </c>
      <c r="L2484" s="61" t="str">
        <f>IFERROR(INDEX('Facility Summary'!$K:$K,MATCH(K2484,'Facility Summary'!$J:$J,0)),INDEX('Raw Annual DMR Data'!$M:$M,MATCH(K2484,'Raw Annual DMR Data'!$L:$L,0)))</f>
        <v>Waste Handling, Disposal and Treatment (Landfill)</v>
      </c>
      <c r="M2484" s="28"/>
      <c r="N2484" s="28"/>
      <c r="O2484" s="28"/>
      <c r="P2484" s="28"/>
      <c r="Q2484" s="28"/>
      <c r="R2484" s="28">
        <f t="shared" si="20"/>
        <v>6.5403764000703982E-2</v>
      </c>
      <c r="S2484" s="28">
        <v>2.9666648319999999E-2</v>
      </c>
    </row>
    <row r="2485" spans="1:19" x14ac:dyDescent="0.25">
      <c r="A2485" s="28">
        <v>2022</v>
      </c>
      <c r="B2485" s="28"/>
      <c r="C2485" s="28" t="s">
        <v>1427</v>
      </c>
      <c r="D2485" s="28" t="s">
        <v>2359</v>
      </c>
      <c r="E2485" s="28" t="s">
        <v>1265</v>
      </c>
      <c r="F2485" s="28" t="s">
        <v>366</v>
      </c>
      <c r="G2485" s="28">
        <v>94806</v>
      </c>
      <c r="H2485" s="28">
        <v>37.977150000000002</v>
      </c>
      <c r="I2485" s="28">
        <v>-122.33269</v>
      </c>
      <c r="J2485" s="28"/>
      <c r="K2485" s="61">
        <v>110064252419</v>
      </c>
      <c r="L2485" s="61" t="str">
        <f>IFERROR(INDEX('Facility Summary'!$K:$K,MATCH(K2485,'Facility Summary'!$J:$J,0)),INDEX('Raw Annual DMR Data'!$M:$M,MATCH(K2485,'Raw Annual DMR Data'!$L:$L,0)))</f>
        <v>POTW</v>
      </c>
      <c r="M2485" s="28"/>
      <c r="N2485" s="28"/>
      <c r="O2485" s="28"/>
      <c r="P2485" s="28"/>
      <c r="Q2485" s="28"/>
      <c r="R2485" s="28">
        <f t="shared" si="20"/>
        <v>6.989976209255901</v>
      </c>
      <c r="S2485" s="28">
        <v>3.1705998750000002</v>
      </c>
    </row>
    <row r="2486" spans="1:19" x14ac:dyDescent="0.25">
      <c r="A2486" s="28">
        <v>2024</v>
      </c>
      <c r="B2486" s="28"/>
      <c r="C2486" s="28" t="s">
        <v>1428</v>
      </c>
      <c r="D2486" s="28" t="s">
        <v>2362</v>
      </c>
      <c r="E2486" s="28" t="s">
        <v>337</v>
      </c>
      <c r="F2486" s="28" t="s">
        <v>338</v>
      </c>
      <c r="G2486" s="28">
        <v>8066</v>
      </c>
      <c r="H2486" s="28">
        <v>39.837310000000002</v>
      </c>
      <c r="I2486" s="28">
        <v>-75.224580000000003</v>
      </c>
      <c r="J2486" s="28"/>
      <c r="K2486" s="61">
        <v>110010354810</v>
      </c>
      <c r="L2486" s="61" t="str">
        <f>IFERROR(INDEX('Facility Summary'!$K:$K,MATCH(K2486,'Facility Summary'!$J:$J,0)),INDEX('Raw Annual DMR Data'!$M:$M,MATCH(K2486,'Raw Annual DMR Data'!$L:$L,0)))</f>
        <v>Unknown</v>
      </c>
      <c r="M2486" s="28"/>
      <c r="N2486" s="28"/>
      <c r="O2486" s="28"/>
      <c r="P2486" s="28"/>
      <c r="Q2486" s="28"/>
      <c r="R2486" s="28">
        <f t="shared" si="20"/>
        <v>0.28775495937023809</v>
      </c>
      <c r="S2486" s="28">
        <v>0.13052345400000001</v>
      </c>
    </row>
    <row r="2487" spans="1:19" x14ac:dyDescent="0.25">
      <c r="A2487" s="28">
        <v>2023</v>
      </c>
      <c r="B2487" s="28"/>
      <c r="C2487" s="28" t="s">
        <v>1428</v>
      </c>
      <c r="D2487" s="28" t="s">
        <v>2362</v>
      </c>
      <c r="E2487" s="28" t="s">
        <v>337</v>
      </c>
      <c r="F2487" s="28" t="s">
        <v>338</v>
      </c>
      <c r="G2487" s="28" t="s">
        <v>1817</v>
      </c>
      <c r="H2487" s="28">
        <v>39.837310000000002</v>
      </c>
      <c r="I2487" s="28">
        <v>-75.224580000000003</v>
      </c>
      <c r="J2487" s="28"/>
      <c r="K2487" s="61">
        <v>110010354810</v>
      </c>
      <c r="L2487" s="61" t="str">
        <f>IFERROR(INDEX('Facility Summary'!$K:$K,MATCH(K2487,'Facility Summary'!$J:$J,0)),INDEX('Raw Annual DMR Data'!$M:$M,MATCH(K2487,'Raw Annual DMR Data'!$L:$L,0)))</f>
        <v>Unknown</v>
      </c>
      <c r="M2487" s="28"/>
      <c r="N2487" s="28"/>
      <c r="O2487" s="28"/>
      <c r="P2487" s="28"/>
      <c r="Q2487" s="28"/>
      <c r="R2487" s="28">
        <f t="shared" si="20"/>
        <v>0.21826900086524825</v>
      </c>
      <c r="S2487" s="28">
        <v>9.9005153400000004E-2</v>
      </c>
    </row>
    <row r="2488" spans="1:19" x14ac:dyDescent="0.25">
      <c r="A2488" s="28">
        <v>2022</v>
      </c>
      <c r="B2488" s="28"/>
      <c r="C2488" s="28" t="s">
        <v>1428</v>
      </c>
      <c r="D2488" s="28" t="s">
        <v>2362</v>
      </c>
      <c r="E2488" s="28" t="s">
        <v>337</v>
      </c>
      <c r="F2488" s="28" t="s">
        <v>338</v>
      </c>
      <c r="G2488" s="28">
        <v>8066</v>
      </c>
      <c r="H2488" s="28">
        <v>39.837310000000002</v>
      </c>
      <c r="I2488" s="28">
        <v>-75.224580000000003</v>
      </c>
      <c r="J2488" s="28"/>
      <c r="K2488" s="61">
        <v>110010354810</v>
      </c>
      <c r="L2488" s="61" t="str">
        <f>IFERROR(INDEX('Facility Summary'!$K:$K,MATCH(K2488,'Facility Summary'!$J:$J,0)),INDEX('Raw Annual DMR Data'!$M:$M,MATCH(K2488,'Raw Annual DMR Data'!$L:$L,0)))</f>
        <v>Unknown</v>
      </c>
      <c r="M2488" s="28"/>
      <c r="N2488" s="28"/>
      <c r="O2488" s="28"/>
      <c r="P2488" s="28"/>
      <c r="Q2488" s="28"/>
      <c r="R2488" s="28">
        <f t="shared" si="20"/>
        <v>5.3862557476440795E-2</v>
      </c>
      <c r="S2488" s="28">
        <v>2.44316451E-2</v>
      </c>
    </row>
    <row r="2489" spans="1:19" x14ac:dyDescent="0.25">
      <c r="A2489" s="28">
        <v>2021</v>
      </c>
      <c r="B2489" s="28"/>
      <c r="C2489" s="28" t="s">
        <v>1428</v>
      </c>
      <c r="D2489" s="28" t="s">
        <v>2362</v>
      </c>
      <c r="E2489" s="28" t="s">
        <v>337</v>
      </c>
      <c r="F2489" s="28" t="s">
        <v>338</v>
      </c>
      <c r="G2489" s="28">
        <v>8066</v>
      </c>
      <c r="H2489" s="28">
        <v>39.837310000000002</v>
      </c>
      <c r="I2489" s="28">
        <v>-75.224580000000003</v>
      </c>
      <c r="J2489" s="28"/>
      <c r="K2489" s="61">
        <v>110010354810</v>
      </c>
      <c r="L2489" s="61" t="str">
        <f>IFERROR(INDEX('Facility Summary'!$K:$K,MATCH(K2489,'Facility Summary'!$J:$J,0)),INDEX('Raw Annual DMR Data'!$M:$M,MATCH(K2489,'Raw Annual DMR Data'!$L:$L,0)))</f>
        <v>Unknown</v>
      </c>
      <c r="M2489" s="28"/>
      <c r="N2489" s="28"/>
      <c r="O2489" s="28"/>
      <c r="P2489" s="28"/>
      <c r="Q2489" s="28"/>
      <c r="R2489" s="28">
        <f t="shared" si="20"/>
        <v>4.8628555414192705E-2</v>
      </c>
      <c r="S2489" s="28">
        <v>2.2057541699999999E-2</v>
      </c>
    </row>
    <row r="2490" spans="1:19" x14ac:dyDescent="0.25">
      <c r="A2490" s="28">
        <v>2021</v>
      </c>
      <c r="B2490" s="28"/>
      <c r="C2490" s="28" t="s">
        <v>6772</v>
      </c>
      <c r="D2490" s="28" t="s">
        <v>445</v>
      </c>
      <c r="E2490" s="28" t="s">
        <v>446</v>
      </c>
      <c r="F2490" s="28" t="s">
        <v>303</v>
      </c>
      <c r="G2490" s="28">
        <v>70669</v>
      </c>
      <c r="H2490" s="28">
        <v>30.223500000000001</v>
      </c>
      <c r="I2490" s="28">
        <v>-93.286900000000003</v>
      </c>
      <c r="J2490" s="28" t="s">
        <v>447</v>
      </c>
      <c r="K2490" s="61">
        <v>110000494894</v>
      </c>
      <c r="L2490" s="61" t="str">
        <f>IFERROR(INDEX('Facility Summary'!$K:$K,MATCH(K2490,'Facility Summary'!$J:$J,0)),INDEX('Raw Annual DMR Data'!$M:$M,MATCH(K2490,'Raw Annual DMR Data'!$L:$L,0)))</f>
        <v>Manufacturing</v>
      </c>
      <c r="M2490" s="28"/>
      <c r="N2490" s="28"/>
      <c r="O2490" s="28"/>
      <c r="P2490" s="28"/>
      <c r="Q2490" s="28"/>
      <c r="R2490" s="28">
        <f t="shared" si="20"/>
        <v>18426.613507189282</v>
      </c>
      <c r="S2490" s="28">
        <v>8358.1712917999994</v>
      </c>
    </row>
    <row r="2491" spans="1:19" x14ac:dyDescent="0.25">
      <c r="A2491" s="28">
        <v>2022</v>
      </c>
      <c r="B2491" s="28"/>
      <c r="C2491" s="28" t="s">
        <v>6772</v>
      </c>
      <c r="D2491" s="28" t="s">
        <v>445</v>
      </c>
      <c r="E2491" s="28" t="s">
        <v>446</v>
      </c>
      <c r="F2491" s="28" t="s">
        <v>303</v>
      </c>
      <c r="G2491" s="28">
        <v>70669</v>
      </c>
      <c r="H2491" s="28">
        <v>30.223500000000001</v>
      </c>
      <c r="I2491" s="28">
        <v>-93.286900000000003</v>
      </c>
      <c r="J2491" s="28" t="s">
        <v>447</v>
      </c>
      <c r="K2491" s="61">
        <v>110000494894</v>
      </c>
      <c r="L2491" s="61" t="str">
        <f>IFERROR(INDEX('Facility Summary'!$K:$K,MATCH(K2491,'Facility Summary'!$J:$J,0)),INDEX('Raw Annual DMR Data'!$M:$M,MATCH(K2491,'Raw Annual DMR Data'!$L:$L,0)))</f>
        <v>Manufacturing</v>
      </c>
      <c r="M2491" s="28"/>
      <c r="N2491" s="28"/>
      <c r="O2491" s="28"/>
      <c r="P2491" s="28"/>
      <c r="Q2491" s="28"/>
      <c r="R2491" s="28">
        <f t="shared" si="20"/>
        <v>2730.8693644912937</v>
      </c>
      <c r="S2491" s="28">
        <v>1238.7015071999999</v>
      </c>
    </row>
    <row r="2492" spans="1:19" x14ac:dyDescent="0.25">
      <c r="A2492" s="28">
        <v>2024</v>
      </c>
      <c r="B2492" s="28"/>
      <c r="C2492" s="28" t="s">
        <v>6772</v>
      </c>
      <c r="D2492" s="28" t="s">
        <v>445</v>
      </c>
      <c r="E2492" s="28" t="s">
        <v>446</v>
      </c>
      <c r="F2492" s="28" t="s">
        <v>303</v>
      </c>
      <c r="G2492" s="28">
        <v>70669</v>
      </c>
      <c r="H2492" s="28">
        <v>30.223500000000001</v>
      </c>
      <c r="I2492" s="28">
        <v>-93.286900000000003</v>
      </c>
      <c r="J2492" s="28" t="s">
        <v>447</v>
      </c>
      <c r="K2492" s="61">
        <v>110000494894</v>
      </c>
      <c r="L2492" s="61" t="str">
        <f>IFERROR(INDEX('Facility Summary'!$K:$K,MATCH(K2492,'Facility Summary'!$J:$J,0)),INDEX('Raw Annual DMR Data'!$M:$M,MATCH(K2492,'Raw Annual DMR Data'!$L:$L,0)))</f>
        <v>Manufacturing</v>
      </c>
      <c r="M2492" s="28"/>
      <c r="N2492" s="28"/>
      <c r="O2492" s="28"/>
      <c r="P2492" s="28"/>
      <c r="Q2492" s="28"/>
      <c r="R2492" s="28">
        <f t="shared" ref="R2492:R2508" si="21">CONVERT(S2492,"g","lbm")*1000</f>
        <v>719.69618889312437</v>
      </c>
      <c r="S2492" s="28">
        <v>326.44869999999997</v>
      </c>
    </row>
    <row r="2493" spans="1:19" x14ac:dyDescent="0.25">
      <c r="A2493" s="28">
        <v>2024</v>
      </c>
      <c r="B2493" s="28"/>
      <c r="C2493" s="28" t="s">
        <v>6771</v>
      </c>
      <c r="D2493" s="28" t="s">
        <v>665</v>
      </c>
      <c r="E2493" s="28" t="s">
        <v>516</v>
      </c>
      <c r="F2493" s="28" t="s">
        <v>303</v>
      </c>
      <c r="G2493" s="28">
        <v>70734</v>
      </c>
      <c r="H2493" s="28">
        <v>30.208604000000001</v>
      </c>
      <c r="I2493" s="28">
        <v>-91.011127999999999</v>
      </c>
      <c r="J2493" s="28" t="s">
        <v>666</v>
      </c>
      <c r="K2493" s="61">
        <v>110000746328</v>
      </c>
      <c r="L2493" s="61" t="str">
        <f>IFERROR(INDEX('Facility Summary'!$K:$K,MATCH(K2493,'Facility Summary'!$J:$J,0)),INDEX('Raw Annual DMR Data'!$M:$M,MATCH(K2493,'Raw Annual DMR Data'!$L:$L,0)))</f>
        <v>Manufacturing</v>
      </c>
      <c r="M2493" s="28"/>
      <c r="N2493" s="28"/>
      <c r="O2493" s="28"/>
      <c r="P2493" s="28"/>
      <c r="Q2493" s="28"/>
      <c r="R2493" s="28">
        <f t="shared" si="21"/>
        <v>68.749727866895114</v>
      </c>
      <c r="S2493" s="28">
        <v>31.184352000000001</v>
      </c>
    </row>
    <row r="2494" spans="1:19" x14ac:dyDescent="0.25">
      <c r="A2494" s="28">
        <v>2021</v>
      </c>
      <c r="B2494" s="28"/>
      <c r="C2494" s="28" t="s">
        <v>6771</v>
      </c>
      <c r="D2494" s="28" t="s">
        <v>665</v>
      </c>
      <c r="E2494" s="28" t="s">
        <v>516</v>
      </c>
      <c r="F2494" s="28" t="s">
        <v>303</v>
      </c>
      <c r="G2494" s="28">
        <v>70734</v>
      </c>
      <c r="H2494" s="28">
        <v>30.208604000000001</v>
      </c>
      <c r="I2494" s="28">
        <v>-91.011127999999999</v>
      </c>
      <c r="J2494" s="28" t="s">
        <v>666</v>
      </c>
      <c r="K2494" s="61">
        <v>110000746328</v>
      </c>
      <c r="L2494" s="61" t="str">
        <f>IFERROR(INDEX('Facility Summary'!$K:$K,MATCH(K2494,'Facility Summary'!$J:$J,0)),INDEX('Raw Annual DMR Data'!$M:$M,MATCH(K2494,'Raw Annual DMR Data'!$L:$L,0)))</f>
        <v>Manufacturing</v>
      </c>
      <c r="M2494" s="28"/>
      <c r="N2494" s="28"/>
      <c r="O2494" s="28"/>
      <c r="P2494" s="28"/>
      <c r="Q2494" s="28"/>
      <c r="R2494" s="28">
        <f t="shared" si="21"/>
        <v>28.225342503005507</v>
      </c>
      <c r="S2494" s="28">
        <v>12.8028</v>
      </c>
    </row>
    <row r="2495" spans="1:19" x14ac:dyDescent="0.25">
      <c r="A2495" s="28">
        <v>2022</v>
      </c>
      <c r="B2495" s="28"/>
      <c r="C2495" s="28" t="s">
        <v>6771</v>
      </c>
      <c r="D2495" s="28" t="s">
        <v>665</v>
      </c>
      <c r="E2495" s="28" t="s">
        <v>516</v>
      </c>
      <c r="F2495" s="28" t="s">
        <v>303</v>
      </c>
      <c r="G2495" s="28">
        <v>70734</v>
      </c>
      <c r="H2495" s="28">
        <v>30.208604000000001</v>
      </c>
      <c r="I2495" s="28">
        <v>-91.011127999999999</v>
      </c>
      <c r="J2495" s="28" t="s">
        <v>666</v>
      </c>
      <c r="K2495" s="61">
        <v>110000746328</v>
      </c>
      <c r="L2495" s="61" t="str">
        <f>IFERROR(INDEX('Facility Summary'!$K:$K,MATCH(K2495,'Facility Summary'!$J:$J,0)),INDEX('Raw Annual DMR Data'!$M:$M,MATCH(K2495,'Raw Annual DMR Data'!$L:$L,0)))</f>
        <v>Manufacturing</v>
      </c>
      <c r="M2495" s="28"/>
      <c r="N2495" s="28"/>
      <c r="O2495" s="28"/>
      <c r="P2495" s="28"/>
      <c r="Q2495" s="28"/>
      <c r="R2495" s="28">
        <f t="shared" si="21"/>
        <v>27.504695460375576</v>
      </c>
      <c r="S2495" s="28">
        <v>12.47592</v>
      </c>
    </row>
    <row r="2496" spans="1:19" x14ac:dyDescent="0.25">
      <c r="A2496" s="28">
        <v>2023</v>
      </c>
      <c r="B2496" s="28"/>
      <c r="C2496" s="28" t="s">
        <v>6771</v>
      </c>
      <c r="D2496" s="28" t="s">
        <v>665</v>
      </c>
      <c r="E2496" s="28" t="s">
        <v>516</v>
      </c>
      <c r="F2496" s="28" t="s">
        <v>303</v>
      </c>
      <c r="G2496" s="28">
        <v>70734</v>
      </c>
      <c r="H2496" s="28">
        <v>30.208604000000001</v>
      </c>
      <c r="I2496" s="28">
        <v>-91.011127999999999</v>
      </c>
      <c r="J2496" s="28" t="s">
        <v>666</v>
      </c>
      <c r="K2496" s="61">
        <v>110000746328</v>
      </c>
      <c r="L2496" s="61" t="str">
        <f>IFERROR(INDEX('Facility Summary'!$K:$K,MATCH(K2496,'Facility Summary'!$J:$J,0)),INDEX('Raw Annual DMR Data'!$M:$M,MATCH(K2496,'Raw Annual DMR Data'!$L:$L,0)))</f>
        <v>Manufacturing</v>
      </c>
      <c r="M2496" s="28"/>
      <c r="N2496" s="28"/>
      <c r="O2496" s="28"/>
      <c r="P2496" s="28"/>
      <c r="Q2496" s="28"/>
      <c r="R2496" s="28">
        <f t="shared" si="21"/>
        <v>11.17002916076388</v>
      </c>
      <c r="S2496" s="28">
        <v>5.0666399999999996</v>
      </c>
    </row>
    <row r="2497" spans="1:19" x14ac:dyDescent="0.25">
      <c r="A2497" s="28">
        <v>2021</v>
      </c>
      <c r="B2497" s="28"/>
      <c r="C2497" s="28" t="s">
        <v>6792</v>
      </c>
      <c r="D2497" s="28" t="s">
        <v>667</v>
      </c>
      <c r="E2497" s="28" t="s">
        <v>323</v>
      </c>
      <c r="F2497" s="28" t="s">
        <v>324</v>
      </c>
      <c r="G2497" s="28">
        <v>42029</v>
      </c>
      <c r="H2497" s="28">
        <v>37.051110999999999</v>
      </c>
      <c r="I2497" s="28">
        <v>-88.334166999999994</v>
      </c>
      <c r="J2497" s="28" t="s">
        <v>668</v>
      </c>
      <c r="K2497" s="61">
        <v>110027373072</v>
      </c>
      <c r="L2497" s="61" t="str">
        <f>IFERROR(INDEX('Facility Summary'!$K:$K,MATCH(K2497,'Facility Summary'!$J:$J,0)),INDEX('Raw Annual DMR Data'!$M:$M,MATCH(K2497,'Raw Annual DMR Data'!$L:$L,0)))</f>
        <v>Manufacturing</v>
      </c>
      <c r="M2497" s="28"/>
      <c r="N2497" s="28"/>
      <c r="O2497" s="28"/>
      <c r="P2497" s="28"/>
      <c r="Q2497" s="28"/>
      <c r="R2497" s="28">
        <f t="shared" si="21"/>
        <v>1666.4227383888754</v>
      </c>
      <c r="S2497" s="28">
        <v>755.87663932769999</v>
      </c>
    </row>
    <row r="2498" spans="1:19" x14ac:dyDescent="0.25">
      <c r="A2498" s="28">
        <v>2023</v>
      </c>
      <c r="B2498" s="28"/>
      <c r="C2498" s="28" t="s">
        <v>6792</v>
      </c>
      <c r="D2498" s="28" t="s">
        <v>667</v>
      </c>
      <c r="E2498" s="28" t="s">
        <v>323</v>
      </c>
      <c r="F2498" s="28" t="s">
        <v>324</v>
      </c>
      <c r="G2498" s="28">
        <v>42029</v>
      </c>
      <c r="H2498" s="28">
        <v>37.051110999999999</v>
      </c>
      <c r="I2498" s="28">
        <v>-88.334166999999994</v>
      </c>
      <c r="J2498" s="28" t="s">
        <v>668</v>
      </c>
      <c r="K2498" s="61">
        <v>110027373072</v>
      </c>
      <c r="L2498" s="61" t="str">
        <f>IFERROR(INDEX('Facility Summary'!$K:$K,MATCH(K2498,'Facility Summary'!$J:$J,0)),INDEX('Raw Annual DMR Data'!$M:$M,MATCH(K2498,'Raw Annual DMR Data'!$L:$L,0)))</f>
        <v>Manufacturing</v>
      </c>
      <c r="M2498" s="28"/>
      <c r="N2498" s="28"/>
      <c r="O2498" s="28"/>
      <c r="P2498" s="28"/>
      <c r="Q2498" s="28"/>
      <c r="R2498" s="28">
        <f t="shared" si="21"/>
        <v>785.99443591886256</v>
      </c>
      <c r="S2498" s="28">
        <v>356.52107899524998</v>
      </c>
    </row>
    <row r="2499" spans="1:19" x14ac:dyDescent="0.25">
      <c r="A2499" s="28">
        <v>2022</v>
      </c>
      <c r="B2499" s="28"/>
      <c r="C2499" s="28" t="s">
        <v>6792</v>
      </c>
      <c r="D2499" s="28" t="s">
        <v>667</v>
      </c>
      <c r="E2499" s="28" t="s">
        <v>323</v>
      </c>
      <c r="F2499" s="28" t="s">
        <v>324</v>
      </c>
      <c r="G2499" s="28">
        <v>42029</v>
      </c>
      <c r="H2499" s="28">
        <v>37.051110999999999</v>
      </c>
      <c r="I2499" s="28">
        <v>-88.334166999999994</v>
      </c>
      <c r="J2499" s="28" t="s">
        <v>668</v>
      </c>
      <c r="K2499" s="61">
        <v>110027373072</v>
      </c>
      <c r="L2499" s="61" t="str">
        <f>IFERROR(INDEX('Facility Summary'!$K:$K,MATCH(K2499,'Facility Summary'!$J:$J,0)),INDEX('Raw Annual DMR Data'!$M:$M,MATCH(K2499,'Raw Annual DMR Data'!$L:$L,0)))</f>
        <v>Manufacturing</v>
      </c>
      <c r="M2499" s="28"/>
      <c r="N2499" s="28"/>
      <c r="O2499" s="28"/>
      <c r="P2499" s="28"/>
      <c r="Q2499" s="28"/>
      <c r="R2499" s="28">
        <f t="shared" si="21"/>
        <v>451.6384142702841</v>
      </c>
      <c r="S2499" s="28">
        <v>204.85973871190001</v>
      </c>
    </row>
    <row r="2500" spans="1:19" x14ac:dyDescent="0.25">
      <c r="A2500" s="28">
        <v>2024</v>
      </c>
      <c r="B2500" s="28"/>
      <c r="C2500" s="28" t="s">
        <v>6792</v>
      </c>
      <c r="D2500" s="28" t="s">
        <v>667</v>
      </c>
      <c r="E2500" s="28" t="s">
        <v>323</v>
      </c>
      <c r="F2500" s="28" t="s">
        <v>324</v>
      </c>
      <c r="G2500" s="28">
        <v>42029</v>
      </c>
      <c r="H2500" s="28">
        <v>37.051110999999999</v>
      </c>
      <c r="I2500" s="28">
        <v>-88.334166999999994</v>
      </c>
      <c r="J2500" s="28" t="s">
        <v>668</v>
      </c>
      <c r="K2500" s="61">
        <v>110027373072</v>
      </c>
      <c r="L2500" s="61" t="str">
        <f>IFERROR(INDEX('Facility Summary'!$K:$K,MATCH(K2500,'Facility Summary'!$J:$J,0)),INDEX('Raw Annual DMR Data'!$M:$M,MATCH(K2500,'Raw Annual DMR Data'!$L:$L,0)))</f>
        <v>Manufacturing</v>
      </c>
      <c r="M2500" s="28"/>
      <c r="N2500" s="28"/>
      <c r="O2500" s="28"/>
      <c r="P2500" s="28"/>
      <c r="Q2500" s="28"/>
      <c r="R2500" s="28">
        <f t="shared" si="21"/>
        <v>175.1016173398155</v>
      </c>
      <c r="S2500" s="28">
        <v>79.424757600000007</v>
      </c>
    </row>
    <row r="2501" spans="1:19" x14ac:dyDescent="0.25">
      <c r="A2501" s="28">
        <v>2024</v>
      </c>
      <c r="B2501" s="28"/>
      <c r="C2501" s="28" t="s">
        <v>6792</v>
      </c>
      <c r="D2501" s="28" t="s">
        <v>667</v>
      </c>
      <c r="E2501" s="28" t="s">
        <v>323</v>
      </c>
      <c r="F2501" s="28" t="s">
        <v>324</v>
      </c>
      <c r="G2501" s="28">
        <v>42029</v>
      </c>
      <c r="H2501" s="28">
        <v>37.051110999999999</v>
      </c>
      <c r="I2501" s="28">
        <v>-88.334166999999994</v>
      </c>
      <c r="J2501" s="28" t="s">
        <v>668</v>
      </c>
      <c r="K2501" s="61">
        <v>110027373072</v>
      </c>
      <c r="L2501" s="61" t="str">
        <f>IFERROR(INDEX('Facility Summary'!$K:$K,MATCH(K2501,'Facility Summary'!$J:$J,0)),INDEX('Raw Annual DMR Data'!$M:$M,MATCH(K2501,'Raw Annual DMR Data'!$L:$L,0)))</f>
        <v>Manufacturing</v>
      </c>
      <c r="M2501" s="28"/>
      <c r="N2501" s="28"/>
      <c r="O2501" s="28"/>
      <c r="P2501" s="28"/>
      <c r="Q2501" s="28"/>
      <c r="R2501" s="28">
        <f t="shared" si="21"/>
        <v>143.51228846464059</v>
      </c>
      <c r="S2501" s="28">
        <v>65.096079048799993</v>
      </c>
    </row>
    <row r="2502" spans="1:19" x14ac:dyDescent="0.25">
      <c r="A2502" s="28">
        <v>2022</v>
      </c>
      <c r="B2502" s="28"/>
      <c r="C2502" s="28" t="s">
        <v>6792</v>
      </c>
      <c r="D2502" s="28" t="s">
        <v>667</v>
      </c>
      <c r="E2502" s="28" t="s">
        <v>323</v>
      </c>
      <c r="F2502" s="28" t="s">
        <v>324</v>
      </c>
      <c r="G2502" s="28">
        <v>42029</v>
      </c>
      <c r="H2502" s="28">
        <v>37.051110999999999</v>
      </c>
      <c r="I2502" s="28">
        <v>-88.334166999999994</v>
      </c>
      <c r="J2502" s="28" t="s">
        <v>668</v>
      </c>
      <c r="K2502" s="61">
        <v>110027373072</v>
      </c>
      <c r="L2502" s="61" t="str">
        <f>IFERROR(INDEX('Facility Summary'!$K:$K,MATCH(K2502,'Facility Summary'!$J:$J,0)),INDEX('Raw Annual DMR Data'!$M:$M,MATCH(K2502,'Raw Annual DMR Data'!$L:$L,0)))</f>
        <v>Manufacturing</v>
      </c>
      <c r="M2502" s="28"/>
      <c r="N2502" s="28"/>
      <c r="O2502" s="28"/>
      <c r="P2502" s="28"/>
      <c r="Q2502" s="28"/>
      <c r="R2502" s="28">
        <f t="shared" si="21"/>
        <v>140.25142662783327</v>
      </c>
      <c r="S2502" s="28">
        <v>63.616976999999999</v>
      </c>
    </row>
    <row r="2503" spans="1:19" x14ac:dyDescent="0.25">
      <c r="A2503" s="28">
        <v>2021</v>
      </c>
      <c r="B2503" s="28"/>
      <c r="C2503" s="28" t="s">
        <v>6792</v>
      </c>
      <c r="D2503" s="28" t="s">
        <v>667</v>
      </c>
      <c r="E2503" s="28" t="s">
        <v>323</v>
      </c>
      <c r="F2503" s="28" t="s">
        <v>324</v>
      </c>
      <c r="G2503" s="28">
        <v>42029</v>
      </c>
      <c r="H2503" s="28">
        <v>37.051110999999999</v>
      </c>
      <c r="I2503" s="28">
        <v>-88.334166999999994</v>
      </c>
      <c r="J2503" s="28" t="s">
        <v>668</v>
      </c>
      <c r="K2503" s="61">
        <v>110027373072</v>
      </c>
      <c r="L2503" s="61" t="str">
        <f>IFERROR(INDEX('Facility Summary'!$K:$K,MATCH(K2503,'Facility Summary'!$J:$J,0)),INDEX('Raw Annual DMR Data'!$M:$M,MATCH(K2503,'Raw Annual DMR Data'!$L:$L,0)))</f>
        <v>Manufacturing</v>
      </c>
      <c r="M2503" s="28"/>
      <c r="N2503" s="28"/>
      <c r="O2503" s="28"/>
      <c r="P2503" s="28"/>
      <c r="Q2503" s="28"/>
      <c r="R2503" s="28">
        <f t="shared" si="21"/>
        <v>61.703901677182095</v>
      </c>
      <c r="S2503" s="28">
        <v>27.988419</v>
      </c>
    </row>
    <row r="2504" spans="1:19" x14ac:dyDescent="0.25">
      <c r="A2504" s="28">
        <v>2023</v>
      </c>
      <c r="B2504" s="28"/>
      <c r="C2504" s="28" t="s">
        <v>6792</v>
      </c>
      <c r="D2504" s="28" t="s">
        <v>667</v>
      </c>
      <c r="E2504" s="28" t="s">
        <v>323</v>
      </c>
      <c r="F2504" s="28" t="s">
        <v>324</v>
      </c>
      <c r="G2504" s="28">
        <v>42029</v>
      </c>
      <c r="H2504" s="28">
        <v>37.051110999999999</v>
      </c>
      <c r="I2504" s="28">
        <v>-88.334166999999994</v>
      </c>
      <c r="J2504" s="28" t="s">
        <v>668</v>
      </c>
      <c r="K2504" s="61">
        <v>110027373072</v>
      </c>
      <c r="L2504" s="61" t="str">
        <f>IFERROR(INDEX('Facility Summary'!$K:$K,MATCH(K2504,'Facility Summary'!$J:$J,0)),INDEX('Raw Annual DMR Data'!$M:$M,MATCH(K2504,'Raw Annual DMR Data'!$L:$L,0)))</f>
        <v>Manufacturing</v>
      </c>
      <c r="M2504" s="28"/>
      <c r="N2504" s="28"/>
      <c r="O2504" s="28"/>
      <c r="P2504" s="28"/>
      <c r="Q2504" s="28"/>
      <c r="R2504" s="28">
        <f t="shared" si="21"/>
        <v>52.994882166999417</v>
      </c>
      <c r="S2504" s="28">
        <v>24.038074200000001</v>
      </c>
    </row>
    <row r="2505" spans="1:19" x14ac:dyDescent="0.25">
      <c r="A2505" s="28">
        <v>2024</v>
      </c>
      <c r="B2505" s="28"/>
      <c r="C2505" s="28" t="s">
        <v>6792</v>
      </c>
      <c r="D2505" s="28" t="s">
        <v>667</v>
      </c>
      <c r="E2505" s="28" t="s">
        <v>323</v>
      </c>
      <c r="F2505" s="28" t="s">
        <v>324</v>
      </c>
      <c r="G2505" s="28">
        <v>42029</v>
      </c>
      <c r="H2505" s="28">
        <v>37.051110999999999</v>
      </c>
      <c r="I2505" s="28">
        <v>-88.334166999999994</v>
      </c>
      <c r="J2505" s="28" t="s">
        <v>668</v>
      </c>
      <c r="K2505" s="61">
        <v>110027373072</v>
      </c>
      <c r="L2505" s="61" t="str">
        <f>IFERROR(INDEX('Facility Summary'!$K:$K,MATCH(K2505,'Facility Summary'!$J:$J,0)),INDEX('Raw Annual DMR Data'!$M:$M,MATCH(K2505,'Raw Annual DMR Data'!$L:$L,0)))</f>
        <v>Manufacturing</v>
      </c>
      <c r="M2505" s="28"/>
      <c r="N2505" s="28"/>
      <c r="O2505" s="28"/>
      <c r="P2505" s="28"/>
      <c r="Q2505" s="28"/>
      <c r="R2505" s="28">
        <f t="shared" si="21"/>
        <v>29.22554054425563</v>
      </c>
      <c r="S2505" s="28">
        <v>13.256482200000001</v>
      </c>
    </row>
    <row r="2506" spans="1:19" x14ac:dyDescent="0.25">
      <c r="A2506" s="28">
        <v>2023</v>
      </c>
      <c r="B2506" s="28"/>
      <c r="C2506" s="28" t="s">
        <v>6792</v>
      </c>
      <c r="D2506" s="28" t="s">
        <v>667</v>
      </c>
      <c r="E2506" s="28" t="s">
        <v>323</v>
      </c>
      <c r="F2506" s="28" t="s">
        <v>324</v>
      </c>
      <c r="G2506" s="28">
        <v>42029</v>
      </c>
      <c r="H2506" s="28">
        <v>37.051110999999999</v>
      </c>
      <c r="I2506" s="28">
        <v>-88.334166999999994</v>
      </c>
      <c r="J2506" s="28" t="s">
        <v>668</v>
      </c>
      <c r="K2506" s="61">
        <v>110027373072</v>
      </c>
      <c r="L2506" s="61" t="str">
        <f>IFERROR(INDEX('Facility Summary'!$K:$K,MATCH(K2506,'Facility Summary'!$J:$J,0)),INDEX('Raw Annual DMR Data'!$M:$M,MATCH(K2506,'Raw Annual DMR Data'!$L:$L,0)))</f>
        <v>Manufacturing</v>
      </c>
      <c r="M2506" s="28"/>
      <c r="N2506" s="28"/>
      <c r="O2506" s="28"/>
      <c r="P2506" s="28"/>
      <c r="Q2506" s="28"/>
      <c r="R2506" s="28">
        <f t="shared" si="21"/>
        <v>11.979355825584104</v>
      </c>
      <c r="S2506" s="28">
        <v>5.4337444000000001</v>
      </c>
    </row>
    <row r="2507" spans="1:19" x14ac:dyDescent="0.25">
      <c r="A2507" s="28">
        <v>2022</v>
      </c>
      <c r="B2507" s="28"/>
      <c r="C2507" s="28" t="s">
        <v>6792</v>
      </c>
      <c r="D2507" s="28" t="s">
        <v>667</v>
      </c>
      <c r="E2507" s="28" t="s">
        <v>323</v>
      </c>
      <c r="F2507" s="28" t="s">
        <v>324</v>
      </c>
      <c r="G2507" s="28">
        <v>42029</v>
      </c>
      <c r="H2507" s="28">
        <v>37.051110999999999</v>
      </c>
      <c r="I2507" s="28">
        <v>-88.334166999999994</v>
      </c>
      <c r="J2507" s="28" t="s">
        <v>668</v>
      </c>
      <c r="K2507" s="61">
        <v>110027373072</v>
      </c>
      <c r="L2507" s="61" t="str">
        <f>IFERROR(INDEX('Facility Summary'!$K:$K,MATCH(K2507,'Facility Summary'!$J:$J,0)),INDEX('Raw Annual DMR Data'!$M:$M,MATCH(K2507,'Raw Annual DMR Data'!$L:$L,0)))</f>
        <v>Manufacturing</v>
      </c>
      <c r="M2507" s="28"/>
      <c r="N2507" s="28"/>
      <c r="O2507" s="28"/>
      <c r="P2507" s="28"/>
      <c r="Q2507" s="28"/>
      <c r="R2507" s="28">
        <f t="shared" si="21"/>
        <v>10.194152957202521</v>
      </c>
      <c r="S2507" s="28">
        <v>4.62399</v>
      </c>
    </row>
    <row r="2508" spans="1:19" x14ac:dyDescent="0.25">
      <c r="A2508" s="28">
        <v>2021</v>
      </c>
      <c r="B2508" s="28"/>
      <c r="C2508" s="28" t="s">
        <v>6792</v>
      </c>
      <c r="D2508" s="28" t="s">
        <v>667</v>
      </c>
      <c r="E2508" s="28" t="s">
        <v>323</v>
      </c>
      <c r="F2508" s="28" t="s">
        <v>324</v>
      </c>
      <c r="G2508" s="28">
        <v>42029</v>
      </c>
      <c r="H2508" s="28">
        <v>37.051110999999999</v>
      </c>
      <c r="I2508" s="28">
        <v>-88.334166999999994</v>
      </c>
      <c r="J2508" s="28" t="s">
        <v>668</v>
      </c>
      <c r="K2508" s="61">
        <v>110027373072</v>
      </c>
      <c r="L2508" s="61" t="str">
        <f>IFERROR(INDEX('Facility Summary'!$K:$K,MATCH(K2508,'Facility Summary'!$J:$J,0)),INDEX('Raw Annual DMR Data'!$M:$M,MATCH(K2508,'Raw Annual DMR Data'!$L:$L,0)))</f>
        <v>Manufacturing</v>
      </c>
      <c r="M2508" s="28"/>
      <c r="N2508" s="28"/>
      <c r="O2508" s="28"/>
      <c r="P2508" s="28"/>
      <c r="Q2508" s="28"/>
      <c r="R2508" s="28">
        <f t="shared" si="21"/>
        <v>3.0565443594212129</v>
      </c>
      <c r="S2508" s="28">
        <v>1.3864251999999999</v>
      </c>
    </row>
    <row r="2509" spans="1:19" x14ac:dyDescent="0.25">
      <c r="A2509" s="28">
        <v>2021</v>
      </c>
      <c r="B2509" s="28"/>
      <c r="C2509" s="28" t="s">
        <v>1432</v>
      </c>
      <c r="D2509" s="28" t="s">
        <v>2371</v>
      </c>
      <c r="E2509" s="28" t="s">
        <v>1433</v>
      </c>
      <c r="F2509" s="28" t="s">
        <v>324</v>
      </c>
      <c r="G2509" s="28">
        <v>40769</v>
      </c>
      <c r="H2509" s="28">
        <v>36.747222000000001</v>
      </c>
      <c r="I2509" s="28">
        <v>-84.171943999999996</v>
      </c>
      <c r="J2509" s="28"/>
      <c r="K2509" s="61">
        <v>110006751737</v>
      </c>
      <c r="L2509" s="61" t="str">
        <f>IFERROR(INDEX('Facility Summary'!$K:$K,MATCH(K2509,'Facility Summary'!$J:$J,0)),INDEX('Raw Annual DMR Data'!$M:$M,MATCH(K2509,'Raw Annual DMR Data'!$L:$L,0)))</f>
        <v>POTW</v>
      </c>
      <c r="M2509" s="28"/>
      <c r="N2509" s="28"/>
      <c r="O2509" s="28"/>
      <c r="P2509" s="28"/>
      <c r="Q2509" s="28"/>
      <c r="R2509" s="28">
        <f t="shared" ref="R2509:R2537" si="22">CONVERT(S2509,"g","lbm")*1000</f>
        <v>9.563627580419837</v>
      </c>
      <c r="S2509" s="28">
        <v>4.3379884999999998</v>
      </c>
    </row>
    <row r="2510" spans="1:19" x14ac:dyDescent="0.25">
      <c r="A2510" s="28">
        <v>2021</v>
      </c>
      <c r="B2510" s="28"/>
      <c r="C2510" s="28" t="s">
        <v>1434</v>
      </c>
      <c r="D2510" s="28" t="s">
        <v>2374</v>
      </c>
      <c r="E2510" s="28" t="s">
        <v>1435</v>
      </c>
      <c r="F2510" s="28" t="s">
        <v>324</v>
      </c>
      <c r="G2510" s="28">
        <v>41097</v>
      </c>
      <c r="H2510" s="28">
        <v>38.631208000000001</v>
      </c>
      <c r="I2510" s="28">
        <v>-84.618809999999996</v>
      </c>
      <c r="J2510" s="28"/>
      <c r="K2510" s="61">
        <v>110045091379</v>
      </c>
      <c r="L2510" s="61" t="str">
        <f>IFERROR(INDEX('Facility Summary'!$K:$K,MATCH(K2510,'Facility Summary'!$J:$J,0)),INDEX('Raw Annual DMR Data'!$M:$M,MATCH(K2510,'Raw Annual DMR Data'!$L:$L,0)))</f>
        <v>POTW</v>
      </c>
      <c r="M2510" s="28"/>
      <c r="N2510" s="28"/>
      <c r="O2510" s="28"/>
      <c r="P2510" s="28"/>
      <c r="Q2510" s="28"/>
      <c r="R2510" s="28">
        <f t="shared" si="22"/>
        <v>5.0102443852836416</v>
      </c>
      <c r="S2510" s="28">
        <v>2.2726086250000002</v>
      </c>
    </row>
    <row r="2511" spans="1:19" x14ac:dyDescent="0.25">
      <c r="A2511" s="28">
        <v>2024</v>
      </c>
      <c r="B2511" s="28"/>
      <c r="C2511" s="28" t="s">
        <v>6810</v>
      </c>
      <c r="D2511" s="28" t="s">
        <v>6963</v>
      </c>
      <c r="E2511" s="28" t="s">
        <v>1437</v>
      </c>
      <c r="F2511" s="28" t="s">
        <v>324</v>
      </c>
      <c r="G2511" s="28" t="s">
        <v>6964</v>
      </c>
      <c r="H2511" s="28">
        <v>38.041639000000004</v>
      </c>
      <c r="I2511" s="28">
        <v>-84.208667000000005</v>
      </c>
      <c r="J2511" s="28"/>
      <c r="K2511" s="61">
        <v>110000542896</v>
      </c>
      <c r="L2511" s="61" t="str">
        <f>IFERROR(INDEX('Facility Summary'!$K:$K,MATCH(K2511,'Facility Summary'!$J:$J,0)),INDEX('Raw Annual DMR Data'!$M:$M,MATCH(K2511,'Raw Annual DMR Data'!$L:$L,0)))</f>
        <v>POTW</v>
      </c>
      <c r="M2511" s="28"/>
      <c r="N2511" s="28"/>
      <c r="O2511" s="28"/>
      <c r="P2511" s="28"/>
      <c r="Q2511" s="28"/>
      <c r="R2511" s="28">
        <f t="shared" si="22"/>
        <v>7.3250077486973595</v>
      </c>
      <c r="S2511" s="28">
        <v>3.322567625</v>
      </c>
    </row>
    <row r="2512" spans="1:19" x14ac:dyDescent="0.25">
      <c r="A2512" s="28">
        <v>2023</v>
      </c>
      <c r="B2512" s="28"/>
      <c r="C2512" s="28" t="s">
        <v>6810</v>
      </c>
      <c r="D2512" s="28" t="s">
        <v>6963</v>
      </c>
      <c r="E2512" s="28" t="s">
        <v>1437</v>
      </c>
      <c r="F2512" s="28" t="s">
        <v>324</v>
      </c>
      <c r="G2512" s="28" t="s">
        <v>6964</v>
      </c>
      <c r="H2512" s="28">
        <v>38.041639000000004</v>
      </c>
      <c r="I2512" s="28">
        <v>-84.208667000000005</v>
      </c>
      <c r="J2512" s="28"/>
      <c r="K2512" s="61">
        <v>110000542896</v>
      </c>
      <c r="L2512" s="61" t="str">
        <f>IFERROR(INDEX('Facility Summary'!$K:$K,MATCH(K2512,'Facility Summary'!$J:$J,0)),INDEX('Raw Annual DMR Data'!$M:$M,MATCH(K2512,'Raw Annual DMR Data'!$L:$L,0)))</f>
        <v>POTW</v>
      </c>
      <c r="M2512" s="28"/>
      <c r="N2512" s="28"/>
      <c r="O2512" s="28"/>
      <c r="P2512" s="28"/>
      <c r="Q2512" s="28"/>
      <c r="R2512" s="28">
        <f t="shared" si="22"/>
        <v>1.1723058139183424</v>
      </c>
      <c r="S2512" s="28">
        <v>0.53174897249999997</v>
      </c>
    </row>
    <row r="2513" spans="1:19" x14ac:dyDescent="0.25">
      <c r="A2513" s="28">
        <v>2024</v>
      </c>
      <c r="B2513" s="28"/>
      <c r="C2513" s="28" t="s">
        <v>1436</v>
      </c>
      <c r="D2513" s="28" t="s">
        <v>2377</v>
      </c>
      <c r="E2513" s="28" t="s">
        <v>1437</v>
      </c>
      <c r="F2513" s="28" t="s">
        <v>324</v>
      </c>
      <c r="G2513" s="28">
        <v>40392</v>
      </c>
      <c r="H2513" s="28">
        <v>37.915556000000002</v>
      </c>
      <c r="I2513" s="28">
        <v>-84.268332999999998</v>
      </c>
      <c r="J2513" s="28"/>
      <c r="K2513" s="61">
        <v>110064596361</v>
      </c>
      <c r="L2513" s="61" t="str">
        <f>IFERROR(INDEX('Facility Summary'!$K:$K,MATCH(K2513,'Facility Summary'!$J:$J,0)),INDEX('Raw Annual DMR Data'!$M:$M,MATCH(K2513,'Raw Annual DMR Data'!$L:$L,0)))</f>
        <v>POTW</v>
      </c>
      <c r="M2513" s="28"/>
      <c r="N2513" s="28"/>
      <c r="O2513" s="28"/>
      <c r="P2513" s="28"/>
      <c r="Q2513" s="28"/>
      <c r="R2513" s="28">
        <f t="shared" si="22"/>
        <v>2.3330378110196164</v>
      </c>
      <c r="S2513" s="28">
        <v>1.0582481500000001</v>
      </c>
    </row>
    <row r="2514" spans="1:19" x14ac:dyDescent="0.25">
      <c r="A2514" s="28">
        <v>2022</v>
      </c>
      <c r="B2514" s="28"/>
      <c r="C2514" s="28" t="s">
        <v>1438</v>
      </c>
      <c r="D2514" s="28" t="s">
        <v>2380</v>
      </c>
      <c r="E2514" s="28" t="s">
        <v>1439</v>
      </c>
      <c r="F2514" s="28" t="s">
        <v>374</v>
      </c>
      <c r="G2514" s="28">
        <v>86504</v>
      </c>
      <c r="H2514" s="28">
        <v>35.639462000000002</v>
      </c>
      <c r="I2514" s="28">
        <v>-109.080927</v>
      </c>
      <c r="J2514" s="28"/>
      <c r="K2514" s="61">
        <v>110024409433</v>
      </c>
      <c r="L2514" s="61" t="str">
        <f>IFERROR(INDEX('Facility Summary'!$K:$K,MATCH(K2514,'Facility Summary'!$J:$J,0)),INDEX('Raw Annual DMR Data'!$M:$M,MATCH(K2514,'Raw Annual DMR Data'!$L:$L,0)))</f>
        <v>POTW</v>
      </c>
      <c r="M2514" s="28"/>
      <c r="N2514" s="28"/>
      <c r="O2514" s="28"/>
      <c r="P2514" s="28"/>
      <c r="Q2514" s="28"/>
      <c r="R2514" s="28">
        <f t="shared" si="22"/>
        <v>2.5584226648256894</v>
      </c>
      <c r="S2514" s="28">
        <v>1.1604810000000001</v>
      </c>
    </row>
    <row r="2515" spans="1:19" x14ac:dyDescent="0.25">
      <c r="A2515" s="28">
        <v>2024</v>
      </c>
      <c r="B2515" s="28"/>
      <c r="C2515" s="28" t="s">
        <v>1438</v>
      </c>
      <c r="D2515" s="28" t="s">
        <v>2380</v>
      </c>
      <c r="E2515" s="28" t="s">
        <v>1439</v>
      </c>
      <c r="F2515" s="28" t="s">
        <v>374</v>
      </c>
      <c r="G2515" s="28">
        <v>86504</v>
      </c>
      <c r="H2515" s="28">
        <v>35.639462000000002</v>
      </c>
      <c r="I2515" s="28">
        <v>-109.080927</v>
      </c>
      <c r="J2515" s="28"/>
      <c r="K2515" s="61">
        <v>110024409433</v>
      </c>
      <c r="L2515" s="61" t="str">
        <f>IFERROR(INDEX('Facility Summary'!$K:$K,MATCH(K2515,'Facility Summary'!$J:$J,0)),INDEX('Raw Annual DMR Data'!$M:$M,MATCH(K2515,'Raw Annual DMR Data'!$L:$L,0)))</f>
        <v>POTW</v>
      </c>
      <c r="M2515" s="28"/>
      <c r="N2515" s="28"/>
      <c r="O2515" s="28"/>
      <c r="P2515" s="28"/>
      <c r="Q2515" s="28"/>
      <c r="R2515" s="28">
        <f t="shared" si="22"/>
        <v>2.0101892366487557</v>
      </c>
      <c r="S2515" s="28">
        <v>0.91180649999999996</v>
      </c>
    </row>
    <row r="2516" spans="1:19" x14ac:dyDescent="0.25">
      <c r="A2516" s="28">
        <v>2023</v>
      </c>
      <c r="B2516" s="28"/>
      <c r="C2516" s="28" t="s">
        <v>1438</v>
      </c>
      <c r="D2516" s="28" t="s">
        <v>2380</v>
      </c>
      <c r="E2516" s="28" t="s">
        <v>1439</v>
      </c>
      <c r="F2516" s="28" t="s">
        <v>374</v>
      </c>
      <c r="G2516" s="28">
        <v>86504</v>
      </c>
      <c r="H2516" s="28">
        <v>35.639462000000002</v>
      </c>
      <c r="I2516" s="28">
        <v>-109.080927</v>
      </c>
      <c r="J2516" s="28"/>
      <c r="K2516" s="61">
        <v>110024409433</v>
      </c>
      <c r="L2516" s="61" t="str">
        <f>IFERROR(INDEX('Facility Summary'!$K:$K,MATCH(K2516,'Facility Summary'!$J:$J,0)),INDEX('Raw Annual DMR Data'!$M:$M,MATCH(K2516,'Raw Annual DMR Data'!$L:$L,0)))</f>
        <v>POTW</v>
      </c>
      <c r="M2516" s="28"/>
      <c r="N2516" s="28"/>
      <c r="O2516" s="28"/>
      <c r="P2516" s="28"/>
      <c r="Q2516" s="28"/>
      <c r="R2516" s="28">
        <f t="shared" si="22"/>
        <v>1.0050946183243779</v>
      </c>
      <c r="S2516" s="28">
        <v>0.45590324999999998</v>
      </c>
    </row>
    <row r="2517" spans="1:19" x14ac:dyDescent="0.25">
      <c r="A2517" s="28">
        <v>2021</v>
      </c>
      <c r="B2517" s="28"/>
      <c r="C2517" s="28" t="s">
        <v>1440</v>
      </c>
      <c r="D2517" s="28" t="s">
        <v>2382</v>
      </c>
      <c r="E2517" s="28" t="s">
        <v>1441</v>
      </c>
      <c r="F2517" s="28" t="s">
        <v>366</v>
      </c>
      <c r="G2517" s="28">
        <v>95776</v>
      </c>
      <c r="H2517" s="28">
        <v>38.662149999999997</v>
      </c>
      <c r="I2517" s="28">
        <v>-121.71407000000001</v>
      </c>
      <c r="J2517" s="28"/>
      <c r="K2517" s="61">
        <v>110039782349</v>
      </c>
      <c r="L2517" s="61" t="str">
        <f>IFERROR(INDEX('Facility Summary'!$K:$K,MATCH(K2517,'Facility Summary'!$J:$J,0)),INDEX('Raw Annual DMR Data'!$M:$M,MATCH(K2517,'Raw Annual DMR Data'!$L:$L,0)))</f>
        <v>POTW</v>
      </c>
      <c r="M2517" s="28"/>
      <c r="N2517" s="28"/>
      <c r="O2517" s="28"/>
      <c r="P2517" s="28"/>
      <c r="Q2517" s="28"/>
      <c r="R2517" s="28">
        <f t="shared" si="22"/>
        <v>1.0102848952243177</v>
      </c>
      <c r="S2517" s="28">
        <v>0.45825751999999997</v>
      </c>
    </row>
    <row r="2518" spans="1:19" x14ac:dyDescent="0.25">
      <c r="A2518" s="28">
        <v>2022</v>
      </c>
      <c r="B2518" s="28"/>
      <c r="C2518" s="28" t="s">
        <v>1440</v>
      </c>
      <c r="D2518" s="28" t="s">
        <v>2382</v>
      </c>
      <c r="E2518" s="28" t="s">
        <v>1441</v>
      </c>
      <c r="F2518" s="28" t="s">
        <v>366</v>
      </c>
      <c r="G2518" s="28">
        <v>95776</v>
      </c>
      <c r="H2518" s="28">
        <v>38.662149999999997</v>
      </c>
      <c r="I2518" s="28">
        <v>-121.71407000000001</v>
      </c>
      <c r="J2518" s="28"/>
      <c r="K2518" s="61">
        <v>110039782349</v>
      </c>
      <c r="L2518" s="61" t="str">
        <f>IFERROR(INDEX('Facility Summary'!$K:$K,MATCH(K2518,'Facility Summary'!$J:$J,0)),INDEX('Raw Annual DMR Data'!$M:$M,MATCH(K2518,'Raw Annual DMR Data'!$L:$L,0)))</f>
        <v>POTW</v>
      </c>
      <c r="M2518" s="28"/>
      <c r="N2518" s="28"/>
      <c r="O2518" s="28"/>
      <c r="P2518" s="28"/>
      <c r="Q2518" s="28"/>
      <c r="R2518" s="28">
        <f t="shared" si="22"/>
        <v>0.62814032784546181</v>
      </c>
      <c r="S2518" s="28">
        <v>0.28491966000000002</v>
      </c>
    </row>
    <row r="2519" spans="1:19" x14ac:dyDescent="0.25">
      <c r="A2519" s="28">
        <v>2021</v>
      </c>
      <c r="B2519" s="28"/>
      <c r="C2519" s="28" t="s">
        <v>6821</v>
      </c>
      <c r="D2519" s="28" t="s">
        <v>669</v>
      </c>
      <c r="E2519" s="28" t="s">
        <v>348</v>
      </c>
      <c r="F2519" s="28" t="s">
        <v>349</v>
      </c>
      <c r="G2519" s="28">
        <v>63461</v>
      </c>
      <c r="H2519" s="28">
        <v>39.828163000000004</v>
      </c>
      <c r="I2519" s="28">
        <v>-91.436942000000002</v>
      </c>
      <c r="J2519" s="28"/>
      <c r="K2519" s="61">
        <v>110040330718</v>
      </c>
      <c r="L2519" s="61" t="str">
        <f>IFERROR(INDEX('Facility Summary'!$K:$K,MATCH(K2519,'Facility Summary'!$J:$J,0)),INDEX('Raw Annual DMR Data'!$M:$M,MATCH(K2519,'Raw Annual DMR Data'!$L:$L,0)))</f>
        <v>Unknown</v>
      </c>
      <c r="M2519" s="28"/>
      <c r="N2519" s="28"/>
      <c r="O2519" s="28"/>
      <c r="P2519" s="28"/>
      <c r="Q2519" s="28"/>
      <c r="R2519" s="28">
        <f t="shared" si="22"/>
        <v>1.28908328914351</v>
      </c>
      <c r="S2519" s="28">
        <v>0.58471834425000002</v>
      </c>
    </row>
    <row r="2520" spans="1:19" x14ac:dyDescent="0.25">
      <c r="A2520" s="28">
        <v>2024</v>
      </c>
      <c r="B2520" s="28"/>
      <c r="C2520" s="28" t="s">
        <v>6821</v>
      </c>
      <c r="D2520" s="28" t="s">
        <v>669</v>
      </c>
      <c r="E2520" s="28" t="s">
        <v>348</v>
      </c>
      <c r="F2520" s="28" t="s">
        <v>349</v>
      </c>
      <c r="G2520" s="28">
        <v>63461</v>
      </c>
      <c r="H2520" s="28">
        <v>39.828163000000004</v>
      </c>
      <c r="I2520" s="28">
        <v>-91.436942000000002</v>
      </c>
      <c r="J2520" s="28"/>
      <c r="K2520" s="61">
        <v>110040330718</v>
      </c>
      <c r="L2520" s="61" t="str">
        <f>IFERROR(INDEX('Facility Summary'!$K:$K,MATCH(K2520,'Facility Summary'!$J:$J,0)),INDEX('Raw Annual DMR Data'!$M:$M,MATCH(K2520,'Raw Annual DMR Data'!$L:$L,0)))</f>
        <v>Unknown</v>
      </c>
      <c r="M2520" s="28"/>
      <c r="N2520" s="28"/>
      <c r="O2520" s="28"/>
      <c r="P2520" s="28"/>
      <c r="Q2520" s="28"/>
      <c r="R2520" s="28">
        <f t="shared" si="22"/>
        <v>0.58918639698859565</v>
      </c>
      <c r="S2520" s="28">
        <v>0.26725045418181798</v>
      </c>
    </row>
    <row r="2521" spans="1:19" x14ac:dyDescent="0.25">
      <c r="A2521" s="28">
        <v>2023</v>
      </c>
      <c r="B2521" s="28"/>
      <c r="C2521" s="28" t="s">
        <v>6821</v>
      </c>
      <c r="D2521" s="28" t="s">
        <v>669</v>
      </c>
      <c r="E2521" s="28" t="s">
        <v>348</v>
      </c>
      <c r="F2521" s="28" t="s">
        <v>349</v>
      </c>
      <c r="G2521" s="28">
        <v>63461</v>
      </c>
      <c r="H2521" s="28">
        <v>39.828163000000004</v>
      </c>
      <c r="I2521" s="28">
        <v>-91.436942000000002</v>
      </c>
      <c r="J2521" s="28"/>
      <c r="K2521" s="61">
        <v>110040330718</v>
      </c>
      <c r="L2521" s="61" t="str">
        <f>IFERROR(INDEX('Facility Summary'!$K:$K,MATCH(K2521,'Facility Summary'!$J:$J,0)),INDEX('Raw Annual DMR Data'!$M:$M,MATCH(K2521,'Raw Annual DMR Data'!$L:$L,0)))</f>
        <v>Unknown</v>
      </c>
      <c r="M2521" s="28"/>
      <c r="N2521" s="28"/>
      <c r="O2521" s="28"/>
      <c r="P2521" s="28"/>
      <c r="Q2521" s="28"/>
      <c r="R2521" s="28">
        <f t="shared" si="22"/>
        <v>0.47899580189146473</v>
      </c>
      <c r="S2521" s="28">
        <v>0.21726884099999999</v>
      </c>
    </row>
    <row r="2522" spans="1:19" x14ac:dyDescent="0.25">
      <c r="A2522" s="28">
        <v>2022</v>
      </c>
      <c r="B2522" s="28"/>
      <c r="C2522" s="28" t="s">
        <v>6821</v>
      </c>
      <c r="D2522" s="28" t="s">
        <v>669</v>
      </c>
      <c r="E2522" s="28" t="s">
        <v>348</v>
      </c>
      <c r="F2522" s="28" t="s">
        <v>349</v>
      </c>
      <c r="G2522" s="28">
        <v>63461</v>
      </c>
      <c r="H2522" s="28">
        <v>39.828163000000004</v>
      </c>
      <c r="I2522" s="28">
        <v>-91.436942000000002</v>
      </c>
      <c r="J2522" s="28"/>
      <c r="K2522" s="61">
        <v>110040330718</v>
      </c>
      <c r="L2522" s="61" t="str">
        <f>IFERROR(INDEX('Facility Summary'!$K:$K,MATCH(K2522,'Facility Summary'!$J:$J,0)),INDEX('Raw Annual DMR Data'!$M:$M,MATCH(K2522,'Raw Annual DMR Data'!$L:$L,0)))</f>
        <v>Unknown</v>
      </c>
      <c r="M2522" s="28"/>
      <c r="N2522" s="28"/>
      <c r="O2522" s="28"/>
      <c r="P2522" s="28"/>
      <c r="Q2522" s="28"/>
      <c r="R2522" s="28">
        <f t="shared" si="22"/>
        <v>0.15722032978641154</v>
      </c>
      <c r="S2522" s="28">
        <v>7.1313942000000005E-2</v>
      </c>
    </row>
    <row r="2523" spans="1:19" x14ac:dyDescent="0.25">
      <c r="A2523" s="28">
        <v>2023</v>
      </c>
      <c r="B2523" s="28"/>
      <c r="C2523" s="28" t="s">
        <v>6773</v>
      </c>
      <c r="D2523" s="28" t="s">
        <v>2386</v>
      </c>
      <c r="E2523" s="28" t="s">
        <v>1443</v>
      </c>
      <c r="F2523" s="28" t="s">
        <v>450</v>
      </c>
      <c r="G2523" s="28">
        <v>14580</v>
      </c>
      <c r="H2523" s="28">
        <v>43.227834000000001</v>
      </c>
      <c r="I2523" s="28">
        <v>-77.411534000000003</v>
      </c>
      <c r="J2523" s="28" t="s">
        <v>740</v>
      </c>
      <c r="K2523" s="61">
        <v>110000327799</v>
      </c>
      <c r="L2523" s="61" t="str">
        <f>IFERROR(INDEX('Facility Summary'!$K:$K,MATCH(K2523,'Facility Summary'!$J:$J,0)),INDEX('Raw Annual DMR Data'!$M:$M,MATCH(K2523,'Raw Annual DMR Data'!$L:$L,0)))</f>
        <v>Unknown</v>
      </c>
      <c r="M2523" s="28"/>
      <c r="N2523" s="28"/>
      <c r="O2523" s="28"/>
      <c r="P2523" s="28"/>
      <c r="Q2523" s="28"/>
      <c r="R2523" s="28">
        <f t="shared" si="22"/>
        <v>0.45900241468347447</v>
      </c>
      <c r="S2523" s="28">
        <v>0.20819999311199999</v>
      </c>
    </row>
    <row r="2524" spans="1:19" x14ac:dyDescent="0.25">
      <c r="A2524" s="28">
        <v>2022</v>
      </c>
      <c r="B2524" s="28"/>
      <c r="C2524" s="28" t="s">
        <v>6773</v>
      </c>
      <c r="D2524" s="28" t="s">
        <v>2386</v>
      </c>
      <c r="E2524" s="28" t="s">
        <v>1443</v>
      </c>
      <c r="F2524" s="28" t="s">
        <v>450</v>
      </c>
      <c r="G2524" s="28">
        <v>14580</v>
      </c>
      <c r="H2524" s="28">
        <v>43.227834000000001</v>
      </c>
      <c r="I2524" s="28">
        <v>-77.411534000000003</v>
      </c>
      <c r="J2524" s="28" t="s">
        <v>740</v>
      </c>
      <c r="K2524" s="61">
        <v>110000327799</v>
      </c>
      <c r="L2524" s="61" t="str">
        <f>IFERROR(INDEX('Facility Summary'!$K:$K,MATCH(K2524,'Facility Summary'!$J:$J,0)),INDEX('Raw Annual DMR Data'!$M:$M,MATCH(K2524,'Raw Annual DMR Data'!$L:$L,0)))</f>
        <v>Unknown</v>
      </c>
      <c r="M2524" s="28"/>
      <c r="N2524" s="28"/>
      <c r="O2524" s="28"/>
      <c r="P2524" s="28"/>
      <c r="Q2524" s="28"/>
      <c r="R2524" s="28">
        <f t="shared" si="22"/>
        <v>0.36245909543407878</v>
      </c>
      <c r="S2524" s="28">
        <v>0.16440868012599999</v>
      </c>
    </row>
    <row r="2525" spans="1:19" x14ac:dyDescent="0.25">
      <c r="A2525" s="28">
        <v>2021</v>
      </c>
      <c r="B2525" s="28"/>
      <c r="C2525" s="28" t="s">
        <v>6773</v>
      </c>
      <c r="D2525" s="28" t="s">
        <v>2386</v>
      </c>
      <c r="E2525" s="28" t="s">
        <v>1443</v>
      </c>
      <c r="F2525" s="28" t="s">
        <v>450</v>
      </c>
      <c r="G2525" s="28">
        <v>14580</v>
      </c>
      <c r="H2525" s="28">
        <v>43.227834000000001</v>
      </c>
      <c r="I2525" s="28">
        <v>-77.411534000000003</v>
      </c>
      <c r="J2525" s="28" t="s">
        <v>740</v>
      </c>
      <c r="K2525" s="61">
        <v>110000327799</v>
      </c>
      <c r="L2525" s="61" t="str">
        <f>IFERROR(INDEX('Facility Summary'!$K:$K,MATCH(K2525,'Facility Summary'!$J:$J,0)),INDEX('Raw Annual DMR Data'!$M:$M,MATCH(K2525,'Raw Annual DMR Data'!$L:$L,0)))</f>
        <v>Unknown</v>
      </c>
      <c r="M2525" s="28"/>
      <c r="N2525" s="28"/>
      <c r="O2525" s="28"/>
      <c r="P2525" s="28"/>
      <c r="Q2525" s="28"/>
      <c r="R2525" s="28">
        <f t="shared" si="22"/>
        <v>0.28373760828031563</v>
      </c>
      <c r="S2525" s="28">
        <v>0.12870121419800001</v>
      </c>
    </row>
    <row r="2526" spans="1:19" x14ac:dyDescent="0.25">
      <c r="A2526" s="28">
        <v>2024</v>
      </c>
      <c r="B2526" s="28"/>
      <c r="C2526" s="28" t="s">
        <v>6773</v>
      </c>
      <c r="D2526" s="28" t="s">
        <v>2386</v>
      </c>
      <c r="E2526" s="28" t="s">
        <v>1443</v>
      </c>
      <c r="F2526" s="28" t="s">
        <v>450</v>
      </c>
      <c r="G2526" s="28">
        <v>14580</v>
      </c>
      <c r="H2526" s="28">
        <v>43.227834000000001</v>
      </c>
      <c r="I2526" s="28">
        <v>-77.411534000000003</v>
      </c>
      <c r="J2526" s="28" t="s">
        <v>740</v>
      </c>
      <c r="K2526" s="61">
        <v>110000327799</v>
      </c>
      <c r="L2526" s="61" t="str">
        <f>IFERROR(INDEX('Facility Summary'!$K:$K,MATCH(K2526,'Facility Summary'!$J:$J,0)),INDEX('Raw Annual DMR Data'!$M:$M,MATCH(K2526,'Raw Annual DMR Data'!$L:$L,0)))</f>
        <v>Unknown</v>
      </c>
      <c r="M2526" s="28"/>
      <c r="N2526" s="28"/>
      <c r="O2526" s="28"/>
      <c r="P2526" s="28"/>
      <c r="Q2526" s="28"/>
      <c r="R2526" s="28">
        <f t="shared" si="22"/>
        <v>0.25727376154056558</v>
      </c>
      <c r="S2526" s="28">
        <v>0.116697415236</v>
      </c>
    </row>
    <row r="2527" spans="1:19" x14ac:dyDescent="0.25">
      <c r="A2527" s="28">
        <v>2024</v>
      </c>
      <c r="B2527" s="28"/>
      <c r="C2527" s="28" t="s">
        <v>6773</v>
      </c>
      <c r="D2527" s="28" t="s">
        <v>2386</v>
      </c>
      <c r="E2527" s="28" t="s">
        <v>1443</v>
      </c>
      <c r="F2527" s="28" t="s">
        <v>450</v>
      </c>
      <c r="G2527" s="28">
        <v>14580</v>
      </c>
      <c r="H2527" s="28">
        <v>43.227834000000001</v>
      </c>
      <c r="I2527" s="28">
        <v>-77.411534000000003</v>
      </c>
      <c r="J2527" s="28" t="s">
        <v>740</v>
      </c>
      <c r="K2527" s="61">
        <v>110000327799</v>
      </c>
      <c r="L2527" s="61" t="str">
        <f>IFERROR(INDEX('Facility Summary'!$K:$K,MATCH(K2527,'Facility Summary'!$J:$J,0)),INDEX('Raw Annual DMR Data'!$M:$M,MATCH(K2527,'Raw Annual DMR Data'!$L:$L,0)))</f>
        <v>Unknown</v>
      </c>
      <c r="M2527" s="28"/>
      <c r="N2527" s="28"/>
      <c r="O2527" s="28"/>
      <c r="P2527" s="28"/>
      <c r="Q2527" s="28"/>
      <c r="R2527" s="28">
        <f t="shared" si="22"/>
        <v>0.25467308568263614</v>
      </c>
      <c r="S2527" s="28">
        <v>0.11551776850999999</v>
      </c>
    </row>
    <row r="2528" spans="1:19" x14ac:dyDescent="0.25">
      <c r="A2528" s="28">
        <v>2024</v>
      </c>
      <c r="B2528" s="28"/>
      <c r="C2528" s="28" t="s">
        <v>6773</v>
      </c>
      <c r="D2528" s="28" t="s">
        <v>2386</v>
      </c>
      <c r="E2528" s="28" t="s">
        <v>1443</v>
      </c>
      <c r="F2528" s="28" t="s">
        <v>450</v>
      </c>
      <c r="G2528" s="28">
        <v>14580</v>
      </c>
      <c r="H2528" s="28">
        <v>43.227834000000001</v>
      </c>
      <c r="I2528" s="28">
        <v>-77.411534000000003</v>
      </c>
      <c r="J2528" s="28" t="s">
        <v>740</v>
      </c>
      <c r="K2528" s="61">
        <v>110000327799</v>
      </c>
      <c r="L2528" s="61" t="str">
        <f>IFERROR(INDEX('Facility Summary'!$K:$K,MATCH(K2528,'Facility Summary'!$J:$J,0)),INDEX('Raw Annual DMR Data'!$M:$M,MATCH(K2528,'Raw Annual DMR Data'!$L:$L,0)))</f>
        <v>Unknown</v>
      </c>
      <c r="M2528" s="28"/>
      <c r="N2528" s="28"/>
      <c r="O2528" s="28"/>
      <c r="P2528" s="28"/>
      <c r="Q2528" s="28"/>
      <c r="R2528" s="28">
        <f t="shared" si="22"/>
        <v>0.22839391266656445</v>
      </c>
      <c r="S2528" s="28">
        <v>0.10359773613999999</v>
      </c>
    </row>
    <row r="2529" spans="1:19" x14ac:dyDescent="0.25">
      <c r="A2529" s="28">
        <v>2022</v>
      </c>
      <c r="B2529" s="28"/>
      <c r="C2529" s="28" t="s">
        <v>6773</v>
      </c>
      <c r="D2529" s="28" t="s">
        <v>2386</v>
      </c>
      <c r="E2529" s="28" t="s">
        <v>1443</v>
      </c>
      <c r="F2529" s="28" t="s">
        <v>450</v>
      </c>
      <c r="G2529" s="28">
        <v>14580</v>
      </c>
      <c r="H2529" s="28">
        <v>43.227834000000001</v>
      </c>
      <c r="I2529" s="28">
        <v>-77.411534000000003</v>
      </c>
      <c r="J2529" s="28" t="s">
        <v>740</v>
      </c>
      <c r="K2529" s="61">
        <v>110000327799</v>
      </c>
      <c r="L2529" s="61" t="str">
        <f>IFERROR(INDEX('Facility Summary'!$K:$K,MATCH(K2529,'Facility Summary'!$J:$J,0)),INDEX('Raw Annual DMR Data'!$M:$M,MATCH(K2529,'Raw Annual DMR Data'!$L:$L,0)))</f>
        <v>Unknown</v>
      </c>
      <c r="M2529" s="28"/>
      <c r="N2529" s="28"/>
      <c r="O2529" s="28"/>
      <c r="P2529" s="28"/>
      <c r="Q2529" s="28"/>
      <c r="R2529" s="28">
        <f t="shared" si="22"/>
        <v>0.22731966887361882</v>
      </c>
      <c r="S2529" s="28">
        <v>0.103110467352</v>
      </c>
    </row>
    <row r="2530" spans="1:19" x14ac:dyDescent="0.25">
      <c r="A2530" s="28">
        <v>2021</v>
      </c>
      <c r="B2530" s="28"/>
      <c r="C2530" s="28" t="s">
        <v>6773</v>
      </c>
      <c r="D2530" s="28" t="s">
        <v>2386</v>
      </c>
      <c r="E2530" s="28" t="s">
        <v>1443</v>
      </c>
      <c r="F2530" s="28" t="s">
        <v>450</v>
      </c>
      <c r="G2530" s="28">
        <v>14580</v>
      </c>
      <c r="H2530" s="28">
        <v>43.227834000000001</v>
      </c>
      <c r="I2530" s="28">
        <v>-77.411534000000003</v>
      </c>
      <c r="J2530" s="28" t="s">
        <v>740</v>
      </c>
      <c r="K2530" s="61">
        <v>110000327799</v>
      </c>
      <c r="L2530" s="61" t="str">
        <f>IFERROR(INDEX('Facility Summary'!$K:$K,MATCH(K2530,'Facility Summary'!$J:$J,0)),INDEX('Raw Annual DMR Data'!$M:$M,MATCH(K2530,'Raw Annual DMR Data'!$L:$L,0)))</f>
        <v>Unknown</v>
      </c>
      <c r="M2530" s="28"/>
      <c r="N2530" s="28"/>
      <c r="O2530" s="28"/>
      <c r="P2530" s="28"/>
      <c r="Q2530" s="28"/>
      <c r="R2530" s="28">
        <f t="shared" si="22"/>
        <v>0.22378237667445774</v>
      </c>
      <c r="S2530" s="28">
        <v>0.1015059786</v>
      </c>
    </row>
    <row r="2531" spans="1:19" x14ac:dyDescent="0.25">
      <c r="A2531" s="28">
        <v>2023</v>
      </c>
      <c r="B2531" s="28"/>
      <c r="C2531" s="28" t="s">
        <v>6773</v>
      </c>
      <c r="D2531" s="28" t="s">
        <v>2386</v>
      </c>
      <c r="E2531" s="28" t="s">
        <v>1443</v>
      </c>
      <c r="F2531" s="28" t="s">
        <v>450</v>
      </c>
      <c r="G2531" s="28">
        <v>14580</v>
      </c>
      <c r="H2531" s="28">
        <v>43.227834000000001</v>
      </c>
      <c r="I2531" s="28">
        <v>-77.411534000000003</v>
      </c>
      <c r="J2531" s="28" t="s">
        <v>740</v>
      </c>
      <c r="K2531" s="61">
        <v>110000327799</v>
      </c>
      <c r="L2531" s="61" t="str">
        <f>IFERROR(INDEX('Facility Summary'!$K:$K,MATCH(K2531,'Facility Summary'!$J:$J,0)),INDEX('Raw Annual DMR Data'!$M:$M,MATCH(K2531,'Raw Annual DMR Data'!$L:$L,0)))</f>
        <v>Unknown</v>
      </c>
      <c r="M2531" s="28"/>
      <c r="N2531" s="28"/>
      <c r="O2531" s="28"/>
      <c r="P2531" s="28"/>
      <c r="Q2531" s="28"/>
      <c r="R2531" s="28">
        <f t="shared" si="22"/>
        <v>0.20796822045309094</v>
      </c>
      <c r="S2531" s="28">
        <v>9.4332797999999995E-2</v>
      </c>
    </row>
    <row r="2532" spans="1:19" x14ac:dyDescent="0.25">
      <c r="A2532" s="28">
        <v>2023</v>
      </c>
      <c r="B2532" s="28"/>
      <c r="C2532" s="28" t="s">
        <v>6773</v>
      </c>
      <c r="D2532" s="28" t="s">
        <v>2386</v>
      </c>
      <c r="E2532" s="28" t="s">
        <v>1443</v>
      </c>
      <c r="F2532" s="28" t="s">
        <v>450</v>
      </c>
      <c r="G2532" s="28">
        <v>14580</v>
      </c>
      <c r="H2532" s="28">
        <v>43.227834000000001</v>
      </c>
      <c r="I2532" s="28">
        <v>-77.411534000000003</v>
      </c>
      <c r="J2532" s="28" t="s">
        <v>740</v>
      </c>
      <c r="K2532" s="61">
        <v>110000327799</v>
      </c>
      <c r="L2532" s="61" t="str">
        <f>IFERROR(INDEX('Facility Summary'!$K:$K,MATCH(K2532,'Facility Summary'!$J:$J,0)),INDEX('Raw Annual DMR Data'!$M:$M,MATCH(K2532,'Raw Annual DMR Data'!$L:$L,0)))</f>
        <v>Unknown</v>
      </c>
      <c r="M2532" s="28"/>
      <c r="N2532" s="28"/>
      <c r="O2532" s="28"/>
      <c r="P2532" s="28"/>
      <c r="Q2532" s="28"/>
      <c r="R2532" s="28">
        <f t="shared" si="22"/>
        <v>0.15474339249657926</v>
      </c>
      <c r="S2532" s="28">
        <v>7.0190422144363607E-2</v>
      </c>
    </row>
    <row r="2533" spans="1:19" x14ac:dyDescent="0.25">
      <c r="A2533" s="28">
        <v>2022</v>
      </c>
      <c r="B2533" s="28"/>
      <c r="C2533" s="28" t="s">
        <v>6773</v>
      </c>
      <c r="D2533" s="28" t="s">
        <v>2386</v>
      </c>
      <c r="E2533" s="28" t="s">
        <v>1443</v>
      </c>
      <c r="F2533" s="28" t="s">
        <v>450</v>
      </c>
      <c r="G2533" s="28">
        <v>14580</v>
      </c>
      <c r="H2533" s="28">
        <v>43.227834000000001</v>
      </c>
      <c r="I2533" s="28">
        <v>-77.411534000000003</v>
      </c>
      <c r="J2533" s="28" t="s">
        <v>740</v>
      </c>
      <c r="K2533" s="61">
        <v>110000327799</v>
      </c>
      <c r="L2533" s="61" t="str">
        <f>IFERROR(INDEX('Facility Summary'!$K:$K,MATCH(K2533,'Facility Summary'!$J:$J,0)),INDEX('Raw Annual DMR Data'!$M:$M,MATCH(K2533,'Raw Annual DMR Data'!$L:$L,0)))</f>
        <v>Unknown</v>
      </c>
      <c r="M2533" s="28"/>
      <c r="N2533" s="28"/>
      <c r="O2533" s="28"/>
      <c r="P2533" s="28"/>
      <c r="Q2533" s="28"/>
      <c r="R2533" s="28">
        <f t="shared" si="22"/>
        <v>0.14259314483177923</v>
      </c>
      <c r="S2533" s="28">
        <v>6.4679162509999999E-2</v>
      </c>
    </row>
    <row r="2534" spans="1:19" x14ac:dyDescent="0.25">
      <c r="A2534" s="28">
        <v>2021</v>
      </c>
      <c r="B2534" s="28"/>
      <c r="C2534" s="28" t="s">
        <v>6773</v>
      </c>
      <c r="D2534" s="28" t="s">
        <v>2386</v>
      </c>
      <c r="E2534" s="28" t="s">
        <v>1443</v>
      </c>
      <c r="F2534" s="28" t="s">
        <v>450</v>
      </c>
      <c r="G2534" s="28">
        <v>14580</v>
      </c>
      <c r="H2534" s="28">
        <v>43.227834000000001</v>
      </c>
      <c r="I2534" s="28">
        <v>-77.411534000000003</v>
      </c>
      <c r="J2534" s="28" t="s">
        <v>740</v>
      </c>
      <c r="K2534" s="61">
        <v>110000327799</v>
      </c>
      <c r="L2534" s="61" t="str">
        <f>IFERROR(INDEX('Facility Summary'!$K:$K,MATCH(K2534,'Facility Summary'!$J:$J,0)),INDEX('Raw Annual DMR Data'!$M:$M,MATCH(K2534,'Raw Annual DMR Data'!$L:$L,0)))</f>
        <v>Unknown</v>
      </c>
      <c r="M2534" s="28"/>
      <c r="N2534" s="28"/>
      <c r="O2534" s="28"/>
      <c r="P2534" s="28"/>
      <c r="Q2534" s="28"/>
      <c r="R2534" s="28">
        <f t="shared" si="22"/>
        <v>9.3212059347470955E-2</v>
      </c>
      <c r="S2534" s="28">
        <v>4.2280278912000001E-2</v>
      </c>
    </row>
    <row r="2535" spans="1:19" x14ac:dyDescent="0.25">
      <c r="A2535" s="28">
        <v>2023</v>
      </c>
      <c r="B2535" s="28"/>
      <c r="C2535" s="28" t="s">
        <v>6879</v>
      </c>
      <c r="D2535" s="28" t="s">
        <v>7054</v>
      </c>
      <c r="E2535" s="28" t="s">
        <v>7055</v>
      </c>
      <c r="F2535" s="28" t="s">
        <v>338</v>
      </c>
      <c r="G2535" s="28" t="s">
        <v>7099</v>
      </c>
      <c r="H2535" s="28">
        <v>40.823860000000003</v>
      </c>
      <c r="I2535" s="28">
        <v>-73.989034000000004</v>
      </c>
      <c r="J2535" s="28"/>
      <c r="K2535" s="61">
        <v>110004143524</v>
      </c>
      <c r="L2535" s="61" t="str">
        <f>IFERROR(INDEX('Facility Summary'!$K:$K,MATCH(K2535,'Facility Summary'!$J:$J,0)),INDEX('Raw Annual DMR Data'!$M:$M,MATCH(K2535,'Raw Annual DMR Data'!$L:$L,0)))</f>
        <v>Unknown</v>
      </c>
      <c r="M2535" s="28"/>
      <c r="N2535" s="28"/>
      <c r="O2535" s="28"/>
      <c r="P2535" s="28"/>
      <c r="Q2535" s="28"/>
      <c r="R2535" s="28">
        <f t="shared" si="22"/>
        <v>2.394683614276845E-3</v>
      </c>
      <c r="S2535" s="28">
        <v>1.086210216E-3</v>
      </c>
    </row>
    <row r="2536" spans="1:19" x14ac:dyDescent="0.25">
      <c r="A2536" s="28">
        <v>2024</v>
      </c>
      <c r="B2536" s="28"/>
      <c r="C2536" s="28" t="s">
        <v>6879</v>
      </c>
      <c r="D2536" s="28" t="s">
        <v>7054</v>
      </c>
      <c r="E2536" s="28" t="s">
        <v>7055</v>
      </c>
      <c r="F2536" s="28" t="s">
        <v>338</v>
      </c>
      <c r="G2536" s="28">
        <v>7010</v>
      </c>
      <c r="H2536" s="28">
        <v>40.823860000000003</v>
      </c>
      <c r="I2536" s="28">
        <v>-73.989034000000004</v>
      </c>
      <c r="J2536" s="28"/>
      <c r="K2536" s="61">
        <v>110004143524</v>
      </c>
      <c r="L2536" s="61" t="str">
        <f>IFERROR(INDEX('Facility Summary'!$K:$K,MATCH(K2536,'Facility Summary'!$J:$J,0)),INDEX('Raw Annual DMR Data'!$M:$M,MATCH(K2536,'Raw Annual DMR Data'!$L:$L,0)))</f>
        <v>Unknown</v>
      </c>
      <c r="M2536" s="28"/>
      <c r="N2536" s="28"/>
      <c r="O2536" s="28"/>
      <c r="P2536" s="28"/>
      <c r="Q2536" s="28"/>
      <c r="R2536" s="28">
        <f t="shared" si="22"/>
        <v>1.3908847293881948E-3</v>
      </c>
      <c r="S2536" s="28">
        <v>6.3089470079999996E-4</v>
      </c>
    </row>
    <row r="2537" spans="1:19" x14ac:dyDescent="0.25">
      <c r="A2537" s="28">
        <v>2022</v>
      </c>
      <c r="B2537" s="28"/>
      <c r="C2537" s="28" t="s">
        <v>6879</v>
      </c>
      <c r="D2537" s="28" t="s">
        <v>7054</v>
      </c>
      <c r="E2537" s="28" t="s">
        <v>7055</v>
      </c>
      <c r="F2537" s="28" t="s">
        <v>338</v>
      </c>
      <c r="G2537" s="28">
        <v>7010</v>
      </c>
      <c r="H2537" s="28">
        <v>40.823860000000003</v>
      </c>
      <c r="I2537" s="28">
        <v>-73.989034000000004</v>
      </c>
      <c r="J2537" s="28"/>
      <c r="K2537" s="61">
        <v>110004143524</v>
      </c>
      <c r="L2537" s="61" t="str">
        <f>IFERROR(INDEX('Facility Summary'!$K:$K,MATCH(K2537,'Facility Summary'!$J:$J,0)),INDEX('Raw Annual DMR Data'!$M:$M,MATCH(K2537,'Raw Annual DMR Data'!$L:$L,0)))</f>
        <v>Unknown</v>
      </c>
      <c r="M2537" s="28"/>
      <c r="N2537" s="28"/>
      <c r="O2537" s="28"/>
      <c r="P2537" s="28"/>
      <c r="Q2537" s="28"/>
      <c r="R2537" s="28">
        <f t="shared" si="22"/>
        <v>1.2071829726765465E-3</v>
      </c>
      <c r="S2537" s="28">
        <v>5.4756898559999996E-4</v>
      </c>
    </row>
  </sheetData>
  <sheetProtection formatCells="0" formatColumns="0" formatRows="0"/>
  <autoFilter ref="A1:S2537" xr:uid="{69BBE23B-276D-484F-9764-B2C75E12B269}"/>
  <phoneticPr fontId="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18F58-F20A-413F-8EA4-2EBE307A2758}">
  <sheetPr>
    <tabColor rgb="FF7030A0"/>
  </sheetPr>
  <dimension ref="A1:S1007"/>
  <sheetViews>
    <sheetView workbookViewId="0">
      <selection activeCell="K18" sqref="K18"/>
    </sheetView>
  </sheetViews>
  <sheetFormatPr defaultRowHeight="15" x14ac:dyDescent="0.25"/>
  <cols>
    <col min="1" max="1" width="13.140625" bestFit="1" customWidth="1"/>
    <col min="2" max="2" width="9.5703125" customWidth="1"/>
    <col min="3" max="3" width="37.140625" customWidth="1"/>
    <col min="4" max="4" width="13" bestFit="1" customWidth="1"/>
    <col min="8" max="8" width="13.7109375" bestFit="1" customWidth="1"/>
    <col min="9" max="9" width="15.140625" bestFit="1" customWidth="1"/>
    <col min="10" max="10" width="11.85546875" bestFit="1" customWidth="1"/>
    <col min="11" max="11" width="12.85546875" bestFit="1" customWidth="1"/>
    <col min="12" max="12" width="34.140625" customWidth="1"/>
    <col min="13" max="13" width="12.7109375" customWidth="1"/>
    <col min="14" max="14" width="36" customWidth="1"/>
    <col min="15" max="15" width="11.42578125" customWidth="1"/>
    <col min="16" max="16" width="24.42578125" customWidth="1"/>
    <col min="17" max="17" width="13.85546875" customWidth="1"/>
    <col min="18" max="18" width="25.5703125" customWidth="1"/>
    <col min="19" max="19" width="25.85546875" bestFit="1" customWidth="1"/>
  </cols>
  <sheetData>
    <row r="1" spans="1:19" x14ac:dyDescent="0.25">
      <c r="A1" t="s">
        <v>2395</v>
      </c>
      <c r="B1" t="s">
        <v>2396</v>
      </c>
      <c r="C1" t="s">
        <v>276</v>
      </c>
      <c r="D1" t="s">
        <v>277</v>
      </c>
      <c r="E1" t="s">
        <v>278</v>
      </c>
      <c r="F1" t="s">
        <v>279</v>
      </c>
      <c r="G1" t="s">
        <v>2397</v>
      </c>
      <c r="H1" t="s">
        <v>281</v>
      </c>
      <c r="I1" t="s">
        <v>282</v>
      </c>
      <c r="J1" t="s">
        <v>2398</v>
      </c>
      <c r="K1" t="s">
        <v>284</v>
      </c>
      <c r="L1" t="s">
        <v>285</v>
      </c>
      <c r="M1" t="s">
        <v>2399</v>
      </c>
      <c r="N1" t="s">
        <v>2400</v>
      </c>
      <c r="O1" t="s">
        <v>288</v>
      </c>
      <c r="P1" t="s">
        <v>1451</v>
      </c>
      <c r="Q1" t="s">
        <v>291</v>
      </c>
      <c r="R1" t="s">
        <v>2401</v>
      </c>
      <c r="S1" t="s">
        <v>2402</v>
      </c>
    </row>
    <row r="2" spans="1:19" x14ac:dyDescent="0.25">
      <c r="A2">
        <v>2021</v>
      </c>
      <c r="C2" t="s">
        <v>6874</v>
      </c>
      <c r="D2" t="s">
        <v>7044</v>
      </c>
      <c r="E2" t="s">
        <v>1228</v>
      </c>
      <c r="F2" t="s">
        <v>1128</v>
      </c>
      <c r="G2">
        <v>80206</v>
      </c>
      <c r="H2">
        <v>39.718069999999997</v>
      </c>
      <c r="I2">
        <v>-104.95112</v>
      </c>
      <c r="K2">
        <v>110056126972</v>
      </c>
      <c r="L2" t="s">
        <v>265</v>
      </c>
      <c r="R2" s="387">
        <f>CONVERT(S2,"g","lbm")*1000</f>
        <v>0.13091702698945309</v>
      </c>
      <c r="S2" s="386">
        <v>5.9382964545500003E-2</v>
      </c>
    </row>
    <row r="3" spans="1:19" x14ac:dyDescent="0.25">
      <c r="A3">
        <v>2021</v>
      </c>
      <c r="C3" t="s">
        <v>6863</v>
      </c>
      <c r="D3" t="s">
        <v>7027</v>
      </c>
      <c r="E3" t="s">
        <v>1228</v>
      </c>
      <c r="F3" t="s">
        <v>1128</v>
      </c>
      <c r="G3">
        <v>80202</v>
      </c>
      <c r="H3">
        <v>39.747204000000004</v>
      </c>
      <c r="I3">
        <v>-104.997249</v>
      </c>
      <c r="K3">
        <v>110059790588</v>
      </c>
      <c r="L3" t="s">
        <v>265</v>
      </c>
      <c r="R3" s="387">
        <f t="shared" ref="R3:R66" si="0">CONVERT(S3,"g","lbm")*1000</f>
        <v>4.0149166209619879E-3</v>
      </c>
      <c r="S3" s="386">
        <v>1.82113554545454E-3</v>
      </c>
    </row>
    <row r="4" spans="1:19" x14ac:dyDescent="0.25">
      <c r="A4">
        <v>2022</v>
      </c>
      <c r="C4" t="s">
        <v>6863</v>
      </c>
      <c r="D4" t="s">
        <v>7027</v>
      </c>
      <c r="E4" t="s">
        <v>1228</v>
      </c>
      <c r="F4" t="s">
        <v>1128</v>
      </c>
      <c r="G4">
        <v>80202</v>
      </c>
      <c r="H4">
        <v>39.747204000000004</v>
      </c>
      <c r="I4">
        <v>-104.997249</v>
      </c>
      <c r="K4">
        <v>110059790588</v>
      </c>
      <c r="L4" t="s">
        <v>265</v>
      </c>
      <c r="R4" s="387">
        <f t="shared" si="0"/>
        <v>2.5867939533462609E-4</v>
      </c>
      <c r="S4" s="386">
        <v>1.17335E-4</v>
      </c>
    </row>
    <row r="5" spans="1:19" x14ac:dyDescent="0.25">
      <c r="A5">
        <v>2022</v>
      </c>
      <c r="C5" t="s">
        <v>6840</v>
      </c>
      <c r="D5" t="s">
        <v>6996</v>
      </c>
      <c r="E5" t="s">
        <v>968</v>
      </c>
      <c r="F5" t="s">
        <v>294</v>
      </c>
      <c r="G5">
        <v>223141396</v>
      </c>
      <c r="H5">
        <v>38.818069999999999</v>
      </c>
      <c r="I5">
        <v>-77.049329999999998</v>
      </c>
      <c r="K5">
        <v>110071181280</v>
      </c>
      <c r="L5" t="s">
        <v>265</v>
      </c>
      <c r="R5" s="387">
        <f t="shared" si="0"/>
        <v>2.7531414935396733E-2</v>
      </c>
      <c r="S5" s="386">
        <v>1.2488039750000001E-2</v>
      </c>
    </row>
    <row r="6" spans="1:19" x14ac:dyDescent="0.25">
      <c r="A6">
        <v>2021</v>
      </c>
      <c r="C6" t="s">
        <v>6780</v>
      </c>
      <c r="D6" t="s">
        <v>6924</v>
      </c>
      <c r="E6" t="s">
        <v>293</v>
      </c>
      <c r="F6" t="s">
        <v>294</v>
      </c>
      <c r="G6">
        <v>22202</v>
      </c>
      <c r="H6">
        <v>38.8568</v>
      </c>
      <c r="I6">
        <v>-77.049700000000001</v>
      </c>
      <c r="K6">
        <v>110070884188</v>
      </c>
      <c r="L6" t="s">
        <v>265</v>
      </c>
      <c r="R6" s="387">
        <f t="shared" si="0"/>
        <v>3.8571601193379865E-2</v>
      </c>
      <c r="S6" s="386">
        <v>1.7495784E-2</v>
      </c>
    </row>
    <row r="7" spans="1:19" x14ac:dyDescent="0.25">
      <c r="A7">
        <v>2022</v>
      </c>
      <c r="C7" t="s">
        <v>6780</v>
      </c>
      <c r="D7" t="s">
        <v>6924</v>
      </c>
      <c r="E7" t="s">
        <v>293</v>
      </c>
      <c r="F7" t="s">
        <v>294</v>
      </c>
      <c r="G7">
        <v>22202</v>
      </c>
      <c r="H7">
        <v>38.8568</v>
      </c>
      <c r="I7">
        <v>-77.049700000000001</v>
      </c>
      <c r="K7">
        <v>110070884188</v>
      </c>
      <c r="L7" t="s">
        <v>265</v>
      </c>
      <c r="R7" s="387">
        <f t="shared" si="0"/>
        <v>3.1902679491720723E-2</v>
      </c>
      <c r="S7" s="386">
        <v>1.4470812E-2</v>
      </c>
    </row>
    <row r="8" spans="1:19" x14ac:dyDescent="0.25">
      <c r="A8">
        <v>2024</v>
      </c>
      <c r="C8" t="s">
        <v>6900</v>
      </c>
      <c r="D8" t="s">
        <v>7092</v>
      </c>
      <c r="E8" t="s">
        <v>293</v>
      </c>
      <c r="F8" t="s">
        <v>294</v>
      </c>
      <c r="G8">
        <v>22209</v>
      </c>
      <c r="H8">
        <v>38.898200000000003</v>
      </c>
      <c r="I8">
        <v>-77.070899999999995</v>
      </c>
      <c r="K8">
        <v>110071507783</v>
      </c>
      <c r="L8" t="s">
        <v>265</v>
      </c>
      <c r="R8" s="387">
        <f t="shared" si="0"/>
        <v>4.4098995756917156E-2</v>
      </c>
      <c r="S8" s="386">
        <v>2.0002967999999999E-2</v>
      </c>
    </row>
    <row r="9" spans="1:19" x14ac:dyDescent="0.25">
      <c r="A9">
        <v>2023</v>
      </c>
      <c r="C9" t="s">
        <v>6782</v>
      </c>
      <c r="D9" t="s">
        <v>6928</v>
      </c>
      <c r="E9" t="s">
        <v>293</v>
      </c>
      <c r="F9" t="s">
        <v>294</v>
      </c>
      <c r="G9">
        <v>22201</v>
      </c>
      <c r="H9">
        <v>38.85615</v>
      </c>
      <c r="I9">
        <v>-77.051146000000003</v>
      </c>
      <c r="K9">
        <v>110071347994</v>
      </c>
      <c r="L9" t="s">
        <v>265</v>
      </c>
      <c r="R9" s="387">
        <f t="shared" si="0"/>
        <v>2.0652629143651599E-4</v>
      </c>
      <c r="S9" s="386">
        <v>9.3678750000000005E-5</v>
      </c>
    </row>
    <row r="10" spans="1:19" x14ac:dyDescent="0.25">
      <c r="A10">
        <v>2024</v>
      </c>
      <c r="C10" t="s">
        <v>6892</v>
      </c>
      <c r="D10" t="s">
        <v>7074</v>
      </c>
      <c r="E10" t="s">
        <v>968</v>
      </c>
      <c r="F10" t="s">
        <v>294</v>
      </c>
      <c r="G10">
        <v>22305</v>
      </c>
      <c r="H10">
        <v>38.838200000000001</v>
      </c>
      <c r="I10">
        <v>-77.060599999999994</v>
      </c>
      <c r="K10">
        <v>110071503191</v>
      </c>
      <c r="L10" t="s">
        <v>265</v>
      </c>
      <c r="R10" s="387">
        <f t="shared" si="0"/>
        <v>8.8564285292651632E-2</v>
      </c>
      <c r="S10" s="386">
        <v>4.0172084063249999E-2</v>
      </c>
    </row>
    <row r="11" spans="1:19" x14ac:dyDescent="0.25">
      <c r="A11">
        <v>2022</v>
      </c>
      <c r="C11" t="s">
        <v>965</v>
      </c>
      <c r="D11" t="s">
        <v>1469</v>
      </c>
      <c r="E11" t="s">
        <v>966</v>
      </c>
      <c r="F11" t="s">
        <v>491</v>
      </c>
      <c r="G11">
        <v>19112</v>
      </c>
      <c r="H11">
        <v>39.891680000000001</v>
      </c>
      <c r="I11">
        <v>-75.169055</v>
      </c>
      <c r="K11">
        <v>110006368206</v>
      </c>
      <c r="L11" t="s">
        <v>265</v>
      </c>
      <c r="R11" s="387">
        <f t="shared" si="0"/>
        <v>23.360019097323001</v>
      </c>
      <c r="S11" s="386">
        <v>10.5959264256</v>
      </c>
    </row>
    <row r="12" spans="1:19" x14ac:dyDescent="0.25">
      <c r="A12">
        <v>2024</v>
      </c>
      <c r="C12" t="s">
        <v>965</v>
      </c>
      <c r="D12" t="s">
        <v>1469</v>
      </c>
      <c r="E12" t="s">
        <v>966</v>
      </c>
      <c r="F12" t="s">
        <v>491</v>
      </c>
      <c r="G12">
        <v>19112</v>
      </c>
      <c r="H12">
        <v>39.891680000000001</v>
      </c>
      <c r="I12">
        <v>-75.169055</v>
      </c>
      <c r="K12">
        <v>110006368206</v>
      </c>
      <c r="L12" t="s">
        <v>265</v>
      </c>
      <c r="R12" s="387">
        <f t="shared" si="0"/>
        <v>0.85599327814442727</v>
      </c>
      <c r="S12" s="386">
        <v>0.3882720197376</v>
      </c>
    </row>
    <row r="13" spans="1:19" x14ac:dyDescent="0.25">
      <c r="A13">
        <v>2021</v>
      </c>
      <c r="C13" t="s">
        <v>965</v>
      </c>
      <c r="D13" t="s">
        <v>1469</v>
      </c>
      <c r="E13" t="s">
        <v>966</v>
      </c>
      <c r="F13" t="s">
        <v>491</v>
      </c>
      <c r="G13">
        <v>19112</v>
      </c>
      <c r="H13">
        <v>39.891680000000001</v>
      </c>
      <c r="I13">
        <v>-75.169055</v>
      </c>
      <c r="K13">
        <v>110006368206</v>
      </c>
      <c r="L13" t="s">
        <v>265</v>
      </c>
      <c r="R13" s="387">
        <f t="shared" si="0"/>
        <v>0.64508366669042516</v>
      </c>
      <c r="S13" s="386">
        <v>0.2926050292224</v>
      </c>
    </row>
    <row r="14" spans="1:19" x14ac:dyDescent="0.25">
      <c r="A14">
        <v>2023</v>
      </c>
      <c r="C14" t="s">
        <v>965</v>
      </c>
      <c r="D14" t="s">
        <v>1469</v>
      </c>
      <c r="E14" t="s">
        <v>966</v>
      </c>
      <c r="F14" t="s">
        <v>491</v>
      </c>
      <c r="G14">
        <v>19112</v>
      </c>
      <c r="H14">
        <v>39.891680000000001</v>
      </c>
      <c r="I14">
        <v>-75.169055</v>
      </c>
      <c r="K14">
        <v>110006368206</v>
      </c>
      <c r="L14" t="s">
        <v>265</v>
      </c>
      <c r="R14" s="387">
        <f t="shared" si="0"/>
        <v>0.22085161589468533</v>
      </c>
      <c r="S14" s="386">
        <v>0.100176607872</v>
      </c>
    </row>
    <row r="15" spans="1:19" x14ac:dyDescent="0.25">
      <c r="A15">
        <v>2022</v>
      </c>
      <c r="C15" t="s">
        <v>6784</v>
      </c>
      <c r="D15" t="s">
        <v>6931</v>
      </c>
      <c r="E15" t="s">
        <v>1403</v>
      </c>
      <c r="F15" t="s">
        <v>294</v>
      </c>
      <c r="G15">
        <v>23454</v>
      </c>
      <c r="H15">
        <v>36.847490000000001</v>
      </c>
      <c r="I15">
        <v>-76.026436000000004</v>
      </c>
      <c r="K15">
        <v>110070884760</v>
      </c>
      <c r="L15" t="s">
        <v>265</v>
      </c>
      <c r="R15" s="387">
        <f t="shared" si="0"/>
        <v>9.3488614778627094E-3</v>
      </c>
      <c r="S15" s="386">
        <v>4.2405722345454496E-3</v>
      </c>
    </row>
    <row r="16" spans="1:19" x14ac:dyDescent="0.25">
      <c r="A16">
        <v>2022</v>
      </c>
      <c r="C16" t="s">
        <v>6784</v>
      </c>
      <c r="D16" t="s">
        <v>6931</v>
      </c>
      <c r="E16" t="s">
        <v>1403</v>
      </c>
      <c r="F16" t="s">
        <v>294</v>
      </c>
      <c r="G16">
        <v>23454</v>
      </c>
      <c r="H16">
        <v>36.847490000000001</v>
      </c>
      <c r="I16">
        <v>-76.026436000000004</v>
      </c>
      <c r="K16">
        <v>110070884760</v>
      </c>
      <c r="L16" t="s">
        <v>265</v>
      </c>
      <c r="R16" s="387">
        <f t="shared" si="0"/>
        <v>9.3488614778627094E-3</v>
      </c>
      <c r="S16" s="386">
        <v>4.2405722345454496E-3</v>
      </c>
    </row>
    <row r="17" spans="1:19" x14ac:dyDescent="0.25">
      <c r="A17">
        <v>2023</v>
      </c>
      <c r="C17" t="s">
        <v>6862</v>
      </c>
      <c r="D17" t="s">
        <v>7026</v>
      </c>
      <c r="E17" t="s">
        <v>657</v>
      </c>
      <c r="F17" t="s">
        <v>418</v>
      </c>
      <c r="G17">
        <v>89118</v>
      </c>
      <c r="H17">
        <v>36.090899999999998</v>
      </c>
      <c r="I17">
        <v>-115.1833</v>
      </c>
      <c r="K17">
        <v>110070948151</v>
      </c>
      <c r="L17" t="s">
        <v>265</v>
      </c>
      <c r="R17" s="387">
        <f t="shared" si="0"/>
        <v>0.13826142484495496</v>
      </c>
      <c r="S17" s="386">
        <v>6.2714327375000004E-2</v>
      </c>
    </row>
    <row r="18" spans="1:19" x14ac:dyDescent="0.25">
      <c r="A18">
        <v>2021</v>
      </c>
      <c r="C18" t="s">
        <v>6862</v>
      </c>
      <c r="D18" t="s">
        <v>7026</v>
      </c>
      <c r="E18" t="s">
        <v>657</v>
      </c>
      <c r="F18" t="s">
        <v>418</v>
      </c>
      <c r="G18">
        <v>89118</v>
      </c>
      <c r="H18">
        <v>36.090899999999998</v>
      </c>
      <c r="I18">
        <v>-115.1833</v>
      </c>
      <c r="K18">
        <v>110070948151</v>
      </c>
      <c r="L18" t="s">
        <v>265</v>
      </c>
      <c r="R18" s="387">
        <f t="shared" si="0"/>
        <v>8.9742766451296349E-2</v>
      </c>
      <c r="S18" s="386">
        <v>4.0706634125000002E-2</v>
      </c>
    </row>
    <row r="19" spans="1:19" x14ac:dyDescent="0.25">
      <c r="A19">
        <v>2024</v>
      </c>
      <c r="C19" t="s">
        <v>6862</v>
      </c>
      <c r="D19" t="s">
        <v>7026</v>
      </c>
      <c r="E19" t="s">
        <v>657</v>
      </c>
      <c r="F19" t="s">
        <v>418</v>
      </c>
      <c r="G19">
        <v>89118</v>
      </c>
      <c r="H19">
        <v>36.090899999999998</v>
      </c>
      <c r="I19">
        <v>-115.1833</v>
      </c>
      <c r="K19">
        <v>110070948151</v>
      </c>
      <c r="L19" t="s">
        <v>265</v>
      </c>
      <c r="R19" s="387">
        <f t="shared" si="0"/>
        <v>8.8836658424170573E-2</v>
      </c>
      <c r="S19" s="386">
        <v>4.02956304375E-2</v>
      </c>
    </row>
    <row r="20" spans="1:19" x14ac:dyDescent="0.25">
      <c r="A20">
        <v>2022</v>
      </c>
      <c r="C20" t="s">
        <v>6862</v>
      </c>
      <c r="D20" t="s">
        <v>7026</v>
      </c>
      <c r="E20" t="s">
        <v>657</v>
      </c>
      <c r="F20" t="s">
        <v>418</v>
      </c>
      <c r="G20">
        <v>89118</v>
      </c>
      <c r="H20">
        <v>36.090899999999998</v>
      </c>
      <c r="I20">
        <v>-115.1833</v>
      </c>
      <c r="K20">
        <v>110070948151</v>
      </c>
      <c r="L20" t="s">
        <v>265</v>
      </c>
      <c r="R20" s="387">
        <f t="shared" si="0"/>
        <v>8.842548335303789E-2</v>
      </c>
      <c r="S20" s="386">
        <v>4.0109124562500001E-2</v>
      </c>
    </row>
    <row r="21" spans="1:19" x14ac:dyDescent="0.25">
      <c r="A21">
        <v>2022</v>
      </c>
      <c r="C21" t="s">
        <v>6839</v>
      </c>
      <c r="D21" t="s">
        <v>6993</v>
      </c>
      <c r="E21" t="s">
        <v>6994</v>
      </c>
      <c r="F21" t="s">
        <v>1171</v>
      </c>
      <c r="G21">
        <v>96752</v>
      </c>
      <c r="H21">
        <v>21.994944</v>
      </c>
      <c r="I21">
        <v>-159.75363899999999</v>
      </c>
      <c r="K21">
        <v>110006777247</v>
      </c>
      <c r="L21" t="s">
        <v>265</v>
      </c>
      <c r="R21" s="387">
        <f t="shared" si="0"/>
        <v>6.3199131303729823</v>
      </c>
      <c r="S21" s="386">
        <v>2.866664375</v>
      </c>
    </row>
    <row r="22" spans="1:19" x14ac:dyDescent="0.25">
      <c r="A22">
        <v>2023</v>
      </c>
      <c r="C22" t="s">
        <v>6839</v>
      </c>
      <c r="D22" t="s">
        <v>6993</v>
      </c>
      <c r="E22" t="s">
        <v>6994</v>
      </c>
      <c r="F22" t="s">
        <v>1171</v>
      </c>
      <c r="G22">
        <v>96752</v>
      </c>
      <c r="H22">
        <v>21.994944</v>
      </c>
      <c r="I22">
        <v>-159.75363899999999</v>
      </c>
      <c r="K22">
        <v>110006777247</v>
      </c>
      <c r="L22" t="s">
        <v>265</v>
      </c>
      <c r="R22" s="387">
        <f t="shared" si="0"/>
        <v>2.3665409649637623</v>
      </c>
      <c r="S22" s="386">
        <v>1.073444925</v>
      </c>
    </row>
    <row r="23" spans="1:19" x14ac:dyDescent="0.25">
      <c r="A23">
        <v>2024</v>
      </c>
      <c r="C23" t="s">
        <v>6839</v>
      </c>
      <c r="D23" t="s">
        <v>6993</v>
      </c>
      <c r="E23" t="s">
        <v>6994</v>
      </c>
      <c r="F23" t="s">
        <v>1171</v>
      </c>
      <c r="G23">
        <v>96752</v>
      </c>
      <c r="H23">
        <v>21.994944</v>
      </c>
      <c r="I23">
        <v>-159.75363899999999</v>
      </c>
      <c r="K23">
        <v>110006777247</v>
      </c>
      <c r="L23" t="s">
        <v>265</v>
      </c>
      <c r="R23" s="387">
        <f t="shared" si="0"/>
        <v>1.6629747321366981</v>
      </c>
      <c r="S23" s="386">
        <v>0.75431265000000003</v>
      </c>
    </row>
    <row r="24" spans="1:19" x14ac:dyDescent="0.25">
      <c r="A24">
        <v>2021</v>
      </c>
      <c r="C24" t="s">
        <v>6839</v>
      </c>
      <c r="D24" t="s">
        <v>6993</v>
      </c>
      <c r="E24" t="s">
        <v>6994</v>
      </c>
      <c r="F24" t="s">
        <v>1171</v>
      </c>
      <c r="G24">
        <v>96752</v>
      </c>
      <c r="H24">
        <v>21.994944</v>
      </c>
      <c r="I24">
        <v>-159.75363899999999</v>
      </c>
      <c r="K24">
        <v>110006777247</v>
      </c>
      <c r="L24" t="s">
        <v>265</v>
      </c>
      <c r="R24" s="387">
        <f t="shared" si="0"/>
        <v>1.1512901991715603</v>
      </c>
      <c r="S24" s="386">
        <v>0.52221645000000005</v>
      </c>
    </row>
    <row r="25" spans="1:19" x14ac:dyDescent="0.25">
      <c r="A25">
        <v>2023</v>
      </c>
      <c r="C25" t="s">
        <v>6906</v>
      </c>
      <c r="D25" t="s">
        <v>7107</v>
      </c>
      <c r="E25" t="s">
        <v>1125</v>
      </c>
      <c r="F25" t="s">
        <v>294</v>
      </c>
      <c r="G25">
        <v>22041</v>
      </c>
      <c r="H25">
        <v>38.848126999999998</v>
      </c>
      <c r="I25">
        <v>-77.132767999999999</v>
      </c>
      <c r="K25">
        <v>110071427202</v>
      </c>
      <c r="L25" t="s">
        <v>265</v>
      </c>
      <c r="R25" s="387">
        <f t="shared" si="0"/>
        <v>2.2349899756911695E-3</v>
      </c>
      <c r="S25" s="386">
        <v>1.0137744E-3</v>
      </c>
    </row>
    <row r="26" spans="1:19" x14ac:dyDescent="0.25">
      <c r="A26">
        <v>2022</v>
      </c>
      <c r="C26" t="s">
        <v>6888</v>
      </c>
      <c r="D26" t="s">
        <v>7067</v>
      </c>
      <c r="E26" t="s">
        <v>1255</v>
      </c>
      <c r="F26" t="s">
        <v>366</v>
      </c>
      <c r="G26">
        <v>93041</v>
      </c>
      <c r="H26">
        <v>34.144888999999999</v>
      </c>
      <c r="I26">
        <v>-119.2105</v>
      </c>
      <c r="K26">
        <v>110071298200</v>
      </c>
      <c r="L26" t="s">
        <v>265</v>
      </c>
      <c r="R26" s="387">
        <f t="shared" si="0"/>
        <v>2.8950684471390022E-3</v>
      </c>
      <c r="S26" s="386">
        <v>1.3131809582499999E-3</v>
      </c>
    </row>
    <row r="27" spans="1:19" x14ac:dyDescent="0.25">
      <c r="A27">
        <v>2023</v>
      </c>
      <c r="C27" t="s">
        <v>6891</v>
      </c>
      <c r="D27" t="s">
        <v>7073</v>
      </c>
      <c r="E27" t="s">
        <v>1403</v>
      </c>
      <c r="F27" t="s">
        <v>294</v>
      </c>
      <c r="G27">
        <v>23451</v>
      </c>
      <c r="H27">
        <v>36.847284999999999</v>
      </c>
      <c r="I27">
        <v>-75.980485000000002</v>
      </c>
      <c r="K27">
        <v>110071426286</v>
      </c>
      <c r="L27" t="s">
        <v>265</v>
      </c>
      <c r="R27" s="387">
        <f t="shared" si="0"/>
        <v>0.84820071860700386</v>
      </c>
      <c r="S27" s="386">
        <v>0.384737374188654</v>
      </c>
    </row>
    <row r="28" spans="1:19" x14ac:dyDescent="0.25">
      <c r="A28">
        <v>2024</v>
      </c>
      <c r="C28" t="s">
        <v>6891</v>
      </c>
      <c r="D28" t="s">
        <v>7073</v>
      </c>
      <c r="E28" t="s">
        <v>1403</v>
      </c>
      <c r="F28" t="s">
        <v>294</v>
      </c>
      <c r="G28">
        <v>23451</v>
      </c>
      <c r="H28">
        <v>36.847284999999999</v>
      </c>
      <c r="I28">
        <v>-75.980485000000002</v>
      </c>
      <c r="K28">
        <v>110071426286</v>
      </c>
      <c r="L28" t="s">
        <v>265</v>
      </c>
      <c r="R28" s="387">
        <f t="shared" si="0"/>
        <v>3.042470224973141E-7</v>
      </c>
      <c r="S28" s="386">
        <v>1.3800412800000001E-7</v>
      </c>
    </row>
    <row r="29" spans="1:19" x14ac:dyDescent="0.25">
      <c r="A29">
        <v>2023</v>
      </c>
      <c r="C29" t="s">
        <v>6825</v>
      </c>
      <c r="D29" t="s">
        <v>6980</v>
      </c>
      <c r="E29" t="s">
        <v>1228</v>
      </c>
      <c r="F29" t="s">
        <v>1128</v>
      </c>
      <c r="G29">
        <v>80202</v>
      </c>
      <c r="H29">
        <v>39.754530000000003</v>
      </c>
      <c r="I29">
        <v>-105.00681</v>
      </c>
      <c r="K29">
        <v>110056125376</v>
      </c>
      <c r="L29" t="s">
        <v>265</v>
      </c>
      <c r="R29" s="387">
        <f t="shared" si="0"/>
        <v>1.4367470841716318E-2</v>
      </c>
      <c r="S29" s="386">
        <v>6.5169751499999998E-3</v>
      </c>
    </row>
    <row r="30" spans="1:19" x14ac:dyDescent="0.25">
      <c r="A30">
        <v>2022</v>
      </c>
      <c r="C30" t="s">
        <v>103</v>
      </c>
      <c r="D30" t="s">
        <v>313</v>
      </c>
      <c r="E30" t="s">
        <v>314</v>
      </c>
      <c r="F30" t="s">
        <v>303</v>
      </c>
      <c r="G30" t="s">
        <v>315</v>
      </c>
      <c r="H30">
        <v>30.27083</v>
      </c>
      <c r="I30">
        <v>-92.037279999999996</v>
      </c>
      <c r="J30" t="s">
        <v>7123</v>
      </c>
      <c r="K30">
        <v>110000846602</v>
      </c>
      <c r="L30" t="s">
        <v>253</v>
      </c>
      <c r="R30" s="387">
        <f t="shared" si="0"/>
        <v>2.7994492775528831E-2</v>
      </c>
      <c r="S30" s="386">
        <v>1.2698088325000001E-2</v>
      </c>
    </row>
    <row r="31" spans="1:19" x14ac:dyDescent="0.25">
      <c r="A31">
        <v>2024</v>
      </c>
      <c r="C31" t="s">
        <v>103</v>
      </c>
      <c r="D31" t="s">
        <v>313</v>
      </c>
      <c r="E31" t="s">
        <v>314</v>
      </c>
      <c r="F31" t="s">
        <v>303</v>
      </c>
      <c r="G31" t="s">
        <v>315</v>
      </c>
      <c r="H31">
        <v>30.27083</v>
      </c>
      <c r="I31">
        <v>-92.037279999999996</v>
      </c>
      <c r="J31" t="s">
        <v>7123</v>
      </c>
      <c r="K31">
        <v>110000846602</v>
      </c>
      <c r="L31" t="s">
        <v>253</v>
      </c>
      <c r="R31" s="387">
        <f t="shared" si="0"/>
        <v>1.817604095721451E-2</v>
      </c>
      <c r="S31" s="386">
        <v>8.2445134949999995E-3</v>
      </c>
    </row>
    <row r="32" spans="1:19" x14ac:dyDescent="0.25">
      <c r="A32">
        <v>2021</v>
      </c>
      <c r="C32" t="s">
        <v>103</v>
      </c>
      <c r="D32" t="s">
        <v>313</v>
      </c>
      <c r="E32" t="s">
        <v>314</v>
      </c>
      <c r="F32" t="s">
        <v>303</v>
      </c>
      <c r="G32" t="s">
        <v>315</v>
      </c>
      <c r="H32">
        <v>30.27083</v>
      </c>
      <c r="I32">
        <v>-92.037279999999996</v>
      </c>
      <c r="J32" t="s">
        <v>7123</v>
      </c>
      <c r="K32">
        <v>110000846602</v>
      </c>
      <c r="L32" t="s">
        <v>253</v>
      </c>
      <c r="R32" s="387">
        <f t="shared" si="0"/>
        <v>1.7380397376393259E-2</v>
      </c>
      <c r="S32" s="386">
        <v>7.8836156375000008E-3</v>
      </c>
    </row>
    <row r="33" spans="1:19" x14ac:dyDescent="0.25">
      <c r="A33">
        <v>2023</v>
      </c>
      <c r="C33" t="s">
        <v>103</v>
      </c>
      <c r="D33" t="s">
        <v>313</v>
      </c>
      <c r="E33" t="s">
        <v>314</v>
      </c>
      <c r="F33" t="s">
        <v>303</v>
      </c>
      <c r="G33" t="s">
        <v>315</v>
      </c>
      <c r="H33">
        <v>30.27083</v>
      </c>
      <c r="I33">
        <v>-92.037279999999996</v>
      </c>
      <c r="J33" t="s">
        <v>7123</v>
      </c>
      <c r="K33">
        <v>110000846602</v>
      </c>
      <c r="L33" t="s">
        <v>253</v>
      </c>
      <c r="R33" s="387">
        <f t="shared" si="0"/>
        <v>1.0331204446847287E-2</v>
      </c>
      <c r="S33" s="386">
        <v>4.6861555099999997E-3</v>
      </c>
    </row>
    <row r="34" spans="1:19" x14ac:dyDescent="0.25">
      <c r="A34">
        <v>2024</v>
      </c>
      <c r="C34" t="s">
        <v>6825</v>
      </c>
      <c r="D34" t="s">
        <v>6980</v>
      </c>
      <c r="E34" t="s">
        <v>1228</v>
      </c>
      <c r="F34" t="s">
        <v>1128</v>
      </c>
      <c r="G34">
        <v>80202</v>
      </c>
      <c r="H34">
        <v>39.754530000000003</v>
      </c>
      <c r="I34">
        <v>-105.00681</v>
      </c>
      <c r="K34">
        <v>110056125376</v>
      </c>
      <c r="L34" t="s">
        <v>265</v>
      </c>
      <c r="R34" s="387">
        <f t="shared" si="0"/>
        <v>9.7269293793456005E-3</v>
      </c>
      <c r="S34" s="386">
        <v>4.4120609500000003E-3</v>
      </c>
    </row>
    <row r="35" spans="1:19" x14ac:dyDescent="0.25">
      <c r="A35">
        <v>2022</v>
      </c>
      <c r="C35" t="s">
        <v>6806</v>
      </c>
      <c r="D35" t="s">
        <v>322</v>
      </c>
      <c r="E35" t="s">
        <v>323</v>
      </c>
      <c r="F35" t="s">
        <v>324</v>
      </c>
      <c r="G35">
        <v>420290187</v>
      </c>
      <c r="H35">
        <v>37.056699000000002</v>
      </c>
      <c r="I35">
        <v>-88.365727000000007</v>
      </c>
      <c r="J35" t="s">
        <v>325</v>
      </c>
      <c r="K35">
        <v>110000380061</v>
      </c>
      <c r="L35" t="s">
        <v>253</v>
      </c>
      <c r="R35" s="387">
        <f t="shared" si="0"/>
        <v>123.73910081423988</v>
      </c>
      <c r="S35" s="386">
        <v>56.127111999999997</v>
      </c>
    </row>
    <row r="36" spans="1:19" x14ac:dyDescent="0.25">
      <c r="A36">
        <v>2021</v>
      </c>
      <c r="C36" t="s">
        <v>6806</v>
      </c>
      <c r="D36" t="s">
        <v>322</v>
      </c>
      <c r="E36" t="s">
        <v>323</v>
      </c>
      <c r="F36" t="s">
        <v>324</v>
      </c>
      <c r="G36">
        <v>420290187</v>
      </c>
      <c r="H36">
        <v>37.056699000000002</v>
      </c>
      <c r="I36">
        <v>-88.365727000000007</v>
      </c>
      <c r="J36" t="s">
        <v>325</v>
      </c>
      <c r="K36">
        <v>110000380061</v>
      </c>
      <c r="L36" t="s">
        <v>253</v>
      </c>
      <c r="R36" s="387">
        <f t="shared" si="0"/>
        <v>18.692783566884071</v>
      </c>
      <c r="S36" s="386">
        <v>8.478904</v>
      </c>
    </row>
    <row r="37" spans="1:19" x14ac:dyDescent="0.25">
      <c r="A37">
        <v>2023</v>
      </c>
      <c r="C37" t="s">
        <v>6806</v>
      </c>
      <c r="D37" t="s">
        <v>322</v>
      </c>
      <c r="E37" t="s">
        <v>323</v>
      </c>
      <c r="F37" t="s">
        <v>324</v>
      </c>
      <c r="G37">
        <v>420290187</v>
      </c>
      <c r="H37">
        <v>37.056699000000002</v>
      </c>
      <c r="I37">
        <v>-88.365727000000007</v>
      </c>
      <c r="J37" t="s">
        <v>325</v>
      </c>
      <c r="K37">
        <v>110000380061</v>
      </c>
      <c r="L37" t="s">
        <v>253</v>
      </c>
      <c r="R37" s="387">
        <f t="shared" si="0"/>
        <v>5.3407953048240202</v>
      </c>
      <c r="S37" s="386">
        <v>2.4225439999999998</v>
      </c>
    </row>
    <row r="38" spans="1:19" x14ac:dyDescent="0.25">
      <c r="A38">
        <v>2022</v>
      </c>
      <c r="C38" t="s">
        <v>6865</v>
      </c>
      <c r="D38" t="s">
        <v>1493</v>
      </c>
      <c r="E38" t="s">
        <v>7030</v>
      </c>
      <c r="F38" t="s">
        <v>979</v>
      </c>
      <c r="G38" t="s">
        <v>7031</v>
      </c>
      <c r="H38">
        <v>35.377800000000001</v>
      </c>
      <c r="I38">
        <v>-86.045599999999993</v>
      </c>
      <c r="J38" t="s">
        <v>700</v>
      </c>
      <c r="K38">
        <v>110017413217</v>
      </c>
      <c r="L38" t="s">
        <v>6750</v>
      </c>
      <c r="R38" s="387">
        <f t="shared" si="0"/>
        <v>26.763264802051232</v>
      </c>
      <c r="S38" s="386">
        <v>12.1396127105</v>
      </c>
    </row>
    <row r="39" spans="1:19" x14ac:dyDescent="0.25">
      <c r="A39">
        <v>2021</v>
      </c>
      <c r="C39" t="s">
        <v>6865</v>
      </c>
      <c r="D39" t="s">
        <v>1493</v>
      </c>
      <c r="E39" t="s">
        <v>7030</v>
      </c>
      <c r="F39" t="s">
        <v>979</v>
      </c>
      <c r="G39" t="s">
        <v>7031</v>
      </c>
      <c r="H39">
        <v>35.377800000000001</v>
      </c>
      <c r="I39">
        <v>-86.045599999999993</v>
      </c>
      <c r="J39" t="s">
        <v>700</v>
      </c>
      <c r="K39">
        <v>110017413217</v>
      </c>
      <c r="L39" t="s">
        <v>6750</v>
      </c>
      <c r="R39" s="387">
        <f t="shared" si="0"/>
        <v>24.557584870750802</v>
      </c>
      <c r="S39" s="386">
        <v>11.139133123000001</v>
      </c>
    </row>
    <row r="40" spans="1:19" x14ac:dyDescent="0.25">
      <c r="A40">
        <v>2023</v>
      </c>
      <c r="C40" t="s">
        <v>6865</v>
      </c>
      <c r="D40" t="s">
        <v>1493</v>
      </c>
      <c r="E40" t="s">
        <v>7030</v>
      </c>
      <c r="F40" t="s">
        <v>979</v>
      </c>
      <c r="G40" t="s">
        <v>7031</v>
      </c>
      <c r="H40">
        <v>35.377800000000001</v>
      </c>
      <c r="I40">
        <v>-86.045599999999993</v>
      </c>
      <c r="J40" t="s">
        <v>700</v>
      </c>
      <c r="K40">
        <v>110017413217</v>
      </c>
      <c r="L40" t="s">
        <v>6750</v>
      </c>
      <c r="R40" s="387">
        <f t="shared" si="0"/>
        <v>4.4527151878679092</v>
      </c>
      <c r="S40" s="386">
        <v>2.0197176350000001</v>
      </c>
    </row>
    <row r="41" spans="1:19" x14ac:dyDescent="0.25">
      <c r="A41">
        <v>2024</v>
      </c>
      <c r="C41" t="s">
        <v>106</v>
      </c>
      <c r="D41" t="s">
        <v>326</v>
      </c>
      <c r="E41" t="s">
        <v>327</v>
      </c>
      <c r="F41" t="s">
        <v>328</v>
      </c>
      <c r="G41">
        <v>30340</v>
      </c>
      <c r="H41">
        <v>33.904722</v>
      </c>
      <c r="I41">
        <v>-84.238889</v>
      </c>
      <c r="K41">
        <v>110070381611</v>
      </c>
      <c r="L41" t="s">
        <v>252</v>
      </c>
      <c r="R41" s="387">
        <f t="shared" si="0"/>
        <v>0.46120700398906622</v>
      </c>
      <c r="S41" s="386">
        <v>0.20919997800000001</v>
      </c>
    </row>
    <row r="42" spans="1:19" x14ac:dyDescent="0.25">
      <c r="A42">
        <v>2023</v>
      </c>
      <c r="C42" t="s">
        <v>106</v>
      </c>
      <c r="D42" t="s">
        <v>326</v>
      </c>
      <c r="E42" t="s">
        <v>327</v>
      </c>
      <c r="F42" t="s">
        <v>328</v>
      </c>
      <c r="G42">
        <v>30340</v>
      </c>
      <c r="H42">
        <v>33.904722</v>
      </c>
      <c r="I42">
        <v>-84.238889</v>
      </c>
      <c r="K42">
        <v>110070381611</v>
      </c>
      <c r="L42" t="s">
        <v>252</v>
      </c>
      <c r="R42" s="387">
        <f t="shared" si="0"/>
        <v>0.27058519794986852</v>
      </c>
      <c r="S42" s="386">
        <v>0.122735381225</v>
      </c>
    </row>
    <row r="43" spans="1:19" x14ac:dyDescent="0.25">
      <c r="A43">
        <v>2021</v>
      </c>
      <c r="C43" t="s">
        <v>106</v>
      </c>
      <c r="D43" t="s">
        <v>326</v>
      </c>
      <c r="E43" t="s">
        <v>327</v>
      </c>
      <c r="F43" t="s">
        <v>328</v>
      </c>
      <c r="G43">
        <v>30340</v>
      </c>
      <c r="H43">
        <v>33.904722</v>
      </c>
      <c r="I43">
        <v>-84.238889</v>
      </c>
      <c r="K43">
        <v>110070381611</v>
      </c>
      <c r="L43" t="s">
        <v>252</v>
      </c>
      <c r="R43" s="387">
        <f t="shared" si="0"/>
        <v>0.23781530412978508</v>
      </c>
      <c r="S43" s="386">
        <v>0.1078712074225</v>
      </c>
    </row>
    <row r="44" spans="1:19" x14ac:dyDescent="0.25">
      <c r="A44">
        <v>2022</v>
      </c>
      <c r="C44" t="s">
        <v>106</v>
      </c>
      <c r="D44" t="s">
        <v>326</v>
      </c>
      <c r="E44" t="s">
        <v>327</v>
      </c>
      <c r="F44" t="s">
        <v>328</v>
      </c>
      <c r="G44">
        <v>30340</v>
      </c>
      <c r="H44">
        <v>33.904722</v>
      </c>
      <c r="I44">
        <v>-84.238889</v>
      </c>
      <c r="K44">
        <v>110070381611</v>
      </c>
      <c r="L44" t="s">
        <v>252</v>
      </c>
      <c r="R44" s="387">
        <f t="shared" si="0"/>
        <v>8.9535697767579289E-2</v>
      </c>
      <c r="S44" s="386">
        <v>4.0612709349999998E-2</v>
      </c>
    </row>
    <row r="45" spans="1:19" x14ac:dyDescent="0.25">
      <c r="A45">
        <v>2022</v>
      </c>
      <c r="C45" t="s">
        <v>6825</v>
      </c>
      <c r="D45" t="s">
        <v>6980</v>
      </c>
      <c r="E45" t="s">
        <v>1228</v>
      </c>
      <c r="F45" t="s">
        <v>1128</v>
      </c>
      <c r="G45">
        <v>80202</v>
      </c>
      <c r="H45">
        <v>39.754530000000003</v>
      </c>
      <c r="I45">
        <v>-105.00681</v>
      </c>
      <c r="K45">
        <v>110056125376</v>
      </c>
      <c r="L45" t="s">
        <v>265</v>
      </c>
      <c r="R45" s="387">
        <f t="shared" si="0"/>
        <v>9.0720950068009301E-3</v>
      </c>
      <c r="S45" s="386">
        <v>4.1150330749999998E-3</v>
      </c>
    </row>
    <row r="46" spans="1:19" x14ac:dyDescent="0.25">
      <c r="A46">
        <v>2021</v>
      </c>
      <c r="C46" t="s">
        <v>6825</v>
      </c>
      <c r="D46" t="s">
        <v>6980</v>
      </c>
      <c r="E46" t="s">
        <v>1228</v>
      </c>
      <c r="F46" t="s">
        <v>1128</v>
      </c>
      <c r="G46">
        <v>80202</v>
      </c>
      <c r="H46">
        <v>39.754530000000003</v>
      </c>
      <c r="I46">
        <v>-105.00681</v>
      </c>
      <c r="K46">
        <v>110056125376</v>
      </c>
      <c r="L46" t="s">
        <v>265</v>
      </c>
      <c r="R46" s="387">
        <f t="shared" si="0"/>
        <v>2.2186347623087224E-3</v>
      </c>
      <c r="S46" s="386">
        <v>1.0063558000000001E-3</v>
      </c>
    </row>
    <row r="47" spans="1:19" x14ac:dyDescent="0.25">
      <c r="A47">
        <v>2023</v>
      </c>
      <c r="C47" t="s">
        <v>6898</v>
      </c>
      <c r="D47" t="s">
        <v>7090</v>
      </c>
      <c r="E47" t="s">
        <v>7071</v>
      </c>
      <c r="F47" t="s">
        <v>294</v>
      </c>
      <c r="G47">
        <v>23510</v>
      </c>
      <c r="H47">
        <v>36.860309999999998</v>
      </c>
      <c r="I47">
        <v>-76.286709000000002</v>
      </c>
      <c r="K47">
        <v>110071446922</v>
      </c>
      <c r="L47" t="s">
        <v>265</v>
      </c>
      <c r="R47" s="387">
        <f t="shared" si="0"/>
        <v>1.4149762924804047E-2</v>
      </c>
      <c r="S47" s="386">
        <v>6.4182244999999999E-3</v>
      </c>
    </row>
    <row r="48" spans="1:19" x14ac:dyDescent="0.25">
      <c r="A48">
        <v>2022</v>
      </c>
      <c r="C48" t="s">
        <v>6824</v>
      </c>
      <c r="D48" t="s">
        <v>6979</v>
      </c>
      <c r="E48" t="s">
        <v>1403</v>
      </c>
      <c r="F48" t="s">
        <v>294</v>
      </c>
      <c r="G48">
        <v>23451</v>
      </c>
      <c r="H48">
        <v>36.840694999999997</v>
      </c>
      <c r="I48">
        <v>-75.984082999999998</v>
      </c>
      <c r="K48">
        <v>110071076435</v>
      </c>
      <c r="L48" t="s">
        <v>265</v>
      </c>
      <c r="R48" s="387">
        <f t="shared" si="0"/>
        <v>5.145195756930391E-4</v>
      </c>
      <c r="S48" s="386">
        <v>2.3338215375E-4</v>
      </c>
    </row>
    <row r="49" spans="1:19" x14ac:dyDescent="0.25">
      <c r="A49">
        <v>2023</v>
      </c>
      <c r="C49" t="s">
        <v>108</v>
      </c>
      <c r="D49" t="s">
        <v>336</v>
      </c>
      <c r="E49" t="s">
        <v>337</v>
      </c>
      <c r="F49" t="s">
        <v>338</v>
      </c>
      <c r="G49" t="s">
        <v>339</v>
      </c>
      <c r="H49">
        <v>39.852224</v>
      </c>
      <c r="I49">
        <v>-75.234432999999996</v>
      </c>
      <c r="K49">
        <v>110000760310</v>
      </c>
      <c r="L49" t="s">
        <v>264</v>
      </c>
      <c r="R49" s="387">
        <f t="shared" si="0"/>
        <v>1.4531940870169398E-2</v>
      </c>
      <c r="S49" s="386">
        <v>6.5915775000000001E-3</v>
      </c>
    </row>
    <row r="50" spans="1:19" x14ac:dyDescent="0.25">
      <c r="A50">
        <v>2021</v>
      </c>
      <c r="C50" t="s">
        <v>984</v>
      </c>
      <c r="D50" t="s">
        <v>6995</v>
      </c>
      <c r="E50" t="s">
        <v>985</v>
      </c>
      <c r="F50" t="s">
        <v>979</v>
      </c>
      <c r="G50">
        <v>37660</v>
      </c>
      <c r="H50">
        <v>36.550454999999999</v>
      </c>
      <c r="I50">
        <v>-82.634793999999999</v>
      </c>
      <c r="K50">
        <v>110070828339</v>
      </c>
      <c r="L50" t="s">
        <v>265</v>
      </c>
      <c r="R50" s="387">
        <f t="shared" si="0"/>
        <v>0.54799202199984098</v>
      </c>
      <c r="S50" s="386">
        <v>0.24856500000000001</v>
      </c>
    </row>
    <row r="51" spans="1:19" x14ac:dyDescent="0.25">
      <c r="A51">
        <v>2023</v>
      </c>
      <c r="C51" t="s">
        <v>986</v>
      </c>
      <c r="D51" t="s">
        <v>1508</v>
      </c>
      <c r="E51" t="s">
        <v>987</v>
      </c>
      <c r="F51" t="s">
        <v>324</v>
      </c>
      <c r="G51">
        <v>402162137</v>
      </c>
      <c r="H51">
        <v>38.195278000000002</v>
      </c>
      <c r="I51">
        <v>-85.872221999999994</v>
      </c>
      <c r="J51" t="s">
        <v>701</v>
      </c>
      <c r="K51">
        <v>110000378467</v>
      </c>
      <c r="L51" t="s">
        <v>265</v>
      </c>
      <c r="R51" s="387">
        <f t="shared" si="0"/>
        <v>2.0093040806660838</v>
      </c>
      <c r="S51" s="386">
        <v>0.91140500000000002</v>
      </c>
    </row>
    <row r="52" spans="1:19" x14ac:dyDescent="0.25">
      <c r="A52">
        <v>2021</v>
      </c>
      <c r="C52" t="s">
        <v>986</v>
      </c>
      <c r="D52" t="s">
        <v>1508</v>
      </c>
      <c r="E52" t="s">
        <v>987</v>
      </c>
      <c r="F52" t="s">
        <v>324</v>
      </c>
      <c r="G52">
        <v>402162137</v>
      </c>
      <c r="H52">
        <v>38.195278000000002</v>
      </c>
      <c r="I52">
        <v>-85.872221999999994</v>
      </c>
      <c r="J52" t="s">
        <v>701</v>
      </c>
      <c r="K52">
        <v>110000378467</v>
      </c>
      <c r="L52" t="s">
        <v>265</v>
      </c>
      <c r="R52" s="387">
        <f t="shared" si="0"/>
        <v>0.54799202199984098</v>
      </c>
      <c r="S52" s="386">
        <v>0.24856500000000001</v>
      </c>
    </row>
    <row r="53" spans="1:19" x14ac:dyDescent="0.25">
      <c r="A53">
        <v>2022</v>
      </c>
      <c r="C53" t="s">
        <v>986</v>
      </c>
      <c r="D53" t="s">
        <v>1508</v>
      </c>
      <c r="E53" t="s">
        <v>987</v>
      </c>
      <c r="F53" t="s">
        <v>324</v>
      </c>
      <c r="G53">
        <v>402162137</v>
      </c>
      <c r="H53">
        <v>38.195278000000002</v>
      </c>
      <c r="I53">
        <v>-85.872221999999994</v>
      </c>
      <c r="J53" t="s">
        <v>701</v>
      </c>
      <c r="K53">
        <v>110000378467</v>
      </c>
      <c r="L53" t="s">
        <v>265</v>
      </c>
      <c r="R53" s="387">
        <f t="shared" si="0"/>
        <v>0.36532801466656062</v>
      </c>
      <c r="S53" s="386">
        <v>0.16571</v>
      </c>
    </row>
    <row r="54" spans="1:19" x14ac:dyDescent="0.25">
      <c r="A54">
        <v>2024</v>
      </c>
      <c r="C54" t="s">
        <v>986</v>
      </c>
      <c r="D54" t="s">
        <v>1508</v>
      </c>
      <c r="E54" t="s">
        <v>987</v>
      </c>
      <c r="F54" t="s">
        <v>324</v>
      </c>
      <c r="G54">
        <v>402162137</v>
      </c>
      <c r="H54">
        <v>38.195278000000002</v>
      </c>
      <c r="I54">
        <v>-85.872221999999994</v>
      </c>
      <c r="J54" t="s">
        <v>701</v>
      </c>
      <c r="K54">
        <v>110000378467</v>
      </c>
      <c r="L54" t="s">
        <v>265</v>
      </c>
      <c r="R54" s="387">
        <f t="shared" si="0"/>
        <v>0.36532801466656062</v>
      </c>
      <c r="S54" s="386">
        <v>0.16571</v>
      </c>
    </row>
    <row r="55" spans="1:19" x14ac:dyDescent="0.25">
      <c r="A55">
        <v>2023</v>
      </c>
      <c r="C55" t="s">
        <v>6824</v>
      </c>
      <c r="D55" t="s">
        <v>6979</v>
      </c>
      <c r="E55" t="s">
        <v>1403</v>
      </c>
      <c r="F55" t="s">
        <v>294</v>
      </c>
      <c r="G55">
        <v>23451</v>
      </c>
      <c r="H55">
        <v>36.840694999999997</v>
      </c>
      <c r="I55">
        <v>-75.984082999999998</v>
      </c>
      <c r="K55">
        <v>110071076435</v>
      </c>
      <c r="L55" t="s">
        <v>265</v>
      </c>
      <c r="R55" s="387">
        <f t="shared" si="0"/>
        <v>4.2331631372018005E-6</v>
      </c>
      <c r="S55" s="386">
        <v>1.9201305000000001E-6</v>
      </c>
    </row>
    <row r="56" spans="1:19" x14ac:dyDescent="0.25">
      <c r="A56">
        <v>2022</v>
      </c>
      <c r="C56" t="s">
        <v>6835</v>
      </c>
      <c r="D56" t="s">
        <v>6990</v>
      </c>
      <c r="E56" t="s">
        <v>1072</v>
      </c>
      <c r="F56" t="s">
        <v>366</v>
      </c>
      <c r="G56">
        <v>96021</v>
      </c>
      <c r="H56">
        <v>39.915689999999998</v>
      </c>
      <c r="I56">
        <v>-122.10365</v>
      </c>
      <c r="K56">
        <v>110054272210</v>
      </c>
      <c r="L56" t="s">
        <v>6751</v>
      </c>
      <c r="R56" s="387">
        <f t="shared" si="0"/>
        <v>3.8726052262886603</v>
      </c>
      <c r="S56" s="386">
        <v>1.7565841826666599</v>
      </c>
    </row>
    <row r="57" spans="1:19" x14ac:dyDescent="0.25">
      <c r="A57">
        <v>2023</v>
      </c>
      <c r="C57" t="s">
        <v>6835</v>
      </c>
      <c r="D57" t="s">
        <v>6990</v>
      </c>
      <c r="E57" t="s">
        <v>1072</v>
      </c>
      <c r="F57" t="s">
        <v>366</v>
      </c>
      <c r="G57">
        <v>96021</v>
      </c>
      <c r="H57">
        <v>39.915689999999998</v>
      </c>
      <c r="I57">
        <v>-122.10365</v>
      </c>
      <c r="K57">
        <v>110054272210</v>
      </c>
      <c r="L57" t="s">
        <v>6751</v>
      </c>
      <c r="R57" s="387">
        <f t="shared" si="0"/>
        <v>0.36949431049733045</v>
      </c>
      <c r="S57" s="386">
        <v>0.16759979999999999</v>
      </c>
    </row>
    <row r="58" spans="1:19" x14ac:dyDescent="0.25">
      <c r="A58">
        <v>2022</v>
      </c>
      <c r="C58" t="s">
        <v>6802</v>
      </c>
      <c r="D58" t="s">
        <v>6955</v>
      </c>
      <c r="E58" t="s">
        <v>6956</v>
      </c>
      <c r="F58" t="s">
        <v>541</v>
      </c>
      <c r="G58">
        <v>29702</v>
      </c>
      <c r="H58">
        <v>35.118552999999999</v>
      </c>
      <c r="I58">
        <v>-81.559533000000002</v>
      </c>
      <c r="K58">
        <v>110000915984</v>
      </c>
      <c r="L58" t="s">
        <v>265</v>
      </c>
      <c r="R58" s="387">
        <f t="shared" si="0"/>
        <v>10.795442833396867</v>
      </c>
      <c r="S58" s="386">
        <v>4.8967305000000003</v>
      </c>
    </row>
    <row r="59" spans="1:19" x14ac:dyDescent="0.25">
      <c r="A59">
        <v>2024</v>
      </c>
      <c r="C59" t="s">
        <v>6427</v>
      </c>
      <c r="D59" t="s">
        <v>7079</v>
      </c>
      <c r="E59" t="s">
        <v>7080</v>
      </c>
      <c r="F59" t="s">
        <v>338</v>
      </c>
      <c r="G59">
        <v>8865</v>
      </c>
      <c r="H59">
        <v>40.703099000000002</v>
      </c>
      <c r="I59">
        <v>-75.197676000000001</v>
      </c>
      <c r="J59" t="s">
        <v>7134</v>
      </c>
      <c r="K59">
        <v>110000322311</v>
      </c>
      <c r="L59" t="s">
        <v>265</v>
      </c>
      <c r="R59" s="387">
        <f t="shared" si="0"/>
        <v>0.39894850964975448</v>
      </c>
      <c r="S59" s="386">
        <v>0.18096000000000001</v>
      </c>
    </row>
    <row r="60" spans="1:19" x14ac:dyDescent="0.25">
      <c r="A60">
        <v>2023</v>
      </c>
      <c r="C60" t="s">
        <v>6427</v>
      </c>
      <c r="D60" t="s">
        <v>7079</v>
      </c>
      <c r="E60" t="s">
        <v>7080</v>
      </c>
      <c r="F60" t="s">
        <v>338</v>
      </c>
      <c r="G60" t="s">
        <v>7081</v>
      </c>
      <c r="H60">
        <v>40.703099000000002</v>
      </c>
      <c r="I60">
        <v>-75.197676000000001</v>
      </c>
      <c r="J60" t="s">
        <v>7134</v>
      </c>
      <c r="K60">
        <v>110000322311</v>
      </c>
      <c r="L60" t="s">
        <v>265</v>
      </c>
      <c r="R60" s="387">
        <f t="shared" si="0"/>
        <v>0.34039373281345103</v>
      </c>
      <c r="S60" s="386">
        <v>0.15440000000000001</v>
      </c>
    </row>
    <row r="61" spans="1:19" x14ac:dyDescent="0.25">
      <c r="A61">
        <v>2024</v>
      </c>
      <c r="C61" t="s">
        <v>205</v>
      </c>
      <c r="D61" t="s">
        <v>7046</v>
      </c>
      <c r="E61" t="s">
        <v>7047</v>
      </c>
      <c r="F61" t="s">
        <v>427</v>
      </c>
      <c r="G61">
        <v>48192</v>
      </c>
      <c r="H61">
        <v>42.219194999999999</v>
      </c>
      <c r="I61">
        <v>-83.146739999999994</v>
      </c>
      <c r="J61" t="s">
        <v>7131</v>
      </c>
      <c r="K61">
        <v>110000494019</v>
      </c>
      <c r="L61" t="s">
        <v>253</v>
      </c>
      <c r="R61" s="387">
        <f t="shared" si="0"/>
        <v>2.6493964173162791E-2</v>
      </c>
      <c r="S61" s="386">
        <v>1.2017460000000001E-2</v>
      </c>
    </row>
    <row r="62" spans="1:19" x14ac:dyDescent="0.25">
      <c r="A62">
        <v>2021</v>
      </c>
      <c r="C62" t="s">
        <v>991</v>
      </c>
      <c r="D62" t="s">
        <v>1517</v>
      </c>
      <c r="E62" t="s">
        <v>992</v>
      </c>
      <c r="F62" t="s">
        <v>299</v>
      </c>
      <c r="G62">
        <v>723016413</v>
      </c>
      <c r="H62">
        <v>35.136057000000001</v>
      </c>
      <c r="I62">
        <v>-90.096892999999994</v>
      </c>
      <c r="J62" t="s">
        <v>704</v>
      </c>
      <c r="K62">
        <v>110000452082</v>
      </c>
      <c r="L62" t="s">
        <v>254</v>
      </c>
      <c r="R62" s="387">
        <f t="shared" si="0"/>
        <v>0.13073738431711274</v>
      </c>
      <c r="S62" s="386">
        <v>5.9301479999999997E-2</v>
      </c>
    </row>
    <row r="63" spans="1:19" x14ac:dyDescent="0.25">
      <c r="A63">
        <v>2022</v>
      </c>
      <c r="C63" t="s">
        <v>991</v>
      </c>
      <c r="D63" t="s">
        <v>1517</v>
      </c>
      <c r="E63" t="s">
        <v>992</v>
      </c>
      <c r="F63" t="s">
        <v>299</v>
      </c>
      <c r="G63">
        <v>723016413</v>
      </c>
      <c r="H63">
        <v>35.136057000000001</v>
      </c>
      <c r="I63">
        <v>-90.096892999999994</v>
      </c>
      <c r="J63" t="s">
        <v>704</v>
      </c>
      <c r="K63">
        <v>110000452082</v>
      </c>
      <c r="L63" t="s">
        <v>254</v>
      </c>
      <c r="R63" s="387">
        <f t="shared" si="0"/>
        <v>2.6573859696978588E-2</v>
      </c>
      <c r="S63" s="386">
        <v>1.2053700000000001E-2</v>
      </c>
    </row>
    <row r="64" spans="1:19" x14ac:dyDescent="0.25">
      <c r="A64">
        <v>2023</v>
      </c>
      <c r="C64" t="s">
        <v>6827</v>
      </c>
      <c r="D64" t="s">
        <v>351</v>
      </c>
      <c r="E64" t="s">
        <v>352</v>
      </c>
      <c r="F64" t="s">
        <v>349</v>
      </c>
      <c r="G64">
        <v>641200013</v>
      </c>
      <c r="H64">
        <v>38.969749999999998</v>
      </c>
      <c r="I64">
        <v>-94.465860000000006</v>
      </c>
      <c r="J64" t="s">
        <v>353</v>
      </c>
      <c r="K64">
        <v>110000443226</v>
      </c>
      <c r="L64" t="s">
        <v>254</v>
      </c>
      <c r="R64" s="387">
        <f t="shared" si="0"/>
        <v>43.839361759987277</v>
      </c>
      <c r="S64" s="386">
        <v>19.885200000000001</v>
      </c>
    </row>
    <row r="65" spans="1:19" x14ac:dyDescent="0.25">
      <c r="A65">
        <v>2021</v>
      </c>
      <c r="C65" t="s">
        <v>6827</v>
      </c>
      <c r="D65" t="s">
        <v>351</v>
      </c>
      <c r="E65" t="s">
        <v>352</v>
      </c>
      <c r="F65" t="s">
        <v>349</v>
      </c>
      <c r="G65">
        <v>641200013</v>
      </c>
      <c r="H65">
        <v>38.969749999999998</v>
      </c>
      <c r="I65">
        <v>-94.465860000000006</v>
      </c>
      <c r="J65" t="s">
        <v>353</v>
      </c>
      <c r="K65">
        <v>110000443226</v>
      </c>
      <c r="L65" t="s">
        <v>254</v>
      </c>
      <c r="R65" s="387">
        <f t="shared" si="0"/>
        <v>21.919680879993638</v>
      </c>
      <c r="S65" s="386">
        <v>9.9426000000000005</v>
      </c>
    </row>
    <row r="66" spans="1:19" x14ac:dyDescent="0.25">
      <c r="A66">
        <v>2024</v>
      </c>
      <c r="C66" t="s">
        <v>6827</v>
      </c>
      <c r="D66" t="s">
        <v>351</v>
      </c>
      <c r="E66" t="s">
        <v>352</v>
      </c>
      <c r="F66" t="s">
        <v>349</v>
      </c>
      <c r="G66">
        <v>641200013</v>
      </c>
      <c r="H66">
        <v>38.969749999999998</v>
      </c>
      <c r="I66">
        <v>-94.465860000000006</v>
      </c>
      <c r="J66" t="s">
        <v>353</v>
      </c>
      <c r="K66">
        <v>110000443226</v>
      </c>
      <c r="L66" t="s">
        <v>254</v>
      </c>
      <c r="R66" s="387">
        <f t="shared" si="0"/>
        <v>18.266400733328034</v>
      </c>
      <c r="S66" s="386">
        <v>8.2855000000000008</v>
      </c>
    </row>
    <row r="67" spans="1:19" x14ac:dyDescent="0.25">
      <c r="A67">
        <v>2022</v>
      </c>
      <c r="C67" t="s">
        <v>6827</v>
      </c>
      <c r="D67" t="s">
        <v>351</v>
      </c>
      <c r="E67" t="s">
        <v>352</v>
      </c>
      <c r="F67" t="s">
        <v>349</v>
      </c>
      <c r="G67">
        <v>641200013</v>
      </c>
      <c r="H67">
        <v>38.969749999999998</v>
      </c>
      <c r="I67">
        <v>-94.465860000000006</v>
      </c>
      <c r="J67" t="s">
        <v>353</v>
      </c>
      <c r="K67">
        <v>110000443226</v>
      </c>
      <c r="L67" t="s">
        <v>254</v>
      </c>
      <c r="R67" s="387">
        <f t="shared" ref="R67:R130" si="1">CONVERT(S67,"g","lbm")*1000</f>
        <v>3.6532801466656064</v>
      </c>
      <c r="S67" s="386">
        <v>1.6571</v>
      </c>
    </row>
    <row r="68" spans="1:19" x14ac:dyDescent="0.25">
      <c r="A68">
        <v>2023</v>
      </c>
      <c r="C68" t="s">
        <v>6769</v>
      </c>
      <c r="D68" t="s">
        <v>614</v>
      </c>
      <c r="E68" t="s">
        <v>615</v>
      </c>
      <c r="F68" t="s">
        <v>362</v>
      </c>
      <c r="G68">
        <v>77520</v>
      </c>
      <c r="H68">
        <v>29.771018000000002</v>
      </c>
      <c r="I68">
        <v>-95.018456</v>
      </c>
      <c r="J68" t="s">
        <v>616</v>
      </c>
      <c r="K68">
        <v>110000501519</v>
      </c>
      <c r="L68" t="s">
        <v>251</v>
      </c>
      <c r="R68" s="387">
        <f t="shared" si="1"/>
        <v>8.4976181367424665E-3</v>
      </c>
      <c r="S68" s="386">
        <v>3.8544547499999998E-3</v>
      </c>
    </row>
    <row r="69" spans="1:19" x14ac:dyDescent="0.25">
      <c r="A69">
        <v>2022</v>
      </c>
      <c r="C69" t="s">
        <v>6769</v>
      </c>
      <c r="D69" t="s">
        <v>614</v>
      </c>
      <c r="E69" t="s">
        <v>615</v>
      </c>
      <c r="F69" t="s">
        <v>362</v>
      </c>
      <c r="G69">
        <v>77520</v>
      </c>
      <c r="H69">
        <v>29.771018000000002</v>
      </c>
      <c r="I69">
        <v>-95.018456</v>
      </c>
      <c r="J69" t="s">
        <v>616</v>
      </c>
      <c r="K69">
        <v>110000501519</v>
      </c>
      <c r="L69" t="s">
        <v>251</v>
      </c>
      <c r="R69" s="387">
        <f t="shared" si="1"/>
        <v>1.4375898783306252E-3</v>
      </c>
      <c r="S69" s="386">
        <v>6.5207980000000002E-4</v>
      </c>
    </row>
    <row r="70" spans="1:19" x14ac:dyDescent="0.25">
      <c r="A70">
        <v>2021</v>
      </c>
      <c r="C70" t="s">
        <v>6769</v>
      </c>
      <c r="D70" t="s">
        <v>614</v>
      </c>
      <c r="E70" t="s">
        <v>615</v>
      </c>
      <c r="F70" t="s">
        <v>362</v>
      </c>
      <c r="G70">
        <v>77520</v>
      </c>
      <c r="H70">
        <v>29.771018000000002</v>
      </c>
      <c r="I70">
        <v>-95.018456</v>
      </c>
      <c r="J70" t="s">
        <v>616</v>
      </c>
      <c r="K70">
        <v>110000501519</v>
      </c>
      <c r="L70" t="s">
        <v>251</v>
      </c>
      <c r="R70" s="387">
        <f t="shared" si="1"/>
        <v>1.8761766208721717E-4</v>
      </c>
      <c r="S70" s="386">
        <v>8.5101939999999995E-5</v>
      </c>
    </row>
    <row r="71" spans="1:19" x14ac:dyDescent="0.25">
      <c r="A71">
        <v>2023</v>
      </c>
      <c r="C71" t="s">
        <v>996</v>
      </c>
      <c r="D71" t="s">
        <v>1527</v>
      </c>
      <c r="E71" t="s">
        <v>388</v>
      </c>
      <c r="F71" t="s">
        <v>366</v>
      </c>
      <c r="G71">
        <v>92223</v>
      </c>
      <c r="H71">
        <v>33.926245999999999</v>
      </c>
      <c r="I71">
        <v>-116.992552</v>
      </c>
      <c r="K71">
        <v>110055992993</v>
      </c>
      <c r="L71" t="s">
        <v>263</v>
      </c>
      <c r="R71" s="387">
        <f t="shared" si="1"/>
        <v>2.5980173013051342</v>
      </c>
      <c r="S71" s="386">
        <v>1.178440825</v>
      </c>
    </row>
    <row r="72" spans="1:19" x14ac:dyDescent="0.25">
      <c r="A72">
        <v>2021</v>
      </c>
      <c r="C72" t="s">
        <v>996</v>
      </c>
      <c r="D72" t="s">
        <v>1527</v>
      </c>
      <c r="E72" t="s">
        <v>388</v>
      </c>
      <c r="F72" t="s">
        <v>366</v>
      </c>
      <c r="G72">
        <v>92223</v>
      </c>
      <c r="H72">
        <v>33.926245999999999</v>
      </c>
      <c r="I72">
        <v>-116.992552</v>
      </c>
      <c r="K72">
        <v>110055992993</v>
      </c>
      <c r="L72" t="s">
        <v>263</v>
      </c>
      <c r="R72" s="387">
        <f t="shared" si="1"/>
        <v>0.36568692530035285</v>
      </c>
      <c r="S72" s="386">
        <v>0.165872799125</v>
      </c>
    </row>
    <row r="73" spans="1:19" x14ac:dyDescent="0.25">
      <c r="A73">
        <v>2024</v>
      </c>
      <c r="C73" t="s">
        <v>996</v>
      </c>
      <c r="D73" t="s">
        <v>1527</v>
      </c>
      <c r="E73" t="s">
        <v>388</v>
      </c>
      <c r="F73" t="s">
        <v>366</v>
      </c>
      <c r="G73">
        <v>92223</v>
      </c>
      <c r="H73">
        <v>33.926245999999999</v>
      </c>
      <c r="I73">
        <v>-116.992552</v>
      </c>
      <c r="K73">
        <v>110055992993</v>
      </c>
      <c r="L73" t="s">
        <v>263</v>
      </c>
      <c r="R73" s="387">
        <f t="shared" si="1"/>
        <v>0.32839182347798312</v>
      </c>
      <c r="S73" s="386">
        <v>0.14895602550000001</v>
      </c>
    </row>
    <row r="74" spans="1:19" x14ac:dyDescent="0.25">
      <c r="A74">
        <v>2024</v>
      </c>
      <c r="C74" t="s">
        <v>997</v>
      </c>
      <c r="D74" t="s">
        <v>7088</v>
      </c>
      <c r="E74" t="s">
        <v>998</v>
      </c>
      <c r="F74" t="s">
        <v>999</v>
      </c>
      <c r="G74" t="s">
        <v>1531</v>
      </c>
      <c r="H74">
        <v>43.270670000000003</v>
      </c>
      <c r="I74">
        <v>-71.590410000000006</v>
      </c>
      <c r="K74">
        <v>110004087880</v>
      </c>
      <c r="L74" t="s">
        <v>265</v>
      </c>
      <c r="R74" s="387">
        <f t="shared" si="1"/>
        <v>7.5063461770752446E-2</v>
      </c>
      <c r="S74" s="386">
        <v>3.4048213525000003E-2</v>
      </c>
    </row>
    <row r="75" spans="1:19" x14ac:dyDescent="0.25">
      <c r="A75">
        <v>2023</v>
      </c>
      <c r="C75" t="s">
        <v>997</v>
      </c>
      <c r="D75" t="s">
        <v>1530</v>
      </c>
      <c r="E75" t="s">
        <v>998</v>
      </c>
      <c r="F75" t="s">
        <v>999</v>
      </c>
      <c r="G75" t="s">
        <v>1531</v>
      </c>
      <c r="H75">
        <v>43.270670000000003</v>
      </c>
      <c r="I75">
        <v>-71.590410000000006</v>
      </c>
      <c r="K75">
        <v>110004087880</v>
      </c>
      <c r="L75" t="s">
        <v>265</v>
      </c>
      <c r="R75" s="387">
        <f t="shared" si="1"/>
        <v>2.4497622986912233E-2</v>
      </c>
      <c r="S75" s="386">
        <v>1.111193487E-2</v>
      </c>
    </row>
    <row r="76" spans="1:19" x14ac:dyDescent="0.25">
      <c r="A76">
        <v>2023</v>
      </c>
      <c r="C76" t="s">
        <v>997</v>
      </c>
      <c r="D76" t="s">
        <v>7088</v>
      </c>
      <c r="E76" t="s">
        <v>998</v>
      </c>
      <c r="F76" t="s">
        <v>999</v>
      </c>
      <c r="G76" t="s">
        <v>1531</v>
      </c>
      <c r="H76">
        <v>43.270670000000003</v>
      </c>
      <c r="I76">
        <v>-71.590410000000006</v>
      </c>
      <c r="K76">
        <v>110004087880</v>
      </c>
      <c r="L76" t="s">
        <v>265</v>
      </c>
      <c r="R76" s="387">
        <f t="shared" si="1"/>
        <v>2.3962433675857465E-2</v>
      </c>
      <c r="S76" s="386">
        <v>1.0869177082E-2</v>
      </c>
    </row>
    <row r="77" spans="1:19" x14ac:dyDescent="0.25">
      <c r="A77">
        <v>2022</v>
      </c>
      <c r="C77" t="s">
        <v>997</v>
      </c>
      <c r="D77" t="s">
        <v>1530</v>
      </c>
      <c r="E77" t="s">
        <v>998</v>
      </c>
      <c r="F77" t="s">
        <v>999</v>
      </c>
      <c r="G77" t="s">
        <v>1531</v>
      </c>
      <c r="H77">
        <v>43.270670000000003</v>
      </c>
      <c r="I77">
        <v>-71.590410000000006</v>
      </c>
      <c r="K77">
        <v>110004087880</v>
      </c>
      <c r="L77" t="s">
        <v>265</v>
      </c>
      <c r="R77" s="387">
        <f t="shared" si="1"/>
        <v>1.4676884776523026E-2</v>
      </c>
      <c r="S77" s="386">
        <v>6.6573229499999999E-3</v>
      </c>
    </row>
    <row r="78" spans="1:19" x14ac:dyDescent="0.25">
      <c r="A78">
        <v>2021</v>
      </c>
      <c r="C78" t="s">
        <v>997</v>
      </c>
      <c r="D78" t="s">
        <v>1530</v>
      </c>
      <c r="E78" t="s">
        <v>998</v>
      </c>
      <c r="F78" t="s">
        <v>999</v>
      </c>
      <c r="G78" t="s">
        <v>1531</v>
      </c>
      <c r="H78">
        <v>43.270670000000003</v>
      </c>
      <c r="I78">
        <v>-71.590410000000006</v>
      </c>
      <c r="K78">
        <v>110004087880</v>
      </c>
      <c r="L78" t="s">
        <v>265</v>
      </c>
      <c r="R78" s="387">
        <f t="shared" si="1"/>
        <v>1.3675525154887415E-2</v>
      </c>
      <c r="S78" s="386">
        <v>6.2031138659999997E-3</v>
      </c>
    </row>
    <row r="79" spans="1:19" x14ac:dyDescent="0.25">
      <c r="A79">
        <v>2024</v>
      </c>
      <c r="C79" t="s">
        <v>122</v>
      </c>
      <c r="D79" t="s">
        <v>391</v>
      </c>
      <c r="E79" t="s">
        <v>392</v>
      </c>
      <c r="F79" t="s">
        <v>311</v>
      </c>
      <c r="G79">
        <v>26181</v>
      </c>
      <c r="H79">
        <v>39.271943999999998</v>
      </c>
      <c r="I79">
        <v>-81.661666999999994</v>
      </c>
      <c r="J79" t="s">
        <v>7136</v>
      </c>
      <c r="K79">
        <v>110071367964</v>
      </c>
      <c r="L79" t="s">
        <v>253</v>
      </c>
      <c r="R79" s="387">
        <f t="shared" si="1"/>
        <v>7.7319422282169335E-3</v>
      </c>
      <c r="S79" s="386">
        <v>3.5071500000000001E-3</v>
      </c>
    </row>
    <row r="80" spans="1:19" x14ac:dyDescent="0.25">
      <c r="A80">
        <v>2024</v>
      </c>
      <c r="C80" t="s">
        <v>6841</v>
      </c>
      <c r="D80" t="s">
        <v>1913</v>
      </c>
      <c r="E80" t="s">
        <v>1187</v>
      </c>
      <c r="F80" t="s">
        <v>478</v>
      </c>
      <c r="G80" t="s">
        <v>6997</v>
      </c>
      <c r="H80">
        <v>38.631867</v>
      </c>
      <c r="I80">
        <v>-75.628372999999996</v>
      </c>
      <c r="K80">
        <v>110000339027</v>
      </c>
      <c r="L80" t="s">
        <v>253</v>
      </c>
      <c r="R80" s="387">
        <f t="shared" si="1"/>
        <v>1.5513929389949835E-3</v>
      </c>
      <c r="S80" s="386">
        <v>7.0370000000000003E-4</v>
      </c>
    </row>
    <row r="81" spans="1:19" x14ac:dyDescent="0.25">
      <c r="A81">
        <v>2021</v>
      </c>
      <c r="C81" t="s">
        <v>1000</v>
      </c>
      <c r="D81" t="s">
        <v>1534</v>
      </c>
      <c r="E81" t="s">
        <v>1001</v>
      </c>
      <c r="F81" t="s">
        <v>324</v>
      </c>
      <c r="G81">
        <v>42025</v>
      </c>
      <c r="H81">
        <v>36.866140000000001</v>
      </c>
      <c r="I81">
        <v>-88.342470000000006</v>
      </c>
      <c r="K81">
        <v>110001855635</v>
      </c>
      <c r="L81" t="s">
        <v>263</v>
      </c>
      <c r="R81" s="387">
        <f t="shared" si="1"/>
        <v>8.9438192324531371</v>
      </c>
      <c r="S81" s="386">
        <v>4.0568481624999997</v>
      </c>
    </row>
    <row r="82" spans="1:19" x14ac:dyDescent="0.25">
      <c r="A82">
        <v>2022</v>
      </c>
      <c r="C82" t="s">
        <v>1000</v>
      </c>
      <c r="D82" t="s">
        <v>1534</v>
      </c>
      <c r="E82" t="s">
        <v>1001</v>
      </c>
      <c r="F82" t="s">
        <v>324</v>
      </c>
      <c r="G82">
        <v>42025</v>
      </c>
      <c r="H82">
        <v>36.866140000000001</v>
      </c>
      <c r="I82">
        <v>-88.342470000000006</v>
      </c>
      <c r="K82">
        <v>110001855635</v>
      </c>
      <c r="L82" t="s">
        <v>263</v>
      </c>
      <c r="R82" s="387">
        <f t="shared" si="1"/>
        <v>7.6371962286314465</v>
      </c>
      <c r="S82" s="386">
        <v>3.4641739375</v>
      </c>
    </row>
    <row r="83" spans="1:19" x14ac:dyDescent="0.25">
      <c r="A83">
        <v>2021</v>
      </c>
      <c r="C83" t="s">
        <v>1002</v>
      </c>
      <c r="D83" t="s">
        <v>1537</v>
      </c>
      <c r="E83" t="s">
        <v>1003</v>
      </c>
      <c r="F83" t="s">
        <v>303</v>
      </c>
      <c r="G83">
        <v>70726</v>
      </c>
      <c r="H83">
        <v>30.486767</v>
      </c>
      <c r="I83">
        <v>-90.925479999999993</v>
      </c>
      <c r="J83" t="s">
        <v>706</v>
      </c>
      <c r="K83">
        <v>110000597355</v>
      </c>
      <c r="L83" t="s">
        <v>265</v>
      </c>
      <c r="R83" s="387">
        <f t="shared" si="1"/>
        <v>3.6532801466656058E-2</v>
      </c>
      <c r="S83" s="386">
        <v>1.6570999999999999E-2</v>
      </c>
    </row>
    <row r="84" spans="1:19" x14ac:dyDescent="0.25">
      <c r="A84">
        <v>2022</v>
      </c>
      <c r="C84" t="s">
        <v>1002</v>
      </c>
      <c r="D84" t="s">
        <v>1537</v>
      </c>
      <c r="E84" t="s">
        <v>1003</v>
      </c>
      <c r="F84" t="s">
        <v>303</v>
      </c>
      <c r="G84">
        <v>70726</v>
      </c>
      <c r="H84">
        <v>30.486767</v>
      </c>
      <c r="I84">
        <v>-90.925479999999993</v>
      </c>
      <c r="J84" t="s">
        <v>706</v>
      </c>
      <c r="K84">
        <v>110000597355</v>
      </c>
      <c r="L84" t="s">
        <v>265</v>
      </c>
      <c r="R84" s="387">
        <f t="shared" si="1"/>
        <v>3.6532801466656066E-4</v>
      </c>
      <c r="S84" s="386">
        <v>1.6571000000000001E-4</v>
      </c>
    </row>
    <row r="85" spans="1:19" x14ac:dyDescent="0.25">
      <c r="A85">
        <v>2021</v>
      </c>
      <c r="C85" t="s">
        <v>1004</v>
      </c>
      <c r="D85" t="s">
        <v>1540</v>
      </c>
      <c r="E85" t="s">
        <v>608</v>
      </c>
      <c r="F85" t="s">
        <v>324</v>
      </c>
      <c r="G85">
        <v>40403</v>
      </c>
      <c r="H85">
        <v>37.608496000000002</v>
      </c>
      <c r="I85">
        <v>-84.287074000000004</v>
      </c>
      <c r="K85">
        <v>110040000398</v>
      </c>
      <c r="L85" t="s">
        <v>263</v>
      </c>
      <c r="R85" s="387">
        <f t="shared" si="1"/>
        <v>6.0747309583271862</v>
      </c>
      <c r="S85" s="386">
        <v>2.7554516124999999</v>
      </c>
    </row>
    <row r="86" spans="1:19" x14ac:dyDescent="0.25">
      <c r="A86">
        <v>2023</v>
      </c>
      <c r="C86" t="s">
        <v>111</v>
      </c>
      <c r="D86" t="s">
        <v>355</v>
      </c>
      <c r="E86" t="s">
        <v>356</v>
      </c>
      <c r="F86" t="s">
        <v>338</v>
      </c>
      <c r="G86" t="s">
        <v>1543</v>
      </c>
      <c r="H86">
        <v>40.067799999999998</v>
      </c>
      <c r="I86">
        <v>-74.923670000000001</v>
      </c>
      <c r="K86">
        <v>110029593731</v>
      </c>
      <c r="L86" t="s">
        <v>263</v>
      </c>
      <c r="R86" s="387">
        <f t="shared" si="1"/>
        <v>0.77372676043911415</v>
      </c>
      <c r="S86" s="386">
        <v>0.350956555</v>
      </c>
    </row>
    <row r="87" spans="1:19" x14ac:dyDescent="0.25">
      <c r="A87">
        <v>2022</v>
      </c>
      <c r="C87" t="s">
        <v>111</v>
      </c>
      <c r="D87" t="s">
        <v>355</v>
      </c>
      <c r="E87" t="s">
        <v>356</v>
      </c>
      <c r="F87" t="s">
        <v>338</v>
      </c>
      <c r="G87">
        <v>8010</v>
      </c>
      <c r="H87">
        <v>40.067799999999998</v>
      </c>
      <c r="I87">
        <v>-74.923670000000001</v>
      </c>
      <c r="K87">
        <v>110029593731</v>
      </c>
      <c r="L87" t="s">
        <v>263</v>
      </c>
      <c r="R87" s="387">
        <f t="shared" si="1"/>
        <v>0.68464508673283009</v>
      </c>
      <c r="S87" s="386">
        <v>0.31054978750000001</v>
      </c>
    </row>
    <row r="88" spans="1:19" x14ac:dyDescent="0.25">
      <c r="A88">
        <v>2021</v>
      </c>
      <c r="C88" t="s">
        <v>111</v>
      </c>
      <c r="D88" t="s">
        <v>355</v>
      </c>
      <c r="E88" t="s">
        <v>356</v>
      </c>
      <c r="F88" t="s">
        <v>338</v>
      </c>
      <c r="G88">
        <v>8010</v>
      </c>
      <c r="H88">
        <v>40.067799999999998</v>
      </c>
      <c r="I88">
        <v>-74.923670000000001</v>
      </c>
      <c r="K88">
        <v>110029593731</v>
      </c>
      <c r="L88" t="s">
        <v>263</v>
      </c>
      <c r="R88" s="387">
        <f t="shared" si="1"/>
        <v>0.58816601676963842</v>
      </c>
      <c r="S88" s="386">
        <v>0.26678761750000002</v>
      </c>
    </row>
    <row r="89" spans="1:19" x14ac:dyDescent="0.25">
      <c r="A89">
        <v>2024</v>
      </c>
      <c r="C89" t="s">
        <v>1005</v>
      </c>
      <c r="D89" t="s">
        <v>1545</v>
      </c>
      <c r="E89" t="s">
        <v>446</v>
      </c>
      <c r="F89" t="s">
        <v>303</v>
      </c>
      <c r="G89">
        <v>70669</v>
      </c>
      <c r="H89">
        <v>30.23771</v>
      </c>
      <c r="I89">
        <v>-93.258650000000003</v>
      </c>
      <c r="K89">
        <v>110064611969</v>
      </c>
      <c r="L89" t="s">
        <v>265</v>
      </c>
      <c r="R89" s="387">
        <f t="shared" si="1"/>
        <v>22.952608307763199</v>
      </c>
      <c r="S89" s="386">
        <v>10.411128</v>
      </c>
    </row>
    <row r="90" spans="1:19" x14ac:dyDescent="0.25">
      <c r="A90">
        <v>2023</v>
      </c>
      <c r="C90" t="s">
        <v>1005</v>
      </c>
      <c r="D90" t="s">
        <v>1545</v>
      </c>
      <c r="E90" t="s">
        <v>446</v>
      </c>
      <c r="F90" t="s">
        <v>303</v>
      </c>
      <c r="G90">
        <v>70669</v>
      </c>
      <c r="H90">
        <v>30.23771</v>
      </c>
      <c r="I90">
        <v>-93.258650000000003</v>
      </c>
      <c r="K90">
        <v>110064611969</v>
      </c>
      <c r="L90" t="s">
        <v>265</v>
      </c>
      <c r="R90" s="387">
        <f t="shared" si="1"/>
        <v>11.265070441991782</v>
      </c>
      <c r="S90" s="386">
        <v>5.10975</v>
      </c>
    </row>
    <row r="91" spans="1:19" x14ac:dyDescent="0.25">
      <c r="A91">
        <v>2021</v>
      </c>
      <c r="C91" t="s">
        <v>1005</v>
      </c>
      <c r="D91" t="s">
        <v>1545</v>
      </c>
      <c r="E91" t="s">
        <v>446</v>
      </c>
      <c r="F91" t="s">
        <v>303</v>
      </c>
      <c r="G91">
        <v>70669</v>
      </c>
      <c r="H91">
        <v>30.23771</v>
      </c>
      <c r="I91">
        <v>-93.258650000000003</v>
      </c>
      <c r="K91">
        <v>110064611969</v>
      </c>
      <c r="L91" t="s">
        <v>265</v>
      </c>
      <c r="R91" s="387">
        <f t="shared" si="1"/>
        <v>8.1801100402107725</v>
      </c>
      <c r="S91" s="386">
        <v>3.7104355</v>
      </c>
    </row>
    <row r="92" spans="1:19" x14ac:dyDescent="0.25">
      <c r="A92">
        <v>2021</v>
      </c>
      <c r="C92" t="s">
        <v>6793</v>
      </c>
      <c r="D92" t="s">
        <v>1547</v>
      </c>
      <c r="E92" t="s">
        <v>1007</v>
      </c>
      <c r="F92" t="s">
        <v>1008</v>
      </c>
      <c r="G92" t="s">
        <v>6943</v>
      </c>
      <c r="H92">
        <v>45.543847</v>
      </c>
      <c r="I92">
        <v>-122.46656299999999</v>
      </c>
      <c r="J92" t="s">
        <v>707</v>
      </c>
      <c r="K92">
        <v>110000487633</v>
      </c>
      <c r="L92" t="s">
        <v>265</v>
      </c>
      <c r="R92" s="387">
        <f t="shared" si="1"/>
        <v>6.9077411950293613E-2</v>
      </c>
      <c r="S92" s="386">
        <v>3.1332987E-2</v>
      </c>
    </row>
    <row r="93" spans="1:19" x14ac:dyDescent="0.25">
      <c r="A93">
        <v>2024</v>
      </c>
      <c r="C93" t="s">
        <v>6793</v>
      </c>
      <c r="D93" t="s">
        <v>1547</v>
      </c>
      <c r="E93" t="s">
        <v>1007</v>
      </c>
      <c r="F93" t="s">
        <v>1008</v>
      </c>
      <c r="G93" t="s">
        <v>6943</v>
      </c>
      <c r="H93">
        <v>45.543847</v>
      </c>
      <c r="I93">
        <v>-122.46656299999999</v>
      </c>
      <c r="J93" t="s">
        <v>707</v>
      </c>
      <c r="K93">
        <v>110000487633</v>
      </c>
      <c r="L93" t="s">
        <v>265</v>
      </c>
      <c r="R93" s="387">
        <f t="shared" si="1"/>
        <v>5.9209210243108809E-2</v>
      </c>
      <c r="S93" s="386">
        <v>2.6856846E-2</v>
      </c>
    </row>
    <row r="94" spans="1:19" x14ac:dyDescent="0.25">
      <c r="A94">
        <v>2022</v>
      </c>
      <c r="C94" t="s">
        <v>6793</v>
      </c>
      <c r="D94" t="s">
        <v>1547</v>
      </c>
      <c r="E94" t="s">
        <v>1007</v>
      </c>
      <c r="F94" t="s">
        <v>1008</v>
      </c>
      <c r="G94" t="s">
        <v>6943</v>
      </c>
      <c r="H94">
        <v>45.543847</v>
      </c>
      <c r="I94">
        <v>-122.46656299999999</v>
      </c>
      <c r="J94" t="s">
        <v>707</v>
      </c>
      <c r="K94">
        <v>110000487633</v>
      </c>
      <c r="L94" t="s">
        <v>265</v>
      </c>
      <c r="R94" s="387">
        <f t="shared" si="1"/>
        <v>2.7192378037575897E-2</v>
      </c>
      <c r="S94" s="386">
        <v>1.23342552E-2</v>
      </c>
    </row>
    <row r="95" spans="1:19" x14ac:dyDescent="0.25">
      <c r="A95">
        <v>2023</v>
      </c>
      <c r="C95" t="s">
        <v>6793</v>
      </c>
      <c r="D95" t="s">
        <v>1547</v>
      </c>
      <c r="E95" t="s">
        <v>1007</v>
      </c>
      <c r="F95" t="s">
        <v>1008</v>
      </c>
      <c r="G95" t="s">
        <v>6943</v>
      </c>
      <c r="H95">
        <v>45.543847</v>
      </c>
      <c r="I95">
        <v>-122.46656299999999</v>
      </c>
      <c r="J95" t="s">
        <v>707</v>
      </c>
      <c r="K95">
        <v>110000487633</v>
      </c>
      <c r="L95" t="s">
        <v>265</v>
      </c>
      <c r="R95" s="387">
        <f t="shared" si="1"/>
        <v>2.7192378037575897E-2</v>
      </c>
      <c r="S95" s="386">
        <v>1.23342552E-2</v>
      </c>
    </row>
    <row r="96" spans="1:19" x14ac:dyDescent="0.25">
      <c r="A96">
        <v>2024</v>
      </c>
      <c r="C96" t="s">
        <v>112</v>
      </c>
      <c r="D96" t="s">
        <v>357</v>
      </c>
      <c r="E96" t="s">
        <v>358</v>
      </c>
      <c r="F96" t="s">
        <v>275</v>
      </c>
      <c r="G96">
        <v>83706</v>
      </c>
      <c r="H96">
        <v>43.603453999999999</v>
      </c>
      <c r="I96">
        <v>-116.202736</v>
      </c>
      <c r="K96">
        <v>110042072351</v>
      </c>
      <c r="L96" t="s">
        <v>264</v>
      </c>
      <c r="R96" s="387">
        <f t="shared" si="1"/>
        <v>9.5880769555272717E-4</v>
      </c>
      <c r="S96" s="386">
        <v>4.34907855E-4</v>
      </c>
    </row>
    <row r="97" spans="1:19" x14ac:dyDescent="0.25">
      <c r="A97">
        <v>2024</v>
      </c>
      <c r="C97" t="s">
        <v>112</v>
      </c>
      <c r="D97" t="s">
        <v>357</v>
      </c>
      <c r="E97" t="s">
        <v>358</v>
      </c>
      <c r="F97" t="s">
        <v>275</v>
      </c>
      <c r="G97">
        <v>83706</v>
      </c>
      <c r="H97">
        <v>43.603453999999999</v>
      </c>
      <c r="I97">
        <v>-116.202736</v>
      </c>
      <c r="K97">
        <v>110042072351</v>
      </c>
      <c r="L97" t="s">
        <v>264</v>
      </c>
      <c r="R97" s="387">
        <f t="shared" si="1"/>
        <v>8.9675968755823648E-4</v>
      </c>
      <c r="S97" s="386">
        <v>4.0676335199999998E-4</v>
      </c>
    </row>
    <row r="98" spans="1:19" x14ac:dyDescent="0.25">
      <c r="A98">
        <v>2023</v>
      </c>
      <c r="C98" t="s">
        <v>6897</v>
      </c>
      <c r="D98" t="s">
        <v>7084</v>
      </c>
      <c r="E98" t="s">
        <v>1125</v>
      </c>
      <c r="F98" t="s">
        <v>294</v>
      </c>
      <c r="G98">
        <v>22046</v>
      </c>
      <c r="H98">
        <v>38.881900000000002</v>
      </c>
      <c r="I98">
        <v>-77.169899999999998</v>
      </c>
      <c r="K98">
        <v>110071253595</v>
      </c>
      <c r="L98" t="s">
        <v>265</v>
      </c>
      <c r="R98" s="387">
        <f t="shared" si="1"/>
        <v>1.5320495801108822E-3</v>
      </c>
      <c r="S98" s="386">
        <v>6.9492600000000001E-4</v>
      </c>
    </row>
    <row r="99" spans="1:19" x14ac:dyDescent="0.25">
      <c r="A99">
        <v>2024</v>
      </c>
      <c r="C99" t="s">
        <v>6897</v>
      </c>
      <c r="D99" t="s">
        <v>7084</v>
      </c>
      <c r="E99" t="s">
        <v>1125</v>
      </c>
      <c r="F99" t="s">
        <v>294</v>
      </c>
      <c r="G99">
        <v>22046</v>
      </c>
      <c r="H99">
        <v>38.881900000000002</v>
      </c>
      <c r="I99">
        <v>-77.169899999999998</v>
      </c>
      <c r="K99">
        <v>110071253595</v>
      </c>
      <c r="L99" t="s">
        <v>265</v>
      </c>
      <c r="R99" s="387">
        <f t="shared" si="1"/>
        <v>1.5103538888892685E-3</v>
      </c>
      <c r="S99" s="386">
        <v>6.8508499999999999E-4</v>
      </c>
    </row>
    <row r="100" spans="1:19" x14ac:dyDescent="0.25">
      <c r="A100">
        <v>2024</v>
      </c>
      <c r="C100" t="s">
        <v>1013</v>
      </c>
      <c r="D100" t="s">
        <v>1557</v>
      </c>
      <c r="E100" t="s">
        <v>1014</v>
      </c>
      <c r="F100" t="s">
        <v>349</v>
      </c>
      <c r="G100">
        <v>64068</v>
      </c>
      <c r="H100">
        <v>39.248446999999999</v>
      </c>
      <c r="I100">
        <v>-94.293233000000001</v>
      </c>
      <c r="K100">
        <v>110000614746</v>
      </c>
      <c r="L100" t="s">
        <v>6750</v>
      </c>
      <c r="R100" s="387">
        <f t="shared" si="1"/>
        <v>2.9596940117290773E-2</v>
      </c>
      <c r="S100" s="386">
        <v>1.342494621255E-2</v>
      </c>
    </row>
    <row r="101" spans="1:19" x14ac:dyDescent="0.25">
      <c r="A101">
        <v>2022</v>
      </c>
      <c r="C101" t="s">
        <v>1013</v>
      </c>
      <c r="D101" t="s">
        <v>1557</v>
      </c>
      <c r="E101" t="s">
        <v>1014</v>
      </c>
      <c r="F101" t="s">
        <v>349</v>
      </c>
      <c r="G101">
        <v>64068</v>
      </c>
      <c r="H101">
        <v>39.248446999999999</v>
      </c>
      <c r="I101">
        <v>-94.293233000000001</v>
      </c>
      <c r="K101">
        <v>110000614746</v>
      </c>
      <c r="L101" t="s">
        <v>6750</v>
      </c>
      <c r="R101" s="387">
        <f t="shared" si="1"/>
        <v>2.607322666715051E-2</v>
      </c>
      <c r="S101" s="386">
        <v>1.18266166775E-2</v>
      </c>
    </row>
    <row r="102" spans="1:19" x14ac:dyDescent="0.25">
      <c r="A102">
        <v>2021</v>
      </c>
      <c r="C102" t="s">
        <v>1013</v>
      </c>
      <c r="D102" t="s">
        <v>1557</v>
      </c>
      <c r="E102" t="s">
        <v>1014</v>
      </c>
      <c r="F102" t="s">
        <v>349</v>
      </c>
      <c r="G102">
        <v>64068</v>
      </c>
      <c r="H102">
        <v>39.248446999999999</v>
      </c>
      <c r="I102">
        <v>-94.293233000000001</v>
      </c>
      <c r="K102">
        <v>110000614746</v>
      </c>
      <c r="L102" t="s">
        <v>6750</v>
      </c>
      <c r="R102" s="387">
        <f t="shared" si="1"/>
        <v>2.1228242909652556E-2</v>
      </c>
      <c r="S102" s="386">
        <v>9.6289690123249998E-3</v>
      </c>
    </row>
    <row r="103" spans="1:19" x14ac:dyDescent="0.25">
      <c r="A103">
        <v>2023</v>
      </c>
      <c r="C103" t="s">
        <v>6791</v>
      </c>
      <c r="D103" t="s">
        <v>367</v>
      </c>
      <c r="E103" t="s">
        <v>368</v>
      </c>
      <c r="F103" t="s">
        <v>349</v>
      </c>
      <c r="G103">
        <v>63630</v>
      </c>
      <c r="H103">
        <v>37.984251999999998</v>
      </c>
      <c r="I103">
        <v>-90.686081000000001</v>
      </c>
      <c r="J103" t="s">
        <v>369</v>
      </c>
      <c r="K103">
        <v>110017980443</v>
      </c>
      <c r="L103" t="s">
        <v>251</v>
      </c>
      <c r="R103" s="387">
        <f t="shared" si="1"/>
        <v>3.5911026213352306</v>
      </c>
      <c r="S103" s="386">
        <v>1.62889674892466</v>
      </c>
    </row>
    <row r="104" spans="1:19" x14ac:dyDescent="0.25">
      <c r="A104">
        <v>2021</v>
      </c>
      <c r="C104" t="s">
        <v>6791</v>
      </c>
      <c r="D104" t="s">
        <v>367</v>
      </c>
      <c r="E104" t="s">
        <v>368</v>
      </c>
      <c r="F104" t="s">
        <v>349</v>
      </c>
      <c r="G104">
        <v>63630</v>
      </c>
      <c r="H104">
        <v>37.984251999999998</v>
      </c>
      <c r="I104">
        <v>-90.686081000000001</v>
      </c>
      <c r="J104" t="s">
        <v>369</v>
      </c>
      <c r="K104">
        <v>110017980443</v>
      </c>
      <c r="L104" t="s">
        <v>251</v>
      </c>
      <c r="R104" s="387">
        <f t="shared" si="1"/>
        <v>6.8350811735876413E-2</v>
      </c>
      <c r="S104" s="386">
        <v>3.10034066867E-2</v>
      </c>
    </row>
    <row r="105" spans="1:19" x14ac:dyDescent="0.25">
      <c r="A105">
        <v>2022</v>
      </c>
      <c r="C105" t="s">
        <v>6791</v>
      </c>
      <c r="D105" t="s">
        <v>367</v>
      </c>
      <c r="E105" t="s">
        <v>368</v>
      </c>
      <c r="F105" t="s">
        <v>349</v>
      </c>
      <c r="G105">
        <v>63630</v>
      </c>
      <c r="H105">
        <v>37.984251999999998</v>
      </c>
      <c r="I105">
        <v>-90.686081000000001</v>
      </c>
      <c r="J105" t="s">
        <v>369</v>
      </c>
      <c r="K105">
        <v>110017980443</v>
      </c>
      <c r="L105" t="s">
        <v>251</v>
      </c>
      <c r="R105" s="387">
        <f t="shared" si="1"/>
        <v>3.6500477271476151E-2</v>
      </c>
      <c r="S105" s="386">
        <v>1.6556337991700001E-2</v>
      </c>
    </row>
    <row r="106" spans="1:19" x14ac:dyDescent="0.25">
      <c r="A106">
        <v>2021</v>
      </c>
      <c r="C106" t="s">
        <v>6791</v>
      </c>
      <c r="D106" t="s">
        <v>367</v>
      </c>
      <c r="E106" t="s">
        <v>368</v>
      </c>
      <c r="F106" t="s">
        <v>349</v>
      </c>
      <c r="G106">
        <v>63630</v>
      </c>
      <c r="H106">
        <v>37.984251999999998</v>
      </c>
      <c r="I106">
        <v>-90.686081000000001</v>
      </c>
      <c r="J106" t="s">
        <v>369</v>
      </c>
      <c r="K106">
        <v>110017980443</v>
      </c>
      <c r="L106" t="s">
        <v>251</v>
      </c>
      <c r="R106" s="387">
        <f t="shared" si="1"/>
        <v>2.3955733754350853E-2</v>
      </c>
      <c r="S106" s="386">
        <v>1.0866138048725001E-2</v>
      </c>
    </row>
    <row r="107" spans="1:19" x14ac:dyDescent="0.25">
      <c r="A107">
        <v>2024</v>
      </c>
      <c r="C107" t="s">
        <v>6791</v>
      </c>
      <c r="D107" t="s">
        <v>367</v>
      </c>
      <c r="E107" t="s">
        <v>368</v>
      </c>
      <c r="F107" t="s">
        <v>349</v>
      </c>
      <c r="G107">
        <v>63630</v>
      </c>
      <c r="H107">
        <v>37.984251999999998</v>
      </c>
      <c r="I107">
        <v>-90.686081000000001</v>
      </c>
      <c r="J107" t="s">
        <v>369</v>
      </c>
      <c r="K107">
        <v>110017980443</v>
      </c>
      <c r="L107" t="s">
        <v>251</v>
      </c>
      <c r="R107" s="387">
        <f t="shared" si="1"/>
        <v>1.9871584259673506E-2</v>
      </c>
      <c r="S107" s="386">
        <v>9.0135990000000006E-3</v>
      </c>
    </row>
    <row r="108" spans="1:19" x14ac:dyDescent="0.25">
      <c r="A108">
        <v>2022</v>
      </c>
      <c r="C108" t="s">
        <v>6791</v>
      </c>
      <c r="D108" t="s">
        <v>367</v>
      </c>
      <c r="E108" t="s">
        <v>368</v>
      </c>
      <c r="F108" t="s">
        <v>349</v>
      </c>
      <c r="G108">
        <v>63630</v>
      </c>
      <c r="H108">
        <v>37.984251999999998</v>
      </c>
      <c r="I108">
        <v>-90.686081000000001</v>
      </c>
      <c r="J108" t="s">
        <v>369</v>
      </c>
      <c r="K108">
        <v>110017980443</v>
      </c>
      <c r="L108" t="s">
        <v>251</v>
      </c>
      <c r="R108" s="387">
        <f t="shared" si="1"/>
        <v>3.8038611491635096E-3</v>
      </c>
      <c r="S108" s="386">
        <v>1.7254023938E-3</v>
      </c>
    </row>
    <row r="109" spans="1:19" x14ac:dyDescent="0.25">
      <c r="A109">
        <v>2021</v>
      </c>
      <c r="C109" t="s">
        <v>1017</v>
      </c>
      <c r="D109" t="s">
        <v>1566</v>
      </c>
      <c r="E109" t="s">
        <v>1018</v>
      </c>
      <c r="F109" t="s">
        <v>308</v>
      </c>
      <c r="G109">
        <v>2135</v>
      </c>
      <c r="H109">
        <v>42.356434999999998</v>
      </c>
      <c r="I109">
        <v>-71.145904000000002</v>
      </c>
      <c r="K109">
        <v>110002014677</v>
      </c>
      <c r="L109" t="s">
        <v>265</v>
      </c>
      <c r="R109" s="387">
        <f t="shared" si="1"/>
        <v>1.8113557366496263E-2</v>
      </c>
      <c r="S109" s="386">
        <v>8.2161714149999992E-3</v>
      </c>
    </row>
    <row r="110" spans="1:19" x14ac:dyDescent="0.25">
      <c r="A110">
        <v>2022</v>
      </c>
      <c r="C110" t="s">
        <v>1017</v>
      </c>
      <c r="D110" t="s">
        <v>1566</v>
      </c>
      <c r="E110" t="s">
        <v>1018</v>
      </c>
      <c r="F110" t="s">
        <v>308</v>
      </c>
      <c r="G110">
        <v>2135</v>
      </c>
      <c r="H110">
        <v>42.356434999999998</v>
      </c>
      <c r="I110">
        <v>-71.145904000000002</v>
      </c>
      <c r="K110">
        <v>110002014677</v>
      </c>
      <c r="L110" t="s">
        <v>265</v>
      </c>
      <c r="R110" s="387">
        <f t="shared" si="1"/>
        <v>1.5481010538162272E-2</v>
      </c>
      <c r="S110" s="386">
        <v>7.0220682600000001E-3</v>
      </c>
    </row>
    <row r="111" spans="1:19" x14ac:dyDescent="0.25">
      <c r="A111">
        <v>2024</v>
      </c>
      <c r="C111" t="s">
        <v>6820</v>
      </c>
      <c r="D111" t="s">
        <v>2070</v>
      </c>
      <c r="E111" t="s">
        <v>1267</v>
      </c>
      <c r="F111" t="s">
        <v>491</v>
      </c>
      <c r="G111" t="s">
        <v>6976</v>
      </c>
      <c r="H111">
        <v>40.655278000000003</v>
      </c>
      <c r="I111">
        <v>-80.356388999999993</v>
      </c>
      <c r="J111" t="s">
        <v>728</v>
      </c>
      <c r="K111">
        <v>110059344473</v>
      </c>
      <c r="L111" t="s">
        <v>265</v>
      </c>
      <c r="R111" s="387">
        <f t="shared" si="1"/>
        <v>1.4613120586662425</v>
      </c>
      <c r="S111" s="386">
        <v>0.66283999999999998</v>
      </c>
    </row>
    <row r="112" spans="1:19" x14ac:dyDescent="0.25">
      <c r="A112">
        <v>2022</v>
      </c>
      <c r="C112" t="s">
        <v>6820</v>
      </c>
      <c r="D112" t="s">
        <v>2070</v>
      </c>
      <c r="E112" t="s">
        <v>1267</v>
      </c>
      <c r="F112" t="s">
        <v>491</v>
      </c>
      <c r="G112" t="s">
        <v>6976</v>
      </c>
      <c r="H112">
        <v>40.655278000000003</v>
      </c>
      <c r="I112">
        <v>-80.356388999999993</v>
      </c>
      <c r="J112" t="s">
        <v>728</v>
      </c>
      <c r="K112">
        <v>110059344473</v>
      </c>
      <c r="L112" t="s">
        <v>265</v>
      </c>
      <c r="R112" s="387">
        <f t="shared" si="1"/>
        <v>1.2786480513329621</v>
      </c>
      <c r="S112" s="386">
        <v>0.57998499999999997</v>
      </c>
    </row>
    <row r="113" spans="1:19" x14ac:dyDescent="0.25">
      <c r="A113">
        <v>2021</v>
      </c>
      <c r="C113" t="s">
        <v>6820</v>
      </c>
      <c r="D113" t="s">
        <v>2070</v>
      </c>
      <c r="E113" t="s">
        <v>1267</v>
      </c>
      <c r="F113" t="s">
        <v>491</v>
      </c>
      <c r="G113" t="s">
        <v>6976</v>
      </c>
      <c r="H113">
        <v>40.655278000000003</v>
      </c>
      <c r="I113">
        <v>-80.356388999999993</v>
      </c>
      <c r="J113" t="s">
        <v>728</v>
      </c>
      <c r="K113">
        <v>110059344473</v>
      </c>
      <c r="L113" t="s">
        <v>265</v>
      </c>
      <c r="R113" s="387">
        <f t="shared" si="1"/>
        <v>1.095984043999682</v>
      </c>
      <c r="S113" s="386">
        <v>0.49713000000000002</v>
      </c>
    </row>
    <row r="114" spans="1:19" x14ac:dyDescent="0.25">
      <c r="A114">
        <v>2023</v>
      </c>
      <c r="C114" t="s">
        <v>6820</v>
      </c>
      <c r="D114" t="s">
        <v>2070</v>
      </c>
      <c r="E114" t="s">
        <v>1267</v>
      </c>
      <c r="F114" t="s">
        <v>491</v>
      </c>
      <c r="G114" t="s">
        <v>6976</v>
      </c>
      <c r="H114">
        <v>40.655278000000003</v>
      </c>
      <c r="I114">
        <v>-80.356388999999993</v>
      </c>
      <c r="J114" t="s">
        <v>728</v>
      </c>
      <c r="K114">
        <v>110059344473</v>
      </c>
      <c r="L114" t="s">
        <v>265</v>
      </c>
      <c r="R114" s="387">
        <f t="shared" si="1"/>
        <v>1.095984043999682</v>
      </c>
      <c r="S114" s="386">
        <v>0.49713000000000002</v>
      </c>
    </row>
    <row r="115" spans="1:19" x14ac:dyDescent="0.25">
      <c r="A115">
        <v>2021</v>
      </c>
      <c r="C115" t="s">
        <v>6841</v>
      </c>
      <c r="D115" t="s">
        <v>1913</v>
      </c>
      <c r="E115" t="s">
        <v>1187</v>
      </c>
      <c r="F115" t="s">
        <v>478</v>
      </c>
      <c r="G115" t="s">
        <v>6997</v>
      </c>
      <c r="H115">
        <v>38.631867</v>
      </c>
      <c r="I115">
        <v>-75.628372999999996</v>
      </c>
      <c r="K115">
        <v>110000339027</v>
      </c>
      <c r="L115" t="s">
        <v>253</v>
      </c>
      <c r="R115" s="387">
        <f t="shared" si="1"/>
        <v>7.7569646949749175E-4</v>
      </c>
      <c r="S115" s="386">
        <v>3.5185000000000001E-4</v>
      </c>
    </row>
    <row r="116" spans="1:19" x14ac:dyDescent="0.25">
      <c r="A116">
        <v>2022</v>
      </c>
      <c r="C116" t="s">
        <v>1021</v>
      </c>
      <c r="D116" t="s">
        <v>1571</v>
      </c>
      <c r="E116" t="s">
        <v>657</v>
      </c>
      <c r="F116" t="s">
        <v>418</v>
      </c>
      <c r="G116">
        <v>89109</v>
      </c>
      <c r="H116">
        <v>36.119087999999998</v>
      </c>
      <c r="I116">
        <v>-115.179282</v>
      </c>
      <c r="K116">
        <v>110015972562</v>
      </c>
      <c r="L116" t="s">
        <v>264</v>
      </c>
      <c r="R116" s="387">
        <f t="shared" si="1"/>
        <v>0.49422473770337011</v>
      </c>
      <c r="S116" s="386">
        <v>0.2241765700875</v>
      </c>
    </row>
    <row r="117" spans="1:19" x14ac:dyDescent="0.25">
      <c r="A117">
        <v>2021</v>
      </c>
      <c r="C117" t="s">
        <v>1021</v>
      </c>
      <c r="D117" t="s">
        <v>1571</v>
      </c>
      <c r="E117" t="s">
        <v>657</v>
      </c>
      <c r="F117" t="s">
        <v>418</v>
      </c>
      <c r="G117">
        <v>89109</v>
      </c>
      <c r="H117">
        <v>36.119087999999998</v>
      </c>
      <c r="I117">
        <v>-115.179282</v>
      </c>
      <c r="K117">
        <v>110015972562</v>
      </c>
      <c r="L117" t="s">
        <v>264</v>
      </c>
      <c r="R117" s="387">
        <f t="shared" si="1"/>
        <v>0.35378871617703794</v>
      </c>
      <c r="S117" s="386">
        <v>0.16047586224999999</v>
      </c>
    </row>
    <row r="118" spans="1:19" x14ac:dyDescent="0.25">
      <c r="A118">
        <v>2023</v>
      </c>
      <c r="C118" t="s">
        <v>1021</v>
      </c>
      <c r="D118" t="s">
        <v>1571</v>
      </c>
      <c r="E118" t="s">
        <v>657</v>
      </c>
      <c r="F118" t="s">
        <v>418</v>
      </c>
      <c r="G118">
        <v>89109</v>
      </c>
      <c r="H118">
        <v>36.119087999999998</v>
      </c>
      <c r="I118">
        <v>-115.179282</v>
      </c>
      <c r="K118">
        <v>110015972562</v>
      </c>
      <c r="L118" t="s">
        <v>264</v>
      </c>
      <c r="R118" s="387">
        <f t="shared" si="1"/>
        <v>0.24671069607608259</v>
      </c>
      <c r="S118" s="386">
        <v>0.1119060893375</v>
      </c>
    </row>
    <row r="119" spans="1:19" x14ac:dyDescent="0.25">
      <c r="A119">
        <v>2023</v>
      </c>
      <c r="C119" t="s">
        <v>1021</v>
      </c>
      <c r="D119" t="s">
        <v>1571</v>
      </c>
      <c r="E119" t="s">
        <v>657</v>
      </c>
      <c r="F119" t="s">
        <v>418</v>
      </c>
      <c r="G119">
        <v>89109</v>
      </c>
      <c r="H119">
        <v>36.119087999999998</v>
      </c>
      <c r="I119">
        <v>-115.179282</v>
      </c>
      <c r="K119">
        <v>110015972562</v>
      </c>
      <c r="L119" t="s">
        <v>264</v>
      </c>
      <c r="R119" s="387">
        <f t="shared" si="1"/>
        <v>0.11768185176924383</v>
      </c>
      <c r="S119" s="386">
        <v>5.3379590050000002E-2</v>
      </c>
    </row>
    <row r="120" spans="1:19" x14ac:dyDescent="0.25">
      <c r="A120">
        <v>2024</v>
      </c>
      <c r="C120" t="s">
        <v>1021</v>
      </c>
      <c r="D120" t="s">
        <v>1571</v>
      </c>
      <c r="E120" t="s">
        <v>657</v>
      </c>
      <c r="F120" t="s">
        <v>418</v>
      </c>
      <c r="G120">
        <v>89109</v>
      </c>
      <c r="H120">
        <v>36.119087999999998</v>
      </c>
      <c r="I120">
        <v>-115.179282</v>
      </c>
      <c r="K120">
        <v>110015972562</v>
      </c>
      <c r="L120" t="s">
        <v>264</v>
      </c>
      <c r="R120" s="387">
        <f t="shared" si="1"/>
        <v>9.4470758238283423E-2</v>
      </c>
      <c r="S120" s="386">
        <v>4.2851215125000001E-2</v>
      </c>
    </row>
    <row r="121" spans="1:19" x14ac:dyDescent="0.25">
      <c r="A121">
        <v>2021</v>
      </c>
      <c r="C121" t="s">
        <v>1021</v>
      </c>
      <c r="D121" t="s">
        <v>1571</v>
      </c>
      <c r="E121" t="s">
        <v>657</v>
      </c>
      <c r="F121" t="s">
        <v>418</v>
      </c>
      <c r="G121">
        <v>89109</v>
      </c>
      <c r="H121">
        <v>36.119087999999998</v>
      </c>
      <c r="I121">
        <v>-115.179282</v>
      </c>
      <c r="K121">
        <v>110015972562</v>
      </c>
      <c r="L121" t="s">
        <v>264</v>
      </c>
      <c r="R121" s="387">
        <f t="shared" si="1"/>
        <v>8.9834597636640132E-2</v>
      </c>
      <c r="S121" s="386">
        <v>4.0748288049999998E-2</v>
      </c>
    </row>
    <row r="122" spans="1:19" x14ac:dyDescent="0.25">
      <c r="A122">
        <v>2022</v>
      </c>
      <c r="C122" t="s">
        <v>1021</v>
      </c>
      <c r="D122" t="s">
        <v>1571</v>
      </c>
      <c r="E122" t="s">
        <v>657</v>
      </c>
      <c r="F122" t="s">
        <v>418</v>
      </c>
      <c r="G122">
        <v>89109</v>
      </c>
      <c r="H122">
        <v>36.119087999999998</v>
      </c>
      <c r="I122">
        <v>-115.179282</v>
      </c>
      <c r="K122">
        <v>110015972562</v>
      </c>
      <c r="L122" t="s">
        <v>264</v>
      </c>
      <c r="R122" s="387">
        <f t="shared" si="1"/>
        <v>8.8650701316911468E-2</v>
      </c>
      <c r="S122" s="386">
        <v>4.0211281712499998E-2</v>
      </c>
    </row>
    <row r="123" spans="1:19" x14ac:dyDescent="0.25">
      <c r="A123">
        <v>2024</v>
      </c>
      <c r="C123" t="s">
        <v>1021</v>
      </c>
      <c r="D123" t="s">
        <v>1571</v>
      </c>
      <c r="E123" t="s">
        <v>657</v>
      </c>
      <c r="F123" t="s">
        <v>418</v>
      </c>
      <c r="G123">
        <v>89109</v>
      </c>
      <c r="H123">
        <v>36.119087999999998</v>
      </c>
      <c r="I123">
        <v>-115.179282</v>
      </c>
      <c r="K123">
        <v>110015972562</v>
      </c>
      <c r="L123" t="s">
        <v>264</v>
      </c>
      <c r="R123" s="387">
        <f t="shared" si="1"/>
        <v>3.2989758789372936E-2</v>
      </c>
      <c r="S123" s="386">
        <v>1.4963902875000001E-2</v>
      </c>
    </row>
    <row r="124" spans="1:19" x14ac:dyDescent="0.25">
      <c r="A124">
        <v>2024</v>
      </c>
      <c r="C124" t="s">
        <v>1022</v>
      </c>
      <c r="D124" t="s">
        <v>1574</v>
      </c>
      <c r="E124" t="s">
        <v>1023</v>
      </c>
      <c r="F124" t="s">
        <v>366</v>
      </c>
      <c r="G124">
        <v>92231</v>
      </c>
      <c r="H124">
        <v>32.664450000000002</v>
      </c>
      <c r="I124">
        <v>-115.55970499999999</v>
      </c>
      <c r="K124">
        <v>110000730825</v>
      </c>
      <c r="L124" t="s">
        <v>263</v>
      </c>
      <c r="R124" s="387">
        <f t="shared" si="1"/>
        <v>0.38243850227242576</v>
      </c>
      <c r="S124" s="386">
        <v>0.173471186625</v>
      </c>
    </row>
    <row r="125" spans="1:19" x14ac:dyDescent="0.25">
      <c r="A125">
        <v>2023</v>
      </c>
      <c r="C125" t="s">
        <v>1022</v>
      </c>
      <c r="D125" t="s">
        <v>1574</v>
      </c>
      <c r="E125" t="s">
        <v>1023</v>
      </c>
      <c r="F125" t="s">
        <v>366</v>
      </c>
      <c r="G125">
        <v>92231</v>
      </c>
      <c r="H125">
        <v>32.664450000000002</v>
      </c>
      <c r="I125">
        <v>-115.55970499999999</v>
      </c>
      <c r="K125">
        <v>110000730825</v>
      </c>
      <c r="L125" t="s">
        <v>263</v>
      </c>
      <c r="R125" s="387">
        <f t="shared" si="1"/>
        <v>0.37356016647722712</v>
      </c>
      <c r="S125" s="386">
        <v>0.16944404125000001</v>
      </c>
    </row>
    <row r="126" spans="1:19" x14ac:dyDescent="0.25">
      <c r="A126">
        <v>2021</v>
      </c>
      <c r="C126" t="s">
        <v>1022</v>
      </c>
      <c r="D126" t="s">
        <v>1574</v>
      </c>
      <c r="E126" t="s">
        <v>1023</v>
      </c>
      <c r="F126" t="s">
        <v>366</v>
      </c>
      <c r="G126">
        <v>92231</v>
      </c>
      <c r="H126">
        <v>32.664450000000002</v>
      </c>
      <c r="I126">
        <v>-115.55970499999999</v>
      </c>
      <c r="K126">
        <v>110000730825</v>
      </c>
      <c r="L126" t="s">
        <v>263</v>
      </c>
      <c r="R126" s="387">
        <f t="shared" si="1"/>
        <v>0.31482304613060397</v>
      </c>
      <c r="S126" s="386">
        <v>0.142801331625</v>
      </c>
    </row>
    <row r="127" spans="1:19" x14ac:dyDescent="0.25">
      <c r="A127">
        <v>2022</v>
      </c>
      <c r="C127" t="s">
        <v>1022</v>
      </c>
      <c r="D127" t="s">
        <v>1574</v>
      </c>
      <c r="E127" t="s">
        <v>1023</v>
      </c>
      <c r="F127" t="s">
        <v>366</v>
      </c>
      <c r="G127">
        <v>92231</v>
      </c>
      <c r="H127">
        <v>32.664450000000002</v>
      </c>
      <c r="I127">
        <v>-115.55970499999999</v>
      </c>
      <c r="K127">
        <v>110000730825</v>
      </c>
      <c r="L127" t="s">
        <v>263</v>
      </c>
      <c r="R127" s="387">
        <f t="shared" si="1"/>
        <v>0.30289896906775571</v>
      </c>
      <c r="S127" s="386">
        <v>0.13739266124999999</v>
      </c>
    </row>
    <row r="128" spans="1:19" x14ac:dyDescent="0.25">
      <c r="A128">
        <v>2021</v>
      </c>
      <c r="C128" t="s">
        <v>1024</v>
      </c>
      <c r="D128" t="s">
        <v>1576</v>
      </c>
      <c r="E128" t="s">
        <v>1025</v>
      </c>
      <c r="F128" t="s">
        <v>366</v>
      </c>
      <c r="G128">
        <v>92233</v>
      </c>
      <c r="H128">
        <v>33.147531999999998</v>
      </c>
      <c r="I128">
        <v>-115.54533000000001</v>
      </c>
      <c r="K128">
        <v>110002043217</v>
      </c>
      <c r="L128" t="s">
        <v>263</v>
      </c>
      <c r="R128" s="387">
        <f t="shared" si="1"/>
        <v>8.588990374771956E-3</v>
      </c>
      <c r="S128" s="386">
        <v>3.8959005000000001E-3</v>
      </c>
    </row>
    <row r="129" spans="1:19" x14ac:dyDescent="0.25">
      <c r="A129">
        <v>2023</v>
      </c>
      <c r="C129" t="s">
        <v>1024</v>
      </c>
      <c r="D129" t="s">
        <v>1576</v>
      </c>
      <c r="E129" t="s">
        <v>1025</v>
      </c>
      <c r="F129" t="s">
        <v>366</v>
      </c>
      <c r="G129">
        <v>92233</v>
      </c>
      <c r="H129">
        <v>33.147531999999998</v>
      </c>
      <c r="I129">
        <v>-115.54533000000001</v>
      </c>
      <c r="K129">
        <v>110002043217</v>
      </c>
      <c r="L129" t="s">
        <v>263</v>
      </c>
      <c r="R129" s="387">
        <f t="shared" si="1"/>
        <v>8.4062458987129787E-3</v>
      </c>
      <c r="S129" s="386">
        <v>3.813009E-3</v>
      </c>
    </row>
    <row r="130" spans="1:19" x14ac:dyDescent="0.25">
      <c r="A130">
        <v>2022</v>
      </c>
      <c r="C130" t="s">
        <v>1024</v>
      </c>
      <c r="D130" t="s">
        <v>1576</v>
      </c>
      <c r="E130" t="s">
        <v>1025</v>
      </c>
      <c r="F130" t="s">
        <v>366</v>
      </c>
      <c r="G130">
        <v>92233</v>
      </c>
      <c r="H130">
        <v>33.147531999999998</v>
      </c>
      <c r="I130">
        <v>-115.54533000000001</v>
      </c>
      <c r="K130">
        <v>110002043217</v>
      </c>
      <c r="L130" t="s">
        <v>263</v>
      </c>
      <c r="R130" s="387">
        <f t="shared" si="1"/>
        <v>8.2844162480069927E-3</v>
      </c>
      <c r="S130" s="386">
        <v>3.757748E-3</v>
      </c>
    </row>
    <row r="131" spans="1:19" x14ac:dyDescent="0.25">
      <c r="A131">
        <v>2024</v>
      </c>
      <c r="C131" t="s">
        <v>1024</v>
      </c>
      <c r="D131" t="s">
        <v>1576</v>
      </c>
      <c r="E131" t="s">
        <v>1025</v>
      </c>
      <c r="F131" t="s">
        <v>366</v>
      </c>
      <c r="G131">
        <v>92233</v>
      </c>
      <c r="H131">
        <v>33.147531999999998</v>
      </c>
      <c r="I131">
        <v>-115.54533000000001</v>
      </c>
      <c r="K131">
        <v>110002043217</v>
      </c>
      <c r="L131" t="s">
        <v>263</v>
      </c>
      <c r="R131" s="387">
        <f t="shared" ref="R131:R194" si="2">CONVERT(S131,"g","lbm")*1000</f>
        <v>7.9341560022272856E-3</v>
      </c>
      <c r="S131" s="386">
        <v>3.598872625E-3</v>
      </c>
    </row>
    <row r="132" spans="1:19" x14ac:dyDescent="0.25">
      <c r="A132">
        <v>2024</v>
      </c>
      <c r="C132" t="s">
        <v>1026</v>
      </c>
      <c r="D132" t="s">
        <v>1579</v>
      </c>
      <c r="E132" t="s">
        <v>1027</v>
      </c>
      <c r="F132" t="s">
        <v>349</v>
      </c>
      <c r="G132">
        <v>63353</v>
      </c>
      <c r="H132">
        <v>39.423425000000002</v>
      </c>
      <c r="I132">
        <v>-91.025666000000001</v>
      </c>
      <c r="K132">
        <v>110054612558</v>
      </c>
      <c r="L132" t="s">
        <v>265</v>
      </c>
      <c r="R132" s="387">
        <f t="shared" si="2"/>
        <v>0.11689495570659621</v>
      </c>
      <c r="S132" s="386">
        <v>5.3022659999999999E-2</v>
      </c>
    </row>
    <row r="133" spans="1:19" x14ac:dyDescent="0.25">
      <c r="A133">
        <v>2023</v>
      </c>
      <c r="C133" t="s">
        <v>1026</v>
      </c>
      <c r="D133" t="s">
        <v>1579</v>
      </c>
      <c r="E133" t="s">
        <v>1027</v>
      </c>
      <c r="F133" t="s">
        <v>349</v>
      </c>
      <c r="G133">
        <v>63353</v>
      </c>
      <c r="H133">
        <v>39.423425000000002</v>
      </c>
      <c r="I133">
        <v>-91.025666000000001</v>
      </c>
      <c r="K133">
        <v>110054612558</v>
      </c>
      <c r="L133" t="s">
        <v>265</v>
      </c>
      <c r="R133" s="387">
        <f t="shared" si="2"/>
        <v>0.10489418064946728</v>
      </c>
      <c r="S133" s="386">
        <v>4.7579200000000002E-2</v>
      </c>
    </row>
    <row r="134" spans="1:19" x14ac:dyDescent="0.25">
      <c r="A134">
        <v>2022</v>
      </c>
      <c r="C134" t="s">
        <v>1026</v>
      </c>
      <c r="D134" t="s">
        <v>1579</v>
      </c>
      <c r="E134" t="s">
        <v>1027</v>
      </c>
      <c r="F134" t="s">
        <v>349</v>
      </c>
      <c r="G134">
        <v>63353</v>
      </c>
      <c r="H134">
        <v>39.423425000000002</v>
      </c>
      <c r="I134">
        <v>-91.025666000000001</v>
      </c>
      <c r="K134">
        <v>110054612558</v>
      </c>
      <c r="L134" t="s">
        <v>265</v>
      </c>
      <c r="R134" s="387">
        <f t="shared" si="2"/>
        <v>6.1099859329644367E-2</v>
      </c>
      <c r="S134" s="386">
        <v>2.7714430000000002E-2</v>
      </c>
    </row>
    <row r="135" spans="1:19" x14ac:dyDescent="0.25">
      <c r="A135">
        <v>2021</v>
      </c>
      <c r="C135" t="s">
        <v>1026</v>
      </c>
      <c r="D135" t="s">
        <v>1579</v>
      </c>
      <c r="E135" t="s">
        <v>1027</v>
      </c>
      <c r="F135" t="s">
        <v>349</v>
      </c>
      <c r="G135">
        <v>63353</v>
      </c>
      <c r="H135">
        <v>39.423425000000002</v>
      </c>
      <c r="I135">
        <v>-91.025666000000001</v>
      </c>
      <c r="K135">
        <v>110054612558</v>
      </c>
      <c r="L135" t="s">
        <v>265</v>
      </c>
      <c r="R135" s="387">
        <f t="shared" si="2"/>
        <v>5.2417063364624053E-2</v>
      </c>
      <c r="S135" s="386">
        <v>2.3775979999999999E-2</v>
      </c>
    </row>
    <row r="136" spans="1:19" x14ac:dyDescent="0.25">
      <c r="A136">
        <v>2021</v>
      </c>
      <c r="C136" t="s">
        <v>117</v>
      </c>
      <c r="D136" t="s">
        <v>375</v>
      </c>
      <c r="E136" t="s">
        <v>376</v>
      </c>
      <c r="F136" t="s">
        <v>338</v>
      </c>
      <c r="G136">
        <v>7305</v>
      </c>
      <c r="H136">
        <v>40.724868000000001</v>
      </c>
      <c r="I136">
        <v>-74.045564999999996</v>
      </c>
      <c r="K136">
        <v>110001545070</v>
      </c>
      <c r="L136" t="s">
        <v>259</v>
      </c>
      <c r="R136" s="387">
        <f t="shared" si="2"/>
        <v>4.6993426267289277E-5</v>
      </c>
      <c r="S136" s="386">
        <v>2.1315859595E-5</v>
      </c>
    </row>
    <row r="137" spans="1:19" x14ac:dyDescent="0.25">
      <c r="A137">
        <v>2024</v>
      </c>
      <c r="C137" t="s">
        <v>1032</v>
      </c>
      <c r="D137" t="s">
        <v>1590</v>
      </c>
      <c r="E137" t="s">
        <v>1033</v>
      </c>
      <c r="F137" t="s">
        <v>324</v>
      </c>
      <c r="G137">
        <v>41008</v>
      </c>
      <c r="H137">
        <v>38.627777999999999</v>
      </c>
      <c r="I137">
        <v>-85.115832999999995</v>
      </c>
      <c r="K137">
        <v>110015632216</v>
      </c>
      <c r="L137" t="s">
        <v>263</v>
      </c>
      <c r="R137" s="387">
        <f t="shared" si="2"/>
        <v>11.726103880451074</v>
      </c>
      <c r="S137" s="386">
        <v>5.3188712499999999</v>
      </c>
    </row>
    <row r="138" spans="1:19" x14ac:dyDescent="0.25">
      <c r="A138">
        <v>2023</v>
      </c>
      <c r="C138" t="s">
        <v>1032</v>
      </c>
      <c r="D138" t="s">
        <v>1590</v>
      </c>
      <c r="E138" t="s">
        <v>1033</v>
      </c>
      <c r="F138" t="s">
        <v>324</v>
      </c>
      <c r="G138">
        <v>41008</v>
      </c>
      <c r="H138">
        <v>38.627777999999999</v>
      </c>
      <c r="I138">
        <v>-85.115832999999995</v>
      </c>
      <c r="K138">
        <v>110015632216</v>
      </c>
      <c r="L138" t="s">
        <v>263</v>
      </c>
      <c r="R138" s="387">
        <f t="shared" si="2"/>
        <v>5.9620385314241506</v>
      </c>
      <c r="S138" s="386">
        <v>2.7043351874999999</v>
      </c>
    </row>
    <row r="139" spans="1:19" x14ac:dyDescent="0.25">
      <c r="A139">
        <v>2024</v>
      </c>
      <c r="C139" t="s">
        <v>6884</v>
      </c>
      <c r="D139" t="s">
        <v>7058</v>
      </c>
      <c r="E139" t="s">
        <v>7059</v>
      </c>
      <c r="F139" t="s">
        <v>324</v>
      </c>
      <c r="G139">
        <v>42749</v>
      </c>
      <c r="H139">
        <v>37.17</v>
      </c>
      <c r="I139">
        <v>-85.916111000000001</v>
      </c>
      <c r="K139">
        <v>110006656083</v>
      </c>
      <c r="L139" t="s">
        <v>263</v>
      </c>
      <c r="R139" s="387">
        <f t="shared" si="2"/>
        <v>1.1086498214244653</v>
      </c>
      <c r="S139" s="386">
        <v>0.50287510000000002</v>
      </c>
    </row>
    <row r="140" spans="1:19" x14ac:dyDescent="0.25">
      <c r="A140">
        <v>2022</v>
      </c>
      <c r="C140" t="s">
        <v>6859</v>
      </c>
      <c r="D140" t="s">
        <v>7020</v>
      </c>
      <c r="E140" t="s">
        <v>6939</v>
      </c>
      <c r="F140" t="s">
        <v>366</v>
      </c>
      <c r="G140">
        <v>93443</v>
      </c>
      <c r="H140">
        <v>35.378917000000001</v>
      </c>
      <c r="I140">
        <v>-120.886111</v>
      </c>
      <c r="K140">
        <v>110070838708</v>
      </c>
      <c r="L140" t="s">
        <v>263</v>
      </c>
      <c r="R140" s="387">
        <f t="shared" si="2"/>
        <v>9.0615066750351192E-2</v>
      </c>
      <c r="S140" s="386">
        <v>4.1102302884999997E-2</v>
      </c>
    </row>
    <row r="141" spans="1:19" x14ac:dyDescent="0.25">
      <c r="A141">
        <v>2021</v>
      </c>
      <c r="C141" t="s">
        <v>6859</v>
      </c>
      <c r="D141" t="s">
        <v>7020</v>
      </c>
      <c r="E141" t="s">
        <v>6939</v>
      </c>
      <c r="F141" t="s">
        <v>366</v>
      </c>
      <c r="G141">
        <v>93443</v>
      </c>
      <c r="H141">
        <v>35.378917000000001</v>
      </c>
      <c r="I141">
        <v>-120.886111</v>
      </c>
      <c r="K141">
        <v>110070838708</v>
      </c>
      <c r="L141" t="s">
        <v>263</v>
      </c>
      <c r="R141" s="387">
        <f t="shared" si="2"/>
        <v>8.917534485313322E-2</v>
      </c>
      <c r="S141" s="386">
        <v>4.0449256017499997E-2</v>
      </c>
    </row>
    <row r="142" spans="1:19" x14ac:dyDescent="0.25">
      <c r="A142">
        <v>2023</v>
      </c>
      <c r="C142" t="s">
        <v>6859</v>
      </c>
      <c r="D142" t="s">
        <v>7020</v>
      </c>
      <c r="E142" t="s">
        <v>6939</v>
      </c>
      <c r="F142" t="s">
        <v>366</v>
      </c>
      <c r="G142">
        <v>93443</v>
      </c>
      <c r="H142">
        <v>35.378917000000001</v>
      </c>
      <c r="I142">
        <v>-120.886111</v>
      </c>
      <c r="K142">
        <v>110070838708</v>
      </c>
      <c r="L142" t="s">
        <v>263</v>
      </c>
      <c r="R142" s="387">
        <f t="shared" si="2"/>
        <v>7.3896383783968844E-2</v>
      </c>
      <c r="S142" s="386">
        <v>3.3518835854999998E-2</v>
      </c>
    </row>
    <row r="143" spans="1:19" x14ac:dyDescent="0.25">
      <c r="A143">
        <v>2024</v>
      </c>
      <c r="C143" t="s">
        <v>6859</v>
      </c>
      <c r="D143" t="s">
        <v>7020</v>
      </c>
      <c r="E143" t="s">
        <v>6939</v>
      </c>
      <c r="F143" t="s">
        <v>366</v>
      </c>
      <c r="G143">
        <v>93443</v>
      </c>
      <c r="H143">
        <v>35.378917000000001</v>
      </c>
      <c r="I143">
        <v>-120.886111</v>
      </c>
      <c r="K143">
        <v>110070838708</v>
      </c>
      <c r="L143" t="s">
        <v>263</v>
      </c>
      <c r="R143" s="387">
        <f t="shared" si="2"/>
        <v>5.9781809601426934E-2</v>
      </c>
      <c r="S143" s="386">
        <v>2.7116572700000001E-2</v>
      </c>
    </row>
    <row r="144" spans="1:19" x14ac:dyDescent="0.25">
      <c r="A144">
        <v>2022</v>
      </c>
      <c r="C144" t="s">
        <v>1036</v>
      </c>
      <c r="D144" t="s">
        <v>1597</v>
      </c>
      <c r="E144" t="s">
        <v>446</v>
      </c>
      <c r="F144" t="s">
        <v>303</v>
      </c>
      <c r="G144">
        <v>70669</v>
      </c>
      <c r="H144">
        <v>30.318283999999998</v>
      </c>
      <c r="I144">
        <v>-93.303511999999998</v>
      </c>
      <c r="K144">
        <v>110000613685</v>
      </c>
      <c r="L144" t="s">
        <v>6750</v>
      </c>
      <c r="R144" s="387">
        <f t="shared" si="2"/>
        <v>1.0431663841699983</v>
      </c>
      <c r="S144" s="386">
        <v>0.47317231250000003</v>
      </c>
    </row>
    <row r="145" spans="1:19" x14ac:dyDescent="0.25">
      <c r="A145">
        <v>2022</v>
      </c>
      <c r="C145" t="s">
        <v>1036</v>
      </c>
      <c r="D145" t="s">
        <v>1597</v>
      </c>
      <c r="E145" t="s">
        <v>446</v>
      </c>
      <c r="F145" t="s">
        <v>303</v>
      </c>
      <c r="G145">
        <v>70669</v>
      </c>
      <c r="H145">
        <v>30.318283999999998</v>
      </c>
      <c r="I145">
        <v>-93.303511999999998</v>
      </c>
      <c r="K145">
        <v>110000613685</v>
      </c>
      <c r="L145" t="s">
        <v>6750</v>
      </c>
      <c r="R145" s="387">
        <f t="shared" si="2"/>
        <v>0.76904967008153158</v>
      </c>
      <c r="S145" s="386">
        <v>0.34883506250000001</v>
      </c>
    </row>
    <row r="146" spans="1:19" x14ac:dyDescent="0.25">
      <c r="A146">
        <v>2021</v>
      </c>
      <c r="C146" t="s">
        <v>1036</v>
      </c>
      <c r="D146" t="s">
        <v>1597</v>
      </c>
      <c r="E146" t="s">
        <v>446</v>
      </c>
      <c r="F146" t="s">
        <v>303</v>
      </c>
      <c r="G146">
        <v>70669</v>
      </c>
      <c r="H146">
        <v>30.318283999999998</v>
      </c>
      <c r="I146">
        <v>-93.303511999999998</v>
      </c>
      <c r="K146">
        <v>110000613685</v>
      </c>
      <c r="L146" t="s">
        <v>6750</v>
      </c>
      <c r="R146" s="387">
        <f t="shared" si="2"/>
        <v>0.67006307888291872</v>
      </c>
      <c r="S146" s="386">
        <v>0.30393550000000003</v>
      </c>
    </row>
    <row r="147" spans="1:19" x14ac:dyDescent="0.25">
      <c r="A147">
        <v>2021</v>
      </c>
      <c r="C147" t="s">
        <v>1036</v>
      </c>
      <c r="D147" t="s">
        <v>1597</v>
      </c>
      <c r="E147" t="s">
        <v>446</v>
      </c>
      <c r="F147" t="s">
        <v>303</v>
      </c>
      <c r="G147">
        <v>70669</v>
      </c>
      <c r="H147">
        <v>30.318283999999998</v>
      </c>
      <c r="I147">
        <v>-93.303511999999998</v>
      </c>
      <c r="K147">
        <v>110000613685</v>
      </c>
      <c r="L147" t="s">
        <v>6750</v>
      </c>
      <c r="R147" s="387">
        <f t="shared" si="2"/>
        <v>0.49493295599306486</v>
      </c>
      <c r="S147" s="386">
        <v>0.2244978125</v>
      </c>
    </row>
    <row r="148" spans="1:19" x14ac:dyDescent="0.25">
      <c r="A148">
        <v>2022</v>
      </c>
      <c r="C148" t="s">
        <v>1036</v>
      </c>
      <c r="D148" t="s">
        <v>1597</v>
      </c>
      <c r="E148" t="s">
        <v>446</v>
      </c>
      <c r="F148" t="s">
        <v>303</v>
      </c>
      <c r="G148">
        <v>70669</v>
      </c>
      <c r="H148">
        <v>30.318283999999998</v>
      </c>
      <c r="I148">
        <v>-93.303511999999998</v>
      </c>
      <c r="K148">
        <v>110000613685</v>
      </c>
      <c r="L148" t="s">
        <v>6750</v>
      </c>
      <c r="R148" s="387">
        <f t="shared" si="2"/>
        <v>0.2665023609193426</v>
      </c>
      <c r="S148" s="386">
        <v>0.1208834375</v>
      </c>
    </row>
    <row r="149" spans="1:19" x14ac:dyDescent="0.25">
      <c r="A149">
        <v>2021</v>
      </c>
      <c r="C149" t="s">
        <v>1036</v>
      </c>
      <c r="D149" t="s">
        <v>1597</v>
      </c>
      <c r="E149" t="s">
        <v>446</v>
      </c>
      <c r="F149" t="s">
        <v>303</v>
      </c>
      <c r="G149">
        <v>70669</v>
      </c>
      <c r="H149">
        <v>30.318283999999998</v>
      </c>
      <c r="I149">
        <v>-93.303511999999998</v>
      </c>
      <c r="K149">
        <v>110000613685</v>
      </c>
      <c r="L149" t="s">
        <v>6750</v>
      </c>
      <c r="R149" s="387">
        <f t="shared" si="2"/>
        <v>0.17513012288985375</v>
      </c>
      <c r="S149" s="386">
        <v>7.9437687500000007E-2</v>
      </c>
    </row>
    <row r="150" spans="1:19" x14ac:dyDescent="0.25">
      <c r="A150">
        <v>2024</v>
      </c>
      <c r="C150" t="s">
        <v>1037</v>
      </c>
      <c r="D150" t="s">
        <v>1601</v>
      </c>
      <c r="E150" t="s">
        <v>987</v>
      </c>
      <c r="F150" t="s">
        <v>324</v>
      </c>
      <c r="G150">
        <v>40291</v>
      </c>
      <c r="H150">
        <v>38.122354000000001</v>
      </c>
      <c r="I150">
        <v>-85.587648000000002</v>
      </c>
      <c r="K150">
        <v>110043485421</v>
      </c>
      <c r="L150" t="s">
        <v>263</v>
      </c>
      <c r="R150" s="387">
        <f t="shared" si="2"/>
        <v>52.653252164492976</v>
      </c>
      <c r="S150" s="386">
        <v>23.8831134375</v>
      </c>
    </row>
    <row r="151" spans="1:19" x14ac:dyDescent="0.25">
      <c r="A151">
        <v>2021</v>
      </c>
      <c r="C151" t="s">
        <v>1037</v>
      </c>
      <c r="D151" t="s">
        <v>1601</v>
      </c>
      <c r="E151" t="s">
        <v>987</v>
      </c>
      <c r="F151" t="s">
        <v>324</v>
      </c>
      <c r="G151">
        <v>40291</v>
      </c>
      <c r="H151">
        <v>38.122354000000001</v>
      </c>
      <c r="I151">
        <v>-85.587648000000002</v>
      </c>
      <c r="K151">
        <v>110043485421</v>
      </c>
      <c r="L151" t="s">
        <v>263</v>
      </c>
      <c r="R151" s="387">
        <f t="shared" si="2"/>
        <v>46.584612688701085</v>
      </c>
      <c r="S151" s="386">
        <v>21.130424874999999</v>
      </c>
    </row>
    <row r="152" spans="1:19" x14ac:dyDescent="0.25">
      <c r="A152">
        <v>2022</v>
      </c>
      <c r="C152" t="s">
        <v>1037</v>
      </c>
      <c r="D152" t="s">
        <v>1601</v>
      </c>
      <c r="E152" t="s">
        <v>987</v>
      </c>
      <c r="F152" t="s">
        <v>324</v>
      </c>
      <c r="G152">
        <v>40291</v>
      </c>
      <c r="H152">
        <v>38.122354000000001</v>
      </c>
      <c r="I152">
        <v>-85.587648000000002</v>
      </c>
      <c r="K152">
        <v>110043485421</v>
      </c>
      <c r="L152" t="s">
        <v>263</v>
      </c>
      <c r="R152" s="387">
        <f t="shared" si="2"/>
        <v>44.239391912610877</v>
      </c>
      <c r="S152" s="386">
        <v>20.066650625000001</v>
      </c>
    </row>
    <row r="153" spans="1:19" x14ac:dyDescent="0.25">
      <c r="A153">
        <v>2023</v>
      </c>
      <c r="C153" t="s">
        <v>1037</v>
      </c>
      <c r="D153" t="s">
        <v>1601</v>
      </c>
      <c r="E153" t="s">
        <v>987</v>
      </c>
      <c r="F153" t="s">
        <v>324</v>
      </c>
      <c r="G153">
        <v>40291</v>
      </c>
      <c r="H153">
        <v>38.122354000000001</v>
      </c>
      <c r="I153">
        <v>-85.587648000000002</v>
      </c>
      <c r="K153">
        <v>110043485421</v>
      </c>
      <c r="L153" t="s">
        <v>263</v>
      </c>
      <c r="R153" s="387">
        <f t="shared" si="2"/>
        <v>35.977818724111252</v>
      </c>
      <c r="S153" s="386">
        <v>16.3192640625</v>
      </c>
    </row>
    <row r="154" spans="1:19" x14ac:dyDescent="0.25">
      <c r="A154">
        <v>2021</v>
      </c>
      <c r="C154" t="s">
        <v>1038</v>
      </c>
      <c r="D154" t="s">
        <v>1605</v>
      </c>
      <c r="E154" t="s">
        <v>1039</v>
      </c>
      <c r="F154" t="s">
        <v>324</v>
      </c>
      <c r="G154">
        <v>42330</v>
      </c>
      <c r="H154">
        <v>37.326943999999997</v>
      </c>
      <c r="I154">
        <v>-87.123889000000005</v>
      </c>
      <c r="K154">
        <v>110064265496</v>
      </c>
      <c r="L154" t="s">
        <v>263</v>
      </c>
      <c r="R154" s="387">
        <f t="shared" si="2"/>
        <v>4.9188721472541523</v>
      </c>
      <c r="S154" s="386">
        <v>2.2311628749999999</v>
      </c>
    </row>
    <row r="155" spans="1:19" x14ac:dyDescent="0.25">
      <c r="A155">
        <v>2023</v>
      </c>
      <c r="C155" t="s">
        <v>1038</v>
      </c>
      <c r="D155" t="s">
        <v>1605</v>
      </c>
      <c r="E155" t="s">
        <v>1039</v>
      </c>
      <c r="F155" t="s">
        <v>324</v>
      </c>
      <c r="G155">
        <v>42330</v>
      </c>
      <c r="H155">
        <v>37.326943999999997</v>
      </c>
      <c r="I155">
        <v>-87.123889000000005</v>
      </c>
      <c r="K155">
        <v>110064265496</v>
      </c>
      <c r="L155" t="s">
        <v>263</v>
      </c>
      <c r="R155" s="387">
        <f t="shared" si="2"/>
        <v>1.3157602276246401E-3</v>
      </c>
      <c r="S155" s="386">
        <v>5.9681879999999999E-4</v>
      </c>
    </row>
    <row r="156" spans="1:19" x14ac:dyDescent="0.25">
      <c r="A156">
        <v>2023</v>
      </c>
      <c r="C156" t="s">
        <v>6841</v>
      </c>
      <c r="D156" t="s">
        <v>1913</v>
      </c>
      <c r="E156" t="s">
        <v>1187</v>
      </c>
      <c r="F156" t="s">
        <v>478</v>
      </c>
      <c r="G156" t="s">
        <v>6997</v>
      </c>
      <c r="H156">
        <v>38.631867</v>
      </c>
      <c r="I156">
        <v>-75.628372999999996</v>
      </c>
      <c r="K156">
        <v>110000339027</v>
      </c>
      <c r="L156" t="s">
        <v>253</v>
      </c>
      <c r="R156" s="387">
        <f t="shared" si="2"/>
        <v>1.2411143511959868E-4</v>
      </c>
      <c r="S156" s="386">
        <v>5.6295999999999998E-5</v>
      </c>
    </row>
    <row r="157" spans="1:19" x14ac:dyDescent="0.25">
      <c r="A157">
        <v>2024</v>
      </c>
      <c r="C157" t="s">
        <v>119</v>
      </c>
      <c r="D157" t="s">
        <v>380</v>
      </c>
      <c r="E157" t="s">
        <v>381</v>
      </c>
      <c r="F157" t="s">
        <v>338</v>
      </c>
      <c r="G157">
        <v>8014</v>
      </c>
      <c r="H157">
        <v>39.799250000000001</v>
      </c>
      <c r="I157">
        <v>-75.33296</v>
      </c>
      <c r="K157">
        <v>110009721836</v>
      </c>
      <c r="L157" t="s">
        <v>252</v>
      </c>
      <c r="R157" s="387">
        <f t="shared" si="2"/>
        <v>0.17784566257959764</v>
      </c>
      <c r="S157" s="386">
        <v>8.0669435583700003E-2</v>
      </c>
    </row>
    <row r="158" spans="1:19" x14ac:dyDescent="0.25">
      <c r="A158">
        <v>2021</v>
      </c>
      <c r="C158" t="s">
        <v>119</v>
      </c>
      <c r="D158" t="s">
        <v>380</v>
      </c>
      <c r="E158" t="s">
        <v>381</v>
      </c>
      <c r="F158" t="s">
        <v>338</v>
      </c>
      <c r="G158">
        <v>8014</v>
      </c>
      <c r="H158">
        <v>39.799250000000001</v>
      </c>
      <c r="I158">
        <v>-75.33296</v>
      </c>
      <c r="K158">
        <v>110009721836</v>
      </c>
      <c r="L158" t="s">
        <v>252</v>
      </c>
      <c r="R158" s="387">
        <f t="shared" si="2"/>
        <v>5.2036603710507744E-2</v>
      </c>
      <c r="S158" s="386">
        <v>2.3603406403800001E-2</v>
      </c>
    </row>
    <row r="159" spans="1:19" x14ac:dyDescent="0.25">
      <c r="A159">
        <v>2022</v>
      </c>
      <c r="C159" t="s">
        <v>119</v>
      </c>
      <c r="D159" t="s">
        <v>380</v>
      </c>
      <c r="E159" t="s">
        <v>381</v>
      </c>
      <c r="F159" t="s">
        <v>338</v>
      </c>
      <c r="G159">
        <v>8014</v>
      </c>
      <c r="H159">
        <v>39.799250000000001</v>
      </c>
      <c r="I159">
        <v>-75.33296</v>
      </c>
      <c r="K159">
        <v>110009721836</v>
      </c>
      <c r="L159" t="s">
        <v>252</v>
      </c>
      <c r="R159" s="387">
        <f t="shared" si="2"/>
        <v>4.9943914605309607E-2</v>
      </c>
      <c r="S159" s="386">
        <v>2.26541785929E-2</v>
      </c>
    </row>
    <row r="160" spans="1:19" x14ac:dyDescent="0.25">
      <c r="A160">
        <v>2023</v>
      </c>
      <c r="C160" t="s">
        <v>119</v>
      </c>
      <c r="D160" t="s">
        <v>380</v>
      </c>
      <c r="E160" t="s">
        <v>381</v>
      </c>
      <c r="F160" t="s">
        <v>338</v>
      </c>
      <c r="G160" t="s">
        <v>1608</v>
      </c>
      <c r="H160">
        <v>39.799250000000001</v>
      </c>
      <c r="I160">
        <v>-75.33296</v>
      </c>
      <c r="K160">
        <v>110009721836</v>
      </c>
      <c r="L160" t="s">
        <v>252</v>
      </c>
      <c r="R160" s="387">
        <f t="shared" si="2"/>
        <v>3.8090153110820625E-2</v>
      </c>
      <c r="S160" s="386">
        <v>1.7277402823199998E-2</v>
      </c>
    </row>
    <row r="161" spans="1:19" x14ac:dyDescent="0.25">
      <c r="A161">
        <v>2022</v>
      </c>
      <c r="C161" t="s">
        <v>6841</v>
      </c>
      <c r="D161" t="s">
        <v>1913</v>
      </c>
      <c r="E161" t="s">
        <v>1187</v>
      </c>
      <c r="F161" t="s">
        <v>478</v>
      </c>
      <c r="G161" t="s">
        <v>6997</v>
      </c>
      <c r="H161">
        <v>38.631867</v>
      </c>
      <c r="I161">
        <v>-75.628372999999996</v>
      </c>
      <c r="K161">
        <v>110000339027</v>
      </c>
      <c r="L161" t="s">
        <v>253</v>
      </c>
      <c r="R161" s="387">
        <f t="shared" si="2"/>
        <v>3.102785877989967E-5</v>
      </c>
      <c r="S161" s="386">
        <v>1.4073999999999999E-5</v>
      </c>
    </row>
    <row r="162" spans="1:19" x14ac:dyDescent="0.25">
      <c r="A162">
        <v>2022</v>
      </c>
      <c r="C162" t="s">
        <v>123</v>
      </c>
      <c r="D162" t="s">
        <v>394</v>
      </c>
      <c r="E162" t="s">
        <v>6944</v>
      </c>
      <c r="F162" t="s">
        <v>338</v>
      </c>
      <c r="G162">
        <v>8069</v>
      </c>
      <c r="H162">
        <v>39.698279999999997</v>
      </c>
      <c r="I162">
        <v>-75.503974999999997</v>
      </c>
      <c r="J162" t="s">
        <v>396</v>
      </c>
      <c r="K162">
        <v>110007970142</v>
      </c>
      <c r="L162" t="s">
        <v>251</v>
      </c>
      <c r="R162" s="387">
        <f t="shared" si="2"/>
        <v>24.779958269580241</v>
      </c>
      <c r="S162" s="386">
        <v>11.24</v>
      </c>
    </row>
    <row r="163" spans="1:19" x14ac:dyDescent="0.25">
      <c r="A163">
        <v>2021</v>
      </c>
      <c r="C163" t="s">
        <v>123</v>
      </c>
      <c r="D163" t="s">
        <v>394</v>
      </c>
      <c r="E163" t="s">
        <v>6944</v>
      </c>
      <c r="F163" t="s">
        <v>338</v>
      </c>
      <c r="G163">
        <v>8069</v>
      </c>
      <c r="H163">
        <v>39.698279999999997</v>
      </c>
      <c r="I163">
        <v>-75.503974999999997</v>
      </c>
      <c r="J163" t="s">
        <v>396</v>
      </c>
      <c r="K163">
        <v>110007970142</v>
      </c>
      <c r="L163" t="s">
        <v>251</v>
      </c>
      <c r="R163" s="387">
        <f t="shared" si="2"/>
        <v>21.56672079823565</v>
      </c>
      <c r="S163" s="386">
        <v>9.7825000000000006</v>
      </c>
    </row>
    <row r="164" spans="1:19" x14ac:dyDescent="0.25">
      <c r="A164">
        <v>2024</v>
      </c>
      <c r="C164" t="s">
        <v>123</v>
      </c>
      <c r="D164" t="s">
        <v>394</v>
      </c>
      <c r="E164" t="s">
        <v>6944</v>
      </c>
      <c r="F164" t="s">
        <v>338</v>
      </c>
      <c r="G164">
        <v>8069</v>
      </c>
      <c r="H164">
        <v>39.698279999999997</v>
      </c>
      <c r="I164">
        <v>-75.503974999999997</v>
      </c>
      <c r="J164" t="s">
        <v>396</v>
      </c>
      <c r="K164">
        <v>110007970142</v>
      </c>
      <c r="L164" t="s">
        <v>251</v>
      </c>
      <c r="R164" s="387">
        <f t="shared" si="2"/>
        <v>21.021076699328077</v>
      </c>
      <c r="S164" s="386">
        <v>9.5350000000000001</v>
      </c>
    </row>
    <row r="165" spans="1:19" x14ac:dyDescent="0.25">
      <c r="A165">
        <v>2023</v>
      </c>
      <c r="C165" t="s">
        <v>123</v>
      </c>
      <c r="D165" t="s">
        <v>394</v>
      </c>
      <c r="E165" t="s">
        <v>6944</v>
      </c>
      <c r="F165" t="s">
        <v>338</v>
      </c>
      <c r="G165" t="s">
        <v>7087</v>
      </c>
      <c r="H165">
        <v>39.698279999999997</v>
      </c>
      <c r="I165">
        <v>-75.503974999999997</v>
      </c>
      <c r="J165" t="s">
        <v>396</v>
      </c>
      <c r="K165">
        <v>110007970142</v>
      </c>
      <c r="L165" t="s">
        <v>251</v>
      </c>
      <c r="R165" s="387">
        <f t="shared" si="2"/>
        <v>18.920071340706198</v>
      </c>
      <c r="S165" s="386">
        <v>8.5820000000000007</v>
      </c>
    </row>
    <row r="166" spans="1:19" x14ac:dyDescent="0.25">
      <c r="A166">
        <v>2021</v>
      </c>
      <c r="C166" t="s">
        <v>1044</v>
      </c>
      <c r="D166" t="s">
        <v>1617</v>
      </c>
      <c r="E166" t="s">
        <v>1045</v>
      </c>
      <c r="F166" t="s">
        <v>427</v>
      </c>
      <c r="G166">
        <v>48843</v>
      </c>
      <c r="H166">
        <v>42.592550000000003</v>
      </c>
      <c r="I166">
        <v>-83.889930000000007</v>
      </c>
      <c r="K166">
        <v>110000408265</v>
      </c>
      <c r="L166" t="s">
        <v>265</v>
      </c>
      <c r="R166" s="387">
        <f t="shared" si="2"/>
        <v>2.1704870167899872E-2</v>
      </c>
      <c r="S166" s="386">
        <v>9.8451635000000003E-3</v>
      </c>
    </row>
    <row r="167" spans="1:19" x14ac:dyDescent="0.25">
      <c r="A167">
        <v>2022</v>
      </c>
      <c r="C167" t="s">
        <v>1044</v>
      </c>
      <c r="D167" t="s">
        <v>1617</v>
      </c>
      <c r="E167" t="s">
        <v>1045</v>
      </c>
      <c r="F167" t="s">
        <v>427</v>
      </c>
      <c r="G167">
        <v>48843</v>
      </c>
      <c r="H167">
        <v>42.592550000000003</v>
      </c>
      <c r="I167">
        <v>-83.889930000000007</v>
      </c>
      <c r="K167">
        <v>110000408265</v>
      </c>
      <c r="L167" t="s">
        <v>265</v>
      </c>
      <c r="R167" s="387">
        <f t="shared" si="2"/>
        <v>7.215486230511328E-3</v>
      </c>
      <c r="S167" s="386">
        <v>3.2728894999999999E-3</v>
      </c>
    </row>
    <row r="168" spans="1:19" x14ac:dyDescent="0.25">
      <c r="A168">
        <v>2023</v>
      </c>
      <c r="C168" t="s">
        <v>1044</v>
      </c>
      <c r="D168" t="s">
        <v>1617</v>
      </c>
      <c r="E168" t="s">
        <v>1045</v>
      </c>
      <c r="F168" t="s">
        <v>427</v>
      </c>
      <c r="G168">
        <v>48843</v>
      </c>
      <c r="H168">
        <v>42.592550000000003</v>
      </c>
      <c r="I168">
        <v>-83.889930000000007</v>
      </c>
      <c r="K168">
        <v>110000408265</v>
      </c>
      <c r="L168" t="s">
        <v>265</v>
      </c>
      <c r="R168" s="387">
        <f t="shared" si="2"/>
        <v>1.0685127926644798E-3</v>
      </c>
      <c r="S168" s="386">
        <v>4.8466924999999999E-4</v>
      </c>
    </row>
    <row r="169" spans="1:19" x14ac:dyDescent="0.25">
      <c r="A169">
        <v>2024</v>
      </c>
      <c r="C169" t="s">
        <v>1044</v>
      </c>
      <c r="D169" t="s">
        <v>1617</v>
      </c>
      <c r="E169" t="s">
        <v>1045</v>
      </c>
      <c r="F169" t="s">
        <v>427</v>
      </c>
      <c r="G169">
        <v>48843</v>
      </c>
      <c r="H169">
        <v>42.592550000000003</v>
      </c>
      <c r="I169">
        <v>-83.889930000000007</v>
      </c>
      <c r="K169">
        <v>110000408265</v>
      </c>
      <c r="L169" t="s">
        <v>265</v>
      </c>
      <c r="R169" s="387">
        <f t="shared" si="2"/>
        <v>9.508553902703434E-4</v>
      </c>
      <c r="S169" s="386">
        <v>4.3130075000000001E-4</v>
      </c>
    </row>
    <row r="170" spans="1:19" x14ac:dyDescent="0.25">
      <c r="A170">
        <v>2024</v>
      </c>
      <c r="C170" t="s">
        <v>6823</v>
      </c>
      <c r="D170" t="s">
        <v>6977</v>
      </c>
      <c r="E170" t="s">
        <v>6978</v>
      </c>
      <c r="F170" t="s">
        <v>366</v>
      </c>
      <c r="G170">
        <v>95222</v>
      </c>
      <c r="H170">
        <v>38.060360000000003</v>
      </c>
      <c r="I170">
        <v>-120.53995999999999</v>
      </c>
      <c r="K170">
        <v>110030437524</v>
      </c>
      <c r="L170" t="s">
        <v>263</v>
      </c>
      <c r="R170" s="387">
        <f t="shared" si="2"/>
        <v>0.11537101031924324</v>
      </c>
      <c r="S170" s="386">
        <v>5.2331410000000002E-2</v>
      </c>
    </row>
    <row r="171" spans="1:19" x14ac:dyDescent="0.25">
      <c r="A171">
        <v>2021</v>
      </c>
      <c r="C171" t="s">
        <v>6823</v>
      </c>
      <c r="D171" t="s">
        <v>6977</v>
      </c>
      <c r="E171" t="s">
        <v>6978</v>
      </c>
      <c r="F171" t="s">
        <v>366</v>
      </c>
      <c r="G171">
        <v>95222</v>
      </c>
      <c r="H171">
        <v>38.060360000000003</v>
      </c>
      <c r="I171">
        <v>-120.53995999999999</v>
      </c>
      <c r="K171">
        <v>110030437524</v>
      </c>
      <c r="L171" t="s">
        <v>263</v>
      </c>
      <c r="R171" s="387">
        <f t="shared" si="2"/>
        <v>7.2793216296826155E-2</v>
      </c>
      <c r="S171" s="386">
        <v>3.3018447499999999E-2</v>
      </c>
    </row>
    <row r="172" spans="1:19" x14ac:dyDescent="0.25">
      <c r="A172">
        <v>2021</v>
      </c>
      <c r="C172" t="s">
        <v>125</v>
      </c>
      <c r="D172" t="s">
        <v>403</v>
      </c>
      <c r="E172" t="s">
        <v>404</v>
      </c>
      <c r="F172" t="s">
        <v>366</v>
      </c>
      <c r="G172" t="s">
        <v>405</v>
      </c>
      <c r="H172">
        <v>40.162660000000002</v>
      </c>
      <c r="I172">
        <v>-122.22068</v>
      </c>
      <c r="K172">
        <v>110000730745</v>
      </c>
      <c r="L172" t="s">
        <v>263</v>
      </c>
      <c r="R172" s="387">
        <f t="shared" si="2"/>
        <v>1.6608886079807737E-3</v>
      </c>
      <c r="S172" s="386">
        <v>7.5336640000000002E-4</v>
      </c>
    </row>
    <row r="173" spans="1:19" x14ac:dyDescent="0.25">
      <c r="A173">
        <v>2023</v>
      </c>
      <c r="C173" t="s">
        <v>1061</v>
      </c>
      <c r="D173" t="s">
        <v>1643</v>
      </c>
      <c r="E173" t="s">
        <v>1062</v>
      </c>
      <c r="F173" t="s">
        <v>366</v>
      </c>
      <c r="G173">
        <v>92008</v>
      </c>
      <c r="H173">
        <v>33.139895000000003</v>
      </c>
      <c r="I173">
        <v>-117.339645</v>
      </c>
      <c r="K173">
        <v>110027363252</v>
      </c>
      <c r="L173" t="s">
        <v>263</v>
      </c>
      <c r="R173" s="387">
        <f t="shared" si="2"/>
        <v>1.4791897511842051</v>
      </c>
      <c r="S173" s="386">
        <v>0.67094918491935396</v>
      </c>
    </row>
    <row r="174" spans="1:19" x14ac:dyDescent="0.25">
      <c r="A174">
        <v>2022</v>
      </c>
      <c r="C174" t="s">
        <v>1061</v>
      </c>
      <c r="D174" t="s">
        <v>1643</v>
      </c>
      <c r="E174" t="s">
        <v>1062</v>
      </c>
      <c r="F174" t="s">
        <v>366</v>
      </c>
      <c r="G174">
        <v>92008</v>
      </c>
      <c r="H174">
        <v>33.139895000000003</v>
      </c>
      <c r="I174">
        <v>-117.339645</v>
      </c>
      <c r="K174">
        <v>110027363252</v>
      </c>
      <c r="L174" t="s">
        <v>263</v>
      </c>
      <c r="R174" s="387">
        <f t="shared" si="2"/>
        <v>1.0584177121694156</v>
      </c>
      <c r="S174" s="386">
        <v>0.48009019851290302</v>
      </c>
    </row>
    <row r="175" spans="1:19" x14ac:dyDescent="0.25">
      <c r="A175">
        <v>2024</v>
      </c>
      <c r="C175" t="s">
        <v>1061</v>
      </c>
      <c r="D175" t="s">
        <v>1643</v>
      </c>
      <c r="E175" t="s">
        <v>1062</v>
      </c>
      <c r="F175" t="s">
        <v>366</v>
      </c>
      <c r="G175">
        <v>92008</v>
      </c>
      <c r="H175">
        <v>33.139895000000003</v>
      </c>
      <c r="I175">
        <v>-117.339645</v>
      </c>
      <c r="K175">
        <v>110027363252</v>
      </c>
      <c r="L175" t="s">
        <v>263</v>
      </c>
      <c r="R175" s="387">
        <f t="shared" si="2"/>
        <v>0.60240407972210164</v>
      </c>
      <c r="S175" s="386">
        <v>0.27324589421881701</v>
      </c>
    </row>
    <row r="176" spans="1:19" x14ac:dyDescent="0.25">
      <c r="A176">
        <v>2021</v>
      </c>
      <c r="C176" t="s">
        <v>1061</v>
      </c>
      <c r="D176" t="s">
        <v>1643</v>
      </c>
      <c r="E176" t="s">
        <v>1062</v>
      </c>
      <c r="F176" t="s">
        <v>366</v>
      </c>
      <c r="G176">
        <v>92008</v>
      </c>
      <c r="H176">
        <v>33.139895000000003</v>
      </c>
      <c r="I176">
        <v>-117.339645</v>
      </c>
      <c r="K176">
        <v>110027363252</v>
      </c>
      <c r="L176" t="s">
        <v>263</v>
      </c>
      <c r="R176" s="387">
        <f t="shared" si="2"/>
        <v>0.48828612567327356</v>
      </c>
      <c r="S176" s="386">
        <v>0.221482860982258</v>
      </c>
    </row>
    <row r="177" spans="1:19" x14ac:dyDescent="0.25">
      <c r="A177">
        <v>2022</v>
      </c>
      <c r="C177" t="s">
        <v>1063</v>
      </c>
      <c r="D177" t="s">
        <v>1645</v>
      </c>
      <c r="E177" t="s">
        <v>1064</v>
      </c>
      <c r="F177" t="s">
        <v>308</v>
      </c>
      <c r="G177">
        <v>1760</v>
      </c>
      <c r="H177">
        <v>42.303330000000003</v>
      </c>
      <c r="I177">
        <v>-71.360830000000007</v>
      </c>
      <c r="K177">
        <v>110070670433</v>
      </c>
      <c r="L177" t="s">
        <v>265</v>
      </c>
      <c r="R177" s="387">
        <f t="shared" si="2"/>
        <v>3.2437244634428049E-2</v>
      </c>
      <c r="S177" s="386">
        <v>1.4713286670000001E-2</v>
      </c>
    </row>
    <row r="178" spans="1:19" x14ac:dyDescent="0.25">
      <c r="A178">
        <v>2021</v>
      </c>
      <c r="C178" t="s">
        <v>1063</v>
      </c>
      <c r="D178" t="s">
        <v>1645</v>
      </c>
      <c r="E178" t="s">
        <v>1064</v>
      </c>
      <c r="F178" t="s">
        <v>308</v>
      </c>
      <c r="G178">
        <v>1760</v>
      </c>
      <c r="H178">
        <v>42.303330000000003</v>
      </c>
      <c r="I178">
        <v>-71.360830000000007</v>
      </c>
      <c r="K178">
        <v>110070670433</v>
      </c>
      <c r="L178" t="s">
        <v>265</v>
      </c>
      <c r="R178" s="387">
        <f t="shared" si="2"/>
        <v>3.1337911443483933E-2</v>
      </c>
      <c r="S178" s="386">
        <v>1.42146375225E-2</v>
      </c>
    </row>
    <row r="179" spans="1:19" x14ac:dyDescent="0.25">
      <c r="A179">
        <v>2024</v>
      </c>
      <c r="C179" t="s">
        <v>127</v>
      </c>
      <c r="D179" t="s">
        <v>408</v>
      </c>
      <c r="E179" t="s">
        <v>302</v>
      </c>
      <c r="F179" t="s">
        <v>303</v>
      </c>
      <c r="G179">
        <v>70807</v>
      </c>
      <c r="H179">
        <v>30.567550000000001</v>
      </c>
      <c r="I179">
        <v>-91.206370000000007</v>
      </c>
      <c r="J179" t="s">
        <v>409</v>
      </c>
      <c r="K179">
        <v>110000450039</v>
      </c>
      <c r="L179" t="s">
        <v>6751</v>
      </c>
      <c r="R179" s="387">
        <f t="shared" si="2"/>
        <v>1.4539721350838992</v>
      </c>
      <c r="S179" s="386">
        <v>0.65951066666666602</v>
      </c>
    </row>
    <row r="180" spans="1:19" x14ac:dyDescent="0.25">
      <c r="A180">
        <v>2023</v>
      </c>
      <c r="C180" t="s">
        <v>128</v>
      </c>
      <c r="D180" t="s">
        <v>411</v>
      </c>
      <c r="E180" t="s">
        <v>412</v>
      </c>
      <c r="F180" t="s">
        <v>299</v>
      </c>
      <c r="G180">
        <v>71730</v>
      </c>
      <c r="H180">
        <v>33.2044</v>
      </c>
      <c r="I180">
        <v>-92.630799999999994</v>
      </c>
      <c r="J180" t="s">
        <v>413</v>
      </c>
      <c r="K180">
        <v>110000521221</v>
      </c>
      <c r="L180" t="s">
        <v>6752</v>
      </c>
      <c r="R180" s="387">
        <f t="shared" si="2"/>
        <v>1.3328751573576953E-2</v>
      </c>
      <c r="S180" s="386">
        <v>6.0458200154000002E-3</v>
      </c>
    </row>
    <row r="181" spans="1:19" x14ac:dyDescent="0.25">
      <c r="A181">
        <v>2024</v>
      </c>
      <c r="C181" t="s">
        <v>128</v>
      </c>
      <c r="D181" t="s">
        <v>411</v>
      </c>
      <c r="E181" t="s">
        <v>412</v>
      </c>
      <c r="F181" t="s">
        <v>299</v>
      </c>
      <c r="G181">
        <v>71730</v>
      </c>
      <c r="H181">
        <v>33.2044</v>
      </c>
      <c r="I181">
        <v>-92.630799999999994</v>
      </c>
      <c r="J181" t="s">
        <v>413</v>
      </c>
      <c r="K181">
        <v>110000521221</v>
      </c>
      <c r="L181" t="s">
        <v>6752</v>
      </c>
      <c r="R181" s="387">
        <f t="shared" si="2"/>
        <v>1.2857400665712254E-2</v>
      </c>
      <c r="S181" s="386">
        <v>5.8320188399999997E-3</v>
      </c>
    </row>
    <row r="182" spans="1:19" x14ac:dyDescent="0.25">
      <c r="A182">
        <v>2024</v>
      </c>
      <c r="C182" t="s">
        <v>128</v>
      </c>
      <c r="D182" t="s">
        <v>411</v>
      </c>
      <c r="E182" t="s">
        <v>412</v>
      </c>
      <c r="F182" t="s">
        <v>299</v>
      </c>
      <c r="G182">
        <v>71730</v>
      </c>
      <c r="H182">
        <v>33.2044</v>
      </c>
      <c r="I182">
        <v>-92.630799999999994</v>
      </c>
      <c r="J182" t="s">
        <v>413</v>
      </c>
      <c r="K182">
        <v>110000521221</v>
      </c>
      <c r="L182" t="s">
        <v>6752</v>
      </c>
      <c r="R182" s="387">
        <f t="shared" si="2"/>
        <v>7.821445773731445E-3</v>
      </c>
      <c r="S182" s="386">
        <v>3.54774812533333E-3</v>
      </c>
    </row>
    <row r="183" spans="1:19" x14ac:dyDescent="0.25">
      <c r="A183">
        <v>2021</v>
      </c>
      <c r="C183" t="s">
        <v>128</v>
      </c>
      <c r="D183" t="s">
        <v>411</v>
      </c>
      <c r="E183" t="s">
        <v>412</v>
      </c>
      <c r="F183" t="s">
        <v>299</v>
      </c>
      <c r="G183">
        <v>71730</v>
      </c>
      <c r="H183">
        <v>33.2044</v>
      </c>
      <c r="I183">
        <v>-92.630799999999994</v>
      </c>
      <c r="J183" t="s">
        <v>413</v>
      </c>
      <c r="K183">
        <v>110000521221</v>
      </c>
      <c r="L183" t="s">
        <v>6752</v>
      </c>
      <c r="R183" s="387">
        <f t="shared" si="2"/>
        <v>1.7843871580114983E-3</v>
      </c>
      <c r="S183" s="386">
        <v>8.0938440000000004E-4</v>
      </c>
    </row>
    <row r="184" spans="1:19" x14ac:dyDescent="0.25">
      <c r="A184">
        <v>2021</v>
      </c>
      <c r="C184" t="s">
        <v>6829</v>
      </c>
      <c r="D184" t="s">
        <v>6983</v>
      </c>
      <c r="E184" t="s">
        <v>1066</v>
      </c>
      <c r="F184" t="s">
        <v>541</v>
      </c>
      <c r="G184">
        <v>29210</v>
      </c>
      <c r="H184">
        <v>34.047217000000003</v>
      </c>
      <c r="I184">
        <v>-81.151325999999997</v>
      </c>
      <c r="J184" t="s">
        <v>7126</v>
      </c>
      <c r="K184">
        <v>110000854246</v>
      </c>
      <c r="L184" t="s">
        <v>265</v>
      </c>
      <c r="R184" s="387">
        <f t="shared" si="2"/>
        <v>0.73065602933312124</v>
      </c>
      <c r="S184" s="386">
        <v>0.33141999999999999</v>
      </c>
    </row>
    <row r="185" spans="1:19" x14ac:dyDescent="0.25">
      <c r="A185">
        <v>2022</v>
      </c>
      <c r="C185" t="s">
        <v>1065</v>
      </c>
      <c r="D185" t="s">
        <v>1648</v>
      </c>
      <c r="E185" t="s">
        <v>1066</v>
      </c>
      <c r="F185" t="s">
        <v>324</v>
      </c>
      <c r="G185">
        <v>42728</v>
      </c>
      <c r="H185">
        <v>37.108094000000001</v>
      </c>
      <c r="I185">
        <v>-85.303033999999997</v>
      </c>
      <c r="K185">
        <v>110009696356</v>
      </c>
      <c r="L185" t="s">
        <v>263</v>
      </c>
      <c r="R185" s="387">
        <f t="shared" si="2"/>
        <v>5.4594912222619616</v>
      </c>
      <c r="S185" s="386">
        <v>2.4763835625000001</v>
      </c>
    </row>
    <row r="186" spans="1:19" x14ac:dyDescent="0.25">
      <c r="A186">
        <v>2023</v>
      </c>
      <c r="C186" t="s">
        <v>1065</v>
      </c>
      <c r="D186" t="s">
        <v>1648</v>
      </c>
      <c r="E186" t="s">
        <v>1066</v>
      </c>
      <c r="F186" t="s">
        <v>324</v>
      </c>
      <c r="G186">
        <v>42728</v>
      </c>
      <c r="H186">
        <v>37.108094000000001</v>
      </c>
      <c r="I186">
        <v>-85.303033999999997</v>
      </c>
      <c r="K186">
        <v>110009696356</v>
      </c>
      <c r="L186" t="s">
        <v>263</v>
      </c>
      <c r="R186" s="387">
        <f t="shared" si="2"/>
        <v>4.1993157727719277</v>
      </c>
      <c r="S186" s="386">
        <v>1.90477759375</v>
      </c>
    </row>
    <row r="187" spans="1:19" x14ac:dyDescent="0.25">
      <c r="A187">
        <v>2022</v>
      </c>
      <c r="C187" t="s">
        <v>6829</v>
      </c>
      <c r="D187" t="s">
        <v>6983</v>
      </c>
      <c r="E187" t="s">
        <v>1066</v>
      </c>
      <c r="F187" t="s">
        <v>541</v>
      </c>
      <c r="G187">
        <v>29210</v>
      </c>
      <c r="H187">
        <v>34.047217000000003</v>
      </c>
      <c r="I187">
        <v>-81.151325999999997</v>
      </c>
      <c r="J187" t="s">
        <v>7126</v>
      </c>
      <c r="K187">
        <v>110000854246</v>
      </c>
      <c r="L187" t="s">
        <v>265</v>
      </c>
      <c r="R187" s="387">
        <f t="shared" si="2"/>
        <v>0.73065602933312124</v>
      </c>
      <c r="S187" s="386">
        <v>0.33141999999999999</v>
      </c>
    </row>
    <row r="188" spans="1:19" x14ac:dyDescent="0.25">
      <c r="A188">
        <v>2023</v>
      </c>
      <c r="C188" t="s">
        <v>6829</v>
      </c>
      <c r="D188" t="s">
        <v>6983</v>
      </c>
      <c r="E188" t="s">
        <v>1066</v>
      </c>
      <c r="F188" t="s">
        <v>541</v>
      </c>
      <c r="G188">
        <v>29210</v>
      </c>
      <c r="H188">
        <v>34.047217000000003</v>
      </c>
      <c r="I188">
        <v>-81.151325999999997</v>
      </c>
      <c r="J188" t="s">
        <v>7126</v>
      </c>
      <c r="K188">
        <v>110000854246</v>
      </c>
      <c r="L188" t="s">
        <v>265</v>
      </c>
      <c r="R188" s="387">
        <f t="shared" si="2"/>
        <v>0.73065602933312124</v>
      </c>
      <c r="S188" s="386">
        <v>0.33141999999999999</v>
      </c>
    </row>
    <row r="189" spans="1:19" x14ac:dyDescent="0.25">
      <c r="A189">
        <v>2024</v>
      </c>
      <c r="C189" t="s">
        <v>6829</v>
      </c>
      <c r="D189" t="s">
        <v>6983</v>
      </c>
      <c r="E189" t="s">
        <v>1066</v>
      </c>
      <c r="F189" t="s">
        <v>541</v>
      </c>
      <c r="G189">
        <v>29210</v>
      </c>
      <c r="H189">
        <v>34.047217000000003</v>
      </c>
      <c r="I189">
        <v>-81.151325999999997</v>
      </c>
      <c r="J189" t="s">
        <v>7126</v>
      </c>
      <c r="K189">
        <v>110000854246</v>
      </c>
      <c r="L189" t="s">
        <v>265</v>
      </c>
      <c r="R189" s="387">
        <f t="shared" si="2"/>
        <v>0.36532801466656062</v>
      </c>
      <c r="S189" s="386">
        <v>0.16571</v>
      </c>
    </row>
    <row r="190" spans="1:19" x14ac:dyDescent="0.25">
      <c r="A190">
        <v>2024</v>
      </c>
      <c r="C190" t="s">
        <v>6777</v>
      </c>
      <c r="D190" t="s">
        <v>6920</v>
      </c>
      <c r="E190" t="s">
        <v>6921</v>
      </c>
      <c r="F190" t="s">
        <v>311</v>
      </c>
      <c r="G190">
        <v>25064</v>
      </c>
      <c r="H190">
        <v>38.382550000000002</v>
      </c>
      <c r="I190">
        <v>-81.782629</v>
      </c>
      <c r="J190" t="s">
        <v>7118</v>
      </c>
      <c r="K190">
        <v>110070676994</v>
      </c>
      <c r="L190" t="s">
        <v>265</v>
      </c>
      <c r="R190" s="387">
        <f t="shared" si="2"/>
        <v>1.542293860173898</v>
      </c>
      <c r="S190" s="386">
        <v>0.69957272727272701</v>
      </c>
    </row>
    <row r="191" spans="1:19" x14ac:dyDescent="0.25">
      <c r="A191">
        <v>2021</v>
      </c>
      <c r="C191" t="s">
        <v>6844</v>
      </c>
      <c r="D191" t="s">
        <v>1652</v>
      </c>
      <c r="E191" t="s">
        <v>1068</v>
      </c>
      <c r="F191" t="s">
        <v>349</v>
      </c>
      <c r="G191">
        <v>63401</v>
      </c>
      <c r="H191">
        <v>39.683477000000003</v>
      </c>
      <c r="I191">
        <v>-91.334682999999998</v>
      </c>
      <c r="J191" t="s">
        <v>709</v>
      </c>
      <c r="K191">
        <v>110000595981</v>
      </c>
      <c r="L191" t="s">
        <v>265</v>
      </c>
      <c r="R191" s="387">
        <f t="shared" si="2"/>
        <v>2.0482610024943764</v>
      </c>
      <c r="S191" s="386">
        <v>0.92907556250000001</v>
      </c>
    </row>
    <row r="192" spans="1:19" x14ac:dyDescent="0.25">
      <c r="A192">
        <v>2022</v>
      </c>
      <c r="C192" t="s">
        <v>6844</v>
      </c>
      <c r="D192" t="s">
        <v>1652</v>
      </c>
      <c r="E192" t="s">
        <v>1068</v>
      </c>
      <c r="F192" t="s">
        <v>349</v>
      </c>
      <c r="G192">
        <v>63401</v>
      </c>
      <c r="H192">
        <v>39.683477000000003</v>
      </c>
      <c r="I192">
        <v>-91.334682999999998</v>
      </c>
      <c r="J192" t="s">
        <v>709</v>
      </c>
      <c r="K192">
        <v>110000595981</v>
      </c>
      <c r="L192" t="s">
        <v>265</v>
      </c>
      <c r="R192" s="387">
        <f t="shared" si="2"/>
        <v>1.2182965070598519</v>
      </c>
      <c r="S192" s="386">
        <v>0.55261000000000005</v>
      </c>
    </row>
    <row r="193" spans="1:19" x14ac:dyDescent="0.25">
      <c r="A193">
        <v>2023</v>
      </c>
      <c r="C193" t="s">
        <v>6844</v>
      </c>
      <c r="D193" t="s">
        <v>1652</v>
      </c>
      <c r="E193" t="s">
        <v>1068</v>
      </c>
      <c r="F193" t="s">
        <v>349</v>
      </c>
      <c r="G193">
        <v>63401</v>
      </c>
      <c r="H193">
        <v>39.683477000000003</v>
      </c>
      <c r="I193">
        <v>-91.334682999999998</v>
      </c>
      <c r="J193" t="s">
        <v>709</v>
      </c>
      <c r="K193">
        <v>110000595981</v>
      </c>
      <c r="L193" t="s">
        <v>265</v>
      </c>
      <c r="R193" s="387">
        <f t="shared" si="2"/>
        <v>0.24365930141197037</v>
      </c>
      <c r="S193" s="386">
        <v>0.110522</v>
      </c>
    </row>
    <row r="194" spans="1:19" x14ac:dyDescent="0.25">
      <c r="A194">
        <v>2024</v>
      </c>
      <c r="C194" t="s">
        <v>6844</v>
      </c>
      <c r="D194" t="s">
        <v>1652</v>
      </c>
      <c r="E194" t="s">
        <v>1068</v>
      </c>
      <c r="F194" t="s">
        <v>349</v>
      </c>
      <c r="G194">
        <v>63401</v>
      </c>
      <c r="H194">
        <v>39.683477000000003</v>
      </c>
      <c r="I194">
        <v>-91.334682999999998</v>
      </c>
      <c r="J194" t="s">
        <v>709</v>
      </c>
      <c r="K194">
        <v>110000595981</v>
      </c>
      <c r="L194" t="s">
        <v>265</v>
      </c>
      <c r="R194" s="387">
        <f t="shared" si="2"/>
        <v>2.8934542042671485E-2</v>
      </c>
      <c r="S194" s="386">
        <v>1.31244875E-2</v>
      </c>
    </row>
    <row r="195" spans="1:19" x14ac:dyDescent="0.25">
      <c r="A195">
        <v>2023</v>
      </c>
      <c r="C195" t="s">
        <v>1069</v>
      </c>
      <c r="D195" t="s">
        <v>1656</v>
      </c>
      <c r="E195" t="s">
        <v>1070</v>
      </c>
      <c r="F195" t="s">
        <v>338</v>
      </c>
      <c r="G195" t="s">
        <v>1659</v>
      </c>
      <c r="H195">
        <v>40.798532000000002</v>
      </c>
      <c r="I195">
        <v>-74.701402000000002</v>
      </c>
      <c r="K195">
        <v>110000616049</v>
      </c>
      <c r="L195" t="s">
        <v>265</v>
      </c>
      <c r="R195" s="387">
        <f t="shared" ref="R195:R258" si="3">CONVERT(S195,"g","lbm")*1000</f>
        <v>1.8761649385768988E-2</v>
      </c>
      <c r="S195" s="386">
        <v>8.5101410099999997E-3</v>
      </c>
    </row>
    <row r="196" spans="1:19" x14ac:dyDescent="0.25">
      <c r="A196">
        <v>2024</v>
      </c>
      <c r="C196" t="s">
        <v>1069</v>
      </c>
      <c r="D196" t="s">
        <v>1656</v>
      </c>
      <c r="E196" t="s">
        <v>1070</v>
      </c>
      <c r="F196" t="s">
        <v>338</v>
      </c>
      <c r="G196">
        <v>79302221</v>
      </c>
      <c r="H196">
        <v>40.798532000000002</v>
      </c>
      <c r="I196">
        <v>-74.701402000000002</v>
      </c>
      <c r="K196">
        <v>110000616049</v>
      </c>
      <c r="L196" t="s">
        <v>265</v>
      </c>
      <c r="R196" s="387">
        <f t="shared" si="3"/>
        <v>1.8616905747334329E-2</v>
      </c>
      <c r="S196" s="386">
        <v>8.4444863999999994E-3</v>
      </c>
    </row>
    <row r="197" spans="1:19" x14ac:dyDescent="0.25">
      <c r="A197">
        <v>2021</v>
      </c>
      <c r="C197" t="s">
        <v>1069</v>
      </c>
      <c r="D197" t="s">
        <v>1656</v>
      </c>
      <c r="E197" t="s">
        <v>1070</v>
      </c>
      <c r="F197" t="s">
        <v>338</v>
      </c>
      <c r="G197">
        <v>79302221</v>
      </c>
      <c r="H197">
        <v>40.798532000000002</v>
      </c>
      <c r="I197">
        <v>-74.701402000000002</v>
      </c>
      <c r="K197">
        <v>110000616049</v>
      </c>
      <c r="L197" t="s">
        <v>265</v>
      </c>
      <c r="R197" s="387">
        <f t="shared" si="3"/>
        <v>1.2199028226599138E-2</v>
      </c>
      <c r="S197" s="386">
        <v>5.5333861250000003E-3</v>
      </c>
    </row>
    <row r="198" spans="1:19" x14ac:dyDescent="0.25">
      <c r="A198">
        <v>2022</v>
      </c>
      <c r="C198" t="s">
        <v>1069</v>
      </c>
      <c r="D198" t="s">
        <v>1656</v>
      </c>
      <c r="E198" t="s">
        <v>1070</v>
      </c>
      <c r="F198" t="s">
        <v>338</v>
      </c>
      <c r="G198">
        <v>79302221</v>
      </c>
      <c r="H198">
        <v>40.798532000000002</v>
      </c>
      <c r="I198">
        <v>-74.701402000000002</v>
      </c>
      <c r="K198">
        <v>110000616049</v>
      </c>
      <c r="L198" t="s">
        <v>265</v>
      </c>
      <c r="R198" s="387">
        <f t="shared" si="3"/>
        <v>6.4779370351842561E-3</v>
      </c>
      <c r="S198" s="386">
        <v>2.9383428125E-3</v>
      </c>
    </row>
    <row r="199" spans="1:19" x14ac:dyDescent="0.25">
      <c r="A199">
        <v>2021</v>
      </c>
      <c r="C199" t="s">
        <v>6869</v>
      </c>
      <c r="D199" t="s">
        <v>7037</v>
      </c>
      <c r="E199" t="s">
        <v>7038</v>
      </c>
      <c r="F199" t="s">
        <v>366</v>
      </c>
      <c r="G199">
        <v>95228</v>
      </c>
      <c r="H199">
        <v>37.908380000000001</v>
      </c>
      <c r="I199">
        <v>-120.61605</v>
      </c>
      <c r="K199">
        <v>110027858432</v>
      </c>
      <c r="L199" t="s">
        <v>263</v>
      </c>
      <c r="R199" s="387">
        <f t="shared" si="3"/>
        <v>0.37081899933634244</v>
      </c>
      <c r="S199" s="386">
        <v>0.16820066875</v>
      </c>
    </row>
    <row r="200" spans="1:19" x14ac:dyDescent="0.25">
      <c r="A200">
        <v>2023</v>
      </c>
      <c r="C200" t="s">
        <v>1071</v>
      </c>
      <c r="D200" t="s">
        <v>1661</v>
      </c>
      <c r="E200" t="s">
        <v>1072</v>
      </c>
      <c r="F200" t="s">
        <v>366</v>
      </c>
      <c r="G200">
        <v>96021</v>
      </c>
      <c r="H200">
        <v>39.913755999999999</v>
      </c>
      <c r="I200">
        <v>-122.09274000000001</v>
      </c>
      <c r="K200">
        <v>110000730451</v>
      </c>
      <c r="L200" t="s">
        <v>263</v>
      </c>
      <c r="R200" s="387">
        <f t="shared" si="3"/>
        <v>4.3887735354396058E-2</v>
      </c>
      <c r="S200" s="386">
        <v>1.9907141893333299E-2</v>
      </c>
    </row>
    <row r="201" spans="1:19" x14ac:dyDescent="0.25">
      <c r="A201">
        <v>2021</v>
      </c>
      <c r="C201" t="s">
        <v>6831</v>
      </c>
      <c r="D201" t="s">
        <v>6984</v>
      </c>
      <c r="E201" t="s">
        <v>968</v>
      </c>
      <c r="F201" t="s">
        <v>294</v>
      </c>
      <c r="G201">
        <v>22306</v>
      </c>
      <c r="H201">
        <v>38.741570000000003</v>
      </c>
      <c r="I201">
        <v>-77.086209999999994</v>
      </c>
      <c r="K201">
        <v>110055415732</v>
      </c>
      <c r="L201" t="s">
        <v>265</v>
      </c>
      <c r="R201" s="387">
        <f t="shared" si="3"/>
        <v>2.0547488486193012E-2</v>
      </c>
      <c r="S201" s="386">
        <v>9.3201840000000005E-3</v>
      </c>
    </row>
    <row r="202" spans="1:19" x14ac:dyDescent="0.25">
      <c r="A202">
        <v>2023</v>
      </c>
      <c r="C202" t="s">
        <v>6777</v>
      </c>
      <c r="D202" t="s">
        <v>6920</v>
      </c>
      <c r="E202" t="s">
        <v>6921</v>
      </c>
      <c r="F202" t="s">
        <v>311</v>
      </c>
      <c r="G202">
        <v>25064</v>
      </c>
      <c r="H202">
        <v>38.382550000000002</v>
      </c>
      <c r="I202">
        <v>-81.782629</v>
      </c>
      <c r="J202" t="s">
        <v>7118</v>
      </c>
      <c r="K202">
        <v>110070676994</v>
      </c>
      <c r="L202" t="s">
        <v>265</v>
      </c>
      <c r="R202" s="387">
        <f t="shared" si="3"/>
        <v>1.4167720678370317</v>
      </c>
      <c r="S202" s="386">
        <v>0.64263700000000001</v>
      </c>
    </row>
    <row r="203" spans="1:19" x14ac:dyDescent="0.25">
      <c r="A203">
        <v>2022</v>
      </c>
      <c r="C203" t="s">
        <v>6777</v>
      </c>
      <c r="D203" t="s">
        <v>6920</v>
      </c>
      <c r="E203" t="s">
        <v>6921</v>
      </c>
      <c r="F203" t="s">
        <v>311</v>
      </c>
      <c r="G203">
        <v>25064</v>
      </c>
      <c r="H203">
        <v>38.382550000000002</v>
      </c>
      <c r="I203">
        <v>-81.782629</v>
      </c>
      <c r="J203" t="s">
        <v>7118</v>
      </c>
      <c r="K203">
        <v>110070676994</v>
      </c>
      <c r="L203" t="s">
        <v>265</v>
      </c>
      <c r="R203" s="387">
        <f t="shared" si="3"/>
        <v>1.2316058138279529</v>
      </c>
      <c r="S203" s="386">
        <v>0.558647</v>
      </c>
    </row>
    <row r="204" spans="1:19" x14ac:dyDescent="0.25">
      <c r="A204">
        <v>2021</v>
      </c>
      <c r="C204" t="s">
        <v>6777</v>
      </c>
      <c r="D204" t="s">
        <v>6920</v>
      </c>
      <c r="E204" t="s">
        <v>6921</v>
      </c>
      <c r="F204" t="s">
        <v>311</v>
      </c>
      <c r="G204">
        <v>25064</v>
      </c>
      <c r="H204">
        <v>38.382550000000002</v>
      </c>
      <c r="I204">
        <v>-81.782629</v>
      </c>
      <c r="J204" t="s">
        <v>7118</v>
      </c>
      <c r="K204">
        <v>110070676994</v>
      </c>
      <c r="L204" t="s">
        <v>265</v>
      </c>
      <c r="R204" s="387">
        <f t="shared" si="3"/>
        <v>0.91432093533672099</v>
      </c>
      <c r="S204" s="386">
        <v>0.41472900000000001</v>
      </c>
    </row>
    <row r="205" spans="1:19" x14ac:dyDescent="0.25">
      <c r="A205">
        <v>2024</v>
      </c>
      <c r="C205" t="s">
        <v>6768</v>
      </c>
      <c r="D205" t="s">
        <v>6913</v>
      </c>
      <c r="E205" t="s">
        <v>6914</v>
      </c>
      <c r="F205" t="s">
        <v>6915</v>
      </c>
      <c r="G205">
        <v>35601</v>
      </c>
      <c r="H205">
        <v>34.63147</v>
      </c>
      <c r="I205">
        <v>-87.038430000000005</v>
      </c>
      <c r="J205" t="s">
        <v>7117</v>
      </c>
      <c r="K205">
        <v>110045447469</v>
      </c>
      <c r="L205" t="s">
        <v>265</v>
      </c>
      <c r="R205" s="387">
        <f t="shared" si="3"/>
        <v>3.6532801466656064</v>
      </c>
      <c r="S205" s="386">
        <v>1.6571</v>
      </c>
    </row>
    <row r="206" spans="1:19" x14ac:dyDescent="0.25">
      <c r="A206">
        <v>2023</v>
      </c>
      <c r="C206" t="s">
        <v>6860</v>
      </c>
      <c r="D206" t="s">
        <v>7021</v>
      </c>
      <c r="E206" t="s">
        <v>7022</v>
      </c>
      <c r="F206" t="s">
        <v>324</v>
      </c>
      <c r="G206">
        <v>41031</v>
      </c>
      <c r="H206">
        <v>38.394444</v>
      </c>
      <c r="I206">
        <v>-84.284999999999997</v>
      </c>
      <c r="K206">
        <v>110020737540</v>
      </c>
      <c r="L206" t="s">
        <v>263</v>
      </c>
      <c r="R206" s="387">
        <f t="shared" si="3"/>
        <v>6.4645858405863397</v>
      </c>
      <c r="S206" s="386">
        <v>2.9322868125000001</v>
      </c>
    </row>
    <row r="207" spans="1:19" x14ac:dyDescent="0.25">
      <c r="A207">
        <v>2021</v>
      </c>
      <c r="C207" t="s">
        <v>6860</v>
      </c>
      <c r="D207" t="s">
        <v>7021</v>
      </c>
      <c r="E207" t="s">
        <v>7022</v>
      </c>
      <c r="F207" t="s">
        <v>324</v>
      </c>
      <c r="G207">
        <v>41031</v>
      </c>
      <c r="H207">
        <v>38.394444</v>
      </c>
      <c r="I207">
        <v>-84.284999999999997</v>
      </c>
      <c r="K207">
        <v>110020737540</v>
      </c>
      <c r="L207" t="s">
        <v>263</v>
      </c>
      <c r="R207" s="387">
        <f t="shared" si="3"/>
        <v>6.4425042163958794</v>
      </c>
      <c r="S207" s="386">
        <v>2.9222707562500001</v>
      </c>
    </row>
    <row r="208" spans="1:19" x14ac:dyDescent="0.25">
      <c r="A208">
        <v>2022</v>
      </c>
      <c r="C208" t="s">
        <v>6860</v>
      </c>
      <c r="D208" t="s">
        <v>7021</v>
      </c>
      <c r="E208" t="s">
        <v>7022</v>
      </c>
      <c r="F208" t="s">
        <v>324</v>
      </c>
      <c r="G208">
        <v>41031</v>
      </c>
      <c r="H208">
        <v>38.394444</v>
      </c>
      <c r="I208">
        <v>-84.284999999999997</v>
      </c>
      <c r="K208">
        <v>110020737540</v>
      </c>
      <c r="L208" t="s">
        <v>263</v>
      </c>
      <c r="R208" s="387">
        <f t="shared" si="3"/>
        <v>6.0534107694536399</v>
      </c>
      <c r="S208" s="386">
        <v>2.7457809375000002</v>
      </c>
    </row>
    <row r="209" spans="1:19" x14ac:dyDescent="0.25">
      <c r="A209">
        <v>2024</v>
      </c>
      <c r="C209" t="s">
        <v>6860</v>
      </c>
      <c r="D209" t="s">
        <v>7021</v>
      </c>
      <c r="E209" t="s">
        <v>7022</v>
      </c>
      <c r="F209" t="s">
        <v>324</v>
      </c>
      <c r="G209">
        <v>41031</v>
      </c>
      <c r="H209">
        <v>38.394444</v>
      </c>
      <c r="I209">
        <v>-84.284999999999997</v>
      </c>
      <c r="K209">
        <v>110020737540</v>
      </c>
      <c r="L209" t="s">
        <v>263</v>
      </c>
      <c r="R209" s="387">
        <f t="shared" si="3"/>
        <v>7.15749197897663E-4</v>
      </c>
      <c r="S209" s="386">
        <v>3.2465837499999999E-4</v>
      </c>
    </row>
    <row r="210" spans="1:19" x14ac:dyDescent="0.25">
      <c r="A210">
        <v>2023</v>
      </c>
      <c r="C210" t="s">
        <v>6849</v>
      </c>
      <c r="D210" t="s">
        <v>7004</v>
      </c>
      <c r="E210" t="s">
        <v>520</v>
      </c>
      <c r="F210" t="s">
        <v>362</v>
      </c>
      <c r="G210" t="s">
        <v>7005</v>
      </c>
      <c r="H210">
        <v>29.706247999999999</v>
      </c>
      <c r="I210">
        <v>-95.251079000000004</v>
      </c>
      <c r="J210" t="s">
        <v>7129</v>
      </c>
      <c r="K210">
        <v>110000461107</v>
      </c>
      <c r="L210" t="s">
        <v>265</v>
      </c>
      <c r="R210" s="387">
        <f t="shared" si="3"/>
        <v>7.3065602933312115E-2</v>
      </c>
      <c r="S210" s="386">
        <v>3.3141999999999998E-2</v>
      </c>
    </row>
    <row r="211" spans="1:19" x14ac:dyDescent="0.25">
      <c r="A211">
        <v>2023</v>
      </c>
      <c r="C211" t="s">
        <v>6783</v>
      </c>
      <c r="D211" t="s">
        <v>6929</v>
      </c>
      <c r="E211" t="s">
        <v>6930</v>
      </c>
      <c r="F211" t="s">
        <v>362</v>
      </c>
      <c r="G211">
        <v>77627</v>
      </c>
      <c r="H211">
        <v>30.014958</v>
      </c>
      <c r="I211">
        <v>-94.029087000000004</v>
      </c>
      <c r="K211">
        <v>110071710882</v>
      </c>
      <c r="L211" t="s">
        <v>265</v>
      </c>
      <c r="R211" s="387">
        <f t="shared" si="3"/>
        <v>29.114140522249084</v>
      </c>
      <c r="S211" s="386">
        <v>13.205952</v>
      </c>
    </row>
    <row r="212" spans="1:19" x14ac:dyDescent="0.25">
      <c r="A212">
        <v>2022</v>
      </c>
      <c r="C212" t="s">
        <v>6812</v>
      </c>
      <c r="D212" t="s">
        <v>6965</v>
      </c>
      <c r="E212" t="s">
        <v>6966</v>
      </c>
      <c r="F212" t="s">
        <v>362</v>
      </c>
      <c r="G212">
        <v>77580</v>
      </c>
      <c r="H212">
        <v>29.857654</v>
      </c>
      <c r="I212">
        <v>-94.910674</v>
      </c>
      <c r="J212" t="s">
        <v>7124</v>
      </c>
      <c r="K212">
        <v>110056961480</v>
      </c>
      <c r="L212" t="s">
        <v>265</v>
      </c>
      <c r="R212" s="387">
        <f t="shared" si="3"/>
        <v>0.36532801466656062</v>
      </c>
      <c r="S212" s="386">
        <v>0.16571</v>
      </c>
    </row>
    <row r="213" spans="1:19" x14ac:dyDescent="0.25">
      <c r="A213">
        <v>2021</v>
      </c>
      <c r="C213" t="s">
        <v>6786</v>
      </c>
      <c r="D213" t="s">
        <v>6936</v>
      </c>
      <c r="E213" t="s">
        <v>6937</v>
      </c>
      <c r="F213" t="s">
        <v>324</v>
      </c>
      <c r="G213">
        <v>40422</v>
      </c>
      <c r="H213">
        <v>37.621431000000001</v>
      </c>
      <c r="I213">
        <v>-84.733756</v>
      </c>
      <c r="K213">
        <v>110000732351</v>
      </c>
      <c r="L213" t="s">
        <v>263</v>
      </c>
      <c r="R213" s="387">
        <f t="shared" si="3"/>
        <v>55.813208729679467</v>
      </c>
      <c r="S213" s="386">
        <v>25.316445625</v>
      </c>
    </row>
    <row r="214" spans="1:19" x14ac:dyDescent="0.25">
      <c r="A214">
        <v>2022</v>
      </c>
      <c r="C214" t="s">
        <v>6786</v>
      </c>
      <c r="D214" t="s">
        <v>6936</v>
      </c>
      <c r="E214" t="s">
        <v>6937</v>
      </c>
      <c r="F214" t="s">
        <v>324</v>
      </c>
      <c r="G214">
        <v>40422</v>
      </c>
      <c r="H214">
        <v>37.621431000000001</v>
      </c>
      <c r="I214">
        <v>-84.733756</v>
      </c>
      <c r="K214">
        <v>110000732351</v>
      </c>
      <c r="L214" t="s">
        <v>263</v>
      </c>
      <c r="R214" s="387">
        <f t="shared" si="3"/>
        <v>45.000827229523281</v>
      </c>
      <c r="S214" s="386">
        <v>20.412031875</v>
      </c>
    </row>
    <row r="215" spans="1:19" x14ac:dyDescent="0.25">
      <c r="A215">
        <v>2023</v>
      </c>
      <c r="C215" t="s">
        <v>6786</v>
      </c>
      <c r="D215" t="s">
        <v>6936</v>
      </c>
      <c r="E215" t="s">
        <v>6937</v>
      </c>
      <c r="F215" t="s">
        <v>324</v>
      </c>
      <c r="G215">
        <v>40422</v>
      </c>
      <c r="H215">
        <v>37.621431000000001</v>
      </c>
      <c r="I215">
        <v>-84.733756</v>
      </c>
      <c r="K215">
        <v>110000732351</v>
      </c>
      <c r="L215" t="s">
        <v>263</v>
      </c>
      <c r="R215" s="387">
        <f t="shared" si="3"/>
        <v>33.960015134293371</v>
      </c>
      <c r="S215" s="386">
        <v>15.404003749999999</v>
      </c>
    </row>
    <row r="216" spans="1:19" x14ac:dyDescent="0.25">
      <c r="A216">
        <v>2022</v>
      </c>
      <c r="C216" t="s">
        <v>6774</v>
      </c>
      <c r="D216" t="s">
        <v>581</v>
      </c>
      <c r="E216" t="s">
        <v>2421</v>
      </c>
      <c r="F216" t="s">
        <v>362</v>
      </c>
      <c r="G216">
        <v>78359</v>
      </c>
      <c r="H216">
        <v>27.883610999999998</v>
      </c>
      <c r="I216">
        <v>-97.241382999999999</v>
      </c>
      <c r="J216" t="s">
        <v>583</v>
      </c>
      <c r="K216">
        <v>110070725501</v>
      </c>
      <c r="L216" t="s">
        <v>265</v>
      </c>
      <c r="R216" s="387">
        <f t="shared" si="3"/>
        <v>2767.2846436989225</v>
      </c>
      <c r="S216" s="386">
        <v>1255.2192</v>
      </c>
    </row>
    <row r="217" spans="1:19" x14ac:dyDescent="0.25">
      <c r="A217">
        <v>2024</v>
      </c>
      <c r="C217" t="s">
        <v>6846</v>
      </c>
      <c r="D217" t="s">
        <v>7000</v>
      </c>
      <c r="E217" t="s">
        <v>1267</v>
      </c>
      <c r="F217" t="s">
        <v>491</v>
      </c>
      <c r="G217" t="s">
        <v>7001</v>
      </c>
      <c r="H217">
        <v>40.670580000000001</v>
      </c>
      <c r="I217">
        <v>-80.336500000000001</v>
      </c>
      <c r="J217" t="s">
        <v>7128</v>
      </c>
      <c r="K217">
        <v>110000329038</v>
      </c>
      <c r="L217" t="s">
        <v>265</v>
      </c>
      <c r="R217" s="387">
        <f t="shared" si="3"/>
        <v>0.10509436038353114</v>
      </c>
      <c r="S217" s="386">
        <v>4.7669999999999997E-2</v>
      </c>
    </row>
    <row r="218" spans="1:19" x14ac:dyDescent="0.25">
      <c r="A218">
        <v>2021</v>
      </c>
      <c r="C218" t="s">
        <v>208</v>
      </c>
      <c r="D218" t="s">
        <v>647</v>
      </c>
      <c r="E218" t="s">
        <v>648</v>
      </c>
      <c r="F218" t="s">
        <v>328</v>
      </c>
      <c r="G218">
        <v>30721</v>
      </c>
      <c r="H218">
        <v>34.632592000000002</v>
      </c>
      <c r="I218">
        <v>-84.927667999999997</v>
      </c>
      <c r="J218" t="s">
        <v>649</v>
      </c>
      <c r="K218">
        <v>110000611703</v>
      </c>
      <c r="L218" t="s">
        <v>253</v>
      </c>
      <c r="R218" s="387">
        <f t="shared" si="3"/>
        <v>1.5513929389949836E-2</v>
      </c>
      <c r="S218" s="386">
        <v>7.0369999999999999E-3</v>
      </c>
    </row>
    <row r="219" spans="1:19" x14ac:dyDescent="0.25">
      <c r="A219">
        <v>2021</v>
      </c>
      <c r="C219" t="s">
        <v>1077</v>
      </c>
      <c r="D219" t="s">
        <v>1670</v>
      </c>
      <c r="E219" t="s">
        <v>1078</v>
      </c>
      <c r="F219" t="s">
        <v>366</v>
      </c>
      <c r="G219">
        <v>95682</v>
      </c>
      <c r="H219">
        <v>38.627777999999999</v>
      </c>
      <c r="I219">
        <v>-120.984167</v>
      </c>
      <c r="K219">
        <v>110070619860</v>
      </c>
      <c r="L219" t="s">
        <v>263</v>
      </c>
      <c r="R219" s="387">
        <f t="shared" si="3"/>
        <v>0.15355042017130929</v>
      </c>
      <c r="S219" s="386">
        <v>6.9649298999999998E-2</v>
      </c>
    </row>
    <row r="220" spans="1:19" x14ac:dyDescent="0.25">
      <c r="A220">
        <v>2021</v>
      </c>
      <c r="C220" t="s">
        <v>133</v>
      </c>
      <c r="D220" t="s">
        <v>429</v>
      </c>
      <c r="E220" t="s">
        <v>430</v>
      </c>
      <c r="F220" t="s">
        <v>366</v>
      </c>
      <c r="G220" t="s">
        <v>431</v>
      </c>
      <c r="H220">
        <v>33.892391000000003</v>
      </c>
      <c r="I220">
        <v>-118.072909</v>
      </c>
      <c r="K220">
        <v>110000781609</v>
      </c>
      <c r="L220" t="s">
        <v>252</v>
      </c>
      <c r="R220" s="387">
        <f t="shared" si="3"/>
        <v>4.1389161815045519E-4</v>
      </c>
      <c r="S220" s="386">
        <v>1.8773807999999999E-4</v>
      </c>
    </row>
    <row r="221" spans="1:19" x14ac:dyDescent="0.25">
      <c r="A221">
        <v>2021</v>
      </c>
      <c r="C221" t="s">
        <v>1079</v>
      </c>
      <c r="D221" t="s">
        <v>1673</v>
      </c>
      <c r="E221" t="s">
        <v>381</v>
      </c>
      <c r="F221" t="s">
        <v>338</v>
      </c>
      <c r="G221">
        <v>80140309</v>
      </c>
      <c r="H221">
        <v>39.80142</v>
      </c>
      <c r="I221">
        <v>-75.354990000000001</v>
      </c>
      <c r="J221" t="s">
        <v>710</v>
      </c>
      <c r="K221">
        <v>110000582003</v>
      </c>
      <c r="L221" t="s">
        <v>265</v>
      </c>
      <c r="R221" s="387">
        <f t="shared" si="3"/>
        <v>2.3115468190084414</v>
      </c>
      <c r="S221" s="386">
        <v>1.0485</v>
      </c>
    </row>
    <row r="222" spans="1:19" x14ac:dyDescent="0.25">
      <c r="A222">
        <v>2022</v>
      </c>
      <c r="C222" t="s">
        <v>1079</v>
      </c>
      <c r="D222" t="s">
        <v>1673</v>
      </c>
      <c r="E222" t="s">
        <v>381</v>
      </c>
      <c r="F222" t="s">
        <v>338</v>
      </c>
      <c r="G222">
        <v>80140309</v>
      </c>
      <c r="H222">
        <v>39.80142</v>
      </c>
      <c r="I222">
        <v>-75.354990000000001</v>
      </c>
      <c r="J222" t="s">
        <v>710</v>
      </c>
      <c r="K222">
        <v>110000582003</v>
      </c>
      <c r="L222" t="s">
        <v>265</v>
      </c>
      <c r="R222" s="387">
        <f t="shared" si="3"/>
        <v>2.020536632924403</v>
      </c>
      <c r="S222" s="386">
        <v>0.91649999999999998</v>
      </c>
    </row>
    <row r="223" spans="1:19" x14ac:dyDescent="0.25">
      <c r="A223">
        <v>2024</v>
      </c>
      <c r="C223" t="s">
        <v>1079</v>
      </c>
      <c r="D223" t="s">
        <v>1673</v>
      </c>
      <c r="E223" t="s">
        <v>381</v>
      </c>
      <c r="F223" t="s">
        <v>338</v>
      </c>
      <c r="G223">
        <v>80140309</v>
      </c>
      <c r="H223">
        <v>39.80142</v>
      </c>
      <c r="I223">
        <v>-75.354990000000001</v>
      </c>
      <c r="J223" t="s">
        <v>710</v>
      </c>
      <c r="K223">
        <v>110000582003</v>
      </c>
      <c r="L223" t="s">
        <v>265</v>
      </c>
      <c r="R223" s="387">
        <f t="shared" si="3"/>
        <v>0.62523097555631291</v>
      </c>
      <c r="S223" s="386">
        <v>0.28360000000000002</v>
      </c>
    </row>
    <row r="224" spans="1:19" x14ac:dyDescent="0.25">
      <c r="A224">
        <v>2023</v>
      </c>
      <c r="C224" t="s">
        <v>1079</v>
      </c>
      <c r="D224" t="s">
        <v>1673</v>
      </c>
      <c r="E224" t="s">
        <v>381</v>
      </c>
      <c r="F224" t="s">
        <v>338</v>
      </c>
      <c r="G224" t="s">
        <v>7086</v>
      </c>
      <c r="H224">
        <v>39.80142</v>
      </c>
      <c r="I224">
        <v>-75.354990000000001</v>
      </c>
      <c r="J224" t="s">
        <v>710</v>
      </c>
      <c r="K224">
        <v>110000582003</v>
      </c>
      <c r="L224" t="s">
        <v>265</v>
      </c>
      <c r="R224" s="387">
        <f t="shared" si="3"/>
        <v>0.43751838241899876</v>
      </c>
      <c r="S224" s="386">
        <v>0.19845499999999999</v>
      </c>
    </row>
    <row r="225" spans="1:19" x14ac:dyDescent="0.25">
      <c r="A225">
        <v>2022</v>
      </c>
      <c r="C225" t="s">
        <v>1080</v>
      </c>
      <c r="D225" t="s">
        <v>1677</v>
      </c>
      <c r="E225" t="s">
        <v>1081</v>
      </c>
      <c r="F225" t="s">
        <v>338</v>
      </c>
      <c r="G225">
        <v>8075</v>
      </c>
      <c r="H225">
        <v>40.038871999999998</v>
      </c>
      <c r="I225">
        <v>-74.975640999999996</v>
      </c>
      <c r="K225">
        <v>110006620095</v>
      </c>
      <c r="L225" t="s">
        <v>263</v>
      </c>
      <c r="R225" s="387">
        <f t="shared" si="3"/>
        <v>0.39619252744485095</v>
      </c>
      <c r="S225" s="386">
        <v>0.17970990749999999</v>
      </c>
    </row>
    <row r="226" spans="1:19" x14ac:dyDescent="0.25">
      <c r="A226">
        <v>2023</v>
      </c>
      <c r="C226" t="s">
        <v>1080</v>
      </c>
      <c r="D226" t="s">
        <v>1677</v>
      </c>
      <c r="E226" t="s">
        <v>1081</v>
      </c>
      <c r="F226" t="s">
        <v>338</v>
      </c>
      <c r="G226" t="s">
        <v>1678</v>
      </c>
      <c r="H226">
        <v>40.038871999999998</v>
      </c>
      <c r="I226">
        <v>-74.975640999999996</v>
      </c>
      <c r="K226">
        <v>110006620095</v>
      </c>
      <c r="L226" t="s">
        <v>263</v>
      </c>
      <c r="R226" s="387">
        <f t="shared" si="3"/>
        <v>0.3203619143769989</v>
      </c>
      <c r="S226" s="386">
        <v>0.14531372000000001</v>
      </c>
    </row>
    <row r="227" spans="1:19" x14ac:dyDescent="0.25">
      <c r="A227">
        <v>2021</v>
      </c>
      <c r="C227" t="s">
        <v>1080</v>
      </c>
      <c r="D227" t="s">
        <v>1677</v>
      </c>
      <c r="E227" t="s">
        <v>1081</v>
      </c>
      <c r="F227" t="s">
        <v>338</v>
      </c>
      <c r="G227">
        <v>8075</v>
      </c>
      <c r="H227">
        <v>40.038871999999998</v>
      </c>
      <c r="I227">
        <v>-74.975640999999996</v>
      </c>
      <c r="K227">
        <v>110006620095</v>
      </c>
      <c r="L227" t="s">
        <v>263</v>
      </c>
      <c r="R227" s="387">
        <f t="shared" si="3"/>
        <v>0.31509653700744567</v>
      </c>
      <c r="S227" s="386">
        <v>0.14292538499999999</v>
      </c>
    </row>
    <row r="228" spans="1:19" x14ac:dyDescent="0.25">
      <c r="A228">
        <v>2021</v>
      </c>
      <c r="C228" t="s">
        <v>1682</v>
      </c>
      <c r="D228" t="s">
        <v>501</v>
      </c>
      <c r="E228" t="s">
        <v>502</v>
      </c>
      <c r="F228" t="s">
        <v>303</v>
      </c>
      <c r="G228">
        <v>70058</v>
      </c>
      <c r="H228">
        <v>29.910609999999998</v>
      </c>
      <c r="I228">
        <v>-90.085269999999994</v>
      </c>
      <c r="K228">
        <v>110070117180</v>
      </c>
      <c r="L228" t="s">
        <v>252</v>
      </c>
      <c r="R228" s="387">
        <f t="shared" si="3"/>
        <v>8.4283026790612017E-2</v>
      </c>
      <c r="S228" s="386">
        <v>3.82301378727272E-2</v>
      </c>
    </row>
    <row r="229" spans="1:19" x14ac:dyDescent="0.25">
      <c r="A229">
        <v>2024</v>
      </c>
      <c r="C229" t="s">
        <v>1682</v>
      </c>
      <c r="D229" t="s">
        <v>501</v>
      </c>
      <c r="E229" t="s">
        <v>502</v>
      </c>
      <c r="F229" t="s">
        <v>303</v>
      </c>
      <c r="G229">
        <v>70058</v>
      </c>
      <c r="H229">
        <v>29.910609999999998</v>
      </c>
      <c r="I229">
        <v>-90.085269999999994</v>
      </c>
      <c r="K229">
        <v>110070117180</v>
      </c>
      <c r="L229" t="s">
        <v>252</v>
      </c>
      <c r="R229" s="387">
        <f t="shared" si="3"/>
        <v>8.3183366267823244E-2</v>
      </c>
      <c r="S229" s="386">
        <v>3.7731340250000002E-2</v>
      </c>
    </row>
    <row r="230" spans="1:19" x14ac:dyDescent="0.25">
      <c r="A230">
        <v>2024</v>
      </c>
      <c r="C230" t="s">
        <v>1682</v>
      </c>
      <c r="D230" t="s">
        <v>501</v>
      </c>
      <c r="E230" t="s">
        <v>502</v>
      </c>
      <c r="F230" t="s">
        <v>303</v>
      </c>
      <c r="G230">
        <v>70058</v>
      </c>
      <c r="H230">
        <v>29.910609999999998</v>
      </c>
      <c r="I230">
        <v>-90.085269999999994</v>
      </c>
      <c r="K230">
        <v>110070117180</v>
      </c>
      <c r="L230" t="s">
        <v>252</v>
      </c>
      <c r="R230" s="387">
        <f t="shared" si="3"/>
        <v>7.9018961782800726E-2</v>
      </c>
      <c r="S230" s="386">
        <v>3.5842398150000003E-2</v>
      </c>
    </row>
    <row r="231" spans="1:19" x14ac:dyDescent="0.25">
      <c r="A231">
        <v>2023</v>
      </c>
      <c r="C231" t="s">
        <v>1682</v>
      </c>
      <c r="D231" t="s">
        <v>501</v>
      </c>
      <c r="E231" t="s">
        <v>502</v>
      </c>
      <c r="F231" t="s">
        <v>303</v>
      </c>
      <c r="G231">
        <v>70058</v>
      </c>
      <c r="H231">
        <v>29.910609999999998</v>
      </c>
      <c r="I231">
        <v>-90.085269999999994</v>
      </c>
      <c r="K231">
        <v>110070117180</v>
      </c>
      <c r="L231" t="s">
        <v>252</v>
      </c>
      <c r="R231" s="387">
        <f t="shared" si="3"/>
        <v>6.228029207810528E-2</v>
      </c>
      <c r="S231" s="386">
        <v>2.8249865288000001E-2</v>
      </c>
    </row>
    <row r="232" spans="1:19" x14ac:dyDescent="0.25">
      <c r="A232">
        <v>2022</v>
      </c>
      <c r="C232" t="s">
        <v>1682</v>
      </c>
      <c r="D232" t="s">
        <v>501</v>
      </c>
      <c r="E232" t="s">
        <v>502</v>
      </c>
      <c r="F232" t="s">
        <v>303</v>
      </c>
      <c r="G232">
        <v>70058</v>
      </c>
      <c r="H232">
        <v>29.910609999999998</v>
      </c>
      <c r="I232">
        <v>-90.085269999999994</v>
      </c>
      <c r="K232">
        <v>110070117180</v>
      </c>
      <c r="L232" t="s">
        <v>252</v>
      </c>
      <c r="R232" s="387">
        <f t="shared" si="3"/>
        <v>5.5334985628175348E-2</v>
      </c>
      <c r="S232" s="386">
        <v>2.5099527274999998E-2</v>
      </c>
    </row>
    <row r="233" spans="1:19" x14ac:dyDescent="0.25">
      <c r="A233">
        <v>2021</v>
      </c>
      <c r="C233" t="s">
        <v>1682</v>
      </c>
      <c r="D233" t="s">
        <v>501</v>
      </c>
      <c r="E233" t="s">
        <v>502</v>
      </c>
      <c r="F233" t="s">
        <v>303</v>
      </c>
      <c r="G233">
        <v>70058</v>
      </c>
      <c r="H233">
        <v>29.910609999999998</v>
      </c>
      <c r="I233">
        <v>-90.085269999999994</v>
      </c>
      <c r="K233">
        <v>110070117180</v>
      </c>
      <c r="L233" t="s">
        <v>252</v>
      </c>
      <c r="R233" s="387">
        <f t="shared" si="3"/>
        <v>4.6657099813689769E-2</v>
      </c>
      <c r="S233" s="386">
        <v>2.11633044818181E-2</v>
      </c>
    </row>
    <row r="234" spans="1:19" x14ac:dyDescent="0.25">
      <c r="A234">
        <v>2023</v>
      </c>
      <c r="C234" t="s">
        <v>1682</v>
      </c>
      <c r="D234" t="s">
        <v>501</v>
      </c>
      <c r="E234" t="s">
        <v>502</v>
      </c>
      <c r="F234" t="s">
        <v>303</v>
      </c>
      <c r="G234">
        <v>70058</v>
      </c>
      <c r="H234">
        <v>29.910609999999998</v>
      </c>
      <c r="I234">
        <v>-90.085269999999994</v>
      </c>
      <c r="K234">
        <v>110070117180</v>
      </c>
      <c r="L234" t="s">
        <v>252</v>
      </c>
      <c r="R234" s="387">
        <f t="shared" si="3"/>
        <v>3.7465997113223043E-2</v>
      </c>
      <c r="S234" s="386">
        <v>1.6994290424999999E-2</v>
      </c>
    </row>
    <row r="235" spans="1:19" x14ac:dyDescent="0.25">
      <c r="A235">
        <v>2022</v>
      </c>
      <c r="C235" t="s">
        <v>1682</v>
      </c>
      <c r="D235" t="s">
        <v>501</v>
      </c>
      <c r="E235" t="s">
        <v>502</v>
      </c>
      <c r="F235" t="s">
        <v>303</v>
      </c>
      <c r="G235">
        <v>70058</v>
      </c>
      <c r="H235">
        <v>29.910609999999998</v>
      </c>
      <c r="I235">
        <v>-90.085269999999994</v>
      </c>
      <c r="K235">
        <v>110070117180</v>
      </c>
      <c r="L235" t="s">
        <v>252</v>
      </c>
      <c r="R235" s="387">
        <f t="shared" si="3"/>
        <v>3.5171657739745489E-2</v>
      </c>
      <c r="S235" s="386">
        <v>1.5953595591E-2</v>
      </c>
    </row>
    <row r="236" spans="1:19" x14ac:dyDescent="0.25">
      <c r="A236">
        <v>2024</v>
      </c>
      <c r="C236" t="s">
        <v>1082</v>
      </c>
      <c r="D236" t="s">
        <v>1684</v>
      </c>
      <c r="E236" t="s">
        <v>987</v>
      </c>
      <c r="F236" t="s">
        <v>324</v>
      </c>
      <c r="G236">
        <v>40272</v>
      </c>
      <c r="H236">
        <v>38.08614</v>
      </c>
      <c r="I236">
        <v>-85.898780000000002</v>
      </c>
      <c r="K236">
        <v>110000732379</v>
      </c>
      <c r="L236" t="s">
        <v>263</v>
      </c>
      <c r="R236" s="387">
        <f t="shared" si="3"/>
        <v>443.31525585957274</v>
      </c>
      <c r="S236" s="386">
        <v>201.08441756249999</v>
      </c>
    </row>
    <row r="237" spans="1:19" x14ac:dyDescent="0.25">
      <c r="A237">
        <v>2021</v>
      </c>
      <c r="C237" t="s">
        <v>1082</v>
      </c>
      <c r="D237" t="s">
        <v>1684</v>
      </c>
      <c r="E237" t="s">
        <v>987</v>
      </c>
      <c r="F237" t="s">
        <v>324</v>
      </c>
      <c r="G237">
        <v>40272</v>
      </c>
      <c r="H237">
        <v>38.08614</v>
      </c>
      <c r="I237">
        <v>-85.898780000000002</v>
      </c>
      <c r="K237">
        <v>110000732379</v>
      </c>
      <c r="L237" t="s">
        <v>263</v>
      </c>
      <c r="R237" s="387">
        <f t="shared" si="3"/>
        <v>272.51769992295061</v>
      </c>
      <c r="S237" s="386">
        <v>123.61194937499999</v>
      </c>
    </row>
    <row r="238" spans="1:19" x14ac:dyDescent="0.25">
      <c r="A238">
        <v>2022</v>
      </c>
      <c r="C238" t="s">
        <v>1082</v>
      </c>
      <c r="D238" t="s">
        <v>1684</v>
      </c>
      <c r="E238" t="s">
        <v>987</v>
      </c>
      <c r="F238" t="s">
        <v>324</v>
      </c>
      <c r="G238">
        <v>40272</v>
      </c>
      <c r="H238">
        <v>38.08614</v>
      </c>
      <c r="I238">
        <v>-85.898780000000002</v>
      </c>
      <c r="K238">
        <v>110000732379</v>
      </c>
      <c r="L238" t="s">
        <v>263</v>
      </c>
      <c r="R238" s="387">
        <f t="shared" si="3"/>
        <v>236.57795296468501</v>
      </c>
      <c r="S238" s="386">
        <v>107.309954375</v>
      </c>
    </row>
    <row r="239" spans="1:19" x14ac:dyDescent="0.25">
      <c r="A239">
        <v>2023</v>
      </c>
      <c r="C239" t="s">
        <v>1082</v>
      </c>
      <c r="D239" t="s">
        <v>1684</v>
      </c>
      <c r="E239" t="s">
        <v>987</v>
      </c>
      <c r="F239" t="s">
        <v>324</v>
      </c>
      <c r="G239">
        <v>40272</v>
      </c>
      <c r="H239">
        <v>38.08614</v>
      </c>
      <c r="I239">
        <v>-85.898780000000002</v>
      </c>
      <c r="K239">
        <v>110000732379</v>
      </c>
      <c r="L239" t="s">
        <v>263</v>
      </c>
      <c r="R239" s="387">
        <f t="shared" si="3"/>
        <v>193.77767380103859</v>
      </c>
      <c r="S239" s="386">
        <v>87.896074312500005</v>
      </c>
    </row>
    <row r="240" spans="1:19" x14ac:dyDescent="0.25">
      <c r="A240">
        <v>2021</v>
      </c>
      <c r="C240" t="s">
        <v>134</v>
      </c>
      <c r="D240" t="s">
        <v>433</v>
      </c>
      <c r="E240" t="s">
        <v>434</v>
      </c>
      <c r="F240" t="s">
        <v>435</v>
      </c>
      <c r="G240">
        <v>28203</v>
      </c>
      <c r="H240">
        <v>35.215859999999999</v>
      </c>
      <c r="I240">
        <v>-80.856890000000007</v>
      </c>
      <c r="K240">
        <v>110070048003</v>
      </c>
      <c r="L240" t="s">
        <v>264</v>
      </c>
      <c r="R240" s="387">
        <f t="shared" si="3"/>
        <v>0.11172716891159346</v>
      </c>
      <c r="S240" s="386">
        <v>5.0678591340000002E-2</v>
      </c>
    </row>
    <row r="241" spans="1:19" x14ac:dyDescent="0.25">
      <c r="A241">
        <v>2021</v>
      </c>
      <c r="C241" t="s">
        <v>6876</v>
      </c>
      <c r="D241" t="s">
        <v>7048</v>
      </c>
      <c r="E241" t="s">
        <v>7049</v>
      </c>
      <c r="F241" t="s">
        <v>366</v>
      </c>
      <c r="G241">
        <v>94514</v>
      </c>
      <c r="H241">
        <v>37.894722000000002</v>
      </c>
      <c r="I241">
        <v>-121.587222</v>
      </c>
      <c r="K241">
        <v>110001103911</v>
      </c>
      <c r="L241" t="s">
        <v>263</v>
      </c>
      <c r="R241" s="387">
        <f t="shared" si="3"/>
        <v>0.15040654762336497</v>
      </c>
      <c r="S241" s="386">
        <v>6.8223262399999998E-2</v>
      </c>
    </row>
    <row r="242" spans="1:19" x14ac:dyDescent="0.25">
      <c r="A242">
        <v>2022</v>
      </c>
      <c r="C242" t="s">
        <v>1083</v>
      </c>
      <c r="D242" t="s">
        <v>6935</v>
      </c>
      <c r="E242" t="s">
        <v>1084</v>
      </c>
      <c r="F242" t="s">
        <v>491</v>
      </c>
      <c r="G242">
        <v>17961</v>
      </c>
      <c r="H242">
        <v>40.627648000000001</v>
      </c>
      <c r="I242">
        <v>-76.064880000000002</v>
      </c>
      <c r="K242">
        <v>110000584305</v>
      </c>
      <c r="L242" t="s">
        <v>265</v>
      </c>
      <c r="R242" s="387">
        <f t="shared" si="3"/>
        <v>1.7345573956634233E-2</v>
      </c>
      <c r="S242" s="386">
        <v>7.8678199999999993E-3</v>
      </c>
    </row>
    <row r="243" spans="1:19" x14ac:dyDescent="0.25">
      <c r="A243">
        <v>2023</v>
      </c>
      <c r="C243" t="s">
        <v>1083</v>
      </c>
      <c r="D243" t="s">
        <v>6935</v>
      </c>
      <c r="E243" t="s">
        <v>1084</v>
      </c>
      <c r="F243" t="s">
        <v>491</v>
      </c>
      <c r="G243">
        <v>17961</v>
      </c>
      <c r="H243">
        <v>40.627648000000001</v>
      </c>
      <c r="I243">
        <v>-76.064880000000002</v>
      </c>
      <c r="K243">
        <v>110000584305</v>
      </c>
      <c r="L243" t="s">
        <v>265</v>
      </c>
      <c r="R243" s="387">
        <f t="shared" si="3"/>
        <v>1.6429751673292036E-2</v>
      </c>
      <c r="S243" s="386">
        <v>7.4524099999999996E-3</v>
      </c>
    </row>
    <row r="244" spans="1:19" x14ac:dyDescent="0.25">
      <c r="A244">
        <v>2024</v>
      </c>
      <c r="C244" t="s">
        <v>1083</v>
      </c>
      <c r="D244" t="s">
        <v>6935</v>
      </c>
      <c r="E244" t="s">
        <v>1084</v>
      </c>
      <c r="F244" t="s">
        <v>491</v>
      </c>
      <c r="G244">
        <v>17961</v>
      </c>
      <c r="H244">
        <v>40.627648000000001</v>
      </c>
      <c r="I244">
        <v>-76.064880000000002</v>
      </c>
      <c r="K244">
        <v>110000584305</v>
      </c>
      <c r="L244" t="s">
        <v>265</v>
      </c>
      <c r="R244" s="387">
        <f t="shared" si="3"/>
        <v>1.4147702704963931E-2</v>
      </c>
      <c r="S244" s="386">
        <v>6.41729E-3</v>
      </c>
    </row>
    <row r="245" spans="1:19" x14ac:dyDescent="0.25">
      <c r="A245">
        <v>2021</v>
      </c>
      <c r="C245" t="s">
        <v>1083</v>
      </c>
      <c r="D245" t="s">
        <v>6935</v>
      </c>
      <c r="E245" t="s">
        <v>1084</v>
      </c>
      <c r="F245" t="s">
        <v>491</v>
      </c>
      <c r="G245">
        <v>17961</v>
      </c>
      <c r="H245">
        <v>40.627648000000001</v>
      </c>
      <c r="I245">
        <v>-76.064880000000002</v>
      </c>
      <c r="K245">
        <v>110000584305</v>
      </c>
      <c r="L245" t="s">
        <v>265</v>
      </c>
      <c r="R245" s="387">
        <f t="shared" si="3"/>
        <v>1.2806498486736009E-2</v>
      </c>
      <c r="S245" s="386">
        <v>5.8089300000000003E-3</v>
      </c>
    </row>
    <row r="246" spans="1:19" x14ac:dyDescent="0.25">
      <c r="A246">
        <v>2024</v>
      </c>
      <c r="C246" t="s">
        <v>6899</v>
      </c>
      <c r="D246" t="s">
        <v>7091</v>
      </c>
      <c r="E246" t="s">
        <v>1388</v>
      </c>
      <c r="F246" t="s">
        <v>294</v>
      </c>
      <c r="G246">
        <v>221822205</v>
      </c>
      <c r="H246">
        <v>38.926856000000001</v>
      </c>
      <c r="I246">
        <v>-77.245693000000003</v>
      </c>
      <c r="K246">
        <v>110071725441</v>
      </c>
      <c r="L246" t="s">
        <v>265</v>
      </c>
      <c r="R246" s="387">
        <f t="shared" si="3"/>
        <v>0.11956952043086615</v>
      </c>
      <c r="S246" s="386">
        <v>5.4235822151999999E-2</v>
      </c>
    </row>
    <row r="247" spans="1:19" x14ac:dyDescent="0.25">
      <c r="A247">
        <v>2022</v>
      </c>
      <c r="C247" t="s">
        <v>135</v>
      </c>
      <c r="D247" t="s">
        <v>439</v>
      </c>
      <c r="E247" t="s">
        <v>426</v>
      </c>
      <c r="F247" t="s">
        <v>427</v>
      </c>
      <c r="G247">
        <v>48640</v>
      </c>
      <c r="H247">
        <v>43.590555999999999</v>
      </c>
      <c r="I247">
        <v>-84.206943999999993</v>
      </c>
      <c r="K247">
        <v>110027360629</v>
      </c>
      <c r="L247" t="s">
        <v>251</v>
      </c>
      <c r="R247" s="387">
        <f t="shared" si="3"/>
        <v>136.92293809968629</v>
      </c>
      <c r="S247" s="386">
        <v>62.107199999999999</v>
      </c>
    </row>
    <row r="248" spans="1:19" x14ac:dyDescent="0.25">
      <c r="A248">
        <v>2021</v>
      </c>
      <c r="C248" t="s">
        <v>135</v>
      </c>
      <c r="D248" t="s">
        <v>439</v>
      </c>
      <c r="E248" t="s">
        <v>426</v>
      </c>
      <c r="F248" t="s">
        <v>427</v>
      </c>
      <c r="G248">
        <v>48640</v>
      </c>
      <c r="H248">
        <v>43.590555999999999</v>
      </c>
      <c r="I248">
        <v>-84.206943999999993</v>
      </c>
      <c r="K248">
        <v>110027360629</v>
      </c>
      <c r="L248" t="s">
        <v>251</v>
      </c>
      <c r="R248" s="387">
        <f t="shared" si="3"/>
        <v>95.125409627150461</v>
      </c>
      <c r="S248" s="386">
        <v>43.148159999999997</v>
      </c>
    </row>
    <row r="249" spans="1:19" x14ac:dyDescent="0.25">
      <c r="A249">
        <v>2021</v>
      </c>
      <c r="C249" t="s">
        <v>6788</v>
      </c>
      <c r="D249" t="s">
        <v>2058</v>
      </c>
      <c r="E249" t="s">
        <v>1263</v>
      </c>
      <c r="F249" t="s">
        <v>324</v>
      </c>
      <c r="G249">
        <v>41018</v>
      </c>
      <c r="H249">
        <v>39.058610999999999</v>
      </c>
      <c r="I249">
        <v>-84.618055999999996</v>
      </c>
      <c r="K249">
        <v>110039639736</v>
      </c>
      <c r="L249" t="s">
        <v>263</v>
      </c>
      <c r="R249" s="387">
        <f t="shared" si="3"/>
        <v>49.310551123247507</v>
      </c>
      <c r="S249" s="386">
        <v>22.366889749999999</v>
      </c>
    </row>
    <row r="250" spans="1:19" x14ac:dyDescent="0.25">
      <c r="A250">
        <v>2024</v>
      </c>
      <c r="C250" t="s">
        <v>136</v>
      </c>
      <c r="D250" t="s">
        <v>440</v>
      </c>
      <c r="E250" t="s">
        <v>441</v>
      </c>
      <c r="F250" t="s">
        <v>338</v>
      </c>
      <c r="G250" t="s">
        <v>442</v>
      </c>
      <c r="H250">
        <v>40.843611000000003</v>
      </c>
      <c r="I250">
        <v>-75.066389000000001</v>
      </c>
      <c r="J250" t="s">
        <v>443</v>
      </c>
      <c r="K250">
        <v>110040963286</v>
      </c>
      <c r="L250" t="s">
        <v>254</v>
      </c>
      <c r="R250" s="387">
        <f t="shared" si="3"/>
        <v>0.5350449512631793</v>
      </c>
      <c r="S250" s="386">
        <v>0.24269230750000001</v>
      </c>
    </row>
    <row r="251" spans="1:19" x14ac:dyDescent="0.25">
      <c r="A251">
        <v>2021</v>
      </c>
      <c r="C251" t="s">
        <v>136</v>
      </c>
      <c r="D251" t="s">
        <v>440</v>
      </c>
      <c r="E251" t="s">
        <v>441</v>
      </c>
      <c r="F251" t="s">
        <v>338</v>
      </c>
      <c r="G251" t="s">
        <v>442</v>
      </c>
      <c r="H251">
        <v>40.843611000000003</v>
      </c>
      <c r="I251">
        <v>-75.066389000000001</v>
      </c>
      <c r="J251" t="s">
        <v>443</v>
      </c>
      <c r="K251">
        <v>110040963286</v>
      </c>
      <c r="L251" t="s">
        <v>254</v>
      </c>
      <c r="R251" s="387">
        <f t="shared" si="3"/>
        <v>0.22473711225565809</v>
      </c>
      <c r="S251" s="386">
        <v>0.101939039375</v>
      </c>
    </row>
    <row r="252" spans="1:19" x14ac:dyDescent="0.25">
      <c r="A252">
        <v>2022</v>
      </c>
      <c r="C252" t="s">
        <v>136</v>
      </c>
      <c r="D252" t="s">
        <v>440</v>
      </c>
      <c r="E252" t="s">
        <v>441</v>
      </c>
      <c r="F252" t="s">
        <v>338</v>
      </c>
      <c r="G252" t="s">
        <v>442</v>
      </c>
      <c r="H252">
        <v>40.843611000000003</v>
      </c>
      <c r="I252">
        <v>-75.066389000000001</v>
      </c>
      <c r="J252" t="s">
        <v>443</v>
      </c>
      <c r="K252">
        <v>110040963286</v>
      </c>
      <c r="L252" t="s">
        <v>254</v>
      </c>
      <c r="R252" s="387">
        <f t="shared" si="3"/>
        <v>0.20224994552928657</v>
      </c>
      <c r="S252" s="386">
        <v>9.1739032124999995E-2</v>
      </c>
    </row>
    <row r="253" spans="1:19" x14ac:dyDescent="0.25">
      <c r="A253">
        <v>2023</v>
      </c>
      <c r="C253" t="s">
        <v>136</v>
      </c>
      <c r="D253" t="s">
        <v>440</v>
      </c>
      <c r="E253" t="s">
        <v>441</v>
      </c>
      <c r="F253" t="s">
        <v>338</v>
      </c>
      <c r="G253" t="s">
        <v>442</v>
      </c>
      <c r="H253">
        <v>40.843611000000003</v>
      </c>
      <c r="I253">
        <v>-75.066389000000001</v>
      </c>
      <c r="J253" t="s">
        <v>443</v>
      </c>
      <c r="K253">
        <v>110040963286</v>
      </c>
      <c r="L253" t="s">
        <v>254</v>
      </c>
      <c r="R253" s="387">
        <f t="shared" si="3"/>
        <v>0.11123949566766302</v>
      </c>
      <c r="S253" s="386">
        <v>5.0457386477499998E-2</v>
      </c>
    </row>
    <row r="254" spans="1:19" x14ac:dyDescent="0.25">
      <c r="A254">
        <v>2023</v>
      </c>
      <c r="C254" t="s">
        <v>1088</v>
      </c>
      <c r="D254" t="s">
        <v>1699</v>
      </c>
      <c r="E254" t="s">
        <v>985</v>
      </c>
      <c r="F254" t="s">
        <v>979</v>
      </c>
      <c r="G254">
        <v>37660</v>
      </c>
      <c r="H254">
        <v>36.527054999999997</v>
      </c>
      <c r="I254">
        <v>-82.538579999999996</v>
      </c>
      <c r="J254" t="s">
        <v>711</v>
      </c>
      <c r="K254">
        <v>110000574423</v>
      </c>
      <c r="L254" t="s">
        <v>265</v>
      </c>
      <c r="R254" s="387">
        <f t="shared" si="3"/>
        <v>18.248134332594702</v>
      </c>
      <c r="S254" s="386">
        <v>8.2772144999999995</v>
      </c>
    </row>
    <row r="255" spans="1:19" x14ac:dyDescent="0.25">
      <c r="A255">
        <v>2024</v>
      </c>
      <c r="C255" t="s">
        <v>1088</v>
      </c>
      <c r="D255" t="s">
        <v>1699</v>
      </c>
      <c r="E255" t="s">
        <v>985</v>
      </c>
      <c r="F255" t="s">
        <v>979</v>
      </c>
      <c r="G255">
        <v>37660</v>
      </c>
      <c r="H255">
        <v>36.527054999999997</v>
      </c>
      <c r="I255">
        <v>-82.538579999999996</v>
      </c>
      <c r="J255" t="s">
        <v>711</v>
      </c>
      <c r="K255">
        <v>110000574423</v>
      </c>
      <c r="L255" t="s">
        <v>265</v>
      </c>
      <c r="R255" s="387">
        <f t="shared" si="3"/>
        <v>18.120269527461407</v>
      </c>
      <c r="S255" s="386">
        <v>8.2192159999999994</v>
      </c>
    </row>
    <row r="256" spans="1:19" x14ac:dyDescent="0.25">
      <c r="A256">
        <v>2024</v>
      </c>
      <c r="C256" t="s">
        <v>1088</v>
      </c>
      <c r="D256" t="s">
        <v>1699</v>
      </c>
      <c r="E256" t="s">
        <v>985</v>
      </c>
      <c r="F256" t="s">
        <v>979</v>
      </c>
      <c r="G256">
        <v>37660</v>
      </c>
      <c r="H256">
        <v>36.527054999999997</v>
      </c>
      <c r="I256">
        <v>-82.538579999999996</v>
      </c>
      <c r="J256" t="s">
        <v>711</v>
      </c>
      <c r="K256">
        <v>110000574423</v>
      </c>
      <c r="L256" t="s">
        <v>265</v>
      </c>
      <c r="R256" s="387">
        <f t="shared" si="3"/>
        <v>0.80590313942009206</v>
      </c>
      <c r="S256" s="386">
        <v>0.36555151499999999</v>
      </c>
    </row>
    <row r="257" spans="1:19" x14ac:dyDescent="0.25">
      <c r="A257">
        <v>2023</v>
      </c>
      <c r="C257" t="s">
        <v>1088</v>
      </c>
      <c r="D257" t="s">
        <v>1699</v>
      </c>
      <c r="E257" t="s">
        <v>985</v>
      </c>
      <c r="F257" t="s">
        <v>979</v>
      </c>
      <c r="G257">
        <v>37660</v>
      </c>
      <c r="H257">
        <v>36.527054999999997</v>
      </c>
      <c r="I257">
        <v>-82.538579999999996</v>
      </c>
      <c r="J257" t="s">
        <v>711</v>
      </c>
      <c r="K257">
        <v>110000574423</v>
      </c>
      <c r="L257" t="s">
        <v>265</v>
      </c>
      <c r="R257" s="387">
        <f t="shared" si="3"/>
        <v>0.45412002300655985</v>
      </c>
      <c r="S257" s="386">
        <v>0.20598537750000001</v>
      </c>
    </row>
    <row r="258" spans="1:19" x14ac:dyDescent="0.25">
      <c r="A258">
        <v>2021</v>
      </c>
      <c r="C258" t="s">
        <v>6817</v>
      </c>
      <c r="D258" t="s">
        <v>519</v>
      </c>
      <c r="E258" t="s">
        <v>520</v>
      </c>
      <c r="F258" t="s">
        <v>362</v>
      </c>
      <c r="G258">
        <v>77012</v>
      </c>
      <c r="H258">
        <v>29.718139000000001</v>
      </c>
      <c r="I258">
        <v>-95.268749999999997</v>
      </c>
      <c r="J258" t="s">
        <v>521</v>
      </c>
      <c r="K258">
        <v>110000460901</v>
      </c>
      <c r="L258" t="s">
        <v>254</v>
      </c>
      <c r="R258" s="387">
        <f t="shared" si="3"/>
        <v>31.007840806493284</v>
      </c>
      <c r="S258" s="386">
        <v>14.064920000000001</v>
      </c>
    </row>
    <row r="259" spans="1:19" x14ac:dyDescent="0.25">
      <c r="A259">
        <v>2024</v>
      </c>
      <c r="C259" t="s">
        <v>6817</v>
      </c>
      <c r="D259" t="s">
        <v>519</v>
      </c>
      <c r="E259" t="s">
        <v>520</v>
      </c>
      <c r="F259" t="s">
        <v>362</v>
      </c>
      <c r="G259">
        <v>77012</v>
      </c>
      <c r="H259">
        <v>29.718139000000001</v>
      </c>
      <c r="I259">
        <v>-95.268749999999997</v>
      </c>
      <c r="J259" t="s">
        <v>521</v>
      </c>
      <c r="K259">
        <v>110000460901</v>
      </c>
      <c r="L259" t="s">
        <v>254</v>
      </c>
      <c r="R259" s="387">
        <f t="shared" ref="R259:R322" si="4">CONVERT(S259,"g","lbm")*1000</f>
        <v>29.196214213215271</v>
      </c>
      <c r="S259" s="386">
        <v>13.243180000000001</v>
      </c>
    </row>
    <row r="260" spans="1:19" x14ac:dyDescent="0.25">
      <c r="A260">
        <v>2024</v>
      </c>
      <c r="C260" t="s">
        <v>6817</v>
      </c>
      <c r="D260" t="s">
        <v>519</v>
      </c>
      <c r="E260" t="s">
        <v>520</v>
      </c>
      <c r="F260" t="s">
        <v>362</v>
      </c>
      <c r="G260">
        <v>77012</v>
      </c>
      <c r="H260">
        <v>29.718139000000001</v>
      </c>
      <c r="I260">
        <v>-95.268749999999997</v>
      </c>
      <c r="J260" t="s">
        <v>521</v>
      </c>
      <c r="K260">
        <v>110000460901</v>
      </c>
      <c r="L260" t="s">
        <v>254</v>
      </c>
      <c r="R260" s="387">
        <f t="shared" si="4"/>
        <v>29.196214213215271</v>
      </c>
      <c r="S260" s="386">
        <v>13.243180000000001</v>
      </c>
    </row>
    <row r="261" spans="1:19" x14ac:dyDescent="0.25">
      <c r="A261">
        <v>2022</v>
      </c>
      <c r="C261" t="s">
        <v>6817</v>
      </c>
      <c r="D261" t="s">
        <v>519</v>
      </c>
      <c r="E261" t="s">
        <v>520</v>
      </c>
      <c r="F261" t="s">
        <v>362</v>
      </c>
      <c r="G261">
        <v>77012</v>
      </c>
      <c r="H261">
        <v>29.718139000000001</v>
      </c>
      <c r="I261">
        <v>-95.268749999999997</v>
      </c>
      <c r="J261" t="s">
        <v>521</v>
      </c>
      <c r="K261">
        <v>110000460901</v>
      </c>
      <c r="L261" t="s">
        <v>254</v>
      </c>
      <c r="R261" s="387">
        <f t="shared" si="4"/>
        <v>27.414614580046837</v>
      </c>
      <c r="S261" s="386">
        <v>12.43506</v>
      </c>
    </row>
    <row r="262" spans="1:19" x14ac:dyDescent="0.25">
      <c r="A262">
        <v>2023</v>
      </c>
      <c r="C262" t="s">
        <v>6817</v>
      </c>
      <c r="D262" t="s">
        <v>519</v>
      </c>
      <c r="E262" t="s">
        <v>520</v>
      </c>
      <c r="F262" t="s">
        <v>362</v>
      </c>
      <c r="G262">
        <v>77012</v>
      </c>
      <c r="H262">
        <v>29.718139000000001</v>
      </c>
      <c r="I262">
        <v>-95.268749999999997</v>
      </c>
      <c r="J262" t="s">
        <v>521</v>
      </c>
      <c r="K262">
        <v>110000460901</v>
      </c>
      <c r="L262" t="s">
        <v>254</v>
      </c>
      <c r="R262" s="387">
        <f t="shared" si="4"/>
        <v>27.384587619937257</v>
      </c>
      <c r="S262" s="386">
        <v>12.42144</v>
      </c>
    </row>
    <row r="263" spans="1:19" x14ac:dyDescent="0.25">
      <c r="A263">
        <v>2023</v>
      </c>
      <c r="C263" t="s">
        <v>6817</v>
      </c>
      <c r="D263" t="s">
        <v>519</v>
      </c>
      <c r="E263" t="s">
        <v>520</v>
      </c>
      <c r="F263" t="s">
        <v>362</v>
      </c>
      <c r="G263">
        <v>77012</v>
      </c>
      <c r="H263">
        <v>29.718139000000001</v>
      </c>
      <c r="I263">
        <v>-95.268749999999997</v>
      </c>
      <c r="J263" t="s">
        <v>521</v>
      </c>
      <c r="K263">
        <v>110000460901</v>
      </c>
      <c r="L263" t="s">
        <v>254</v>
      </c>
      <c r="R263" s="387">
        <f t="shared" si="4"/>
        <v>27.384587619937257</v>
      </c>
      <c r="S263" s="386">
        <v>12.42144</v>
      </c>
    </row>
    <row r="264" spans="1:19" x14ac:dyDescent="0.25">
      <c r="A264">
        <v>2022</v>
      </c>
      <c r="C264" t="s">
        <v>6817</v>
      </c>
      <c r="D264" t="s">
        <v>519</v>
      </c>
      <c r="E264" t="s">
        <v>520</v>
      </c>
      <c r="F264" t="s">
        <v>362</v>
      </c>
      <c r="G264">
        <v>77012</v>
      </c>
      <c r="H264">
        <v>29.718139000000001</v>
      </c>
      <c r="I264">
        <v>-95.268749999999997</v>
      </c>
      <c r="J264" t="s">
        <v>521</v>
      </c>
      <c r="K264">
        <v>110000460901</v>
      </c>
      <c r="L264" t="s">
        <v>254</v>
      </c>
      <c r="R264" s="387">
        <f t="shared" si="4"/>
        <v>25.362772305892182</v>
      </c>
      <c r="S264" s="386">
        <v>11.50436</v>
      </c>
    </row>
    <row r="265" spans="1:19" x14ac:dyDescent="0.25">
      <c r="A265">
        <v>2022</v>
      </c>
      <c r="C265" t="s">
        <v>6817</v>
      </c>
      <c r="D265" t="s">
        <v>519</v>
      </c>
      <c r="E265" t="s">
        <v>520</v>
      </c>
      <c r="F265" t="s">
        <v>362</v>
      </c>
      <c r="G265">
        <v>77012</v>
      </c>
      <c r="H265">
        <v>29.718139000000001</v>
      </c>
      <c r="I265">
        <v>-95.268749999999997</v>
      </c>
      <c r="J265" t="s">
        <v>521</v>
      </c>
      <c r="K265">
        <v>110000460901</v>
      </c>
      <c r="L265" t="s">
        <v>254</v>
      </c>
      <c r="R265" s="387">
        <f t="shared" si="4"/>
        <v>25.362772305892182</v>
      </c>
      <c r="S265" s="386">
        <v>11.50436</v>
      </c>
    </row>
    <row r="266" spans="1:19" x14ac:dyDescent="0.25">
      <c r="A266">
        <v>2024</v>
      </c>
      <c r="C266" t="s">
        <v>1089</v>
      </c>
      <c r="D266" t="s">
        <v>1703</v>
      </c>
      <c r="E266" t="s">
        <v>1090</v>
      </c>
      <c r="F266" t="s">
        <v>324</v>
      </c>
      <c r="G266">
        <v>42038</v>
      </c>
      <c r="H266">
        <v>37.075277999999997</v>
      </c>
      <c r="I266">
        <v>-88.09</v>
      </c>
      <c r="K266">
        <v>110009938719</v>
      </c>
      <c r="L266" t="s">
        <v>263</v>
      </c>
      <c r="R266" s="387">
        <f t="shared" si="4"/>
        <v>0.87412774381544378</v>
      </c>
      <c r="S266" s="386">
        <v>0.39649767499999999</v>
      </c>
    </row>
    <row r="267" spans="1:19" x14ac:dyDescent="0.25">
      <c r="A267">
        <v>2021</v>
      </c>
      <c r="C267" t="s">
        <v>140</v>
      </c>
      <c r="D267" t="s">
        <v>456</v>
      </c>
      <c r="E267" t="s">
        <v>457</v>
      </c>
      <c r="F267" t="s">
        <v>366</v>
      </c>
      <c r="G267">
        <v>92243</v>
      </c>
      <c r="H267">
        <v>32.803809999999999</v>
      </c>
      <c r="I267">
        <v>-115.53973999999999</v>
      </c>
      <c r="K267">
        <v>110002672484</v>
      </c>
      <c r="L267" t="s">
        <v>265</v>
      </c>
      <c r="R267" s="387">
        <f t="shared" si="4"/>
        <v>0.11726103880451075</v>
      </c>
      <c r="S267" s="386">
        <v>5.3188712499999999E-2</v>
      </c>
    </row>
    <row r="268" spans="1:19" x14ac:dyDescent="0.25">
      <c r="A268">
        <v>2022</v>
      </c>
      <c r="C268" t="s">
        <v>140</v>
      </c>
      <c r="D268" t="s">
        <v>456</v>
      </c>
      <c r="E268" t="s">
        <v>457</v>
      </c>
      <c r="F268" t="s">
        <v>366</v>
      </c>
      <c r="G268">
        <v>92243</v>
      </c>
      <c r="H268">
        <v>32.803809999999999</v>
      </c>
      <c r="I268">
        <v>-115.53973999999999</v>
      </c>
      <c r="K268">
        <v>110002672484</v>
      </c>
      <c r="L268" t="s">
        <v>265</v>
      </c>
      <c r="R268" s="387">
        <f t="shared" si="4"/>
        <v>6.7006307888291844E-2</v>
      </c>
      <c r="S268" s="386">
        <v>3.0393549999999998E-2</v>
      </c>
    </row>
    <row r="269" spans="1:19" x14ac:dyDescent="0.25">
      <c r="A269">
        <v>2021</v>
      </c>
      <c r="C269" t="s">
        <v>140</v>
      </c>
      <c r="D269" t="s">
        <v>456</v>
      </c>
      <c r="E269" t="s">
        <v>457</v>
      </c>
      <c r="F269" t="s">
        <v>366</v>
      </c>
      <c r="G269">
        <v>92243</v>
      </c>
      <c r="H269">
        <v>32.803809999999999</v>
      </c>
      <c r="I269">
        <v>-115.53973999999999</v>
      </c>
      <c r="K269">
        <v>110002672484</v>
      </c>
      <c r="L269" t="s">
        <v>265</v>
      </c>
      <c r="R269" s="387">
        <f t="shared" si="4"/>
        <v>4.4163248380919638E-2</v>
      </c>
      <c r="S269" s="386">
        <v>2.0032112500000001E-2</v>
      </c>
    </row>
    <row r="270" spans="1:19" x14ac:dyDescent="0.25">
      <c r="A270">
        <v>2022</v>
      </c>
      <c r="C270" t="s">
        <v>140</v>
      </c>
      <c r="D270" t="s">
        <v>456</v>
      </c>
      <c r="E270" t="s">
        <v>457</v>
      </c>
      <c r="F270" t="s">
        <v>366</v>
      </c>
      <c r="G270">
        <v>92243</v>
      </c>
      <c r="H270">
        <v>32.803809999999999</v>
      </c>
      <c r="I270">
        <v>-115.53973999999999</v>
      </c>
      <c r="K270">
        <v>110002672484</v>
      </c>
      <c r="L270" t="s">
        <v>265</v>
      </c>
      <c r="R270" s="387">
        <f t="shared" si="4"/>
        <v>2.2843059507372226E-2</v>
      </c>
      <c r="S270" s="386">
        <v>1.0361437500000001E-2</v>
      </c>
    </row>
    <row r="271" spans="1:19" x14ac:dyDescent="0.25">
      <c r="A271">
        <v>2023</v>
      </c>
      <c r="C271" t="s">
        <v>1095</v>
      </c>
      <c r="D271" t="s">
        <v>1714</v>
      </c>
      <c r="E271" t="s">
        <v>1096</v>
      </c>
      <c r="F271" t="s">
        <v>450</v>
      </c>
      <c r="G271">
        <v>14132</v>
      </c>
      <c r="H271">
        <v>43.129750000000001</v>
      </c>
      <c r="I271">
        <v>-78.939679999999996</v>
      </c>
      <c r="K271">
        <v>110000737365</v>
      </c>
      <c r="L271" t="s">
        <v>265</v>
      </c>
      <c r="R271" s="387">
        <f t="shared" si="4"/>
        <v>2.1713432539330411E-2</v>
      </c>
      <c r="S271" s="386">
        <v>9.8490473263500005E-3</v>
      </c>
    </row>
    <row r="272" spans="1:19" x14ac:dyDescent="0.25">
      <c r="A272">
        <v>2024</v>
      </c>
      <c r="C272" t="s">
        <v>1095</v>
      </c>
      <c r="D272" t="s">
        <v>1714</v>
      </c>
      <c r="E272" t="s">
        <v>1096</v>
      </c>
      <c r="F272" t="s">
        <v>450</v>
      </c>
      <c r="G272">
        <v>14132</v>
      </c>
      <c r="H272">
        <v>43.129750000000001</v>
      </c>
      <c r="I272">
        <v>-78.939679999999996</v>
      </c>
      <c r="K272">
        <v>110000737365</v>
      </c>
      <c r="L272" t="s">
        <v>265</v>
      </c>
      <c r="R272" s="387">
        <f t="shared" si="4"/>
        <v>2.1632841808163574E-2</v>
      </c>
      <c r="S272" s="386">
        <v>9.8124919856000005E-3</v>
      </c>
    </row>
    <row r="273" spans="1:19" x14ac:dyDescent="0.25">
      <c r="A273">
        <v>2022</v>
      </c>
      <c r="C273" t="s">
        <v>1095</v>
      </c>
      <c r="D273" t="s">
        <v>1714</v>
      </c>
      <c r="E273" t="s">
        <v>1096</v>
      </c>
      <c r="F273" t="s">
        <v>450</v>
      </c>
      <c r="G273">
        <v>14132</v>
      </c>
      <c r="H273">
        <v>43.129750000000001</v>
      </c>
      <c r="I273">
        <v>-78.939679999999996</v>
      </c>
      <c r="K273">
        <v>110000737365</v>
      </c>
      <c r="L273" t="s">
        <v>265</v>
      </c>
      <c r="R273" s="387">
        <f t="shared" si="4"/>
        <v>2.0100148032913337E-2</v>
      </c>
      <c r="S273" s="386">
        <v>9.1172737835999995E-3</v>
      </c>
    </row>
    <row r="274" spans="1:19" x14ac:dyDescent="0.25">
      <c r="A274">
        <v>2021</v>
      </c>
      <c r="C274" t="s">
        <v>1095</v>
      </c>
      <c r="D274" t="s">
        <v>1714</v>
      </c>
      <c r="E274" t="s">
        <v>1096</v>
      </c>
      <c r="F274" t="s">
        <v>450</v>
      </c>
      <c r="G274">
        <v>14132</v>
      </c>
      <c r="H274">
        <v>43.129750000000001</v>
      </c>
      <c r="I274">
        <v>-78.939679999999996</v>
      </c>
      <c r="K274">
        <v>110000737365</v>
      </c>
      <c r="L274" t="s">
        <v>265</v>
      </c>
      <c r="R274" s="387">
        <f t="shared" si="4"/>
        <v>1.5999300532932244E-2</v>
      </c>
      <c r="S274" s="386">
        <v>7.2571606470749998E-3</v>
      </c>
    </row>
    <row r="275" spans="1:19" x14ac:dyDescent="0.25">
      <c r="A275">
        <v>2022</v>
      </c>
      <c r="C275" t="s">
        <v>6843</v>
      </c>
      <c r="D275" t="s">
        <v>650</v>
      </c>
      <c r="E275" t="s">
        <v>651</v>
      </c>
      <c r="F275" t="s">
        <v>418</v>
      </c>
      <c r="G275">
        <v>89015</v>
      </c>
      <c r="H275">
        <v>36.035440000000001</v>
      </c>
      <c r="I275">
        <v>-114.99994</v>
      </c>
      <c r="J275" t="s">
        <v>652</v>
      </c>
      <c r="K275">
        <v>110043808467</v>
      </c>
      <c r="L275" t="s">
        <v>264</v>
      </c>
      <c r="R275" s="387">
        <f t="shared" si="4"/>
        <v>3.7793314165535898</v>
      </c>
      <c r="S275" s="386">
        <v>1.71427589425</v>
      </c>
    </row>
    <row r="276" spans="1:19" x14ac:dyDescent="0.25">
      <c r="A276">
        <v>2021</v>
      </c>
      <c r="C276" t="s">
        <v>6843</v>
      </c>
      <c r="D276" t="s">
        <v>650</v>
      </c>
      <c r="E276" t="s">
        <v>651</v>
      </c>
      <c r="F276" t="s">
        <v>418</v>
      </c>
      <c r="G276">
        <v>89015</v>
      </c>
      <c r="H276">
        <v>36.035440000000001</v>
      </c>
      <c r="I276">
        <v>-114.99994</v>
      </c>
      <c r="J276" t="s">
        <v>652</v>
      </c>
      <c r="K276">
        <v>110043808467</v>
      </c>
      <c r="L276" t="s">
        <v>264</v>
      </c>
      <c r="R276" s="387">
        <f t="shared" si="4"/>
        <v>1.4043470726811387</v>
      </c>
      <c r="S276" s="386">
        <v>0.63700111699999995</v>
      </c>
    </row>
    <row r="277" spans="1:19" x14ac:dyDescent="0.25">
      <c r="A277">
        <v>2023</v>
      </c>
      <c r="C277" t="s">
        <v>6843</v>
      </c>
      <c r="D277" t="s">
        <v>650</v>
      </c>
      <c r="E277" t="s">
        <v>651</v>
      </c>
      <c r="F277" t="s">
        <v>418</v>
      </c>
      <c r="G277">
        <v>89015</v>
      </c>
      <c r="H277">
        <v>36.035440000000001</v>
      </c>
      <c r="I277">
        <v>-114.99994</v>
      </c>
      <c r="J277" t="s">
        <v>652</v>
      </c>
      <c r="K277">
        <v>110043808467</v>
      </c>
      <c r="L277" t="s">
        <v>264</v>
      </c>
      <c r="R277" s="387">
        <f t="shared" si="4"/>
        <v>1.3300255618276824</v>
      </c>
      <c r="S277" s="386">
        <v>0.60328944674999996</v>
      </c>
    </row>
    <row r="278" spans="1:19" x14ac:dyDescent="0.25">
      <c r="A278">
        <v>2024</v>
      </c>
      <c r="C278" t="s">
        <v>6843</v>
      </c>
      <c r="D278" t="s">
        <v>650</v>
      </c>
      <c r="E278" t="s">
        <v>651</v>
      </c>
      <c r="F278" t="s">
        <v>418</v>
      </c>
      <c r="G278">
        <v>89015</v>
      </c>
      <c r="H278">
        <v>36.035440000000001</v>
      </c>
      <c r="I278">
        <v>-114.99994</v>
      </c>
      <c r="J278" t="s">
        <v>652</v>
      </c>
      <c r="K278">
        <v>110043808467</v>
      </c>
      <c r="L278" t="s">
        <v>264</v>
      </c>
      <c r="R278" s="387">
        <f t="shared" si="4"/>
        <v>1.3033352721519542</v>
      </c>
      <c r="S278" s="386">
        <v>0.59118293499999996</v>
      </c>
    </row>
    <row r="279" spans="1:19" x14ac:dyDescent="0.25">
      <c r="A279">
        <v>2024</v>
      </c>
      <c r="C279" t="s">
        <v>1097</v>
      </c>
      <c r="D279" t="s">
        <v>1718</v>
      </c>
      <c r="E279" t="s">
        <v>1098</v>
      </c>
      <c r="F279" t="s">
        <v>324</v>
      </c>
      <c r="G279" t="s">
        <v>1719</v>
      </c>
      <c r="H279">
        <v>38.642556999999996</v>
      </c>
      <c r="I279">
        <v>-83.737931000000003</v>
      </c>
      <c r="K279">
        <v>110000379787</v>
      </c>
      <c r="L279" t="s">
        <v>265</v>
      </c>
      <c r="R279" s="387">
        <f t="shared" si="4"/>
        <v>6.506162295013912E-2</v>
      </c>
      <c r="S279" s="386">
        <v>2.9511455749999999E-2</v>
      </c>
    </row>
    <row r="280" spans="1:19" x14ac:dyDescent="0.25">
      <c r="A280">
        <v>2021</v>
      </c>
      <c r="C280" t="s">
        <v>1097</v>
      </c>
      <c r="D280" t="s">
        <v>1718</v>
      </c>
      <c r="E280" t="s">
        <v>1098</v>
      </c>
      <c r="F280" t="s">
        <v>324</v>
      </c>
      <c r="G280" t="s">
        <v>1719</v>
      </c>
      <c r="H280">
        <v>38.642556999999996</v>
      </c>
      <c r="I280">
        <v>-83.737931000000003</v>
      </c>
      <c r="K280">
        <v>110000379787</v>
      </c>
      <c r="L280" t="s">
        <v>265</v>
      </c>
      <c r="R280" s="387">
        <f t="shared" si="4"/>
        <v>5.0880568162996215E-2</v>
      </c>
      <c r="S280" s="386">
        <v>2.30790375E-2</v>
      </c>
    </row>
    <row r="281" spans="1:19" x14ac:dyDescent="0.25">
      <c r="A281">
        <v>2021</v>
      </c>
      <c r="C281" t="s">
        <v>6867</v>
      </c>
      <c r="D281" t="s">
        <v>7034</v>
      </c>
      <c r="E281" t="s">
        <v>7035</v>
      </c>
      <c r="F281" t="s">
        <v>324</v>
      </c>
      <c r="G281">
        <v>40019</v>
      </c>
      <c r="H281">
        <v>38.369734999999999</v>
      </c>
      <c r="I281">
        <v>-85.180234999999996</v>
      </c>
      <c r="K281">
        <v>110064268260</v>
      </c>
      <c r="L281" t="s">
        <v>263</v>
      </c>
      <c r="R281" s="387">
        <f t="shared" si="4"/>
        <v>5.1853745081734948</v>
      </c>
      <c r="S281" s="386">
        <v>2.3520463125000002</v>
      </c>
    </row>
    <row r="282" spans="1:19" x14ac:dyDescent="0.25">
      <c r="A282">
        <v>2022</v>
      </c>
      <c r="C282" t="s">
        <v>6867</v>
      </c>
      <c r="D282" t="s">
        <v>7034</v>
      </c>
      <c r="E282" t="s">
        <v>7035</v>
      </c>
      <c r="F282" t="s">
        <v>324</v>
      </c>
      <c r="G282">
        <v>40019</v>
      </c>
      <c r="H282">
        <v>38.369734999999999</v>
      </c>
      <c r="I282">
        <v>-85.180234999999996</v>
      </c>
      <c r="K282">
        <v>110064268260</v>
      </c>
      <c r="L282" t="s">
        <v>263</v>
      </c>
      <c r="R282" s="387">
        <f t="shared" si="4"/>
        <v>3.0305125613113812</v>
      </c>
      <c r="S282" s="386">
        <v>1.3746173749999999</v>
      </c>
    </row>
    <row r="283" spans="1:19" x14ac:dyDescent="0.25">
      <c r="A283">
        <v>2023</v>
      </c>
      <c r="C283" t="s">
        <v>6867</v>
      </c>
      <c r="D283" t="s">
        <v>7034</v>
      </c>
      <c r="E283" t="s">
        <v>7035</v>
      </c>
      <c r="F283" t="s">
        <v>324</v>
      </c>
      <c r="G283">
        <v>40019</v>
      </c>
      <c r="H283">
        <v>38.369734999999999</v>
      </c>
      <c r="I283">
        <v>-85.180234999999996</v>
      </c>
      <c r="K283">
        <v>110064268260</v>
      </c>
      <c r="L283" t="s">
        <v>263</v>
      </c>
      <c r="R283" s="387">
        <f t="shared" si="4"/>
        <v>1.7589155820676612</v>
      </c>
      <c r="S283" s="386">
        <v>0.79783068749999997</v>
      </c>
    </row>
    <row r="284" spans="1:19" x14ac:dyDescent="0.25">
      <c r="A284">
        <v>2024</v>
      </c>
      <c r="C284" t="s">
        <v>1099</v>
      </c>
      <c r="D284" t="s">
        <v>1723</v>
      </c>
      <c r="E284" t="s">
        <v>1100</v>
      </c>
      <c r="F284" t="s">
        <v>1101</v>
      </c>
      <c r="G284">
        <v>0</v>
      </c>
      <c r="H284">
        <v>37.041677</v>
      </c>
      <c r="I284">
        <v>-109.500685</v>
      </c>
      <c r="K284">
        <v>110010134185</v>
      </c>
      <c r="L284" t="s">
        <v>265</v>
      </c>
      <c r="R284" s="387">
        <f t="shared" si="4"/>
        <v>3.7967459637824152E-3</v>
      </c>
      <c r="S284" s="386">
        <v>1.7221750000000001E-3</v>
      </c>
    </row>
    <row r="285" spans="1:19" x14ac:dyDescent="0.25">
      <c r="A285">
        <v>2023</v>
      </c>
      <c r="C285" t="s">
        <v>1099</v>
      </c>
      <c r="D285" t="s">
        <v>1723</v>
      </c>
      <c r="E285" t="s">
        <v>1100</v>
      </c>
      <c r="F285" t="s">
        <v>1101</v>
      </c>
      <c r="G285" t="s">
        <v>7085</v>
      </c>
      <c r="H285">
        <v>37.041677</v>
      </c>
      <c r="I285">
        <v>-109.500685</v>
      </c>
      <c r="K285">
        <v>110010134185</v>
      </c>
      <c r="L285" t="s">
        <v>265</v>
      </c>
      <c r="R285" s="387">
        <f t="shared" si="4"/>
        <v>2.4783154972381921E-3</v>
      </c>
      <c r="S285" s="386">
        <v>1.124145E-3</v>
      </c>
    </row>
    <row r="286" spans="1:19" x14ac:dyDescent="0.25">
      <c r="A286">
        <v>2021</v>
      </c>
      <c r="C286" t="s">
        <v>1104</v>
      </c>
      <c r="D286" t="s">
        <v>1731</v>
      </c>
      <c r="E286" t="s">
        <v>446</v>
      </c>
      <c r="F286" t="s">
        <v>303</v>
      </c>
      <c r="G286">
        <v>70669</v>
      </c>
      <c r="H286">
        <v>30.189167000000001</v>
      </c>
      <c r="I286">
        <v>-93.316389000000001</v>
      </c>
      <c r="J286" t="s">
        <v>713</v>
      </c>
      <c r="K286">
        <v>110000597266</v>
      </c>
      <c r="L286" t="s">
        <v>265</v>
      </c>
      <c r="R286" s="387">
        <f t="shared" si="4"/>
        <v>1.8266400733328032</v>
      </c>
      <c r="S286" s="386">
        <v>0.82855000000000001</v>
      </c>
    </row>
    <row r="287" spans="1:19" x14ac:dyDescent="0.25">
      <c r="A287">
        <v>2021</v>
      </c>
      <c r="C287" t="s">
        <v>1105</v>
      </c>
      <c r="D287" t="s">
        <v>7006</v>
      </c>
      <c r="E287" t="s">
        <v>1106</v>
      </c>
      <c r="F287" t="s">
        <v>345</v>
      </c>
      <c r="G287">
        <v>61953</v>
      </c>
      <c r="H287">
        <v>39.795811999999998</v>
      </c>
      <c r="I287">
        <v>-88.347945999999993</v>
      </c>
      <c r="J287" t="s">
        <v>714</v>
      </c>
      <c r="K287">
        <v>110000746211</v>
      </c>
      <c r="L287" t="s">
        <v>253</v>
      </c>
      <c r="R287" s="387">
        <f t="shared" si="4"/>
        <v>11.260110041092622</v>
      </c>
      <c r="S287" s="386">
        <v>5.1074999999999999</v>
      </c>
    </row>
    <row r="288" spans="1:19" x14ac:dyDescent="0.25">
      <c r="A288">
        <v>2022</v>
      </c>
      <c r="C288" t="s">
        <v>1105</v>
      </c>
      <c r="D288" t="s">
        <v>7006</v>
      </c>
      <c r="E288" t="s">
        <v>1106</v>
      </c>
      <c r="F288" t="s">
        <v>345</v>
      </c>
      <c r="G288">
        <v>61953</v>
      </c>
      <c r="H288">
        <v>39.795811999999998</v>
      </c>
      <c r="I288">
        <v>-88.347945999999993</v>
      </c>
      <c r="J288" t="s">
        <v>714</v>
      </c>
      <c r="K288">
        <v>110000746211</v>
      </c>
      <c r="L288" t="s">
        <v>253</v>
      </c>
      <c r="R288" s="387">
        <f t="shared" si="4"/>
        <v>10.941824263931071</v>
      </c>
      <c r="S288" s="386">
        <v>4.9631280000000002</v>
      </c>
    </row>
    <row r="289" spans="1:19" x14ac:dyDescent="0.25">
      <c r="A289">
        <v>2024</v>
      </c>
      <c r="C289" t="s">
        <v>1105</v>
      </c>
      <c r="D289" t="s">
        <v>7006</v>
      </c>
      <c r="E289" t="s">
        <v>1106</v>
      </c>
      <c r="F289" t="s">
        <v>345</v>
      </c>
      <c r="G289">
        <v>61953</v>
      </c>
      <c r="H289">
        <v>39.795811999999998</v>
      </c>
      <c r="I289">
        <v>-88.347945999999993</v>
      </c>
      <c r="J289" t="s">
        <v>714</v>
      </c>
      <c r="K289">
        <v>110000746211</v>
      </c>
      <c r="L289" t="s">
        <v>253</v>
      </c>
      <c r="R289" s="387">
        <f t="shared" si="4"/>
        <v>6.3296831910995328</v>
      </c>
      <c r="S289" s="386">
        <v>2.8710960000000001</v>
      </c>
    </row>
    <row r="290" spans="1:19" x14ac:dyDescent="0.25">
      <c r="A290">
        <v>2024</v>
      </c>
      <c r="C290" t="s">
        <v>6847</v>
      </c>
      <c r="D290" t="s">
        <v>1726</v>
      </c>
      <c r="E290" t="s">
        <v>1103</v>
      </c>
      <c r="F290" t="s">
        <v>345</v>
      </c>
      <c r="G290">
        <v>60450</v>
      </c>
      <c r="H290">
        <v>41.412897000000001</v>
      </c>
      <c r="I290">
        <v>-88.329773000000003</v>
      </c>
      <c r="J290" t="s">
        <v>712</v>
      </c>
      <c r="K290">
        <v>110000433013</v>
      </c>
      <c r="L290" t="s">
        <v>265</v>
      </c>
      <c r="R290" s="387">
        <f t="shared" si="4"/>
        <v>6.3957425033406103</v>
      </c>
      <c r="S290" s="386">
        <v>2.9010600000000002</v>
      </c>
    </row>
    <row r="291" spans="1:19" x14ac:dyDescent="0.25">
      <c r="A291">
        <v>2023</v>
      </c>
      <c r="C291" t="s">
        <v>6847</v>
      </c>
      <c r="D291" t="s">
        <v>1726</v>
      </c>
      <c r="E291" t="s">
        <v>1103</v>
      </c>
      <c r="F291" t="s">
        <v>345</v>
      </c>
      <c r="G291">
        <v>60450</v>
      </c>
      <c r="H291">
        <v>41.412897000000001</v>
      </c>
      <c r="I291">
        <v>-88.329773000000003</v>
      </c>
      <c r="J291" t="s">
        <v>712</v>
      </c>
      <c r="K291">
        <v>110000433013</v>
      </c>
      <c r="L291" t="s">
        <v>265</v>
      </c>
      <c r="R291" s="387">
        <f t="shared" si="4"/>
        <v>3.69331609347838</v>
      </c>
      <c r="S291" s="386">
        <v>1.67526</v>
      </c>
    </row>
    <row r="292" spans="1:19" x14ac:dyDescent="0.25">
      <c r="A292">
        <v>2024</v>
      </c>
      <c r="C292" t="s">
        <v>6847</v>
      </c>
      <c r="D292" t="s">
        <v>1726</v>
      </c>
      <c r="E292" t="s">
        <v>1103</v>
      </c>
      <c r="F292" t="s">
        <v>345</v>
      </c>
      <c r="G292">
        <v>60450</v>
      </c>
      <c r="H292">
        <v>41.412897000000001</v>
      </c>
      <c r="I292">
        <v>-88.329773000000003</v>
      </c>
      <c r="J292" t="s">
        <v>712</v>
      </c>
      <c r="K292">
        <v>110000433013</v>
      </c>
      <c r="L292" t="s">
        <v>265</v>
      </c>
      <c r="R292" s="387">
        <f t="shared" si="4"/>
        <v>3.6332621732592196</v>
      </c>
      <c r="S292" s="386">
        <v>1.64802</v>
      </c>
    </row>
    <row r="293" spans="1:19" x14ac:dyDescent="0.25">
      <c r="A293">
        <v>2023</v>
      </c>
      <c r="C293" t="s">
        <v>6847</v>
      </c>
      <c r="D293" t="s">
        <v>1726</v>
      </c>
      <c r="E293" t="s">
        <v>1103</v>
      </c>
      <c r="F293" t="s">
        <v>345</v>
      </c>
      <c r="G293">
        <v>60450</v>
      </c>
      <c r="H293">
        <v>41.412897000000001</v>
      </c>
      <c r="I293">
        <v>-88.329773000000003</v>
      </c>
      <c r="J293" t="s">
        <v>712</v>
      </c>
      <c r="K293">
        <v>110000433013</v>
      </c>
      <c r="L293" t="s">
        <v>265</v>
      </c>
      <c r="R293" s="387">
        <f t="shared" si="4"/>
        <v>2.7624803300813898</v>
      </c>
      <c r="S293" s="386">
        <v>1.2530399999999999</v>
      </c>
    </row>
    <row r="294" spans="1:19" x14ac:dyDescent="0.25">
      <c r="A294">
        <v>2021</v>
      </c>
      <c r="C294" t="s">
        <v>6847</v>
      </c>
      <c r="D294" t="s">
        <v>1726</v>
      </c>
      <c r="E294" t="s">
        <v>1103</v>
      </c>
      <c r="F294" t="s">
        <v>345</v>
      </c>
      <c r="G294">
        <v>60450</v>
      </c>
      <c r="H294">
        <v>41.412897000000001</v>
      </c>
      <c r="I294">
        <v>-88.329773000000003</v>
      </c>
      <c r="J294" t="s">
        <v>712</v>
      </c>
      <c r="K294">
        <v>110000433013</v>
      </c>
      <c r="L294" t="s">
        <v>265</v>
      </c>
      <c r="R294" s="387">
        <f t="shared" si="4"/>
        <v>1.8316445666843999</v>
      </c>
      <c r="S294" s="386">
        <v>0.83082</v>
      </c>
    </row>
    <row r="295" spans="1:19" x14ac:dyDescent="0.25">
      <c r="A295">
        <v>2021</v>
      </c>
      <c r="C295" t="s">
        <v>6847</v>
      </c>
      <c r="D295" t="s">
        <v>1726</v>
      </c>
      <c r="E295" t="s">
        <v>1103</v>
      </c>
      <c r="F295" t="s">
        <v>345</v>
      </c>
      <c r="G295">
        <v>60450</v>
      </c>
      <c r="H295">
        <v>41.412897000000001</v>
      </c>
      <c r="I295">
        <v>-88.329773000000003</v>
      </c>
      <c r="J295" t="s">
        <v>712</v>
      </c>
      <c r="K295">
        <v>110000433013</v>
      </c>
      <c r="L295" t="s">
        <v>265</v>
      </c>
      <c r="R295" s="387">
        <f t="shared" si="4"/>
        <v>1.8316445666843999</v>
      </c>
      <c r="S295" s="386">
        <v>0.83082</v>
      </c>
    </row>
    <row r="296" spans="1:19" x14ac:dyDescent="0.25">
      <c r="A296">
        <v>2022</v>
      </c>
      <c r="C296" t="s">
        <v>6847</v>
      </c>
      <c r="D296" t="s">
        <v>1726</v>
      </c>
      <c r="E296" t="s">
        <v>1103</v>
      </c>
      <c r="F296" t="s">
        <v>345</v>
      </c>
      <c r="G296">
        <v>60450</v>
      </c>
      <c r="H296">
        <v>41.412897000000001</v>
      </c>
      <c r="I296">
        <v>-88.329773000000003</v>
      </c>
      <c r="J296" t="s">
        <v>712</v>
      </c>
      <c r="K296">
        <v>110000433013</v>
      </c>
      <c r="L296" t="s">
        <v>265</v>
      </c>
      <c r="R296" s="387">
        <f t="shared" si="4"/>
        <v>1.8316445666843999</v>
      </c>
      <c r="S296" s="386">
        <v>0.83082</v>
      </c>
    </row>
    <row r="297" spans="1:19" x14ac:dyDescent="0.25">
      <c r="A297">
        <v>2022</v>
      </c>
      <c r="C297" t="s">
        <v>6847</v>
      </c>
      <c r="D297" t="s">
        <v>1726</v>
      </c>
      <c r="E297" t="s">
        <v>1103</v>
      </c>
      <c r="F297" t="s">
        <v>345</v>
      </c>
      <c r="G297">
        <v>60450</v>
      </c>
      <c r="H297">
        <v>41.412897000000001</v>
      </c>
      <c r="I297">
        <v>-88.329773000000003</v>
      </c>
      <c r="J297" t="s">
        <v>712</v>
      </c>
      <c r="K297">
        <v>110000433013</v>
      </c>
      <c r="L297" t="s">
        <v>265</v>
      </c>
      <c r="R297" s="387">
        <f t="shared" si="4"/>
        <v>1.8316445666843999</v>
      </c>
      <c r="S297" s="386">
        <v>0.83082</v>
      </c>
    </row>
    <row r="298" spans="1:19" x14ac:dyDescent="0.25">
      <c r="A298">
        <v>2022</v>
      </c>
      <c r="C298" t="s">
        <v>144</v>
      </c>
      <c r="D298" t="s">
        <v>467</v>
      </c>
      <c r="E298" t="s">
        <v>302</v>
      </c>
      <c r="F298" t="s">
        <v>303</v>
      </c>
      <c r="G298">
        <v>70805</v>
      </c>
      <c r="H298">
        <v>30.483523000000002</v>
      </c>
      <c r="I298">
        <v>-91.183440000000004</v>
      </c>
      <c r="K298">
        <v>110001143584</v>
      </c>
      <c r="L298" t="s">
        <v>254</v>
      </c>
      <c r="R298" s="387">
        <f t="shared" si="4"/>
        <v>17.363570698951573</v>
      </c>
      <c r="S298" s="386">
        <v>7.8759831849999999</v>
      </c>
    </row>
    <row r="299" spans="1:19" x14ac:dyDescent="0.25">
      <c r="A299">
        <v>2021</v>
      </c>
      <c r="C299" t="s">
        <v>144</v>
      </c>
      <c r="D299" t="s">
        <v>467</v>
      </c>
      <c r="E299" t="s">
        <v>302</v>
      </c>
      <c r="F299" t="s">
        <v>303</v>
      </c>
      <c r="G299">
        <v>70805</v>
      </c>
      <c r="H299">
        <v>30.483523000000002</v>
      </c>
      <c r="I299">
        <v>-91.183440000000004</v>
      </c>
      <c r="K299">
        <v>110001143584</v>
      </c>
      <c r="L299" t="s">
        <v>254</v>
      </c>
      <c r="R299" s="387">
        <f t="shared" si="4"/>
        <v>7.1027687701184208</v>
      </c>
      <c r="S299" s="386">
        <v>3.2217617199999999</v>
      </c>
    </row>
    <row r="300" spans="1:19" x14ac:dyDescent="0.25">
      <c r="A300">
        <v>2023</v>
      </c>
      <c r="C300" t="s">
        <v>144</v>
      </c>
      <c r="D300" t="s">
        <v>467</v>
      </c>
      <c r="E300" t="s">
        <v>302</v>
      </c>
      <c r="F300" t="s">
        <v>303</v>
      </c>
      <c r="G300">
        <v>70805</v>
      </c>
      <c r="H300">
        <v>30.483523000000002</v>
      </c>
      <c r="I300">
        <v>-91.183440000000004</v>
      </c>
      <c r="K300">
        <v>110001143584</v>
      </c>
      <c r="L300" t="s">
        <v>254</v>
      </c>
      <c r="R300" s="387">
        <f t="shared" si="4"/>
        <v>3.0025112177041251</v>
      </c>
      <c r="S300" s="386">
        <v>1.3619161791900001</v>
      </c>
    </row>
    <row r="301" spans="1:19" x14ac:dyDescent="0.25">
      <c r="A301">
        <v>2024</v>
      </c>
      <c r="C301" t="s">
        <v>144</v>
      </c>
      <c r="D301" t="s">
        <v>467</v>
      </c>
      <c r="E301" t="s">
        <v>302</v>
      </c>
      <c r="F301" t="s">
        <v>303</v>
      </c>
      <c r="G301">
        <v>70805</v>
      </c>
      <c r="H301">
        <v>30.483523000000002</v>
      </c>
      <c r="I301">
        <v>-91.183440000000004</v>
      </c>
      <c r="K301">
        <v>110001143584</v>
      </c>
      <c r="L301" t="s">
        <v>254</v>
      </c>
      <c r="R301" s="387">
        <f t="shared" si="4"/>
        <v>1.6804398211471236</v>
      </c>
      <c r="S301" s="386">
        <v>0.76223468111649995</v>
      </c>
    </row>
    <row r="302" spans="1:19" x14ac:dyDescent="0.25">
      <c r="A302">
        <v>2024</v>
      </c>
      <c r="C302" t="s">
        <v>144</v>
      </c>
      <c r="D302" t="s">
        <v>467</v>
      </c>
      <c r="E302" t="s">
        <v>302</v>
      </c>
      <c r="F302" t="s">
        <v>303</v>
      </c>
      <c r="G302">
        <v>70805</v>
      </c>
      <c r="H302">
        <v>30.483523000000002</v>
      </c>
      <c r="I302">
        <v>-91.183440000000004</v>
      </c>
      <c r="K302">
        <v>110001143584</v>
      </c>
      <c r="L302" t="s">
        <v>254</v>
      </c>
      <c r="R302" s="387">
        <f t="shared" si="4"/>
        <v>1.5543494128880521E-2</v>
      </c>
      <c r="S302" s="386">
        <v>7.0504103400000004E-3</v>
      </c>
    </row>
    <row r="303" spans="1:19" x14ac:dyDescent="0.25">
      <c r="A303">
        <v>2023</v>
      </c>
      <c r="C303" t="s">
        <v>144</v>
      </c>
      <c r="D303" t="s">
        <v>467</v>
      </c>
      <c r="E303" t="s">
        <v>302</v>
      </c>
      <c r="F303" t="s">
        <v>303</v>
      </c>
      <c r="G303">
        <v>70805</v>
      </c>
      <c r="H303">
        <v>30.483523000000002</v>
      </c>
      <c r="I303">
        <v>-91.183440000000004</v>
      </c>
      <c r="K303">
        <v>110001143584</v>
      </c>
      <c r="L303" t="s">
        <v>254</v>
      </c>
      <c r="R303" s="387">
        <f t="shared" si="4"/>
        <v>8.9148429679273486E-3</v>
      </c>
      <c r="S303" s="386">
        <v>4.04370475E-3</v>
      </c>
    </row>
    <row r="304" spans="1:19" x14ac:dyDescent="0.25">
      <c r="A304">
        <v>2023</v>
      </c>
      <c r="C304" t="s">
        <v>1107</v>
      </c>
      <c r="D304" t="s">
        <v>1741</v>
      </c>
      <c r="E304" t="s">
        <v>1108</v>
      </c>
      <c r="F304" t="s">
        <v>338</v>
      </c>
      <c r="G304" t="s">
        <v>1744</v>
      </c>
      <c r="H304">
        <v>40.665252000000002</v>
      </c>
      <c r="I304">
        <v>-74.200059999999993</v>
      </c>
      <c r="K304">
        <v>110070212717</v>
      </c>
      <c r="L304" t="s">
        <v>265</v>
      </c>
      <c r="R304" s="387">
        <f t="shared" si="4"/>
        <v>3.8046899245681759E-3</v>
      </c>
      <c r="S304" s="386">
        <v>1.7257783200000001E-3</v>
      </c>
    </row>
    <row r="305" spans="1:19" x14ac:dyDescent="0.25">
      <c r="A305">
        <v>2022</v>
      </c>
      <c r="C305" t="s">
        <v>1107</v>
      </c>
      <c r="D305" t="s">
        <v>1741</v>
      </c>
      <c r="E305" t="s">
        <v>1108</v>
      </c>
      <c r="F305" t="s">
        <v>338</v>
      </c>
      <c r="G305">
        <v>8872</v>
      </c>
      <c r="H305">
        <v>40.665252000000002</v>
      </c>
      <c r="I305">
        <v>-74.200059999999993</v>
      </c>
      <c r="K305">
        <v>110070212717</v>
      </c>
      <c r="L305" t="s">
        <v>265</v>
      </c>
      <c r="R305" s="387">
        <f t="shared" si="4"/>
        <v>1.3247722839782336E-3</v>
      </c>
      <c r="S305" s="386">
        <v>6.009066E-4</v>
      </c>
    </row>
    <row r="306" spans="1:19" x14ac:dyDescent="0.25">
      <c r="A306">
        <v>2021</v>
      </c>
      <c r="C306" t="s">
        <v>1107</v>
      </c>
      <c r="D306" t="s">
        <v>1741</v>
      </c>
      <c r="E306" t="s">
        <v>1108</v>
      </c>
      <c r="F306" t="s">
        <v>338</v>
      </c>
      <c r="G306">
        <v>8872</v>
      </c>
      <c r="H306">
        <v>40.665252000000002</v>
      </c>
      <c r="I306">
        <v>-74.200059999999993</v>
      </c>
      <c r="K306">
        <v>110070212717</v>
      </c>
      <c r="L306" t="s">
        <v>265</v>
      </c>
      <c r="R306" s="387">
        <f t="shared" si="4"/>
        <v>6.8569232105910422E-4</v>
      </c>
      <c r="S306" s="386">
        <v>3.11024805E-4</v>
      </c>
    </row>
    <row r="307" spans="1:19" x14ac:dyDescent="0.25">
      <c r="A307">
        <v>2021</v>
      </c>
      <c r="C307" t="s">
        <v>145</v>
      </c>
      <c r="D307" t="s">
        <v>468</v>
      </c>
      <c r="E307" t="s">
        <v>314</v>
      </c>
      <c r="F307" t="s">
        <v>469</v>
      </c>
      <c r="G307">
        <v>479099201</v>
      </c>
      <c r="H307">
        <v>40.390543999999998</v>
      </c>
      <c r="I307">
        <v>-86.936173999999994</v>
      </c>
      <c r="J307" t="s">
        <v>470</v>
      </c>
      <c r="K307">
        <v>110000404296</v>
      </c>
      <c r="L307" t="s">
        <v>254</v>
      </c>
      <c r="R307" s="387">
        <f t="shared" si="4"/>
        <v>0.94626962089331446</v>
      </c>
      <c r="S307" s="386">
        <v>0.42922068000000002</v>
      </c>
    </row>
    <row r="308" spans="1:19" x14ac:dyDescent="0.25">
      <c r="A308">
        <v>2023</v>
      </c>
      <c r="C308" t="s">
        <v>145</v>
      </c>
      <c r="D308" t="s">
        <v>468</v>
      </c>
      <c r="E308" t="s">
        <v>314</v>
      </c>
      <c r="F308" t="s">
        <v>469</v>
      </c>
      <c r="G308">
        <v>479099201</v>
      </c>
      <c r="H308">
        <v>40.390543999999998</v>
      </c>
      <c r="I308">
        <v>-86.936173999999994</v>
      </c>
      <c r="J308" t="s">
        <v>470</v>
      </c>
      <c r="K308">
        <v>110000404296</v>
      </c>
      <c r="L308" t="s">
        <v>254</v>
      </c>
      <c r="R308" s="387">
        <f t="shared" si="4"/>
        <v>0.45696028793429661</v>
      </c>
      <c r="S308" s="386">
        <v>0.20727370000000001</v>
      </c>
    </row>
    <row r="309" spans="1:19" x14ac:dyDescent="0.25">
      <c r="A309">
        <v>2024</v>
      </c>
      <c r="C309" t="s">
        <v>145</v>
      </c>
      <c r="D309" t="s">
        <v>468</v>
      </c>
      <c r="E309" t="s">
        <v>314</v>
      </c>
      <c r="F309" t="s">
        <v>469</v>
      </c>
      <c r="G309">
        <v>479099201</v>
      </c>
      <c r="H309">
        <v>40.390543999999998</v>
      </c>
      <c r="I309">
        <v>-86.936173999999994</v>
      </c>
      <c r="J309" t="s">
        <v>470</v>
      </c>
      <c r="K309">
        <v>110000404296</v>
      </c>
      <c r="L309" t="s">
        <v>254</v>
      </c>
      <c r="R309" s="387">
        <f t="shared" si="4"/>
        <v>0.42378049701321036</v>
      </c>
      <c r="S309" s="386">
        <v>0.19222359999999999</v>
      </c>
    </row>
    <row r="310" spans="1:19" x14ac:dyDescent="0.25">
      <c r="A310">
        <v>2022</v>
      </c>
      <c r="C310" t="s">
        <v>145</v>
      </c>
      <c r="D310" t="s">
        <v>468</v>
      </c>
      <c r="E310" t="s">
        <v>314</v>
      </c>
      <c r="F310" t="s">
        <v>469</v>
      </c>
      <c r="G310">
        <v>479099201</v>
      </c>
      <c r="H310">
        <v>40.390543999999998</v>
      </c>
      <c r="I310">
        <v>-86.936173999999994</v>
      </c>
      <c r="J310" t="s">
        <v>470</v>
      </c>
      <c r="K310">
        <v>110000404296</v>
      </c>
      <c r="L310" t="s">
        <v>254</v>
      </c>
      <c r="R310" s="387">
        <f t="shared" si="4"/>
        <v>0.39700645758216785</v>
      </c>
      <c r="S310" s="386">
        <v>0.18007909999999999</v>
      </c>
    </row>
    <row r="311" spans="1:19" x14ac:dyDescent="0.25">
      <c r="A311">
        <v>2023</v>
      </c>
      <c r="C311" t="s">
        <v>6808</v>
      </c>
      <c r="D311" t="s">
        <v>6962</v>
      </c>
      <c r="E311" t="s">
        <v>472</v>
      </c>
      <c r="F311" t="s">
        <v>450</v>
      </c>
      <c r="G311">
        <v>11222</v>
      </c>
      <c r="H311">
        <v>40.73095</v>
      </c>
      <c r="I311">
        <v>-73.942520000000002</v>
      </c>
      <c r="K311">
        <v>110037107154</v>
      </c>
      <c r="L311" t="s">
        <v>264</v>
      </c>
      <c r="R311" s="387">
        <f t="shared" si="4"/>
        <v>1.7374816994276159</v>
      </c>
      <c r="S311" s="386">
        <v>0.78810844187499995</v>
      </c>
    </row>
    <row r="312" spans="1:19" x14ac:dyDescent="0.25">
      <c r="A312">
        <v>2022</v>
      </c>
      <c r="C312" t="s">
        <v>6808</v>
      </c>
      <c r="D312" t="s">
        <v>6962</v>
      </c>
      <c r="E312" t="s">
        <v>472</v>
      </c>
      <c r="F312" t="s">
        <v>450</v>
      </c>
      <c r="G312">
        <v>11222</v>
      </c>
      <c r="H312">
        <v>40.73095</v>
      </c>
      <c r="I312">
        <v>-73.942520000000002</v>
      </c>
      <c r="K312">
        <v>110037107154</v>
      </c>
      <c r="L312" t="s">
        <v>264</v>
      </c>
      <c r="R312" s="387">
        <f t="shared" si="4"/>
        <v>1.6514034186686166</v>
      </c>
      <c r="S312" s="386">
        <v>0.74906399050000005</v>
      </c>
    </row>
    <row r="313" spans="1:19" x14ac:dyDescent="0.25">
      <c r="A313">
        <v>2021</v>
      </c>
      <c r="C313" t="s">
        <v>6808</v>
      </c>
      <c r="D313" t="s">
        <v>6962</v>
      </c>
      <c r="E313" t="s">
        <v>472</v>
      </c>
      <c r="F313" t="s">
        <v>450</v>
      </c>
      <c r="G313">
        <v>11222</v>
      </c>
      <c r="H313">
        <v>40.73095</v>
      </c>
      <c r="I313">
        <v>-73.942520000000002</v>
      </c>
      <c r="K313">
        <v>110037107154</v>
      </c>
      <c r="L313" t="s">
        <v>264</v>
      </c>
      <c r="R313" s="387">
        <f t="shared" si="4"/>
        <v>1.5173290536170172</v>
      </c>
      <c r="S313" s="386">
        <v>0.68824888149999996</v>
      </c>
    </row>
    <row r="314" spans="1:19" x14ac:dyDescent="0.25">
      <c r="A314">
        <v>2024</v>
      </c>
      <c r="C314" t="s">
        <v>6808</v>
      </c>
      <c r="D314" t="s">
        <v>6962</v>
      </c>
      <c r="E314" t="s">
        <v>472</v>
      </c>
      <c r="F314" t="s">
        <v>450</v>
      </c>
      <c r="G314">
        <v>11222</v>
      </c>
      <c r="H314">
        <v>40.73095</v>
      </c>
      <c r="I314">
        <v>-73.942520000000002</v>
      </c>
      <c r="K314">
        <v>110037107154</v>
      </c>
      <c r="L314" t="s">
        <v>264</v>
      </c>
      <c r="R314" s="387">
        <f t="shared" si="4"/>
        <v>1.1062411824740348</v>
      </c>
      <c r="S314" s="386">
        <v>0.50178255974999997</v>
      </c>
    </row>
    <row r="315" spans="1:19" x14ac:dyDescent="0.25">
      <c r="A315">
        <v>2021</v>
      </c>
      <c r="C315" t="s">
        <v>6845</v>
      </c>
      <c r="D315" t="s">
        <v>6999</v>
      </c>
      <c r="E315" t="s">
        <v>6927</v>
      </c>
      <c r="F315" t="s">
        <v>418</v>
      </c>
      <c r="G315">
        <v>89406</v>
      </c>
      <c r="H315">
        <v>39.463894000000003</v>
      </c>
      <c r="I315">
        <v>-118.75532800000001</v>
      </c>
      <c r="K315">
        <v>110000734616</v>
      </c>
      <c r="L315" t="s">
        <v>263</v>
      </c>
      <c r="R315" s="387">
        <f t="shared" si="4"/>
        <v>7.9189272958890378</v>
      </c>
      <c r="S315" s="386">
        <v>3.5919650000000001</v>
      </c>
    </row>
    <row r="316" spans="1:19" x14ac:dyDescent="0.25">
      <c r="A316">
        <v>2023</v>
      </c>
      <c r="C316" t="s">
        <v>6775</v>
      </c>
      <c r="D316" t="s">
        <v>6918</v>
      </c>
      <c r="E316" t="s">
        <v>6919</v>
      </c>
      <c r="F316" t="s">
        <v>324</v>
      </c>
      <c r="G316">
        <v>41040</v>
      </c>
      <c r="H316">
        <v>38.691943999999999</v>
      </c>
      <c r="I316">
        <v>-84.325000000000003</v>
      </c>
      <c r="K316">
        <v>110023140420</v>
      </c>
      <c r="L316" t="s">
        <v>263</v>
      </c>
      <c r="R316" s="387">
        <f t="shared" si="4"/>
        <v>3.1292478788554132</v>
      </c>
      <c r="S316" s="386">
        <v>1.4194029616874999</v>
      </c>
    </row>
    <row r="317" spans="1:19" x14ac:dyDescent="0.25">
      <c r="A317">
        <v>2021</v>
      </c>
      <c r="C317" t="s">
        <v>6838</v>
      </c>
      <c r="D317" t="s">
        <v>6992</v>
      </c>
      <c r="E317" t="s">
        <v>293</v>
      </c>
      <c r="F317" t="s">
        <v>294</v>
      </c>
      <c r="G317">
        <v>22204</v>
      </c>
      <c r="H317">
        <v>38.862986999999997</v>
      </c>
      <c r="I317">
        <v>-77.085927999999996</v>
      </c>
      <c r="K317">
        <v>110071065066</v>
      </c>
      <c r="L317" t="s">
        <v>265</v>
      </c>
      <c r="R317" s="387">
        <f t="shared" si="4"/>
        <v>1.074771165132253E-4</v>
      </c>
      <c r="S317" s="386">
        <v>4.8750800000000001E-5</v>
      </c>
    </row>
    <row r="318" spans="1:19" x14ac:dyDescent="0.25">
      <c r="A318">
        <v>2022</v>
      </c>
      <c r="C318" t="s">
        <v>6838</v>
      </c>
      <c r="D318" t="s">
        <v>6992</v>
      </c>
      <c r="E318" t="s">
        <v>293</v>
      </c>
      <c r="F318" t="s">
        <v>294</v>
      </c>
      <c r="G318">
        <v>22204</v>
      </c>
      <c r="H318">
        <v>38.862986999999997</v>
      </c>
      <c r="I318">
        <v>-77.085927999999996</v>
      </c>
      <c r="K318">
        <v>110071065066</v>
      </c>
      <c r="L318" t="s">
        <v>265</v>
      </c>
      <c r="R318" s="387">
        <f t="shared" si="4"/>
        <v>8.8785444076142637E-5</v>
      </c>
      <c r="S318" s="386">
        <v>4.0272399999999997E-5</v>
      </c>
    </row>
    <row r="319" spans="1:19" x14ac:dyDescent="0.25">
      <c r="A319">
        <v>2022</v>
      </c>
      <c r="C319" t="s">
        <v>1109</v>
      </c>
      <c r="D319" t="s">
        <v>1748</v>
      </c>
      <c r="E319" t="s">
        <v>1110</v>
      </c>
      <c r="F319" t="s">
        <v>338</v>
      </c>
      <c r="G319">
        <v>8536</v>
      </c>
      <c r="H319">
        <v>40.331944</v>
      </c>
      <c r="I319">
        <v>-74.619721999999996</v>
      </c>
      <c r="J319" t="s">
        <v>7127</v>
      </c>
      <c r="K319">
        <v>110000321651</v>
      </c>
      <c r="L319" t="s">
        <v>265</v>
      </c>
      <c r="R319" s="387">
        <f t="shared" si="4"/>
        <v>6.7670891377648174E-2</v>
      </c>
      <c r="S319" s="386">
        <v>3.0695E-2</v>
      </c>
    </row>
    <row r="320" spans="1:19" x14ac:dyDescent="0.25">
      <c r="A320">
        <v>2021</v>
      </c>
      <c r="C320" t="s">
        <v>1109</v>
      </c>
      <c r="D320" t="s">
        <v>1748</v>
      </c>
      <c r="E320" t="s">
        <v>1110</v>
      </c>
      <c r="F320" t="s">
        <v>338</v>
      </c>
      <c r="G320">
        <v>8536</v>
      </c>
      <c r="H320">
        <v>40.331944</v>
      </c>
      <c r="I320">
        <v>-74.619721999999996</v>
      </c>
      <c r="J320" t="s">
        <v>7127</v>
      </c>
      <c r="K320">
        <v>110000321651</v>
      </c>
      <c r="L320" t="s">
        <v>265</v>
      </c>
      <c r="R320" s="387">
        <f t="shared" si="4"/>
        <v>4.8933803714555427E-2</v>
      </c>
      <c r="S320" s="386">
        <v>2.2196E-2</v>
      </c>
    </row>
    <row r="321" spans="1:19" x14ac:dyDescent="0.25">
      <c r="A321">
        <v>2024</v>
      </c>
      <c r="C321" t="s">
        <v>1109</v>
      </c>
      <c r="D321" t="s">
        <v>1748</v>
      </c>
      <c r="E321" t="s">
        <v>1110</v>
      </c>
      <c r="F321" t="s">
        <v>338</v>
      </c>
      <c r="G321">
        <v>8536</v>
      </c>
      <c r="H321">
        <v>40.331944</v>
      </c>
      <c r="I321">
        <v>-74.619721999999996</v>
      </c>
      <c r="J321" t="s">
        <v>7127</v>
      </c>
      <c r="K321">
        <v>110000321651</v>
      </c>
      <c r="L321" t="s">
        <v>265</v>
      </c>
      <c r="R321" s="387">
        <f t="shared" si="4"/>
        <v>2.2310780933109613E-2</v>
      </c>
      <c r="S321" s="386">
        <v>1.0120000000000001E-2</v>
      </c>
    </row>
    <row r="322" spans="1:19" x14ac:dyDescent="0.25">
      <c r="A322">
        <v>2023</v>
      </c>
      <c r="C322" t="s">
        <v>1109</v>
      </c>
      <c r="D322" t="s">
        <v>1748</v>
      </c>
      <c r="E322" t="s">
        <v>1110</v>
      </c>
      <c r="F322" t="s">
        <v>338</v>
      </c>
      <c r="G322" t="s">
        <v>1751</v>
      </c>
      <c r="H322">
        <v>40.331944</v>
      </c>
      <c r="I322">
        <v>-74.619721999999996</v>
      </c>
      <c r="J322" t="s">
        <v>7127</v>
      </c>
      <c r="K322">
        <v>110000321651</v>
      </c>
      <c r="L322" t="s">
        <v>265</v>
      </c>
      <c r="R322" s="387">
        <f t="shared" si="4"/>
        <v>6.8343301277312045E-3</v>
      </c>
      <c r="S322" s="386">
        <v>3.0999999999999999E-3</v>
      </c>
    </row>
    <row r="323" spans="1:19" x14ac:dyDescent="0.25">
      <c r="A323">
        <v>2024</v>
      </c>
      <c r="C323" t="s">
        <v>6870</v>
      </c>
      <c r="D323" t="s">
        <v>1753</v>
      </c>
      <c r="E323" t="s">
        <v>1112</v>
      </c>
      <c r="F323" t="s">
        <v>338</v>
      </c>
      <c r="G323">
        <v>7410</v>
      </c>
      <c r="H323">
        <v>40.9375</v>
      </c>
      <c r="I323">
        <v>-74.131929999999997</v>
      </c>
      <c r="J323" t="s">
        <v>715</v>
      </c>
      <c r="K323">
        <v>110000319904</v>
      </c>
      <c r="L323" t="s">
        <v>265</v>
      </c>
      <c r="R323" s="387">
        <f t="shared" ref="R323:R386" si="5">CONVERT(S323,"g","lbm")*1000</f>
        <v>0.12826350793775479</v>
      </c>
      <c r="S323" s="386">
        <v>5.8179348550000003E-2</v>
      </c>
    </row>
    <row r="324" spans="1:19" x14ac:dyDescent="0.25">
      <c r="A324">
        <v>2023</v>
      </c>
      <c r="C324" t="s">
        <v>6870</v>
      </c>
      <c r="D324" t="s">
        <v>1753</v>
      </c>
      <c r="E324" t="s">
        <v>1112</v>
      </c>
      <c r="F324" t="s">
        <v>338</v>
      </c>
      <c r="G324" t="s">
        <v>1756</v>
      </c>
      <c r="H324">
        <v>40.9375</v>
      </c>
      <c r="I324">
        <v>-74.131929999999997</v>
      </c>
      <c r="J324" t="s">
        <v>715</v>
      </c>
      <c r="K324">
        <v>110000319904</v>
      </c>
      <c r="L324" t="s">
        <v>265</v>
      </c>
      <c r="R324" s="387">
        <f t="shared" si="5"/>
        <v>0.10362027765700733</v>
      </c>
      <c r="S324" s="386">
        <v>4.7001367322500001E-2</v>
      </c>
    </row>
    <row r="325" spans="1:19" x14ac:dyDescent="0.25">
      <c r="A325">
        <v>2022</v>
      </c>
      <c r="C325" t="s">
        <v>6870</v>
      </c>
      <c r="D325" t="s">
        <v>1753</v>
      </c>
      <c r="E325" t="s">
        <v>1112</v>
      </c>
      <c r="F325" t="s">
        <v>338</v>
      </c>
      <c r="G325">
        <v>7410</v>
      </c>
      <c r="H325">
        <v>40.9375</v>
      </c>
      <c r="I325">
        <v>-74.131929999999997</v>
      </c>
      <c r="J325" t="s">
        <v>715</v>
      </c>
      <c r="K325">
        <v>110000319904</v>
      </c>
      <c r="L325" t="s">
        <v>265</v>
      </c>
      <c r="R325" s="387">
        <f t="shared" si="5"/>
        <v>7.1146930557936847E-2</v>
      </c>
      <c r="S325" s="386">
        <v>3.2271704849999999E-2</v>
      </c>
    </row>
    <row r="326" spans="1:19" x14ac:dyDescent="0.25">
      <c r="A326">
        <v>2021</v>
      </c>
      <c r="C326" t="s">
        <v>6870</v>
      </c>
      <c r="D326" t="s">
        <v>1753</v>
      </c>
      <c r="E326" t="s">
        <v>1112</v>
      </c>
      <c r="F326" t="s">
        <v>338</v>
      </c>
      <c r="G326">
        <v>7410</v>
      </c>
      <c r="H326">
        <v>40.9375</v>
      </c>
      <c r="I326">
        <v>-74.131929999999997</v>
      </c>
      <c r="J326" t="s">
        <v>715</v>
      </c>
      <c r="K326">
        <v>110000319904</v>
      </c>
      <c r="L326" t="s">
        <v>265</v>
      </c>
      <c r="R326" s="387">
        <f t="shared" si="5"/>
        <v>5.5390101028374876E-2</v>
      </c>
      <c r="S326" s="386">
        <v>2.51245272E-2</v>
      </c>
    </row>
    <row r="327" spans="1:19" x14ac:dyDescent="0.25">
      <c r="A327">
        <v>2021</v>
      </c>
      <c r="C327" t="s">
        <v>1113</v>
      </c>
      <c r="D327" t="s">
        <v>1758</v>
      </c>
      <c r="E327" t="s">
        <v>1114</v>
      </c>
      <c r="F327" t="s">
        <v>324</v>
      </c>
      <c r="G327">
        <v>41041</v>
      </c>
      <c r="H327">
        <v>38.421495999999998</v>
      </c>
      <c r="I327">
        <v>-83.734424000000004</v>
      </c>
      <c r="K327">
        <v>110003251427</v>
      </c>
      <c r="L327" t="s">
        <v>263</v>
      </c>
      <c r="R327" s="387">
        <f t="shared" si="5"/>
        <v>0.6426514074740719</v>
      </c>
      <c r="S327" s="386">
        <v>0.29150177500000002</v>
      </c>
    </row>
    <row r="328" spans="1:19" x14ac:dyDescent="0.25">
      <c r="A328">
        <v>2024</v>
      </c>
      <c r="C328" t="s">
        <v>1115</v>
      </c>
      <c r="D328" t="s">
        <v>1762</v>
      </c>
      <c r="E328" t="s">
        <v>987</v>
      </c>
      <c r="F328" t="s">
        <v>324</v>
      </c>
      <c r="G328">
        <v>40245</v>
      </c>
      <c r="H328">
        <v>38.236699999999999</v>
      </c>
      <c r="I328">
        <v>-85.466710000000006</v>
      </c>
      <c r="K328">
        <v>110043486457</v>
      </c>
      <c r="L328" t="s">
        <v>263</v>
      </c>
      <c r="R328" s="387">
        <f t="shared" si="5"/>
        <v>35.45242835544169</v>
      </c>
      <c r="S328" s="386">
        <v>16.080950999999999</v>
      </c>
    </row>
    <row r="329" spans="1:19" x14ac:dyDescent="0.25">
      <c r="A329">
        <v>2022</v>
      </c>
      <c r="C329" t="s">
        <v>1115</v>
      </c>
      <c r="D329" t="s">
        <v>1762</v>
      </c>
      <c r="E329" t="s">
        <v>987</v>
      </c>
      <c r="F329" t="s">
        <v>324</v>
      </c>
      <c r="G329">
        <v>40245</v>
      </c>
      <c r="H329">
        <v>38.236699999999999</v>
      </c>
      <c r="I329">
        <v>-85.466710000000006</v>
      </c>
      <c r="K329">
        <v>110043486457</v>
      </c>
      <c r="L329" t="s">
        <v>263</v>
      </c>
      <c r="R329" s="387">
        <f t="shared" si="5"/>
        <v>31.873682365953371</v>
      </c>
      <c r="S329" s="386">
        <v>14.457659124999999</v>
      </c>
    </row>
    <row r="330" spans="1:19" x14ac:dyDescent="0.25">
      <c r="A330">
        <v>2021</v>
      </c>
      <c r="C330" t="s">
        <v>1115</v>
      </c>
      <c r="D330" t="s">
        <v>1762</v>
      </c>
      <c r="E330" t="s">
        <v>987</v>
      </c>
      <c r="F330" t="s">
        <v>324</v>
      </c>
      <c r="G330">
        <v>40245</v>
      </c>
      <c r="H330">
        <v>38.236699999999999</v>
      </c>
      <c r="I330">
        <v>-85.466710000000006</v>
      </c>
      <c r="K330">
        <v>110043486457</v>
      </c>
      <c r="L330" t="s">
        <v>263</v>
      </c>
      <c r="R330" s="387">
        <f t="shared" si="5"/>
        <v>28.256864610619441</v>
      </c>
      <c r="S330" s="386">
        <v>12.817098187499999</v>
      </c>
    </row>
    <row r="331" spans="1:19" x14ac:dyDescent="0.25">
      <c r="A331">
        <v>2023</v>
      </c>
      <c r="C331" t="s">
        <v>1115</v>
      </c>
      <c r="D331" t="s">
        <v>1762</v>
      </c>
      <c r="E331" t="s">
        <v>987</v>
      </c>
      <c r="F331" t="s">
        <v>324</v>
      </c>
      <c r="G331">
        <v>40245</v>
      </c>
      <c r="H331">
        <v>38.236699999999999</v>
      </c>
      <c r="I331">
        <v>-85.466710000000006</v>
      </c>
      <c r="K331">
        <v>110043486457</v>
      </c>
      <c r="L331" t="s">
        <v>263</v>
      </c>
      <c r="R331" s="387">
        <f t="shared" si="5"/>
        <v>25.84311465600711</v>
      </c>
      <c r="S331" s="386">
        <v>11.722239625</v>
      </c>
    </row>
    <row r="332" spans="1:19" x14ac:dyDescent="0.25">
      <c r="A332">
        <v>2021</v>
      </c>
      <c r="C332" t="s">
        <v>1118</v>
      </c>
      <c r="D332" t="s">
        <v>1769</v>
      </c>
      <c r="E332" t="s">
        <v>1119</v>
      </c>
      <c r="F332" t="s">
        <v>427</v>
      </c>
      <c r="G332">
        <v>49128</v>
      </c>
      <c r="H332">
        <v>41.775967999999999</v>
      </c>
      <c r="I332">
        <v>-86.654864000000003</v>
      </c>
      <c r="K332">
        <v>110001847761</v>
      </c>
      <c r="L332" t="s">
        <v>6750</v>
      </c>
      <c r="R332" s="387">
        <f t="shared" si="5"/>
        <v>3.8176072053416597E-3</v>
      </c>
      <c r="S332" s="386">
        <v>1.7316375E-3</v>
      </c>
    </row>
    <row r="333" spans="1:19" x14ac:dyDescent="0.25">
      <c r="A333">
        <v>2023</v>
      </c>
      <c r="C333" t="s">
        <v>6846</v>
      </c>
      <c r="D333" t="s">
        <v>7000</v>
      </c>
      <c r="E333" t="s">
        <v>1267</v>
      </c>
      <c r="F333" t="s">
        <v>491</v>
      </c>
      <c r="G333" t="s">
        <v>7001</v>
      </c>
      <c r="H333">
        <v>40.670580000000001</v>
      </c>
      <c r="I333">
        <v>-80.336500000000001</v>
      </c>
      <c r="J333" t="s">
        <v>7128</v>
      </c>
      <c r="K333">
        <v>110000329038</v>
      </c>
      <c r="L333" t="s">
        <v>265</v>
      </c>
      <c r="R333" s="387">
        <f t="shared" si="5"/>
        <v>6.2055717559799342E-2</v>
      </c>
      <c r="S333" s="386">
        <v>2.8147999999999999E-2</v>
      </c>
    </row>
    <row r="334" spans="1:19" x14ac:dyDescent="0.25">
      <c r="A334">
        <v>2022</v>
      </c>
      <c r="C334" t="s">
        <v>1120</v>
      </c>
      <c r="D334" t="s">
        <v>1773</v>
      </c>
      <c r="E334" t="s">
        <v>1121</v>
      </c>
      <c r="F334" t="s">
        <v>338</v>
      </c>
      <c r="G334">
        <v>8832</v>
      </c>
      <c r="H334">
        <v>40.515906999999999</v>
      </c>
      <c r="I334">
        <v>-74.325175999999999</v>
      </c>
      <c r="K334">
        <v>110070215141</v>
      </c>
      <c r="L334" t="s">
        <v>265</v>
      </c>
      <c r="R334" s="387">
        <f t="shared" si="5"/>
        <v>0.10450637207654087</v>
      </c>
      <c r="S334" s="386">
        <v>4.7403292990300001E-2</v>
      </c>
    </row>
    <row r="335" spans="1:19" x14ac:dyDescent="0.25">
      <c r="A335">
        <v>2021</v>
      </c>
      <c r="C335" t="s">
        <v>1120</v>
      </c>
      <c r="D335" t="s">
        <v>1773</v>
      </c>
      <c r="E335" t="s">
        <v>1121</v>
      </c>
      <c r="F335" t="s">
        <v>338</v>
      </c>
      <c r="G335">
        <v>8832</v>
      </c>
      <c r="H335">
        <v>40.515906999999999</v>
      </c>
      <c r="I335">
        <v>-74.325175999999999</v>
      </c>
      <c r="K335">
        <v>110070215141</v>
      </c>
      <c r="L335" t="s">
        <v>265</v>
      </c>
      <c r="R335" s="387">
        <f t="shared" si="5"/>
        <v>0.10161098962599394</v>
      </c>
      <c r="S335" s="386">
        <v>4.6089969602500003E-2</v>
      </c>
    </row>
    <row r="336" spans="1:19" x14ac:dyDescent="0.25">
      <c r="A336">
        <v>2023</v>
      </c>
      <c r="C336" t="s">
        <v>1120</v>
      </c>
      <c r="D336" t="s">
        <v>1773</v>
      </c>
      <c r="E336" t="s">
        <v>1121</v>
      </c>
      <c r="F336" t="s">
        <v>338</v>
      </c>
      <c r="G336" t="s">
        <v>1776</v>
      </c>
      <c r="H336">
        <v>40.515906999999999</v>
      </c>
      <c r="I336">
        <v>-74.325175999999999</v>
      </c>
      <c r="K336">
        <v>110070215141</v>
      </c>
      <c r="L336" t="s">
        <v>265</v>
      </c>
      <c r="R336" s="387">
        <f t="shared" si="5"/>
        <v>9.31063187207051E-2</v>
      </c>
      <c r="S336" s="386">
        <v>4.2232315770499997E-2</v>
      </c>
    </row>
    <row r="337" spans="1:19" x14ac:dyDescent="0.25">
      <c r="A337">
        <v>2024</v>
      </c>
      <c r="C337" t="s">
        <v>1120</v>
      </c>
      <c r="D337" t="s">
        <v>1773</v>
      </c>
      <c r="E337" t="s">
        <v>1121</v>
      </c>
      <c r="F337" t="s">
        <v>338</v>
      </c>
      <c r="G337">
        <v>8832</v>
      </c>
      <c r="H337">
        <v>40.515906999999999</v>
      </c>
      <c r="I337">
        <v>-74.325175999999999</v>
      </c>
      <c r="K337">
        <v>110070215141</v>
      </c>
      <c r="L337" t="s">
        <v>265</v>
      </c>
      <c r="R337" s="387">
        <f t="shared" si="5"/>
        <v>6.8825239092756341E-2</v>
      </c>
      <c r="S337" s="386">
        <v>3.1218603315900002E-2</v>
      </c>
    </row>
    <row r="338" spans="1:19" x14ac:dyDescent="0.25">
      <c r="A338">
        <v>2022</v>
      </c>
      <c r="C338" t="s">
        <v>1120</v>
      </c>
      <c r="D338" t="s">
        <v>1773</v>
      </c>
      <c r="E338" t="s">
        <v>1121</v>
      </c>
      <c r="F338" t="s">
        <v>338</v>
      </c>
      <c r="G338">
        <v>8832</v>
      </c>
      <c r="H338">
        <v>40.515906999999999</v>
      </c>
      <c r="I338">
        <v>-74.325175999999999</v>
      </c>
      <c r="K338">
        <v>110070215141</v>
      </c>
      <c r="L338" t="s">
        <v>265</v>
      </c>
      <c r="R338" s="387">
        <f t="shared" si="5"/>
        <v>1.3500072099978224E-2</v>
      </c>
      <c r="S338" s="386">
        <v>6.1235296990000002E-3</v>
      </c>
    </row>
    <row r="339" spans="1:19" x14ac:dyDescent="0.25">
      <c r="A339">
        <v>2023</v>
      </c>
      <c r="C339" t="s">
        <v>1120</v>
      </c>
      <c r="D339" t="s">
        <v>1773</v>
      </c>
      <c r="E339" t="s">
        <v>1121</v>
      </c>
      <c r="F339" t="s">
        <v>338</v>
      </c>
      <c r="G339" t="s">
        <v>1776</v>
      </c>
      <c r="H339">
        <v>40.515906999999999</v>
      </c>
      <c r="I339">
        <v>-74.325175999999999</v>
      </c>
      <c r="K339">
        <v>110070215141</v>
      </c>
      <c r="L339" t="s">
        <v>265</v>
      </c>
      <c r="R339" s="387">
        <f t="shared" si="5"/>
        <v>7.3292150438950281E-4</v>
      </c>
      <c r="S339" s="386">
        <v>3.3244760219999997E-4</v>
      </c>
    </row>
    <row r="340" spans="1:19" x14ac:dyDescent="0.25">
      <c r="A340">
        <v>2021</v>
      </c>
      <c r="C340" t="s">
        <v>147</v>
      </c>
      <c r="D340" t="s">
        <v>473</v>
      </c>
      <c r="E340" t="s">
        <v>474</v>
      </c>
      <c r="F340" t="s">
        <v>338</v>
      </c>
      <c r="G340">
        <v>7470</v>
      </c>
      <c r="H340">
        <v>40.891950000000001</v>
      </c>
      <c r="I340">
        <v>-74.249369999999999</v>
      </c>
      <c r="K340">
        <v>110070213656</v>
      </c>
      <c r="L340" t="s">
        <v>265</v>
      </c>
      <c r="R340" s="387">
        <f t="shared" si="5"/>
        <v>6.9886794744805777E-4</v>
      </c>
      <c r="S340" s="386">
        <v>3.1700116859999998E-4</v>
      </c>
    </row>
    <row r="341" spans="1:19" x14ac:dyDescent="0.25">
      <c r="A341">
        <v>2022</v>
      </c>
      <c r="C341" t="s">
        <v>147</v>
      </c>
      <c r="D341" t="s">
        <v>473</v>
      </c>
      <c r="E341" t="s">
        <v>474</v>
      </c>
      <c r="F341" t="s">
        <v>338</v>
      </c>
      <c r="G341">
        <v>7470</v>
      </c>
      <c r="H341">
        <v>40.891950000000001</v>
      </c>
      <c r="I341">
        <v>-74.249369999999999</v>
      </c>
      <c r="K341">
        <v>110070213656</v>
      </c>
      <c r="L341" t="s">
        <v>265</v>
      </c>
      <c r="R341" s="387">
        <f t="shared" si="5"/>
        <v>3.6941253443041819E-5</v>
      </c>
      <c r="S341" s="386">
        <v>1.67562707E-5</v>
      </c>
    </row>
    <row r="342" spans="1:19" x14ac:dyDescent="0.25">
      <c r="A342">
        <v>2021</v>
      </c>
      <c r="C342" t="s">
        <v>149</v>
      </c>
      <c r="D342" t="s">
        <v>479</v>
      </c>
      <c r="E342" t="s">
        <v>480</v>
      </c>
      <c r="F342" t="s">
        <v>362</v>
      </c>
      <c r="G342">
        <v>77978</v>
      </c>
      <c r="H342">
        <v>28.697590000000002</v>
      </c>
      <c r="I342">
        <v>-96.542101000000002</v>
      </c>
      <c r="J342" t="s">
        <v>481</v>
      </c>
      <c r="K342">
        <v>110018925957</v>
      </c>
      <c r="L342" t="s">
        <v>251</v>
      </c>
      <c r="R342" s="387">
        <f t="shared" si="5"/>
        <v>325.93603812162888</v>
      </c>
      <c r="S342" s="386">
        <v>147.84209999999999</v>
      </c>
    </row>
    <row r="343" spans="1:19" x14ac:dyDescent="0.25">
      <c r="A343">
        <v>2021</v>
      </c>
      <c r="C343" t="s">
        <v>149</v>
      </c>
      <c r="D343" t="s">
        <v>479</v>
      </c>
      <c r="E343" t="s">
        <v>480</v>
      </c>
      <c r="F343" t="s">
        <v>362</v>
      </c>
      <c r="G343">
        <v>77978</v>
      </c>
      <c r="H343">
        <v>28.697590000000002</v>
      </c>
      <c r="I343">
        <v>-96.542101000000002</v>
      </c>
      <c r="J343" t="s">
        <v>481</v>
      </c>
      <c r="K343">
        <v>110018925957</v>
      </c>
      <c r="L343" t="s">
        <v>251</v>
      </c>
      <c r="R343" s="387">
        <f t="shared" si="5"/>
        <v>147.86448017192174</v>
      </c>
      <c r="S343" s="386">
        <v>67.0702</v>
      </c>
    </row>
    <row r="344" spans="1:19" x14ac:dyDescent="0.25">
      <c r="A344">
        <v>2021</v>
      </c>
      <c r="C344" t="s">
        <v>149</v>
      </c>
      <c r="D344" t="s">
        <v>479</v>
      </c>
      <c r="E344" t="s">
        <v>480</v>
      </c>
      <c r="F344" t="s">
        <v>362</v>
      </c>
      <c r="G344">
        <v>77978</v>
      </c>
      <c r="H344">
        <v>28.697590000000002</v>
      </c>
      <c r="I344">
        <v>-96.542101000000002</v>
      </c>
      <c r="J344" t="s">
        <v>481</v>
      </c>
      <c r="K344">
        <v>110018925957</v>
      </c>
      <c r="L344" t="s">
        <v>251</v>
      </c>
      <c r="R344" s="387">
        <f t="shared" si="5"/>
        <v>89.675523716003639</v>
      </c>
      <c r="S344" s="386">
        <v>40.676133333333297</v>
      </c>
    </row>
    <row r="345" spans="1:19" x14ac:dyDescent="0.25">
      <c r="A345">
        <v>2021</v>
      </c>
      <c r="C345" t="s">
        <v>149</v>
      </c>
      <c r="D345" t="s">
        <v>479</v>
      </c>
      <c r="E345" t="s">
        <v>480</v>
      </c>
      <c r="F345" t="s">
        <v>362</v>
      </c>
      <c r="G345">
        <v>77978</v>
      </c>
      <c r="H345">
        <v>28.697590000000002</v>
      </c>
      <c r="I345">
        <v>-96.542101000000002</v>
      </c>
      <c r="J345" t="s">
        <v>481</v>
      </c>
      <c r="K345">
        <v>110018925957</v>
      </c>
      <c r="L345" t="s">
        <v>251</v>
      </c>
      <c r="R345" s="387">
        <f t="shared" si="5"/>
        <v>81.713367444871267</v>
      </c>
      <c r="S345" s="386">
        <v>37.06456</v>
      </c>
    </row>
    <row r="346" spans="1:19" x14ac:dyDescent="0.25">
      <c r="A346">
        <v>2021</v>
      </c>
      <c r="C346" t="s">
        <v>149</v>
      </c>
      <c r="D346" t="s">
        <v>479</v>
      </c>
      <c r="E346" t="s">
        <v>480</v>
      </c>
      <c r="F346" t="s">
        <v>362</v>
      </c>
      <c r="G346">
        <v>77978</v>
      </c>
      <c r="H346">
        <v>28.697590000000002</v>
      </c>
      <c r="I346">
        <v>-96.542101000000002</v>
      </c>
      <c r="J346" t="s">
        <v>481</v>
      </c>
      <c r="K346">
        <v>110018925957</v>
      </c>
      <c r="L346" t="s">
        <v>251</v>
      </c>
      <c r="R346" s="387">
        <f t="shared" si="5"/>
        <v>58.978902136294749</v>
      </c>
      <c r="S346" s="386">
        <v>26.752379999999999</v>
      </c>
    </row>
    <row r="347" spans="1:19" x14ac:dyDescent="0.25">
      <c r="A347">
        <v>2022</v>
      </c>
      <c r="C347" t="s">
        <v>149</v>
      </c>
      <c r="D347" t="s">
        <v>479</v>
      </c>
      <c r="E347" t="s">
        <v>480</v>
      </c>
      <c r="F347" t="s">
        <v>362</v>
      </c>
      <c r="G347">
        <v>77978</v>
      </c>
      <c r="H347">
        <v>28.697590000000002</v>
      </c>
      <c r="I347">
        <v>-96.542101000000002</v>
      </c>
      <c r="J347" t="s">
        <v>481</v>
      </c>
      <c r="K347">
        <v>110018925957</v>
      </c>
      <c r="L347" t="s">
        <v>251</v>
      </c>
      <c r="R347" s="387">
        <f t="shared" si="5"/>
        <v>34.711165886674856</v>
      </c>
      <c r="S347" s="386">
        <v>15.744719999999999</v>
      </c>
    </row>
    <row r="348" spans="1:19" x14ac:dyDescent="0.25">
      <c r="A348">
        <v>2023</v>
      </c>
      <c r="C348" t="s">
        <v>149</v>
      </c>
      <c r="D348" t="s">
        <v>479</v>
      </c>
      <c r="E348" t="s">
        <v>480</v>
      </c>
      <c r="F348" t="s">
        <v>362</v>
      </c>
      <c r="G348">
        <v>77978</v>
      </c>
      <c r="H348">
        <v>28.697590000000002</v>
      </c>
      <c r="I348">
        <v>-96.542101000000002</v>
      </c>
      <c r="J348" t="s">
        <v>481</v>
      </c>
      <c r="K348">
        <v>110018925957</v>
      </c>
      <c r="L348" t="s">
        <v>251</v>
      </c>
      <c r="R348" s="387">
        <f t="shared" si="5"/>
        <v>33.510087482291645</v>
      </c>
      <c r="S348" s="386">
        <v>15.199920000000001</v>
      </c>
    </row>
    <row r="349" spans="1:19" x14ac:dyDescent="0.25">
      <c r="A349">
        <v>2024</v>
      </c>
      <c r="C349" t="s">
        <v>149</v>
      </c>
      <c r="D349" t="s">
        <v>479</v>
      </c>
      <c r="E349" t="s">
        <v>480</v>
      </c>
      <c r="F349" t="s">
        <v>362</v>
      </c>
      <c r="G349">
        <v>77978</v>
      </c>
      <c r="H349">
        <v>28.697590000000002</v>
      </c>
      <c r="I349">
        <v>-96.542101000000002</v>
      </c>
      <c r="J349" t="s">
        <v>481</v>
      </c>
      <c r="K349">
        <v>110018925957</v>
      </c>
      <c r="L349" t="s">
        <v>251</v>
      </c>
      <c r="R349" s="387">
        <f t="shared" si="5"/>
        <v>24.301819715353677</v>
      </c>
      <c r="S349" s="386">
        <v>11.02312</v>
      </c>
    </row>
    <row r="350" spans="1:19" x14ac:dyDescent="0.25">
      <c r="A350">
        <v>2023</v>
      </c>
      <c r="C350" t="s">
        <v>149</v>
      </c>
      <c r="D350" t="s">
        <v>479</v>
      </c>
      <c r="E350" t="s">
        <v>480</v>
      </c>
      <c r="F350" t="s">
        <v>362</v>
      </c>
      <c r="G350">
        <v>77978</v>
      </c>
      <c r="H350">
        <v>28.697590000000002</v>
      </c>
      <c r="I350">
        <v>-96.542101000000002</v>
      </c>
      <c r="J350" t="s">
        <v>481</v>
      </c>
      <c r="K350">
        <v>110018925957</v>
      </c>
      <c r="L350" t="s">
        <v>251</v>
      </c>
      <c r="R350" s="387">
        <f t="shared" si="5"/>
        <v>7.7603818600387822</v>
      </c>
      <c r="S350" s="386">
        <v>3.5200499999999999</v>
      </c>
    </row>
    <row r="351" spans="1:19" x14ac:dyDescent="0.25">
      <c r="A351">
        <v>2024</v>
      </c>
      <c r="C351" t="s">
        <v>150</v>
      </c>
      <c r="D351" t="s">
        <v>482</v>
      </c>
      <c r="E351" t="s">
        <v>302</v>
      </c>
      <c r="F351" t="s">
        <v>303</v>
      </c>
      <c r="G351">
        <v>70805</v>
      </c>
      <c r="H351">
        <v>30.503836</v>
      </c>
      <c r="I351">
        <v>-91.186507000000006</v>
      </c>
      <c r="J351" t="s">
        <v>483</v>
      </c>
      <c r="K351">
        <v>110000597444</v>
      </c>
      <c r="L351" t="s">
        <v>251</v>
      </c>
      <c r="R351" s="387">
        <f t="shared" si="5"/>
        <v>115.23346391386609</v>
      </c>
      <c r="S351" s="386">
        <v>52.269019999999998</v>
      </c>
    </row>
    <row r="352" spans="1:19" x14ac:dyDescent="0.25">
      <c r="A352">
        <v>2021</v>
      </c>
      <c r="C352" t="s">
        <v>150</v>
      </c>
      <c r="D352" t="s">
        <v>482</v>
      </c>
      <c r="E352" t="s">
        <v>302</v>
      </c>
      <c r="F352" t="s">
        <v>303</v>
      </c>
      <c r="G352">
        <v>70805</v>
      </c>
      <c r="H352">
        <v>30.503836</v>
      </c>
      <c r="I352">
        <v>-91.186507000000006</v>
      </c>
      <c r="J352" t="s">
        <v>483</v>
      </c>
      <c r="K352">
        <v>110000597444</v>
      </c>
      <c r="L352" t="s">
        <v>251</v>
      </c>
      <c r="R352" s="387">
        <f t="shared" si="5"/>
        <v>109.29813479887238</v>
      </c>
      <c r="S352" s="386">
        <v>49.576799999999999</v>
      </c>
    </row>
    <row r="353" spans="1:19" x14ac:dyDescent="0.25">
      <c r="A353">
        <v>2023</v>
      </c>
      <c r="C353" t="s">
        <v>150</v>
      </c>
      <c r="D353" t="s">
        <v>482</v>
      </c>
      <c r="E353" t="s">
        <v>302</v>
      </c>
      <c r="F353" t="s">
        <v>303</v>
      </c>
      <c r="G353">
        <v>70805</v>
      </c>
      <c r="H353">
        <v>30.503836</v>
      </c>
      <c r="I353">
        <v>-91.186507000000006</v>
      </c>
      <c r="J353" t="s">
        <v>483</v>
      </c>
      <c r="K353">
        <v>110000597444</v>
      </c>
      <c r="L353" t="s">
        <v>251</v>
      </c>
      <c r="R353" s="387">
        <f t="shared" si="5"/>
        <v>34.631093993049305</v>
      </c>
      <c r="S353" s="386">
        <v>15.708399999999999</v>
      </c>
    </row>
    <row r="354" spans="1:19" x14ac:dyDescent="0.25">
      <c r="A354">
        <v>2022</v>
      </c>
      <c r="C354" t="s">
        <v>150</v>
      </c>
      <c r="D354" t="s">
        <v>482</v>
      </c>
      <c r="E354" t="s">
        <v>302</v>
      </c>
      <c r="F354" t="s">
        <v>303</v>
      </c>
      <c r="G354">
        <v>70805</v>
      </c>
      <c r="H354">
        <v>30.503836</v>
      </c>
      <c r="I354">
        <v>-91.186507000000006</v>
      </c>
      <c r="J354" t="s">
        <v>483</v>
      </c>
      <c r="K354">
        <v>110000597444</v>
      </c>
      <c r="L354" t="s">
        <v>251</v>
      </c>
      <c r="R354" s="387">
        <f t="shared" si="5"/>
        <v>29.466456854201493</v>
      </c>
      <c r="S354" s="386">
        <v>13.36576</v>
      </c>
    </row>
    <row r="355" spans="1:19" x14ac:dyDescent="0.25">
      <c r="A355">
        <v>2023</v>
      </c>
      <c r="C355" t="s">
        <v>6902</v>
      </c>
      <c r="D355" t="s">
        <v>7096</v>
      </c>
      <c r="E355" t="s">
        <v>1125</v>
      </c>
      <c r="F355" t="s">
        <v>294</v>
      </c>
      <c r="G355">
        <v>22046</v>
      </c>
      <c r="H355">
        <v>38.884332000000001</v>
      </c>
      <c r="I355">
        <v>-77.174546000000007</v>
      </c>
      <c r="K355">
        <v>110071426611</v>
      </c>
      <c r="L355" t="s">
        <v>265</v>
      </c>
      <c r="R355" s="387">
        <f t="shared" si="5"/>
        <v>6.3563606995543379E-2</v>
      </c>
      <c r="S355" s="386">
        <v>2.8831967142857101E-2</v>
      </c>
    </row>
    <row r="356" spans="1:19" x14ac:dyDescent="0.25">
      <c r="A356">
        <v>2024</v>
      </c>
      <c r="C356" t="s">
        <v>1126</v>
      </c>
      <c r="D356" t="s">
        <v>1789</v>
      </c>
      <c r="E356" t="s">
        <v>1127</v>
      </c>
      <c r="F356" t="s">
        <v>1128</v>
      </c>
      <c r="G356">
        <v>80537</v>
      </c>
      <c r="H356">
        <v>40.393799999999999</v>
      </c>
      <c r="I356">
        <v>-105.074</v>
      </c>
      <c r="K356">
        <v>110070053140</v>
      </c>
      <c r="L356" t="s">
        <v>265</v>
      </c>
      <c r="R356" s="387">
        <f t="shared" si="5"/>
        <v>0.24526166589288084</v>
      </c>
      <c r="S356" s="386">
        <v>0.1112488203025</v>
      </c>
    </row>
    <row r="357" spans="1:19" x14ac:dyDescent="0.25">
      <c r="A357">
        <v>2023</v>
      </c>
      <c r="C357" t="s">
        <v>1126</v>
      </c>
      <c r="D357" t="s">
        <v>1789</v>
      </c>
      <c r="E357" t="s">
        <v>1127</v>
      </c>
      <c r="F357" t="s">
        <v>1128</v>
      </c>
      <c r="G357">
        <v>80537</v>
      </c>
      <c r="H357">
        <v>40.393799999999999</v>
      </c>
      <c r="I357">
        <v>-105.074</v>
      </c>
      <c r="K357">
        <v>110070053140</v>
      </c>
      <c r="L357" t="s">
        <v>265</v>
      </c>
      <c r="R357" s="387">
        <f t="shared" si="5"/>
        <v>0.12947279238846102</v>
      </c>
      <c r="S357" s="386">
        <v>5.8727870750000001E-2</v>
      </c>
    </row>
    <row r="358" spans="1:19" x14ac:dyDescent="0.25">
      <c r="A358">
        <v>2021</v>
      </c>
      <c r="C358" t="s">
        <v>1126</v>
      </c>
      <c r="D358" t="s">
        <v>1789</v>
      </c>
      <c r="E358" t="s">
        <v>1127</v>
      </c>
      <c r="F358" t="s">
        <v>1128</v>
      </c>
      <c r="G358">
        <v>80537</v>
      </c>
      <c r="H358">
        <v>40.393799999999999</v>
      </c>
      <c r="I358">
        <v>-105.074</v>
      </c>
      <c r="K358">
        <v>110070053140</v>
      </c>
      <c r="L358" t="s">
        <v>265</v>
      </c>
      <c r="R358" s="387">
        <f t="shared" si="5"/>
        <v>8.6440640524883608E-2</v>
      </c>
      <c r="S358" s="386">
        <v>3.9208815000000001E-2</v>
      </c>
    </row>
    <row r="359" spans="1:19" x14ac:dyDescent="0.25">
      <c r="A359">
        <v>2022</v>
      </c>
      <c r="C359" t="s">
        <v>1126</v>
      </c>
      <c r="D359" t="s">
        <v>1789</v>
      </c>
      <c r="E359" t="s">
        <v>1127</v>
      </c>
      <c r="F359" t="s">
        <v>1128</v>
      </c>
      <c r="G359">
        <v>80537</v>
      </c>
      <c r="H359">
        <v>40.393799999999999</v>
      </c>
      <c r="I359">
        <v>-105.074</v>
      </c>
      <c r="K359">
        <v>110070053140</v>
      </c>
      <c r="L359" t="s">
        <v>265</v>
      </c>
      <c r="R359" s="387">
        <f t="shared" si="5"/>
        <v>4.3107669558021887E-2</v>
      </c>
      <c r="S359" s="386">
        <v>1.9553310000000001E-2</v>
      </c>
    </row>
    <row r="360" spans="1:19" x14ac:dyDescent="0.25">
      <c r="A360">
        <v>2024</v>
      </c>
      <c r="C360" t="s">
        <v>6887</v>
      </c>
      <c r="D360" t="s">
        <v>7065</v>
      </c>
      <c r="E360" t="s">
        <v>7066</v>
      </c>
      <c r="F360" t="s">
        <v>324</v>
      </c>
      <c r="G360">
        <v>40601</v>
      </c>
      <c r="H360">
        <v>38.194721999999999</v>
      </c>
      <c r="I360">
        <v>-84.869444000000001</v>
      </c>
      <c r="K360">
        <v>110000732299</v>
      </c>
      <c r="L360" t="s">
        <v>263</v>
      </c>
      <c r="R360" s="387">
        <f t="shared" si="5"/>
        <v>46.447554331656853</v>
      </c>
      <c r="S360" s="386">
        <v>21.068256250000001</v>
      </c>
    </row>
    <row r="361" spans="1:19" x14ac:dyDescent="0.25">
      <c r="A361">
        <v>2023</v>
      </c>
      <c r="C361" t="s">
        <v>6887</v>
      </c>
      <c r="D361" t="s">
        <v>7065</v>
      </c>
      <c r="E361" t="s">
        <v>7066</v>
      </c>
      <c r="F361" t="s">
        <v>324</v>
      </c>
      <c r="G361">
        <v>40601</v>
      </c>
      <c r="H361">
        <v>38.194721999999999</v>
      </c>
      <c r="I361">
        <v>-84.869444000000001</v>
      </c>
      <c r="K361">
        <v>110000732299</v>
      </c>
      <c r="L361" t="s">
        <v>263</v>
      </c>
      <c r="R361" s="387">
        <f t="shared" si="5"/>
        <v>29.543690296201408</v>
      </c>
      <c r="S361" s="386">
        <v>13.4007925</v>
      </c>
    </row>
    <row r="362" spans="1:19" x14ac:dyDescent="0.25">
      <c r="A362">
        <v>2022</v>
      </c>
      <c r="C362" t="s">
        <v>1129</v>
      </c>
      <c r="D362" t="s">
        <v>1792</v>
      </c>
      <c r="E362" t="s">
        <v>1130</v>
      </c>
      <c r="F362" t="s">
        <v>366</v>
      </c>
      <c r="G362">
        <v>93420</v>
      </c>
      <c r="H362">
        <v>35.178620000000002</v>
      </c>
      <c r="I362">
        <v>-120.62067500000001</v>
      </c>
      <c r="K362">
        <v>110037256867</v>
      </c>
      <c r="L362" t="s">
        <v>6750</v>
      </c>
      <c r="R362" s="387">
        <f t="shared" si="5"/>
        <v>0.3578745989488315</v>
      </c>
      <c r="S362" s="386">
        <v>0.1623291875</v>
      </c>
    </row>
    <row r="363" spans="1:19" x14ac:dyDescent="0.25">
      <c r="A363">
        <v>2023</v>
      </c>
      <c r="C363" t="s">
        <v>1129</v>
      </c>
      <c r="D363" t="s">
        <v>1792</v>
      </c>
      <c r="E363" t="s">
        <v>1130</v>
      </c>
      <c r="F363" t="s">
        <v>366</v>
      </c>
      <c r="G363">
        <v>93420</v>
      </c>
      <c r="H363">
        <v>35.178620000000002</v>
      </c>
      <c r="I363">
        <v>-120.62067500000001</v>
      </c>
      <c r="K363">
        <v>110037256867</v>
      </c>
      <c r="L363" t="s">
        <v>6750</v>
      </c>
      <c r="R363" s="387">
        <f t="shared" si="5"/>
        <v>5.3848705612045453E-2</v>
      </c>
      <c r="S363" s="386">
        <v>2.4425361999999999E-2</v>
      </c>
    </row>
    <row r="364" spans="1:19" x14ac:dyDescent="0.25">
      <c r="A364">
        <v>2024</v>
      </c>
      <c r="C364" t="s">
        <v>1129</v>
      </c>
      <c r="D364" t="s">
        <v>1792</v>
      </c>
      <c r="E364" t="s">
        <v>1130</v>
      </c>
      <c r="F364" t="s">
        <v>366</v>
      </c>
      <c r="G364">
        <v>93420</v>
      </c>
      <c r="H364">
        <v>35.178620000000002</v>
      </c>
      <c r="I364">
        <v>-120.62067500000001</v>
      </c>
      <c r="K364">
        <v>110037256867</v>
      </c>
      <c r="L364" t="s">
        <v>6750</v>
      </c>
      <c r="R364" s="387">
        <f t="shared" si="5"/>
        <v>3.1066560930026226E-2</v>
      </c>
      <c r="S364" s="386">
        <v>1.4091555E-2</v>
      </c>
    </row>
    <row r="365" spans="1:19" x14ac:dyDescent="0.25">
      <c r="A365">
        <v>2021</v>
      </c>
      <c r="C365" t="s">
        <v>1132</v>
      </c>
      <c r="D365" t="s">
        <v>1797</v>
      </c>
      <c r="E365" t="s">
        <v>1133</v>
      </c>
      <c r="F365" t="s">
        <v>999</v>
      </c>
      <c r="G365" t="s">
        <v>1798</v>
      </c>
      <c r="H365">
        <v>43.585476</v>
      </c>
      <c r="I365">
        <v>-71.750524999999996</v>
      </c>
      <c r="J365" t="s">
        <v>717</v>
      </c>
      <c r="K365">
        <v>110007681758</v>
      </c>
      <c r="L365" t="s">
        <v>265</v>
      </c>
      <c r="R365" s="387">
        <f t="shared" si="5"/>
        <v>9.8285653482222367E-3</v>
      </c>
      <c r="S365" s="386">
        <v>4.4581622499999998E-3</v>
      </c>
    </row>
    <row r="366" spans="1:19" x14ac:dyDescent="0.25">
      <c r="A366">
        <v>2023</v>
      </c>
      <c r="C366" t="s">
        <v>1132</v>
      </c>
      <c r="D366" t="s">
        <v>7098</v>
      </c>
      <c r="E366" t="s">
        <v>1133</v>
      </c>
      <c r="F366" t="s">
        <v>999</v>
      </c>
      <c r="G366" t="s">
        <v>1798</v>
      </c>
      <c r="H366">
        <v>43.585476</v>
      </c>
      <c r="I366">
        <v>-71.750524999999996</v>
      </c>
      <c r="J366" t="s">
        <v>717</v>
      </c>
      <c r="K366">
        <v>110007681758</v>
      </c>
      <c r="L366" t="s">
        <v>265</v>
      </c>
      <c r="R366" s="387">
        <f t="shared" si="5"/>
        <v>9.5406206111573466E-3</v>
      </c>
      <c r="S366" s="386">
        <v>4.3275527142857097E-3</v>
      </c>
    </row>
    <row r="367" spans="1:19" x14ac:dyDescent="0.25">
      <c r="A367">
        <v>2024</v>
      </c>
      <c r="C367" t="s">
        <v>1132</v>
      </c>
      <c r="D367" t="s">
        <v>7098</v>
      </c>
      <c r="E367" t="s">
        <v>1133</v>
      </c>
      <c r="F367" t="s">
        <v>999</v>
      </c>
      <c r="G367" t="s">
        <v>1798</v>
      </c>
      <c r="H367">
        <v>43.585476</v>
      </c>
      <c r="I367">
        <v>-71.750524999999996</v>
      </c>
      <c r="J367" t="s">
        <v>717</v>
      </c>
      <c r="K367">
        <v>110007681758</v>
      </c>
      <c r="L367" t="s">
        <v>265</v>
      </c>
      <c r="R367" s="387">
        <f t="shared" si="5"/>
        <v>9.105514715778841E-3</v>
      </c>
      <c r="S367" s="386">
        <v>4.1301920000000004E-3</v>
      </c>
    </row>
    <row r="368" spans="1:19" x14ac:dyDescent="0.25">
      <c r="A368">
        <v>2022</v>
      </c>
      <c r="C368" t="s">
        <v>1132</v>
      </c>
      <c r="D368" t="s">
        <v>1797</v>
      </c>
      <c r="E368" t="s">
        <v>1133</v>
      </c>
      <c r="F368" t="s">
        <v>999</v>
      </c>
      <c r="G368" t="s">
        <v>1798</v>
      </c>
      <c r="H368">
        <v>43.585476</v>
      </c>
      <c r="I368">
        <v>-71.750524999999996</v>
      </c>
      <c r="J368" t="s">
        <v>717</v>
      </c>
      <c r="K368">
        <v>110007681758</v>
      </c>
      <c r="L368" t="s">
        <v>265</v>
      </c>
      <c r="R368" s="387">
        <f t="shared" si="5"/>
        <v>7.4190919481295506E-3</v>
      </c>
      <c r="S368" s="386">
        <v>3.3652435000000001E-3</v>
      </c>
    </row>
    <row r="369" spans="1:19" x14ac:dyDescent="0.25">
      <c r="A369">
        <v>2023</v>
      </c>
      <c r="C369" t="s">
        <v>1132</v>
      </c>
      <c r="D369" t="s">
        <v>1797</v>
      </c>
      <c r="E369" t="s">
        <v>1133</v>
      </c>
      <c r="F369" t="s">
        <v>999</v>
      </c>
      <c r="G369" t="s">
        <v>1798</v>
      </c>
      <c r="H369">
        <v>43.585476</v>
      </c>
      <c r="I369">
        <v>-71.750524999999996</v>
      </c>
      <c r="J369" t="s">
        <v>717</v>
      </c>
      <c r="K369">
        <v>110007681758</v>
      </c>
      <c r="L369" t="s">
        <v>265</v>
      </c>
      <c r="R369" s="387">
        <f t="shared" si="5"/>
        <v>6.3615104460421146E-3</v>
      </c>
      <c r="S369" s="386">
        <v>2.8855325999999999E-3</v>
      </c>
    </row>
    <row r="370" spans="1:19" x14ac:dyDescent="0.25">
      <c r="A370">
        <v>2022</v>
      </c>
      <c r="C370" t="s">
        <v>1134</v>
      </c>
      <c r="D370" t="s">
        <v>1800</v>
      </c>
      <c r="E370" t="s">
        <v>1135</v>
      </c>
      <c r="F370" t="s">
        <v>299</v>
      </c>
      <c r="G370">
        <v>72501</v>
      </c>
      <c r="H370">
        <v>35.722341999999998</v>
      </c>
      <c r="I370">
        <v>-91.524983000000006</v>
      </c>
      <c r="J370" t="s">
        <v>718</v>
      </c>
      <c r="K370">
        <v>110017432937</v>
      </c>
      <c r="L370" t="s">
        <v>265</v>
      </c>
      <c r="R370" s="387">
        <f t="shared" si="5"/>
        <v>11.880667216690616</v>
      </c>
      <c r="S370" s="386">
        <v>5.3889800000000001</v>
      </c>
    </row>
    <row r="371" spans="1:19" x14ac:dyDescent="0.25">
      <c r="A371">
        <v>2023</v>
      </c>
      <c r="C371" t="s">
        <v>1134</v>
      </c>
      <c r="D371" t="s">
        <v>1800</v>
      </c>
      <c r="E371" t="s">
        <v>1135</v>
      </c>
      <c r="F371" t="s">
        <v>299</v>
      </c>
      <c r="G371">
        <v>72501</v>
      </c>
      <c r="H371">
        <v>35.722341999999998</v>
      </c>
      <c r="I371">
        <v>-91.524983000000006</v>
      </c>
      <c r="J371" t="s">
        <v>718</v>
      </c>
      <c r="K371">
        <v>110017432937</v>
      </c>
      <c r="L371" t="s">
        <v>265</v>
      </c>
      <c r="R371" s="387">
        <f t="shared" si="5"/>
        <v>10.039013663303022</v>
      </c>
      <c r="S371" s="386">
        <v>4.5536199999999996</v>
      </c>
    </row>
    <row r="372" spans="1:19" x14ac:dyDescent="0.25">
      <c r="A372">
        <v>2024</v>
      </c>
      <c r="C372" t="s">
        <v>1134</v>
      </c>
      <c r="D372" t="s">
        <v>1800</v>
      </c>
      <c r="E372" t="s">
        <v>1135</v>
      </c>
      <c r="F372" t="s">
        <v>299</v>
      </c>
      <c r="G372">
        <v>72501</v>
      </c>
      <c r="H372">
        <v>35.722341999999998</v>
      </c>
      <c r="I372">
        <v>-91.524983000000006</v>
      </c>
      <c r="J372" t="s">
        <v>718</v>
      </c>
      <c r="K372">
        <v>110017432937</v>
      </c>
      <c r="L372" t="s">
        <v>265</v>
      </c>
      <c r="R372" s="387">
        <f t="shared" si="5"/>
        <v>8.2123735899702179</v>
      </c>
      <c r="S372" s="386">
        <v>3.7250700000000001</v>
      </c>
    </row>
    <row r="373" spans="1:19" x14ac:dyDescent="0.25">
      <c r="A373">
        <v>2021</v>
      </c>
      <c r="C373" t="s">
        <v>1134</v>
      </c>
      <c r="D373" t="s">
        <v>1800</v>
      </c>
      <c r="E373" t="s">
        <v>1135</v>
      </c>
      <c r="F373" t="s">
        <v>299</v>
      </c>
      <c r="G373">
        <v>72501</v>
      </c>
      <c r="H373">
        <v>35.722341999999998</v>
      </c>
      <c r="I373">
        <v>-91.524983000000006</v>
      </c>
      <c r="J373" t="s">
        <v>718</v>
      </c>
      <c r="K373">
        <v>110017432937</v>
      </c>
      <c r="L373" t="s">
        <v>265</v>
      </c>
      <c r="R373" s="387">
        <f t="shared" si="5"/>
        <v>7.3065602933312128</v>
      </c>
      <c r="S373" s="386">
        <v>3.3142</v>
      </c>
    </row>
    <row r="374" spans="1:19" x14ac:dyDescent="0.25">
      <c r="A374">
        <v>2023</v>
      </c>
      <c r="C374" t="s">
        <v>151</v>
      </c>
      <c r="D374" t="s">
        <v>485</v>
      </c>
      <c r="E374" t="s">
        <v>486</v>
      </c>
      <c r="F374" t="s">
        <v>308</v>
      </c>
      <c r="G374" t="s">
        <v>1807</v>
      </c>
      <c r="H374">
        <v>42.452603000000003</v>
      </c>
      <c r="I374">
        <v>-70.973436000000007</v>
      </c>
      <c r="J374" t="s">
        <v>487</v>
      </c>
      <c r="K374">
        <v>110000310191</v>
      </c>
      <c r="L374" t="s">
        <v>265</v>
      </c>
      <c r="R374" s="387">
        <f t="shared" si="5"/>
        <v>0.32750480348688399</v>
      </c>
      <c r="S374" s="386">
        <v>0.14855367999999999</v>
      </c>
    </row>
    <row r="375" spans="1:19" x14ac:dyDescent="0.25">
      <c r="A375">
        <v>2024</v>
      </c>
      <c r="C375" t="s">
        <v>151</v>
      </c>
      <c r="D375" t="s">
        <v>485</v>
      </c>
      <c r="E375" t="s">
        <v>486</v>
      </c>
      <c r="F375" t="s">
        <v>308</v>
      </c>
      <c r="G375">
        <v>1905</v>
      </c>
      <c r="H375">
        <v>42.452603000000003</v>
      </c>
      <c r="I375">
        <v>-70.973436000000007</v>
      </c>
      <c r="J375" t="s">
        <v>487</v>
      </c>
      <c r="K375">
        <v>110000310191</v>
      </c>
      <c r="L375" t="s">
        <v>265</v>
      </c>
      <c r="R375" s="387">
        <f t="shared" si="5"/>
        <v>0.32215472947660034</v>
      </c>
      <c r="S375" s="386">
        <v>0.14612692725000001</v>
      </c>
    </row>
    <row r="376" spans="1:19" x14ac:dyDescent="0.25">
      <c r="A376">
        <v>2023</v>
      </c>
      <c r="C376" t="s">
        <v>151</v>
      </c>
      <c r="D376" t="s">
        <v>485</v>
      </c>
      <c r="E376" t="s">
        <v>486</v>
      </c>
      <c r="F376" t="s">
        <v>308</v>
      </c>
      <c r="G376" t="s">
        <v>1807</v>
      </c>
      <c r="H376">
        <v>42.452603000000003</v>
      </c>
      <c r="I376">
        <v>-70.973436000000007</v>
      </c>
      <c r="J376" t="s">
        <v>487</v>
      </c>
      <c r="K376">
        <v>110000310191</v>
      </c>
      <c r="L376" t="s">
        <v>265</v>
      </c>
      <c r="R376" s="387">
        <f t="shared" si="5"/>
        <v>0.30571022998027941</v>
      </c>
      <c r="S376" s="386">
        <v>0.13866782775</v>
      </c>
    </row>
    <row r="377" spans="1:19" x14ac:dyDescent="0.25">
      <c r="A377">
        <v>2024</v>
      </c>
      <c r="C377" t="s">
        <v>151</v>
      </c>
      <c r="D377" t="s">
        <v>485</v>
      </c>
      <c r="E377" t="s">
        <v>486</v>
      </c>
      <c r="F377" t="s">
        <v>308</v>
      </c>
      <c r="G377">
        <v>1905</v>
      </c>
      <c r="H377">
        <v>42.452603000000003</v>
      </c>
      <c r="I377">
        <v>-70.973436000000007</v>
      </c>
      <c r="J377" t="s">
        <v>487</v>
      </c>
      <c r="K377">
        <v>110000310191</v>
      </c>
      <c r="L377" t="s">
        <v>265</v>
      </c>
      <c r="R377" s="387">
        <f t="shared" si="5"/>
        <v>0.29572896034384349</v>
      </c>
      <c r="S377" s="386">
        <v>0.13414039999999999</v>
      </c>
    </row>
    <row r="378" spans="1:19" x14ac:dyDescent="0.25">
      <c r="A378">
        <v>2022</v>
      </c>
      <c r="C378" t="s">
        <v>151</v>
      </c>
      <c r="D378" t="s">
        <v>485</v>
      </c>
      <c r="E378" t="s">
        <v>486</v>
      </c>
      <c r="F378" t="s">
        <v>308</v>
      </c>
      <c r="G378">
        <v>1905</v>
      </c>
      <c r="H378">
        <v>42.452603000000003</v>
      </c>
      <c r="I378">
        <v>-70.973436000000007</v>
      </c>
      <c r="J378" t="s">
        <v>487</v>
      </c>
      <c r="K378">
        <v>110000310191</v>
      </c>
      <c r="L378" t="s">
        <v>265</v>
      </c>
      <c r="R378" s="387">
        <f t="shared" si="5"/>
        <v>0.2392742684362173</v>
      </c>
      <c r="S378" s="386">
        <v>0.1085329825</v>
      </c>
    </row>
    <row r="379" spans="1:19" x14ac:dyDescent="0.25">
      <c r="A379">
        <v>2021</v>
      </c>
      <c r="C379" t="s">
        <v>151</v>
      </c>
      <c r="D379" t="s">
        <v>485</v>
      </c>
      <c r="E379" t="s">
        <v>486</v>
      </c>
      <c r="F379" t="s">
        <v>308</v>
      </c>
      <c r="G379">
        <v>1905</v>
      </c>
      <c r="H379">
        <v>42.452603000000003</v>
      </c>
      <c r="I379">
        <v>-70.973436000000007</v>
      </c>
      <c r="J379" t="s">
        <v>487</v>
      </c>
      <c r="K379">
        <v>110000310191</v>
      </c>
      <c r="L379" t="s">
        <v>265</v>
      </c>
      <c r="R379" s="387">
        <f t="shared" si="5"/>
        <v>0.20615523948664877</v>
      </c>
      <c r="S379" s="386">
        <v>9.3510443666666596E-2</v>
      </c>
    </row>
    <row r="380" spans="1:19" x14ac:dyDescent="0.25">
      <c r="A380">
        <v>2022</v>
      </c>
      <c r="C380" t="s">
        <v>151</v>
      </c>
      <c r="D380" t="s">
        <v>485</v>
      </c>
      <c r="E380" t="s">
        <v>486</v>
      </c>
      <c r="F380" t="s">
        <v>308</v>
      </c>
      <c r="G380">
        <v>1905</v>
      </c>
      <c r="H380">
        <v>42.452603000000003</v>
      </c>
      <c r="I380">
        <v>-70.973436000000007</v>
      </c>
      <c r="J380" t="s">
        <v>487</v>
      </c>
      <c r="K380">
        <v>110000310191</v>
      </c>
      <c r="L380" t="s">
        <v>265</v>
      </c>
      <c r="R380" s="387">
        <f t="shared" si="5"/>
        <v>0.20316971766963363</v>
      </c>
      <c r="S380" s="386">
        <v>9.2156233749999997E-2</v>
      </c>
    </row>
    <row r="381" spans="1:19" x14ac:dyDescent="0.25">
      <c r="A381">
        <v>2021</v>
      </c>
      <c r="C381" t="s">
        <v>151</v>
      </c>
      <c r="D381" t="s">
        <v>485</v>
      </c>
      <c r="E381" t="s">
        <v>486</v>
      </c>
      <c r="F381" t="s">
        <v>308</v>
      </c>
      <c r="G381">
        <v>1905</v>
      </c>
      <c r="H381">
        <v>42.452603000000003</v>
      </c>
      <c r="I381">
        <v>-70.973436000000007</v>
      </c>
      <c r="J381" t="s">
        <v>487</v>
      </c>
      <c r="K381">
        <v>110000310191</v>
      </c>
      <c r="L381" t="s">
        <v>265</v>
      </c>
      <c r="R381" s="387">
        <f t="shared" si="5"/>
        <v>6.4832566517818629E-2</v>
      </c>
      <c r="S381" s="386">
        <v>2.9407557500000001E-2</v>
      </c>
    </row>
    <row r="382" spans="1:19" x14ac:dyDescent="0.25">
      <c r="A382">
        <v>2024</v>
      </c>
      <c r="C382" t="s">
        <v>151</v>
      </c>
      <c r="D382" t="s">
        <v>485</v>
      </c>
      <c r="E382" t="s">
        <v>486</v>
      </c>
      <c r="F382" t="s">
        <v>308</v>
      </c>
      <c r="G382">
        <v>1905</v>
      </c>
      <c r="H382">
        <v>42.452603000000003</v>
      </c>
      <c r="I382">
        <v>-70.973436000000007</v>
      </c>
      <c r="J382" t="s">
        <v>487</v>
      </c>
      <c r="K382">
        <v>110000310191</v>
      </c>
      <c r="L382" t="s">
        <v>265</v>
      </c>
      <c r="R382" s="387">
        <f t="shared" si="5"/>
        <v>1.3586926627535642E-2</v>
      </c>
      <c r="S382" s="386">
        <v>6.1629262499999999E-3</v>
      </c>
    </row>
    <row r="383" spans="1:19" x14ac:dyDescent="0.25">
      <c r="A383">
        <v>2023</v>
      </c>
      <c r="C383" t="s">
        <v>151</v>
      </c>
      <c r="D383" t="s">
        <v>485</v>
      </c>
      <c r="E383" t="s">
        <v>486</v>
      </c>
      <c r="F383" t="s">
        <v>308</v>
      </c>
      <c r="G383" t="s">
        <v>1807</v>
      </c>
      <c r="H383">
        <v>42.452603000000003</v>
      </c>
      <c r="I383">
        <v>-70.973436000000007</v>
      </c>
      <c r="J383" t="s">
        <v>487</v>
      </c>
      <c r="K383">
        <v>110000310191</v>
      </c>
      <c r="L383" t="s">
        <v>265</v>
      </c>
      <c r="R383" s="387">
        <f t="shared" si="5"/>
        <v>1.3037858749696341E-2</v>
      </c>
      <c r="S383" s="386">
        <v>5.9138732499999999E-3</v>
      </c>
    </row>
    <row r="384" spans="1:19" x14ac:dyDescent="0.25">
      <c r="A384">
        <v>2021</v>
      </c>
      <c r="C384" t="s">
        <v>151</v>
      </c>
      <c r="D384" t="s">
        <v>485</v>
      </c>
      <c r="E384" t="s">
        <v>486</v>
      </c>
      <c r="F384" t="s">
        <v>308</v>
      </c>
      <c r="G384">
        <v>1905</v>
      </c>
      <c r="H384">
        <v>42.452603000000003</v>
      </c>
      <c r="I384">
        <v>-70.973436000000007</v>
      </c>
      <c r="J384" t="s">
        <v>487</v>
      </c>
      <c r="K384">
        <v>110000310191</v>
      </c>
      <c r="L384" t="s">
        <v>265</v>
      </c>
      <c r="R384" s="387">
        <f t="shared" si="5"/>
        <v>8.3239135320258145E-3</v>
      </c>
      <c r="S384" s="386">
        <v>3.7756636666666601E-3</v>
      </c>
    </row>
    <row r="385" spans="1:19" x14ac:dyDescent="0.25">
      <c r="A385">
        <v>2022</v>
      </c>
      <c r="C385" t="s">
        <v>151</v>
      </c>
      <c r="D385" t="s">
        <v>485</v>
      </c>
      <c r="E385" t="s">
        <v>486</v>
      </c>
      <c r="F385" t="s">
        <v>308</v>
      </c>
      <c r="G385">
        <v>1905</v>
      </c>
      <c r="H385">
        <v>42.452603000000003</v>
      </c>
      <c r="I385">
        <v>-70.973436000000007</v>
      </c>
      <c r="J385" t="s">
        <v>487</v>
      </c>
      <c r="K385">
        <v>110000310191</v>
      </c>
      <c r="L385" t="s">
        <v>265</v>
      </c>
      <c r="R385" s="387">
        <f t="shared" si="5"/>
        <v>4.6099171597617479E-3</v>
      </c>
      <c r="S385" s="386">
        <v>2.0910232499999999E-3</v>
      </c>
    </row>
    <row r="386" spans="1:19" x14ac:dyDescent="0.25">
      <c r="A386">
        <v>2024</v>
      </c>
      <c r="C386" t="s">
        <v>153</v>
      </c>
      <c r="D386" t="s">
        <v>1811</v>
      </c>
      <c r="E386" t="s">
        <v>495</v>
      </c>
      <c r="F386" t="s">
        <v>427</v>
      </c>
      <c r="G386">
        <v>48380</v>
      </c>
      <c r="H386">
        <v>42.569099999999999</v>
      </c>
      <c r="I386">
        <v>-83.674499999999995</v>
      </c>
      <c r="K386">
        <v>110017422733</v>
      </c>
      <c r="L386" t="s">
        <v>261</v>
      </c>
      <c r="R386" s="387">
        <f t="shared" si="5"/>
        <v>2.5450714702277732E-2</v>
      </c>
      <c r="S386" s="386">
        <v>1.1544250000000001E-2</v>
      </c>
    </row>
    <row r="387" spans="1:19" x14ac:dyDescent="0.25">
      <c r="A387">
        <v>2021</v>
      </c>
      <c r="C387" t="s">
        <v>153</v>
      </c>
      <c r="D387" t="s">
        <v>1811</v>
      </c>
      <c r="E387" t="s">
        <v>495</v>
      </c>
      <c r="F387" t="s">
        <v>427</v>
      </c>
      <c r="G387">
        <v>48380</v>
      </c>
      <c r="H387">
        <v>42.569099999999999</v>
      </c>
      <c r="I387">
        <v>-83.674499999999995</v>
      </c>
      <c r="K387">
        <v>110017422733</v>
      </c>
      <c r="L387" t="s">
        <v>261</v>
      </c>
      <c r="R387" s="387">
        <f t="shared" ref="R387:R450" si="6">CONVERT(S387,"g","lbm")*1000</f>
        <v>2.3260284338557105E-2</v>
      </c>
      <c r="S387" s="386">
        <v>1.0550687499999999E-2</v>
      </c>
    </row>
    <row r="388" spans="1:19" x14ac:dyDescent="0.25">
      <c r="A388">
        <v>2023</v>
      </c>
      <c r="C388" t="s">
        <v>153</v>
      </c>
      <c r="D388" t="s">
        <v>1811</v>
      </c>
      <c r="E388" t="s">
        <v>495</v>
      </c>
      <c r="F388" t="s">
        <v>427</v>
      </c>
      <c r="G388">
        <v>48380</v>
      </c>
      <c r="H388">
        <v>42.569099999999999</v>
      </c>
      <c r="I388">
        <v>-83.674499999999995</v>
      </c>
      <c r="K388">
        <v>110017422733</v>
      </c>
      <c r="L388" t="s">
        <v>261</v>
      </c>
      <c r="R388" s="387">
        <f t="shared" si="6"/>
        <v>1.78488782780892E-2</v>
      </c>
      <c r="S388" s="386">
        <v>8.0961149999999992E-3</v>
      </c>
    </row>
    <row r="389" spans="1:19" x14ac:dyDescent="0.25">
      <c r="A389">
        <v>2024</v>
      </c>
      <c r="C389" t="s">
        <v>6883</v>
      </c>
      <c r="D389" t="s">
        <v>7057</v>
      </c>
      <c r="E389" t="s">
        <v>6982</v>
      </c>
      <c r="F389" t="s">
        <v>324</v>
      </c>
      <c r="G389">
        <v>40324</v>
      </c>
      <c r="H389">
        <v>38.217222</v>
      </c>
      <c r="I389">
        <v>-84.564166999999998</v>
      </c>
      <c r="K389">
        <v>110000732208</v>
      </c>
      <c r="L389" t="s">
        <v>263</v>
      </c>
      <c r="R389" s="387">
        <f t="shared" si="6"/>
        <v>25.673314580335642</v>
      </c>
      <c r="S389" s="386">
        <v>11.64521960625</v>
      </c>
    </row>
    <row r="390" spans="1:19" x14ac:dyDescent="0.25">
      <c r="A390">
        <v>2022</v>
      </c>
      <c r="C390" t="s">
        <v>6883</v>
      </c>
      <c r="D390" t="s">
        <v>7057</v>
      </c>
      <c r="E390" t="s">
        <v>6982</v>
      </c>
      <c r="F390" t="s">
        <v>324</v>
      </c>
      <c r="G390">
        <v>40324</v>
      </c>
      <c r="H390">
        <v>38.217222</v>
      </c>
      <c r="I390">
        <v>-84.564166999999998</v>
      </c>
      <c r="K390">
        <v>110000732208</v>
      </c>
      <c r="L390" t="s">
        <v>263</v>
      </c>
      <c r="R390" s="387">
        <f t="shared" si="6"/>
        <v>19.34045704957515</v>
      </c>
      <c r="S390" s="386">
        <v>8.7726837500000006</v>
      </c>
    </row>
    <row r="391" spans="1:19" x14ac:dyDescent="0.25">
      <c r="A391">
        <v>2023</v>
      </c>
      <c r="C391" t="s">
        <v>6883</v>
      </c>
      <c r="D391" t="s">
        <v>7057</v>
      </c>
      <c r="E391" t="s">
        <v>6982</v>
      </c>
      <c r="F391" t="s">
        <v>324</v>
      </c>
      <c r="G391">
        <v>40324</v>
      </c>
      <c r="H391">
        <v>38.217222</v>
      </c>
      <c r="I391">
        <v>-84.564166999999998</v>
      </c>
      <c r="K391">
        <v>110000732208</v>
      </c>
      <c r="L391" t="s">
        <v>263</v>
      </c>
      <c r="R391" s="387">
        <f t="shared" si="6"/>
        <v>18.655165264353986</v>
      </c>
      <c r="S391" s="386">
        <v>8.4618406250000007</v>
      </c>
    </row>
    <row r="392" spans="1:19" x14ac:dyDescent="0.25">
      <c r="A392">
        <v>2021</v>
      </c>
      <c r="C392" t="s">
        <v>6828</v>
      </c>
      <c r="D392" t="s">
        <v>6981</v>
      </c>
      <c r="E392" t="s">
        <v>6982</v>
      </c>
      <c r="F392" t="s">
        <v>324</v>
      </c>
      <c r="G392">
        <v>40324</v>
      </c>
      <c r="H392">
        <v>38.267437999999999</v>
      </c>
      <c r="I392">
        <v>-84.527996000000002</v>
      </c>
      <c r="K392">
        <v>110000759741</v>
      </c>
      <c r="L392" t="s">
        <v>263</v>
      </c>
      <c r="R392" s="387">
        <f t="shared" si="6"/>
        <v>10.081403595920277</v>
      </c>
      <c r="S392" s="386">
        <v>4.5728477500000002</v>
      </c>
    </row>
    <row r="393" spans="1:19" x14ac:dyDescent="0.25">
      <c r="A393">
        <v>2024</v>
      </c>
      <c r="C393" t="s">
        <v>6828</v>
      </c>
      <c r="D393" t="s">
        <v>6981</v>
      </c>
      <c r="E393" t="s">
        <v>6982</v>
      </c>
      <c r="F393" t="s">
        <v>324</v>
      </c>
      <c r="G393">
        <v>40324</v>
      </c>
      <c r="H393">
        <v>38.267437999999999</v>
      </c>
      <c r="I393">
        <v>-84.527996000000002</v>
      </c>
      <c r="K393">
        <v>110000759741</v>
      </c>
      <c r="L393" t="s">
        <v>263</v>
      </c>
      <c r="R393" s="387">
        <f t="shared" si="6"/>
        <v>10.012874417398159</v>
      </c>
      <c r="S393" s="386">
        <v>4.5417634375000002</v>
      </c>
    </row>
    <row r="394" spans="1:19" x14ac:dyDescent="0.25">
      <c r="A394">
        <v>2023</v>
      </c>
      <c r="C394" t="s">
        <v>6828</v>
      </c>
      <c r="D394" t="s">
        <v>6981</v>
      </c>
      <c r="E394" t="s">
        <v>6982</v>
      </c>
      <c r="F394" t="s">
        <v>324</v>
      </c>
      <c r="G394">
        <v>40324</v>
      </c>
      <c r="H394">
        <v>38.267437999999999</v>
      </c>
      <c r="I394">
        <v>-84.527996000000002</v>
      </c>
      <c r="K394">
        <v>110000759741</v>
      </c>
      <c r="L394" t="s">
        <v>263</v>
      </c>
      <c r="R394" s="387">
        <f t="shared" si="6"/>
        <v>8.9925510927355301</v>
      </c>
      <c r="S394" s="386">
        <v>4.0789525624999996</v>
      </c>
    </row>
    <row r="395" spans="1:19" x14ac:dyDescent="0.25">
      <c r="A395">
        <v>2021</v>
      </c>
      <c r="C395" t="s">
        <v>6814</v>
      </c>
      <c r="D395" t="s">
        <v>1813</v>
      </c>
      <c r="E395" t="s">
        <v>1139</v>
      </c>
      <c r="F395" t="s">
        <v>324</v>
      </c>
      <c r="G395">
        <v>42141</v>
      </c>
      <c r="H395">
        <v>36.983809999999998</v>
      </c>
      <c r="I395">
        <v>-85.957089999999994</v>
      </c>
      <c r="K395">
        <v>110001123276</v>
      </c>
      <c r="L395" t="s">
        <v>263</v>
      </c>
      <c r="R395" s="387">
        <f t="shared" si="6"/>
        <v>7.992025086312629</v>
      </c>
      <c r="S395" s="386">
        <v>3.6251215999999999</v>
      </c>
    </row>
    <row r="396" spans="1:19" x14ac:dyDescent="0.25">
      <c r="A396">
        <v>2022</v>
      </c>
      <c r="C396" t="s">
        <v>6846</v>
      </c>
      <c r="D396" t="s">
        <v>7000</v>
      </c>
      <c r="E396" t="s">
        <v>1267</v>
      </c>
      <c r="F396" t="s">
        <v>491</v>
      </c>
      <c r="G396" t="s">
        <v>7001</v>
      </c>
      <c r="H396">
        <v>40.670580000000001</v>
      </c>
      <c r="I396">
        <v>-80.336500000000001</v>
      </c>
      <c r="J396" t="s">
        <v>7128</v>
      </c>
      <c r="K396">
        <v>110000329038</v>
      </c>
      <c r="L396" t="s">
        <v>265</v>
      </c>
      <c r="R396" s="387">
        <f t="shared" si="6"/>
        <v>7.5067400273950815E-3</v>
      </c>
      <c r="S396" s="386">
        <v>3.405E-3</v>
      </c>
    </row>
    <row r="397" spans="1:19" x14ac:dyDescent="0.25">
      <c r="A397">
        <v>2024</v>
      </c>
      <c r="C397" t="s">
        <v>6799</v>
      </c>
      <c r="D397" t="s">
        <v>6951</v>
      </c>
      <c r="E397" t="s">
        <v>590</v>
      </c>
      <c r="F397" t="s">
        <v>362</v>
      </c>
      <c r="G397">
        <v>77536</v>
      </c>
      <c r="H397">
        <v>29.717469999999999</v>
      </c>
      <c r="I397">
        <v>-95.113280000000003</v>
      </c>
      <c r="J397" t="s">
        <v>7122</v>
      </c>
      <c r="K397">
        <v>110056537804</v>
      </c>
      <c r="L397" t="s">
        <v>265</v>
      </c>
      <c r="R397" s="387">
        <f t="shared" si="6"/>
        <v>5.4799202199984096</v>
      </c>
      <c r="S397" s="386">
        <v>2.4856500000000001</v>
      </c>
    </row>
    <row r="398" spans="1:19" x14ac:dyDescent="0.25">
      <c r="A398">
        <v>2023</v>
      </c>
      <c r="C398" t="s">
        <v>1816</v>
      </c>
      <c r="D398" t="s">
        <v>497</v>
      </c>
      <c r="E398" t="s">
        <v>498</v>
      </c>
      <c r="F398" t="s">
        <v>338</v>
      </c>
      <c r="G398" t="s">
        <v>1817</v>
      </c>
      <c r="H398">
        <v>39.852891</v>
      </c>
      <c r="I398">
        <v>-75.225210000000004</v>
      </c>
      <c r="K398">
        <v>110064625730</v>
      </c>
      <c r="L398" t="s">
        <v>263</v>
      </c>
      <c r="R398" s="387">
        <f t="shared" si="6"/>
        <v>38.707661683109876</v>
      </c>
      <c r="S398" s="386">
        <v>17.557500000000001</v>
      </c>
    </row>
    <row r="399" spans="1:19" x14ac:dyDescent="0.25">
      <c r="A399">
        <v>2024</v>
      </c>
      <c r="C399" t="s">
        <v>1816</v>
      </c>
      <c r="D399" t="s">
        <v>497</v>
      </c>
      <c r="E399" t="s">
        <v>498</v>
      </c>
      <c r="F399" t="s">
        <v>338</v>
      </c>
      <c r="G399">
        <v>8066</v>
      </c>
      <c r="H399">
        <v>39.852891</v>
      </c>
      <c r="I399">
        <v>-75.225210000000004</v>
      </c>
      <c r="K399">
        <v>110064625730</v>
      </c>
      <c r="L399" t="s">
        <v>263</v>
      </c>
      <c r="R399" s="387">
        <f t="shared" si="6"/>
        <v>31.851285329160184</v>
      </c>
      <c r="S399" s="386">
        <v>14.4475</v>
      </c>
    </row>
    <row r="400" spans="1:19" x14ac:dyDescent="0.25">
      <c r="A400">
        <v>2021</v>
      </c>
      <c r="C400" t="s">
        <v>1816</v>
      </c>
      <c r="D400" t="s">
        <v>497</v>
      </c>
      <c r="E400" t="s">
        <v>498</v>
      </c>
      <c r="F400" t="s">
        <v>338</v>
      </c>
      <c r="G400">
        <v>8066</v>
      </c>
      <c r="H400">
        <v>39.852891</v>
      </c>
      <c r="I400">
        <v>-75.225210000000004</v>
      </c>
      <c r="K400">
        <v>110064625730</v>
      </c>
      <c r="L400" t="s">
        <v>263</v>
      </c>
      <c r="R400" s="387">
        <f t="shared" si="6"/>
        <v>8.0552501357110575</v>
      </c>
      <c r="S400" s="386">
        <v>3.6537999999999999</v>
      </c>
    </row>
    <row r="401" spans="1:19" x14ac:dyDescent="0.25">
      <c r="A401">
        <v>2022</v>
      </c>
      <c r="C401" t="s">
        <v>1816</v>
      </c>
      <c r="D401" t="s">
        <v>497</v>
      </c>
      <c r="E401" t="s">
        <v>498</v>
      </c>
      <c r="F401" t="s">
        <v>338</v>
      </c>
      <c r="G401">
        <v>8066</v>
      </c>
      <c r="H401">
        <v>39.852891</v>
      </c>
      <c r="I401">
        <v>-75.225210000000004</v>
      </c>
      <c r="K401">
        <v>110064625730</v>
      </c>
      <c r="L401" t="s">
        <v>263</v>
      </c>
      <c r="R401" s="387">
        <f t="shared" si="6"/>
        <v>4.8145651127244493</v>
      </c>
      <c r="S401" s="386">
        <v>2.1838500000000001</v>
      </c>
    </row>
    <row r="402" spans="1:19" x14ac:dyDescent="0.25">
      <c r="A402">
        <v>2023</v>
      </c>
      <c r="C402" t="s">
        <v>6848</v>
      </c>
      <c r="D402" t="s">
        <v>7002</v>
      </c>
      <c r="E402" t="s">
        <v>657</v>
      </c>
      <c r="F402" t="s">
        <v>418</v>
      </c>
      <c r="G402" t="s">
        <v>7003</v>
      </c>
      <c r="H402">
        <v>36.170819999999999</v>
      </c>
      <c r="I402">
        <v>-115.14431</v>
      </c>
      <c r="K402">
        <v>110004300596</v>
      </c>
      <c r="L402" t="s">
        <v>265</v>
      </c>
      <c r="R402" s="387">
        <f t="shared" si="6"/>
        <v>5.0483161511292616E-3</v>
      </c>
      <c r="S402" s="386">
        <v>2.2898776875000001E-3</v>
      </c>
    </row>
    <row r="403" spans="1:19" x14ac:dyDescent="0.25">
      <c r="A403">
        <v>2024</v>
      </c>
      <c r="C403" t="s">
        <v>6848</v>
      </c>
      <c r="D403" t="s">
        <v>7002</v>
      </c>
      <c r="E403" t="s">
        <v>657</v>
      </c>
      <c r="F403" t="s">
        <v>418</v>
      </c>
      <c r="G403" t="s">
        <v>7003</v>
      </c>
      <c r="H403">
        <v>36.170819999999999</v>
      </c>
      <c r="I403">
        <v>-115.14431</v>
      </c>
      <c r="K403">
        <v>110004300596</v>
      </c>
      <c r="L403" t="s">
        <v>265</v>
      </c>
      <c r="R403" s="387">
        <f t="shared" si="6"/>
        <v>1.218296507059852E-5</v>
      </c>
      <c r="S403" s="386">
        <v>5.5261000000000003E-6</v>
      </c>
    </row>
    <row r="404" spans="1:19" x14ac:dyDescent="0.25">
      <c r="A404">
        <v>2024</v>
      </c>
      <c r="C404" t="s">
        <v>6796</v>
      </c>
      <c r="D404" t="s">
        <v>499</v>
      </c>
      <c r="E404" t="s">
        <v>302</v>
      </c>
      <c r="F404" t="s">
        <v>303</v>
      </c>
      <c r="G404">
        <v>70807</v>
      </c>
      <c r="H404">
        <v>30.563776000000001</v>
      </c>
      <c r="I404">
        <v>-91.212565999999995</v>
      </c>
      <c r="K404">
        <v>110012254363</v>
      </c>
      <c r="L404" t="s">
        <v>252</v>
      </c>
      <c r="R404" s="387">
        <f t="shared" si="6"/>
        <v>0.38863486845468764</v>
      </c>
      <c r="S404" s="386">
        <v>0.176281811047</v>
      </c>
    </row>
    <row r="405" spans="1:19" x14ac:dyDescent="0.25">
      <c r="A405">
        <v>2023</v>
      </c>
      <c r="C405" t="s">
        <v>6796</v>
      </c>
      <c r="D405" t="s">
        <v>499</v>
      </c>
      <c r="E405" t="s">
        <v>302</v>
      </c>
      <c r="F405" t="s">
        <v>303</v>
      </c>
      <c r="G405">
        <v>70807</v>
      </c>
      <c r="H405">
        <v>30.563776000000001</v>
      </c>
      <c r="I405">
        <v>-91.212565999999995</v>
      </c>
      <c r="K405">
        <v>110012254363</v>
      </c>
      <c r="L405" t="s">
        <v>252</v>
      </c>
      <c r="R405" s="387">
        <f t="shared" si="6"/>
        <v>0.32362889286640778</v>
      </c>
      <c r="S405" s="386">
        <v>0.14679559651575</v>
      </c>
    </row>
    <row r="406" spans="1:19" x14ac:dyDescent="0.25">
      <c r="A406">
        <v>2021</v>
      </c>
      <c r="C406" t="s">
        <v>6796</v>
      </c>
      <c r="D406" t="s">
        <v>499</v>
      </c>
      <c r="E406" t="s">
        <v>302</v>
      </c>
      <c r="F406" t="s">
        <v>303</v>
      </c>
      <c r="G406">
        <v>70807</v>
      </c>
      <c r="H406">
        <v>30.563776000000001</v>
      </c>
      <c r="I406">
        <v>-91.212565999999995</v>
      </c>
      <c r="K406">
        <v>110012254363</v>
      </c>
      <c r="L406" t="s">
        <v>252</v>
      </c>
      <c r="R406" s="387">
        <f t="shared" si="6"/>
        <v>3.0639406147859142E-5</v>
      </c>
      <c r="S406" s="386">
        <v>1.389780085E-5</v>
      </c>
    </row>
    <row r="407" spans="1:19" x14ac:dyDescent="0.25">
      <c r="A407">
        <v>2022</v>
      </c>
      <c r="C407" t="s">
        <v>6796</v>
      </c>
      <c r="D407" t="s">
        <v>499</v>
      </c>
      <c r="E407" t="s">
        <v>302</v>
      </c>
      <c r="F407" t="s">
        <v>303</v>
      </c>
      <c r="G407">
        <v>70807</v>
      </c>
      <c r="H407">
        <v>30.563776000000001</v>
      </c>
      <c r="I407">
        <v>-91.212565999999995</v>
      </c>
      <c r="K407">
        <v>110012254363</v>
      </c>
      <c r="L407" t="s">
        <v>252</v>
      </c>
      <c r="R407" s="387">
        <f t="shared" si="6"/>
        <v>1.7339863984043645E-5</v>
      </c>
      <c r="S407" s="386">
        <v>7.8652299999999992E-6</v>
      </c>
    </row>
    <row r="408" spans="1:19" x14ac:dyDescent="0.25">
      <c r="A408">
        <v>2021</v>
      </c>
      <c r="C408" t="s">
        <v>1144</v>
      </c>
      <c r="D408" t="s">
        <v>1825</v>
      </c>
      <c r="E408" t="s">
        <v>1145</v>
      </c>
      <c r="F408" t="s">
        <v>324</v>
      </c>
      <c r="G408">
        <v>41144</v>
      </c>
      <c r="H408">
        <v>38.551630000000003</v>
      </c>
      <c r="I408">
        <v>-82.778199999999998</v>
      </c>
      <c r="K408">
        <v>110000759723</v>
      </c>
      <c r="L408" t="s">
        <v>263</v>
      </c>
      <c r="R408" s="387">
        <f t="shared" si="6"/>
        <v>2.2157767722151056</v>
      </c>
      <c r="S408" s="386">
        <v>1.0050594374999999</v>
      </c>
    </row>
    <row r="409" spans="1:19" x14ac:dyDescent="0.25">
      <c r="A409">
        <v>2022</v>
      </c>
      <c r="C409" t="s">
        <v>1150</v>
      </c>
      <c r="D409" t="s">
        <v>1835</v>
      </c>
      <c r="E409" t="s">
        <v>1151</v>
      </c>
      <c r="F409" t="s">
        <v>338</v>
      </c>
      <c r="G409">
        <v>8610</v>
      </c>
      <c r="H409">
        <v>40.183062999999997</v>
      </c>
      <c r="I409">
        <v>-74.710695000000001</v>
      </c>
      <c r="K409">
        <v>110056977080</v>
      </c>
      <c r="L409" t="s">
        <v>263</v>
      </c>
      <c r="R409" s="387">
        <f t="shared" si="6"/>
        <v>4.0755355959801536</v>
      </c>
      <c r="S409" s="386">
        <v>1.8486318500000001</v>
      </c>
    </row>
    <row r="410" spans="1:19" x14ac:dyDescent="0.25">
      <c r="A410">
        <v>2023</v>
      </c>
      <c r="C410" t="s">
        <v>1150</v>
      </c>
      <c r="D410" t="s">
        <v>1835</v>
      </c>
      <c r="E410" t="s">
        <v>1151</v>
      </c>
      <c r="F410" t="s">
        <v>338</v>
      </c>
      <c r="G410" t="s">
        <v>1838</v>
      </c>
      <c r="H410">
        <v>40.183062999999997</v>
      </c>
      <c r="I410">
        <v>-74.710695000000001</v>
      </c>
      <c r="K410">
        <v>110056977080</v>
      </c>
      <c r="L410" t="s">
        <v>263</v>
      </c>
      <c r="R410" s="387">
        <f t="shared" si="6"/>
        <v>3.8998505640648236</v>
      </c>
      <c r="S410" s="386">
        <v>1.7689424600000001</v>
      </c>
    </row>
    <row r="411" spans="1:19" x14ac:dyDescent="0.25">
      <c r="A411">
        <v>2021</v>
      </c>
      <c r="C411" t="s">
        <v>1150</v>
      </c>
      <c r="D411" t="s">
        <v>1835</v>
      </c>
      <c r="E411" t="s">
        <v>1151</v>
      </c>
      <c r="F411" t="s">
        <v>338</v>
      </c>
      <c r="G411">
        <v>8610</v>
      </c>
      <c r="H411">
        <v>40.183062999999997</v>
      </c>
      <c r="I411">
        <v>-74.710695000000001</v>
      </c>
      <c r="K411">
        <v>110056977080</v>
      </c>
      <c r="L411" t="s">
        <v>263</v>
      </c>
      <c r="R411" s="387">
        <f t="shared" si="6"/>
        <v>2.6605008920233821</v>
      </c>
      <c r="S411" s="386">
        <v>1.2067829050000001</v>
      </c>
    </row>
    <row r="412" spans="1:19" x14ac:dyDescent="0.25">
      <c r="A412">
        <v>2021</v>
      </c>
      <c r="C412" t="s">
        <v>1154</v>
      </c>
      <c r="D412" t="s">
        <v>7009</v>
      </c>
      <c r="E412" t="s">
        <v>1155</v>
      </c>
      <c r="F412" t="s">
        <v>366</v>
      </c>
      <c r="G412" t="s">
        <v>1846</v>
      </c>
      <c r="H412">
        <v>38.730832999999997</v>
      </c>
      <c r="I412">
        <v>-120.846667</v>
      </c>
      <c r="K412">
        <v>110039757992</v>
      </c>
      <c r="L412" t="s">
        <v>263</v>
      </c>
      <c r="R412" s="387">
        <f t="shared" si="6"/>
        <v>0.14371225865196982</v>
      </c>
      <c r="S412" s="386">
        <v>6.5186783999999998E-2</v>
      </c>
    </row>
    <row r="413" spans="1:19" x14ac:dyDescent="0.25">
      <c r="A413">
        <v>2022</v>
      </c>
      <c r="C413" t="s">
        <v>1154</v>
      </c>
      <c r="D413" t="s">
        <v>7009</v>
      </c>
      <c r="E413" t="s">
        <v>1155</v>
      </c>
      <c r="F413" t="s">
        <v>366</v>
      </c>
      <c r="G413" t="s">
        <v>1846</v>
      </c>
      <c r="H413">
        <v>38.730832999999997</v>
      </c>
      <c r="I413">
        <v>-120.846667</v>
      </c>
      <c r="K413">
        <v>110039757992</v>
      </c>
      <c r="L413" t="s">
        <v>263</v>
      </c>
      <c r="R413" s="387">
        <f t="shared" si="6"/>
        <v>5.8290481164839696E-2</v>
      </c>
      <c r="S413" s="386">
        <v>2.6440117499999999E-2</v>
      </c>
    </row>
    <row r="414" spans="1:19" x14ac:dyDescent="0.25">
      <c r="A414">
        <v>2022</v>
      </c>
      <c r="C414" t="s">
        <v>6778</v>
      </c>
      <c r="D414" t="s">
        <v>6922</v>
      </c>
      <c r="E414" t="s">
        <v>6923</v>
      </c>
      <c r="F414" t="s">
        <v>1171</v>
      </c>
      <c r="G414">
        <v>96720</v>
      </c>
      <c r="H414">
        <v>19.713750000000001</v>
      </c>
      <c r="I414">
        <v>-155.01927800000001</v>
      </c>
      <c r="K414">
        <v>110013786698</v>
      </c>
      <c r="L414" t="s">
        <v>263</v>
      </c>
      <c r="R414" s="387">
        <f t="shared" si="6"/>
        <v>8.8326496761839284</v>
      </c>
      <c r="S414" s="386">
        <v>4.0064225000000002</v>
      </c>
    </row>
    <row r="415" spans="1:19" x14ac:dyDescent="0.25">
      <c r="A415">
        <v>2024</v>
      </c>
      <c r="C415" t="s">
        <v>6778</v>
      </c>
      <c r="D415" t="s">
        <v>6922</v>
      </c>
      <c r="E415" t="s">
        <v>6923</v>
      </c>
      <c r="F415" t="s">
        <v>1171</v>
      </c>
      <c r="G415">
        <v>96720</v>
      </c>
      <c r="H415">
        <v>19.713750000000001</v>
      </c>
      <c r="I415">
        <v>-155.01927800000001</v>
      </c>
      <c r="K415">
        <v>110013786698</v>
      </c>
      <c r="L415" t="s">
        <v>263</v>
      </c>
      <c r="R415" s="387">
        <f t="shared" si="6"/>
        <v>5.2965440644427062</v>
      </c>
      <c r="S415" s="386">
        <v>2.4024719750000001</v>
      </c>
    </row>
    <row r="416" spans="1:19" x14ac:dyDescent="0.25">
      <c r="A416">
        <v>2021</v>
      </c>
      <c r="C416" t="s">
        <v>6778</v>
      </c>
      <c r="D416" t="s">
        <v>6922</v>
      </c>
      <c r="E416" t="s">
        <v>6923</v>
      </c>
      <c r="F416" t="s">
        <v>1171</v>
      </c>
      <c r="G416">
        <v>96720</v>
      </c>
      <c r="H416">
        <v>19.713750000000001</v>
      </c>
      <c r="I416">
        <v>-155.01927800000001</v>
      </c>
      <c r="K416">
        <v>110013786698</v>
      </c>
      <c r="L416" t="s">
        <v>263</v>
      </c>
      <c r="R416" s="387">
        <f t="shared" si="6"/>
        <v>5.0833421757072319</v>
      </c>
      <c r="S416" s="386">
        <v>2.305765225</v>
      </c>
    </row>
    <row r="417" spans="1:19" x14ac:dyDescent="0.25">
      <c r="A417">
        <v>2023</v>
      </c>
      <c r="C417" t="s">
        <v>6778</v>
      </c>
      <c r="D417" t="s">
        <v>6922</v>
      </c>
      <c r="E417" t="s">
        <v>6923</v>
      </c>
      <c r="F417" t="s">
        <v>1171</v>
      </c>
      <c r="G417">
        <v>96720</v>
      </c>
      <c r="H417">
        <v>19.713750000000001</v>
      </c>
      <c r="I417">
        <v>-155.01927800000001</v>
      </c>
      <c r="K417">
        <v>110013786698</v>
      </c>
      <c r="L417" t="s">
        <v>263</v>
      </c>
      <c r="R417" s="387">
        <f t="shared" si="6"/>
        <v>5.0026300321145172</v>
      </c>
      <c r="S417" s="386">
        <v>2.2691548125000001</v>
      </c>
    </row>
    <row r="418" spans="1:19" x14ac:dyDescent="0.25">
      <c r="A418">
        <v>2022</v>
      </c>
      <c r="C418" t="s">
        <v>1160</v>
      </c>
      <c r="D418" t="s">
        <v>1856</v>
      </c>
      <c r="E418" t="s">
        <v>1103</v>
      </c>
      <c r="F418" t="s">
        <v>345</v>
      </c>
      <c r="G418" t="s">
        <v>1857</v>
      </c>
      <c r="H418">
        <v>41.304952</v>
      </c>
      <c r="I418">
        <v>-88.561650999999998</v>
      </c>
      <c r="J418" t="s">
        <v>720</v>
      </c>
      <c r="K418">
        <v>110000433022</v>
      </c>
      <c r="L418" t="s">
        <v>265</v>
      </c>
      <c r="R418" s="387">
        <f t="shared" si="6"/>
        <v>0.38103711929722267</v>
      </c>
      <c r="S418" s="386">
        <v>0.17283552999999999</v>
      </c>
    </row>
    <row r="419" spans="1:19" x14ac:dyDescent="0.25">
      <c r="A419">
        <v>2021</v>
      </c>
      <c r="C419" t="s">
        <v>1160</v>
      </c>
      <c r="D419" t="s">
        <v>1856</v>
      </c>
      <c r="E419" t="s">
        <v>1103</v>
      </c>
      <c r="F419" t="s">
        <v>345</v>
      </c>
      <c r="G419" t="s">
        <v>1857</v>
      </c>
      <c r="H419">
        <v>41.304952</v>
      </c>
      <c r="I419">
        <v>-88.561650999999998</v>
      </c>
      <c r="J419" t="s">
        <v>720</v>
      </c>
      <c r="K419">
        <v>110000433022</v>
      </c>
      <c r="L419" t="s">
        <v>265</v>
      </c>
      <c r="R419" s="387">
        <f t="shared" si="6"/>
        <v>6.199616408891534E-2</v>
      </c>
      <c r="S419" s="386">
        <v>2.8120987E-2</v>
      </c>
    </row>
    <row r="420" spans="1:19" x14ac:dyDescent="0.25">
      <c r="A420">
        <v>2024</v>
      </c>
      <c r="C420" t="s">
        <v>1160</v>
      </c>
      <c r="D420" t="s">
        <v>1856</v>
      </c>
      <c r="E420" t="s">
        <v>1103</v>
      </c>
      <c r="F420" t="s">
        <v>345</v>
      </c>
      <c r="G420" t="s">
        <v>1857</v>
      </c>
      <c r="H420">
        <v>41.304952</v>
      </c>
      <c r="I420">
        <v>-88.561650999999998</v>
      </c>
      <c r="J420" t="s">
        <v>720</v>
      </c>
      <c r="K420">
        <v>110000433022</v>
      </c>
      <c r="L420" t="s">
        <v>265</v>
      </c>
      <c r="R420" s="387">
        <f t="shared" si="6"/>
        <v>4.2743377715987588E-2</v>
      </c>
      <c r="S420" s="386">
        <v>1.938807E-2</v>
      </c>
    </row>
    <row r="421" spans="1:19" x14ac:dyDescent="0.25">
      <c r="A421">
        <v>2023</v>
      </c>
      <c r="C421" t="s">
        <v>1160</v>
      </c>
      <c r="D421" t="s">
        <v>1856</v>
      </c>
      <c r="E421" t="s">
        <v>1103</v>
      </c>
      <c r="F421" t="s">
        <v>345</v>
      </c>
      <c r="G421" t="s">
        <v>1857</v>
      </c>
      <c r="H421">
        <v>41.304952</v>
      </c>
      <c r="I421">
        <v>-88.561650999999998</v>
      </c>
      <c r="J421" t="s">
        <v>720</v>
      </c>
      <c r="K421">
        <v>110000433022</v>
      </c>
      <c r="L421" t="s">
        <v>265</v>
      </c>
      <c r="R421" s="387">
        <f t="shared" si="6"/>
        <v>4.5483337825986793E-3</v>
      </c>
      <c r="S421" s="386">
        <v>2.0630894999999999E-3</v>
      </c>
    </row>
    <row r="422" spans="1:19" x14ac:dyDescent="0.25">
      <c r="A422">
        <v>2024</v>
      </c>
      <c r="C422" t="s">
        <v>1161</v>
      </c>
      <c r="D422" t="s">
        <v>1861</v>
      </c>
      <c r="E422" t="s">
        <v>1162</v>
      </c>
      <c r="F422" t="s">
        <v>338</v>
      </c>
      <c r="G422">
        <v>80271164</v>
      </c>
      <c r="H422">
        <v>39.827696000000003</v>
      </c>
      <c r="I422">
        <v>-75.277782000000002</v>
      </c>
      <c r="K422">
        <v>110070210457</v>
      </c>
      <c r="L422" t="s">
        <v>264</v>
      </c>
      <c r="R422" s="387">
        <f t="shared" si="6"/>
        <v>1.7633139662380122E-2</v>
      </c>
      <c r="S422" s="386">
        <v>7.9982576100000001E-3</v>
      </c>
    </row>
    <row r="423" spans="1:19" x14ac:dyDescent="0.25">
      <c r="A423">
        <v>2023</v>
      </c>
      <c r="C423" t="s">
        <v>1161</v>
      </c>
      <c r="D423" t="s">
        <v>1861</v>
      </c>
      <c r="E423" t="s">
        <v>1162</v>
      </c>
      <c r="F423" t="s">
        <v>338</v>
      </c>
      <c r="G423" t="s">
        <v>1863</v>
      </c>
      <c r="H423">
        <v>39.827696000000003</v>
      </c>
      <c r="I423">
        <v>-75.277782000000002</v>
      </c>
      <c r="K423">
        <v>110070210457</v>
      </c>
      <c r="L423" t="s">
        <v>264</v>
      </c>
      <c r="R423" s="387">
        <f t="shared" si="6"/>
        <v>1.7632088255805537E-2</v>
      </c>
      <c r="S423" s="386">
        <v>7.9977807000000001E-3</v>
      </c>
    </row>
    <row r="424" spans="1:19" x14ac:dyDescent="0.25">
      <c r="A424">
        <v>2021</v>
      </c>
      <c r="C424" t="s">
        <v>1161</v>
      </c>
      <c r="D424" t="s">
        <v>1861</v>
      </c>
      <c r="E424" t="s">
        <v>1162</v>
      </c>
      <c r="F424" t="s">
        <v>338</v>
      </c>
      <c r="G424">
        <v>80271164</v>
      </c>
      <c r="H424">
        <v>39.827696000000003</v>
      </c>
      <c r="I424">
        <v>-75.277782000000002</v>
      </c>
      <c r="K424">
        <v>110070210457</v>
      </c>
      <c r="L424" t="s">
        <v>264</v>
      </c>
      <c r="R424" s="387">
        <f t="shared" si="6"/>
        <v>9.2413213983295189E-3</v>
      </c>
      <c r="S424" s="386">
        <v>4.1917928750000001E-3</v>
      </c>
    </row>
    <row r="425" spans="1:19" x14ac:dyDescent="0.25">
      <c r="A425">
        <v>2022</v>
      </c>
      <c r="C425" t="s">
        <v>1161</v>
      </c>
      <c r="D425" t="s">
        <v>1861</v>
      </c>
      <c r="E425" t="s">
        <v>1162</v>
      </c>
      <c r="F425" t="s">
        <v>338</v>
      </c>
      <c r="G425">
        <v>80271164</v>
      </c>
      <c r="H425">
        <v>39.827696000000003</v>
      </c>
      <c r="I425">
        <v>-75.277782000000002</v>
      </c>
      <c r="K425">
        <v>110070210457</v>
      </c>
      <c r="L425" t="s">
        <v>264</v>
      </c>
      <c r="R425" s="387">
        <f t="shared" si="6"/>
        <v>5.3611304683101263E-3</v>
      </c>
      <c r="S425" s="386">
        <v>2.431767875E-3</v>
      </c>
    </row>
    <row r="426" spans="1:19" x14ac:dyDescent="0.25">
      <c r="A426">
        <v>2021</v>
      </c>
      <c r="C426" t="s">
        <v>157</v>
      </c>
      <c r="D426" t="s">
        <v>504</v>
      </c>
      <c r="E426" t="s">
        <v>505</v>
      </c>
      <c r="F426" t="s">
        <v>506</v>
      </c>
      <c r="G426">
        <v>20910</v>
      </c>
      <c r="H426">
        <v>38.987340000000003</v>
      </c>
      <c r="I426">
        <v>-77.026660000000007</v>
      </c>
      <c r="K426">
        <v>110037096674</v>
      </c>
      <c r="L426" t="s">
        <v>264</v>
      </c>
      <c r="R426" s="387">
        <f t="shared" si="6"/>
        <v>0.15315157409393812</v>
      </c>
      <c r="S426" s="386">
        <v>6.9468385462500004E-2</v>
      </c>
    </row>
    <row r="427" spans="1:19" x14ac:dyDescent="0.25">
      <c r="A427">
        <v>2022</v>
      </c>
      <c r="C427" t="s">
        <v>157</v>
      </c>
      <c r="D427" t="s">
        <v>504</v>
      </c>
      <c r="E427" t="s">
        <v>505</v>
      </c>
      <c r="F427" t="s">
        <v>506</v>
      </c>
      <c r="G427">
        <v>20910</v>
      </c>
      <c r="H427">
        <v>38.987340000000003</v>
      </c>
      <c r="I427">
        <v>-77.026660000000007</v>
      </c>
      <c r="K427">
        <v>110037096674</v>
      </c>
      <c r="L427" t="s">
        <v>264</v>
      </c>
      <c r="R427" s="387">
        <f t="shared" si="6"/>
        <v>5.9287497375848708E-2</v>
      </c>
      <c r="S427" s="386">
        <v>2.6892356446079999E-2</v>
      </c>
    </row>
    <row r="428" spans="1:19" x14ac:dyDescent="0.25">
      <c r="A428">
        <v>2024</v>
      </c>
      <c r="C428" t="s">
        <v>1163</v>
      </c>
      <c r="D428" t="s">
        <v>1865</v>
      </c>
      <c r="E428" t="s">
        <v>987</v>
      </c>
      <c r="F428" t="s">
        <v>324</v>
      </c>
      <c r="G428" t="s">
        <v>1866</v>
      </c>
      <c r="H428">
        <v>38.322221999999996</v>
      </c>
      <c r="I428">
        <v>-85.555000000000007</v>
      </c>
      <c r="K428">
        <v>110000732271</v>
      </c>
      <c r="L428" t="s">
        <v>263</v>
      </c>
      <c r="R428" s="387">
        <f t="shared" si="6"/>
        <v>42.868808342168542</v>
      </c>
      <c r="S428" s="386">
        <v>19.444964375000001</v>
      </c>
    </row>
    <row r="429" spans="1:19" x14ac:dyDescent="0.25">
      <c r="A429">
        <v>2021</v>
      </c>
      <c r="C429" t="s">
        <v>1163</v>
      </c>
      <c r="D429" t="s">
        <v>1865</v>
      </c>
      <c r="E429" t="s">
        <v>987</v>
      </c>
      <c r="F429" t="s">
        <v>324</v>
      </c>
      <c r="G429" t="s">
        <v>1866</v>
      </c>
      <c r="H429">
        <v>38.322221999999996</v>
      </c>
      <c r="I429">
        <v>-85.555000000000007</v>
      </c>
      <c r="K429">
        <v>110000732271</v>
      </c>
      <c r="L429" t="s">
        <v>263</v>
      </c>
      <c r="R429" s="387">
        <f t="shared" si="6"/>
        <v>32.414301440961189</v>
      </c>
      <c r="S429" s="386">
        <v>14.702879812500001</v>
      </c>
    </row>
    <row r="430" spans="1:19" x14ac:dyDescent="0.25">
      <c r="A430">
        <v>2022</v>
      </c>
      <c r="C430" t="s">
        <v>1163</v>
      </c>
      <c r="D430" t="s">
        <v>1865</v>
      </c>
      <c r="E430" t="s">
        <v>987</v>
      </c>
      <c r="F430" t="s">
        <v>324</v>
      </c>
      <c r="G430" t="s">
        <v>1866</v>
      </c>
      <c r="H430">
        <v>38.322221999999996</v>
      </c>
      <c r="I430">
        <v>-85.555000000000007</v>
      </c>
      <c r="K430">
        <v>110000732271</v>
      </c>
      <c r="L430" t="s">
        <v>263</v>
      </c>
      <c r="R430" s="387">
        <f t="shared" si="6"/>
        <v>0.31401592469467687</v>
      </c>
      <c r="S430" s="386">
        <v>0.14243522750000001</v>
      </c>
    </row>
    <row r="431" spans="1:19" x14ac:dyDescent="0.25">
      <c r="A431">
        <v>2024</v>
      </c>
      <c r="C431" t="s">
        <v>1167</v>
      </c>
      <c r="D431" t="s">
        <v>1875</v>
      </c>
      <c r="E431" t="s">
        <v>1168</v>
      </c>
      <c r="F431" t="s">
        <v>338</v>
      </c>
      <c r="G431">
        <v>79621057</v>
      </c>
      <c r="H431">
        <v>40.792712999999999</v>
      </c>
      <c r="I431">
        <v>-74.434799999999996</v>
      </c>
      <c r="K431">
        <v>110070212650</v>
      </c>
      <c r="L431" t="s">
        <v>254</v>
      </c>
      <c r="R431" s="387">
        <f t="shared" si="6"/>
        <v>8.5122122441124839E-2</v>
      </c>
      <c r="S431" s="386">
        <v>3.8610745257500002E-2</v>
      </c>
    </row>
    <row r="432" spans="1:19" x14ac:dyDescent="0.25">
      <c r="A432">
        <v>2022</v>
      </c>
      <c r="C432" t="s">
        <v>1167</v>
      </c>
      <c r="D432" t="s">
        <v>1875</v>
      </c>
      <c r="E432" t="s">
        <v>1168</v>
      </c>
      <c r="F432" t="s">
        <v>338</v>
      </c>
      <c r="G432">
        <v>79621057</v>
      </c>
      <c r="H432">
        <v>40.792712999999999</v>
      </c>
      <c r="I432">
        <v>-74.434799999999996</v>
      </c>
      <c r="K432">
        <v>110070212650</v>
      </c>
      <c r="L432" t="s">
        <v>254</v>
      </c>
      <c r="R432" s="387">
        <f t="shared" si="6"/>
        <v>6.3898358398312566E-2</v>
      </c>
      <c r="S432" s="386">
        <v>2.8983807824999999E-2</v>
      </c>
    </row>
    <row r="433" spans="1:19" x14ac:dyDescent="0.25">
      <c r="A433">
        <v>2021</v>
      </c>
      <c r="C433" t="s">
        <v>1167</v>
      </c>
      <c r="D433" t="s">
        <v>1875</v>
      </c>
      <c r="E433" t="s">
        <v>1168</v>
      </c>
      <c r="F433" t="s">
        <v>338</v>
      </c>
      <c r="G433">
        <v>79621057</v>
      </c>
      <c r="H433">
        <v>40.792712999999999</v>
      </c>
      <c r="I433">
        <v>-74.434799999999996</v>
      </c>
      <c r="K433">
        <v>110070212650</v>
      </c>
      <c r="L433" t="s">
        <v>254</v>
      </c>
      <c r="R433" s="387">
        <f t="shared" si="6"/>
        <v>6.0487161556531471E-2</v>
      </c>
      <c r="S433" s="386">
        <v>2.7436514964999999E-2</v>
      </c>
    </row>
    <row r="434" spans="1:19" x14ac:dyDescent="0.25">
      <c r="A434">
        <v>2023</v>
      </c>
      <c r="C434" t="s">
        <v>1167</v>
      </c>
      <c r="D434" t="s">
        <v>1875</v>
      </c>
      <c r="E434" t="s">
        <v>1168</v>
      </c>
      <c r="F434" t="s">
        <v>338</v>
      </c>
      <c r="G434" t="s">
        <v>1878</v>
      </c>
      <c r="H434">
        <v>40.792712999999999</v>
      </c>
      <c r="I434">
        <v>-74.434799999999996</v>
      </c>
      <c r="K434">
        <v>110070212650</v>
      </c>
      <c r="L434" t="s">
        <v>254</v>
      </c>
      <c r="R434" s="387">
        <f t="shared" si="6"/>
        <v>3.9924678009905679E-2</v>
      </c>
      <c r="S434" s="386">
        <v>1.8109529320000001E-2</v>
      </c>
    </row>
    <row r="435" spans="1:19" x14ac:dyDescent="0.25">
      <c r="A435">
        <v>2021</v>
      </c>
      <c r="C435" t="s">
        <v>160</v>
      </c>
      <c r="D435" t="s">
        <v>515</v>
      </c>
      <c r="E435" t="s">
        <v>516</v>
      </c>
      <c r="F435" t="s">
        <v>303</v>
      </c>
      <c r="G435" t="s">
        <v>517</v>
      </c>
      <c r="H435">
        <v>30.221900000000002</v>
      </c>
      <c r="I435">
        <v>-91.051500000000004</v>
      </c>
      <c r="J435" t="s">
        <v>518</v>
      </c>
      <c r="K435">
        <v>110033659878</v>
      </c>
      <c r="L435" t="s">
        <v>251</v>
      </c>
      <c r="R435" s="387">
        <f t="shared" si="6"/>
        <v>8.7678723519974557</v>
      </c>
      <c r="S435" s="386">
        <v>3.9770400000000001</v>
      </c>
    </row>
    <row r="436" spans="1:19" x14ac:dyDescent="0.25">
      <c r="A436">
        <v>2023</v>
      </c>
      <c r="C436" t="s">
        <v>160</v>
      </c>
      <c r="D436" t="s">
        <v>515</v>
      </c>
      <c r="E436" t="s">
        <v>516</v>
      </c>
      <c r="F436" t="s">
        <v>303</v>
      </c>
      <c r="G436" t="s">
        <v>517</v>
      </c>
      <c r="H436">
        <v>30.221900000000002</v>
      </c>
      <c r="I436">
        <v>-91.051500000000004</v>
      </c>
      <c r="J436" t="s">
        <v>518</v>
      </c>
      <c r="K436">
        <v>110033659878</v>
      </c>
      <c r="L436" t="s">
        <v>251</v>
      </c>
      <c r="R436" s="387">
        <f t="shared" si="6"/>
        <v>8.4025443373308946</v>
      </c>
      <c r="S436" s="386">
        <v>3.8113299999999999</v>
      </c>
    </row>
    <row r="437" spans="1:19" x14ac:dyDescent="0.25">
      <c r="A437">
        <v>2024</v>
      </c>
      <c r="C437" t="s">
        <v>160</v>
      </c>
      <c r="D437" t="s">
        <v>515</v>
      </c>
      <c r="E437" t="s">
        <v>516</v>
      </c>
      <c r="F437" t="s">
        <v>303</v>
      </c>
      <c r="G437" t="s">
        <v>517</v>
      </c>
      <c r="H437">
        <v>30.221900000000002</v>
      </c>
      <c r="I437">
        <v>-91.051500000000004</v>
      </c>
      <c r="J437" t="s">
        <v>518</v>
      </c>
      <c r="K437">
        <v>110033659878</v>
      </c>
      <c r="L437" t="s">
        <v>251</v>
      </c>
      <c r="R437" s="387">
        <f t="shared" si="6"/>
        <v>1.8266400733328032</v>
      </c>
      <c r="S437" s="386">
        <v>0.82855000000000001</v>
      </c>
    </row>
    <row r="438" spans="1:19" x14ac:dyDescent="0.25">
      <c r="A438">
        <v>2021</v>
      </c>
      <c r="C438" t="s">
        <v>1172</v>
      </c>
      <c r="D438" t="s">
        <v>1884</v>
      </c>
      <c r="E438" t="s">
        <v>1173</v>
      </c>
      <c r="F438" t="s">
        <v>324</v>
      </c>
      <c r="G438">
        <v>42240</v>
      </c>
      <c r="H438">
        <v>36.803610999999997</v>
      </c>
      <c r="I438">
        <v>-87.516389000000004</v>
      </c>
      <c r="K438">
        <v>110039994897</v>
      </c>
      <c r="L438" t="s">
        <v>263</v>
      </c>
      <c r="R438" s="387">
        <f t="shared" si="6"/>
        <v>11.509856250447951</v>
      </c>
      <c r="S438" s="386">
        <v>5.2207829749999997</v>
      </c>
    </row>
    <row r="439" spans="1:19" x14ac:dyDescent="0.25">
      <c r="A439">
        <v>2024</v>
      </c>
      <c r="C439" t="s">
        <v>1172</v>
      </c>
      <c r="D439" t="s">
        <v>1884</v>
      </c>
      <c r="E439" t="s">
        <v>1173</v>
      </c>
      <c r="F439" t="s">
        <v>324</v>
      </c>
      <c r="G439">
        <v>42240</v>
      </c>
      <c r="H439">
        <v>36.803610999999997</v>
      </c>
      <c r="I439">
        <v>-87.516389000000004</v>
      </c>
      <c r="K439">
        <v>110039994897</v>
      </c>
      <c r="L439" t="s">
        <v>263</v>
      </c>
      <c r="R439" s="387">
        <f t="shared" si="6"/>
        <v>9.1098121315400444</v>
      </c>
      <c r="S439" s="386">
        <v>4.1321412750000004</v>
      </c>
    </row>
    <row r="440" spans="1:19" x14ac:dyDescent="0.25">
      <c r="A440">
        <v>2021</v>
      </c>
      <c r="C440" t="s">
        <v>1176</v>
      </c>
      <c r="D440" t="s">
        <v>1891</v>
      </c>
      <c r="E440" t="s">
        <v>657</v>
      </c>
      <c r="F440" t="s">
        <v>418</v>
      </c>
      <c r="G440">
        <v>89169</v>
      </c>
      <c r="H440">
        <v>36.119079999999997</v>
      </c>
      <c r="I440">
        <v>-115.15727</v>
      </c>
      <c r="K440">
        <v>110037274133</v>
      </c>
      <c r="L440" t="s">
        <v>265</v>
      </c>
      <c r="R440" s="387">
        <f t="shared" si="6"/>
        <v>1.4132239481894284E-3</v>
      </c>
      <c r="S440" s="386">
        <v>6.4102759999999995E-4</v>
      </c>
    </row>
    <row r="441" spans="1:19" x14ac:dyDescent="0.25">
      <c r="A441">
        <v>2024</v>
      </c>
      <c r="C441" t="s">
        <v>1176</v>
      </c>
      <c r="D441" t="s">
        <v>1891</v>
      </c>
      <c r="E441" t="s">
        <v>657</v>
      </c>
      <c r="F441" t="s">
        <v>418</v>
      </c>
      <c r="G441">
        <v>89169</v>
      </c>
      <c r="H441">
        <v>36.119079999999997</v>
      </c>
      <c r="I441">
        <v>-115.15727</v>
      </c>
      <c r="K441">
        <v>110037274133</v>
      </c>
      <c r="L441" t="s">
        <v>265</v>
      </c>
      <c r="R441" s="387">
        <f t="shared" si="6"/>
        <v>3.0914273866643741E-4</v>
      </c>
      <c r="S441" s="386">
        <v>1.4022478749999999E-4</v>
      </c>
    </row>
    <row r="442" spans="1:19" x14ac:dyDescent="0.25">
      <c r="A442">
        <v>2023</v>
      </c>
      <c r="C442" t="s">
        <v>1176</v>
      </c>
      <c r="D442" t="s">
        <v>1891</v>
      </c>
      <c r="E442" t="s">
        <v>657</v>
      </c>
      <c r="F442" t="s">
        <v>418</v>
      </c>
      <c r="G442">
        <v>89169</v>
      </c>
      <c r="H442">
        <v>36.119079999999997</v>
      </c>
      <c r="I442">
        <v>-115.15727</v>
      </c>
      <c r="K442">
        <v>110037274133</v>
      </c>
      <c r="L442" t="s">
        <v>265</v>
      </c>
      <c r="R442" s="387">
        <f t="shared" si="6"/>
        <v>4.5686119014744448E-6</v>
      </c>
      <c r="S442" s="386">
        <v>2.0722875E-6</v>
      </c>
    </row>
    <row r="443" spans="1:19" x14ac:dyDescent="0.25">
      <c r="A443">
        <v>2022</v>
      </c>
      <c r="C443" t="s">
        <v>1176</v>
      </c>
      <c r="D443" t="s">
        <v>1891</v>
      </c>
      <c r="E443" t="s">
        <v>657</v>
      </c>
      <c r="F443" t="s">
        <v>418</v>
      </c>
      <c r="G443">
        <v>89169</v>
      </c>
      <c r="H443">
        <v>36.119079999999997</v>
      </c>
      <c r="I443">
        <v>-115.15727</v>
      </c>
      <c r="K443">
        <v>110037274133</v>
      </c>
      <c r="L443" t="s">
        <v>265</v>
      </c>
      <c r="R443" s="387">
        <f t="shared" si="6"/>
        <v>3.04574126764963E-6</v>
      </c>
      <c r="S443" s="386">
        <v>1.3815250000000001E-6</v>
      </c>
    </row>
    <row r="444" spans="1:19" x14ac:dyDescent="0.25">
      <c r="A444">
        <v>2021</v>
      </c>
      <c r="C444" t="s">
        <v>162</v>
      </c>
      <c r="D444" t="s">
        <v>525</v>
      </c>
      <c r="E444" t="s">
        <v>526</v>
      </c>
      <c r="F444" t="s">
        <v>362</v>
      </c>
      <c r="G444">
        <v>77301</v>
      </c>
      <c r="H444">
        <v>30.316129</v>
      </c>
      <c r="I444">
        <v>-95.387682999999996</v>
      </c>
      <c r="J444" t="s">
        <v>527</v>
      </c>
      <c r="K444">
        <v>110000748095</v>
      </c>
      <c r="L444" t="s">
        <v>251</v>
      </c>
      <c r="R444" s="387">
        <f t="shared" si="6"/>
        <v>8.8592043556640938</v>
      </c>
      <c r="S444" s="386">
        <v>4.0184674999999999</v>
      </c>
    </row>
    <row r="445" spans="1:19" x14ac:dyDescent="0.25">
      <c r="A445">
        <v>2021</v>
      </c>
      <c r="C445" t="s">
        <v>162</v>
      </c>
      <c r="D445" t="s">
        <v>525</v>
      </c>
      <c r="E445" t="s">
        <v>526</v>
      </c>
      <c r="F445" t="s">
        <v>362</v>
      </c>
      <c r="G445">
        <v>77301</v>
      </c>
      <c r="H445">
        <v>30.316129</v>
      </c>
      <c r="I445">
        <v>-95.387682999999996</v>
      </c>
      <c r="J445" t="s">
        <v>527</v>
      </c>
      <c r="K445">
        <v>110000748095</v>
      </c>
      <c r="L445" t="s">
        <v>251</v>
      </c>
      <c r="R445" s="387">
        <f t="shared" si="6"/>
        <v>3.0504889224657812</v>
      </c>
      <c r="S445" s="386">
        <v>1.3836785</v>
      </c>
    </row>
    <row r="446" spans="1:19" x14ac:dyDescent="0.25">
      <c r="A446">
        <v>2022</v>
      </c>
      <c r="C446" t="s">
        <v>162</v>
      </c>
      <c r="D446" t="s">
        <v>525</v>
      </c>
      <c r="E446" t="s">
        <v>526</v>
      </c>
      <c r="F446" t="s">
        <v>362</v>
      </c>
      <c r="G446">
        <v>77301</v>
      </c>
      <c r="H446">
        <v>30.316129</v>
      </c>
      <c r="I446">
        <v>-95.387682999999996</v>
      </c>
      <c r="J446" t="s">
        <v>527</v>
      </c>
      <c r="K446">
        <v>110000748095</v>
      </c>
      <c r="L446" t="s">
        <v>251</v>
      </c>
      <c r="R446" s="387">
        <f t="shared" si="6"/>
        <v>0.4566600183332008</v>
      </c>
      <c r="S446" s="386">
        <v>0.2071375</v>
      </c>
    </row>
    <row r="447" spans="1:19" x14ac:dyDescent="0.25">
      <c r="A447">
        <v>2024</v>
      </c>
      <c r="C447" t="s">
        <v>162</v>
      </c>
      <c r="D447" t="s">
        <v>525</v>
      </c>
      <c r="E447" t="s">
        <v>526</v>
      </c>
      <c r="F447" t="s">
        <v>362</v>
      </c>
      <c r="G447">
        <v>77301</v>
      </c>
      <c r="H447">
        <v>30.316129</v>
      </c>
      <c r="I447">
        <v>-95.387682999999996</v>
      </c>
      <c r="J447" t="s">
        <v>527</v>
      </c>
      <c r="K447">
        <v>110000748095</v>
      </c>
      <c r="L447" t="s">
        <v>251</v>
      </c>
      <c r="R447" s="387">
        <f t="shared" si="6"/>
        <v>0.27929326721258563</v>
      </c>
      <c r="S447" s="386">
        <v>0.126685295</v>
      </c>
    </row>
    <row r="448" spans="1:19" x14ac:dyDescent="0.25">
      <c r="A448">
        <v>2023</v>
      </c>
      <c r="C448" t="s">
        <v>1177</v>
      </c>
      <c r="D448" t="s">
        <v>1894</v>
      </c>
      <c r="E448" t="s">
        <v>1178</v>
      </c>
      <c r="F448" t="s">
        <v>308</v>
      </c>
      <c r="G448" t="s">
        <v>7106</v>
      </c>
      <c r="H448">
        <v>42.482259999999997</v>
      </c>
      <c r="I448">
        <v>-71.191800000000001</v>
      </c>
      <c r="K448">
        <v>110024468128</v>
      </c>
      <c r="L448" t="s">
        <v>265</v>
      </c>
      <c r="R448" s="387">
        <f t="shared" si="6"/>
        <v>7.4145775754561299E-2</v>
      </c>
      <c r="S448" s="386">
        <v>3.3631958150000002E-2</v>
      </c>
    </row>
    <row r="449" spans="1:19" x14ac:dyDescent="0.25">
      <c r="A449">
        <v>2021</v>
      </c>
      <c r="C449" t="s">
        <v>1177</v>
      </c>
      <c r="D449" t="s">
        <v>1894</v>
      </c>
      <c r="E449" t="s">
        <v>1178</v>
      </c>
      <c r="F449" t="s">
        <v>308</v>
      </c>
      <c r="G449">
        <v>1803</v>
      </c>
      <c r="H449">
        <v>42.482259999999997</v>
      </c>
      <c r="I449">
        <v>-71.191800000000001</v>
      </c>
      <c r="K449">
        <v>110024468128</v>
      </c>
      <c r="L449" t="s">
        <v>265</v>
      </c>
      <c r="R449" s="387">
        <f t="shared" si="6"/>
        <v>6.5488694287339971E-2</v>
      </c>
      <c r="S449" s="386">
        <v>2.9705172049999999E-2</v>
      </c>
    </row>
    <row r="450" spans="1:19" x14ac:dyDescent="0.25">
      <c r="A450">
        <v>2022</v>
      </c>
      <c r="C450" t="s">
        <v>1177</v>
      </c>
      <c r="D450" t="s">
        <v>1894</v>
      </c>
      <c r="E450" t="s">
        <v>1178</v>
      </c>
      <c r="F450" t="s">
        <v>308</v>
      </c>
      <c r="G450">
        <v>1803</v>
      </c>
      <c r="H450">
        <v>42.482259999999997</v>
      </c>
      <c r="I450">
        <v>-71.191800000000001</v>
      </c>
      <c r="K450">
        <v>110024468128</v>
      </c>
      <c r="L450" t="s">
        <v>265</v>
      </c>
      <c r="R450" s="387">
        <f t="shared" si="6"/>
        <v>6.4849505845964731E-2</v>
      </c>
      <c r="S450" s="386">
        <v>2.9415241049999999E-2</v>
      </c>
    </row>
    <row r="451" spans="1:19" x14ac:dyDescent="0.25">
      <c r="A451">
        <v>2022</v>
      </c>
      <c r="C451" t="s">
        <v>6836</v>
      </c>
      <c r="D451" t="s">
        <v>528</v>
      </c>
      <c r="E451" t="s">
        <v>529</v>
      </c>
      <c r="F451" t="s">
        <v>311</v>
      </c>
      <c r="G451">
        <v>25515</v>
      </c>
      <c r="H451">
        <v>38.772219999999997</v>
      </c>
      <c r="I451">
        <v>-82.205560000000006</v>
      </c>
      <c r="J451" t="s">
        <v>531</v>
      </c>
      <c r="K451">
        <v>110000607772</v>
      </c>
      <c r="L451" t="s">
        <v>251</v>
      </c>
      <c r="R451" s="387">
        <f t="shared" ref="R451:R514" si="7">CONVERT(S451,"g","lbm")*1000</f>
        <v>0.91968289249914403</v>
      </c>
      <c r="S451" s="386">
        <v>0.41716114285714201</v>
      </c>
    </row>
    <row r="452" spans="1:19" x14ac:dyDescent="0.25">
      <c r="A452">
        <v>2021</v>
      </c>
      <c r="C452" t="s">
        <v>6836</v>
      </c>
      <c r="D452" t="s">
        <v>528</v>
      </c>
      <c r="E452" t="s">
        <v>529</v>
      </c>
      <c r="F452" t="s">
        <v>311</v>
      </c>
      <c r="G452">
        <v>25515</v>
      </c>
      <c r="H452">
        <v>38.772219999999997</v>
      </c>
      <c r="I452">
        <v>-82.205560000000006</v>
      </c>
      <c r="J452" t="s">
        <v>531</v>
      </c>
      <c r="K452">
        <v>110000607772</v>
      </c>
      <c r="L452" t="s">
        <v>251</v>
      </c>
      <c r="R452" s="387">
        <f t="shared" si="7"/>
        <v>0.37628785510655743</v>
      </c>
      <c r="S452" s="386">
        <v>0.17068130000000001</v>
      </c>
    </row>
    <row r="453" spans="1:19" x14ac:dyDescent="0.25">
      <c r="A453">
        <v>2021</v>
      </c>
      <c r="C453" t="s">
        <v>1181</v>
      </c>
      <c r="D453" t="s">
        <v>1903</v>
      </c>
      <c r="E453" t="s">
        <v>1182</v>
      </c>
      <c r="F453" t="s">
        <v>345</v>
      </c>
      <c r="G453">
        <v>60439</v>
      </c>
      <c r="H453">
        <v>41.692782000000001</v>
      </c>
      <c r="I453">
        <v>-87.951100999999994</v>
      </c>
      <c r="K453">
        <v>110018199377</v>
      </c>
      <c r="L453" t="s">
        <v>265</v>
      </c>
      <c r="R453" s="387">
        <f t="shared" si="7"/>
        <v>942.1498272777385</v>
      </c>
      <c r="S453" s="386">
        <v>427.35197305000003</v>
      </c>
    </row>
    <row r="454" spans="1:19" x14ac:dyDescent="0.25">
      <c r="A454">
        <v>2024</v>
      </c>
      <c r="C454" t="s">
        <v>1181</v>
      </c>
      <c r="D454" t="s">
        <v>1903</v>
      </c>
      <c r="E454" t="s">
        <v>1182</v>
      </c>
      <c r="F454" t="s">
        <v>345</v>
      </c>
      <c r="G454">
        <v>60439</v>
      </c>
      <c r="H454">
        <v>41.692782000000001</v>
      </c>
      <c r="I454">
        <v>-87.951100999999994</v>
      </c>
      <c r="K454">
        <v>110018199377</v>
      </c>
      <c r="L454" t="s">
        <v>265</v>
      </c>
      <c r="R454" s="387">
        <f t="shared" si="7"/>
        <v>2.7712073287299779</v>
      </c>
      <c r="S454" s="386">
        <v>1.2569984999999999</v>
      </c>
    </row>
    <row r="455" spans="1:19" x14ac:dyDescent="0.25">
      <c r="A455">
        <v>2022</v>
      </c>
      <c r="C455" t="s">
        <v>1181</v>
      </c>
      <c r="D455" t="s">
        <v>1903</v>
      </c>
      <c r="E455" t="s">
        <v>1182</v>
      </c>
      <c r="F455" t="s">
        <v>345</v>
      </c>
      <c r="G455">
        <v>60439</v>
      </c>
      <c r="H455">
        <v>41.692782000000001</v>
      </c>
      <c r="I455">
        <v>-87.951100999999994</v>
      </c>
      <c r="K455">
        <v>110018199377</v>
      </c>
      <c r="L455" t="s">
        <v>265</v>
      </c>
      <c r="R455" s="387">
        <f t="shared" si="7"/>
        <v>2.7198886744942379</v>
      </c>
      <c r="S455" s="386">
        <v>1.23372075</v>
      </c>
    </row>
    <row r="456" spans="1:19" x14ac:dyDescent="0.25">
      <c r="A456">
        <v>2023</v>
      </c>
      <c r="C456" t="s">
        <v>1181</v>
      </c>
      <c r="D456" t="s">
        <v>1903</v>
      </c>
      <c r="E456" t="s">
        <v>1182</v>
      </c>
      <c r="F456" t="s">
        <v>345</v>
      </c>
      <c r="G456">
        <v>60439</v>
      </c>
      <c r="H456">
        <v>41.692782000000001</v>
      </c>
      <c r="I456">
        <v>-87.951100999999994</v>
      </c>
      <c r="K456">
        <v>110018199377</v>
      </c>
      <c r="L456" t="s">
        <v>265</v>
      </c>
      <c r="R456" s="387">
        <f t="shared" si="7"/>
        <v>2.1510234784152122</v>
      </c>
      <c r="S456" s="386">
        <v>0.97568783749999999</v>
      </c>
    </row>
    <row r="457" spans="1:19" x14ac:dyDescent="0.25">
      <c r="A457">
        <v>2024</v>
      </c>
      <c r="C457" t="s">
        <v>1181</v>
      </c>
      <c r="D457" t="s">
        <v>1903</v>
      </c>
      <c r="E457" t="s">
        <v>1182</v>
      </c>
      <c r="F457" t="s">
        <v>345</v>
      </c>
      <c r="G457">
        <v>60439</v>
      </c>
      <c r="H457">
        <v>41.692782000000001</v>
      </c>
      <c r="I457">
        <v>-87.951100999999994</v>
      </c>
      <c r="K457">
        <v>110018199377</v>
      </c>
      <c r="L457" t="s">
        <v>265</v>
      </c>
      <c r="R457" s="387">
        <f t="shared" si="7"/>
        <v>0.22655308333339028</v>
      </c>
      <c r="S457" s="386">
        <v>0.10276275</v>
      </c>
    </row>
    <row r="458" spans="1:19" x14ac:dyDescent="0.25">
      <c r="A458">
        <v>2023</v>
      </c>
      <c r="C458" t="s">
        <v>1181</v>
      </c>
      <c r="D458" t="s">
        <v>1903</v>
      </c>
      <c r="E458" t="s">
        <v>1182</v>
      </c>
      <c r="F458" t="s">
        <v>345</v>
      </c>
      <c r="G458">
        <v>60439</v>
      </c>
      <c r="H458">
        <v>41.692782000000001</v>
      </c>
      <c r="I458">
        <v>-87.951100999999994</v>
      </c>
      <c r="K458">
        <v>110018199377</v>
      </c>
      <c r="L458" t="s">
        <v>265</v>
      </c>
      <c r="R458" s="387">
        <f t="shared" si="7"/>
        <v>0.22137949542669777</v>
      </c>
      <c r="S458" s="386">
        <v>0.10041605000000001</v>
      </c>
    </row>
    <row r="459" spans="1:19" x14ac:dyDescent="0.25">
      <c r="A459">
        <v>2022</v>
      </c>
      <c r="C459" t="s">
        <v>1181</v>
      </c>
      <c r="D459" t="s">
        <v>1903</v>
      </c>
      <c r="E459" t="s">
        <v>1182</v>
      </c>
      <c r="F459" t="s">
        <v>345</v>
      </c>
      <c r="G459">
        <v>60439</v>
      </c>
      <c r="H459">
        <v>41.692782000000001</v>
      </c>
      <c r="I459">
        <v>-87.951100999999994</v>
      </c>
      <c r="K459">
        <v>110018199377</v>
      </c>
      <c r="L459" t="s">
        <v>265</v>
      </c>
      <c r="R459" s="387">
        <f t="shared" si="7"/>
        <v>0.2168526060083418</v>
      </c>
      <c r="S459" s="386">
        <v>9.8362687500000004E-2</v>
      </c>
    </row>
    <row r="460" spans="1:19" x14ac:dyDescent="0.25">
      <c r="A460">
        <v>2021</v>
      </c>
      <c r="C460" t="s">
        <v>1181</v>
      </c>
      <c r="D460" t="s">
        <v>1903</v>
      </c>
      <c r="E460" t="s">
        <v>1182</v>
      </c>
      <c r="F460" t="s">
        <v>345</v>
      </c>
      <c r="G460">
        <v>60439</v>
      </c>
      <c r="H460">
        <v>41.692782000000001</v>
      </c>
      <c r="I460">
        <v>-87.951100999999994</v>
      </c>
      <c r="K460">
        <v>110018199377</v>
      </c>
      <c r="L460" t="s">
        <v>265</v>
      </c>
      <c r="R460" s="387">
        <f t="shared" si="7"/>
        <v>0.21320188873547408</v>
      </c>
      <c r="S460" s="386">
        <v>9.6706749999999994E-2</v>
      </c>
    </row>
    <row r="461" spans="1:19" x14ac:dyDescent="0.25">
      <c r="A461">
        <v>2023</v>
      </c>
      <c r="C461" t="s">
        <v>1181</v>
      </c>
      <c r="D461" t="s">
        <v>1903</v>
      </c>
      <c r="E461" t="s">
        <v>1182</v>
      </c>
      <c r="F461" t="s">
        <v>345</v>
      </c>
      <c r="G461">
        <v>60439</v>
      </c>
      <c r="H461">
        <v>41.692782000000001</v>
      </c>
      <c r="I461">
        <v>-87.951100999999994</v>
      </c>
      <c r="K461">
        <v>110018199377</v>
      </c>
      <c r="L461" t="s">
        <v>265</v>
      </c>
      <c r="R461" s="387">
        <f t="shared" si="7"/>
        <v>0.17513012288985375</v>
      </c>
      <c r="S461" s="386">
        <v>7.9437687500000007E-2</v>
      </c>
    </row>
    <row r="462" spans="1:19" x14ac:dyDescent="0.25">
      <c r="A462">
        <v>2022</v>
      </c>
      <c r="C462" t="s">
        <v>1181</v>
      </c>
      <c r="D462" t="s">
        <v>1903</v>
      </c>
      <c r="E462" t="s">
        <v>1182</v>
      </c>
      <c r="F462" t="s">
        <v>345</v>
      </c>
      <c r="G462">
        <v>60439</v>
      </c>
      <c r="H462">
        <v>41.692782000000001</v>
      </c>
      <c r="I462">
        <v>-87.951100999999994</v>
      </c>
      <c r="K462">
        <v>110018199377</v>
      </c>
      <c r="L462" t="s">
        <v>265</v>
      </c>
      <c r="R462" s="387">
        <f t="shared" si="7"/>
        <v>0.13334505604668789</v>
      </c>
      <c r="S462" s="386">
        <v>6.0484299999999998E-2</v>
      </c>
    </row>
    <row r="463" spans="1:19" x14ac:dyDescent="0.25">
      <c r="A463">
        <v>2024</v>
      </c>
      <c r="C463" t="s">
        <v>1181</v>
      </c>
      <c r="D463" t="s">
        <v>1903</v>
      </c>
      <c r="E463" t="s">
        <v>1182</v>
      </c>
      <c r="F463" t="s">
        <v>345</v>
      </c>
      <c r="G463">
        <v>60439</v>
      </c>
      <c r="H463">
        <v>41.692782000000001</v>
      </c>
      <c r="I463">
        <v>-87.951100999999994</v>
      </c>
      <c r="K463">
        <v>110018199377</v>
      </c>
      <c r="L463" t="s">
        <v>265</v>
      </c>
      <c r="R463" s="387">
        <f t="shared" si="7"/>
        <v>0.13215596527781101</v>
      </c>
      <c r="S463" s="386">
        <v>5.9944937500000003E-2</v>
      </c>
    </row>
    <row r="464" spans="1:19" x14ac:dyDescent="0.25">
      <c r="A464">
        <v>2021</v>
      </c>
      <c r="C464" t="s">
        <v>1181</v>
      </c>
      <c r="D464" t="s">
        <v>1903</v>
      </c>
      <c r="E464" t="s">
        <v>1182</v>
      </c>
      <c r="F464" t="s">
        <v>345</v>
      </c>
      <c r="G464">
        <v>60439</v>
      </c>
      <c r="H464">
        <v>41.692782000000001</v>
      </c>
      <c r="I464">
        <v>-87.951100999999994</v>
      </c>
      <c r="K464">
        <v>110018199377</v>
      </c>
      <c r="L464" t="s">
        <v>265</v>
      </c>
      <c r="R464" s="387">
        <f t="shared" si="7"/>
        <v>0.12944400387510926</v>
      </c>
      <c r="S464" s="386">
        <v>5.8714812499999998E-2</v>
      </c>
    </row>
    <row r="465" spans="1:19" x14ac:dyDescent="0.25">
      <c r="A465">
        <v>2022</v>
      </c>
      <c r="C465" t="s">
        <v>6770</v>
      </c>
      <c r="D465" t="s">
        <v>6916</v>
      </c>
      <c r="E465" t="s">
        <v>1292</v>
      </c>
      <c r="F465" t="s">
        <v>366</v>
      </c>
      <c r="G465">
        <v>90056</v>
      </c>
      <c r="H465">
        <v>33.990146000000003</v>
      </c>
      <c r="I465">
        <v>-118.36358</v>
      </c>
      <c r="K465">
        <v>110064624018</v>
      </c>
      <c r="L465" t="s">
        <v>265</v>
      </c>
      <c r="R465" s="387">
        <f t="shared" si="7"/>
        <v>0.76600392881388191</v>
      </c>
      <c r="S465" s="386">
        <v>0.34745353750000002</v>
      </c>
    </row>
    <row r="466" spans="1:19" x14ac:dyDescent="0.25">
      <c r="A466">
        <v>2022</v>
      </c>
      <c r="C466" t="s">
        <v>6770</v>
      </c>
      <c r="D466" t="s">
        <v>6916</v>
      </c>
      <c r="E466" t="s">
        <v>1292</v>
      </c>
      <c r="F466" t="s">
        <v>366</v>
      </c>
      <c r="G466">
        <v>90056</v>
      </c>
      <c r="H466">
        <v>33.990146000000003</v>
      </c>
      <c r="I466">
        <v>-118.36358</v>
      </c>
      <c r="K466">
        <v>110064624018</v>
      </c>
      <c r="L466" t="s">
        <v>265</v>
      </c>
      <c r="R466" s="387">
        <f t="shared" si="7"/>
        <v>0.4538154488797948</v>
      </c>
      <c r="S466" s="386">
        <v>0.20584722499999999</v>
      </c>
    </row>
    <row r="467" spans="1:19" x14ac:dyDescent="0.25">
      <c r="A467">
        <v>2023</v>
      </c>
      <c r="C467" t="s">
        <v>6770</v>
      </c>
      <c r="D467" t="s">
        <v>6916</v>
      </c>
      <c r="E467" t="s">
        <v>1292</v>
      </c>
      <c r="F467" t="s">
        <v>366</v>
      </c>
      <c r="G467">
        <v>90056</v>
      </c>
      <c r="H467">
        <v>33.990146000000003</v>
      </c>
      <c r="I467">
        <v>-118.36358</v>
      </c>
      <c r="K467">
        <v>110064624018</v>
      </c>
      <c r="L467" t="s">
        <v>265</v>
      </c>
      <c r="R467" s="387">
        <f t="shared" si="7"/>
        <v>0.22896359979556091</v>
      </c>
      <c r="S467" s="386">
        <v>0.103856141875</v>
      </c>
    </row>
    <row r="468" spans="1:19" x14ac:dyDescent="0.25">
      <c r="A468">
        <v>2023</v>
      </c>
      <c r="C468" t="s">
        <v>6770</v>
      </c>
      <c r="D468" t="s">
        <v>6916</v>
      </c>
      <c r="E468" t="s">
        <v>1292</v>
      </c>
      <c r="F468" t="s">
        <v>366</v>
      </c>
      <c r="G468">
        <v>90056</v>
      </c>
      <c r="H468">
        <v>33.990146000000003</v>
      </c>
      <c r="I468">
        <v>-118.36358</v>
      </c>
      <c r="K468">
        <v>110064624018</v>
      </c>
      <c r="L468" t="s">
        <v>265</v>
      </c>
      <c r="R468" s="387">
        <f t="shared" si="7"/>
        <v>0.20101892366487559</v>
      </c>
      <c r="S468" s="386">
        <v>9.1180650000000002E-2</v>
      </c>
    </row>
    <row r="469" spans="1:19" x14ac:dyDescent="0.25">
      <c r="A469">
        <v>2021</v>
      </c>
      <c r="C469" t="s">
        <v>6770</v>
      </c>
      <c r="D469" t="s">
        <v>6916</v>
      </c>
      <c r="E469" t="s">
        <v>1292</v>
      </c>
      <c r="F469" t="s">
        <v>366</v>
      </c>
      <c r="G469">
        <v>90056</v>
      </c>
      <c r="H469">
        <v>33.990146000000003</v>
      </c>
      <c r="I469">
        <v>-118.36358</v>
      </c>
      <c r="K469">
        <v>110064624018</v>
      </c>
      <c r="L469" t="s">
        <v>265</v>
      </c>
      <c r="R469" s="387">
        <f t="shared" si="7"/>
        <v>1.5076419274865667E-2</v>
      </c>
      <c r="S469" s="386">
        <v>6.8385487500000003E-3</v>
      </c>
    </row>
    <row r="470" spans="1:19" x14ac:dyDescent="0.25">
      <c r="A470">
        <v>2021</v>
      </c>
      <c r="C470" t="s">
        <v>6770</v>
      </c>
      <c r="D470" t="s">
        <v>6916</v>
      </c>
      <c r="E470" t="s">
        <v>1292</v>
      </c>
      <c r="F470" t="s">
        <v>366</v>
      </c>
      <c r="G470">
        <v>90056</v>
      </c>
      <c r="H470">
        <v>33.990146000000003</v>
      </c>
      <c r="I470">
        <v>-118.36358</v>
      </c>
      <c r="K470">
        <v>110064624018</v>
      </c>
      <c r="L470" t="s">
        <v>265</v>
      </c>
      <c r="R470" s="387">
        <f t="shared" si="7"/>
        <v>1.4010409831188298E-2</v>
      </c>
      <c r="S470" s="386">
        <v>6.3550150000000003E-3</v>
      </c>
    </row>
    <row r="471" spans="1:19" x14ac:dyDescent="0.25">
      <c r="A471">
        <v>2023</v>
      </c>
      <c r="C471" t="s">
        <v>6770</v>
      </c>
      <c r="D471" t="s">
        <v>6916</v>
      </c>
      <c r="E471" t="s">
        <v>1292</v>
      </c>
      <c r="F471" t="s">
        <v>366</v>
      </c>
      <c r="G471">
        <v>90056</v>
      </c>
      <c r="H471">
        <v>33.990146000000003</v>
      </c>
      <c r="I471">
        <v>-118.36358</v>
      </c>
      <c r="K471">
        <v>110064624018</v>
      </c>
      <c r="L471" t="s">
        <v>265</v>
      </c>
      <c r="R471" s="387">
        <f t="shared" si="7"/>
        <v>6.0914825352992601E-4</v>
      </c>
      <c r="S471" s="386">
        <v>2.7630500000000002E-4</v>
      </c>
    </row>
    <row r="472" spans="1:19" x14ac:dyDescent="0.25">
      <c r="A472">
        <v>2024</v>
      </c>
      <c r="C472" t="s">
        <v>1184</v>
      </c>
      <c r="D472" t="s">
        <v>1909</v>
      </c>
      <c r="E472" t="s">
        <v>500</v>
      </c>
      <c r="F472" t="s">
        <v>303</v>
      </c>
      <c r="G472">
        <v>70767</v>
      </c>
      <c r="H472">
        <v>30.44361</v>
      </c>
      <c r="I472">
        <v>-91.220929999999996</v>
      </c>
      <c r="K472">
        <v>110003363351</v>
      </c>
      <c r="L472" t="s">
        <v>265</v>
      </c>
      <c r="R472" s="387">
        <f t="shared" si="7"/>
        <v>4.818946800185373E-3</v>
      </c>
      <c r="S472" s="386">
        <v>2.1858375000000001E-3</v>
      </c>
    </row>
    <row r="473" spans="1:19" x14ac:dyDescent="0.25">
      <c r="A473">
        <v>2023</v>
      </c>
      <c r="C473" t="s">
        <v>1184</v>
      </c>
      <c r="D473" t="s">
        <v>1909</v>
      </c>
      <c r="E473" t="s">
        <v>500</v>
      </c>
      <c r="F473" t="s">
        <v>303</v>
      </c>
      <c r="G473">
        <v>70767</v>
      </c>
      <c r="H473">
        <v>30.44361</v>
      </c>
      <c r="I473">
        <v>-91.220929999999996</v>
      </c>
      <c r="K473">
        <v>110003363351</v>
      </c>
      <c r="L473" t="s">
        <v>265</v>
      </c>
      <c r="R473" s="387">
        <f t="shared" si="7"/>
        <v>3.7550234806639268E-3</v>
      </c>
      <c r="S473" s="386">
        <v>1.7032499999999999E-3</v>
      </c>
    </row>
    <row r="474" spans="1:19" x14ac:dyDescent="0.25">
      <c r="A474">
        <v>2022</v>
      </c>
      <c r="C474" t="s">
        <v>1184</v>
      </c>
      <c r="D474" t="s">
        <v>1909</v>
      </c>
      <c r="E474" t="s">
        <v>500</v>
      </c>
      <c r="F474" t="s">
        <v>303</v>
      </c>
      <c r="G474">
        <v>70767</v>
      </c>
      <c r="H474">
        <v>30.44361</v>
      </c>
      <c r="I474">
        <v>-91.220929999999996</v>
      </c>
      <c r="K474">
        <v>110003363351</v>
      </c>
      <c r="L474" t="s">
        <v>265</v>
      </c>
      <c r="R474" s="387">
        <f t="shared" si="7"/>
        <v>3.0457412676496301E-3</v>
      </c>
      <c r="S474" s="386">
        <v>1.381525E-3</v>
      </c>
    </row>
    <row r="475" spans="1:19" x14ac:dyDescent="0.25">
      <c r="A475">
        <v>2021</v>
      </c>
      <c r="C475" t="s">
        <v>1185</v>
      </c>
      <c r="D475" t="s">
        <v>1911</v>
      </c>
      <c r="E475" t="s">
        <v>968</v>
      </c>
      <c r="F475" t="s">
        <v>294</v>
      </c>
      <c r="G475">
        <v>22305</v>
      </c>
      <c r="H475">
        <v>38.840600000000002</v>
      </c>
      <c r="I475">
        <v>-77.068200000000004</v>
      </c>
      <c r="K475">
        <v>110070598729</v>
      </c>
      <c r="L475" t="s">
        <v>265</v>
      </c>
      <c r="R475" s="387">
        <f t="shared" si="7"/>
        <v>1.2096432640610777E-4</v>
      </c>
      <c r="S475" s="386">
        <v>5.4868495500000003E-5</v>
      </c>
    </row>
    <row r="476" spans="1:19" x14ac:dyDescent="0.25">
      <c r="A476">
        <v>2024</v>
      </c>
      <c r="C476" t="s">
        <v>6910</v>
      </c>
      <c r="D476" t="s">
        <v>7111</v>
      </c>
      <c r="E476" t="s">
        <v>7112</v>
      </c>
      <c r="F476" t="s">
        <v>1128</v>
      </c>
      <c r="G476">
        <v>80022</v>
      </c>
      <c r="H476">
        <v>39.805556000000003</v>
      </c>
      <c r="I476">
        <v>-104.944444</v>
      </c>
      <c r="J476" t="s">
        <v>7135</v>
      </c>
      <c r="K476">
        <v>110032913024</v>
      </c>
      <c r="L476" t="s">
        <v>265</v>
      </c>
      <c r="R476" s="387">
        <f t="shared" si="7"/>
        <v>3.1410771415753751</v>
      </c>
      <c r="S476" s="386">
        <v>1.424768625</v>
      </c>
    </row>
    <row r="477" spans="1:19" x14ac:dyDescent="0.25">
      <c r="A477">
        <v>2022</v>
      </c>
      <c r="C477" t="s">
        <v>6886</v>
      </c>
      <c r="D477" t="s">
        <v>7062</v>
      </c>
      <c r="E477" t="s">
        <v>7063</v>
      </c>
      <c r="F477" t="s">
        <v>366</v>
      </c>
      <c r="G477" t="s">
        <v>7064</v>
      </c>
      <c r="H477">
        <v>38.030833000000001</v>
      </c>
      <c r="I477">
        <v>-122.075</v>
      </c>
      <c r="J477" t="s">
        <v>7132</v>
      </c>
      <c r="K477">
        <v>110071349304</v>
      </c>
      <c r="L477" t="s">
        <v>265</v>
      </c>
      <c r="R477" s="387">
        <f t="shared" si="7"/>
        <v>2.9893992264464236E-2</v>
      </c>
      <c r="S477" s="386">
        <v>1.35596868E-2</v>
      </c>
    </row>
    <row r="478" spans="1:19" x14ac:dyDescent="0.25">
      <c r="A478">
        <v>2023</v>
      </c>
      <c r="C478" t="s">
        <v>6886</v>
      </c>
      <c r="D478" t="s">
        <v>7062</v>
      </c>
      <c r="E478" t="s">
        <v>7063</v>
      </c>
      <c r="F478" t="s">
        <v>366</v>
      </c>
      <c r="G478" t="s">
        <v>7064</v>
      </c>
      <c r="H478">
        <v>38.030833000000001</v>
      </c>
      <c r="I478">
        <v>-122.075</v>
      </c>
      <c r="J478" t="s">
        <v>7132</v>
      </c>
      <c r="K478">
        <v>110071349304</v>
      </c>
      <c r="L478" t="s">
        <v>265</v>
      </c>
      <c r="R478" s="387">
        <f t="shared" si="7"/>
        <v>2.4742767608723227E-2</v>
      </c>
      <c r="S478" s="386">
        <v>1.1223130600000001E-2</v>
      </c>
    </row>
    <row r="479" spans="1:19" x14ac:dyDescent="0.25">
      <c r="A479">
        <v>2024</v>
      </c>
      <c r="C479" t="s">
        <v>6886</v>
      </c>
      <c r="D479" t="s">
        <v>7062</v>
      </c>
      <c r="E479" t="s">
        <v>7063</v>
      </c>
      <c r="F479" t="s">
        <v>366</v>
      </c>
      <c r="G479" t="s">
        <v>7064</v>
      </c>
      <c r="H479">
        <v>38.030833000000001</v>
      </c>
      <c r="I479">
        <v>-122.075</v>
      </c>
      <c r="J479" t="s">
        <v>7132</v>
      </c>
      <c r="K479">
        <v>110071349304</v>
      </c>
      <c r="L479" t="s">
        <v>265</v>
      </c>
      <c r="R479" s="387">
        <f t="shared" si="7"/>
        <v>2.0847489828808186E-2</v>
      </c>
      <c r="S479" s="386">
        <v>9.4562623200000005E-3</v>
      </c>
    </row>
    <row r="480" spans="1:19" x14ac:dyDescent="0.25">
      <c r="A480">
        <v>2023</v>
      </c>
      <c r="C480" t="s">
        <v>6785</v>
      </c>
      <c r="D480" t="s">
        <v>6932</v>
      </c>
      <c r="E480" t="s">
        <v>6933</v>
      </c>
      <c r="F480" t="s">
        <v>366</v>
      </c>
      <c r="G480" t="s">
        <v>6934</v>
      </c>
      <c r="H480">
        <v>38.074433999999997</v>
      </c>
      <c r="I480">
        <v>-122.144397</v>
      </c>
      <c r="J480" t="s">
        <v>7119</v>
      </c>
      <c r="K480">
        <v>110033145353</v>
      </c>
      <c r="L480" t="s">
        <v>265</v>
      </c>
      <c r="R480" s="387">
        <f t="shared" si="7"/>
        <v>0.69325243500017419</v>
      </c>
      <c r="S480" s="386">
        <v>0.31445401499999998</v>
      </c>
    </row>
    <row r="481" spans="1:19" x14ac:dyDescent="0.25">
      <c r="A481">
        <v>2021</v>
      </c>
      <c r="C481" t="s">
        <v>1188</v>
      </c>
      <c r="D481" t="s">
        <v>1917</v>
      </c>
      <c r="E481" t="s">
        <v>1189</v>
      </c>
      <c r="F481" t="s">
        <v>324</v>
      </c>
      <c r="G481">
        <v>40336</v>
      </c>
      <c r="H481">
        <v>37.700833000000003</v>
      </c>
      <c r="I481">
        <v>-83.984443999999996</v>
      </c>
      <c r="K481">
        <v>110006749162</v>
      </c>
      <c r="L481" t="s">
        <v>263</v>
      </c>
      <c r="R481" s="387">
        <f t="shared" si="7"/>
        <v>1.2837799443143192</v>
      </c>
      <c r="S481" s="386">
        <v>0.58231278750000004</v>
      </c>
    </row>
    <row r="482" spans="1:19" x14ac:dyDescent="0.25">
      <c r="A482">
        <v>2024</v>
      </c>
      <c r="C482" t="s">
        <v>1190</v>
      </c>
      <c r="D482" t="s">
        <v>1920</v>
      </c>
      <c r="E482" t="s">
        <v>1191</v>
      </c>
      <c r="F482" t="s">
        <v>491</v>
      </c>
      <c r="G482">
        <v>17853</v>
      </c>
      <c r="H482">
        <v>40.725278000000003</v>
      </c>
      <c r="I482">
        <v>-77.056944000000001</v>
      </c>
      <c r="K482">
        <v>110017796330</v>
      </c>
      <c r="L482" t="s">
        <v>265</v>
      </c>
      <c r="R482" s="387">
        <f t="shared" si="7"/>
        <v>1.0435627477596238E-2</v>
      </c>
      <c r="S482" s="386">
        <v>4.7335210000000001E-3</v>
      </c>
    </row>
    <row r="483" spans="1:19" x14ac:dyDescent="0.25">
      <c r="A483">
        <v>2023</v>
      </c>
      <c r="C483" t="s">
        <v>1190</v>
      </c>
      <c r="D483" t="s">
        <v>1920</v>
      </c>
      <c r="E483" t="s">
        <v>1191</v>
      </c>
      <c r="F483" t="s">
        <v>491</v>
      </c>
      <c r="G483">
        <v>17853</v>
      </c>
      <c r="H483">
        <v>40.725278000000003</v>
      </c>
      <c r="I483">
        <v>-77.056944000000001</v>
      </c>
      <c r="K483">
        <v>110017796330</v>
      </c>
      <c r="L483" t="s">
        <v>265</v>
      </c>
      <c r="R483" s="387">
        <f t="shared" si="7"/>
        <v>9.7551337779336975E-3</v>
      </c>
      <c r="S483" s="386">
        <v>4.4248542499999996E-3</v>
      </c>
    </row>
    <row r="484" spans="1:19" x14ac:dyDescent="0.25">
      <c r="A484">
        <v>2021</v>
      </c>
      <c r="C484" t="s">
        <v>1190</v>
      </c>
      <c r="D484" t="s">
        <v>1920</v>
      </c>
      <c r="E484" t="s">
        <v>1191</v>
      </c>
      <c r="F484" t="s">
        <v>491</v>
      </c>
      <c r="G484">
        <v>17853</v>
      </c>
      <c r="H484">
        <v>40.725278000000003</v>
      </c>
      <c r="I484">
        <v>-77.056944000000001</v>
      </c>
      <c r="K484">
        <v>110017796330</v>
      </c>
      <c r="L484" t="s">
        <v>265</v>
      </c>
      <c r="R484" s="387">
        <f t="shared" si="7"/>
        <v>8.9453003806038451E-3</v>
      </c>
      <c r="S484" s="386">
        <v>4.0575200000000002E-3</v>
      </c>
    </row>
    <row r="485" spans="1:19" x14ac:dyDescent="0.25">
      <c r="A485">
        <v>2022</v>
      </c>
      <c r="C485" t="s">
        <v>1190</v>
      </c>
      <c r="D485" t="s">
        <v>1920</v>
      </c>
      <c r="E485" t="s">
        <v>1191</v>
      </c>
      <c r="F485" t="s">
        <v>491</v>
      </c>
      <c r="G485">
        <v>17853</v>
      </c>
      <c r="H485">
        <v>40.725278000000003</v>
      </c>
      <c r="I485">
        <v>-77.056944000000001</v>
      </c>
      <c r="K485">
        <v>110017796330</v>
      </c>
      <c r="L485" t="s">
        <v>265</v>
      </c>
      <c r="R485" s="387">
        <f t="shared" si="7"/>
        <v>8.6415607035012516E-3</v>
      </c>
      <c r="S485" s="386">
        <v>3.919746E-3</v>
      </c>
    </row>
    <row r="486" spans="1:19" x14ac:dyDescent="0.25">
      <c r="A486">
        <v>2021</v>
      </c>
      <c r="C486" t="s">
        <v>6795</v>
      </c>
      <c r="D486" t="s">
        <v>1924</v>
      </c>
      <c r="E486" t="s">
        <v>323</v>
      </c>
      <c r="F486" t="s">
        <v>324</v>
      </c>
      <c r="G486">
        <v>42029</v>
      </c>
      <c r="H486">
        <v>37.047736999999998</v>
      </c>
      <c r="I486">
        <v>-88.35866</v>
      </c>
      <c r="J486" t="s">
        <v>721</v>
      </c>
      <c r="K486">
        <v>110000741608</v>
      </c>
      <c r="L486" t="s">
        <v>265</v>
      </c>
      <c r="R486" s="387">
        <f t="shared" si="7"/>
        <v>8.9505363593307354</v>
      </c>
      <c r="S486" s="386">
        <v>4.059895</v>
      </c>
    </row>
    <row r="487" spans="1:19" x14ac:dyDescent="0.25">
      <c r="A487">
        <v>2022</v>
      </c>
      <c r="C487" t="s">
        <v>6795</v>
      </c>
      <c r="D487" t="s">
        <v>1924</v>
      </c>
      <c r="E487" t="s">
        <v>323</v>
      </c>
      <c r="F487" t="s">
        <v>324</v>
      </c>
      <c r="G487">
        <v>42029</v>
      </c>
      <c r="H487">
        <v>37.047736999999998</v>
      </c>
      <c r="I487">
        <v>-88.35866</v>
      </c>
      <c r="J487" t="s">
        <v>721</v>
      </c>
      <c r="K487">
        <v>110000741608</v>
      </c>
      <c r="L487" t="s">
        <v>265</v>
      </c>
      <c r="R487" s="387">
        <f t="shared" si="7"/>
        <v>2.7399601099992048</v>
      </c>
      <c r="S487" s="386">
        <v>1.2428250000000001</v>
      </c>
    </row>
    <row r="488" spans="1:19" x14ac:dyDescent="0.25">
      <c r="A488">
        <v>2024</v>
      </c>
      <c r="C488" t="s">
        <v>6795</v>
      </c>
      <c r="D488" t="s">
        <v>1924</v>
      </c>
      <c r="E488" t="s">
        <v>323</v>
      </c>
      <c r="F488" t="s">
        <v>324</v>
      </c>
      <c r="G488">
        <v>42029</v>
      </c>
      <c r="H488">
        <v>37.047736999999998</v>
      </c>
      <c r="I488">
        <v>-88.35866</v>
      </c>
      <c r="J488" t="s">
        <v>721</v>
      </c>
      <c r="K488">
        <v>110000741608</v>
      </c>
      <c r="L488" t="s">
        <v>265</v>
      </c>
      <c r="R488" s="387">
        <f t="shared" si="7"/>
        <v>2.1919680879993639</v>
      </c>
      <c r="S488" s="386">
        <v>0.99426000000000003</v>
      </c>
    </row>
    <row r="489" spans="1:19" x14ac:dyDescent="0.25">
      <c r="A489">
        <v>2023</v>
      </c>
      <c r="C489" t="s">
        <v>6795</v>
      </c>
      <c r="D489" t="s">
        <v>1924</v>
      </c>
      <c r="E489" t="s">
        <v>323</v>
      </c>
      <c r="F489" t="s">
        <v>324</v>
      </c>
      <c r="G489">
        <v>42029</v>
      </c>
      <c r="H489">
        <v>37.047736999999998</v>
      </c>
      <c r="I489">
        <v>-88.35866</v>
      </c>
      <c r="J489" t="s">
        <v>721</v>
      </c>
      <c r="K489">
        <v>110000741608</v>
      </c>
      <c r="L489" t="s">
        <v>265</v>
      </c>
      <c r="R489" s="387">
        <f t="shared" si="7"/>
        <v>1.095984043999682</v>
      </c>
      <c r="S489" s="386">
        <v>0.49713000000000002</v>
      </c>
    </row>
    <row r="490" spans="1:19" x14ac:dyDescent="0.25">
      <c r="A490">
        <v>2021</v>
      </c>
      <c r="C490" t="s">
        <v>6877</v>
      </c>
      <c r="D490" t="s">
        <v>7051</v>
      </c>
      <c r="E490" t="s">
        <v>7052</v>
      </c>
      <c r="F490" t="s">
        <v>366</v>
      </c>
      <c r="G490">
        <v>95642</v>
      </c>
      <c r="H490">
        <v>38.333300000000001</v>
      </c>
      <c r="I490">
        <v>-120.7833</v>
      </c>
      <c r="K490">
        <v>110011373637</v>
      </c>
      <c r="L490" t="s">
        <v>263</v>
      </c>
      <c r="R490" s="387">
        <f t="shared" si="7"/>
        <v>0.20063774705910506</v>
      </c>
      <c r="S490" s="386">
        <v>9.1007751200000001E-2</v>
      </c>
    </row>
    <row r="491" spans="1:19" x14ac:dyDescent="0.25">
      <c r="A491">
        <v>2024</v>
      </c>
      <c r="C491" t="s">
        <v>1193</v>
      </c>
      <c r="D491" t="s">
        <v>1927</v>
      </c>
      <c r="E491" t="s">
        <v>293</v>
      </c>
      <c r="F491" t="s">
        <v>294</v>
      </c>
      <c r="G491">
        <v>22203</v>
      </c>
      <c r="H491">
        <v>38.861800000000002</v>
      </c>
      <c r="I491">
        <v>-77.086969999999994</v>
      </c>
      <c r="K491">
        <v>110070546877</v>
      </c>
      <c r="L491" t="s">
        <v>265</v>
      </c>
      <c r="R491" s="387">
        <f t="shared" si="7"/>
        <v>2.083599111246073E-2</v>
      </c>
      <c r="S491" s="386">
        <v>9.4510465899999997E-3</v>
      </c>
    </row>
    <row r="492" spans="1:19" x14ac:dyDescent="0.25">
      <c r="A492">
        <v>2023</v>
      </c>
      <c r="C492" t="s">
        <v>1193</v>
      </c>
      <c r="D492" t="s">
        <v>1927</v>
      </c>
      <c r="E492" t="s">
        <v>293</v>
      </c>
      <c r="F492" t="s">
        <v>294</v>
      </c>
      <c r="G492">
        <v>22203</v>
      </c>
      <c r="H492">
        <v>38.861800000000002</v>
      </c>
      <c r="I492">
        <v>-77.086969999999994</v>
      </c>
      <c r="K492">
        <v>110070546877</v>
      </c>
      <c r="L492" t="s">
        <v>265</v>
      </c>
      <c r="R492" s="387">
        <f t="shared" si="7"/>
        <v>1.9832930298298447E-2</v>
      </c>
      <c r="S492" s="386">
        <v>8.9960658580500001E-3</v>
      </c>
    </row>
    <row r="493" spans="1:19" x14ac:dyDescent="0.25">
      <c r="A493">
        <v>2022</v>
      </c>
      <c r="C493" t="s">
        <v>1193</v>
      </c>
      <c r="D493" t="s">
        <v>1927</v>
      </c>
      <c r="E493" t="s">
        <v>293</v>
      </c>
      <c r="F493" t="s">
        <v>294</v>
      </c>
      <c r="G493">
        <v>22203</v>
      </c>
      <c r="H493">
        <v>38.861800000000002</v>
      </c>
      <c r="I493">
        <v>-77.086969999999994</v>
      </c>
      <c r="K493">
        <v>110070546877</v>
      </c>
      <c r="L493" t="s">
        <v>265</v>
      </c>
      <c r="R493" s="387">
        <f t="shared" si="7"/>
        <v>6.4770057893610508E-4</v>
      </c>
      <c r="S493" s="386">
        <v>2.9379204064999999E-4</v>
      </c>
    </row>
    <row r="494" spans="1:19" x14ac:dyDescent="0.25">
      <c r="A494">
        <v>2021</v>
      </c>
      <c r="C494" t="s">
        <v>1193</v>
      </c>
      <c r="D494" t="s">
        <v>1927</v>
      </c>
      <c r="E494" t="s">
        <v>293</v>
      </c>
      <c r="F494" t="s">
        <v>294</v>
      </c>
      <c r="G494">
        <v>22203</v>
      </c>
      <c r="H494">
        <v>38.861800000000002</v>
      </c>
      <c r="I494">
        <v>-77.086969999999994</v>
      </c>
      <c r="K494">
        <v>110070546877</v>
      </c>
      <c r="L494" t="s">
        <v>265</v>
      </c>
      <c r="R494" s="387">
        <f t="shared" si="7"/>
        <v>6.3173330120169335E-4</v>
      </c>
      <c r="S494" s="386">
        <v>2.8654940529999998E-4</v>
      </c>
    </row>
    <row r="495" spans="1:19" x14ac:dyDescent="0.25">
      <c r="A495">
        <v>2022</v>
      </c>
      <c r="C495" t="s">
        <v>6803</v>
      </c>
      <c r="D495" t="s">
        <v>6957</v>
      </c>
      <c r="E495" t="s">
        <v>6958</v>
      </c>
      <c r="F495" t="s">
        <v>362</v>
      </c>
      <c r="G495">
        <v>77539</v>
      </c>
      <c r="H495">
        <v>29.460277999999999</v>
      </c>
      <c r="I495">
        <v>-95.043890000000005</v>
      </c>
      <c r="K495">
        <v>110042005503</v>
      </c>
      <c r="L495" t="s">
        <v>265</v>
      </c>
      <c r="R495" s="387">
        <f t="shared" si="7"/>
        <v>0.36532801466656062</v>
      </c>
      <c r="S495" s="386">
        <v>0.16571</v>
      </c>
    </row>
    <row r="496" spans="1:19" x14ac:dyDescent="0.25">
      <c r="A496">
        <v>2021</v>
      </c>
      <c r="C496" t="s">
        <v>1194</v>
      </c>
      <c r="D496" t="s">
        <v>1929</v>
      </c>
      <c r="E496" t="s">
        <v>1195</v>
      </c>
      <c r="F496" t="s">
        <v>324</v>
      </c>
      <c r="G496">
        <v>40004</v>
      </c>
      <c r="H496">
        <v>37.780760000000001</v>
      </c>
      <c r="I496">
        <v>-85.510740999999996</v>
      </c>
      <c r="K496">
        <v>110009933402</v>
      </c>
      <c r="L496" t="s">
        <v>263</v>
      </c>
      <c r="R496" s="387">
        <f t="shared" si="7"/>
        <v>3.5757002482206657</v>
      </c>
      <c r="S496" s="386">
        <v>1.6219103500000001</v>
      </c>
    </row>
    <row r="497" spans="1:19" x14ac:dyDescent="0.25">
      <c r="A497">
        <v>2021</v>
      </c>
      <c r="C497" t="s">
        <v>6842</v>
      </c>
      <c r="D497" t="s">
        <v>6998</v>
      </c>
      <c r="E497" t="s">
        <v>1286</v>
      </c>
      <c r="F497" t="s">
        <v>1171</v>
      </c>
      <c r="G497">
        <v>96816</v>
      </c>
      <c r="H497">
        <v>21.27167</v>
      </c>
      <c r="I497">
        <v>-157.77395999999999</v>
      </c>
      <c r="K497">
        <v>110006777210</v>
      </c>
      <c r="L497" t="s">
        <v>265</v>
      </c>
      <c r="R497" s="387">
        <f t="shared" si="7"/>
        <v>7.4340696520093577</v>
      </c>
      <c r="S497" s="386">
        <v>3.3720372722</v>
      </c>
    </row>
    <row r="498" spans="1:19" x14ac:dyDescent="0.25">
      <c r="A498">
        <v>2021</v>
      </c>
      <c r="C498" t="s">
        <v>166</v>
      </c>
      <c r="D498" t="s">
        <v>537</v>
      </c>
      <c r="E498" t="s">
        <v>538</v>
      </c>
      <c r="F498" t="s">
        <v>362</v>
      </c>
      <c r="G498">
        <v>77578</v>
      </c>
      <c r="H498">
        <v>29.458400000000001</v>
      </c>
      <c r="I498">
        <v>-95.330399999999997</v>
      </c>
      <c r="J498" t="s">
        <v>539</v>
      </c>
      <c r="K498">
        <v>110000599479</v>
      </c>
      <c r="L498" t="s">
        <v>251</v>
      </c>
      <c r="R498" s="387">
        <f t="shared" si="7"/>
        <v>3.287952131999046E-2</v>
      </c>
      <c r="S498" s="386">
        <v>1.4913900000000001E-2</v>
      </c>
    </row>
    <row r="499" spans="1:19" x14ac:dyDescent="0.25">
      <c r="A499">
        <v>2021</v>
      </c>
      <c r="C499" t="s">
        <v>166</v>
      </c>
      <c r="D499" t="s">
        <v>537</v>
      </c>
      <c r="E499" t="s">
        <v>538</v>
      </c>
      <c r="F499" t="s">
        <v>362</v>
      </c>
      <c r="G499">
        <v>77578</v>
      </c>
      <c r="H499">
        <v>29.458400000000001</v>
      </c>
      <c r="I499">
        <v>-95.330399999999997</v>
      </c>
      <c r="J499" t="s">
        <v>539</v>
      </c>
      <c r="K499">
        <v>110000599479</v>
      </c>
      <c r="L499" t="s">
        <v>251</v>
      </c>
      <c r="R499" s="387">
        <f t="shared" si="7"/>
        <v>3.287952131999046E-2</v>
      </c>
      <c r="S499" s="386">
        <v>1.4913900000000001E-2</v>
      </c>
    </row>
    <row r="500" spans="1:19" x14ac:dyDescent="0.25">
      <c r="A500">
        <v>2022</v>
      </c>
      <c r="C500" t="s">
        <v>166</v>
      </c>
      <c r="D500" t="s">
        <v>537</v>
      </c>
      <c r="E500" t="s">
        <v>538</v>
      </c>
      <c r="F500" t="s">
        <v>362</v>
      </c>
      <c r="G500">
        <v>77578</v>
      </c>
      <c r="H500">
        <v>29.458400000000001</v>
      </c>
      <c r="I500">
        <v>-95.330399999999997</v>
      </c>
      <c r="J500" t="s">
        <v>539</v>
      </c>
      <c r="K500">
        <v>110000599479</v>
      </c>
      <c r="L500" t="s">
        <v>251</v>
      </c>
      <c r="R500" s="387">
        <f t="shared" si="7"/>
        <v>3.287952131999046E-2</v>
      </c>
      <c r="S500" s="386">
        <v>1.4913900000000001E-2</v>
      </c>
    </row>
    <row r="501" spans="1:19" x14ac:dyDescent="0.25">
      <c r="A501">
        <v>2022</v>
      </c>
      <c r="C501" t="s">
        <v>166</v>
      </c>
      <c r="D501" t="s">
        <v>537</v>
      </c>
      <c r="E501" t="s">
        <v>538</v>
      </c>
      <c r="F501" t="s">
        <v>362</v>
      </c>
      <c r="G501">
        <v>77578</v>
      </c>
      <c r="H501">
        <v>29.458400000000001</v>
      </c>
      <c r="I501">
        <v>-95.330399999999997</v>
      </c>
      <c r="J501" t="s">
        <v>539</v>
      </c>
      <c r="K501">
        <v>110000599479</v>
      </c>
      <c r="L501" t="s">
        <v>251</v>
      </c>
      <c r="R501" s="387">
        <f t="shared" si="7"/>
        <v>3.287952131999046E-2</v>
      </c>
      <c r="S501" s="386">
        <v>1.4913900000000001E-2</v>
      </c>
    </row>
    <row r="502" spans="1:19" x14ac:dyDescent="0.25">
      <c r="A502">
        <v>2023</v>
      </c>
      <c r="C502" t="s">
        <v>166</v>
      </c>
      <c r="D502" t="s">
        <v>537</v>
      </c>
      <c r="E502" t="s">
        <v>538</v>
      </c>
      <c r="F502" t="s">
        <v>362</v>
      </c>
      <c r="G502">
        <v>77578</v>
      </c>
      <c r="H502">
        <v>29.458400000000001</v>
      </c>
      <c r="I502">
        <v>-95.330399999999997</v>
      </c>
      <c r="J502" t="s">
        <v>539</v>
      </c>
      <c r="K502">
        <v>110000599479</v>
      </c>
      <c r="L502" t="s">
        <v>251</v>
      </c>
      <c r="R502" s="387">
        <f t="shared" si="7"/>
        <v>3.287952131999046E-2</v>
      </c>
      <c r="S502" s="386">
        <v>1.4913900000000001E-2</v>
      </c>
    </row>
    <row r="503" spans="1:19" x14ac:dyDescent="0.25">
      <c r="A503">
        <v>2023</v>
      </c>
      <c r="C503" t="s">
        <v>166</v>
      </c>
      <c r="D503" t="s">
        <v>537</v>
      </c>
      <c r="E503" t="s">
        <v>538</v>
      </c>
      <c r="F503" t="s">
        <v>362</v>
      </c>
      <c r="G503">
        <v>77578</v>
      </c>
      <c r="H503">
        <v>29.458400000000001</v>
      </c>
      <c r="I503">
        <v>-95.330399999999997</v>
      </c>
      <c r="J503" t="s">
        <v>539</v>
      </c>
      <c r="K503">
        <v>110000599479</v>
      </c>
      <c r="L503" t="s">
        <v>251</v>
      </c>
      <c r="R503" s="387">
        <f t="shared" si="7"/>
        <v>3.287952131999046E-2</v>
      </c>
      <c r="S503" s="386">
        <v>1.4913900000000001E-2</v>
      </c>
    </row>
    <row r="504" spans="1:19" x14ac:dyDescent="0.25">
      <c r="A504">
        <v>2024</v>
      </c>
      <c r="C504" t="s">
        <v>166</v>
      </c>
      <c r="D504" t="s">
        <v>537</v>
      </c>
      <c r="E504" t="s">
        <v>538</v>
      </c>
      <c r="F504" t="s">
        <v>362</v>
      </c>
      <c r="G504">
        <v>77578</v>
      </c>
      <c r="H504">
        <v>29.458400000000001</v>
      </c>
      <c r="I504">
        <v>-95.330399999999997</v>
      </c>
      <c r="J504" t="s">
        <v>539</v>
      </c>
      <c r="K504">
        <v>110000599479</v>
      </c>
      <c r="L504" t="s">
        <v>251</v>
      </c>
      <c r="R504" s="387">
        <f t="shared" si="7"/>
        <v>3.287952131999046E-2</v>
      </c>
      <c r="S504" s="386">
        <v>1.4913900000000001E-2</v>
      </c>
    </row>
    <row r="505" spans="1:19" x14ac:dyDescent="0.25">
      <c r="A505">
        <v>2024</v>
      </c>
      <c r="C505" t="s">
        <v>166</v>
      </c>
      <c r="D505" t="s">
        <v>537</v>
      </c>
      <c r="E505" t="s">
        <v>538</v>
      </c>
      <c r="F505" t="s">
        <v>362</v>
      </c>
      <c r="G505">
        <v>77578</v>
      </c>
      <c r="H505">
        <v>29.458400000000001</v>
      </c>
      <c r="I505">
        <v>-95.330399999999997</v>
      </c>
      <c r="J505" t="s">
        <v>539</v>
      </c>
      <c r="K505">
        <v>110000599479</v>
      </c>
      <c r="L505" t="s">
        <v>251</v>
      </c>
      <c r="R505" s="387">
        <f t="shared" si="7"/>
        <v>3.287952131999046E-2</v>
      </c>
      <c r="S505" s="386">
        <v>1.4913900000000001E-2</v>
      </c>
    </row>
    <row r="506" spans="1:19" x14ac:dyDescent="0.25">
      <c r="A506">
        <v>2022</v>
      </c>
      <c r="C506" t="s">
        <v>6787</v>
      </c>
      <c r="D506" t="s">
        <v>6938</v>
      </c>
      <c r="E506" t="s">
        <v>1403</v>
      </c>
      <c r="F506" t="s">
        <v>294</v>
      </c>
      <c r="G506">
        <v>23462</v>
      </c>
      <c r="H506">
        <v>36.825991999999999</v>
      </c>
      <c r="I506">
        <v>-76.161393000000004</v>
      </c>
      <c r="K506">
        <v>110071357531</v>
      </c>
      <c r="L506" t="s">
        <v>265</v>
      </c>
      <c r="R506" s="387">
        <f t="shared" si="7"/>
        <v>3.0040187845311421E-3</v>
      </c>
      <c r="S506" s="386">
        <v>1.3626000000000001E-3</v>
      </c>
    </row>
    <row r="507" spans="1:19" x14ac:dyDescent="0.25">
      <c r="A507">
        <v>2023</v>
      </c>
      <c r="C507" t="s">
        <v>6803</v>
      </c>
      <c r="D507" t="s">
        <v>6957</v>
      </c>
      <c r="E507" t="s">
        <v>6958</v>
      </c>
      <c r="F507" t="s">
        <v>362</v>
      </c>
      <c r="G507">
        <v>77539</v>
      </c>
      <c r="H507">
        <v>29.460277999999999</v>
      </c>
      <c r="I507">
        <v>-95.043890000000005</v>
      </c>
      <c r="K507">
        <v>110042005503</v>
      </c>
      <c r="L507" t="s">
        <v>265</v>
      </c>
      <c r="R507" s="387">
        <f t="shared" si="7"/>
        <v>0.36532801466656062</v>
      </c>
      <c r="S507" s="386">
        <v>0.16571</v>
      </c>
    </row>
    <row r="508" spans="1:19" x14ac:dyDescent="0.25">
      <c r="A508">
        <v>2021</v>
      </c>
      <c r="C508" t="s">
        <v>6861</v>
      </c>
      <c r="D508" t="s">
        <v>7023</v>
      </c>
      <c r="E508" t="s">
        <v>7024</v>
      </c>
      <c r="F508" t="s">
        <v>491</v>
      </c>
      <c r="G508" t="s">
        <v>7025</v>
      </c>
      <c r="H508">
        <v>40.080860000000001</v>
      </c>
      <c r="I508">
        <v>-76.18674</v>
      </c>
      <c r="K508">
        <v>110001063483</v>
      </c>
      <c r="L508" t="s">
        <v>7357</v>
      </c>
      <c r="R508" s="387">
        <f t="shared" si="7"/>
        <v>928.94838879234237</v>
      </c>
      <c r="S508" s="386">
        <v>421.36390127999999</v>
      </c>
    </row>
    <row r="509" spans="1:19" x14ac:dyDescent="0.25">
      <c r="A509">
        <v>2023</v>
      </c>
      <c r="C509" t="s">
        <v>6875</v>
      </c>
      <c r="D509" t="s">
        <v>7045</v>
      </c>
      <c r="E509" t="s">
        <v>318</v>
      </c>
      <c r="F509" t="s">
        <v>319</v>
      </c>
      <c r="G509">
        <v>44622</v>
      </c>
      <c r="H509">
        <v>40.506320000000002</v>
      </c>
      <c r="I509">
        <v>-81.474299999999999</v>
      </c>
      <c r="J509" t="s">
        <v>321</v>
      </c>
      <c r="K509">
        <v>110000496981</v>
      </c>
      <c r="L509" t="s">
        <v>251</v>
      </c>
      <c r="R509" s="387">
        <f t="shared" si="7"/>
        <v>2.5754401468437393</v>
      </c>
      <c r="S509" s="386">
        <v>1.1681999999999999</v>
      </c>
    </row>
    <row r="510" spans="1:19" x14ac:dyDescent="0.25">
      <c r="A510">
        <v>2024</v>
      </c>
      <c r="C510" t="s">
        <v>1206</v>
      </c>
      <c r="D510" t="s">
        <v>1947</v>
      </c>
      <c r="E510" t="s">
        <v>1207</v>
      </c>
      <c r="F510" t="s">
        <v>324</v>
      </c>
      <c r="G510">
        <v>40031</v>
      </c>
      <c r="H510">
        <v>38.391995999999999</v>
      </c>
      <c r="I510">
        <v>-85.416021999999998</v>
      </c>
      <c r="K510">
        <v>110002108059</v>
      </c>
      <c r="L510" t="s">
        <v>263</v>
      </c>
      <c r="R510" s="387">
        <f t="shared" si="7"/>
        <v>5.4290338095854649</v>
      </c>
      <c r="S510" s="386">
        <v>2.4625683125000002</v>
      </c>
    </row>
    <row r="511" spans="1:19" x14ac:dyDescent="0.25">
      <c r="A511">
        <v>2023</v>
      </c>
      <c r="C511" t="s">
        <v>1206</v>
      </c>
      <c r="D511" t="s">
        <v>1947</v>
      </c>
      <c r="E511" t="s">
        <v>1207</v>
      </c>
      <c r="F511" t="s">
        <v>324</v>
      </c>
      <c r="G511">
        <v>40031</v>
      </c>
      <c r="H511">
        <v>38.391995999999999</v>
      </c>
      <c r="I511">
        <v>-85.416021999999998</v>
      </c>
      <c r="K511">
        <v>110002108059</v>
      </c>
      <c r="L511" t="s">
        <v>263</v>
      </c>
      <c r="R511" s="387">
        <f t="shared" si="7"/>
        <v>3.9137775289297743</v>
      </c>
      <c r="S511" s="386">
        <v>1.7752596249999999</v>
      </c>
    </row>
    <row r="512" spans="1:19" x14ac:dyDescent="0.25">
      <c r="A512">
        <v>2021</v>
      </c>
      <c r="C512" t="s">
        <v>1955</v>
      </c>
      <c r="D512" t="s">
        <v>604</v>
      </c>
      <c r="E512" t="s">
        <v>446</v>
      </c>
      <c r="F512" t="s">
        <v>303</v>
      </c>
      <c r="G512">
        <v>70669</v>
      </c>
      <c r="H512">
        <v>30.240278</v>
      </c>
      <c r="I512">
        <v>-93.277221999999995</v>
      </c>
      <c r="J512" t="s">
        <v>605</v>
      </c>
      <c r="K512">
        <v>110000539757</v>
      </c>
      <c r="L512" t="s">
        <v>252</v>
      </c>
      <c r="R512" s="387">
        <f t="shared" si="7"/>
        <v>15.320495801108823</v>
      </c>
      <c r="S512" s="386">
        <v>6.9492599999999998</v>
      </c>
    </row>
    <row r="513" spans="1:19" x14ac:dyDescent="0.25">
      <c r="A513">
        <v>2022</v>
      </c>
      <c r="C513" t="s">
        <v>1955</v>
      </c>
      <c r="D513" t="s">
        <v>604</v>
      </c>
      <c r="E513" t="s">
        <v>446</v>
      </c>
      <c r="F513" t="s">
        <v>303</v>
      </c>
      <c r="G513">
        <v>70669</v>
      </c>
      <c r="H513">
        <v>30.240278</v>
      </c>
      <c r="I513">
        <v>-93.277221999999995</v>
      </c>
      <c r="J513" t="s">
        <v>605</v>
      </c>
      <c r="K513">
        <v>110000539757</v>
      </c>
      <c r="L513" t="s">
        <v>252</v>
      </c>
      <c r="R513" s="387">
        <f t="shared" si="7"/>
        <v>3.4546216022108136</v>
      </c>
      <c r="S513" s="386">
        <v>1.5669900000000001</v>
      </c>
    </row>
    <row r="514" spans="1:19" x14ac:dyDescent="0.25">
      <c r="A514">
        <v>2021</v>
      </c>
      <c r="C514" t="s">
        <v>6856</v>
      </c>
      <c r="D514" t="s">
        <v>7016</v>
      </c>
      <c r="E514" t="s">
        <v>7017</v>
      </c>
      <c r="F514" t="s">
        <v>324</v>
      </c>
      <c r="G514">
        <v>40444</v>
      </c>
      <c r="H514">
        <v>37.616959999999999</v>
      </c>
      <c r="I514">
        <v>-84.585099999999997</v>
      </c>
      <c r="K514">
        <v>110039705049</v>
      </c>
      <c r="L514" t="s">
        <v>263</v>
      </c>
      <c r="R514" s="387">
        <f t="shared" si="7"/>
        <v>7.2092695805266738</v>
      </c>
      <c r="S514" s="386">
        <v>3.2700696749999998</v>
      </c>
    </row>
    <row r="515" spans="1:19" x14ac:dyDescent="0.25">
      <c r="A515">
        <v>2024</v>
      </c>
      <c r="C515" t="s">
        <v>6890</v>
      </c>
      <c r="D515" t="s">
        <v>7072</v>
      </c>
      <c r="E515" t="s">
        <v>968</v>
      </c>
      <c r="F515" t="s">
        <v>294</v>
      </c>
      <c r="G515">
        <v>22304</v>
      </c>
      <c r="H515">
        <v>38.816679000000001</v>
      </c>
      <c r="I515">
        <v>-77.132997000000003</v>
      </c>
      <c r="K515">
        <v>110071816702</v>
      </c>
      <c r="L515" t="s">
        <v>265</v>
      </c>
      <c r="R515" s="387">
        <f t="shared" ref="R515:R578" si="8">CONVERT(S515,"g","lbm")*1000</f>
        <v>2.6715740390430287E-2</v>
      </c>
      <c r="S515" s="386">
        <v>1.2118056E-2</v>
      </c>
    </row>
    <row r="516" spans="1:19" x14ac:dyDescent="0.25">
      <c r="A516">
        <v>2024</v>
      </c>
      <c r="C516" t="s">
        <v>6890</v>
      </c>
      <c r="D516" t="s">
        <v>7072</v>
      </c>
      <c r="E516" t="s">
        <v>968</v>
      </c>
      <c r="F516" t="s">
        <v>294</v>
      </c>
      <c r="G516">
        <v>22304</v>
      </c>
      <c r="H516">
        <v>38.816679000000001</v>
      </c>
      <c r="I516">
        <v>-77.132997000000003</v>
      </c>
      <c r="K516">
        <v>110071816702</v>
      </c>
      <c r="L516" t="s">
        <v>265</v>
      </c>
      <c r="R516" s="387">
        <f t="shared" si="8"/>
        <v>2.6715740390430287E-2</v>
      </c>
      <c r="S516" s="386">
        <v>1.2118056E-2</v>
      </c>
    </row>
    <row r="517" spans="1:19" x14ac:dyDescent="0.25">
      <c r="A517">
        <v>2022</v>
      </c>
      <c r="C517" t="s">
        <v>6861</v>
      </c>
      <c r="D517" t="s">
        <v>7023</v>
      </c>
      <c r="E517" t="s">
        <v>7024</v>
      </c>
      <c r="F517" t="s">
        <v>491</v>
      </c>
      <c r="G517" t="s">
        <v>7025</v>
      </c>
      <c r="H517">
        <v>40.080860000000001</v>
      </c>
      <c r="I517">
        <v>-76.18674</v>
      </c>
      <c r="K517">
        <v>110001063483</v>
      </c>
      <c r="L517" t="s">
        <v>7357</v>
      </c>
      <c r="R517" s="387">
        <f t="shared" si="8"/>
        <v>517.67780397187903</v>
      </c>
      <c r="S517" s="386">
        <v>234.81470200000001</v>
      </c>
    </row>
    <row r="518" spans="1:19" x14ac:dyDescent="0.25">
      <c r="A518">
        <v>2024</v>
      </c>
      <c r="C518" t="s">
        <v>6861</v>
      </c>
      <c r="D518" t="s">
        <v>7023</v>
      </c>
      <c r="E518" t="s">
        <v>7024</v>
      </c>
      <c r="F518" t="s">
        <v>491</v>
      </c>
      <c r="G518" t="s">
        <v>7025</v>
      </c>
      <c r="H518">
        <v>40.080860000000001</v>
      </c>
      <c r="I518">
        <v>-76.18674</v>
      </c>
      <c r="K518">
        <v>110001063483</v>
      </c>
      <c r="L518" t="s">
        <v>7357</v>
      </c>
      <c r="R518" s="387">
        <f t="shared" si="8"/>
        <v>1.0329274277695633</v>
      </c>
      <c r="S518" s="386">
        <v>0.468528</v>
      </c>
    </row>
    <row r="519" spans="1:19" x14ac:dyDescent="0.25">
      <c r="A519">
        <v>2023</v>
      </c>
      <c r="C519" t="s">
        <v>6861</v>
      </c>
      <c r="D519" t="s">
        <v>7023</v>
      </c>
      <c r="E519" t="s">
        <v>7024</v>
      </c>
      <c r="F519" t="s">
        <v>491</v>
      </c>
      <c r="G519" t="s">
        <v>7025</v>
      </c>
      <c r="H519">
        <v>40.080860000000001</v>
      </c>
      <c r="I519">
        <v>-76.18674</v>
      </c>
      <c r="K519">
        <v>110001063483</v>
      </c>
      <c r="L519" t="s">
        <v>7357</v>
      </c>
      <c r="R519" s="387">
        <f t="shared" si="8"/>
        <v>0.81873511232122353</v>
      </c>
      <c r="S519" s="386">
        <v>0.37137199999999998</v>
      </c>
    </row>
    <row r="520" spans="1:19" x14ac:dyDescent="0.25">
      <c r="A520">
        <v>2021</v>
      </c>
      <c r="C520" t="s">
        <v>1211</v>
      </c>
      <c r="D520" t="s">
        <v>1958</v>
      </c>
      <c r="E520" t="s">
        <v>657</v>
      </c>
      <c r="F520" t="s">
        <v>418</v>
      </c>
      <c r="G520">
        <v>89109</v>
      </c>
      <c r="H520">
        <v>36.131489999999999</v>
      </c>
      <c r="I520">
        <v>-115.15483</v>
      </c>
      <c r="K520">
        <v>110059844156</v>
      </c>
      <c r="L520" t="s">
        <v>264</v>
      </c>
      <c r="R520" s="387">
        <f t="shared" si="8"/>
        <v>9.7817787987152419E-2</v>
      </c>
      <c r="S520" s="386">
        <v>4.4369402281249998E-2</v>
      </c>
    </row>
    <row r="521" spans="1:19" x14ac:dyDescent="0.25">
      <c r="A521">
        <v>2023</v>
      </c>
      <c r="C521" t="s">
        <v>1211</v>
      </c>
      <c r="D521" t="s">
        <v>1958</v>
      </c>
      <c r="E521" t="s">
        <v>657</v>
      </c>
      <c r="F521" t="s">
        <v>418</v>
      </c>
      <c r="G521">
        <v>89109</v>
      </c>
      <c r="H521">
        <v>36.131489999999999</v>
      </c>
      <c r="I521">
        <v>-115.15483</v>
      </c>
      <c r="K521">
        <v>110059844156</v>
      </c>
      <c r="L521" t="s">
        <v>264</v>
      </c>
      <c r="R521" s="387">
        <f t="shared" si="8"/>
        <v>9.0222470700951157E-2</v>
      </c>
      <c r="S521" s="386">
        <v>4.09242243125E-2</v>
      </c>
    </row>
    <row r="522" spans="1:19" x14ac:dyDescent="0.25">
      <c r="A522">
        <v>2023</v>
      </c>
      <c r="C522" t="s">
        <v>1211</v>
      </c>
      <c r="D522" t="s">
        <v>1958</v>
      </c>
      <c r="E522" t="s">
        <v>657</v>
      </c>
      <c r="F522" t="s">
        <v>418</v>
      </c>
      <c r="G522">
        <v>89109</v>
      </c>
      <c r="H522">
        <v>36.131489999999999</v>
      </c>
      <c r="I522">
        <v>-115.15483</v>
      </c>
      <c r="K522">
        <v>110059844156</v>
      </c>
      <c r="L522" t="s">
        <v>264</v>
      </c>
      <c r="R522" s="387">
        <f t="shared" si="8"/>
        <v>8.3030714132713457E-2</v>
      </c>
      <c r="S522" s="386">
        <v>3.7662098406249997E-2</v>
      </c>
    </row>
    <row r="523" spans="1:19" x14ac:dyDescent="0.25">
      <c r="A523">
        <v>2024</v>
      </c>
      <c r="C523" t="s">
        <v>1211</v>
      </c>
      <c r="D523" t="s">
        <v>1958</v>
      </c>
      <c r="E523" t="s">
        <v>657</v>
      </c>
      <c r="F523" t="s">
        <v>418</v>
      </c>
      <c r="G523">
        <v>89109</v>
      </c>
      <c r="H523">
        <v>36.131489999999999</v>
      </c>
      <c r="I523">
        <v>-115.15483</v>
      </c>
      <c r="K523">
        <v>110059844156</v>
      </c>
      <c r="L523" t="s">
        <v>264</v>
      </c>
      <c r="R523" s="387">
        <f t="shared" si="8"/>
        <v>1.4476408245138692E-2</v>
      </c>
      <c r="S523" s="386">
        <v>6.5663883250000003E-3</v>
      </c>
    </row>
    <row r="524" spans="1:19" x14ac:dyDescent="0.25">
      <c r="A524">
        <v>2024</v>
      </c>
      <c r="C524" t="s">
        <v>1211</v>
      </c>
      <c r="D524" t="s">
        <v>1958</v>
      </c>
      <c r="E524" t="s">
        <v>657</v>
      </c>
      <c r="F524" t="s">
        <v>418</v>
      </c>
      <c r="G524">
        <v>89109</v>
      </c>
      <c r="H524">
        <v>36.131489999999999</v>
      </c>
      <c r="I524">
        <v>-115.15483</v>
      </c>
      <c r="K524">
        <v>110059844156</v>
      </c>
      <c r="L524" t="s">
        <v>264</v>
      </c>
      <c r="R524" s="387">
        <f t="shared" si="8"/>
        <v>1.3784263542065312E-2</v>
      </c>
      <c r="S524" s="386">
        <v>6.2524367687500004E-3</v>
      </c>
    </row>
    <row r="525" spans="1:19" x14ac:dyDescent="0.25">
      <c r="A525">
        <v>2021</v>
      </c>
      <c r="C525" t="s">
        <v>1211</v>
      </c>
      <c r="D525" t="s">
        <v>1958</v>
      </c>
      <c r="E525" t="s">
        <v>657</v>
      </c>
      <c r="F525" t="s">
        <v>418</v>
      </c>
      <c r="G525">
        <v>89109</v>
      </c>
      <c r="H525">
        <v>36.131489999999999</v>
      </c>
      <c r="I525">
        <v>-115.15483</v>
      </c>
      <c r="K525">
        <v>110059844156</v>
      </c>
      <c r="L525" t="s">
        <v>264</v>
      </c>
      <c r="R525" s="387">
        <f t="shared" si="8"/>
        <v>4.1977929021381025E-5</v>
      </c>
      <c r="S525" s="386">
        <v>1.9040868312500001E-5</v>
      </c>
    </row>
    <row r="526" spans="1:19" x14ac:dyDescent="0.25">
      <c r="A526">
        <v>2021</v>
      </c>
      <c r="C526" t="s">
        <v>6816</v>
      </c>
      <c r="D526" t="s">
        <v>6971</v>
      </c>
      <c r="E526" t="s">
        <v>6972</v>
      </c>
      <c r="F526" t="s">
        <v>979</v>
      </c>
      <c r="G526">
        <v>38012</v>
      </c>
      <c r="H526">
        <v>35.607599999999998</v>
      </c>
      <c r="I526">
        <v>-89.237700000000004</v>
      </c>
      <c r="J526" t="s">
        <v>7125</v>
      </c>
      <c r="K526">
        <v>110000373621</v>
      </c>
      <c r="L526" t="s">
        <v>265</v>
      </c>
      <c r="R526" s="387">
        <f t="shared" si="8"/>
        <v>2.7533501059552652</v>
      </c>
      <c r="S526" s="386">
        <v>1.2488986</v>
      </c>
    </row>
    <row r="527" spans="1:19" x14ac:dyDescent="0.25">
      <c r="A527">
        <v>2021</v>
      </c>
      <c r="C527" t="s">
        <v>6816</v>
      </c>
      <c r="D527" t="s">
        <v>6971</v>
      </c>
      <c r="E527" t="s">
        <v>6972</v>
      </c>
      <c r="F527" t="s">
        <v>979</v>
      </c>
      <c r="G527">
        <v>38012</v>
      </c>
      <c r="H527">
        <v>35.607599999999998</v>
      </c>
      <c r="I527">
        <v>-89.237700000000004</v>
      </c>
      <c r="J527" t="s">
        <v>7125</v>
      </c>
      <c r="K527">
        <v>110000373621</v>
      </c>
      <c r="L527" t="s">
        <v>265</v>
      </c>
      <c r="R527" s="387">
        <f t="shared" si="8"/>
        <v>2.4975078394726964</v>
      </c>
      <c r="S527" s="386">
        <v>1.1328505</v>
      </c>
    </row>
    <row r="528" spans="1:19" x14ac:dyDescent="0.25">
      <c r="A528">
        <v>2022</v>
      </c>
      <c r="C528" t="s">
        <v>6816</v>
      </c>
      <c r="D528" t="s">
        <v>6971</v>
      </c>
      <c r="E528" t="s">
        <v>6972</v>
      </c>
      <c r="F528" t="s">
        <v>979</v>
      </c>
      <c r="G528">
        <v>38012</v>
      </c>
      <c r="H528">
        <v>35.607599999999998</v>
      </c>
      <c r="I528">
        <v>-89.237700000000004</v>
      </c>
      <c r="J528" t="s">
        <v>7125</v>
      </c>
      <c r="K528">
        <v>110000373621</v>
      </c>
      <c r="L528" t="s">
        <v>265</v>
      </c>
      <c r="R528" s="387">
        <f t="shared" si="8"/>
        <v>0.95027127550668455</v>
      </c>
      <c r="S528" s="386">
        <v>0.43103580000000002</v>
      </c>
    </row>
    <row r="529" spans="1:19" x14ac:dyDescent="0.25">
      <c r="A529">
        <v>2021</v>
      </c>
      <c r="C529" t="s">
        <v>167</v>
      </c>
      <c r="D529" t="s">
        <v>543</v>
      </c>
      <c r="E529" t="s">
        <v>544</v>
      </c>
      <c r="F529" t="s">
        <v>338</v>
      </c>
      <c r="G529">
        <v>7036</v>
      </c>
      <c r="H529">
        <v>40.610097000000003</v>
      </c>
      <c r="I529">
        <v>-74.204927999999995</v>
      </c>
      <c r="K529">
        <v>110002468669</v>
      </c>
      <c r="L529" t="s">
        <v>259</v>
      </c>
      <c r="R529" s="387">
        <f t="shared" si="8"/>
        <v>4.4935114318611663E-2</v>
      </c>
      <c r="S529" s="386">
        <v>2.0382225E-2</v>
      </c>
    </row>
    <row r="530" spans="1:19" x14ac:dyDescent="0.25">
      <c r="A530">
        <v>2023</v>
      </c>
      <c r="C530" t="s">
        <v>6905</v>
      </c>
      <c r="D530" t="s">
        <v>7103</v>
      </c>
      <c r="E530" t="s">
        <v>968</v>
      </c>
      <c r="F530" t="s">
        <v>294</v>
      </c>
      <c r="G530">
        <v>22302</v>
      </c>
      <c r="H530">
        <v>38.829189999999997</v>
      </c>
      <c r="I530">
        <v>-77.084609999999998</v>
      </c>
      <c r="K530">
        <v>110005219913</v>
      </c>
      <c r="L530" t="s">
        <v>265</v>
      </c>
      <c r="R530" s="387">
        <f t="shared" si="8"/>
        <v>7.1333378560011484E-3</v>
      </c>
      <c r="S530" s="386">
        <v>3.2356276241142798E-3</v>
      </c>
    </row>
    <row r="531" spans="1:19" x14ac:dyDescent="0.25">
      <c r="A531">
        <v>2023</v>
      </c>
      <c r="C531" t="s">
        <v>1212</v>
      </c>
      <c r="D531" t="s">
        <v>1963</v>
      </c>
      <c r="E531" t="s">
        <v>1213</v>
      </c>
      <c r="F531" t="s">
        <v>1128</v>
      </c>
      <c r="G531">
        <v>80125</v>
      </c>
      <c r="H531">
        <v>39.496341999999999</v>
      </c>
      <c r="I531">
        <v>-105.10758800000001</v>
      </c>
      <c r="J531" t="s">
        <v>724</v>
      </c>
      <c r="K531">
        <v>110000610429</v>
      </c>
      <c r="L531" t="s">
        <v>265</v>
      </c>
      <c r="R531" s="387">
        <f t="shared" si="8"/>
        <v>0.16315243243619815</v>
      </c>
      <c r="S531" s="386">
        <v>7.4004698499999993E-2</v>
      </c>
    </row>
    <row r="532" spans="1:19" x14ac:dyDescent="0.25">
      <c r="A532">
        <v>2021</v>
      </c>
      <c r="C532" t="s">
        <v>1212</v>
      </c>
      <c r="D532" t="s">
        <v>1963</v>
      </c>
      <c r="E532" t="s">
        <v>1213</v>
      </c>
      <c r="F532" t="s">
        <v>1128</v>
      </c>
      <c r="G532">
        <v>80125</v>
      </c>
      <c r="H532">
        <v>39.496341999999999</v>
      </c>
      <c r="I532">
        <v>-105.10758800000001</v>
      </c>
      <c r="J532" t="s">
        <v>724</v>
      </c>
      <c r="K532">
        <v>110000610429</v>
      </c>
      <c r="L532" t="s">
        <v>265</v>
      </c>
      <c r="R532" s="387">
        <f t="shared" si="8"/>
        <v>9.8894801735752297E-2</v>
      </c>
      <c r="S532" s="386">
        <v>4.4857927499999999E-2</v>
      </c>
    </row>
    <row r="533" spans="1:19" x14ac:dyDescent="0.25">
      <c r="A533">
        <v>2024</v>
      </c>
      <c r="C533" t="s">
        <v>1212</v>
      </c>
      <c r="D533" t="s">
        <v>1963</v>
      </c>
      <c r="E533" t="s">
        <v>1213</v>
      </c>
      <c r="F533" t="s">
        <v>1128</v>
      </c>
      <c r="G533">
        <v>80125</v>
      </c>
      <c r="H533">
        <v>39.496341999999999</v>
      </c>
      <c r="I533">
        <v>-105.10758800000001</v>
      </c>
      <c r="J533" t="s">
        <v>724</v>
      </c>
      <c r="K533">
        <v>110000610429</v>
      </c>
      <c r="L533" t="s">
        <v>265</v>
      </c>
      <c r="R533" s="387">
        <f t="shared" si="8"/>
        <v>9.3646530584277687E-2</v>
      </c>
      <c r="S533" s="386">
        <v>4.2477351750000003E-2</v>
      </c>
    </row>
    <row r="534" spans="1:19" x14ac:dyDescent="0.25">
      <c r="A534">
        <v>2022</v>
      </c>
      <c r="C534" t="s">
        <v>1212</v>
      </c>
      <c r="D534" t="s">
        <v>1963</v>
      </c>
      <c r="E534" t="s">
        <v>1213</v>
      </c>
      <c r="F534" t="s">
        <v>1128</v>
      </c>
      <c r="G534">
        <v>80125</v>
      </c>
      <c r="H534">
        <v>39.496341999999999</v>
      </c>
      <c r="I534">
        <v>-105.10758800000001</v>
      </c>
      <c r="J534" t="s">
        <v>724</v>
      </c>
      <c r="K534">
        <v>110000610429</v>
      </c>
      <c r="L534" t="s">
        <v>265</v>
      </c>
      <c r="R534" s="387">
        <f t="shared" si="8"/>
        <v>8.1038413410701768E-2</v>
      </c>
      <c r="S534" s="386">
        <v>3.6758406E-2</v>
      </c>
    </row>
    <row r="535" spans="1:19" x14ac:dyDescent="0.25">
      <c r="A535">
        <v>2024</v>
      </c>
      <c r="C535" t="s">
        <v>6815</v>
      </c>
      <c r="D535" t="s">
        <v>6968</v>
      </c>
      <c r="E535" t="s">
        <v>6969</v>
      </c>
      <c r="F535" t="s">
        <v>366</v>
      </c>
      <c r="G535">
        <v>95551</v>
      </c>
      <c r="H535">
        <v>40.638300000000001</v>
      </c>
      <c r="I535">
        <v>-124.22553000000001</v>
      </c>
      <c r="K535">
        <v>110010059649</v>
      </c>
      <c r="L535" t="s">
        <v>263</v>
      </c>
      <c r="R535" s="387">
        <f t="shared" si="8"/>
        <v>13.834670560044914</v>
      </c>
      <c r="S535" s="386">
        <v>6.2753010075000004</v>
      </c>
    </row>
    <row r="536" spans="1:19" x14ac:dyDescent="0.25">
      <c r="A536">
        <v>2022</v>
      </c>
      <c r="C536" t="s">
        <v>6815</v>
      </c>
      <c r="D536" t="s">
        <v>6968</v>
      </c>
      <c r="E536" t="s">
        <v>6969</v>
      </c>
      <c r="F536" t="s">
        <v>366</v>
      </c>
      <c r="G536">
        <v>95551</v>
      </c>
      <c r="H536">
        <v>40.638300000000001</v>
      </c>
      <c r="I536">
        <v>-124.22553000000001</v>
      </c>
      <c r="K536">
        <v>110010059649</v>
      </c>
      <c r="L536" t="s">
        <v>263</v>
      </c>
      <c r="R536" s="387">
        <f t="shared" si="8"/>
        <v>0.15076419274865668</v>
      </c>
      <c r="S536" s="386">
        <v>6.8385487499999995E-2</v>
      </c>
    </row>
    <row r="537" spans="1:19" x14ac:dyDescent="0.25">
      <c r="A537">
        <v>2023</v>
      </c>
      <c r="C537" t="s">
        <v>6815</v>
      </c>
      <c r="D537" t="s">
        <v>6968</v>
      </c>
      <c r="E537" t="s">
        <v>6969</v>
      </c>
      <c r="F537" t="s">
        <v>366</v>
      </c>
      <c r="G537">
        <v>95551</v>
      </c>
      <c r="H537">
        <v>40.638300000000001</v>
      </c>
      <c r="I537">
        <v>-124.22553000000001</v>
      </c>
      <c r="K537">
        <v>110010059649</v>
      </c>
      <c r="L537" t="s">
        <v>263</v>
      </c>
      <c r="R537" s="387">
        <f t="shared" si="8"/>
        <v>5.2112633089485168E-2</v>
      </c>
      <c r="S537" s="386">
        <v>2.363789275E-2</v>
      </c>
    </row>
    <row r="538" spans="1:19" x14ac:dyDescent="0.25">
      <c r="A538">
        <v>2021</v>
      </c>
      <c r="C538" t="s">
        <v>6800</v>
      </c>
      <c r="D538" t="s">
        <v>1966</v>
      </c>
      <c r="E538" t="s">
        <v>1215</v>
      </c>
      <c r="F538" t="s">
        <v>324</v>
      </c>
      <c r="G538" t="s">
        <v>1967</v>
      </c>
      <c r="H538">
        <v>37.106380000000001</v>
      </c>
      <c r="I538">
        <v>-84.066829999999996</v>
      </c>
      <c r="K538">
        <v>110000557013</v>
      </c>
      <c r="L538" t="s">
        <v>263</v>
      </c>
      <c r="R538" s="387">
        <f t="shared" si="8"/>
        <v>4.7589707307025462</v>
      </c>
      <c r="S538" s="386">
        <v>2.1586328125000001</v>
      </c>
    </row>
    <row r="539" spans="1:19" x14ac:dyDescent="0.25">
      <c r="A539">
        <v>2021</v>
      </c>
      <c r="C539" t="s">
        <v>1218</v>
      </c>
      <c r="D539" t="s">
        <v>1975</v>
      </c>
      <c r="E539" t="s">
        <v>1219</v>
      </c>
      <c r="F539" t="s">
        <v>324</v>
      </c>
      <c r="G539">
        <v>42431</v>
      </c>
      <c r="H539">
        <v>37.318492999999997</v>
      </c>
      <c r="I539">
        <v>-87.549857000000003</v>
      </c>
      <c r="K539">
        <v>110002041380</v>
      </c>
      <c r="L539" t="s">
        <v>263</v>
      </c>
      <c r="R539" s="387">
        <f t="shared" si="8"/>
        <v>42.708906925616937</v>
      </c>
      <c r="S539" s="386">
        <v>19.372434312500001</v>
      </c>
    </row>
    <row r="540" spans="1:19" x14ac:dyDescent="0.25">
      <c r="A540">
        <v>2022</v>
      </c>
      <c r="C540" t="s">
        <v>1218</v>
      </c>
      <c r="D540" t="s">
        <v>1975</v>
      </c>
      <c r="E540" t="s">
        <v>1219</v>
      </c>
      <c r="F540" t="s">
        <v>324</v>
      </c>
      <c r="G540">
        <v>42431</v>
      </c>
      <c r="H540">
        <v>37.318492999999997</v>
      </c>
      <c r="I540">
        <v>-87.549857000000003</v>
      </c>
      <c r="K540">
        <v>110002041380</v>
      </c>
      <c r="L540" t="s">
        <v>263</v>
      </c>
      <c r="R540" s="387">
        <f t="shared" si="8"/>
        <v>14.129193740626633</v>
      </c>
      <c r="S540" s="386">
        <v>6.4088944750000003</v>
      </c>
    </row>
    <row r="541" spans="1:19" x14ac:dyDescent="0.25">
      <c r="A541">
        <v>2021</v>
      </c>
      <c r="C541" t="s">
        <v>1222</v>
      </c>
      <c r="D541" t="s">
        <v>1983</v>
      </c>
      <c r="E541" t="s">
        <v>1223</v>
      </c>
      <c r="F541" t="s">
        <v>324</v>
      </c>
      <c r="G541">
        <v>40962</v>
      </c>
      <c r="H541">
        <v>37.177222</v>
      </c>
      <c r="I541">
        <v>-83.761388999999994</v>
      </c>
      <c r="K541">
        <v>110009938808</v>
      </c>
      <c r="L541" t="s">
        <v>263</v>
      </c>
      <c r="R541" s="387">
        <f t="shared" si="8"/>
        <v>6.29707007086561</v>
      </c>
      <c r="S541" s="386">
        <v>2.8563029375000002</v>
      </c>
    </row>
    <row r="542" spans="1:19" x14ac:dyDescent="0.25">
      <c r="A542">
        <v>2022</v>
      </c>
      <c r="C542" t="s">
        <v>6864</v>
      </c>
      <c r="D542" t="s">
        <v>7028</v>
      </c>
      <c r="E542" t="s">
        <v>7029</v>
      </c>
      <c r="F542" t="s">
        <v>366</v>
      </c>
      <c r="G542">
        <v>95337</v>
      </c>
      <c r="H542">
        <v>37.795589999999997</v>
      </c>
      <c r="I542">
        <v>-121.26000999999999</v>
      </c>
      <c r="K542">
        <v>110039801462</v>
      </c>
      <c r="L542" t="s">
        <v>263</v>
      </c>
      <c r="R542" s="387">
        <f t="shared" si="8"/>
        <v>0.59737695029276172</v>
      </c>
      <c r="S542" s="386">
        <v>0.27096562666666602</v>
      </c>
    </row>
    <row r="543" spans="1:19" x14ac:dyDescent="0.25">
      <c r="A543">
        <v>2024</v>
      </c>
      <c r="C543" t="s">
        <v>1224</v>
      </c>
      <c r="D543" t="s">
        <v>1985</v>
      </c>
      <c r="E543" t="s">
        <v>657</v>
      </c>
      <c r="F543" t="s">
        <v>418</v>
      </c>
      <c r="G543">
        <v>89101</v>
      </c>
      <c r="H543">
        <v>36.176639999999999</v>
      </c>
      <c r="I543">
        <v>-115.12891999999999</v>
      </c>
      <c r="K543">
        <v>110008995490</v>
      </c>
      <c r="L543" t="s">
        <v>265</v>
      </c>
      <c r="R543" s="387">
        <f t="shared" si="8"/>
        <v>1.3083743050505896</v>
      </c>
      <c r="S543" s="386">
        <v>0.59346860187499995</v>
      </c>
    </row>
    <row r="544" spans="1:19" x14ac:dyDescent="0.25">
      <c r="A544">
        <v>2023</v>
      </c>
      <c r="C544" t="s">
        <v>1224</v>
      </c>
      <c r="D544" t="s">
        <v>1985</v>
      </c>
      <c r="E544" t="s">
        <v>657</v>
      </c>
      <c r="F544" t="s">
        <v>418</v>
      </c>
      <c r="G544">
        <v>89101</v>
      </c>
      <c r="H544">
        <v>36.176639999999999</v>
      </c>
      <c r="I544">
        <v>-115.12891999999999</v>
      </c>
      <c r="K544">
        <v>110008995490</v>
      </c>
      <c r="L544" t="s">
        <v>265</v>
      </c>
      <c r="R544" s="387">
        <f t="shared" si="8"/>
        <v>0.5544771977756151</v>
      </c>
      <c r="S544" s="386">
        <v>0.25150662624999998</v>
      </c>
    </row>
    <row r="545" spans="1:19" x14ac:dyDescent="0.25">
      <c r="A545">
        <v>2021</v>
      </c>
      <c r="C545" t="s">
        <v>1224</v>
      </c>
      <c r="D545" t="s">
        <v>1985</v>
      </c>
      <c r="E545" t="s">
        <v>657</v>
      </c>
      <c r="F545" t="s">
        <v>418</v>
      </c>
      <c r="G545">
        <v>89101</v>
      </c>
      <c r="H545">
        <v>36.176639999999999</v>
      </c>
      <c r="I545">
        <v>-115.12891999999999</v>
      </c>
      <c r="K545">
        <v>110008995490</v>
      </c>
      <c r="L545" t="s">
        <v>265</v>
      </c>
      <c r="R545" s="387">
        <f t="shared" si="8"/>
        <v>1.2944400387510928E-2</v>
      </c>
      <c r="S545" s="386">
        <v>5.8714812500000003E-3</v>
      </c>
    </row>
    <row r="546" spans="1:19" x14ac:dyDescent="0.25">
      <c r="A546">
        <v>2022</v>
      </c>
      <c r="C546" t="s">
        <v>1224</v>
      </c>
      <c r="D546" t="s">
        <v>1985</v>
      </c>
      <c r="E546" t="s">
        <v>657</v>
      </c>
      <c r="F546" t="s">
        <v>418</v>
      </c>
      <c r="G546">
        <v>89101</v>
      </c>
      <c r="H546">
        <v>36.176639999999999</v>
      </c>
      <c r="I546">
        <v>-115.12891999999999</v>
      </c>
      <c r="K546">
        <v>110008995490</v>
      </c>
      <c r="L546" t="s">
        <v>265</v>
      </c>
      <c r="R546" s="387">
        <f t="shared" si="8"/>
        <v>3.350315394414593E-3</v>
      </c>
      <c r="S546" s="386">
        <v>1.5196775E-3</v>
      </c>
    </row>
    <row r="547" spans="1:19" x14ac:dyDescent="0.25">
      <c r="A547">
        <v>2023</v>
      </c>
      <c r="C547" t="s">
        <v>1226</v>
      </c>
      <c r="D547" t="s">
        <v>1990</v>
      </c>
      <c r="E547" t="s">
        <v>657</v>
      </c>
      <c r="F547" t="s">
        <v>418</v>
      </c>
      <c r="G547">
        <v>89119</v>
      </c>
      <c r="H547">
        <v>36.075400000000002</v>
      </c>
      <c r="I547">
        <v>-115.1669</v>
      </c>
      <c r="K547">
        <v>110064134459</v>
      </c>
      <c r="L547" t="s">
        <v>265</v>
      </c>
      <c r="R547" s="387">
        <f t="shared" si="8"/>
        <v>1.5716650778318866E-2</v>
      </c>
      <c r="S547" s="386">
        <v>7.1289528749999996E-3</v>
      </c>
    </row>
    <row r="548" spans="1:19" x14ac:dyDescent="0.25">
      <c r="A548">
        <v>2024</v>
      </c>
      <c r="C548" t="s">
        <v>1226</v>
      </c>
      <c r="D548" t="s">
        <v>1990</v>
      </c>
      <c r="E548" t="s">
        <v>657</v>
      </c>
      <c r="F548" t="s">
        <v>418</v>
      </c>
      <c r="G548">
        <v>89119</v>
      </c>
      <c r="H548">
        <v>36.075400000000002</v>
      </c>
      <c r="I548">
        <v>-115.1669</v>
      </c>
      <c r="K548">
        <v>110064134459</v>
      </c>
      <c r="L548" t="s">
        <v>265</v>
      </c>
      <c r="R548" s="387">
        <f t="shared" si="8"/>
        <v>1.2335252133981001E-2</v>
      </c>
      <c r="S548" s="386">
        <v>5.5951762500000002E-3</v>
      </c>
    </row>
    <row r="549" spans="1:19" x14ac:dyDescent="0.25">
      <c r="A549">
        <v>2023</v>
      </c>
      <c r="C549" t="s">
        <v>1226</v>
      </c>
      <c r="D549" t="s">
        <v>1990</v>
      </c>
      <c r="E549" t="s">
        <v>657</v>
      </c>
      <c r="F549" t="s">
        <v>418</v>
      </c>
      <c r="G549">
        <v>89119</v>
      </c>
      <c r="H549">
        <v>36.075400000000002</v>
      </c>
      <c r="I549">
        <v>-115.1669</v>
      </c>
      <c r="K549">
        <v>110064134459</v>
      </c>
      <c r="L549" t="s">
        <v>265</v>
      </c>
      <c r="R549" s="387">
        <f t="shared" si="8"/>
        <v>8.9058726340568734E-3</v>
      </c>
      <c r="S549" s="386">
        <v>4.0396358750000002E-3</v>
      </c>
    </row>
    <row r="550" spans="1:19" x14ac:dyDescent="0.25">
      <c r="A550">
        <v>2021</v>
      </c>
      <c r="C550" t="s">
        <v>1226</v>
      </c>
      <c r="D550" t="s">
        <v>1990</v>
      </c>
      <c r="E550" t="s">
        <v>657</v>
      </c>
      <c r="F550" t="s">
        <v>418</v>
      </c>
      <c r="G550">
        <v>89119</v>
      </c>
      <c r="H550">
        <v>36.075400000000002</v>
      </c>
      <c r="I550">
        <v>-115.1669</v>
      </c>
      <c r="K550">
        <v>110064134459</v>
      </c>
      <c r="L550" t="s">
        <v>265</v>
      </c>
      <c r="R550" s="387">
        <f t="shared" si="8"/>
        <v>8.5122210058339379E-3</v>
      </c>
      <c r="S550" s="386">
        <v>3.8610785000000002E-3</v>
      </c>
    </row>
    <row r="551" spans="1:19" x14ac:dyDescent="0.25">
      <c r="A551">
        <v>2024</v>
      </c>
      <c r="C551" t="s">
        <v>1226</v>
      </c>
      <c r="D551" t="s">
        <v>1990</v>
      </c>
      <c r="E551" t="s">
        <v>657</v>
      </c>
      <c r="F551" t="s">
        <v>418</v>
      </c>
      <c r="G551">
        <v>89119</v>
      </c>
      <c r="H551">
        <v>36.075400000000002</v>
      </c>
      <c r="I551">
        <v>-115.1669</v>
      </c>
      <c r="K551">
        <v>110064134459</v>
      </c>
      <c r="L551" t="s">
        <v>265</v>
      </c>
      <c r="R551" s="387">
        <f t="shared" si="8"/>
        <v>8.225726621753646E-3</v>
      </c>
      <c r="S551" s="386">
        <v>3.7311268333333298E-3</v>
      </c>
    </row>
    <row r="552" spans="1:19" x14ac:dyDescent="0.25">
      <c r="A552">
        <v>2022</v>
      </c>
      <c r="C552" t="s">
        <v>1226</v>
      </c>
      <c r="D552" t="s">
        <v>1990</v>
      </c>
      <c r="E552" t="s">
        <v>657</v>
      </c>
      <c r="F552" t="s">
        <v>418</v>
      </c>
      <c r="G552">
        <v>89119</v>
      </c>
      <c r="H552">
        <v>36.075400000000002</v>
      </c>
      <c r="I552">
        <v>-115.1669</v>
      </c>
      <c r="K552">
        <v>110064134459</v>
      </c>
      <c r="L552" t="s">
        <v>265</v>
      </c>
      <c r="R552" s="387">
        <f t="shared" si="8"/>
        <v>7.9495933209811267E-3</v>
      </c>
      <c r="S552" s="386">
        <v>3.6058748750000002E-3</v>
      </c>
    </row>
    <row r="553" spans="1:19" x14ac:dyDescent="0.25">
      <c r="A553">
        <v>2021</v>
      </c>
      <c r="C553" t="s">
        <v>1226</v>
      </c>
      <c r="D553" t="s">
        <v>1990</v>
      </c>
      <c r="E553" t="s">
        <v>657</v>
      </c>
      <c r="F553" t="s">
        <v>418</v>
      </c>
      <c r="G553">
        <v>89119</v>
      </c>
      <c r="H553">
        <v>36.075400000000002</v>
      </c>
      <c r="I553">
        <v>-115.1669</v>
      </c>
      <c r="K553">
        <v>110064134459</v>
      </c>
      <c r="L553" t="s">
        <v>265</v>
      </c>
      <c r="R553" s="387">
        <f t="shared" si="8"/>
        <v>4.8135228773799705E-3</v>
      </c>
      <c r="S553" s="386">
        <v>2.1833772500000001E-3</v>
      </c>
    </row>
    <row r="554" spans="1:19" x14ac:dyDescent="0.25">
      <c r="A554">
        <v>2022</v>
      </c>
      <c r="C554" t="s">
        <v>1226</v>
      </c>
      <c r="D554" t="s">
        <v>1990</v>
      </c>
      <c r="E554" t="s">
        <v>657</v>
      </c>
      <c r="F554" t="s">
        <v>418</v>
      </c>
      <c r="G554">
        <v>89119</v>
      </c>
      <c r="H554">
        <v>36.075400000000002</v>
      </c>
      <c r="I554">
        <v>-115.1669</v>
      </c>
      <c r="K554">
        <v>110064134459</v>
      </c>
      <c r="L554" t="s">
        <v>265</v>
      </c>
      <c r="R554" s="387">
        <f t="shared" si="8"/>
        <v>4.4340568934173206E-3</v>
      </c>
      <c r="S554" s="386">
        <v>2.0112543749999999E-3</v>
      </c>
    </row>
    <row r="555" spans="1:19" x14ac:dyDescent="0.25">
      <c r="A555">
        <v>2024</v>
      </c>
      <c r="C555" t="s">
        <v>1226</v>
      </c>
      <c r="D555" t="s">
        <v>1990</v>
      </c>
      <c r="E555" t="s">
        <v>657</v>
      </c>
      <c r="F555" t="s">
        <v>418</v>
      </c>
      <c r="G555">
        <v>89119</v>
      </c>
      <c r="H555">
        <v>36.075400000000002</v>
      </c>
      <c r="I555">
        <v>-115.1669</v>
      </c>
      <c r="K555">
        <v>110064134459</v>
      </c>
      <c r="L555" t="s">
        <v>265</v>
      </c>
      <c r="R555" s="387">
        <f t="shared" si="8"/>
        <v>3.4010777488754059E-3</v>
      </c>
      <c r="S555" s="386">
        <v>1.5427029166666601E-3</v>
      </c>
    </row>
    <row r="556" spans="1:19" x14ac:dyDescent="0.25">
      <c r="A556">
        <v>2024</v>
      </c>
      <c r="C556" t="s">
        <v>1226</v>
      </c>
      <c r="D556" t="s">
        <v>1990</v>
      </c>
      <c r="E556" t="s">
        <v>657</v>
      </c>
      <c r="F556" t="s">
        <v>418</v>
      </c>
      <c r="G556">
        <v>89119</v>
      </c>
      <c r="H556">
        <v>36.075400000000002</v>
      </c>
      <c r="I556">
        <v>-115.1669</v>
      </c>
      <c r="K556">
        <v>110064134459</v>
      </c>
      <c r="L556" t="s">
        <v>265</v>
      </c>
      <c r="R556" s="387">
        <f t="shared" si="8"/>
        <v>1.7992125470129338E-3</v>
      </c>
      <c r="S556" s="386">
        <v>8.1610908333333305E-4</v>
      </c>
    </row>
    <row r="557" spans="1:19" x14ac:dyDescent="0.25">
      <c r="A557">
        <v>2024</v>
      </c>
      <c r="C557" t="s">
        <v>1227</v>
      </c>
      <c r="D557" t="s">
        <v>1993</v>
      </c>
      <c r="E557" t="s">
        <v>1228</v>
      </c>
      <c r="F557" t="s">
        <v>1128</v>
      </c>
      <c r="G557">
        <v>80216</v>
      </c>
      <c r="H557">
        <v>39.781474000000003</v>
      </c>
      <c r="I557">
        <v>-104.97438</v>
      </c>
      <c r="K557">
        <v>110070162955</v>
      </c>
      <c r="L557" t="s">
        <v>265</v>
      </c>
      <c r="R557" s="387">
        <f t="shared" si="8"/>
        <v>2.622459166365607E-2</v>
      </c>
      <c r="S557" s="386">
        <v>1.1895274685E-2</v>
      </c>
    </row>
    <row r="558" spans="1:19" x14ac:dyDescent="0.25">
      <c r="A558">
        <v>2022</v>
      </c>
      <c r="C558" t="s">
        <v>1227</v>
      </c>
      <c r="D558" t="s">
        <v>1993</v>
      </c>
      <c r="E558" t="s">
        <v>1228</v>
      </c>
      <c r="F558" t="s">
        <v>1128</v>
      </c>
      <c r="G558">
        <v>80216</v>
      </c>
      <c r="H558">
        <v>39.781474000000003</v>
      </c>
      <c r="I558">
        <v>-104.97438</v>
      </c>
      <c r="K558">
        <v>110070162955</v>
      </c>
      <c r="L558" t="s">
        <v>265</v>
      </c>
      <c r="R558" s="387">
        <f t="shared" si="8"/>
        <v>1.7414964453656926E-2</v>
      </c>
      <c r="S558" s="386">
        <v>7.8992950000000006E-3</v>
      </c>
    </row>
    <row r="559" spans="1:19" x14ac:dyDescent="0.25">
      <c r="A559">
        <v>2021</v>
      </c>
      <c r="C559" t="s">
        <v>1227</v>
      </c>
      <c r="D559" t="s">
        <v>1993</v>
      </c>
      <c r="E559" t="s">
        <v>1228</v>
      </c>
      <c r="F559" t="s">
        <v>1128</v>
      </c>
      <c r="G559">
        <v>80216</v>
      </c>
      <c r="H559">
        <v>39.781474000000003</v>
      </c>
      <c r="I559">
        <v>-104.97438</v>
      </c>
      <c r="K559">
        <v>110070162955</v>
      </c>
      <c r="L559" t="s">
        <v>265</v>
      </c>
      <c r="R559" s="387">
        <f t="shared" si="8"/>
        <v>6.7427704967788589E-3</v>
      </c>
      <c r="S559" s="386">
        <v>3.0584692500000002E-3</v>
      </c>
    </row>
    <row r="560" spans="1:19" x14ac:dyDescent="0.25">
      <c r="A560">
        <v>2023</v>
      </c>
      <c r="C560" t="s">
        <v>1227</v>
      </c>
      <c r="D560" t="s">
        <v>1993</v>
      </c>
      <c r="E560" t="s">
        <v>1228</v>
      </c>
      <c r="F560" t="s">
        <v>1128</v>
      </c>
      <c r="G560">
        <v>80216</v>
      </c>
      <c r="H560">
        <v>39.781474000000003</v>
      </c>
      <c r="I560">
        <v>-104.97438</v>
      </c>
      <c r="K560">
        <v>110070162955</v>
      </c>
      <c r="L560" t="s">
        <v>265</v>
      </c>
      <c r="R560" s="387">
        <f t="shared" si="8"/>
        <v>5.5276490706843238E-3</v>
      </c>
      <c r="S560" s="386">
        <v>2.5072994424999999E-3</v>
      </c>
    </row>
    <row r="561" spans="1:19" x14ac:dyDescent="0.25">
      <c r="A561">
        <v>2022</v>
      </c>
      <c r="C561" t="s">
        <v>1230</v>
      </c>
      <c r="D561" t="s">
        <v>1997</v>
      </c>
      <c r="E561" t="s">
        <v>1231</v>
      </c>
      <c r="F561" t="s">
        <v>541</v>
      </c>
      <c r="G561" t="s">
        <v>1998</v>
      </c>
      <c r="H561">
        <v>34.807729999999999</v>
      </c>
      <c r="I561">
        <v>-82.006420000000006</v>
      </c>
      <c r="K561">
        <v>110000587384</v>
      </c>
      <c r="L561" t="s">
        <v>265</v>
      </c>
      <c r="R561" s="387">
        <f t="shared" si="8"/>
        <v>0.20388275490612862</v>
      </c>
      <c r="S561" s="386">
        <v>9.2479662000000004E-2</v>
      </c>
    </row>
    <row r="562" spans="1:19" x14ac:dyDescent="0.25">
      <c r="A562">
        <v>2023</v>
      </c>
      <c r="C562" t="s">
        <v>1230</v>
      </c>
      <c r="D562" t="s">
        <v>1997</v>
      </c>
      <c r="E562" t="s">
        <v>1231</v>
      </c>
      <c r="F562" t="s">
        <v>541</v>
      </c>
      <c r="G562" t="s">
        <v>1998</v>
      </c>
      <c r="H562">
        <v>34.807729999999999</v>
      </c>
      <c r="I562">
        <v>-82.006420000000006</v>
      </c>
      <c r="K562">
        <v>110000587384</v>
      </c>
      <c r="L562" t="s">
        <v>265</v>
      </c>
      <c r="R562" s="387">
        <f t="shared" si="8"/>
        <v>8.1340484188479611E-2</v>
      </c>
      <c r="S562" s="386">
        <v>3.6895422999999997E-2</v>
      </c>
    </row>
    <row r="563" spans="1:19" x14ac:dyDescent="0.25">
      <c r="A563">
        <v>2024</v>
      </c>
      <c r="C563" t="s">
        <v>1230</v>
      </c>
      <c r="D563" t="s">
        <v>1997</v>
      </c>
      <c r="E563" t="s">
        <v>1231</v>
      </c>
      <c r="F563" t="s">
        <v>541</v>
      </c>
      <c r="G563" t="s">
        <v>1998</v>
      </c>
      <c r="H563">
        <v>34.807729999999999</v>
      </c>
      <c r="I563">
        <v>-82.006420000000006</v>
      </c>
      <c r="K563">
        <v>110000587384</v>
      </c>
      <c r="L563" t="s">
        <v>265</v>
      </c>
      <c r="R563" s="387">
        <f t="shared" si="8"/>
        <v>8.0329965647349844E-2</v>
      </c>
      <c r="S563" s="386">
        <v>3.6437059500000001E-2</v>
      </c>
    </row>
    <row r="564" spans="1:19" x14ac:dyDescent="0.25">
      <c r="A564">
        <v>2021</v>
      </c>
      <c r="C564" t="s">
        <v>1230</v>
      </c>
      <c r="D564" t="s">
        <v>1997</v>
      </c>
      <c r="E564" t="s">
        <v>1231</v>
      </c>
      <c r="F564" t="s">
        <v>541</v>
      </c>
      <c r="G564" t="s">
        <v>1998</v>
      </c>
      <c r="H564">
        <v>34.807729999999999</v>
      </c>
      <c r="I564">
        <v>-82.006420000000006</v>
      </c>
      <c r="K564">
        <v>110000587384</v>
      </c>
      <c r="L564" t="s">
        <v>265</v>
      </c>
      <c r="R564" s="387">
        <f t="shared" si="8"/>
        <v>7.6218632160854033E-2</v>
      </c>
      <c r="S564" s="386">
        <v>3.4572190000000003E-2</v>
      </c>
    </row>
    <row r="565" spans="1:19" x14ac:dyDescent="0.25">
      <c r="A565">
        <v>2024</v>
      </c>
      <c r="C565" t="s">
        <v>171</v>
      </c>
      <c r="D565" t="s">
        <v>555</v>
      </c>
      <c r="E565" t="s">
        <v>556</v>
      </c>
      <c r="F565" t="s">
        <v>338</v>
      </c>
      <c r="G565">
        <v>7065</v>
      </c>
      <c r="H565">
        <v>40.612743000000002</v>
      </c>
      <c r="I565">
        <v>-74.260920999999996</v>
      </c>
      <c r="J565" t="s">
        <v>557</v>
      </c>
      <c r="K565">
        <v>110000492020</v>
      </c>
      <c r="L565" t="s">
        <v>254</v>
      </c>
      <c r="R565" s="387">
        <f t="shared" si="8"/>
        <v>153.1987805802377</v>
      </c>
      <c r="S565" s="386">
        <v>69.489797964499999</v>
      </c>
    </row>
    <row r="566" spans="1:19" x14ac:dyDescent="0.25">
      <c r="A566">
        <v>2021</v>
      </c>
      <c r="C566" t="s">
        <v>171</v>
      </c>
      <c r="D566" t="s">
        <v>555</v>
      </c>
      <c r="E566" t="s">
        <v>556</v>
      </c>
      <c r="F566" t="s">
        <v>338</v>
      </c>
      <c r="G566">
        <v>7065</v>
      </c>
      <c r="H566">
        <v>40.612743000000002</v>
      </c>
      <c r="I566">
        <v>-74.260920999999996</v>
      </c>
      <c r="J566" t="s">
        <v>557</v>
      </c>
      <c r="K566">
        <v>110000492020</v>
      </c>
      <c r="L566" t="s">
        <v>254</v>
      </c>
      <c r="R566" s="387">
        <f t="shared" si="8"/>
        <v>8.8842360218713559</v>
      </c>
      <c r="S566" s="386">
        <v>4.0298216727999998</v>
      </c>
    </row>
    <row r="567" spans="1:19" x14ac:dyDescent="0.25">
      <c r="A567">
        <v>2023</v>
      </c>
      <c r="C567" t="s">
        <v>171</v>
      </c>
      <c r="D567" t="s">
        <v>555</v>
      </c>
      <c r="E567" t="s">
        <v>556</v>
      </c>
      <c r="F567" t="s">
        <v>338</v>
      </c>
      <c r="G567" t="s">
        <v>2002</v>
      </c>
      <c r="H567">
        <v>40.612743000000002</v>
      </c>
      <c r="I567">
        <v>-74.260920999999996</v>
      </c>
      <c r="J567" t="s">
        <v>557</v>
      </c>
      <c r="K567">
        <v>110000492020</v>
      </c>
      <c r="L567" t="s">
        <v>254</v>
      </c>
      <c r="R567" s="387">
        <f t="shared" si="8"/>
        <v>1.181983761102507</v>
      </c>
      <c r="S567" s="386">
        <v>0.53613881549999998</v>
      </c>
    </row>
    <row r="568" spans="1:19" x14ac:dyDescent="0.25">
      <c r="A568">
        <v>2021</v>
      </c>
      <c r="C568" t="s">
        <v>1233</v>
      </c>
      <c r="D568" t="s">
        <v>2006</v>
      </c>
      <c r="E568" t="s">
        <v>293</v>
      </c>
      <c r="F568" t="s">
        <v>294</v>
      </c>
      <c r="G568">
        <v>22202</v>
      </c>
      <c r="H568">
        <v>38.86157</v>
      </c>
      <c r="I568">
        <v>-77.053929999999994</v>
      </c>
      <c r="K568">
        <v>110070882213</v>
      </c>
      <c r="L568" t="s">
        <v>265</v>
      </c>
      <c r="R568" s="387">
        <f t="shared" si="8"/>
        <v>8.2570462990812638E-2</v>
      </c>
      <c r="S568" s="386">
        <v>3.7453331999999999E-2</v>
      </c>
    </row>
    <row r="569" spans="1:19" x14ac:dyDescent="0.25">
      <c r="A569">
        <v>2022</v>
      </c>
      <c r="C569" t="s">
        <v>1234</v>
      </c>
      <c r="D569" t="s">
        <v>2008</v>
      </c>
      <c r="E569" t="s">
        <v>361</v>
      </c>
      <c r="F569" t="s">
        <v>362</v>
      </c>
      <c r="G569">
        <v>77571</v>
      </c>
      <c r="H569">
        <v>29.726065999999999</v>
      </c>
      <c r="I569">
        <v>-95.079583999999997</v>
      </c>
      <c r="J569" t="s">
        <v>725</v>
      </c>
      <c r="K569">
        <v>110000463677</v>
      </c>
      <c r="L569" t="s">
        <v>265</v>
      </c>
      <c r="R569" s="387">
        <f t="shared" si="8"/>
        <v>8.6948067490641434E-3</v>
      </c>
      <c r="S569" s="386">
        <v>3.9438980000000004E-3</v>
      </c>
    </row>
    <row r="570" spans="1:19" x14ac:dyDescent="0.25">
      <c r="A570">
        <v>2023</v>
      </c>
      <c r="C570" t="s">
        <v>1234</v>
      </c>
      <c r="D570" t="s">
        <v>2008</v>
      </c>
      <c r="E570" t="s">
        <v>361</v>
      </c>
      <c r="F570" t="s">
        <v>362</v>
      </c>
      <c r="G570">
        <v>77571</v>
      </c>
      <c r="H570">
        <v>29.726065999999999</v>
      </c>
      <c r="I570">
        <v>-95.079583999999997</v>
      </c>
      <c r="J570" t="s">
        <v>725</v>
      </c>
      <c r="K570">
        <v>110000463677</v>
      </c>
      <c r="L570" t="s">
        <v>265</v>
      </c>
      <c r="R570" s="387">
        <f t="shared" si="8"/>
        <v>7.7084211094644289E-3</v>
      </c>
      <c r="S570" s="386">
        <v>3.4964810000000001E-3</v>
      </c>
    </row>
    <row r="571" spans="1:19" x14ac:dyDescent="0.25">
      <c r="A571">
        <v>2021</v>
      </c>
      <c r="C571" t="s">
        <v>1234</v>
      </c>
      <c r="D571" t="s">
        <v>2008</v>
      </c>
      <c r="E571" t="s">
        <v>361</v>
      </c>
      <c r="F571" t="s">
        <v>362</v>
      </c>
      <c r="G571">
        <v>77571</v>
      </c>
      <c r="H571">
        <v>29.726065999999999</v>
      </c>
      <c r="I571">
        <v>-95.079583999999997</v>
      </c>
      <c r="J571" t="s">
        <v>725</v>
      </c>
      <c r="K571">
        <v>110000463677</v>
      </c>
      <c r="L571" t="s">
        <v>265</v>
      </c>
      <c r="R571" s="387">
        <f t="shared" si="8"/>
        <v>6.7220354698647152E-3</v>
      </c>
      <c r="S571" s="386">
        <v>3.0490640000000002E-3</v>
      </c>
    </row>
    <row r="572" spans="1:19" x14ac:dyDescent="0.25">
      <c r="A572">
        <v>2023</v>
      </c>
      <c r="C572" t="s">
        <v>172</v>
      </c>
      <c r="D572" t="s">
        <v>558</v>
      </c>
      <c r="E572" t="s">
        <v>559</v>
      </c>
      <c r="F572" t="s">
        <v>338</v>
      </c>
      <c r="G572" t="s">
        <v>560</v>
      </c>
      <c r="H572">
        <v>39.766944000000002</v>
      </c>
      <c r="I572">
        <v>-75.421361000000005</v>
      </c>
      <c r="J572" t="s">
        <v>561</v>
      </c>
      <c r="K572">
        <v>110041022274</v>
      </c>
      <c r="L572" t="s">
        <v>253</v>
      </c>
      <c r="R572" s="387">
        <f t="shared" si="8"/>
        <v>8.730305582521152E-5</v>
      </c>
      <c r="S572" s="386">
        <v>3.96E-5</v>
      </c>
    </row>
    <row r="573" spans="1:19" x14ac:dyDescent="0.25">
      <c r="A573">
        <v>2024</v>
      </c>
      <c r="C573" t="s">
        <v>172</v>
      </c>
      <c r="D573" t="s">
        <v>558</v>
      </c>
      <c r="E573" t="s">
        <v>559</v>
      </c>
      <c r="F573" t="s">
        <v>338</v>
      </c>
      <c r="G573" t="s">
        <v>560</v>
      </c>
      <c r="H573">
        <v>39.766944000000002</v>
      </c>
      <c r="I573">
        <v>-75.421361000000005</v>
      </c>
      <c r="J573" t="s">
        <v>561</v>
      </c>
      <c r="K573">
        <v>110041022274</v>
      </c>
      <c r="L573" t="s">
        <v>253</v>
      </c>
      <c r="R573" s="387">
        <f t="shared" si="8"/>
        <v>6.9445612588236441E-5</v>
      </c>
      <c r="S573" s="386">
        <v>3.15E-5</v>
      </c>
    </row>
    <row r="574" spans="1:19" x14ac:dyDescent="0.25">
      <c r="A574">
        <v>2022</v>
      </c>
      <c r="C574" t="s">
        <v>172</v>
      </c>
      <c r="D574" t="s">
        <v>558</v>
      </c>
      <c r="E574" t="s">
        <v>559</v>
      </c>
      <c r="F574" t="s">
        <v>338</v>
      </c>
      <c r="G574" t="s">
        <v>560</v>
      </c>
      <c r="H574">
        <v>39.766944000000002</v>
      </c>
      <c r="I574">
        <v>-75.421361000000005</v>
      </c>
      <c r="J574" t="s">
        <v>561</v>
      </c>
      <c r="K574">
        <v>110041022274</v>
      </c>
      <c r="L574" t="s">
        <v>253</v>
      </c>
      <c r="R574" s="387">
        <f t="shared" si="8"/>
        <v>4.4974301485715028E-5</v>
      </c>
      <c r="S574" s="386">
        <v>2.0400000000000001E-5</v>
      </c>
    </row>
    <row r="575" spans="1:19" x14ac:dyDescent="0.25">
      <c r="A575">
        <v>2021</v>
      </c>
      <c r="C575" t="s">
        <v>172</v>
      </c>
      <c r="D575" t="s">
        <v>558</v>
      </c>
      <c r="E575" t="s">
        <v>559</v>
      </c>
      <c r="F575" t="s">
        <v>338</v>
      </c>
      <c r="G575" t="s">
        <v>560</v>
      </c>
      <c r="H575">
        <v>39.766944000000002</v>
      </c>
      <c r="I575">
        <v>-75.421361000000005</v>
      </c>
      <c r="J575" t="s">
        <v>561</v>
      </c>
      <c r="K575">
        <v>110041022274</v>
      </c>
      <c r="L575" t="s">
        <v>253</v>
      </c>
      <c r="R575" s="387">
        <f t="shared" si="8"/>
        <v>2.6455471462185312E-5</v>
      </c>
      <c r="S575" s="386">
        <v>1.2E-5</v>
      </c>
    </row>
    <row r="576" spans="1:19" x14ac:dyDescent="0.25">
      <c r="A576">
        <v>2024</v>
      </c>
      <c r="C576" t="s">
        <v>6816</v>
      </c>
      <c r="D576" t="s">
        <v>6971</v>
      </c>
      <c r="E576" t="s">
        <v>6972</v>
      </c>
      <c r="F576" t="s">
        <v>979</v>
      </c>
      <c r="G576">
        <v>38012</v>
      </c>
      <c r="H576">
        <v>35.607599999999998</v>
      </c>
      <c r="I576">
        <v>-89.237700000000004</v>
      </c>
      <c r="J576" t="s">
        <v>7125</v>
      </c>
      <c r="K576">
        <v>110000373621</v>
      </c>
      <c r="L576" t="s">
        <v>265</v>
      </c>
      <c r="R576" s="387">
        <f t="shared" si="8"/>
        <v>0.91372238029488895</v>
      </c>
      <c r="S576" s="386">
        <v>0.41445749999999998</v>
      </c>
    </row>
    <row r="577" spans="1:19" x14ac:dyDescent="0.25">
      <c r="A577">
        <v>2023</v>
      </c>
      <c r="C577" t="s">
        <v>1235</v>
      </c>
      <c r="D577" t="s">
        <v>2012</v>
      </c>
      <c r="E577" t="s">
        <v>1236</v>
      </c>
      <c r="F577" t="s">
        <v>450</v>
      </c>
      <c r="G577">
        <v>13502</v>
      </c>
      <c r="H577">
        <v>43.107216000000001</v>
      </c>
      <c r="I577">
        <v>-75.225815999999995</v>
      </c>
      <c r="K577">
        <v>110002321345</v>
      </c>
      <c r="L577" t="s">
        <v>265</v>
      </c>
      <c r="R577" s="387">
        <f t="shared" si="8"/>
        <v>1.3246220830390069E-2</v>
      </c>
      <c r="S577" s="386">
        <v>6.0083847000000001E-3</v>
      </c>
    </row>
    <row r="578" spans="1:19" x14ac:dyDescent="0.25">
      <c r="A578">
        <v>2024</v>
      </c>
      <c r="C578" t="s">
        <v>1235</v>
      </c>
      <c r="D578" t="s">
        <v>2012</v>
      </c>
      <c r="E578" t="s">
        <v>1236</v>
      </c>
      <c r="F578" t="s">
        <v>450</v>
      </c>
      <c r="G578">
        <v>13502</v>
      </c>
      <c r="H578">
        <v>43.107216000000001</v>
      </c>
      <c r="I578">
        <v>-75.225815999999995</v>
      </c>
      <c r="K578">
        <v>110002321345</v>
      </c>
      <c r="L578" t="s">
        <v>265</v>
      </c>
      <c r="R578" s="387">
        <f t="shared" si="8"/>
        <v>1.3157602276246402E-2</v>
      </c>
      <c r="S578" s="386">
        <v>5.9681880000000001E-3</v>
      </c>
    </row>
    <row r="579" spans="1:19" x14ac:dyDescent="0.25">
      <c r="A579">
        <v>2022</v>
      </c>
      <c r="C579" t="s">
        <v>1235</v>
      </c>
      <c r="D579" t="s">
        <v>2012</v>
      </c>
      <c r="E579" t="s">
        <v>1236</v>
      </c>
      <c r="F579" t="s">
        <v>450</v>
      </c>
      <c r="G579">
        <v>13502</v>
      </c>
      <c r="H579">
        <v>43.107216000000001</v>
      </c>
      <c r="I579">
        <v>-75.225815999999995</v>
      </c>
      <c r="K579">
        <v>110002321345</v>
      </c>
      <c r="L579" t="s">
        <v>265</v>
      </c>
      <c r="R579" s="387">
        <f t="shared" ref="R579:R642" si="9">CONVERT(S579,"g","lbm")*1000</f>
        <v>1.3141080172931481E-2</v>
      </c>
      <c r="S579" s="386">
        <v>5.9606937000000002E-3</v>
      </c>
    </row>
    <row r="580" spans="1:19" x14ac:dyDescent="0.25">
      <c r="A580">
        <v>2021</v>
      </c>
      <c r="C580" t="s">
        <v>1235</v>
      </c>
      <c r="D580" t="s">
        <v>2012</v>
      </c>
      <c r="E580" t="s">
        <v>1236</v>
      </c>
      <c r="F580" t="s">
        <v>450</v>
      </c>
      <c r="G580">
        <v>13502</v>
      </c>
      <c r="H580">
        <v>43.107216000000001</v>
      </c>
      <c r="I580">
        <v>-75.225815999999995</v>
      </c>
      <c r="K580">
        <v>110002321345</v>
      </c>
      <c r="L580" t="s">
        <v>265</v>
      </c>
      <c r="R580" s="387">
        <f t="shared" si="9"/>
        <v>1.2013071119340035E-2</v>
      </c>
      <c r="S580" s="386">
        <v>5.4490373999999996E-3</v>
      </c>
    </row>
    <row r="581" spans="1:19" x14ac:dyDescent="0.25">
      <c r="A581">
        <v>2021</v>
      </c>
      <c r="C581" t="s">
        <v>6837</v>
      </c>
      <c r="D581" t="s">
        <v>566</v>
      </c>
      <c r="E581" t="s">
        <v>520</v>
      </c>
      <c r="F581" t="s">
        <v>362</v>
      </c>
      <c r="G581">
        <v>770156544</v>
      </c>
      <c r="H581">
        <v>29.75487</v>
      </c>
      <c r="I581">
        <v>-95.103269999999995</v>
      </c>
      <c r="J581" t="s">
        <v>567</v>
      </c>
      <c r="K581">
        <v>110000460983</v>
      </c>
      <c r="L581" t="s">
        <v>251</v>
      </c>
      <c r="R581" s="387">
        <f t="shared" si="9"/>
        <v>0.82564131314642708</v>
      </c>
      <c r="S581" s="386">
        <v>0.37450460000000002</v>
      </c>
    </row>
    <row r="582" spans="1:19" x14ac:dyDescent="0.25">
      <c r="A582">
        <v>2023</v>
      </c>
      <c r="C582" t="s">
        <v>6837</v>
      </c>
      <c r="D582" t="s">
        <v>566</v>
      </c>
      <c r="E582" t="s">
        <v>520</v>
      </c>
      <c r="F582" t="s">
        <v>362</v>
      </c>
      <c r="G582">
        <v>770156544</v>
      </c>
      <c r="H582">
        <v>29.75487</v>
      </c>
      <c r="I582">
        <v>-95.103269999999995</v>
      </c>
      <c r="J582" t="s">
        <v>567</v>
      </c>
      <c r="K582">
        <v>110000460983</v>
      </c>
      <c r="L582" t="s">
        <v>251</v>
      </c>
      <c r="R582" s="387">
        <f t="shared" si="9"/>
        <v>0.43839361759987272</v>
      </c>
      <c r="S582" s="386">
        <v>0.198852</v>
      </c>
    </row>
    <row r="583" spans="1:19" x14ac:dyDescent="0.25">
      <c r="A583">
        <v>2022</v>
      </c>
      <c r="C583" t="s">
        <v>6837</v>
      </c>
      <c r="D583" t="s">
        <v>566</v>
      </c>
      <c r="E583" t="s">
        <v>520</v>
      </c>
      <c r="F583" t="s">
        <v>362</v>
      </c>
      <c r="G583">
        <v>770156544</v>
      </c>
      <c r="H583">
        <v>29.75487</v>
      </c>
      <c r="I583">
        <v>-95.103269999999995</v>
      </c>
      <c r="J583" t="s">
        <v>567</v>
      </c>
      <c r="K583">
        <v>110000460983</v>
      </c>
      <c r="L583" t="s">
        <v>251</v>
      </c>
      <c r="R583" s="387">
        <f t="shared" si="9"/>
        <v>0.36532801466656062</v>
      </c>
      <c r="S583" s="386">
        <v>0.16571</v>
      </c>
    </row>
    <row r="584" spans="1:19" x14ac:dyDescent="0.25">
      <c r="A584">
        <v>2021</v>
      </c>
      <c r="C584" t="s">
        <v>1239</v>
      </c>
      <c r="D584" t="s">
        <v>2020</v>
      </c>
      <c r="E584" t="s">
        <v>1240</v>
      </c>
      <c r="F584" t="s">
        <v>324</v>
      </c>
      <c r="G584">
        <v>42437</v>
      </c>
      <c r="H584">
        <v>37.671391</v>
      </c>
      <c r="I584">
        <v>-87.828888000000006</v>
      </c>
      <c r="K584">
        <v>110064612557</v>
      </c>
      <c r="L584" t="s">
        <v>263</v>
      </c>
      <c r="R584" s="387">
        <f t="shared" si="9"/>
        <v>13.127144863569905</v>
      </c>
      <c r="S584" s="386">
        <v>5.9543727500000001</v>
      </c>
    </row>
    <row r="585" spans="1:19" x14ac:dyDescent="0.25">
      <c r="A585">
        <v>2022</v>
      </c>
      <c r="C585" t="s">
        <v>1239</v>
      </c>
      <c r="D585" t="s">
        <v>2020</v>
      </c>
      <c r="E585" t="s">
        <v>1240</v>
      </c>
      <c r="F585" t="s">
        <v>324</v>
      </c>
      <c r="G585">
        <v>42437</v>
      </c>
      <c r="H585">
        <v>37.671391</v>
      </c>
      <c r="I585">
        <v>-87.828888000000006</v>
      </c>
      <c r="K585">
        <v>110064612557</v>
      </c>
      <c r="L585" t="s">
        <v>263</v>
      </c>
      <c r="R585" s="387">
        <f t="shared" si="9"/>
        <v>7.8732411768742923</v>
      </c>
      <c r="S585" s="386">
        <v>3.5712421249999999</v>
      </c>
    </row>
    <row r="586" spans="1:19" x14ac:dyDescent="0.25">
      <c r="A586">
        <v>2021</v>
      </c>
      <c r="C586" t="s">
        <v>1243</v>
      </c>
      <c r="D586" t="s">
        <v>2027</v>
      </c>
      <c r="E586" t="s">
        <v>1244</v>
      </c>
      <c r="F586" t="s">
        <v>324</v>
      </c>
      <c r="G586">
        <v>40353</v>
      </c>
      <c r="H586">
        <v>38.101582000000001</v>
      </c>
      <c r="I586">
        <v>-83.919770999999997</v>
      </c>
      <c r="K586">
        <v>110039705361</v>
      </c>
      <c r="L586" t="s">
        <v>263</v>
      </c>
      <c r="R586" s="387">
        <f t="shared" si="9"/>
        <v>16.370859313616759</v>
      </c>
      <c r="S586" s="386">
        <v>7.4256968749999999</v>
      </c>
    </row>
    <row r="587" spans="1:19" x14ac:dyDescent="0.25">
      <c r="A587">
        <v>2023</v>
      </c>
      <c r="C587" t="s">
        <v>174</v>
      </c>
      <c r="D587" t="s">
        <v>568</v>
      </c>
      <c r="E587" t="s">
        <v>569</v>
      </c>
      <c r="F587" t="s">
        <v>311</v>
      </c>
      <c r="G587">
        <v>26146</v>
      </c>
      <c r="H587">
        <v>39.484572</v>
      </c>
      <c r="I587">
        <v>-81.093402999999995</v>
      </c>
      <c r="J587" t="s">
        <v>570</v>
      </c>
      <c r="K587">
        <v>110000344814</v>
      </c>
      <c r="L587" t="s">
        <v>251</v>
      </c>
      <c r="R587" s="387">
        <f t="shared" si="9"/>
        <v>4.1036845483093112</v>
      </c>
      <c r="S587" s="386">
        <v>1.8613999999999999</v>
      </c>
    </row>
    <row r="588" spans="1:19" x14ac:dyDescent="0.25">
      <c r="A588">
        <v>2024</v>
      </c>
      <c r="C588" t="s">
        <v>174</v>
      </c>
      <c r="D588" t="s">
        <v>568</v>
      </c>
      <c r="E588" t="s">
        <v>569</v>
      </c>
      <c r="F588" t="s">
        <v>311</v>
      </c>
      <c r="G588">
        <v>26146</v>
      </c>
      <c r="H588">
        <v>39.484572</v>
      </c>
      <c r="I588">
        <v>-81.093402999999995</v>
      </c>
      <c r="J588" t="s">
        <v>570</v>
      </c>
      <c r="K588">
        <v>110000344814</v>
      </c>
      <c r="L588" t="s">
        <v>251</v>
      </c>
      <c r="R588" s="387">
        <f t="shared" si="9"/>
        <v>2.2820489683281049</v>
      </c>
      <c r="S588" s="386">
        <v>1.03512</v>
      </c>
    </row>
    <row r="589" spans="1:19" x14ac:dyDescent="0.25">
      <c r="A589">
        <v>2021</v>
      </c>
      <c r="C589" t="s">
        <v>174</v>
      </c>
      <c r="D589" t="s">
        <v>568</v>
      </c>
      <c r="E589" t="s">
        <v>569</v>
      </c>
      <c r="F589" t="s">
        <v>311</v>
      </c>
      <c r="G589">
        <v>26146</v>
      </c>
      <c r="H589">
        <v>39.484572</v>
      </c>
      <c r="I589">
        <v>-81.093402999999995</v>
      </c>
      <c r="J589" t="s">
        <v>570</v>
      </c>
      <c r="K589">
        <v>110000344814</v>
      </c>
      <c r="L589" t="s">
        <v>251</v>
      </c>
      <c r="R589" s="387">
        <f t="shared" si="9"/>
        <v>2.2335053828176168</v>
      </c>
      <c r="S589" s="386">
        <v>1.013101</v>
      </c>
    </row>
    <row r="590" spans="1:19" x14ac:dyDescent="0.25">
      <c r="A590">
        <v>2022</v>
      </c>
      <c r="C590" t="s">
        <v>174</v>
      </c>
      <c r="D590" t="s">
        <v>568</v>
      </c>
      <c r="E590" t="s">
        <v>569</v>
      </c>
      <c r="F590" t="s">
        <v>311</v>
      </c>
      <c r="G590">
        <v>26146</v>
      </c>
      <c r="H590">
        <v>39.484572</v>
      </c>
      <c r="I590">
        <v>-81.093402999999995</v>
      </c>
      <c r="J590" t="s">
        <v>570</v>
      </c>
      <c r="K590">
        <v>110000344814</v>
      </c>
      <c r="L590" t="s">
        <v>251</v>
      </c>
      <c r="R590" s="387">
        <f t="shared" si="9"/>
        <v>1.8266400733328032</v>
      </c>
      <c r="S590" s="386">
        <v>0.82855000000000001</v>
      </c>
    </row>
    <row r="591" spans="1:19" x14ac:dyDescent="0.25">
      <c r="A591">
        <v>2022</v>
      </c>
      <c r="C591" t="s">
        <v>6816</v>
      </c>
      <c r="D591" t="s">
        <v>6971</v>
      </c>
      <c r="E591" t="s">
        <v>6972</v>
      </c>
      <c r="F591" t="s">
        <v>979</v>
      </c>
      <c r="G591">
        <v>38012</v>
      </c>
      <c r="H591">
        <v>35.607599999999998</v>
      </c>
      <c r="I591">
        <v>-89.237700000000004</v>
      </c>
      <c r="J591" t="s">
        <v>7125</v>
      </c>
      <c r="K591">
        <v>110000373621</v>
      </c>
      <c r="L591" t="s">
        <v>265</v>
      </c>
      <c r="R591" s="387">
        <f t="shared" si="9"/>
        <v>0.49950156789453931</v>
      </c>
      <c r="S591" s="386">
        <v>0.2265701</v>
      </c>
    </row>
    <row r="592" spans="1:19" x14ac:dyDescent="0.25">
      <c r="A592">
        <v>2024</v>
      </c>
      <c r="C592" t="s">
        <v>6816</v>
      </c>
      <c r="D592" t="s">
        <v>6971</v>
      </c>
      <c r="E592" t="s">
        <v>6972</v>
      </c>
      <c r="F592" t="s">
        <v>979</v>
      </c>
      <c r="G592">
        <v>38012</v>
      </c>
      <c r="H592">
        <v>35.607599999999998</v>
      </c>
      <c r="I592">
        <v>-89.237700000000004</v>
      </c>
      <c r="J592" t="s">
        <v>7125</v>
      </c>
      <c r="K592">
        <v>110000373621</v>
      </c>
      <c r="L592" t="s">
        <v>265</v>
      </c>
      <c r="R592" s="387">
        <f t="shared" si="9"/>
        <v>0.3167570918355615</v>
      </c>
      <c r="S592" s="386">
        <v>0.14367859999999999</v>
      </c>
    </row>
    <row r="593" spans="1:19" x14ac:dyDescent="0.25">
      <c r="A593">
        <v>2023</v>
      </c>
      <c r="C593" t="s">
        <v>6816</v>
      </c>
      <c r="D593" t="s">
        <v>6971</v>
      </c>
      <c r="E593" t="s">
        <v>6972</v>
      </c>
      <c r="F593" t="s">
        <v>979</v>
      </c>
      <c r="G593">
        <v>38012</v>
      </c>
      <c r="H593">
        <v>35.607599999999998</v>
      </c>
      <c r="I593">
        <v>-89.237700000000004</v>
      </c>
      <c r="J593" t="s">
        <v>7125</v>
      </c>
      <c r="K593">
        <v>110000373621</v>
      </c>
      <c r="L593" t="s">
        <v>265</v>
      </c>
      <c r="R593" s="387">
        <f t="shared" si="9"/>
        <v>0.26802523155316738</v>
      </c>
      <c r="S593" s="386">
        <v>0.12157419999999999</v>
      </c>
    </row>
    <row r="594" spans="1:19" x14ac:dyDescent="0.25">
      <c r="A594">
        <v>2023</v>
      </c>
      <c r="C594" t="s">
        <v>6816</v>
      </c>
      <c r="D594" t="s">
        <v>6971</v>
      </c>
      <c r="E594" t="s">
        <v>6972</v>
      </c>
      <c r="F594" t="s">
        <v>979</v>
      </c>
      <c r="G594">
        <v>38012</v>
      </c>
      <c r="H594">
        <v>35.607599999999998</v>
      </c>
      <c r="I594">
        <v>-89.237700000000004</v>
      </c>
      <c r="J594" t="s">
        <v>7125</v>
      </c>
      <c r="K594">
        <v>110000373621</v>
      </c>
      <c r="L594" t="s">
        <v>265</v>
      </c>
      <c r="R594" s="387">
        <f t="shared" si="9"/>
        <v>8.5280755494189633E-2</v>
      </c>
      <c r="S594" s="386">
        <v>3.86827E-2</v>
      </c>
    </row>
    <row r="595" spans="1:19" x14ac:dyDescent="0.25">
      <c r="A595">
        <v>2024</v>
      </c>
      <c r="C595" t="s">
        <v>6794</v>
      </c>
      <c r="D595" t="s">
        <v>6945</v>
      </c>
      <c r="E595" t="s">
        <v>6917</v>
      </c>
      <c r="F595" t="s">
        <v>366</v>
      </c>
      <c r="G595">
        <v>95014</v>
      </c>
      <c r="H595">
        <v>37.318058999999998</v>
      </c>
      <c r="I595">
        <v>-122.09263199999999</v>
      </c>
      <c r="J595" t="s">
        <v>7121</v>
      </c>
      <c r="K595">
        <v>110000484039</v>
      </c>
      <c r="L595" t="s">
        <v>265</v>
      </c>
      <c r="R595" s="387">
        <f t="shared" si="9"/>
        <v>7.2592197373161277E-2</v>
      </c>
      <c r="S595" s="386">
        <v>3.2927266849999998E-2</v>
      </c>
    </row>
    <row r="596" spans="1:19" x14ac:dyDescent="0.25">
      <c r="A596">
        <v>2023</v>
      </c>
      <c r="C596" t="s">
        <v>6794</v>
      </c>
      <c r="D596" t="s">
        <v>6945</v>
      </c>
      <c r="E596" t="s">
        <v>6917</v>
      </c>
      <c r="F596" t="s">
        <v>366</v>
      </c>
      <c r="G596">
        <v>95014</v>
      </c>
      <c r="H596">
        <v>37.318058999999998</v>
      </c>
      <c r="I596">
        <v>-122.09263199999999</v>
      </c>
      <c r="J596" t="s">
        <v>7121</v>
      </c>
      <c r="K596">
        <v>110000484039</v>
      </c>
      <c r="L596" t="s">
        <v>265</v>
      </c>
      <c r="R596" s="387">
        <f t="shared" si="9"/>
        <v>6.7725102827457168E-2</v>
      </c>
      <c r="S596" s="386">
        <v>3.07195899E-2</v>
      </c>
    </row>
    <row r="597" spans="1:19" x14ac:dyDescent="0.25">
      <c r="A597">
        <v>2022</v>
      </c>
      <c r="C597" t="s">
        <v>6794</v>
      </c>
      <c r="D597" t="s">
        <v>6945</v>
      </c>
      <c r="E597" t="s">
        <v>6917</v>
      </c>
      <c r="F597" t="s">
        <v>366</v>
      </c>
      <c r="G597">
        <v>95014</v>
      </c>
      <c r="H597">
        <v>37.318058999999998</v>
      </c>
      <c r="I597">
        <v>-122.09263199999999</v>
      </c>
      <c r="J597" t="s">
        <v>7121</v>
      </c>
      <c r="K597">
        <v>110000484039</v>
      </c>
      <c r="L597" t="s">
        <v>265</v>
      </c>
      <c r="R597" s="387">
        <f t="shared" si="9"/>
        <v>5.5919809674047208E-2</v>
      </c>
      <c r="S597" s="386">
        <v>2.5364799E-2</v>
      </c>
    </row>
    <row r="598" spans="1:19" x14ac:dyDescent="0.25">
      <c r="A598">
        <v>2022</v>
      </c>
      <c r="C598" t="s">
        <v>6801</v>
      </c>
      <c r="D598" t="s">
        <v>6952</v>
      </c>
      <c r="E598" t="s">
        <v>6953</v>
      </c>
      <c r="F598" t="s">
        <v>553</v>
      </c>
      <c r="G598" t="s">
        <v>6954</v>
      </c>
      <c r="H598">
        <v>41.633920000000003</v>
      </c>
      <c r="I598">
        <v>-71.493690000000001</v>
      </c>
      <c r="K598">
        <v>110000581255</v>
      </c>
      <c r="L598" t="s">
        <v>265</v>
      </c>
      <c r="R598" s="387">
        <f t="shared" si="9"/>
        <v>0.5139275336575877</v>
      </c>
      <c r="S598" s="386">
        <v>0.233113608</v>
      </c>
    </row>
    <row r="599" spans="1:19" x14ac:dyDescent="0.25">
      <c r="A599">
        <v>2021</v>
      </c>
      <c r="C599" t="s">
        <v>6871</v>
      </c>
      <c r="D599" t="s">
        <v>7039</v>
      </c>
      <c r="E599" t="s">
        <v>7040</v>
      </c>
      <c r="F599" t="s">
        <v>311</v>
      </c>
      <c r="G599">
        <v>26101</v>
      </c>
      <c r="H599">
        <v>39.237650000000002</v>
      </c>
      <c r="I599">
        <v>-81.526092000000006</v>
      </c>
      <c r="K599">
        <v>110043086941</v>
      </c>
      <c r="L599" t="s">
        <v>265</v>
      </c>
      <c r="R599" s="387">
        <f t="shared" si="9"/>
        <v>0.74734525506799199</v>
      </c>
      <c r="S599" s="386">
        <v>0.338990105454545</v>
      </c>
    </row>
    <row r="600" spans="1:19" x14ac:dyDescent="0.25">
      <c r="A600">
        <v>2022</v>
      </c>
      <c r="C600" t="s">
        <v>6871</v>
      </c>
      <c r="D600" t="s">
        <v>7039</v>
      </c>
      <c r="E600" t="s">
        <v>7040</v>
      </c>
      <c r="F600" t="s">
        <v>311</v>
      </c>
      <c r="G600">
        <v>26101</v>
      </c>
      <c r="H600">
        <v>39.237650000000002</v>
      </c>
      <c r="I600">
        <v>-81.526092000000006</v>
      </c>
      <c r="K600">
        <v>110043086941</v>
      </c>
      <c r="L600" t="s">
        <v>265</v>
      </c>
      <c r="R600" s="387">
        <f t="shared" si="9"/>
        <v>4.5686119014744448E-3</v>
      </c>
      <c r="S600" s="386">
        <v>2.0722875000000001E-3</v>
      </c>
    </row>
    <row r="601" spans="1:19" x14ac:dyDescent="0.25">
      <c r="A601">
        <v>2023</v>
      </c>
      <c r="C601" t="s">
        <v>6871</v>
      </c>
      <c r="D601" t="s">
        <v>7039</v>
      </c>
      <c r="E601" t="s">
        <v>7040</v>
      </c>
      <c r="F601" t="s">
        <v>311</v>
      </c>
      <c r="G601">
        <v>26101</v>
      </c>
      <c r="H601">
        <v>39.237650000000002</v>
      </c>
      <c r="I601">
        <v>-81.526092000000006</v>
      </c>
      <c r="K601">
        <v>110043086941</v>
      </c>
      <c r="L601" t="s">
        <v>265</v>
      </c>
      <c r="R601" s="387">
        <f t="shared" si="9"/>
        <v>4.5686119014744448E-3</v>
      </c>
      <c r="S601" s="386">
        <v>2.0722875000000001E-3</v>
      </c>
    </row>
    <row r="602" spans="1:19" x14ac:dyDescent="0.25">
      <c r="A602">
        <v>2021</v>
      </c>
      <c r="C602" t="s">
        <v>6881</v>
      </c>
      <c r="D602" t="s">
        <v>571</v>
      </c>
      <c r="E602" t="s">
        <v>572</v>
      </c>
      <c r="F602" t="s">
        <v>303</v>
      </c>
      <c r="G602">
        <v>70051</v>
      </c>
      <c r="H602">
        <v>30.048590999999998</v>
      </c>
      <c r="I602">
        <v>-90.630941000000007</v>
      </c>
      <c r="J602" t="s">
        <v>573</v>
      </c>
      <c r="K602">
        <v>110007015871</v>
      </c>
      <c r="L602" t="s">
        <v>265</v>
      </c>
      <c r="R602" s="387">
        <f t="shared" si="9"/>
        <v>0.36532801466656062</v>
      </c>
      <c r="S602" s="386">
        <v>0.16571</v>
      </c>
    </row>
    <row r="603" spans="1:19" x14ac:dyDescent="0.25">
      <c r="A603">
        <v>2022</v>
      </c>
      <c r="C603" t="s">
        <v>6881</v>
      </c>
      <c r="D603" t="s">
        <v>571</v>
      </c>
      <c r="E603" t="s">
        <v>572</v>
      </c>
      <c r="F603" t="s">
        <v>303</v>
      </c>
      <c r="G603">
        <v>70051</v>
      </c>
      <c r="H603">
        <v>30.048590999999998</v>
      </c>
      <c r="I603">
        <v>-90.630941000000007</v>
      </c>
      <c r="J603" t="s">
        <v>573</v>
      </c>
      <c r="K603">
        <v>110007015871</v>
      </c>
      <c r="L603" t="s">
        <v>265</v>
      </c>
      <c r="R603" s="387">
        <f t="shared" si="9"/>
        <v>0.18266400733328031</v>
      </c>
      <c r="S603" s="386">
        <v>8.2854999999999998E-2</v>
      </c>
    </row>
    <row r="604" spans="1:19" x14ac:dyDescent="0.25">
      <c r="A604">
        <v>2023</v>
      </c>
      <c r="C604" t="s">
        <v>6881</v>
      </c>
      <c r="D604" t="s">
        <v>571</v>
      </c>
      <c r="E604" t="s">
        <v>572</v>
      </c>
      <c r="F604" t="s">
        <v>303</v>
      </c>
      <c r="G604">
        <v>70051</v>
      </c>
      <c r="H604">
        <v>30.048590999999998</v>
      </c>
      <c r="I604">
        <v>-90.630941000000007</v>
      </c>
      <c r="J604" t="s">
        <v>573</v>
      </c>
      <c r="K604">
        <v>110007015871</v>
      </c>
      <c r="L604" t="s">
        <v>265</v>
      </c>
      <c r="R604" s="387">
        <f t="shared" si="9"/>
        <v>0.18266400733328031</v>
      </c>
      <c r="S604" s="386">
        <v>8.2854999999999998E-2</v>
      </c>
    </row>
    <row r="605" spans="1:19" x14ac:dyDescent="0.25">
      <c r="A605">
        <v>2024</v>
      </c>
      <c r="C605" t="s">
        <v>6881</v>
      </c>
      <c r="D605" t="s">
        <v>571</v>
      </c>
      <c r="E605" t="s">
        <v>572</v>
      </c>
      <c r="F605" t="s">
        <v>303</v>
      </c>
      <c r="G605">
        <v>70051</v>
      </c>
      <c r="H605">
        <v>30.048590999999998</v>
      </c>
      <c r="I605">
        <v>-90.630941000000007</v>
      </c>
      <c r="J605" t="s">
        <v>573</v>
      </c>
      <c r="K605">
        <v>110007015871</v>
      </c>
      <c r="L605" t="s">
        <v>265</v>
      </c>
      <c r="R605" s="387">
        <f t="shared" si="9"/>
        <v>0.18266400733328031</v>
      </c>
      <c r="S605" s="386">
        <v>8.2854999999999998E-2</v>
      </c>
    </row>
    <row r="606" spans="1:19" x14ac:dyDescent="0.25">
      <c r="A606">
        <v>2021</v>
      </c>
      <c r="C606" t="s">
        <v>1250</v>
      </c>
      <c r="D606" t="s">
        <v>2038</v>
      </c>
      <c r="E606" t="s">
        <v>1463</v>
      </c>
      <c r="F606" t="s">
        <v>366</v>
      </c>
      <c r="G606" t="s">
        <v>1463</v>
      </c>
      <c r="H606">
        <v>33.022727000000003</v>
      </c>
      <c r="I606">
        <v>-118.58829299999999</v>
      </c>
      <c r="J606" t="s">
        <v>726</v>
      </c>
      <c r="K606">
        <v>110071169347</v>
      </c>
      <c r="L606" t="s">
        <v>263</v>
      </c>
      <c r="R606" s="387">
        <f t="shared" si="9"/>
        <v>1.8502953301441114E-2</v>
      </c>
      <c r="S606" s="386">
        <v>8.3927984399999999E-3</v>
      </c>
    </row>
    <row r="607" spans="1:19" x14ac:dyDescent="0.25">
      <c r="A607">
        <v>2024</v>
      </c>
      <c r="C607" t="s">
        <v>6871</v>
      </c>
      <c r="D607" t="s">
        <v>7039</v>
      </c>
      <c r="E607" t="s">
        <v>7040</v>
      </c>
      <c r="F607" t="s">
        <v>311</v>
      </c>
      <c r="G607">
        <v>26101</v>
      </c>
      <c r="H607">
        <v>39.237650000000002</v>
      </c>
      <c r="I607">
        <v>-81.526092000000006</v>
      </c>
      <c r="K607">
        <v>110043086941</v>
      </c>
      <c r="L607" t="s">
        <v>265</v>
      </c>
      <c r="R607" s="387">
        <f t="shared" si="9"/>
        <v>3.4170713674041737E-3</v>
      </c>
      <c r="S607" s="386">
        <v>1.5499575E-3</v>
      </c>
    </row>
    <row r="608" spans="1:19" x14ac:dyDescent="0.25">
      <c r="A608">
        <v>2023</v>
      </c>
      <c r="C608" t="s">
        <v>1256</v>
      </c>
      <c r="D608" t="s">
        <v>2046</v>
      </c>
      <c r="E608" t="s">
        <v>549</v>
      </c>
      <c r="F608" t="s">
        <v>366</v>
      </c>
      <c r="G608">
        <v>95959</v>
      </c>
      <c r="H608">
        <v>39.259293999999997</v>
      </c>
      <c r="I608">
        <v>-121.03256</v>
      </c>
      <c r="K608">
        <v>110000519920</v>
      </c>
      <c r="L608" t="s">
        <v>263</v>
      </c>
      <c r="R608" s="387">
        <f t="shared" si="9"/>
        <v>7.6968969297256926E-2</v>
      </c>
      <c r="S608" s="386">
        <v>3.4912537200000003E-2</v>
      </c>
    </row>
    <row r="609" spans="1:19" x14ac:dyDescent="0.25">
      <c r="A609">
        <v>2024</v>
      </c>
      <c r="C609" t="s">
        <v>6896</v>
      </c>
      <c r="D609" t="s">
        <v>7082</v>
      </c>
      <c r="E609" t="s">
        <v>7083</v>
      </c>
      <c r="F609" t="s">
        <v>294</v>
      </c>
      <c r="G609">
        <v>22191</v>
      </c>
      <c r="H609">
        <v>38.654493000000002</v>
      </c>
      <c r="I609">
        <v>-77.248682000000002</v>
      </c>
      <c r="K609">
        <v>110071672105</v>
      </c>
      <c r="L609" t="s">
        <v>265</v>
      </c>
      <c r="R609" s="387">
        <f t="shared" si="9"/>
        <v>2.6486076001927018E-4</v>
      </c>
      <c r="S609" s="386">
        <v>1.20138819857142E-4</v>
      </c>
    </row>
    <row r="610" spans="1:19" x14ac:dyDescent="0.25">
      <c r="A610">
        <v>2024</v>
      </c>
      <c r="C610" t="s">
        <v>6896</v>
      </c>
      <c r="D610" t="s">
        <v>7082</v>
      </c>
      <c r="E610" t="s">
        <v>7083</v>
      </c>
      <c r="F610" t="s">
        <v>294</v>
      </c>
      <c r="G610">
        <v>22191</v>
      </c>
      <c r="H610">
        <v>38.654493000000002</v>
      </c>
      <c r="I610">
        <v>-77.248682000000002</v>
      </c>
      <c r="K610">
        <v>110071672105</v>
      </c>
      <c r="L610" t="s">
        <v>265</v>
      </c>
      <c r="R610" s="387">
        <f t="shared" si="9"/>
        <v>2.4882573689298388E-5</v>
      </c>
      <c r="S610" s="386">
        <v>1.12865455714285E-5</v>
      </c>
    </row>
    <row r="611" spans="1:19" x14ac:dyDescent="0.25">
      <c r="A611">
        <v>2021</v>
      </c>
      <c r="C611" t="s">
        <v>6834</v>
      </c>
      <c r="D611" t="s">
        <v>6989</v>
      </c>
      <c r="E611" t="s">
        <v>500</v>
      </c>
      <c r="F611" t="s">
        <v>303</v>
      </c>
      <c r="G611">
        <v>70767</v>
      </c>
      <c r="H611">
        <v>30.4375</v>
      </c>
      <c r="I611">
        <v>-91.203056000000004</v>
      </c>
      <c r="K611">
        <v>110008052926</v>
      </c>
      <c r="L611" t="s">
        <v>265</v>
      </c>
      <c r="R611" s="387">
        <f t="shared" si="9"/>
        <v>1.9146414125087687E-2</v>
      </c>
      <c r="S611" s="386">
        <v>8.6846673600000004E-3</v>
      </c>
    </row>
    <row r="612" spans="1:19" x14ac:dyDescent="0.25">
      <c r="A612">
        <v>2021</v>
      </c>
      <c r="C612" t="s">
        <v>6790</v>
      </c>
      <c r="D612" t="s">
        <v>6941</v>
      </c>
      <c r="E612" t="s">
        <v>6942</v>
      </c>
      <c r="F612" t="s">
        <v>1249</v>
      </c>
      <c r="G612">
        <v>87416</v>
      </c>
      <c r="H612">
        <v>36.688809999999997</v>
      </c>
      <c r="I612">
        <v>-108.48036</v>
      </c>
      <c r="J612" t="s">
        <v>7120</v>
      </c>
      <c r="K612">
        <v>110042068473</v>
      </c>
      <c r="L612" t="s">
        <v>265</v>
      </c>
      <c r="R612" s="387">
        <f t="shared" si="9"/>
        <v>3.5697756556178404</v>
      </c>
      <c r="S612" s="386">
        <v>1.6192230000000001</v>
      </c>
    </row>
    <row r="613" spans="1:19" x14ac:dyDescent="0.25">
      <c r="A613">
        <v>2024</v>
      </c>
      <c r="C613" t="s">
        <v>6894</v>
      </c>
      <c r="D613" t="s">
        <v>7076</v>
      </c>
      <c r="E613" t="s">
        <v>1403</v>
      </c>
      <c r="F613" t="s">
        <v>294</v>
      </c>
      <c r="G613">
        <v>23451</v>
      </c>
      <c r="H613">
        <v>36.816054000000001</v>
      </c>
      <c r="I613">
        <v>-75.971458999999996</v>
      </c>
      <c r="K613">
        <v>110071538714</v>
      </c>
      <c r="L613" t="s">
        <v>265</v>
      </c>
      <c r="R613" s="387">
        <f t="shared" si="9"/>
        <v>0.26816055425491392</v>
      </c>
      <c r="S613" s="386">
        <v>0.12163558134499999</v>
      </c>
    </row>
    <row r="614" spans="1:19" x14ac:dyDescent="0.25">
      <c r="A614">
        <v>2024</v>
      </c>
      <c r="C614" t="s">
        <v>6889</v>
      </c>
      <c r="D614" t="s">
        <v>7069</v>
      </c>
      <c r="E614" t="s">
        <v>6925</v>
      </c>
      <c r="F614" t="s">
        <v>366</v>
      </c>
      <c r="G614" t="s">
        <v>7070</v>
      </c>
      <c r="H614">
        <v>38.055900000000001</v>
      </c>
      <c r="I614">
        <v>-122.21435</v>
      </c>
      <c r="K614">
        <v>110001163062</v>
      </c>
      <c r="L614" t="s">
        <v>265</v>
      </c>
      <c r="R614" s="387">
        <f t="shared" si="9"/>
        <v>2.5667905343844297E-3</v>
      </c>
      <c r="S614" s="386">
        <v>1.164276601785E-3</v>
      </c>
    </row>
    <row r="615" spans="1:19" x14ac:dyDescent="0.25">
      <c r="A615">
        <v>2023</v>
      </c>
      <c r="C615" t="s">
        <v>6889</v>
      </c>
      <c r="D615" t="s">
        <v>7069</v>
      </c>
      <c r="E615" t="s">
        <v>6925</v>
      </c>
      <c r="F615" t="s">
        <v>366</v>
      </c>
      <c r="G615" t="s">
        <v>7070</v>
      </c>
      <c r="H615">
        <v>38.055900000000001</v>
      </c>
      <c r="I615">
        <v>-122.21435</v>
      </c>
      <c r="K615">
        <v>110001163062</v>
      </c>
      <c r="L615" t="s">
        <v>265</v>
      </c>
      <c r="R615" s="387">
        <f t="shared" si="9"/>
        <v>2.2724016709926138E-3</v>
      </c>
      <c r="S615" s="386">
        <v>1.0307440595375E-3</v>
      </c>
    </row>
    <row r="616" spans="1:19" x14ac:dyDescent="0.25">
      <c r="A616">
        <v>2024</v>
      </c>
      <c r="C616" t="s">
        <v>1261</v>
      </c>
      <c r="D616" t="s">
        <v>2053</v>
      </c>
      <c r="E616" t="s">
        <v>966</v>
      </c>
      <c r="F616" t="s">
        <v>491</v>
      </c>
      <c r="G616" t="s">
        <v>2054</v>
      </c>
      <c r="H616">
        <v>39.991410000000002</v>
      </c>
      <c r="I616">
        <v>-75.085030000000003</v>
      </c>
      <c r="K616">
        <v>110001076978</v>
      </c>
      <c r="L616" t="s">
        <v>263</v>
      </c>
      <c r="R616" s="387">
        <f t="shared" si="9"/>
        <v>638.82336964795059</v>
      </c>
      <c r="S616" s="386">
        <v>289.76540625000001</v>
      </c>
    </row>
    <row r="617" spans="1:19" x14ac:dyDescent="0.25">
      <c r="A617">
        <v>2022</v>
      </c>
      <c r="C617" t="s">
        <v>1261</v>
      </c>
      <c r="D617" t="s">
        <v>2053</v>
      </c>
      <c r="E617" t="s">
        <v>966</v>
      </c>
      <c r="F617" t="s">
        <v>491</v>
      </c>
      <c r="G617" t="s">
        <v>2054</v>
      </c>
      <c r="H617">
        <v>39.991410000000002</v>
      </c>
      <c r="I617">
        <v>-75.085030000000003</v>
      </c>
      <c r="K617">
        <v>110001076978</v>
      </c>
      <c r="L617" t="s">
        <v>263</v>
      </c>
      <c r="R617" s="387">
        <f t="shared" si="9"/>
        <v>626.52566774877619</v>
      </c>
      <c r="S617" s="386">
        <v>284.18726249999997</v>
      </c>
    </row>
    <row r="618" spans="1:19" x14ac:dyDescent="0.25">
      <c r="A618">
        <v>2021</v>
      </c>
      <c r="C618" t="s">
        <v>1261</v>
      </c>
      <c r="D618" t="s">
        <v>2053</v>
      </c>
      <c r="E618" t="s">
        <v>966</v>
      </c>
      <c r="F618" t="s">
        <v>491</v>
      </c>
      <c r="G618" t="s">
        <v>2054</v>
      </c>
      <c r="H618">
        <v>39.991410000000002</v>
      </c>
      <c r="I618">
        <v>-75.085030000000003</v>
      </c>
      <c r="K618">
        <v>110001076978</v>
      </c>
      <c r="L618" t="s">
        <v>263</v>
      </c>
      <c r="R618" s="387">
        <f t="shared" si="9"/>
        <v>622.38679742342231</v>
      </c>
      <c r="S618" s="386">
        <v>282.30990250000002</v>
      </c>
    </row>
    <row r="619" spans="1:19" x14ac:dyDescent="0.25">
      <c r="A619">
        <v>2023</v>
      </c>
      <c r="C619" t="s">
        <v>1261</v>
      </c>
      <c r="D619" t="s">
        <v>2053</v>
      </c>
      <c r="E619" t="s">
        <v>966</v>
      </c>
      <c r="F619" t="s">
        <v>491</v>
      </c>
      <c r="G619" t="s">
        <v>2054</v>
      </c>
      <c r="H619">
        <v>39.991410000000002</v>
      </c>
      <c r="I619">
        <v>-75.085030000000003</v>
      </c>
      <c r="K619">
        <v>110001076978</v>
      </c>
      <c r="L619" t="s">
        <v>263</v>
      </c>
      <c r="R619" s="387">
        <f t="shared" si="9"/>
        <v>603.20279968554132</v>
      </c>
      <c r="S619" s="386">
        <v>273.60818749999999</v>
      </c>
    </row>
    <row r="620" spans="1:19" x14ac:dyDescent="0.25">
      <c r="A620">
        <v>2021</v>
      </c>
      <c r="C620" t="s">
        <v>6872</v>
      </c>
      <c r="D620" t="s">
        <v>7041</v>
      </c>
      <c r="E620" t="s">
        <v>6942</v>
      </c>
      <c r="F620" t="s">
        <v>1249</v>
      </c>
      <c r="G620">
        <v>87416</v>
      </c>
      <c r="H620">
        <v>36.716268999999997</v>
      </c>
      <c r="I620">
        <v>-108.255737</v>
      </c>
      <c r="K620">
        <v>110064631457</v>
      </c>
      <c r="L620" t="s">
        <v>263</v>
      </c>
      <c r="R620" s="387">
        <f t="shared" si="9"/>
        <v>0.24566198060165781</v>
      </c>
      <c r="S620" s="386">
        <v>0.1114304</v>
      </c>
    </row>
    <row r="621" spans="1:19" x14ac:dyDescent="0.25">
      <c r="A621">
        <v>2024</v>
      </c>
      <c r="C621" t="s">
        <v>6872</v>
      </c>
      <c r="D621" t="s">
        <v>7041</v>
      </c>
      <c r="E621" t="s">
        <v>6942</v>
      </c>
      <c r="F621" t="s">
        <v>1249</v>
      </c>
      <c r="G621">
        <v>87416</v>
      </c>
      <c r="H621">
        <v>36.716268999999997</v>
      </c>
      <c r="I621">
        <v>-108.255737</v>
      </c>
      <c r="K621">
        <v>110064631457</v>
      </c>
      <c r="L621" t="s">
        <v>263</v>
      </c>
      <c r="R621" s="387">
        <f t="shared" si="9"/>
        <v>3.9594636479445187E-2</v>
      </c>
      <c r="S621" s="386">
        <v>1.7959824999999999E-2</v>
      </c>
    </row>
    <row r="622" spans="1:19" x14ac:dyDescent="0.25">
      <c r="A622">
        <v>2021</v>
      </c>
      <c r="C622" t="s">
        <v>1264</v>
      </c>
      <c r="D622" t="s">
        <v>2061</v>
      </c>
      <c r="E622" t="s">
        <v>1265</v>
      </c>
      <c r="F622" t="s">
        <v>324</v>
      </c>
      <c r="G622">
        <v>40475</v>
      </c>
      <c r="H622">
        <v>37.852220000000003</v>
      </c>
      <c r="I622">
        <v>-84.363079999999997</v>
      </c>
      <c r="K622">
        <v>110016759444</v>
      </c>
      <c r="L622" t="s">
        <v>263</v>
      </c>
      <c r="R622" s="387">
        <f t="shared" si="9"/>
        <v>1.5289621163601144</v>
      </c>
      <c r="S622" s="386">
        <v>0.69352555000000005</v>
      </c>
    </row>
    <row r="623" spans="1:19" x14ac:dyDescent="0.25">
      <c r="A623">
        <v>2024</v>
      </c>
      <c r="C623" t="s">
        <v>1264</v>
      </c>
      <c r="D623" t="s">
        <v>2061</v>
      </c>
      <c r="E623" t="s">
        <v>1265</v>
      </c>
      <c r="F623" t="s">
        <v>324</v>
      </c>
      <c r="G623">
        <v>40475</v>
      </c>
      <c r="H623">
        <v>37.852220000000003</v>
      </c>
      <c r="I623">
        <v>-84.363079999999997</v>
      </c>
      <c r="K623">
        <v>110016759444</v>
      </c>
      <c r="L623" t="s">
        <v>263</v>
      </c>
      <c r="R623" s="387">
        <f t="shared" si="9"/>
        <v>0.79798421212420301</v>
      </c>
      <c r="S623" s="386">
        <v>0.36195955000000002</v>
      </c>
    </row>
    <row r="624" spans="1:19" x14ac:dyDescent="0.25">
      <c r="A624">
        <v>2024</v>
      </c>
      <c r="C624" t="s">
        <v>215</v>
      </c>
      <c r="D624" t="s">
        <v>2065</v>
      </c>
      <c r="E624" t="s">
        <v>1103</v>
      </c>
      <c r="F624" t="s">
        <v>345</v>
      </c>
      <c r="G624">
        <v>60450</v>
      </c>
      <c r="H624">
        <v>41.405655000000003</v>
      </c>
      <c r="I624">
        <v>-88.335212999999996</v>
      </c>
      <c r="J624" t="s">
        <v>727</v>
      </c>
      <c r="K624">
        <v>110000547196</v>
      </c>
      <c r="L624" t="s">
        <v>253</v>
      </c>
      <c r="R624" s="387">
        <f t="shared" si="9"/>
        <v>1.1820613296471456</v>
      </c>
      <c r="S624" s="386">
        <v>0.53617400000000004</v>
      </c>
    </row>
    <row r="625" spans="1:19" x14ac:dyDescent="0.25">
      <c r="A625">
        <v>2022</v>
      </c>
      <c r="C625" t="s">
        <v>215</v>
      </c>
      <c r="D625" t="s">
        <v>2065</v>
      </c>
      <c r="E625" t="s">
        <v>1103</v>
      </c>
      <c r="F625" t="s">
        <v>345</v>
      </c>
      <c r="G625">
        <v>60450</v>
      </c>
      <c r="H625">
        <v>41.405655000000003</v>
      </c>
      <c r="I625">
        <v>-88.335212999999996</v>
      </c>
      <c r="J625" t="s">
        <v>727</v>
      </c>
      <c r="K625">
        <v>110000547196</v>
      </c>
      <c r="L625" t="s">
        <v>253</v>
      </c>
      <c r="R625" s="387">
        <f t="shared" si="9"/>
        <v>0.19061114277561592</v>
      </c>
      <c r="S625" s="386">
        <v>8.6459759999999997E-2</v>
      </c>
    </row>
    <row r="626" spans="1:19" x14ac:dyDescent="0.25">
      <c r="A626">
        <v>2021</v>
      </c>
      <c r="C626" t="s">
        <v>215</v>
      </c>
      <c r="D626" t="s">
        <v>2065</v>
      </c>
      <c r="E626" t="s">
        <v>1103</v>
      </c>
      <c r="F626" t="s">
        <v>345</v>
      </c>
      <c r="G626">
        <v>60450</v>
      </c>
      <c r="H626">
        <v>41.405655000000003</v>
      </c>
      <c r="I626">
        <v>-88.335212999999996</v>
      </c>
      <c r="J626" t="s">
        <v>727</v>
      </c>
      <c r="K626">
        <v>110000547196</v>
      </c>
      <c r="L626" t="s">
        <v>253</v>
      </c>
      <c r="R626" s="387">
        <f t="shared" si="9"/>
        <v>0.13178832792094805</v>
      </c>
      <c r="S626" s="386">
        <v>5.977818E-2</v>
      </c>
    </row>
    <row r="627" spans="1:19" x14ac:dyDescent="0.25">
      <c r="A627">
        <v>2023</v>
      </c>
      <c r="C627" t="s">
        <v>215</v>
      </c>
      <c r="D627" t="s">
        <v>2065</v>
      </c>
      <c r="E627" t="s">
        <v>1103</v>
      </c>
      <c r="F627" t="s">
        <v>345</v>
      </c>
      <c r="G627">
        <v>60450</v>
      </c>
      <c r="H627">
        <v>41.405655000000003</v>
      </c>
      <c r="I627">
        <v>-88.335212999999996</v>
      </c>
      <c r="J627" t="s">
        <v>727</v>
      </c>
      <c r="K627">
        <v>110000547196</v>
      </c>
      <c r="L627" t="s">
        <v>253</v>
      </c>
      <c r="R627" s="387">
        <f t="shared" si="9"/>
        <v>0.12720421201088544</v>
      </c>
      <c r="S627" s="386">
        <v>5.7698859999999998E-2</v>
      </c>
    </row>
    <row r="628" spans="1:19" x14ac:dyDescent="0.25">
      <c r="A628">
        <v>2021</v>
      </c>
      <c r="C628" t="s">
        <v>6833</v>
      </c>
      <c r="D628" t="s">
        <v>6987</v>
      </c>
      <c r="E628" t="s">
        <v>6988</v>
      </c>
      <c r="F628" t="s">
        <v>366</v>
      </c>
      <c r="G628">
        <v>95954</v>
      </c>
      <c r="H628">
        <v>39.814230000000002</v>
      </c>
      <c r="I628">
        <v>-121.58031699999999</v>
      </c>
      <c r="K628">
        <v>110000520026</v>
      </c>
      <c r="L628" t="s">
        <v>6751</v>
      </c>
      <c r="R628" s="387">
        <f t="shared" si="9"/>
        <v>2.5585866341843445E-2</v>
      </c>
      <c r="S628" s="386">
        <v>1.1605553752499999E-2</v>
      </c>
    </row>
    <row r="629" spans="1:19" x14ac:dyDescent="0.25">
      <c r="A629">
        <v>2023</v>
      </c>
      <c r="C629" t="s">
        <v>6807</v>
      </c>
      <c r="D629" t="s">
        <v>6960</v>
      </c>
      <c r="E629" t="s">
        <v>457</v>
      </c>
      <c r="F629" t="s">
        <v>366</v>
      </c>
      <c r="G629" t="s">
        <v>6961</v>
      </c>
      <c r="H629">
        <v>32.796432000000003</v>
      </c>
      <c r="I629">
        <v>-115.667761</v>
      </c>
      <c r="K629">
        <v>110013128169</v>
      </c>
      <c r="L629" t="s">
        <v>265</v>
      </c>
      <c r="R629" s="387">
        <f t="shared" si="9"/>
        <v>4.5686119014744448E-3</v>
      </c>
      <c r="S629" s="386">
        <v>2.0722875000000001E-3</v>
      </c>
    </row>
    <row r="630" spans="1:19" x14ac:dyDescent="0.25">
      <c r="A630">
        <v>2024</v>
      </c>
      <c r="C630" t="s">
        <v>6807</v>
      </c>
      <c r="D630" t="s">
        <v>6960</v>
      </c>
      <c r="E630" t="s">
        <v>457</v>
      </c>
      <c r="F630" t="s">
        <v>366</v>
      </c>
      <c r="G630" t="s">
        <v>6961</v>
      </c>
      <c r="H630">
        <v>32.796432000000003</v>
      </c>
      <c r="I630">
        <v>-115.667761</v>
      </c>
      <c r="K630">
        <v>110013128169</v>
      </c>
      <c r="L630" t="s">
        <v>265</v>
      </c>
      <c r="R630" s="387">
        <f t="shared" si="9"/>
        <v>3.807176584562037E-3</v>
      </c>
      <c r="S630" s="386">
        <v>1.7269062499999999E-3</v>
      </c>
    </row>
    <row r="631" spans="1:19" x14ac:dyDescent="0.25">
      <c r="A631">
        <v>2024</v>
      </c>
      <c r="C631" t="s">
        <v>6852</v>
      </c>
      <c r="D631" t="s">
        <v>7010</v>
      </c>
      <c r="E631" t="s">
        <v>6942</v>
      </c>
      <c r="F631" t="s">
        <v>1249</v>
      </c>
      <c r="G631" t="s">
        <v>7011</v>
      </c>
      <c r="H631">
        <v>36.739803999999999</v>
      </c>
      <c r="I631">
        <v>-108.397068</v>
      </c>
      <c r="K631">
        <v>110020662166</v>
      </c>
      <c r="L631" t="s">
        <v>265</v>
      </c>
      <c r="R631" s="387">
        <f t="shared" si="9"/>
        <v>0.11573816817068594</v>
      </c>
      <c r="S631" s="386">
        <v>5.2497950000000002E-2</v>
      </c>
    </row>
    <row r="632" spans="1:19" x14ac:dyDescent="0.25">
      <c r="A632">
        <v>2023</v>
      </c>
      <c r="C632" t="s">
        <v>6904</v>
      </c>
      <c r="D632" t="s">
        <v>7100</v>
      </c>
      <c r="E632" t="s">
        <v>7101</v>
      </c>
      <c r="F632" t="s">
        <v>1128</v>
      </c>
      <c r="G632" t="s">
        <v>7102</v>
      </c>
      <c r="H632">
        <v>40.49682</v>
      </c>
      <c r="I632">
        <v>-105.11552</v>
      </c>
      <c r="K632">
        <v>110012150858</v>
      </c>
      <c r="L632" t="s">
        <v>6752</v>
      </c>
      <c r="R632" s="387">
        <f t="shared" si="9"/>
        <v>3.9684908761101513E-3</v>
      </c>
      <c r="S632" s="386">
        <v>1.8000771818181801E-3</v>
      </c>
    </row>
    <row r="633" spans="1:19" x14ac:dyDescent="0.25">
      <c r="A633">
        <v>2024</v>
      </c>
      <c r="C633" t="s">
        <v>6904</v>
      </c>
      <c r="D633" t="s">
        <v>7100</v>
      </c>
      <c r="E633" t="s">
        <v>7101</v>
      </c>
      <c r="F633" t="s">
        <v>1128</v>
      </c>
      <c r="G633" t="s">
        <v>7102</v>
      </c>
      <c r="H633">
        <v>40.49682</v>
      </c>
      <c r="I633">
        <v>-105.11552</v>
      </c>
      <c r="K633">
        <v>110012150858</v>
      </c>
      <c r="L633" t="s">
        <v>6752</v>
      </c>
      <c r="R633" s="387">
        <f t="shared" si="9"/>
        <v>1.1023080039904553E-3</v>
      </c>
      <c r="S633" s="386">
        <v>4.9999850000000004E-4</v>
      </c>
    </row>
    <row r="634" spans="1:19" x14ac:dyDescent="0.25">
      <c r="A634">
        <v>2024</v>
      </c>
      <c r="C634" t="s">
        <v>6904</v>
      </c>
      <c r="D634" t="s">
        <v>7100</v>
      </c>
      <c r="E634" t="s">
        <v>7101</v>
      </c>
      <c r="F634" t="s">
        <v>1128</v>
      </c>
      <c r="G634" t="s">
        <v>7102</v>
      </c>
      <c r="H634">
        <v>40.49682</v>
      </c>
      <c r="I634">
        <v>-105.11552</v>
      </c>
      <c r="K634">
        <v>110012150858</v>
      </c>
      <c r="L634" t="s">
        <v>6752</v>
      </c>
      <c r="R634" s="387">
        <f t="shared" si="9"/>
        <v>7.9189272958890371E-5</v>
      </c>
      <c r="S634" s="386">
        <v>3.5919649999999998E-5</v>
      </c>
    </row>
    <row r="635" spans="1:19" x14ac:dyDescent="0.25">
      <c r="A635">
        <v>2022</v>
      </c>
      <c r="C635" t="s">
        <v>6789</v>
      </c>
      <c r="D635" t="s">
        <v>6940</v>
      </c>
      <c r="E635" t="s">
        <v>302</v>
      </c>
      <c r="F635" t="s">
        <v>303</v>
      </c>
      <c r="G635">
        <v>70807</v>
      </c>
      <c r="H635">
        <v>30.584540000000001</v>
      </c>
      <c r="I635">
        <v>-91.247479999999996</v>
      </c>
      <c r="K635">
        <v>110064644782</v>
      </c>
      <c r="L635" t="s">
        <v>264</v>
      </c>
      <c r="R635" s="387">
        <f t="shared" si="9"/>
        <v>2.1968139036377528</v>
      </c>
      <c r="S635" s="386">
        <v>0.99645802500000002</v>
      </c>
    </row>
    <row r="636" spans="1:19" x14ac:dyDescent="0.25">
      <c r="A636">
        <v>2022</v>
      </c>
      <c r="C636" t="s">
        <v>6822</v>
      </c>
      <c r="D636" t="s">
        <v>584</v>
      </c>
      <c r="E636" t="s">
        <v>516</v>
      </c>
      <c r="F636" t="s">
        <v>303</v>
      </c>
      <c r="G636">
        <v>707340227</v>
      </c>
      <c r="H636">
        <v>30.185099999999998</v>
      </c>
      <c r="I636">
        <v>-90.980400000000003</v>
      </c>
      <c r="J636" t="s">
        <v>585</v>
      </c>
      <c r="K636">
        <v>110000449774</v>
      </c>
      <c r="L636" t="s">
        <v>251</v>
      </c>
      <c r="R636" s="387">
        <f t="shared" si="9"/>
        <v>202.86214250032469</v>
      </c>
      <c r="S636" s="386">
        <v>92.016720000000007</v>
      </c>
    </row>
    <row r="637" spans="1:19" x14ac:dyDescent="0.25">
      <c r="A637">
        <v>2022</v>
      </c>
      <c r="C637" t="s">
        <v>6789</v>
      </c>
      <c r="D637" t="s">
        <v>6940</v>
      </c>
      <c r="E637" t="s">
        <v>302</v>
      </c>
      <c r="F637" t="s">
        <v>303</v>
      </c>
      <c r="G637">
        <v>70807</v>
      </c>
      <c r="H637">
        <v>30.584540000000001</v>
      </c>
      <c r="I637">
        <v>-91.247479999999996</v>
      </c>
      <c r="K637">
        <v>110064644782</v>
      </c>
      <c r="L637" t="s">
        <v>264</v>
      </c>
      <c r="R637" s="387">
        <f t="shared" si="9"/>
        <v>0.36507172728677073</v>
      </c>
      <c r="S637" s="386">
        <v>0.16559375000000001</v>
      </c>
    </row>
    <row r="638" spans="1:19" x14ac:dyDescent="0.25">
      <c r="A638">
        <v>2022</v>
      </c>
      <c r="C638" t="s">
        <v>1268</v>
      </c>
      <c r="D638" t="s">
        <v>2074</v>
      </c>
      <c r="E638" t="s">
        <v>1269</v>
      </c>
      <c r="F638" t="s">
        <v>324</v>
      </c>
      <c r="G638">
        <v>40026</v>
      </c>
      <c r="H638">
        <v>38.417499999999997</v>
      </c>
      <c r="I638">
        <v>-85.611109999999996</v>
      </c>
      <c r="K638">
        <v>110022905588</v>
      </c>
      <c r="L638" t="s">
        <v>263</v>
      </c>
      <c r="R638" s="387">
        <f t="shared" si="9"/>
        <v>6.0762538289610122</v>
      </c>
      <c r="S638" s="386">
        <v>2.756142375</v>
      </c>
    </row>
    <row r="639" spans="1:19" x14ac:dyDescent="0.25">
      <c r="A639">
        <v>2024</v>
      </c>
      <c r="C639" t="s">
        <v>1268</v>
      </c>
      <c r="D639" t="s">
        <v>2074</v>
      </c>
      <c r="E639" t="s">
        <v>1269</v>
      </c>
      <c r="F639" t="s">
        <v>324</v>
      </c>
      <c r="G639">
        <v>40026</v>
      </c>
      <c r="H639">
        <v>38.417499999999997</v>
      </c>
      <c r="I639">
        <v>-85.611109999999996</v>
      </c>
      <c r="K639">
        <v>110022905588</v>
      </c>
      <c r="L639" t="s">
        <v>263</v>
      </c>
      <c r="R639" s="387">
        <f t="shared" si="9"/>
        <v>5.1526327895462609</v>
      </c>
      <c r="S639" s="386">
        <v>2.3371949187499999</v>
      </c>
    </row>
    <row r="640" spans="1:19" x14ac:dyDescent="0.25">
      <c r="A640">
        <v>2021</v>
      </c>
      <c r="C640" t="s">
        <v>1268</v>
      </c>
      <c r="D640" t="s">
        <v>2074</v>
      </c>
      <c r="E640" t="s">
        <v>1269</v>
      </c>
      <c r="F640" t="s">
        <v>324</v>
      </c>
      <c r="G640">
        <v>40026</v>
      </c>
      <c r="H640">
        <v>38.417499999999997</v>
      </c>
      <c r="I640">
        <v>-85.611109999999996</v>
      </c>
      <c r="K640">
        <v>110022905588</v>
      </c>
      <c r="L640" t="s">
        <v>263</v>
      </c>
      <c r="R640" s="387">
        <f t="shared" si="9"/>
        <v>4.3706387190772196</v>
      </c>
      <c r="S640" s="386">
        <v>1.982488375</v>
      </c>
    </row>
    <row r="641" spans="1:19" x14ac:dyDescent="0.25">
      <c r="A641">
        <v>2024</v>
      </c>
      <c r="C641" t="s">
        <v>6818</v>
      </c>
      <c r="D641" t="s">
        <v>6974</v>
      </c>
      <c r="E641" t="s">
        <v>6975</v>
      </c>
      <c r="F641" t="s">
        <v>324</v>
      </c>
      <c r="G641">
        <v>40014</v>
      </c>
      <c r="H641">
        <v>38.32978</v>
      </c>
      <c r="I641">
        <v>-85.540719999999993</v>
      </c>
      <c r="K641">
        <v>110064615590</v>
      </c>
      <c r="L641" t="s">
        <v>263</v>
      </c>
      <c r="R641" s="387">
        <f t="shared" si="9"/>
        <v>2.9010685574362727</v>
      </c>
      <c r="S641" s="386">
        <v>1.3159025625</v>
      </c>
    </row>
    <row r="642" spans="1:19" x14ac:dyDescent="0.25">
      <c r="A642">
        <v>2021</v>
      </c>
      <c r="C642" t="s">
        <v>6818</v>
      </c>
      <c r="D642" t="s">
        <v>6974</v>
      </c>
      <c r="E642" t="s">
        <v>6975</v>
      </c>
      <c r="F642" t="s">
        <v>324</v>
      </c>
      <c r="G642">
        <v>40014</v>
      </c>
      <c r="H642">
        <v>38.32978</v>
      </c>
      <c r="I642">
        <v>-85.540719999999993</v>
      </c>
      <c r="K642">
        <v>110064615590</v>
      </c>
      <c r="L642" t="s">
        <v>263</v>
      </c>
      <c r="R642" s="387">
        <f t="shared" si="9"/>
        <v>2.611723137009557</v>
      </c>
      <c r="S642" s="386">
        <v>1.1846576874999999</v>
      </c>
    </row>
    <row r="643" spans="1:19" x14ac:dyDescent="0.25">
      <c r="A643">
        <v>2022</v>
      </c>
      <c r="C643" t="s">
        <v>6818</v>
      </c>
      <c r="D643" t="s">
        <v>6974</v>
      </c>
      <c r="E643" t="s">
        <v>6975</v>
      </c>
      <c r="F643" t="s">
        <v>324</v>
      </c>
      <c r="G643">
        <v>40014</v>
      </c>
      <c r="H643">
        <v>38.32978</v>
      </c>
      <c r="I643">
        <v>-85.540719999999993</v>
      </c>
      <c r="K643">
        <v>110064615590</v>
      </c>
      <c r="L643" t="s">
        <v>263</v>
      </c>
      <c r="R643" s="387">
        <f t="shared" ref="R643:R706" si="10">CONVERT(S643,"g","lbm")*1000</f>
        <v>2.1472475936929891</v>
      </c>
      <c r="S643" s="386">
        <v>0.97397512500000005</v>
      </c>
    </row>
    <row r="644" spans="1:19" x14ac:dyDescent="0.25">
      <c r="A644">
        <v>2023</v>
      </c>
      <c r="C644" t="s">
        <v>6818</v>
      </c>
      <c r="D644" t="s">
        <v>6974</v>
      </c>
      <c r="E644" t="s">
        <v>6975</v>
      </c>
      <c r="F644" t="s">
        <v>324</v>
      </c>
      <c r="G644">
        <v>40014</v>
      </c>
      <c r="H644">
        <v>38.32978</v>
      </c>
      <c r="I644">
        <v>-85.540719999999993</v>
      </c>
      <c r="K644">
        <v>110064615590</v>
      </c>
      <c r="L644" t="s">
        <v>263</v>
      </c>
      <c r="R644" s="387">
        <f t="shared" si="10"/>
        <v>1.6370859313616761</v>
      </c>
      <c r="S644" s="386">
        <v>0.74256968749999996</v>
      </c>
    </row>
    <row r="645" spans="1:19" x14ac:dyDescent="0.25">
      <c r="A645">
        <v>2022</v>
      </c>
      <c r="C645" t="s">
        <v>1270</v>
      </c>
      <c r="D645" t="s">
        <v>2076</v>
      </c>
      <c r="E645" t="s">
        <v>1271</v>
      </c>
      <c r="F645" t="s">
        <v>427</v>
      </c>
      <c r="G645">
        <v>49424</v>
      </c>
      <c r="H645">
        <v>42.813049999999997</v>
      </c>
      <c r="I645">
        <v>-86.197429999999997</v>
      </c>
      <c r="K645">
        <v>110006740161</v>
      </c>
      <c r="L645" t="s">
        <v>265</v>
      </c>
      <c r="R645" s="387">
        <f t="shared" si="10"/>
        <v>0.43184272037027432</v>
      </c>
      <c r="S645" s="386">
        <v>0.19588056300000001</v>
      </c>
    </row>
    <row r="646" spans="1:19" x14ac:dyDescent="0.25">
      <c r="A646">
        <v>2021</v>
      </c>
      <c r="C646" t="s">
        <v>1270</v>
      </c>
      <c r="D646" t="s">
        <v>2076</v>
      </c>
      <c r="E646" t="s">
        <v>1271</v>
      </c>
      <c r="F646" t="s">
        <v>427</v>
      </c>
      <c r="G646">
        <v>49424</v>
      </c>
      <c r="H646">
        <v>42.813049999999997</v>
      </c>
      <c r="I646">
        <v>-86.197429999999997</v>
      </c>
      <c r="K646">
        <v>110006740161</v>
      </c>
      <c r="L646" t="s">
        <v>265</v>
      </c>
      <c r="R646" s="387">
        <f t="shared" si="10"/>
        <v>0.40133273736504871</v>
      </c>
      <c r="S646" s="386">
        <v>0.1820414675</v>
      </c>
    </row>
    <row r="647" spans="1:19" x14ac:dyDescent="0.25">
      <c r="A647">
        <v>2021</v>
      </c>
      <c r="C647" t="s">
        <v>1272</v>
      </c>
      <c r="D647" t="s">
        <v>2080</v>
      </c>
      <c r="E647" t="s">
        <v>1273</v>
      </c>
      <c r="F647" t="s">
        <v>324</v>
      </c>
      <c r="G647">
        <v>42303</v>
      </c>
      <c r="H647">
        <v>37.770769999999999</v>
      </c>
      <c r="I647">
        <v>-87.065669999999997</v>
      </c>
      <c r="K647">
        <v>110043734983</v>
      </c>
      <c r="L647" t="s">
        <v>263</v>
      </c>
      <c r="R647" s="387">
        <f t="shared" si="10"/>
        <v>31.599565651864907</v>
      </c>
      <c r="S647" s="386">
        <v>14.333321874999999</v>
      </c>
    </row>
    <row r="648" spans="1:19" x14ac:dyDescent="0.25">
      <c r="A648">
        <v>2023</v>
      </c>
      <c r="C648" t="s">
        <v>1272</v>
      </c>
      <c r="D648" t="s">
        <v>2080</v>
      </c>
      <c r="E648" t="s">
        <v>1273</v>
      </c>
      <c r="F648" t="s">
        <v>324</v>
      </c>
      <c r="G648">
        <v>42303</v>
      </c>
      <c r="H648">
        <v>37.770769999999999</v>
      </c>
      <c r="I648">
        <v>-87.065669999999997</v>
      </c>
      <c r="K648">
        <v>110043734983</v>
      </c>
      <c r="L648" t="s">
        <v>263</v>
      </c>
      <c r="R648" s="387">
        <f t="shared" si="10"/>
        <v>10.416435135361734</v>
      </c>
      <c r="S648" s="386">
        <v>4.7248155000000001</v>
      </c>
    </row>
    <row r="649" spans="1:19" x14ac:dyDescent="0.25">
      <c r="A649">
        <v>2024</v>
      </c>
      <c r="C649" t="s">
        <v>1272</v>
      </c>
      <c r="D649" t="s">
        <v>2080</v>
      </c>
      <c r="E649" t="s">
        <v>1273</v>
      </c>
      <c r="F649" t="s">
        <v>324</v>
      </c>
      <c r="G649">
        <v>42303</v>
      </c>
      <c r="H649">
        <v>37.770769999999999</v>
      </c>
      <c r="I649">
        <v>-87.065669999999997</v>
      </c>
      <c r="K649">
        <v>110043734983</v>
      </c>
      <c r="L649" t="s">
        <v>263</v>
      </c>
      <c r="R649" s="387">
        <f t="shared" si="10"/>
        <v>6.4417427810789665</v>
      </c>
      <c r="S649" s="386">
        <v>2.9219253749999998</v>
      </c>
    </row>
    <row r="650" spans="1:19" x14ac:dyDescent="0.25">
      <c r="A650">
        <v>2022</v>
      </c>
      <c r="C650" t="s">
        <v>1272</v>
      </c>
      <c r="D650" t="s">
        <v>2080</v>
      </c>
      <c r="E650" t="s">
        <v>1273</v>
      </c>
      <c r="F650" t="s">
        <v>324</v>
      </c>
      <c r="G650">
        <v>42303</v>
      </c>
      <c r="H650">
        <v>37.770769999999999</v>
      </c>
      <c r="I650">
        <v>-87.065669999999997</v>
      </c>
      <c r="K650">
        <v>110043734983</v>
      </c>
      <c r="L650" t="s">
        <v>263</v>
      </c>
      <c r="R650" s="387">
        <f t="shared" si="10"/>
        <v>2.06013939343821</v>
      </c>
      <c r="S650" s="386">
        <v>0.93446351000000005</v>
      </c>
    </row>
    <row r="651" spans="1:19" x14ac:dyDescent="0.25">
      <c r="A651">
        <v>2022</v>
      </c>
      <c r="C651" t="s">
        <v>6804</v>
      </c>
      <c r="D651" t="s">
        <v>2083</v>
      </c>
      <c r="E651" t="s">
        <v>1273</v>
      </c>
      <c r="F651" t="s">
        <v>324</v>
      </c>
      <c r="G651">
        <v>42303</v>
      </c>
      <c r="H651">
        <v>37.8125</v>
      </c>
      <c r="I651">
        <v>-87.05</v>
      </c>
      <c r="J651" t="s">
        <v>729</v>
      </c>
      <c r="K651">
        <v>110000747835</v>
      </c>
      <c r="L651" t="s">
        <v>265</v>
      </c>
      <c r="R651" s="387">
        <f t="shared" si="10"/>
        <v>0.98260449464791488</v>
      </c>
      <c r="S651" s="386">
        <v>0.4457019015</v>
      </c>
    </row>
    <row r="652" spans="1:19" x14ac:dyDescent="0.25">
      <c r="A652">
        <v>2021</v>
      </c>
      <c r="C652" t="s">
        <v>6804</v>
      </c>
      <c r="D652" t="s">
        <v>2083</v>
      </c>
      <c r="E652" t="s">
        <v>1273</v>
      </c>
      <c r="F652" t="s">
        <v>324</v>
      </c>
      <c r="G652">
        <v>42303</v>
      </c>
      <c r="H652">
        <v>37.8125</v>
      </c>
      <c r="I652">
        <v>-87.05</v>
      </c>
      <c r="J652" t="s">
        <v>729</v>
      </c>
      <c r="K652">
        <v>110000747835</v>
      </c>
      <c r="L652" t="s">
        <v>265</v>
      </c>
      <c r="R652" s="387">
        <f t="shared" si="10"/>
        <v>3.6532801466656058E-2</v>
      </c>
      <c r="S652" s="386">
        <v>1.6570999999999999E-2</v>
      </c>
    </row>
    <row r="653" spans="1:19" x14ac:dyDescent="0.25">
      <c r="A653">
        <v>2024</v>
      </c>
      <c r="C653" t="s">
        <v>1275</v>
      </c>
      <c r="D653" t="s">
        <v>2087</v>
      </c>
      <c r="E653" t="s">
        <v>1276</v>
      </c>
      <c r="F653" t="s">
        <v>366</v>
      </c>
      <c r="G653">
        <v>93033</v>
      </c>
      <c r="H653">
        <v>34.141618999999999</v>
      </c>
      <c r="I653">
        <v>-119.184014</v>
      </c>
      <c r="K653">
        <v>110070097306</v>
      </c>
      <c r="L653" t="s">
        <v>263</v>
      </c>
      <c r="R653" s="387">
        <f t="shared" si="10"/>
        <v>12.460419583336465</v>
      </c>
      <c r="S653" s="386">
        <v>5.6519512499999998</v>
      </c>
    </row>
    <row r="654" spans="1:19" x14ac:dyDescent="0.25">
      <c r="A654">
        <v>2023</v>
      </c>
      <c r="C654" t="s">
        <v>1275</v>
      </c>
      <c r="D654" t="s">
        <v>2087</v>
      </c>
      <c r="E654" t="s">
        <v>1276</v>
      </c>
      <c r="F654" t="s">
        <v>366</v>
      </c>
      <c r="G654">
        <v>93033</v>
      </c>
      <c r="H654">
        <v>34.141618999999999</v>
      </c>
      <c r="I654">
        <v>-119.184014</v>
      </c>
      <c r="K654">
        <v>110070097306</v>
      </c>
      <c r="L654" t="s">
        <v>263</v>
      </c>
      <c r="R654" s="387">
        <f t="shared" si="10"/>
        <v>12.044271192216041</v>
      </c>
      <c r="S654" s="386">
        <v>5.4631895149999998</v>
      </c>
    </row>
    <row r="655" spans="1:19" x14ac:dyDescent="0.25">
      <c r="A655">
        <v>2021</v>
      </c>
      <c r="C655" t="s">
        <v>1275</v>
      </c>
      <c r="D655" t="s">
        <v>2087</v>
      </c>
      <c r="E655" t="s">
        <v>1276</v>
      </c>
      <c r="F655" t="s">
        <v>366</v>
      </c>
      <c r="G655">
        <v>93033</v>
      </c>
      <c r="H655">
        <v>34.141618999999999</v>
      </c>
      <c r="I655">
        <v>-119.184014</v>
      </c>
      <c r="K655">
        <v>110070097306</v>
      </c>
      <c r="L655" t="s">
        <v>263</v>
      </c>
      <c r="R655" s="387">
        <f t="shared" si="10"/>
        <v>2.074571200348895</v>
      </c>
      <c r="S655" s="386">
        <v>0.94100966750000004</v>
      </c>
    </row>
    <row r="656" spans="1:19" x14ac:dyDescent="0.25">
      <c r="A656">
        <v>2022</v>
      </c>
      <c r="C656" t="s">
        <v>1275</v>
      </c>
      <c r="D656" t="s">
        <v>2087</v>
      </c>
      <c r="E656" t="s">
        <v>1276</v>
      </c>
      <c r="F656" t="s">
        <v>366</v>
      </c>
      <c r="G656">
        <v>93033</v>
      </c>
      <c r="H656">
        <v>34.141618999999999</v>
      </c>
      <c r="I656">
        <v>-119.184014</v>
      </c>
      <c r="K656">
        <v>110070097306</v>
      </c>
      <c r="L656" t="s">
        <v>263</v>
      </c>
      <c r="R656" s="387">
        <f t="shared" si="10"/>
        <v>1.6509820215891196</v>
      </c>
      <c r="S656" s="386">
        <v>0.74887284799999998</v>
      </c>
    </row>
    <row r="657" spans="1:19" x14ac:dyDescent="0.25">
      <c r="A657">
        <v>2021</v>
      </c>
      <c r="C657" t="s">
        <v>179</v>
      </c>
      <c r="D657" t="s">
        <v>6970</v>
      </c>
      <c r="E657" t="s">
        <v>590</v>
      </c>
      <c r="F657" t="s">
        <v>362</v>
      </c>
      <c r="G657">
        <v>77536</v>
      </c>
      <c r="H657">
        <v>29.726130000000001</v>
      </c>
      <c r="I657">
        <v>-95.108019999999996</v>
      </c>
      <c r="J657" t="s">
        <v>591</v>
      </c>
      <c r="K657">
        <v>110043782788</v>
      </c>
      <c r="L657" t="s">
        <v>253</v>
      </c>
      <c r="R657" s="387">
        <f t="shared" si="10"/>
        <v>118.25987505036736</v>
      </c>
      <c r="S657" s="386">
        <v>53.641776999999998</v>
      </c>
    </row>
    <row r="658" spans="1:19" x14ac:dyDescent="0.25">
      <c r="A658">
        <v>2024</v>
      </c>
      <c r="C658" t="s">
        <v>179</v>
      </c>
      <c r="D658" t="s">
        <v>6970</v>
      </c>
      <c r="E658" t="s">
        <v>590</v>
      </c>
      <c r="F658" t="s">
        <v>362</v>
      </c>
      <c r="G658">
        <v>77536</v>
      </c>
      <c r="H658">
        <v>29.726130000000001</v>
      </c>
      <c r="I658">
        <v>-95.108019999999996</v>
      </c>
      <c r="J658" t="s">
        <v>591</v>
      </c>
      <c r="K658">
        <v>110043782788</v>
      </c>
      <c r="L658" t="s">
        <v>253</v>
      </c>
      <c r="R658" s="387">
        <f t="shared" si="10"/>
        <v>117.31694693188953</v>
      </c>
      <c r="S658" s="386">
        <v>53.214072000000002</v>
      </c>
    </row>
    <row r="659" spans="1:19" x14ac:dyDescent="0.25">
      <c r="A659">
        <v>2023</v>
      </c>
      <c r="C659" t="s">
        <v>179</v>
      </c>
      <c r="D659" t="s">
        <v>6970</v>
      </c>
      <c r="E659" t="s">
        <v>590</v>
      </c>
      <c r="F659" t="s">
        <v>362</v>
      </c>
      <c r="G659">
        <v>77536</v>
      </c>
      <c r="H659">
        <v>29.726130000000001</v>
      </c>
      <c r="I659">
        <v>-95.108019999999996</v>
      </c>
      <c r="J659" t="s">
        <v>591</v>
      </c>
      <c r="K659">
        <v>110043782788</v>
      </c>
      <c r="L659" t="s">
        <v>253</v>
      </c>
      <c r="R659" s="387">
        <f t="shared" si="10"/>
        <v>86.13523194845628</v>
      </c>
      <c r="S659" s="386">
        <v>39.070284000000001</v>
      </c>
    </row>
    <row r="660" spans="1:19" x14ac:dyDescent="0.25">
      <c r="A660">
        <v>2024</v>
      </c>
      <c r="C660" t="s">
        <v>6789</v>
      </c>
      <c r="D660" t="s">
        <v>6940</v>
      </c>
      <c r="E660" t="s">
        <v>302</v>
      </c>
      <c r="F660" t="s">
        <v>303</v>
      </c>
      <c r="G660">
        <v>70807</v>
      </c>
      <c r="H660">
        <v>30.584540000000001</v>
      </c>
      <c r="I660">
        <v>-91.247479999999996</v>
      </c>
      <c r="K660">
        <v>110064644782</v>
      </c>
      <c r="L660" t="s">
        <v>264</v>
      </c>
      <c r="R660" s="387">
        <f t="shared" si="10"/>
        <v>0.20999447284574033</v>
      </c>
      <c r="S660" s="386">
        <v>9.5251890625000002E-2</v>
      </c>
    </row>
    <row r="661" spans="1:19" x14ac:dyDescent="0.25">
      <c r="A661">
        <v>2023</v>
      </c>
      <c r="C661" t="s">
        <v>6789</v>
      </c>
      <c r="D661" t="s">
        <v>6940</v>
      </c>
      <c r="E661" t="s">
        <v>302</v>
      </c>
      <c r="F661" t="s">
        <v>303</v>
      </c>
      <c r="G661">
        <v>70807</v>
      </c>
      <c r="H661">
        <v>30.584540000000001</v>
      </c>
      <c r="I661">
        <v>-91.247479999999996</v>
      </c>
      <c r="K661">
        <v>110064644782</v>
      </c>
      <c r="L661" t="s">
        <v>264</v>
      </c>
      <c r="R661" s="387">
        <f t="shared" si="10"/>
        <v>4.2958995661677463E-2</v>
      </c>
      <c r="S661" s="386">
        <v>1.9485872655E-2</v>
      </c>
    </row>
    <row r="662" spans="1:19" x14ac:dyDescent="0.25">
      <c r="A662">
        <v>2024</v>
      </c>
      <c r="C662" t="s">
        <v>6789</v>
      </c>
      <c r="D662" t="s">
        <v>6940</v>
      </c>
      <c r="E662" t="s">
        <v>302</v>
      </c>
      <c r="F662" t="s">
        <v>303</v>
      </c>
      <c r="G662">
        <v>70807</v>
      </c>
      <c r="H662">
        <v>30.584540000000001</v>
      </c>
      <c r="I662">
        <v>-91.247479999999996</v>
      </c>
      <c r="K662">
        <v>110064644782</v>
      </c>
      <c r="L662" t="s">
        <v>264</v>
      </c>
      <c r="R662" s="387">
        <f t="shared" si="10"/>
        <v>1.9677887631795919E-2</v>
      </c>
      <c r="S662" s="386">
        <v>8.9257396874999999E-3</v>
      </c>
    </row>
    <row r="663" spans="1:19" x14ac:dyDescent="0.25">
      <c r="A663">
        <v>2021</v>
      </c>
      <c r="C663" t="s">
        <v>6789</v>
      </c>
      <c r="D663" t="s">
        <v>6940</v>
      </c>
      <c r="E663" t="s">
        <v>302</v>
      </c>
      <c r="F663" t="s">
        <v>303</v>
      </c>
      <c r="G663">
        <v>70807</v>
      </c>
      <c r="H663">
        <v>30.584540000000001</v>
      </c>
      <c r="I663">
        <v>-91.247479999999996</v>
      </c>
      <c r="K663">
        <v>110064644782</v>
      </c>
      <c r="L663" t="s">
        <v>264</v>
      </c>
      <c r="R663" s="387">
        <f t="shared" si="10"/>
        <v>1.1054789127074601E-2</v>
      </c>
      <c r="S663" s="386">
        <v>5.014368E-3</v>
      </c>
    </row>
    <row r="664" spans="1:19" x14ac:dyDescent="0.25">
      <c r="A664">
        <v>2021</v>
      </c>
      <c r="C664" t="s">
        <v>1277</v>
      </c>
      <c r="D664" t="s">
        <v>2089</v>
      </c>
      <c r="E664" t="s">
        <v>1278</v>
      </c>
      <c r="F664" t="s">
        <v>324</v>
      </c>
      <c r="G664">
        <v>42001</v>
      </c>
      <c r="H664">
        <v>37.021974</v>
      </c>
      <c r="I664">
        <v>-88.512833000000001</v>
      </c>
      <c r="K664">
        <v>110006367136</v>
      </c>
      <c r="L664" t="s">
        <v>263</v>
      </c>
      <c r="R664" s="387">
        <f t="shared" si="10"/>
        <v>4.3782530722463431</v>
      </c>
      <c r="S664" s="386">
        <v>1.9859421875000001</v>
      </c>
    </row>
    <row r="665" spans="1:19" x14ac:dyDescent="0.25">
      <c r="A665">
        <v>2024</v>
      </c>
      <c r="C665" t="s">
        <v>1277</v>
      </c>
      <c r="D665" t="s">
        <v>2089</v>
      </c>
      <c r="E665" t="s">
        <v>1278</v>
      </c>
      <c r="F665" t="s">
        <v>324</v>
      </c>
      <c r="G665">
        <v>42001</v>
      </c>
      <c r="H665">
        <v>37.021974</v>
      </c>
      <c r="I665">
        <v>-88.512833000000001</v>
      </c>
      <c r="K665">
        <v>110006367136</v>
      </c>
      <c r="L665" t="s">
        <v>263</v>
      </c>
      <c r="R665" s="387">
        <f t="shared" si="10"/>
        <v>2.6376119377845795</v>
      </c>
      <c r="S665" s="386">
        <v>1.19640065</v>
      </c>
    </row>
    <row r="666" spans="1:19" x14ac:dyDescent="0.25">
      <c r="A666">
        <v>2022</v>
      </c>
      <c r="C666" t="s">
        <v>1277</v>
      </c>
      <c r="D666" t="s">
        <v>2089</v>
      </c>
      <c r="E666" t="s">
        <v>1278</v>
      </c>
      <c r="F666" t="s">
        <v>324</v>
      </c>
      <c r="G666">
        <v>42001</v>
      </c>
      <c r="H666">
        <v>37.021974</v>
      </c>
      <c r="I666">
        <v>-88.512833000000001</v>
      </c>
      <c r="K666">
        <v>110006367136</v>
      </c>
      <c r="L666" t="s">
        <v>263</v>
      </c>
      <c r="R666" s="387">
        <f t="shared" si="10"/>
        <v>1.4680472910071216</v>
      </c>
      <c r="S666" s="386">
        <v>0.66589505000000004</v>
      </c>
    </row>
    <row r="667" spans="1:19" x14ac:dyDescent="0.25">
      <c r="A667">
        <v>2023</v>
      </c>
      <c r="C667" t="s">
        <v>1277</v>
      </c>
      <c r="D667" t="s">
        <v>2089</v>
      </c>
      <c r="E667" t="s">
        <v>1278</v>
      </c>
      <c r="F667" t="s">
        <v>324</v>
      </c>
      <c r="G667">
        <v>42001</v>
      </c>
      <c r="H667">
        <v>37.021974</v>
      </c>
      <c r="I667">
        <v>-88.512833000000001</v>
      </c>
      <c r="K667">
        <v>110006367136</v>
      </c>
      <c r="L667" t="s">
        <v>263</v>
      </c>
      <c r="R667" s="387">
        <f t="shared" si="10"/>
        <v>1.8030788304485808E-3</v>
      </c>
      <c r="S667" s="386">
        <v>8.1786279999999999E-4</v>
      </c>
    </row>
    <row r="668" spans="1:19" x14ac:dyDescent="0.25">
      <c r="A668">
        <v>2021</v>
      </c>
      <c r="C668" t="s">
        <v>6826</v>
      </c>
      <c r="D668" t="s">
        <v>2096</v>
      </c>
      <c r="E668" t="s">
        <v>1284</v>
      </c>
      <c r="F668" t="s">
        <v>324</v>
      </c>
      <c r="G668" t="s">
        <v>2097</v>
      </c>
      <c r="H668">
        <v>38.223610999999998</v>
      </c>
      <c r="I668">
        <v>-84.253332999999998</v>
      </c>
      <c r="K668">
        <v>110000551082</v>
      </c>
      <c r="L668" t="s">
        <v>263</v>
      </c>
      <c r="R668" s="387">
        <f t="shared" si="10"/>
        <v>1.3850508414636692E-2</v>
      </c>
      <c r="S668" s="386">
        <v>6.2824849375E-3</v>
      </c>
    </row>
    <row r="669" spans="1:19" x14ac:dyDescent="0.25">
      <c r="A669">
        <v>2024</v>
      </c>
      <c r="C669" t="s">
        <v>1285</v>
      </c>
      <c r="D669" t="s">
        <v>2101</v>
      </c>
      <c r="E669" t="s">
        <v>1286</v>
      </c>
      <c r="F669" t="s">
        <v>1171</v>
      </c>
      <c r="G669">
        <v>96818</v>
      </c>
      <c r="H669">
        <v>21.347193999999998</v>
      </c>
      <c r="I669">
        <v>-157.943556</v>
      </c>
      <c r="K669">
        <v>110046184516</v>
      </c>
      <c r="L669" t="s">
        <v>265</v>
      </c>
      <c r="R669" s="387">
        <f t="shared" si="10"/>
        <v>3.6548895211795558</v>
      </c>
      <c r="S669" s="386">
        <v>1.6578299999999999</v>
      </c>
    </row>
    <row r="670" spans="1:19" x14ac:dyDescent="0.25">
      <c r="A670">
        <v>2021</v>
      </c>
      <c r="C670" t="s">
        <v>1285</v>
      </c>
      <c r="D670" t="s">
        <v>2101</v>
      </c>
      <c r="E670" t="s">
        <v>1286</v>
      </c>
      <c r="F670" t="s">
        <v>1171</v>
      </c>
      <c r="G670">
        <v>96818</v>
      </c>
      <c r="H670">
        <v>21.347193999999998</v>
      </c>
      <c r="I670">
        <v>-157.943556</v>
      </c>
      <c r="K670">
        <v>110046184516</v>
      </c>
      <c r="L670" t="s">
        <v>265</v>
      </c>
      <c r="R670" s="387">
        <f t="shared" si="10"/>
        <v>2.29953465707547</v>
      </c>
      <c r="S670" s="386">
        <v>1.0430513749999999</v>
      </c>
    </row>
    <row r="671" spans="1:19" x14ac:dyDescent="0.25">
      <c r="A671">
        <v>2023</v>
      </c>
      <c r="C671" t="s">
        <v>1285</v>
      </c>
      <c r="D671" t="s">
        <v>2101</v>
      </c>
      <c r="E671" t="s">
        <v>1286</v>
      </c>
      <c r="F671" t="s">
        <v>1171</v>
      </c>
      <c r="G671">
        <v>96818</v>
      </c>
      <c r="H671">
        <v>21.347193999999998</v>
      </c>
      <c r="I671">
        <v>-157.943556</v>
      </c>
      <c r="K671">
        <v>110046184516</v>
      </c>
      <c r="L671" t="s">
        <v>265</v>
      </c>
      <c r="R671" s="387">
        <f t="shared" si="10"/>
        <v>1.8274447605897779</v>
      </c>
      <c r="S671" s="386">
        <v>0.82891499999999996</v>
      </c>
    </row>
    <row r="672" spans="1:19" x14ac:dyDescent="0.25">
      <c r="A672">
        <v>2022</v>
      </c>
      <c r="C672" t="s">
        <v>1285</v>
      </c>
      <c r="D672" t="s">
        <v>2101</v>
      </c>
      <c r="E672" t="s">
        <v>1286</v>
      </c>
      <c r="F672" t="s">
        <v>1171</v>
      </c>
      <c r="G672">
        <v>96818</v>
      </c>
      <c r="H672">
        <v>21.347193999999998</v>
      </c>
      <c r="I672">
        <v>-157.943556</v>
      </c>
      <c r="K672">
        <v>110046184516</v>
      </c>
      <c r="L672" t="s">
        <v>265</v>
      </c>
      <c r="R672" s="387">
        <f t="shared" si="10"/>
        <v>0.60914825352992596</v>
      </c>
      <c r="S672" s="386">
        <v>0.27630500000000002</v>
      </c>
    </row>
    <row r="673" spans="1:19" x14ac:dyDescent="0.25">
      <c r="A673">
        <v>2024</v>
      </c>
      <c r="C673" t="s">
        <v>1285</v>
      </c>
      <c r="D673" t="s">
        <v>2101</v>
      </c>
      <c r="E673" t="s">
        <v>1286</v>
      </c>
      <c r="F673" t="s">
        <v>1171</v>
      </c>
      <c r="G673">
        <v>96818</v>
      </c>
      <c r="H673">
        <v>21.347193999999998</v>
      </c>
      <c r="I673">
        <v>-157.943556</v>
      </c>
      <c r="K673">
        <v>110046184516</v>
      </c>
      <c r="L673" t="s">
        <v>265</v>
      </c>
      <c r="R673" s="387">
        <f t="shared" si="10"/>
        <v>0.45686119014744447</v>
      </c>
      <c r="S673" s="386">
        <v>0.20722874999999999</v>
      </c>
    </row>
    <row r="674" spans="1:19" x14ac:dyDescent="0.25">
      <c r="A674">
        <v>2023</v>
      </c>
      <c r="C674" t="s">
        <v>180</v>
      </c>
      <c r="D674" t="s">
        <v>596</v>
      </c>
      <c r="E674" t="s">
        <v>597</v>
      </c>
      <c r="F674" t="s">
        <v>338</v>
      </c>
      <c r="G674" t="s">
        <v>7093</v>
      </c>
      <c r="H674">
        <v>40.52516</v>
      </c>
      <c r="I674">
        <v>-74.601039999999998</v>
      </c>
      <c r="K674">
        <v>110070217974</v>
      </c>
      <c r="L674" t="s">
        <v>254</v>
      </c>
      <c r="R674" s="387">
        <f t="shared" si="10"/>
        <v>3.4296945547386522E-3</v>
      </c>
      <c r="S674" s="386">
        <v>1.55568328146E-3</v>
      </c>
    </row>
    <row r="675" spans="1:19" x14ac:dyDescent="0.25">
      <c r="A675">
        <v>2022</v>
      </c>
      <c r="C675" t="s">
        <v>180</v>
      </c>
      <c r="D675" t="s">
        <v>596</v>
      </c>
      <c r="E675" t="s">
        <v>597</v>
      </c>
      <c r="F675" t="s">
        <v>338</v>
      </c>
      <c r="G675">
        <v>8844</v>
      </c>
      <c r="H675">
        <v>40.52516</v>
      </c>
      <c r="I675">
        <v>-74.601039999999998</v>
      </c>
      <c r="K675">
        <v>110070217974</v>
      </c>
      <c r="L675" t="s">
        <v>254</v>
      </c>
      <c r="R675" s="387">
        <f t="shared" si="10"/>
        <v>2.8106764097409749E-3</v>
      </c>
      <c r="S675" s="386">
        <v>1.2749013739975E-3</v>
      </c>
    </row>
    <row r="676" spans="1:19" x14ac:dyDescent="0.25">
      <c r="A676">
        <v>2024</v>
      </c>
      <c r="C676" t="s">
        <v>180</v>
      </c>
      <c r="D676" t="s">
        <v>596</v>
      </c>
      <c r="E676" t="s">
        <v>597</v>
      </c>
      <c r="F676" t="s">
        <v>338</v>
      </c>
      <c r="G676">
        <v>8844</v>
      </c>
      <c r="H676">
        <v>40.52516</v>
      </c>
      <c r="I676">
        <v>-74.601039999999998</v>
      </c>
      <c r="K676">
        <v>110070217974</v>
      </c>
      <c r="L676" t="s">
        <v>254</v>
      </c>
      <c r="R676" s="387">
        <f t="shared" si="10"/>
        <v>1.5495659552320069E-3</v>
      </c>
      <c r="S676" s="386">
        <v>7.02871294105E-4</v>
      </c>
    </row>
    <row r="677" spans="1:19" x14ac:dyDescent="0.25">
      <c r="A677">
        <v>2021</v>
      </c>
      <c r="C677" t="s">
        <v>180</v>
      </c>
      <c r="D677" t="s">
        <v>596</v>
      </c>
      <c r="E677" t="s">
        <v>597</v>
      </c>
      <c r="F677" t="s">
        <v>338</v>
      </c>
      <c r="G677">
        <v>8844</v>
      </c>
      <c r="H677">
        <v>40.52516</v>
      </c>
      <c r="I677">
        <v>-74.601039999999998</v>
      </c>
      <c r="K677">
        <v>110070217974</v>
      </c>
      <c r="L677" t="s">
        <v>254</v>
      </c>
      <c r="R677" s="387">
        <f t="shared" si="10"/>
        <v>1.4470473639139917E-4</v>
      </c>
      <c r="S677" s="386">
        <v>6.5636964330000001E-5</v>
      </c>
    </row>
    <row r="678" spans="1:19" x14ac:dyDescent="0.25">
      <c r="A678">
        <v>2023</v>
      </c>
      <c r="C678" t="s">
        <v>6789</v>
      </c>
      <c r="D678" t="s">
        <v>6940</v>
      </c>
      <c r="E678" t="s">
        <v>302</v>
      </c>
      <c r="F678" t="s">
        <v>303</v>
      </c>
      <c r="G678">
        <v>70807</v>
      </c>
      <c r="H678">
        <v>30.584540000000001</v>
      </c>
      <c r="I678">
        <v>-91.247479999999996</v>
      </c>
      <c r="K678">
        <v>110064644782</v>
      </c>
      <c r="L678" t="s">
        <v>264</v>
      </c>
      <c r="R678" s="387">
        <f t="shared" si="10"/>
        <v>4.4049471169455515E-3</v>
      </c>
      <c r="S678" s="386">
        <v>1.9980504024999998E-3</v>
      </c>
    </row>
    <row r="679" spans="1:19" x14ac:dyDescent="0.25">
      <c r="A679">
        <v>2021</v>
      </c>
      <c r="C679" t="s">
        <v>6789</v>
      </c>
      <c r="D679" t="s">
        <v>6940</v>
      </c>
      <c r="E679" t="s">
        <v>302</v>
      </c>
      <c r="F679" t="s">
        <v>303</v>
      </c>
      <c r="G679">
        <v>70807</v>
      </c>
      <c r="H679">
        <v>30.584540000000001</v>
      </c>
      <c r="I679">
        <v>-91.247479999999996</v>
      </c>
      <c r="K679">
        <v>110064644782</v>
      </c>
      <c r="L679" t="s">
        <v>264</v>
      </c>
      <c r="R679" s="387">
        <f t="shared" si="10"/>
        <v>1.1054789127074602E-3</v>
      </c>
      <c r="S679" s="386">
        <v>5.0143680000000002E-4</v>
      </c>
    </row>
    <row r="680" spans="1:19" x14ac:dyDescent="0.25">
      <c r="A680">
        <v>2022</v>
      </c>
      <c r="C680" t="s">
        <v>1289</v>
      </c>
      <c r="D680" t="s">
        <v>2111</v>
      </c>
      <c r="E680" t="s">
        <v>966</v>
      </c>
      <c r="F680" t="s">
        <v>491</v>
      </c>
      <c r="G680">
        <v>19153</v>
      </c>
      <c r="H680">
        <v>39.886130000000001</v>
      </c>
      <c r="I680">
        <v>-75.218249999999998</v>
      </c>
      <c r="K680">
        <v>110000542119</v>
      </c>
      <c r="L680" t="s">
        <v>263</v>
      </c>
      <c r="R680" s="387">
        <f t="shared" si="10"/>
        <v>862.76462553812348</v>
      </c>
      <c r="S680" s="386">
        <v>391.34345124999999</v>
      </c>
    </row>
    <row r="681" spans="1:19" x14ac:dyDescent="0.25">
      <c r="A681">
        <v>2021</v>
      </c>
      <c r="C681" t="s">
        <v>1289</v>
      </c>
      <c r="D681" t="s">
        <v>2111</v>
      </c>
      <c r="E681" t="s">
        <v>966</v>
      </c>
      <c r="F681" t="s">
        <v>491</v>
      </c>
      <c r="G681">
        <v>19153</v>
      </c>
      <c r="H681">
        <v>39.886130000000001</v>
      </c>
      <c r="I681">
        <v>-75.218249999999998</v>
      </c>
      <c r="K681">
        <v>110000542119</v>
      </c>
      <c r="L681" t="s">
        <v>263</v>
      </c>
      <c r="R681" s="387">
        <f t="shared" si="10"/>
        <v>677.90899183335023</v>
      </c>
      <c r="S681" s="386">
        <v>307.49434624999998</v>
      </c>
    </row>
    <row r="682" spans="1:19" x14ac:dyDescent="0.25">
      <c r="A682">
        <v>2024</v>
      </c>
      <c r="C682" t="s">
        <v>1289</v>
      </c>
      <c r="D682" t="s">
        <v>2111</v>
      </c>
      <c r="E682" t="s">
        <v>966</v>
      </c>
      <c r="F682" t="s">
        <v>491</v>
      </c>
      <c r="G682">
        <v>19153</v>
      </c>
      <c r="H682">
        <v>39.886130000000001</v>
      </c>
      <c r="I682">
        <v>-75.218249999999998</v>
      </c>
      <c r="K682">
        <v>110000542119</v>
      </c>
      <c r="L682" t="s">
        <v>263</v>
      </c>
      <c r="R682" s="387">
        <f t="shared" si="10"/>
        <v>660.49819962800518</v>
      </c>
      <c r="S682" s="386">
        <v>299.59694374999998</v>
      </c>
    </row>
    <row r="683" spans="1:19" x14ac:dyDescent="0.25">
      <c r="A683">
        <v>2023</v>
      </c>
      <c r="C683" t="s">
        <v>1289</v>
      </c>
      <c r="D683" t="s">
        <v>2111</v>
      </c>
      <c r="E683" t="s">
        <v>966</v>
      </c>
      <c r="F683" t="s">
        <v>491</v>
      </c>
      <c r="G683">
        <v>19153</v>
      </c>
      <c r="H683">
        <v>39.886130000000001</v>
      </c>
      <c r="I683">
        <v>-75.218249999999998</v>
      </c>
      <c r="K683">
        <v>110000542119</v>
      </c>
      <c r="L683" t="s">
        <v>263</v>
      </c>
      <c r="R683" s="387">
        <f t="shared" si="10"/>
        <v>616.96329184284991</v>
      </c>
      <c r="S683" s="386">
        <v>279.84984175</v>
      </c>
    </row>
    <row r="684" spans="1:19" x14ac:dyDescent="0.25">
      <c r="A684">
        <v>2024</v>
      </c>
      <c r="C684" t="s">
        <v>1290</v>
      </c>
      <c r="D684" t="s">
        <v>2115</v>
      </c>
      <c r="E684" t="s">
        <v>544</v>
      </c>
      <c r="F684" t="s">
        <v>338</v>
      </c>
      <c r="G684">
        <v>7036</v>
      </c>
      <c r="H684">
        <v>40.640135000000001</v>
      </c>
      <c r="I684">
        <v>-74.218879999999999</v>
      </c>
      <c r="J684" t="s">
        <v>730</v>
      </c>
      <c r="K684">
        <v>110041133163</v>
      </c>
      <c r="L684" t="s">
        <v>265</v>
      </c>
      <c r="R684" s="387">
        <f t="shared" si="10"/>
        <v>5.4233716497479882</v>
      </c>
      <c r="S684" s="386">
        <v>2.46</v>
      </c>
    </row>
    <row r="685" spans="1:19" x14ac:dyDescent="0.25">
      <c r="A685">
        <v>2023</v>
      </c>
      <c r="C685" t="s">
        <v>1290</v>
      </c>
      <c r="D685" t="s">
        <v>2115</v>
      </c>
      <c r="E685" t="s">
        <v>544</v>
      </c>
      <c r="F685" t="s">
        <v>338</v>
      </c>
      <c r="G685" t="s">
        <v>1961</v>
      </c>
      <c r="H685">
        <v>40.640135000000001</v>
      </c>
      <c r="I685">
        <v>-74.218879999999999</v>
      </c>
      <c r="J685" t="s">
        <v>730</v>
      </c>
      <c r="K685">
        <v>110041133163</v>
      </c>
      <c r="L685" t="s">
        <v>265</v>
      </c>
      <c r="R685" s="387">
        <f t="shared" si="10"/>
        <v>5.081655143361429</v>
      </c>
      <c r="S685" s="386">
        <v>2.3050000000000002</v>
      </c>
    </row>
    <row r="686" spans="1:19" x14ac:dyDescent="0.25">
      <c r="A686">
        <v>2022</v>
      </c>
      <c r="C686" t="s">
        <v>1290</v>
      </c>
      <c r="D686" t="s">
        <v>2115</v>
      </c>
      <c r="E686" t="s">
        <v>544</v>
      </c>
      <c r="F686" t="s">
        <v>338</v>
      </c>
      <c r="G686">
        <v>7036</v>
      </c>
      <c r="H686">
        <v>40.640135000000001</v>
      </c>
      <c r="I686">
        <v>-74.218879999999999</v>
      </c>
      <c r="J686" t="s">
        <v>730</v>
      </c>
      <c r="K686">
        <v>110041133163</v>
      </c>
      <c r="L686" t="s">
        <v>265</v>
      </c>
      <c r="R686" s="387">
        <f t="shared" si="10"/>
        <v>4.3982221305883078</v>
      </c>
      <c r="S686" s="386">
        <v>1.9950000000000001</v>
      </c>
    </row>
    <row r="687" spans="1:19" x14ac:dyDescent="0.25">
      <c r="A687">
        <v>2021</v>
      </c>
      <c r="C687" t="s">
        <v>1290</v>
      </c>
      <c r="D687" t="s">
        <v>2115</v>
      </c>
      <c r="E687" t="s">
        <v>544</v>
      </c>
      <c r="F687" t="s">
        <v>338</v>
      </c>
      <c r="G687">
        <v>7036</v>
      </c>
      <c r="H687">
        <v>40.640135000000001</v>
      </c>
      <c r="I687">
        <v>-74.218879999999999</v>
      </c>
      <c r="J687" t="s">
        <v>730</v>
      </c>
      <c r="K687">
        <v>110041133163</v>
      </c>
      <c r="L687" t="s">
        <v>265</v>
      </c>
      <c r="R687" s="387">
        <f t="shared" si="10"/>
        <v>4.0675287373109912</v>
      </c>
      <c r="S687" s="386">
        <v>1.845</v>
      </c>
    </row>
    <row r="688" spans="1:19" x14ac:dyDescent="0.25">
      <c r="A688">
        <v>2024</v>
      </c>
      <c r="C688" t="s">
        <v>6907</v>
      </c>
      <c r="D688" t="s">
        <v>1894</v>
      </c>
      <c r="E688" t="s">
        <v>1178</v>
      </c>
      <c r="F688" t="s">
        <v>308</v>
      </c>
      <c r="G688">
        <v>1803</v>
      </c>
      <c r="H688">
        <v>42.481274999999997</v>
      </c>
      <c r="I688">
        <v>-71.198278999999999</v>
      </c>
      <c r="K688">
        <v>110045415207</v>
      </c>
      <c r="L688" t="s">
        <v>265</v>
      </c>
      <c r="R688" s="387">
        <f t="shared" si="10"/>
        <v>6.0388220693174351E-2</v>
      </c>
      <c r="S688" s="386">
        <v>2.7391636144299999E-2</v>
      </c>
    </row>
    <row r="689" spans="1:19" x14ac:dyDescent="0.25">
      <c r="A689">
        <v>2024</v>
      </c>
      <c r="C689" t="s">
        <v>1293</v>
      </c>
      <c r="D689" t="s">
        <v>2122</v>
      </c>
      <c r="E689" t="s">
        <v>1294</v>
      </c>
      <c r="F689" t="s">
        <v>324</v>
      </c>
      <c r="G689">
        <v>41501</v>
      </c>
      <c r="H689">
        <v>37.491857000000003</v>
      </c>
      <c r="I689">
        <v>-82.539703000000003</v>
      </c>
      <c r="K689">
        <v>110006644872</v>
      </c>
      <c r="L689" t="s">
        <v>263</v>
      </c>
      <c r="R689" s="387">
        <f t="shared" si="10"/>
        <v>3.0518327501849289E-3</v>
      </c>
      <c r="S689" s="386">
        <v>1.38428805E-3</v>
      </c>
    </row>
    <row r="690" spans="1:19" x14ac:dyDescent="0.25">
      <c r="A690">
        <v>2023</v>
      </c>
      <c r="C690" t="s">
        <v>1293</v>
      </c>
      <c r="D690" t="s">
        <v>2122</v>
      </c>
      <c r="E690" t="s">
        <v>1294</v>
      </c>
      <c r="F690" t="s">
        <v>324</v>
      </c>
      <c r="G690">
        <v>41501</v>
      </c>
      <c r="H690">
        <v>37.491857000000003</v>
      </c>
      <c r="I690">
        <v>-82.539703000000003</v>
      </c>
      <c r="K690">
        <v>110006644872</v>
      </c>
      <c r="L690" t="s">
        <v>263</v>
      </c>
      <c r="R690" s="387">
        <f t="shared" si="10"/>
        <v>2.6938058641727157E-3</v>
      </c>
      <c r="S690" s="386">
        <v>1.2218897862500001E-3</v>
      </c>
    </row>
    <row r="691" spans="1:19" x14ac:dyDescent="0.25">
      <c r="A691">
        <v>2024</v>
      </c>
      <c r="C691" t="s">
        <v>6832</v>
      </c>
      <c r="D691" t="s">
        <v>6985</v>
      </c>
      <c r="E691" t="s">
        <v>6986</v>
      </c>
      <c r="F691" t="s">
        <v>338</v>
      </c>
      <c r="G691">
        <v>8533</v>
      </c>
      <c r="H691">
        <v>40.085931000000002</v>
      </c>
      <c r="I691">
        <v>-74.536839999999998</v>
      </c>
      <c r="K691">
        <v>110070214056</v>
      </c>
      <c r="L691" t="s">
        <v>263</v>
      </c>
      <c r="R691" s="387">
        <f t="shared" si="10"/>
        <v>6.019101954360475E-2</v>
      </c>
      <c r="S691" s="386">
        <v>2.7302187207499998E-2</v>
      </c>
    </row>
    <row r="692" spans="1:19" x14ac:dyDescent="0.25">
      <c r="A692">
        <v>2023</v>
      </c>
      <c r="C692" t="s">
        <v>6832</v>
      </c>
      <c r="D692" t="s">
        <v>6985</v>
      </c>
      <c r="E692" t="s">
        <v>6986</v>
      </c>
      <c r="F692" t="s">
        <v>338</v>
      </c>
      <c r="G692" t="s">
        <v>7104</v>
      </c>
      <c r="H692">
        <v>40.085931000000002</v>
      </c>
      <c r="I692">
        <v>-74.536839999999998</v>
      </c>
      <c r="K692">
        <v>110070214056</v>
      </c>
      <c r="L692" t="s">
        <v>263</v>
      </c>
      <c r="R692" s="387">
        <f t="shared" si="10"/>
        <v>2.1875969898920478E-2</v>
      </c>
      <c r="S692" s="386">
        <v>9.9227730325000003E-3</v>
      </c>
    </row>
    <row r="693" spans="1:19" x14ac:dyDescent="0.25">
      <c r="A693">
        <v>2022</v>
      </c>
      <c r="C693" t="s">
        <v>6832</v>
      </c>
      <c r="D693" t="s">
        <v>6985</v>
      </c>
      <c r="E693" t="s">
        <v>6986</v>
      </c>
      <c r="F693" t="s">
        <v>338</v>
      </c>
      <c r="G693">
        <v>8533</v>
      </c>
      <c r="H693">
        <v>40.085931000000002</v>
      </c>
      <c r="I693">
        <v>-74.536839999999998</v>
      </c>
      <c r="K693">
        <v>110070214056</v>
      </c>
      <c r="L693" t="s">
        <v>263</v>
      </c>
      <c r="R693" s="387">
        <f t="shared" si="10"/>
        <v>4.9665150507271537E-3</v>
      </c>
      <c r="S693" s="386">
        <v>2.2527733325000002E-3</v>
      </c>
    </row>
    <row r="694" spans="1:19" x14ac:dyDescent="0.25">
      <c r="A694">
        <v>2024</v>
      </c>
      <c r="C694" t="s">
        <v>6857</v>
      </c>
      <c r="D694" t="s">
        <v>7018</v>
      </c>
      <c r="E694" t="s">
        <v>7019</v>
      </c>
      <c r="F694" t="s">
        <v>366</v>
      </c>
      <c r="G694">
        <v>94569</v>
      </c>
      <c r="H694">
        <v>38.045079999999999</v>
      </c>
      <c r="I694">
        <v>-122.18787</v>
      </c>
      <c r="K694">
        <v>110010059293</v>
      </c>
      <c r="L694" t="s">
        <v>263</v>
      </c>
      <c r="R694" s="387">
        <f t="shared" si="10"/>
        <v>1.3401261577658369E-3</v>
      </c>
      <c r="S694" s="386">
        <v>6.0787099999999995E-4</v>
      </c>
    </row>
    <row r="695" spans="1:19" x14ac:dyDescent="0.25">
      <c r="A695">
        <v>2023</v>
      </c>
      <c r="C695" t="s">
        <v>6819</v>
      </c>
      <c r="D695" t="s">
        <v>377</v>
      </c>
      <c r="E695" t="s">
        <v>480</v>
      </c>
      <c r="F695" t="s">
        <v>362</v>
      </c>
      <c r="G695">
        <v>77978</v>
      </c>
      <c r="H695">
        <v>28.643972000000002</v>
      </c>
      <c r="I695">
        <v>-96.547583000000003</v>
      </c>
      <c r="K695">
        <v>110063004528</v>
      </c>
      <c r="L695" t="s">
        <v>252</v>
      </c>
      <c r="R695" s="387">
        <f t="shared" si="10"/>
        <v>0.48489869880306852</v>
      </c>
      <c r="S695" s="386">
        <v>0.21994635000000001</v>
      </c>
    </row>
    <row r="696" spans="1:19" x14ac:dyDescent="0.25">
      <c r="A696">
        <v>2021</v>
      </c>
      <c r="C696" t="s">
        <v>6819</v>
      </c>
      <c r="D696" t="s">
        <v>377</v>
      </c>
      <c r="E696" t="s">
        <v>480</v>
      </c>
      <c r="F696" t="s">
        <v>362</v>
      </c>
      <c r="G696">
        <v>77978</v>
      </c>
      <c r="H696">
        <v>28.643972000000002</v>
      </c>
      <c r="I696">
        <v>-96.547583000000003</v>
      </c>
      <c r="K696">
        <v>110063004528</v>
      </c>
      <c r="L696" t="s">
        <v>252</v>
      </c>
      <c r="R696" s="387">
        <f t="shared" si="10"/>
        <v>5.5280621232671967E-2</v>
      </c>
      <c r="S696" s="386">
        <v>2.5074868E-2</v>
      </c>
    </row>
    <row r="697" spans="1:19" x14ac:dyDescent="0.25">
      <c r="A697">
        <v>2022</v>
      </c>
      <c r="C697" t="s">
        <v>6813</v>
      </c>
      <c r="D697" t="s">
        <v>6967</v>
      </c>
      <c r="E697" t="s">
        <v>968</v>
      </c>
      <c r="F697" t="s">
        <v>294</v>
      </c>
      <c r="G697">
        <v>22305</v>
      </c>
      <c r="H697">
        <v>38.840083999999997</v>
      </c>
      <c r="I697">
        <v>-77.048516000000006</v>
      </c>
      <c r="K697">
        <v>110070949081</v>
      </c>
      <c r="L697" t="s">
        <v>265</v>
      </c>
      <c r="R697" s="387">
        <f t="shared" si="10"/>
        <v>8.1925850626632005E-2</v>
      </c>
      <c r="S697" s="386">
        <v>3.7160940750000003E-2</v>
      </c>
    </row>
    <row r="698" spans="1:19" x14ac:dyDescent="0.25">
      <c r="A698">
        <v>2021</v>
      </c>
      <c r="C698" t="s">
        <v>6813</v>
      </c>
      <c r="D698" t="s">
        <v>6967</v>
      </c>
      <c r="E698" t="s">
        <v>968</v>
      </c>
      <c r="F698" t="s">
        <v>294</v>
      </c>
      <c r="G698">
        <v>22305</v>
      </c>
      <c r="H698">
        <v>38.840083999999997</v>
      </c>
      <c r="I698">
        <v>-77.048516000000006</v>
      </c>
      <c r="K698">
        <v>110070949081</v>
      </c>
      <c r="L698" t="s">
        <v>265</v>
      </c>
      <c r="R698" s="387">
        <f t="shared" si="10"/>
        <v>6.6803655827430461E-2</v>
      </c>
      <c r="S698" s="386">
        <v>3.0301628571428499E-2</v>
      </c>
    </row>
    <row r="699" spans="1:19" x14ac:dyDescent="0.25">
      <c r="A699">
        <v>2021</v>
      </c>
      <c r="C699" t="s">
        <v>1300</v>
      </c>
      <c r="D699" t="s">
        <v>2135</v>
      </c>
      <c r="E699" t="s">
        <v>968</v>
      </c>
      <c r="F699" t="s">
        <v>294</v>
      </c>
      <c r="G699">
        <v>22301</v>
      </c>
      <c r="H699">
        <v>38.828830000000004</v>
      </c>
      <c r="I699">
        <v>-77.049679999999995</v>
      </c>
      <c r="K699">
        <v>110070884091</v>
      </c>
      <c r="L699" t="s">
        <v>265</v>
      </c>
      <c r="R699" s="387">
        <f t="shared" si="10"/>
        <v>0.26813274621991545</v>
      </c>
      <c r="S699" s="386">
        <v>0.1216229678325</v>
      </c>
    </row>
    <row r="700" spans="1:19" x14ac:dyDescent="0.25">
      <c r="A700">
        <v>2021</v>
      </c>
      <c r="C700" t="s">
        <v>1300</v>
      </c>
      <c r="D700" t="s">
        <v>2135</v>
      </c>
      <c r="E700" t="s">
        <v>968</v>
      </c>
      <c r="F700" t="s">
        <v>294</v>
      </c>
      <c r="G700">
        <v>22301</v>
      </c>
      <c r="H700">
        <v>38.828830000000004</v>
      </c>
      <c r="I700">
        <v>-77.049679999999995</v>
      </c>
      <c r="K700">
        <v>110070884091</v>
      </c>
      <c r="L700" t="s">
        <v>265</v>
      </c>
      <c r="R700" s="387">
        <f t="shared" si="10"/>
        <v>0.26813274621991545</v>
      </c>
      <c r="S700" s="386">
        <v>0.1216229678325</v>
      </c>
    </row>
    <row r="701" spans="1:19" x14ac:dyDescent="0.25">
      <c r="A701">
        <v>2022</v>
      </c>
      <c r="C701" t="s">
        <v>1300</v>
      </c>
      <c r="D701" t="s">
        <v>2135</v>
      </c>
      <c r="E701" t="s">
        <v>968</v>
      </c>
      <c r="F701" t="s">
        <v>294</v>
      </c>
      <c r="G701">
        <v>22301</v>
      </c>
      <c r="H701">
        <v>38.828830000000004</v>
      </c>
      <c r="I701">
        <v>-77.049679999999995</v>
      </c>
      <c r="K701">
        <v>110070884091</v>
      </c>
      <c r="L701" t="s">
        <v>265</v>
      </c>
      <c r="R701" s="387">
        <f t="shared" si="10"/>
        <v>5.445007917886383E-4</v>
      </c>
      <c r="S701" s="386">
        <v>2.4698140461428501E-4</v>
      </c>
    </row>
    <row r="702" spans="1:19" x14ac:dyDescent="0.25">
      <c r="A702">
        <v>2022</v>
      </c>
      <c r="C702" t="s">
        <v>1300</v>
      </c>
      <c r="D702" t="s">
        <v>2135</v>
      </c>
      <c r="E702" t="s">
        <v>968</v>
      </c>
      <c r="F702" t="s">
        <v>294</v>
      </c>
      <c r="G702">
        <v>22301</v>
      </c>
      <c r="H702">
        <v>38.828830000000004</v>
      </c>
      <c r="I702">
        <v>-77.049679999999995</v>
      </c>
      <c r="K702">
        <v>110070884091</v>
      </c>
      <c r="L702" t="s">
        <v>265</v>
      </c>
      <c r="R702" s="387">
        <f t="shared" si="10"/>
        <v>5.445007917886383E-4</v>
      </c>
      <c r="S702" s="386">
        <v>2.4698140461428501E-4</v>
      </c>
    </row>
    <row r="703" spans="1:19" x14ac:dyDescent="0.25">
      <c r="A703">
        <v>2023</v>
      </c>
      <c r="C703" t="s">
        <v>1301</v>
      </c>
      <c r="D703" t="s">
        <v>2137</v>
      </c>
      <c r="E703" t="s">
        <v>1302</v>
      </c>
      <c r="F703" t="s">
        <v>345</v>
      </c>
      <c r="G703">
        <v>622573438</v>
      </c>
      <c r="H703">
        <v>38.2774</v>
      </c>
      <c r="I703">
        <v>-89.666899999999998</v>
      </c>
      <c r="J703" t="s">
        <v>731</v>
      </c>
      <c r="K703">
        <v>110044852068</v>
      </c>
      <c r="L703" t="s">
        <v>265</v>
      </c>
      <c r="R703" s="387">
        <f t="shared" si="10"/>
        <v>5.3568497415421694</v>
      </c>
      <c r="S703" s="386">
        <v>2.4298261700000001</v>
      </c>
    </row>
    <row r="704" spans="1:19" x14ac:dyDescent="0.25">
      <c r="A704">
        <v>2021</v>
      </c>
      <c r="C704" t="s">
        <v>1301</v>
      </c>
      <c r="D704" t="s">
        <v>2137</v>
      </c>
      <c r="E704" t="s">
        <v>1302</v>
      </c>
      <c r="F704" t="s">
        <v>345</v>
      </c>
      <c r="G704">
        <v>622573438</v>
      </c>
      <c r="H704">
        <v>38.2774</v>
      </c>
      <c r="I704">
        <v>-89.666899999999998</v>
      </c>
      <c r="J704" t="s">
        <v>731</v>
      </c>
      <c r="K704">
        <v>110044852068</v>
      </c>
      <c r="L704" t="s">
        <v>265</v>
      </c>
      <c r="R704" s="387">
        <f t="shared" si="10"/>
        <v>2.8806620909430198</v>
      </c>
      <c r="S704" s="386">
        <v>1.3066463450000001</v>
      </c>
    </row>
    <row r="705" spans="1:19" x14ac:dyDescent="0.25">
      <c r="A705">
        <v>2024</v>
      </c>
      <c r="C705" t="s">
        <v>1301</v>
      </c>
      <c r="D705" t="s">
        <v>2137</v>
      </c>
      <c r="E705" t="s">
        <v>1302</v>
      </c>
      <c r="F705" t="s">
        <v>345</v>
      </c>
      <c r="G705">
        <v>622573438</v>
      </c>
      <c r="H705">
        <v>38.2774</v>
      </c>
      <c r="I705">
        <v>-89.666899999999998</v>
      </c>
      <c r="J705" t="s">
        <v>731</v>
      </c>
      <c r="K705">
        <v>110044852068</v>
      </c>
      <c r="L705" t="s">
        <v>265</v>
      </c>
      <c r="R705" s="387">
        <f t="shared" si="10"/>
        <v>1.9498835595492932</v>
      </c>
      <c r="S705" s="386">
        <v>0.88445230500000005</v>
      </c>
    </row>
    <row r="706" spans="1:19" x14ac:dyDescent="0.25">
      <c r="A706">
        <v>2021</v>
      </c>
      <c r="C706" t="s">
        <v>6850</v>
      </c>
      <c r="D706" t="s">
        <v>462</v>
      </c>
      <c r="E706" t="s">
        <v>463</v>
      </c>
      <c r="F706" t="s">
        <v>362</v>
      </c>
      <c r="G706">
        <v>77503</v>
      </c>
      <c r="H706">
        <v>29.738610999999999</v>
      </c>
      <c r="I706">
        <v>-95.166944000000001</v>
      </c>
      <c r="J706" t="s">
        <v>7130</v>
      </c>
      <c r="K706">
        <v>110060340162</v>
      </c>
      <c r="L706" t="s">
        <v>251</v>
      </c>
      <c r="R706" s="387">
        <f t="shared" si="10"/>
        <v>1.5837854591778073</v>
      </c>
      <c r="S706" s="386">
        <v>0.71839299999999995</v>
      </c>
    </row>
    <row r="707" spans="1:19" x14ac:dyDescent="0.25">
      <c r="A707">
        <v>2022</v>
      </c>
      <c r="C707" t="s">
        <v>6850</v>
      </c>
      <c r="D707" t="s">
        <v>462</v>
      </c>
      <c r="E707" t="s">
        <v>463</v>
      </c>
      <c r="F707" t="s">
        <v>362</v>
      </c>
      <c r="G707">
        <v>77503</v>
      </c>
      <c r="H707">
        <v>29.738610999999999</v>
      </c>
      <c r="I707">
        <v>-95.166944000000001</v>
      </c>
      <c r="J707" t="s">
        <v>7130</v>
      </c>
      <c r="K707">
        <v>110060340162</v>
      </c>
      <c r="L707" t="s">
        <v>251</v>
      </c>
      <c r="R707" s="387">
        <f t="shared" ref="R707:R770" si="11">CONVERT(S707,"g","lbm")*1000</f>
        <v>1.2487539197363482</v>
      </c>
      <c r="S707" s="386">
        <v>0.56642524999999999</v>
      </c>
    </row>
    <row r="708" spans="1:19" x14ac:dyDescent="0.25">
      <c r="A708">
        <v>2023</v>
      </c>
      <c r="C708" t="s">
        <v>6850</v>
      </c>
      <c r="D708" t="s">
        <v>462</v>
      </c>
      <c r="E708" t="s">
        <v>463</v>
      </c>
      <c r="F708" t="s">
        <v>362</v>
      </c>
      <c r="G708">
        <v>77503</v>
      </c>
      <c r="H708">
        <v>29.738610999999999</v>
      </c>
      <c r="I708">
        <v>-95.166944000000001</v>
      </c>
      <c r="J708" t="s">
        <v>7130</v>
      </c>
      <c r="K708">
        <v>110060340162</v>
      </c>
      <c r="L708" t="s">
        <v>251</v>
      </c>
      <c r="R708" s="387">
        <f t="shared" si="11"/>
        <v>0.14162696894570778</v>
      </c>
      <c r="S708" s="386">
        <v>6.4240912499999997E-2</v>
      </c>
    </row>
    <row r="709" spans="1:19" x14ac:dyDescent="0.25">
      <c r="A709">
        <v>2021</v>
      </c>
      <c r="C709" t="s">
        <v>6809</v>
      </c>
      <c r="D709" t="s">
        <v>2282</v>
      </c>
      <c r="E709" t="s">
        <v>516</v>
      </c>
      <c r="F709" t="s">
        <v>303</v>
      </c>
      <c r="G709">
        <v>707340000</v>
      </c>
      <c r="H709">
        <v>30.233011999999999</v>
      </c>
      <c r="I709">
        <v>-91.022057000000004</v>
      </c>
      <c r="K709">
        <v>110000911309</v>
      </c>
      <c r="L709" t="s">
        <v>252</v>
      </c>
      <c r="R709" s="387">
        <f t="shared" si="11"/>
        <v>8.0601301975163301E-3</v>
      </c>
      <c r="S709" s="386">
        <v>3.6560135587999998E-3</v>
      </c>
    </row>
    <row r="710" spans="1:19" x14ac:dyDescent="0.25">
      <c r="A710">
        <v>2022</v>
      </c>
      <c r="C710" t="s">
        <v>6809</v>
      </c>
      <c r="D710" t="s">
        <v>2282</v>
      </c>
      <c r="E710" t="s">
        <v>516</v>
      </c>
      <c r="F710" t="s">
        <v>303</v>
      </c>
      <c r="G710">
        <v>707340000</v>
      </c>
      <c r="H710">
        <v>30.233011999999999</v>
      </c>
      <c r="I710">
        <v>-91.022057000000004</v>
      </c>
      <c r="K710">
        <v>110000911309</v>
      </c>
      <c r="L710" t="s">
        <v>252</v>
      </c>
      <c r="R710" s="387">
        <f t="shared" si="11"/>
        <v>4.4742584585141937E-3</v>
      </c>
      <c r="S710" s="386">
        <v>2.0294894981899999E-3</v>
      </c>
    </row>
    <row r="711" spans="1:19" x14ac:dyDescent="0.25">
      <c r="A711">
        <v>2021</v>
      </c>
      <c r="C711" t="s">
        <v>1306</v>
      </c>
      <c r="D711" t="s">
        <v>2146</v>
      </c>
      <c r="E711" t="s">
        <v>1307</v>
      </c>
      <c r="F711" t="s">
        <v>324</v>
      </c>
      <c r="G711">
        <v>40160</v>
      </c>
      <c r="H711">
        <v>37.845027999999999</v>
      </c>
      <c r="I711">
        <v>-85.940962999999996</v>
      </c>
      <c r="K711">
        <v>110000732253</v>
      </c>
      <c r="L711" t="s">
        <v>263</v>
      </c>
      <c r="R711" s="387">
        <f t="shared" si="11"/>
        <v>19.606959410494493</v>
      </c>
      <c r="S711" s="386">
        <v>8.8935671875000004</v>
      </c>
    </row>
    <row r="712" spans="1:19" x14ac:dyDescent="0.25">
      <c r="A712">
        <v>2024</v>
      </c>
      <c r="C712" t="s">
        <v>6882</v>
      </c>
      <c r="D712" t="s">
        <v>7056</v>
      </c>
      <c r="E712" t="s">
        <v>6991</v>
      </c>
      <c r="F712" t="s">
        <v>308</v>
      </c>
      <c r="G712">
        <v>2142</v>
      </c>
      <c r="H712">
        <v>42.365363000000002</v>
      </c>
      <c r="I712">
        <v>-71.087440999999998</v>
      </c>
      <c r="K712">
        <v>110071501940</v>
      </c>
      <c r="L712" t="s">
        <v>265</v>
      </c>
      <c r="R712" s="387">
        <f t="shared" si="11"/>
        <v>0.11848973464048788</v>
      </c>
      <c r="S712" s="386">
        <v>5.374603955625E-2</v>
      </c>
    </row>
    <row r="713" spans="1:19" x14ac:dyDescent="0.25">
      <c r="A713">
        <v>2021</v>
      </c>
      <c r="C713" t="s">
        <v>6866</v>
      </c>
      <c r="D713" t="s">
        <v>7032</v>
      </c>
      <c r="E713" t="s">
        <v>7033</v>
      </c>
      <c r="F713" t="s">
        <v>324</v>
      </c>
      <c r="G713">
        <v>40380</v>
      </c>
      <c r="H713">
        <v>37.857500000000002</v>
      </c>
      <c r="I713">
        <v>-83.865278000000004</v>
      </c>
      <c r="K713">
        <v>110009938470</v>
      </c>
      <c r="L713" t="s">
        <v>263</v>
      </c>
      <c r="R713" s="387">
        <f t="shared" si="11"/>
        <v>8.7565061444926862</v>
      </c>
      <c r="S713" s="386">
        <v>3.9718843750000001</v>
      </c>
    </row>
    <row r="714" spans="1:19" x14ac:dyDescent="0.25">
      <c r="A714">
        <v>2024</v>
      </c>
      <c r="C714" t="s">
        <v>1308</v>
      </c>
      <c r="D714" t="s">
        <v>2149</v>
      </c>
      <c r="E714" t="s">
        <v>657</v>
      </c>
      <c r="F714" t="s">
        <v>418</v>
      </c>
      <c r="G714">
        <v>89109</v>
      </c>
      <c r="H714">
        <v>36.132570000000001</v>
      </c>
      <c r="I714">
        <v>-115.16477</v>
      </c>
      <c r="K714">
        <v>110041253256</v>
      </c>
      <c r="L714" t="s">
        <v>264</v>
      </c>
      <c r="R714" s="387">
        <f t="shared" si="11"/>
        <v>0.97768294691553115</v>
      </c>
      <c r="S714" s="386">
        <v>0.44346952499999998</v>
      </c>
    </row>
    <row r="715" spans="1:19" x14ac:dyDescent="0.25">
      <c r="A715">
        <v>2023</v>
      </c>
      <c r="C715" t="s">
        <v>1308</v>
      </c>
      <c r="D715" t="s">
        <v>2149</v>
      </c>
      <c r="E715" t="s">
        <v>657</v>
      </c>
      <c r="F715" t="s">
        <v>418</v>
      </c>
      <c r="G715">
        <v>89109</v>
      </c>
      <c r="H715">
        <v>36.132570000000001</v>
      </c>
      <c r="I715">
        <v>-115.16477</v>
      </c>
      <c r="K715">
        <v>110041253256</v>
      </c>
      <c r="L715" t="s">
        <v>264</v>
      </c>
      <c r="R715" s="387">
        <f t="shared" si="11"/>
        <v>0.28020819662376595</v>
      </c>
      <c r="S715" s="386">
        <v>0.1271003</v>
      </c>
    </row>
    <row r="716" spans="1:19" x14ac:dyDescent="0.25">
      <c r="A716">
        <v>2021</v>
      </c>
      <c r="C716" t="s">
        <v>1308</v>
      </c>
      <c r="D716" t="s">
        <v>2149</v>
      </c>
      <c r="E716" t="s">
        <v>657</v>
      </c>
      <c r="F716" t="s">
        <v>418</v>
      </c>
      <c r="G716">
        <v>89109</v>
      </c>
      <c r="H716">
        <v>36.132570000000001</v>
      </c>
      <c r="I716">
        <v>-115.16477</v>
      </c>
      <c r="K716">
        <v>110041253256</v>
      </c>
      <c r="L716" t="s">
        <v>264</v>
      </c>
      <c r="R716" s="387">
        <f t="shared" si="11"/>
        <v>0.22843059507372224</v>
      </c>
      <c r="S716" s="386">
        <v>0.10361437499999999</v>
      </c>
    </row>
    <row r="717" spans="1:19" x14ac:dyDescent="0.25">
      <c r="A717">
        <v>2022</v>
      </c>
      <c r="C717" t="s">
        <v>1308</v>
      </c>
      <c r="D717" t="s">
        <v>2149</v>
      </c>
      <c r="E717" t="s">
        <v>657</v>
      </c>
      <c r="F717" t="s">
        <v>418</v>
      </c>
      <c r="G717">
        <v>89109</v>
      </c>
      <c r="H717">
        <v>36.132570000000001</v>
      </c>
      <c r="I717">
        <v>-115.16477</v>
      </c>
      <c r="K717">
        <v>110041253256</v>
      </c>
      <c r="L717" t="s">
        <v>264</v>
      </c>
      <c r="R717" s="387">
        <f t="shared" si="11"/>
        <v>0.21320188873547408</v>
      </c>
      <c r="S717" s="386">
        <v>9.6706749999999994E-2</v>
      </c>
    </row>
    <row r="718" spans="1:19" x14ac:dyDescent="0.25">
      <c r="A718">
        <v>2023</v>
      </c>
      <c r="C718" t="s">
        <v>1309</v>
      </c>
      <c r="D718" t="s">
        <v>2152</v>
      </c>
      <c r="E718" t="s">
        <v>1310</v>
      </c>
      <c r="F718" t="s">
        <v>366</v>
      </c>
      <c r="G718">
        <v>92316</v>
      </c>
      <c r="H718">
        <v>34.055900000000001</v>
      </c>
      <c r="I718">
        <v>-117.36134</v>
      </c>
      <c r="K718">
        <v>110000525842</v>
      </c>
      <c r="L718" t="s">
        <v>263</v>
      </c>
      <c r="R718" s="387">
        <f t="shared" si="11"/>
        <v>17.515031657168308</v>
      </c>
      <c r="S718" s="386">
        <v>7.9446847199999997</v>
      </c>
    </row>
    <row r="719" spans="1:19" x14ac:dyDescent="0.25">
      <c r="A719">
        <v>2021</v>
      </c>
      <c r="C719" t="s">
        <v>1309</v>
      </c>
      <c r="D719" t="s">
        <v>2152</v>
      </c>
      <c r="E719" t="s">
        <v>1310</v>
      </c>
      <c r="F719" t="s">
        <v>366</v>
      </c>
      <c r="G719">
        <v>92316</v>
      </c>
      <c r="H719">
        <v>34.055900000000001</v>
      </c>
      <c r="I719">
        <v>-117.36134</v>
      </c>
      <c r="K719">
        <v>110000525842</v>
      </c>
      <c r="L719" t="s">
        <v>263</v>
      </c>
      <c r="R719" s="387">
        <f t="shared" si="11"/>
        <v>5.3137128662459636</v>
      </c>
      <c r="S719" s="386">
        <v>2.4102596125</v>
      </c>
    </row>
    <row r="720" spans="1:19" x14ac:dyDescent="0.25">
      <c r="A720">
        <v>2022</v>
      </c>
      <c r="C720" t="s">
        <v>1309</v>
      </c>
      <c r="D720" t="s">
        <v>2152</v>
      </c>
      <c r="E720" t="s">
        <v>1310</v>
      </c>
      <c r="F720" t="s">
        <v>366</v>
      </c>
      <c r="G720">
        <v>92316</v>
      </c>
      <c r="H720">
        <v>34.055900000000001</v>
      </c>
      <c r="I720">
        <v>-117.36134</v>
      </c>
      <c r="K720">
        <v>110000525842</v>
      </c>
      <c r="L720" t="s">
        <v>263</v>
      </c>
      <c r="R720" s="387">
        <f t="shared" si="11"/>
        <v>5.284331893633925</v>
      </c>
      <c r="S720" s="386">
        <v>2.3969326275</v>
      </c>
    </row>
    <row r="721" spans="1:19" x14ac:dyDescent="0.25">
      <c r="A721">
        <v>2024</v>
      </c>
      <c r="C721" t="s">
        <v>1309</v>
      </c>
      <c r="D721" t="s">
        <v>2152</v>
      </c>
      <c r="E721" t="s">
        <v>1310</v>
      </c>
      <c r="F721" t="s">
        <v>366</v>
      </c>
      <c r="G721">
        <v>92316</v>
      </c>
      <c r="H721">
        <v>34.055900000000001</v>
      </c>
      <c r="I721">
        <v>-117.36134</v>
      </c>
      <c r="K721">
        <v>110000525842</v>
      </c>
      <c r="L721" t="s">
        <v>263</v>
      </c>
      <c r="R721" s="387">
        <f t="shared" si="11"/>
        <v>4.3272845530889326</v>
      </c>
      <c r="S721" s="386">
        <v>1.9628232561000001</v>
      </c>
    </row>
    <row r="722" spans="1:19" x14ac:dyDescent="0.25">
      <c r="A722">
        <v>2022</v>
      </c>
      <c r="C722" t="s">
        <v>6868</v>
      </c>
      <c r="D722" t="s">
        <v>7036</v>
      </c>
      <c r="E722" t="s">
        <v>1265</v>
      </c>
      <c r="F722" t="s">
        <v>324</v>
      </c>
      <c r="G722">
        <v>40475</v>
      </c>
      <c r="H722">
        <v>37.801943999999999</v>
      </c>
      <c r="I722">
        <v>-84.261111</v>
      </c>
      <c r="K722">
        <v>110031112659</v>
      </c>
      <c r="L722" t="s">
        <v>263</v>
      </c>
      <c r="R722" s="387">
        <f t="shared" si="11"/>
        <v>75.945558508843519</v>
      </c>
      <c r="S722" s="386">
        <v>34.448325875000002</v>
      </c>
    </row>
    <row r="723" spans="1:19" x14ac:dyDescent="0.25">
      <c r="A723">
        <v>2023</v>
      </c>
      <c r="C723" t="s">
        <v>6868</v>
      </c>
      <c r="D723" t="s">
        <v>7036</v>
      </c>
      <c r="E723" t="s">
        <v>1265</v>
      </c>
      <c r="F723" t="s">
        <v>324</v>
      </c>
      <c r="G723">
        <v>40475</v>
      </c>
      <c r="H723">
        <v>37.801943999999999</v>
      </c>
      <c r="I723">
        <v>-84.261111</v>
      </c>
      <c r="K723">
        <v>110031112659</v>
      </c>
      <c r="L723" t="s">
        <v>263</v>
      </c>
      <c r="R723" s="387">
        <f t="shared" si="11"/>
        <v>61.432601368493039</v>
      </c>
      <c r="S723" s="386">
        <v>27.865359250000001</v>
      </c>
    </row>
    <row r="724" spans="1:19" x14ac:dyDescent="0.25">
      <c r="A724">
        <v>2024</v>
      </c>
      <c r="C724" t="s">
        <v>6868</v>
      </c>
      <c r="D724" t="s">
        <v>7036</v>
      </c>
      <c r="E724" t="s">
        <v>1265</v>
      </c>
      <c r="F724" t="s">
        <v>324</v>
      </c>
      <c r="G724">
        <v>40475</v>
      </c>
      <c r="H724">
        <v>37.801943999999999</v>
      </c>
      <c r="I724">
        <v>-84.261111</v>
      </c>
      <c r="K724">
        <v>110031112659</v>
      </c>
      <c r="L724" t="s">
        <v>263</v>
      </c>
      <c r="R724" s="387">
        <f t="shared" si="11"/>
        <v>16.355630607278513</v>
      </c>
      <c r="S724" s="386">
        <v>7.4187892499999997</v>
      </c>
    </row>
    <row r="725" spans="1:19" x14ac:dyDescent="0.25">
      <c r="A725">
        <v>2022</v>
      </c>
      <c r="C725" t="s">
        <v>1311</v>
      </c>
      <c r="D725" t="s">
        <v>2155</v>
      </c>
      <c r="E725" t="s">
        <v>1312</v>
      </c>
      <c r="F725" t="s">
        <v>506</v>
      </c>
      <c r="G725">
        <v>21157</v>
      </c>
      <c r="H725">
        <v>39.567390000000003</v>
      </c>
      <c r="I725">
        <v>-76.920410000000004</v>
      </c>
      <c r="K725">
        <v>110041245015</v>
      </c>
      <c r="L725" t="s">
        <v>265</v>
      </c>
      <c r="R725" s="387">
        <f t="shared" si="11"/>
        <v>2.3376064229210908E-3</v>
      </c>
      <c r="S725" s="386">
        <v>1.0603204375E-3</v>
      </c>
    </row>
    <row r="726" spans="1:19" x14ac:dyDescent="0.25">
      <c r="A726">
        <v>2022</v>
      </c>
      <c r="C726" t="s">
        <v>1311</v>
      </c>
      <c r="D726" t="s">
        <v>2155</v>
      </c>
      <c r="E726" t="s">
        <v>1312</v>
      </c>
      <c r="F726" t="s">
        <v>506</v>
      </c>
      <c r="G726">
        <v>21157</v>
      </c>
      <c r="H726">
        <v>39.567390000000003</v>
      </c>
      <c r="I726">
        <v>-76.920410000000004</v>
      </c>
      <c r="K726">
        <v>110041245015</v>
      </c>
      <c r="L726" t="s">
        <v>265</v>
      </c>
      <c r="R726" s="387">
        <f t="shared" si="11"/>
        <v>2.3376064229210908E-3</v>
      </c>
      <c r="S726" s="386">
        <v>1.0603204375E-3</v>
      </c>
    </row>
    <row r="727" spans="1:19" x14ac:dyDescent="0.25">
      <c r="A727">
        <v>2023</v>
      </c>
      <c r="C727" t="s">
        <v>1311</v>
      </c>
      <c r="D727" t="s">
        <v>2155</v>
      </c>
      <c r="E727" t="s">
        <v>1312</v>
      </c>
      <c r="F727" t="s">
        <v>506</v>
      </c>
      <c r="G727">
        <v>21157</v>
      </c>
      <c r="H727">
        <v>39.567390000000003</v>
      </c>
      <c r="I727">
        <v>-76.920410000000004</v>
      </c>
      <c r="K727">
        <v>110041245015</v>
      </c>
      <c r="L727" t="s">
        <v>265</v>
      </c>
      <c r="R727" s="387">
        <f t="shared" si="11"/>
        <v>2.2614628912298504E-3</v>
      </c>
      <c r="S727" s="386">
        <v>1.0257823125000001E-3</v>
      </c>
    </row>
    <row r="728" spans="1:19" x14ac:dyDescent="0.25">
      <c r="A728">
        <v>2023</v>
      </c>
      <c r="C728" t="s">
        <v>1311</v>
      </c>
      <c r="D728" t="s">
        <v>2155</v>
      </c>
      <c r="E728" t="s">
        <v>1312</v>
      </c>
      <c r="F728" t="s">
        <v>506</v>
      </c>
      <c r="G728">
        <v>21157</v>
      </c>
      <c r="H728">
        <v>39.567390000000003</v>
      </c>
      <c r="I728">
        <v>-76.920410000000004</v>
      </c>
      <c r="K728">
        <v>110041245015</v>
      </c>
      <c r="L728" t="s">
        <v>265</v>
      </c>
      <c r="R728" s="387">
        <f t="shared" si="11"/>
        <v>2.2614628912298504E-3</v>
      </c>
      <c r="S728" s="386">
        <v>1.0257823125000001E-3</v>
      </c>
    </row>
    <row r="729" spans="1:19" x14ac:dyDescent="0.25">
      <c r="A729">
        <v>2024</v>
      </c>
      <c r="C729" t="s">
        <v>1311</v>
      </c>
      <c r="D729" t="s">
        <v>2155</v>
      </c>
      <c r="E729" t="s">
        <v>1312</v>
      </c>
      <c r="F729" t="s">
        <v>506</v>
      </c>
      <c r="G729">
        <v>21157</v>
      </c>
      <c r="H729">
        <v>39.567390000000003</v>
      </c>
      <c r="I729">
        <v>-76.920410000000004</v>
      </c>
      <c r="K729">
        <v>110041245015</v>
      </c>
      <c r="L729" t="s">
        <v>265</v>
      </c>
      <c r="R729" s="387">
        <f t="shared" si="11"/>
        <v>2.1624763000312372E-3</v>
      </c>
      <c r="S729" s="386">
        <v>9.8088275000000002E-4</v>
      </c>
    </row>
    <row r="730" spans="1:19" x14ac:dyDescent="0.25">
      <c r="A730">
        <v>2024</v>
      </c>
      <c r="C730" t="s">
        <v>1311</v>
      </c>
      <c r="D730" t="s">
        <v>2155</v>
      </c>
      <c r="E730" t="s">
        <v>1312</v>
      </c>
      <c r="F730" t="s">
        <v>506</v>
      </c>
      <c r="G730">
        <v>21157</v>
      </c>
      <c r="H730">
        <v>39.567390000000003</v>
      </c>
      <c r="I730">
        <v>-76.920410000000004</v>
      </c>
      <c r="K730">
        <v>110041245015</v>
      </c>
      <c r="L730" t="s">
        <v>265</v>
      </c>
      <c r="R730" s="387">
        <f t="shared" si="11"/>
        <v>2.1624763000312372E-3</v>
      </c>
      <c r="S730" s="386">
        <v>9.8088275000000002E-4</v>
      </c>
    </row>
    <row r="731" spans="1:19" x14ac:dyDescent="0.25">
      <c r="A731">
        <v>2021</v>
      </c>
      <c r="C731" t="s">
        <v>1311</v>
      </c>
      <c r="D731" t="s">
        <v>2155</v>
      </c>
      <c r="E731" t="s">
        <v>1312</v>
      </c>
      <c r="F731" t="s">
        <v>506</v>
      </c>
      <c r="G731">
        <v>21157</v>
      </c>
      <c r="H731">
        <v>39.567390000000003</v>
      </c>
      <c r="I731">
        <v>-76.920410000000004</v>
      </c>
      <c r="K731">
        <v>110041245015</v>
      </c>
      <c r="L731" t="s">
        <v>265</v>
      </c>
      <c r="R731" s="387">
        <f t="shared" si="11"/>
        <v>1.629471578192552E-3</v>
      </c>
      <c r="S731" s="386">
        <v>7.3911587500000001E-4</v>
      </c>
    </row>
    <row r="732" spans="1:19" x14ac:dyDescent="0.25">
      <c r="A732">
        <v>2021</v>
      </c>
      <c r="C732" t="s">
        <v>1311</v>
      </c>
      <c r="D732" t="s">
        <v>2155</v>
      </c>
      <c r="E732" t="s">
        <v>1312</v>
      </c>
      <c r="F732" t="s">
        <v>506</v>
      </c>
      <c r="G732">
        <v>21157</v>
      </c>
      <c r="H732">
        <v>39.567390000000003</v>
      </c>
      <c r="I732">
        <v>-76.920410000000004</v>
      </c>
      <c r="K732">
        <v>110041245015</v>
      </c>
      <c r="L732" t="s">
        <v>265</v>
      </c>
      <c r="R732" s="387">
        <f t="shared" si="11"/>
        <v>1.629471578192552E-3</v>
      </c>
      <c r="S732" s="386">
        <v>7.3911587500000001E-4</v>
      </c>
    </row>
    <row r="733" spans="1:19" x14ac:dyDescent="0.25">
      <c r="A733">
        <v>2021</v>
      </c>
      <c r="C733" t="s">
        <v>1315</v>
      </c>
      <c r="D733" t="s">
        <v>2160</v>
      </c>
      <c r="E733" t="s">
        <v>1316</v>
      </c>
      <c r="F733" t="s">
        <v>294</v>
      </c>
      <c r="G733">
        <v>22801</v>
      </c>
      <c r="H733">
        <v>38.400409000000003</v>
      </c>
      <c r="I733">
        <v>-78.895222000000004</v>
      </c>
      <c r="K733">
        <v>110070544905</v>
      </c>
      <c r="L733" t="s">
        <v>6750</v>
      </c>
      <c r="R733" s="387">
        <f t="shared" si="11"/>
        <v>0.1097452253787911</v>
      </c>
      <c r="S733" s="386">
        <v>4.9779596875750003E-2</v>
      </c>
    </row>
    <row r="734" spans="1:19" x14ac:dyDescent="0.25">
      <c r="A734">
        <v>2022</v>
      </c>
      <c r="C734" t="s">
        <v>1315</v>
      </c>
      <c r="D734" t="s">
        <v>2160</v>
      </c>
      <c r="E734" t="s">
        <v>1316</v>
      </c>
      <c r="F734" t="s">
        <v>294</v>
      </c>
      <c r="G734">
        <v>22801</v>
      </c>
      <c r="H734">
        <v>38.400409000000003</v>
      </c>
      <c r="I734">
        <v>-78.895222000000004</v>
      </c>
      <c r="K734">
        <v>110070544905</v>
      </c>
      <c r="L734" t="s">
        <v>6750</v>
      </c>
      <c r="R734" s="387">
        <f t="shared" si="11"/>
        <v>0.10141892935390424</v>
      </c>
      <c r="S734" s="386">
        <v>4.6002852528499998E-2</v>
      </c>
    </row>
    <row r="735" spans="1:19" x14ac:dyDescent="0.25">
      <c r="A735">
        <v>2023</v>
      </c>
      <c r="C735" t="s">
        <v>1315</v>
      </c>
      <c r="D735" t="s">
        <v>2160</v>
      </c>
      <c r="E735" t="s">
        <v>1316</v>
      </c>
      <c r="F735" t="s">
        <v>294</v>
      </c>
      <c r="G735">
        <v>22801</v>
      </c>
      <c r="H735">
        <v>38.400409000000003</v>
      </c>
      <c r="I735">
        <v>-78.895222000000004</v>
      </c>
      <c r="K735">
        <v>110070544905</v>
      </c>
      <c r="L735" t="s">
        <v>6750</v>
      </c>
      <c r="R735" s="387">
        <f t="shared" si="11"/>
        <v>4.1337877759054904E-2</v>
      </c>
      <c r="S735" s="386">
        <v>1.8750545943500001E-2</v>
      </c>
    </row>
    <row r="736" spans="1:19" x14ac:dyDescent="0.25">
      <c r="A736">
        <v>2024</v>
      </c>
      <c r="C736" t="s">
        <v>1315</v>
      </c>
      <c r="D736" t="s">
        <v>2160</v>
      </c>
      <c r="E736" t="s">
        <v>1316</v>
      </c>
      <c r="F736" t="s">
        <v>294</v>
      </c>
      <c r="G736">
        <v>22801</v>
      </c>
      <c r="H736">
        <v>38.400409000000003</v>
      </c>
      <c r="I736">
        <v>-78.895222000000004</v>
      </c>
      <c r="K736">
        <v>110070544905</v>
      </c>
      <c r="L736" t="s">
        <v>6750</v>
      </c>
      <c r="R736" s="387">
        <f t="shared" si="11"/>
        <v>2.6799185356667266E-3</v>
      </c>
      <c r="S736" s="386">
        <v>1.2155906000000001E-3</v>
      </c>
    </row>
    <row r="737" spans="1:19" x14ac:dyDescent="0.25">
      <c r="A737">
        <v>2023</v>
      </c>
      <c r="C737" t="s">
        <v>1317</v>
      </c>
      <c r="D737" t="s">
        <v>2163</v>
      </c>
      <c r="E737" t="s">
        <v>1133</v>
      </c>
      <c r="F737" t="s">
        <v>491</v>
      </c>
      <c r="G737" t="s">
        <v>6950</v>
      </c>
      <c r="H737">
        <v>40.094276999999998</v>
      </c>
      <c r="I737">
        <v>-74.865442000000002</v>
      </c>
      <c r="K737">
        <v>110064634686</v>
      </c>
      <c r="L737" t="s">
        <v>265</v>
      </c>
      <c r="R737" s="387">
        <f t="shared" si="11"/>
        <v>0.85676926179335866</v>
      </c>
      <c r="S737" s="386">
        <v>0.38862400000000002</v>
      </c>
    </row>
    <row r="738" spans="1:19" x14ac:dyDescent="0.25">
      <c r="A738">
        <v>2021</v>
      </c>
      <c r="C738" t="s">
        <v>1317</v>
      </c>
      <c r="D738" t="s">
        <v>2163</v>
      </c>
      <c r="E738" t="s">
        <v>1133</v>
      </c>
      <c r="F738" t="s">
        <v>491</v>
      </c>
      <c r="G738" t="s">
        <v>6950</v>
      </c>
      <c r="H738">
        <v>40.094276999999998</v>
      </c>
      <c r="I738">
        <v>-74.865442000000002</v>
      </c>
      <c r="K738">
        <v>110064634686</v>
      </c>
      <c r="L738" t="s">
        <v>265</v>
      </c>
      <c r="R738" s="387">
        <f t="shared" si="11"/>
        <v>0.81533205684213772</v>
      </c>
      <c r="S738" s="386">
        <v>0.3698284</v>
      </c>
    </row>
    <row r="739" spans="1:19" x14ac:dyDescent="0.25">
      <c r="A739">
        <v>2024</v>
      </c>
      <c r="C739" t="s">
        <v>1317</v>
      </c>
      <c r="D739" t="s">
        <v>2163</v>
      </c>
      <c r="E739" t="s">
        <v>1133</v>
      </c>
      <c r="F739" t="s">
        <v>491</v>
      </c>
      <c r="G739" t="s">
        <v>6950</v>
      </c>
      <c r="H739">
        <v>40.094276999999998</v>
      </c>
      <c r="I739">
        <v>-74.865442000000002</v>
      </c>
      <c r="K739">
        <v>110064634686</v>
      </c>
      <c r="L739" t="s">
        <v>265</v>
      </c>
      <c r="R739" s="387">
        <f t="shared" si="11"/>
        <v>0.78860806234461123</v>
      </c>
      <c r="S739" s="386">
        <v>0.35770659999999999</v>
      </c>
    </row>
    <row r="740" spans="1:19" x14ac:dyDescent="0.25">
      <c r="A740">
        <v>2022</v>
      </c>
      <c r="C740" t="s">
        <v>1317</v>
      </c>
      <c r="D740" t="s">
        <v>2163</v>
      </c>
      <c r="E740" t="s">
        <v>1133</v>
      </c>
      <c r="F740" t="s">
        <v>491</v>
      </c>
      <c r="G740" t="s">
        <v>6950</v>
      </c>
      <c r="H740">
        <v>40.094276999999998</v>
      </c>
      <c r="I740">
        <v>-74.865442000000002</v>
      </c>
      <c r="K740">
        <v>110064634686</v>
      </c>
      <c r="L740" t="s">
        <v>265</v>
      </c>
      <c r="R740" s="387">
        <f t="shared" si="11"/>
        <v>0.72580167078207247</v>
      </c>
      <c r="S740" s="386">
        <v>0.32921810000000001</v>
      </c>
    </row>
    <row r="741" spans="1:19" x14ac:dyDescent="0.25">
      <c r="A741">
        <v>2021</v>
      </c>
      <c r="C741" t="s">
        <v>1319</v>
      </c>
      <c r="D741" t="s">
        <v>2167</v>
      </c>
      <c r="E741" t="s">
        <v>1320</v>
      </c>
      <c r="F741" t="s">
        <v>324</v>
      </c>
      <c r="G741">
        <v>42629</v>
      </c>
      <c r="H741">
        <v>36.946111000000002</v>
      </c>
      <c r="I741">
        <v>-85.020832999999996</v>
      </c>
      <c r="K741">
        <v>110000719045</v>
      </c>
      <c r="L741" t="s">
        <v>263</v>
      </c>
      <c r="R741" s="387">
        <f t="shared" si="11"/>
        <v>0.95179414614050939</v>
      </c>
      <c r="S741" s="386">
        <v>0.43172656250000002</v>
      </c>
    </row>
    <row r="742" spans="1:19" x14ac:dyDescent="0.25">
      <c r="A742">
        <v>2022</v>
      </c>
      <c r="C742" t="s">
        <v>1321</v>
      </c>
      <c r="D742" t="s">
        <v>2171</v>
      </c>
      <c r="E742" t="s">
        <v>626</v>
      </c>
      <c r="F742" t="s">
        <v>324</v>
      </c>
      <c r="G742">
        <v>42276</v>
      </c>
      <c r="H742">
        <v>36.856732000000001</v>
      </c>
      <c r="I742">
        <v>-86.889048000000003</v>
      </c>
      <c r="K742">
        <v>110000736730</v>
      </c>
      <c r="L742" t="s">
        <v>263</v>
      </c>
      <c r="R742" s="387">
        <f t="shared" si="11"/>
        <v>8.4214746050512278E-3</v>
      </c>
      <c r="S742" s="386">
        <v>3.8199166250000001E-3</v>
      </c>
    </row>
    <row r="743" spans="1:19" x14ac:dyDescent="0.25">
      <c r="A743">
        <v>2024</v>
      </c>
      <c r="C743" t="s">
        <v>1321</v>
      </c>
      <c r="D743" t="s">
        <v>2171</v>
      </c>
      <c r="E743" t="s">
        <v>626</v>
      </c>
      <c r="F743" t="s">
        <v>324</v>
      </c>
      <c r="G743">
        <v>42276</v>
      </c>
      <c r="H743">
        <v>36.856732000000001</v>
      </c>
      <c r="I743">
        <v>-86.889048000000003</v>
      </c>
      <c r="K743">
        <v>110000736730</v>
      </c>
      <c r="L743" t="s">
        <v>263</v>
      </c>
      <c r="R743" s="387">
        <f t="shared" si="11"/>
        <v>2.6848209274331486E-3</v>
      </c>
      <c r="S743" s="386">
        <v>1.2178142874999999E-3</v>
      </c>
    </row>
    <row r="744" spans="1:19" x14ac:dyDescent="0.25">
      <c r="A744">
        <v>2021</v>
      </c>
      <c r="C744" t="s">
        <v>1321</v>
      </c>
      <c r="D744" t="s">
        <v>2171</v>
      </c>
      <c r="E744" t="s">
        <v>626</v>
      </c>
      <c r="F744" t="s">
        <v>324</v>
      </c>
      <c r="G744">
        <v>42276</v>
      </c>
      <c r="H744">
        <v>36.856732000000001</v>
      </c>
      <c r="I744">
        <v>-86.889048000000003</v>
      </c>
      <c r="K744">
        <v>110000736730</v>
      </c>
      <c r="L744" t="s">
        <v>263</v>
      </c>
      <c r="R744" s="387">
        <f t="shared" si="11"/>
        <v>1.7817586415750336E-3</v>
      </c>
      <c r="S744" s="386">
        <v>8.0819212500000005E-4</v>
      </c>
    </row>
    <row r="745" spans="1:19" x14ac:dyDescent="0.25">
      <c r="A745">
        <v>2023</v>
      </c>
      <c r="C745" t="s">
        <v>1321</v>
      </c>
      <c r="D745" t="s">
        <v>2171</v>
      </c>
      <c r="E745" t="s">
        <v>626</v>
      </c>
      <c r="F745" t="s">
        <v>324</v>
      </c>
      <c r="G745">
        <v>42276</v>
      </c>
      <c r="H745">
        <v>36.856732000000001</v>
      </c>
      <c r="I745">
        <v>-86.889048000000003</v>
      </c>
      <c r="K745">
        <v>110000736730</v>
      </c>
      <c r="L745" t="s">
        <v>263</v>
      </c>
      <c r="R745" s="387">
        <f t="shared" si="11"/>
        <v>1.0264148071979253E-3</v>
      </c>
      <c r="S745" s="386">
        <v>4.6557392499999999E-4</v>
      </c>
    </row>
    <row r="746" spans="1:19" x14ac:dyDescent="0.25">
      <c r="A746">
        <v>2021</v>
      </c>
      <c r="C746" t="s">
        <v>1322</v>
      </c>
      <c r="D746" t="s">
        <v>2173</v>
      </c>
      <c r="E746" t="s">
        <v>1273</v>
      </c>
      <c r="F746" t="s">
        <v>324</v>
      </c>
      <c r="G746">
        <v>42301</v>
      </c>
      <c r="H746">
        <v>37.790278000000001</v>
      </c>
      <c r="I746">
        <v>-87.140277999999995</v>
      </c>
      <c r="K746">
        <v>110039998214</v>
      </c>
      <c r="L746" t="s">
        <v>263</v>
      </c>
      <c r="R746" s="387">
        <f t="shared" si="11"/>
        <v>65.452979841790551</v>
      </c>
      <c r="S746" s="386">
        <v>29.688972249999999</v>
      </c>
    </row>
    <row r="747" spans="1:19" x14ac:dyDescent="0.25">
      <c r="A747">
        <v>2023</v>
      </c>
      <c r="C747" t="s">
        <v>1322</v>
      </c>
      <c r="D747" t="s">
        <v>2173</v>
      </c>
      <c r="E747" t="s">
        <v>1273</v>
      </c>
      <c r="F747" t="s">
        <v>324</v>
      </c>
      <c r="G747">
        <v>42301</v>
      </c>
      <c r="H747">
        <v>37.790278000000001</v>
      </c>
      <c r="I747">
        <v>-87.140277999999995</v>
      </c>
      <c r="K747">
        <v>110039998214</v>
      </c>
      <c r="L747" t="s">
        <v>263</v>
      </c>
      <c r="R747" s="387">
        <f t="shared" si="11"/>
        <v>21.167901810164931</v>
      </c>
      <c r="S747" s="386">
        <v>9.6015987500000008</v>
      </c>
    </row>
    <row r="748" spans="1:19" x14ac:dyDescent="0.25">
      <c r="A748">
        <v>2024</v>
      </c>
      <c r="C748" t="s">
        <v>1322</v>
      </c>
      <c r="D748" t="s">
        <v>2173</v>
      </c>
      <c r="E748" t="s">
        <v>1273</v>
      </c>
      <c r="F748" t="s">
        <v>324</v>
      </c>
      <c r="G748">
        <v>42301</v>
      </c>
      <c r="H748">
        <v>37.790278000000001</v>
      </c>
      <c r="I748">
        <v>-87.140277999999995</v>
      </c>
      <c r="K748">
        <v>110039998214</v>
      </c>
      <c r="L748" t="s">
        <v>263</v>
      </c>
      <c r="R748" s="387">
        <f t="shared" si="11"/>
        <v>12.533225316378227</v>
      </c>
      <c r="S748" s="386">
        <v>5.6849753749999996</v>
      </c>
    </row>
    <row r="749" spans="1:19" x14ac:dyDescent="0.25">
      <c r="A749">
        <v>2022</v>
      </c>
      <c r="C749" t="s">
        <v>1322</v>
      </c>
      <c r="D749" t="s">
        <v>2173</v>
      </c>
      <c r="E749" t="s">
        <v>1273</v>
      </c>
      <c r="F749" t="s">
        <v>324</v>
      </c>
      <c r="G749">
        <v>42301</v>
      </c>
      <c r="H749">
        <v>37.790278000000001</v>
      </c>
      <c r="I749">
        <v>-87.140277999999995</v>
      </c>
      <c r="K749">
        <v>110039998214</v>
      </c>
      <c r="L749" t="s">
        <v>263</v>
      </c>
      <c r="R749" s="387">
        <f t="shared" si="11"/>
        <v>4.723853333886546</v>
      </c>
      <c r="S749" s="386">
        <v>2.1427038292499998</v>
      </c>
    </row>
    <row r="750" spans="1:19" x14ac:dyDescent="0.25">
      <c r="A750">
        <v>2021</v>
      </c>
      <c r="C750" t="s">
        <v>6805</v>
      </c>
      <c r="D750" t="s">
        <v>6959</v>
      </c>
      <c r="E750" t="s">
        <v>1324</v>
      </c>
      <c r="F750" t="s">
        <v>450</v>
      </c>
      <c r="G750">
        <v>12158</v>
      </c>
      <c r="H750">
        <v>42.575806</v>
      </c>
      <c r="I750">
        <v>-73.859943999999999</v>
      </c>
      <c r="K750">
        <v>110000324391</v>
      </c>
      <c r="L750" t="s">
        <v>265</v>
      </c>
      <c r="R750" s="387">
        <f t="shared" si="11"/>
        <v>1.8266400733328032</v>
      </c>
      <c r="S750" s="386">
        <v>0.82855000000000001</v>
      </c>
    </row>
    <row r="751" spans="1:19" x14ac:dyDescent="0.25">
      <c r="A751">
        <v>2022</v>
      </c>
      <c r="C751" t="s">
        <v>6805</v>
      </c>
      <c r="D751" t="s">
        <v>6959</v>
      </c>
      <c r="E751" t="s">
        <v>1324</v>
      </c>
      <c r="F751" t="s">
        <v>450</v>
      </c>
      <c r="G751">
        <v>12158</v>
      </c>
      <c r="H751">
        <v>42.575806</v>
      </c>
      <c r="I751">
        <v>-73.859943999999999</v>
      </c>
      <c r="K751">
        <v>110000324391</v>
      </c>
      <c r="L751" t="s">
        <v>265</v>
      </c>
      <c r="R751" s="387">
        <f t="shared" si="11"/>
        <v>1.8266400733328032</v>
      </c>
      <c r="S751" s="386">
        <v>0.82855000000000001</v>
      </c>
    </row>
    <row r="752" spans="1:19" x14ac:dyDescent="0.25">
      <c r="A752">
        <v>2023</v>
      </c>
      <c r="C752" t="s">
        <v>6805</v>
      </c>
      <c r="D752" t="s">
        <v>6959</v>
      </c>
      <c r="E752" t="s">
        <v>1324</v>
      </c>
      <c r="F752" t="s">
        <v>450</v>
      </c>
      <c r="G752">
        <v>12158</v>
      </c>
      <c r="H752">
        <v>42.575806</v>
      </c>
      <c r="I752">
        <v>-73.859943999999999</v>
      </c>
      <c r="K752">
        <v>110000324391</v>
      </c>
      <c r="L752" t="s">
        <v>265</v>
      </c>
      <c r="R752" s="387">
        <f t="shared" si="11"/>
        <v>1.8266400733328032</v>
      </c>
      <c r="S752" s="386">
        <v>0.82855000000000001</v>
      </c>
    </row>
    <row r="753" spans="1:19" x14ac:dyDescent="0.25">
      <c r="A753">
        <v>2024</v>
      </c>
      <c r="C753" t="s">
        <v>6805</v>
      </c>
      <c r="D753" t="s">
        <v>6959</v>
      </c>
      <c r="E753" t="s">
        <v>1324</v>
      </c>
      <c r="F753" t="s">
        <v>450</v>
      </c>
      <c r="G753">
        <v>12158</v>
      </c>
      <c r="H753">
        <v>42.575806</v>
      </c>
      <c r="I753">
        <v>-73.859943999999999</v>
      </c>
      <c r="K753">
        <v>110000324391</v>
      </c>
      <c r="L753" t="s">
        <v>265</v>
      </c>
      <c r="R753" s="387">
        <f t="shared" si="11"/>
        <v>1.3737334250132998</v>
      </c>
      <c r="S753" s="386">
        <v>0.62311499999999997</v>
      </c>
    </row>
    <row r="754" spans="1:19" x14ac:dyDescent="0.25">
      <c r="A754">
        <v>2024</v>
      </c>
      <c r="C754" t="s">
        <v>6805</v>
      </c>
      <c r="D754" t="s">
        <v>6959</v>
      </c>
      <c r="E754" t="s">
        <v>1324</v>
      </c>
      <c r="F754" t="s">
        <v>450</v>
      </c>
      <c r="G754">
        <v>12158</v>
      </c>
      <c r="H754">
        <v>42.575806</v>
      </c>
      <c r="I754">
        <v>-73.859943999999999</v>
      </c>
      <c r="K754">
        <v>110000324391</v>
      </c>
      <c r="L754" t="s">
        <v>265</v>
      </c>
      <c r="R754" s="387">
        <f t="shared" si="11"/>
        <v>0.45440799632498224</v>
      </c>
      <c r="S754" s="386">
        <v>0.20611599999999999</v>
      </c>
    </row>
    <row r="755" spans="1:19" x14ac:dyDescent="0.25">
      <c r="A755">
        <v>2021</v>
      </c>
      <c r="C755" t="s">
        <v>6805</v>
      </c>
      <c r="D755" t="s">
        <v>6959</v>
      </c>
      <c r="E755" t="s">
        <v>1324</v>
      </c>
      <c r="F755" t="s">
        <v>450</v>
      </c>
      <c r="G755">
        <v>12158</v>
      </c>
      <c r="H755">
        <v>42.575806</v>
      </c>
      <c r="I755">
        <v>-73.859943999999999</v>
      </c>
      <c r="K755">
        <v>110000324391</v>
      </c>
      <c r="L755" t="s">
        <v>265</v>
      </c>
      <c r="R755" s="387">
        <f t="shared" si="11"/>
        <v>0.27324533699718095</v>
      </c>
      <c r="S755" s="386">
        <v>0.123942</v>
      </c>
    </row>
    <row r="756" spans="1:19" x14ac:dyDescent="0.25">
      <c r="A756">
        <v>2023</v>
      </c>
      <c r="C756" t="s">
        <v>6805</v>
      </c>
      <c r="D756" t="s">
        <v>6959</v>
      </c>
      <c r="E756" t="s">
        <v>1324</v>
      </c>
      <c r="F756" t="s">
        <v>450</v>
      </c>
      <c r="G756">
        <v>12158</v>
      </c>
      <c r="H756">
        <v>42.575806</v>
      </c>
      <c r="I756">
        <v>-73.859943999999999</v>
      </c>
      <c r="K756">
        <v>110000324391</v>
      </c>
      <c r="L756" t="s">
        <v>265</v>
      </c>
      <c r="R756" s="387">
        <f t="shared" si="11"/>
        <v>0.27324533699718095</v>
      </c>
      <c r="S756" s="386">
        <v>0.123942</v>
      </c>
    </row>
    <row r="757" spans="1:19" x14ac:dyDescent="0.25">
      <c r="A757">
        <v>2022</v>
      </c>
      <c r="C757" t="s">
        <v>6805</v>
      </c>
      <c r="D757" t="s">
        <v>6959</v>
      </c>
      <c r="E757" t="s">
        <v>1324</v>
      </c>
      <c r="F757" t="s">
        <v>450</v>
      </c>
      <c r="G757">
        <v>12158</v>
      </c>
      <c r="H757">
        <v>42.575806</v>
      </c>
      <c r="I757">
        <v>-73.859943999999999</v>
      </c>
      <c r="K757">
        <v>110000324391</v>
      </c>
      <c r="L757" t="s">
        <v>265</v>
      </c>
      <c r="R757" s="387">
        <f t="shared" si="11"/>
        <v>0.18266400733328031</v>
      </c>
      <c r="S757" s="386">
        <v>8.2854999999999998E-2</v>
      </c>
    </row>
    <row r="758" spans="1:19" x14ac:dyDescent="0.25">
      <c r="A758">
        <v>2021</v>
      </c>
      <c r="C758" t="s">
        <v>1325</v>
      </c>
      <c r="D758" t="s">
        <v>2179</v>
      </c>
      <c r="E758" t="s">
        <v>1326</v>
      </c>
      <c r="F758" t="s">
        <v>469</v>
      </c>
      <c r="G758">
        <v>47620</v>
      </c>
      <c r="H758">
        <v>37.907200000000003</v>
      </c>
      <c r="I758">
        <v>-87.927099999999996</v>
      </c>
      <c r="J758" t="s">
        <v>732</v>
      </c>
      <c r="K758">
        <v>110000403670</v>
      </c>
      <c r="L758" t="s">
        <v>253</v>
      </c>
      <c r="R758" s="387">
        <f t="shared" si="11"/>
        <v>18.416535533875933</v>
      </c>
      <c r="S758" s="386">
        <v>8.3536000000000001</v>
      </c>
    </row>
    <row r="759" spans="1:19" x14ac:dyDescent="0.25">
      <c r="A759">
        <v>2022</v>
      </c>
      <c r="C759" t="s">
        <v>1325</v>
      </c>
      <c r="D759" t="s">
        <v>2179</v>
      </c>
      <c r="E759" t="s">
        <v>1326</v>
      </c>
      <c r="F759" t="s">
        <v>469</v>
      </c>
      <c r="G759">
        <v>47620</v>
      </c>
      <c r="H759">
        <v>37.907200000000003</v>
      </c>
      <c r="I759">
        <v>-87.927099999999996</v>
      </c>
      <c r="J759" t="s">
        <v>732</v>
      </c>
      <c r="K759">
        <v>110000403670</v>
      </c>
      <c r="L759" t="s">
        <v>253</v>
      </c>
      <c r="R759" s="387">
        <f t="shared" si="11"/>
        <v>14.733228427100746</v>
      </c>
      <c r="S759" s="386">
        <v>6.6828799999999999</v>
      </c>
    </row>
    <row r="760" spans="1:19" x14ac:dyDescent="0.25">
      <c r="A760">
        <v>2024</v>
      </c>
      <c r="C760" t="s">
        <v>1325</v>
      </c>
      <c r="D760" t="s">
        <v>2179</v>
      </c>
      <c r="E760" t="s">
        <v>1326</v>
      </c>
      <c r="F760" t="s">
        <v>469</v>
      </c>
      <c r="G760">
        <v>47620</v>
      </c>
      <c r="H760">
        <v>37.907200000000003</v>
      </c>
      <c r="I760">
        <v>-87.927099999999996</v>
      </c>
      <c r="J760" t="s">
        <v>732</v>
      </c>
      <c r="K760">
        <v>110000403670</v>
      </c>
      <c r="L760" t="s">
        <v>253</v>
      </c>
      <c r="R760" s="387">
        <f t="shared" si="11"/>
        <v>9.1332003666640169</v>
      </c>
      <c r="S760" s="386">
        <v>4.1427500000000004</v>
      </c>
    </row>
    <row r="761" spans="1:19" x14ac:dyDescent="0.25">
      <c r="A761">
        <v>2023</v>
      </c>
      <c r="C761" t="s">
        <v>1325</v>
      </c>
      <c r="D761" t="s">
        <v>2179</v>
      </c>
      <c r="E761" t="s">
        <v>1326</v>
      </c>
      <c r="F761" t="s">
        <v>469</v>
      </c>
      <c r="G761">
        <v>47620</v>
      </c>
      <c r="H761">
        <v>37.907200000000003</v>
      </c>
      <c r="I761">
        <v>-87.927099999999996</v>
      </c>
      <c r="J761" t="s">
        <v>732</v>
      </c>
      <c r="K761">
        <v>110000403670</v>
      </c>
      <c r="L761" t="s">
        <v>253</v>
      </c>
      <c r="R761" s="387">
        <f t="shared" si="11"/>
        <v>7.3666142135503732</v>
      </c>
      <c r="S761" s="386">
        <v>3.34144</v>
      </c>
    </row>
    <row r="762" spans="1:19" x14ac:dyDescent="0.25">
      <c r="A762">
        <v>2024</v>
      </c>
      <c r="C762" t="s">
        <v>6912</v>
      </c>
      <c r="D762" t="s">
        <v>7114</v>
      </c>
      <c r="E762" t="s">
        <v>7115</v>
      </c>
      <c r="F762" t="s">
        <v>338</v>
      </c>
      <c r="G762" t="s">
        <v>7116</v>
      </c>
      <c r="H762">
        <v>39.573918999999997</v>
      </c>
      <c r="I762">
        <v>-75.479337000000001</v>
      </c>
      <c r="K762">
        <v>110000734484</v>
      </c>
      <c r="L762" t="s">
        <v>263</v>
      </c>
      <c r="R762" s="387">
        <f t="shared" si="11"/>
        <v>80.64509550722822</v>
      </c>
      <c r="S762" s="386">
        <v>36.58</v>
      </c>
    </row>
    <row r="763" spans="1:19" x14ac:dyDescent="0.25">
      <c r="A763">
        <v>2021</v>
      </c>
      <c r="C763" t="s">
        <v>1332</v>
      </c>
      <c r="D763" t="s">
        <v>2189</v>
      </c>
      <c r="E763" t="s">
        <v>1333</v>
      </c>
      <c r="F763" t="s">
        <v>491</v>
      </c>
      <c r="G763">
        <v>18370</v>
      </c>
      <c r="H763">
        <v>41.094749999999998</v>
      </c>
      <c r="I763">
        <v>-75.326319999999996</v>
      </c>
      <c r="J763" t="s">
        <v>733</v>
      </c>
      <c r="K763">
        <v>110006522735</v>
      </c>
      <c r="L763" t="s">
        <v>265</v>
      </c>
      <c r="R763" s="387">
        <f t="shared" si="11"/>
        <v>4.5741069233594028E-2</v>
      </c>
      <c r="S763" s="386">
        <v>2.07478E-2</v>
      </c>
    </row>
    <row r="764" spans="1:19" x14ac:dyDescent="0.25">
      <c r="A764">
        <v>2022</v>
      </c>
      <c r="C764" t="s">
        <v>1332</v>
      </c>
      <c r="D764" t="s">
        <v>2189</v>
      </c>
      <c r="E764" t="s">
        <v>1333</v>
      </c>
      <c r="F764" t="s">
        <v>491</v>
      </c>
      <c r="G764">
        <v>18370</v>
      </c>
      <c r="H764">
        <v>41.094749999999998</v>
      </c>
      <c r="I764">
        <v>-75.326319999999996</v>
      </c>
      <c r="J764" t="s">
        <v>733</v>
      </c>
      <c r="K764">
        <v>110006522735</v>
      </c>
      <c r="L764" t="s">
        <v>265</v>
      </c>
      <c r="R764" s="387">
        <f t="shared" si="11"/>
        <v>4.5590934433046126E-2</v>
      </c>
      <c r="S764" s="386">
        <v>2.0679699999999999E-2</v>
      </c>
    </row>
    <row r="765" spans="1:19" x14ac:dyDescent="0.25">
      <c r="A765">
        <v>2023</v>
      </c>
      <c r="C765" t="s">
        <v>1332</v>
      </c>
      <c r="D765" t="s">
        <v>2189</v>
      </c>
      <c r="E765" t="s">
        <v>1333</v>
      </c>
      <c r="F765" t="s">
        <v>491</v>
      </c>
      <c r="G765">
        <v>18370</v>
      </c>
      <c r="H765">
        <v>41.094749999999998</v>
      </c>
      <c r="I765">
        <v>-75.326319999999996</v>
      </c>
      <c r="J765" t="s">
        <v>733</v>
      </c>
      <c r="K765">
        <v>110006522735</v>
      </c>
      <c r="L765" t="s">
        <v>265</v>
      </c>
      <c r="R765" s="387">
        <f t="shared" si="11"/>
        <v>3.6532801466656058E-2</v>
      </c>
      <c r="S765" s="386">
        <v>1.6570999999999999E-2</v>
      </c>
    </row>
    <row r="766" spans="1:19" x14ac:dyDescent="0.25">
      <c r="A766">
        <v>2024</v>
      </c>
      <c r="C766" t="s">
        <v>1332</v>
      </c>
      <c r="D766" t="s">
        <v>2189</v>
      </c>
      <c r="E766" t="s">
        <v>1333</v>
      </c>
      <c r="F766" t="s">
        <v>491</v>
      </c>
      <c r="G766">
        <v>18370</v>
      </c>
      <c r="H766">
        <v>41.094749999999998</v>
      </c>
      <c r="I766">
        <v>-75.326319999999996</v>
      </c>
      <c r="J766" t="s">
        <v>733</v>
      </c>
      <c r="K766">
        <v>110006522735</v>
      </c>
      <c r="L766" t="s">
        <v>265</v>
      </c>
      <c r="R766" s="387">
        <f t="shared" si="11"/>
        <v>2.7474668500265999E-2</v>
      </c>
      <c r="S766" s="386">
        <v>1.2462300000000001E-2</v>
      </c>
    </row>
    <row r="767" spans="1:19" x14ac:dyDescent="0.25">
      <c r="A767">
        <v>2023</v>
      </c>
      <c r="C767" t="s">
        <v>1334</v>
      </c>
      <c r="D767" t="s">
        <v>2193</v>
      </c>
      <c r="E767" t="s">
        <v>1335</v>
      </c>
      <c r="F767" t="s">
        <v>366</v>
      </c>
      <c r="G767" t="s">
        <v>2194</v>
      </c>
      <c r="H767">
        <v>36.963245999999998</v>
      </c>
      <c r="I767">
        <v>-122.034009</v>
      </c>
      <c r="K767">
        <v>110013848453</v>
      </c>
      <c r="L767" t="s">
        <v>263</v>
      </c>
      <c r="R767" s="387">
        <f t="shared" si="11"/>
        <v>0.22870295944351973</v>
      </c>
      <c r="S767" s="386">
        <v>0.1037379174</v>
      </c>
    </row>
    <row r="768" spans="1:19" x14ac:dyDescent="0.25">
      <c r="A768">
        <v>2021</v>
      </c>
      <c r="C768" t="s">
        <v>1334</v>
      </c>
      <c r="D768" t="s">
        <v>2193</v>
      </c>
      <c r="E768" t="s">
        <v>1335</v>
      </c>
      <c r="F768" t="s">
        <v>366</v>
      </c>
      <c r="G768" t="s">
        <v>2194</v>
      </c>
      <c r="H768">
        <v>36.963245999999998</v>
      </c>
      <c r="I768">
        <v>-122.034009</v>
      </c>
      <c r="K768">
        <v>110013848453</v>
      </c>
      <c r="L768" t="s">
        <v>263</v>
      </c>
      <c r="R768" s="387">
        <f t="shared" si="11"/>
        <v>0.21634733004878368</v>
      </c>
      <c r="S768" s="386">
        <v>9.8133498180000001E-2</v>
      </c>
    </row>
    <row r="769" spans="1:19" x14ac:dyDescent="0.25">
      <c r="A769">
        <v>2024</v>
      </c>
      <c r="C769" t="s">
        <v>1334</v>
      </c>
      <c r="D769" t="s">
        <v>2193</v>
      </c>
      <c r="E769" t="s">
        <v>1335</v>
      </c>
      <c r="F769" t="s">
        <v>366</v>
      </c>
      <c r="G769" t="s">
        <v>2194</v>
      </c>
      <c r="H769">
        <v>36.963245999999998</v>
      </c>
      <c r="I769">
        <v>-122.034009</v>
      </c>
      <c r="K769">
        <v>110013848453</v>
      </c>
      <c r="L769" t="s">
        <v>263</v>
      </c>
      <c r="R769" s="387">
        <f t="shared" si="11"/>
        <v>0.19259189996956957</v>
      </c>
      <c r="S769" s="386">
        <v>8.7358216350000004E-2</v>
      </c>
    </row>
    <row r="770" spans="1:19" x14ac:dyDescent="0.25">
      <c r="A770">
        <v>2021</v>
      </c>
      <c r="C770" t="s">
        <v>1338</v>
      </c>
      <c r="D770" t="s">
        <v>2201</v>
      </c>
      <c r="E770" t="s">
        <v>1339</v>
      </c>
      <c r="F770" t="s">
        <v>491</v>
      </c>
      <c r="G770" t="s">
        <v>2202</v>
      </c>
      <c r="H770">
        <v>41.452778000000002</v>
      </c>
      <c r="I770">
        <v>-79.690278000000006</v>
      </c>
      <c r="J770" t="s">
        <v>734</v>
      </c>
      <c r="K770">
        <v>110008476327</v>
      </c>
      <c r="L770" t="s">
        <v>265</v>
      </c>
      <c r="R770" s="387">
        <f t="shared" si="11"/>
        <v>2.3746320953326443E-2</v>
      </c>
      <c r="S770" s="386">
        <v>1.077115E-2</v>
      </c>
    </row>
    <row r="771" spans="1:19" x14ac:dyDescent="0.25">
      <c r="A771">
        <v>2024</v>
      </c>
      <c r="C771" t="s">
        <v>1338</v>
      </c>
      <c r="D771" t="s">
        <v>2201</v>
      </c>
      <c r="E771" t="s">
        <v>1339</v>
      </c>
      <c r="F771" t="s">
        <v>491</v>
      </c>
      <c r="G771" t="s">
        <v>2202</v>
      </c>
      <c r="H771">
        <v>41.452778000000002</v>
      </c>
      <c r="I771">
        <v>-79.690278000000006</v>
      </c>
      <c r="J771" t="s">
        <v>734</v>
      </c>
      <c r="K771">
        <v>110008476327</v>
      </c>
      <c r="L771" t="s">
        <v>265</v>
      </c>
      <c r="R771" s="387">
        <f t="shared" ref="R771:R834" si="12">CONVERT(S771,"g","lbm")*1000</f>
        <v>1.4613120586662424E-2</v>
      </c>
      <c r="S771" s="386">
        <v>6.6283999999999996E-3</v>
      </c>
    </row>
    <row r="772" spans="1:19" x14ac:dyDescent="0.25">
      <c r="A772">
        <v>2022</v>
      </c>
      <c r="C772" t="s">
        <v>1338</v>
      </c>
      <c r="D772" t="s">
        <v>2201</v>
      </c>
      <c r="E772" t="s">
        <v>1339</v>
      </c>
      <c r="F772" t="s">
        <v>491</v>
      </c>
      <c r="G772" t="s">
        <v>2202</v>
      </c>
      <c r="H772">
        <v>41.452778000000002</v>
      </c>
      <c r="I772">
        <v>-79.690278000000006</v>
      </c>
      <c r="J772" t="s">
        <v>734</v>
      </c>
      <c r="K772">
        <v>110008476327</v>
      </c>
      <c r="L772" t="s">
        <v>265</v>
      </c>
      <c r="R772" s="387">
        <f t="shared" si="12"/>
        <v>5.4799202199984094E-3</v>
      </c>
      <c r="S772" s="386">
        <v>2.4856499999999998E-3</v>
      </c>
    </row>
    <row r="773" spans="1:19" x14ac:dyDescent="0.25">
      <c r="A773">
        <v>2023</v>
      </c>
      <c r="C773" t="s">
        <v>1338</v>
      </c>
      <c r="D773" t="s">
        <v>2201</v>
      </c>
      <c r="E773" t="s">
        <v>1339</v>
      </c>
      <c r="F773" t="s">
        <v>491</v>
      </c>
      <c r="G773" t="s">
        <v>2202</v>
      </c>
      <c r="H773">
        <v>41.452778000000002</v>
      </c>
      <c r="I773">
        <v>-79.690278000000006</v>
      </c>
      <c r="J773" t="s">
        <v>734</v>
      </c>
      <c r="K773">
        <v>110008476327</v>
      </c>
      <c r="L773" t="s">
        <v>265</v>
      </c>
      <c r="R773" s="387">
        <f t="shared" si="12"/>
        <v>3.6532801466656059E-3</v>
      </c>
      <c r="S773" s="386">
        <v>1.6570999999999999E-3</v>
      </c>
    </row>
    <row r="774" spans="1:19" x14ac:dyDescent="0.25">
      <c r="A774">
        <v>2021</v>
      </c>
      <c r="C774" t="s">
        <v>6776</v>
      </c>
      <c r="D774" t="s">
        <v>1953</v>
      </c>
      <c r="E774" t="s">
        <v>446</v>
      </c>
      <c r="F774" t="s">
        <v>303</v>
      </c>
      <c r="G774">
        <v>70669</v>
      </c>
      <c r="H774">
        <v>30.258800000000001</v>
      </c>
      <c r="I774">
        <v>-93.293700000000001</v>
      </c>
      <c r="J774" t="s">
        <v>723</v>
      </c>
      <c r="K774">
        <v>110017418061</v>
      </c>
      <c r="L774" t="s">
        <v>265</v>
      </c>
      <c r="R774" s="387">
        <f t="shared" si="12"/>
        <v>1075.4988052378394</v>
      </c>
      <c r="S774" s="386">
        <v>487.838052</v>
      </c>
    </row>
    <row r="775" spans="1:19" x14ac:dyDescent="0.25">
      <c r="A775">
        <v>2021</v>
      </c>
      <c r="C775" t="s">
        <v>6776</v>
      </c>
      <c r="D775" t="s">
        <v>1953</v>
      </c>
      <c r="E775" t="s">
        <v>446</v>
      </c>
      <c r="F775" t="s">
        <v>303</v>
      </c>
      <c r="G775">
        <v>70669</v>
      </c>
      <c r="H775">
        <v>30.258800000000001</v>
      </c>
      <c r="I775">
        <v>-93.293700000000001</v>
      </c>
      <c r="J775" t="s">
        <v>723</v>
      </c>
      <c r="K775">
        <v>110017418061</v>
      </c>
      <c r="L775" t="s">
        <v>265</v>
      </c>
      <c r="R775" s="387">
        <f t="shared" si="12"/>
        <v>106.23538486769519</v>
      </c>
      <c r="S775" s="386">
        <v>48.187559999999998</v>
      </c>
    </row>
    <row r="776" spans="1:19" x14ac:dyDescent="0.25">
      <c r="A776">
        <v>2022</v>
      </c>
      <c r="C776" t="s">
        <v>6776</v>
      </c>
      <c r="D776" t="s">
        <v>1953</v>
      </c>
      <c r="E776" t="s">
        <v>446</v>
      </c>
      <c r="F776" t="s">
        <v>303</v>
      </c>
      <c r="G776">
        <v>70669</v>
      </c>
      <c r="H776">
        <v>30.258800000000001</v>
      </c>
      <c r="I776">
        <v>-93.293700000000001</v>
      </c>
      <c r="J776" t="s">
        <v>723</v>
      </c>
      <c r="K776">
        <v>110017418061</v>
      </c>
      <c r="L776" t="s">
        <v>265</v>
      </c>
      <c r="R776" s="387">
        <f t="shared" si="12"/>
        <v>7.0305721853301897</v>
      </c>
      <c r="S776" s="386">
        <v>3.1890139</v>
      </c>
    </row>
    <row r="777" spans="1:19" x14ac:dyDescent="0.25">
      <c r="A777">
        <v>2024</v>
      </c>
      <c r="C777" t="s">
        <v>6776</v>
      </c>
      <c r="D777" t="s">
        <v>1953</v>
      </c>
      <c r="E777" t="s">
        <v>446</v>
      </c>
      <c r="F777" t="s">
        <v>303</v>
      </c>
      <c r="G777">
        <v>70669</v>
      </c>
      <c r="H777">
        <v>30.258800000000001</v>
      </c>
      <c r="I777">
        <v>-93.293700000000001</v>
      </c>
      <c r="J777" t="s">
        <v>723</v>
      </c>
      <c r="K777">
        <v>110017418061</v>
      </c>
      <c r="L777" t="s">
        <v>265</v>
      </c>
      <c r="R777" s="387">
        <f t="shared" si="12"/>
        <v>3.4884001245435412</v>
      </c>
      <c r="S777" s="386">
        <v>1.5823116800000001</v>
      </c>
    </row>
    <row r="778" spans="1:19" x14ac:dyDescent="0.25">
      <c r="A778">
        <v>2022</v>
      </c>
      <c r="C778" t="s">
        <v>6776</v>
      </c>
      <c r="D778" t="s">
        <v>1953</v>
      </c>
      <c r="E778" t="s">
        <v>446</v>
      </c>
      <c r="F778" t="s">
        <v>303</v>
      </c>
      <c r="G778">
        <v>70669</v>
      </c>
      <c r="H778">
        <v>30.258800000000001</v>
      </c>
      <c r="I778">
        <v>-93.293700000000001</v>
      </c>
      <c r="J778" t="s">
        <v>723</v>
      </c>
      <c r="K778">
        <v>110017418061</v>
      </c>
      <c r="L778" t="s">
        <v>265</v>
      </c>
      <c r="R778" s="387">
        <f t="shared" si="12"/>
        <v>2.4566198060165783</v>
      </c>
      <c r="S778" s="386">
        <v>1.114304</v>
      </c>
    </row>
    <row r="779" spans="1:19" x14ac:dyDescent="0.25">
      <c r="A779">
        <v>2022</v>
      </c>
      <c r="C779" t="s">
        <v>6776</v>
      </c>
      <c r="D779" t="s">
        <v>1953</v>
      </c>
      <c r="E779" t="s">
        <v>446</v>
      </c>
      <c r="F779" t="s">
        <v>303</v>
      </c>
      <c r="G779">
        <v>70669</v>
      </c>
      <c r="H779">
        <v>30.258800000000001</v>
      </c>
      <c r="I779">
        <v>-93.293700000000001</v>
      </c>
      <c r="J779" t="s">
        <v>723</v>
      </c>
      <c r="K779">
        <v>110017418061</v>
      </c>
      <c r="L779" t="s">
        <v>265</v>
      </c>
      <c r="R779" s="387">
        <f t="shared" si="12"/>
        <v>1.7656954855744156</v>
      </c>
      <c r="S779" s="386">
        <v>0.80090600000000001</v>
      </c>
    </row>
    <row r="780" spans="1:19" x14ac:dyDescent="0.25">
      <c r="A780">
        <v>2023</v>
      </c>
      <c r="C780" t="s">
        <v>6776</v>
      </c>
      <c r="D780" t="s">
        <v>1953</v>
      </c>
      <c r="E780" t="s">
        <v>446</v>
      </c>
      <c r="F780" t="s">
        <v>303</v>
      </c>
      <c r="G780">
        <v>70669</v>
      </c>
      <c r="H780">
        <v>30.258800000000001</v>
      </c>
      <c r="I780">
        <v>-93.293700000000001</v>
      </c>
      <c r="J780" t="s">
        <v>723</v>
      </c>
      <c r="K780">
        <v>110017418061</v>
      </c>
      <c r="L780" t="s">
        <v>265</v>
      </c>
      <c r="R780" s="387">
        <f t="shared" si="12"/>
        <v>1.2528761010684548</v>
      </c>
      <c r="S780" s="386">
        <v>0.56829503999999997</v>
      </c>
    </row>
    <row r="781" spans="1:19" x14ac:dyDescent="0.25">
      <c r="A781">
        <v>2022</v>
      </c>
      <c r="C781" t="s">
        <v>6776</v>
      </c>
      <c r="D781" t="s">
        <v>1953</v>
      </c>
      <c r="E781" t="s">
        <v>446</v>
      </c>
      <c r="F781" t="s">
        <v>303</v>
      </c>
      <c r="G781">
        <v>70669</v>
      </c>
      <c r="H781">
        <v>30.258800000000001</v>
      </c>
      <c r="I781">
        <v>-93.293700000000001</v>
      </c>
      <c r="J781" t="s">
        <v>723</v>
      </c>
      <c r="K781">
        <v>110017418061</v>
      </c>
      <c r="L781" t="s">
        <v>265</v>
      </c>
      <c r="R781" s="387">
        <f t="shared" si="12"/>
        <v>1.2283099030082891</v>
      </c>
      <c r="S781" s="386">
        <v>0.55715199999999998</v>
      </c>
    </row>
    <row r="782" spans="1:19" x14ac:dyDescent="0.25">
      <c r="A782">
        <v>2022</v>
      </c>
      <c r="C782" t="s">
        <v>6776</v>
      </c>
      <c r="D782" t="s">
        <v>1953</v>
      </c>
      <c r="E782" t="s">
        <v>446</v>
      </c>
      <c r="F782" t="s">
        <v>303</v>
      </c>
      <c r="G782">
        <v>70669</v>
      </c>
      <c r="H782">
        <v>30.258800000000001</v>
      </c>
      <c r="I782">
        <v>-93.293700000000001</v>
      </c>
      <c r="J782" t="s">
        <v>723</v>
      </c>
      <c r="K782">
        <v>110017418061</v>
      </c>
      <c r="L782" t="s">
        <v>265</v>
      </c>
      <c r="R782" s="387">
        <f t="shared" si="12"/>
        <v>1.1515405340702711</v>
      </c>
      <c r="S782" s="386">
        <v>0.52232999999999996</v>
      </c>
    </row>
    <row r="783" spans="1:19" x14ac:dyDescent="0.25">
      <c r="A783">
        <v>2022</v>
      </c>
      <c r="C783" t="s">
        <v>6776</v>
      </c>
      <c r="D783" t="s">
        <v>1953</v>
      </c>
      <c r="E783" t="s">
        <v>446</v>
      </c>
      <c r="F783" t="s">
        <v>303</v>
      </c>
      <c r="G783">
        <v>70669</v>
      </c>
      <c r="H783">
        <v>30.258800000000001</v>
      </c>
      <c r="I783">
        <v>-93.293700000000001</v>
      </c>
      <c r="J783" t="s">
        <v>723</v>
      </c>
      <c r="K783">
        <v>110017418061</v>
      </c>
      <c r="L783" t="s">
        <v>265</v>
      </c>
      <c r="R783" s="387">
        <f t="shared" si="12"/>
        <v>0.61415495150414456</v>
      </c>
      <c r="S783" s="386">
        <v>0.27857599999999999</v>
      </c>
    </row>
    <row r="784" spans="1:19" x14ac:dyDescent="0.25">
      <c r="A784">
        <v>2024</v>
      </c>
      <c r="C784" t="s">
        <v>1340</v>
      </c>
      <c r="D784" t="s">
        <v>2206</v>
      </c>
      <c r="E784" t="s">
        <v>1341</v>
      </c>
      <c r="F784" t="s">
        <v>338</v>
      </c>
      <c r="G784">
        <v>7041</v>
      </c>
      <c r="H784">
        <v>40.723140000000001</v>
      </c>
      <c r="I784">
        <v>-74.310130000000001</v>
      </c>
      <c r="K784">
        <v>110070218704</v>
      </c>
      <c r="L784" t="s">
        <v>265</v>
      </c>
      <c r="R784" s="387">
        <f t="shared" si="12"/>
        <v>5.6375869792518773E-4</v>
      </c>
      <c r="S784" s="386">
        <v>2.5571664390000001E-4</v>
      </c>
    </row>
    <row r="785" spans="1:19" x14ac:dyDescent="0.25">
      <c r="A785">
        <v>2021</v>
      </c>
      <c r="C785" t="s">
        <v>1340</v>
      </c>
      <c r="D785" t="s">
        <v>2206</v>
      </c>
      <c r="E785" t="s">
        <v>1341</v>
      </c>
      <c r="F785" t="s">
        <v>338</v>
      </c>
      <c r="G785">
        <v>7041</v>
      </c>
      <c r="H785">
        <v>40.723140000000001</v>
      </c>
      <c r="I785">
        <v>-74.310130000000001</v>
      </c>
      <c r="K785">
        <v>110070218704</v>
      </c>
      <c r="L785" t="s">
        <v>265</v>
      </c>
      <c r="R785" s="387">
        <f t="shared" si="12"/>
        <v>1.2718614997866916E-4</v>
      </c>
      <c r="S785" s="386">
        <v>5.7690667199999999E-5</v>
      </c>
    </row>
    <row r="786" spans="1:19" x14ac:dyDescent="0.25">
      <c r="A786">
        <v>2022</v>
      </c>
      <c r="C786" t="s">
        <v>1340</v>
      </c>
      <c r="D786" t="s">
        <v>2206</v>
      </c>
      <c r="E786" t="s">
        <v>1341</v>
      </c>
      <c r="F786" t="s">
        <v>338</v>
      </c>
      <c r="G786">
        <v>7041</v>
      </c>
      <c r="H786">
        <v>40.723140000000001</v>
      </c>
      <c r="I786">
        <v>-74.310130000000001</v>
      </c>
      <c r="K786">
        <v>110070218704</v>
      </c>
      <c r="L786" t="s">
        <v>265</v>
      </c>
      <c r="R786" s="387">
        <f t="shared" si="12"/>
        <v>1.0880080401264246E-4</v>
      </c>
      <c r="S786" s="386">
        <v>4.9351214550000002E-5</v>
      </c>
    </row>
    <row r="787" spans="1:19" x14ac:dyDescent="0.25">
      <c r="A787">
        <v>2023</v>
      </c>
      <c r="C787" t="s">
        <v>1340</v>
      </c>
      <c r="D787" t="s">
        <v>2206</v>
      </c>
      <c r="E787" t="s">
        <v>1341</v>
      </c>
      <c r="F787" t="s">
        <v>338</v>
      </c>
      <c r="G787" t="s">
        <v>7105</v>
      </c>
      <c r="H787">
        <v>40.723140000000001</v>
      </c>
      <c r="I787">
        <v>-74.310130000000001</v>
      </c>
      <c r="K787">
        <v>110070218704</v>
      </c>
      <c r="L787" t="s">
        <v>265</v>
      </c>
      <c r="R787" s="387">
        <f t="shared" si="12"/>
        <v>9.7992594760798113E-5</v>
      </c>
      <c r="S787" s="386">
        <v>4.4448693300000003E-5</v>
      </c>
    </row>
    <row r="788" spans="1:19" x14ac:dyDescent="0.25">
      <c r="A788">
        <v>2024</v>
      </c>
      <c r="C788" t="s">
        <v>6882</v>
      </c>
      <c r="D788" t="s">
        <v>7056</v>
      </c>
      <c r="E788" t="s">
        <v>6991</v>
      </c>
      <c r="F788" t="s">
        <v>308</v>
      </c>
      <c r="G788">
        <v>2142</v>
      </c>
      <c r="H788">
        <v>42.365363000000002</v>
      </c>
      <c r="I788">
        <v>-71.087440999999998</v>
      </c>
      <c r="K788">
        <v>110071501940</v>
      </c>
      <c r="L788" t="s">
        <v>265</v>
      </c>
      <c r="R788" s="387">
        <f t="shared" si="12"/>
        <v>6.8693961469193141E-2</v>
      </c>
      <c r="S788" s="386">
        <v>3.11590567875E-2</v>
      </c>
    </row>
    <row r="789" spans="1:19" x14ac:dyDescent="0.25">
      <c r="A789">
        <v>2024</v>
      </c>
      <c r="C789" t="s">
        <v>6873</v>
      </c>
      <c r="D789" t="s">
        <v>7042</v>
      </c>
      <c r="E789" t="s">
        <v>7043</v>
      </c>
      <c r="F789" t="s">
        <v>366</v>
      </c>
      <c r="G789">
        <v>92273</v>
      </c>
      <c r="H789">
        <v>32.7958</v>
      </c>
      <c r="I789">
        <v>-115.6957</v>
      </c>
      <c r="K789">
        <v>110006657554</v>
      </c>
      <c r="L789" t="s">
        <v>263</v>
      </c>
      <c r="R789" s="387">
        <f t="shared" si="12"/>
        <v>2.3954755070064341E-2</v>
      </c>
      <c r="S789" s="386">
        <v>1.0865694125E-2</v>
      </c>
    </row>
    <row r="790" spans="1:19" x14ac:dyDescent="0.25">
      <c r="A790">
        <v>2023</v>
      </c>
      <c r="C790" t="s">
        <v>6882</v>
      </c>
      <c r="D790" t="s">
        <v>7056</v>
      </c>
      <c r="E790" t="s">
        <v>6991</v>
      </c>
      <c r="F790" t="s">
        <v>308</v>
      </c>
      <c r="G790" t="s">
        <v>7089</v>
      </c>
      <c r="H790">
        <v>42.365363000000002</v>
      </c>
      <c r="I790">
        <v>-71.087440999999998</v>
      </c>
      <c r="K790">
        <v>110071501940</v>
      </c>
      <c r="L790" t="s">
        <v>265</v>
      </c>
      <c r="R790" s="387">
        <f t="shared" si="12"/>
        <v>2.8577606199592816E-2</v>
      </c>
      <c r="S790" s="386">
        <v>1.2962584124999999E-2</v>
      </c>
    </row>
    <row r="791" spans="1:19" x14ac:dyDescent="0.25">
      <c r="A791">
        <v>2023</v>
      </c>
      <c r="C791" t="s">
        <v>6882</v>
      </c>
      <c r="D791" t="s">
        <v>7056</v>
      </c>
      <c r="E791" t="s">
        <v>6991</v>
      </c>
      <c r="F791" t="s">
        <v>308</v>
      </c>
      <c r="G791" t="s">
        <v>7089</v>
      </c>
      <c r="H791">
        <v>42.365363000000002</v>
      </c>
      <c r="I791">
        <v>-71.087440999999998</v>
      </c>
      <c r="K791">
        <v>110071501940</v>
      </c>
      <c r="L791" t="s">
        <v>265</v>
      </c>
      <c r="R791" s="387">
        <f t="shared" si="12"/>
        <v>2.8577606199592816E-2</v>
      </c>
      <c r="S791" s="386">
        <v>1.2962584124999999E-2</v>
      </c>
    </row>
    <row r="792" spans="1:19" x14ac:dyDescent="0.25">
      <c r="A792">
        <v>2024</v>
      </c>
      <c r="C792" t="s">
        <v>6882</v>
      </c>
      <c r="D792" t="s">
        <v>7056</v>
      </c>
      <c r="E792" t="s">
        <v>6991</v>
      </c>
      <c r="F792" t="s">
        <v>308</v>
      </c>
      <c r="G792">
        <v>2142</v>
      </c>
      <c r="H792">
        <v>42.365363000000002</v>
      </c>
      <c r="I792">
        <v>-71.087440999999998</v>
      </c>
      <c r="K792">
        <v>110071501940</v>
      </c>
      <c r="L792" t="s">
        <v>265</v>
      </c>
      <c r="R792" s="387">
        <f t="shared" si="12"/>
        <v>3.8671067593134336E-4</v>
      </c>
      <c r="S792" s="386">
        <v>1.7540901199999999E-4</v>
      </c>
    </row>
    <row r="793" spans="1:19" x14ac:dyDescent="0.25">
      <c r="A793">
        <v>2023</v>
      </c>
      <c r="C793" t="s">
        <v>6882</v>
      </c>
      <c r="D793" t="s">
        <v>7056</v>
      </c>
      <c r="E793" t="s">
        <v>6991</v>
      </c>
      <c r="F793" t="s">
        <v>308</v>
      </c>
      <c r="G793" t="s">
        <v>7089</v>
      </c>
      <c r="H793">
        <v>42.365363000000002</v>
      </c>
      <c r="I793">
        <v>-71.087440999999998</v>
      </c>
      <c r="K793">
        <v>110071501940</v>
      </c>
      <c r="L793" t="s">
        <v>265</v>
      </c>
      <c r="R793" s="387">
        <f t="shared" si="12"/>
        <v>4.9879228568152498E-5</v>
      </c>
      <c r="S793" s="386">
        <v>2.26248375E-5</v>
      </c>
    </row>
    <row r="794" spans="1:19" x14ac:dyDescent="0.25">
      <c r="A794">
        <v>2022</v>
      </c>
      <c r="C794" t="s">
        <v>6882</v>
      </c>
      <c r="D794" t="s">
        <v>7056</v>
      </c>
      <c r="E794" t="s">
        <v>6991</v>
      </c>
      <c r="F794" t="s">
        <v>308</v>
      </c>
      <c r="G794">
        <v>2142</v>
      </c>
      <c r="H794">
        <v>42.365363000000002</v>
      </c>
      <c r="I794">
        <v>-71.087440999999998</v>
      </c>
      <c r="K794">
        <v>110071501940</v>
      </c>
      <c r="L794" t="s">
        <v>265</v>
      </c>
      <c r="R794" s="387">
        <f t="shared" si="12"/>
        <v>4.6562291160232696E-5</v>
      </c>
      <c r="S794" s="386">
        <v>2.1120299999999998E-5</v>
      </c>
    </row>
    <row r="795" spans="1:19" x14ac:dyDescent="0.25">
      <c r="A795">
        <v>2024</v>
      </c>
      <c r="C795" t="s">
        <v>6885</v>
      </c>
      <c r="D795" t="s">
        <v>7060</v>
      </c>
      <c r="E795" t="s">
        <v>7061</v>
      </c>
      <c r="F795" t="s">
        <v>324</v>
      </c>
      <c r="G795">
        <v>40065</v>
      </c>
      <c r="H795">
        <v>38.198332999999998</v>
      </c>
      <c r="I795">
        <v>-85.224999999999994</v>
      </c>
      <c r="K795">
        <v>110000732217</v>
      </c>
      <c r="L795" t="s">
        <v>263</v>
      </c>
      <c r="R795" s="387">
        <f t="shared" si="12"/>
        <v>24.04612730809383</v>
      </c>
      <c r="S795" s="386">
        <v>10.907139875</v>
      </c>
    </row>
    <row r="796" spans="1:19" x14ac:dyDescent="0.25">
      <c r="A796">
        <v>2023</v>
      </c>
      <c r="C796" t="s">
        <v>6901</v>
      </c>
      <c r="D796" t="s">
        <v>7094</v>
      </c>
      <c r="E796" t="s">
        <v>1370</v>
      </c>
      <c r="F796" t="s">
        <v>308</v>
      </c>
      <c r="G796" t="s">
        <v>7095</v>
      </c>
      <c r="H796">
        <v>42.012988</v>
      </c>
      <c r="I796">
        <v>-71.213122999999996</v>
      </c>
      <c r="K796">
        <v>110003499857</v>
      </c>
      <c r="L796" t="s">
        <v>265</v>
      </c>
      <c r="R796" s="387">
        <f t="shared" si="12"/>
        <v>0.19399350361017492</v>
      </c>
      <c r="S796" s="386">
        <v>8.7993973067142794E-2</v>
      </c>
    </row>
    <row r="797" spans="1:19" x14ac:dyDescent="0.25">
      <c r="A797">
        <v>2024</v>
      </c>
      <c r="C797" t="s">
        <v>6901</v>
      </c>
      <c r="D797" t="s">
        <v>7094</v>
      </c>
      <c r="E797" t="s">
        <v>1370</v>
      </c>
      <c r="F797" t="s">
        <v>308</v>
      </c>
      <c r="G797">
        <v>2048</v>
      </c>
      <c r="H797">
        <v>42.012988</v>
      </c>
      <c r="I797">
        <v>-71.213122999999996</v>
      </c>
      <c r="K797">
        <v>110003499857</v>
      </c>
      <c r="L797" t="s">
        <v>265</v>
      </c>
      <c r="R797" s="387">
        <f t="shared" si="12"/>
        <v>2.1857365843697945E-3</v>
      </c>
      <c r="S797" s="386">
        <v>9.914334375000001E-4</v>
      </c>
    </row>
    <row r="798" spans="1:19" x14ac:dyDescent="0.25">
      <c r="A798">
        <v>2023</v>
      </c>
      <c r="C798" t="s">
        <v>6901</v>
      </c>
      <c r="D798" t="s">
        <v>7094</v>
      </c>
      <c r="E798" t="s">
        <v>1370</v>
      </c>
      <c r="F798" t="s">
        <v>308</v>
      </c>
      <c r="G798" t="s">
        <v>7095</v>
      </c>
      <c r="H798">
        <v>42.012988</v>
      </c>
      <c r="I798">
        <v>-71.213122999999996</v>
      </c>
      <c r="K798">
        <v>110003499857</v>
      </c>
      <c r="L798" t="s">
        <v>265</v>
      </c>
      <c r="R798" s="387">
        <f t="shared" si="12"/>
        <v>8.2614688822918252E-4</v>
      </c>
      <c r="S798" s="386">
        <v>3.7473392500000002E-4</v>
      </c>
    </row>
    <row r="799" spans="1:19" x14ac:dyDescent="0.25">
      <c r="A799">
        <v>2021</v>
      </c>
      <c r="C799" t="s">
        <v>1346</v>
      </c>
      <c r="D799" t="s">
        <v>2213</v>
      </c>
      <c r="E799" t="s">
        <v>1347</v>
      </c>
      <c r="F799" t="s">
        <v>324</v>
      </c>
      <c r="G799">
        <v>40165</v>
      </c>
      <c r="H799">
        <v>37.987499999999997</v>
      </c>
      <c r="I799">
        <v>-85.720832999999999</v>
      </c>
      <c r="K799">
        <v>110020941383</v>
      </c>
      <c r="L799" t="s">
        <v>263</v>
      </c>
      <c r="R799" s="387">
        <f t="shared" si="12"/>
        <v>4.8122712028864152</v>
      </c>
      <c r="S799" s="386">
        <v>2.1828094999999998</v>
      </c>
    </row>
    <row r="800" spans="1:19" x14ac:dyDescent="0.25">
      <c r="A800">
        <v>2023</v>
      </c>
      <c r="C800" t="s">
        <v>1348</v>
      </c>
      <c r="D800" t="s">
        <v>2217</v>
      </c>
      <c r="E800" t="s">
        <v>1349</v>
      </c>
      <c r="F800" t="s">
        <v>1249</v>
      </c>
      <c r="G800">
        <v>87420</v>
      </c>
      <c r="H800">
        <v>36.786963999999998</v>
      </c>
      <c r="I800">
        <v>-108.711493</v>
      </c>
      <c r="K800">
        <v>110024409362</v>
      </c>
      <c r="L800" t="s">
        <v>263</v>
      </c>
      <c r="R800" s="387">
        <f t="shared" si="12"/>
        <v>1.77136974327853</v>
      </c>
      <c r="S800" s="386">
        <v>0.80347979999999997</v>
      </c>
    </row>
    <row r="801" spans="1:19" x14ac:dyDescent="0.25">
      <c r="A801">
        <v>2024</v>
      </c>
      <c r="C801" t="s">
        <v>1348</v>
      </c>
      <c r="D801" t="s">
        <v>2217</v>
      </c>
      <c r="E801" t="s">
        <v>1349</v>
      </c>
      <c r="F801" t="s">
        <v>1249</v>
      </c>
      <c r="G801">
        <v>87420</v>
      </c>
      <c r="H801">
        <v>36.786963999999998</v>
      </c>
      <c r="I801">
        <v>-108.711493</v>
      </c>
      <c r="K801">
        <v>110024409362</v>
      </c>
      <c r="L801" t="s">
        <v>263</v>
      </c>
      <c r="R801" s="387">
        <f t="shared" si="12"/>
        <v>1.6447002845308001</v>
      </c>
      <c r="S801" s="386">
        <v>0.74602349999999995</v>
      </c>
    </row>
    <row r="802" spans="1:19" x14ac:dyDescent="0.25">
      <c r="A802">
        <v>2021</v>
      </c>
      <c r="C802" t="s">
        <v>6779</v>
      </c>
      <c r="D802" t="s">
        <v>617</v>
      </c>
      <c r="E802" t="s">
        <v>618</v>
      </c>
      <c r="F802" t="s">
        <v>311</v>
      </c>
      <c r="G802">
        <v>26501</v>
      </c>
      <c r="H802">
        <v>39.599829999999997</v>
      </c>
      <c r="I802">
        <v>-79.97148</v>
      </c>
      <c r="J802" t="s">
        <v>619</v>
      </c>
      <c r="K802">
        <v>110000572782</v>
      </c>
      <c r="L802" t="s">
        <v>251</v>
      </c>
      <c r="R802" s="387">
        <f t="shared" si="12"/>
        <v>0.72196734989170996</v>
      </c>
      <c r="S802" s="386">
        <v>0.32747888130000002</v>
      </c>
    </row>
    <row r="803" spans="1:19" x14ac:dyDescent="0.25">
      <c r="A803">
        <v>2021</v>
      </c>
      <c r="C803" t="s">
        <v>6779</v>
      </c>
      <c r="D803" t="s">
        <v>617</v>
      </c>
      <c r="E803" t="s">
        <v>618</v>
      </c>
      <c r="F803" t="s">
        <v>311</v>
      </c>
      <c r="G803">
        <v>26501</v>
      </c>
      <c r="H803">
        <v>39.599829999999997</v>
      </c>
      <c r="I803">
        <v>-79.97148</v>
      </c>
      <c r="J803" t="s">
        <v>619</v>
      </c>
      <c r="K803">
        <v>110000572782</v>
      </c>
      <c r="L803" t="s">
        <v>251</v>
      </c>
      <c r="R803" s="387">
        <f t="shared" si="12"/>
        <v>0.37306496138812922</v>
      </c>
      <c r="S803" s="386">
        <v>0.16921942000000001</v>
      </c>
    </row>
    <row r="804" spans="1:19" x14ac:dyDescent="0.25">
      <c r="A804">
        <v>2023</v>
      </c>
      <c r="C804" t="s">
        <v>6779</v>
      </c>
      <c r="D804" t="s">
        <v>617</v>
      </c>
      <c r="E804" t="s">
        <v>618</v>
      </c>
      <c r="F804" t="s">
        <v>311</v>
      </c>
      <c r="G804">
        <v>26501</v>
      </c>
      <c r="H804">
        <v>39.599829999999997</v>
      </c>
      <c r="I804">
        <v>-79.97148</v>
      </c>
      <c r="J804" t="s">
        <v>619</v>
      </c>
      <c r="K804">
        <v>110000572782</v>
      </c>
      <c r="L804" t="s">
        <v>251</v>
      </c>
      <c r="R804" s="387">
        <f t="shared" si="12"/>
        <v>0.17310042053837899</v>
      </c>
      <c r="S804" s="386">
        <v>7.8517030000000002E-2</v>
      </c>
    </row>
    <row r="805" spans="1:19" x14ac:dyDescent="0.25">
      <c r="A805">
        <v>2024</v>
      </c>
      <c r="C805" t="s">
        <v>6779</v>
      </c>
      <c r="D805" t="s">
        <v>617</v>
      </c>
      <c r="E805" t="s">
        <v>618</v>
      </c>
      <c r="F805" t="s">
        <v>311</v>
      </c>
      <c r="G805">
        <v>26501</v>
      </c>
      <c r="H805">
        <v>39.599829999999997</v>
      </c>
      <c r="I805">
        <v>-79.97148</v>
      </c>
      <c r="J805" t="s">
        <v>619</v>
      </c>
      <c r="K805">
        <v>110000572782</v>
      </c>
      <c r="L805" t="s">
        <v>251</v>
      </c>
      <c r="R805" s="387">
        <f t="shared" si="12"/>
        <v>0.12928913001777345</v>
      </c>
      <c r="S805" s="386">
        <v>5.8644562900000002E-2</v>
      </c>
    </row>
    <row r="806" spans="1:19" x14ac:dyDescent="0.25">
      <c r="A806">
        <v>2023</v>
      </c>
      <c r="C806" t="s">
        <v>6779</v>
      </c>
      <c r="D806" t="s">
        <v>617</v>
      </c>
      <c r="E806" t="s">
        <v>618</v>
      </c>
      <c r="F806" t="s">
        <v>311</v>
      </c>
      <c r="G806">
        <v>26501</v>
      </c>
      <c r="H806">
        <v>39.599829999999997</v>
      </c>
      <c r="I806">
        <v>-79.97148</v>
      </c>
      <c r="J806" t="s">
        <v>619</v>
      </c>
      <c r="K806">
        <v>110000572782</v>
      </c>
      <c r="L806" t="s">
        <v>251</v>
      </c>
      <c r="R806" s="387">
        <f t="shared" si="12"/>
        <v>0.1210262425710556</v>
      </c>
      <c r="S806" s="386">
        <v>5.4896580200000003E-2</v>
      </c>
    </row>
    <row r="807" spans="1:19" x14ac:dyDescent="0.25">
      <c r="A807">
        <v>2022</v>
      </c>
      <c r="C807" t="s">
        <v>6779</v>
      </c>
      <c r="D807" t="s">
        <v>617</v>
      </c>
      <c r="E807" t="s">
        <v>618</v>
      </c>
      <c r="F807" t="s">
        <v>311</v>
      </c>
      <c r="G807">
        <v>26501</v>
      </c>
      <c r="H807">
        <v>39.599829999999997</v>
      </c>
      <c r="I807">
        <v>-79.97148</v>
      </c>
      <c r="J807" t="s">
        <v>619</v>
      </c>
      <c r="K807">
        <v>110000572782</v>
      </c>
      <c r="L807" t="s">
        <v>251</v>
      </c>
      <c r="R807" s="387">
        <f t="shared" si="12"/>
        <v>0.11984633074846475</v>
      </c>
      <c r="S807" s="386">
        <v>5.4361381200000003E-2</v>
      </c>
    </row>
    <row r="808" spans="1:19" x14ac:dyDescent="0.25">
      <c r="A808">
        <v>2024</v>
      </c>
      <c r="C808" t="s">
        <v>6779</v>
      </c>
      <c r="D808" t="s">
        <v>617</v>
      </c>
      <c r="E808" t="s">
        <v>618</v>
      </c>
      <c r="F808" t="s">
        <v>311</v>
      </c>
      <c r="G808">
        <v>26501</v>
      </c>
      <c r="H808">
        <v>39.599829999999997</v>
      </c>
      <c r="I808">
        <v>-79.97148</v>
      </c>
      <c r="J808" t="s">
        <v>619</v>
      </c>
      <c r="K808">
        <v>110000572782</v>
      </c>
      <c r="L808" t="s">
        <v>251</v>
      </c>
      <c r="R808" s="387">
        <f t="shared" si="12"/>
        <v>7.8840788261054742E-2</v>
      </c>
      <c r="S808" s="386">
        <v>3.5761580000000001E-2</v>
      </c>
    </row>
    <row r="809" spans="1:19" x14ac:dyDescent="0.25">
      <c r="A809">
        <v>2022</v>
      </c>
      <c r="C809" t="s">
        <v>6779</v>
      </c>
      <c r="D809" t="s">
        <v>617</v>
      </c>
      <c r="E809" t="s">
        <v>618</v>
      </c>
      <c r="F809" t="s">
        <v>311</v>
      </c>
      <c r="G809">
        <v>26501</v>
      </c>
      <c r="H809">
        <v>39.599829999999997</v>
      </c>
      <c r="I809">
        <v>-79.97148</v>
      </c>
      <c r="J809" t="s">
        <v>619</v>
      </c>
      <c r="K809">
        <v>110000572782</v>
      </c>
      <c r="L809" t="s">
        <v>251</v>
      </c>
      <c r="R809" s="387">
        <f t="shared" si="12"/>
        <v>6.1029796422722007E-2</v>
      </c>
      <c r="S809" s="386">
        <v>2.768265E-2</v>
      </c>
    </row>
    <row r="810" spans="1:19" x14ac:dyDescent="0.25">
      <c r="A810">
        <v>2024</v>
      </c>
      <c r="C810" t="s">
        <v>190</v>
      </c>
      <c r="D810" t="s">
        <v>622</v>
      </c>
      <c r="E810" t="s">
        <v>623</v>
      </c>
      <c r="F810" t="s">
        <v>338</v>
      </c>
      <c r="G810">
        <v>8086</v>
      </c>
      <c r="H810">
        <v>39.845474000000003</v>
      </c>
      <c r="I810">
        <v>-75.209485999999998</v>
      </c>
      <c r="J810" t="s">
        <v>624</v>
      </c>
      <c r="K810">
        <v>110013317614</v>
      </c>
      <c r="L810" t="s">
        <v>253</v>
      </c>
      <c r="R810" s="387">
        <f t="shared" si="12"/>
        <v>0.16999591505474398</v>
      </c>
      <c r="S810" s="386">
        <v>7.7108850000000007E-2</v>
      </c>
    </row>
    <row r="811" spans="1:19" x14ac:dyDescent="0.25">
      <c r="A811">
        <v>2023</v>
      </c>
      <c r="C811" t="s">
        <v>190</v>
      </c>
      <c r="D811" t="s">
        <v>622</v>
      </c>
      <c r="E811" t="s">
        <v>623</v>
      </c>
      <c r="F811" t="s">
        <v>338</v>
      </c>
      <c r="G811" t="s">
        <v>2223</v>
      </c>
      <c r="H811">
        <v>39.845474000000003</v>
      </c>
      <c r="I811">
        <v>-75.209485999999998</v>
      </c>
      <c r="J811" t="s">
        <v>624</v>
      </c>
      <c r="K811">
        <v>110013317614</v>
      </c>
      <c r="L811" t="s">
        <v>253</v>
      </c>
      <c r="R811" s="387">
        <f t="shared" si="12"/>
        <v>7.9548516215120629E-2</v>
      </c>
      <c r="S811" s="386">
        <v>3.6082599999999999E-2</v>
      </c>
    </row>
    <row r="812" spans="1:19" x14ac:dyDescent="0.25">
      <c r="A812">
        <v>2021</v>
      </c>
      <c r="C812" t="s">
        <v>190</v>
      </c>
      <c r="D812" t="s">
        <v>622</v>
      </c>
      <c r="E812" t="s">
        <v>623</v>
      </c>
      <c r="F812" t="s">
        <v>338</v>
      </c>
      <c r="G812">
        <v>8086</v>
      </c>
      <c r="H812">
        <v>39.845474000000003</v>
      </c>
      <c r="I812">
        <v>-75.209485999999998</v>
      </c>
      <c r="J812" t="s">
        <v>624</v>
      </c>
      <c r="K812">
        <v>110013317614</v>
      </c>
      <c r="L812" t="s">
        <v>253</v>
      </c>
      <c r="R812" s="387">
        <f t="shared" si="12"/>
        <v>6.0729857515019491E-2</v>
      </c>
      <c r="S812" s="386">
        <v>2.7546600000000001E-2</v>
      </c>
    </row>
    <row r="813" spans="1:19" x14ac:dyDescent="0.25">
      <c r="A813">
        <v>2022</v>
      </c>
      <c r="C813" t="s">
        <v>190</v>
      </c>
      <c r="D813" t="s">
        <v>622</v>
      </c>
      <c r="E813" t="s">
        <v>623</v>
      </c>
      <c r="F813" t="s">
        <v>338</v>
      </c>
      <c r="G813">
        <v>8086</v>
      </c>
      <c r="H813">
        <v>39.845474000000003</v>
      </c>
      <c r="I813">
        <v>-75.209485999999998</v>
      </c>
      <c r="J813" t="s">
        <v>624</v>
      </c>
      <c r="K813">
        <v>110013317614</v>
      </c>
      <c r="L813" t="s">
        <v>253</v>
      </c>
      <c r="R813" s="387">
        <f t="shared" si="12"/>
        <v>5.7975622473543806E-2</v>
      </c>
      <c r="S813" s="386">
        <v>2.6297299999999999E-2</v>
      </c>
    </row>
    <row r="814" spans="1:19" x14ac:dyDescent="0.25">
      <c r="A814">
        <v>2021</v>
      </c>
      <c r="C814" t="s">
        <v>1353</v>
      </c>
      <c r="D814" t="s">
        <v>2225</v>
      </c>
      <c r="E814" t="s">
        <v>612</v>
      </c>
      <c r="F814" t="s">
        <v>366</v>
      </c>
      <c r="G814" t="s">
        <v>2226</v>
      </c>
      <c r="H814">
        <v>32.544722</v>
      </c>
      <c r="I814">
        <v>-117.068056</v>
      </c>
      <c r="K814">
        <v>110002912750</v>
      </c>
      <c r="L814" t="s">
        <v>263</v>
      </c>
      <c r="R814" s="387">
        <f t="shared" si="12"/>
        <v>6.3757245299342227</v>
      </c>
      <c r="S814" s="386">
        <v>2.8919800000000002</v>
      </c>
    </row>
    <row r="815" spans="1:19" x14ac:dyDescent="0.25">
      <c r="A815">
        <v>2021</v>
      </c>
      <c r="C815" t="s">
        <v>1354</v>
      </c>
      <c r="D815" t="s">
        <v>2228</v>
      </c>
      <c r="E815" t="s">
        <v>1355</v>
      </c>
      <c r="F815" t="s">
        <v>366</v>
      </c>
      <c r="G815" t="s">
        <v>2229</v>
      </c>
      <c r="H815">
        <v>35.102089999999997</v>
      </c>
      <c r="I815">
        <v>-120.62509</v>
      </c>
      <c r="K815">
        <v>110000730629</v>
      </c>
      <c r="L815" t="s">
        <v>263</v>
      </c>
      <c r="R815" s="387">
        <f t="shared" si="12"/>
        <v>1.7353080696661629</v>
      </c>
      <c r="S815" s="386">
        <v>0.78712249999999995</v>
      </c>
    </row>
    <row r="816" spans="1:19" x14ac:dyDescent="0.25">
      <c r="A816">
        <v>2024</v>
      </c>
      <c r="C816" t="s">
        <v>6811</v>
      </c>
      <c r="D816" t="s">
        <v>2107</v>
      </c>
      <c r="E816" t="s">
        <v>966</v>
      </c>
      <c r="F816" t="s">
        <v>491</v>
      </c>
      <c r="G816" t="s">
        <v>2108</v>
      </c>
      <c r="H816">
        <v>39.901820000000001</v>
      </c>
      <c r="I816">
        <v>-75.144549999999995</v>
      </c>
      <c r="K816">
        <v>110000540610</v>
      </c>
      <c r="L816" t="s">
        <v>263</v>
      </c>
      <c r="R816" s="387">
        <f t="shared" si="12"/>
        <v>329.06522435551551</v>
      </c>
      <c r="S816" s="386">
        <v>149.26147499999999</v>
      </c>
    </row>
    <row r="817" spans="1:19" x14ac:dyDescent="0.25">
      <c r="A817">
        <v>2023</v>
      </c>
      <c r="C817" t="s">
        <v>6811</v>
      </c>
      <c r="D817" t="s">
        <v>2107</v>
      </c>
      <c r="E817" t="s">
        <v>966</v>
      </c>
      <c r="F817" t="s">
        <v>491</v>
      </c>
      <c r="G817" t="s">
        <v>2108</v>
      </c>
      <c r="H817">
        <v>39.901820000000001</v>
      </c>
      <c r="I817">
        <v>-75.144549999999995</v>
      </c>
      <c r="K817">
        <v>110000540610</v>
      </c>
      <c r="L817" t="s">
        <v>263</v>
      </c>
      <c r="R817" s="387">
        <f t="shared" si="12"/>
        <v>296.40252811130841</v>
      </c>
      <c r="S817" s="386">
        <v>134.4459252</v>
      </c>
    </row>
    <row r="818" spans="1:19" x14ac:dyDescent="0.25">
      <c r="A818">
        <v>2022</v>
      </c>
      <c r="C818" t="s">
        <v>6811</v>
      </c>
      <c r="D818" t="s">
        <v>2107</v>
      </c>
      <c r="E818" t="s">
        <v>966</v>
      </c>
      <c r="F818" t="s">
        <v>491</v>
      </c>
      <c r="G818" t="s">
        <v>2108</v>
      </c>
      <c r="H818">
        <v>39.901820000000001</v>
      </c>
      <c r="I818">
        <v>-75.144549999999995</v>
      </c>
      <c r="K818">
        <v>110000540610</v>
      </c>
      <c r="L818" t="s">
        <v>263</v>
      </c>
      <c r="R818" s="387">
        <f t="shared" si="12"/>
        <v>295.14484558018466</v>
      </c>
      <c r="S818" s="386">
        <v>133.87545</v>
      </c>
    </row>
    <row r="819" spans="1:19" x14ac:dyDescent="0.25">
      <c r="A819">
        <v>2021</v>
      </c>
      <c r="C819" t="s">
        <v>6811</v>
      </c>
      <c r="D819" t="s">
        <v>2107</v>
      </c>
      <c r="E819" t="s">
        <v>966</v>
      </c>
      <c r="F819" t="s">
        <v>491</v>
      </c>
      <c r="G819" t="s">
        <v>2108</v>
      </c>
      <c r="H819">
        <v>39.901820000000001</v>
      </c>
      <c r="I819">
        <v>-75.144549999999995</v>
      </c>
      <c r="K819">
        <v>110000540610</v>
      </c>
      <c r="L819" t="s">
        <v>263</v>
      </c>
      <c r="R819" s="387">
        <f t="shared" si="12"/>
        <v>262.40688197643186</v>
      </c>
      <c r="S819" s="386">
        <v>119.02575950000001</v>
      </c>
    </row>
    <row r="820" spans="1:19" x14ac:dyDescent="0.25">
      <c r="A820">
        <v>2024</v>
      </c>
      <c r="C820" t="s">
        <v>1356</v>
      </c>
      <c r="D820" t="s">
        <v>2231</v>
      </c>
      <c r="E820" t="s">
        <v>1357</v>
      </c>
      <c r="F820" t="s">
        <v>418</v>
      </c>
      <c r="G820">
        <v>89434</v>
      </c>
      <c r="H820">
        <v>39.530619999999999</v>
      </c>
      <c r="I820">
        <v>-119.73309</v>
      </c>
      <c r="K820">
        <v>110009830200</v>
      </c>
      <c r="L820" t="s">
        <v>265</v>
      </c>
      <c r="R820" s="387">
        <f t="shared" si="12"/>
        <v>17.589155820676613</v>
      </c>
      <c r="S820" s="386">
        <v>7.9783068750000004</v>
      </c>
    </row>
    <row r="821" spans="1:19" x14ac:dyDescent="0.25">
      <c r="A821">
        <v>2021</v>
      </c>
      <c r="C821" t="s">
        <v>1356</v>
      </c>
      <c r="D821" t="s">
        <v>2231</v>
      </c>
      <c r="E821" t="s">
        <v>1357</v>
      </c>
      <c r="F821" t="s">
        <v>418</v>
      </c>
      <c r="G821">
        <v>89434</v>
      </c>
      <c r="H821">
        <v>39.530619999999999</v>
      </c>
      <c r="I821">
        <v>-119.73309</v>
      </c>
      <c r="K821">
        <v>110009830200</v>
      </c>
      <c r="L821" t="s">
        <v>265</v>
      </c>
      <c r="R821" s="387">
        <f t="shared" si="12"/>
        <v>6.1371686543140038</v>
      </c>
      <c r="S821" s="386">
        <v>2.7837728749999999</v>
      </c>
    </row>
    <row r="822" spans="1:19" x14ac:dyDescent="0.25">
      <c r="A822">
        <v>2023</v>
      </c>
      <c r="C822" t="s">
        <v>1356</v>
      </c>
      <c r="D822" t="s">
        <v>2231</v>
      </c>
      <c r="E822" t="s">
        <v>1357</v>
      </c>
      <c r="F822" t="s">
        <v>418</v>
      </c>
      <c r="G822">
        <v>89434</v>
      </c>
      <c r="H822">
        <v>39.530619999999999</v>
      </c>
      <c r="I822">
        <v>-119.73309</v>
      </c>
      <c r="K822">
        <v>110009830200</v>
      </c>
      <c r="L822" t="s">
        <v>265</v>
      </c>
      <c r="R822" s="387">
        <f t="shared" si="12"/>
        <v>4.4315535444302112</v>
      </c>
      <c r="S822" s="386">
        <v>2.0101188749999999</v>
      </c>
    </row>
    <row r="823" spans="1:19" x14ac:dyDescent="0.25">
      <c r="A823">
        <v>2022</v>
      </c>
      <c r="C823" t="s">
        <v>1356</v>
      </c>
      <c r="D823" t="s">
        <v>2231</v>
      </c>
      <c r="E823" t="s">
        <v>1357</v>
      </c>
      <c r="F823" t="s">
        <v>418</v>
      </c>
      <c r="G823">
        <v>89434</v>
      </c>
      <c r="H823">
        <v>39.530619999999999</v>
      </c>
      <c r="I823">
        <v>-119.73309</v>
      </c>
      <c r="K823">
        <v>110009830200</v>
      </c>
      <c r="L823" t="s">
        <v>265</v>
      </c>
      <c r="R823" s="387">
        <f t="shared" si="12"/>
        <v>3.6244321085030595</v>
      </c>
      <c r="S823" s="386">
        <v>1.64401475</v>
      </c>
    </row>
    <row r="824" spans="1:19" x14ac:dyDescent="0.25">
      <c r="A824">
        <v>2024</v>
      </c>
      <c r="C824" t="s">
        <v>6893</v>
      </c>
      <c r="D824" t="s">
        <v>7075</v>
      </c>
      <c r="E824" t="s">
        <v>7050</v>
      </c>
      <c r="F824" t="s">
        <v>303</v>
      </c>
      <c r="G824">
        <v>70578</v>
      </c>
      <c r="H824">
        <v>30.230833000000001</v>
      </c>
      <c r="I824">
        <v>-92.306667000000004</v>
      </c>
      <c r="J824" t="s">
        <v>7133</v>
      </c>
      <c r="K824">
        <v>110000449435</v>
      </c>
      <c r="L824" t="s">
        <v>265</v>
      </c>
      <c r="R824" s="387">
        <f t="shared" si="12"/>
        <v>1.6217529188156316E-3</v>
      </c>
      <c r="S824" s="386">
        <v>7.3561475000000003E-4</v>
      </c>
    </row>
    <row r="825" spans="1:19" x14ac:dyDescent="0.25">
      <c r="A825">
        <v>2022</v>
      </c>
      <c r="C825" t="s">
        <v>6830</v>
      </c>
      <c r="D825" t="s">
        <v>628</v>
      </c>
      <c r="E825" t="s">
        <v>629</v>
      </c>
      <c r="F825" t="s">
        <v>345</v>
      </c>
      <c r="G825">
        <v>604219646</v>
      </c>
      <c r="H825">
        <v>41.441667000000002</v>
      </c>
      <c r="I825">
        <v>-88.159719999999993</v>
      </c>
      <c r="J825" t="s">
        <v>631</v>
      </c>
      <c r="K825">
        <v>110000432504</v>
      </c>
      <c r="L825" t="s">
        <v>254</v>
      </c>
      <c r="R825" s="387">
        <f t="shared" si="12"/>
        <v>1.2801493993384412</v>
      </c>
      <c r="S825" s="386">
        <v>0.58066600000000002</v>
      </c>
    </row>
    <row r="826" spans="1:19" x14ac:dyDescent="0.25">
      <c r="A826">
        <v>2023</v>
      </c>
      <c r="C826" t="s">
        <v>6830</v>
      </c>
      <c r="D826" t="s">
        <v>628</v>
      </c>
      <c r="E826" t="s">
        <v>629</v>
      </c>
      <c r="F826" t="s">
        <v>345</v>
      </c>
      <c r="G826">
        <v>604219646</v>
      </c>
      <c r="H826">
        <v>41.441667000000002</v>
      </c>
      <c r="I826">
        <v>-88.159719999999993</v>
      </c>
      <c r="J826" t="s">
        <v>631</v>
      </c>
      <c r="K826">
        <v>110000432504</v>
      </c>
      <c r="L826" t="s">
        <v>254</v>
      </c>
      <c r="R826" s="387">
        <f t="shared" si="12"/>
        <v>1.095984043999682</v>
      </c>
      <c r="S826" s="386">
        <v>0.49713000000000002</v>
      </c>
    </row>
    <row r="827" spans="1:19" x14ac:dyDescent="0.25">
      <c r="A827">
        <v>2024</v>
      </c>
      <c r="C827" t="s">
        <v>6830</v>
      </c>
      <c r="D827" t="s">
        <v>628</v>
      </c>
      <c r="E827" t="s">
        <v>629</v>
      </c>
      <c r="F827" t="s">
        <v>345</v>
      </c>
      <c r="G827">
        <v>604219646</v>
      </c>
      <c r="H827">
        <v>41.441667000000002</v>
      </c>
      <c r="I827">
        <v>-88.159719999999993</v>
      </c>
      <c r="J827" t="s">
        <v>631</v>
      </c>
      <c r="K827">
        <v>110000432504</v>
      </c>
      <c r="L827" t="s">
        <v>254</v>
      </c>
      <c r="R827" s="387">
        <f t="shared" si="12"/>
        <v>0.91181868866092253</v>
      </c>
      <c r="S827" s="386">
        <v>0.41359400000000002</v>
      </c>
    </row>
    <row r="828" spans="1:19" x14ac:dyDescent="0.25">
      <c r="A828">
        <v>2021</v>
      </c>
      <c r="C828" t="s">
        <v>6830</v>
      </c>
      <c r="D828" t="s">
        <v>628</v>
      </c>
      <c r="E828" t="s">
        <v>629</v>
      </c>
      <c r="F828" t="s">
        <v>345</v>
      </c>
      <c r="G828">
        <v>604219646</v>
      </c>
      <c r="H828">
        <v>41.441667000000002</v>
      </c>
      <c r="I828">
        <v>-88.159719999999993</v>
      </c>
      <c r="J828" t="s">
        <v>631</v>
      </c>
      <c r="K828">
        <v>110000432504</v>
      </c>
      <c r="L828" t="s">
        <v>254</v>
      </c>
      <c r="R828" s="387">
        <f t="shared" si="12"/>
        <v>0.72765333332216331</v>
      </c>
      <c r="S828" s="386">
        <v>0.33005800000000002</v>
      </c>
    </row>
    <row r="829" spans="1:19" x14ac:dyDescent="0.25">
      <c r="A829">
        <v>2022</v>
      </c>
      <c r="C829" t="s">
        <v>1362</v>
      </c>
      <c r="D829" t="s">
        <v>2240</v>
      </c>
      <c r="E829" t="s">
        <v>1282</v>
      </c>
      <c r="F829" t="s">
        <v>366</v>
      </c>
      <c r="G829">
        <v>92029</v>
      </c>
      <c r="H829">
        <v>33.115580000000001</v>
      </c>
      <c r="I829">
        <v>-117.1194</v>
      </c>
      <c r="K829">
        <v>110045515180</v>
      </c>
      <c r="L829" t="s">
        <v>265</v>
      </c>
      <c r="R829" s="387">
        <f t="shared" si="12"/>
        <v>0.10054027143357812</v>
      </c>
      <c r="S829" s="386">
        <v>4.56043E-2</v>
      </c>
    </row>
    <row r="830" spans="1:19" x14ac:dyDescent="0.25">
      <c r="A830">
        <v>2024</v>
      </c>
      <c r="C830" t="s">
        <v>1362</v>
      </c>
      <c r="D830" t="s">
        <v>2240</v>
      </c>
      <c r="E830" t="s">
        <v>1282</v>
      </c>
      <c r="F830" t="s">
        <v>366</v>
      </c>
      <c r="G830">
        <v>92029</v>
      </c>
      <c r="H830">
        <v>33.115580000000001</v>
      </c>
      <c r="I830">
        <v>-117.1194</v>
      </c>
      <c r="K830">
        <v>110045515180</v>
      </c>
      <c r="L830" t="s">
        <v>265</v>
      </c>
      <c r="R830" s="387">
        <f t="shared" si="12"/>
        <v>2.7474668500265999E-2</v>
      </c>
      <c r="S830" s="386">
        <v>1.2462300000000001E-2</v>
      </c>
    </row>
    <row r="831" spans="1:19" x14ac:dyDescent="0.25">
      <c r="A831">
        <v>2023</v>
      </c>
      <c r="C831" t="s">
        <v>1362</v>
      </c>
      <c r="D831" t="s">
        <v>2240</v>
      </c>
      <c r="E831" t="s">
        <v>1282</v>
      </c>
      <c r="F831" t="s">
        <v>366</v>
      </c>
      <c r="G831">
        <v>92029</v>
      </c>
      <c r="H831">
        <v>33.115580000000001</v>
      </c>
      <c r="I831">
        <v>-117.1194</v>
      </c>
      <c r="K831">
        <v>110045515180</v>
      </c>
      <c r="L831" t="s">
        <v>265</v>
      </c>
      <c r="R831" s="387">
        <f t="shared" si="12"/>
        <v>1.8416535533875931E-2</v>
      </c>
      <c r="S831" s="386">
        <v>8.3535999999999992E-3</v>
      </c>
    </row>
    <row r="832" spans="1:19" x14ac:dyDescent="0.25">
      <c r="A832">
        <v>2021</v>
      </c>
      <c r="C832" t="s">
        <v>1362</v>
      </c>
      <c r="D832" t="s">
        <v>2240</v>
      </c>
      <c r="E832" t="s">
        <v>1282</v>
      </c>
      <c r="F832" t="s">
        <v>366</v>
      </c>
      <c r="G832">
        <v>92029</v>
      </c>
      <c r="H832">
        <v>33.115580000000001</v>
      </c>
      <c r="I832">
        <v>-117.1194</v>
      </c>
      <c r="K832">
        <v>110045515180</v>
      </c>
      <c r="L832" t="s">
        <v>265</v>
      </c>
      <c r="R832" s="387">
        <f t="shared" si="12"/>
        <v>1.4521037908993046E-2</v>
      </c>
      <c r="S832" s="386">
        <v>6.5866320000000003E-3</v>
      </c>
    </row>
    <row r="833" spans="1:19" x14ac:dyDescent="0.25">
      <c r="A833">
        <v>2023</v>
      </c>
      <c r="C833" t="s">
        <v>6893</v>
      </c>
      <c r="D833" t="s">
        <v>7075</v>
      </c>
      <c r="E833" t="s">
        <v>7050</v>
      </c>
      <c r="F833" t="s">
        <v>303</v>
      </c>
      <c r="G833">
        <v>70578</v>
      </c>
      <c r="H833">
        <v>30.230833000000001</v>
      </c>
      <c r="I833">
        <v>-92.306667000000004</v>
      </c>
      <c r="J833" t="s">
        <v>7133</v>
      </c>
      <c r="K833">
        <v>110000449435</v>
      </c>
      <c r="L833" t="s">
        <v>265</v>
      </c>
      <c r="R833" s="387">
        <f t="shared" si="12"/>
        <v>6.3459896823220372E-4</v>
      </c>
      <c r="S833" s="386">
        <v>2.8784924999999999E-4</v>
      </c>
    </row>
    <row r="834" spans="1:19" x14ac:dyDescent="0.25">
      <c r="A834">
        <v>2024</v>
      </c>
      <c r="C834" t="s">
        <v>1363</v>
      </c>
      <c r="D834" t="s">
        <v>2242</v>
      </c>
      <c r="E834" t="s">
        <v>1364</v>
      </c>
      <c r="F834" t="s">
        <v>303</v>
      </c>
      <c r="G834">
        <v>70776</v>
      </c>
      <c r="H834">
        <v>30.241299999999999</v>
      </c>
      <c r="I834">
        <v>-91.100899999999996</v>
      </c>
      <c r="J834" t="s">
        <v>735</v>
      </c>
      <c r="K834">
        <v>110000597426</v>
      </c>
      <c r="L834" t="s">
        <v>265</v>
      </c>
      <c r="R834" s="387">
        <f t="shared" si="12"/>
        <v>3.6532801466656064</v>
      </c>
      <c r="S834" s="386">
        <v>1.6571</v>
      </c>
    </row>
    <row r="835" spans="1:19" x14ac:dyDescent="0.25">
      <c r="A835">
        <v>2021</v>
      </c>
      <c r="C835" t="s">
        <v>1363</v>
      </c>
      <c r="D835" t="s">
        <v>2242</v>
      </c>
      <c r="E835" t="s">
        <v>1364</v>
      </c>
      <c r="F835" t="s">
        <v>303</v>
      </c>
      <c r="G835">
        <v>70776</v>
      </c>
      <c r="H835">
        <v>30.241299999999999</v>
      </c>
      <c r="I835">
        <v>-91.100899999999996</v>
      </c>
      <c r="J835" t="s">
        <v>735</v>
      </c>
      <c r="K835">
        <v>110000597426</v>
      </c>
      <c r="L835" t="s">
        <v>265</v>
      </c>
      <c r="R835" s="387">
        <f t="shared" ref="R835:R898" si="13">CONVERT(S835,"g","lbm")*1000</f>
        <v>1.8266400733328032</v>
      </c>
      <c r="S835" s="386">
        <v>0.82855000000000001</v>
      </c>
    </row>
    <row r="836" spans="1:19" x14ac:dyDescent="0.25">
      <c r="A836">
        <v>2022</v>
      </c>
      <c r="C836" t="s">
        <v>1363</v>
      </c>
      <c r="D836" t="s">
        <v>2242</v>
      </c>
      <c r="E836" t="s">
        <v>1364</v>
      </c>
      <c r="F836" t="s">
        <v>303</v>
      </c>
      <c r="G836">
        <v>70776</v>
      </c>
      <c r="H836">
        <v>30.241299999999999</v>
      </c>
      <c r="I836">
        <v>-91.100899999999996</v>
      </c>
      <c r="J836" t="s">
        <v>735</v>
      </c>
      <c r="K836">
        <v>110000597426</v>
      </c>
      <c r="L836" t="s">
        <v>265</v>
      </c>
      <c r="R836" s="387">
        <f t="shared" si="13"/>
        <v>0.54799202199984098</v>
      </c>
      <c r="S836" s="386">
        <v>0.24856500000000001</v>
      </c>
    </row>
    <row r="837" spans="1:19" x14ac:dyDescent="0.25">
      <c r="A837">
        <v>2021</v>
      </c>
      <c r="C837" t="s">
        <v>1367</v>
      </c>
      <c r="D837" t="s">
        <v>2251</v>
      </c>
      <c r="E837" t="s">
        <v>1364</v>
      </c>
      <c r="F837" t="s">
        <v>303</v>
      </c>
      <c r="G837">
        <v>70776</v>
      </c>
      <c r="H837">
        <v>30.250833</v>
      </c>
      <c r="I837">
        <v>-91.092277999999993</v>
      </c>
      <c r="J837" t="s">
        <v>736</v>
      </c>
      <c r="K837">
        <v>110056972432</v>
      </c>
      <c r="L837" t="s">
        <v>265</v>
      </c>
      <c r="R837" s="387">
        <f t="shared" si="13"/>
        <v>0.9133200366664016</v>
      </c>
      <c r="S837" s="386">
        <v>0.414275</v>
      </c>
    </row>
    <row r="838" spans="1:19" x14ac:dyDescent="0.25">
      <c r="A838">
        <v>2022</v>
      </c>
      <c r="C838" t="s">
        <v>1367</v>
      </c>
      <c r="D838" t="s">
        <v>2251</v>
      </c>
      <c r="E838" t="s">
        <v>1364</v>
      </c>
      <c r="F838" t="s">
        <v>303</v>
      </c>
      <c r="G838">
        <v>70776</v>
      </c>
      <c r="H838">
        <v>30.250833</v>
      </c>
      <c r="I838">
        <v>-91.092277999999993</v>
      </c>
      <c r="J838" t="s">
        <v>736</v>
      </c>
      <c r="K838">
        <v>110056972432</v>
      </c>
      <c r="L838" t="s">
        <v>265</v>
      </c>
      <c r="R838" s="387">
        <f t="shared" si="13"/>
        <v>0.9133200366664016</v>
      </c>
      <c r="S838" s="386">
        <v>0.414275</v>
      </c>
    </row>
    <row r="839" spans="1:19" x14ac:dyDescent="0.25">
      <c r="A839">
        <v>2024</v>
      </c>
      <c r="C839" t="s">
        <v>6893</v>
      </c>
      <c r="D839" t="s">
        <v>7075</v>
      </c>
      <c r="E839" t="s">
        <v>7050</v>
      </c>
      <c r="F839" t="s">
        <v>303</v>
      </c>
      <c r="G839">
        <v>70578</v>
      </c>
      <c r="H839">
        <v>30.230833000000001</v>
      </c>
      <c r="I839">
        <v>-92.306667000000004</v>
      </c>
      <c r="J839" t="s">
        <v>7133</v>
      </c>
      <c r="K839">
        <v>110000449435</v>
      </c>
      <c r="L839" t="s">
        <v>265</v>
      </c>
      <c r="R839" s="387">
        <f t="shared" si="13"/>
        <v>1.6217529188156316E-4</v>
      </c>
      <c r="S839" s="386">
        <v>7.3561474999999995E-5</v>
      </c>
    </row>
    <row r="840" spans="1:19" x14ac:dyDescent="0.25">
      <c r="A840">
        <v>2024</v>
      </c>
      <c r="C840" t="s">
        <v>6893</v>
      </c>
      <c r="D840" t="s">
        <v>7075</v>
      </c>
      <c r="E840" t="s">
        <v>7050</v>
      </c>
      <c r="F840" t="s">
        <v>303</v>
      </c>
      <c r="G840">
        <v>70578</v>
      </c>
      <c r="H840">
        <v>30.230833000000001</v>
      </c>
      <c r="I840">
        <v>-92.306667000000004</v>
      </c>
      <c r="J840" t="s">
        <v>7133</v>
      </c>
      <c r="K840">
        <v>110000449435</v>
      </c>
      <c r="L840" t="s">
        <v>265</v>
      </c>
      <c r="R840" s="387">
        <f t="shared" si="13"/>
        <v>1.6217529188156316E-4</v>
      </c>
      <c r="S840" s="386">
        <v>7.3561474999999995E-5</v>
      </c>
    </row>
    <row r="841" spans="1:19" x14ac:dyDescent="0.25">
      <c r="A841">
        <v>2023</v>
      </c>
      <c r="C841" t="s">
        <v>6893</v>
      </c>
      <c r="D841" t="s">
        <v>7075</v>
      </c>
      <c r="E841" t="s">
        <v>7050</v>
      </c>
      <c r="F841" t="s">
        <v>303</v>
      </c>
      <c r="G841">
        <v>70578</v>
      </c>
      <c r="H841">
        <v>30.230833000000001</v>
      </c>
      <c r="I841">
        <v>-92.306667000000004</v>
      </c>
      <c r="J841" t="s">
        <v>7133</v>
      </c>
      <c r="K841">
        <v>110000449435</v>
      </c>
      <c r="L841" t="s">
        <v>265</v>
      </c>
      <c r="R841" s="387">
        <f t="shared" si="13"/>
        <v>1.2691979364644074E-4</v>
      </c>
      <c r="S841" s="386">
        <v>5.7569850000000002E-5</v>
      </c>
    </row>
    <row r="842" spans="1:19" x14ac:dyDescent="0.25">
      <c r="A842">
        <v>2023</v>
      </c>
      <c r="C842" t="s">
        <v>6893</v>
      </c>
      <c r="D842" t="s">
        <v>7075</v>
      </c>
      <c r="E842" t="s">
        <v>7050</v>
      </c>
      <c r="F842" t="s">
        <v>303</v>
      </c>
      <c r="G842">
        <v>70578</v>
      </c>
      <c r="H842">
        <v>30.230833000000001</v>
      </c>
      <c r="I842">
        <v>-92.306667000000004</v>
      </c>
      <c r="J842" t="s">
        <v>7133</v>
      </c>
      <c r="K842">
        <v>110000449435</v>
      </c>
      <c r="L842" t="s">
        <v>265</v>
      </c>
      <c r="R842" s="387">
        <f t="shared" si="13"/>
        <v>6.3459896823220372E-5</v>
      </c>
      <c r="S842" s="386">
        <v>2.8784925000000001E-5</v>
      </c>
    </row>
    <row r="843" spans="1:19" x14ac:dyDescent="0.25">
      <c r="A843">
        <v>2023</v>
      </c>
      <c r="C843" t="s">
        <v>6895</v>
      </c>
      <c r="D843" t="s">
        <v>7077</v>
      </c>
      <c r="E843" t="s">
        <v>7078</v>
      </c>
      <c r="F843" t="s">
        <v>294</v>
      </c>
      <c r="G843">
        <v>23601</v>
      </c>
      <c r="H843">
        <v>37.094301999999999</v>
      </c>
      <c r="I843">
        <v>-76.458343999999997</v>
      </c>
      <c r="K843">
        <v>110071437899</v>
      </c>
      <c r="L843" t="s">
        <v>265</v>
      </c>
      <c r="R843" s="387">
        <f t="shared" si="13"/>
        <v>8.5614535359137547E-4</v>
      </c>
      <c r="S843" s="386">
        <v>3.88341E-4</v>
      </c>
    </row>
    <row r="844" spans="1:19" x14ac:dyDescent="0.25">
      <c r="A844">
        <v>2023</v>
      </c>
      <c r="C844" t="s">
        <v>6909</v>
      </c>
      <c r="D844" t="s">
        <v>7110</v>
      </c>
      <c r="E844" t="s">
        <v>968</v>
      </c>
      <c r="F844" t="s">
        <v>294</v>
      </c>
      <c r="G844">
        <v>223021508</v>
      </c>
      <c r="H844">
        <v>38.837760000000003</v>
      </c>
      <c r="I844">
        <v>-77.103750000000005</v>
      </c>
      <c r="K844">
        <v>110070545278</v>
      </c>
      <c r="L844" t="s">
        <v>265</v>
      </c>
      <c r="R844" s="387">
        <f t="shared" si="13"/>
        <v>8.2062561296316781E-4</v>
      </c>
      <c r="S844" s="386">
        <v>3.7222951666666601E-4</v>
      </c>
    </row>
    <row r="845" spans="1:19" x14ac:dyDescent="0.25">
      <c r="A845">
        <v>2024</v>
      </c>
      <c r="C845" t="s">
        <v>6909</v>
      </c>
      <c r="D845" t="s">
        <v>7110</v>
      </c>
      <c r="E845" t="s">
        <v>968</v>
      </c>
      <c r="F845" t="s">
        <v>294</v>
      </c>
      <c r="G845">
        <v>223021508</v>
      </c>
      <c r="H845">
        <v>38.837760000000003</v>
      </c>
      <c r="I845">
        <v>-77.103750000000005</v>
      </c>
      <c r="K845">
        <v>110070545278</v>
      </c>
      <c r="L845" t="s">
        <v>265</v>
      </c>
      <c r="R845" s="387">
        <f t="shared" si="13"/>
        <v>4.9547952052191708E-4</v>
      </c>
      <c r="S845" s="386">
        <v>2.2474573E-4</v>
      </c>
    </row>
    <row r="846" spans="1:19" x14ac:dyDescent="0.25">
      <c r="A846">
        <v>2024</v>
      </c>
      <c r="C846" t="s">
        <v>6911</v>
      </c>
      <c r="D846" t="s">
        <v>7113</v>
      </c>
      <c r="E846" t="s">
        <v>657</v>
      </c>
      <c r="F846" t="s">
        <v>418</v>
      </c>
      <c r="G846">
        <v>89115</v>
      </c>
      <c r="H846">
        <v>36.217517000000001</v>
      </c>
      <c r="I846">
        <v>-115.094336</v>
      </c>
      <c r="K846">
        <v>110071662000</v>
      </c>
      <c r="L846" t="s">
        <v>265</v>
      </c>
      <c r="R846" s="387">
        <f t="shared" si="13"/>
        <v>0.27212676621648418</v>
      </c>
      <c r="S846" s="386">
        <v>0.123434624828571</v>
      </c>
    </row>
    <row r="847" spans="1:19" x14ac:dyDescent="0.25">
      <c r="A847">
        <v>2024</v>
      </c>
      <c r="C847" t="s">
        <v>6903</v>
      </c>
      <c r="D847" t="s">
        <v>7097</v>
      </c>
      <c r="E847" t="s">
        <v>1316</v>
      </c>
      <c r="F847" t="s">
        <v>294</v>
      </c>
      <c r="G847">
        <v>22801</v>
      </c>
      <c r="H847">
        <v>38.428930000000001</v>
      </c>
      <c r="I847">
        <v>-78.856080000000006</v>
      </c>
      <c r="K847">
        <v>110022316411</v>
      </c>
      <c r="L847" t="s">
        <v>265</v>
      </c>
      <c r="R847" s="387">
        <f t="shared" si="13"/>
        <v>6.1570369007750286E-3</v>
      </c>
      <c r="S847" s="386">
        <v>2.79278496E-3</v>
      </c>
    </row>
    <row r="848" spans="1:19" x14ac:dyDescent="0.25">
      <c r="A848">
        <v>2021</v>
      </c>
      <c r="C848" t="s">
        <v>6781</v>
      </c>
      <c r="D848" t="s">
        <v>6926</v>
      </c>
      <c r="E848" t="s">
        <v>1228</v>
      </c>
      <c r="F848" t="s">
        <v>1128</v>
      </c>
      <c r="G848">
        <v>80202</v>
      </c>
      <c r="H848">
        <v>39.753999999999998</v>
      </c>
      <c r="I848">
        <v>-104.999</v>
      </c>
      <c r="K848">
        <v>110056127007</v>
      </c>
      <c r="L848" t="s">
        <v>265</v>
      </c>
      <c r="R848" s="387">
        <f t="shared" si="13"/>
        <v>0.35142680640770035</v>
      </c>
      <c r="S848" s="386">
        <v>0.159404518</v>
      </c>
    </row>
    <row r="849" spans="1:19" x14ac:dyDescent="0.25">
      <c r="A849">
        <v>2021</v>
      </c>
      <c r="C849" t="s">
        <v>6878</v>
      </c>
      <c r="D849" t="s">
        <v>7053</v>
      </c>
      <c r="E849" t="s">
        <v>1228</v>
      </c>
      <c r="F849" t="s">
        <v>1128</v>
      </c>
      <c r="G849">
        <v>80206</v>
      </c>
      <c r="H849">
        <v>39.744531000000002</v>
      </c>
      <c r="I849">
        <v>-104.95984</v>
      </c>
      <c r="K849">
        <v>110070097711</v>
      </c>
      <c r="L849" t="s">
        <v>265</v>
      </c>
      <c r="R849" s="387">
        <f t="shared" si="13"/>
        <v>7.226334076122136E-4</v>
      </c>
      <c r="S849" s="386">
        <v>3.2778100000000003E-4</v>
      </c>
    </row>
    <row r="850" spans="1:19" x14ac:dyDescent="0.25">
      <c r="A850">
        <v>2024</v>
      </c>
      <c r="C850" t="s">
        <v>6878</v>
      </c>
      <c r="D850" t="s">
        <v>7053</v>
      </c>
      <c r="E850" t="s">
        <v>1228</v>
      </c>
      <c r="F850" t="s">
        <v>1128</v>
      </c>
      <c r="G850">
        <v>80206</v>
      </c>
      <c r="H850">
        <v>39.744531000000002</v>
      </c>
      <c r="I850">
        <v>-104.95984</v>
      </c>
      <c r="K850">
        <v>110070097711</v>
      </c>
      <c r="L850" t="s">
        <v>265</v>
      </c>
      <c r="R850" s="387">
        <f t="shared" si="13"/>
        <v>2.3030810681405422E-4</v>
      </c>
      <c r="S850" s="386">
        <v>1.04466E-4</v>
      </c>
    </row>
    <row r="851" spans="1:19" x14ac:dyDescent="0.25">
      <c r="A851">
        <v>2023</v>
      </c>
      <c r="C851" t="s">
        <v>6851</v>
      </c>
      <c r="D851" t="s">
        <v>7007</v>
      </c>
      <c r="E851" t="s">
        <v>457</v>
      </c>
      <c r="F851" t="s">
        <v>366</v>
      </c>
      <c r="G851" t="s">
        <v>7008</v>
      </c>
      <c r="H851">
        <v>32.781489999999998</v>
      </c>
      <c r="I851">
        <v>-115.5035</v>
      </c>
      <c r="K851">
        <v>110012876557</v>
      </c>
      <c r="L851" t="s">
        <v>265</v>
      </c>
      <c r="R851" s="387">
        <f t="shared" si="13"/>
        <v>1.7513012288985372E-2</v>
      </c>
      <c r="S851" s="386">
        <v>7.94376875E-3</v>
      </c>
    </row>
    <row r="852" spans="1:19" x14ac:dyDescent="0.25">
      <c r="A852">
        <v>2024</v>
      </c>
      <c r="C852" t="s">
        <v>6851</v>
      </c>
      <c r="D852" t="s">
        <v>7007</v>
      </c>
      <c r="E852" t="s">
        <v>457</v>
      </c>
      <c r="F852" t="s">
        <v>366</v>
      </c>
      <c r="G852" t="s">
        <v>7008</v>
      </c>
      <c r="H852">
        <v>32.781489999999998</v>
      </c>
      <c r="I852">
        <v>-115.5035</v>
      </c>
      <c r="K852">
        <v>110012876557</v>
      </c>
      <c r="L852" t="s">
        <v>265</v>
      </c>
      <c r="R852" s="387">
        <f t="shared" si="13"/>
        <v>1.7513012288985372E-2</v>
      </c>
      <c r="S852" s="386">
        <v>7.94376875E-3</v>
      </c>
    </row>
    <row r="853" spans="1:19" x14ac:dyDescent="0.25">
      <c r="A853">
        <v>2021</v>
      </c>
      <c r="C853" t="s">
        <v>1369</v>
      </c>
      <c r="D853" t="s">
        <v>2256</v>
      </c>
      <c r="E853" t="s">
        <v>1370</v>
      </c>
      <c r="F853" t="s">
        <v>308</v>
      </c>
      <c r="G853">
        <v>2048</v>
      </c>
      <c r="H853">
        <v>42.020510000000002</v>
      </c>
      <c r="I853">
        <v>-71.267250000000004</v>
      </c>
      <c r="K853">
        <v>110070602569</v>
      </c>
      <c r="L853" t="s">
        <v>265</v>
      </c>
      <c r="R853" s="387">
        <f t="shared" si="13"/>
        <v>2.6182109831344825E-2</v>
      </c>
      <c r="S853" s="386">
        <v>1.187600525E-2</v>
      </c>
    </row>
    <row r="854" spans="1:19" x14ac:dyDescent="0.25">
      <c r="A854">
        <v>2022</v>
      </c>
      <c r="C854" t="s">
        <v>1369</v>
      </c>
      <c r="D854" t="s">
        <v>2256</v>
      </c>
      <c r="E854" t="s">
        <v>1370</v>
      </c>
      <c r="F854" t="s">
        <v>308</v>
      </c>
      <c r="G854">
        <v>2048</v>
      </c>
      <c r="H854">
        <v>42.020510000000002</v>
      </c>
      <c r="I854">
        <v>-71.267250000000004</v>
      </c>
      <c r="K854">
        <v>110070602569</v>
      </c>
      <c r="L854" t="s">
        <v>265</v>
      </c>
      <c r="R854" s="387">
        <f t="shared" si="13"/>
        <v>2.7301106828582673E-3</v>
      </c>
      <c r="S854" s="386">
        <v>1.2383573750000001E-3</v>
      </c>
    </row>
    <row r="855" spans="1:19" x14ac:dyDescent="0.25">
      <c r="A855">
        <v>2023</v>
      </c>
      <c r="C855" t="s">
        <v>1369</v>
      </c>
      <c r="D855" t="s">
        <v>2256</v>
      </c>
      <c r="E855" t="s">
        <v>1370</v>
      </c>
      <c r="F855" t="s">
        <v>308</v>
      </c>
      <c r="G855" t="s">
        <v>7095</v>
      </c>
      <c r="H855">
        <v>42.020510000000002</v>
      </c>
      <c r="I855">
        <v>-71.267250000000004</v>
      </c>
      <c r="K855">
        <v>110070602569</v>
      </c>
      <c r="L855" t="s">
        <v>265</v>
      </c>
      <c r="R855" s="387">
        <f t="shared" si="13"/>
        <v>1.4490322693258709E-3</v>
      </c>
      <c r="S855" s="386">
        <v>6.5726998125000002E-4</v>
      </c>
    </row>
    <row r="856" spans="1:19" x14ac:dyDescent="0.25">
      <c r="A856">
        <v>2024</v>
      </c>
      <c r="C856" t="s">
        <v>6855</v>
      </c>
      <c r="D856" t="s">
        <v>7014</v>
      </c>
      <c r="E856" t="s">
        <v>7015</v>
      </c>
      <c r="F856" t="s">
        <v>491</v>
      </c>
      <c r="G856">
        <v>15317</v>
      </c>
      <c r="H856">
        <v>40.269072000000001</v>
      </c>
      <c r="I856">
        <v>-80.170649999999995</v>
      </c>
      <c r="K856">
        <v>110000329886</v>
      </c>
      <c r="L856" t="s">
        <v>265</v>
      </c>
      <c r="R856" s="387">
        <f t="shared" si="13"/>
        <v>2.3395348360908275E-2</v>
      </c>
      <c r="S856" s="386">
        <v>1.061195151E-2</v>
      </c>
    </row>
    <row r="857" spans="1:19" x14ac:dyDescent="0.25">
      <c r="A857">
        <v>2024</v>
      </c>
      <c r="C857" t="s">
        <v>1373</v>
      </c>
      <c r="D857" t="s">
        <v>2262</v>
      </c>
      <c r="E857" t="s">
        <v>657</v>
      </c>
      <c r="F857" t="s">
        <v>418</v>
      </c>
      <c r="G857">
        <v>89103</v>
      </c>
      <c r="H857">
        <v>36.108890000000002</v>
      </c>
      <c r="I857">
        <v>-115.18118</v>
      </c>
      <c r="K857">
        <v>110059861065</v>
      </c>
      <c r="L857" t="s">
        <v>265</v>
      </c>
      <c r="R857" s="387">
        <f t="shared" si="13"/>
        <v>2.3071490102445948E-3</v>
      </c>
      <c r="S857" s="386">
        <v>1.0465051875E-3</v>
      </c>
    </row>
    <row r="858" spans="1:19" x14ac:dyDescent="0.25">
      <c r="A858">
        <v>2021</v>
      </c>
      <c r="C858" t="s">
        <v>1373</v>
      </c>
      <c r="D858" t="s">
        <v>2262</v>
      </c>
      <c r="E858" t="s">
        <v>657</v>
      </c>
      <c r="F858" t="s">
        <v>418</v>
      </c>
      <c r="G858">
        <v>89103</v>
      </c>
      <c r="H858">
        <v>36.108890000000002</v>
      </c>
      <c r="I858">
        <v>-115.18118</v>
      </c>
      <c r="K858">
        <v>110059861065</v>
      </c>
      <c r="L858" t="s">
        <v>265</v>
      </c>
      <c r="R858" s="387">
        <f t="shared" si="13"/>
        <v>1.5152562806556909E-3</v>
      </c>
      <c r="S858" s="386">
        <v>6.8730868750000004E-4</v>
      </c>
    </row>
    <row r="859" spans="1:19" x14ac:dyDescent="0.25">
      <c r="A859">
        <v>2022</v>
      </c>
      <c r="C859" t="s">
        <v>1373</v>
      </c>
      <c r="D859" t="s">
        <v>2262</v>
      </c>
      <c r="E859" t="s">
        <v>657</v>
      </c>
      <c r="F859" t="s">
        <v>418</v>
      </c>
      <c r="G859">
        <v>89103</v>
      </c>
      <c r="H859">
        <v>36.108890000000002</v>
      </c>
      <c r="I859">
        <v>-115.18118</v>
      </c>
      <c r="K859">
        <v>110059861065</v>
      </c>
      <c r="L859" t="s">
        <v>265</v>
      </c>
      <c r="R859" s="387">
        <f t="shared" si="13"/>
        <v>1.513733410021866E-3</v>
      </c>
      <c r="S859" s="386">
        <v>6.8661792500000003E-4</v>
      </c>
    </row>
    <row r="860" spans="1:19" x14ac:dyDescent="0.25">
      <c r="A860">
        <v>2024</v>
      </c>
      <c r="C860" t="s">
        <v>1373</v>
      </c>
      <c r="D860" t="s">
        <v>2262</v>
      </c>
      <c r="E860" t="s">
        <v>657</v>
      </c>
      <c r="F860" t="s">
        <v>418</v>
      </c>
      <c r="G860">
        <v>89103</v>
      </c>
      <c r="H860">
        <v>36.108890000000002</v>
      </c>
      <c r="I860">
        <v>-115.18118</v>
      </c>
      <c r="K860">
        <v>110059861065</v>
      </c>
      <c r="L860" t="s">
        <v>265</v>
      </c>
      <c r="R860" s="387">
        <f t="shared" si="13"/>
        <v>9.274282159993124E-4</v>
      </c>
      <c r="S860" s="386">
        <v>4.2067436250000002E-4</v>
      </c>
    </row>
    <row r="861" spans="1:19" x14ac:dyDescent="0.25">
      <c r="A861">
        <v>2023</v>
      </c>
      <c r="C861" t="s">
        <v>1373</v>
      </c>
      <c r="D861" t="s">
        <v>2262</v>
      </c>
      <c r="E861" t="s">
        <v>657</v>
      </c>
      <c r="F861" t="s">
        <v>418</v>
      </c>
      <c r="G861">
        <v>89103</v>
      </c>
      <c r="H861">
        <v>36.108890000000002</v>
      </c>
      <c r="I861">
        <v>-115.18118</v>
      </c>
      <c r="K861">
        <v>110059861065</v>
      </c>
      <c r="L861" t="s">
        <v>265</v>
      </c>
      <c r="R861" s="387">
        <f t="shared" si="13"/>
        <v>7.9798421212420303E-4</v>
      </c>
      <c r="S861" s="386">
        <v>3.6195954999999999E-4</v>
      </c>
    </row>
    <row r="862" spans="1:19" x14ac:dyDescent="0.25">
      <c r="A862">
        <v>2022</v>
      </c>
      <c r="C862" t="s">
        <v>1373</v>
      </c>
      <c r="D862" t="s">
        <v>2262</v>
      </c>
      <c r="E862" t="s">
        <v>657</v>
      </c>
      <c r="F862" t="s">
        <v>418</v>
      </c>
      <c r="G862">
        <v>89103</v>
      </c>
      <c r="H862">
        <v>36.108890000000002</v>
      </c>
      <c r="I862">
        <v>-115.18118</v>
      </c>
      <c r="K862">
        <v>110059861065</v>
      </c>
      <c r="L862" t="s">
        <v>265</v>
      </c>
      <c r="R862" s="387">
        <f t="shared" si="13"/>
        <v>7.2031780979913752E-4</v>
      </c>
      <c r="S862" s="386">
        <v>3.2673066250000002E-4</v>
      </c>
    </row>
    <row r="863" spans="1:19" x14ac:dyDescent="0.25">
      <c r="A863">
        <v>2021</v>
      </c>
      <c r="C863" t="s">
        <v>1373</v>
      </c>
      <c r="D863" t="s">
        <v>2262</v>
      </c>
      <c r="E863" t="s">
        <v>657</v>
      </c>
      <c r="F863" t="s">
        <v>418</v>
      </c>
      <c r="G863">
        <v>89103</v>
      </c>
      <c r="H863">
        <v>36.108890000000002</v>
      </c>
      <c r="I863">
        <v>-115.18118</v>
      </c>
      <c r="K863">
        <v>110059861065</v>
      </c>
      <c r="L863" t="s">
        <v>265</v>
      </c>
      <c r="R863" s="387">
        <f t="shared" si="13"/>
        <v>4.6752128458421821E-4</v>
      </c>
      <c r="S863" s="386">
        <v>2.1206408750000001E-4</v>
      </c>
    </row>
    <row r="864" spans="1:19" x14ac:dyDescent="0.25">
      <c r="A864">
        <v>2023</v>
      </c>
      <c r="C864" t="s">
        <v>1373</v>
      </c>
      <c r="D864" t="s">
        <v>2262</v>
      </c>
      <c r="E864" t="s">
        <v>657</v>
      </c>
      <c r="F864" t="s">
        <v>418</v>
      </c>
      <c r="G864">
        <v>89103</v>
      </c>
      <c r="H864">
        <v>36.108890000000002</v>
      </c>
      <c r="I864">
        <v>-115.18118</v>
      </c>
      <c r="K864">
        <v>110059861065</v>
      </c>
      <c r="L864" t="s">
        <v>265</v>
      </c>
      <c r="R864" s="387">
        <f t="shared" si="13"/>
        <v>3.8147909377311611E-4</v>
      </c>
      <c r="S864" s="386">
        <v>1.7303600625E-4</v>
      </c>
    </row>
    <row r="865" spans="1:19" x14ac:dyDescent="0.25">
      <c r="A865">
        <v>2021</v>
      </c>
      <c r="C865" t="s">
        <v>1374</v>
      </c>
      <c r="D865" t="s">
        <v>2264</v>
      </c>
      <c r="E865" t="s">
        <v>293</v>
      </c>
      <c r="F865" t="s">
        <v>294</v>
      </c>
      <c r="G865">
        <v>222031606</v>
      </c>
      <c r="H865">
        <v>38.88223</v>
      </c>
      <c r="I865">
        <v>-77.112300000000005</v>
      </c>
      <c r="K865">
        <v>110010844426</v>
      </c>
      <c r="L865" t="s">
        <v>265</v>
      </c>
      <c r="R865" s="387">
        <f t="shared" si="13"/>
        <v>1.8274447605897779E-4</v>
      </c>
      <c r="S865" s="386">
        <v>8.2891499999999997E-5</v>
      </c>
    </row>
    <row r="866" spans="1:19" x14ac:dyDescent="0.25">
      <c r="A866">
        <v>2023</v>
      </c>
      <c r="C866" t="s">
        <v>1374</v>
      </c>
      <c r="D866" t="s">
        <v>2264</v>
      </c>
      <c r="E866" t="s">
        <v>293</v>
      </c>
      <c r="F866" t="s">
        <v>294</v>
      </c>
      <c r="G866">
        <v>222031606</v>
      </c>
      <c r="H866">
        <v>38.88223</v>
      </c>
      <c r="I866">
        <v>-77.112300000000005</v>
      </c>
      <c r="K866">
        <v>110010844426</v>
      </c>
      <c r="L866" t="s">
        <v>265</v>
      </c>
      <c r="R866" s="387">
        <f t="shared" si="13"/>
        <v>9.0621233333356121E-5</v>
      </c>
      <c r="S866" s="386">
        <v>4.1105100000000001E-5</v>
      </c>
    </row>
    <row r="867" spans="1:19" x14ac:dyDescent="0.25">
      <c r="A867">
        <v>2022</v>
      </c>
      <c r="C867" t="s">
        <v>1374</v>
      </c>
      <c r="D867" t="s">
        <v>2264</v>
      </c>
      <c r="E867" t="s">
        <v>293</v>
      </c>
      <c r="F867" t="s">
        <v>294</v>
      </c>
      <c r="G867">
        <v>222031606</v>
      </c>
      <c r="H867">
        <v>38.88223</v>
      </c>
      <c r="I867">
        <v>-77.112300000000005</v>
      </c>
      <c r="K867">
        <v>110010844426</v>
      </c>
      <c r="L867" t="s">
        <v>265</v>
      </c>
      <c r="R867" s="387">
        <f t="shared" si="13"/>
        <v>7.8974819395661355E-5</v>
      </c>
      <c r="S867" s="386">
        <v>3.5822375500000001E-5</v>
      </c>
    </row>
    <row r="868" spans="1:19" x14ac:dyDescent="0.25">
      <c r="A868">
        <v>2024</v>
      </c>
      <c r="C868" t="s">
        <v>1374</v>
      </c>
      <c r="D868" t="s">
        <v>2264</v>
      </c>
      <c r="E868" t="s">
        <v>293</v>
      </c>
      <c r="F868" t="s">
        <v>294</v>
      </c>
      <c r="G868">
        <v>222031606</v>
      </c>
      <c r="H868">
        <v>38.88223</v>
      </c>
      <c r="I868">
        <v>-77.112300000000005</v>
      </c>
      <c r="K868">
        <v>110010844426</v>
      </c>
      <c r="L868" t="s">
        <v>265</v>
      </c>
      <c r="R868" s="387">
        <f t="shared" si="13"/>
        <v>6.2766636043723578E-5</v>
      </c>
      <c r="S868" s="386">
        <v>2.8470467200000001E-5</v>
      </c>
    </row>
    <row r="869" spans="1:19" x14ac:dyDescent="0.25">
      <c r="A869">
        <v>2021</v>
      </c>
      <c r="C869" t="s">
        <v>1375</v>
      </c>
      <c r="D869" t="s">
        <v>2268</v>
      </c>
      <c r="E869" t="s">
        <v>657</v>
      </c>
      <c r="F869" t="s">
        <v>418</v>
      </c>
      <c r="G869">
        <v>89109</v>
      </c>
      <c r="H869">
        <v>36.137529999999998</v>
      </c>
      <c r="I869">
        <v>-115.15479000000001</v>
      </c>
      <c r="K869">
        <v>110020039402</v>
      </c>
      <c r="L869" t="s">
        <v>265</v>
      </c>
      <c r="R869" s="387">
        <f t="shared" si="13"/>
        <v>7.2931090390999081E-3</v>
      </c>
      <c r="S869" s="386">
        <v>3.3080986137137502E-3</v>
      </c>
    </row>
    <row r="870" spans="1:19" x14ac:dyDescent="0.25">
      <c r="A870">
        <v>2023</v>
      </c>
      <c r="C870" t="s">
        <v>1375</v>
      </c>
      <c r="D870" t="s">
        <v>2268</v>
      </c>
      <c r="E870" t="s">
        <v>657</v>
      </c>
      <c r="F870" t="s">
        <v>418</v>
      </c>
      <c r="G870">
        <v>89109</v>
      </c>
      <c r="H870">
        <v>36.137529999999998</v>
      </c>
      <c r="I870">
        <v>-115.15479000000001</v>
      </c>
      <c r="K870">
        <v>110020039402</v>
      </c>
      <c r="L870" t="s">
        <v>265</v>
      </c>
      <c r="R870" s="387">
        <f t="shared" si="13"/>
        <v>4.3001304825492324E-3</v>
      </c>
      <c r="S870" s="386">
        <v>1.9505063768887501E-3</v>
      </c>
    </row>
    <row r="871" spans="1:19" x14ac:dyDescent="0.25">
      <c r="A871">
        <v>2024</v>
      </c>
      <c r="C871" t="s">
        <v>1375</v>
      </c>
      <c r="D871" t="s">
        <v>2268</v>
      </c>
      <c r="E871" t="s">
        <v>657</v>
      </c>
      <c r="F871" t="s">
        <v>418</v>
      </c>
      <c r="G871">
        <v>89109</v>
      </c>
      <c r="H871">
        <v>36.137529999999998</v>
      </c>
      <c r="I871">
        <v>-115.15479000000001</v>
      </c>
      <c r="K871">
        <v>110020039402</v>
      </c>
      <c r="L871" t="s">
        <v>265</v>
      </c>
      <c r="R871" s="387">
        <f t="shared" si="13"/>
        <v>3.7379197972261967E-3</v>
      </c>
      <c r="S871" s="386">
        <v>1.69549189969375E-3</v>
      </c>
    </row>
    <row r="872" spans="1:19" x14ac:dyDescent="0.25">
      <c r="A872">
        <v>2022</v>
      </c>
      <c r="C872" t="s">
        <v>1375</v>
      </c>
      <c r="D872" t="s">
        <v>2268</v>
      </c>
      <c r="E872" t="s">
        <v>657</v>
      </c>
      <c r="F872" t="s">
        <v>418</v>
      </c>
      <c r="G872">
        <v>89109</v>
      </c>
      <c r="H872">
        <v>36.137529999999998</v>
      </c>
      <c r="I872">
        <v>-115.15479000000001</v>
      </c>
      <c r="K872">
        <v>110020039402</v>
      </c>
      <c r="L872" t="s">
        <v>265</v>
      </c>
      <c r="R872" s="387">
        <f t="shared" si="13"/>
        <v>1.4788116916516913E-8</v>
      </c>
      <c r="S872" s="386">
        <v>6.7077769999999996E-9</v>
      </c>
    </row>
    <row r="873" spans="1:19" x14ac:dyDescent="0.25">
      <c r="A873">
        <v>2023</v>
      </c>
      <c r="C873" t="s">
        <v>6855</v>
      </c>
      <c r="D873" t="s">
        <v>7014</v>
      </c>
      <c r="E873" t="s">
        <v>7015</v>
      </c>
      <c r="F873" t="s">
        <v>491</v>
      </c>
      <c r="G873">
        <v>15317</v>
      </c>
      <c r="H873">
        <v>40.269072000000001</v>
      </c>
      <c r="I873">
        <v>-80.170649999999995</v>
      </c>
      <c r="K873">
        <v>110000329886</v>
      </c>
      <c r="L873" t="s">
        <v>265</v>
      </c>
      <c r="R873" s="387">
        <f t="shared" si="13"/>
        <v>1.4664989696585947E-2</v>
      </c>
      <c r="S873" s="386">
        <v>6.6519274325000004E-3</v>
      </c>
    </row>
    <row r="874" spans="1:19" x14ac:dyDescent="0.25">
      <c r="A874">
        <v>2022</v>
      </c>
      <c r="C874" t="s">
        <v>6855</v>
      </c>
      <c r="D874" t="s">
        <v>7014</v>
      </c>
      <c r="E874" t="s">
        <v>7015</v>
      </c>
      <c r="F874" t="s">
        <v>491</v>
      </c>
      <c r="G874">
        <v>15317</v>
      </c>
      <c r="H874">
        <v>40.269072000000001</v>
      </c>
      <c r="I874">
        <v>-80.170649999999995</v>
      </c>
      <c r="K874">
        <v>110000329886</v>
      </c>
      <c r="L874" t="s">
        <v>265</v>
      </c>
      <c r="R874" s="387">
        <f t="shared" si="13"/>
        <v>1.4508367875819867E-2</v>
      </c>
      <c r="S874" s="386">
        <v>6.5808849696249996E-3</v>
      </c>
    </row>
    <row r="875" spans="1:19" x14ac:dyDescent="0.25">
      <c r="A875">
        <v>2024</v>
      </c>
      <c r="C875" t="s">
        <v>1378</v>
      </c>
      <c r="D875" t="s">
        <v>2274</v>
      </c>
      <c r="E875" t="s">
        <v>474</v>
      </c>
      <c r="F875" t="s">
        <v>338</v>
      </c>
      <c r="G875">
        <v>7470</v>
      </c>
      <c r="H875">
        <v>40.936109999999999</v>
      </c>
      <c r="I875">
        <v>-74.273809999999997</v>
      </c>
      <c r="K875">
        <v>110070212009</v>
      </c>
      <c r="L875" t="s">
        <v>265</v>
      </c>
      <c r="R875" s="387">
        <f t="shared" si="13"/>
        <v>3.0413146790806908E-3</v>
      </c>
      <c r="S875" s="386">
        <v>1.3795171332000001E-3</v>
      </c>
    </row>
    <row r="876" spans="1:19" x14ac:dyDescent="0.25">
      <c r="A876">
        <v>2023</v>
      </c>
      <c r="C876" t="s">
        <v>1378</v>
      </c>
      <c r="D876" t="s">
        <v>2274</v>
      </c>
      <c r="E876" t="s">
        <v>474</v>
      </c>
      <c r="F876" t="s">
        <v>338</v>
      </c>
      <c r="G876" t="s">
        <v>1778</v>
      </c>
      <c r="H876">
        <v>40.936109999999999</v>
      </c>
      <c r="I876">
        <v>-74.273809999999997</v>
      </c>
      <c r="K876">
        <v>110070212009</v>
      </c>
      <c r="L876" t="s">
        <v>265</v>
      </c>
      <c r="R876" s="387">
        <f t="shared" si="13"/>
        <v>2.1398063053838404E-3</v>
      </c>
      <c r="S876" s="386">
        <v>9.7059981339999997E-4</v>
      </c>
    </row>
    <row r="877" spans="1:19" x14ac:dyDescent="0.25">
      <c r="A877">
        <v>2021</v>
      </c>
      <c r="C877" t="s">
        <v>1378</v>
      </c>
      <c r="D877" t="s">
        <v>2274</v>
      </c>
      <c r="E877" t="s">
        <v>474</v>
      </c>
      <c r="F877" t="s">
        <v>338</v>
      </c>
      <c r="G877">
        <v>7470</v>
      </c>
      <c r="H877">
        <v>40.936109999999999</v>
      </c>
      <c r="I877">
        <v>-74.273809999999997</v>
      </c>
      <c r="K877">
        <v>110070212009</v>
      </c>
      <c r="L877" t="s">
        <v>265</v>
      </c>
      <c r="R877" s="387">
        <f t="shared" si="13"/>
        <v>1.7527300987778961E-3</v>
      </c>
      <c r="S877" s="386">
        <v>7.9502499947500002E-4</v>
      </c>
    </row>
    <row r="878" spans="1:19" x14ac:dyDescent="0.25">
      <c r="A878">
        <v>2022</v>
      </c>
      <c r="C878" t="s">
        <v>1378</v>
      </c>
      <c r="D878" t="s">
        <v>2274</v>
      </c>
      <c r="E878" t="s">
        <v>474</v>
      </c>
      <c r="F878" t="s">
        <v>338</v>
      </c>
      <c r="G878">
        <v>7470</v>
      </c>
      <c r="H878">
        <v>40.936109999999999</v>
      </c>
      <c r="I878">
        <v>-74.273809999999997</v>
      </c>
      <c r="K878">
        <v>110070212009</v>
      </c>
      <c r="L878" t="s">
        <v>265</v>
      </c>
      <c r="R878" s="387">
        <f t="shared" si="13"/>
        <v>1.5912068041400254E-3</v>
      </c>
      <c r="S878" s="386">
        <v>7.2175926544999997E-4</v>
      </c>
    </row>
    <row r="879" spans="1:19" x14ac:dyDescent="0.25">
      <c r="A879">
        <v>2022</v>
      </c>
      <c r="C879" t="s">
        <v>1384</v>
      </c>
      <c r="D879" t="s">
        <v>2285</v>
      </c>
      <c r="E879" t="s">
        <v>1385</v>
      </c>
      <c r="F879" t="s">
        <v>374</v>
      </c>
      <c r="G879">
        <v>86045</v>
      </c>
      <c r="H879">
        <v>36.091380999999998</v>
      </c>
      <c r="I879">
        <v>-111.289585</v>
      </c>
      <c r="K879">
        <v>110024409344</v>
      </c>
      <c r="L879" t="s">
        <v>263</v>
      </c>
      <c r="R879" s="387">
        <f t="shared" si="13"/>
        <v>4.3727832547095096</v>
      </c>
      <c r="S879" s="386">
        <v>1.9834611200000001</v>
      </c>
    </row>
    <row r="880" spans="1:19" x14ac:dyDescent="0.25">
      <c r="A880">
        <v>2024</v>
      </c>
      <c r="C880" t="s">
        <v>1384</v>
      </c>
      <c r="D880" t="s">
        <v>2285</v>
      </c>
      <c r="E880" t="s">
        <v>1385</v>
      </c>
      <c r="F880" t="s">
        <v>374</v>
      </c>
      <c r="G880">
        <v>86045</v>
      </c>
      <c r="H880">
        <v>36.091380999999998</v>
      </c>
      <c r="I880">
        <v>-111.289585</v>
      </c>
      <c r="K880">
        <v>110024409344</v>
      </c>
      <c r="L880" t="s">
        <v>263</v>
      </c>
      <c r="R880" s="387">
        <f t="shared" si="13"/>
        <v>3.9766533109893358</v>
      </c>
      <c r="S880" s="386">
        <v>1.8037795999999999</v>
      </c>
    </row>
    <row r="881" spans="1:19" x14ac:dyDescent="0.25">
      <c r="A881">
        <v>2023</v>
      </c>
      <c r="C881" t="s">
        <v>1384</v>
      </c>
      <c r="D881" t="s">
        <v>2285</v>
      </c>
      <c r="E881" t="s">
        <v>1385</v>
      </c>
      <c r="F881" t="s">
        <v>374</v>
      </c>
      <c r="G881">
        <v>86045</v>
      </c>
      <c r="H881">
        <v>36.091380999999998</v>
      </c>
      <c r="I881">
        <v>-111.289585</v>
      </c>
      <c r="K881">
        <v>110024409344</v>
      </c>
      <c r="L881" t="s">
        <v>263</v>
      </c>
      <c r="R881" s="387">
        <f t="shared" si="13"/>
        <v>2.7156329812161522</v>
      </c>
      <c r="S881" s="386">
        <v>1.2317904</v>
      </c>
    </row>
    <row r="882" spans="1:19" x14ac:dyDescent="0.25">
      <c r="A882">
        <v>2021</v>
      </c>
      <c r="C882" t="s">
        <v>1387</v>
      </c>
      <c r="D882" t="s">
        <v>2291</v>
      </c>
      <c r="E882" t="s">
        <v>1388</v>
      </c>
      <c r="F882" t="s">
        <v>294</v>
      </c>
      <c r="G882">
        <v>221822454</v>
      </c>
      <c r="H882">
        <v>38.920251999999998</v>
      </c>
      <c r="I882">
        <v>-77.231944999999996</v>
      </c>
      <c r="K882">
        <v>110070684897</v>
      </c>
      <c r="L882" t="s">
        <v>265</v>
      </c>
      <c r="R882" s="387">
        <f t="shared" si="13"/>
        <v>1.5385774798196009E-2</v>
      </c>
      <c r="S882" s="386">
        <v>6.9788700550000001E-3</v>
      </c>
    </row>
    <row r="883" spans="1:19" x14ac:dyDescent="0.25">
      <c r="A883">
        <v>2022</v>
      </c>
      <c r="C883" t="s">
        <v>1387</v>
      </c>
      <c r="D883" t="s">
        <v>2291</v>
      </c>
      <c r="E883" t="s">
        <v>1388</v>
      </c>
      <c r="F883" t="s">
        <v>294</v>
      </c>
      <c r="G883">
        <v>221822454</v>
      </c>
      <c r="H883">
        <v>38.920251999999998</v>
      </c>
      <c r="I883">
        <v>-77.231944999999996</v>
      </c>
      <c r="K883">
        <v>110070684897</v>
      </c>
      <c r="L883" t="s">
        <v>265</v>
      </c>
      <c r="R883" s="387">
        <f t="shared" si="13"/>
        <v>1.1327537343716783E-2</v>
      </c>
      <c r="S883" s="386">
        <v>5.1380845099999999E-3</v>
      </c>
    </row>
    <row r="884" spans="1:19" x14ac:dyDescent="0.25">
      <c r="A884">
        <v>2023</v>
      </c>
      <c r="C884" t="s">
        <v>1387</v>
      </c>
      <c r="D884" t="s">
        <v>2291</v>
      </c>
      <c r="E884" t="s">
        <v>1388</v>
      </c>
      <c r="F884" t="s">
        <v>294</v>
      </c>
      <c r="G884">
        <v>221822454</v>
      </c>
      <c r="H884">
        <v>38.920251999999998</v>
      </c>
      <c r="I884">
        <v>-77.231944999999996</v>
      </c>
      <c r="K884">
        <v>110070684897</v>
      </c>
      <c r="L884" t="s">
        <v>265</v>
      </c>
      <c r="R884" s="387">
        <f t="shared" si="13"/>
        <v>9.5371861463911314E-3</v>
      </c>
      <c r="S884" s="386">
        <v>4.3259948672727203E-3</v>
      </c>
    </row>
    <row r="885" spans="1:19" x14ac:dyDescent="0.25">
      <c r="A885">
        <v>2024</v>
      </c>
      <c r="C885" t="s">
        <v>1387</v>
      </c>
      <c r="D885" t="s">
        <v>2291</v>
      </c>
      <c r="E885" t="s">
        <v>1388</v>
      </c>
      <c r="F885" t="s">
        <v>294</v>
      </c>
      <c r="G885">
        <v>221822454</v>
      </c>
      <c r="H885">
        <v>38.920251999999998</v>
      </c>
      <c r="I885">
        <v>-77.231944999999996</v>
      </c>
      <c r="K885">
        <v>110070684897</v>
      </c>
      <c r="L885" t="s">
        <v>265</v>
      </c>
      <c r="R885" s="387">
        <f t="shared" si="13"/>
        <v>7.0141585604713754E-3</v>
      </c>
      <c r="S885" s="386">
        <v>3.1815688049999999E-3</v>
      </c>
    </row>
    <row r="886" spans="1:19" x14ac:dyDescent="0.25">
      <c r="A886">
        <v>2021</v>
      </c>
      <c r="C886" t="s">
        <v>6855</v>
      </c>
      <c r="D886" t="s">
        <v>7014</v>
      </c>
      <c r="E886" t="s">
        <v>7015</v>
      </c>
      <c r="F886" t="s">
        <v>491</v>
      </c>
      <c r="G886">
        <v>15317</v>
      </c>
      <c r="H886">
        <v>40.269072000000001</v>
      </c>
      <c r="I886">
        <v>-80.170649999999995</v>
      </c>
      <c r="K886">
        <v>110000329886</v>
      </c>
      <c r="L886" t="s">
        <v>265</v>
      </c>
      <c r="R886" s="387">
        <f t="shared" si="13"/>
        <v>1.3157256501167556E-2</v>
      </c>
      <c r="S886" s="386">
        <v>5.9680311590624997E-3</v>
      </c>
    </row>
    <row r="887" spans="1:19" x14ac:dyDescent="0.25">
      <c r="A887">
        <v>2024</v>
      </c>
      <c r="C887" t="s">
        <v>6880</v>
      </c>
      <c r="D887" t="s">
        <v>2297</v>
      </c>
      <c r="E887" t="s">
        <v>1007</v>
      </c>
      <c r="F887" t="s">
        <v>1008</v>
      </c>
      <c r="G887">
        <v>972101412</v>
      </c>
      <c r="H887">
        <v>45.548641000000003</v>
      </c>
      <c r="I887">
        <v>-122.72292299999999</v>
      </c>
      <c r="J887" t="s">
        <v>737</v>
      </c>
      <c r="K887">
        <v>110000487447</v>
      </c>
      <c r="L887" t="s">
        <v>252</v>
      </c>
      <c r="R887" s="387">
        <f t="shared" si="13"/>
        <v>5.8220107018114075E-3</v>
      </c>
      <c r="S887" s="386">
        <v>2.6408196324E-3</v>
      </c>
    </row>
    <row r="888" spans="1:19" x14ac:dyDescent="0.25">
      <c r="A888">
        <v>2021</v>
      </c>
      <c r="C888" t="s">
        <v>6880</v>
      </c>
      <c r="D888" t="s">
        <v>2297</v>
      </c>
      <c r="E888" t="s">
        <v>1007</v>
      </c>
      <c r="F888" t="s">
        <v>1008</v>
      </c>
      <c r="G888">
        <v>972101412</v>
      </c>
      <c r="H888">
        <v>45.548641000000003</v>
      </c>
      <c r="I888">
        <v>-122.72292299999999</v>
      </c>
      <c r="J888" t="s">
        <v>737</v>
      </c>
      <c r="K888">
        <v>110000487447</v>
      </c>
      <c r="L888" t="s">
        <v>252</v>
      </c>
      <c r="R888" s="387">
        <f t="shared" si="13"/>
        <v>5.6327515103483774E-3</v>
      </c>
      <c r="S888" s="386">
        <v>2.5549731072000001E-3</v>
      </c>
    </row>
    <row r="889" spans="1:19" x14ac:dyDescent="0.25">
      <c r="A889">
        <v>2022</v>
      </c>
      <c r="C889" t="s">
        <v>6880</v>
      </c>
      <c r="D889" t="s">
        <v>2297</v>
      </c>
      <c r="E889" t="s">
        <v>1007</v>
      </c>
      <c r="F889" t="s">
        <v>1008</v>
      </c>
      <c r="G889">
        <v>972101412</v>
      </c>
      <c r="H889">
        <v>45.548641000000003</v>
      </c>
      <c r="I889">
        <v>-122.72292299999999</v>
      </c>
      <c r="J889" t="s">
        <v>737</v>
      </c>
      <c r="K889">
        <v>110000487447</v>
      </c>
      <c r="L889" t="s">
        <v>252</v>
      </c>
      <c r="R889" s="387">
        <f t="shared" si="13"/>
        <v>4.745628715050916E-3</v>
      </c>
      <c r="S889" s="386">
        <v>2.1525809759999999E-3</v>
      </c>
    </row>
    <row r="890" spans="1:19" x14ac:dyDescent="0.25">
      <c r="A890">
        <v>2023</v>
      </c>
      <c r="C890" t="s">
        <v>6880</v>
      </c>
      <c r="D890" t="s">
        <v>2297</v>
      </c>
      <c r="E890" t="s">
        <v>1007</v>
      </c>
      <c r="F890" t="s">
        <v>1008</v>
      </c>
      <c r="G890">
        <v>972101412</v>
      </c>
      <c r="H890">
        <v>45.548641000000003</v>
      </c>
      <c r="I890">
        <v>-122.72292299999999</v>
      </c>
      <c r="J890" t="s">
        <v>737</v>
      </c>
      <c r="K890">
        <v>110000487447</v>
      </c>
      <c r="L890" t="s">
        <v>252</v>
      </c>
      <c r="R890" s="387">
        <f t="shared" si="13"/>
        <v>3.318791888849453E-3</v>
      </c>
      <c r="S890" s="386">
        <v>1.5053786783999999E-3</v>
      </c>
    </row>
    <row r="891" spans="1:19" x14ac:dyDescent="0.25">
      <c r="A891">
        <v>2024</v>
      </c>
      <c r="C891" t="s">
        <v>1389</v>
      </c>
      <c r="D891" t="s">
        <v>2294</v>
      </c>
      <c r="E891" t="s">
        <v>358</v>
      </c>
      <c r="F891" t="s">
        <v>275</v>
      </c>
      <c r="G891">
        <v>83704</v>
      </c>
      <c r="H891">
        <v>43.605383000000003</v>
      </c>
      <c r="I891">
        <v>-116.27849000000001</v>
      </c>
      <c r="K891">
        <v>110062644367</v>
      </c>
      <c r="L891" t="s">
        <v>265</v>
      </c>
      <c r="R891" s="387">
        <f t="shared" si="13"/>
        <v>2.8630635475636421E-2</v>
      </c>
      <c r="S891" s="386">
        <v>1.2986637800000001E-2</v>
      </c>
    </row>
    <row r="892" spans="1:19" x14ac:dyDescent="0.25">
      <c r="A892">
        <v>2022</v>
      </c>
      <c r="C892" t="s">
        <v>1389</v>
      </c>
      <c r="D892" t="s">
        <v>2294</v>
      </c>
      <c r="E892" t="s">
        <v>358</v>
      </c>
      <c r="F892" t="s">
        <v>275</v>
      </c>
      <c r="G892">
        <v>83704</v>
      </c>
      <c r="H892">
        <v>43.605383000000003</v>
      </c>
      <c r="I892">
        <v>-116.27849000000001</v>
      </c>
      <c r="K892">
        <v>110062644367</v>
      </c>
      <c r="L892" t="s">
        <v>265</v>
      </c>
      <c r="R892" s="387">
        <f t="shared" si="13"/>
        <v>2.3453684736804547E-2</v>
      </c>
      <c r="S892" s="386">
        <v>1.0638412445E-2</v>
      </c>
    </row>
    <row r="893" spans="1:19" x14ac:dyDescent="0.25">
      <c r="A893">
        <v>2021</v>
      </c>
      <c r="C893" t="s">
        <v>1389</v>
      </c>
      <c r="D893" t="s">
        <v>2294</v>
      </c>
      <c r="E893" t="s">
        <v>358</v>
      </c>
      <c r="F893" t="s">
        <v>275</v>
      </c>
      <c r="G893">
        <v>83704</v>
      </c>
      <c r="H893">
        <v>43.605383000000003</v>
      </c>
      <c r="I893">
        <v>-116.27849000000001</v>
      </c>
      <c r="K893">
        <v>110062644367</v>
      </c>
      <c r="L893" t="s">
        <v>265</v>
      </c>
      <c r="R893" s="387">
        <f t="shared" si="13"/>
        <v>2.2000941252605283E-2</v>
      </c>
      <c r="S893" s="386">
        <v>9.9794590849999996E-3</v>
      </c>
    </row>
    <row r="894" spans="1:19" x14ac:dyDescent="0.25">
      <c r="A894">
        <v>2023</v>
      </c>
      <c r="C894" t="s">
        <v>1389</v>
      </c>
      <c r="D894" t="s">
        <v>2294</v>
      </c>
      <c r="E894" t="s">
        <v>358</v>
      </c>
      <c r="F894" t="s">
        <v>275</v>
      </c>
      <c r="G894">
        <v>83704</v>
      </c>
      <c r="H894">
        <v>43.605383000000003</v>
      </c>
      <c r="I894">
        <v>-116.27849000000001</v>
      </c>
      <c r="K894">
        <v>110062644367</v>
      </c>
      <c r="L894" t="s">
        <v>265</v>
      </c>
      <c r="R894" s="387">
        <f t="shared" si="13"/>
        <v>2.1696734283691763E-2</v>
      </c>
      <c r="S894" s="386">
        <v>9.8414731249999998E-3</v>
      </c>
    </row>
    <row r="895" spans="1:19" x14ac:dyDescent="0.25">
      <c r="A895">
        <v>2021</v>
      </c>
      <c r="C895" t="s">
        <v>1392</v>
      </c>
      <c r="D895" t="s">
        <v>2302</v>
      </c>
      <c r="E895" t="s">
        <v>1393</v>
      </c>
      <c r="F895" t="s">
        <v>294</v>
      </c>
      <c r="G895">
        <v>22060</v>
      </c>
      <c r="H895">
        <v>38.711596</v>
      </c>
      <c r="I895">
        <v>-77.147887999999995</v>
      </c>
      <c r="K895">
        <v>110070596765</v>
      </c>
      <c r="L895" t="s">
        <v>261</v>
      </c>
      <c r="R895" s="387">
        <f t="shared" si="13"/>
        <v>7.6677996699988571E-3</v>
      </c>
      <c r="S895" s="386">
        <v>3.4780554249999999E-3</v>
      </c>
    </row>
    <row r="896" spans="1:19" x14ac:dyDescent="0.25">
      <c r="A896">
        <v>2022</v>
      </c>
      <c r="C896" t="s">
        <v>1392</v>
      </c>
      <c r="D896" t="s">
        <v>2302</v>
      </c>
      <c r="E896" t="s">
        <v>1393</v>
      </c>
      <c r="F896" t="s">
        <v>294</v>
      </c>
      <c r="G896">
        <v>22060</v>
      </c>
      <c r="H896">
        <v>38.711596</v>
      </c>
      <c r="I896">
        <v>-77.147887999999995</v>
      </c>
      <c r="K896">
        <v>110070596765</v>
      </c>
      <c r="L896" t="s">
        <v>261</v>
      </c>
      <c r="R896" s="387">
        <f t="shared" si="13"/>
        <v>9.9118017020436225E-4</v>
      </c>
      <c r="S896" s="386">
        <v>4.4959176249999999E-4</v>
      </c>
    </row>
    <row r="897" spans="1:19" x14ac:dyDescent="0.25">
      <c r="A897">
        <v>2021</v>
      </c>
      <c r="C897" t="s">
        <v>1394</v>
      </c>
      <c r="D897" t="s">
        <v>6973</v>
      </c>
      <c r="E897" t="s">
        <v>1395</v>
      </c>
      <c r="F897" t="s">
        <v>362</v>
      </c>
      <c r="G897">
        <v>78241</v>
      </c>
      <c r="H897">
        <v>29.378699999999998</v>
      </c>
      <c r="I897">
        <v>-98.551670000000001</v>
      </c>
      <c r="K897">
        <v>110042004915</v>
      </c>
      <c r="L897" t="s">
        <v>265</v>
      </c>
      <c r="R897" s="387">
        <f t="shared" si="13"/>
        <v>4.1552925450443534E-2</v>
      </c>
      <c r="S897" s="386">
        <v>1.8848089935499999E-2</v>
      </c>
    </row>
    <row r="898" spans="1:19" x14ac:dyDescent="0.25">
      <c r="A898">
        <v>2022</v>
      </c>
      <c r="C898" t="s">
        <v>1394</v>
      </c>
      <c r="D898" t="s">
        <v>6973</v>
      </c>
      <c r="E898" t="s">
        <v>1395</v>
      </c>
      <c r="F898" t="s">
        <v>362</v>
      </c>
      <c r="G898">
        <v>78241</v>
      </c>
      <c r="H898">
        <v>29.378699999999998</v>
      </c>
      <c r="I898">
        <v>-98.551670000000001</v>
      </c>
      <c r="K898">
        <v>110042004915</v>
      </c>
      <c r="L898" t="s">
        <v>265</v>
      </c>
      <c r="R898" s="387">
        <f t="shared" si="13"/>
        <v>3.1155490733893954E-2</v>
      </c>
      <c r="S898" s="386">
        <v>1.4131892880499999E-2</v>
      </c>
    </row>
    <row r="899" spans="1:19" x14ac:dyDescent="0.25">
      <c r="A899">
        <v>2023</v>
      </c>
      <c r="C899" t="s">
        <v>1394</v>
      </c>
      <c r="D899" t="s">
        <v>6973</v>
      </c>
      <c r="E899" t="s">
        <v>1395</v>
      </c>
      <c r="F899" t="s">
        <v>362</v>
      </c>
      <c r="G899">
        <v>78241</v>
      </c>
      <c r="H899">
        <v>29.378699999999998</v>
      </c>
      <c r="I899">
        <v>-98.551670000000001</v>
      </c>
      <c r="K899">
        <v>110042004915</v>
      </c>
      <c r="L899" t="s">
        <v>265</v>
      </c>
      <c r="R899" s="387">
        <f t="shared" ref="R899:R962" si="14">CONVERT(S899,"g","lbm")*1000</f>
        <v>3.0560008262484662E-2</v>
      </c>
      <c r="S899" s="386">
        <v>1.3861786575E-2</v>
      </c>
    </row>
    <row r="900" spans="1:19" x14ac:dyDescent="0.25">
      <c r="A900">
        <v>2024</v>
      </c>
      <c r="C900" t="s">
        <v>1394</v>
      </c>
      <c r="D900" t="s">
        <v>6973</v>
      </c>
      <c r="E900" t="s">
        <v>1395</v>
      </c>
      <c r="F900" t="s">
        <v>362</v>
      </c>
      <c r="G900">
        <v>78241</v>
      </c>
      <c r="H900">
        <v>29.378699999999998</v>
      </c>
      <c r="I900">
        <v>-98.551670000000001</v>
      </c>
      <c r="K900">
        <v>110042004915</v>
      </c>
      <c r="L900" t="s">
        <v>265</v>
      </c>
      <c r="R900" s="387">
        <f t="shared" si="14"/>
        <v>2.7506335550794205E-2</v>
      </c>
      <c r="S900" s="386">
        <v>1.24766639325E-2</v>
      </c>
    </row>
    <row r="901" spans="1:19" x14ac:dyDescent="0.25">
      <c r="A901">
        <v>2021</v>
      </c>
      <c r="C901" t="s">
        <v>1398</v>
      </c>
      <c r="D901" t="s">
        <v>2311</v>
      </c>
      <c r="E901" t="s">
        <v>1399</v>
      </c>
      <c r="F901" t="s">
        <v>1171</v>
      </c>
      <c r="G901">
        <v>968633062</v>
      </c>
      <c r="H901">
        <v>21.438638999999998</v>
      </c>
      <c r="I901">
        <v>-157.75847200000001</v>
      </c>
      <c r="K901">
        <v>110041973460</v>
      </c>
      <c r="L901" t="s">
        <v>263</v>
      </c>
      <c r="R901" s="387">
        <f t="shared" si="14"/>
        <v>3.8528627035767817</v>
      </c>
      <c r="S901" s="386">
        <v>1.747629125</v>
      </c>
    </row>
    <row r="902" spans="1:19" x14ac:dyDescent="0.25">
      <c r="A902">
        <v>2023</v>
      </c>
      <c r="C902" t="s">
        <v>1398</v>
      </c>
      <c r="D902" t="s">
        <v>2311</v>
      </c>
      <c r="E902" t="s">
        <v>1399</v>
      </c>
      <c r="F902" t="s">
        <v>1171</v>
      </c>
      <c r="G902">
        <v>968633062</v>
      </c>
      <c r="H902">
        <v>21.438638999999998</v>
      </c>
      <c r="I902">
        <v>-157.75847200000001</v>
      </c>
      <c r="K902">
        <v>110041973460</v>
      </c>
      <c r="L902" t="s">
        <v>263</v>
      </c>
      <c r="R902" s="387">
        <f t="shared" si="14"/>
        <v>3.6427065561089575</v>
      </c>
      <c r="S902" s="386">
        <v>1.6523038999999999</v>
      </c>
    </row>
    <row r="903" spans="1:19" x14ac:dyDescent="0.25">
      <c r="A903">
        <v>2022</v>
      </c>
      <c r="C903" t="s">
        <v>1398</v>
      </c>
      <c r="D903" t="s">
        <v>2311</v>
      </c>
      <c r="E903" t="s">
        <v>1399</v>
      </c>
      <c r="F903" t="s">
        <v>1171</v>
      </c>
      <c r="G903">
        <v>968633062</v>
      </c>
      <c r="H903">
        <v>21.438638999999998</v>
      </c>
      <c r="I903">
        <v>-157.75847200000001</v>
      </c>
      <c r="K903">
        <v>110041973460</v>
      </c>
      <c r="L903" t="s">
        <v>263</v>
      </c>
      <c r="R903" s="387">
        <f t="shared" si="14"/>
        <v>2.8492909558862287</v>
      </c>
      <c r="S903" s="386">
        <v>1.2924166374999999</v>
      </c>
    </row>
    <row r="904" spans="1:19" x14ac:dyDescent="0.25">
      <c r="A904">
        <v>2021</v>
      </c>
      <c r="C904" t="s">
        <v>6797</v>
      </c>
      <c r="D904" t="s">
        <v>6946</v>
      </c>
      <c r="E904" t="s">
        <v>6947</v>
      </c>
      <c r="F904" t="s">
        <v>308</v>
      </c>
      <c r="G904">
        <v>2210</v>
      </c>
      <c r="H904">
        <v>42.349516999999999</v>
      </c>
      <c r="I904">
        <v>-71.047058000000007</v>
      </c>
      <c r="K904">
        <v>110070917345</v>
      </c>
      <c r="L904" t="s">
        <v>265</v>
      </c>
      <c r="R904" s="387">
        <f t="shared" si="14"/>
        <v>2.0187006232049272E-4</v>
      </c>
      <c r="S904" s="386">
        <v>9.1566719999999993E-5</v>
      </c>
    </row>
    <row r="905" spans="1:19" x14ac:dyDescent="0.25">
      <c r="A905">
        <v>2024</v>
      </c>
      <c r="C905" t="s">
        <v>1400</v>
      </c>
      <c r="D905" t="s">
        <v>2313</v>
      </c>
      <c r="E905" t="s">
        <v>1401</v>
      </c>
      <c r="F905" t="s">
        <v>324</v>
      </c>
      <c r="G905" t="s">
        <v>2314</v>
      </c>
      <c r="H905">
        <v>37.642310000000002</v>
      </c>
      <c r="I905">
        <v>-85.903570000000002</v>
      </c>
      <c r="K905">
        <v>110000571373</v>
      </c>
      <c r="L905" t="s">
        <v>263</v>
      </c>
      <c r="R905" s="387">
        <f t="shared" si="14"/>
        <v>60.914825352992601</v>
      </c>
      <c r="S905" s="386">
        <v>27.630500000000001</v>
      </c>
    </row>
    <row r="906" spans="1:19" x14ac:dyDescent="0.25">
      <c r="A906">
        <v>2021</v>
      </c>
      <c r="C906" t="s">
        <v>1400</v>
      </c>
      <c r="D906" t="s">
        <v>2313</v>
      </c>
      <c r="E906" t="s">
        <v>1401</v>
      </c>
      <c r="F906" t="s">
        <v>324</v>
      </c>
      <c r="G906" t="s">
        <v>2314</v>
      </c>
      <c r="H906">
        <v>37.642310000000002</v>
      </c>
      <c r="I906">
        <v>-85.903570000000002</v>
      </c>
      <c r="K906">
        <v>110000571373</v>
      </c>
      <c r="L906" t="s">
        <v>263</v>
      </c>
      <c r="R906" s="387">
        <f t="shared" si="14"/>
        <v>50.25473091621889</v>
      </c>
      <c r="S906" s="386">
        <v>22.7951625</v>
      </c>
    </row>
    <row r="907" spans="1:19" x14ac:dyDescent="0.25">
      <c r="A907">
        <v>2022</v>
      </c>
      <c r="C907" t="s">
        <v>1400</v>
      </c>
      <c r="D907" t="s">
        <v>2313</v>
      </c>
      <c r="E907" t="s">
        <v>1401</v>
      </c>
      <c r="F907" t="s">
        <v>324</v>
      </c>
      <c r="G907" t="s">
        <v>2314</v>
      </c>
      <c r="H907">
        <v>37.642310000000002</v>
      </c>
      <c r="I907">
        <v>-85.903570000000002</v>
      </c>
      <c r="K907">
        <v>110000571373</v>
      </c>
      <c r="L907" t="s">
        <v>263</v>
      </c>
      <c r="R907" s="387">
        <f t="shared" si="14"/>
        <v>44.163248380919633</v>
      </c>
      <c r="S907" s="386">
        <v>20.0321125</v>
      </c>
    </row>
    <row r="908" spans="1:19" x14ac:dyDescent="0.25">
      <c r="A908">
        <v>2023</v>
      </c>
      <c r="C908" t="s">
        <v>1400</v>
      </c>
      <c r="D908" t="s">
        <v>2313</v>
      </c>
      <c r="E908" t="s">
        <v>1401</v>
      </c>
      <c r="F908" t="s">
        <v>324</v>
      </c>
      <c r="G908" t="s">
        <v>2314</v>
      </c>
      <c r="H908">
        <v>37.642310000000002</v>
      </c>
      <c r="I908">
        <v>-85.903570000000002</v>
      </c>
      <c r="K908">
        <v>110000571373</v>
      </c>
      <c r="L908" t="s">
        <v>263</v>
      </c>
      <c r="R908" s="387">
        <f t="shared" si="14"/>
        <v>7.3097790423591116</v>
      </c>
      <c r="S908" s="386">
        <v>3.3156599999999998</v>
      </c>
    </row>
    <row r="909" spans="1:19" x14ac:dyDescent="0.25">
      <c r="A909">
        <v>2024</v>
      </c>
      <c r="C909" t="s">
        <v>6798</v>
      </c>
      <c r="D909" t="s">
        <v>6948</v>
      </c>
      <c r="E909" t="s">
        <v>6949</v>
      </c>
      <c r="F909" t="s">
        <v>294</v>
      </c>
      <c r="G909">
        <v>231500000</v>
      </c>
      <c r="H909">
        <v>37.497348000000002</v>
      </c>
      <c r="I909">
        <v>-77.244916000000003</v>
      </c>
      <c r="K909">
        <v>110001905163</v>
      </c>
      <c r="L909" t="s">
        <v>261</v>
      </c>
      <c r="R909" s="387">
        <f t="shared" si="14"/>
        <v>1.8478438743298304E-3</v>
      </c>
      <c r="S909" s="386">
        <v>8.3816788234724997E-4</v>
      </c>
    </row>
    <row r="910" spans="1:19" x14ac:dyDescent="0.25">
      <c r="A910">
        <v>2024</v>
      </c>
      <c r="C910" t="s">
        <v>198</v>
      </c>
      <c r="D910" t="s">
        <v>656</v>
      </c>
      <c r="E910" t="s">
        <v>657</v>
      </c>
      <c r="F910" t="s">
        <v>418</v>
      </c>
      <c r="G910">
        <v>89109</v>
      </c>
      <c r="H910">
        <v>36.122100000000003</v>
      </c>
      <c r="I910">
        <v>-115.17139</v>
      </c>
      <c r="K910">
        <v>110004306938</v>
      </c>
      <c r="L910" t="s">
        <v>264</v>
      </c>
      <c r="R910" s="387">
        <f t="shared" si="14"/>
        <v>1.497400622474095</v>
      </c>
      <c r="S910" s="386">
        <v>0.67920949718750001</v>
      </c>
    </row>
    <row r="911" spans="1:19" x14ac:dyDescent="0.25">
      <c r="A911">
        <v>2023</v>
      </c>
      <c r="C911" t="s">
        <v>198</v>
      </c>
      <c r="D911" t="s">
        <v>656</v>
      </c>
      <c r="E911" t="s">
        <v>657</v>
      </c>
      <c r="F911" t="s">
        <v>418</v>
      </c>
      <c r="G911">
        <v>89109</v>
      </c>
      <c r="H911">
        <v>36.122100000000003</v>
      </c>
      <c r="I911">
        <v>-115.17139</v>
      </c>
      <c r="K911">
        <v>110004306938</v>
      </c>
      <c r="L911" t="s">
        <v>264</v>
      </c>
      <c r="R911" s="387">
        <f t="shared" si="14"/>
        <v>1.4795754217051758</v>
      </c>
      <c r="S911" s="386">
        <v>0.67112412212500006</v>
      </c>
    </row>
    <row r="912" spans="1:19" x14ac:dyDescent="0.25">
      <c r="A912">
        <v>2022</v>
      </c>
      <c r="C912" t="s">
        <v>198</v>
      </c>
      <c r="D912" t="s">
        <v>656</v>
      </c>
      <c r="E912" t="s">
        <v>657</v>
      </c>
      <c r="F912" t="s">
        <v>418</v>
      </c>
      <c r="G912">
        <v>89109</v>
      </c>
      <c r="H912">
        <v>36.122100000000003</v>
      </c>
      <c r="I912">
        <v>-115.17139</v>
      </c>
      <c r="K912">
        <v>110004306938</v>
      </c>
      <c r="L912" t="s">
        <v>264</v>
      </c>
      <c r="R912" s="387">
        <f t="shared" si="14"/>
        <v>0.7273230147147316</v>
      </c>
      <c r="S912" s="386">
        <v>0.32990817</v>
      </c>
    </row>
    <row r="913" spans="1:19" x14ac:dyDescent="0.25">
      <c r="A913">
        <v>2021</v>
      </c>
      <c r="C913" t="s">
        <v>198</v>
      </c>
      <c r="D913" t="s">
        <v>656</v>
      </c>
      <c r="E913" t="s">
        <v>657</v>
      </c>
      <c r="F913" t="s">
        <v>418</v>
      </c>
      <c r="G913">
        <v>89109</v>
      </c>
      <c r="H913">
        <v>36.122100000000003</v>
      </c>
      <c r="I913">
        <v>-115.17139</v>
      </c>
      <c r="K913">
        <v>110004306938</v>
      </c>
      <c r="L913" t="s">
        <v>264</v>
      </c>
      <c r="R913" s="387">
        <f t="shared" si="14"/>
        <v>0.3667529347440302</v>
      </c>
      <c r="S913" s="386">
        <v>0.16635633287500001</v>
      </c>
    </row>
    <row r="914" spans="1:19" x14ac:dyDescent="0.25">
      <c r="A914">
        <v>2022</v>
      </c>
      <c r="C914" t="s">
        <v>198</v>
      </c>
      <c r="D914" t="s">
        <v>656</v>
      </c>
      <c r="E914" t="s">
        <v>657</v>
      </c>
      <c r="F914" t="s">
        <v>418</v>
      </c>
      <c r="G914">
        <v>89109</v>
      </c>
      <c r="H914">
        <v>36.122100000000003</v>
      </c>
      <c r="I914">
        <v>-115.17139</v>
      </c>
      <c r="K914">
        <v>110004306938</v>
      </c>
      <c r="L914" t="s">
        <v>264</v>
      </c>
      <c r="R914" s="387">
        <f t="shared" si="14"/>
        <v>0.3198485192222259</v>
      </c>
      <c r="S914" s="386">
        <v>0.145080847875</v>
      </c>
    </row>
    <row r="915" spans="1:19" x14ac:dyDescent="0.25">
      <c r="A915">
        <v>2022</v>
      </c>
      <c r="C915" t="s">
        <v>198</v>
      </c>
      <c r="D915" t="s">
        <v>656</v>
      </c>
      <c r="E915" t="s">
        <v>657</v>
      </c>
      <c r="F915" t="s">
        <v>418</v>
      </c>
      <c r="G915">
        <v>89109</v>
      </c>
      <c r="H915">
        <v>36.122100000000003</v>
      </c>
      <c r="I915">
        <v>-115.17139</v>
      </c>
      <c r="K915">
        <v>110004306938</v>
      </c>
      <c r="L915" t="s">
        <v>264</v>
      </c>
      <c r="R915" s="387">
        <f t="shared" si="14"/>
        <v>0.20095039448635346</v>
      </c>
      <c r="S915" s="386">
        <v>9.1149565687500003E-2</v>
      </c>
    </row>
    <row r="916" spans="1:19" x14ac:dyDescent="0.25">
      <c r="A916">
        <v>2022</v>
      </c>
      <c r="C916" t="s">
        <v>198</v>
      </c>
      <c r="D916" t="s">
        <v>656</v>
      </c>
      <c r="E916" t="s">
        <v>657</v>
      </c>
      <c r="F916" t="s">
        <v>418</v>
      </c>
      <c r="G916">
        <v>89109</v>
      </c>
      <c r="H916">
        <v>36.122100000000003</v>
      </c>
      <c r="I916">
        <v>-115.17139</v>
      </c>
      <c r="K916">
        <v>110004306938</v>
      </c>
      <c r="L916" t="s">
        <v>264</v>
      </c>
      <c r="R916" s="387">
        <f t="shared" si="14"/>
        <v>0.14736819123522732</v>
      </c>
      <c r="S916" s="386">
        <v>6.6845087124999994E-2</v>
      </c>
    </row>
    <row r="917" spans="1:19" x14ac:dyDescent="0.25">
      <c r="A917">
        <v>2021</v>
      </c>
      <c r="C917" t="s">
        <v>198</v>
      </c>
      <c r="D917" t="s">
        <v>656</v>
      </c>
      <c r="E917" t="s">
        <v>657</v>
      </c>
      <c r="F917" t="s">
        <v>418</v>
      </c>
      <c r="G917">
        <v>89109</v>
      </c>
      <c r="H917">
        <v>36.122100000000003</v>
      </c>
      <c r="I917">
        <v>-115.17139</v>
      </c>
      <c r="K917">
        <v>110004306938</v>
      </c>
      <c r="L917" t="s">
        <v>264</v>
      </c>
      <c r="R917" s="387">
        <f t="shared" si="14"/>
        <v>9.7463720564788164E-2</v>
      </c>
      <c r="S917" s="386">
        <v>4.4208799999999999E-2</v>
      </c>
    </row>
    <row r="918" spans="1:19" x14ac:dyDescent="0.25">
      <c r="A918">
        <v>2023</v>
      </c>
      <c r="C918" t="s">
        <v>198</v>
      </c>
      <c r="D918" t="s">
        <v>656</v>
      </c>
      <c r="E918" t="s">
        <v>657</v>
      </c>
      <c r="F918" t="s">
        <v>418</v>
      </c>
      <c r="G918">
        <v>89109</v>
      </c>
      <c r="H918">
        <v>36.122100000000003</v>
      </c>
      <c r="I918">
        <v>-115.17139</v>
      </c>
      <c r="K918">
        <v>110004306938</v>
      </c>
      <c r="L918" t="s">
        <v>264</v>
      </c>
      <c r="R918" s="387">
        <f t="shared" si="14"/>
        <v>8.7717348508309326E-2</v>
      </c>
      <c r="S918" s="386">
        <v>3.9787919999999997E-2</v>
      </c>
    </row>
    <row r="919" spans="1:19" x14ac:dyDescent="0.25">
      <c r="A919">
        <v>2023</v>
      </c>
      <c r="C919" t="s">
        <v>198</v>
      </c>
      <c r="D919" t="s">
        <v>656</v>
      </c>
      <c r="E919" t="s">
        <v>657</v>
      </c>
      <c r="F919" t="s">
        <v>418</v>
      </c>
      <c r="G919">
        <v>89109</v>
      </c>
      <c r="H919">
        <v>36.122100000000003</v>
      </c>
      <c r="I919">
        <v>-115.17139</v>
      </c>
      <c r="K919">
        <v>110004306938</v>
      </c>
      <c r="L919" t="s">
        <v>264</v>
      </c>
      <c r="R919" s="387">
        <f t="shared" si="14"/>
        <v>5.5881737908201577E-2</v>
      </c>
      <c r="S919" s="386">
        <v>2.5347529937499998E-2</v>
      </c>
    </row>
    <row r="920" spans="1:19" x14ac:dyDescent="0.25">
      <c r="A920">
        <v>2021</v>
      </c>
      <c r="C920" t="s">
        <v>198</v>
      </c>
      <c r="D920" t="s">
        <v>656</v>
      </c>
      <c r="E920" t="s">
        <v>657</v>
      </c>
      <c r="F920" t="s">
        <v>418</v>
      </c>
      <c r="G920">
        <v>89109</v>
      </c>
      <c r="H920">
        <v>36.122100000000003</v>
      </c>
      <c r="I920">
        <v>-115.17139</v>
      </c>
      <c r="K920">
        <v>110004306938</v>
      </c>
      <c r="L920" t="s">
        <v>264</v>
      </c>
      <c r="R920" s="387">
        <f t="shared" si="14"/>
        <v>5.1442570010602248E-2</v>
      </c>
      <c r="S920" s="386">
        <v>2.3333957249999999E-2</v>
      </c>
    </row>
    <row r="921" spans="1:19" x14ac:dyDescent="0.25">
      <c r="A921">
        <v>2024</v>
      </c>
      <c r="C921" t="s">
        <v>198</v>
      </c>
      <c r="D921" t="s">
        <v>656</v>
      </c>
      <c r="E921" t="s">
        <v>657</v>
      </c>
      <c r="F921" t="s">
        <v>418</v>
      </c>
      <c r="G921">
        <v>89109</v>
      </c>
      <c r="H921">
        <v>36.122100000000003</v>
      </c>
      <c r="I921">
        <v>-115.17139</v>
      </c>
      <c r="K921">
        <v>110004306938</v>
      </c>
      <c r="L921" t="s">
        <v>264</v>
      </c>
      <c r="R921" s="387">
        <f t="shared" si="14"/>
        <v>4.9219178885218019E-2</v>
      </c>
      <c r="S921" s="386">
        <v>2.2325444E-2</v>
      </c>
    </row>
    <row r="922" spans="1:19" x14ac:dyDescent="0.25">
      <c r="A922">
        <v>2024</v>
      </c>
      <c r="C922" t="s">
        <v>198</v>
      </c>
      <c r="D922" t="s">
        <v>656</v>
      </c>
      <c r="E922" t="s">
        <v>657</v>
      </c>
      <c r="F922" t="s">
        <v>418</v>
      </c>
      <c r="G922">
        <v>89109</v>
      </c>
      <c r="H922">
        <v>36.122100000000003</v>
      </c>
      <c r="I922">
        <v>-115.17139</v>
      </c>
      <c r="K922">
        <v>110004306938</v>
      </c>
      <c r="L922" t="s">
        <v>264</v>
      </c>
      <c r="R922" s="387">
        <f t="shared" si="14"/>
        <v>4.6302881621443498E-2</v>
      </c>
      <c r="S922" s="386">
        <v>2.1002633812500001E-2</v>
      </c>
    </row>
    <row r="923" spans="1:19" x14ac:dyDescent="0.25">
      <c r="A923">
        <v>2023</v>
      </c>
      <c r="C923" t="s">
        <v>198</v>
      </c>
      <c r="D923" t="s">
        <v>656</v>
      </c>
      <c r="E923" t="s">
        <v>657</v>
      </c>
      <c r="F923" t="s">
        <v>418</v>
      </c>
      <c r="G923">
        <v>89109</v>
      </c>
      <c r="H923">
        <v>36.122100000000003</v>
      </c>
      <c r="I923">
        <v>-115.17139</v>
      </c>
      <c r="K923">
        <v>110004306938</v>
      </c>
      <c r="L923" t="s">
        <v>264</v>
      </c>
      <c r="R923" s="387">
        <f t="shared" si="14"/>
        <v>4.2800279163646419E-2</v>
      </c>
      <c r="S923" s="386">
        <v>1.94138800625E-2</v>
      </c>
    </row>
    <row r="924" spans="1:19" x14ac:dyDescent="0.25">
      <c r="A924">
        <v>2021</v>
      </c>
      <c r="C924" t="s">
        <v>198</v>
      </c>
      <c r="D924" t="s">
        <v>656</v>
      </c>
      <c r="E924" t="s">
        <v>657</v>
      </c>
      <c r="F924" t="s">
        <v>418</v>
      </c>
      <c r="G924">
        <v>89109</v>
      </c>
      <c r="H924">
        <v>36.122100000000003</v>
      </c>
      <c r="I924">
        <v>-115.17139</v>
      </c>
      <c r="K924">
        <v>110004306938</v>
      </c>
      <c r="L924" t="s">
        <v>264</v>
      </c>
      <c r="R924" s="387">
        <f t="shared" si="14"/>
        <v>3.3861028543094758E-2</v>
      </c>
      <c r="S924" s="386">
        <v>1.53591041875E-2</v>
      </c>
    </row>
    <row r="925" spans="1:19" x14ac:dyDescent="0.25">
      <c r="A925">
        <v>2021</v>
      </c>
      <c r="C925" t="s">
        <v>198</v>
      </c>
      <c r="D925" t="s">
        <v>656</v>
      </c>
      <c r="E925" t="s">
        <v>657</v>
      </c>
      <c r="F925" t="s">
        <v>418</v>
      </c>
      <c r="G925">
        <v>89109</v>
      </c>
      <c r="H925">
        <v>36.122100000000003</v>
      </c>
      <c r="I925">
        <v>-115.17139</v>
      </c>
      <c r="K925">
        <v>110004306938</v>
      </c>
      <c r="L925" t="s">
        <v>264</v>
      </c>
      <c r="R925" s="387">
        <f t="shared" si="14"/>
        <v>1.7246509928066027E-2</v>
      </c>
      <c r="S925" s="386">
        <v>7.8228853124999997E-3</v>
      </c>
    </row>
    <row r="926" spans="1:19" x14ac:dyDescent="0.25">
      <c r="A926">
        <v>2021</v>
      </c>
      <c r="C926" t="s">
        <v>198</v>
      </c>
      <c r="D926" t="s">
        <v>656</v>
      </c>
      <c r="E926" t="s">
        <v>657</v>
      </c>
      <c r="F926" t="s">
        <v>418</v>
      </c>
      <c r="G926">
        <v>89109</v>
      </c>
      <c r="H926">
        <v>36.122100000000003</v>
      </c>
      <c r="I926">
        <v>-115.17139</v>
      </c>
      <c r="K926">
        <v>110004306938</v>
      </c>
      <c r="L926" t="s">
        <v>264</v>
      </c>
      <c r="R926" s="387">
        <f t="shared" si="14"/>
        <v>1.6043442127344425E-2</v>
      </c>
      <c r="S926" s="386">
        <v>7.2771829374999996E-3</v>
      </c>
    </row>
    <row r="927" spans="1:19" x14ac:dyDescent="0.25">
      <c r="A927">
        <v>2024</v>
      </c>
      <c r="C927" t="s">
        <v>198</v>
      </c>
      <c r="D927" t="s">
        <v>656</v>
      </c>
      <c r="E927" t="s">
        <v>657</v>
      </c>
      <c r="F927" t="s">
        <v>418</v>
      </c>
      <c r="G927">
        <v>89109</v>
      </c>
      <c r="H927">
        <v>36.122100000000003</v>
      </c>
      <c r="I927">
        <v>-115.17139</v>
      </c>
      <c r="K927">
        <v>110004306938</v>
      </c>
      <c r="L927" t="s">
        <v>264</v>
      </c>
      <c r="R927" s="387">
        <f t="shared" si="14"/>
        <v>7.4772948120798415E-3</v>
      </c>
      <c r="S927" s="386">
        <v>3.3916438750000001E-3</v>
      </c>
    </row>
    <row r="928" spans="1:19" x14ac:dyDescent="0.25">
      <c r="A928">
        <v>2024</v>
      </c>
      <c r="C928" t="s">
        <v>198</v>
      </c>
      <c r="D928" t="s">
        <v>656</v>
      </c>
      <c r="E928" t="s">
        <v>657</v>
      </c>
      <c r="F928" t="s">
        <v>418</v>
      </c>
      <c r="G928">
        <v>89109</v>
      </c>
      <c r="H928">
        <v>36.122100000000003</v>
      </c>
      <c r="I928">
        <v>-115.17139</v>
      </c>
      <c r="K928">
        <v>110004306938</v>
      </c>
      <c r="L928" t="s">
        <v>264</v>
      </c>
      <c r="R928" s="387">
        <f t="shared" si="14"/>
        <v>5.7945227617034207E-3</v>
      </c>
      <c r="S928" s="386">
        <v>2.6283513125E-3</v>
      </c>
    </row>
    <row r="929" spans="1:19" x14ac:dyDescent="0.25">
      <c r="A929">
        <v>2022</v>
      </c>
      <c r="C929" t="s">
        <v>198</v>
      </c>
      <c r="D929" t="s">
        <v>656</v>
      </c>
      <c r="E929" t="s">
        <v>657</v>
      </c>
      <c r="F929" t="s">
        <v>418</v>
      </c>
      <c r="G929">
        <v>89109</v>
      </c>
      <c r="H929">
        <v>36.122100000000003</v>
      </c>
      <c r="I929">
        <v>-115.17139</v>
      </c>
      <c r="K929">
        <v>110004306938</v>
      </c>
      <c r="L929" t="s">
        <v>264</v>
      </c>
      <c r="R929" s="387">
        <f t="shared" si="14"/>
        <v>1.2487539197363485E-3</v>
      </c>
      <c r="S929" s="386">
        <v>5.6642525000000004E-4</v>
      </c>
    </row>
    <row r="930" spans="1:19" x14ac:dyDescent="0.25">
      <c r="A930">
        <v>2024</v>
      </c>
      <c r="C930" t="s">
        <v>6858</v>
      </c>
      <c r="D930" t="s">
        <v>2320</v>
      </c>
      <c r="E930" t="s">
        <v>1405</v>
      </c>
      <c r="F930" t="s">
        <v>427</v>
      </c>
      <c r="G930" t="s">
        <v>2321</v>
      </c>
      <c r="H930">
        <v>42.338805999999998</v>
      </c>
      <c r="I930">
        <v>-85.144028000000006</v>
      </c>
      <c r="K930">
        <v>110006040989</v>
      </c>
      <c r="L930" t="s">
        <v>265</v>
      </c>
      <c r="R930" s="387">
        <f t="shared" si="14"/>
        <v>2.105608555540738</v>
      </c>
      <c r="S930" s="386">
        <v>0.95508797499999998</v>
      </c>
    </row>
    <row r="931" spans="1:19" x14ac:dyDescent="0.25">
      <c r="A931">
        <v>2023</v>
      </c>
      <c r="C931" t="s">
        <v>6858</v>
      </c>
      <c r="D931" t="s">
        <v>2320</v>
      </c>
      <c r="E931" t="s">
        <v>1405</v>
      </c>
      <c r="F931" t="s">
        <v>427</v>
      </c>
      <c r="G931" t="s">
        <v>2321</v>
      </c>
      <c r="H931">
        <v>42.338805999999998</v>
      </c>
      <c r="I931">
        <v>-85.144028000000006</v>
      </c>
      <c r="K931">
        <v>110006040989</v>
      </c>
      <c r="L931" t="s">
        <v>265</v>
      </c>
      <c r="R931" s="387">
        <f t="shared" si="14"/>
        <v>1.9934167984351236</v>
      </c>
      <c r="S931" s="386">
        <v>0.90419864999999999</v>
      </c>
    </row>
    <row r="932" spans="1:19" x14ac:dyDescent="0.25">
      <c r="A932">
        <v>2021</v>
      </c>
      <c r="C932" t="s">
        <v>6858</v>
      </c>
      <c r="D932" t="s">
        <v>2320</v>
      </c>
      <c r="E932" t="s">
        <v>1405</v>
      </c>
      <c r="F932" t="s">
        <v>427</v>
      </c>
      <c r="G932" t="s">
        <v>2321</v>
      </c>
      <c r="H932">
        <v>42.338805999999998</v>
      </c>
      <c r="I932">
        <v>-85.144028000000006</v>
      </c>
      <c r="K932">
        <v>110006040989</v>
      </c>
      <c r="L932" t="s">
        <v>265</v>
      </c>
      <c r="R932" s="387">
        <f t="shared" si="14"/>
        <v>1.9467710623086538</v>
      </c>
      <c r="S932" s="386">
        <v>0.88304050000000001</v>
      </c>
    </row>
    <row r="933" spans="1:19" x14ac:dyDescent="0.25">
      <c r="A933">
        <v>2022</v>
      </c>
      <c r="C933" t="s">
        <v>6858</v>
      </c>
      <c r="D933" t="s">
        <v>2320</v>
      </c>
      <c r="E933" t="s">
        <v>1405</v>
      </c>
      <c r="F933" t="s">
        <v>427</v>
      </c>
      <c r="G933" t="s">
        <v>2321</v>
      </c>
      <c r="H933">
        <v>42.338805999999998</v>
      </c>
      <c r="I933">
        <v>-85.144028000000006</v>
      </c>
      <c r="K933">
        <v>110006040989</v>
      </c>
      <c r="L933" t="s">
        <v>265</v>
      </c>
      <c r="R933" s="387">
        <f t="shared" si="14"/>
        <v>1.9282462798040452</v>
      </c>
      <c r="S933" s="386">
        <v>0.87463780000000002</v>
      </c>
    </row>
    <row r="934" spans="1:19" x14ac:dyDescent="0.25">
      <c r="A934">
        <v>2023</v>
      </c>
      <c r="C934" t="s">
        <v>6908</v>
      </c>
      <c r="D934" t="s">
        <v>7108</v>
      </c>
      <c r="E934" t="s">
        <v>7109</v>
      </c>
      <c r="F934" t="s">
        <v>294</v>
      </c>
      <c r="G934">
        <v>22180</v>
      </c>
      <c r="H934">
        <v>38.899099999999997</v>
      </c>
      <c r="I934">
        <v>-77.269300000000001</v>
      </c>
      <c r="K934">
        <v>110071428198</v>
      </c>
      <c r="L934" t="s">
        <v>265</v>
      </c>
      <c r="R934" s="387">
        <f t="shared" si="14"/>
        <v>1.1816300729375144E-2</v>
      </c>
      <c r="S934" s="386">
        <v>5.3597838524699999E-3</v>
      </c>
    </row>
    <row r="935" spans="1:19" x14ac:dyDescent="0.25">
      <c r="A935">
        <v>2024</v>
      </c>
      <c r="C935" t="s">
        <v>6908</v>
      </c>
      <c r="D935" t="s">
        <v>7108</v>
      </c>
      <c r="E935" t="s">
        <v>7109</v>
      </c>
      <c r="F935" t="s">
        <v>294</v>
      </c>
      <c r="G935">
        <v>22180</v>
      </c>
      <c r="H935">
        <v>38.899099999999997</v>
      </c>
      <c r="I935">
        <v>-77.269300000000001</v>
      </c>
      <c r="K935">
        <v>110071428198</v>
      </c>
      <c r="L935" t="s">
        <v>265</v>
      </c>
      <c r="R935" s="387">
        <f t="shared" si="14"/>
        <v>5.4820397686467697E-3</v>
      </c>
      <c r="S935" s="386">
        <v>2.48661141109474E-3</v>
      </c>
    </row>
    <row r="936" spans="1:19" x14ac:dyDescent="0.25">
      <c r="A936">
        <v>2021</v>
      </c>
      <c r="C936" t="s">
        <v>1410</v>
      </c>
      <c r="D936" t="s">
        <v>2331</v>
      </c>
      <c r="E936" t="s">
        <v>657</v>
      </c>
      <c r="F936" t="s">
        <v>418</v>
      </c>
      <c r="G936">
        <v>89106</v>
      </c>
      <c r="H936">
        <v>36.19997</v>
      </c>
      <c r="I936">
        <v>-115.19658</v>
      </c>
      <c r="K936">
        <v>110064418553</v>
      </c>
      <c r="L936" t="s">
        <v>265</v>
      </c>
      <c r="R936" s="387">
        <f t="shared" si="14"/>
        <v>1.0964668563538666E-2</v>
      </c>
      <c r="S936" s="386">
        <v>4.9734899999999997E-3</v>
      </c>
    </row>
    <row r="937" spans="1:19" x14ac:dyDescent="0.25">
      <c r="A937">
        <v>2021</v>
      </c>
      <c r="C937" t="s">
        <v>1411</v>
      </c>
      <c r="D937" t="s">
        <v>2333</v>
      </c>
      <c r="E937" t="s">
        <v>1403</v>
      </c>
      <c r="F937" t="s">
        <v>294</v>
      </c>
      <c r="G937">
        <v>23452</v>
      </c>
      <c r="H937">
        <v>36.844686000000003</v>
      </c>
      <c r="I937">
        <v>-76.072886999999994</v>
      </c>
      <c r="K937">
        <v>110070884632</v>
      </c>
      <c r="L937" t="s">
        <v>265</v>
      </c>
      <c r="R937" s="387">
        <f t="shared" si="14"/>
        <v>7.2577093834272396E-2</v>
      </c>
      <c r="S937" s="386">
        <v>3.2920416000000001E-2</v>
      </c>
    </row>
    <row r="938" spans="1:19" x14ac:dyDescent="0.25">
      <c r="A938">
        <v>2021</v>
      </c>
      <c r="C938" t="s">
        <v>6854</v>
      </c>
      <c r="D938" t="s">
        <v>7013</v>
      </c>
      <c r="E938" t="s">
        <v>968</v>
      </c>
      <c r="F938" t="s">
        <v>294</v>
      </c>
      <c r="G938">
        <v>22305</v>
      </c>
      <c r="H938">
        <v>38.837561999999998</v>
      </c>
      <c r="I938">
        <v>-77.048931999999994</v>
      </c>
      <c r="K938">
        <v>110071149439</v>
      </c>
      <c r="L938" t="s">
        <v>265</v>
      </c>
      <c r="R938" s="387">
        <f t="shared" si="14"/>
        <v>0.51063512906974162</v>
      </c>
      <c r="S938" s="386">
        <v>0.2316201984</v>
      </c>
    </row>
    <row r="939" spans="1:19" x14ac:dyDescent="0.25">
      <c r="A939">
        <v>2022</v>
      </c>
      <c r="C939" t="s">
        <v>6854</v>
      </c>
      <c r="D939" t="s">
        <v>7013</v>
      </c>
      <c r="E939" t="s">
        <v>968</v>
      </c>
      <c r="F939" t="s">
        <v>294</v>
      </c>
      <c r="G939">
        <v>22305</v>
      </c>
      <c r="H939">
        <v>38.837561999999998</v>
      </c>
      <c r="I939">
        <v>-77.048931999999994</v>
      </c>
      <c r="K939">
        <v>110071149439</v>
      </c>
      <c r="L939" t="s">
        <v>265</v>
      </c>
      <c r="R939" s="387">
        <f t="shared" si="14"/>
        <v>0.16497060812993836</v>
      </c>
      <c r="S939" s="386">
        <v>7.4829409122000007E-2</v>
      </c>
    </row>
    <row r="940" spans="1:19" x14ac:dyDescent="0.25">
      <c r="A940">
        <v>2024</v>
      </c>
      <c r="C940" t="s">
        <v>1419</v>
      </c>
      <c r="D940" t="s">
        <v>2346</v>
      </c>
      <c r="E940" t="s">
        <v>1420</v>
      </c>
      <c r="F940" t="s">
        <v>427</v>
      </c>
      <c r="G940">
        <v>49221</v>
      </c>
      <c r="H940">
        <v>41.948850999999998</v>
      </c>
      <c r="I940">
        <v>-83.958619999999996</v>
      </c>
      <c r="J940" t="s">
        <v>739</v>
      </c>
      <c r="K940">
        <v>110056966699</v>
      </c>
      <c r="L940" t="s">
        <v>265</v>
      </c>
      <c r="R940" s="387">
        <f t="shared" si="14"/>
        <v>7.8990253076787866E-5</v>
      </c>
      <c r="S940" s="386">
        <v>3.5829376099999999E-5</v>
      </c>
    </row>
    <row r="941" spans="1:19" x14ac:dyDescent="0.25">
      <c r="A941">
        <v>2023</v>
      </c>
      <c r="C941" t="s">
        <v>1419</v>
      </c>
      <c r="D941" t="s">
        <v>2346</v>
      </c>
      <c r="E941" t="s">
        <v>1420</v>
      </c>
      <c r="F941" t="s">
        <v>427</v>
      </c>
      <c r="G941">
        <v>49221</v>
      </c>
      <c r="H941">
        <v>41.948850999999998</v>
      </c>
      <c r="I941">
        <v>-83.958619999999996</v>
      </c>
      <c r="J941" t="s">
        <v>739</v>
      </c>
      <c r="K941">
        <v>110056966699</v>
      </c>
      <c r="L941" t="s">
        <v>265</v>
      </c>
      <c r="R941" s="387">
        <f t="shared" si="14"/>
        <v>9.902968275237963E-6</v>
      </c>
      <c r="S941" s="386">
        <v>4.4919108500000003E-6</v>
      </c>
    </row>
    <row r="942" spans="1:19" x14ac:dyDescent="0.25">
      <c r="A942">
        <v>2022</v>
      </c>
      <c r="C942" t="s">
        <v>1419</v>
      </c>
      <c r="D942" t="s">
        <v>2346</v>
      </c>
      <c r="E942" t="s">
        <v>1420</v>
      </c>
      <c r="F942" t="s">
        <v>427</v>
      </c>
      <c r="G942">
        <v>49221</v>
      </c>
      <c r="H942">
        <v>41.948850999999998</v>
      </c>
      <c r="I942">
        <v>-83.958619999999996</v>
      </c>
      <c r="J942" t="s">
        <v>739</v>
      </c>
      <c r="K942">
        <v>110056966699</v>
      </c>
      <c r="L942" t="s">
        <v>265</v>
      </c>
      <c r="R942" s="387">
        <f t="shared" si="14"/>
        <v>7.1329903543130588E-6</v>
      </c>
      <c r="S942" s="386">
        <v>3.2354700000000002E-6</v>
      </c>
    </row>
    <row r="943" spans="1:19" x14ac:dyDescent="0.25">
      <c r="A943">
        <v>2022</v>
      </c>
      <c r="C943" t="s">
        <v>1421</v>
      </c>
      <c r="D943" t="s">
        <v>2350</v>
      </c>
      <c r="E943" t="s">
        <v>1422</v>
      </c>
      <c r="F943" t="s">
        <v>1171</v>
      </c>
      <c r="G943">
        <v>96746</v>
      </c>
      <c r="H943">
        <v>22.079093</v>
      </c>
      <c r="I943">
        <v>-159.35138900000001</v>
      </c>
      <c r="K943">
        <v>110010731262</v>
      </c>
      <c r="L943" t="s">
        <v>263</v>
      </c>
      <c r="R943" s="387">
        <f t="shared" si="14"/>
        <v>0.59123929487614613</v>
      </c>
      <c r="S943" s="386">
        <v>0.26818163299999997</v>
      </c>
    </row>
    <row r="944" spans="1:19" x14ac:dyDescent="0.25">
      <c r="A944">
        <v>2021</v>
      </c>
      <c r="C944" t="s">
        <v>1421</v>
      </c>
      <c r="D944" t="s">
        <v>2350</v>
      </c>
      <c r="E944" t="s">
        <v>1422</v>
      </c>
      <c r="F944" t="s">
        <v>1171</v>
      </c>
      <c r="G944">
        <v>96746</v>
      </c>
      <c r="H944">
        <v>22.079093</v>
      </c>
      <c r="I944">
        <v>-159.35138900000001</v>
      </c>
      <c r="K944">
        <v>110010731262</v>
      </c>
      <c r="L944" t="s">
        <v>263</v>
      </c>
      <c r="R944" s="387">
        <f t="shared" si="14"/>
        <v>0.36320464616721837</v>
      </c>
      <c r="S944" s="386">
        <v>0.16474685624999999</v>
      </c>
    </row>
    <row r="945" spans="1:19" x14ac:dyDescent="0.25">
      <c r="A945">
        <v>2023</v>
      </c>
      <c r="C945" t="s">
        <v>1421</v>
      </c>
      <c r="D945" t="s">
        <v>2350</v>
      </c>
      <c r="E945" t="s">
        <v>1422</v>
      </c>
      <c r="F945" t="s">
        <v>1171</v>
      </c>
      <c r="G945">
        <v>96746</v>
      </c>
      <c r="H945">
        <v>22.079093</v>
      </c>
      <c r="I945">
        <v>-159.35138900000001</v>
      </c>
      <c r="K945">
        <v>110010731262</v>
      </c>
      <c r="L945" t="s">
        <v>263</v>
      </c>
      <c r="R945" s="387">
        <f t="shared" si="14"/>
        <v>8.9453421030869631E-2</v>
      </c>
      <c r="S945" s="386">
        <v>4.0575389250000003E-2</v>
      </c>
    </row>
    <row r="946" spans="1:19" x14ac:dyDescent="0.25">
      <c r="A946">
        <v>2024</v>
      </c>
      <c r="C946" t="s">
        <v>1421</v>
      </c>
      <c r="D946" t="s">
        <v>2350</v>
      </c>
      <c r="E946" t="s">
        <v>1422</v>
      </c>
      <c r="F946" t="s">
        <v>1171</v>
      </c>
      <c r="G946">
        <v>96746</v>
      </c>
      <c r="H946">
        <v>22.079093</v>
      </c>
      <c r="I946">
        <v>-159.35138900000001</v>
      </c>
      <c r="K946">
        <v>110010731262</v>
      </c>
      <c r="L946" t="s">
        <v>263</v>
      </c>
      <c r="R946" s="387">
        <f t="shared" si="14"/>
        <v>7.7894832920139281E-2</v>
      </c>
      <c r="S946" s="386">
        <v>3.5332501874999998E-2</v>
      </c>
    </row>
    <row r="947" spans="1:19" x14ac:dyDescent="0.25">
      <c r="A947">
        <v>2023</v>
      </c>
      <c r="C947" t="s">
        <v>1423</v>
      </c>
      <c r="D947" t="s">
        <v>2353</v>
      </c>
      <c r="E947" t="s">
        <v>1424</v>
      </c>
      <c r="F947" t="s">
        <v>294</v>
      </c>
      <c r="G947">
        <v>22610</v>
      </c>
      <c r="H947">
        <v>38.814979999999998</v>
      </c>
      <c r="I947">
        <v>-78.2834</v>
      </c>
      <c r="K947">
        <v>110054919406</v>
      </c>
      <c r="L947" t="s">
        <v>6750</v>
      </c>
      <c r="R947" s="387">
        <f t="shared" si="14"/>
        <v>2.0359758173401372E-2</v>
      </c>
      <c r="S947" s="386">
        <v>9.2350309624999998E-3</v>
      </c>
    </row>
    <row r="948" spans="1:19" x14ac:dyDescent="0.25">
      <c r="A948">
        <v>2024</v>
      </c>
      <c r="C948" t="s">
        <v>1423</v>
      </c>
      <c r="D948" t="s">
        <v>2353</v>
      </c>
      <c r="E948" t="s">
        <v>1424</v>
      </c>
      <c r="F948" t="s">
        <v>294</v>
      </c>
      <c r="G948">
        <v>22610</v>
      </c>
      <c r="H948">
        <v>38.814979999999998</v>
      </c>
      <c r="I948">
        <v>-78.2834</v>
      </c>
      <c r="K948">
        <v>110054919406</v>
      </c>
      <c r="L948" t="s">
        <v>6750</v>
      </c>
      <c r="R948" s="387">
        <f t="shared" si="14"/>
        <v>1.7094431477099138E-2</v>
      </c>
      <c r="S948" s="386">
        <v>7.7539036875E-3</v>
      </c>
    </row>
    <row r="949" spans="1:19" x14ac:dyDescent="0.25">
      <c r="A949">
        <v>2022</v>
      </c>
      <c r="C949" t="s">
        <v>1423</v>
      </c>
      <c r="D949" t="s">
        <v>2353</v>
      </c>
      <c r="E949" t="s">
        <v>1424</v>
      </c>
      <c r="F949" t="s">
        <v>294</v>
      </c>
      <c r="G949">
        <v>22610</v>
      </c>
      <c r="H949">
        <v>38.814979999999998</v>
      </c>
      <c r="I949">
        <v>-78.2834</v>
      </c>
      <c r="K949">
        <v>110054919406</v>
      </c>
      <c r="L949" t="s">
        <v>6750</v>
      </c>
      <c r="R949" s="387">
        <f t="shared" si="14"/>
        <v>3.569435056630251E-3</v>
      </c>
      <c r="S949" s="386">
        <v>1.6190685068979999E-3</v>
      </c>
    </row>
    <row r="950" spans="1:19" x14ac:dyDescent="0.25">
      <c r="A950">
        <v>2021</v>
      </c>
      <c r="C950" t="s">
        <v>1423</v>
      </c>
      <c r="D950" t="s">
        <v>2353</v>
      </c>
      <c r="E950" t="s">
        <v>1424</v>
      </c>
      <c r="F950" t="s">
        <v>294</v>
      </c>
      <c r="G950">
        <v>22610</v>
      </c>
      <c r="H950">
        <v>38.814979999999998</v>
      </c>
      <c r="I950">
        <v>-78.2834</v>
      </c>
      <c r="K950">
        <v>110054919406</v>
      </c>
      <c r="L950" t="s">
        <v>6750</v>
      </c>
      <c r="R950" s="387">
        <f t="shared" si="14"/>
        <v>1.110176447081771E-3</v>
      </c>
      <c r="S950" s="386">
        <v>5.0356756575000003E-4</v>
      </c>
    </row>
    <row r="951" spans="1:19" x14ac:dyDescent="0.25">
      <c r="A951">
        <v>2021</v>
      </c>
      <c r="C951" t="s">
        <v>6853</v>
      </c>
      <c r="D951" t="s">
        <v>7012</v>
      </c>
      <c r="E951" t="s">
        <v>1147</v>
      </c>
      <c r="F951" t="s">
        <v>491</v>
      </c>
      <c r="G951">
        <v>19067</v>
      </c>
      <c r="H951">
        <v>40.159343999999997</v>
      </c>
      <c r="I951">
        <v>-74.776695000000004</v>
      </c>
      <c r="K951">
        <v>110000817439</v>
      </c>
      <c r="L951" t="s">
        <v>6750</v>
      </c>
      <c r="R951" s="387">
        <f t="shared" si="14"/>
        <v>0.10998783577697746</v>
      </c>
      <c r="S951" s="386">
        <v>4.9889643101249999E-2</v>
      </c>
    </row>
    <row r="952" spans="1:19" x14ac:dyDescent="0.25">
      <c r="A952">
        <v>2022</v>
      </c>
      <c r="C952" t="s">
        <v>6853</v>
      </c>
      <c r="D952" t="s">
        <v>7068</v>
      </c>
      <c r="E952" t="s">
        <v>1147</v>
      </c>
      <c r="F952" t="s">
        <v>491</v>
      </c>
      <c r="G952">
        <v>19067</v>
      </c>
      <c r="H952">
        <v>40.159343999999997</v>
      </c>
      <c r="I952">
        <v>-74.776695000000004</v>
      </c>
      <c r="K952">
        <v>110000817439</v>
      </c>
      <c r="L952" t="s">
        <v>6750</v>
      </c>
      <c r="R952" s="387">
        <f t="shared" si="14"/>
        <v>8.2823470214567319E-2</v>
      </c>
      <c r="S952" s="386">
        <v>3.7568094146250001E-2</v>
      </c>
    </row>
    <row r="953" spans="1:19" x14ac:dyDescent="0.25">
      <c r="A953">
        <v>2023</v>
      </c>
      <c r="C953" t="s">
        <v>6853</v>
      </c>
      <c r="D953" t="s">
        <v>7068</v>
      </c>
      <c r="E953" t="s">
        <v>1147</v>
      </c>
      <c r="F953" t="s">
        <v>491</v>
      </c>
      <c r="G953">
        <v>19067</v>
      </c>
      <c r="H953">
        <v>40.159343999999997</v>
      </c>
      <c r="I953">
        <v>-74.776695000000004</v>
      </c>
      <c r="K953">
        <v>110000817439</v>
      </c>
      <c r="L953" t="s">
        <v>6750</v>
      </c>
      <c r="R953" s="387">
        <f t="shared" si="14"/>
        <v>7.5924136099886338E-2</v>
      </c>
      <c r="S953" s="386">
        <v>3.4438608833750002E-2</v>
      </c>
    </row>
    <row r="954" spans="1:19" x14ac:dyDescent="0.25">
      <c r="A954">
        <v>2024</v>
      </c>
      <c r="C954" t="s">
        <v>6853</v>
      </c>
      <c r="D954" t="s">
        <v>7068</v>
      </c>
      <c r="E954" t="s">
        <v>1147</v>
      </c>
      <c r="F954" t="s">
        <v>491</v>
      </c>
      <c r="G954">
        <v>19067</v>
      </c>
      <c r="H954">
        <v>40.159343999999997</v>
      </c>
      <c r="I954">
        <v>-74.776695000000004</v>
      </c>
      <c r="K954">
        <v>110000817439</v>
      </c>
      <c r="L954" t="s">
        <v>6750</v>
      </c>
      <c r="R954" s="387">
        <f t="shared" si="14"/>
        <v>6.5403764000703982E-2</v>
      </c>
      <c r="S954" s="386">
        <v>2.9666648319999999E-2</v>
      </c>
    </row>
    <row r="955" spans="1:19" x14ac:dyDescent="0.25">
      <c r="A955">
        <v>2022</v>
      </c>
      <c r="C955" t="s">
        <v>1427</v>
      </c>
      <c r="D955" t="s">
        <v>2359</v>
      </c>
      <c r="E955" t="s">
        <v>1265</v>
      </c>
      <c r="F955" t="s">
        <v>366</v>
      </c>
      <c r="G955">
        <v>94806</v>
      </c>
      <c r="H955">
        <v>37.977150000000002</v>
      </c>
      <c r="I955">
        <v>-122.33269</v>
      </c>
      <c r="K955">
        <v>110064252419</v>
      </c>
      <c r="L955" t="s">
        <v>263</v>
      </c>
      <c r="R955" s="387">
        <f t="shared" si="14"/>
        <v>6.989976209255901</v>
      </c>
      <c r="S955" s="386">
        <v>3.1705998750000002</v>
      </c>
    </row>
    <row r="956" spans="1:19" x14ac:dyDescent="0.25">
      <c r="A956">
        <v>2024</v>
      </c>
      <c r="C956" t="s">
        <v>1428</v>
      </c>
      <c r="D956" t="s">
        <v>2362</v>
      </c>
      <c r="E956" t="s">
        <v>337</v>
      </c>
      <c r="F956" t="s">
        <v>338</v>
      </c>
      <c r="G956">
        <v>8066</v>
      </c>
      <c r="H956">
        <v>39.837310000000002</v>
      </c>
      <c r="I956">
        <v>-75.224580000000003</v>
      </c>
      <c r="K956">
        <v>110010354810</v>
      </c>
      <c r="L956" t="s">
        <v>265</v>
      </c>
      <c r="R956" s="387">
        <f t="shared" si="14"/>
        <v>0.28775495937023809</v>
      </c>
      <c r="S956" s="386">
        <v>0.13052345400000001</v>
      </c>
    </row>
    <row r="957" spans="1:19" x14ac:dyDescent="0.25">
      <c r="A957">
        <v>2023</v>
      </c>
      <c r="C957" t="s">
        <v>1428</v>
      </c>
      <c r="D957" t="s">
        <v>2362</v>
      </c>
      <c r="E957" t="s">
        <v>337</v>
      </c>
      <c r="F957" t="s">
        <v>338</v>
      </c>
      <c r="G957" t="s">
        <v>1817</v>
      </c>
      <c r="H957">
        <v>39.837310000000002</v>
      </c>
      <c r="I957">
        <v>-75.224580000000003</v>
      </c>
      <c r="K957">
        <v>110010354810</v>
      </c>
      <c r="L957" t="s">
        <v>265</v>
      </c>
      <c r="R957" s="387">
        <f t="shared" si="14"/>
        <v>0.21826900086524825</v>
      </c>
      <c r="S957" s="386">
        <v>9.9005153400000004E-2</v>
      </c>
    </row>
    <row r="958" spans="1:19" x14ac:dyDescent="0.25">
      <c r="A958">
        <v>2022</v>
      </c>
      <c r="C958" t="s">
        <v>1428</v>
      </c>
      <c r="D958" t="s">
        <v>2362</v>
      </c>
      <c r="E958" t="s">
        <v>337</v>
      </c>
      <c r="F958" t="s">
        <v>338</v>
      </c>
      <c r="G958">
        <v>8066</v>
      </c>
      <c r="H958">
        <v>39.837310000000002</v>
      </c>
      <c r="I958">
        <v>-75.224580000000003</v>
      </c>
      <c r="K958">
        <v>110010354810</v>
      </c>
      <c r="L958" t="s">
        <v>265</v>
      </c>
      <c r="R958" s="387">
        <f t="shared" si="14"/>
        <v>5.3862557476440795E-2</v>
      </c>
      <c r="S958" s="386">
        <v>2.44316451E-2</v>
      </c>
    </row>
    <row r="959" spans="1:19" x14ac:dyDescent="0.25">
      <c r="A959">
        <v>2021</v>
      </c>
      <c r="C959" t="s">
        <v>1428</v>
      </c>
      <c r="D959" t="s">
        <v>2362</v>
      </c>
      <c r="E959" t="s">
        <v>337</v>
      </c>
      <c r="F959" t="s">
        <v>338</v>
      </c>
      <c r="G959">
        <v>8066</v>
      </c>
      <c r="H959">
        <v>39.837310000000002</v>
      </c>
      <c r="I959">
        <v>-75.224580000000003</v>
      </c>
      <c r="K959">
        <v>110010354810</v>
      </c>
      <c r="L959" t="s">
        <v>265</v>
      </c>
      <c r="R959" s="387">
        <f t="shared" si="14"/>
        <v>4.8628555414192705E-2</v>
      </c>
      <c r="S959" s="386">
        <v>2.2057541699999999E-2</v>
      </c>
    </row>
    <row r="960" spans="1:19" x14ac:dyDescent="0.25">
      <c r="A960">
        <v>2021</v>
      </c>
      <c r="C960" t="s">
        <v>6772</v>
      </c>
      <c r="D960" t="s">
        <v>445</v>
      </c>
      <c r="E960" t="s">
        <v>446</v>
      </c>
      <c r="F960" t="s">
        <v>303</v>
      </c>
      <c r="G960">
        <v>70669</v>
      </c>
      <c r="H960">
        <v>30.223500000000001</v>
      </c>
      <c r="I960">
        <v>-93.286900000000003</v>
      </c>
      <c r="J960" t="s">
        <v>447</v>
      </c>
      <c r="K960">
        <v>110000494894</v>
      </c>
      <c r="L960" t="s">
        <v>251</v>
      </c>
      <c r="R960" s="387">
        <f t="shared" si="14"/>
        <v>18426.613507189282</v>
      </c>
      <c r="S960" s="386">
        <v>8358.1712917999994</v>
      </c>
    </row>
    <row r="961" spans="1:19" x14ac:dyDescent="0.25">
      <c r="A961">
        <v>2022</v>
      </c>
      <c r="C961" t="s">
        <v>6772</v>
      </c>
      <c r="D961" t="s">
        <v>445</v>
      </c>
      <c r="E961" t="s">
        <v>446</v>
      </c>
      <c r="F961" t="s">
        <v>303</v>
      </c>
      <c r="G961">
        <v>70669</v>
      </c>
      <c r="H961">
        <v>30.223500000000001</v>
      </c>
      <c r="I961">
        <v>-93.286900000000003</v>
      </c>
      <c r="J961" t="s">
        <v>447</v>
      </c>
      <c r="K961">
        <v>110000494894</v>
      </c>
      <c r="L961" t="s">
        <v>251</v>
      </c>
      <c r="R961" s="387">
        <f t="shared" si="14"/>
        <v>2730.8693644912937</v>
      </c>
      <c r="S961" s="386">
        <v>1238.7015071999999</v>
      </c>
    </row>
    <row r="962" spans="1:19" x14ac:dyDescent="0.25">
      <c r="A962">
        <v>2024</v>
      </c>
      <c r="C962" t="s">
        <v>6772</v>
      </c>
      <c r="D962" t="s">
        <v>445</v>
      </c>
      <c r="E962" t="s">
        <v>446</v>
      </c>
      <c r="F962" t="s">
        <v>303</v>
      </c>
      <c r="G962">
        <v>70669</v>
      </c>
      <c r="H962">
        <v>30.223500000000001</v>
      </c>
      <c r="I962">
        <v>-93.286900000000003</v>
      </c>
      <c r="J962" t="s">
        <v>447</v>
      </c>
      <c r="K962">
        <v>110000494894</v>
      </c>
      <c r="L962" t="s">
        <v>251</v>
      </c>
      <c r="R962" s="387">
        <f t="shared" si="14"/>
        <v>719.69618889312437</v>
      </c>
      <c r="S962" s="386">
        <v>326.44869999999997</v>
      </c>
    </row>
    <row r="963" spans="1:19" x14ac:dyDescent="0.25">
      <c r="A963">
        <v>2024</v>
      </c>
      <c r="C963" t="s">
        <v>6771</v>
      </c>
      <c r="D963" t="s">
        <v>665</v>
      </c>
      <c r="E963" t="s">
        <v>516</v>
      </c>
      <c r="F963" t="s">
        <v>303</v>
      </c>
      <c r="G963">
        <v>70734</v>
      </c>
      <c r="H963">
        <v>30.208604000000001</v>
      </c>
      <c r="I963">
        <v>-91.011127999999999</v>
      </c>
      <c r="J963" t="s">
        <v>666</v>
      </c>
      <c r="K963">
        <v>110000746328</v>
      </c>
      <c r="L963" t="s">
        <v>251</v>
      </c>
      <c r="R963" s="387">
        <f t="shared" ref="R963:R1007" si="15">CONVERT(S963,"g","lbm")*1000</f>
        <v>68.749727866895114</v>
      </c>
      <c r="S963" s="386">
        <v>31.184352000000001</v>
      </c>
    </row>
    <row r="964" spans="1:19" x14ac:dyDescent="0.25">
      <c r="A964">
        <v>2021</v>
      </c>
      <c r="C964" t="s">
        <v>6771</v>
      </c>
      <c r="D964" t="s">
        <v>665</v>
      </c>
      <c r="E964" t="s">
        <v>516</v>
      </c>
      <c r="F964" t="s">
        <v>303</v>
      </c>
      <c r="G964">
        <v>70734</v>
      </c>
      <c r="H964">
        <v>30.208604000000001</v>
      </c>
      <c r="I964">
        <v>-91.011127999999999</v>
      </c>
      <c r="J964" t="s">
        <v>666</v>
      </c>
      <c r="K964">
        <v>110000746328</v>
      </c>
      <c r="L964" t="s">
        <v>251</v>
      </c>
      <c r="R964" s="387">
        <f t="shared" si="15"/>
        <v>28.225342503005507</v>
      </c>
      <c r="S964" s="386">
        <v>12.8028</v>
      </c>
    </row>
    <row r="965" spans="1:19" x14ac:dyDescent="0.25">
      <c r="A965">
        <v>2022</v>
      </c>
      <c r="C965" t="s">
        <v>6771</v>
      </c>
      <c r="D965" t="s">
        <v>665</v>
      </c>
      <c r="E965" t="s">
        <v>516</v>
      </c>
      <c r="F965" t="s">
        <v>303</v>
      </c>
      <c r="G965">
        <v>70734</v>
      </c>
      <c r="H965">
        <v>30.208604000000001</v>
      </c>
      <c r="I965">
        <v>-91.011127999999999</v>
      </c>
      <c r="J965" t="s">
        <v>666</v>
      </c>
      <c r="K965">
        <v>110000746328</v>
      </c>
      <c r="L965" t="s">
        <v>251</v>
      </c>
      <c r="R965" s="387">
        <f t="shared" si="15"/>
        <v>27.504695460375576</v>
      </c>
      <c r="S965" s="386">
        <v>12.47592</v>
      </c>
    </row>
    <row r="966" spans="1:19" x14ac:dyDescent="0.25">
      <c r="A966">
        <v>2023</v>
      </c>
      <c r="C966" t="s">
        <v>6771</v>
      </c>
      <c r="D966" t="s">
        <v>665</v>
      </c>
      <c r="E966" t="s">
        <v>516</v>
      </c>
      <c r="F966" t="s">
        <v>303</v>
      </c>
      <c r="G966">
        <v>70734</v>
      </c>
      <c r="H966">
        <v>30.208604000000001</v>
      </c>
      <c r="I966">
        <v>-91.011127999999999</v>
      </c>
      <c r="J966" t="s">
        <v>666</v>
      </c>
      <c r="K966">
        <v>110000746328</v>
      </c>
      <c r="L966" t="s">
        <v>251</v>
      </c>
      <c r="R966" s="387">
        <f t="shared" si="15"/>
        <v>11.17002916076388</v>
      </c>
      <c r="S966" s="386">
        <v>5.0666399999999996</v>
      </c>
    </row>
    <row r="967" spans="1:19" x14ac:dyDescent="0.25">
      <c r="A967">
        <v>2021</v>
      </c>
      <c r="C967" t="s">
        <v>6792</v>
      </c>
      <c r="D967" t="s">
        <v>667</v>
      </c>
      <c r="E967" t="s">
        <v>323</v>
      </c>
      <c r="F967" t="s">
        <v>324</v>
      </c>
      <c r="G967">
        <v>42029</v>
      </c>
      <c r="H967">
        <v>37.051110999999999</v>
      </c>
      <c r="I967">
        <v>-88.334166999999994</v>
      </c>
      <c r="J967" t="s">
        <v>668</v>
      </c>
      <c r="K967">
        <v>110027373072</v>
      </c>
      <c r="L967" t="s">
        <v>251</v>
      </c>
      <c r="R967" s="387">
        <f t="shared" si="15"/>
        <v>1666.4227383888754</v>
      </c>
      <c r="S967" s="386">
        <v>755.87663932769999</v>
      </c>
    </row>
    <row r="968" spans="1:19" x14ac:dyDescent="0.25">
      <c r="A968">
        <v>2023</v>
      </c>
      <c r="C968" t="s">
        <v>6792</v>
      </c>
      <c r="D968" t="s">
        <v>667</v>
      </c>
      <c r="E968" t="s">
        <v>323</v>
      </c>
      <c r="F968" t="s">
        <v>324</v>
      </c>
      <c r="G968">
        <v>42029</v>
      </c>
      <c r="H968">
        <v>37.051110999999999</v>
      </c>
      <c r="I968">
        <v>-88.334166999999994</v>
      </c>
      <c r="J968" t="s">
        <v>668</v>
      </c>
      <c r="K968">
        <v>110027373072</v>
      </c>
      <c r="L968" t="s">
        <v>251</v>
      </c>
      <c r="R968" s="387">
        <f t="shared" si="15"/>
        <v>785.99443591886256</v>
      </c>
      <c r="S968" s="386">
        <v>356.52107899524998</v>
      </c>
    </row>
    <row r="969" spans="1:19" x14ac:dyDescent="0.25">
      <c r="A969">
        <v>2022</v>
      </c>
      <c r="C969" t="s">
        <v>6792</v>
      </c>
      <c r="D969" t="s">
        <v>667</v>
      </c>
      <c r="E969" t="s">
        <v>323</v>
      </c>
      <c r="F969" t="s">
        <v>324</v>
      </c>
      <c r="G969">
        <v>42029</v>
      </c>
      <c r="H969">
        <v>37.051110999999999</v>
      </c>
      <c r="I969">
        <v>-88.334166999999994</v>
      </c>
      <c r="J969" t="s">
        <v>668</v>
      </c>
      <c r="K969">
        <v>110027373072</v>
      </c>
      <c r="L969" t="s">
        <v>251</v>
      </c>
      <c r="R969" s="387">
        <f t="shared" si="15"/>
        <v>451.6384142702841</v>
      </c>
      <c r="S969" s="386">
        <v>204.85973871190001</v>
      </c>
    </row>
    <row r="970" spans="1:19" x14ac:dyDescent="0.25">
      <c r="A970">
        <v>2024</v>
      </c>
      <c r="C970" t="s">
        <v>6792</v>
      </c>
      <c r="D970" t="s">
        <v>667</v>
      </c>
      <c r="E970" t="s">
        <v>323</v>
      </c>
      <c r="F970" t="s">
        <v>324</v>
      </c>
      <c r="G970">
        <v>42029</v>
      </c>
      <c r="H970">
        <v>37.051110999999999</v>
      </c>
      <c r="I970">
        <v>-88.334166999999994</v>
      </c>
      <c r="J970" t="s">
        <v>668</v>
      </c>
      <c r="K970">
        <v>110027373072</v>
      </c>
      <c r="L970" t="s">
        <v>251</v>
      </c>
      <c r="R970" s="387">
        <f t="shared" si="15"/>
        <v>175.1016173398155</v>
      </c>
      <c r="S970" s="386">
        <v>79.424757600000007</v>
      </c>
    </row>
    <row r="971" spans="1:19" x14ac:dyDescent="0.25">
      <c r="A971">
        <v>2024</v>
      </c>
      <c r="C971" t="s">
        <v>6792</v>
      </c>
      <c r="D971" t="s">
        <v>667</v>
      </c>
      <c r="E971" t="s">
        <v>323</v>
      </c>
      <c r="F971" t="s">
        <v>324</v>
      </c>
      <c r="G971">
        <v>42029</v>
      </c>
      <c r="H971">
        <v>37.051110999999999</v>
      </c>
      <c r="I971">
        <v>-88.334166999999994</v>
      </c>
      <c r="J971" t="s">
        <v>668</v>
      </c>
      <c r="K971">
        <v>110027373072</v>
      </c>
      <c r="L971" t="s">
        <v>251</v>
      </c>
      <c r="R971" s="387">
        <f t="shared" si="15"/>
        <v>143.51228846464059</v>
      </c>
      <c r="S971" s="386">
        <v>65.096079048799993</v>
      </c>
    </row>
    <row r="972" spans="1:19" x14ac:dyDescent="0.25">
      <c r="A972">
        <v>2022</v>
      </c>
      <c r="C972" t="s">
        <v>6792</v>
      </c>
      <c r="D972" t="s">
        <v>667</v>
      </c>
      <c r="E972" t="s">
        <v>323</v>
      </c>
      <c r="F972" t="s">
        <v>324</v>
      </c>
      <c r="G972">
        <v>42029</v>
      </c>
      <c r="H972">
        <v>37.051110999999999</v>
      </c>
      <c r="I972">
        <v>-88.334166999999994</v>
      </c>
      <c r="J972" t="s">
        <v>668</v>
      </c>
      <c r="K972">
        <v>110027373072</v>
      </c>
      <c r="L972" t="s">
        <v>251</v>
      </c>
      <c r="R972" s="387">
        <f t="shared" si="15"/>
        <v>140.25142662783327</v>
      </c>
      <c r="S972" s="386">
        <v>63.616976999999999</v>
      </c>
    </row>
    <row r="973" spans="1:19" x14ac:dyDescent="0.25">
      <c r="A973">
        <v>2021</v>
      </c>
      <c r="C973" t="s">
        <v>6792</v>
      </c>
      <c r="D973" t="s">
        <v>667</v>
      </c>
      <c r="E973" t="s">
        <v>323</v>
      </c>
      <c r="F973" t="s">
        <v>324</v>
      </c>
      <c r="G973">
        <v>42029</v>
      </c>
      <c r="H973">
        <v>37.051110999999999</v>
      </c>
      <c r="I973">
        <v>-88.334166999999994</v>
      </c>
      <c r="J973" t="s">
        <v>668</v>
      </c>
      <c r="K973">
        <v>110027373072</v>
      </c>
      <c r="L973" t="s">
        <v>251</v>
      </c>
      <c r="R973" s="387">
        <f t="shared" si="15"/>
        <v>61.703901677182095</v>
      </c>
      <c r="S973" s="386">
        <v>27.988419</v>
      </c>
    </row>
    <row r="974" spans="1:19" x14ac:dyDescent="0.25">
      <c r="A974">
        <v>2023</v>
      </c>
      <c r="C974" t="s">
        <v>6792</v>
      </c>
      <c r="D974" t="s">
        <v>667</v>
      </c>
      <c r="E974" t="s">
        <v>323</v>
      </c>
      <c r="F974" t="s">
        <v>324</v>
      </c>
      <c r="G974">
        <v>42029</v>
      </c>
      <c r="H974">
        <v>37.051110999999999</v>
      </c>
      <c r="I974">
        <v>-88.334166999999994</v>
      </c>
      <c r="J974" t="s">
        <v>668</v>
      </c>
      <c r="K974">
        <v>110027373072</v>
      </c>
      <c r="L974" t="s">
        <v>251</v>
      </c>
      <c r="R974" s="387">
        <f t="shared" si="15"/>
        <v>52.994882166999417</v>
      </c>
      <c r="S974" s="386">
        <v>24.038074200000001</v>
      </c>
    </row>
    <row r="975" spans="1:19" x14ac:dyDescent="0.25">
      <c r="A975">
        <v>2024</v>
      </c>
      <c r="C975" t="s">
        <v>6792</v>
      </c>
      <c r="D975" t="s">
        <v>667</v>
      </c>
      <c r="E975" t="s">
        <v>323</v>
      </c>
      <c r="F975" t="s">
        <v>324</v>
      </c>
      <c r="G975">
        <v>42029</v>
      </c>
      <c r="H975">
        <v>37.051110999999999</v>
      </c>
      <c r="I975">
        <v>-88.334166999999994</v>
      </c>
      <c r="J975" t="s">
        <v>668</v>
      </c>
      <c r="K975">
        <v>110027373072</v>
      </c>
      <c r="L975" t="s">
        <v>251</v>
      </c>
      <c r="R975" s="387">
        <f t="shared" si="15"/>
        <v>29.22554054425563</v>
      </c>
      <c r="S975" s="386">
        <v>13.256482200000001</v>
      </c>
    </row>
    <row r="976" spans="1:19" x14ac:dyDescent="0.25">
      <c r="A976">
        <v>2023</v>
      </c>
      <c r="C976" t="s">
        <v>6792</v>
      </c>
      <c r="D976" t="s">
        <v>667</v>
      </c>
      <c r="E976" t="s">
        <v>323</v>
      </c>
      <c r="F976" t="s">
        <v>324</v>
      </c>
      <c r="G976">
        <v>42029</v>
      </c>
      <c r="H976">
        <v>37.051110999999999</v>
      </c>
      <c r="I976">
        <v>-88.334166999999994</v>
      </c>
      <c r="J976" t="s">
        <v>668</v>
      </c>
      <c r="K976">
        <v>110027373072</v>
      </c>
      <c r="L976" t="s">
        <v>251</v>
      </c>
      <c r="R976" s="387">
        <f t="shared" si="15"/>
        <v>11.979355825584104</v>
      </c>
      <c r="S976" s="386">
        <v>5.4337444000000001</v>
      </c>
    </row>
    <row r="977" spans="1:19" x14ac:dyDescent="0.25">
      <c r="A977">
        <v>2022</v>
      </c>
      <c r="C977" t="s">
        <v>6792</v>
      </c>
      <c r="D977" t="s">
        <v>667</v>
      </c>
      <c r="E977" t="s">
        <v>323</v>
      </c>
      <c r="F977" t="s">
        <v>324</v>
      </c>
      <c r="G977">
        <v>42029</v>
      </c>
      <c r="H977">
        <v>37.051110999999999</v>
      </c>
      <c r="I977">
        <v>-88.334166999999994</v>
      </c>
      <c r="J977" t="s">
        <v>668</v>
      </c>
      <c r="K977">
        <v>110027373072</v>
      </c>
      <c r="L977" t="s">
        <v>251</v>
      </c>
      <c r="R977" s="387">
        <f t="shared" si="15"/>
        <v>10.194152957202521</v>
      </c>
      <c r="S977" s="386">
        <v>4.62399</v>
      </c>
    </row>
    <row r="978" spans="1:19" x14ac:dyDescent="0.25">
      <c r="A978">
        <v>2021</v>
      </c>
      <c r="C978" t="s">
        <v>6792</v>
      </c>
      <c r="D978" t="s">
        <v>667</v>
      </c>
      <c r="E978" t="s">
        <v>323</v>
      </c>
      <c r="F978" t="s">
        <v>324</v>
      </c>
      <c r="G978">
        <v>42029</v>
      </c>
      <c r="H978">
        <v>37.051110999999999</v>
      </c>
      <c r="I978">
        <v>-88.334166999999994</v>
      </c>
      <c r="J978" t="s">
        <v>668</v>
      </c>
      <c r="K978">
        <v>110027373072</v>
      </c>
      <c r="L978" t="s">
        <v>251</v>
      </c>
      <c r="R978" s="387">
        <f t="shared" si="15"/>
        <v>3.0565443594212129</v>
      </c>
      <c r="S978" s="386">
        <v>1.3864251999999999</v>
      </c>
    </row>
    <row r="979" spans="1:19" x14ac:dyDescent="0.25">
      <c r="A979">
        <v>2021</v>
      </c>
      <c r="C979" t="s">
        <v>1432</v>
      </c>
      <c r="D979" t="s">
        <v>2371</v>
      </c>
      <c r="E979" t="s">
        <v>1433</v>
      </c>
      <c r="F979" t="s">
        <v>324</v>
      </c>
      <c r="G979">
        <v>40769</v>
      </c>
      <c r="H979">
        <v>36.747222000000001</v>
      </c>
      <c r="I979">
        <v>-84.171943999999996</v>
      </c>
      <c r="K979">
        <v>110006751737</v>
      </c>
      <c r="L979" t="s">
        <v>263</v>
      </c>
      <c r="R979" s="387">
        <f t="shared" si="15"/>
        <v>9.563627580419837</v>
      </c>
      <c r="S979" s="386">
        <v>4.3379884999999998</v>
      </c>
    </row>
    <row r="980" spans="1:19" x14ac:dyDescent="0.25">
      <c r="A980">
        <v>2021</v>
      </c>
      <c r="C980" t="s">
        <v>1434</v>
      </c>
      <c r="D980" t="s">
        <v>2374</v>
      </c>
      <c r="E980" t="s">
        <v>1435</v>
      </c>
      <c r="F980" t="s">
        <v>324</v>
      </c>
      <c r="G980">
        <v>41097</v>
      </c>
      <c r="H980">
        <v>38.631208000000001</v>
      </c>
      <c r="I980">
        <v>-84.618809999999996</v>
      </c>
      <c r="K980">
        <v>110045091379</v>
      </c>
      <c r="L980" t="s">
        <v>263</v>
      </c>
      <c r="R980" s="387">
        <f t="shared" si="15"/>
        <v>5.0102443852836416</v>
      </c>
      <c r="S980" s="386">
        <v>2.2726086250000002</v>
      </c>
    </row>
    <row r="981" spans="1:19" x14ac:dyDescent="0.25">
      <c r="A981">
        <v>2024</v>
      </c>
      <c r="C981" t="s">
        <v>6810</v>
      </c>
      <c r="D981" t="s">
        <v>6963</v>
      </c>
      <c r="E981" t="s">
        <v>1437</v>
      </c>
      <c r="F981" t="s">
        <v>324</v>
      </c>
      <c r="G981" t="s">
        <v>6964</v>
      </c>
      <c r="H981">
        <v>38.041639000000004</v>
      </c>
      <c r="I981">
        <v>-84.208667000000005</v>
      </c>
      <c r="K981">
        <v>110000542896</v>
      </c>
      <c r="L981" t="s">
        <v>263</v>
      </c>
      <c r="R981" s="387">
        <f t="shared" si="15"/>
        <v>7.3250077486973595</v>
      </c>
      <c r="S981" s="386">
        <v>3.322567625</v>
      </c>
    </row>
    <row r="982" spans="1:19" x14ac:dyDescent="0.25">
      <c r="A982">
        <v>2023</v>
      </c>
      <c r="C982" t="s">
        <v>6810</v>
      </c>
      <c r="D982" t="s">
        <v>6963</v>
      </c>
      <c r="E982" t="s">
        <v>1437</v>
      </c>
      <c r="F982" t="s">
        <v>324</v>
      </c>
      <c r="G982" t="s">
        <v>6964</v>
      </c>
      <c r="H982">
        <v>38.041639000000004</v>
      </c>
      <c r="I982">
        <v>-84.208667000000005</v>
      </c>
      <c r="K982">
        <v>110000542896</v>
      </c>
      <c r="L982" t="s">
        <v>263</v>
      </c>
      <c r="R982" s="387">
        <f t="shared" si="15"/>
        <v>1.1723058139183424</v>
      </c>
      <c r="S982" s="386">
        <v>0.53174897249999997</v>
      </c>
    </row>
    <row r="983" spans="1:19" x14ac:dyDescent="0.25">
      <c r="A983">
        <v>2024</v>
      </c>
      <c r="C983" t="s">
        <v>1436</v>
      </c>
      <c r="D983" t="s">
        <v>2377</v>
      </c>
      <c r="E983" t="s">
        <v>1437</v>
      </c>
      <c r="F983" t="s">
        <v>324</v>
      </c>
      <c r="G983">
        <v>40392</v>
      </c>
      <c r="H983">
        <v>37.915556000000002</v>
      </c>
      <c r="I983">
        <v>-84.268332999999998</v>
      </c>
      <c r="K983">
        <v>110064596361</v>
      </c>
      <c r="L983" t="s">
        <v>263</v>
      </c>
      <c r="R983" s="387">
        <f t="shared" si="15"/>
        <v>2.3330378110196164</v>
      </c>
      <c r="S983" s="386">
        <v>1.0582481500000001</v>
      </c>
    </row>
    <row r="984" spans="1:19" x14ac:dyDescent="0.25">
      <c r="A984">
        <v>2022</v>
      </c>
      <c r="C984" t="s">
        <v>1438</v>
      </c>
      <c r="D984" t="s">
        <v>2380</v>
      </c>
      <c r="E984" t="s">
        <v>1439</v>
      </c>
      <c r="F984" t="s">
        <v>374</v>
      </c>
      <c r="G984">
        <v>86504</v>
      </c>
      <c r="H984">
        <v>35.639462000000002</v>
      </c>
      <c r="I984">
        <v>-109.080927</v>
      </c>
      <c r="K984">
        <v>110024409433</v>
      </c>
      <c r="L984" t="s">
        <v>263</v>
      </c>
      <c r="R984" s="387">
        <f t="shared" si="15"/>
        <v>2.5584226648256894</v>
      </c>
      <c r="S984" s="386">
        <v>1.1604810000000001</v>
      </c>
    </row>
    <row r="985" spans="1:19" x14ac:dyDescent="0.25">
      <c r="A985">
        <v>2024</v>
      </c>
      <c r="C985" t="s">
        <v>1438</v>
      </c>
      <c r="D985" t="s">
        <v>2380</v>
      </c>
      <c r="E985" t="s">
        <v>1439</v>
      </c>
      <c r="F985" t="s">
        <v>374</v>
      </c>
      <c r="G985">
        <v>86504</v>
      </c>
      <c r="H985">
        <v>35.639462000000002</v>
      </c>
      <c r="I985">
        <v>-109.080927</v>
      </c>
      <c r="K985">
        <v>110024409433</v>
      </c>
      <c r="L985" t="s">
        <v>263</v>
      </c>
      <c r="R985" s="387">
        <f t="shared" si="15"/>
        <v>2.0101892366487557</v>
      </c>
      <c r="S985" s="386">
        <v>0.91180649999999996</v>
      </c>
    </row>
    <row r="986" spans="1:19" x14ac:dyDescent="0.25">
      <c r="A986">
        <v>2023</v>
      </c>
      <c r="C986" t="s">
        <v>1438</v>
      </c>
      <c r="D986" t="s">
        <v>2380</v>
      </c>
      <c r="E986" t="s">
        <v>1439</v>
      </c>
      <c r="F986" t="s">
        <v>374</v>
      </c>
      <c r="G986">
        <v>86504</v>
      </c>
      <c r="H986">
        <v>35.639462000000002</v>
      </c>
      <c r="I986">
        <v>-109.080927</v>
      </c>
      <c r="K986">
        <v>110024409433</v>
      </c>
      <c r="L986" t="s">
        <v>263</v>
      </c>
      <c r="R986" s="387">
        <f t="shared" si="15"/>
        <v>1.0050946183243779</v>
      </c>
      <c r="S986" s="386">
        <v>0.45590324999999998</v>
      </c>
    </row>
    <row r="987" spans="1:19" x14ac:dyDescent="0.25">
      <c r="A987">
        <v>2021</v>
      </c>
      <c r="C987" t="s">
        <v>1440</v>
      </c>
      <c r="D987" t="s">
        <v>2382</v>
      </c>
      <c r="E987" t="s">
        <v>1441</v>
      </c>
      <c r="F987" t="s">
        <v>366</v>
      </c>
      <c r="G987">
        <v>95776</v>
      </c>
      <c r="H987">
        <v>38.662149999999997</v>
      </c>
      <c r="I987">
        <v>-121.71407000000001</v>
      </c>
      <c r="K987">
        <v>110039782349</v>
      </c>
      <c r="L987" t="s">
        <v>263</v>
      </c>
      <c r="R987" s="387">
        <f t="shared" si="15"/>
        <v>1.0102848952243177</v>
      </c>
      <c r="S987" s="386">
        <v>0.45825751999999997</v>
      </c>
    </row>
    <row r="988" spans="1:19" x14ac:dyDescent="0.25">
      <c r="A988">
        <v>2022</v>
      </c>
      <c r="C988" t="s">
        <v>1440</v>
      </c>
      <c r="D988" t="s">
        <v>2382</v>
      </c>
      <c r="E988" t="s">
        <v>1441</v>
      </c>
      <c r="F988" t="s">
        <v>366</v>
      </c>
      <c r="G988">
        <v>95776</v>
      </c>
      <c r="H988">
        <v>38.662149999999997</v>
      </c>
      <c r="I988">
        <v>-121.71407000000001</v>
      </c>
      <c r="K988">
        <v>110039782349</v>
      </c>
      <c r="L988" t="s">
        <v>263</v>
      </c>
      <c r="R988" s="387">
        <f t="shared" si="15"/>
        <v>0.62814032784546181</v>
      </c>
      <c r="S988" s="386">
        <v>0.28491966000000002</v>
      </c>
    </row>
    <row r="989" spans="1:19" x14ac:dyDescent="0.25">
      <c r="A989">
        <v>2021</v>
      </c>
      <c r="C989" t="s">
        <v>6821</v>
      </c>
      <c r="D989" t="s">
        <v>669</v>
      </c>
      <c r="E989" t="s">
        <v>348</v>
      </c>
      <c r="F989" t="s">
        <v>349</v>
      </c>
      <c r="G989">
        <v>63461</v>
      </c>
      <c r="H989">
        <v>39.828163000000004</v>
      </c>
      <c r="I989">
        <v>-91.436942000000002</v>
      </c>
      <c r="K989">
        <v>110040330718</v>
      </c>
      <c r="L989" t="s">
        <v>265</v>
      </c>
      <c r="R989" s="387">
        <f t="shared" si="15"/>
        <v>1.28908328914351</v>
      </c>
      <c r="S989" s="386">
        <v>0.58471834425000002</v>
      </c>
    </row>
    <row r="990" spans="1:19" x14ac:dyDescent="0.25">
      <c r="A990">
        <v>2024</v>
      </c>
      <c r="C990" t="s">
        <v>6821</v>
      </c>
      <c r="D990" t="s">
        <v>669</v>
      </c>
      <c r="E990" t="s">
        <v>348</v>
      </c>
      <c r="F990" t="s">
        <v>349</v>
      </c>
      <c r="G990">
        <v>63461</v>
      </c>
      <c r="H990">
        <v>39.828163000000004</v>
      </c>
      <c r="I990">
        <v>-91.436942000000002</v>
      </c>
      <c r="K990">
        <v>110040330718</v>
      </c>
      <c r="L990" t="s">
        <v>265</v>
      </c>
      <c r="R990" s="387">
        <f t="shared" si="15"/>
        <v>0.58918639698859565</v>
      </c>
      <c r="S990" s="386">
        <v>0.26725045418181798</v>
      </c>
    </row>
    <row r="991" spans="1:19" x14ac:dyDescent="0.25">
      <c r="A991">
        <v>2023</v>
      </c>
      <c r="C991" t="s">
        <v>6821</v>
      </c>
      <c r="D991" t="s">
        <v>669</v>
      </c>
      <c r="E991" t="s">
        <v>348</v>
      </c>
      <c r="F991" t="s">
        <v>349</v>
      </c>
      <c r="G991">
        <v>63461</v>
      </c>
      <c r="H991">
        <v>39.828163000000004</v>
      </c>
      <c r="I991">
        <v>-91.436942000000002</v>
      </c>
      <c r="K991">
        <v>110040330718</v>
      </c>
      <c r="L991" t="s">
        <v>265</v>
      </c>
      <c r="R991" s="387">
        <f t="shared" si="15"/>
        <v>0.47899580189146473</v>
      </c>
      <c r="S991" s="386">
        <v>0.21726884099999999</v>
      </c>
    </row>
    <row r="992" spans="1:19" x14ac:dyDescent="0.25">
      <c r="A992">
        <v>2022</v>
      </c>
      <c r="C992" t="s">
        <v>6821</v>
      </c>
      <c r="D992" t="s">
        <v>669</v>
      </c>
      <c r="E992" t="s">
        <v>348</v>
      </c>
      <c r="F992" t="s">
        <v>349</v>
      </c>
      <c r="G992">
        <v>63461</v>
      </c>
      <c r="H992">
        <v>39.828163000000004</v>
      </c>
      <c r="I992">
        <v>-91.436942000000002</v>
      </c>
      <c r="K992">
        <v>110040330718</v>
      </c>
      <c r="L992" t="s">
        <v>265</v>
      </c>
      <c r="R992" s="387">
        <f t="shared" si="15"/>
        <v>0.15722032978641154</v>
      </c>
      <c r="S992" s="386">
        <v>7.1313942000000005E-2</v>
      </c>
    </row>
    <row r="993" spans="1:19" x14ac:dyDescent="0.25">
      <c r="A993">
        <v>2023</v>
      </c>
      <c r="C993" t="s">
        <v>6773</v>
      </c>
      <c r="D993" t="s">
        <v>2386</v>
      </c>
      <c r="E993" t="s">
        <v>1443</v>
      </c>
      <c r="F993" t="s">
        <v>450</v>
      </c>
      <c r="G993">
        <v>14580</v>
      </c>
      <c r="H993">
        <v>43.227834000000001</v>
      </c>
      <c r="I993">
        <v>-77.411534000000003</v>
      </c>
      <c r="J993" t="s">
        <v>740</v>
      </c>
      <c r="K993">
        <v>110000327799</v>
      </c>
      <c r="L993" t="s">
        <v>265</v>
      </c>
      <c r="R993" s="387">
        <f t="shared" si="15"/>
        <v>0.45900241468347447</v>
      </c>
      <c r="S993" s="386">
        <v>0.20819999311199999</v>
      </c>
    </row>
    <row r="994" spans="1:19" x14ac:dyDescent="0.25">
      <c r="A994">
        <v>2022</v>
      </c>
      <c r="C994" t="s">
        <v>6773</v>
      </c>
      <c r="D994" t="s">
        <v>2386</v>
      </c>
      <c r="E994" t="s">
        <v>1443</v>
      </c>
      <c r="F994" t="s">
        <v>450</v>
      </c>
      <c r="G994">
        <v>14580</v>
      </c>
      <c r="H994">
        <v>43.227834000000001</v>
      </c>
      <c r="I994">
        <v>-77.411534000000003</v>
      </c>
      <c r="J994" t="s">
        <v>740</v>
      </c>
      <c r="K994">
        <v>110000327799</v>
      </c>
      <c r="L994" t="s">
        <v>265</v>
      </c>
      <c r="R994" s="387">
        <f t="shared" si="15"/>
        <v>0.36245909543407878</v>
      </c>
      <c r="S994" s="386">
        <v>0.16440868012599999</v>
      </c>
    </row>
    <row r="995" spans="1:19" x14ac:dyDescent="0.25">
      <c r="A995">
        <v>2021</v>
      </c>
      <c r="C995" t="s">
        <v>6773</v>
      </c>
      <c r="D995" t="s">
        <v>2386</v>
      </c>
      <c r="E995" t="s">
        <v>1443</v>
      </c>
      <c r="F995" t="s">
        <v>450</v>
      </c>
      <c r="G995">
        <v>14580</v>
      </c>
      <c r="H995">
        <v>43.227834000000001</v>
      </c>
      <c r="I995">
        <v>-77.411534000000003</v>
      </c>
      <c r="J995" t="s">
        <v>740</v>
      </c>
      <c r="K995">
        <v>110000327799</v>
      </c>
      <c r="L995" t="s">
        <v>265</v>
      </c>
      <c r="R995" s="387">
        <f t="shared" si="15"/>
        <v>0.28373760828031563</v>
      </c>
      <c r="S995" s="386">
        <v>0.12870121419800001</v>
      </c>
    </row>
    <row r="996" spans="1:19" x14ac:dyDescent="0.25">
      <c r="A996">
        <v>2024</v>
      </c>
      <c r="C996" t="s">
        <v>6773</v>
      </c>
      <c r="D996" t="s">
        <v>2386</v>
      </c>
      <c r="E996" t="s">
        <v>1443</v>
      </c>
      <c r="F996" t="s">
        <v>450</v>
      </c>
      <c r="G996">
        <v>14580</v>
      </c>
      <c r="H996">
        <v>43.227834000000001</v>
      </c>
      <c r="I996">
        <v>-77.411534000000003</v>
      </c>
      <c r="J996" t="s">
        <v>740</v>
      </c>
      <c r="K996">
        <v>110000327799</v>
      </c>
      <c r="L996" t="s">
        <v>265</v>
      </c>
      <c r="R996" s="387">
        <f t="shared" si="15"/>
        <v>0.25727376154056558</v>
      </c>
      <c r="S996" s="386">
        <v>0.116697415236</v>
      </c>
    </row>
    <row r="997" spans="1:19" x14ac:dyDescent="0.25">
      <c r="A997">
        <v>2024</v>
      </c>
      <c r="C997" t="s">
        <v>6773</v>
      </c>
      <c r="D997" t="s">
        <v>2386</v>
      </c>
      <c r="E997" t="s">
        <v>1443</v>
      </c>
      <c r="F997" t="s">
        <v>450</v>
      </c>
      <c r="G997">
        <v>14580</v>
      </c>
      <c r="H997">
        <v>43.227834000000001</v>
      </c>
      <c r="I997">
        <v>-77.411534000000003</v>
      </c>
      <c r="J997" t="s">
        <v>740</v>
      </c>
      <c r="K997">
        <v>110000327799</v>
      </c>
      <c r="L997" t="s">
        <v>265</v>
      </c>
      <c r="R997" s="387">
        <f t="shared" si="15"/>
        <v>0.25467308568263614</v>
      </c>
      <c r="S997" s="386">
        <v>0.11551776850999999</v>
      </c>
    </row>
    <row r="998" spans="1:19" x14ac:dyDescent="0.25">
      <c r="A998">
        <v>2024</v>
      </c>
      <c r="C998" t="s">
        <v>6773</v>
      </c>
      <c r="D998" t="s">
        <v>2386</v>
      </c>
      <c r="E998" t="s">
        <v>1443</v>
      </c>
      <c r="F998" t="s">
        <v>450</v>
      </c>
      <c r="G998">
        <v>14580</v>
      </c>
      <c r="H998">
        <v>43.227834000000001</v>
      </c>
      <c r="I998">
        <v>-77.411534000000003</v>
      </c>
      <c r="J998" t="s">
        <v>740</v>
      </c>
      <c r="K998">
        <v>110000327799</v>
      </c>
      <c r="L998" t="s">
        <v>265</v>
      </c>
      <c r="R998" s="387">
        <f t="shared" si="15"/>
        <v>0.22839391266656445</v>
      </c>
      <c r="S998" s="386">
        <v>0.10359773613999999</v>
      </c>
    </row>
    <row r="999" spans="1:19" x14ac:dyDescent="0.25">
      <c r="A999">
        <v>2022</v>
      </c>
      <c r="C999" t="s">
        <v>6773</v>
      </c>
      <c r="D999" t="s">
        <v>2386</v>
      </c>
      <c r="E999" t="s">
        <v>1443</v>
      </c>
      <c r="F999" t="s">
        <v>450</v>
      </c>
      <c r="G999">
        <v>14580</v>
      </c>
      <c r="H999">
        <v>43.227834000000001</v>
      </c>
      <c r="I999">
        <v>-77.411534000000003</v>
      </c>
      <c r="J999" t="s">
        <v>740</v>
      </c>
      <c r="K999">
        <v>110000327799</v>
      </c>
      <c r="L999" t="s">
        <v>265</v>
      </c>
      <c r="R999" s="387">
        <f t="shared" si="15"/>
        <v>0.22731966887361882</v>
      </c>
      <c r="S999" s="386">
        <v>0.103110467352</v>
      </c>
    </row>
    <row r="1000" spans="1:19" x14ac:dyDescent="0.25">
      <c r="A1000">
        <v>2021</v>
      </c>
      <c r="C1000" t="s">
        <v>6773</v>
      </c>
      <c r="D1000" t="s">
        <v>2386</v>
      </c>
      <c r="E1000" t="s">
        <v>1443</v>
      </c>
      <c r="F1000" t="s">
        <v>450</v>
      </c>
      <c r="G1000">
        <v>14580</v>
      </c>
      <c r="H1000">
        <v>43.227834000000001</v>
      </c>
      <c r="I1000">
        <v>-77.411534000000003</v>
      </c>
      <c r="J1000" t="s">
        <v>740</v>
      </c>
      <c r="K1000">
        <v>110000327799</v>
      </c>
      <c r="L1000" t="s">
        <v>265</v>
      </c>
      <c r="R1000" s="387">
        <f t="shared" si="15"/>
        <v>0.22378237667445774</v>
      </c>
      <c r="S1000" s="386">
        <v>0.1015059786</v>
      </c>
    </row>
    <row r="1001" spans="1:19" x14ac:dyDescent="0.25">
      <c r="A1001">
        <v>2023</v>
      </c>
      <c r="C1001" t="s">
        <v>6773</v>
      </c>
      <c r="D1001" t="s">
        <v>2386</v>
      </c>
      <c r="E1001" t="s">
        <v>1443</v>
      </c>
      <c r="F1001" t="s">
        <v>450</v>
      </c>
      <c r="G1001">
        <v>14580</v>
      </c>
      <c r="H1001">
        <v>43.227834000000001</v>
      </c>
      <c r="I1001">
        <v>-77.411534000000003</v>
      </c>
      <c r="J1001" t="s">
        <v>740</v>
      </c>
      <c r="K1001">
        <v>110000327799</v>
      </c>
      <c r="L1001" t="s">
        <v>265</v>
      </c>
      <c r="R1001" s="387">
        <f t="shared" si="15"/>
        <v>0.20796822045309094</v>
      </c>
      <c r="S1001" s="386">
        <v>9.4332797999999995E-2</v>
      </c>
    </row>
    <row r="1002" spans="1:19" x14ac:dyDescent="0.25">
      <c r="A1002">
        <v>2023</v>
      </c>
      <c r="C1002" t="s">
        <v>6773</v>
      </c>
      <c r="D1002" t="s">
        <v>2386</v>
      </c>
      <c r="E1002" t="s">
        <v>1443</v>
      </c>
      <c r="F1002" t="s">
        <v>450</v>
      </c>
      <c r="G1002">
        <v>14580</v>
      </c>
      <c r="H1002">
        <v>43.227834000000001</v>
      </c>
      <c r="I1002">
        <v>-77.411534000000003</v>
      </c>
      <c r="J1002" t="s">
        <v>740</v>
      </c>
      <c r="K1002">
        <v>110000327799</v>
      </c>
      <c r="L1002" t="s">
        <v>265</v>
      </c>
      <c r="R1002" s="387">
        <f t="shared" si="15"/>
        <v>0.15474339249657926</v>
      </c>
      <c r="S1002" s="386">
        <v>7.0190422144363607E-2</v>
      </c>
    </row>
    <row r="1003" spans="1:19" x14ac:dyDescent="0.25">
      <c r="A1003">
        <v>2022</v>
      </c>
      <c r="C1003" t="s">
        <v>6773</v>
      </c>
      <c r="D1003" t="s">
        <v>2386</v>
      </c>
      <c r="E1003" t="s">
        <v>1443</v>
      </c>
      <c r="F1003" t="s">
        <v>450</v>
      </c>
      <c r="G1003">
        <v>14580</v>
      </c>
      <c r="H1003">
        <v>43.227834000000001</v>
      </c>
      <c r="I1003">
        <v>-77.411534000000003</v>
      </c>
      <c r="J1003" t="s">
        <v>740</v>
      </c>
      <c r="K1003">
        <v>110000327799</v>
      </c>
      <c r="L1003" t="s">
        <v>265</v>
      </c>
      <c r="R1003" s="387">
        <f t="shared" si="15"/>
        <v>0.14259314483177923</v>
      </c>
      <c r="S1003" s="386">
        <v>6.4679162509999999E-2</v>
      </c>
    </row>
    <row r="1004" spans="1:19" x14ac:dyDescent="0.25">
      <c r="A1004">
        <v>2021</v>
      </c>
      <c r="C1004" t="s">
        <v>6773</v>
      </c>
      <c r="D1004" t="s">
        <v>2386</v>
      </c>
      <c r="E1004" t="s">
        <v>1443</v>
      </c>
      <c r="F1004" t="s">
        <v>450</v>
      </c>
      <c r="G1004">
        <v>14580</v>
      </c>
      <c r="H1004">
        <v>43.227834000000001</v>
      </c>
      <c r="I1004">
        <v>-77.411534000000003</v>
      </c>
      <c r="J1004" t="s">
        <v>740</v>
      </c>
      <c r="K1004">
        <v>110000327799</v>
      </c>
      <c r="L1004" t="s">
        <v>265</v>
      </c>
      <c r="R1004" s="387">
        <f t="shared" si="15"/>
        <v>9.3212059347470955E-2</v>
      </c>
      <c r="S1004" s="386">
        <v>4.2280278912000001E-2</v>
      </c>
    </row>
    <row r="1005" spans="1:19" x14ac:dyDescent="0.25">
      <c r="A1005">
        <v>2023</v>
      </c>
      <c r="C1005" t="s">
        <v>6879</v>
      </c>
      <c r="D1005" t="s">
        <v>7054</v>
      </c>
      <c r="E1005" t="s">
        <v>7055</v>
      </c>
      <c r="F1005" t="s">
        <v>338</v>
      </c>
      <c r="G1005" t="s">
        <v>7099</v>
      </c>
      <c r="H1005">
        <v>40.823860000000003</v>
      </c>
      <c r="I1005">
        <v>-73.989034000000004</v>
      </c>
      <c r="K1005">
        <v>110004143524</v>
      </c>
      <c r="L1005" t="s">
        <v>265</v>
      </c>
      <c r="R1005" s="387">
        <f t="shared" si="15"/>
        <v>2.394683614276845E-3</v>
      </c>
      <c r="S1005" s="386">
        <v>1.086210216E-3</v>
      </c>
    </row>
    <row r="1006" spans="1:19" x14ac:dyDescent="0.25">
      <c r="A1006">
        <v>2024</v>
      </c>
      <c r="C1006" t="s">
        <v>6879</v>
      </c>
      <c r="D1006" t="s">
        <v>7054</v>
      </c>
      <c r="E1006" t="s">
        <v>7055</v>
      </c>
      <c r="F1006" t="s">
        <v>338</v>
      </c>
      <c r="G1006">
        <v>7010</v>
      </c>
      <c r="H1006">
        <v>40.823860000000003</v>
      </c>
      <c r="I1006">
        <v>-73.989034000000004</v>
      </c>
      <c r="K1006">
        <v>110004143524</v>
      </c>
      <c r="L1006" t="s">
        <v>265</v>
      </c>
      <c r="R1006" s="387">
        <f t="shared" si="15"/>
        <v>1.3908847293881948E-3</v>
      </c>
      <c r="S1006" s="386">
        <v>6.3089470079999996E-4</v>
      </c>
    </row>
    <row r="1007" spans="1:19" x14ac:dyDescent="0.25">
      <c r="A1007">
        <v>2022</v>
      </c>
      <c r="C1007" t="s">
        <v>6879</v>
      </c>
      <c r="D1007" t="s">
        <v>7054</v>
      </c>
      <c r="E1007" t="s">
        <v>7055</v>
      </c>
      <c r="F1007" t="s">
        <v>338</v>
      </c>
      <c r="G1007">
        <v>7010</v>
      </c>
      <c r="H1007">
        <v>40.823860000000003</v>
      </c>
      <c r="I1007">
        <v>-73.989034000000004</v>
      </c>
      <c r="K1007">
        <v>110004143524</v>
      </c>
      <c r="L1007" t="s">
        <v>265</v>
      </c>
      <c r="R1007" s="387">
        <f t="shared" si="15"/>
        <v>1.2071829726765465E-3</v>
      </c>
      <c r="S1007" s="386">
        <v>5.4756898559999996E-4</v>
      </c>
    </row>
  </sheetData>
  <sheetProtection formatCells="0" formatColumns="0" formatRows="0"/>
  <autoFilter ref="A1:S1007" xr:uid="{6E718F58-F20A-413F-8EA4-2EBE307A2758}"/>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0A3F08D-95A6-4EE4-9E7E-F291751ABDAE}">
          <x14:formula1>
            <xm:f>OES!$A$2:$A$16</xm:f>
          </x14:formula1>
          <xm:sqref>L2:L30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F50B-5591-47E0-9F68-F5DB8F2E6C3F}">
  <sheetPr>
    <tabColor theme="8" tint="0.59999389629810485"/>
  </sheetPr>
  <dimension ref="A1:R540"/>
  <sheetViews>
    <sheetView workbookViewId="0">
      <selection activeCell="A3" sqref="A3"/>
    </sheetView>
  </sheetViews>
  <sheetFormatPr defaultRowHeight="15" x14ac:dyDescent="0.25"/>
  <cols>
    <col min="1" max="3" width="17.140625" style="28" customWidth="1"/>
    <col min="4" max="4" width="16.5703125" style="28" bestFit="1" customWidth="1"/>
    <col min="5" max="5" width="2.5703125" style="28" customWidth="1"/>
    <col min="6" max="6" width="17.5703125" style="28" customWidth="1"/>
    <col min="7" max="7" width="2.5703125" style="28" customWidth="1"/>
    <col min="8" max="8" width="16.140625" style="28" customWidth="1"/>
    <col min="9" max="9" width="18.85546875" style="28" customWidth="1"/>
    <col min="10" max="11" width="19.85546875" style="28" customWidth="1"/>
    <col min="12" max="12" width="12" style="28" customWidth="1"/>
    <col min="13" max="13" width="18.5703125" style="28" bestFit="1" customWidth="1"/>
    <col min="14" max="15" width="12.42578125" style="28" customWidth="1"/>
    <col min="16" max="16" width="17" style="28" customWidth="1"/>
    <col min="17" max="17" width="17" style="60" customWidth="1"/>
    <col min="18" max="18" width="101.85546875" bestFit="1" customWidth="1"/>
    <col min="19" max="19" width="14" bestFit="1" customWidth="1"/>
    <col min="20" max="20" width="23.42578125" bestFit="1" customWidth="1"/>
    <col min="21" max="21" width="31.42578125" bestFit="1" customWidth="1"/>
  </cols>
  <sheetData>
    <row r="1" spans="1:18" ht="45" x14ac:dyDescent="0.25">
      <c r="A1" s="69"/>
      <c r="B1" s="69"/>
      <c r="C1" s="69"/>
      <c r="D1" s="69"/>
      <c r="E1" s="69"/>
      <c r="F1" s="65" t="s">
        <v>2428</v>
      </c>
      <c r="G1" s="65"/>
      <c r="H1" s="65" t="s">
        <v>2428</v>
      </c>
      <c r="I1" s="65" t="s">
        <v>2429</v>
      </c>
      <c r="J1" s="65" t="s">
        <v>2429</v>
      </c>
      <c r="K1" s="115" t="s">
        <v>2430</v>
      </c>
      <c r="L1" s="115" t="s">
        <v>2430</v>
      </c>
      <c r="M1" s="115" t="s">
        <v>2430</v>
      </c>
      <c r="N1" s="69"/>
      <c r="O1" s="115" t="s">
        <v>2430</v>
      </c>
      <c r="P1" s="115" t="s">
        <v>2430</v>
      </c>
      <c r="Q1" s="115"/>
    </row>
    <row r="2" spans="1:18" x14ac:dyDescent="0.25">
      <c r="A2" s="69"/>
      <c r="B2" s="69"/>
      <c r="C2" s="69"/>
      <c r="D2" s="65"/>
      <c r="E2" s="65"/>
      <c r="F2" s="65" t="s">
        <v>2431</v>
      </c>
      <c r="G2" s="65"/>
      <c r="H2" s="65" t="s">
        <v>2431</v>
      </c>
      <c r="I2" s="65" t="s">
        <v>2432</v>
      </c>
      <c r="J2" s="65" t="s">
        <v>2432</v>
      </c>
      <c r="K2" s="65"/>
      <c r="L2" s="65"/>
      <c r="M2" s="69"/>
      <c r="N2" s="69"/>
      <c r="O2" s="69"/>
      <c r="P2" s="120"/>
      <c r="Q2" s="121"/>
      <c r="R2" s="67"/>
    </row>
    <row r="3" spans="1:18" ht="60" x14ac:dyDescent="0.25">
      <c r="A3" s="69" t="s">
        <v>2395</v>
      </c>
      <c r="B3" s="69" t="s">
        <v>276</v>
      </c>
      <c r="C3" s="69" t="s">
        <v>2433</v>
      </c>
      <c r="D3" s="70" t="s">
        <v>2434</v>
      </c>
      <c r="E3" s="70"/>
      <c r="F3" s="70" t="s">
        <v>2435</v>
      </c>
      <c r="G3" s="70"/>
      <c r="H3" s="70" t="s">
        <v>2436</v>
      </c>
      <c r="I3" s="70" t="s">
        <v>2435</v>
      </c>
      <c r="J3" s="70" t="s">
        <v>2436</v>
      </c>
      <c r="K3" s="71" t="s">
        <v>2437</v>
      </c>
      <c r="L3" s="71" t="s">
        <v>2438</v>
      </c>
      <c r="M3" s="71" t="s">
        <v>2439</v>
      </c>
      <c r="N3" s="71" t="s">
        <v>1455</v>
      </c>
      <c r="O3" s="71" t="s">
        <v>2440</v>
      </c>
      <c r="P3" s="71" t="s">
        <v>2441</v>
      </c>
      <c r="Q3" s="71" t="s">
        <v>2442</v>
      </c>
      <c r="R3" s="58" t="s">
        <v>243</v>
      </c>
    </row>
    <row r="4" spans="1:18" x14ac:dyDescent="0.25">
      <c r="A4" s="61">
        <v>2015</v>
      </c>
      <c r="B4" s="61" t="s">
        <v>202</v>
      </c>
      <c r="C4" s="28" t="s">
        <v>957</v>
      </c>
      <c r="D4" s="68">
        <v>42035</v>
      </c>
      <c r="E4" s="68"/>
      <c r="F4" s="28">
        <v>6.0000000000000001E-3</v>
      </c>
      <c r="H4" s="28">
        <v>6.0000000000000001E-3</v>
      </c>
      <c r="I4" s="28">
        <v>4.3425000000000002</v>
      </c>
      <c r="J4" s="28">
        <v>3.5939000000000001</v>
      </c>
      <c r="K4" s="62">
        <f>IFERROR(+F4*I4*3.785,"")</f>
        <v>9.8618175000000016E-2</v>
      </c>
      <c r="L4" s="62">
        <f>IFERROR(H4*J4*3.785*N4,"")</f>
        <v>2.5301415389999997</v>
      </c>
      <c r="M4" s="83">
        <f>IFERROR(+L4/N4,"")</f>
        <v>8.1617468999999984E-2</v>
      </c>
      <c r="N4" s="28">
        <v>31</v>
      </c>
      <c r="O4" s="93">
        <f>IF(AND(L4&gt;0,L4&lt;&gt;""), L4/(N4/30.4167),"")</f>
        <v>2.4825340693322993</v>
      </c>
      <c r="P4" s="62">
        <f>IFERROR(L4*2.205,"")</f>
        <v>5.5789620934949999</v>
      </c>
      <c r="Q4" s="74">
        <v>1</v>
      </c>
      <c r="R4" s="170"/>
    </row>
    <row r="5" spans="1:18" x14ac:dyDescent="0.25">
      <c r="A5" s="61">
        <v>2015</v>
      </c>
      <c r="B5" s="61" t="s">
        <v>202</v>
      </c>
      <c r="C5" s="28" t="s">
        <v>957</v>
      </c>
      <c r="D5" s="68">
        <v>42063</v>
      </c>
      <c r="E5" s="68"/>
      <c r="F5" s="28">
        <v>1.6E-2</v>
      </c>
      <c r="H5" s="28">
        <v>1.6E-2</v>
      </c>
      <c r="I5" s="28">
        <v>3.6288</v>
      </c>
      <c r="J5" s="28">
        <v>3.1128999999999998</v>
      </c>
      <c r="K5" s="62">
        <f t="shared" ref="K5:K68" si="0">IFERROR(+F5*I5*3.785,"")</f>
        <v>0.21976012800000003</v>
      </c>
      <c r="L5" s="62">
        <f t="shared" ref="L5:L68" si="1">IFERROR(H5*J5*3.785*N5,"")</f>
        <v>5.2784822720000006</v>
      </c>
      <c r="M5" s="83">
        <f t="shared" ref="M5:M68" si="2">IFERROR(+L5/N5,"")</f>
        <v>0.18851722400000001</v>
      </c>
      <c r="N5" s="28">
        <v>28</v>
      </c>
      <c r="O5" s="93">
        <f t="shared" ref="O5:O23" si="3">IF(AND(L5&gt;0,L5&lt;&gt;""), L5/(N5/30.4167),"")</f>
        <v>5.7340718472408003</v>
      </c>
      <c r="P5" s="62">
        <f t="shared" ref="P5:P58" si="4">IFERROR(L5*2.205,"")</f>
        <v>11.639053409760002</v>
      </c>
      <c r="Q5" s="74">
        <v>1</v>
      </c>
      <c r="R5" s="170"/>
    </row>
    <row r="6" spans="1:18" x14ac:dyDescent="0.25">
      <c r="A6" s="61">
        <v>2015</v>
      </c>
      <c r="B6" s="61" t="s">
        <v>202</v>
      </c>
      <c r="C6" s="28" t="s">
        <v>957</v>
      </c>
      <c r="D6" s="68">
        <v>42094</v>
      </c>
      <c r="E6" s="68"/>
      <c r="F6" s="28">
        <v>0.223</v>
      </c>
      <c r="H6" s="28">
        <v>0.223</v>
      </c>
      <c r="I6" s="28">
        <v>4.8952</v>
      </c>
      <c r="J6" s="28">
        <v>4.3276000000000003</v>
      </c>
      <c r="K6" s="62">
        <f t="shared" si="0"/>
        <v>4.1318180360000003</v>
      </c>
      <c r="L6" s="62">
        <f t="shared" si="1"/>
        <v>113.23470495800002</v>
      </c>
      <c r="M6" s="83">
        <f t="shared" si="2"/>
        <v>3.6527324180000007</v>
      </c>
      <c r="N6" s="28">
        <v>31</v>
      </c>
      <c r="O6" s="93">
        <f t="shared" si="3"/>
        <v>111.10406613858061</v>
      </c>
      <c r="P6" s="62">
        <f t="shared" si="4"/>
        <v>249.68252443239007</v>
      </c>
      <c r="Q6" s="74">
        <v>1</v>
      </c>
      <c r="R6" s="170"/>
    </row>
    <row r="7" spans="1:18" x14ac:dyDescent="0.25">
      <c r="A7" s="61">
        <v>2015</v>
      </c>
      <c r="B7" s="61" t="s">
        <v>202</v>
      </c>
      <c r="C7" s="28" t="s">
        <v>957</v>
      </c>
      <c r="D7" s="68">
        <v>42124</v>
      </c>
      <c r="E7" s="68"/>
      <c r="F7" s="28">
        <v>4.0000000000000001E-3</v>
      </c>
      <c r="H7" s="28">
        <v>4.0000000000000001E-3</v>
      </c>
      <c r="I7" s="28">
        <v>4.8132000000000001</v>
      </c>
      <c r="J7" s="28">
        <v>4.0115999999999996</v>
      </c>
      <c r="K7" s="62">
        <f t="shared" si="0"/>
        <v>7.2871848000000003E-2</v>
      </c>
      <c r="L7" s="62">
        <f t="shared" si="1"/>
        <v>1.8220687199999999</v>
      </c>
      <c r="M7" s="83">
        <f t="shared" si="2"/>
        <v>6.0735623999999995E-2</v>
      </c>
      <c r="N7" s="28">
        <v>30</v>
      </c>
      <c r="O7" s="93">
        <f t="shared" si="3"/>
        <v>1.8473772545207996</v>
      </c>
      <c r="P7" s="62">
        <f t="shared" si="4"/>
        <v>4.0176615275999996</v>
      </c>
      <c r="Q7" s="74">
        <v>1</v>
      </c>
      <c r="R7" s="170"/>
    </row>
    <row r="8" spans="1:18" x14ac:dyDescent="0.25">
      <c r="A8" s="61">
        <v>2015</v>
      </c>
      <c r="B8" s="61" t="s">
        <v>202</v>
      </c>
      <c r="C8" s="28" t="s">
        <v>957</v>
      </c>
      <c r="D8" s="68">
        <v>42155</v>
      </c>
      <c r="E8" s="68"/>
      <c r="F8" s="28">
        <v>6.0000000000000001E-3</v>
      </c>
      <c r="H8" s="28">
        <v>6.0000000000000001E-3</v>
      </c>
      <c r="I8" s="28">
        <v>3.7702</v>
      </c>
      <c r="J8" s="28">
        <v>3.5308000000000002</v>
      </c>
      <c r="K8" s="62">
        <f t="shared" si="0"/>
        <v>8.5621242E-2</v>
      </c>
      <c r="L8" s="62">
        <f t="shared" si="1"/>
        <v>2.4857185080000002</v>
      </c>
      <c r="M8" s="83">
        <f t="shared" si="2"/>
        <v>8.0184468000000009E-2</v>
      </c>
      <c r="N8" s="28">
        <v>31</v>
      </c>
      <c r="O8" s="93">
        <f t="shared" si="3"/>
        <v>2.4389469078156001</v>
      </c>
      <c r="P8" s="62">
        <f t="shared" si="4"/>
        <v>5.4810093101400001</v>
      </c>
      <c r="Q8" s="74">
        <v>1</v>
      </c>
      <c r="R8" s="170"/>
    </row>
    <row r="9" spans="1:18" x14ac:dyDescent="0.25">
      <c r="A9" s="61">
        <v>2015</v>
      </c>
      <c r="B9" s="61" t="s">
        <v>202</v>
      </c>
      <c r="C9" s="28" t="s">
        <v>957</v>
      </c>
      <c r="D9" s="68">
        <v>42185</v>
      </c>
      <c r="E9" s="68"/>
      <c r="F9" s="28">
        <v>1.4E-2</v>
      </c>
      <c r="H9" s="28">
        <v>1.4E-2</v>
      </c>
      <c r="I9" s="28">
        <v>4.7522000000000002</v>
      </c>
      <c r="J9" s="28">
        <v>4.1136999999999997</v>
      </c>
      <c r="K9" s="62">
        <f t="shared" si="0"/>
        <v>0.25181907800000003</v>
      </c>
      <c r="L9" s="62">
        <f t="shared" si="1"/>
        <v>6.5395488899999998</v>
      </c>
      <c r="M9" s="83">
        <f t="shared" si="2"/>
        <v>0.217984963</v>
      </c>
      <c r="N9" s="28">
        <v>30</v>
      </c>
      <c r="O9" s="93">
        <f t="shared" si="3"/>
        <v>6.6303832240820988</v>
      </c>
      <c r="P9" s="62">
        <f t="shared" si="4"/>
        <v>14.41970530245</v>
      </c>
      <c r="Q9" s="74">
        <v>1</v>
      </c>
      <c r="R9" s="170"/>
    </row>
    <row r="10" spans="1:18" x14ac:dyDescent="0.25">
      <c r="A10" s="61">
        <v>2015</v>
      </c>
      <c r="B10" s="61" t="s">
        <v>202</v>
      </c>
      <c r="C10" s="28" t="s">
        <v>957</v>
      </c>
      <c r="D10" s="68">
        <v>42216</v>
      </c>
      <c r="E10" s="68"/>
      <c r="F10" s="28">
        <v>5.0000000000000001E-3</v>
      </c>
      <c r="H10" s="28">
        <v>5.0000000000000001E-3</v>
      </c>
      <c r="I10" s="28">
        <v>4.2667000000000002</v>
      </c>
      <c r="J10" s="28">
        <v>3.0767000000000002</v>
      </c>
      <c r="K10" s="62">
        <f t="shared" si="0"/>
        <v>8.0747297500000009E-2</v>
      </c>
      <c r="L10" s="62">
        <f t="shared" si="1"/>
        <v>1.8050229725000002</v>
      </c>
      <c r="M10" s="83">
        <f t="shared" si="2"/>
        <v>5.822654750000001E-2</v>
      </c>
      <c r="N10" s="28">
        <v>31</v>
      </c>
      <c r="O10" s="93">
        <f t="shared" si="3"/>
        <v>1.7710594273432501</v>
      </c>
      <c r="P10" s="62">
        <f t="shared" si="4"/>
        <v>3.9800756543625004</v>
      </c>
      <c r="Q10" s="74">
        <v>1</v>
      </c>
      <c r="R10" s="170"/>
    </row>
    <row r="11" spans="1:18" x14ac:dyDescent="0.25">
      <c r="A11" s="61">
        <v>2015</v>
      </c>
      <c r="B11" s="61" t="s">
        <v>202</v>
      </c>
      <c r="C11" s="28" t="s">
        <v>957</v>
      </c>
      <c r="D11" s="68">
        <v>42247</v>
      </c>
      <c r="E11" s="68"/>
      <c r="F11" s="28">
        <v>6.0000000000000001E-3</v>
      </c>
      <c r="H11" s="28">
        <v>6.0000000000000001E-3</v>
      </c>
      <c r="I11" s="28">
        <v>4.5963000000000003</v>
      </c>
      <c r="J11" s="28">
        <v>4.3897000000000004</v>
      </c>
      <c r="K11" s="62">
        <f t="shared" si="0"/>
        <v>0.10438197300000002</v>
      </c>
      <c r="L11" s="62">
        <f t="shared" si="1"/>
        <v>3.0903926970000004</v>
      </c>
      <c r="M11" s="83">
        <f t="shared" si="2"/>
        <v>9.9690087000000011E-2</v>
      </c>
      <c r="N11" s="28">
        <v>31</v>
      </c>
      <c r="O11" s="93">
        <f t="shared" si="3"/>
        <v>3.0322434692528999</v>
      </c>
      <c r="P11" s="62">
        <f t="shared" si="4"/>
        <v>6.8143158968850015</v>
      </c>
      <c r="Q11" s="74">
        <v>1</v>
      </c>
      <c r="R11" s="170"/>
    </row>
    <row r="12" spans="1:18" x14ac:dyDescent="0.25">
      <c r="A12" s="61">
        <v>2015</v>
      </c>
      <c r="B12" s="61" t="s">
        <v>202</v>
      </c>
      <c r="C12" s="28" t="s">
        <v>957</v>
      </c>
      <c r="D12" s="68">
        <v>42277</v>
      </c>
      <c r="E12" s="68"/>
      <c r="F12" s="28">
        <v>4.0000000000000001E-3</v>
      </c>
      <c r="H12" s="28">
        <v>4.0000000000000001E-3</v>
      </c>
      <c r="I12" s="28">
        <v>4.3867000000000003</v>
      </c>
      <c r="J12" s="28">
        <v>4.1599000000000004</v>
      </c>
      <c r="K12" s="62">
        <f t="shared" si="0"/>
        <v>6.6414638000000012E-2</v>
      </c>
      <c r="L12" s="62">
        <f t="shared" si="1"/>
        <v>1.8894265800000001</v>
      </c>
      <c r="M12" s="83">
        <f t="shared" si="2"/>
        <v>6.2980886E-2</v>
      </c>
      <c r="N12" s="28">
        <v>30</v>
      </c>
      <c r="O12" s="93">
        <f t="shared" si="3"/>
        <v>1.9156707151961998</v>
      </c>
      <c r="P12" s="62">
        <f t="shared" si="4"/>
        <v>4.1661856089000002</v>
      </c>
      <c r="Q12" s="74">
        <v>1</v>
      </c>
      <c r="R12" s="170"/>
    </row>
    <row r="13" spans="1:18" x14ac:dyDescent="0.25">
      <c r="A13" s="61">
        <v>2015</v>
      </c>
      <c r="B13" s="61" t="s">
        <v>202</v>
      </c>
      <c r="C13" s="28" t="s">
        <v>957</v>
      </c>
      <c r="D13" s="68">
        <v>42308</v>
      </c>
      <c r="E13" s="68"/>
      <c r="F13" s="28">
        <v>1.07</v>
      </c>
      <c r="H13" s="28">
        <v>1.07</v>
      </c>
      <c r="I13" s="28">
        <v>4.5726000000000004</v>
      </c>
      <c r="J13" s="28">
        <v>4.1994999999999996</v>
      </c>
      <c r="K13" s="62">
        <f t="shared" si="0"/>
        <v>18.518801370000002</v>
      </c>
      <c r="L13" s="62">
        <f t="shared" si="1"/>
        <v>527.2407157749999</v>
      </c>
      <c r="M13" s="83">
        <f t="shared" si="2"/>
        <v>17.007765024999998</v>
      </c>
      <c r="N13" s="28">
        <v>31</v>
      </c>
      <c r="O13" s="93">
        <f t="shared" si="3"/>
        <v>517.32008643591735</v>
      </c>
      <c r="P13" s="62">
        <f t="shared" si="4"/>
        <v>1162.5657782838748</v>
      </c>
      <c r="Q13" s="74">
        <v>1</v>
      </c>
      <c r="R13" s="170"/>
    </row>
    <row r="14" spans="1:18" x14ac:dyDescent="0.25">
      <c r="A14" s="61">
        <v>2015</v>
      </c>
      <c r="B14" s="61" t="s">
        <v>202</v>
      </c>
      <c r="C14" s="28" t="s">
        <v>957</v>
      </c>
      <c r="D14" s="68">
        <v>42338</v>
      </c>
      <c r="E14" s="68"/>
      <c r="F14" s="28">
        <v>0.14099999999999999</v>
      </c>
      <c r="H14" s="28">
        <v>0.14099999999999999</v>
      </c>
      <c r="I14" s="28">
        <v>4.9046000000000003</v>
      </c>
      <c r="J14" s="28">
        <v>4.1746999999999996</v>
      </c>
      <c r="K14" s="62">
        <f t="shared" si="0"/>
        <v>2.6175114509999999</v>
      </c>
      <c r="L14" s="62">
        <f t="shared" si="1"/>
        <v>66.839243084999993</v>
      </c>
      <c r="M14" s="83">
        <f t="shared" si="2"/>
        <v>2.2279747694999998</v>
      </c>
      <c r="N14" s="28">
        <v>30</v>
      </c>
      <c r="O14" s="93">
        <f t="shared" si="3"/>
        <v>67.767640171450637</v>
      </c>
      <c r="P14" s="62">
        <f t="shared" si="4"/>
        <v>147.38053100242499</v>
      </c>
      <c r="Q14" s="74">
        <v>1</v>
      </c>
      <c r="R14" s="170"/>
    </row>
    <row r="15" spans="1:18" x14ac:dyDescent="0.25">
      <c r="A15" s="61">
        <v>2015</v>
      </c>
      <c r="B15" s="61" t="s">
        <v>202</v>
      </c>
      <c r="C15" s="28" t="s">
        <v>957</v>
      </c>
      <c r="D15" s="68">
        <v>42369</v>
      </c>
      <c r="E15" s="68"/>
      <c r="F15" s="28">
        <v>3.6999999999999998E-2</v>
      </c>
      <c r="H15" s="28">
        <v>3.6999999999999998E-2</v>
      </c>
      <c r="I15" s="28">
        <v>4.8593000000000002</v>
      </c>
      <c r="J15" s="28">
        <v>4.1021000000000001</v>
      </c>
      <c r="K15" s="62">
        <f t="shared" si="0"/>
        <v>0.68052066849999993</v>
      </c>
      <c r="L15" s="62">
        <f t="shared" si="1"/>
        <v>17.808836429499998</v>
      </c>
      <c r="M15" s="83">
        <f t="shared" si="2"/>
        <v>0.57447859449999994</v>
      </c>
      <c r="N15" s="28">
        <v>31</v>
      </c>
      <c r="O15" s="93">
        <f t="shared" si="3"/>
        <v>17.473743065328147</v>
      </c>
      <c r="P15" s="62">
        <f t="shared" ref="P15:P16" si="5">IFERROR(L15*2.205,"")</f>
        <v>39.268484327047496</v>
      </c>
      <c r="Q15" s="74">
        <v>1</v>
      </c>
      <c r="R15" s="170"/>
    </row>
    <row r="16" spans="1:18" x14ac:dyDescent="0.25">
      <c r="A16" s="61">
        <v>2015</v>
      </c>
      <c r="B16" s="61" t="s">
        <v>202</v>
      </c>
      <c r="C16" s="28" t="s">
        <v>957</v>
      </c>
      <c r="D16" s="68"/>
      <c r="F16" s="83"/>
      <c r="G16" s="83"/>
      <c r="H16" s="83"/>
      <c r="K16" s="62">
        <f t="shared" si="0"/>
        <v>0</v>
      </c>
      <c r="L16" s="62">
        <f t="shared" si="1"/>
        <v>0</v>
      </c>
      <c r="M16" s="83">
        <f t="shared" si="2"/>
        <v>0</v>
      </c>
      <c r="N16" s="28">
        <v>31</v>
      </c>
      <c r="O16" s="93" t="str">
        <f t="shared" si="3"/>
        <v/>
      </c>
      <c r="P16" s="62">
        <f t="shared" si="5"/>
        <v>0</v>
      </c>
      <c r="Q16" s="74">
        <v>2</v>
      </c>
      <c r="R16" s="170" t="s">
        <v>6757</v>
      </c>
    </row>
    <row r="17" spans="1:18" x14ac:dyDescent="0.25">
      <c r="A17" s="167">
        <v>2015</v>
      </c>
      <c r="B17" s="167" t="s">
        <v>202</v>
      </c>
      <c r="C17" s="28" t="s">
        <v>957</v>
      </c>
      <c r="D17" s="68"/>
      <c r="E17" s="171"/>
      <c r="K17" s="62">
        <f t="shared" si="0"/>
        <v>0</v>
      </c>
      <c r="L17" s="62">
        <f t="shared" si="1"/>
        <v>0</v>
      </c>
      <c r="M17" s="83">
        <f t="shared" si="2"/>
        <v>0</v>
      </c>
      <c r="N17" s="28">
        <v>31</v>
      </c>
      <c r="O17" s="93" t="str">
        <f t="shared" si="3"/>
        <v/>
      </c>
      <c r="P17" s="62"/>
      <c r="Q17" s="74">
        <v>9</v>
      </c>
      <c r="R17" s="170"/>
    </row>
    <row r="18" spans="1:18" x14ac:dyDescent="0.25">
      <c r="A18" s="167">
        <v>2015</v>
      </c>
      <c r="B18" s="167" t="s">
        <v>128</v>
      </c>
      <c r="C18" s="28" t="s">
        <v>821</v>
      </c>
      <c r="D18" s="171">
        <v>42094</v>
      </c>
      <c r="E18" s="171"/>
      <c r="F18" s="28">
        <f>342/1000</f>
        <v>0.34200000000000003</v>
      </c>
      <c r="H18" s="28">
        <f>342/1000</f>
        <v>0.34200000000000003</v>
      </c>
      <c r="I18" s="28">
        <v>0.40400000000000003</v>
      </c>
      <c r="J18" s="28">
        <v>2.42</v>
      </c>
      <c r="K18" s="62">
        <f t="shared" si="0"/>
        <v>0.52296588000000011</v>
      </c>
      <c r="L18" s="62">
        <f t="shared" si="1"/>
        <v>281.93556600000005</v>
      </c>
      <c r="M18" s="83">
        <f t="shared" si="2"/>
        <v>3.1326174000000004</v>
      </c>
      <c r="N18" s="28">
        <v>90</v>
      </c>
      <c r="O18" s="93">
        <f t="shared" si="3"/>
        <v>95.283883670580011</v>
      </c>
      <c r="P18" s="62">
        <f t="shared" si="4"/>
        <v>621.66792303000011</v>
      </c>
      <c r="Q18" s="74">
        <v>9</v>
      </c>
      <c r="R18" s="170" t="s">
        <v>2443</v>
      </c>
    </row>
    <row r="19" spans="1:18" x14ac:dyDescent="0.25">
      <c r="A19" s="167">
        <v>2015</v>
      </c>
      <c r="B19" s="167" t="s">
        <v>128</v>
      </c>
      <c r="C19" s="28" t="s">
        <v>821</v>
      </c>
      <c r="D19" s="171">
        <v>42185</v>
      </c>
      <c r="E19" s="171"/>
      <c r="F19" s="28">
        <f>281/1000</f>
        <v>0.28100000000000003</v>
      </c>
      <c r="H19" s="28">
        <f>281/1000</f>
        <v>0.28100000000000003</v>
      </c>
      <c r="I19" s="28">
        <v>0.42</v>
      </c>
      <c r="J19" s="28">
        <v>9.2999999999999999E-2</v>
      </c>
      <c r="K19" s="62">
        <f t="shared" si="0"/>
        <v>0.44670570000000009</v>
      </c>
      <c r="L19" s="62">
        <f t="shared" si="1"/>
        <v>9.0011198550000024</v>
      </c>
      <c r="M19" s="83">
        <f t="shared" si="2"/>
        <v>9.8913405000000024E-2</v>
      </c>
      <c r="N19" s="28">
        <v>91</v>
      </c>
      <c r="O19" s="93">
        <f t="shared" si="3"/>
        <v>3.0086193658635008</v>
      </c>
      <c r="P19" s="62">
        <f t="shared" si="4"/>
        <v>19.847469280275007</v>
      </c>
      <c r="Q19" s="74">
        <v>9</v>
      </c>
      <c r="R19" s="170"/>
    </row>
    <row r="20" spans="1:18" x14ac:dyDescent="0.25">
      <c r="A20" s="167">
        <v>2015</v>
      </c>
      <c r="B20" s="167" t="s">
        <v>128</v>
      </c>
      <c r="C20" s="28" t="s">
        <v>821</v>
      </c>
      <c r="D20" s="171">
        <v>42277</v>
      </c>
      <c r="E20" s="171"/>
      <c r="F20" s="28">
        <f>324/1000</f>
        <v>0.32400000000000001</v>
      </c>
      <c r="H20" s="28">
        <f>324/1000</f>
        <v>0.32400000000000001</v>
      </c>
      <c r="I20" s="28">
        <v>4.1000000000000002E-2</v>
      </c>
      <c r="J20" s="28">
        <v>1.7999999999999999E-2</v>
      </c>
      <c r="K20" s="62">
        <f t="shared" si="0"/>
        <v>5.0279940000000002E-2</v>
      </c>
      <c r="L20" s="62">
        <f t="shared" si="1"/>
        <v>2.0308190399999999</v>
      </c>
      <c r="M20" s="83">
        <f t="shared" si="2"/>
        <v>2.2074119999999999E-2</v>
      </c>
      <c r="N20" s="28">
        <v>92</v>
      </c>
      <c r="O20" s="93">
        <f t="shared" ref="O20:O22" si="6">IF(AND(L20&gt;0,L20&lt;&gt;""), L20/(N20/30.4167),"")</f>
        <v>0.67142188580399997</v>
      </c>
      <c r="P20" s="62">
        <f t="shared" ref="P20:P22" si="7">IFERROR(L20*2.205,"")</f>
        <v>4.4779559832000002</v>
      </c>
      <c r="Q20" s="74">
        <v>9</v>
      </c>
      <c r="R20" s="170"/>
    </row>
    <row r="21" spans="1:18" x14ac:dyDescent="0.25">
      <c r="A21" s="167">
        <v>2015</v>
      </c>
      <c r="B21" s="167" t="s">
        <v>128</v>
      </c>
      <c r="C21" s="28" t="s">
        <v>821</v>
      </c>
      <c r="D21" s="171">
        <v>42369</v>
      </c>
      <c r="E21" s="171"/>
      <c r="F21" s="28">
        <f>416/1000</f>
        <v>0.41599999999999998</v>
      </c>
      <c r="H21" s="28">
        <f>416/1000</f>
        <v>0.41599999999999998</v>
      </c>
      <c r="I21" s="28">
        <v>5.7939999999999996</v>
      </c>
      <c r="J21" s="28">
        <v>0.45200000000000001</v>
      </c>
      <c r="K21" s="62">
        <f t="shared" si="0"/>
        <v>9.123000639999999</v>
      </c>
      <c r="L21" s="62">
        <f t="shared" si="1"/>
        <v>65.476503040000011</v>
      </c>
      <c r="M21" s="83">
        <f t="shared" si="2"/>
        <v>0.71170112000000008</v>
      </c>
      <c r="N21" s="28">
        <v>92</v>
      </c>
      <c r="O21" s="93">
        <f t="shared" si="6"/>
        <v>21.647599456704004</v>
      </c>
      <c r="P21" s="62">
        <f t="shared" si="7"/>
        <v>144.37568920320004</v>
      </c>
      <c r="Q21" s="74">
        <v>9</v>
      </c>
      <c r="R21" s="170"/>
    </row>
    <row r="22" spans="1:18" x14ac:dyDescent="0.25">
      <c r="A22" s="167">
        <v>2015</v>
      </c>
      <c r="B22" s="167" t="s">
        <v>150</v>
      </c>
      <c r="C22" s="28" t="s">
        <v>862</v>
      </c>
      <c r="D22" s="68"/>
      <c r="E22" s="171"/>
      <c r="G22" s="169"/>
      <c r="K22" s="62">
        <f t="shared" si="0"/>
        <v>0</v>
      </c>
      <c r="L22" s="62">
        <f t="shared" si="1"/>
        <v>0</v>
      </c>
      <c r="M22" s="83" t="str">
        <f t="shared" si="2"/>
        <v/>
      </c>
      <c r="O22" s="93" t="str">
        <f t="shared" si="6"/>
        <v/>
      </c>
      <c r="P22" s="62">
        <f t="shared" si="7"/>
        <v>0</v>
      </c>
      <c r="Q22" s="74">
        <v>1</v>
      </c>
      <c r="R22" s="170" t="s">
        <v>6758</v>
      </c>
    </row>
    <row r="23" spans="1:18" x14ac:dyDescent="0.25">
      <c r="A23" s="167">
        <v>2015</v>
      </c>
      <c r="B23" s="167" t="s">
        <v>135</v>
      </c>
      <c r="C23" s="169" t="s">
        <v>835</v>
      </c>
      <c r="D23" s="68">
        <v>42035</v>
      </c>
      <c r="E23" s="171"/>
      <c r="F23" s="28">
        <f>2/1000</f>
        <v>2E-3</v>
      </c>
      <c r="G23" s="169"/>
      <c r="H23" s="28">
        <f>1/1000</f>
        <v>1E-3</v>
      </c>
      <c r="I23" s="28">
        <v>20.97</v>
      </c>
      <c r="J23" s="28">
        <v>17.72</v>
      </c>
      <c r="K23" s="62">
        <f t="shared" si="0"/>
        <v>0.15874289999999999</v>
      </c>
      <c r="L23" s="62">
        <f t="shared" si="1"/>
        <v>2.0791762</v>
      </c>
      <c r="M23" s="83">
        <f t="shared" si="2"/>
        <v>6.7070199999999996E-2</v>
      </c>
      <c r="N23" s="28">
        <v>31</v>
      </c>
      <c r="O23" s="93">
        <f t="shared" si="3"/>
        <v>2.0400541523399998</v>
      </c>
      <c r="P23" s="80">
        <f>IFERROR(L23*2.205,"")</f>
        <v>4.5845835209999999</v>
      </c>
      <c r="Q23" s="203">
        <v>31</v>
      </c>
      <c r="R23" s="170" t="s">
        <v>2444</v>
      </c>
    </row>
    <row r="24" spans="1:18" x14ac:dyDescent="0.25">
      <c r="A24" s="167">
        <v>2015</v>
      </c>
      <c r="B24" s="167" t="s">
        <v>135</v>
      </c>
      <c r="C24" s="169" t="s">
        <v>835</v>
      </c>
      <c r="D24" s="68">
        <v>42063</v>
      </c>
      <c r="E24" s="171"/>
      <c r="F24" s="28">
        <f>3/1000</f>
        <v>3.0000000000000001E-3</v>
      </c>
      <c r="G24" s="169"/>
      <c r="H24" s="28">
        <f>2/1000</f>
        <v>2E-3</v>
      </c>
      <c r="I24" s="28">
        <v>17.96</v>
      </c>
      <c r="J24" s="28">
        <v>12.47</v>
      </c>
      <c r="K24" s="62">
        <f t="shared" si="0"/>
        <v>0.20393580000000003</v>
      </c>
      <c r="L24" s="62">
        <f t="shared" si="1"/>
        <v>2.6431412000000001</v>
      </c>
      <c r="M24" s="83">
        <f t="shared" si="2"/>
        <v>9.4397900000000007E-2</v>
      </c>
      <c r="N24" s="28">
        <v>28</v>
      </c>
      <c r="O24" s="93">
        <f t="shared" ref="O24:O81" si="8">IF(AND(L24&gt;0,L24&lt;&gt;""), L24/(N24/30.4167),"")</f>
        <v>2.8712726049299997</v>
      </c>
      <c r="P24" s="80">
        <f t="shared" si="4"/>
        <v>5.8281263460000003</v>
      </c>
      <c r="Q24" s="203">
        <v>31</v>
      </c>
      <c r="R24" s="170" t="s">
        <v>2445</v>
      </c>
    </row>
    <row r="25" spans="1:18" x14ac:dyDescent="0.25">
      <c r="A25" s="167">
        <v>2015</v>
      </c>
      <c r="B25" s="167" t="s">
        <v>135</v>
      </c>
      <c r="C25" s="169" t="s">
        <v>835</v>
      </c>
      <c r="D25" s="68">
        <v>42094</v>
      </c>
      <c r="E25" s="171"/>
      <c r="F25" s="28">
        <f>1/1000</f>
        <v>1E-3</v>
      </c>
      <c r="G25" s="169"/>
      <c r="H25" s="28">
        <f>2/1000</f>
        <v>2E-3</v>
      </c>
      <c r="I25" s="28">
        <v>21.79</v>
      </c>
      <c r="J25" s="28">
        <v>16.420000000000002</v>
      </c>
      <c r="K25" s="62">
        <f t="shared" si="0"/>
        <v>8.2475150000000011E-2</v>
      </c>
      <c r="L25" s="62">
        <f t="shared" si="1"/>
        <v>3.8532814000000002</v>
      </c>
      <c r="M25" s="83">
        <f t="shared" si="2"/>
        <v>0.1242994</v>
      </c>
      <c r="N25" s="28">
        <v>31</v>
      </c>
      <c r="O25" s="93">
        <f t="shared" si="8"/>
        <v>3.7807775599799998</v>
      </c>
      <c r="P25" s="80">
        <f t="shared" si="4"/>
        <v>8.4964854870000011</v>
      </c>
      <c r="Q25" s="203">
        <v>31</v>
      </c>
      <c r="R25" s="170" t="s">
        <v>2445</v>
      </c>
    </row>
    <row r="26" spans="1:18" x14ac:dyDescent="0.25">
      <c r="A26" s="167">
        <v>2015</v>
      </c>
      <c r="B26" s="167" t="s">
        <v>135</v>
      </c>
      <c r="C26" s="169" t="s">
        <v>835</v>
      </c>
      <c r="D26" s="68">
        <v>42124</v>
      </c>
      <c r="E26" s="171"/>
      <c r="F26" s="28">
        <f>8/1000</f>
        <v>8.0000000000000002E-3</v>
      </c>
      <c r="G26" s="169"/>
      <c r="H26" s="28">
        <f>3/1000</f>
        <v>3.0000000000000001E-3</v>
      </c>
      <c r="I26" s="28">
        <v>22.53</v>
      </c>
      <c r="J26" s="28">
        <v>17.579999999999998</v>
      </c>
      <c r="K26" s="62">
        <f t="shared" si="0"/>
        <v>0.68220840000000005</v>
      </c>
      <c r="L26" s="62">
        <f t="shared" si="1"/>
        <v>5.9886269999999993</v>
      </c>
      <c r="M26" s="83">
        <f t="shared" si="2"/>
        <v>0.19962089999999996</v>
      </c>
      <c r="N26" s="28">
        <v>30</v>
      </c>
      <c r="O26" s="93">
        <f t="shared" si="8"/>
        <v>6.0718090290299989</v>
      </c>
      <c r="P26" s="62">
        <f t="shared" si="4"/>
        <v>13.204922534999998</v>
      </c>
      <c r="Q26" s="203">
        <v>31</v>
      </c>
      <c r="R26" s="170" t="s">
        <v>2445</v>
      </c>
    </row>
    <row r="27" spans="1:18" x14ac:dyDescent="0.25">
      <c r="A27" s="167">
        <v>2015</v>
      </c>
      <c r="B27" s="167" t="s">
        <v>135</v>
      </c>
      <c r="C27" s="169" t="s">
        <v>835</v>
      </c>
      <c r="D27" s="68">
        <v>42155</v>
      </c>
      <c r="E27" s="171"/>
      <c r="F27" s="28">
        <f>2/1000</f>
        <v>2E-3</v>
      </c>
      <c r="G27" s="169"/>
      <c r="H27" s="28">
        <f>3/1000</f>
        <v>3.0000000000000001E-3</v>
      </c>
      <c r="I27" s="28">
        <v>16.78</v>
      </c>
      <c r="J27" s="28">
        <v>13.23</v>
      </c>
      <c r="K27" s="62">
        <f t="shared" si="0"/>
        <v>0.12702460000000002</v>
      </c>
      <c r="L27" s="62">
        <f t="shared" si="1"/>
        <v>4.6570261500000001</v>
      </c>
      <c r="M27" s="83">
        <f t="shared" si="2"/>
        <v>0.15022664999999999</v>
      </c>
      <c r="N27" s="28">
        <v>31</v>
      </c>
      <c r="O27" s="93">
        <f t="shared" si="8"/>
        <v>4.5693989450549992</v>
      </c>
      <c r="P27" s="62">
        <f t="shared" si="4"/>
        <v>10.26874266075</v>
      </c>
      <c r="Q27" s="203">
        <v>31</v>
      </c>
      <c r="R27" s="170" t="s">
        <v>2445</v>
      </c>
    </row>
    <row r="28" spans="1:18" x14ac:dyDescent="0.25">
      <c r="A28" s="167">
        <v>2015</v>
      </c>
      <c r="B28" s="167" t="s">
        <v>135</v>
      </c>
      <c r="C28" s="169" t="s">
        <v>835</v>
      </c>
      <c r="D28" s="68">
        <v>42185</v>
      </c>
      <c r="E28" s="171"/>
      <c r="F28" s="28">
        <f>3/1000</f>
        <v>3.0000000000000001E-3</v>
      </c>
      <c r="G28" s="169"/>
      <c r="H28" s="28">
        <f>5/1000</f>
        <v>5.0000000000000001E-3</v>
      </c>
      <c r="I28" s="28">
        <v>26.58</v>
      </c>
      <c r="J28" s="28">
        <v>18.920000000000002</v>
      </c>
      <c r="K28" s="62">
        <f t="shared" si="0"/>
        <v>0.30181589999999997</v>
      </c>
      <c r="L28" s="62">
        <f t="shared" si="1"/>
        <v>10.741830000000002</v>
      </c>
      <c r="M28" s="83">
        <f t="shared" si="2"/>
        <v>0.35806100000000007</v>
      </c>
      <c r="N28" s="28">
        <v>30</v>
      </c>
      <c r="O28" s="93">
        <f t="shared" si="8"/>
        <v>10.891034018700001</v>
      </c>
      <c r="P28" s="83">
        <f t="shared" si="4"/>
        <v>23.685735150000006</v>
      </c>
      <c r="Q28" s="203">
        <v>31</v>
      </c>
      <c r="R28" s="170" t="s">
        <v>2445</v>
      </c>
    </row>
    <row r="29" spans="1:18" x14ac:dyDescent="0.25">
      <c r="A29" s="167">
        <v>2015</v>
      </c>
      <c r="B29" s="167" t="s">
        <v>135</v>
      </c>
      <c r="C29" s="169" t="s">
        <v>835</v>
      </c>
      <c r="D29" s="68">
        <v>42216</v>
      </c>
      <c r="E29" s="171"/>
      <c r="F29" s="28">
        <f>5/1000</f>
        <v>5.0000000000000001E-3</v>
      </c>
      <c r="G29" s="169"/>
      <c r="H29" s="28">
        <f>8/1000</f>
        <v>8.0000000000000002E-3</v>
      </c>
      <c r="I29" s="28">
        <v>15.15</v>
      </c>
      <c r="J29" s="28">
        <v>13.42</v>
      </c>
      <c r="K29" s="62">
        <f t="shared" si="0"/>
        <v>0.28671374999999999</v>
      </c>
      <c r="L29" s="62">
        <f t="shared" si="1"/>
        <v>12.5970856</v>
      </c>
      <c r="M29" s="83">
        <f t="shared" si="2"/>
        <v>0.40635759999999999</v>
      </c>
      <c r="N29" s="28">
        <v>31</v>
      </c>
      <c r="O29" s="93">
        <f t="shared" si="8"/>
        <v>12.360057211919999</v>
      </c>
      <c r="P29" s="83">
        <f t="shared" si="4"/>
        <v>27.776573748000001</v>
      </c>
      <c r="Q29" s="203">
        <v>31</v>
      </c>
      <c r="R29" s="170" t="s">
        <v>2445</v>
      </c>
    </row>
    <row r="30" spans="1:18" x14ac:dyDescent="0.25">
      <c r="A30" s="167">
        <v>2015</v>
      </c>
      <c r="B30" s="167" t="s">
        <v>135</v>
      </c>
      <c r="C30" s="169" t="s">
        <v>835</v>
      </c>
      <c r="D30" s="68">
        <v>42035</v>
      </c>
      <c r="E30" s="171"/>
      <c r="F30" s="28" t="s">
        <v>2446</v>
      </c>
      <c r="G30" s="169"/>
      <c r="H30" s="28" t="s">
        <v>2446</v>
      </c>
      <c r="I30" s="172" t="s">
        <v>2447</v>
      </c>
      <c r="J30" s="172" t="s">
        <v>2447</v>
      </c>
      <c r="K30" s="62" t="str">
        <f t="shared" si="0"/>
        <v/>
      </c>
      <c r="L30" s="62" t="str">
        <f t="shared" si="1"/>
        <v/>
      </c>
      <c r="M30" s="83" t="str">
        <f t="shared" si="2"/>
        <v/>
      </c>
      <c r="N30" s="28">
        <v>31</v>
      </c>
      <c r="O30" s="93" t="str">
        <f t="shared" si="8"/>
        <v/>
      </c>
      <c r="P30" s="83" t="str">
        <f t="shared" si="4"/>
        <v/>
      </c>
      <c r="Q30" s="204" t="s">
        <v>2448</v>
      </c>
      <c r="R30" s="170"/>
    </row>
    <row r="31" spans="1:18" x14ac:dyDescent="0.25">
      <c r="A31" s="167">
        <v>2015</v>
      </c>
      <c r="B31" s="167" t="s">
        <v>135</v>
      </c>
      <c r="C31" s="169" t="s">
        <v>835</v>
      </c>
      <c r="D31" s="68">
        <v>42063</v>
      </c>
      <c r="E31" s="171"/>
      <c r="F31" s="28" t="s">
        <v>2446</v>
      </c>
      <c r="G31" s="169"/>
      <c r="H31" s="28" t="s">
        <v>2446</v>
      </c>
      <c r="I31" s="172" t="s">
        <v>2447</v>
      </c>
      <c r="J31" s="172" t="s">
        <v>2447</v>
      </c>
      <c r="K31" s="62" t="str">
        <f t="shared" si="0"/>
        <v/>
      </c>
      <c r="L31" s="62" t="str">
        <f t="shared" si="1"/>
        <v/>
      </c>
      <c r="M31" s="83" t="str">
        <f t="shared" si="2"/>
        <v/>
      </c>
      <c r="N31" s="28">
        <v>28</v>
      </c>
      <c r="O31" s="93" t="str">
        <f t="shared" si="8"/>
        <v/>
      </c>
      <c r="P31" s="83" t="str">
        <f t="shared" ref="P31:P34" si="9">IFERROR(L31*2.205,"")</f>
        <v/>
      </c>
      <c r="Q31" s="204" t="s">
        <v>2448</v>
      </c>
      <c r="R31" s="170"/>
    </row>
    <row r="32" spans="1:18" x14ac:dyDescent="0.25">
      <c r="A32" s="167">
        <v>2015</v>
      </c>
      <c r="B32" s="167" t="s">
        <v>135</v>
      </c>
      <c r="C32" s="169" t="s">
        <v>835</v>
      </c>
      <c r="D32" s="68">
        <v>42094</v>
      </c>
      <c r="E32" s="171"/>
      <c r="F32" s="28" t="s">
        <v>2446</v>
      </c>
      <c r="G32" s="169"/>
      <c r="H32" s="28" t="s">
        <v>2446</v>
      </c>
      <c r="I32" s="172" t="s">
        <v>2447</v>
      </c>
      <c r="J32" s="172" t="s">
        <v>2447</v>
      </c>
      <c r="K32" s="62" t="str">
        <f t="shared" si="0"/>
        <v/>
      </c>
      <c r="L32" s="62" t="str">
        <f t="shared" si="1"/>
        <v/>
      </c>
      <c r="M32" s="83" t="str">
        <f t="shared" si="2"/>
        <v/>
      </c>
      <c r="N32" s="28">
        <v>31</v>
      </c>
      <c r="O32" s="93" t="str">
        <f t="shared" si="8"/>
        <v/>
      </c>
      <c r="P32" s="83" t="str">
        <f t="shared" si="9"/>
        <v/>
      </c>
      <c r="Q32" s="204" t="s">
        <v>2448</v>
      </c>
      <c r="R32" s="170"/>
    </row>
    <row r="33" spans="1:18" x14ac:dyDescent="0.25">
      <c r="A33" s="167">
        <v>2015</v>
      </c>
      <c r="B33" s="167" t="s">
        <v>135</v>
      </c>
      <c r="C33" s="169" t="s">
        <v>835</v>
      </c>
      <c r="D33" s="68">
        <v>42124</v>
      </c>
      <c r="E33" s="171"/>
      <c r="F33" s="28" t="s">
        <v>2446</v>
      </c>
      <c r="G33" s="169"/>
      <c r="H33" s="28" t="s">
        <v>2446</v>
      </c>
      <c r="I33" s="172" t="s">
        <v>2447</v>
      </c>
      <c r="J33" s="172" t="s">
        <v>2447</v>
      </c>
      <c r="K33" s="62" t="str">
        <f t="shared" si="0"/>
        <v/>
      </c>
      <c r="L33" s="62" t="str">
        <f t="shared" si="1"/>
        <v/>
      </c>
      <c r="M33" s="83" t="str">
        <f t="shared" si="2"/>
        <v/>
      </c>
      <c r="N33" s="28">
        <v>30</v>
      </c>
      <c r="O33" s="93" t="str">
        <f t="shared" si="8"/>
        <v/>
      </c>
      <c r="P33" s="83" t="str">
        <f t="shared" si="9"/>
        <v/>
      </c>
      <c r="Q33" s="204" t="s">
        <v>2448</v>
      </c>
      <c r="R33" s="170"/>
    </row>
    <row r="34" spans="1:18" x14ac:dyDescent="0.25">
      <c r="A34" s="167">
        <v>2015</v>
      </c>
      <c r="B34" s="167" t="s">
        <v>135</v>
      </c>
      <c r="C34" s="169" t="s">
        <v>835</v>
      </c>
      <c r="D34" s="68">
        <v>42155</v>
      </c>
      <c r="E34" s="171"/>
      <c r="F34" s="28" t="s">
        <v>2446</v>
      </c>
      <c r="G34" s="169"/>
      <c r="H34" s="28" t="s">
        <v>2446</v>
      </c>
      <c r="I34" s="172" t="s">
        <v>2447</v>
      </c>
      <c r="J34" s="172" t="s">
        <v>2447</v>
      </c>
      <c r="K34" s="62" t="str">
        <f t="shared" si="0"/>
        <v/>
      </c>
      <c r="L34" s="62" t="str">
        <f t="shared" si="1"/>
        <v/>
      </c>
      <c r="M34" s="83" t="str">
        <f t="shared" si="2"/>
        <v/>
      </c>
      <c r="N34" s="28">
        <v>31</v>
      </c>
      <c r="O34" s="93" t="str">
        <f t="shared" si="8"/>
        <v/>
      </c>
      <c r="P34" s="83" t="str">
        <f t="shared" si="9"/>
        <v/>
      </c>
      <c r="Q34" s="204" t="s">
        <v>2448</v>
      </c>
      <c r="R34" s="170"/>
    </row>
    <row r="35" spans="1:18" x14ac:dyDescent="0.25">
      <c r="A35" s="167">
        <v>2015</v>
      </c>
      <c r="B35" s="167" t="s">
        <v>135</v>
      </c>
      <c r="C35" s="169" t="s">
        <v>835</v>
      </c>
      <c r="D35" s="68">
        <v>42185</v>
      </c>
      <c r="E35" s="171"/>
      <c r="F35" s="28" t="s">
        <v>2446</v>
      </c>
      <c r="G35" s="169"/>
      <c r="H35" s="28" t="s">
        <v>2446</v>
      </c>
      <c r="I35" s="172" t="s">
        <v>2447</v>
      </c>
      <c r="J35" s="172" t="s">
        <v>2447</v>
      </c>
      <c r="K35" s="62" t="str">
        <f t="shared" si="0"/>
        <v/>
      </c>
      <c r="L35" s="62" t="str">
        <f t="shared" si="1"/>
        <v/>
      </c>
      <c r="M35" s="83" t="str">
        <f t="shared" si="2"/>
        <v/>
      </c>
      <c r="N35" s="28">
        <v>30</v>
      </c>
      <c r="O35" s="93" t="str">
        <f t="shared" si="8"/>
        <v/>
      </c>
      <c r="P35" s="61" t="str">
        <f t="shared" si="4"/>
        <v/>
      </c>
      <c r="Q35" s="204" t="s">
        <v>2448</v>
      </c>
      <c r="R35" s="170"/>
    </row>
    <row r="36" spans="1:18" x14ac:dyDescent="0.25">
      <c r="A36" s="167">
        <v>2015</v>
      </c>
      <c r="B36" s="167" t="s">
        <v>135</v>
      </c>
      <c r="C36" s="169" t="s">
        <v>835</v>
      </c>
      <c r="D36" s="68">
        <v>42216</v>
      </c>
      <c r="E36" s="171"/>
      <c r="F36" s="28" t="s">
        <v>2446</v>
      </c>
      <c r="G36" s="169"/>
      <c r="H36" s="28" t="s">
        <v>2446</v>
      </c>
      <c r="I36" s="172" t="s">
        <v>2447</v>
      </c>
      <c r="J36" s="172" t="s">
        <v>2447</v>
      </c>
      <c r="K36" s="62" t="str">
        <f t="shared" si="0"/>
        <v/>
      </c>
      <c r="L36" s="62" t="str">
        <f t="shared" si="1"/>
        <v/>
      </c>
      <c r="M36" s="83" t="str">
        <f t="shared" si="2"/>
        <v/>
      </c>
      <c r="N36" s="28">
        <v>31</v>
      </c>
      <c r="O36" s="93" t="str">
        <f t="shared" si="8"/>
        <v/>
      </c>
      <c r="P36" s="61" t="str">
        <f t="shared" si="4"/>
        <v/>
      </c>
      <c r="Q36" s="204" t="s">
        <v>2448</v>
      </c>
      <c r="R36" s="170"/>
    </row>
    <row r="37" spans="1:18" x14ac:dyDescent="0.25">
      <c r="A37" s="167">
        <v>2015</v>
      </c>
      <c r="B37" s="28" t="s">
        <v>179</v>
      </c>
      <c r="C37" s="28" t="s">
        <v>913</v>
      </c>
      <c r="D37" s="68">
        <v>42035</v>
      </c>
      <c r="E37" s="171"/>
      <c r="F37" s="28">
        <v>2.8000000000000001E-2</v>
      </c>
      <c r="G37" s="169"/>
      <c r="H37" s="28">
        <v>2.8000000000000001E-2</v>
      </c>
      <c r="I37" s="28">
        <v>3.4</v>
      </c>
      <c r="J37" s="28">
        <v>2.6</v>
      </c>
      <c r="K37" s="62">
        <f t="shared" si="0"/>
        <v>0.36033199999999999</v>
      </c>
      <c r="L37" s="62">
        <f t="shared" si="1"/>
        <v>8.5419879999999999</v>
      </c>
      <c r="M37" s="83">
        <f t="shared" si="2"/>
        <v>0.27554800000000002</v>
      </c>
      <c r="N37" s="28">
        <v>31</v>
      </c>
      <c r="O37" s="93">
        <f t="shared" si="8"/>
        <v>8.3812608515999987</v>
      </c>
      <c r="P37" s="62">
        <f t="shared" si="4"/>
        <v>18.835083539999999</v>
      </c>
      <c r="Q37" s="203">
        <v>3</v>
      </c>
      <c r="R37" s="170" t="s">
        <v>2449</v>
      </c>
    </row>
    <row r="38" spans="1:18" x14ac:dyDescent="0.25">
      <c r="A38" s="167">
        <v>2015</v>
      </c>
      <c r="B38" s="28" t="s">
        <v>179</v>
      </c>
      <c r="C38" s="28" t="s">
        <v>913</v>
      </c>
      <c r="D38" s="68">
        <v>42063</v>
      </c>
      <c r="E38" s="171"/>
      <c r="F38" s="28">
        <v>1.2E-2</v>
      </c>
      <c r="G38" s="169"/>
      <c r="H38" s="28">
        <v>1.2E-2</v>
      </c>
      <c r="I38" s="28">
        <v>3.8</v>
      </c>
      <c r="J38" s="28">
        <v>2.8</v>
      </c>
      <c r="K38" s="62">
        <f t="shared" si="0"/>
        <v>0.172596</v>
      </c>
      <c r="L38" s="62">
        <f t="shared" si="1"/>
        <v>3.5609279999999996</v>
      </c>
      <c r="M38" s="83">
        <f t="shared" si="2"/>
        <v>0.12717599999999998</v>
      </c>
      <c r="N38" s="28">
        <v>28</v>
      </c>
      <c r="O38" s="93">
        <f t="shared" si="8"/>
        <v>3.8682742391999994</v>
      </c>
      <c r="P38" s="62">
        <f t="shared" si="4"/>
        <v>7.8518462399999995</v>
      </c>
      <c r="Q38" s="203">
        <v>3</v>
      </c>
      <c r="R38" s="170"/>
    </row>
    <row r="39" spans="1:18" x14ac:dyDescent="0.25">
      <c r="A39" s="167">
        <v>2015</v>
      </c>
      <c r="B39" s="28" t="s">
        <v>179</v>
      </c>
      <c r="C39" s="28" t="s">
        <v>913</v>
      </c>
      <c r="D39" s="68">
        <v>42094</v>
      </c>
      <c r="E39" s="171"/>
      <c r="F39" s="28">
        <v>0.01</v>
      </c>
      <c r="G39" s="169"/>
      <c r="H39" s="28">
        <v>0.01</v>
      </c>
      <c r="I39" s="28">
        <v>4.7</v>
      </c>
      <c r="J39" s="28">
        <v>3</v>
      </c>
      <c r="K39" s="62">
        <f t="shared" si="0"/>
        <v>0.177895</v>
      </c>
      <c r="L39" s="62">
        <f t="shared" si="1"/>
        <v>3.5200499999999999</v>
      </c>
      <c r="M39" s="83">
        <f t="shared" si="2"/>
        <v>0.11355</v>
      </c>
      <c r="N39" s="28">
        <v>31</v>
      </c>
      <c r="O39" s="93">
        <f t="shared" si="8"/>
        <v>3.4538162849999994</v>
      </c>
      <c r="P39" s="62">
        <f t="shared" si="4"/>
        <v>7.7617102500000001</v>
      </c>
      <c r="Q39" s="203">
        <v>3</v>
      </c>
      <c r="R39" s="170"/>
    </row>
    <row r="40" spans="1:18" x14ac:dyDescent="0.25">
      <c r="A40" s="167">
        <v>2015</v>
      </c>
      <c r="B40" s="28" t="s">
        <v>179</v>
      </c>
      <c r="C40" s="28" t="s">
        <v>913</v>
      </c>
      <c r="D40" s="68">
        <v>42124</v>
      </c>
      <c r="E40" s="171"/>
      <c r="F40" s="28">
        <v>3.5999999999999997E-2</v>
      </c>
      <c r="G40" s="169"/>
      <c r="H40" s="28">
        <v>2.5999999999999999E-2</v>
      </c>
      <c r="I40" s="28">
        <v>4.5999999999999996</v>
      </c>
      <c r="J40" s="28">
        <v>3</v>
      </c>
      <c r="K40" s="62">
        <f t="shared" si="0"/>
        <v>0.62679599999999991</v>
      </c>
      <c r="L40" s="62">
        <f t="shared" si="1"/>
        <v>8.8568999999999996</v>
      </c>
      <c r="M40" s="83">
        <f t="shared" si="2"/>
        <v>0.29522999999999999</v>
      </c>
      <c r="N40" s="28">
        <v>30</v>
      </c>
      <c r="O40" s="93">
        <f t="shared" si="8"/>
        <v>8.9799223409999982</v>
      </c>
      <c r="P40" s="62">
        <f t="shared" si="4"/>
        <v>19.5294645</v>
      </c>
      <c r="Q40" s="203">
        <v>3</v>
      </c>
      <c r="R40" s="170"/>
    </row>
    <row r="41" spans="1:18" x14ac:dyDescent="0.25">
      <c r="A41" s="167">
        <v>2015</v>
      </c>
      <c r="B41" s="28" t="s">
        <v>179</v>
      </c>
      <c r="C41" s="28" t="s">
        <v>913</v>
      </c>
      <c r="D41" s="68">
        <v>42155</v>
      </c>
      <c r="E41" s="171"/>
      <c r="F41" s="28">
        <v>1.2E-2</v>
      </c>
      <c r="G41" s="169"/>
      <c r="H41" s="28">
        <v>1.2E-2</v>
      </c>
      <c r="I41" s="28">
        <v>6.6</v>
      </c>
      <c r="J41" s="28">
        <v>3.1</v>
      </c>
      <c r="K41" s="62">
        <f t="shared" si="0"/>
        <v>0.29977199999999998</v>
      </c>
      <c r="L41" s="62">
        <f t="shared" si="1"/>
        <v>4.3648620000000005</v>
      </c>
      <c r="M41" s="83">
        <f t="shared" si="2"/>
        <v>0.14080200000000001</v>
      </c>
      <c r="N41" s="28">
        <v>31</v>
      </c>
      <c r="O41" s="93">
        <f t="shared" si="8"/>
        <v>4.2827321934000002</v>
      </c>
      <c r="P41" s="62">
        <f t="shared" si="4"/>
        <v>9.6245207100000005</v>
      </c>
      <c r="Q41" s="203">
        <v>3</v>
      </c>
      <c r="R41" s="170"/>
    </row>
    <row r="42" spans="1:18" x14ac:dyDescent="0.25">
      <c r="A42" s="167">
        <v>2015</v>
      </c>
      <c r="B42" s="28" t="s">
        <v>179</v>
      </c>
      <c r="C42" s="28" t="s">
        <v>913</v>
      </c>
      <c r="D42" s="68">
        <v>42185</v>
      </c>
      <c r="E42" s="171"/>
      <c r="F42" s="28">
        <v>1.2E-2</v>
      </c>
      <c r="G42" s="169"/>
      <c r="H42" s="28">
        <v>1.2E-2</v>
      </c>
      <c r="I42" s="28">
        <v>10.5</v>
      </c>
      <c r="J42" s="28">
        <v>3.2</v>
      </c>
      <c r="K42" s="62">
        <f t="shared" si="0"/>
        <v>0.47691</v>
      </c>
      <c r="L42" s="62">
        <f t="shared" si="1"/>
        <v>4.3603200000000006</v>
      </c>
      <c r="M42" s="83">
        <f t="shared" si="2"/>
        <v>0.14534400000000003</v>
      </c>
      <c r="N42" s="28">
        <v>30</v>
      </c>
      <c r="O42" s="93">
        <f t="shared" si="8"/>
        <v>4.4208848448000007</v>
      </c>
      <c r="P42" s="62">
        <f t="shared" si="4"/>
        <v>9.6145056000000011</v>
      </c>
      <c r="Q42" s="203">
        <v>3</v>
      </c>
      <c r="R42" s="170"/>
    </row>
    <row r="43" spans="1:18" x14ac:dyDescent="0.25">
      <c r="A43" s="167">
        <v>2015</v>
      </c>
      <c r="B43" s="28" t="s">
        <v>179</v>
      </c>
      <c r="C43" s="28" t="s">
        <v>913</v>
      </c>
      <c r="D43" s="68">
        <v>42216</v>
      </c>
      <c r="E43" s="171"/>
      <c r="F43" s="28">
        <v>1.4999999999999999E-2</v>
      </c>
      <c r="G43" s="169"/>
      <c r="H43" s="28">
        <v>1.4999999999999999E-2</v>
      </c>
      <c r="I43" s="28">
        <v>3.9</v>
      </c>
      <c r="J43" s="28">
        <v>3.2</v>
      </c>
      <c r="K43" s="62">
        <f t="shared" si="0"/>
        <v>0.22142249999999999</v>
      </c>
      <c r="L43" s="62">
        <f t="shared" si="1"/>
        <v>5.6320800000000002</v>
      </c>
      <c r="M43" s="83">
        <f t="shared" si="2"/>
        <v>0.18168000000000001</v>
      </c>
      <c r="N43" s="28">
        <v>31</v>
      </c>
      <c r="O43" s="93">
        <f t="shared" si="8"/>
        <v>5.5261060559999997</v>
      </c>
      <c r="P43" s="62">
        <f t="shared" si="4"/>
        <v>12.4187364</v>
      </c>
      <c r="Q43" s="203">
        <v>3</v>
      </c>
      <c r="R43" s="170"/>
    </row>
    <row r="44" spans="1:18" x14ac:dyDescent="0.25">
      <c r="A44" s="167">
        <v>2015</v>
      </c>
      <c r="B44" s="28" t="s">
        <v>179</v>
      </c>
      <c r="C44" s="28" t="s">
        <v>913</v>
      </c>
      <c r="D44" s="68">
        <v>42247</v>
      </c>
      <c r="E44" s="171"/>
      <c r="F44" s="28">
        <v>0</v>
      </c>
      <c r="G44" s="169"/>
      <c r="H44" s="28">
        <v>0</v>
      </c>
      <c r="I44" s="28">
        <v>3.4</v>
      </c>
      <c r="J44" s="28">
        <v>3.4</v>
      </c>
      <c r="K44" s="62">
        <f t="shared" si="0"/>
        <v>0</v>
      </c>
      <c r="L44" s="62">
        <f t="shared" si="1"/>
        <v>0</v>
      </c>
      <c r="M44" s="83">
        <f t="shared" si="2"/>
        <v>0</v>
      </c>
      <c r="N44" s="28">
        <v>31</v>
      </c>
      <c r="O44" s="93" t="str">
        <f t="shared" si="8"/>
        <v/>
      </c>
      <c r="P44" s="62">
        <f t="shared" si="4"/>
        <v>0</v>
      </c>
      <c r="Q44" s="203">
        <v>3</v>
      </c>
      <c r="R44" s="170"/>
    </row>
    <row r="45" spans="1:18" x14ac:dyDescent="0.25">
      <c r="A45" s="167">
        <v>2015</v>
      </c>
      <c r="B45" s="28" t="s">
        <v>179</v>
      </c>
      <c r="C45" s="28" t="s">
        <v>913</v>
      </c>
      <c r="D45" s="68">
        <v>42277</v>
      </c>
      <c r="E45" s="171"/>
      <c r="F45" s="28">
        <v>1.2E-2</v>
      </c>
      <c r="G45" s="169"/>
      <c r="H45" s="28">
        <v>1.2E-2</v>
      </c>
      <c r="I45" s="28">
        <v>3.6</v>
      </c>
      <c r="J45" s="28">
        <v>3.4</v>
      </c>
      <c r="K45" s="62">
        <f t="shared" si="0"/>
        <v>0.16351200000000002</v>
      </c>
      <c r="L45" s="62">
        <f t="shared" si="1"/>
        <v>4.6328399999999998</v>
      </c>
      <c r="M45" s="83">
        <f t="shared" si="2"/>
        <v>0.15442799999999998</v>
      </c>
      <c r="N45" s="28">
        <v>30</v>
      </c>
      <c r="O45" s="93">
        <f t="shared" si="8"/>
        <v>4.6971901475999998</v>
      </c>
      <c r="P45" s="62">
        <f t="shared" si="4"/>
        <v>10.215412199999999</v>
      </c>
      <c r="Q45" s="203">
        <v>3</v>
      </c>
      <c r="R45" s="170"/>
    </row>
    <row r="46" spans="1:18" x14ac:dyDescent="0.25">
      <c r="A46" s="167">
        <v>2015</v>
      </c>
      <c r="B46" s="28" t="s">
        <v>179</v>
      </c>
      <c r="C46" s="28" t="s">
        <v>913</v>
      </c>
      <c r="D46" s="68">
        <v>42308</v>
      </c>
      <c r="E46" s="171"/>
      <c r="F46" s="28">
        <v>0</v>
      </c>
      <c r="G46" s="169"/>
      <c r="H46" s="28">
        <v>0</v>
      </c>
      <c r="I46" s="28">
        <v>7.4</v>
      </c>
      <c r="J46" s="28">
        <v>3.5</v>
      </c>
      <c r="K46" s="62">
        <f t="shared" si="0"/>
        <v>0</v>
      </c>
      <c r="L46" s="62">
        <f t="shared" si="1"/>
        <v>0</v>
      </c>
      <c r="M46" s="83">
        <f t="shared" si="2"/>
        <v>0</v>
      </c>
      <c r="N46" s="28">
        <v>31</v>
      </c>
      <c r="O46" s="93" t="str">
        <f t="shared" si="8"/>
        <v/>
      </c>
      <c r="P46" s="62">
        <f t="shared" si="4"/>
        <v>0</v>
      </c>
      <c r="Q46" s="203">
        <v>3</v>
      </c>
      <c r="R46" s="170"/>
    </row>
    <row r="47" spans="1:18" x14ac:dyDescent="0.25">
      <c r="A47" s="167">
        <v>2015</v>
      </c>
      <c r="B47" s="28" t="s">
        <v>179</v>
      </c>
      <c r="C47" s="28" t="s">
        <v>913</v>
      </c>
      <c r="D47" s="68">
        <v>42338</v>
      </c>
      <c r="E47" s="171"/>
      <c r="F47" s="28">
        <v>1.7999999999999999E-2</v>
      </c>
      <c r="G47" s="169"/>
      <c r="H47" s="28">
        <v>1.7999999999999999E-2</v>
      </c>
      <c r="I47" s="28">
        <v>4.5</v>
      </c>
      <c r="J47" s="28">
        <v>3.8</v>
      </c>
      <c r="K47" s="62">
        <f t="shared" si="0"/>
        <v>0.306585</v>
      </c>
      <c r="L47" s="62">
        <f t="shared" si="1"/>
        <v>7.7668199999999992</v>
      </c>
      <c r="M47" s="83">
        <f t="shared" si="2"/>
        <v>0.25889399999999996</v>
      </c>
      <c r="N47" s="28">
        <v>30</v>
      </c>
      <c r="O47" s="93">
        <f t="shared" si="8"/>
        <v>7.8747011297999983</v>
      </c>
      <c r="P47" s="62">
        <f t="shared" si="4"/>
        <v>17.125838099999999</v>
      </c>
      <c r="Q47" s="203">
        <v>3</v>
      </c>
      <c r="R47" s="170"/>
    </row>
    <row r="48" spans="1:18" x14ac:dyDescent="0.25">
      <c r="A48" s="167">
        <v>2015</v>
      </c>
      <c r="B48" s="28" t="s">
        <v>179</v>
      </c>
      <c r="C48" s="28" t="s">
        <v>913</v>
      </c>
      <c r="D48" s="68">
        <v>42369</v>
      </c>
      <c r="E48" s="171"/>
      <c r="F48" s="28">
        <v>1.2E-2</v>
      </c>
      <c r="G48" s="169"/>
      <c r="H48" s="28">
        <v>1.2E-2</v>
      </c>
      <c r="I48" s="28">
        <v>5</v>
      </c>
      <c r="J48" s="28">
        <v>3.9</v>
      </c>
      <c r="K48" s="62">
        <f t="shared" si="0"/>
        <v>0.2271</v>
      </c>
      <c r="L48" s="62">
        <f t="shared" si="1"/>
        <v>5.4912780000000003</v>
      </c>
      <c r="M48" s="83">
        <f t="shared" si="2"/>
        <v>0.17713800000000002</v>
      </c>
      <c r="N48" s="28">
        <v>31</v>
      </c>
      <c r="O48" s="93">
        <f t="shared" si="8"/>
        <v>5.3879534046000002</v>
      </c>
      <c r="P48" s="62">
        <f t="shared" si="4"/>
        <v>12.108267990000002</v>
      </c>
      <c r="Q48" s="203">
        <v>3</v>
      </c>
      <c r="R48" s="170"/>
    </row>
    <row r="49" spans="1:18" x14ac:dyDescent="0.25">
      <c r="A49" s="167">
        <v>2015</v>
      </c>
      <c r="B49" s="28" t="s">
        <v>179</v>
      </c>
      <c r="C49" s="28" t="s">
        <v>913</v>
      </c>
      <c r="D49" s="68">
        <v>42035</v>
      </c>
      <c r="E49" s="171"/>
      <c r="F49" s="28">
        <v>0</v>
      </c>
      <c r="G49" s="169"/>
      <c r="H49" s="28">
        <v>0</v>
      </c>
      <c r="I49" s="28">
        <v>4.2050000000000001</v>
      </c>
      <c r="J49" s="28">
        <v>0.44800000000000001</v>
      </c>
      <c r="K49" s="62">
        <f t="shared" si="0"/>
        <v>0</v>
      </c>
      <c r="L49" s="62">
        <f t="shared" si="1"/>
        <v>0</v>
      </c>
      <c r="M49" s="83">
        <f t="shared" si="2"/>
        <v>0</v>
      </c>
      <c r="N49" s="28">
        <v>31</v>
      </c>
      <c r="O49" s="93" t="str">
        <f t="shared" si="8"/>
        <v/>
      </c>
      <c r="P49" s="61">
        <f t="shared" si="4"/>
        <v>0</v>
      </c>
      <c r="Q49" s="74">
        <v>4</v>
      </c>
      <c r="R49" s="170" t="s">
        <v>2449</v>
      </c>
    </row>
    <row r="50" spans="1:18" x14ac:dyDescent="0.25">
      <c r="A50" s="167">
        <v>2015</v>
      </c>
      <c r="B50" s="28" t="s">
        <v>179</v>
      </c>
      <c r="C50" s="28" t="s">
        <v>913</v>
      </c>
      <c r="D50" s="68">
        <v>42063</v>
      </c>
      <c r="E50" s="171"/>
      <c r="F50" s="28" t="s">
        <v>2446</v>
      </c>
      <c r="G50" s="169"/>
      <c r="H50" s="28" t="s">
        <v>2446</v>
      </c>
      <c r="I50" s="28" t="s">
        <v>2446</v>
      </c>
      <c r="J50" s="28" t="s">
        <v>2446</v>
      </c>
      <c r="K50" s="62" t="str">
        <f t="shared" si="0"/>
        <v/>
      </c>
      <c r="L50" s="62" t="str">
        <f t="shared" si="1"/>
        <v/>
      </c>
      <c r="M50" s="83" t="str">
        <f t="shared" si="2"/>
        <v/>
      </c>
      <c r="N50" s="28">
        <v>28</v>
      </c>
      <c r="O50" s="93" t="str">
        <f t="shared" si="8"/>
        <v/>
      </c>
      <c r="P50" s="61" t="str">
        <f t="shared" si="4"/>
        <v/>
      </c>
      <c r="Q50" s="74">
        <v>4</v>
      </c>
      <c r="R50" s="170"/>
    </row>
    <row r="51" spans="1:18" x14ac:dyDescent="0.25">
      <c r="A51" s="167">
        <v>2015</v>
      </c>
      <c r="B51" s="28" t="s">
        <v>179</v>
      </c>
      <c r="C51" s="28" t="s">
        <v>913</v>
      </c>
      <c r="D51" s="68">
        <v>42094</v>
      </c>
      <c r="E51" s="171"/>
      <c r="F51" s="28">
        <v>0</v>
      </c>
      <c r="G51" s="169"/>
      <c r="H51" s="28">
        <v>0</v>
      </c>
      <c r="I51" s="28">
        <v>7.2</v>
      </c>
      <c r="J51" s="28">
        <v>0.48799999999999999</v>
      </c>
      <c r="K51" s="62">
        <f t="shared" si="0"/>
        <v>0</v>
      </c>
      <c r="L51" s="62">
        <f t="shared" si="1"/>
        <v>0</v>
      </c>
      <c r="M51" s="83">
        <f t="shared" si="2"/>
        <v>0</v>
      </c>
      <c r="N51" s="28">
        <v>31</v>
      </c>
      <c r="O51" s="93" t="str">
        <f t="shared" si="8"/>
        <v/>
      </c>
      <c r="P51" s="61">
        <f t="shared" si="4"/>
        <v>0</v>
      </c>
      <c r="Q51" s="74">
        <v>4</v>
      </c>
      <c r="R51" s="170"/>
    </row>
    <row r="52" spans="1:18" x14ac:dyDescent="0.25">
      <c r="A52" s="167">
        <v>2015</v>
      </c>
      <c r="B52" s="28" t="s">
        <v>179</v>
      </c>
      <c r="C52" s="28" t="s">
        <v>913</v>
      </c>
      <c r="D52" s="68">
        <v>42124</v>
      </c>
      <c r="E52" s="171"/>
      <c r="F52" s="28">
        <v>0</v>
      </c>
      <c r="G52" s="169"/>
      <c r="H52" s="28">
        <v>0</v>
      </c>
      <c r="I52" s="28">
        <v>2.887</v>
      </c>
      <c r="J52" s="28">
        <v>0.36599999999999999</v>
      </c>
      <c r="K52" s="62">
        <f t="shared" si="0"/>
        <v>0</v>
      </c>
      <c r="L52" s="62">
        <f t="shared" si="1"/>
        <v>0</v>
      </c>
      <c r="M52" s="83">
        <f t="shared" si="2"/>
        <v>0</v>
      </c>
      <c r="N52" s="28">
        <v>30</v>
      </c>
      <c r="O52" s="93" t="str">
        <f t="shared" si="8"/>
        <v/>
      </c>
      <c r="P52" s="61">
        <f t="shared" si="4"/>
        <v>0</v>
      </c>
      <c r="Q52" s="74">
        <v>4</v>
      </c>
      <c r="R52" s="170"/>
    </row>
    <row r="53" spans="1:18" x14ac:dyDescent="0.25">
      <c r="A53" s="167">
        <v>2015</v>
      </c>
      <c r="B53" s="28" t="s">
        <v>179</v>
      </c>
      <c r="C53" s="28" t="s">
        <v>913</v>
      </c>
      <c r="D53" s="68">
        <v>42155</v>
      </c>
      <c r="E53" s="171"/>
      <c r="F53" s="28">
        <v>0</v>
      </c>
      <c r="G53" s="169"/>
      <c r="H53" s="28">
        <v>0</v>
      </c>
      <c r="I53" s="28">
        <v>5.2530000000000001</v>
      </c>
      <c r="J53" s="28">
        <v>0.63100000000000001</v>
      </c>
      <c r="K53" s="62">
        <f t="shared" si="0"/>
        <v>0</v>
      </c>
      <c r="L53" s="62">
        <f t="shared" si="1"/>
        <v>0</v>
      </c>
      <c r="M53" s="83">
        <f t="shared" si="2"/>
        <v>0</v>
      </c>
      <c r="N53" s="28">
        <v>31</v>
      </c>
      <c r="O53" s="93" t="str">
        <f t="shared" si="8"/>
        <v/>
      </c>
      <c r="P53" s="61">
        <f t="shared" si="4"/>
        <v>0</v>
      </c>
      <c r="Q53" s="74">
        <v>4</v>
      </c>
      <c r="R53" s="170"/>
    </row>
    <row r="54" spans="1:18" x14ac:dyDescent="0.25">
      <c r="A54" s="167">
        <v>2015</v>
      </c>
      <c r="B54" s="28" t="s">
        <v>179</v>
      </c>
      <c r="C54" s="28" t="s">
        <v>913</v>
      </c>
      <c r="D54" s="68">
        <v>42185</v>
      </c>
      <c r="E54" s="171"/>
      <c r="F54" s="28">
        <v>0</v>
      </c>
      <c r="G54" s="169"/>
      <c r="H54" s="28">
        <v>0</v>
      </c>
      <c r="I54" s="28">
        <v>2.1930000000000001</v>
      </c>
      <c r="J54" s="28">
        <v>0.26600000000000001</v>
      </c>
      <c r="K54" s="62">
        <f t="shared" si="0"/>
        <v>0</v>
      </c>
      <c r="L54" s="62">
        <f t="shared" si="1"/>
        <v>0</v>
      </c>
      <c r="M54" s="83">
        <f t="shared" si="2"/>
        <v>0</v>
      </c>
      <c r="N54" s="28">
        <v>30</v>
      </c>
      <c r="O54" s="93" t="str">
        <f t="shared" si="8"/>
        <v/>
      </c>
      <c r="P54" s="61">
        <f t="shared" si="4"/>
        <v>0</v>
      </c>
      <c r="Q54" s="74">
        <v>4</v>
      </c>
      <c r="R54" s="170"/>
    </row>
    <row r="55" spans="1:18" x14ac:dyDescent="0.25">
      <c r="A55" s="167">
        <v>2015</v>
      </c>
      <c r="B55" s="28" t="s">
        <v>179</v>
      </c>
      <c r="C55" s="28" t="s">
        <v>913</v>
      </c>
      <c r="D55" s="68">
        <v>42216</v>
      </c>
      <c r="E55" s="171"/>
      <c r="F55" s="28">
        <v>0</v>
      </c>
      <c r="G55" s="169"/>
      <c r="H55" s="28">
        <v>0</v>
      </c>
      <c r="I55" s="28">
        <v>0.45</v>
      </c>
      <c r="J55" s="28">
        <v>8.3000000000000004E-2</v>
      </c>
      <c r="K55" s="62">
        <f t="shared" si="0"/>
        <v>0</v>
      </c>
      <c r="L55" s="62">
        <f t="shared" si="1"/>
        <v>0</v>
      </c>
      <c r="M55" s="83">
        <f t="shared" si="2"/>
        <v>0</v>
      </c>
      <c r="N55" s="28">
        <v>31</v>
      </c>
      <c r="O55" s="93" t="str">
        <f t="shared" si="8"/>
        <v/>
      </c>
      <c r="P55" s="61">
        <f t="shared" si="4"/>
        <v>0</v>
      </c>
      <c r="Q55" s="74">
        <v>4</v>
      </c>
      <c r="R55" s="170"/>
    </row>
    <row r="56" spans="1:18" x14ac:dyDescent="0.25">
      <c r="A56" s="167">
        <v>2015</v>
      </c>
      <c r="B56" s="28" t="s">
        <v>179</v>
      </c>
      <c r="C56" s="28" t="s">
        <v>913</v>
      </c>
      <c r="D56" s="68">
        <v>42247</v>
      </c>
      <c r="E56" s="171"/>
      <c r="F56" s="28">
        <v>0</v>
      </c>
      <c r="G56" s="169"/>
      <c r="H56" s="28">
        <v>0</v>
      </c>
      <c r="I56" s="28">
        <v>0.14399999999999999</v>
      </c>
      <c r="J56" s="28">
        <v>4.1000000000000002E-2</v>
      </c>
      <c r="K56" s="62">
        <f t="shared" si="0"/>
        <v>0</v>
      </c>
      <c r="L56" s="62">
        <f t="shared" si="1"/>
        <v>0</v>
      </c>
      <c r="M56" s="83">
        <f t="shared" si="2"/>
        <v>0</v>
      </c>
      <c r="N56" s="28">
        <v>31</v>
      </c>
      <c r="O56" s="93" t="str">
        <f t="shared" si="8"/>
        <v/>
      </c>
      <c r="P56" s="61">
        <f t="shared" si="4"/>
        <v>0</v>
      </c>
      <c r="Q56" s="74">
        <v>4</v>
      </c>
      <c r="R56" s="170"/>
    </row>
    <row r="57" spans="1:18" x14ac:dyDescent="0.25">
      <c r="A57" s="167">
        <v>2015</v>
      </c>
      <c r="B57" s="28" t="s">
        <v>179</v>
      </c>
      <c r="C57" s="28" t="s">
        <v>913</v>
      </c>
      <c r="D57" s="68">
        <v>42277</v>
      </c>
      <c r="E57" s="171"/>
      <c r="F57" s="28">
        <v>0</v>
      </c>
      <c r="G57" s="169"/>
      <c r="H57" s="28">
        <v>0</v>
      </c>
      <c r="I57" s="28">
        <v>2.35</v>
      </c>
      <c r="J57" s="28">
        <v>0.61499999999999999</v>
      </c>
      <c r="K57" s="62">
        <f t="shared" si="0"/>
        <v>0</v>
      </c>
      <c r="L57" s="62">
        <f t="shared" si="1"/>
        <v>0</v>
      </c>
      <c r="M57" s="83">
        <f t="shared" si="2"/>
        <v>0</v>
      </c>
      <c r="N57" s="28">
        <v>30</v>
      </c>
      <c r="O57" s="93" t="str">
        <f t="shared" si="8"/>
        <v/>
      </c>
      <c r="P57" s="61">
        <f t="shared" si="4"/>
        <v>0</v>
      </c>
      <c r="Q57" s="74">
        <v>4</v>
      </c>
      <c r="R57" s="170"/>
    </row>
    <row r="58" spans="1:18" x14ac:dyDescent="0.25">
      <c r="A58" s="167">
        <v>2015</v>
      </c>
      <c r="B58" s="28" t="s">
        <v>179</v>
      </c>
      <c r="C58" s="28" t="s">
        <v>913</v>
      </c>
      <c r="D58" s="68">
        <v>42308</v>
      </c>
      <c r="E58" s="171"/>
      <c r="F58" s="28">
        <v>0</v>
      </c>
      <c r="G58" s="169"/>
      <c r="H58" s="28">
        <v>0</v>
      </c>
      <c r="I58" s="28">
        <v>4.5</v>
      </c>
      <c r="J58" s="28">
        <v>1.54</v>
      </c>
      <c r="K58" s="62">
        <f t="shared" si="0"/>
        <v>0</v>
      </c>
      <c r="L58" s="62">
        <f t="shared" si="1"/>
        <v>0</v>
      </c>
      <c r="M58" s="83">
        <f t="shared" si="2"/>
        <v>0</v>
      </c>
      <c r="N58" s="28">
        <v>31</v>
      </c>
      <c r="O58" s="93" t="str">
        <f t="shared" si="8"/>
        <v/>
      </c>
      <c r="P58" s="80">
        <f t="shared" si="4"/>
        <v>0</v>
      </c>
      <c r="Q58" s="74">
        <v>4</v>
      </c>
      <c r="R58" s="170"/>
    </row>
    <row r="59" spans="1:18" x14ac:dyDescent="0.25">
      <c r="A59" s="167">
        <v>2015</v>
      </c>
      <c r="B59" s="28" t="s">
        <v>179</v>
      </c>
      <c r="C59" s="28" t="s">
        <v>913</v>
      </c>
      <c r="D59" s="68">
        <v>42338</v>
      </c>
      <c r="E59" s="171"/>
      <c r="F59" s="28">
        <v>0</v>
      </c>
      <c r="G59" s="169"/>
      <c r="H59" s="28">
        <v>0</v>
      </c>
      <c r="I59" s="28">
        <v>16.600000000000001</v>
      </c>
      <c r="J59" s="28">
        <v>0.73699999999999999</v>
      </c>
      <c r="K59" s="62">
        <f t="shared" si="0"/>
        <v>0</v>
      </c>
      <c r="L59" s="62">
        <f t="shared" si="1"/>
        <v>0</v>
      </c>
      <c r="M59" s="83">
        <f t="shared" si="2"/>
        <v>0</v>
      </c>
      <c r="N59" s="28">
        <v>30</v>
      </c>
      <c r="O59" s="93" t="str">
        <f t="shared" si="8"/>
        <v/>
      </c>
      <c r="P59" s="80">
        <f t="shared" ref="P59:P70" si="10">IFERROR(L59*2.205,"")</f>
        <v>0</v>
      </c>
      <c r="Q59" s="74">
        <v>4</v>
      </c>
      <c r="R59" s="170"/>
    </row>
    <row r="60" spans="1:18" x14ac:dyDescent="0.25">
      <c r="A60" s="167">
        <v>2015</v>
      </c>
      <c r="B60" s="28" t="s">
        <v>179</v>
      </c>
      <c r="C60" s="28" t="s">
        <v>913</v>
      </c>
      <c r="D60" s="68">
        <v>42369</v>
      </c>
      <c r="E60" s="171"/>
      <c r="F60" s="28">
        <v>0</v>
      </c>
      <c r="G60" s="169"/>
      <c r="H60" s="28">
        <v>0</v>
      </c>
      <c r="I60" s="28">
        <v>1.89</v>
      </c>
      <c r="J60" s="28">
        <v>0.14199999999999999</v>
      </c>
      <c r="K60" s="62">
        <f t="shared" si="0"/>
        <v>0</v>
      </c>
      <c r="L60" s="62">
        <f t="shared" si="1"/>
        <v>0</v>
      </c>
      <c r="M60" s="83">
        <f t="shared" si="2"/>
        <v>0</v>
      </c>
      <c r="N60" s="28">
        <v>31</v>
      </c>
      <c r="O60" s="93" t="str">
        <f t="shared" si="8"/>
        <v/>
      </c>
      <c r="P60" s="80">
        <f t="shared" si="10"/>
        <v>0</v>
      </c>
      <c r="Q60" s="74">
        <v>4</v>
      </c>
      <c r="R60" s="170"/>
    </row>
    <row r="61" spans="1:18" x14ac:dyDescent="0.25">
      <c r="A61" s="167">
        <v>2015</v>
      </c>
      <c r="B61" s="28" t="s">
        <v>179</v>
      </c>
      <c r="C61" s="28" t="s">
        <v>913</v>
      </c>
      <c r="D61" s="68"/>
      <c r="E61" s="171"/>
      <c r="K61" s="62">
        <f t="shared" si="0"/>
        <v>0</v>
      </c>
      <c r="L61" s="62">
        <f t="shared" si="1"/>
        <v>0</v>
      </c>
      <c r="M61" s="83" t="str">
        <f t="shared" si="2"/>
        <v/>
      </c>
      <c r="O61" s="93" t="str">
        <f t="shared" si="8"/>
        <v/>
      </c>
      <c r="P61" s="80">
        <f t="shared" si="10"/>
        <v>0</v>
      </c>
      <c r="Q61" s="60">
        <v>5</v>
      </c>
      <c r="R61" s="170" t="s">
        <v>6758</v>
      </c>
    </row>
    <row r="62" spans="1:18" x14ac:dyDescent="0.25">
      <c r="A62" s="167">
        <v>2016</v>
      </c>
      <c r="B62" s="28" t="s">
        <v>137</v>
      </c>
      <c r="C62" s="28" t="s">
        <v>839</v>
      </c>
      <c r="D62" s="68">
        <v>42735</v>
      </c>
      <c r="E62" s="171"/>
      <c r="F62" s="169">
        <v>0</v>
      </c>
      <c r="G62" s="169"/>
      <c r="H62" s="169">
        <v>0</v>
      </c>
      <c r="I62" s="28">
        <v>231.28</v>
      </c>
      <c r="J62" s="28">
        <v>146.13999999999999</v>
      </c>
      <c r="K62" s="62">
        <f t="shared" si="0"/>
        <v>0</v>
      </c>
      <c r="L62" s="62">
        <f t="shared" si="1"/>
        <v>0</v>
      </c>
      <c r="M62" s="83">
        <f t="shared" si="2"/>
        <v>0</v>
      </c>
      <c r="N62" s="28">
        <v>365</v>
      </c>
      <c r="O62" s="93" t="str">
        <f t="shared" si="8"/>
        <v/>
      </c>
      <c r="P62" s="80">
        <f t="shared" si="10"/>
        <v>0</v>
      </c>
      <c r="Q62" s="60">
        <v>1</v>
      </c>
      <c r="R62" s="170"/>
    </row>
    <row r="63" spans="1:18" x14ac:dyDescent="0.25">
      <c r="A63" s="167">
        <v>2016</v>
      </c>
      <c r="B63" s="28" t="s">
        <v>137</v>
      </c>
      <c r="C63" s="28" t="s">
        <v>839</v>
      </c>
      <c r="D63" s="68">
        <v>42429</v>
      </c>
      <c r="E63" s="171"/>
      <c r="F63" s="28" t="s">
        <v>2446</v>
      </c>
      <c r="G63" s="169"/>
      <c r="H63" s="28" t="s">
        <v>2446</v>
      </c>
      <c r="I63" s="28" t="s">
        <v>2446</v>
      </c>
      <c r="J63" s="28" t="s">
        <v>2446</v>
      </c>
      <c r="K63" s="62" t="str">
        <f t="shared" si="0"/>
        <v/>
      </c>
      <c r="L63" s="62" t="str">
        <f t="shared" si="1"/>
        <v/>
      </c>
      <c r="M63" s="83" t="str">
        <f t="shared" si="2"/>
        <v/>
      </c>
      <c r="N63" s="28">
        <v>59</v>
      </c>
      <c r="O63" s="93" t="str">
        <f t="shared" si="8"/>
        <v/>
      </c>
      <c r="P63" s="80" t="str">
        <f t="shared" si="10"/>
        <v/>
      </c>
      <c r="Q63" s="203">
        <v>301</v>
      </c>
      <c r="R63" s="170"/>
    </row>
    <row r="64" spans="1:18" x14ac:dyDescent="0.25">
      <c r="A64" s="167">
        <v>2016</v>
      </c>
      <c r="B64" s="28" t="s">
        <v>137</v>
      </c>
      <c r="C64" s="28" t="s">
        <v>839</v>
      </c>
      <c r="D64" s="68">
        <v>42490</v>
      </c>
      <c r="E64" s="171"/>
      <c r="F64" s="28">
        <f>899/1000</f>
        <v>0.89900000000000002</v>
      </c>
      <c r="G64" s="169"/>
      <c r="H64" s="28">
        <f>899/1000</f>
        <v>0.89900000000000002</v>
      </c>
      <c r="I64" s="28">
        <v>0.06</v>
      </c>
      <c r="J64" s="28">
        <v>0.06</v>
      </c>
      <c r="K64" s="62">
        <f t="shared" si="0"/>
        <v>0.20416290000000001</v>
      </c>
      <c r="L64" s="62">
        <f t="shared" si="1"/>
        <v>12.4539369</v>
      </c>
      <c r="M64" s="83">
        <f t="shared" si="2"/>
        <v>0.20416290000000001</v>
      </c>
      <c r="N64" s="28">
        <v>61</v>
      </c>
      <c r="O64" s="93">
        <f t="shared" si="8"/>
        <v>6.2099616804300011</v>
      </c>
      <c r="P64" s="80">
        <f t="shared" si="10"/>
        <v>27.460930864500003</v>
      </c>
      <c r="Q64" s="203">
        <v>301</v>
      </c>
      <c r="R64" s="170"/>
    </row>
    <row r="65" spans="1:18" x14ac:dyDescent="0.25">
      <c r="A65" s="167">
        <v>2016</v>
      </c>
      <c r="B65" s="28" t="s">
        <v>137</v>
      </c>
      <c r="C65" s="28" t="s">
        <v>839</v>
      </c>
      <c r="D65" s="68">
        <v>42551</v>
      </c>
      <c r="E65" s="171"/>
      <c r="F65" s="28">
        <f>4013/1000</f>
        <v>4.0129999999999999</v>
      </c>
      <c r="G65" s="169"/>
      <c r="H65" s="28">
        <f>4013/1000</f>
        <v>4.0129999999999999</v>
      </c>
      <c r="I65" s="28">
        <v>3.42</v>
      </c>
      <c r="J65" s="28">
        <v>0.17</v>
      </c>
      <c r="K65" s="62">
        <f t="shared" si="0"/>
        <v>51.947081099999998</v>
      </c>
      <c r="L65" s="62">
        <f t="shared" si="1"/>
        <v>157.51205585</v>
      </c>
      <c r="M65" s="83">
        <f t="shared" si="2"/>
        <v>2.5821648499999998</v>
      </c>
      <c r="N65" s="28">
        <v>61</v>
      </c>
      <c r="O65" s="93">
        <f t="shared" si="8"/>
        <v>78.540933592995003</v>
      </c>
      <c r="P65" s="80">
        <f t="shared" si="10"/>
        <v>347.31408314925</v>
      </c>
      <c r="Q65" s="203">
        <v>301</v>
      </c>
      <c r="R65" s="170"/>
    </row>
    <row r="66" spans="1:18" x14ac:dyDescent="0.25">
      <c r="A66" s="167">
        <v>2016</v>
      </c>
      <c r="B66" s="28" t="s">
        <v>137</v>
      </c>
      <c r="C66" s="28" t="s">
        <v>839</v>
      </c>
      <c r="D66" s="68">
        <v>42613</v>
      </c>
      <c r="E66" s="171"/>
      <c r="F66" s="28">
        <f>893/1000</f>
        <v>0.89300000000000002</v>
      </c>
      <c r="G66" s="169"/>
      <c r="H66" s="28">
        <f>893/1000</f>
        <v>0.89300000000000002</v>
      </c>
      <c r="I66" s="28">
        <v>1.1299999999999999</v>
      </c>
      <c r="J66" s="28">
        <v>0.66</v>
      </c>
      <c r="K66" s="62">
        <f t="shared" si="0"/>
        <v>3.8194056499999993</v>
      </c>
      <c r="L66" s="62">
        <f t="shared" si="1"/>
        <v>138.30980460000001</v>
      </c>
      <c r="M66" s="83">
        <f t="shared" si="2"/>
        <v>2.2308033000000003</v>
      </c>
      <c r="N66" s="28">
        <v>62</v>
      </c>
      <c r="O66" s="93">
        <f t="shared" si="8"/>
        <v>67.85367473510999</v>
      </c>
      <c r="P66" s="80">
        <f t="shared" si="10"/>
        <v>304.97311914300002</v>
      </c>
      <c r="Q66" s="203">
        <v>301</v>
      </c>
      <c r="R66" s="170"/>
    </row>
    <row r="67" spans="1:18" x14ac:dyDescent="0.25">
      <c r="A67" s="167">
        <v>2016</v>
      </c>
      <c r="B67" s="28" t="s">
        <v>137</v>
      </c>
      <c r="C67" s="28" t="s">
        <v>839</v>
      </c>
      <c r="D67" s="68">
        <v>42674</v>
      </c>
      <c r="E67" s="171"/>
      <c r="F67" s="28" t="s">
        <v>2446</v>
      </c>
      <c r="G67" s="169"/>
      <c r="H67" s="28" t="s">
        <v>2446</v>
      </c>
      <c r="I67" s="28" t="s">
        <v>2446</v>
      </c>
      <c r="J67" s="28" t="s">
        <v>2446</v>
      </c>
      <c r="K67" s="62" t="str">
        <f t="shared" si="0"/>
        <v/>
      </c>
      <c r="L67" s="62" t="str">
        <f t="shared" si="1"/>
        <v/>
      </c>
      <c r="M67" s="83" t="str">
        <f t="shared" si="2"/>
        <v/>
      </c>
      <c r="N67" s="28">
        <v>61</v>
      </c>
      <c r="O67" s="93" t="str">
        <f t="shared" si="8"/>
        <v/>
      </c>
      <c r="P67" s="80" t="str">
        <f t="shared" si="10"/>
        <v/>
      </c>
      <c r="Q67" s="203">
        <v>301</v>
      </c>
      <c r="R67" s="170"/>
    </row>
    <row r="68" spans="1:18" x14ac:dyDescent="0.25">
      <c r="A68" s="167">
        <v>2016</v>
      </c>
      <c r="B68" s="28" t="s">
        <v>137</v>
      </c>
      <c r="C68" s="28" t="s">
        <v>839</v>
      </c>
      <c r="D68" s="68">
        <v>42735</v>
      </c>
      <c r="E68" s="171"/>
      <c r="F68" s="28">
        <f>13113/1000</f>
        <v>13.113</v>
      </c>
      <c r="G68" s="169"/>
      <c r="H68" s="28">
        <f>13113/1000</f>
        <v>13.113</v>
      </c>
      <c r="I68" s="28">
        <v>1.5</v>
      </c>
      <c r="J68" s="28">
        <v>1.5</v>
      </c>
      <c r="K68" s="62">
        <f t="shared" si="0"/>
        <v>74.449057499999995</v>
      </c>
      <c r="L68" s="62">
        <f t="shared" si="1"/>
        <v>4541.3925074999997</v>
      </c>
      <c r="M68" s="83">
        <f t="shared" si="2"/>
        <v>74.449057499999995</v>
      </c>
      <c r="N68" s="28">
        <v>61</v>
      </c>
      <c r="O68" s="93">
        <f t="shared" si="8"/>
        <v>2264.4946472602501</v>
      </c>
      <c r="P68" s="80">
        <f t="shared" si="10"/>
        <v>10013.770479037499</v>
      </c>
      <c r="Q68" s="203">
        <v>301</v>
      </c>
      <c r="R68" s="170"/>
    </row>
    <row r="69" spans="1:18" x14ac:dyDescent="0.25">
      <c r="A69" s="167">
        <v>2016</v>
      </c>
      <c r="B69" s="167" t="s">
        <v>202</v>
      </c>
      <c r="C69" s="169" t="s">
        <v>957</v>
      </c>
      <c r="D69" s="68">
        <v>42400</v>
      </c>
      <c r="E69" s="171"/>
      <c r="F69" s="28">
        <v>0.04</v>
      </c>
      <c r="G69" s="169"/>
      <c r="H69" s="28">
        <v>0.04</v>
      </c>
      <c r="I69" s="28">
        <v>4.2948000000000004</v>
      </c>
      <c r="J69" s="28">
        <v>3.3481999999999998</v>
      </c>
      <c r="K69" s="62">
        <f t="shared" ref="K69:K132" si="11">IFERROR(+F69*I69*3.785,"")</f>
        <v>0.6502327200000001</v>
      </c>
      <c r="L69" s="62">
        <f t="shared" ref="L69:L132" si="12">IFERROR(H69*J69*3.785*N69,"")</f>
        <v>15.714441880000001</v>
      </c>
      <c r="M69" s="83">
        <f t="shared" ref="M69:M132" si="13">IFERROR(+L69/N69,"")</f>
        <v>0.50691748000000003</v>
      </c>
      <c r="N69" s="28">
        <v>31</v>
      </c>
      <c r="O69" s="93">
        <f t="shared" si="8"/>
        <v>15.418756913915999</v>
      </c>
      <c r="P69" s="80">
        <f t="shared" si="10"/>
        <v>34.650344345400001</v>
      </c>
      <c r="Q69" s="203">
        <v>1</v>
      </c>
      <c r="R69" s="170"/>
    </row>
    <row r="70" spans="1:18" x14ac:dyDescent="0.25">
      <c r="A70" s="167">
        <v>2016</v>
      </c>
      <c r="B70" s="167" t="s">
        <v>202</v>
      </c>
      <c r="C70" s="169" t="s">
        <v>957</v>
      </c>
      <c r="D70" s="68">
        <v>42429</v>
      </c>
      <c r="E70" s="171"/>
      <c r="F70" s="28">
        <v>0.22800000000000001</v>
      </c>
      <c r="G70" s="169"/>
      <c r="H70" s="28">
        <v>0.22800000000000001</v>
      </c>
      <c r="I70" s="28">
        <v>4.5441000000000003</v>
      </c>
      <c r="J70" s="28">
        <v>3.3603999999999998</v>
      </c>
      <c r="K70" s="62">
        <f t="shared" si="11"/>
        <v>3.9214674180000002</v>
      </c>
      <c r="L70" s="62">
        <f t="shared" si="12"/>
        <v>81.198823775999998</v>
      </c>
      <c r="M70" s="83">
        <f t="shared" si="13"/>
        <v>2.899957992</v>
      </c>
      <c r="N70" s="28">
        <v>28</v>
      </c>
      <c r="O70" s="93">
        <f t="shared" si="8"/>
        <v>88.207152255266394</v>
      </c>
      <c r="P70" s="80">
        <f t="shared" si="10"/>
        <v>179.04340642608</v>
      </c>
      <c r="Q70" s="203">
        <v>1</v>
      </c>
      <c r="R70" s="170"/>
    </row>
    <row r="71" spans="1:18" x14ac:dyDescent="0.25">
      <c r="A71" s="167">
        <v>2016</v>
      </c>
      <c r="B71" s="167" t="s">
        <v>202</v>
      </c>
      <c r="C71" s="169" t="s">
        <v>957</v>
      </c>
      <c r="D71" s="68">
        <v>42460</v>
      </c>
      <c r="E71" s="171"/>
      <c r="F71" s="28">
        <v>1.7999999999999999E-2</v>
      </c>
      <c r="G71" s="169"/>
      <c r="H71" s="28">
        <v>1.7999999999999999E-2</v>
      </c>
      <c r="I71" s="28">
        <v>4.5039999999999996</v>
      </c>
      <c r="J71" s="28">
        <v>4.0598999999999998</v>
      </c>
      <c r="K71" s="62">
        <f t="shared" si="11"/>
        <v>0.30685751999999999</v>
      </c>
      <c r="L71" s="62">
        <f t="shared" si="12"/>
        <v>8.5746305970000005</v>
      </c>
      <c r="M71" s="83">
        <f t="shared" si="13"/>
        <v>0.27660098700000002</v>
      </c>
      <c r="N71" s="28">
        <v>31</v>
      </c>
      <c r="O71" s="93">
        <f t="shared" si="8"/>
        <v>8.4132892412829001</v>
      </c>
      <c r="P71" s="83">
        <f t="shared" ref="P71:P108" si="14">IFERROR(L71*2.205,"")</f>
        <v>18.907060466385001</v>
      </c>
      <c r="Q71" s="203">
        <v>1</v>
      </c>
      <c r="R71" s="170"/>
    </row>
    <row r="72" spans="1:18" x14ac:dyDescent="0.25">
      <c r="A72" s="167">
        <v>2016</v>
      </c>
      <c r="B72" s="167" t="s">
        <v>202</v>
      </c>
      <c r="C72" s="169" t="s">
        <v>957</v>
      </c>
      <c r="D72" s="68">
        <v>42490</v>
      </c>
      <c r="E72" s="171"/>
      <c r="F72" s="28">
        <v>0.114</v>
      </c>
      <c r="G72" s="169"/>
      <c r="H72" s="28">
        <v>0.114</v>
      </c>
      <c r="I72" s="28">
        <v>4.1490999999999998</v>
      </c>
      <c r="J72" s="28">
        <v>3.7967</v>
      </c>
      <c r="K72" s="62">
        <f t="shared" si="11"/>
        <v>1.790295159</v>
      </c>
      <c r="L72" s="62">
        <f t="shared" si="12"/>
        <v>49.147142490000007</v>
      </c>
      <c r="M72" s="83">
        <f t="shared" si="13"/>
        <v>1.6382380830000003</v>
      </c>
      <c r="N72" s="28">
        <v>30</v>
      </c>
      <c r="O72" s="93">
        <f t="shared" si="8"/>
        <v>49.8297962991861</v>
      </c>
      <c r="P72" s="83">
        <f t="shared" si="14"/>
        <v>108.36944919045003</v>
      </c>
      <c r="Q72" s="203">
        <v>1</v>
      </c>
      <c r="R72" s="170"/>
    </row>
    <row r="73" spans="1:18" x14ac:dyDescent="0.25">
      <c r="A73" s="167">
        <v>2016</v>
      </c>
      <c r="B73" s="167" t="s">
        <v>202</v>
      </c>
      <c r="C73" s="169" t="s">
        <v>957</v>
      </c>
      <c r="D73" s="68">
        <v>42521</v>
      </c>
      <c r="E73" s="171"/>
      <c r="F73" s="28">
        <v>8.9999999999999993E-3</v>
      </c>
      <c r="G73" s="169"/>
      <c r="H73" s="28">
        <v>8.9999999999999993E-3</v>
      </c>
      <c r="I73" s="28">
        <v>4.5129999999999999</v>
      </c>
      <c r="J73" s="28">
        <v>4.1272000000000002</v>
      </c>
      <c r="K73" s="62">
        <f t="shared" si="11"/>
        <v>0.15373534499999997</v>
      </c>
      <c r="L73" s="62">
        <f t="shared" si="12"/>
        <v>4.3583851079999993</v>
      </c>
      <c r="M73" s="83">
        <f t="shared" si="13"/>
        <v>0.14059306799999999</v>
      </c>
      <c r="N73" s="28">
        <v>31</v>
      </c>
      <c r="O73" s="93">
        <f t="shared" si="8"/>
        <v>4.2763771714355991</v>
      </c>
      <c r="P73" s="83">
        <f t="shared" si="14"/>
        <v>9.6102391631399993</v>
      </c>
      <c r="Q73" s="203">
        <v>1</v>
      </c>
      <c r="R73" s="170"/>
    </row>
    <row r="74" spans="1:18" x14ac:dyDescent="0.25">
      <c r="A74" s="167">
        <v>2016</v>
      </c>
      <c r="B74" s="167" t="s">
        <v>202</v>
      </c>
      <c r="C74" s="169" t="s">
        <v>957</v>
      </c>
      <c r="D74" s="68">
        <v>42551</v>
      </c>
      <c r="E74" s="171"/>
      <c r="F74" s="28">
        <v>1.7999999999999999E-2</v>
      </c>
      <c r="G74" s="169"/>
      <c r="H74" s="28">
        <v>1.7999999999999999E-2</v>
      </c>
      <c r="I74" s="28">
        <v>4.5823</v>
      </c>
      <c r="J74" s="28">
        <v>3.8681000000000001</v>
      </c>
      <c r="K74" s="62">
        <f t="shared" si="11"/>
        <v>0.312192099</v>
      </c>
      <c r="L74" s="62">
        <f t="shared" si="12"/>
        <v>7.9060095900000009</v>
      </c>
      <c r="M74" s="83">
        <f t="shared" si="13"/>
        <v>0.26353365300000003</v>
      </c>
      <c r="N74" s="28">
        <v>30</v>
      </c>
      <c r="O74" s="93">
        <f t="shared" si="8"/>
        <v>8.0158240632051001</v>
      </c>
      <c r="P74" s="83">
        <f t="shared" si="14"/>
        <v>17.432751145950004</v>
      </c>
      <c r="Q74" s="203">
        <v>1</v>
      </c>
      <c r="R74" s="170"/>
    </row>
    <row r="75" spans="1:18" x14ac:dyDescent="0.25">
      <c r="A75" s="167">
        <v>2016</v>
      </c>
      <c r="B75" s="167" t="s">
        <v>202</v>
      </c>
      <c r="C75" s="169" t="s">
        <v>957</v>
      </c>
      <c r="D75" s="68">
        <v>42582</v>
      </c>
      <c r="E75" s="171"/>
      <c r="F75" s="28">
        <v>0.32500000000000001</v>
      </c>
      <c r="G75" s="169"/>
      <c r="H75" s="28">
        <v>0.32500000000000001</v>
      </c>
      <c r="I75" s="28">
        <v>5.2957999999999998</v>
      </c>
      <c r="J75" s="28">
        <v>3.7258</v>
      </c>
      <c r="K75" s="62">
        <f t="shared" si="11"/>
        <v>6.5144959750000009</v>
      </c>
      <c r="L75" s="62">
        <f t="shared" si="12"/>
        <v>142.07919147500002</v>
      </c>
      <c r="M75" s="83">
        <f t="shared" si="13"/>
        <v>4.5831997250000009</v>
      </c>
      <c r="N75" s="28">
        <v>31</v>
      </c>
      <c r="O75" s="93">
        <f t="shared" si="8"/>
        <v>139.40581107540751</v>
      </c>
      <c r="P75" s="83">
        <f t="shared" si="14"/>
        <v>313.28461720237505</v>
      </c>
      <c r="Q75" s="203">
        <v>1</v>
      </c>
      <c r="R75" s="170"/>
    </row>
    <row r="76" spans="1:18" x14ac:dyDescent="0.25">
      <c r="A76" s="167">
        <v>2016</v>
      </c>
      <c r="B76" s="167" t="s">
        <v>202</v>
      </c>
      <c r="C76" s="169" t="s">
        <v>957</v>
      </c>
      <c r="D76" s="68">
        <v>42613</v>
      </c>
      <c r="E76" s="171"/>
      <c r="F76" s="28">
        <v>6.3E-2</v>
      </c>
      <c r="G76" s="169"/>
      <c r="H76" s="28">
        <v>6.3E-2</v>
      </c>
      <c r="I76" s="28">
        <v>4.3917999999999999</v>
      </c>
      <c r="J76" s="28">
        <v>3.8931</v>
      </c>
      <c r="K76" s="62">
        <f t="shared" si="11"/>
        <v>1.0472466690000002</v>
      </c>
      <c r="L76" s="62">
        <f t="shared" si="12"/>
        <v>28.778203975500002</v>
      </c>
      <c r="M76" s="83">
        <f t="shared" si="13"/>
        <v>0.92832916050000003</v>
      </c>
      <c r="N76" s="28">
        <v>31</v>
      </c>
      <c r="O76" s="93">
        <f t="shared" si="8"/>
        <v>28.236709576180349</v>
      </c>
      <c r="P76" s="83">
        <f t="shared" si="14"/>
        <v>63.455939765977504</v>
      </c>
      <c r="Q76" s="203">
        <v>1</v>
      </c>
      <c r="R76" s="170"/>
    </row>
    <row r="77" spans="1:18" x14ac:dyDescent="0.25">
      <c r="A77" s="167">
        <v>2016</v>
      </c>
      <c r="B77" s="167" t="s">
        <v>202</v>
      </c>
      <c r="C77" s="169" t="s">
        <v>957</v>
      </c>
      <c r="D77" s="68">
        <v>42643</v>
      </c>
      <c r="E77" s="171"/>
      <c r="F77" s="28">
        <v>1.9E-2</v>
      </c>
      <c r="G77" s="169"/>
      <c r="H77" s="28">
        <v>1.9E-2</v>
      </c>
      <c r="I77" s="28">
        <v>4.2145000000000001</v>
      </c>
      <c r="J77" s="28">
        <v>3.9315000000000002</v>
      </c>
      <c r="K77" s="62">
        <f t="shared" si="11"/>
        <v>0.30308576749999999</v>
      </c>
      <c r="L77" s="62">
        <f t="shared" si="12"/>
        <v>8.4820146750000003</v>
      </c>
      <c r="M77" s="83">
        <f t="shared" si="13"/>
        <v>0.28273382250000001</v>
      </c>
      <c r="N77" s="28">
        <v>30</v>
      </c>
      <c r="O77" s="93">
        <f t="shared" si="8"/>
        <v>8.5998298588357489</v>
      </c>
      <c r="P77" s="83">
        <f t="shared" si="14"/>
        <v>18.702842358375001</v>
      </c>
      <c r="Q77" s="203">
        <v>1</v>
      </c>
      <c r="R77" s="170"/>
    </row>
    <row r="78" spans="1:18" x14ac:dyDescent="0.25">
      <c r="A78" s="167">
        <v>2016</v>
      </c>
      <c r="B78" s="167" t="s">
        <v>202</v>
      </c>
      <c r="C78" s="169" t="s">
        <v>957</v>
      </c>
      <c r="D78" s="68">
        <v>42674</v>
      </c>
      <c r="E78" s="171"/>
      <c r="F78" s="28">
        <v>2.1000000000000001E-2</v>
      </c>
      <c r="G78" s="169"/>
      <c r="H78" s="28">
        <v>2.1000000000000001E-2</v>
      </c>
      <c r="I78" s="28">
        <v>4.1207000000000003</v>
      </c>
      <c r="J78" s="28">
        <v>3.6164000000000001</v>
      </c>
      <c r="K78" s="62">
        <f t="shared" si="11"/>
        <v>0.32753383950000003</v>
      </c>
      <c r="L78" s="62">
        <f t="shared" si="12"/>
        <v>8.9109361740000015</v>
      </c>
      <c r="M78" s="83">
        <f t="shared" si="13"/>
        <v>0.28744955400000005</v>
      </c>
      <c r="N78" s="28">
        <v>31</v>
      </c>
      <c r="O78" s="93">
        <f t="shared" si="8"/>
        <v>8.7432668491517997</v>
      </c>
      <c r="P78" s="83">
        <f t="shared" si="14"/>
        <v>19.648614263670005</v>
      </c>
      <c r="Q78" s="203">
        <v>1</v>
      </c>
      <c r="R78" s="170"/>
    </row>
    <row r="79" spans="1:18" x14ac:dyDescent="0.25">
      <c r="A79" s="167">
        <v>2016</v>
      </c>
      <c r="B79" s="167" t="s">
        <v>202</v>
      </c>
      <c r="C79" s="169" t="s">
        <v>957</v>
      </c>
      <c r="D79" s="68">
        <v>42704</v>
      </c>
      <c r="E79" s="171"/>
      <c r="F79" s="28">
        <v>6.0000000000000001E-3</v>
      </c>
      <c r="G79" s="169"/>
      <c r="H79" s="28">
        <v>6.0000000000000001E-3</v>
      </c>
      <c r="I79" s="28">
        <v>4.1208999999999998</v>
      </c>
      <c r="J79" s="28">
        <v>3.9645000000000001</v>
      </c>
      <c r="K79" s="62">
        <f t="shared" si="11"/>
        <v>9.3585638999999998E-2</v>
      </c>
      <c r="L79" s="62">
        <f t="shared" si="12"/>
        <v>2.7010138500000003</v>
      </c>
      <c r="M79" s="83">
        <f t="shared" si="13"/>
        <v>9.0033795000000014E-2</v>
      </c>
      <c r="N79" s="28">
        <v>30</v>
      </c>
      <c r="O79" s="93">
        <f t="shared" si="8"/>
        <v>2.7385309323764999</v>
      </c>
      <c r="P79" s="83">
        <f t="shared" si="14"/>
        <v>5.9557355392500009</v>
      </c>
      <c r="Q79" s="203">
        <v>1</v>
      </c>
      <c r="R79" s="170"/>
    </row>
    <row r="80" spans="1:18" x14ac:dyDescent="0.25">
      <c r="A80" s="167">
        <v>2016</v>
      </c>
      <c r="B80" s="167" t="s">
        <v>202</v>
      </c>
      <c r="C80" s="169" t="s">
        <v>957</v>
      </c>
      <c r="D80" s="68">
        <v>42735</v>
      </c>
      <c r="E80" s="171"/>
      <c r="F80" s="28">
        <v>1.0999999999999999E-2</v>
      </c>
      <c r="G80" s="169"/>
      <c r="H80" s="28">
        <v>1.0999999999999999E-2</v>
      </c>
      <c r="I80" s="28">
        <v>4.0895999999999999</v>
      </c>
      <c r="J80" s="28">
        <v>3.4701</v>
      </c>
      <c r="K80" s="62">
        <f t="shared" si="11"/>
        <v>0.17027049599999999</v>
      </c>
      <c r="L80" s="62">
        <f t="shared" si="12"/>
        <v>4.4788060184999994</v>
      </c>
      <c r="M80" s="83">
        <f t="shared" si="13"/>
        <v>0.14447761349999999</v>
      </c>
      <c r="N80" s="28">
        <v>31</v>
      </c>
      <c r="O80" s="93">
        <f t="shared" si="8"/>
        <v>4.3945322265454489</v>
      </c>
      <c r="P80" s="83">
        <f t="shared" si="14"/>
        <v>9.8757672707924993</v>
      </c>
      <c r="Q80" s="203">
        <v>1</v>
      </c>
      <c r="R80" s="170"/>
    </row>
    <row r="81" spans="1:18" x14ac:dyDescent="0.25">
      <c r="A81" s="167">
        <v>2016</v>
      </c>
      <c r="B81" s="167" t="s">
        <v>202</v>
      </c>
      <c r="C81" s="169" t="s">
        <v>957</v>
      </c>
      <c r="D81" s="68"/>
      <c r="E81" s="171"/>
      <c r="F81" s="80"/>
      <c r="H81" s="80"/>
      <c r="K81" s="62">
        <f t="shared" si="11"/>
        <v>0</v>
      </c>
      <c r="L81" s="62">
        <f t="shared" si="12"/>
        <v>0</v>
      </c>
      <c r="M81" s="83" t="str">
        <f t="shared" si="13"/>
        <v/>
      </c>
      <c r="O81" s="93" t="str">
        <f t="shared" si="8"/>
        <v/>
      </c>
      <c r="P81" s="62">
        <f t="shared" si="14"/>
        <v>0</v>
      </c>
      <c r="Q81" s="203">
        <v>2</v>
      </c>
      <c r="R81" s="170" t="s">
        <v>6758</v>
      </c>
    </row>
    <row r="82" spans="1:18" x14ac:dyDescent="0.25">
      <c r="A82" s="167">
        <v>2016</v>
      </c>
      <c r="B82" s="167" t="s">
        <v>202</v>
      </c>
      <c r="C82" s="169" t="s">
        <v>957</v>
      </c>
      <c r="D82" s="68"/>
      <c r="E82" s="173"/>
      <c r="F82" s="80"/>
      <c r="H82" s="80"/>
      <c r="K82" s="62">
        <f t="shared" si="11"/>
        <v>0</v>
      </c>
      <c r="L82" s="62">
        <f t="shared" si="12"/>
        <v>0</v>
      </c>
      <c r="M82" s="83" t="str">
        <f t="shared" si="13"/>
        <v/>
      </c>
      <c r="O82" s="93" t="str">
        <f t="shared" ref="O82:O99" si="15">IF(AND(L82&gt;0,L82&lt;&gt;""), L82/(N82/30.4167),"")</f>
        <v/>
      </c>
      <c r="P82" s="93">
        <f t="shared" si="14"/>
        <v>0</v>
      </c>
      <c r="Q82" s="203">
        <v>9</v>
      </c>
      <c r="R82" s="170" t="s">
        <v>6758</v>
      </c>
    </row>
    <row r="83" spans="1:18" x14ac:dyDescent="0.25">
      <c r="A83" s="28">
        <v>2017</v>
      </c>
      <c r="B83" s="28" t="s">
        <v>149</v>
      </c>
      <c r="C83" s="28" t="s">
        <v>860</v>
      </c>
      <c r="D83" s="68">
        <v>42766</v>
      </c>
      <c r="E83" s="207"/>
      <c r="F83" s="28">
        <v>0.01</v>
      </c>
      <c r="H83" s="28">
        <v>0</v>
      </c>
      <c r="I83" s="28">
        <v>7.1</v>
      </c>
      <c r="J83" s="28">
        <v>5.9</v>
      </c>
      <c r="K83" s="62">
        <f t="shared" si="11"/>
        <v>0.268735</v>
      </c>
      <c r="L83" s="62">
        <f t="shared" si="12"/>
        <v>0</v>
      </c>
      <c r="M83" s="83">
        <f t="shared" si="13"/>
        <v>0</v>
      </c>
      <c r="N83" s="28">
        <v>31</v>
      </c>
      <c r="O83" s="93" t="str">
        <f t="shared" si="15"/>
        <v/>
      </c>
      <c r="P83" s="93">
        <f t="shared" si="14"/>
        <v>0</v>
      </c>
      <c r="Q83" s="203">
        <v>1</v>
      </c>
      <c r="R83" s="170" t="s">
        <v>2449</v>
      </c>
    </row>
    <row r="84" spans="1:18" x14ac:dyDescent="0.25">
      <c r="A84" s="28">
        <v>2017</v>
      </c>
      <c r="B84" s="28" t="s">
        <v>149</v>
      </c>
      <c r="C84" s="28" t="s">
        <v>860</v>
      </c>
      <c r="D84" s="68">
        <v>42794</v>
      </c>
      <c r="E84" s="207"/>
      <c r="F84" s="28">
        <v>0.01</v>
      </c>
      <c r="H84" s="28">
        <v>0</v>
      </c>
      <c r="I84" s="28">
        <v>6.2</v>
      </c>
      <c r="J84" s="28">
        <v>4.9000000000000004</v>
      </c>
      <c r="K84" s="62">
        <f t="shared" si="11"/>
        <v>0.23467000000000005</v>
      </c>
      <c r="L84" s="62">
        <f t="shared" si="12"/>
        <v>0</v>
      </c>
      <c r="M84" s="83">
        <f t="shared" si="13"/>
        <v>0</v>
      </c>
      <c r="N84" s="28">
        <v>28</v>
      </c>
      <c r="O84" s="93" t="str">
        <f t="shared" si="15"/>
        <v/>
      </c>
      <c r="P84" s="93">
        <f t="shared" si="14"/>
        <v>0</v>
      </c>
      <c r="Q84" s="203">
        <v>1</v>
      </c>
      <c r="R84" s="170"/>
    </row>
    <row r="85" spans="1:18" x14ac:dyDescent="0.25">
      <c r="A85" s="28">
        <v>2017</v>
      </c>
      <c r="B85" s="28" t="s">
        <v>149</v>
      </c>
      <c r="C85" s="28" t="s">
        <v>860</v>
      </c>
      <c r="D85" s="68">
        <v>42825</v>
      </c>
      <c r="E85" s="207"/>
      <c r="F85" s="28">
        <v>0.01</v>
      </c>
      <c r="H85" s="28">
        <v>0</v>
      </c>
      <c r="I85" s="28">
        <v>7.5</v>
      </c>
      <c r="J85" s="28">
        <v>6.3</v>
      </c>
      <c r="K85" s="62">
        <f t="shared" si="11"/>
        <v>0.28387499999999999</v>
      </c>
      <c r="L85" s="62">
        <f t="shared" si="12"/>
        <v>0</v>
      </c>
      <c r="M85" s="83">
        <f t="shared" si="13"/>
        <v>0</v>
      </c>
      <c r="N85" s="28">
        <v>31</v>
      </c>
      <c r="O85" s="93" t="str">
        <f t="shared" si="15"/>
        <v/>
      </c>
      <c r="P85" s="93">
        <f t="shared" si="14"/>
        <v>0</v>
      </c>
      <c r="Q85" s="203">
        <v>1</v>
      </c>
      <c r="R85" s="170"/>
    </row>
    <row r="86" spans="1:18" x14ac:dyDescent="0.25">
      <c r="A86" s="28">
        <v>2017</v>
      </c>
      <c r="B86" s="28" t="s">
        <v>149</v>
      </c>
      <c r="C86" s="28" t="s">
        <v>860</v>
      </c>
      <c r="D86" s="68">
        <v>42855</v>
      </c>
      <c r="E86" s="207"/>
      <c r="F86" s="28">
        <v>0</v>
      </c>
      <c r="H86" s="28">
        <v>0</v>
      </c>
      <c r="I86" s="28">
        <v>7.3</v>
      </c>
      <c r="J86" s="28">
        <v>6.2</v>
      </c>
      <c r="K86" s="62">
        <f t="shared" si="11"/>
        <v>0</v>
      </c>
      <c r="L86" s="62">
        <f t="shared" si="12"/>
        <v>0</v>
      </c>
      <c r="M86" s="83">
        <f t="shared" si="13"/>
        <v>0</v>
      </c>
      <c r="N86" s="28">
        <v>30</v>
      </c>
      <c r="O86" s="93" t="str">
        <f t="shared" si="15"/>
        <v/>
      </c>
      <c r="P86" s="93">
        <f t="shared" si="14"/>
        <v>0</v>
      </c>
      <c r="Q86" s="203">
        <v>1</v>
      </c>
      <c r="R86" s="170"/>
    </row>
    <row r="87" spans="1:18" x14ac:dyDescent="0.25">
      <c r="A87" s="28">
        <v>2017</v>
      </c>
      <c r="B87" s="28" t="s">
        <v>149</v>
      </c>
      <c r="C87" s="28" t="s">
        <v>860</v>
      </c>
      <c r="D87" s="68">
        <v>42886</v>
      </c>
      <c r="E87" s="207"/>
      <c r="F87" s="28">
        <v>0</v>
      </c>
      <c r="H87" s="28">
        <v>0</v>
      </c>
      <c r="I87" s="28">
        <v>7.3</v>
      </c>
      <c r="J87" s="28">
        <v>6.5</v>
      </c>
      <c r="K87" s="62">
        <f t="shared" si="11"/>
        <v>0</v>
      </c>
      <c r="L87" s="62">
        <f t="shared" si="12"/>
        <v>0</v>
      </c>
      <c r="M87" s="83">
        <f t="shared" si="13"/>
        <v>0</v>
      </c>
      <c r="N87" s="28">
        <v>31</v>
      </c>
      <c r="O87" s="93" t="str">
        <f t="shared" si="15"/>
        <v/>
      </c>
      <c r="P87" s="93">
        <f t="shared" si="14"/>
        <v>0</v>
      </c>
      <c r="Q87" s="203">
        <v>1</v>
      </c>
      <c r="R87" s="170"/>
    </row>
    <row r="88" spans="1:18" x14ac:dyDescent="0.25">
      <c r="A88" s="28">
        <v>2017</v>
      </c>
      <c r="B88" s="28" t="s">
        <v>149</v>
      </c>
      <c r="C88" s="28" t="s">
        <v>860</v>
      </c>
      <c r="D88" s="68">
        <v>42916</v>
      </c>
      <c r="E88" s="207"/>
      <c r="F88" s="28">
        <v>0</v>
      </c>
      <c r="H88" s="28">
        <v>0</v>
      </c>
      <c r="I88" s="28">
        <v>7.4</v>
      </c>
      <c r="J88" s="28">
        <v>5.9</v>
      </c>
      <c r="K88" s="62">
        <f t="shared" si="11"/>
        <v>0</v>
      </c>
      <c r="L88" s="62">
        <f t="shared" si="12"/>
        <v>0</v>
      </c>
      <c r="M88" s="83">
        <f t="shared" si="13"/>
        <v>0</v>
      </c>
      <c r="N88" s="28">
        <v>30</v>
      </c>
      <c r="O88" s="93" t="str">
        <f t="shared" si="15"/>
        <v/>
      </c>
      <c r="P88" s="93">
        <f t="shared" si="14"/>
        <v>0</v>
      </c>
      <c r="Q88" s="203">
        <v>1</v>
      </c>
      <c r="R88" s="170"/>
    </row>
    <row r="89" spans="1:18" x14ac:dyDescent="0.25">
      <c r="A89" s="28">
        <v>2017</v>
      </c>
      <c r="B89" s="28" t="s">
        <v>149</v>
      </c>
      <c r="C89" s="28" t="s">
        <v>860</v>
      </c>
      <c r="D89" s="68">
        <v>42947</v>
      </c>
      <c r="E89" s="207"/>
      <c r="F89" s="28">
        <v>0</v>
      </c>
      <c r="H89" s="28">
        <v>0</v>
      </c>
      <c r="I89" s="28">
        <v>7.1</v>
      </c>
      <c r="J89" s="28">
        <v>5.9</v>
      </c>
      <c r="K89" s="62">
        <f t="shared" si="11"/>
        <v>0</v>
      </c>
      <c r="L89" s="62">
        <f t="shared" si="12"/>
        <v>0</v>
      </c>
      <c r="M89" s="83">
        <f t="shared" si="13"/>
        <v>0</v>
      </c>
      <c r="N89" s="28">
        <v>31</v>
      </c>
      <c r="O89" s="93" t="str">
        <f t="shared" si="15"/>
        <v/>
      </c>
      <c r="P89" s="93">
        <f t="shared" si="14"/>
        <v>0</v>
      </c>
      <c r="Q89" s="203">
        <v>1</v>
      </c>
      <c r="R89" s="170"/>
    </row>
    <row r="90" spans="1:18" x14ac:dyDescent="0.25">
      <c r="A90" s="28">
        <v>2017</v>
      </c>
      <c r="B90" s="28" t="s">
        <v>149</v>
      </c>
      <c r="C90" s="28" t="s">
        <v>860</v>
      </c>
      <c r="D90" s="68">
        <v>42978</v>
      </c>
      <c r="E90" s="207"/>
      <c r="F90" s="28">
        <v>0</v>
      </c>
      <c r="H90" s="28">
        <v>0</v>
      </c>
      <c r="I90" s="28">
        <v>6.9</v>
      </c>
      <c r="J90" s="28">
        <v>5.2</v>
      </c>
      <c r="K90" s="62">
        <f t="shared" si="11"/>
        <v>0</v>
      </c>
      <c r="L90" s="62">
        <f t="shared" si="12"/>
        <v>0</v>
      </c>
      <c r="M90" s="83">
        <f t="shared" si="13"/>
        <v>0</v>
      </c>
      <c r="N90" s="28">
        <v>31</v>
      </c>
      <c r="O90" s="93" t="str">
        <f t="shared" si="15"/>
        <v/>
      </c>
      <c r="P90" s="93">
        <f t="shared" si="14"/>
        <v>0</v>
      </c>
      <c r="Q90" s="203">
        <v>1</v>
      </c>
      <c r="R90" s="170"/>
    </row>
    <row r="91" spans="1:18" x14ac:dyDescent="0.25">
      <c r="A91" s="28">
        <v>2017</v>
      </c>
      <c r="B91" s="28" t="s">
        <v>149</v>
      </c>
      <c r="C91" s="28" t="s">
        <v>860</v>
      </c>
      <c r="D91" s="68">
        <v>43008</v>
      </c>
      <c r="E91" s="207"/>
      <c r="F91" s="28">
        <v>0</v>
      </c>
      <c r="H91" s="28">
        <v>0</v>
      </c>
      <c r="I91" s="28">
        <v>7</v>
      </c>
      <c r="J91" s="28">
        <v>5.6</v>
      </c>
      <c r="K91" s="62">
        <f t="shared" si="11"/>
        <v>0</v>
      </c>
      <c r="L91" s="62">
        <f t="shared" si="12"/>
        <v>0</v>
      </c>
      <c r="M91" s="83">
        <f t="shared" si="13"/>
        <v>0</v>
      </c>
      <c r="N91" s="28">
        <v>30</v>
      </c>
      <c r="O91" s="93" t="str">
        <f t="shared" si="15"/>
        <v/>
      </c>
      <c r="P91" s="93">
        <f t="shared" si="14"/>
        <v>0</v>
      </c>
      <c r="Q91" s="203">
        <v>1</v>
      </c>
      <c r="R91" s="170"/>
    </row>
    <row r="92" spans="1:18" x14ac:dyDescent="0.25">
      <c r="A92" s="28">
        <v>2017</v>
      </c>
      <c r="B92" s="28" t="s">
        <v>149</v>
      </c>
      <c r="C92" s="28" t="s">
        <v>860</v>
      </c>
      <c r="D92" s="68">
        <v>43039</v>
      </c>
      <c r="E92" s="191"/>
      <c r="F92" s="28">
        <v>0</v>
      </c>
      <c r="H92" s="28">
        <v>0</v>
      </c>
      <c r="I92" s="28">
        <v>6.5</v>
      </c>
      <c r="J92" s="28">
        <v>5.4</v>
      </c>
      <c r="K92" s="62">
        <f t="shared" si="11"/>
        <v>0</v>
      </c>
      <c r="L92" s="62">
        <f t="shared" si="12"/>
        <v>0</v>
      </c>
      <c r="M92" s="83">
        <f t="shared" si="13"/>
        <v>0</v>
      </c>
      <c r="N92" s="28">
        <v>31</v>
      </c>
      <c r="O92" s="93" t="str">
        <f t="shared" si="15"/>
        <v/>
      </c>
      <c r="P92" s="93">
        <f t="shared" si="14"/>
        <v>0</v>
      </c>
      <c r="Q92" s="203">
        <v>1</v>
      </c>
      <c r="R92" s="170"/>
    </row>
    <row r="93" spans="1:18" x14ac:dyDescent="0.25">
      <c r="A93" s="28">
        <v>2017</v>
      </c>
      <c r="B93" s="28" t="s">
        <v>149</v>
      </c>
      <c r="C93" s="28" t="s">
        <v>860</v>
      </c>
      <c r="D93" s="68">
        <v>43069</v>
      </c>
      <c r="E93" s="191"/>
      <c r="F93" s="28">
        <v>0</v>
      </c>
      <c r="H93" s="28">
        <v>0</v>
      </c>
      <c r="I93" s="28">
        <v>7.1</v>
      </c>
      <c r="J93" s="28">
        <v>5.9</v>
      </c>
      <c r="K93" s="62">
        <f t="shared" si="11"/>
        <v>0</v>
      </c>
      <c r="L93" s="62">
        <f t="shared" si="12"/>
        <v>0</v>
      </c>
      <c r="M93" s="83">
        <f t="shared" si="13"/>
        <v>0</v>
      </c>
      <c r="N93" s="28">
        <v>30</v>
      </c>
      <c r="O93" s="93" t="str">
        <f t="shared" si="15"/>
        <v/>
      </c>
      <c r="P93" s="93">
        <f t="shared" si="14"/>
        <v>0</v>
      </c>
      <c r="Q93" s="203">
        <v>1</v>
      </c>
      <c r="R93" s="170"/>
    </row>
    <row r="94" spans="1:18" x14ac:dyDescent="0.25">
      <c r="A94" s="28">
        <v>2017</v>
      </c>
      <c r="B94" s="28" t="s">
        <v>149</v>
      </c>
      <c r="C94" s="28" t="s">
        <v>860</v>
      </c>
      <c r="D94" s="68">
        <v>43100</v>
      </c>
      <c r="E94" s="191"/>
      <c r="F94" s="28">
        <v>0</v>
      </c>
      <c r="H94" s="28">
        <v>0</v>
      </c>
      <c r="I94" s="28">
        <v>7.6</v>
      </c>
      <c r="J94" s="28">
        <v>6.5</v>
      </c>
      <c r="K94" s="62">
        <f t="shared" si="11"/>
        <v>0</v>
      </c>
      <c r="L94" s="62">
        <f t="shared" si="12"/>
        <v>0</v>
      </c>
      <c r="M94" s="83">
        <f t="shared" si="13"/>
        <v>0</v>
      </c>
      <c r="N94" s="28">
        <v>31</v>
      </c>
      <c r="O94" s="93" t="str">
        <f t="shared" si="15"/>
        <v/>
      </c>
      <c r="P94" s="93">
        <f t="shared" si="14"/>
        <v>0</v>
      </c>
      <c r="Q94" s="203">
        <v>1</v>
      </c>
      <c r="R94" s="170"/>
    </row>
    <row r="95" spans="1:18" x14ac:dyDescent="0.25">
      <c r="A95" s="169">
        <v>2017</v>
      </c>
      <c r="B95" s="169" t="s">
        <v>149</v>
      </c>
      <c r="C95" s="169" t="s">
        <v>860</v>
      </c>
      <c r="D95" s="68">
        <v>42766</v>
      </c>
      <c r="E95" s="173"/>
      <c r="F95" s="28">
        <v>0</v>
      </c>
      <c r="G95" s="169"/>
      <c r="H95" s="28">
        <v>0</v>
      </c>
      <c r="I95" s="28">
        <v>51.4</v>
      </c>
      <c r="J95" s="28">
        <v>51.4</v>
      </c>
      <c r="K95" s="62">
        <f t="shared" si="11"/>
        <v>0</v>
      </c>
      <c r="L95" s="62">
        <f t="shared" si="12"/>
        <v>0</v>
      </c>
      <c r="M95" s="83">
        <f t="shared" si="13"/>
        <v>0</v>
      </c>
      <c r="N95" s="28">
        <v>31</v>
      </c>
      <c r="O95" s="93" t="str">
        <f t="shared" si="15"/>
        <v/>
      </c>
      <c r="P95" s="93">
        <f t="shared" si="14"/>
        <v>0</v>
      </c>
      <c r="Q95" s="203">
        <v>2</v>
      </c>
      <c r="R95" s="170" t="s">
        <v>6759</v>
      </c>
    </row>
    <row r="96" spans="1:18" x14ac:dyDescent="0.25">
      <c r="A96" s="169">
        <v>2017</v>
      </c>
      <c r="B96" s="169" t="s">
        <v>149</v>
      </c>
      <c r="C96" s="169" t="s">
        <v>860</v>
      </c>
      <c r="D96" s="68">
        <v>42794</v>
      </c>
      <c r="E96" s="173"/>
      <c r="F96" s="28">
        <v>0.1</v>
      </c>
      <c r="G96" s="169"/>
      <c r="H96" s="28">
        <v>0.1</v>
      </c>
      <c r="I96" s="28">
        <v>55.8</v>
      </c>
      <c r="J96" s="28">
        <v>53.8</v>
      </c>
      <c r="K96" s="62">
        <f t="shared" si="11"/>
        <v>21.1203</v>
      </c>
      <c r="L96" s="62">
        <f t="shared" si="12"/>
        <v>570.17239999999993</v>
      </c>
      <c r="M96" s="83">
        <f t="shared" si="13"/>
        <v>20.363299999999999</v>
      </c>
      <c r="N96" s="28">
        <v>28</v>
      </c>
      <c r="O96" s="93">
        <f t="shared" si="15"/>
        <v>619.38438710999992</v>
      </c>
      <c r="P96" s="93">
        <f t="shared" si="14"/>
        <v>1257.2301419999999</v>
      </c>
      <c r="Q96" s="203">
        <v>2</v>
      </c>
      <c r="R96" s="170"/>
    </row>
    <row r="97" spans="1:18" x14ac:dyDescent="0.25">
      <c r="A97" s="169">
        <v>2017</v>
      </c>
      <c r="B97" s="169" t="s">
        <v>149</v>
      </c>
      <c r="C97" s="169" t="s">
        <v>860</v>
      </c>
      <c r="D97" s="68">
        <v>42825</v>
      </c>
      <c r="E97" s="173"/>
      <c r="F97" s="28">
        <v>0</v>
      </c>
      <c r="G97" s="169"/>
      <c r="H97" s="28">
        <v>0</v>
      </c>
      <c r="I97" s="28">
        <v>79.099999999999994</v>
      </c>
      <c r="J97" s="28">
        <v>79.099999999999994</v>
      </c>
      <c r="K97" s="62">
        <f t="shared" si="11"/>
        <v>0</v>
      </c>
      <c r="L97" s="62">
        <f t="shared" si="12"/>
        <v>0</v>
      </c>
      <c r="M97" s="83">
        <f t="shared" si="13"/>
        <v>0</v>
      </c>
      <c r="N97" s="28">
        <v>31</v>
      </c>
      <c r="O97" s="93" t="str">
        <f t="shared" si="15"/>
        <v/>
      </c>
      <c r="P97" s="93">
        <f t="shared" si="14"/>
        <v>0</v>
      </c>
      <c r="Q97" s="203">
        <v>2</v>
      </c>
      <c r="R97" s="170"/>
    </row>
    <row r="98" spans="1:18" x14ac:dyDescent="0.25">
      <c r="A98" s="169">
        <v>2017</v>
      </c>
      <c r="B98" s="169" t="s">
        <v>149</v>
      </c>
      <c r="C98" s="169" t="s">
        <v>860</v>
      </c>
      <c r="D98" s="68">
        <v>42855</v>
      </c>
      <c r="E98" s="173"/>
      <c r="F98" s="28">
        <v>0.1</v>
      </c>
      <c r="G98" s="169"/>
      <c r="H98" s="28">
        <v>0.1</v>
      </c>
      <c r="I98" s="28">
        <v>82</v>
      </c>
      <c r="J98" s="28">
        <v>37.700000000000003</v>
      </c>
      <c r="K98" s="62">
        <f t="shared" si="11"/>
        <v>31.037000000000006</v>
      </c>
      <c r="L98" s="62">
        <f t="shared" si="12"/>
        <v>428.08350000000007</v>
      </c>
      <c r="M98" s="83">
        <f t="shared" si="13"/>
        <v>14.269450000000003</v>
      </c>
      <c r="N98" s="28">
        <v>30</v>
      </c>
      <c r="O98" s="93">
        <f t="shared" si="15"/>
        <v>434.02957981500003</v>
      </c>
      <c r="P98" s="93">
        <f t="shared" si="14"/>
        <v>943.92411750000019</v>
      </c>
      <c r="Q98" s="203">
        <v>2</v>
      </c>
      <c r="R98" s="170"/>
    </row>
    <row r="99" spans="1:18" x14ac:dyDescent="0.25">
      <c r="A99" s="169">
        <v>2017</v>
      </c>
      <c r="B99" s="169" t="s">
        <v>149</v>
      </c>
      <c r="C99" s="169" t="s">
        <v>860</v>
      </c>
      <c r="D99" s="68">
        <v>42886</v>
      </c>
      <c r="E99" s="173"/>
      <c r="F99" s="28">
        <v>0</v>
      </c>
      <c r="G99" s="169"/>
      <c r="H99" s="28">
        <v>0</v>
      </c>
      <c r="I99" s="28">
        <v>53.2</v>
      </c>
      <c r="J99" s="28">
        <v>46.9</v>
      </c>
      <c r="K99" s="62">
        <f t="shared" si="11"/>
        <v>0</v>
      </c>
      <c r="L99" s="62">
        <f t="shared" si="12"/>
        <v>0</v>
      </c>
      <c r="M99" s="83">
        <f t="shared" si="13"/>
        <v>0</v>
      </c>
      <c r="N99" s="28">
        <v>31</v>
      </c>
      <c r="O99" s="93" t="str">
        <f t="shared" si="15"/>
        <v/>
      </c>
      <c r="P99" s="93">
        <f t="shared" si="14"/>
        <v>0</v>
      </c>
      <c r="Q99" s="203">
        <v>2</v>
      </c>
      <c r="R99" s="170"/>
    </row>
    <row r="100" spans="1:18" x14ac:dyDescent="0.25">
      <c r="A100" s="169">
        <v>2017</v>
      </c>
      <c r="B100" s="169" t="s">
        <v>149</v>
      </c>
      <c r="C100" s="169" t="s">
        <v>860</v>
      </c>
      <c r="D100" s="68">
        <v>42916</v>
      </c>
      <c r="E100" s="173"/>
      <c r="F100" s="28">
        <v>0</v>
      </c>
      <c r="G100" s="169"/>
      <c r="H100" s="28">
        <v>0</v>
      </c>
      <c r="I100" s="28">
        <v>19.899999999999999</v>
      </c>
      <c r="J100" s="28">
        <v>19.8</v>
      </c>
      <c r="K100" s="62">
        <f t="shared" si="11"/>
        <v>0</v>
      </c>
      <c r="L100" s="62">
        <f t="shared" si="12"/>
        <v>0</v>
      </c>
      <c r="M100" s="83">
        <f t="shared" si="13"/>
        <v>0</v>
      </c>
      <c r="N100" s="28">
        <v>30</v>
      </c>
      <c r="O100" s="93" t="str">
        <f t="shared" ref="O100:O103" si="16">IF(AND(L100&gt;0,L100&lt;&gt;""), L100/(N100/30.4167),"")</f>
        <v/>
      </c>
      <c r="P100" s="93">
        <f t="shared" si="14"/>
        <v>0</v>
      </c>
      <c r="Q100" s="203">
        <v>2</v>
      </c>
      <c r="R100" s="170"/>
    </row>
    <row r="101" spans="1:18" x14ac:dyDescent="0.25">
      <c r="A101" s="169">
        <v>2017</v>
      </c>
      <c r="B101" s="169" t="s">
        <v>149</v>
      </c>
      <c r="C101" s="169" t="s">
        <v>860</v>
      </c>
      <c r="D101" s="68">
        <v>42947</v>
      </c>
      <c r="E101" s="173"/>
      <c r="F101" s="28">
        <v>0</v>
      </c>
      <c r="G101" s="169"/>
      <c r="H101" s="28">
        <v>0</v>
      </c>
      <c r="I101" s="28">
        <v>39.5</v>
      </c>
      <c r="J101" s="28">
        <v>39.5</v>
      </c>
      <c r="K101" s="62">
        <f t="shared" si="11"/>
        <v>0</v>
      </c>
      <c r="L101" s="62">
        <f t="shared" si="12"/>
        <v>0</v>
      </c>
      <c r="M101" s="83">
        <f t="shared" si="13"/>
        <v>0</v>
      </c>
      <c r="N101" s="28">
        <v>31</v>
      </c>
      <c r="O101" s="93" t="str">
        <f t="shared" si="16"/>
        <v/>
      </c>
      <c r="P101" s="93">
        <f t="shared" si="14"/>
        <v>0</v>
      </c>
      <c r="Q101" s="203">
        <v>2</v>
      </c>
      <c r="R101" s="170"/>
    </row>
    <row r="102" spans="1:18" x14ac:dyDescent="0.25">
      <c r="A102" s="169">
        <v>2017</v>
      </c>
      <c r="B102" s="169" t="s">
        <v>149</v>
      </c>
      <c r="C102" s="169" t="s">
        <v>860</v>
      </c>
      <c r="D102" s="68">
        <v>42978</v>
      </c>
      <c r="E102" s="173"/>
      <c r="F102" s="28">
        <v>0</v>
      </c>
      <c r="G102" s="169"/>
      <c r="H102" s="28">
        <v>0</v>
      </c>
      <c r="I102" s="28">
        <v>102.6</v>
      </c>
      <c r="J102" s="28">
        <v>25.7</v>
      </c>
      <c r="K102" s="62">
        <f t="shared" si="11"/>
        <v>0</v>
      </c>
      <c r="L102" s="62">
        <f t="shared" si="12"/>
        <v>0</v>
      </c>
      <c r="M102" s="83">
        <f t="shared" si="13"/>
        <v>0</v>
      </c>
      <c r="N102" s="28">
        <v>31</v>
      </c>
      <c r="O102" s="93" t="str">
        <f t="shared" si="16"/>
        <v/>
      </c>
      <c r="P102" s="93">
        <f t="shared" si="14"/>
        <v>0</v>
      </c>
      <c r="Q102" s="203">
        <v>2</v>
      </c>
      <c r="R102" s="170"/>
    </row>
    <row r="103" spans="1:18" x14ac:dyDescent="0.25">
      <c r="A103" s="169">
        <v>2017</v>
      </c>
      <c r="B103" s="169" t="s">
        <v>149</v>
      </c>
      <c r="C103" s="169" t="s">
        <v>860</v>
      </c>
      <c r="D103" s="68">
        <v>43008</v>
      </c>
      <c r="E103" s="173"/>
      <c r="F103" s="28">
        <v>0</v>
      </c>
      <c r="G103" s="169"/>
      <c r="H103" s="28">
        <v>0</v>
      </c>
      <c r="I103" s="28">
        <v>35.1</v>
      </c>
      <c r="J103" s="28">
        <v>35.1</v>
      </c>
      <c r="K103" s="62">
        <f t="shared" si="11"/>
        <v>0</v>
      </c>
      <c r="L103" s="62">
        <f t="shared" si="12"/>
        <v>0</v>
      </c>
      <c r="M103" s="83">
        <f t="shared" si="13"/>
        <v>0</v>
      </c>
      <c r="N103" s="28">
        <v>30</v>
      </c>
      <c r="O103" s="93" t="str">
        <f t="shared" si="16"/>
        <v/>
      </c>
      <c r="P103" s="93">
        <f t="shared" si="14"/>
        <v>0</v>
      </c>
      <c r="Q103" s="203">
        <v>2</v>
      </c>
      <c r="R103" s="170"/>
    </row>
    <row r="104" spans="1:18" x14ac:dyDescent="0.25">
      <c r="A104" s="169">
        <v>2017</v>
      </c>
      <c r="B104" s="169" t="s">
        <v>149</v>
      </c>
      <c r="C104" s="169" t="s">
        <v>860</v>
      </c>
      <c r="D104" s="68">
        <v>43039</v>
      </c>
      <c r="E104" s="173"/>
      <c r="F104" s="28">
        <v>0</v>
      </c>
      <c r="G104" s="169"/>
      <c r="H104" s="28">
        <v>0</v>
      </c>
      <c r="I104" s="28">
        <v>14.7</v>
      </c>
      <c r="J104" s="28">
        <v>14.7</v>
      </c>
      <c r="K104" s="62">
        <f t="shared" si="11"/>
        <v>0</v>
      </c>
      <c r="L104" s="62">
        <f t="shared" si="12"/>
        <v>0</v>
      </c>
      <c r="M104" s="83">
        <f t="shared" si="13"/>
        <v>0</v>
      </c>
      <c r="N104" s="28">
        <v>31</v>
      </c>
      <c r="O104" s="93" t="str">
        <f t="shared" ref="O104:O106" si="17">IF(AND(L104&gt;0,L104&lt;&gt;""), L104/(N104/30.4167),"")</f>
        <v/>
      </c>
      <c r="P104" s="93">
        <f t="shared" si="14"/>
        <v>0</v>
      </c>
      <c r="Q104" s="203">
        <v>2</v>
      </c>
      <c r="R104" s="170"/>
    </row>
    <row r="105" spans="1:18" x14ac:dyDescent="0.25">
      <c r="A105" s="169">
        <v>2017</v>
      </c>
      <c r="B105" s="169" t="s">
        <v>149</v>
      </c>
      <c r="C105" s="169" t="s">
        <v>860</v>
      </c>
      <c r="D105" s="68">
        <v>43069</v>
      </c>
      <c r="E105" s="173"/>
      <c r="F105" s="28">
        <v>0</v>
      </c>
      <c r="G105" s="169"/>
      <c r="H105" s="28">
        <v>0</v>
      </c>
      <c r="I105" s="28">
        <v>8.4</v>
      </c>
      <c r="J105" s="28">
        <v>8.4</v>
      </c>
      <c r="K105" s="62">
        <f t="shared" si="11"/>
        <v>0</v>
      </c>
      <c r="L105" s="62">
        <f t="shared" si="12"/>
        <v>0</v>
      </c>
      <c r="M105" s="83">
        <f t="shared" si="13"/>
        <v>0</v>
      </c>
      <c r="N105" s="28">
        <v>30</v>
      </c>
      <c r="O105" s="93" t="str">
        <f t="shared" si="17"/>
        <v/>
      </c>
      <c r="P105" s="93">
        <f t="shared" si="14"/>
        <v>0</v>
      </c>
      <c r="Q105" s="203">
        <v>2</v>
      </c>
      <c r="R105" s="170"/>
    </row>
    <row r="106" spans="1:18" x14ac:dyDescent="0.25">
      <c r="A106" s="169">
        <v>2017</v>
      </c>
      <c r="B106" s="169" t="s">
        <v>149</v>
      </c>
      <c r="C106" s="169" t="s">
        <v>860</v>
      </c>
      <c r="D106" s="68">
        <v>43100</v>
      </c>
      <c r="E106" s="173"/>
      <c r="F106" s="28">
        <v>0</v>
      </c>
      <c r="G106" s="169"/>
      <c r="H106" s="28">
        <v>0</v>
      </c>
      <c r="I106" s="28">
        <v>40.700000000000003</v>
      </c>
      <c r="J106" s="28">
        <v>40.700000000000003</v>
      </c>
      <c r="K106" s="62">
        <f t="shared" si="11"/>
        <v>0</v>
      </c>
      <c r="L106" s="62">
        <f t="shared" si="12"/>
        <v>0</v>
      </c>
      <c r="M106" s="83">
        <f t="shared" si="13"/>
        <v>0</v>
      </c>
      <c r="N106" s="28">
        <v>31</v>
      </c>
      <c r="O106" s="93" t="str">
        <f t="shared" si="17"/>
        <v/>
      </c>
      <c r="P106" s="93">
        <f t="shared" si="14"/>
        <v>0</v>
      </c>
      <c r="Q106" s="203">
        <v>2</v>
      </c>
      <c r="R106" s="170"/>
    </row>
    <row r="107" spans="1:18" x14ac:dyDescent="0.25">
      <c r="A107" s="169">
        <v>2017</v>
      </c>
      <c r="B107" s="169" t="s">
        <v>149</v>
      </c>
      <c r="C107" s="169" t="s">
        <v>860</v>
      </c>
      <c r="D107" s="68">
        <v>42766</v>
      </c>
      <c r="E107" s="173"/>
      <c r="F107" s="28">
        <v>0</v>
      </c>
      <c r="G107" s="169"/>
      <c r="H107" s="28">
        <v>0</v>
      </c>
      <c r="I107" s="28">
        <v>28</v>
      </c>
      <c r="J107" s="28">
        <v>22</v>
      </c>
      <c r="K107" s="62">
        <f t="shared" si="11"/>
        <v>0</v>
      </c>
      <c r="L107" s="62">
        <f t="shared" si="12"/>
        <v>0</v>
      </c>
      <c r="M107" s="83">
        <f t="shared" si="13"/>
        <v>0</v>
      </c>
      <c r="N107" s="28">
        <v>31</v>
      </c>
      <c r="O107" s="93" t="str">
        <f t="shared" ref="O107:O154" si="18">IF(AND(L107&gt;0,L107&lt;&gt;""), L107/(N107/30.4167),"")</f>
        <v/>
      </c>
      <c r="P107" s="61">
        <f t="shared" si="14"/>
        <v>0</v>
      </c>
      <c r="Q107" s="203">
        <v>3</v>
      </c>
      <c r="R107" s="170" t="s">
        <v>6759</v>
      </c>
    </row>
    <row r="108" spans="1:18" x14ac:dyDescent="0.25">
      <c r="A108" s="169">
        <v>2017</v>
      </c>
      <c r="B108" s="169" t="s">
        <v>149</v>
      </c>
      <c r="C108" s="169" t="s">
        <v>860</v>
      </c>
      <c r="D108" s="68">
        <v>42794</v>
      </c>
      <c r="E108" s="173"/>
      <c r="F108" s="28">
        <v>0</v>
      </c>
      <c r="G108" s="169"/>
      <c r="H108" s="28">
        <v>0</v>
      </c>
      <c r="I108" s="28">
        <v>38.700000000000003</v>
      </c>
      <c r="J108" s="28">
        <v>26.9</v>
      </c>
      <c r="K108" s="62">
        <f t="shared" si="11"/>
        <v>0</v>
      </c>
      <c r="L108" s="62">
        <f t="shared" si="12"/>
        <v>0</v>
      </c>
      <c r="M108" s="83">
        <f t="shared" si="13"/>
        <v>0</v>
      </c>
      <c r="N108" s="28">
        <v>28</v>
      </c>
      <c r="O108" s="93" t="str">
        <f t="shared" si="18"/>
        <v/>
      </c>
      <c r="P108" s="61">
        <f t="shared" si="14"/>
        <v>0</v>
      </c>
      <c r="Q108" s="203">
        <v>3</v>
      </c>
      <c r="R108" s="170"/>
    </row>
    <row r="109" spans="1:18" x14ac:dyDescent="0.25">
      <c r="A109" s="169">
        <v>2017</v>
      </c>
      <c r="B109" s="169" t="s">
        <v>149</v>
      </c>
      <c r="C109" s="169" t="s">
        <v>860</v>
      </c>
      <c r="D109" s="68">
        <v>42825</v>
      </c>
      <c r="E109" s="173"/>
      <c r="F109" s="28">
        <v>0</v>
      </c>
      <c r="G109" s="169"/>
      <c r="H109" s="28">
        <v>0</v>
      </c>
      <c r="I109" s="28">
        <v>27.9</v>
      </c>
      <c r="J109" s="28">
        <v>24.3</v>
      </c>
      <c r="K109" s="62">
        <f t="shared" si="11"/>
        <v>0</v>
      </c>
      <c r="L109" s="62">
        <f t="shared" si="12"/>
        <v>0</v>
      </c>
      <c r="M109" s="83">
        <f t="shared" si="13"/>
        <v>0</v>
      </c>
      <c r="N109" s="28">
        <v>31</v>
      </c>
      <c r="O109" s="93" t="str">
        <f t="shared" si="18"/>
        <v/>
      </c>
      <c r="P109" s="61">
        <f t="shared" ref="P109:P110" si="19">IFERROR(L109*2.205,"")</f>
        <v>0</v>
      </c>
      <c r="Q109" s="203">
        <v>3</v>
      </c>
      <c r="R109" s="170"/>
    </row>
    <row r="110" spans="1:18" x14ac:dyDescent="0.25">
      <c r="A110" s="169">
        <v>2017</v>
      </c>
      <c r="B110" s="169" t="s">
        <v>149</v>
      </c>
      <c r="C110" s="169" t="s">
        <v>860</v>
      </c>
      <c r="D110" s="68">
        <v>42855</v>
      </c>
      <c r="E110" s="173"/>
      <c r="F110" s="28">
        <v>0</v>
      </c>
      <c r="G110" s="169"/>
      <c r="H110" s="28">
        <v>0</v>
      </c>
      <c r="I110" s="28">
        <v>39.6</v>
      </c>
      <c r="J110" s="28">
        <v>20.100000000000001</v>
      </c>
      <c r="K110" s="62">
        <f t="shared" si="11"/>
        <v>0</v>
      </c>
      <c r="L110" s="62">
        <f t="shared" si="12"/>
        <v>0</v>
      </c>
      <c r="M110" s="83">
        <f t="shared" si="13"/>
        <v>0</v>
      </c>
      <c r="N110" s="28">
        <v>30</v>
      </c>
      <c r="O110" s="93" t="str">
        <f t="shared" si="18"/>
        <v/>
      </c>
      <c r="P110" s="93">
        <f t="shared" si="19"/>
        <v>0</v>
      </c>
      <c r="Q110" s="203">
        <v>3</v>
      </c>
      <c r="R110" s="170"/>
    </row>
    <row r="111" spans="1:18" x14ac:dyDescent="0.25">
      <c r="A111" s="169">
        <v>2017</v>
      </c>
      <c r="B111" s="169" t="s">
        <v>149</v>
      </c>
      <c r="C111" s="169" t="s">
        <v>860</v>
      </c>
      <c r="D111" s="68">
        <v>42886</v>
      </c>
      <c r="E111" s="173"/>
      <c r="F111" s="28">
        <v>0</v>
      </c>
      <c r="G111" s="169"/>
      <c r="H111" s="28">
        <v>0</v>
      </c>
      <c r="I111" s="28">
        <v>23.3</v>
      </c>
      <c r="J111" s="28">
        <v>18.2</v>
      </c>
      <c r="K111" s="62">
        <f t="shared" si="11"/>
        <v>0</v>
      </c>
      <c r="L111" s="62">
        <f t="shared" si="12"/>
        <v>0</v>
      </c>
      <c r="M111" s="83">
        <f t="shared" si="13"/>
        <v>0</v>
      </c>
      <c r="N111" s="28">
        <v>31</v>
      </c>
      <c r="O111" s="93" t="str">
        <f t="shared" si="18"/>
        <v/>
      </c>
      <c r="P111" s="61">
        <f t="shared" ref="P111:P221" si="20">IFERROR(L111*2.205,"")</f>
        <v>0</v>
      </c>
      <c r="Q111" s="203">
        <v>3</v>
      </c>
      <c r="R111" s="170"/>
    </row>
    <row r="112" spans="1:18" x14ac:dyDescent="0.25">
      <c r="A112" s="169">
        <v>2017</v>
      </c>
      <c r="B112" s="169" t="s">
        <v>149</v>
      </c>
      <c r="C112" s="169" t="s">
        <v>860</v>
      </c>
      <c r="D112" s="68">
        <v>42916</v>
      </c>
      <c r="E112" s="173"/>
      <c r="F112" s="28">
        <v>0</v>
      </c>
      <c r="G112" s="169"/>
      <c r="H112" s="28">
        <v>0</v>
      </c>
      <c r="I112" s="28">
        <v>36.6</v>
      </c>
      <c r="J112" s="28">
        <v>17.3</v>
      </c>
      <c r="K112" s="62">
        <f t="shared" si="11"/>
        <v>0</v>
      </c>
      <c r="L112" s="62">
        <f t="shared" si="12"/>
        <v>0</v>
      </c>
      <c r="M112" s="83">
        <f t="shared" si="13"/>
        <v>0</v>
      </c>
      <c r="N112" s="28">
        <v>30</v>
      </c>
      <c r="O112" s="93" t="str">
        <f t="shared" si="18"/>
        <v/>
      </c>
      <c r="P112" s="93">
        <f t="shared" si="20"/>
        <v>0</v>
      </c>
      <c r="Q112" s="203">
        <v>3</v>
      </c>
      <c r="R112" s="170"/>
    </row>
    <row r="113" spans="1:18" x14ac:dyDescent="0.25">
      <c r="A113" s="169">
        <v>2017</v>
      </c>
      <c r="B113" s="169" t="s">
        <v>149</v>
      </c>
      <c r="C113" s="169" t="s">
        <v>860</v>
      </c>
      <c r="D113" s="68">
        <v>42947</v>
      </c>
      <c r="E113" s="173"/>
      <c r="F113" s="28">
        <v>0</v>
      </c>
      <c r="G113" s="169"/>
      <c r="H113" s="28">
        <v>0</v>
      </c>
      <c r="I113" s="28">
        <v>20.7</v>
      </c>
      <c r="J113" s="28">
        <v>14.6</v>
      </c>
      <c r="K113" s="62">
        <f t="shared" si="11"/>
        <v>0</v>
      </c>
      <c r="L113" s="62">
        <f t="shared" si="12"/>
        <v>0</v>
      </c>
      <c r="M113" s="83">
        <f t="shared" si="13"/>
        <v>0</v>
      </c>
      <c r="N113" s="28">
        <v>31</v>
      </c>
      <c r="O113" s="93" t="str">
        <f t="shared" si="18"/>
        <v/>
      </c>
      <c r="P113" s="93">
        <f t="shared" si="20"/>
        <v>0</v>
      </c>
      <c r="Q113" s="203">
        <v>3</v>
      </c>
      <c r="R113" s="170"/>
    </row>
    <row r="114" spans="1:18" x14ac:dyDescent="0.25">
      <c r="A114" s="169">
        <v>2017</v>
      </c>
      <c r="B114" s="169" t="s">
        <v>149</v>
      </c>
      <c r="C114" s="169" t="s">
        <v>860</v>
      </c>
      <c r="D114" s="68">
        <v>42978</v>
      </c>
      <c r="E114" s="171"/>
      <c r="F114" s="28">
        <v>0</v>
      </c>
      <c r="G114" s="169"/>
      <c r="H114" s="28">
        <v>0</v>
      </c>
      <c r="I114" s="28">
        <v>57.8</v>
      </c>
      <c r="J114" s="28">
        <v>25.2</v>
      </c>
      <c r="K114" s="62">
        <f t="shared" si="11"/>
        <v>0</v>
      </c>
      <c r="L114" s="62">
        <f t="shared" si="12"/>
        <v>0</v>
      </c>
      <c r="M114" s="83">
        <f t="shared" si="13"/>
        <v>0</v>
      </c>
      <c r="N114" s="28">
        <v>31</v>
      </c>
      <c r="O114" s="93" t="str">
        <f t="shared" si="18"/>
        <v/>
      </c>
      <c r="P114" s="93">
        <f t="shared" si="20"/>
        <v>0</v>
      </c>
      <c r="Q114" s="203">
        <v>3</v>
      </c>
      <c r="R114" s="170"/>
    </row>
    <row r="115" spans="1:18" x14ac:dyDescent="0.25">
      <c r="A115" s="169">
        <v>2017</v>
      </c>
      <c r="B115" s="169" t="s">
        <v>149</v>
      </c>
      <c r="C115" s="169" t="s">
        <v>860</v>
      </c>
      <c r="D115" s="68">
        <v>43008</v>
      </c>
      <c r="E115" s="173"/>
      <c r="F115" s="28">
        <v>0</v>
      </c>
      <c r="G115" s="169"/>
      <c r="H115" s="28">
        <v>0</v>
      </c>
      <c r="I115" s="28">
        <v>48.7</v>
      </c>
      <c r="J115" s="28">
        <v>36.9</v>
      </c>
      <c r="K115" s="62">
        <f t="shared" si="11"/>
        <v>0</v>
      </c>
      <c r="L115" s="62">
        <f t="shared" si="12"/>
        <v>0</v>
      </c>
      <c r="M115" s="83">
        <f t="shared" si="13"/>
        <v>0</v>
      </c>
      <c r="N115" s="28">
        <v>30</v>
      </c>
      <c r="O115" s="93" t="str">
        <f t="shared" si="18"/>
        <v/>
      </c>
      <c r="P115" s="61">
        <f t="shared" si="20"/>
        <v>0</v>
      </c>
      <c r="Q115" s="203">
        <v>3</v>
      </c>
      <c r="R115" s="170"/>
    </row>
    <row r="116" spans="1:18" x14ac:dyDescent="0.25">
      <c r="A116" s="169">
        <v>2017</v>
      </c>
      <c r="B116" s="169" t="s">
        <v>149</v>
      </c>
      <c r="C116" s="169" t="s">
        <v>860</v>
      </c>
      <c r="D116" s="68">
        <v>43039</v>
      </c>
      <c r="E116" s="173"/>
      <c r="F116" s="28">
        <v>0</v>
      </c>
      <c r="G116" s="169"/>
      <c r="H116" s="28">
        <v>0</v>
      </c>
      <c r="I116" s="28">
        <v>26.3</v>
      </c>
      <c r="J116" s="28">
        <v>14.1</v>
      </c>
      <c r="K116" s="62">
        <f t="shared" si="11"/>
        <v>0</v>
      </c>
      <c r="L116" s="62">
        <f t="shared" si="12"/>
        <v>0</v>
      </c>
      <c r="M116" s="83">
        <f t="shared" si="13"/>
        <v>0</v>
      </c>
      <c r="N116" s="28">
        <v>31</v>
      </c>
      <c r="O116" s="93" t="str">
        <f t="shared" si="18"/>
        <v/>
      </c>
      <c r="P116" s="61">
        <f t="shared" si="20"/>
        <v>0</v>
      </c>
      <c r="Q116" s="203">
        <v>3</v>
      </c>
      <c r="R116" s="170"/>
    </row>
    <row r="117" spans="1:18" x14ac:dyDescent="0.25">
      <c r="A117" s="169">
        <v>2017</v>
      </c>
      <c r="B117" s="169" t="s">
        <v>149</v>
      </c>
      <c r="C117" s="169" t="s">
        <v>860</v>
      </c>
      <c r="D117" s="68">
        <v>43069</v>
      </c>
      <c r="E117" s="173"/>
      <c r="F117" s="28">
        <v>0</v>
      </c>
      <c r="G117" s="169"/>
      <c r="H117" s="28">
        <v>0</v>
      </c>
      <c r="I117" s="28">
        <v>21.7</v>
      </c>
      <c r="J117" s="28">
        <v>18.899999999999999</v>
      </c>
      <c r="K117" s="62">
        <f t="shared" si="11"/>
        <v>0</v>
      </c>
      <c r="L117" s="62">
        <f t="shared" si="12"/>
        <v>0</v>
      </c>
      <c r="M117" s="83">
        <f t="shared" si="13"/>
        <v>0</v>
      </c>
      <c r="N117" s="28">
        <v>30</v>
      </c>
      <c r="O117" s="93" t="str">
        <f t="shared" si="18"/>
        <v/>
      </c>
      <c r="P117" s="61">
        <f t="shared" si="20"/>
        <v>0</v>
      </c>
      <c r="Q117" s="203">
        <v>3</v>
      </c>
      <c r="R117" s="170"/>
    </row>
    <row r="118" spans="1:18" x14ac:dyDescent="0.25">
      <c r="A118" s="169">
        <v>2017</v>
      </c>
      <c r="B118" s="169" t="s">
        <v>149</v>
      </c>
      <c r="C118" s="169" t="s">
        <v>860</v>
      </c>
      <c r="D118" s="68">
        <v>43100</v>
      </c>
      <c r="E118" s="173"/>
      <c r="F118" s="28">
        <v>0</v>
      </c>
      <c r="G118" s="169"/>
      <c r="H118" s="28">
        <v>0</v>
      </c>
      <c r="I118" s="28">
        <v>32.200000000000003</v>
      </c>
      <c r="J118" s="28">
        <v>16.3</v>
      </c>
      <c r="K118" s="62">
        <f t="shared" si="11"/>
        <v>0</v>
      </c>
      <c r="L118" s="62">
        <f t="shared" si="12"/>
        <v>0</v>
      </c>
      <c r="M118" s="83">
        <f t="shared" si="13"/>
        <v>0</v>
      </c>
      <c r="N118" s="28">
        <v>31</v>
      </c>
      <c r="O118" s="93" t="str">
        <f t="shared" si="18"/>
        <v/>
      </c>
      <c r="P118" s="61">
        <f t="shared" si="20"/>
        <v>0</v>
      </c>
      <c r="Q118" s="203">
        <v>3</v>
      </c>
      <c r="R118" s="170"/>
    </row>
    <row r="119" spans="1:18" x14ac:dyDescent="0.25">
      <c r="A119" s="169">
        <v>2017</v>
      </c>
      <c r="B119" s="169" t="s">
        <v>149</v>
      </c>
      <c r="C119" s="169" t="s">
        <v>860</v>
      </c>
      <c r="D119" s="68">
        <v>42766</v>
      </c>
      <c r="E119" s="173"/>
      <c r="F119" s="28" t="s">
        <v>2446</v>
      </c>
      <c r="G119" s="169"/>
      <c r="H119" s="28" t="s">
        <v>2446</v>
      </c>
      <c r="I119" s="28" t="s">
        <v>2446</v>
      </c>
      <c r="J119" s="28" t="s">
        <v>2446</v>
      </c>
      <c r="K119" s="62" t="str">
        <f t="shared" si="11"/>
        <v/>
      </c>
      <c r="L119" s="62" t="str">
        <f t="shared" si="12"/>
        <v/>
      </c>
      <c r="M119" s="83" t="str">
        <f t="shared" si="13"/>
        <v/>
      </c>
      <c r="N119" s="28">
        <v>31</v>
      </c>
      <c r="O119" s="93" t="str">
        <f t="shared" si="18"/>
        <v/>
      </c>
      <c r="P119" s="93" t="str">
        <f t="shared" si="20"/>
        <v/>
      </c>
      <c r="Q119" s="203">
        <v>4</v>
      </c>
      <c r="R119" s="170" t="s">
        <v>6759</v>
      </c>
    </row>
    <row r="120" spans="1:18" x14ac:dyDescent="0.25">
      <c r="A120" s="169">
        <v>2017</v>
      </c>
      <c r="B120" s="169" t="s">
        <v>149</v>
      </c>
      <c r="C120" s="169" t="s">
        <v>860</v>
      </c>
      <c r="D120" s="68">
        <v>42794</v>
      </c>
      <c r="E120" s="173"/>
      <c r="F120" s="28">
        <v>0</v>
      </c>
      <c r="G120" s="169"/>
      <c r="H120" s="28">
        <v>0</v>
      </c>
      <c r="I120" s="28">
        <v>37.299999999999997</v>
      </c>
      <c r="J120" s="28">
        <v>31.6</v>
      </c>
      <c r="K120" s="62">
        <f t="shared" si="11"/>
        <v>0</v>
      </c>
      <c r="L120" s="62">
        <f t="shared" si="12"/>
        <v>0</v>
      </c>
      <c r="M120" s="83">
        <f t="shared" si="13"/>
        <v>0</v>
      </c>
      <c r="N120" s="28">
        <v>28</v>
      </c>
      <c r="O120" s="93" t="str">
        <f t="shared" si="18"/>
        <v/>
      </c>
      <c r="P120" s="93">
        <f t="shared" si="20"/>
        <v>0</v>
      </c>
      <c r="Q120" s="203">
        <v>4</v>
      </c>
      <c r="R120" s="170"/>
    </row>
    <row r="121" spans="1:18" x14ac:dyDescent="0.25">
      <c r="A121" s="169">
        <v>2017</v>
      </c>
      <c r="B121" s="169" t="s">
        <v>149</v>
      </c>
      <c r="C121" s="169" t="s">
        <v>860</v>
      </c>
      <c r="D121" s="68">
        <v>42825</v>
      </c>
      <c r="E121" s="173"/>
      <c r="F121" s="28">
        <v>0</v>
      </c>
      <c r="G121" s="169"/>
      <c r="H121" s="28">
        <v>0</v>
      </c>
      <c r="I121" s="28">
        <v>30.6</v>
      </c>
      <c r="J121" s="28">
        <v>30.6</v>
      </c>
      <c r="K121" s="62">
        <f t="shared" si="11"/>
        <v>0</v>
      </c>
      <c r="L121" s="62">
        <f t="shared" si="12"/>
        <v>0</v>
      </c>
      <c r="M121" s="83">
        <f t="shared" si="13"/>
        <v>0</v>
      </c>
      <c r="N121" s="28">
        <v>31</v>
      </c>
      <c r="O121" s="93" t="str">
        <f t="shared" si="18"/>
        <v/>
      </c>
      <c r="P121" s="61">
        <f t="shared" si="20"/>
        <v>0</v>
      </c>
      <c r="Q121" s="203">
        <v>4</v>
      </c>
      <c r="R121" s="170"/>
    </row>
    <row r="122" spans="1:18" x14ac:dyDescent="0.25">
      <c r="A122" s="169">
        <v>2017</v>
      </c>
      <c r="B122" s="169" t="s">
        <v>149</v>
      </c>
      <c r="C122" s="169" t="s">
        <v>860</v>
      </c>
      <c r="D122" s="68">
        <v>42855</v>
      </c>
      <c r="E122" s="173"/>
      <c r="F122" s="28">
        <v>0</v>
      </c>
      <c r="G122" s="169"/>
      <c r="H122" s="28">
        <v>0</v>
      </c>
      <c r="I122" s="28">
        <v>60.8</v>
      </c>
      <c r="J122" s="28">
        <v>34.700000000000003</v>
      </c>
      <c r="K122" s="62">
        <f t="shared" si="11"/>
        <v>0</v>
      </c>
      <c r="L122" s="62">
        <f t="shared" si="12"/>
        <v>0</v>
      </c>
      <c r="M122" s="83">
        <f t="shared" si="13"/>
        <v>0</v>
      </c>
      <c r="N122" s="28">
        <v>30</v>
      </c>
      <c r="O122" s="93" t="str">
        <f t="shared" si="18"/>
        <v/>
      </c>
      <c r="P122" s="61">
        <f t="shared" si="20"/>
        <v>0</v>
      </c>
      <c r="Q122" s="203">
        <v>4</v>
      </c>
      <c r="R122" s="170"/>
    </row>
    <row r="123" spans="1:18" x14ac:dyDescent="0.25">
      <c r="A123" s="169">
        <v>2017</v>
      </c>
      <c r="B123" s="169" t="s">
        <v>149</v>
      </c>
      <c r="C123" s="169" t="s">
        <v>860</v>
      </c>
      <c r="D123" s="68">
        <v>42886</v>
      </c>
      <c r="E123" s="173"/>
      <c r="F123" s="28">
        <v>0</v>
      </c>
      <c r="G123" s="169"/>
      <c r="H123" s="28">
        <v>0</v>
      </c>
      <c r="I123" s="28">
        <v>45.8</v>
      </c>
      <c r="J123" s="28">
        <v>28</v>
      </c>
      <c r="K123" s="62">
        <f t="shared" si="11"/>
        <v>0</v>
      </c>
      <c r="L123" s="62">
        <f t="shared" si="12"/>
        <v>0</v>
      </c>
      <c r="M123" s="83">
        <f t="shared" si="13"/>
        <v>0</v>
      </c>
      <c r="N123" s="28">
        <v>31</v>
      </c>
      <c r="O123" s="93" t="str">
        <f t="shared" si="18"/>
        <v/>
      </c>
      <c r="P123" s="61">
        <f t="shared" si="20"/>
        <v>0</v>
      </c>
      <c r="Q123" s="203">
        <v>4</v>
      </c>
      <c r="R123" s="170"/>
    </row>
    <row r="124" spans="1:18" x14ac:dyDescent="0.25">
      <c r="A124" s="169">
        <v>2017</v>
      </c>
      <c r="B124" s="169" t="s">
        <v>149</v>
      </c>
      <c r="C124" s="169" t="s">
        <v>860</v>
      </c>
      <c r="D124" s="68">
        <v>42916</v>
      </c>
      <c r="E124" s="173"/>
      <c r="F124" s="28">
        <v>0</v>
      </c>
      <c r="G124" s="169"/>
      <c r="H124" s="28">
        <v>0</v>
      </c>
      <c r="I124" s="28">
        <v>18.100000000000001</v>
      </c>
      <c r="J124" s="28">
        <v>16.7</v>
      </c>
      <c r="K124" s="62">
        <f t="shared" si="11"/>
        <v>0</v>
      </c>
      <c r="L124" s="62">
        <f t="shared" si="12"/>
        <v>0</v>
      </c>
      <c r="M124" s="83">
        <f t="shared" si="13"/>
        <v>0</v>
      </c>
      <c r="N124" s="28">
        <v>30</v>
      </c>
      <c r="O124" s="93" t="str">
        <f t="shared" si="18"/>
        <v/>
      </c>
      <c r="P124" s="61">
        <f t="shared" si="20"/>
        <v>0</v>
      </c>
      <c r="Q124" s="203">
        <v>4</v>
      </c>
      <c r="R124" s="170"/>
    </row>
    <row r="125" spans="1:18" x14ac:dyDescent="0.25">
      <c r="A125" s="169">
        <v>2017</v>
      </c>
      <c r="B125" s="169" t="s">
        <v>149</v>
      </c>
      <c r="C125" s="169" t="s">
        <v>860</v>
      </c>
      <c r="D125" s="68">
        <v>42947</v>
      </c>
      <c r="E125" s="173"/>
      <c r="F125" s="28">
        <v>0</v>
      </c>
      <c r="G125" s="169"/>
      <c r="H125" s="28">
        <v>0</v>
      </c>
      <c r="I125" s="28">
        <v>8.4</v>
      </c>
      <c r="J125" s="28">
        <v>8.4</v>
      </c>
      <c r="K125" s="62">
        <f t="shared" si="11"/>
        <v>0</v>
      </c>
      <c r="L125" s="62">
        <f t="shared" si="12"/>
        <v>0</v>
      </c>
      <c r="M125" s="83">
        <f t="shared" si="13"/>
        <v>0</v>
      </c>
      <c r="N125" s="28">
        <v>31</v>
      </c>
      <c r="O125" s="93" t="str">
        <f t="shared" si="18"/>
        <v/>
      </c>
      <c r="P125" s="61">
        <f t="shared" si="20"/>
        <v>0</v>
      </c>
      <c r="Q125" s="203">
        <v>4</v>
      </c>
      <c r="R125" s="170"/>
    </row>
    <row r="126" spans="1:18" x14ac:dyDescent="0.25">
      <c r="A126" s="169">
        <v>2017</v>
      </c>
      <c r="B126" s="169" t="s">
        <v>149</v>
      </c>
      <c r="C126" s="169" t="s">
        <v>860</v>
      </c>
      <c r="D126" s="68">
        <v>42978</v>
      </c>
      <c r="E126" s="173"/>
      <c r="F126" s="28">
        <v>0</v>
      </c>
      <c r="G126" s="169"/>
      <c r="H126" s="28">
        <v>0</v>
      </c>
      <c r="I126" s="28">
        <v>34.9</v>
      </c>
      <c r="J126" s="28">
        <v>11.7</v>
      </c>
      <c r="K126" s="62">
        <f t="shared" si="11"/>
        <v>0</v>
      </c>
      <c r="L126" s="62">
        <f t="shared" si="12"/>
        <v>0</v>
      </c>
      <c r="M126" s="83">
        <f t="shared" si="13"/>
        <v>0</v>
      </c>
      <c r="N126" s="28">
        <v>31</v>
      </c>
      <c r="O126" s="93" t="str">
        <f t="shared" si="18"/>
        <v/>
      </c>
      <c r="P126" s="61">
        <f t="shared" si="20"/>
        <v>0</v>
      </c>
      <c r="Q126" s="203">
        <v>4</v>
      </c>
      <c r="R126" s="170"/>
    </row>
    <row r="127" spans="1:18" x14ac:dyDescent="0.25">
      <c r="A127" s="169">
        <v>2017</v>
      </c>
      <c r="B127" s="169" t="s">
        <v>149</v>
      </c>
      <c r="C127" s="169" t="s">
        <v>860</v>
      </c>
      <c r="D127" s="68">
        <v>43008</v>
      </c>
      <c r="E127" s="173"/>
      <c r="F127" s="28" t="s">
        <v>2446</v>
      </c>
      <c r="G127" s="169"/>
      <c r="H127" s="28" t="s">
        <v>2446</v>
      </c>
      <c r="I127" s="28" t="s">
        <v>2446</v>
      </c>
      <c r="J127" s="28" t="s">
        <v>2446</v>
      </c>
      <c r="K127" s="62" t="str">
        <f t="shared" si="11"/>
        <v/>
      </c>
      <c r="L127" s="62" t="str">
        <f t="shared" si="12"/>
        <v/>
      </c>
      <c r="M127" s="83" t="str">
        <f t="shared" si="13"/>
        <v/>
      </c>
      <c r="N127" s="28">
        <v>30</v>
      </c>
      <c r="O127" s="93" t="str">
        <f t="shared" si="18"/>
        <v/>
      </c>
      <c r="P127" s="61" t="str">
        <f t="shared" si="20"/>
        <v/>
      </c>
      <c r="Q127" s="203">
        <v>4</v>
      </c>
      <c r="R127" s="170"/>
    </row>
    <row r="128" spans="1:18" x14ac:dyDescent="0.25">
      <c r="A128" s="169">
        <v>2017</v>
      </c>
      <c r="B128" s="169" t="s">
        <v>149</v>
      </c>
      <c r="C128" s="169" t="s">
        <v>860</v>
      </c>
      <c r="D128" s="68">
        <v>43039</v>
      </c>
      <c r="E128" s="173"/>
      <c r="F128" s="28">
        <v>0</v>
      </c>
      <c r="G128" s="169"/>
      <c r="H128" s="28">
        <v>0</v>
      </c>
      <c r="I128" s="28">
        <v>6.5</v>
      </c>
      <c r="J128" s="28">
        <v>6.5</v>
      </c>
      <c r="K128" s="62">
        <f t="shared" si="11"/>
        <v>0</v>
      </c>
      <c r="L128" s="62">
        <f t="shared" si="12"/>
        <v>0</v>
      </c>
      <c r="M128" s="83">
        <f t="shared" si="13"/>
        <v>0</v>
      </c>
      <c r="N128" s="28">
        <v>31</v>
      </c>
      <c r="O128" s="93" t="str">
        <f t="shared" si="18"/>
        <v/>
      </c>
      <c r="P128" s="61">
        <f t="shared" si="20"/>
        <v>0</v>
      </c>
      <c r="Q128" s="203">
        <v>4</v>
      </c>
      <c r="R128" s="170"/>
    </row>
    <row r="129" spans="1:18" x14ac:dyDescent="0.25">
      <c r="A129" s="169">
        <v>2017</v>
      </c>
      <c r="B129" s="169" t="s">
        <v>149</v>
      </c>
      <c r="C129" s="169" t="s">
        <v>860</v>
      </c>
      <c r="D129" s="68">
        <v>43069</v>
      </c>
      <c r="E129" s="173"/>
      <c r="F129" s="28">
        <v>0</v>
      </c>
      <c r="G129" s="169"/>
      <c r="H129" s="28">
        <v>0</v>
      </c>
      <c r="I129" s="28">
        <v>2.6</v>
      </c>
      <c r="J129" s="28">
        <v>2.6</v>
      </c>
      <c r="K129" s="62">
        <f t="shared" si="11"/>
        <v>0</v>
      </c>
      <c r="L129" s="62">
        <f t="shared" si="12"/>
        <v>0</v>
      </c>
      <c r="M129" s="83">
        <f t="shared" si="13"/>
        <v>0</v>
      </c>
      <c r="N129" s="28">
        <v>30</v>
      </c>
      <c r="O129" s="93" t="str">
        <f t="shared" si="18"/>
        <v/>
      </c>
      <c r="P129" s="61">
        <f t="shared" si="20"/>
        <v>0</v>
      </c>
      <c r="Q129" s="203">
        <v>4</v>
      </c>
      <c r="R129" s="170"/>
    </row>
    <row r="130" spans="1:18" x14ac:dyDescent="0.25">
      <c r="A130" s="169">
        <v>2017</v>
      </c>
      <c r="B130" s="169" t="s">
        <v>149</v>
      </c>
      <c r="C130" s="169" t="s">
        <v>860</v>
      </c>
      <c r="D130" s="68">
        <v>43100</v>
      </c>
      <c r="E130" s="173"/>
      <c r="F130" s="28">
        <v>0</v>
      </c>
      <c r="G130" s="169"/>
      <c r="H130" s="28">
        <v>0</v>
      </c>
      <c r="I130" s="28">
        <v>24.2</v>
      </c>
      <c r="J130" s="28">
        <v>15.9</v>
      </c>
      <c r="K130" s="62">
        <f t="shared" si="11"/>
        <v>0</v>
      </c>
      <c r="L130" s="62">
        <f t="shared" si="12"/>
        <v>0</v>
      </c>
      <c r="M130" s="83">
        <f t="shared" si="13"/>
        <v>0</v>
      </c>
      <c r="N130" s="28">
        <v>31</v>
      </c>
      <c r="O130" s="93" t="str">
        <f t="shared" si="18"/>
        <v/>
      </c>
      <c r="P130" s="61">
        <f t="shared" si="20"/>
        <v>0</v>
      </c>
      <c r="Q130" s="203">
        <v>4</v>
      </c>
      <c r="R130" s="170"/>
    </row>
    <row r="131" spans="1:18" x14ac:dyDescent="0.25">
      <c r="A131" s="169">
        <v>2017</v>
      </c>
      <c r="B131" s="169" t="s">
        <v>200</v>
      </c>
      <c r="C131" s="169" t="s">
        <v>954</v>
      </c>
      <c r="D131" s="68">
        <v>42766</v>
      </c>
      <c r="E131" s="173"/>
      <c r="F131" s="28">
        <v>0</v>
      </c>
      <c r="G131" s="169"/>
      <c r="H131" s="28">
        <v>0</v>
      </c>
      <c r="I131" s="28">
        <v>16.600000000000001</v>
      </c>
      <c r="J131" s="28">
        <v>10.199999999999999</v>
      </c>
      <c r="K131" s="62">
        <f t="shared" si="11"/>
        <v>0</v>
      </c>
      <c r="L131" s="62">
        <f t="shared" si="12"/>
        <v>0</v>
      </c>
      <c r="M131" s="83">
        <f t="shared" si="13"/>
        <v>0</v>
      </c>
      <c r="N131" s="28">
        <v>31</v>
      </c>
      <c r="O131" s="93" t="str">
        <f t="shared" si="18"/>
        <v/>
      </c>
      <c r="P131" s="61">
        <f t="shared" si="20"/>
        <v>0</v>
      </c>
      <c r="Q131" s="203">
        <v>1</v>
      </c>
      <c r="R131" s="170" t="s">
        <v>2449</v>
      </c>
    </row>
    <row r="132" spans="1:18" x14ac:dyDescent="0.25">
      <c r="A132" s="169">
        <v>2017</v>
      </c>
      <c r="B132" s="169" t="s">
        <v>200</v>
      </c>
      <c r="C132" s="169" t="s">
        <v>954</v>
      </c>
      <c r="D132" s="68">
        <v>42794</v>
      </c>
      <c r="E132" s="173"/>
      <c r="F132" s="28">
        <v>0</v>
      </c>
      <c r="G132" s="169"/>
      <c r="H132" s="28">
        <v>0</v>
      </c>
      <c r="I132" s="28">
        <v>13.6</v>
      </c>
      <c r="J132" s="28">
        <v>11.1</v>
      </c>
      <c r="K132" s="62">
        <f t="shared" si="11"/>
        <v>0</v>
      </c>
      <c r="L132" s="62">
        <f t="shared" si="12"/>
        <v>0</v>
      </c>
      <c r="M132" s="83">
        <f t="shared" si="13"/>
        <v>0</v>
      </c>
      <c r="N132" s="28">
        <v>28</v>
      </c>
      <c r="O132" s="93" t="str">
        <f t="shared" si="18"/>
        <v/>
      </c>
      <c r="P132" s="61">
        <f t="shared" si="20"/>
        <v>0</v>
      </c>
      <c r="Q132" s="203">
        <v>1</v>
      </c>
      <c r="R132" s="170"/>
    </row>
    <row r="133" spans="1:18" x14ac:dyDescent="0.25">
      <c r="A133" s="169">
        <v>2017</v>
      </c>
      <c r="B133" s="169" t="s">
        <v>200</v>
      </c>
      <c r="C133" s="169" t="s">
        <v>954</v>
      </c>
      <c r="D133" s="68">
        <v>42825</v>
      </c>
      <c r="E133" s="173"/>
      <c r="F133" s="28">
        <v>0</v>
      </c>
      <c r="G133" s="169"/>
      <c r="H133" s="28">
        <v>0</v>
      </c>
      <c r="I133" s="28">
        <v>22</v>
      </c>
      <c r="J133" s="28">
        <v>11.4</v>
      </c>
      <c r="K133" s="62">
        <f t="shared" ref="K133:K196" si="21">IFERROR(+F133*I133*3.785,"")</f>
        <v>0</v>
      </c>
      <c r="L133" s="62">
        <f t="shared" ref="L133:L196" si="22">IFERROR(H133*J133*3.785*N133,"")</f>
        <v>0</v>
      </c>
      <c r="M133" s="83">
        <f t="shared" ref="M133:M196" si="23">IFERROR(+L133/N133,"")</f>
        <v>0</v>
      </c>
      <c r="N133" s="28">
        <v>31</v>
      </c>
      <c r="O133" s="93" t="str">
        <f t="shared" si="18"/>
        <v/>
      </c>
      <c r="P133" s="61">
        <f t="shared" si="20"/>
        <v>0</v>
      </c>
      <c r="Q133" s="203">
        <v>1</v>
      </c>
      <c r="R133" s="170"/>
    </row>
    <row r="134" spans="1:18" x14ac:dyDescent="0.25">
      <c r="A134" s="169">
        <v>2017</v>
      </c>
      <c r="B134" s="169" t="s">
        <v>200</v>
      </c>
      <c r="C134" s="169" t="s">
        <v>954</v>
      </c>
      <c r="D134" s="68">
        <v>42855</v>
      </c>
      <c r="E134" s="173"/>
      <c r="F134" s="28">
        <v>0</v>
      </c>
      <c r="G134" s="169"/>
      <c r="H134" s="28">
        <v>0</v>
      </c>
      <c r="I134" s="28">
        <v>18.100000000000001</v>
      </c>
      <c r="J134" s="28">
        <v>11.6</v>
      </c>
      <c r="K134" s="62">
        <f t="shared" si="21"/>
        <v>0</v>
      </c>
      <c r="L134" s="62">
        <f t="shared" si="22"/>
        <v>0</v>
      </c>
      <c r="M134" s="83">
        <f t="shared" si="23"/>
        <v>0</v>
      </c>
      <c r="N134" s="28">
        <v>30</v>
      </c>
      <c r="O134" s="93" t="str">
        <f t="shared" si="18"/>
        <v/>
      </c>
      <c r="P134" s="61">
        <f t="shared" si="20"/>
        <v>0</v>
      </c>
      <c r="Q134" s="203">
        <v>1</v>
      </c>
      <c r="R134" s="170"/>
    </row>
    <row r="135" spans="1:18" x14ac:dyDescent="0.25">
      <c r="A135" s="169">
        <v>2017</v>
      </c>
      <c r="B135" s="169" t="s">
        <v>200</v>
      </c>
      <c r="C135" s="169" t="s">
        <v>954</v>
      </c>
      <c r="D135" s="68">
        <v>42886</v>
      </c>
      <c r="E135" s="173"/>
      <c r="F135" s="28">
        <v>0</v>
      </c>
      <c r="G135" s="169"/>
      <c r="H135" s="28">
        <v>0</v>
      </c>
      <c r="I135" s="28">
        <v>14.6</v>
      </c>
      <c r="J135" s="28">
        <v>11.7</v>
      </c>
      <c r="K135" s="62">
        <f t="shared" si="21"/>
        <v>0</v>
      </c>
      <c r="L135" s="62">
        <f t="shared" si="22"/>
        <v>0</v>
      </c>
      <c r="M135" s="83">
        <f t="shared" si="23"/>
        <v>0</v>
      </c>
      <c r="N135" s="28">
        <v>31</v>
      </c>
      <c r="O135" s="93" t="str">
        <f t="shared" si="18"/>
        <v/>
      </c>
      <c r="P135" s="61">
        <f t="shared" si="20"/>
        <v>0</v>
      </c>
      <c r="Q135" s="203">
        <v>1</v>
      </c>
      <c r="R135" s="170"/>
    </row>
    <row r="136" spans="1:18" x14ac:dyDescent="0.25">
      <c r="A136" s="169">
        <v>2017</v>
      </c>
      <c r="B136" s="169" t="s">
        <v>200</v>
      </c>
      <c r="C136" s="169" t="s">
        <v>954</v>
      </c>
      <c r="D136" s="68">
        <v>42916</v>
      </c>
      <c r="E136" s="173"/>
      <c r="F136" s="28">
        <v>0</v>
      </c>
      <c r="G136" s="169"/>
      <c r="H136" s="28">
        <v>0</v>
      </c>
      <c r="I136" s="28">
        <v>19.600000000000001</v>
      </c>
      <c r="J136" s="28">
        <v>12.1</v>
      </c>
      <c r="K136" s="62">
        <f t="shared" si="21"/>
        <v>0</v>
      </c>
      <c r="L136" s="62">
        <f t="shared" si="22"/>
        <v>0</v>
      </c>
      <c r="M136" s="83">
        <f t="shared" si="23"/>
        <v>0</v>
      </c>
      <c r="N136" s="28">
        <v>30</v>
      </c>
      <c r="O136" s="93" t="str">
        <f t="shared" si="18"/>
        <v/>
      </c>
      <c r="P136" s="61">
        <f t="shared" si="20"/>
        <v>0</v>
      </c>
      <c r="Q136" s="203">
        <v>1</v>
      </c>
      <c r="R136" s="170"/>
    </row>
    <row r="137" spans="1:18" x14ac:dyDescent="0.25">
      <c r="A137" s="169">
        <v>2017</v>
      </c>
      <c r="B137" s="169" t="s">
        <v>200</v>
      </c>
      <c r="C137" s="169" t="s">
        <v>954</v>
      </c>
      <c r="D137" s="68">
        <v>42947</v>
      </c>
      <c r="E137" s="173"/>
      <c r="F137" s="28">
        <v>0</v>
      </c>
      <c r="G137" s="169"/>
      <c r="H137" s="28">
        <v>0</v>
      </c>
      <c r="I137" s="28">
        <v>15.9</v>
      </c>
      <c r="J137" s="28">
        <v>12.3</v>
      </c>
      <c r="K137" s="62">
        <f t="shared" si="21"/>
        <v>0</v>
      </c>
      <c r="L137" s="62">
        <f t="shared" si="22"/>
        <v>0</v>
      </c>
      <c r="M137" s="83">
        <f t="shared" si="23"/>
        <v>0</v>
      </c>
      <c r="N137" s="28">
        <v>31</v>
      </c>
      <c r="O137" s="93" t="str">
        <f t="shared" si="18"/>
        <v/>
      </c>
      <c r="P137" s="61">
        <f t="shared" si="20"/>
        <v>0</v>
      </c>
      <c r="Q137" s="203">
        <v>1</v>
      </c>
      <c r="R137" s="170"/>
    </row>
    <row r="138" spans="1:18" x14ac:dyDescent="0.25">
      <c r="A138" s="169">
        <v>2017</v>
      </c>
      <c r="B138" s="169" t="s">
        <v>200</v>
      </c>
      <c r="C138" s="169" t="s">
        <v>954</v>
      </c>
      <c r="D138" s="68">
        <v>42978</v>
      </c>
      <c r="E138" s="173"/>
      <c r="F138" s="28">
        <v>0</v>
      </c>
      <c r="G138" s="169"/>
      <c r="H138" s="28">
        <v>0</v>
      </c>
      <c r="I138" s="28">
        <v>31</v>
      </c>
      <c r="J138" s="28">
        <v>12.6</v>
      </c>
      <c r="K138" s="62">
        <f t="shared" si="21"/>
        <v>0</v>
      </c>
      <c r="L138" s="62">
        <f t="shared" si="22"/>
        <v>0</v>
      </c>
      <c r="M138" s="83">
        <f t="shared" si="23"/>
        <v>0</v>
      </c>
      <c r="N138" s="28">
        <v>31</v>
      </c>
      <c r="O138" s="93" t="str">
        <f t="shared" si="18"/>
        <v/>
      </c>
      <c r="P138" s="61">
        <f t="shared" si="20"/>
        <v>0</v>
      </c>
      <c r="Q138" s="203">
        <v>1</v>
      </c>
      <c r="R138" s="170"/>
    </row>
    <row r="139" spans="1:18" x14ac:dyDescent="0.25">
      <c r="A139" s="169">
        <v>2017</v>
      </c>
      <c r="B139" s="169" t="s">
        <v>200</v>
      </c>
      <c r="C139" s="169" t="s">
        <v>954</v>
      </c>
      <c r="D139" s="68">
        <v>43008</v>
      </c>
      <c r="E139" s="171"/>
      <c r="F139" s="28">
        <v>0</v>
      </c>
      <c r="G139" s="169"/>
      <c r="H139" s="28">
        <v>0</v>
      </c>
      <c r="I139" s="28">
        <v>20.100000000000001</v>
      </c>
      <c r="J139" s="28">
        <v>15</v>
      </c>
      <c r="K139" s="62">
        <f t="shared" si="21"/>
        <v>0</v>
      </c>
      <c r="L139" s="62">
        <f t="shared" si="22"/>
        <v>0</v>
      </c>
      <c r="M139" s="83">
        <f t="shared" si="23"/>
        <v>0</v>
      </c>
      <c r="N139" s="28">
        <v>30</v>
      </c>
      <c r="O139" s="93" t="str">
        <f t="shared" si="18"/>
        <v/>
      </c>
      <c r="P139" s="61">
        <f t="shared" si="20"/>
        <v>0</v>
      </c>
      <c r="Q139" s="203">
        <v>1</v>
      </c>
      <c r="R139" s="170"/>
    </row>
    <row r="140" spans="1:18" x14ac:dyDescent="0.25">
      <c r="A140" s="169">
        <v>2017</v>
      </c>
      <c r="B140" s="169" t="s">
        <v>200</v>
      </c>
      <c r="C140" s="169" t="s">
        <v>954</v>
      </c>
      <c r="D140" s="68">
        <v>43039</v>
      </c>
      <c r="E140" s="171"/>
      <c r="F140" s="28">
        <v>0</v>
      </c>
      <c r="G140" s="169"/>
      <c r="H140" s="28">
        <v>0</v>
      </c>
      <c r="I140" s="28">
        <v>18.3</v>
      </c>
      <c r="J140" s="28">
        <v>15.2</v>
      </c>
      <c r="K140" s="62">
        <f t="shared" si="21"/>
        <v>0</v>
      </c>
      <c r="L140" s="62">
        <f t="shared" si="22"/>
        <v>0</v>
      </c>
      <c r="M140" s="83">
        <f t="shared" si="23"/>
        <v>0</v>
      </c>
      <c r="N140" s="28">
        <v>31</v>
      </c>
      <c r="O140" s="93" t="str">
        <f t="shared" si="18"/>
        <v/>
      </c>
      <c r="P140" s="93">
        <f t="shared" si="20"/>
        <v>0</v>
      </c>
      <c r="Q140" s="203">
        <v>1</v>
      </c>
      <c r="R140" s="170"/>
    </row>
    <row r="141" spans="1:18" x14ac:dyDescent="0.25">
      <c r="A141" s="169">
        <v>2017</v>
      </c>
      <c r="B141" s="169" t="s">
        <v>200</v>
      </c>
      <c r="C141" s="169" t="s">
        <v>954</v>
      </c>
      <c r="D141" s="68">
        <v>43069</v>
      </c>
      <c r="E141" s="171"/>
      <c r="F141" s="28">
        <v>0</v>
      </c>
      <c r="G141" s="169"/>
      <c r="H141" s="28">
        <v>0</v>
      </c>
      <c r="I141" s="28">
        <v>13.5</v>
      </c>
      <c r="J141" s="28">
        <v>9.6999999999999993</v>
      </c>
      <c r="K141" s="62">
        <f t="shared" si="21"/>
        <v>0</v>
      </c>
      <c r="L141" s="62">
        <f t="shared" si="22"/>
        <v>0</v>
      </c>
      <c r="M141" s="83">
        <f t="shared" si="23"/>
        <v>0</v>
      </c>
      <c r="N141" s="28">
        <v>30</v>
      </c>
      <c r="O141" s="93" t="str">
        <f t="shared" si="18"/>
        <v/>
      </c>
      <c r="P141" s="93">
        <f t="shared" si="20"/>
        <v>0</v>
      </c>
      <c r="Q141" s="203">
        <v>1</v>
      </c>
      <c r="R141" s="170"/>
    </row>
    <row r="142" spans="1:18" x14ac:dyDescent="0.25">
      <c r="A142" s="169">
        <v>2017</v>
      </c>
      <c r="B142" s="169" t="s">
        <v>200</v>
      </c>
      <c r="C142" s="169" t="s">
        <v>954</v>
      </c>
      <c r="D142" s="68">
        <v>43100</v>
      </c>
      <c r="E142" s="171"/>
      <c r="F142" s="80"/>
      <c r="G142" s="80"/>
      <c r="H142" s="80"/>
      <c r="I142" s="28">
        <v>17.399999999999999</v>
      </c>
      <c r="J142" s="28">
        <v>9.9</v>
      </c>
      <c r="K142" s="62">
        <f t="shared" si="21"/>
        <v>0</v>
      </c>
      <c r="L142" s="62">
        <f t="shared" si="22"/>
        <v>0</v>
      </c>
      <c r="M142" s="83">
        <f t="shared" si="23"/>
        <v>0</v>
      </c>
      <c r="N142" s="28">
        <v>31</v>
      </c>
      <c r="O142" s="93" t="str">
        <f t="shared" si="18"/>
        <v/>
      </c>
      <c r="P142" s="93">
        <f t="shared" si="20"/>
        <v>0</v>
      </c>
      <c r="Q142" s="203">
        <v>1</v>
      </c>
      <c r="R142" s="170" t="s">
        <v>6758</v>
      </c>
    </row>
    <row r="143" spans="1:18" x14ac:dyDescent="0.25">
      <c r="A143" s="169">
        <v>2017</v>
      </c>
      <c r="B143" s="169" t="s">
        <v>200</v>
      </c>
      <c r="C143" s="169" t="s">
        <v>954</v>
      </c>
      <c r="D143" s="68">
        <v>42766</v>
      </c>
      <c r="E143" s="171"/>
      <c r="F143" s="28" t="s">
        <v>2446</v>
      </c>
      <c r="G143" s="169"/>
      <c r="H143" s="28" t="s">
        <v>2446</v>
      </c>
      <c r="I143" s="28" t="s">
        <v>2446</v>
      </c>
      <c r="J143" s="28" t="s">
        <v>2446</v>
      </c>
      <c r="K143" s="62" t="str">
        <f t="shared" si="21"/>
        <v/>
      </c>
      <c r="L143" s="62" t="str">
        <f t="shared" si="22"/>
        <v/>
      </c>
      <c r="M143" s="83" t="str">
        <f t="shared" si="23"/>
        <v/>
      </c>
      <c r="N143" s="28">
        <v>31</v>
      </c>
      <c r="O143" s="93" t="str">
        <f t="shared" si="18"/>
        <v/>
      </c>
      <c r="P143" s="93" t="str">
        <f t="shared" si="20"/>
        <v/>
      </c>
      <c r="Q143" s="203">
        <v>2</v>
      </c>
      <c r="R143" s="170"/>
    </row>
    <row r="144" spans="1:18" x14ac:dyDescent="0.25">
      <c r="A144" s="169">
        <v>2017</v>
      </c>
      <c r="B144" s="169" t="s">
        <v>200</v>
      </c>
      <c r="C144" s="169" t="s">
        <v>954</v>
      </c>
      <c r="D144" s="68">
        <v>42794</v>
      </c>
      <c r="E144" s="171"/>
      <c r="F144" s="28" t="s">
        <v>2446</v>
      </c>
      <c r="G144" s="169"/>
      <c r="H144" s="28" t="s">
        <v>2446</v>
      </c>
      <c r="I144" s="28" t="s">
        <v>2446</v>
      </c>
      <c r="J144" s="28" t="s">
        <v>2446</v>
      </c>
      <c r="K144" s="62" t="str">
        <f t="shared" si="21"/>
        <v/>
      </c>
      <c r="L144" s="62" t="str">
        <f t="shared" si="22"/>
        <v/>
      </c>
      <c r="M144" s="83" t="str">
        <f t="shared" si="23"/>
        <v/>
      </c>
      <c r="N144" s="28">
        <v>28</v>
      </c>
      <c r="O144" s="93" t="str">
        <f t="shared" si="18"/>
        <v/>
      </c>
      <c r="P144" s="93" t="str">
        <f t="shared" si="20"/>
        <v/>
      </c>
      <c r="Q144" s="203">
        <v>2</v>
      </c>
      <c r="R144" s="170"/>
    </row>
    <row r="145" spans="1:18" x14ac:dyDescent="0.25">
      <c r="A145" s="169">
        <v>2017</v>
      </c>
      <c r="B145" s="169" t="s">
        <v>200</v>
      </c>
      <c r="C145" s="169" t="s">
        <v>954</v>
      </c>
      <c r="D145" s="68">
        <v>42825</v>
      </c>
      <c r="E145" s="171"/>
      <c r="F145" s="28" t="s">
        <v>2446</v>
      </c>
      <c r="G145" s="169"/>
      <c r="H145" s="28" t="s">
        <v>2446</v>
      </c>
      <c r="I145" s="28" t="s">
        <v>2446</v>
      </c>
      <c r="J145" s="28" t="s">
        <v>2446</v>
      </c>
      <c r="K145" s="62" t="str">
        <f t="shared" si="21"/>
        <v/>
      </c>
      <c r="L145" s="62" t="str">
        <f t="shared" si="22"/>
        <v/>
      </c>
      <c r="M145" s="83" t="str">
        <f t="shared" si="23"/>
        <v/>
      </c>
      <c r="N145" s="28">
        <v>31</v>
      </c>
      <c r="O145" s="93" t="str">
        <f t="shared" si="18"/>
        <v/>
      </c>
      <c r="P145" s="93" t="str">
        <f t="shared" si="20"/>
        <v/>
      </c>
      <c r="Q145" s="203">
        <v>2</v>
      </c>
      <c r="R145" s="170"/>
    </row>
    <row r="146" spans="1:18" x14ac:dyDescent="0.25">
      <c r="A146" s="169">
        <v>2017</v>
      </c>
      <c r="B146" s="169" t="s">
        <v>200</v>
      </c>
      <c r="C146" s="169" t="s">
        <v>954</v>
      </c>
      <c r="D146" s="68">
        <v>42855</v>
      </c>
      <c r="E146" s="173"/>
      <c r="F146" s="28" t="s">
        <v>2446</v>
      </c>
      <c r="G146" s="169"/>
      <c r="H146" s="28" t="s">
        <v>2446</v>
      </c>
      <c r="I146" s="28" t="s">
        <v>2446</v>
      </c>
      <c r="J146" s="28" t="s">
        <v>2446</v>
      </c>
      <c r="K146" s="62" t="str">
        <f t="shared" si="21"/>
        <v/>
      </c>
      <c r="L146" s="62" t="str">
        <f t="shared" si="22"/>
        <v/>
      </c>
      <c r="M146" s="83" t="str">
        <f t="shared" si="23"/>
        <v/>
      </c>
      <c r="N146" s="28">
        <v>30</v>
      </c>
      <c r="O146" s="93" t="str">
        <f t="shared" si="18"/>
        <v/>
      </c>
      <c r="P146" s="61" t="str">
        <f t="shared" si="20"/>
        <v/>
      </c>
      <c r="Q146" s="203">
        <v>2</v>
      </c>
      <c r="R146" s="170"/>
    </row>
    <row r="147" spans="1:18" x14ac:dyDescent="0.25">
      <c r="A147" s="169">
        <v>2017</v>
      </c>
      <c r="B147" s="169" t="s">
        <v>200</v>
      </c>
      <c r="C147" s="169" t="s">
        <v>954</v>
      </c>
      <c r="D147" s="68">
        <v>42886</v>
      </c>
      <c r="E147" s="173"/>
      <c r="F147" s="28" t="s">
        <v>2446</v>
      </c>
      <c r="G147" s="169"/>
      <c r="H147" s="28" t="s">
        <v>2446</v>
      </c>
      <c r="I147" s="28" t="s">
        <v>2446</v>
      </c>
      <c r="J147" s="28" t="s">
        <v>2446</v>
      </c>
      <c r="K147" s="62" t="str">
        <f t="shared" si="21"/>
        <v/>
      </c>
      <c r="L147" s="62" t="str">
        <f t="shared" si="22"/>
        <v/>
      </c>
      <c r="M147" s="83" t="str">
        <f t="shared" si="23"/>
        <v/>
      </c>
      <c r="N147" s="28">
        <v>31</v>
      </c>
      <c r="O147" s="93" t="str">
        <f t="shared" si="18"/>
        <v/>
      </c>
      <c r="P147" s="61" t="str">
        <f t="shared" si="20"/>
        <v/>
      </c>
      <c r="Q147" s="203">
        <v>2</v>
      </c>
      <c r="R147" s="170"/>
    </row>
    <row r="148" spans="1:18" x14ac:dyDescent="0.25">
      <c r="A148" s="169">
        <v>2017</v>
      </c>
      <c r="B148" s="169" t="s">
        <v>200</v>
      </c>
      <c r="C148" s="169" t="s">
        <v>954</v>
      </c>
      <c r="D148" s="68">
        <v>42916</v>
      </c>
      <c r="E148" s="173"/>
      <c r="F148" s="28" t="s">
        <v>2446</v>
      </c>
      <c r="G148" s="169"/>
      <c r="H148" s="28" t="s">
        <v>2446</v>
      </c>
      <c r="I148" s="28" t="s">
        <v>2446</v>
      </c>
      <c r="J148" s="28" t="s">
        <v>2446</v>
      </c>
      <c r="K148" s="62" t="str">
        <f t="shared" si="21"/>
        <v/>
      </c>
      <c r="L148" s="62" t="str">
        <f t="shared" si="22"/>
        <v/>
      </c>
      <c r="M148" s="83" t="str">
        <f t="shared" si="23"/>
        <v/>
      </c>
      <c r="N148" s="28">
        <v>30</v>
      </c>
      <c r="O148" s="93" t="str">
        <f t="shared" si="18"/>
        <v/>
      </c>
      <c r="P148" s="61" t="str">
        <f t="shared" si="20"/>
        <v/>
      </c>
      <c r="Q148" s="203">
        <v>2</v>
      </c>
      <c r="R148" s="170"/>
    </row>
    <row r="149" spans="1:18" x14ac:dyDescent="0.25">
      <c r="A149" s="169">
        <v>2017</v>
      </c>
      <c r="B149" s="169" t="s">
        <v>200</v>
      </c>
      <c r="C149" s="169" t="s">
        <v>954</v>
      </c>
      <c r="D149" s="68">
        <v>42947</v>
      </c>
      <c r="E149" s="173"/>
      <c r="F149" s="28" t="s">
        <v>2446</v>
      </c>
      <c r="G149" s="169"/>
      <c r="H149" s="28" t="s">
        <v>2446</v>
      </c>
      <c r="I149" s="28" t="s">
        <v>2446</v>
      </c>
      <c r="J149" s="28" t="s">
        <v>2446</v>
      </c>
      <c r="K149" s="62" t="str">
        <f t="shared" si="21"/>
        <v/>
      </c>
      <c r="L149" s="62" t="str">
        <f t="shared" si="22"/>
        <v/>
      </c>
      <c r="M149" s="83" t="str">
        <f t="shared" si="23"/>
        <v/>
      </c>
      <c r="N149" s="28">
        <v>31</v>
      </c>
      <c r="O149" s="93" t="str">
        <f t="shared" si="18"/>
        <v/>
      </c>
      <c r="P149" s="61" t="str">
        <f t="shared" si="20"/>
        <v/>
      </c>
      <c r="Q149" s="203">
        <v>2</v>
      </c>
      <c r="R149" s="170"/>
    </row>
    <row r="150" spans="1:18" x14ac:dyDescent="0.25">
      <c r="A150" s="169">
        <v>2017</v>
      </c>
      <c r="B150" s="169" t="s">
        <v>200</v>
      </c>
      <c r="C150" s="169" t="s">
        <v>954</v>
      </c>
      <c r="D150" s="68">
        <v>42978</v>
      </c>
      <c r="E150" s="173"/>
      <c r="F150" s="28" t="s">
        <v>2446</v>
      </c>
      <c r="G150" s="169"/>
      <c r="H150" s="28" t="s">
        <v>2446</v>
      </c>
      <c r="I150" s="28" t="s">
        <v>2446</v>
      </c>
      <c r="J150" s="28" t="s">
        <v>2446</v>
      </c>
      <c r="K150" s="62" t="str">
        <f t="shared" si="21"/>
        <v/>
      </c>
      <c r="L150" s="62" t="str">
        <f t="shared" si="22"/>
        <v/>
      </c>
      <c r="M150" s="83" t="str">
        <f t="shared" si="23"/>
        <v/>
      </c>
      <c r="N150" s="28">
        <v>31</v>
      </c>
      <c r="O150" s="93" t="str">
        <f t="shared" si="18"/>
        <v/>
      </c>
      <c r="P150" s="61" t="str">
        <f t="shared" si="20"/>
        <v/>
      </c>
      <c r="Q150" s="203">
        <v>2</v>
      </c>
      <c r="R150" s="170"/>
    </row>
    <row r="151" spans="1:18" x14ac:dyDescent="0.25">
      <c r="A151" s="169">
        <v>2017</v>
      </c>
      <c r="B151" s="169" t="s">
        <v>200</v>
      </c>
      <c r="C151" s="169" t="s">
        <v>954</v>
      </c>
      <c r="D151" s="68">
        <v>43008</v>
      </c>
      <c r="E151" s="173"/>
      <c r="F151" s="28" t="s">
        <v>2446</v>
      </c>
      <c r="G151" s="169"/>
      <c r="H151" s="28" t="s">
        <v>2446</v>
      </c>
      <c r="I151" s="28" t="s">
        <v>2446</v>
      </c>
      <c r="J151" s="28" t="s">
        <v>2446</v>
      </c>
      <c r="K151" s="62" t="str">
        <f t="shared" si="21"/>
        <v/>
      </c>
      <c r="L151" s="62" t="str">
        <f t="shared" si="22"/>
        <v/>
      </c>
      <c r="M151" s="83" t="str">
        <f t="shared" si="23"/>
        <v/>
      </c>
      <c r="N151" s="28">
        <v>30</v>
      </c>
      <c r="O151" s="93" t="str">
        <f t="shared" si="18"/>
        <v/>
      </c>
      <c r="P151" s="61" t="str">
        <f t="shared" si="20"/>
        <v/>
      </c>
      <c r="Q151" s="203">
        <v>2</v>
      </c>
      <c r="R151" s="170"/>
    </row>
    <row r="152" spans="1:18" x14ac:dyDescent="0.25">
      <c r="A152" s="169">
        <v>2017</v>
      </c>
      <c r="B152" s="169" t="s">
        <v>200</v>
      </c>
      <c r="C152" s="169" t="s">
        <v>954</v>
      </c>
      <c r="D152" s="68">
        <v>43039</v>
      </c>
      <c r="E152" s="173"/>
      <c r="F152" s="28" t="s">
        <v>2446</v>
      </c>
      <c r="G152" s="169"/>
      <c r="H152" s="28" t="s">
        <v>2446</v>
      </c>
      <c r="I152" s="28" t="s">
        <v>2446</v>
      </c>
      <c r="J152" s="28" t="s">
        <v>2446</v>
      </c>
      <c r="K152" s="62" t="str">
        <f t="shared" si="21"/>
        <v/>
      </c>
      <c r="L152" s="62" t="str">
        <f t="shared" si="22"/>
        <v/>
      </c>
      <c r="M152" s="83" t="str">
        <f t="shared" si="23"/>
        <v/>
      </c>
      <c r="N152" s="28">
        <v>31</v>
      </c>
      <c r="O152" s="93" t="str">
        <f t="shared" si="18"/>
        <v/>
      </c>
      <c r="P152" s="61" t="str">
        <f t="shared" si="20"/>
        <v/>
      </c>
      <c r="Q152" s="203">
        <v>2</v>
      </c>
      <c r="R152" s="170"/>
    </row>
    <row r="153" spans="1:18" x14ac:dyDescent="0.25">
      <c r="A153" s="169">
        <v>2017</v>
      </c>
      <c r="B153" s="169" t="s">
        <v>200</v>
      </c>
      <c r="C153" s="169" t="s">
        <v>954</v>
      </c>
      <c r="D153" s="68">
        <v>43069</v>
      </c>
      <c r="E153" s="173"/>
      <c r="F153" s="28" t="s">
        <v>2446</v>
      </c>
      <c r="G153" s="169"/>
      <c r="H153" s="28" t="s">
        <v>2446</v>
      </c>
      <c r="I153" s="28" t="s">
        <v>2446</v>
      </c>
      <c r="J153" s="28" t="s">
        <v>2446</v>
      </c>
      <c r="K153" s="62" t="str">
        <f t="shared" si="21"/>
        <v/>
      </c>
      <c r="L153" s="62" t="str">
        <f t="shared" si="22"/>
        <v/>
      </c>
      <c r="M153" s="83" t="str">
        <f t="shared" si="23"/>
        <v/>
      </c>
      <c r="N153" s="28">
        <v>30</v>
      </c>
      <c r="O153" s="93" t="str">
        <f t="shared" si="18"/>
        <v/>
      </c>
      <c r="P153" s="61" t="str">
        <f t="shared" si="20"/>
        <v/>
      </c>
      <c r="Q153" s="203">
        <v>2</v>
      </c>
      <c r="R153" s="170"/>
    </row>
    <row r="154" spans="1:18" x14ac:dyDescent="0.25">
      <c r="A154" s="169">
        <v>2017</v>
      </c>
      <c r="B154" s="169" t="s">
        <v>200</v>
      </c>
      <c r="C154" s="169" t="s">
        <v>954</v>
      </c>
      <c r="D154" s="68">
        <v>43100</v>
      </c>
      <c r="E154" s="173"/>
      <c r="F154" s="28" t="s">
        <v>2446</v>
      </c>
      <c r="G154" s="169"/>
      <c r="H154" s="28" t="s">
        <v>2446</v>
      </c>
      <c r="I154" s="28" t="s">
        <v>2446</v>
      </c>
      <c r="J154" s="28" t="s">
        <v>2446</v>
      </c>
      <c r="K154" s="62" t="str">
        <f t="shared" si="21"/>
        <v/>
      </c>
      <c r="L154" s="62" t="str">
        <f t="shared" si="22"/>
        <v/>
      </c>
      <c r="M154" s="83" t="str">
        <f t="shared" si="23"/>
        <v/>
      </c>
      <c r="N154" s="28">
        <v>31</v>
      </c>
      <c r="O154" s="93" t="str">
        <f t="shared" si="18"/>
        <v/>
      </c>
      <c r="P154" s="61" t="str">
        <f t="shared" si="20"/>
        <v/>
      </c>
      <c r="Q154" s="203">
        <v>2</v>
      </c>
      <c r="R154" s="170"/>
    </row>
    <row r="155" spans="1:18" x14ac:dyDescent="0.25">
      <c r="A155" s="169">
        <v>2017</v>
      </c>
      <c r="B155" s="169" t="s">
        <v>200</v>
      </c>
      <c r="C155" s="169" t="s">
        <v>954</v>
      </c>
      <c r="D155" s="68"/>
      <c r="E155" s="173"/>
      <c r="G155" s="169"/>
      <c r="I155" s="169"/>
      <c r="J155" s="169"/>
      <c r="K155" s="62">
        <f t="shared" si="21"/>
        <v>0</v>
      </c>
      <c r="L155" s="62">
        <f t="shared" si="22"/>
        <v>0</v>
      </c>
      <c r="M155" s="83" t="str">
        <f t="shared" si="23"/>
        <v/>
      </c>
      <c r="O155" s="93" t="str">
        <f t="shared" ref="O155:O182" si="24">IF(AND(L155&gt;0,L155&lt;&gt;""), L155/(N155/30.4167),"")</f>
        <v/>
      </c>
      <c r="P155" s="61">
        <f t="shared" si="20"/>
        <v>0</v>
      </c>
      <c r="Q155" s="203" t="s">
        <v>2450</v>
      </c>
      <c r="R155" s="170" t="s">
        <v>6758</v>
      </c>
    </row>
    <row r="156" spans="1:18" x14ac:dyDescent="0.25">
      <c r="A156" s="169">
        <v>2017</v>
      </c>
      <c r="B156" s="169" t="s">
        <v>202</v>
      </c>
      <c r="C156" s="169" t="s">
        <v>957</v>
      </c>
      <c r="D156" s="68">
        <v>42766</v>
      </c>
      <c r="E156" s="173"/>
      <c r="F156" s="28">
        <v>2.5999999999999999E-2</v>
      </c>
      <c r="G156" s="169"/>
      <c r="H156" s="28">
        <v>2.5999999999999999E-2</v>
      </c>
      <c r="I156" s="28">
        <v>4.5144000000000002</v>
      </c>
      <c r="J156" s="28">
        <v>4.2931999999999997</v>
      </c>
      <c r="K156" s="62">
        <f t="shared" si="21"/>
        <v>0.44426210400000005</v>
      </c>
      <c r="L156" s="62">
        <f t="shared" si="22"/>
        <v>13.097308171999998</v>
      </c>
      <c r="M156" s="83">
        <f t="shared" si="23"/>
        <v>0.42249381199999997</v>
      </c>
      <c r="N156" s="28">
        <v>31</v>
      </c>
      <c r="O156" s="93">
        <f t="shared" ref="O156:O159" si="25">IF(AND(L156&gt;0,L156&lt;&gt;""), L156/(N156/30.4167),"")</f>
        <v>12.850867531460397</v>
      </c>
      <c r="P156" s="93">
        <f t="shared" ref="P156:P159" si="26">IFERROR(L156*2.205,"")</f>
        <v>28.879564519259997</v>
      </c>
      <c r="Q156" s="203">
        <v>1</v>
      </c>
      <c r="R156" s="170" t="s">
        <v>2449</v>
      </c>
    </row>
    <row r="157" spans="1:18" x14ac:dyDescent="0.25">
      <c r="A157" s="169">
        <v>2017</v>
      </c>
      <c r="B157" s="169" t="s">
        <v>202</v>
      </c>
      <c r="C157" s="169" t="s">
        <v>957</v>
      </c>
      <c r="D157" s="68">
        <v>42794</v>
      </c>
      <c r="E157" s="173"/>
      <c r="F157" s="28">
        <v>8.0000000000000002E-3</v>
      </c>
      <c r="G157" s="169"/>
      <c r="H157" s="28">
        <v>8.0000000000000002E-3</v>
      </c>
      <c r="I157" s="28">
        <v>4.7622</v>
      </c>
      <c r="J157" s="28">
        <v>4.2812999999999999</v>
      </c>
      <c r="K157" s="62">
        <f t="shared" si="21"/>
        <v>0.14419941600000002</v>
      </c>
      <c r="L157" s="62">
        <f t="shared" si="22"/>
        <v>3.6298573920000003</v>
      </c>
      <c r="M157" s="83">
        <f t="shared" si="23"/>
        <v>0.12963776400000002</v>
      </c>
      <c r="N157" s="28">
        <v>28</v>
      </c>
      <c r="O157" s="93">
        <f t="shared" si="25"/>
        <v>3.9431529762588</v>
      </c>
      <c r="P157" s="93">
        <f t="shared" si="26"/>
        <v>8.0038355493600015</v>
      </c>
      <c r="Q157" s="203">
        <v>1</v>
      </c>
      <c r="R157" s="170"/>
    </row>
    <row r="158" spans="1:18" x14ac:dyDescent="0.25">
      <c r="A158" s="169">
        <v>2017</v>
      </c>
      <c r="B158" s="169" t="s">
        <v>202</v>
      </c>
      <c r="C158" s="169" t="s">
        <v>957</v>
      </c>
      <c r="D158" s="68">
        <v>42825</v>
      </c>
      <c r="E158" s="173"/>
      <c r="F158" s="28">
        <v>0.17799999999999999</v>
      </c>
      <c r="G158" s="169"/>
      <c r="H158" s="28">
        <v>0.17799999999999999</v>
      </c>
      <c r="I158" s="28">
        <v>4.3503999999999996</v>
      </c>
      <c r="J158" s="28">
        <v>4.1154999999999999</v>
      </c>
      <c r="K158" s="62">
        <f t="shared" si="21"/>
        <v>2.930994992</v>
      </c>
      <c r="L158" s="62">
        <f t="shared" si="22"/>
        <v>85.954810264999992</v>
      </c>
      <c r="M158" s="83">
        <f t="shared" si="23"/>
        <v>2.7727358149999999</v>
      </c>
      <c r="N158" s="28">
        <v>31</v>
      </c>
      <c r="O158" s="93">
        <f t="shared" si="25"/>
        <v>84.337473464110488</v>
      </c>
      <c r="P158" s="93">
        <f t="shared" si="26"/>
        <v>189.53035663432499</v>
      </c>
      <c r="Q158" s="203">
        <v>1</v>
      </c>
      <c r="R158" s="170"/>
    </row>
    <row r="159" spans="1:18" x14ac:dyDescent="0.25">
      <c r="A159" s="169">
        <v>2017</v>
      </c>
      <c r="B159" s="169" t="s">
        <v>202</v>
      </c>
      <c r="C159" s="169" t="s">
        <v>957</v>
      </c>
      <c r="D159" s="68">
        <v>42855</v>
      </c>
      <c r="E159" s="173"/>
      <c r="F159" s="28">
        <v>2.5999999999999999E-2</v>
      </c>
      <c r="G159" s="169"/>
      <c r="H159" s="28">
        <v>2.5999999999999999E-2</v>
      </c>
      <c r="I159" s="28">
        <v>5.1283000000000003</v>
      </c>
      <c r="J159" s="28">
        <v>4.5848000000000004</v>
      </c>
      <c r="K159" s="62">
        <f t="shared" si="21"/>
        <v>0.50467600300000004</v>
      </c>
      <c r="L159" s="62">
        <f t="shared" si="22"/>
        <v>13.53570504</v>
      </c>
      <c r="M159" s="83">
        <f t="shared" si="23"/>
        <v>0.451190168</v>
      </c>
      <c r="N159" s="28">
        <v>30</v>
      </c>
      <c r="O159" s="93">
        <f t="shared" si="25"/>
        <v>13.723715983005599</v>
      </c>
      <c r="P159" s="93">
        <f t="shared" si="26"/>
        <v>29.846229613200002</v>
      </c>
      <c r="Q159" s="203">
        <v>1</v>
      </c>
      <c r="R159" s="170"/>
    </row>
    <row r="160" spans="1:18" x14ac:dyDescent="0.25">
      <c r="A160" s="169">
        <v>2017</v>
      </c>
      <c r="B160" s="169" t="s">
        <v>202</v>
      </c>
      <c r="C160" s="169" t="s">
        <v>957</v>
      </c>
      <c r="D160" s="68">
        <v>42886</v>
      </c>
      <c r="E160" s="171"/>
      <c r="F160" s="28" t="s">
        <v>2451</v>
      </c>
      <c r="G160" s="169"/>
      <c r="H160" s="28" t="s">
        <v>2451</v>
      </c>
      <c r="I160" s="28">
        <v>4.3705999999999996</v>
      </c>
      <c r="J160" s="28">
        <v>3.7418</v>
      </c>
      <c r="K160" s="62" t="str">
        <f t="shared" si="21"/>
        <v/>
      </c>
      <c r="L160" s="62" t="str">
        <f t="shared" si="22"/>
        <v/>
      </c>
      <c r="M160" s="83" t="str">
        <f t="shared" si="23"/>
        <v/>
      </c>
      <c r="N160" s="28">
        <v>31</v>
      </c>
      <c r="O160" s="93" t="str">
        <f t="shared" si="24"/>
        <v/>
      </c>
      <c r="P160" s="61" t="str">
        <f t="shared" si="20"/>
        <v/>
      </c>
      <c r="Q160" s="203">
        <v>1</v>
      </c>
      <c r="R160" s="170"/>
    </row>
    <row r="161" spans="1:18" x14ac:dyDescent="0.25">
      <c r="A161" s="169">
        <v>2017</v>
      </c>
      <c r="B161" s="169" t="s">
        <v>202</v>
      </c>
      <c r="C161" s="169" t="s">
        <v>957</v>
      </c>
      <c r="D161" s="68">
        <v>42916</v>
      </c>
      <c r="E161" s="171"/>
      <c r="F161" s="28">
        <v>3.3000000000000002E-2</v>
      </c>
      <c r="G161" s="169"/>
      <c r="H161" s="28">
        <v>3.3000000000000002E-2</v>
      </c>
      <c r="I161" s="28">
        <v>5.0544000000000002</v>
      </c>
      <c r="J161" s="28">
        <v>4.5167999999999999</v>
      </c>
      <c r="K161" s="62">
        <f t="shared" si="21"/>
        <v>0.63131983200000008</v>
      </c>
      <c r="L161" s="62">
        <f t="shared" si="22"/>
        <v>16.925127119999999</v>
      </c>
      <c r="M161" s="83">
        <f t="shared" si="23"/>
        <v>0.56417090399999992</v>
      </c>
      <c r="N161" s="28">
        <v>30</v>
      </c>
      <c r="O161" s="93">
        <f t="shared" si="24"/>
        <v>17.160217135696797</v>
      </c>
      <c r="P161" s="61">
        <f t="shared" si="20"/>
        <v>37.319905299600002</v>
      </c>
      <c r="Q161" s="203">
        <v>1</v>
      </c>
      <c r="R161" s="170"/>
    </row>
    <row r="162" spans="1:18" x14ac:dyDescent="0.25">
      <c r="A162" s="169">
        <v>2017</v>
      </c>
      <c r="B162" s="169" t="s">
        <v>202</v>
      </c>
      <c r="C162" s="169" t="s">
        <v>957</v>
      </c>
      <c r="D162" s="68">
        <v>42947</v>
      </c>
      <c r="E162" s="171"/>
      <c r="F162" s="28">
        <v>1.59</v>
      </c>
      <c r="G162" s="169"/>
      <c r="H162" s="28">
        <v>1.59</v>
      </c>
      <c r="I162" s="28">
        <v>3.8736999999999999</v>
      </c>
      <c r="J162" s="28">
        <v>3.6943999999999999</v>
      </c>
      <c r="K162" s="62">
        <f t="shared" si="21"/>
        <v>23.312507655000005</v>
      </c>
      <c r="L162" s="62">
        <f t="shared" si="22"/>
        <v>689.23705415999996</v>
      </c>
      <c r="M162" s="83">
        <f t="shared" si="23"/>
        <v>22.233453359999999</v>
      </c>
      <c r="N162" s="28">
        <v>31</v>
      </c>
      <c r="O162" s="93">
        <f t="shared" si="24"/>
        <v>676.26828081511189</v>
      </c>
      <c r="P162" s="93">
        <f t="shared" si="20"/>
        <v>1519.7677044227999</v>
      </c>
      <c r="Q162" s="203">
        <v>1</v>
      </c>
      <c r="R162" s="170"/>
    </row>
    <row r="163" spans="1:18" x14ac:dyDescent="0.25">
      <c r="A163" s="169">
        <v>2017</v>
      </c>
      <c r="B163" s="169" t="s">
        <v>202</v>
      </c>
      <c r="C163" s="169" t="s">
        <v>957</v>
      </c>
      <c r="D163" s="68">
        <v>42978</v>
      </c>
      <c r="E163" s="171"/>
      <c r="F163" s="28">
        <v>7.3999999999999996E-2</v>
      </c>
      <c r="G163" s="169"/>
      <c r="H163" s="28">
        <v>7.3999999999999996E-2</v>
      </c>
      <c r="I163" s="28">
        <v>3.8283</v>
      </c>
      <c r="J163" s="28">
        <v>3.5832999999999999</v>
      </c>
      <c r="K163" s="62">
        <f t="shared" si="21"/>
        <v>1.072268547</v>
      </c>
      <c r="L163" s="62">
        <f t="shared" si="22"/>
        <v>31.113041406999997</v>
      </c>
      <c r="M163" s="83">
        <f t="shared" si="23"/>
        <v>1.0036464969999999</v>
      </c>
      <c r="N163" s="28">
        <v>31</v>
      </c>
      <c r="O163" s="93">
        <f t="shared" si="24"/>
        <v>30.527614405299893</v>
      </c>
      <c r="P163" s="93">
        <f t="shared" si="20"/>
        <v>68.60425630243499</v>
      </c>
      <c r="Q163" s="203">
        <v>1</v>
      </c>
      <c r="R163" s="170"/>
    </row>
    <row r="164" spans="1:18" x14ac:dyDescent="0.25">
      <c r="A164" s="169">
        <v>2017</v>
      </c>
      <c r="B164" s="169" t="s">
        <v>202</v>
      </c>
      <c r="C164" s="169" t="s">
        <v>957</v>
      </c>
      <c r="D164" s="68">
        <v>43008</v>
      </c>
      <c r="E164" s="171"/>
      <c r="F164" s="28">
        <v>5.3999999999999999E-2</v>
      </c>
      <c r="G164" s="169"/>
      <c r="H164" s="28">
        <v>5.3999999999999999E-2</v>
      </c>
      <c r="I164" s="28">
        <v>3.7319</v>
      </c>
      <c r="J164" s="28">
        <v>3.5081000000000002</v>
      </c>
      <c r="K164" s="62">
        <f t="shared" si="21"/>
        <v>0.76276304100000003</v>
      </c>
      <c r="L164" s="62">
        <f t="shared" si="22"/>
        <v>21.510616770000002</v>
      </c>
      <c r="M164" s="83">
        <f t="shared" si="23"/>
        <v>0.71702055900000006</v>
      </c>
      <c r="N164" s="28">
        <v>30</v>
      </c>
      <c r="O164" s="93">
        <f t="shared" si="24"/>
        <v>21.809399236935299</v>
      </c>
      <c r="P164" s="93">
        <f t="shared" si="20"/>
        <v>47.430909977850007</v>
      </c>
      <c r="Q164" s="203">
        <v>1</v>
      </c>
      <c r="R164" s="170"/>
    </row>
    <row r="165" spans="1:18" x14ac:dyDescent="0.25">
      <c r="A165" s="169">
        <v>2017</v>
      </c>
      <c r="B165" s="169" t="s">
        <v>202</v>
      </c>
      <c r="C165" s="169" t="s">
        <v>957</v>
      </c>
      <c r="D165" s="68">
        <v>43039</v>
      </c>
      <c r="E165" s="171"/>
      <c r="F165" s="28">
        <v>4.2999999999999997E-2</v>
      </c>
      <c r="G165" s="169"/>
      <c r="H165" s="28">
        <v>4.2999999999999997E-2</v>
      </c>
      <c r="I165" s="28">
        <v>4.4165000000000001</v>
      </c>
      <c r="J165" s="28">
        <v>3.7057000000000002</v>
      </c>
      <c r="K165" s="62">
        <f t="shared" si="21"/>
        <v>0.71880745749999997</v>
      </c>
      <c r="L165" s="62">
        <f t="shared" si="22"/>
        <v>18.696757308500001</v>
      </c>
      <c r="M165" s="83">
        <f t="shared" si="23"/>
        <v>0.60312120349999998</v>
      </c>
      <c r="N165" s="28">
        <v>31</v>
      </c>
      <c r="O165" s="93">
        <f t="shared" si="24"/>
        <v>18.344956710498447</v>
      </c>
      <c r="P165" s="93">
        <f t="shared" si="20"/>
        <v>41.226349865242504</v>
      </c>
      <c r="Q165" s="203">
        <v>1</v>
      </c>
      <c r="R165" s="170"/>
    </row>
    <row r="166" spans="1:18" x14ac:dyDescent="0.25">
      <c r="A166" s="169">
        <v>2017</v>
      </c>
      <c r="B166" s="169" t="s">
        <v>202</v>
      </c>
      <c r="C166" s="169" t="s">
        <v>957</v>
      </c>
      <c r="D166" s="68">
        <v>43069</v>
      </c>
      <c r="E166" s="171"/>
      <c r="F166" s="28">
        <v>4.7E-2</v>
      </c>
      <c r="G166" s="169"/>
      <c r="H166" s="28">
        <v>4.7E-2</v>
      </c>
      <c r="I166" s="28">
        <v>4.0846</v>
      </c>
      <c r="J166" s="28">
        <v>3.9508000000000001</v>
      </c>
      <c r="K166" s="62">
        <f t="shared" si="21"/>
        <v>0.72662991700000013</v>
      </c>
      <c r="L166" s="62">
        <f t="shared" si="22"/>
        <v>21.084826980000003</v>
      </c>
      <c r="M166" s="83">
        <f t="shared" si="23"/>
        <v>0.70282756600000007</v>
      </c>
      <c r="N166" s="28">
        <v>30</v>
      </c>
      <c r="O166" s="93">
        <f t="shared" si="24"/>
        <v>21.377695226752202</v>
      </c>
      <c r="P166" s="93">
        <f t="shared" si="20"/>
        <v>46.492043490900009</v>
      </c>
      <c r="Q166" s="203">
        <v>1</v>
      </c>
      <c r="R166" s="170"/>
    </row>
    <row r="167" spans="1:18" x14ac:dyDescent="0.25">
      <c r="A167" s="169">
        <v>2017</v>
      </c>
      <c r="B167" s="169" t="s">
        <v>202</v>
      </c>
      <c r="C167" s="169" t="s">
        <v>957</v>
      </c>
      <c r="D167" s="68">
        <v>43100</v>
      </c>
      <c r="E167" s="171"/>
      <c r="F167" s="28">
        <v>3.9E-2</v>
      </c>
      <c r="G167" s="169"/>
      <c r="H167" s="28">
        <v>3.9E-2</v>
      </c>
      <c r="I167" s="28">
        <v>4.7405999999999997</v>
      </c>
      <c r="J167" s="28">
        <v>4.0609000000000002</v>
      </c>
      <c r="K167" s="62">
        <f t="shared" si="21"/>
        <v>0.69978366899999989</v>
      </c>
      <c r="L167" s="62">
        <f t="shared" si="22"/>
        <v>18.582942358500002</v>
      </c>
      <c r="M167" s="83">
        <f t="shared" si="23"/>
        <v>0.59944975350000007</v>
      </c>
      <c r="N167" s="28">
        <v>31</v>
      </c>
      <c r="O167" s="93">
        <f t="shared" si="24"/>
        <v>18.233283317283451</v>
      </c>
      <c r="P167" s="93">
        <f t="shared" si="20"/>
        <v>40.975387900492507</v>
      </c>
      <c r="Q167" s="203">
        <v>1</v>
      </c>
      <c r="R167" s="170"/>
    </row>
    <row r="168" spans="1:18" x14ac:dyDescent="0.25">
      <c r="A168" s="169">
        <v>2017</v>
      </c>
      <c r="B168" s="169" t="s">
        <v>202</v>
      </c>
      <c r="C168" s="169" t="s">
        <v>957</v>
      </c>
      <c r="D168" s="68"/>
      <c r="E168" s="173"/>
      <c r="F168" s="83"/>
      <c r="H168" s="80"/>
      <c r="K168" s="62">
        <f t="shared" si="21"/>
        <v>0</v>
      </c>
      <c r="L168" s="62">
        <f t="shared" si="22"/>
        <v>0</v>
      </c>
      <c r="M168" s="83" t="str">
        <f t="shared" si="23"/>
        <v/>
      </c>
      <c r="O168" s="93" t="str">
        <f t="shared" si="24"/>
        <v/>
      </c>
      <c r="P168" s="93">
        <f t="shared" si="20"/>
        <v>0</v>
      </c>
      <c r="Q168" s="203">
        <v>2</v>
      </c>
      <c r="R168" s="170" t="s">
        <v>6760</v>
      </c>
    </row>
    <row r="169" spans="1:18" x14ac:dyDescent="0.25">
      <c r="A169" s="169">
        <v>2017</v>
      </c>
      <c r="B169" s="169" t="s">
        <v>202</v>
      </c>
      <c r="C169" s="169" t="s">
        <v>957</v>
      </c>
      <c r="D169" s="68"/>
      <c r="E169" s="171"/>
      <c r="F169" s="83"/>
      <c r="H169" s="80"/>
      <c r="K169" s="62">
        <f t="shared" si="21"/>
        <v>0</v>
      </c>
      <c r="L169" s="62">
        <f t="shared" si="22"/>
        <v>0</v>
      </c>
      <c r="M169" s="83" t="str">
        <f t="shared" si="23"/>
        <v/>
      </c>
      <c r="O169" s="93" t="str">
        <f t="shared" si="24"/>
        <v/>
      </c>
      <c r="P169" s="93">
        <f t="shared" si="20"/>
        <v>0</v>
      </c>
      <c r="Q169" s="203">
        <v>9</v>
      </c>
      <c r="R169" s="170" t="s">
        <v>6760</v>
      </c>
    </row>
    <row r="170" spans="1:18" x14ac:dyDescent="0.25">
      <c r="A170" s="169">
        <v>2018</v>
      </c>
      <c r="B170" s="28" t="s">
        <v>202</v>
      </c>
      <c r="C170" s="169" t="s">
        <v>957</v>
      </c>
      <c r="D170" s="68">
        <v>43131</v>
      </c>
      <c r="E170" s="171"/>
      <c r="I170" s="28">
        <v>4.1993999999999998</v>
      </c>
      <c r="J170" s="28">
        <v>3.9226999999999999</v>
      </c>
      <c r="K170" s="62">
        <f t="shared" si="21"/>
        <v>0</v>
      </c>
      <c r="L170" s="62">
        <f t="shared" si="22"/>
        <v>0</v>
      </c>
      <c r="M170" s="83">
        <f t="shared" si="23"/>
        <v>0</v>
      </c>
      <c r="N170" s="28">
        <v>31</v>
      </c>
      <c r="O170" s="93" t="str">
        <f t="shared" ref="O170:O173" si="27">IF(AND(L170&gt;0,L170&lt;&gt;""), L170/(N170/30.4167),"")</f>
        <v/>
      </c>
      <c r="P170" s="93">
        <f t="shared" si="20"/>
        <v>0</v>
      </c>
      <c r="Q170" s="60">
        <v>1</v>
      </c>
      <c r="R170" s="170"/>
    </row>
    <row r="171" spans="1:18" x14ac:dyDescent="0.25">
      <c r="A171" s="169">
        <v>2018</v>
      </c>
      <c r="B171" s="28" t="s">
        <v>202</v>
      </c>
      <c r="C171" s="169" t="s">
        <v>957</v>
      </c>
      <c r="D171" s="68">
        <v>43159</v>
      </c>
      <c r="E171" s="173"/>
      <c r="I171" s="28">
        <v>5.1449999999999996</v>
      </c>
      <c r="J171" s="28">
        <v>3.4115000000000002</v>
      </c>
      <c r="K171" s="62">
        <f t="shared" si="21"/>
        <v>0</v>
      </c>
      <c r="L171" s="62">
        <f t="shared" si="22"/>
        <v>0</v>
      </c>
      <c r="M171" s="83">
        <f t="shared" si="23"/>
        <v>0</v>
      </c>
      <c r="N171" s="28">
        <v>28</v>
      </c>
      <c r="O171" s="93" t="str">
        <f t="shared" si="27"/>
        <v/>
      </c>
      <c r="P171" s="93">
        <f t="shared" si="20"/>
        <v>0</v>
      </c>
      <c r="Q171" s="60">
        <v>1</v>
      </c>
      <c r="R171" s="170"/>
    </row>
    <row r="172" spans="1:18" x14ac:dyDescent="0.25">
      <c r="A172" s="169">
        <v>2018</v>
      </c>
      <c r="B172" s="28" t="s">
        <v>202</v>
      </c>
      <c r="C172" s="169" t="s">
        <v>957</v>
      </c>
      <c r="D172" s="68">
        <v>43190</v>
      </c>
      <c r="E172" s="173"/>
      <c r="I172" s="28">
        <v>3.823</v>
      </c>
      <c r="J172" s="28">
        <v>3.4359000000000002</v>
      </c>
      <c r="K172" s="62">
        <f t="shared" si="21"/>
        <v>0</v>
      </c>
      <c r="L172" s="62">
        <f t="shared" si="22"/>
        <v>0</v>
      </c>
      <c r="M172" s="83">
        <f t="shared" si="23"/>
        <v>0</v>
      </c>
      <c r="N172" s="28">
        <v>31</v>
      </c>
      <c r="O172" s="93" t="str">
        <f t="shared" si="27"/>
        <v/>
      </c>
      <c r="P172" s="93">
        <f t="shared" si="20"/>
        <v>0</v>
      </c>
      <c r="Q172" s="60">
        <v>1</v>
      </c>
      <c r="R172" s="170"/>
    </row>
    <row r="173" spans="1:18" x14ac:dyDescent="0.25">
      <c r="A173" s="169">
        <v>2018</v>
      </c>
      <c r="B173" s="28" t="s">
        <v>202</v>
      </c>
      <c r="C173" s="169" t="s">
        <v>957</v>
      </c>
      <c r="D173" s="68">
        <v>43220</v>
      </c>
      <c r="E173" s="173"/>
      <c r="I173" s="28">
        <v>3.7957999999999998</v>
      </c>
      <c r="J173" s="28">
        <v>3.5716000000000001</v>
      </c>
      <c r="K173" s="62">
        <f t="shared" si="21"/>
        <v>0</v>
      </c>
      <c r="L173" s="62">
        <f t="shared" si="22"/>
        <v>0</v>
      </c>
      <c r="M173" s="83">
        <f t="shared" si="23"/>
        <v>0</v>
      </c>
      <c r="N173" s="28">
        <v>30</v>
      </c>
      <c r="O173" s="93" t="str">
        <f t="shared" si="27"/>
        <v/>
      </c>
      <c r="P173" s="93">
        <f t="shared" si="20"/>
        <v>0</v>
      </c>
      <c r="Q173" s="60">
        <v>1</v>
      </c>
      <c r="R173" s="170"/>
    </row>
    <row r="174" spans="1:18" x14ac:dyDescent="0.25">
      <c r="A174" s="169">
        <v>2018</v>
      </c>
      <c r="B174" s="28" t="s">
        <v>202</v>
      </c>
      <c r="C174" s="169" t="s">
        <v>957</v>
      </c>
      <c r="D174" s="68">
        <v>43251</v>
      </c>
      <c r="E174" s="171"/>
      <c r="I174" s="28">
        <v>3.7183000000000002</v>
      </c>
      <c r="J174" s="28">
        <v>3.4253</v>
      </c>
      <c r="K174" s="62">
        <f t="shared" si="21"/>
        <v>0</v>
      </c>
      <c r="L174" s="62">
        <f t="shared" si="22"/>
        <v>0</v>
      </c>
      <c r="M174" s="83">
        <f t="shared" si="23"/>
        <v>0</v>
      </c>
      <c r="N174" s="28">
        <v>31</v>
      </c>
      <c r="O174" s="93" t="str">
        <f t="shared" si="24"/>
        <v/>
      </c>
      <c r="P174" s="93">
        <f t="shared" si="20"/>
        <v>0</v>
      </c>
      <c r="Q174" s="60">
        <v>1</v>
      </c>
      <c r="R174" s="170"/>
    </row>
    <row r="175" spans="1:18" x14ac:dyDescent="0.25">
      <c r="A175" s="169">
        <v>2018</v>
      </c>
      <c r="B175" s="28" t="s">
        <v>202</v>
      </c>
      <c r="C175" s="169" t="s">
        <v>957</v>
      </c>
      <c r="D175" s="68">
        <v>43281</v>
      </c>
      <c r="E175" s="171"/>
      <c r="I175" s="28">
        <v>4.8312999999999997</v>
      </c>
      <c r="J175" s="28">
        <v>3.8664000000000001</v>
      </c>
      <c r="K175" s="62">
        <f t="shared" si="21"/>
        <v>0</v>
      </c>
      <c r="L175" s="62">
        <f t="shared" si="22"/>
        <v>0</v>
      </c>
      <c r="M175" s="83">
        <f t="shared" si="23"/>
        <v>0</v>
      </c>
      <c r="N175" s="28">
        <v>30</v>
      </c>
      <c r="O175" s="93" t="str">
        <f t="shared" si="24"/>
        <v/>
      </c>
      <c r="P175" s="93">
        <f t="shared" si="20"/>
        <v>0</v>
      </c>
      <c r="Q175" s="60">
        <v>1</v>
      </c>
      <c r="R175" s="170"/>
    </row>
    <row r="176" spans="1:18" x14ac:dyDescent="0.25">
      <c r="A176" s="169">
        <v>2018</v>
      </c>
      <c r="B176" s="28" t="s">
        <v>202</v>
      </c>
      <c r="C176" s="169" t="s">
        <v>957</v>
      </c>
      <c r="D176" s="68">
        <v>43312</v>
      </c>
      <c r="E176" s="171"/>
      <c r="I176" s="28">
        <v>38943</v>
      </c>
      <c r="J176" s="28">
        <v>3.6998000000000002</v>
      </c>
      <c r="K176" s="62">
        <f t="shared" si="21"/>
        <v>0</v>
      </c>
      <c r="L176" s="62">
        <f t="shared" si="22"/>
        <v>0</v>
      </c>
      <c r="M176" s="83">
        <f t="shared" si="23"/>
        <v>0</v>
      </c>
      <c r="N176" s="28">
        <v>31</v>
      </c>
      <c r="O176" s="93" t="str">
        <f t="shared" si="24"/>
        <v/>
      </c>
      <c r="P176" s="61">
        <f t="shared" si="20"/>
        <v>0</v>
      </c>
      <c r="Q176" s="60">
        <v>1</v>
      </c>
      <c r="R176" s="170"/>
    </row>
    <row r="177" spans="1:18" x14ac:dyDescent="0.25">
      <c r="A177" s="169">
        <v>2018</v>
      </c>
      <c r="B177" s="28" t="s">
        <v>202</v>
      </c>
      <c r="C177" s="169" t="s">
        <v>957</v>
      </c>
      <c r="D177" s="68">
        <v>43343</v>
      </c>
      <c r="E177" s="173"/>
      <c r="I177" s="28">
        <v>3.9058999999999999</v>
      </c>
      <c r="J177" s="28">
        <v>3.6638999999999999</v>
      </c>
      <c r="K177" s="62">
        <f t="shared" si="21"/>
        <v>0</v>
      </c>
      <c r="L177" s="62">
        <f t="shared" si="22"/>
        <v>0</v>
      </c>
      <c r="M177" s="83">
        <f t="shared" si="23"/>
        <v>0</v>
      </c>
      <c r="N177" s="28">
        <v>31</v>
      </c>
      <c r="O177" s="93" t="str">
        <f t="shared" si="24"/>
        <v/>
      </c>
      <c r="P177" s="93">
        <f>IFERROR(L177*2.205,"")</f>
        <v>0</v>
      </c>
      <c r="Q177" s="60">
        <v>1</v>
      </c>
      <c r="R177" s="170"/>
    </row>
    <row r="178" spans="1:18" x14ac:dyDescent="0.25">
      <c r="A178" s="169">
        <v>2018</v>
      </c>
      <c r="B178" s="28" t="s">
        <v>202</v>
      </c>
      <c r="C178" s="169" t="s">
        <v>957</v>
      </c>
      <c r="D178" s="68">
        <v>43373</v>
      </c>
      <c r="E178" s="173"/>
      <c r="I178" s="28">
        <v>4.0750999999999999</v>
      </c>
      <c r="J178" s="28">
        <v>3.5916999999999999</v>
      </c>
      <c r="K178" s="62">
        <f t="shared" si="21"/>
        <v>0</v>
      </c>
      <c r="L178" s="62">
        <f t="shared" si="22"/>
        <v>0</v>
      </c>
      <c r="M178" s="83">
        <f t="shared" si="23"/>
        <v>0</v>
      </c>
      <c r="N178" s="28">
        <v>30</v>
      </c>
      <c r="O178" s="93" t="str">
        <f t="shared" si="24"/>
        <v/>
      </c>
      <c r="P178" s="93">
        <f>IFERROR(L178*2.205,"")</f>
        <v>0</v>
      </c>
      <c r="Q178" s="60">
        <v>1</v>
      </c>
      <c r="R178" s="170"/>
    </row>
    <row r="179" spans="1:18" x14ac:dyDescent="0.25">
      <c r="A179" s="169">
        <v>2018</v>
      </c>
      <c r="B179" s="28" t="s">
        <v>202</v>
      </c>
      <c r="C179" s="169" t="s">
        <v>957</v>
      </c>
      <c r="D179" s="68">
        <v>43404</v>
      </c>
      <c r="E179" s="171"/>
      <c r="I179" s="28">
        <v>3.5464000000000002</v>
      </c>
      <c r="J179" s="28">
        <v>3.2717999999999998</v>
      </c>
      <c r="K179" s="62">
        <f t="shared" si="21"/>
        <v>0</v>
      </c>
      <c r="L179" s="62">
        <f t="shared" si="22"/>
        <v>0</v>
      </c>
      <c r="M179" s="83">
        <f t="shared" si="23"/>
        <v>0</v>
      </c>
      <c r="N179" s="28">
        <v>31</v>
      </c>
      <c r="O179" s="93" t="str">
        <f t="shared" si="24"/>
        <v/>
      </c>
      <c r="P179" s="61">
        <f t="shared" si="20"/>
        <v>0</v>
      </c>
      <c r="Q179" s="60">
        <v>1</v>
      </c>
      <c r="R179" s="170"/>
    </row>
    <row r="180" spans="1:18" x14ac:dyDescent="0.25">
      <c r="A180" s="169">
        <v>2018</v>
      </c>
      <c r="B180" s="28" t="s">
        <v>202</v>
      </c>
      <c r="C180" s="169" t="s">
        <v>957</v>
      </c>
      <c r="D180" s="68">
        <v>43434</v>
      </c>
      <c r="E180" s="171"/>
      <c r="I180" s="28">
        <v>4.1523000000000003</v>
      </c>
      <c r="J180" s="28">
        <v>3.6429999999999998</v>
      </c>
      <c r="K180" s="62">
        <f t="shared" si="21"/>
        <v>0</v>
      </c>
      <c r="L180" s="62">
        <f t="shared" si="22"/>
        <v>0</v>
      </c>
      <c r="M180" s="83">
        <f t="shared" si="23"/>
        <v>0</v>
      </c>
      <c r="N180" s="28">
        <v>30</v>
      </c>
      <c r="O180" s="93" t="str">
        <f t="shared" si="24"/>
        <v/>
      </c>
      <c r="P180" s="93">
        <f t="shared" si="20"/>
        <v>0</v>
      </c>
      <c r="Q180" s="60">
        <v>1</v>
      </c>
      <c r="R180" s="170"/>
    </row>
    <row r="181" spans="1:18" x14ac:dyDescent="0.25">
      <c r="A181" s="169">
        <v>2018</v>
      </c>
      <c r="B181" s="28" t="s">
        <v>202</v>
      </c>
      <c r="C181" s="169" t="s">
        <v>957</v>
      </c>
      <c r="D181" s="68">
        <v>43465</v>
      </c>
      <c r="E181" s="171"/>
      <c r="I181" s="28">
        <v>4.3026999999999997</v>
      </c>
      <c r="J181" s="28">
        <v>3.8711000000000002</v>
      </c>
      <c r="K181" s="62">
        <f t="shared" si="21"/>
        <v>0</v>
      </c>
      <c r="L181" s="62">
        <f t="shared" si="22"/>
        <v>0</v>
      </c>
      <c r="M181" s="83">
        <f t="shared" si="23"/>
        <v>0</v>
      </c>
      <c r="N181" s="28">
        <v>31</v>
      </c>
      <c r="O181" s="93" t="str">
        <f t="shared" si="24"/>
        <v/>
      </c>
      <c r="P181" s="93">
        <f t="shared" si="20"/>
        <v>0</v>
      </c>
      <c r="Q181" s="60">
        <v>1</v>
      </c>
      <c r="R181" s="170"/>
    </row>
    <row r="182" spans="1:18" x14ac:dyDescent="0.25">
      <c r="A182" s="169">
        <v>2018</v>
      </c>
      <c r="B182" s="28" t="s">
        <v>202</v>
      </c>
      <c r="C182" s="169" t="s">
        <v>957</v>
      </c>
      <c r="D182" s="68"/>
      <c r="E182" s="171"/>
      <c r="F182" s="83"/>
      <c r="G182" s="83"/>
      <c r="H182" s="83"/>
      <c r="K182" s="62">
        <f t="shared" si="21"/>
        <v>0</v>
      </c>
      <c r="L182" s="62">
        <f t="shared" si="22"/>
        <v>0</v>
      </c>
      <c r="M182" s="83" t="str">
        <f t="shared" si="23"/>
        <v/>
      </c>
      <c r="O182" s="93" t="str">
        <f t="shared" si="24"/>
        <v/>
      </c>
      <c r="P182" s="93">
        <f t="shared" si="20"/>
        <v>0</v>
      </c>
      <c r="Q182" s="203">
        <v>2</v>
      </c>
      <c r="R182" s="170" t="s">
        <v>6760</v>
      </c>
    </row>
    <row r="183" spans="1:18" x14ac:dyDescent="0.25">
      <c r="A183" s="169">
        <v>2018</v>
      </c>
      <c r="B183" s="28" t="s">
        <v>202</v>
      </c>
      <c r="C183" s="169" t="s">
        <v>957</v>
      </c>
      <c r="D183" s="68"/>
      <c r="E183" s="171"/>
      <c r="F183" s="83"/>
      <c r="G183" s="83"/>
      <c r="H183" s="83"/>
      <c r="K183" s="62">
        <f t="shared" si="21"/>
        <v>0</v>
      </c>
      <c r="L183" s="62">
        <f t="shared" si="22"/>
        <v>0</v>
      </c>
      <c r="M183" s="83" t="str">
        <f t="shared" si="23"/>
        <v/>
      </c>
      <c r="O183" s="93" t="str">
        <f t="shared" ref="O183:O202" si="28">IF(AND(L183&gt;0,L183&lt;&gt;""), L183/(N183/30.4167),"")</f>
        <v/>
      </c>
      <c r="P183" s="196">
        <f t="shared" si="20"/>
        <v>0</v>
      </c>
      <c r="Q183" s="60">
        <v>9</v>
      </c>
      <c r="R183" s="170" t="s">
        <v>6760</v>
      </c>
    </row>
    <row r="184" spans="1:18" x14ac:dyDescent="0.25">
      <c r="A184" s="169">
        <v>2018</v>
      </c>
      <c r="B184" s="169" t="s">
        <v>179</v>
      </c>
      <c r="C184" s="28" t="s">
        <v>913</v>
      </c>
      <c r="D184" s="68">
        <v>43131</v>
      </c>
      <c r="E184" s="171"/>
      <c r="F184" s="28">
        <v>1.2999999999999999E-2</v>
      </c>
      <c r="G184" s="169"/>
      <c r="H184" s="28">
        <v>1.2999999999999999E-2</v>
      </c>
      <c r="I184" s="28">
        <v>4.0599999999999996</v>
      </c>
      <c r="J184" s="28">
        <v>2.92</v>
      </c>
      <c r="K184" s="62">
        <f t="shared" si="21"/>
        <v>0.19977229999999999</v>
      </c>
      <c r="L184" s="62">
        <f t="shared" si="22"/>
        <v>4.4540366000000002</v>
      </c>
      <c r="M184" s="83">
        <f t="shared" si="23"/>
        <v>0.14367860000000002</v>
      </c>
      <c r="N184" s="28">
        <v>31</v>
      </c>
      <c r="O184" s="93">
        <f t="shared" ref="O184:O189" si="29">IF(AND(L184&gt;0,L184&lt;&gt;""), L184/(N184/30.4167),"")</f>
        <v>4.3702288726199994</v>
      </c>
      <c r="P184" s="93">
        <f t="shared" ref="P184:P189" si="30">IFERROR(L184*2.205,"")</f>
        <v>9.8211507030000007</v>
      </c>
      <c r="Q184" s="60">
        <v>3</v>
      </c>
      <c r="R184" s="170" t="s">
        <v>2449</v>
      </c>
    </row>
    <row r="185" spans="1:18" x14ac:dyDescent="0.25">
      <c r="A185" s="169">
        <v>2018</v>
      </c>
      <c r="B185" s="169" t="s">
        <v>179</v>
      </c>
      <c r="C185" s="28" t="s">
        <v>913</v>
      </c>
      <c r="D185" s="68">
        <v>43159</v>
      </c>
      <c r="E185" s="171"/>
      <c r="F185" s="28">
        <v>2.1999999999999999E-2</v>
      </c>
      <c r="G185" s="169"/>
      <c r="H185" s="28">
        <v>2.1999999999999999E-2</v>
      </c>
      <c r="I185" s="28">
        <v>4.1500000000000004</v>
      </c>
      <c r="J185" s="28">
        <v>3.01</v>
      </c>
      <c r="K185" s="62">
        <f t="shared" si="21"/>
        <v>0.34557050000000006</v>
      </c>
      <c r="L185" s="62">
        <f t="shared" si="22"/>
        <v>7.0179955999999981</v>
      </c>
      <c r="M185" s="83">
        <f t="shared" si="23"/>
        <v>0.25064269999999994</v>
      </c>
      <c r="N185" s="28">
        <v>28</v>
      </c>
      <c r="O185" s="93">
        <f t="shared" si="29"/>
        <v>7.6237238130899971</v>
      </c>
      <c r="P185" s="93">
        <f t="shared" si="30"/>
        <v>15.474680297999996</v>
      </c>
      <c r="Q185" s="60">
        <v>3</v>
      </c>
      <c r="R185" s="170"/>
    </row>
    <row r="186" spans="1:18" x14ac:dyDescent="0.25">
      <c r="A186" s="169">
        <v>2018</v>
      </c>
      <c r="B186" s="169" t="s">
        <v>179</v>
      </c>
      <c r="C186" s="28" t="s">
        <v>913</v>
      </c>
      <c r="D186" s="68">
        <v>43190</v>
      </c>
      <c r="E186" s="171"/>
      <c r="F186" s="28">
        <v>3.2000000000000001E-2</v>
      </c>
      <c r="G186" s="169"/>
      <c r="H186" s="28">
        <v>3.2000000000000001E-2</v>
      </c>
      <c r="I186" s="28">
        <v>4.22</v>
      </c>
      <c r="J186" s="28">
        <v>3.12</v>
      </c>
      <c r="K186" s="62">
        <f t="shared" si="21"/>
        <v>0.51112639999999998</v>
      </c>
      <c r="L186" s="62">
        <f t="shared" si="22"/>
        <v>11.714726400000002</v>
      </c>
      <c r="M186" s="83">
        <f t="shared" si="23"/>
        <v>0.37789440000000007</v>
      </c>
      <c r="N186" s="28">
        <v>31</v>
      </c>
      <c r="O186" s="93">
        <f t="shared" si="29"/>
        <v>11.49430059648</v>
      </c>
      <c r="P186" s="93">
        <f t="shared" si="30"/>
        <v>25.830971712000004</v>
      </c>
      <c r="Q186" s="60">
        <v>3</v>
      </c>
      <c r="R186" s="170"/>
    </row>
    <row r="187" spans="1:18" x14ac:dyDescent="0.25">
      <c r="A187" s="169">
        <v>2018</v>
      </c>
      <c r="B187" s="169" t="s">
        <v>179</v>
      </c>
      <c r="C187" s="28" t="s">
        <v>913</v>
      </c>
      <c r="D187" s="68">
        <v>43220</v>
      </c>
      <c r="E187" s="171"/>
      <c r="F187" s="28">
        <v>0.01</v>
      </c>
      <c r="G187" s="169"/>
      <c r="H187" s="169">
        <v>0.01</v>
      </c>
      <c r="I187" s="28">
        <v>4.3099999999999996</v>
      </c>
      <c r="J187" s="28">
        <v>3.65</v>
      </c>
      <c r="K187" s="62">
        <f t="shared" si="21"/>
        <v>0.16313350000000001</v>
      </c>
      <c r="L187" s="62">
        <f t="shared" si="22"/>
        <v>4.1445749999999997</v>
      </c>
      <c r="M187" s="83">
        <f t="shared" si="23"/>
        <v>0.13815249999999998</v>
      </c>
      <c r="N187" s="28">
        <v>30</v>
      </c>
      <c r="O187" s="93">
        <f t="shared" si="29"/>
        <v>4.2021431467499992</v>
      </c>
      <c r="P187" s="93">
        <f t="shared" si="30"/>
        <v>9.1387878750000002</v>
      </c>
      <c r="Q187" s="60">
        <v>3</v>
      </c>
      <c r="R187" s="170"/>
    </row>
    <row r="188" spans="1:18" x14ac:dyDescent="0.25">
      <c r="A188" s="169">
        <v>2018</v>
      </c>
      <c r="B188" s="169" t="s">
        <v>179</v>
      </c>
      <c r="C188" s="28" t="s">
        <v>913</v>
      </c>
      <c r="D188" s="68">
        <v>43251</v>
      </c>
      <c r="E188" s="171"/>
      <c r="F188" s="28">
        <v>4.0000000000000001E-3</v>
      </c>
      <c r="G188" s="169"/>
      <c r="H188" s="169">
        <v>4.0000000000000001E-3</v>
      </c>
      <c r="I188" s="28">
        <v>4.07</v>
      </c>
      <c r="J188" s="28">
        <v>3.08</v>
      </c>
      <c r="K188" s="62">
        <f t="shared" si="21"/>
        <v>6.1619800000000016E-2</v>
      </c>
      <c r="L188" s="62">
        <f t="shared" si="22"/>
        <v>1.4455672000000002</v>
      </c>
      <c r="M188" s="83">
        <f t="shared" si="23"/>
        <v>4.6631200000000005E-2</v>
      </c>
      <c r="N188" s="28">
        <v>31</v>
      </c>
      <c r="O188" s="93">
        <f t="shared" si="29"/>
        <v>1.41836722104</v>
      </c>
      <c r="P188" s="93">
        <f t="shared" si="30"/>
        <v>3.1874756760000005</v>
      </c>
      <c r="Q188" s="60">
        <v>3</v>
      </c>
      <c r="R188" s="170"/>
    </row>
    <row r="189" spans="1:18" x14ac:dyDescent="0.25">
      <c r="A189" s="169">
        <v>2018</v>
      </c>
      <c r="B189" s="169" t="s">
        <v>179</v>
      </c>
      <c r="C189" s="28" t="s">
        <v>913</v>
      </c>
      <c r="D189" s="68">
        <v>43281</v>
      </c>
      <c r="E189" s="171"/>
      <c r="F189" s="28">
        <v>0</v>
      </c>
      <c r="G189" s="169"/>
      <c r="H189" s="169">
        <v>0</v>
      </c>
      <c r="I189" s="28">
        <v>3.33</v>
      </c>
      <c r="J189" s="28">
        <v>2.17</v>
      </c>
      <c r="K189" s="62">
        <f t="shared" si="21"/>
        <v>0</v>
      </c>
      <c r="L189" s="62">
        <f t="shared" si="22"/>
        <v>0</v>
      </c>
      <c r="M189" s="83">
        <f t="shared" si="23"/>
        <v>0</v>
      </c>
      <c r="N189" s="28">
        <v>30</v>
      </c>
      <c r="O189" s="93" t="str">
        <f t="shared" si="29"/>
        <v/>
      </c>
      <c r="P189" s="93">
        <f t="shared" si="30"/>
        <v>0</v>
      </c>
      <c r="Q189" s="60">
        <v>3</v>
      </c>
      <c r="R189" s="170"/>
    </row>
    <row r="190" spans="1:18" x14ac:dyDescent="0.25">
      <c r="A190" s="169">
        <v>2018</v>
      </c>
      <c r="B190" s="169" t="s">
        <v>179</v>
      </c>
      <c r="C190" s="28" t="s">
        <v>913</v>
      </c>
      <c r="D190" s="68">
        <v>43312</v>
      </c>
      <c r="E190" s="171"/>
      <c r="F190" s="28">
        <v>2.3E-2</v>
      </c>
      <c r="G190" s="169"/>
      <c r="H190" s="169">
        <v>2.3E-2</v>
      </c>
      <c r="I190" s="28">
        <v>5.16</v>
      </c>
      <c r="J190" s="28">
        <v>2.7</v>
      </c>
      <c r="K190" s="62">
        <f t="shared" si="21"/>
        <v>0.44920380000000004</v>
      </c>
      <c r="L190" s="62">
        <f t="shared" si="22"/>
        <v>7.2865035000000002</v>
      </c>
      <c r="M190" s="83">
        <f t="shared" si="23"/>
        <v>0.23504850000000002</v>
      </c>
      <c r="N190" s="28">
        <v>31</v>
      </c>
      <c r="O190" s="93">
        <f t="shared" si="28"/>
        <v>7.1493997099499991</v>
      </c>
      <c r="P190" s="93">
        <f t="shared" si="20"/>
        <v>16.066740217500001</v>
      </c>
      <c r="Q190" s="60">
        <v>3</v>
      </c>
      <c r="R190" s="170"/>
    </row>
    <row r="191" spans="1:18" x14ac:dyDescent="0.25">
      <c r="A191" s="169">
        <v>2018</v>
      </c>
      <c r="B191" s="169" t="s">
        <v>179</v>
      </c>
      <c r="C191" s="28" t="s">
        <v>913</v>
      </c>
      <c r="D191" s="68">
        <v>43343</v>
      </c>
      <c r="E191" s="171"/>
      <c r="F191" s="28">
        <v>1.0999999999999999E-2</v>
      </c>
      <c r="G191" s="169"/>
      <c r="H191" s="169">
        <v>1.0999999999999999E-2</v>
      </c>
      <c r="I191" s="28">
        <v>3.24</v>
      </c>
      <c r="J191" s="28">
        <v>2.78</v>
      </c>
      <c r="K191" s="62">
        <f t="shared" si="21"/>
        <v>0.1348974</v>
      </c>
      <c r="L191" s="62">
        <f t="shared" si="22"/>
        <v>3.5881042999999999</v>
      </c>
      <c r="M191" s="83">
        <f t="shared" si="23"/>
        <v>0.1157453</v>
      </c>
      <c r="N191" s="28">
        <v>31</v>
      </c>
      <c r="O191" s="93">
        <f t="shared" si="28"/>
        <v>3.5205900665099996</v>
      </c>
      <c r="P191" s="93">
        <f t="shared" si="20"/>
        <v>7.9117699815</v>
      </c>
      <c r="Q191" s="60">
        <v>3</v>
      </c>
      <c r="R191" s="170"/>
    </row>
    <row r="192" spans="1:18" x14ac:dyDescent="0.25">
      <c r="A192" s="169">
        <v>2018</v>
      </c>
      <c r="B192" s="169" t="s">
        <v>179</v>
      </c>
      <c r="C192" s="28" t="s">
        <v>913</v>
      </c>
      <c r="D192" s="68">
        <v>43373</v>
      </c>
      <c r="E192" s="171"/>
      <c r="F192" s="28">
        <v>2.8000000000000001E-2</v>
      </c>
      <c r="G192" s="169"/>
      <c r="H192" s="169">
        <v>2.8000000000000001E-2</v>
      </c>
      <c r="I192" s="28">
        <v>3.84</v>
      </c>
      <c r="J192" s="28">
        <v>2.6</v>
      </c>
      <c r="K192" s="62">
        <f t="shared" si="21"/>
        <v>0.40696320000000002</v>
      </c>
      <c r="L192" s="62">
        <f t="shared" si="22"/>
        <v>8.2664400000000011</v>
      </c>
      <c r="M192" s="83">
        <f t="shared" si="23"/>
        <v>0.27554800000000002</v>
      </c>
      <c r="N192" s="28">
        <v>30</v>
      </c>
      <c r="O192" s="93">
        <f t="shared" si="28"/>
        <v>8.3812608516000004</v>
      </c>
      <c r="P192" s="93">
        <f t="shared" si="20"/>
        <v>18.227500200000001</v>
      </c>
      <c r="Q192" s="60">
        <v>3</v>
      </c>
      <c r="R192" s="170"/>
    </row>
    <row r="193" spans="1:18" x14ac:dyDescent="0.25">
      <c r="A193" s="169">
        <v>2018</v>
      </c>
      <c r="B193" s="169" t="s">
        <v>179</v>
      </c>
      <c r="C193" s="28" t="s">
        <v>913</v>
      </c>
      <c r="D193" s="68">
        <v>43404</v>
      </c>
      <c r="E193" s="171"/>
      <c r="F193" s="28">
        <v>2.3E-2</v>
      </c>
      <c r="G193" s="169"/>
      <c r="H193" s="169">
        <v>2.3E-2</v>
      </c>
      <c r="I193" s="28">
        <v>6.46</v>
      </c>
      <c r="J193" s="28">
        <v>2.54</v>
      </c>
      <c r="K193" s="62">
        <f t="shared" si="21"/>
        <v>0.56237530000000002</v>
      </c>
      <c r="L193" s="62">
        <f t="shared" si="22"/>
        <v>6.8547107</v>
      </c>
      <c r="M193" s="83">
        <f t="shared" si="23"/>
        <v>0.2211197</v>
      </c>
      <c r="N193" s="28">
        <v>31</v>
      </c>
      <c r="O193" s="93">
        <f t="shared" si="28"/>
        <v>6.7257315789899996</v>
      </c>
      <c r="P193" s="93">
        <f t="shared" si="20"/>
        <v>15.114637093500001</v>
      </c>
      <c r="Q193" s="60">
        <v>3</v>
      </c>
      <c r="R193" s="170"/>
    </row>
    <row r="194" spans="1:18" x14ac:dyDescent="0.25">
      <c r="A194" s="169">
        <v>2018</v>
      </c>
      <c r="B194" s="169" t="s">
        <v>179</v>
      </c>
      <c r="C194" s="28" t="s">
        <v>913</v>
      </c>
      <c r="D194" s="68">
        <v>43434</v>
      </c>
      <c r="E194" s="171"/>
      <c r="F194" s="28">
        <v>1.7000000000000001E-2</v>
      </c>
      <c r="G194" s="169"/>
      <c r="H194" s="169">
        <v>1.7000000000000001E-2</v>
      </c>
      <c r="I194" s="28">
        <v>3.2</v>
      </c>
      <c r="J194" s="28">
        <v>2.7</v>
      </c>
      <c r="K194" s="62">
        <f t="shared" si="21"/>
        <v>0.20590400000000003</v>
      </c>
      <c r="L194" s="62">
        <f t="shared" si="22"/>
        <v>5.2119450000000001</v>
      </c>
      <c r="M194" s="83">
        <f t="shared" si="23"/>
        <v>0.17373150000000001</v>
      </c>
      <c r="N194" s="28">
        <v>30</v>
      </c>
      <c r="O194" s="93">
        <f t="shared" si="28"/>
        <v>5.2843389160499994</v>
      </c>
      <c r="P194" s="93">
        <f t="shared" si="20"/>
        <v>11.492338725</v>
      </c>
      <c r="Q194" s="60">
        <v>3</v>
      </c>
      <c r="R194" s="170"/>
    </row>
    <row r="195" spans="1:18" x14ac:dyDescent="0.25">
      <c r="A195" s="169">
        <v>2018</v>
      </c>
      <c r="B195" s="169" t="s">
        <v>179</v>
      </c>
      <c r="C195" s="28" t="s">
        <v>913</v>
      </c>
      <c r="D195" s="68">
        <v>43465</v>
      </c>
      <c r="E195" s="171"/>
      <c r="F195" s="28">
        <v>2.1999999999999999E-2</v>
      </c>
      <c r="G195" s="169"/>
      <c r="H195" s="169">
        <v>2.1999999999999999E-2</v>
      </c>
      <c r="I195" s="28">
        <v>5.41</v>
      </c>
      <c r="J195" s="28">
        <v>2.73</v>
      </c>
      <c r="K195" s="62">
        <f t="shared" si="21"/>
        <v>0.45049070000000002</v>
      </c>
      <c r="L195" s="62">
        <f t="shared" si="22"/>
        <v>7.0471401</v>
      </c>
      <c r="M195" s="83">
        <f t="shared" si="23"/>
        <v>0.2273271</v>
      </c>
      <c r="N195" s="28">
        <v>31</v>
      </c>
      <c r="O195" s="93">
        <f t="shared" si="28"/>
        <v>6.9145402025699996</v>
      </c>
      <c r="P195" s="93">
        <f t="shared" si="20"/>
        <v>15.538943920500001</v>
      </c>
      <c r="Q195" s="60">
        <v>3</v>
      </c>
      <c r="R195" s="170"/>
    </row>
    <row r="196" spans="1:18" x14ac:dyDescent="0.25">
      <c r="A196" s="169">
        <v>2018</v>
      </c>
      <c r="B196" s="169" t="s">
        <v>179</v>
      </c>
      <c r="C196" s="28" t="s">
        <v>913</v>
      </c>
      <c r="D196" s="68">
        <v>43131</v>
      </c>
      <c r="E196" s="171"/>
      <c r="F196" s="28">
        <v>0</v>
      </c>
      <c r="G196" s="169"/>
      <c r="H196" s="28">
        <v>0</v>
      </c>
      <c r="I196" s="28">
        <v>0.372</v>
      </c>
      <c r="J196" s="28">
        <v>6.0999999999999999E-2</v>
      </c>
      <c r="K196" s="62">
        <f t="shared" si="21"/>
        <v>0</v>
      </c>
      <c r="L196" s="62">
        <f t="shared" si="22"/>
        <v>0</v>
      </c>
      <c r="M196" s="83">
        <f t="shared" si="23"/>
        <v>0</v>
      </c>
      <c r="N196" s="28">
        <v>31</v>
      </c>
      <c r="O196" s="93" t="str">
        <f t="shared" si="28"/>
        <v/>
      </c>
      <c r="P196" s="93">
        <f t="shared" si="20"/>
        <v>0</v>
      </c>
      <c r="Q196" s="203">
        <v>4</v>
      </c>
      <c r="R196" s="170" t="s">
        <v>2452</v>
      </c>
    </row>
    <row r="197" spans="1:18" x14ac:dyDescent="0.25">
      <c r="A197" s="169">
        <v>2018</v>
      </c>
      <c r="B197" s="169" t="s">
        <v>179</v>
      </c>
      <c r="C197" s="28" t="s">
        <v>913</v>
      </c>
      <c r="D197" s="68">
        <v>43159</v>
      </c>
      <c r="E197" s="171"/>
      <c r="F197" s="28">
        <v>0</v>
      </c>
      <c r="G197" s="169"/>
      <c r="H197" s="28">
        <v>0</v>
      </c>
      <c r="I197" s="28">
        <v>0.83199999999999996</v>
      </c>
      <c r="J197" s="28">
        <v>0.105</v>
      </c>
      <c r="K197" s="62">
        <f t="shared" ref="K197:K260" si="31">IFERROR(+F197*I197*3.785,"")</f>
        <v>0</v>
      </c>
      <c r="L197" s="62">
        <f t="shared" ref="L197:L260" si="32">IFERROR(H197*J197*3.785*N197,"")</f>
        <v>0</v>
      </c>
      <c r="M197" s="83">
        <f t="shared" ref="M197:M260" si="33">IFERROR(+L197/N197,"")</f>
        <v>0</v>
      </c>
      <c r="N197" s="28">
        <v>28</v>
      </c>
      <c r="O197" s="93" t="str">
        <f t="shared" si="28"/>
        <v/>
      </c>
      <c r="P197" s="93">
        <f t="shared" si="20"/>
        <v>0</v>
      </c>
      <c r="Q197" s="203">
        <v>4</v>
      </c>
      <c r="R197" s="170" t="s">
        <v>2452</v>
      </c>
    </row>
    <row r="198" spans="1:18" x14ac:dyDescent="0.25">
      <c r="A198" s="169">
        <v>2018</v>
      </c>
      <c r="B198" s="169" t="s">
        <v>179</v>
      </c>
      <c r="C198" s="28" t="s">
        <v>913</v>
      </c>
      <c r="D198" s="68">
        <v>43190</v>
      </c>
      <c r="E198" s="171"/>
      <c r="F198" s="28">
        <v>0</v>
      </c>
      <c r="G198" s="169"/>
      <c r="H198" s="28">
        <v>0</v>
      </c>
      <c r="I198" s="28">
        <v>0.71699999999999997</v>
      </c>
      <c r="J198" s="28">
        <v>0.114</v>
      </c>
      <c r="K198" s="62">
        <f t="shared" si="31"/>
        <v>0</v>
      </c>
      <c r="L198" s="62">
        <f t="shared" si="32"/>
        <v>0</v>
      </c>
      <c r="M198" s="83">
        <f t="shared" si="33"/>
        <v>0</v>
      </c>
      <c r="N198" s="28">
        <v>31</v>
      </c>
      <c r="O198" s="93" t="str">
        <f t="shared" si="28"/>
        <v/>
      </c>
      <c r="P198" s="61">
        <f t="shared" si="20"/>
        <v>0</v>
      </c>
      <c r="Q198" s="203">
        <v>4</v>
      </c>
      <c r="R198" s="170" t="s">
        <v>2452</v>
      </c>
    </row>
    <row r="199" spans="1:18" x14ac:dyDescent="0.25">
      <c r="A199" s="169">
        <v>2018</v>
      </c>
      <c r="B199" s="169" t="s">
        <v>179</v>
      </c>
      <c r="C199" s="28" t="s">
        <v>913</v>
      </c>
      <c r="D199" s="68">
        <v>43465</v>
      </c>
      <c r="E199" s="171"/>
      <c r="F199" s="169" t="s">
        <v>2453</v>
      </c>
      <c r="G199" s="169"/>
      <c r="H199" s="169" t="s">
        <v>2453</v>
      </c>
      <c r="I199" s="169" t="s">
        <v>2453</v>
      </c>
      <c r="J199" s="169" t="s">
        <v>2453</v>
      </c>
      <c r="K199" s="62" t="str">
        <f t="shared" si="31"/>
        <v/>
      </c>
      <c r="L199" s="62" t="str">
        <f t="shared" si="32"/>
        <v/>
      </c>
      <c r="M199" s="83" t="str">
        <f t="shared" si="33"/>
        <v/>
      </c>
      <c r="N199" s="28">
        <v>365</v>
      </c>
      <c r="O199" s="93" t="str">
        <f t="shared" si="28"/>
        <v/>
      </c>
      <c r="P199" s="61" t="str">
        <f t="shared" si="20"/>
        <v/>
      </c>
      <c r="Q199" s="74">
        <v>5</v>
      </c>
      <c r="R199" s="170"/>
    </row>
    <row r="200" spans="1:18" x14ac:dyDescent="0.25">
      <c r="A200" s="169">
        <v>2018</v>
      </c>
      <c r="B200" s="169" t="s">
        <v>150</v>
      </c>
      <c r="C200" s="28" t="s">
        <v>862</v>
      </c>
      <c r="D200" s="68"/>
      <c r="E200" s="171"/>
      <c r="F200" s="169"/>
      <c r="G200" s="169"/>
      <c r="H200" s="169"/>
      <c r="I200" s="169"/>
      <c r="J200" s="169"/>
      <c r="K200" s="62">
        <f t="shared" si="31"/>
        <v>0</v>
      </c>
      <c r="L200" s="62">
        <f t="shared" si="32"/>
        <v>0</v>
      </c>
      <c r="M200" s="83" t="str">
        <f t="shared" si="33"/>
        <v/>
      </c>
      <c r="O200" s="93" t="str">
        <f t="shared" si="28"/>
        <v/>
      </c>
      <c r="P200" s="61">
        <f t="shared" si="20"/>
        <v>0</v>
      </c>
      <c r="Q200" s="74">
        <v>1</v>
      </c>
      <c r="R200" s="170" t="s">
        <v>6760</v>
      </c>
    </row>
    <row r="201" spans="1:18" x14ac:dyDescent="0.25">
      <c r="A201" s="169">
        <v>2018</v>
      </c>
      <c r="B201" s="169" t="s">
        <v>201</v>
      </c>
      <c r="C201" s="28" t="s">
        <v>956</v>
      </c>
      <c r="D201" s="68"/>
      <c r="E201" s="171"/>
      <c r="F201" s="169"/>
      <c r="G201" s="169"/>
      <c r="H201" s="169"/>
      <c r="I201" s="169"/>
      <c r="J201" s="169"/>
      <c r="K201" s="62">
        <f t="shared" si="31"/>
        <v>0</v>
      </c>
      <c r="L201" s="62">
        <f t="shared" si="32"/>
        <v>0</v>
      </c>
      <c r="M201" s="83" t="str">
        <f t="shared" si="33"/>
        <v/>
      </c>
      <c r="O201" s="93" t="str">
        <f t="shared" si="28"/>
        <v/>
      </c>
      <c r="P201" s="61">
        <f t="shared" si="20"/>
        <v>0</v>
      </c>
      <c r="Q201" s="74">
        <v>1</v>
      </c>
      <c r="R201" s="170" t="s">
        <v>6760</v>
      </c>
    </row>
    <row r="202" spans="1:18" x14ac:dyDescent="0.25">
      <c r="A202" s="169">
        <v>2018</v>
      </c>
      <c r="B202" s="28" t="s">
        <v>178</v>
      </c>
      <c r="C202" s="28" t="s">
        <v>912</v>
      </c>
      <c r="D202" s="68">
        <v>43131</v>
      </c>
      <c r="E202" s="173"/>
      <c r="F202" s="169"/>
      <c r="G202" s="169"/>
      <c r="H202" s="169"/>
      <c r="I202" s="169"/>
      <c r="J202" s="169"/>
      <c r="K202" s="62">
        <f t="shared" si="31"/>
        <v>0</v>
      </c>
      <c r="L202" s="62">
        <f t="shared" si="32"/>
        <v>0</v>
      </c>
      <c r="M202" s="83">
        <f t="shared" si="33"/>
        <v>0</v>
      </c>
      <c r="N202" s="28">
        <v>31</v>
      </c>
      <c r="O202" s="93" t="str">
        <f t="shared" si="28"/>
        <v/>
      </c>
      <c r="P202" s="93">
        <f t="shared" si="20"/>
        <v>0</v>
      </c>
      <c r="Q202" s="60">
        <v>1</v>
      </c>
      <c r="R202" s="170" t="s">
        <v>6760</v>
      </c>
    </row>
    <row r="203" spans="1:18" x14ac:dyDescent="0.25">
      <c r="A203" s="169">
        <v>2018</v>
      </c>
      <c r="B203" s="28" t="s">
        <v>178</v>
      </c>
      <c r="C203" s="28" t="s">
        <v>912</v>
      </c>
      <c r="D203" s="68">
        <v>43131</v>
      </c>
      <c r="E203" s="171"/>
      <c r="F203" s="28">
        <v>5.8999999999999997E-2</v>
      </c>
      <c r="G203" s="169"/>
      <c r="H203" s="281">
        <v>5.8999999999999997E-2</v>
      </c>
      <c r="I203" s="28">
        <v>1.6</v>
      </c>
      <c r="J203" s="28">
        <v>1.48</v>
      </c>
      <c r="K203" s="62">
        <f t="shared" si="31"/>
        <v>0.35730400000000001</v>
      </c>
      <c r="L203" s="62">
        <f t="shared" si="32"/>
        <v>10.245692199999999</v>
      </c>
      <c r="M203" s="83">
        <f t="shared" si="33"/>
        <v>0.33050619999999997</v>
      </c>
      <c r="N203" s="28">
        <v>31</v>
      </c>
      <c r="O203" s="93">
        <f t="shared" ref="O203:O251" si="34">IF(AND(L203&gt;0,L203&lt;&gt;""), L203/(N203/30.4167),"")</f>
        <v>10.052907933539998</v>
      </c>
      <c r="P203" s="93">
        <f t="shared" si="20"/>
        <v>22.591751300999999</v>
      </c>
      <c r="Q203" s="60">
        <v>2</v>
      </c>
      <c r="R203" s="170" t="s">
        <v>6761</v>
      </c>
    </row>
    <row r="204" spans="1:18" x14ac:dyDescent="0.25">
      <c r="A204" s="169">
        <v>2018</v>
      </c>
      <c r="B204" s="28" t="s">
        <v>178</v>
      </c>
      <c r="C204" s="28" t="s">
        <v>912</v>
      </c>
      <c r="D204" s="68">
        <v>43159</v>
      </c>
      <c r="E204" s="171"/>
      <c r="F204" s="28">
        <v>0</v>
      </c>
      <c r="G204" s="169"/>
      <c r="H204" s="281">
        <v>0</v>
      </c>
      <c r="I204" s="28">
        <v>1.5</v>
      </c>
      <c r="J204" s="28">
        <v>1.33</v>
      </c>
      <c r="K204" s="62">
        <f t="shared" si="31"/>
        <v>0</v>
      </c>
      <c r="L204" s="62">
        <f t="shared" si="32"/>
        <v>0</v>
      </c>
      <c r="M204" s="83">
        <f t="shared" si="33"/>
        <v>0</v>
      </c>
      <c r="N204" s="28">
        <v>28</v>
      </c>
      <c r="O204" s="93" t="str">
        <f t="shared" si="34"/>
        <v/>
      </c>
      <c r="P204" s="93">
        <f t="shared" si="20"/>
        <v>0</v>
      </c>
      <c r="Q204" s="60">
        <v>2</v>
      </c>
      <c r="R204" s="170"/>
    </row>
    <row r="205" spans="1:18" x14ac:dyDescent="0.25">
      <c r="A205" s="169">
        <v>2018</v>
      </c>
      <c r="B205" s="28" t="s">
        <v>178</v>
      </c>
      <c r="C205" s="28" t="s">
        <v>912</v>
      </c>
      <c r="D205" s="68">
        <v>43190</v>
      </c>
      <c r="E205" s="171"/>
      <c r="F205" s="28">
        <v>0</v>
      </c>
      <c r="G205" s="169"/>
      <c r="H205" s="281">
        <v>0</v>
      </c>
      <c r="I205" s="28">
        <v>1.48</v>
      </c>
      <c r="J205" s="28">
        <v>1.29</v>
      </c>
      <c r="K205" s="62">
        <f t="shared" si="31"/>
        <v>0</v>
      </c>
      <c r="L205" s="62">
        <f t="shared" si="32"/>
        <v>0</v>
      </c>
      <c r="M205" s="83">
        <f t="shared" si="33"/>
        <v>0</v>
      </c>
      <c r="N205" s="28">
        <v>31</v>
      </c>
      <c r="O205" s="93" t="str">
        <f t="shared" si="34"/>
        <v/>
      </c>
      <c r="P205" s="93">
        <f t="shared" si="20"/>
        <v>0</v>
      </c>
      <c r="Q205" s="60">
        <v>2</v>
      </c>
      <c r="R205" s="170"/>
    </row>
    <row r="206" spans="1:18" x14ac:dyDescent="0.25">
      <c r="A206" s="169">
        <v>2018</v>
      </c>
      <c r="B206" s="28" t="s">
        <v>178</v>
      </c>
      <c r="C206" s="28" t="s">
        <v>912</v>
      </c>
      <c r="D206" s="68">
        <v>43220</v>
      </c>
      <c r="E206" s="171"/>
      <c r="F206" s="28">
        <v>0</v>
      </c>
      <c r="G206" s="169"/>
      <c r="H206" s="281">
        <v>0</v>
      </c>
      <c r="I206" s="28">
        <v>2.2000000000000002</v>
      </c>
      <c r="J206" s="28">
        <v>0.81</v>
      </c>
      <c r="K206" s="62">
        <f t="shared" si="31"/>
        <v>0</v>
      </c>
      <c r="L206" s="62">
        <f t="shared" si="32"/>
        <v>0</v>
      </c>
      <c r="M206" s="83">
        <f t="shared" si="33"/>
        <v>0</v>
      </c>
      <c r="N206" s="28">
        <v>30</v>
      </c>
      <c r="O206" s="93" t="str">
        <f t="shared" si="34"/>
        <v/>
      </c>
      <c r="P206" s="93">
        <f t="shared" si="20"/>
        <v>0</v>
      </c>
      <c r="Q206" s="60">
        <v>2</v>
      </c>
      <c r="R206" s="170"/>
    </row>
    <row r="207" spans="1:18" x14ac:dyDescent="0.25">
      <c r="A207" s="169">
        <v>2018</v>
      </c>
      <c r="B207" s="28" t="s">
        <v>178</v>
      </c>
      <c r="C207" s="28" t="s">
        <v>912</v>
      </c>
      <c r="D207" s="68">
        <v>43251</v>
      </c>
      <c r="E207" s="171"/>
      <c r="F207" s="28">
        <v>0</v>
      </c>
      <c r="G207" s="169"/>
      <c r="H207" s="281">
        <v>0</v>
      </c>
      <c r="I207" s="28">
        <v>1.97</v>
      </c>
      <c r="J207" s="28">
        <v>1.21</v>
      </c>
      <c r="K207" s="62">
        <f t="shared" si="31"/>
        <v>0</v>
      </c>
      <c r="L207" s="62">
        <f t="shared" si="32"/>
        <v>0</v>
      </c>
      <c r="M207" s="83">
        <f t="shared" si="33"/>
        <v>0</v>
      </c>
      <c r="N207" s="28">
        <v>31</v>
      </c>
      <c r="O207" s="93" t="str">
        <f t="shared" si="34"/>
        <v/>
      </c>
      <c r="P207" s="93">
        <f t="shared" si="20"/>
        <v>0</v>
      </c>
      <c r="Q207" s="60">
        <v>2</v>
      </c>
      <c r="R207" s="170"/>
    </row>
    <row r="208" spans="1:18" x14ac:dyDescent="0.25">
      <c r="A208" s="169">
        <v>2018</v>
      </c>
      <c r="B208" s="28" t="s">
        <v>178</v>
      </c>
      <c r="C208" s="28" t="s">
        <v>912</v>
      </c>
      <c r="D208" s="68">
        <v>43281</v>
      </c>
      <c r="E208" s="171"/>
      <c r="F208" s="28">
        <v>0</v>
      </c>
      <c r="G208" s="169"/>
      <c r="H208" s="281">
        <v>0</v>
      </c>
      <c r="I208" s="28">
        <v>3.75</v>
      </c>
      <c r="J208" s="28">
        <v>1.41</v>
      </c>
      <c r="K208" s="62">
        <f t="shared" si="31"/>
        <v>0</v>
      </c>
      <c r="L208" s="62">
        <f t="shared" si="32"/>
        <v>0</v>
      </c>
      <c r="M208" s="83">
        <f t="shared" si="33"/>
        <v>0</v>
      </c>
      <c r="N208" s="28">
        <v>30</v>
      </c>
      <c r="O208" s="93" t="str">
        <f t="shared" si="34"/>
        <v/>
      </c>
      <c r="P208" s="93">
        <f t="shared" si="20"/>
        <v>0</v>
      </c>
      <c r="Q208" s="60">
        <v>2</v>
      </c>
      <c r="R208" s="170"/>
    </row>
    <row r="209" spans="1:18" x14ac:dyDescent="0.25">
      <c r="A209" s="169">
        <v>2018</v>
      </c>
      <c r="B209" s="28" t="s">
        <v>178</v>
      </c>
      <c r="C209" s="28" t="s">
        <v>912</v>
      </c>
      <c r="D209" s="68">
        <v>43312</v>
      </c>
      <c r="E209" s="171"/>
      <c r="F209" s="28">
        <v>0</v>
      </c>
      <c r="G209" s="169"/>
      <c r="H209" s="281">
        <v>0</v>
      </c>
      <c r="I209" s="28">
        <v>1.4</v>
      </c>
      <c r="J209" s="28">
        <v>1.4</v>
      </c>
      <c r="K209" s="62">
        <f t="shared" si="31"/>
        <v>0</v>
      </c>
      <c r="L209" s="62">
        <f t="shared" si="32"/>
        <v>0</v>
      </c>
      <c r="M209" s="83">
        <f t="shared" si="33"/>
        <v>0</v>
      </c>
      <c r="N209" s="28">
        <v>31</v>
      </c>
      <c r="O209" s="93" t="str">
        <f t="shared" si="34"/>
        <v/>
      </c>
      <c r="P209" s="93">
        <f t="shared" si="20"/>
        <v>0</v>
      </c>
      <c r="Q209" s="60">
        <v>2</v>
      </c>
      <c r="R209" s="170"/>
    </row>
    <row r="210" spans="1:18" x14ac:dyDescent="0.25">
      <c r="A210" s="169">
        <v>2018</v>
      </c>
      <c r="B210" s="28" t="s">
        <v>178</v>
      </c>
      <c r="C210" s="28" t="s">
        <v>912</v>
      </c>
      <c r="D210" s="68">
        <v>43343</v>
      </c>
      <c r="E210" s="171"/>
      <c r="F210" s="28">
        <v>0</v>
      </c>
      <c r="G210" s="169"/>
      <c r="H210" s="281">
        <v>0</v>
      </c>
      <c r="I210" s="28">
        <v>1.97</v>
      </c>
      <c r="J210" s="28">
        <v>1.74</v>
      </c>
      <c r="K210" s="62">
        <f t="shared" si="31"/>
        <v>0</v>
      </c>
      <c r="L210" s="62">
        <f t="shared" si="32"/>
        <v>0</v>
      </c>
      <c r="M210" s="83">
        <f t="shared" si="33"/>
        <v>0</v>
      </c>
      <c r="N210" s="28">
        <v>31</v>
      </c>
      <c r="O210" s="93" t="str">
        <f t="shared" si="34"/>
        <v/>
      </c>
      <c r="P210" s="93">
        <f t="shared" si="20"/>
        <v>0</v>
      </c>
      <c r="Q210" s="60">
        <v>2</v>
      </c>
      <c r="R210" s="170"/>
    </row>
    <row r="211" spans="1:18" x14ac:dyDescent="0.25">
      <c r="A211" s="169">
        <v>2018</v>
      </c>
      <c r="B211" s="28" t="s">
        <v>178</v>
      </c>
      <c r="C211" s="28" t="s">
        <v>912</v>
      </c>
      <c r="D211" s="68">
        <v>43373</v>
      </c>
      <c r="E211" s="171"/>
      <c r="F211" s="28">
        <v>0</v>
      </c>
      <c r="G211" s="169"/>
      <c r="H211" s="281">
        <v>0</v>
      </c>
      <c r="I211" s="28">
        <v>1.79</v>
      </c>
      <c r="J211" s="28">
        <v>1.64</v>
      </c>
      <c r="K211" s="62">
        <f t="shared" si="31"/>
        <v>0</v>
      </c>
      <c r="L211" s="62">
        <f t="shared" si="32"/>
        <v>0</v>
      </c>
      <c r="M211" s="83">
        <f t="shared" si="33"/>
        <v>0</v>
      </c>
      <c r="N211" s="28">
        <v>30</v>
      </c>
      <c r="O211" s="93" t="str">
        <f t="shared" si="34"/>
        <v/>
      </c>
      <c r="P211" s="93">
        <f t="shared" si="20"/>
        <v>0</v>
      </c>
      <c r="Q211" s="60">
        <v>2</v>
      </c>
      <c r="R211" s="170"/>
    </row>
    <row r="212" spans="1:18" x14ac:dyDescent="0.25">
      <c r="A212" s="169">
        <v>2018</v>
      </c>
      <c r="B212" s="28" t="s">
        <v>178</v>
      </c>
      <c r="C212" s="28" t="s">
        <v>912</v>
      </c>
      <c r="D212" s="68">
        <v>43404</v>
      </c>
      <c r="E212" s="171"/>
      <c r="F212" s="28">
        <v>0</v>
      </c>
      <c r="G212" s="169"/>
      <c r="H212" s="281">
        <v>0</v>
      </c>
      <c r="I212" s="28">
        <v>1.39</v>
      </c>
      <c r="J212" s="28">
        <v>0.9</v>
      </c>
      <c r="K212" s="62">
        <f t="shared" si="31"/>
        <v>0</v>
      </c>
      <c r="L212" s="62">
        <f t="shared" si="32"/>
        <v>0</v>
      </c>
      <c r="M212" s="83">
        <f t="shared" si="33"/>
        <v>0</v>
      </c>
      <c r="N212" s="28">
        <v>31</v>
      </c>
      <c r="O212" s="93" t="str">
        <f t="shared" si="34"/>
        <v/>
      </c>
      <c r="P212" s="93">
        <f t="shared" si="20"/>
        <v>0</v>
      </c>
      <c r="Q212" s="60">
        <v>2</v>
      </c>
      <c r="R212" s="170"/>
    </row>
    <row r="213" spans="1:18" x14ac:dyDescent="0.25">
      <c r="A213" s="169">
        <v>2018</v>
      </c>
      <c r="B213" s="28" t="s">
        <v>178</v>
      </c>
      <c r="C213" s="28" t="s">
        <v>912</v>
      </c>
      <c r="D213" s="68">
        <v>43434</v>
      </c>
      <c r="E213" s="171"/>
      <c r="F213" s="28">
        <v>0</v>
      </c>
      <c r="G213" s="169"/>
      <c r="H213" s="281">
        <v>0</v>
      </c>
      <c r="I213" s="28">
        <v>1.67</v>
      </c>
      <c r="J213" s="28">
        <v>0.89</v>
      </c>
      <c r="K213" s="62">
        <f t="shared" si="31"/>
        <v>0</v>
      </c>
      <c r="L213" s="62">
        <f t="shared" si="32"/>
        <v>0</v>
      </c>
      <c r="M213" s="83">
        <f t="shared" si="33"/>
        <v>0</v>
      </c>
      <c r="N213" s="28">
        <v>30</v>
      </c>
      <c r="O213" s="93" t="str">
        <f t="shared" si="34"/>
        <v/>
      </c>
      <c r="P213" s="93">
        <f t="shared" si="20"/>
        <v>0</v>
      </c>
      <c r="Q213" s="60">
        <v>2</v>
      </c>
      <c r="R213" s="170"/>
    </row>
    <row r="214" spans="1:18" x14ac:dyDescent="0.25">
      <c r="A214" s="169">
        <v>2018</v>
      </c>
      <c r="B214" s="28" t="s">
        <v>178</v>
      </c>
      <c r="C214" s="28" t="s">
        <v>912</v>
      </c>
      <c r="D214" s="68">
        <v>43465</v>
      </c>
      <c r="E214" s="171"/>
      <c r="F214" s="28">
        <v>0</v>
      </c>
      <c r="G214" s="169"/>
      <c r="H214" s="281">
        <v>0</v>
      </c>
      <c r="I214" s="28">
        <v>1.4</v>
      </c>
      <c r="J214" s="28">
        <v>0.85</v>
      </c>
      <c r="K214" s="62">
        <f t="shared" si="31"/>
        <v>0</v>
      </c>
      <c r="L214" s="62">
        <f t="shared" si="32"/>
        <v>0</v>
      </c>
      <c r="M214" s="83">
        <f t="shared" si="33"/>
        <v>0</v>
      </c>
      <c r="N214" s="28">
        <v>31</v>
      </c>
      <c r="O214" s="93" t="str">
        <f t="shared" si="34"/>
        <v/>
      </c>
      <c r="P214" s="93">
        <f t="shared" ref="P214:P217" si="35">IFERROR(L214*2.205,"")</f>
        <v>0</v>
      </c>
      <c r="Q214" s="60">
        <v>2</v>
      </c>
      <c r="R214" s="170"/>
    </row>
    <row r="215" spans="1:18" x14ac:dyDescent="0.25">
      <c r="A215" s="169">
        <v>2018</v>
      </c>
      <c r="B215" s="169" t="s">
        <v>135</v>
      </c>
      <c r="C215" s="28" t="s">
        <v>835</v>
      </c>
      <c r="D215" s="68">
        <v>43131</v>
      </c>
      <c r="E215" s="171"/>
      <c r="F215" s="28">
        <f>2/1000</f>
        <v>2E-3</v>
      </c>
      <c r="G215" s="169"/>
      <c r="I215" s="28">
        <v>19.5</v>
      </c>
      <c r="J215" s="28">
        <v>15.46</v>
      </c>
      <c r="K215" s="62">
        <f t="shared" si="31"/>
        <v>0.147615</v>
      </c>
      <c r="L215" s="62">
        <f t="shared" si="32"/>
        <v>0</v>
      </c>
      <c r="M215" s="83">
        <f t="shared" si="33"/>
        <v>0</v>
      </c>
      <c r="N215" s="28">
        <v>31</v>
      </c>
      <c r="O215" s="93" t="str">
        <f t="shared" si="34"/>
        <v/>
      </c>
      <c r="P215" s="93">
        <f t="shared" si="35"/>
        <v>0</v>
      </c>
      <c r="Q215" s="60">
        <v>31</v>
      </c>
      <c r="R215" s="170"/>
    </row>
    <row r="216" spans="1:18" x14ac:dyDescent="0.25">
      <c r="A216" s="169">
        <v>2018</v>
      </c>
      <c r="B216" s="169" t="s">
        <v>135</v>
      </c>
      <c r="C216" s="28" t="s">
        <v>835</v>
      </c>
      <c r="D216" s="68">
        <v>43159</v>
      </c>
      <c r="E216" s="171"/>
      <c r="F216" s="28">
        <f>2/1000</f>
        <v>2E-3</v>
      </c>
      <c r="G216" s="169"/>
      <c r="H216" s="28">
        <v>0</v>
      </c>
      <c r="I216" s="28">
        <v>19.43</v>
      </c>
      <c r="J216" s="28">
        <v>14.31</v>
      </c>
      <c r="K216" s="62">
        <f t="shared" si="31"/>
        <v>0.1470851</v>
      </c>
      <c r="L216" s="62">
        <f t="shared" si="32"/>
        <v>0</v>
      </c>
      <c r="M216" s="83">
        <f t="shared" si="33"/>
        <v>0</v>
      </c>
      <c r="N216" s="28">
        <v>28</v>
      </c>
      <c r="O216" s="93" t="str">
        <f t="shared" si="34"/>
        <v/>
      </c>
      <c r="P216" s="93">
        <f t="shared" si="35"/>
        <v>0</v>
      </c>
      <c r="Q216" s="60">
        <v>31</v>
      </c>
      <c r="R216" s="170"/>
    </row>
    <row r="217" spans="1:18" x14ac:dyDescent="0.25">
      <c r="A217" s="169">
        <v>2018</v>
      </c>
      <c r="B217" s="169" t="s">
        <v>135</v>
      </c>
      <c r="C217" s="28" t="s">
        <v>835</v>
      </c>
      <c r="D217" s="68">
        <v>43190</v>
      </c>
      <c r="E217" s="171"/>
      <c r="F217" s="28">
        <f>1/1000</f>
        <v>1E-3</v>
      </c>
      <c r="G217" s="169"/>
      <c r="H217" s="28">
        <v>0</v>
      </c>
      <c r="I217" s="28">
        <v>20.96</v>
      </c>
      <c r="J217" s="28">
        <v>15.74</v>
      </c>
      <c r="K217" s="62">
        <f t="shared" si="31"/>
        <v>7.9333600000000018E-2</v>
      </c>
      <c r="L217" s="62">
        <f t="shared" si="32"/>
        <v>0</v>
      </c>
      <c r="M217" s="83">
        <f t="shared" si="33"/>
        <v>0</v>
      </c>
      <c r="N217" s="28">
        <v>31</v>
      </c>
      <c r="O217" s="93" t="str">
        <f t="shared" si="34"/>
        <v/>
      </c>
      <c r="P217" s="93">
        <f t="shared" si="35"/>
        <v>0</v>
      </c>
      <c r="Q217" s="60">
        <v>31</v>
      </c>
      <c r="R217" s="170"/>
    </row>
    <row r="218" spans="1:18" x14ac:dyDescent="0.25">
      <c r="A218" s="169">
        <v>2018</v>
      </c>
      <c r="B218" s="169" t="s">
        <v>135</v>
      </c>
      <c r="C218" s="28" t="s">
        <v>835</v>
      </c>
      <c r="D218" s="68">
        <v>43220</v>
      </c>
      <c r="E218" s="173"/>
      <c r="F218" s="28">
        <f>0</f>
        <v>0</v>
      </c>
      <c r="G218" s="169"/>
      <c r="H218" s="28">
        <v>0</v>
      </c>
      <c r="I218" s="28">
        <v>20.98</v>
      </c>
      <c r="J218" s="28">
        <v>16.82</v>
      </c>
      <c r="K218" s="62">
        <f t="shared" si="31"/>
        <v>0</v>
      </c>
      <c r="L218" s="62">
        <f t="shared" si="32"/>
        <v>0</v>
      </c>
      <c r="M218" s="83">
        <f t="shared" si="33"/>
        <v>0</v>
      </c>
      <c r="N218" s="28">
        <v>30</v>
      </c>
      <c r="O218" s="93" t="str">
        <f t="shared" si="34"/>
        <v/>
      </c>
      <c r="P218" s="93"/>
      <c r="Q218" s="60">
        <v>31</v>
      </c>
      <c r="R218" s="170"/>
    </row>
    <row r="219" spans="1:18" x14ac:dyDescent="0.25">
      <c r="A219" s="169">
        <v>2018</v>
      </c>
      <c r="B219" s="169" t="s">
        <v>135</v>
      </c>
      <c r="C219" s="28" t="s">
        <v>835</v>
      </c>
      <c r="D219" s="68">
        <v>43251</v>
      </c>
      <c r="E219" s="171"/>
      <c r="F219" s="28">
        <v>0</v>
      </c>
      <c r="G219" s="169"/>
      <c r="H219" s="28">
        <v>0</v>
      </c>
      <c r="I219" s="28">
        <v>21.83</v>
      </c>
      <c r="J219" s="28">
        <v>14.3</v>
      </c>
      <c r="K219" s="62">
        <f t="shared" si="31"/>
        <v>0</v>
      </c>
      <c r="L219" s="62">
        <f t="shared" si="32"/>
        <v>0</v>
      </c>
      <c r="M219" s="83">
        <f t="shared" si="33"/>
        <v>0</v>
      </c>
      <c r="N219" s="28">
        <v>31</v>
      </c>
      <c r="O219" s="93" t="str">
        <f t="shared" si="34"/>
        <v/>
      </c>
      <c r="P219" s="61">
        <f t="shared" si="20"/>
        <v>0</v>
      </c>
      <c r="Q219" s="60">
        <v>31</v>
      </c>
      <c r="R219" s="170"/>
    </row>
    <row r="220" spans="1:18" x14ac:dyDescent="0.25">
      <c r="A220" s="169">
        <v>2018</v>
      </c>
      <c r="B220" s="169" t="s">
        <v>135</v>
      </c>
      <c r="C220" s="28" t="s">
        <v>835</v>
      </c>
      <c r="D220" s="68">
        <v>43281</v>
      </c>
      <c r="E220" s="171"/>
      <c r="F220" s="28">
        <v>0</v>
      </c>
      <c r="G220" s="169"/>
      <c r="H220" s="28">
        <v>0</v>
      </c>
      <c r="I220" s="28">
        <v>20.98</v>
      </c>
      <c r="J220" s="28">
        <v>13.17</v>
      </c>
      <c r="K220" s="62">
        <f t="shared" si="31"/>
        <v>0</v>
      </c>
      <c r="L220" s="62">
        <f t="shared" si="32"/>
        <v>0</v>
      </c>
      <c r="M220" s="83">
        <f t="shared" si="33"/>
        <v>0</v>
      </c>
      <c r="N220" s="28">
        <v>30</v>
      </c>
      <c r="O220" s="93" t="str">
        <f t="shared" si="34"/>
        <v/>
      </c>
      <c r="P220" s="93">
        <f t="shared" si="20"/>
        <v>0</v>
      </c>
      <c r="Q220" s="60">
        <v>31</v>
      </c>
      <c r="R220" s="170"/>
    </row>
    <row r="221" spans="1:18" x14ac:dyDescent="0.25">
      <c r="A221" s="169">
        <v>2018</v>
      </c>
      <c r="B221" s="169" t="s">
        <v>135</v>
      </c>
      <c r="C221" s="28" t="s">
        <v>835</v>
      </c>
      <c r="D221" s="68">
        <v>43312</v>
      </c>
      <c r="E221" s="171"/>
      <c r="F221" s="28">
        <v>0</v>
      </c>
      <c r="G221" s="169"/>
      <c r="H221" s="28">
        <v>0</v>
      </c>
      <c r="I221" s="28">
        <v>20.62</v>
      </c>
      <c r="J221" s="28">
        <v>13.93</v>
      </c>
      <c r="K221" s="62">
        <f t="shared" si="31"/>
        <v>0</v>
      </c>
      <c r="L221" s="62">
        <f t="shared" si="32"/>
        <v>0</v>
      </c>
      <c r="M221" s="83">
        <f t="shared" si="33"/>
        <v>0</v>
      </c>
      <c r="N221" s="28">
        <v>31</v>
      </c>
      <c r="O221" s="93" t="str">
        <f t="shared" si="34"/>
        <v/>
      </c>
      <c r="P221" s="93">
        <f t="shared" si="20"/>
        <v>0</v>
      </c>
      <c r="Q221" s="60">
        <v>31</v>
      </c>
      <c r="R221" s="170"/>
    </row>
    <row r="222" spans="1:18" x14ac:dyDescent="0.25">
      <c r="A222" s="169">
        <v>2018</v>
      </c>
      <c r="B222" s="169" t="s">
        <v>135</v>
      </c>
      <c r="C222" s="28" t="s">
        <v>835</v>
      </c>
      <c r="D222" s="68">
        <v>43343</v>
      </c>
      <c r="E222" s="173"/>
      <c r="F222" s="28">
        <v>0</v>
      </c>
      <c r="G222" s="169"/>
      <c r="H222" s="28">
        <v>0</v>
      </c>
      <c r="I222" s="28">
        <v>19</v>
      </c>
      <c r="J222" s="28">
        <v>16.47</v>
      </c>
      <c r="K222" s="62">
        <f t="shared" si="31"/>
        <v>0</v>
      </c>
      <c r="L222" s="62">
        <f t="shared" si="32"/>
        <v>0</v>
      </c>
      <c r="M222" s="83">
        <f t="shared" si="33"/>
        <v>0</v>
      </c>
      <c r="N222" s="28">
        <v>31</v>
      </c>
      <c r="O222" s="93" t="str">
        <f t="shared" ref="O222:O229" si="36">IF(AND(L222&gt;0,L222&lt;&gt;""), L222/(N222/30.4167),"")</f>
        <v/>
      </c>
      <c r="P222" s="93">
        <f t="shared" ref="P222:P229" si="37">IFERROR(L222*2.205,"")</f>
        <v>0</v>
      </c>
      <c r="Q222" s="60">
        <v>31</v>
      </c>
      <c r="R222" s="170"/>
    </row>
    <row r="223" spans="1:18" x14ac:dyDescent="0.25">
      <c r="A223" s="169">
        <v>2018</v>
      </c>
      <c r="B223" s="169" t="s">
        <v>135</v>
      </c>
      <c r="C223" s="28" t="s">
        <v>835</v>
      </c>
      <c r="D223" s="68">
        <v>43373</v>
      </c>
      <c r="E223" s="171"/>
      <c r="F223" s="28">
        <v>0</v>
      </c>
      <c r="G223" s="169"/>
      <c r="H223" s="28">
        <v>0</v>
      </c>
      <c r="I223" s="28">
        <v>20.78</v>
      </c>
      <c r="J223" s="28">
        <v>17.809999999999999</v>
      </c>
      <c r="K223" s="62">
        <f t="shared" si="31"/>
        <v>0</v>
      </c>
      <c r="L223" s="62">
        <f t="shared" si="32"/>
        <v>0</v>
      </c>
      <c r="M223" s="83">
        <f t="shared" si="33"/>
        <v>0</v>
      </c>
      <c r="N223" s="28">
        <v>30</v>
      </c>
      <c r="O223" s="93" t="str">
        <f t="shared" si="36"/>
        <v/>
      </c>
      <c r="P223" s="93">
        <f t="shared" si="37"/>
        <v>0</v>
      </c>
      <c r="Q223" s="60">
        <v>31</v>
      </c>
      <c r="R223" s="170"/>
    </row>
    <row r="224" spans="1:18" x14ac:dyDescent="0.25">
      <c r="A224" s="169">
        <v>2018</v>
      </c>
      <c r="B224" s="169" t="s">
        <v>135</v>
      </c>
      <c r="C224" s="28" t="s">
        <v>835</v>
      </c>
      <c r="D224" s="68">
        <v>43404</v>
      </c>
      <c r="E224" s="171"/>
      <c r="F224" s="28">
        <v>0</v>
      </c>
      <c r="G224" s="169"/>
      <c r="H224" s="28">
        <v>0</v>
      </c>
      <c r="I224" s="28">
        <v>17.98</v>
      </c>
      <c r="J224" s="28">
        <v>16.41</v>
      </c>
      <c r="K224" s="62">
        <f t="shared" si="31"/>
        <v>0</v>
      </c>
      <c r="L224" s="62">
        <f t="shared" si="32"/>
        <v>0</v>
      </c>
      <c r="M224" s="83">
        <f t="shared" si="33"/>
        <v>0</v>
      </c>
      <c r="N224" s="28">
        <v>31</v>
      </c>
      <c r="O224" s="93" t="str">
        <f t="shared" si="36"/>
        <v/>
      </c>
      <c r="P224" s="93">
        <f t="shared" si="37"/>
        <v>0</v>
      </c>
      <c r="Q224" s="60">
        <v>31</v>
      </c>
      <c r="R224" s="170"/>
    </row>
    <row r="225" spans="1:18" x14ac:dyDescent="0.25">
      <c r="A225" s="169">
        <v>2018</v>
      </c>
      <c r="B225" s="169" t="s">
        <v>135</v>
      </c>
      <c r="C225" s="28" t="s">
        <v>835</v>
      </c>
      <c r="D225" s="68">
        <v>43434</v>
      </c>
      <c r="E225" s="173"/>
      <c r="F225" s="28">
        <f>1/1000</f>
        <v>1E-3</v>
      </c>
      <c r="G225" s="169"/>
      <c r="H225" s="28">
        <v>0</v>
      </c>
      <c r="I225" s="28">
        <v>14</v>
      </c>
      <c r="J225" s="28">
        <v>13.51</v>
      </c>
      <c r="K225" s="62">
        <f t="shared" si="31"/>
        <v>5.2990000000000002E-2</v>
      </c>
      <c r="L225" s="62">
        <f t="shared" si="32"/>
        <v>0</v>
      </c>
      <c r="M225" s="83">
        <f t="shared" si="33"/>
        <v>0</v>
      </c>
      <c r="N225" s="28">
        <v>30</v>
      </c>
      <c r="O225" s="93" t="str">
        <f t="shared" si="36"/>
        <v/>
      </c>
      <c r="P225" s="93">
        <f t="shared" si="37"/>
        <v>0</v>
      </c>
      <c r="Q225" s="60">
        <v>31</v>
      </c>
      <c r="R225" s="170"/>
    </row>
    <row r="226" spans="1:18" x14ac:dyDescent="0.25">
      <c r="A226" s="169">
        <v>2018</v>
      </c>
      <c r="B226" s="169" t="s">
        <v>135</v>
      </c>
      <c r="C226" s="28" t="s">
        <v>835</v>
      </c>
      <c r="D226" s="68">
        <v>43465</v>
      </c>
      <c r="E226" s="171"/>
      <c r="F226" s="28">
        <v>0</v>
      </c>
      <c r="G226" s="169"/>
      <c r="H226" s="28">
        <v>0</v>
      </c>
      <c r="I226" s="28">
        <v>17.97</v>
      </c>
      <c r="J226" s="28">
        <v>15.75</v>
      </c>
      <c r="K226" s="62">
        <f t="shared" si="31"/>
        <v>0</v>
      </c>
      <c r="L226" s="62">
        <f t="shared" si="32"/>
        <v>0</v>
      </c>
      <c r="M226" s="83">
        <f t="shared" si="33"/>
        <v>0</v>
      </c>
      <c r="N226" s="28">
        <v>31</v>
      </c>
      <c r="O226" s="93" t="str">
        <f t="shared" si="36"/>
        <v/>
      </c>
      <c r="P226" s="93">
        <f t="shared" si="37"/>
        <v>0</v>
      </c>
      <c r="Q226" s="60">
        <v>31</v>
      </c>
      <c r="R226" s="170"/>
    </row>
    <row r="227" spans="1:18" x14ac:dyDescent="0.25">
      <c r="A227" s="169">
        <v>2018</v>
      </c>
      <c r="B227" s="169" t="s">
        <v>135</v>
      </c>
      <c r="C227" s="28" t="s">
        <v>835</v>
      </c>
      <c r="D227" s="68">
        <v>43131</v>
      </c>
      <c r="E227" s="173"/>
      <c r="F227" s="28" t="s">
        <v>2446</v>
      </c>
      <c r="G227" s="169"/>
      <c r="H227" s="28">
        <v>0</v>
      </c>
      <c r="I227" s="169"/>
      <c r="J227" s="169"/>
      <c r="K227" s="62" t="str">
        <f t="shared" si="31"/>
        <v/>
      </c>
      <c r="L227" s="62">
        <f t="shared" si="32"/>
        <v>0</v>
      </c>
      <c r="M227" s="83">
        <f t="shared" si="33"/>
        <v>0</v>
      </c>
      <c r="N227" s="28">
        <v>31</v>
      </c>
      <c r="O227" s="93" t="str">
        <f t="shared" si="36"/>
        <v/>
      </c>
      <c r="P227" s="93">
        <f t="shared" si="37"/>
        <v>0</v>
      </c>
      <c r="Q227" s="60" t="s">
        <v>2454</v>
      </c>
      <c r="R227" s="170" t="s">
        <v>2455</v>
      </c>
    </row>
    <row r="228" spans="1:18" x14ac:dyDescent="0.25">
      <c r="A228" s="169">
        <v>2018</v>
      </c>
      <c r="B228" s="169" t="s">
        <v>135</v>
      </c>
      <c r="C228" s="28" t="s">
        <v>835</v>
      </c>
      <c r="D228" s="68">
        <v>43159</v>
      </c>
      <c r="E228" s="173"/>
      <c r="F228" s="28" t="s">
        <v>2446</v>
      </c>
      <c r="G228" s="169"/>
      <c r="H228" s="28" t="s">
        <v>2446</v>
      </c>
      <c r="I228" s="169"/>
      <c r="J228" s="169"/>
      <c r="K228" s="62" t="str">
        <f t="shared" si="31"/>
        <v/>
      </c>
      <c r="L228" s="62" t="str">
        <f t="shared" si="32"/>
        <v/>
      </c>
      <c r="M228" s="83" t="str">
        <f t="shared" si="33"/>
        <v/>
      </c>
      <c r="N228" s="28">
        <v>28</v>
      </c>
      <c r="O228" s="93" t="str">
        <f t="shared" si="36"/>
        <v/>
      </c>
      <c r="P228" s="93" t="str">
        <f t="shared" si="37"/>
        <v/>
      </c>
      <c r="Q228" s="60" t="s">
        <v>2454</v>
      </c>
      <c r="R228" s="170"/>
    </row>
    <row r="229" spans="1:18" x14ac:dyDescent="0.25">
      <c r="A229" s="169">
        <v>2018</v>
      </c>
      <c r="B229" s="169" t="s">
        <v>135</v>
      </c>
      <c r="C229" s="28" t="s">
        <v>835</v>
      </c>
      <c r="D229" s="68">
        <v>43190</v>
      </c>
      <c r="E229" s="171"/>
      <c r="F229" s="28" t="s">
        <v>2446</v>
      </c>
      <c r="G229" s="169"/>
      <c r="H229" s="28" t="s">
        <v>2446</v>
      </c>
      <c r="I229" s="169"/>
      <c r="J229" s="169"/>
      <c r="K229" s="62" t="str">
        <f t="shared" si="31"/>
        <v/>
      </c>
      <c r="L229" s="62" t="str">
        <f t="shared" si="32"/>
        <v/>
      </c>
      <c r="M229" s="83" t="str">
        <f t="shared" si="33"/>
        <v/>
      </c>
      <c r="N229" s="28">
        <v>31</v>
      </c>
      <c r="O229" s="93" t="str">
        <f t="shared" si="36"/>
        <v/>
      </c>
      <c r="P229" s="93" t="str">
        <f t="shared" si="37"/>
        <v/>
      </c>
      <c r="Q229" s="60" t="s">
        <v>2454</v>
      </c>
      <c r="R229" s="170"/>
    </row>
    <row r="230" spans="1:18" x14ac:dyDescent="0.25">
      <c r="A230" s="169">
        <v>2018</v>
      </c>
      <c r="B230" s="169" t="s">
        <v>135</v>
      </c>
      <c r="C230" s="28" t="s">
        <v>835</v>
      </c>
      <c r="D230" s="68">
        <v>43220</v>
      </c>
      <c r="E230" s="171"/>
      <c r="F230" s="28" t="s">
        <v>2446</v>
      </c>
      <c r="G230" s="169"/>
      <c r="H230" s="28" t="s">
        <v>2446</v>
      </c>
      <c r="I230" s="169"/>
      <c r="J230" s="169"/>
      <c r="K230" s="62" t="str">
        <f t="shared" si="31"/>
        <v/>
      </c>
      <c r="L230" s="62" t="str">
        <f t="shared" si="32"/>
        <v/>
      </c>
      <c r="M230" s="83" t="str">
        <f t="shared" si="33"/>
        <v/>
      </c>
      <c r="N230" s="28">
        <v>30</v>
      </c>
      <c r="O230" s="93" t="str">
        <f t="shared" ref="O230" si="38">IF(AND(L230&gt;0,L230&lt;&gt;""), L230/(N230/30.4167),"")</f>
        <v/>
      </c>
      <c r="P230" s="93" t="str">
        <f t="shared" ref="P230" si="39">IFERROR(L230*2.205,"")</f>
        <v/>
      </c>
      <c r="Q230" s="60" t="s">
        <v>2454</v>
      </c>
      <c r="R230" s="170"/>
    </row>
    <row r="231" spans="1:18" x14ac:dyDescent="0.25">
      <c r="A231" s="169">
        <v>2018</v>
      </c>
      <c r="B231" s="169" t="s">
        <v>135</v>
      </c>
      <c r="C231" s="28" t="s">
        <v>835</v>
      </c>
      <c r="D231" s="68">
        <v>43251</v>
      </c>
      <c r="E231" s="171"/>
      <c r="F231" s="28" t="s">
        <v>2446</v>
      </c>
      <c r="G231" s="169"/>
      <c r="H231" s="28" t="s">
        <v>2446</v>
      </c>
      <c r="I231" s="169"/>
      <c r="J231" s="169"/>
      <c r="K231" s="62" t="str">
        <f t="shared" si="31"/>
        <v/>
      </c>
      <c r="L231" s="62" t="str">
        <f t="shared" si="32"/>
        <v/>
      </c>
      <c r="M231" s="83" t="str">
        <f t="shared" si="33"/>
        <v/>
      </c>
      <c r="N231" s="28">
        <v>31</v>
      </c>
      <c r="O231" s="93" t="str">
        <f t="shared" si="34"/>
        <v/>
      </c>
      <c r="P231" s="93" t="str">
        <f t="shared" ref="P231:P329" si="40">IFERROR(L231*2.205,"")</f>
        <v/>
      </c>
      <c r="Q231" s="60" t="s">
        <v>2454</v>
      </c>
      <c r="R231" s="170"/>
    </row>
    <row r="232" spans="1:18" x14ac:dyDescent="0.25">
      <c r="A232" s="169">
        <v>2018</v>
      </c>
      <c r="B232" s="169" t="s">
        <v>135</v>
      </c>
      <c r="C232" s="28" t="s">
        <v>835</v>
      </c>
      <c r="D232" s="68">
        <v>43281</v>
      </c>
      <c r="E232" s="171"/>
      <c r="F232" s="28" t="s">
        <v>2446</v>
      </c>
      <c r="G232" s="169"/>
      <c r="H232" s="28" t="s">
        <v>2446</v>
      </c>
      <c r="I232" s="169"/>
      <c r="J232" s="169"/>
      <c r="K232" s="62" t="str">
        <f t="shared" si="31"/>
        <v/>
      </c>
      <c r="L232" s="62" t="str">
        <f t="shared" si="32"/>
        <v/>
      </c>
      <c r="M232" s="83" t="str">
        <f t="shared" si="33"/>
        <v/>
      </c>
      <c r="N232" s="28">
        <v>30</v>
      </c>
      <c r="O232" s="93" t="str">
        <f t="shared" si="34"/>
        <v/>
      </c>
      <c r="P232" s="93" t="str">
        <f t="shared" si="40"/>
        <v/>
      </c>
      <c r="Q232" s="60" t="s">
        <v>2454</v>
      </c>
      <c r="R232" s="170"/>
    </row>
    <row r="233" spans="1:18" x14ac:dyDescent="0.25">
      <c r="A233" s="169">
        <v>2018</v>
      </c>
      <c r="B233" s="169" t="s">
        <v>135</v>
      </c>
      <c r="C233" s="28" t="s">
        <v>835</v>
      </c>
      <c r="D233" s="68">
        <v>43312</v>
      </c>
      <c r="E233" s="171"/>
      <c r="F233" s="28" t="s">
        <v>2446</v>
      </c>
      <c r="G233" s="169"/>
      <c r="H233" s="28" t="s">
        <v>2446</v>
      </c>
      <c r="I233" s="169"/>
      <c r="J233" s="169"/>
      <c r="K233" s="62" t="str">
        <f t="shared" si="31"/>
        <v/>
      </c>
      <c r="L233" s="62" t="str">
        <f t="shared" si="32"/>
        <v/>
      </c>
      <c r="M233" s="83" t="str">
        <f t="shared" si="33"/>
        <v/>
      </c>
      <c r="N233" s="28">
        <v>31</v>
      </c>
      <c r="O233" s="93" t="str">
        <f t="shared" si="34"/>
        <v/>
      </c>
      <c r="P233" s="93" t="str">
        <f t="shared" si="40"/>
        <v/>
      </c>
      <c r="Q233" s="60" t="s">
        <v>2454</v>
      </c>
      <c r="R233" s="170"/>
    </row>
    <row r="234" spans="1:18" x14ac:dyDescent="0.25">
      <c r="A234" s="169">
        <v>2018</v>
      </c>
      <c r="B234" s="169" t="s">
        <v>135</v>
      </c>
      <c r="C234" s="28" t="s">
        <v>835</v>
      </c>
      <c r="D234" s="68">
        <v>43343</v>
      </c>
      <c r="E234" s="171"/>
      <c r="F234" s="28" t="s">
        <v>2446</v>
      </c>
      <c r="G234" s="169"/>
      <c r="H234" s="28" t="s">
        <v>2446</v>
      </c>
      <c r="I234" s="169"/>
      <c r="J234" s="169"/>
      <c r="K234" s="62" t="str">
        <f t="shared" si="31"/>
        <v/>
      </c>
      <c r="L234" s="62" t="str">
        <f t="shared" si="32"/>
        <v/>
      </c>
      <c r="M234" s="83" t="str">
        <f t="shared" si="33"/>
        <v/>
      </c>
      <c r="N234" s="28">
        <v>31</v>
      </c>
      <c r="O234" s="93" t="str">
        <f t="shared" si="34"/>
        <v/>
      </c>
      <c r="P234" s="93" t="str">
        <f t="shared" si="40"/>
        <v/>
      </c>
      <c r="Q234" s="60" t="s">
        <v>2454</v>
      </c>
      <c r="R234" s="170"/>
    </row>
    <row r="235" spans="1:18" x14ac:dyDescent="0.25">
      <c r="A235" s="169">
        <v>2018</v>
      </c>
      <c r="B235" s="169" t="s">
        <v>135</v>
      </c>
      <c r="C235" s="28" t="s">
        <v>835</v>
      </c>
      <c r="D235" s="68">
        <v>43373</v>
      </c>
      <c r="E235" s="171"/>
      <c r="F235" s="28" t="s">
        <v>2446</v>
      </c>
      <c r="G235" s="169"/>
      <c r="H235" s="28" t="s">
        <v>2446</v>
      </c>
      <c r="I235" s="169"/>
      <c r="J235" s="169"/>
      <c r="K235" s="62" t="str">
        <f t="shared" si="31"/>
        <v/>
      </c>
      <c r="L235" s="62" t="str">
        <f t="shared" si="32"/>
        <v/>
      </c>
      <c r="M235" s="83" t="str">
        <f t="shared" si="33"/>
        <v/>
      </c>
      <c r="N235" s="28">
        <v>30</v>
      </c>
      <c r="O235" s="93" t="str">
        <f t="shared" si="34"/>
        <v/>
      </c>
      <c r="P235" s="93" t="str">
        <f t="shared" si="40"/>
        <v/>
      </c>
      <c r="Q235" s="60" t="s">
        <v>2454</v>
      </c>
      <c r="R235" s="170"/>
    </row>
    <row r="236" spans="1:18" x14ac:dyDescent="0.25">
      <c r="A236" s="169">
        <v>2018</v>
      </c>
      <c r="B236" s="169" t="s">
        <v>135</v>
      </c>
      <c r="C236" s="28" t="s">
        <v>835</v>
      </c>
      <c r="D236" s="68">
        <v>43404</v>
      </c>
      <c r="E236" s="171"/>
      <c r="F236" s="28" t="s">
        <v>2446</v>
      </c>
      <c r="G236" s="169"/>
      <c r="H236" s="28" t="s">
        <v>2446</v>
      </c>
      <c r="I236" s="169"/>
      <c r="J236" s="169"/>
      <c r="K236" s="62" t="str">
        <f t="shared" si="31"/>
        <v/>
      </c>
      <c r="L236" s="62" t="str">
        <f t="shared" si="32"/>
        <v/>
      </c>
      <c r="M236" s="83" t="str">
        <f t="shared" si="33"/>
        <v/>
      </c>
      <c r="N236" s="28">
        <v>31</v>
      </c>
      <c r="O236" s="93" t="str">
        <f t="shared" si="34"/>
        <v/>
      </c>
      <c r="P236" s="93" t="str">
        <f t="shared" si="40"/>
        <v/>
      </c>
      <c r="Q236" s="60" t="s">
        <v>2454</v>
      </c>
      <c r="R236" s="170"/>
    </row>
    <row r="237" spans="1:18" x14ac:dyDescent="0.25">
      <c r="A237" s="169">
        <v>2018</v>
      </c>
      <c r="B237" s="169" t="s">
        <v>135</v>
      </c>
      <c r="C237" s="28" t="s">
        <v>835</v>
      </c>
      <c r="D237" s="68">
        <v>43434</v>
      </c>
      <c r="E237" s="171"/>
      <c r="F237" s="28" t="s">
        <v>2446</v>
      </c>
      <c r="G237" s="169"/>
      <c r="H237" s="28" t="s">
        <v>2446</v>
      </c>
      <c r="I237" s="169"/>
      <c r="J237" s="169"/>
      <c r="K237" s="62" t="str">
        <f t="shared" si="31"/>
        <v/>
      </c>
      <c r="L237" s="62" t="str">
        <f t="shared" si="32"/>
        <v/>
      </c>
      <c r="M237" s="83" t="str">
        <f t="shared" si="33"/>
        <v/>
      </c>
      <c r="N237" s="28">
        <v>30</v>
      </c>
      <c r="O237" s="93" t="str">
        <f t="shared" si="34"/>
        <v/>
      </c>
      <c r="P237" s="93" t="str">
        <f t="shared" si="40"/>
        <v/>
      </c>
      <c r="Q237" s="60" t="s">
        <v>2454</v>
      </c>
      <c r="R237" s="170"/>
    </row>
    <row r="238" spans="1:18" x14ac:dyDescent="0.25">
      <c r="A238" s="169">
        <v>2018</v>
      </c>
      <c r="B238" s="169" t="s">
        <v>135</v>
      </c>
      <c r="C238" s="28" t="s">
        <v>835</v>
      </c>
      <c r="D238" s="68">
        <v>43465</v>
      </c>
      <c r="E238" s="171"/>
      <c r="F238" s="28" t="s">
        <v>2446</v>
      </c>
      <c r="G238" s="169"/>
      <c r="H238" s="28" t="s">
        <v>2446</v>
      </c>
      <c r="I238" s="169"/>
      <c r="J238" s="169"/>
      <c r="K238" s="62" t="str">
        <f t="shared" si="31"/>
        <v/>
      </c>
      <c r="L238" s="62" t="str">
        <f t="shared" si="32"/>
        <v/>
      </c>
      <c r="M238" s="83" t="str">
        <f t="shared" si="33"/>
        <v/>
      </c>
      <c r="N238" s="28">
        <v>31</v>
      </c>
      <c r="O238" s="93" t="str">
        <f t="shared" si="34"/>
        <v/>
      </c>
      <c r="P238" s="93" t="str">
        <f t="shared" si="40"/>
        <v/>
      </c>
      <c r="Q238" s="60" t="s">
        <v>2454</v>
      </c>
      <c r="R238" s="170"/>
    </row>
    <row r="239" spans="1:18" x14ac:dyDescent="0.25">
      <c r="A239" s="169">
        <v>2019</v>
      </c>
      <c r="B239" s="169" t="s">
        <v>202</v>
      </c>
      <c r="C239" s="28" t="s">
        <v>957</v>
      </c>
      <c r="D239" s="68">
        <v>43496</v>
      </c>
      <c r="E239" s="171"/>
      <c r="F239" s="28">
        <v>1.4E-2</v>
      </c>
      <c r="G239" s="169"/>
      <c r="H239" s="28">
        <v>1.4E-2</v>
      </c>
      <c r="I239" s="28">
        <v>4.0152999999999999</v>
      </c>
      <c r="J239" s="28">
        <v>3.3755999999999999</v>
      </c>
      <c r="K239" s="62">
        <f t="shared" si="31"/>
        <v>0.21277074700000001</v>
      </c>
      <c r="L239" s="62">
        <f t="shared" si="32"/>
        <v>5.5450643639999999</v>
      </c>
      <c r="M239" s="83">
        <f t="shared" si="33"/>
        <v>0.17887304400000001</v>
      </c>
      <c r="N239" s="28">
        <v>31</v>
      </c>
      <c r="O239" s="93">
        <f t="shared" si="34"/>
        <v>5.4407277174347994</v>
      </c>
      <c r="P239" s="93">
        <f t="shared" si="40"/>
        <v>12.226866922620001</v>
      </c>
      <c r="Q239" s="203">
        <v>1</v>
      </c>
      <c r="R239" s="170"/>
    </row>
    <row r="240" spans="1:18" x14ac:dyDescent="0.25">
      <c r="A240" s="169">
        <v>2019</v>
      </c>
      <c r="B240" s="169" t="s">
        <v>202</v>
      </c>
      <c r="C240" s="28" t="s">
        <v>957</v>
      </c>
      <c r="D240" s="68">
        <v>43524</v>
      </c>
      <c r="E240" s="171"/>
      <c r="F240" s="28">
        <v>4.0000000000000001E-3</v>
      </c>
      <c r="G240" s="169"/>
      <c r="H240" s="28">
        <v>4.0000000000000001E-3</v>
      </c>
      <c r="I240" s="28">
        <v>5.6581999999999999</v>
      </c>
      <c r="J240" s="28">
        <v>3.6760000000000002</v>
      </c>
      <c r="K240" s="62">
        <f t="shared" si="31"/>
        <v>8.566514800000001E-2</v>
      </c>
      <c r="L240" s="62">
        <f t="shared" si="32"/>
        <v>1.5583299200000003</v>
      </c>
      <c r="M240" s="83">
        <f t="shared" si="33"/>
        <v>5.5654640000000012E-2</v>
      </c>
      <c r="N240" s="28">
        <v>28</v>
      </c>
      <c r="O240" s="93">
        <f t="shared" si="34"/>
        <v>1.6928304884880001</v>
      </c>
      <c r="P240" s="93">
        <f t="shared" si="40"/>
        <v>3.4361174736000009</v>
      </c>
      <c r="Q240" s="203">
        <v>1</v>
      </c>
      <c r="R240" s="170"/>
    </row>
    <row r="241" spans="1:18" x14ac:dyDescent="0.25">
      <c r="A241" s="169">
        <v>2019</v>
      </c>
      <c r="B241" s="169" t="s">
        <v>202</v>
      </c>
      <c r="C241" s="28" t="s">
        <v>957</v>
      </c>
      <c r="D241" s="68">
        <v>43555</v>
      </c>
      <c r="E241" s="171"/>
      <c r="F241" s="28">
        <v>0.23200000000000001</v>
      </c>
      <c r="G241" s="169"/>
      <c r="H241" s="28">
        <v>0.23200000000000001</v>
      </c>
      <c r="I241" s="28">
        <v>3.9409999999999998</v>
      </c>
      <c r="J241" s="28">
        <v>3.6855000000000002</v>
      </c>
      <c r="K241" s="62">
        <f t="shared" si="31"/>
        <v>3.4606709200000001</v>
      </c>
      <c r="L241" s="62">
        <f t="shared" si="32"/>
        <v>100.32564906000002</v>
      </c>
      <c r="M241" s="83">
        <f t="shared" si="33"/>
        <v>3.2363112600000004</v>
      </c>
      <c r="N241" s="28">
        <v>31</v>
      </c>
      <c r="O241" s="93">
        <f t="shared" si="34"/>
        <v>98.437908702042009</v>
      </c>
      <c r="P241" s="93">
        <f t="shared" si="40"/>
        <v>221.21805617730004</v>
      </c>
      <c r="Q241" s="203">
        <v>1</v>
      </c>
      <c r="R241" s="170"/>
    </row>
    <row r="242" spans="1:18" x14ac:dyDescent="0.25">
      <c r="A242" s="169">
        <v>2019</v>
      </c>
      <c r="B242" s="169" t="s">
        <v>202</v>
      </c>
      <c r="C242" s="28" t="s">
        <v>957</v>
      </c>
      <c r="D242" s="68">
        <v>43585</v>
      </c>
      <c r="E242" s="171"/>
      <c r="F242" s="28">
        <v>1.4999999999999999E-2</v>
      </c>
      <c r="G242" s="169"/>
      <c r="H242" s="28">
        <v>1.4999999999999999E-2</v>
      </c>
      <c r="I242" s="28">
        <v>3.7961999999999998</v>
      </c>
      <c r="J242" s="28">
        <v>3.5123000000000002</v>
      </c>
      <c r="K242" s="62">
        <f t="shared" si="31"/>
        <v>0.21552925499999998</v>
      </c>
      <c r="L242" s="62">
        <f t="shared" si="32"/>
        <v>5.9823249750000009</v>
      </c>
      <c r="M242" s="83">
        <f t="shared" si="33"/>
        <v>0.19941083250000002</v>
      </c>
      <c r="N242" s="28">
        <v>30</v>
      </c>
      <c r="O242" s="93">
        <f t="shared" si="34"/>
        <v>6.0654194689027507</v>
      </c>
      <c r="P242" s="93">
        <f t="shared" si="40"/>
        <v>13.191026569875003</v>
      </c>
      <c r="Q242" s="203">
        <v>1</v>
      </c>
      <c r="R242" s="170"/>
    </row>
    <row r="243" spans="1:18" x14ac:dyDescent="0.25">
      <c r="A243" s="169">
        <v>2019</v>
      </c>
      <c r="B243" s="169" t="s">
        <v>202</v>
      </c>
      <c r="C243" s="28" t="s">
        <v>957</v>
      </c>
      <c r="D243" s="68">
        <v>43616</v>
      </c>
      <c r="E243" s="171"/>
      <c r="F243" s="28">
        <v>7.0000000000000001E-3</v>
      </c>
      <c r="G243" s="169"/>
      <c r="H243" s="28">
        <v>7.0000000000000001E-3</v>
      </c>
      <c r="I243" s="28">
        <v>3.6638000000000002</v>
      </c>
      <c r="J243" s="28">
        <v>3.3281000000000001</v>
      </c>
      <c r="K243" s="62">
        <f t="shared" si="31"/>
        <v>9.7072381000000013E-2</v>
      </c>
      <c r="L243" s="62">
        <f t="shared" si="32"/>
        <v>2.7335182945000001</v>
      </c>
      <c r="M243" s="83">
        <f t="shared" si="33"/>
        <v>8.8178009500000001E-2</v>
      </c>
      <c r="N243" s="28">
        <v>31</v>
      </c>
      <c r="O243" s="93">
        <f t="shared" si="34"/>
        <v>2.6820840615586499</v>
      </c>
      <c r="P243" s="93">
        <f t="shared" si="40"/>
        <v>6.0274078393725006</v>
      </c>
      <c r="Q243" s="203">
        <v>1</v>
      </c>
      <c r="R243" s="170"/>
    </row>
    <row r="244" spans="1:18" x14ac:dyDescent="0.25">
      <c r="A244" s="169">
        <v>2019</v>
      </c>
      <c r="B244" s="169" t="s">
        <v>202</v>
      </c>
      <c r="C244" s="28" t="s">
        <v>957</v>
      </c>
      <c r="D244" s="68">
        <v>43646</v>
      </c>
      <c r="E244" s="171"/>
      <c r="F244" s="28">
        <v>0.122</v>
      </c>
      <c r="G244" s="169"/>
      <c r="H244" s="28">
        <v>0.122</v>
      </c>
      <c r="I244" s="28">
        <v>3.5840000000000001</v>
      </c>
      <c r="J244" s="28">
        <v>3.2704</v>
      </c>
      <c r="K244" s="62">
        <f t="shared" si="31"/>
        <v>1.6549836800000002</v>
      </c>
      <c r="L244" s="62">
        <f t="shared" si="32"/>
        <v>45.305178239999996</v>
      </c>
      <c r="M244" s="83">
        <f t="shared" si="33"/>
        <v>1.510172608</v>
      </c>
      <c r="N244" s="28">
        <v>30</v>
      </c>
      <c r="O244" s="93">
        <f t="shared" si="34"/>
        <v>45.934467165753595</v>
      </c>
      <c r="P244" s="93">
        <f t="shared" si="40"/>
        <v>99.897918019199992</v>
      </c>
      <c r="Q244" s="203">
        <v>1</v>
      </c>
      <c r="R244" s="170"/>
    </row>
    <row r="245" spans="1:18" x14ac:dyDescent="0.25">
      <c r="A245" s="169">
        <v>2019</v>
      </c>
      <c r="B245" s="169" t="s">
        <v>202</v>
      </c>
      <c r="C245" s="28" t="s">
        <v>957</v>
      </c>
      <c r="D245" s="68">
        <v>43677</v>
      </c>
      <c r="E245" s="171"/>
      <c r="F245" s="28">
        <v>0.06</v>
      </c>
      <c r="G245" s="169"/>
      <c r="H245" s="28">
        <v>0.06</v>
      </c>
      <c r="I245" s="28">
        <v>3.4167999999999998</v>
      </c>
      <c r="J245" s="28">
        <v>3.0358000000000001</v>
      </c>
      <c r="K245" s="62">
        <f t="shared" si="31"/>
        <v>0.77595528000000002</v>
      </c>
      <c r="L245" s="62">
        <f t="shared" si="32"/>
        <v>21.372335580000001</v>
      </c>
      <c r="M245" s="83">
        <f t="shared" si="33"/>
        <v>0.68943018</v>
      </c>
      <c r="N245" s="28">
        <v>31</v>
      </c>
      <c r="O245" s="93">
        <f t="shared" si="34"/>
        <v>20.970190956006</v>
      </c>
      <c r="P245" s="93">
        <f t="shared" si="40"/>
        <v>47.125999953900006</v>
      </c>
      <c r="Q245" s="203">
        <v>1</v>
      </c>
      <c r="R245" s="170"/>
    </row>
    <row r="246" spans="1:18" x14ac:dyDescent="0.25">
      <c r="A246" s="169">
        <v>2019</v>
      </c>
      <c r="B246" s="169" t="s">
        <v>202</v>
      </c>
      <c r="C246" s="28" t="s">
        <v>957</v>
      </c>
      <c r="D246" s="68">
        <v>43708</v>
      </c>
      <c r="E246" s="171"/>
      <c r="F246" s="28">
        <v>1.2999999999999999E-2</v>
      </c>
      <c r="G246" s="169"/>
      <c r="H246" s="28">
        <v>1.2999999999999999E-2</v>
      </c>
      <c r="I246" s="28">
        <v>3.9348999999999998</v>
      </c>
      <c r="J246" s="28">
        <v>3.0535000000000001</v>
      </c>
      <c r="K246" s="62">
        <f t="shared" si="31"/>
        <v>0.19361675449999999</v>
      </c>
      <c r="L246" s="62">
        <f t="shared" si="32"/>
        <v>4.6576714925000005</v>
      </c>
      <c r="M246" s="83">
        <f t="shared" si="33"/>
        <v>0.15024746750000001</v>
      </c>
      <c r="N246" s="28">
        <v>31</v>
      </c>
      <c r="O246" s="93">
        <f t="shared" si="34"/>
        <v>4.5700321447072501</v>
      </c>
      <c r="P246" s="93">
        <f t="shared" si="40"/>
        <v>10.270165640962501</v>
      </c>
      <c r="Q246" s="203">
        <v>1</v>
      </c>
      <c r="R246" s="170"/>
    </row>
    <row r="247" spans="1:18" x14ac:dyDescent="0.25">
      <c r="A247" s="169">
        <v>2019</v>
      </c>
      <c r="B247" s="169" t="s">
        <v>202</v>
      </c>
      <c r="C247" s="28" t="s">
        <v>957</v>
      </c>
      <c r="D247" s="68">
        <v>43738</v>
      </c>
      <c r="E247" s="171"/>
      <c r="F247" s="28">
        <v>2.7E-2</v>
      </c>
      <c r="G247" s="169"/>
      <c r="H247" s="28">
        <v>2.7E-2</v>
      </c>
      <c r="I247" s="28">
        <v>3.6646999999999998</v>
      </c>
      <c r="J247" s="28">
        <v>3.1074999999999999</v>
      </c>
      <c r="K247" s="62">
        <f t="shared" si="31"/>
        <v>0.37451401649999999</v>
      </c>
      <c r="L247" s="62">
        <f t="shared" si="32"/>
        <v>9.5271288750000007</v>
      </c>
      <c r="M247" s="83">
        <f t="shared" si="33"/>
        <v>0.3175709625</v>
      </c>
      <c r="N247" s="28">
        <v>30</v>
      </c>
      <c r="O247" s="93">
        <f t="shared" si="34"/>
        <v>9.6594606950737507</v>
      </c>
      <c r="P247" s="93">
        <f t="shared" si="40"/>
        <v>21.007319169375002</v>
      </c>
      <c r="Q247" s="203">
        <v>1</v>
      </c>
      <c r="R247" s="170"/>
    </row>
    <row r="248" spans="1:18" x14ac:dyDescent="0.25">
      <c r="A248" s="169">
        <v>2019</v>
      </c>
      <c r="B248" s="169" t="s">
        <v>202</v>
      </c>
      <c r="C248" s="28" t="s">
        <v>957</v>
      </c>
      <c r="D248" s="68">
        <v>43769</v>
      </c>
      <c r="E248" s="171"/>
      <c r="F248" s="28">
        <v>1.2E-2</v>
      </c>
      <c r="G248" s="169"/>
      <c r="H248" s="28">
        <v>1.2E-2</v>
      </c>
      <c r="I248" s="28">
        <v>2.7170999999999998</v>
      </c>
      <c r="J248" s="28">
        <v>2.5449000000000002</v>
      </c>
      <c r="K248" s="62">
        <f t="shared" si="31"/>
        <v>0.12341068200000001</v>
      </c>
      <c r="L248" s="62">
        <f t="shared" si="32"/>
        <v>3.5832700980000003</v>
      </c>
      <c r="M248" s="83">
        <f t="shared" si="33"/>
        <v>0.115589358</v>
      </c>
      <c r="N248" s="28">
        <v>31</v>
      </c>
      <c r="O248" s="93">
        <f t="shared" si="34"/>
        <v>3.5158468254785999</v>
      </c>
      <c r="P248" s="93">
        <f t="shared" si="40"/>
        <v>7.9011105660900007</v>
      </c>
      <c r="Q248" s="203">
        <v>1</v>
      </c>
      <c r="R248" s="170"/>
    </row>
    <row r="249" spans="1:18" x14ac:dyDescent="0.25">
      <c r="A249" s="169">
        <v>2019</v>
      </c>
      <c r="B249" s="169" t="s">
        <v>202</v>
      </c>
      <c r="C249" s="28" t="s">
        <v>957</v>
      </c>
      <c r="D249" s="68">
        <v>43799</v>
      </c>
      <c r="E249" s="171"/>
      <c r="F249" s="28">
        <v>1.2E-2</v>
      </c>
      <c r="G249" s="169"/>
      <c r="H249" s="28">
        <v>1.2E-2</v>
      </c>
      <c r="I249" s="28">
        <v>3.9521999999999999</v>
      </c>
      <c r="J249" s="28">
        <v>3.1966000000000001</v>
      </c>
      <c r="K249" s="62">
        <f t="shared" si="31"/>
        <v>0.17950892400000001</v>
      </c>
      <c r="L249" s="62">
        <f t="shared" si="32"/>
        <v>4.3556871600000004</v>
      </c>
      <c r="M249" s="83">
        <f t="shared" si="33"/>
        <v>0.14518957200000002</v>
      </c>
      <c r="N249" s="28">
        <v>30</v>
      </c>
      <c r="O249" s="93">
        <f t="shared" si="34"/>
        <v>4.4161876546523997</v>
      </c>
      <c r="P249" s="93">
        <f t="shared" si="40"/>
        <v>9.604290187800002</v>
      </c>
      <c r="Q249" s="203">
        <v>1</v>
      </c>
      <c r="R249" s="170"/>
    </row>
    <row r="250" spans="1:18" x14ac:dyDescent="0.25">
      <c r="A250" s="169">
        <v>2019</v>
      </c>
      <c r="B250" s="169" t="s">
        <v>202</v>
      </c>
      <c r="C250" s="28" t="s">
        <v>957</v>
      </c>
      <c r="D250" s="68">
        <v>43830</v>
      </c>
      <c r="E250" s="171"/>
      <c r="F250" s="28">
        <v>0.01</v>
      </c>
      <c r="G250" s="169"/>
      <c r="H250" s="28">
        <v>0.01</v>
      </c>
      <c r="I250" s="28">
        <v>3.7360000000000002</v>
      </c>
      <c r="J250" s="28">
        <v>3.6309</v>
      </c>
      <c r="K250" s="62">
        <f t="shared" si="31"/>
        <v>0.14140760000000002</v>
      </c>
      <c r="L250" s="62">
        <f t="shared" si="32"/>
        <v>4.2603165150000004</v>
      </c>
      <c r="M250" s="83">
        <f t="shared" si="33"/>
        <v>0.137429565</v>
      </c>
      <c r="N250" s="28">
        <v>31</v>
      </c>
      <c r="O250" s="93">
        <f t="shared" si="34"/>
        <v>4.1801538497355004</v>
      </c>
      <c r="P250" s="93">
        <f t="shared" si="40"/>
        <v>9.3939979155750013</v>
      </c>
      <c r="Q250" s="203">
        <v>1</v>
      </c>
      <c r="R250" s="170"/>
    </row>
    <row r="251" spans="1:18" x14ac:dyDescent="0.25">
      <c r="A251" s="169">
        <v>2019</v>
      </c>
      <c r="B251" s="169" t="s">
        <v>202</v>
      </c>
      <c r="C251" s="28" t="s">
        <v>957</v>
      </c>
      <c r="D251" s="68"/>
      <c r="E251" s="171"/>
      <c r="F251" s="169"/>
      <c r="G251" s="169"/>
      <c r="H251" s="169"/>
      <c r="I251" s="169"/>
      <c r="J251" s="169"/>
      <c r="K251" s="62">
        <f t="shared" si="31"/>
        <v>0</v>
      </c>
      <c r="L251" s="62">
        <f t="shared" si="32"/>
        <v>0</v>
      </c>
      <c r="M251" s="83" t="str">
        <f t="shared" si="33"/>
        <v/>
      </c>
      <c r="O251" s="93" t="str">
        <f t="shared" si="34"/>
        <v/>
      </c>
      <c r="P251" s="93">
        <f t="shared" si="40"/>
        <v>0</v>
      </c>
      <c r="Q251" s="203">
        <v>2</v>
      </c>
      <c r="R251" s="170" t="s">
        <v>6760</v>
      </c>
    </row>
    <row r="252" spans="1:18" x14ac:dyDescent="0.25">
      <c r="A252" s="169">
        <v>2019</v>
      </c>
      <c r="B252" s="169" t="s">
        <v>202</v>
      </c>
      <c r="C252" s="28" t="s">
        <v>957</v>
      </c>
      <c r="D252" s="68"/>
      <c r="E252" s="171"/>
      <c r="F252" s="169"/>
      <c r="G252" s="169"/>
      <c r="H252" s="169"/>
      <c r="I252" s="169"/>
      <c r="J252" s="169"/>
      <c r="K252" s="62">
        <f t="shared" si="31"/>
        <v>0</v>
      </c>
      <c r="L252" s="62">
        <f t="shared" si="32"/>
        <v>0</v>
      </c>
      <c r="M252" s="83" t="str">
        <f t="shared" si="33"/>
        <v/>
      </c>
      <c r="O252" s="93" t="str">
        <f t="shared" ref="O252:O301" si="41">IF(AND(L252&gt;0,L252&lt;&gt;""), L252/(N252/30.4167),"")</f>
        <v/>
      </c>
      <c r="P252" s="93">
        <f t="shared" si="40"/>
        <v>0</v>
      </c>
      <c r="Q252" s="203">
        <v>9</v>
      </c>
      <c r="R252" s="170" t="s">
        <v>6760</v>
      </c>
    </row>
    <row r="253" spans="1:18" x14ac:dyDescent="0.25">
      <c r="A253" s="169">
        <v>2019</v>
      </c>
      <c r="B253" s="28" t="s">
        <v>135</v>
      </c>
      <c r="C253" s="28" t="s">
        <v>835</v>
      </c>
      <c r="D253" s="68">
        <v>43496</v>
      </c>
      <c r="E253" s="171"/>
      <c r="F253" s="28">
        <v>0</v>
      </c>
      <c r="G253" s="169"/>
      <c r="H253" s="28">
        <v>0</v>
      </c>
      <c r="I253" s="28">
        <v>22.15</v>
      </c>
      <c r="J253" s="28">
        <v>12.91</v>
      </c>
      <c r="K253" s="62">
        <f t="shared" si="31"/>
        <v>0</v>
      </c>
      <c r="L253" s="62">
        <f t="shared" si="32"/>
        <v>0</v>
      </c>
      <c r="M253" s="83">
        <f t="shared" si="33"/>
        <v>0</v>
      </c>
      <c r="N253" s="28">
        <v>31</v>
      </c>
      <c r="O253" s="93" t="str">
        <f t="shared" si="41"/>
        <v/>
      </c>
      <c r="P253" s="93">
        <f t="shared" si="40"/>
        <v>0</v>
      </c>
      <c r="Q253" s="203">
        <v>31</v>
      </c>
      <c r="R253" s="170"/>
    </row>
    <row r="254" spans="1:18" x14ac:dyDescent="0.25">
      <c r="A254" s="169">
        <v>2019</v>
      </c>
      <c r="B254" s="28" t="s">
        <v>135</v>
      </c>
      <c r="C254" s="28" t="s">
        <v>835</v>
      </c>
      <c r="D254" s="68">
        <v>43524</v>
      </c>
      <c r="E254" s="171"/>
      <c r="F254" s="28">
        <f>14/1000</f>
        <v>1.4E-2</v>
      </c>
      <c r="G254" s="169"/>
      <c r="H254" s="28">
        <f>14/1000</f>
        <v>1.4E-2</v>
      </c>
      <c r="I254" s="28">
        <v>22.97</v>
      </c>
      <c r="J254" s="28">
        <v>19.37</v>
      </c>
      <c r="K254" s="62">
        <f t="shared" si="31"/>
        <v>1.2171802999999999</v>
      </c>
      <c r="L254" s="62">
        <f t="shared" si="32"/>
        <v>28.739656400000005</v>
      </c>
      <c r="M254" s="83">
        <f t="shared" si="33"/>
        <v>1.0264163000000002</v>
      </c>
      <c r="N254" s="28">
        <v>28</v>
      </c>
      <c r="O254" s="93">
        <f t="shared" si="41"/>
        <v>31.220196672210005</v>
      </c>
      <c r="P254" s="93">
        <f t="shared" si="40"/>
        <v>63.370942362000015</v>
      </c>
      <c r="Q254" s="203">
        <v>31</v>
      </c>
      <c r="R254" s="170"/>
    </row>
    <row r="255" spans="1:18" x14ac:dyDescent="0.25">
      <c r="A255" s="169">
        <v>2019</v>
      </c>
      <c r="B255" s="28" t="s">
        <v>135</v>
      </c>
      <c r="C255" s="28" t="s">
        <v>835</v>
      </c>
      <c r="D255" s="68">
        <v>43555</v>
      </c>
      <c r="E255" s="171"/>
      <c r="F255" s="28">
        <f>6/1000</f>
        <v>6.0000000000000001E-3</v>
      </c>
      <c r="G255" s="169"/>
      <c r="H255" s="28">
        <f>6/1000</f>
        <v>6.0000000000000001E-3</v>
      </c>
      <c r="I255" s="28">
        <v>23.77</v>
      </c>
      <c r="J255" s="28">
        <v>18.86</v>
      </c>
      <c r="K255" s="62">
        <f t="shared" si="31"/>
        <v>0.53981670000000004</v>
      </c>
      <c r="L255" s="62">
        <f t="shared" si="32"/>
        <v>13.2776286</v>
      </c>
      <c r="M255" s="83">
        <f t="shared" si="33"/>
        <v>0.42831059999999999</v>
      </c>
      <c r="N255" s="28">
        <v>31</v>
      </c>
      <c r="O255" s="93">
        <f t="shared" si="41"/>
        <v>13.027795027019998</v>
      </c>
      <c r="P255" s="93">
        <f t="shared" si="40"/>
        <v>29.277171063000001</v>
      </c>
      <c r="Q255" s="203">
        <v>31</v>
      </c>
      <c r="R255" s="170"/>
    </row>
    <row r="256" spans="1:18" x14ac:dyDescent="0.25">
      <c r="A256" s="169">
        <v>2019</v>
      </c>
      <c r="B256" s="28" t="s">
        <v>135</v>
      </c>
      <c r="C256" s="28" t="s">
        <v>835</v>
      </c>
      <c r="D256" s="68">
        <v>43585</v>
      </c>
      <c r="E256" s="171"/>
      <c r="F256" s="28">
        <f>9/1000</f>
        <v>8.9999999999999993E-3</v>
      </c>
      <c r="G256" s="169"/>
      <c r="H256" s="28">
        <f>9/1000</f>
        <v>8.9999999999999993E-3</v>
      </c>
      <c r="I256" s="28">
        <v>20.95</v>
      </c>
      <c r="J256" s="28">
        <v>17.62</v>
      </c>
      <c r="K256" s="62">
        <f t="shared" si="31"/>
        <v>0.71366174999999987</v>
      </c>
      <c r="L256" s="62">
        <f t="shared" si="32"/>
        <v>18.006759000000002</v>
      </c>
      <c r="M256" s="83">
        <f t="shared" si="33"/>
        <v>0.60022530000000007</v>
      </c>
      <c r="N256" s="28">
        <v>30</v>
      </c>
      <c r="O256" s="93">
        <f t="shared" si="41"/>
        <v>18.256872882510002</v>
      </c>
      <c r="P256" s="93">
        <f t="shared" si="40"/>
        <v>39.704903595000005</v>
      </c>
      <c r="Q256" s="203">
        <v>31</v>
      </c>
      <c r="R256" s="170"/>
    </row>
    <row r="257" spans="1:18" x14ac:dyDescent="0.25">
      <c r="A257" s="169">
        <v>2019</v>
      </c>
      <c r="B257" s="28" t="s">
        <v>135</v>
      </c>
      <c r="C257" s="28" t="s">
        <v>835</v>
      </c>
      <c r="D257" s="68">
        <v>43616</v>
      </c>
      <c r="E257" s="171"/>
      <c r="F257" s="28">
        <f>1/1000</f>
        <v>1E-3</v>
      </c>
      <c r="G257" s="169"/>
      <c r="H257" s="28">
        <f>1/1000</f>
        <v>1E-3</v>
      </c>
      <c r="I257" s="28">
        <v>22.95</v>
      </c>
      <c r="J257" s="28">
        <v>15.37</v>
      </c>
      <c r="K257" s="62">
        <f t="shared" si="31"/>
        <v>8.6865749999999992E-2</v>
      </c>
      <c r="L257" s="62">
        <f t="shared" si="32"/>
        <v>1.8034389500000001</v>
      </c>
      <c r="M257" s="83">
        <f t="shared" si="33"/>
        <v>5.8175450000000004E-2</v>
      </c>
      <c r="N257" s="28">
        <v>31</v>
      </c>
      <c r="O257" s="93">
        <f t="shared" si="41"/>
        <v>1.7695052100149999</v>
      </c>
      <c r="P257" s="93">
        <f t="shared" si="40"/>
        <v>3.9765828847500004</v>
      </c>
      <c r="Q257" s="203">
        <v>31</v>
      </c>
      <c r="R257" s="170"/>
    </row>
    <row r="258" spans="1:18" x14ac:dyDescent="0.25">
      <c r="A258" s="169">
        <v>2019</v>
      </c>
      <c r="B258" s="28" t="s">
        <v>135</v>
      </c>
      <c r="C258" s="28" t="s">
        <v>835</v>
      </c>
      <c r="D258" s="68">
        <v>43646</v>
      </c>
      <c r="E258" s="171"/>
      <c r="F258" s="28">
        <v>0</v>
      </c>
      <c r="G258" s="169"/>
      <c r="H258" s="28">
        <v>0</v>
      </c>
      <c r="I258" s="28">
        <v>17.98</v>
      </c>
      <c r="J258" s="28">
        <v>14.8</v>
      </c>
      <c r="K258" s="62">
        <f t="shared" si="31"/>
        <v>0</v>
      </c>
      <c r="L258" s="62">
        <f t="shared" si="32"/>
        <v>0</v>
      </c>
      <c r="M258" s="83">
        <f t="shared" si="33"/>
        <v>0</v>
      </c>
      <c r="N258" s="28">
        <v>30</v>
      </c>
      <c r="O258" s="93" t="str">
        <f t="shared" si="41"/>
        <v/>
      </c>
      <c r="P258" s="93">
        <f t="shared" si="40"/>
        <v>0</v>
      </c>
      <c r="Q258" s="203">
        <v>31</v>
      </c>
      <c r="R258" s="170"/>
    </row>
    <row r="259" spans="1:18" x14ac:dyDescent="0.25">
      <c r="A259" s="169">
        <v>2019</v>
      </c>
      <c r="B259" s="28" t="s">
        <v>135</v>
      </c>
      <c r="C259" s="28" t="s">
        <v>835</v>
      </c>
      <c r="D259" s="68">
        <v>43677</v>
      </c>
      <c r="E259" s="171"/>
      <c r="F259" s="28">
        <v>0</v>
      </c>
      <c r="G259" s="169"/>
      <c r="H259" s="28">
        <v>0</v>
      </c>
      <c r="I259" s="28">
        <v>16.850000000000001</v>
      </c>
      <c r="J259" s="28">
        <v>14.08</v>
      </c>
      <c r="K259" s="62">
        <f t="shared" si="31"/>
        <v>0</v>
      </c>
      <c r="L259" s="62">
        <f t="shared" si="32"/>
        <v>0</v>
      </c>
      <c r="M259" s="83">
        <f t="shared" si="33"/>
        <v>0</v>
      </c>
      <c r="N259" s="28">
        <v>31</v>
      </c>
      <c r="O259" s="93" t="str">
        <f t="shared" si="41"/>
        <v/>
      </c>
      <c r="P259" s="93">
        <f t="shared" si="40"/>
        <v>0</v>
      </c>
      <c r="Q259" s="203">
        <v>31</v>
      </c>
      <c r="R259" s="170"/>
    </row>
    <row r="260" spans="1:18" x14ac:dyDescent="0.25">
      <c r="A260" s="169">
        <v>2019</v>
      </c>
      <c r="B260" s="28" t="s">
        <v>135</v>
      </c>
      <c r="C260" s="28" t="s">
        <v>835</v>
      </c>
      <c r="D260" s="68">
        <v>43708</v>
      </c>
      <c r="E260" s="171"/>
      <c r="F260" s="28">
        <v>0</v>
      </c>
      <c r="G260" s="169"/>
      <c r="H260" s="28">
        <v>0</v>
      </c>
      <c r="I260" s="28">
        <v>16.940000000000001</v>
      </c>
      <c r="J260" s="28">
        <v>15.2</v>
      </c>
      <c r="K260" s="62">
        <f t="shared" si="31"/>
        <v>0</v>
      </c>
      <c r="L260" s="62">
        <f t="shared" si="32"/>
        <v>0</v>
      </c>
      <c r="M260" s="83">
        <f t="shared" si="33"/>
        <v>0</v>
      </c>
      <c r="N260" s="28">
        <v>31</v>
      </c>
      <c r="O260" s="93" t="str">
        <f t="shared" si="41"/>
        <v/>
      </c>
      <c r="P260" s="208">
        <f t="shared" si="40"/>
        <v>0</v>
      </c>
      <c r="Q260" s="212">
        <v>31</v>
      </c>
      <c r="R260" s="170"/>
    </row>
    <row r="261" spans="1:18" x14ac:dyDescent="0.25">
      <c r="A261" s="169">
        <v>2019</v>
      </c>
      <c r="B261" s="28" t="s">
        <v>135</v>
      </c>
      <c r="C261" s="28" t="s">
        <v>835</v>
      </c>
      <c r="D261" s="68">
        <v>43738</v>
      </c>
      <c r="E261" s="171"/>
      <c r="F261" s="28">
        <v>0</v>
      </c>
      <c r="G261" s="169"/>
      <c r="H261" s="28">
        <v>0</v>
      </c>
      <c r="I261" s="28">
        <v>17.97</v>
      </c>
      <c r="J261" s="28">
        <v>12.56</v>
      </c>
      <c r="K261" s="62">
        <f t="shared" ref="K261:K324" si="42">IFERROR(+F261*I261*3.785,"")</f>
        <v>0</v>
      </c>
      <c r="L261" s="62">
        <f t="shared" ref="L261:L324" si="43">IFERROR(H261*J261*3.785*N261,"")</f>
        <v>0</v>
      </c>
      <c r="M261" s="83">
        <f t="shared" ref="M261:M324" si="44">IFERROR(+L261/N261,"")</f>
        <v>0</v>
      </c>
      <c r="N261" s="28">
        <v>30</v>
      </c>
      <c r="O261" s="210" t="str">
        <f t="shared" si="41"/>
        <v/>
      </c>
      <c r="P261" s="93">
        <f t="shared" si="40"/>
        <v>0</v>
      </c>
      <c r="Q261" s="203">
        <v>31</v>
      </c>
      <c r="R261" s="170"/>
    </row>
    <row r="262" spans="1:18" x14ac:dyDescent="0.25">
      <c r="A262" s="169">
        <v>2019</v>
      </c>
      <c r="B262" s="28" t="s">
        <v>135</v>
      </c>
      <c r="C262" s="28" t="s">
        <v>835</v>
      </c>
      <c r="D262" s="68">
        <v>43769</v>
      </c>
      <c r="E262" s="171"/>
      <c r="F262" s="28">
        <f>4/1000</f>
        <v>4.0000000000000001E-3</v>
      </c>
      <c r="G262" s="169"/>
      <c r="H262" s="28">
        <f>4/1000</f>
        <v>4.0000000000000001E-3</v>
      </c>
      <c r="I262" s="28">
        <v>22.56</v>
      </c>
      <c r="J262" s="28">
        <v>20.69</v>
      </c>
      <c r="K262" s="62">
        <f t="shared" si="42"/>
        <v>0.34155840000000004</v>
      </c>
      <c r="L262" s="62">
        <f t="shared" si="43"/>
        <v>9.7106446000000002</v>
      </c>
      <c r="M262" s="83">
        <f t="shared" si="44"/>
        <v>0.31324659999999999</v>
      </c>
      <c r="N262" s="28">
        <v>31</v>
      </c>
      <c r="O262" s="210">
        <f t="shared" si="41"/>
        <v>9.52792785822</v>
      </c>
      <c r="P262" s="93">
        <f t="shared" si="40"/>
        <v>21.411971343000001</v>
      </c>
      <c r="Q262" s="203">
        <v>31</v>
      </c>
      <c r="R262" s="170"/>
    </row>
    <row r="263" spans="1:18" x14ac:dyDescent="0.25">
      <c r="A263" s="169">
        <v>2019</v>
      </c>
      <c r="B263" s="28" t="s">
        <v>135</v>
      </c>
      <c r="C263" s="28" t="s">
        <v>835</v>
      </c>
      <c r="D263" s="68">
        <v>43799</v>
      </c>
      <c r="E263" s="171"/>
      <c r="F263" s="28">
        <v>0</v>
      </c>
      <c r="G263" s="169"/>
      <c r="H263" s="28">
        <v>0</v>
      </c>
      <c r="I263" s="28">
        <v>22.72</v>
      </c>
      <c r="J263" s="28">
        <v>18.329999999999998</v>
      </c>
      <c r="K263" s="62">
        <f t="shared" si="42"/>
        <v>0</v>
      </c>
      <c r="L263" s="62">
        <f t="shared" si="43"/>
        <v>0</v>
      </c>
      <c r="M263" s="83">
        <f t="shared" si="44"/>
        <v>0</v>
      </c>
      <c r="N263" s="28">
        <v>30</v>
      </c>
      <c r="O263" s="210" t="str">
        <f t="shared" si="41"/>
        <v/>
      </c>
      <c r="P263" s="93">
        <f t="shared" si="40"/>
        <v>0</v>
      </c>
      <c r="Q263" s="203">
        <v>31</v>
      </c>
      <c r="R263" s="170"/>
    </row>
    <row r="264" spans="1:18" x14ac:dyDescent="0.25">
      <c r="A264" s="169">
        <v>2019</v>
      </c>
      <c r="B264" s="28" t="s">
        <v>135</v>
      </c>
      <c r="C264" s="28" t="s">
        <v>835</v>
      </c>
      <c r="D264" s="68">
        <v>43830</v>
      </c>
      <c r="E264" s="171"/>
      <c r="F264" s="28">
        <f>3/1000</f>
        <v>3.0000000000000001E-3</v>
      </c>
      <c r="G264" s="169"/>
      <c r="H264" s="28">
        <f>3/1000</f>
        <v>3.0000000000000001E-3</v>
      </c>
      <c r="I264" s="28">
        <v>20.93</v>
      </c>
      <c r="J264" s="28">
        <v>17.12</v>
      </c>
      <c r="K264" s="62">
        <f t="shared" si="42"/>
        <v>0.23766015000000001</v>
      </c>
      <c r="L264" s="62">
        <f t="shared" si="43"/>
        <v>6.0263256000000007</v>
      </c>
      <c r="M264" s="83">
        <f t="shared" si="44"/>
        <v>0.19439760000000003</v>
      </c>
      <c r="N264" s="28">
        <v>31</v>
      </c>
      <c r="O264" s="210">
        <f t="shared" si="41"/>
        <v>5.9129334799200004</v>
      </c>
      <c r="P264" s="93">
        <f t="shared" si="40"/>
        <v>13.288047948000003</v>
      </c>
      <c r="Q264" s="203">
        <v>31</v>
      </c>
      <c r="R264" s="170"/>
    </row>
    <row r="265" spans="1:18" x14ac:dyDescent="0.25">
      <c r="A265" s="169">
        <v>2019</v>
      </c>
      <c r="B265" s="28" t="s">
        <v>135</v>
      </c>
      <c r="C265" s="28" t="s">
        <v>835</v>
      </c>
      <c r="D265" s="68">
        <v>43496</v>
      </c>
      <c r="E265" s="171"/>
      <c r="F265" s="28" t="s">
        <v>2446</v>
      </c>
      <c r="G265" s="169"/>
      <c r="H265" s="28" t="s">
        <v>2446</v>
      </c>
      <c r="I265" s="169"/>
      <c r="J265" s="169"/>
      <c r="K265" s="62" t="str">
        <f t="shared" si="42"/>
        <v/>
      </c>
      <c r="L265" s="62" t="str">
        <f t="shared" si="43"/>
        <v/>
      </c>
      <c r="M265" s="83" t="str">
        <f t="shared" si="44"/>
        <v/>
      </c>
      <c r="N265" s="28">
        <v>31</v>
      </c>
      <c r="O265" s="210" t="str">
        <f t="shared" si="41"/>
        <v/>
      </c>
      <c r="P265" s="93" t="str">
        <f t="shared" si="40"/>
        <v/>
      </c>
      <c r="Q265" s="203" t="s">
        <v>2454</v>
      </c>
      <c r="R265" s="170"/>
    </row>
    <row r="266" spans="1:18" x14ac:dyDescent="0.25">
      <c r="A266" s="169">
        <v>2019</v>
      </c>
      <c r="B266" s="28" t="s">
        <v>135</v>
      </c>
      <c r="C266" s="28" t="s">
        <v>835</v>
      </c>
      <c r="D266" s="68">
        <v>43524</v>
      </c>
      <c r="E266" s="171"/>
      <c r="F266" s="28" t="s">
        <v>2446</v>
      </c>
      <c r="G266" s="169"/>
      <c r="H266" s="28" t="s">
        <v>2446</v>
      </c>
      <c r="I266" s="169"/>
      <c r="J266" s="169"/>
      <c r="K266" s="62" t="str">
        <f t="shared" si="42"/>
        <v/>
      </c>
      <c r="L266" s="62" t="str">
        <f t="shared" si="43"/>
        <v/>
      </c>
      <c r="M266" s="83" t="str">
        <f t="shared" si="44"/>
        <v/>
      </c>
      <c r="N266" s="28">
        <v>28</v>
      </c>
      <c r="O266" s="210" t="str">
        <f t="shared" si="41"/>
        <v/>
      </c>
      <c r="P266" s="93" t="str">
        <f t="shared" si="40"/>
        <v/>
      </c>
      <c r="Q266" s="203" t="s">
        <v>2454</v>
      </c>
      <c r="R266" s="170"/>
    </row>
    <row r="267" spans="1:18" x14ac:dyDescent="0.25">
      <c r="A267" s="169">
        <v>2019</v>
      </c>
      <c r="B267" s="28" t="s">
        <v>135</v>
      </c>
      <c r="C267" s="28" t="s">
        <v>835</v>
      </c>
      <c r="D267" s="68">
        <v>43555</v>
      </c>
      <c r="E267" s="171"/>
      <c r="F267" s="28" t="s">
        <v>2446</v>
      </c>
      <c r="G267" s="169"/>
      <c r="H267" s="28" t="s">
        <v>2446</v>
      </c>
      <c r="I267" s="169"/>
      <c r="J267" s="169"/>
      <c r="K267" s="62" t="str">
        <f t="shared" si="42"/>
        <v/>
      </c>
      <c r="L267" s="62" t="str">
        <f t="shared" si="43"/>
        <v/>
      </c>
      <c r="M267" s="83" t="str">
        <f t="shared" si="44"/>
        <v/>
      </c>
      <c r="N267" s="28">
        <v>31</v>
      </c>
      <c r="O267" s="210" t="str">
        <f t="shared" si="41"/>
        <v/>
      </c>
      <c r="P267" s="93" t="str">
        <f t="shared" si="40"/>
        <v/>
      </c>
      <c r="Q267" s="203" t="s">
        <v>2454</v>
      </c>
      <c r="R267" s="170"/>
    </row>
    <row r="268" spans="1:18" x14ac:dyDescent="0.25">
      <c r="A268" s="169">
        <v>2019</v>
      </c>
      <c r="B268" s="28" t="s">
        <v>135</v>
      </c>
      <c r="C268" s="28" t="s">
        <v>835</v>
      </c>
      <c r="D268" s="68">
        <v>43585</v>
      </c>
      <c r="E268" s="171"/>
      <c r="F268" s="28" t="s">
        <v>2446</v>
      </c>
      <c r="G268" s="169"/>
      <c r="H268" s="28" t="s">
        <v>2446</v>
      </c>
      <c r="I268" s="169"/>
      <c r="J268" s="169"/>
      <c r="K268" s="62" t="str">
        <f t="shared" si="42"/>
        <v/>
      </c>
      <c r="L268" s="62" t="str">
        <f t="shared" si="43"/>
        <v/>
      </c>
      <c r="M268" s="83" t="str">
        <f t="shared" si="44"/>
        <v/>
      </c>
      <c r="N268" s="28">
        <v>30</v>
      </c>
      <c r="O268" s="210" t="str">
        <f t="shared" si="41"/>
        <v/>
      </c>
      <c r="P268" s="93" t="str">
        <f t="shared" si="40"/>
        <v/>
      </c>
      <c r="Q268" s="203" t="s">
        <v>2454</v>
      </c>
      <c r="R268" s="170"/>
    </row>
    <row r="269" spans="1:18" x14ac:dyDescent="0.25">
      <c r="A269" s="169">
        <v>2019</v>
      </c>
      <c r="B269" s="28" t="s">
        <v>135</v>
      </c>
      <c r="C269" s="28" t="s">
        <v>835</v>
      </c>
      <c r="D269" s="68">
        <v>43616</v>
      </c>
      <c r="E269" s="171"/>
      <c r="F269" s="28" t="s">
        <v>2446</v>
      </c>
      <c r="G269" s="169"/>
      <c r="H269" s="28" t="s">
        <v>2446</v>
      </c>
      <c r="I269" s="169"/>
      <c r="J269" s="169"/>
      <c r="K269" s="62" t="str">
        <f t="shared" si="42"/>
        <v/>
      </c>
      <c r="L269" s="62" t="str">
        <f t="shared" si="43"/>
        <v/>
      </c>
      <c r="M269" s="83" t="str">
        <f t="shared" si="44"/>
        <v/>
      </c>
      <c r="N269" s="28">
        <v>31</v>
      </c>
      <c r="O269" s="210" t="str">
        <f t="shared" si="41"/>
        <v/>
      </c>
      <c r="P269" s="93" t="str">
        <f t="shared" si="40"/>
        <v/>
      </c>
      <c r="Q269" s="203" t="s">
        <v>2454</v>
      </c>
      <c r="R269" s="170"/>
    </row>
    <row r="270" spans="1:18" x14ac:dyDescent="0.25">
      <c r="A270" s="169">
        <v>2019</v>
      </c>
      <c r="B270" s="28" t="s">
        <v>135</v>
      </c>
      <c r="C270" s="28" t="s">
        <v>835</v>
      </c>
      <c r="D270" s="68">
        <v>43646</v>
      </c>
      <c r="E270" s="171"/>
      <c r="F270" s="28" t="s">
        <v>2446</v>
      </c>
      <c r="G270" s="169"/>
      <c r="H270" s="28" t="s">
        <v>2446</v>
      </c>
      <c r="I270" s="169"/>
      <c r="J270" s="169"/>
      <c r="K270" s="62" t="str">
        <f t="shared" si="42"/>
        <v/>
      </c>
      <c r="L270" s="62" t="str">
        <f t="shared" si="43"/>
        <v/>
      </c>
      <c r="M270" s="83" t="str">
        <f t="shared" si="44"/>
        <v/>
      </c>
      <c r="N270" s="28">
        <v>30</v>
      </c>
      <c r="O270" s="210" t="str">
        <f t="shared" si="41"/>
        <v/>
      </c>
      <c r="P270" s="93" t="str">
        <f t="shared" si="40"/>
        <v/>
      </c>
      <c r="Q270" s="203" t="s">
        <v>2454</v>
      </c>
      <c r="R270" s="170"/>
    </row>
    <row r="271" spans="1:18" x14ac:dyDescent="0.25">
      <c r="A271" s="169">
        <v>2019</v>
      </c>
      <c r="B271" s="28" t="s">
        <v>135</v>
      </c>
      <c r="C271" s="28" t="s">
        <v>835</v>
      </c>
      <c r="D271" s="68">
        <v>43677</v>
      </c>
      <c r="E271" s="171"/>
      <c r="F271" s="28" t="s">
        <v>2446</v>
      </c>
      <c r="G271" s="169"/>
      <c r="H271" s="28" t="s">
        <v>2446</v>
      </c>
      <c r="I271" s="169"/>
      <c r="J271" s="169"/>
      <c r="K271" s="62" t="str">
        <f t="shared" si="42"/>
        <v/>
      </c>
      <c r="L271" s="62" t="str">
        <f t="shared" si="43"/>
        <v/>
      </c>
      <c r="M271" s="83" t="str">
        <f t="shared" si="44"/>
        <v/>
      </c>
      <c r="N271" s="28">
        <v>31</v>
      </c>
      <c r="O271" s="210" t="str">
        <f t="shared" si="41"/>
        <v/>
      </c>
      <c r="P271" s="93" t="str">
        <f t="shared" si="40"/>
        <v/>
      </c>
      <c r="Q271" s="203" t="s">
        <v>2454</v>
      </c>
      <c r="R271" s="170"/>
    </row>
    <row r="272" spans="1:18" x14ac:dyDescent="0.25">
      <c r="A272" s="169">
        <v>2019</v>
      </c>
      <c r="B272" s="28" t="s">
        <v>135</v>
      </c>
      <c r="C272" s="28" t="s">
        <v>835</v>
      </c>
      <c r="D272" s="68">
        <v>43708</v>
      </c>
      <c r="E272" s="171"/>
      <c r="F272" s="28" t="s">
        <v>2446</v>
      </c>
      <c r="G272" s="169"/>
      <c r="H272" s="28" t="s">
        <v>2446</v>
      </c>
      <c r="I272" s="169"/>
      <c r="J272" s="169"/>
      <c r="K272" s="62" t="str">
        <f t="shared" si="42"/>
        <v/>
      </c>
      <c r="L272" s="62" t="str">
        <f t="shared" si="43"/>
        <v/>
      </c>
      <c r="M272" s="83" t="str">
        <f t="shared" si="44"/>
        <v/>
      </c>
      <c r="N272" s="28">
        <v>31</v>
      </c>
      <c r="O272" s="210" t="str">
        <f t="shared" si="41"/>
        <v/>
      </c>
      <c r="P272" s="93" t="str">
        <f t="shared" si="40"/>
        <v/>
      </c>
      <c r="Q272" s="203" t="s">
        <v>2454</v>
      </c>
      <c r="R272" s="170"/>
    </row>
    <row r="273" spans="1:18" x14ac:dyDescent="0.25">
      <c r="A273" s="169">
        <v>2019</v>
      </c>
      <c r="B273" s="28" t="s">
        <v>135</v>
      </c>
      <c r="C273" s="28" t="s">
        <v>835</v>
      </c>
      <c r="D273" s="68">
        <v>43738</v>
      </c>
      <c r="E273" s="171"/>
      <c r="F273" s="28" t="s">
        <v>2446</v>
      </c>
      <c r="G273" s="169"/>
      <c r="H273" s="28" t="s">
        <v>2446</v>
      </c>
      <c r="I273" s="169"/>
      <c r="J273" s="169"/>
      <c r="K273" s="62" t="str">
        <f t="shared" si="42"/>
        <v/>
      </c>
      <c r="L273" s="62" t="str">
        <f t="shared" si="43"/>
        <v/>
      </c>
      <c r="M273" s="83" t="str">
        <f t="shared" si="44"/>
        <v/>
      </c>
      <c r="N273" s="28">
        <v>30</v>
      </c>
      <c r="O273" s="210" t="str">
        <f t="shared" si="41"/>
        <v/>
      </c>
      <c r="P273" s="93" t="str">
        <f t="shared" si="40"/>
        <v/>
      </c>
      <c r="Q273" s="203" t="s">
        <v>2454</v>
      </c>
      <c r="R273" s="170"/>
    </row>
    <row r="274" spans="1:18" x14ac:dyDescent="0.25">
      <c r="A274" s="169">
        <v>2019</v>
      </c>
      <c r="B274" s="126" t="s">
        <v>135</v>
      </c>
      <c r="C274" s="126" t="s">
        <v>835</v>
      </c>
      <c r="D274" s="190">
        <v>43769</v>
      </c>
      <c r="E274" s="174"/>
      <c r="F274" s="126" t="s">
        <v>2446</v>
      </c>
      <c r="G274" s="175"/>
      <c r="H274" s="126" t="s">
        <v>2446</v>
      </c>
      <c r="I274" s="175"/>
      <c r="J274" s="175"/>
      <c r="K274" s="62" t="str">
        <f t="shared" si="42"/>
        <v/>
      </c>
      <c r="L274" s="62" t="str">
        <f t="shared" si="43"/>
        <v/>
      </c>
      <c r="M274" s="83" t="str">
        <f t="shared" si="44"/>
        <v/>
      </c>
      <c r="N274" s="126">
        <v>31</v>
      </c>
      <c r="O274" s="211" t="str">
        <f t="shared" si="41"/>
        <v/>
      </c>
      <c r="P274" s="93" t="str">
        <f t="shared" si="40"/>
        <v/>
      </c>
      <c r="Q274" s="203" t="s">
        <v>2454</v>
      </c>
      <c r="R274" s="170"/>
    </row>
    <row r="275" spans="1:18" x14ac:dyDescent="0.25">
      <c r="A275" s="187">
        <v>2019</v>
      </c>
      <c r="B275" s="28" t="s">
        <v>135</v>
      </c>
      <c r="C275" s="28" t="s">
        <v>835</v>
      </c>
      <c r="D275" s="68">
        <v>43799</v>
      </c>
      <c r="E275" s="191"/>
      <c r="F275" s="28" t="s">
        <v>2446</v>
      </c>
      <c r="H275" s="28" t="s">
        <v>2446</v>
      </c>
      <c r="K275" s="62" t="str">
        <f t="shared" si="42"/>
        <v/>
      </c>
      <c r="L275" s="62" t="str">
        <f t="shared" si="43"/>
        <v/>
      </c>
      <c r="M275" s="83" t="str">
        <f t="shared" si="44"/>
        <v/>
      </c>
      <c r="N275" s="28">
        <v>30</v>
      </c>
      <c r="O275" s="210" t="str">
        <f t="shared" si="41"/>
        <v/>
      </c>
      <c r="P275" s="93" t="str">
        <f t="shared" si="40"/>
        <v/>
      </c>
      <c r="Q275" s="203" t="s">
        <v>2454</v>
      </c>
      <c r="R275" s="170"/>
    </row>
    <row r="276" spans="1:18" x14ac:dyDescent="0.25">
      <c r="A276" s="187">
        <v>2019</v>
      </c>
      <c r="B276" s="28" t="s">
        <v>135</v>
      </c>
      <c r="C276" s="126" t="s">
        <v>835</v>
      </c>
      <c r="D276" s="190">
        <v>43830</v>
      </c>
      <c r="E276" s="209"/>
      <c r="F276" s="126" t="s">
        <v>2446</v>
      </c>
      <c r="G276" s="126"/>
      <c r="H276" s="126" t="s">
        <v>2446</v>
      </c>
      <c r="I276" s="126"/>
      <c r="J276" s="126"/>
      <c r="K276" s="62" t="str">
        <f t="shared" si="42"/>
        <v/>
      </c>
      <c r="L276" s="62" t="str">
        <f t="shared" si="43"/>
        <v/>
      </c>
      <c r="M276" s="83" t="str">
        <f t="shared" si="44"/>
        <v/>
      </c>
      <c r="N276" s="28">
        <v>31</v>
      </c>
      <c r="O276" s="210" t="str">
        <f t="shared" si="41"/>
        <v/>
      </c>
      <c r="P276" s="93" t="str">
        <f t="shared" si="40"/>
        <v/>
      </c>
      <c r="Q276" s="203" t="s">
        <v>2454</v>
      </c>
      <c r="R276" s="170"/>
    </row>
    <row r="277" spans="1:18" x14ac:dyDescent="0.25">
      <c r="A277" s="187">
        <v>2019</v>
      </c>
      <c r="B277" s="81" t="s">
        <v>149</v>
      </c>
      <c r="C277" s="28" t="s">
        <v>860</v>
      </c>
      <c r="D277" s="68">
        <v>43496</v>
      </c>
      <c r="E277" s="207"/>
      <c r="F277" s="28">
        <v>0</v>
      </c>
      <c r="H277" s="28">
        <v>0</v>
      </c>
      <c r="I277" s="28">
        <v>6.9</v>
      </c>
      <c r="J277" s="28">
        <v>5.7</v>
      </c>
      <c r="K277" s="62">
        <f t="shared" si="42"/>
        <v>0</v>
      </c>
      <c r="L277" s="62">
        <f t="shared" si="43"/>
        <v>0</v>
      </c>
      <c r="M277" s="83">
        <f t="shared" si="44"/>
        <v>0</v>
      </c>
      <c r="N277" s="28">
        <v>31</v>
      </c>
      <c r="O277" s="210" t="str">
        <f t="shared" si="41"/>
        <v/>
      </c>
      <c r="P277" s="93">
        <f t="shared" si="40"/>
        <v>0</v>
      </c>
      <c r="Q277" s="203">
        <v>1</v>
      </c>
      <c r="R277" s="170" t="s">
        <v>2449</v>
      </c>
    </row>
    <row r="278" spans="1:18" x14ac:dyDescent="0.25">
      <c r="A278" s="187">
        <v>2019</v>
      </c>
      <c r="B278" s="81" t="s">
        <v>149</v>
      </c>
      <c r="C278" s="28" t="s">
        <v>860</v>
      </c>
      <c r="D278" s="68">
        <v>43524</v>
      </c>
      <c r="E278" s="191"/>
      <c r="F278" s="28">
        <v>0</v>
      </c>
      <c r="H278" s="28">
        <v>0</v>
      </c>
      <c r="I278" s="28">
        <v>6.8</v>
      </c>
      <c r="J278" s="28">
        <v>6</v>
      </c>
      <c r="K278" s="62">
        <f t="shared" si="42"/>
        <v>0</v>
      </c>
      <c r="L278" s="62">
        <f t="shared" si="43"/>
        <v>0</v>
      </c>
      <c r="M278" s="83">
        <f t="shared" si="44"/>
        <v>0</v>
      </c>
      <c r="N278" s="28">
        <v>28</v>
      </c>
      <c r="O278" s="210" t="str">
        <f t="shared" si="41"/>
        <v/>
      </c>
      <c r="P278" s="93">
        <f t="shared" si="40"/>
        <v>0</v>
      </c>
      <c r="Q278" s="203">
        <v>1</v>
      </c>
      <c r="R278" s="170"/>
    </row>
    <row r="279" spans="1:18" x14ac:dyDescent="0.25">
      <c r="A279" s="187">
        <v>2019</v>
      </c>
      <c r="B279" s="81" t="s">
        <v>149</v>
      </c>
      <c r="C279" s="28" t="s">
        <v>860</v>
      </c>
      <c r="D279" s="68">
        <v>43555</v>
      </c>
      <c r="E279" s="191"/>
      <c r="F279" s="28">
        <v>0</v>
      </c>
      <c r="H279" s="28">
        <v>0</v>
      </c>
      <c r="I279" s="28">
        <v>6.4</v>
      </c>
      <c r="J279" s="28">
        <v>5.4</v>
      </c>
      <c r="K279" s="62">
        <f t="shared" si="42"/>
        <v>0</v>
      </c>
      <c r="L279" s="62">
        <f t="shared" si="43"/>
        <v>0</v>
      </c>
      <c r="M279" s="83">
        <f t="shared" si="44"/>
        <v>0</v>
      </c>
      <c r="N279" s="28">
        <v>31</v>
      </c>
      <c r="O279" s="93" t="str">
        <f t="shared" si="41"/>
        <v/>
      </c>
      <c r="P279" s="213">
        <f t="shared" si="40"/>
        <v>0</v>
      </c>
      <c r="Q279" s="214">
        <v>1</v>
      </c>
      <c r="R279" s="170"/>
    </row>
    <row r="280" spans="1:18" x14ac:dyDescent="0.25">
      <c r="A280" s="187">
        <v>2019</v>
      </c>
      <c r="B280" s="81" t="s">
        <v>149</v>
      </c>
      <c r="C280" s="28" t="s">
        <v>860</v>
      </c>
      <c r="D280" s="68">
        <v>43585</v>
      </c>
      <c r="E280" s="207"/>
      <c r="F280" s="28">
        <v>0.45</v>
      </c>
      <c r="H280" s="28">
        <v>7.0000000000000007E-2</v>
      </c>
      <c r="I280" s="28">
        <v>7.1</v>
      </c>
      <c r="J280" s="28">
        <v>4.5999999999999996</v>
      </c>
      <c r="K280" s="62">
        <f t="shared" si="42"/>
        <v>12.093075000000001</v>
      </c>
      <c r="L280" s="62">
        <f t="shared" si="43"/>
        <v>36.563100000000006</v>
      </c>
      <c r="M280" s="83">
        <f t="shared" si="44"/>
        <v>1.2187700000000001</v>
      </c>
      <c r="N280" s="28">
        <v>30</v>
      </c>
      <c r="O280" s="93">
        <f t="shared" si="41"/>
        <v>37.070961459000003</v>
      </c>
      <c r="P280" s="93">
        <f t="shared" si="40"/>
        <v>80.621635500000011</v>
      </c>
      <c r="Q280" s="203">
        <v>1</v>
      </c>
      <c r="R280" s="170"/>
    </row>
    <row r="281" spans="1:18" x14ac:dyDescent="0.25">
      <c r="A281" s="187">
        <v>2019</v>
      </c>
      <c r="B281" s="81" t="s">
        <v>149</v>
      </c>
      <c r="C281" s="28" t="s">
        <v>860</v>
      </c>
      <c r="D281" s="68">
        <v>43616</v>
      </c>
      <c r="E281" s="207"/>
      <c r="F281" s="28">
        <v>0</v>
      </c>
      <c r="H281" s="28">
        <v>0</v>
      </c>
      <c r="I281" s="28">
        <v>7.3</v>
      </c>
      <c r="J281" s="28">
        <v>6.2</v>
      </c>
      <c r="K281" s="62">
        <f t="shared" si="42"/>
        <v>0</v>
      </c>
      <c r="L281" s="62">
        <f t="shared" si="43"/>
        <v>0</v>
      </c>
      <c r="M281" s="83">
        <f t="shared" si="44"/>
        <v>0</v>
      </c>
      <c r="N281" s="28">
        <v>31</v>
      </c>
      <c r="O281" s="93" t="str">
        <f t="shared" si="41"/>
        <v/>
      </c>
      <c r="P281" s="93">
        <f t="shared" si="40"/>
        <v>0</v>
      </c>
      <c r="Q281" s="203">
        <v>1</v>
      </c>
      <c r="R281" s="170"/>
    </row>
    <row r="282" spans="1:18" x14ac:dyDescent="0.25">
      <c r="A282" s="187">
        <v>2019</v>
      </c>
      <c r="B282" s="81" t="s">
        <v>149</v>
      </c>
      <c r="C282" s="28" t="s">
        <v>860</v>
      </c>
      <c r="D282" s="68">
        <v>43646</v>
      </c>
      <c r="E282" s="207"/>
      <c r="F282" s="28">
        <v>0</v>
      </c>
      <c r="H282" s="28">
        <v>0</v>
      </c>
      <c r="I282" s="28">
        <v>8.1999999999999993</v>
      </c>
      <c r="J282" s="28">
        <v>6.7</v>
      </c>
      <c r="K282" s="62">
        <f t="shared" si="42"/>
        <v>0</v>
      </c>
      <c r="L282" s="62">
        <f t="shared" si="43"/>
        <v>0</v>
      </c>
      <c r="M282" s="83">
        <f t="shared" si="44"/>
        <v>0</v>
      </c>
      <c r="N282" s="28">
        <v>30</v>
      </c>
      <c r="O282" s="93" t="str">
        <f t="shared" si="41"/>
        <v/>
      </c>
      <c r="P282" s="93">
        <f t="shared" si="40"/>
        <v>0</v>
      </c>
      <c r="Q282" s="203">
        <v>1</v>
      </c>
      <c r="R282" s="170"/>
    </row>
    <row r="283" spans="1:18" x14ac:dyDescent="0.25">
      <c r="A283" s="187">
        <v>2019</v>
      </c>
      <c r="B283" s="81" t="s">
        <v>149</v>
      </c>
      <c r="C283" s="28" t="s">
        <v>860</v>
      </c>
      <c r="D283" s="68">
        <v>43677</v>
      </c>
      <c r="E283" s="191"/>
      <c r="F283" s="28">
        <v>0</v>
      </c>
      <c r="H283" s="28">
        <v>0</v>
      </c>
      <c r="I283" s="28">
        <v>7</v>
      </c>
      <c r="J283" s="28">
        <v>6</v>
      </c>
      <c r="K283" s="62">
        <f t="shared" si="42"/>
        <v>0</v>
      </c>
      <c r="L283" s="62">
        <f t="shared" si="43"/>
        <v>0</v>
      </c>
      <c r="M283" s="83">
        <f t="shared" si="44"/>
        <v>0</v>
      </c>
      <c r="N283" s="28">
        <v>31</v>
      </c>
      <c r="O283" s="93" t="str">
        <f t="shared" si="41"/>
        <v/>
      </c>
      <c r="P283" s="93">
        <f t="shared" si="40"/>
        <v>0</v>
      </c>
      <c r="Q283" s="203">
        <v>1</v>
      </c>
      <c r="R283" s="170"/>
    </row>
    <row r="284" spans="1:18" x14ac:dyDescent="0.25">
      <c r="A284" s="187">
        <v>2019</v>
      </c>
      <c r="B284" s="81" t="s">
        <v>149</v>
      </c>
      <c r="C284" s="28" t="s">
        <v>860</v>
      </c>
      <c r="D284" s="68">
        <v>43708</v>
      </c>
      <c r="E284" s="191"/>
      <c r="F284" s="28">
        <v>0</v>
      </c>
      <c r="H284" s="28">
        <v>0</v>
      </c>
      <c r="I284" s="28">
        <v>6.9</v>
      </c>
      <c r="J284" s="28">
        <v>6.4</v>
      </c>
      <c r="K284" s="62">
        <f t="shared" si="42"/>
        <v>0</v>
      </c>
      <c r="L284" s="62">
        <f t="shared" si="43"/>
        <v>0</v>
      </c>
      <c r="M284" s="83">
        <f t="shared" si="44"/>
        <v>0</v>
      </c>
      <c r="N284" s="28">
        <v>31</v>
      </c>
      <c r="O284" s="93" t="str">
        <f t="shared" si="41"/>
        <v/>
      </c>
      <c r="P284" s="208">
        <f t="shared" si="40"/>
        <v>0</v>
      </c>
      <c r="Q284" s="212">
        <v>1</v>
      </c>
      <c r="R284" s="170"/>
    </row>
    <row r="285" spans="1:18" x14ac:dyDescent="0.25">
      <c r="A285" s="187">
        <v>2019</v>
      </c>
      <c r="B285" s="81" t="s">
        <v>149</v>
      </c>
      <c r="C285" s="28" t="s">
        <v>860</v>
      </c>
      <c r="D285" s="68">
        <v>43738</v>
      </c>
      <c r="E285" s="191"/>
      <c r="F285" s="28">
        <v>0</v>
      </c>
      <c r="H285" s="28">
        <v>0</v>
      </c>
      <c r="I285" s="28">
        <v>6.9</v>
      </c>
      <c r="J285" s="28">
        <v>6.4</v>
      </c>
      <c r="K285" s="62">
        <f t="shared" si="42"/>
        <v>0</v>
      </c>
      <c r="L285" s="62">
        <f t="shared" si="43"/>
        <v>0</v>
      </c>
      <c r="M285" s="83">
        <f t="shared" si="44"/>
        <v>0</v>
      </c>
      <c r="N285" s="28">
        <v>30</v>
      </c>
      <c r="O285" s="210" t="str">
        <f t="shared" si="41"/>
        <v/>
      </c>
      <c r="P285" s="93">
        <f t="shared" si="40"/>
        <v>0</v>
      </c>
      <c r="Q285" s="203">
        <v>1</v>
      </c>
      <c r="R285" s="170"/>
    </row>
    <row r="286" spans="1:18" x14ac:dyDescent="0.25">
      <c r="A286" s="187">
        <v>2019</v>
      </c>
      <c r="B286" s="81" t="s">
        <v>149</v>
      </c>
      <c r="C286" s="28" t="s">
        <v>860</v>
      </c>
      <c r="D286" s="68">
        <v>43769</v>
      </c>
      <c r="E286" s="191"/>
      <c r="F286" s="28">
        <v>0</v>
      </c>
      <c r="H286" s="28">
        <v>0</v>
      </c>
      <c r="I286" s="28">
        <v>7</v>
      </c>
      <c r="J286" s="28">
        <v>6.4</v>
      </c>
      <c r="K286" s="62">
        <f t="shared" si="42"/>
        <v>0</v>
      </c>
      <c r="L286" s="62">
        <f t="shared" si="43"/>
        <v>0</v>
      </c>
      <c r="M286" s="83">
        <f t="shared" si="44"/>
        <v>0</v>
      </c>
      <c r="N286" s="126">
        <v>31</v>
      </c>
      <c r="O286" s="210" t="str">
        <f t="shared" si="41"/>
        <v/>
      </c>
      <c r="P286" s="93">
        <f t="shared" si="40"/>
        <v>0</v>
      </c>
      <c r="Q286" s="203">
        <v>1</v>
      </c>
      <c r="R286" s="170"/>
    </row>
    <row r="287" spans="1:18" x14ac:dyDescent="0.25">
      <c r="A287" s="187">
        <v>2019</v>
      </c>
      <c r="B287" s="81" t="s">
        <v>149</v>
      </c>
      <c r="C287" s="28" t="s">
        <v>860</v>
      </c>
      <c r="D287" s="68">
        <v>43799</v>
      </c>
      <c r="E287" s="191"/>
      <c r="F287" s="28">
        <v>7.0000000000000007E-2</v>
      </c>
      <c r="H287" s="28">
        <v>0.01</v>
      </c>
      <c r="I287" s="28">
        <v>7.5</v>
      </c>
      <c r="J287" s="28">
        <v>6.6</v>
      </c>
      <c r="K287" s="62">
        <f t="shared" si="42"/>
        <v>1.9871250000000003</v>
      </c>
      <c r="L287" s="62">
        <f t="shared" si="43"/>
        <v>7.4943000000000008</v>
      </c>
      <c r="M287" s="83">
        <f t="shared" si="44"/>
        <v>0.24981000000000003</v>
      </c>
      <c r="N287" s="28">
        <v>30</v>
      </c>
      <c r="O287" s="210">
        <f t="shared" si="41"/>
        <v>7.598395827</v>
      </c>
      <c r="P287" s="93">
        <f t="shared" si="40"/>
        <v>16.524931500000001</v>
      </c>
      <c r="Q287" s="203">
        <v>1</v>
      </c>
      <c r="R287" s="170"/>
    </row>
    <row r="288" spans="1:18" x14ac:dyDescent="0.25">
      <c r="A288" s="187">
        <v>2019</v>
      </c>
      <c r="B288" s="81" t="s">
        <v>149</v>
      </c>
      <c r="C288" s="28" t="s">
        <v>860</v>
      </c>
      <c r="D288" s="68">
        <v>43830</v>
      </c>
      <c r="E288" s="191"/>
      <c r="F288" s="28">
        <v>0.01</v>
      </c>
      <c r="H288" s="28">
        <v>0</v>
      </c>
      <c r="I288" s="28">
        <v>7.5</v>
      </c>
      <c r="J288" s="28">
        <v>6.5</v>
      </c>
      <c r="K288" s="62">
        <f t="shared" si="42"/>
        <v>0.28387499999999999</v>
      </c>
      <c r="L288" s="62">
        <f t="shared" si="43"/>
        <v>0</v>
      </c>
      <c r="M288" s="83">
        <f t="shared" si="44"/>
        <v>0</v>
      </c>
      <c r="N288" s="28">
        <v>31</v>
      </c>
      <c r="O288" s="210" t="str">
        <f t="shared" si="41"/>
        <v/>
      </c>
      <c r="P288" s="93">
        <f t="shared" si="40"/>
        <v>0</v>
      </c>
      <c r="Q288" s="203">
        <v>1</v>
      </c>
      <c r="R288" s="170"/>
    </row>
    <row r="289" spans="1:18" x14ac:dyDescent="0.25">
      <c r="A289" s="187">
        <v>2019</v>
      </c>
      <c r="B289" s="81" t="s">
        <v>149</v>
      </c>
      <c r="C289" s="28" t="s">
        <v>860</v>
      </c>
      <c r="D289" s="68">
        <v>43496</v>
      </c>
      <c r="E289" s="191"/>
      <c r="F289" s="28">
        <v>0</v>
      </c>
      <c r="H289" s="28">
        <v>0</v>
      </c>
      <c r="I289" s="28">
        <v>14.2</v>
      </c>
      <c r="J289" s="28">
        <v>10.5</v>
      </c>
      <c r="K289" s="62">
        <f t="shared" si="42"/>
        <v>0</v>
      </c>
      <c r="L289" s="62">
        <f t="shared" si="43"/>
        <v>0</v>
      </c>
      <c r="M289" s="83">
        <f t="shared" si="44"/>
        <v>0</v>
      </c>
      <c r="N289" s="28">
        <v>31</v>
      </c>
      <c r="O289" s="210" t="str">
        <f t="shared" si="41"/>
        <v/>
      </c>
      <c r="P289" s="93">
        <f t="shared" si="40"/>
        <v>0</v>
      </c>
      <c r="Q289" s="60">
        <v>2</v>
      </c>
      <c r="R289" s="170" t="s">
        <v>6762</v>
      </c>
    </row>
    <row r="290" spans="1:18" x14ac:dyDescent="0.25">
      <c r="A290" s="187">
        <v>2019</v>
      </c>
      <c r="B290" s="81" t="s">
        <v>149</v>
      </c>
      <c r="C290" s="28" t="s">
        <v>860</v>
      </c>
      <c r="D290" s="68">
        <v>43524</v>
      </c>
      <c r="E290" s="191"/>
      <c r="F290" s="28">
        <v>0</v>
      </c>
      <c r="H290" s="28">
        <v>0</v>
      </c>
      <c r="I290" s="28">
        <v>36.1</v>
      </c>
      <c r="J290" s="28">
        <v>21.2</v>
      </c>
      <c r="K290" s="62">
        <f t="shared" si="42"/>
        <v>0</v>
      </c>
      <c r="L290" s="62">
        <f t="shared" si="43"/>
        <v>0</v>
      </c>
      <c r="M290" s="83">
        <f t="shared" si="44"/>
        <v>0</v>
      </c>
      <c r="N290" s="28">
        <v>28</v>
      </c>
      <c r="O290" s="210" t="str">
        <f t="shared" si="41"/>
        <v/>
      </c>
      <c r="P290" s="93">
        <f t="shared" si="40"/>
        <v>0</v>
      </c>
      <c r="Q290" s="60">
        <v>2</v>
      </c>
      <c r="R290" s="170"/>
    </row>
    <row r="291" spans="1:18" x14ac:dyDescent="0.25">
      <c r="A291" s="187">
        <v>2019</v>
      </c>
      <c r="B291" s="81" t="s">
        <v>149</v>
      </c>
      <c r="C291" s="28" t="s">
        <v>860</v>
      </c>
      <c r="D291" s="68">
        <v>43555</v>
      </c>
      <c r="E291" s="191"/>
      <c r="F291" s="28" t="s">
        <v>2446</v>
      </c>
      <c r="H291" s="28" t="s">
        <v>2446</v>
      </c>
      <c r="I291" s="28" t="s">
        <v>2446</v>
      </c>
      <c r="J291" s="28" t="s">
        <v>2446</v>
      </c>
      <c r="K291" s="62" t="str">
        <f t="shared" si="42"/>
        <v/>
      </c>
      <c r="L291" s="62" t="str">
        <f t="shared" si="43"/>
        <v/>
      </c>
      <c r="M291" s="83" t="str">
        <f t="shared" si="44"/>
        <v/>
      </c>
      <c r="N291" s="28">
        <v>31</v>
      </c>
      <c r="O291" s="210" t="str">
        <f t="shared" si="41"/>
        <v/>
      </c>
      <c r="P291" s="93" t="str">
        <f t="shared" si="40"/>
        <v/>
      </c>
      <c r="Q291" s="60">
        <v>2</v>
      </c>
      <c r="R291" s="170"/>
    </row>
    <row r="292" spans="1:18" x14ac:dyDescent="0.25">
      <c r="A292" s="187">
        <v>2019</v>
      </c>
      <c r="B292" s="81" t="s">
        <v>149</v>
      </c>
      <c r="C292" s="28" t="s">
        <v>860</v>
      </c>
      <c r="D292" s="68">
        <v>43585</v>
      </c>
      <c r="E292" s="191"/>
      <c r="F292" s="28">
        <v>0</v>
      </c>
      <c r="H292" s="28">
        <v>0</v>
      </c>
      <c r="I292" s="28">
        <v>9.1999999999999993</v>
      </c>
      <c r="J292" s="28">
        <v>9.1999999999999993</v>
      </c>
      <c r="K292" s="62">
        <f t="shared" si="42"/>
        <v>0</v>
      </c>
      <c r="L292" s="62">
        <f t="shared" si="43"/>
        <v>0</v>
      </c>
      <c r="M292" s="83">
        <f t="shared" si="44"/>
        <v>0</v>
      </c>
      <c r="N292" s="28">
        <v>30</v>
      </c>
      <c r="O292" s="210" t="str">
        <f t="shared" si="41"/>
        <v/>
      </c>
      <c r="P292" s="93">
        <f t="shared" si="40"/>
        <v>0</v>
      </c>
      <c r="Q292" s="60">
        <v>2</v>
      </c>
      <c r="R292" s="170"/>
    </row>
    <row r="293" spans="1:18" x14ac:dyDescent="0.25">
      <c r="A293" s="169">
        <v>2019</v>
      </c>
      <c r="B293" s="28" t="s">
        <v>149</v>
      </c>
      <c r="C293" s="28" t="s">
        <v>860</v>
      </c>
      <c r="D293" s="68">
        <v>43616</v>
      </c>
      <c r="E293" s="191"/>
      <c r="F293" s="28">
        <v>0</v>
      </c>
      <c r="H293" s="28">
        <v>0</v>
      </c>
      <c r="I293" s="28">
        <v>57.1</v>
      </c>
      <c r="J293" s="28">
        <v>18.600000000000001</v>
      </c>
      <c r="K293" s="62">
        <f t="shared" si="42"/>
        <v>0</v>
      </c>
      <c r="L293" s="62">
        <f t="shared" si="43"/>
        <v>0</v>
      </c>
      <c r="M293" s="83">
        <f t="shared" si="44"/>
        <v>0</v>
      </c>
      <c r="N293" s="28">
        <v>31</v>
      </c>
      <c r="O293" s="210" t="str">
        <f t="shared" si="41"/>
        <v/>
      </c>
      <c r="P293" s="93">
        <f t="shared" si="40"/>
        <v>0</v>
      </c>
      <c r="Q293" s="60">
        <v>2</v>
      </c>
      <c r="R293" s="170"/>
    </row>
    <row r="294" spans="1:18" x14ac:dyDescent="0.25">
      <c r="A294" s="169">
        <v>2019</v>
      </c>
      <c r="B294" s="28" t="s">
        <v>149</v>
      </c>
      <c r="C294" s="28" t="s">
        <v>860</v>
      </c>
      <c r="D294" s="68">
        <v>43646</v>
      </c>
      <c r="E294" s="191"/>
      <c r="F294" s="28">
        <v>0</v>
      </c>
      <c r="H294" s="28">
        <v>0</v>
      </c>
      <c r="I294" s="28">
        <v>56.2</v>
      </c>
      <c r="J294" s="28">
        <v>21.2</v>
      </c>
      <c r="K294" s="62">
        <f t="shared" si="42"/>
        <v>0</v>
      </c>
      <c r="L294" s="62">
        <f t="shared" si="43"/>
        <v>0</v>
      </c>
      <c r="M294" s="83">
        <f t="shared" si="44"/>
        <v>0</v>
      </c>
      <c r="N294" s="28">
        <v>30</v>
      </c>
      <c r="O294" s="210" t="str">
        <f t="shared" si="41"/>
        <v/>
      </c>
      <c r="P294" s="93">
        <f t="shared" si="40"/>
        <v>0</v>
      </c>
      <c r="Q294" s="60">
        <v>2</v>
      </c>
      <c r="R294" s="170"/>
    </row>
    <row r="295" spans="1:18" x14ac:dyDescent="0.25">
      <c r="A295" s="169">
        <v>2019</v>
      </c>
      <c r="B295" s="28" t="s">
        <v>149</v>
      </c>
      <c r="C295" s="28" t="s">
        <v>860</v>
      </c>
      <c r="D295" s="68">
        <v>43677</v>
      </c>
      <c r="E295" s="191"/>
      <c r="F295" s="28">
        <v>0</v>
      </c>
      <c r="H295" s="28">
        <v>0</v>
      </c>
      <c r="I295" s="28">
        <v>2.4</v>
      </c>
      <c r="J295" s="28">
        <v>2.4</v>
      </c>
      <c r="K295" s="62">
        <f t="shared" si="42"/>
        <v>0</v>
      </c>
      <c r="L295" s="62">
        <f t="shared" si="43"/>
        <v>0</v>
      </c>
      <c r="M295" s="83">
        <f t="shared" si="44"/>
        <v>0</v>
      </c>
      <c r="N295" s="28">
        <v>31</v>
      </c>
      <c r="O295" s="210" t="str">
        <f t="shared" si="41"/>
        <v/>
      </c>
      <c r="P295" s="93">
        <f t="shared" si="40"/>
        <v>0</v>
      </c>
      <c r="Q295" s="60">
        <v>2</v>
      </c>
      <c r="R295" s="170"/>
    </row>
    <row r="296" spans="1:18" x14ac:dyDescent="0.25">
      <c r="A296" s="169">
        <v>2019</v>
      </c>
      <c r="B296" s="28" t="s">
        <v>149</v>
      </c>
      <c r="C296" s="28" t="s">
        <v>860</v>
      </c>
      <c r="D296" s="68">
        <v>43708</v>
      </c>
      <c r="E296" s="191"/>
      <c r="F296" s="28">
        <v>0</v>
      </c>
      <c r="H296" s="28">
        <v>0</v>
      </c>
      <c r="I296" s="28">
        <v>17.8</v>
      </c>
      <c r="J296" s="28">
        <v>17.8</v>
      </c>
      <c r="K296" s="62">
        <f t="shared" si="42"/>
        <v>0</v>
      </c>
      <c r="L296" s="62">
        <f t="shared" si="43"/>
        <v>0</v>
      </c>
      <c r="M296" s="83">
        <f t="shared" si="44"/>
        <v>0</v>
      </c>
      <c r="N296" s="28">
        <v>31</v>
      </c>
      <c r="O296" s="210" t="str">
        <f t="shared" si="41"/>
        <v/>
      </c>
      <c r="P296" s="93">
        <f t="shared" si="40"/>
        <v>0</v>
      </c>
      <c r="Q296" s="60">
        <v>2</v>
      </c>
      <c r="R296" s="170"/>
    </row>
    <row r="297" spans="1:18" x14ac:dyDescent="0.25">
      <c r="A297" s="169">
        <v>2019</v>
      </c>
      <c r="B297" s="28" t="s">
        <v>149</v>
      </c>
      <c r="C297" s="28" t="s">
        <v>860</v>
      </c>
      <c r="D297" s="68">
        <v>43738</v>
      </c>
      <c r="E297" s="191"/>
      <c r="F297" s="28">
        <v>0</v>
      </c>
      <c r="H297" s="28">
        <v>0</v>
      </c>
      <c r="I297" s="28">
        <v>7.2</v>
      </c>
      <c r="J297" s="28">
        <v>3.8</v>
      </c>
      <c r="K297" s="62">
        <f t="shared" si="42"/>
        <v>0</v>
      </c>
      <c r="L297" s="62">
        <f t="shared" si="43"/>
        <v>0</v>
      </c>
      <c r="M297" s="83">
        <f t="shared" si="44"/>
        <v>0</v>
      </c>
      <c r="N297" s="28">
        <v>30</v>
      </c>
      <c r="O297" s="210" t="str">
        <f t="shared" si="41"/>
        <v/>
      </c>
      <c r="P297" s="93">
        <f t="shared" si="40"/>
        <v>0</v>
      </c>
      <c r="Q297" s="60">
        <v>2</v>
      </c>
      <c r="R297" s="170"/>
    </row>
    <row r="298" spans="1:18" x14ac:dyDescent="0.25">
      <c r="A298" s="169">
        <v>2019</v>
      </c>
      <c r="B298" s="28" t="s">
        <v>149</v>
      </c>
      <c r="C298" s="28" t="s">
        <v>860</v>
      </c>
      <c r="D298" s="68">
        <v>43769</v>
      </c>
      <c r="E298" s="191"/>
      <c r="F298" s="28">
        <v>0</v>
      </c>
      <c r="H298" s="28">
        <v>0</v>
      </c>
      <c r="I298" s="28">
        <v>45.2</v>
      </c>
      <c r="J298" s="28">
        <v>18</v>
      </c>
      <c r="K298" s="62">
        <f t="shared" si="42"/>
        <v>0</v>
      </c>
      <c r="L298" s="62">
        <f t="shared" si="43"/>
        <v>0</v>
      </c>
      <c r="M298" s="83">
        <f t="shared" si="44"/>
        <v>0</v>
      </c>
      <c r="N298" s="126">
        <v>31</v>
      </c>
      <c r="O298" s="210" t="str">
        <f t="shared" si="41"/>
        <v/>
      </c>
      <c r="P298" s="93">
        <f t="shared" si="40"/>
        <v>0</v>
      </c>
      <c r="Q298" s="60">
        <v>2</v>
      </c>
      <c r="R298" s="170"/>
    </row>
    <row r="299" spans="1:18" x14ac:dyDescent="0.25">
      <c r="A299" s="169">
        <v>2019</v>
      </c>
      <c r="B299" s="28" t="s">
        <v>149</v>
      </c>
      <c r="C299" s="28" t="s">
        <v>860</v>
      </c>
      <c r="D299" s="68">
        <v>43799</v>
      </c>
      <c r="E299" s="191"/>
      <c r="F299" s="28">
        <v>0</v>
      </c>
      <c r="H299" s="28">
        <v>0</v>
      </c>
      <c r="I299" s="28">
        <v>61.6</v>
      </c>
      <c r="J299" s="28">
        <v>22.8</v>
      </c>
      <c r="K299" s="62">
        <f t="shared" si="42"/>
        <v>0</v>
      </c>
      <c r="L299" s="62">
        <f t="shared" si="43"/>
        <v>0</v>
      </c>
      <c r="M299" s="83">
        <f t="shared" si="44"/>
        <v>0</v>
      </c>
      <c r="N299" s="28">
        <v>30</v>
      </c>
      <c r="O299" s="210" t="str">
        <f t="shared" si="41"/>
        <v/>
      </c>
      <c r="P299" s="93">
        <f t="shared" si="40"/>
        <v>0</v>
      </c>
      <c r="Q299" s="60">
        <v>2</v>
      </c>
      <c r="R299" s="170"/>
    </row>
    <row r="300" spans="1:18" x14ac:dyDescent="0.25">
      <c r="A300" s="169">
        <v>2019</v>
      </c>
      <c r="B300" s="28" t="s">
        <v>149</v>
      </c>
      <c r="C300" s="28" t="s">
        <v>860</v>
      </c>
      <c r="D300" s="68">
        <v>43830</v>
      </c>
      <c r="E300" s="191"/>
      <c r="F300" s="28">
        <v>0</v>
      </c>
      <c r="H300" s="28">
        <v>0</v>
      </c>
      <c r="I300" s="28">
        <v>5.9</v>
      </c>
      <c r="J300" s="28">
        <v>5.9</v>
      </c>
      <c r="K300" s="62">
        <f t="shared" si="42"/>
        <v>0</v>
      </c>
      <c r="L300" s="62">
        <f t="shared" si="43"/>
        <v>0</v>
      </c>
      <c r="M300" s="83">
        <f t="shared" si="44"/>
        <v>0</v>
      </c>
      <c r="N300" s="28">
        <v>31</v>
      </c>
      <c r="O300" s="93" t="str">
        <f t="shared" si="41"/>
        <v/>
      </c>
      <c r="P300" s="93">
        <f t="shared" si="40"/>
        <v>0</v>
      </c>
      <c r="Q300" s="60">
        <v>2</v>
      </c>
      <c r="R300" s="170"/>
    </row>
    <row r="301" spans="1:18" x14ac:dyDescent="0.25">
      <c r="A301" s="169">
        <v>2019</v>
      </c>
      <c r="B301" s="28" t="s">
        <v>149</v>
      </c>
      <c r="C301" s="28" t="s">
        <v>860</v>
      </c>
      <c r="D301" s="68">
        <v>43496</v>
      </c>
      <c r="E301" s="191"/>
      <c r="F301" s="28">
        <v>0</v>
      </c>
      <c r="H301" s="28">
        <v>0</v>
      </c>
      <c r="I301" s="28">
        <v>32.5</v>
      </c>
      <c r="J301" s="28">
        <v>16.399999999999999</v>
      </c>
      <c r="K301" s="62">
        <f t="shared" si="42"/>
        <v>0</v>
      </c>
      <c r="L301" s="62">
        <f t="shared" si="43"/>
        <v>0</v>
      </c>
      <c r="M301" s="83">
        <f t="shared" si="44"/>
        <v>0</v>
      </c>
      <c r="N301" s="28">
        <v>31</v>
      </c>
      <c r="O301" s="93" t="str">
        <f t="shared" si="41"/>
        <v/>
      </c>
      <c r="P301" s="93">
        <f t="shared" si="40"/>
        <v>0</v>
      </c>
      <c r="Q301" s="60">
        <v>3</v>
      </c>
      <c r="R301" s="170" t="s">
        <v>6762</v>
      </c>
    </row>
    <row r="302" spans="1:18" x14ac:dyDescent="0.25">
      <c r="A302" s="169">
        <v>2019</v>
      </c>
      <c r="B302" s="28" t="s">
        <v>149</v>
      </c>
      <c r="C302" s="28" t="s">
        <v>860</v>
      </c>
      <c r="D302" s="68">
        <v>43524</v>
      </c>
      <c r="E302" s="191"/>
      <c r="F302" s="28">
        <v>0</v>
      </c>
      <c r="H302" s="28">
        <v>0</v>
      </c>
      <c r="I302" s="28">
        <v>18.100000000000001</v>
      </c>
      <c r="J302" s="28">
        <v>7.6</v>
      </c>
      <c r="K302" s="62">
        <f t="shared" si="42"/>
        <v>0</v>
      </c>
      <c r="L302" s="62">
        <f t="shared" si="43"/>
        <v>0</v>
      </c>
      <c r="M302" s="83">
        <f t="shared" si="44"/>
        <v>0</v>
      </c>
      <c r="N302" s="28">
        <v>28</v>
      </c>
      <c r="O302" s="93" t="str">
        <f t="shared" ref="O302:O348" si="45">IF(AND(L302&gt;0,L302&lt;&gt;""), L302/(N302/30.4167),"")</f>
        <v/>
      </c>
      <c r="P302" s="93">
        <f t="shared" si="40"/>
        <v>0</v>
      </c>
      <c r="Q302" s="60">
        <v>3</v>
      </c>
      <c r="R302" s="170"/>
    </row>
    <row r="303" spans="1:18" x14ac:dyDescent="0.25">
      <c r="A303" s="169">
        <v>2019</v>
      </c>
      <c r="B303" s="28" t="s">
        <v>149</v>
      </c>
      <c r="C303" s="28" t="s">
        <v>860</v>
      </c>
      <c r="D303" s="68">
        <v>43555</v>
      </c>
      <c r="E303" s="191"/>
      <c r="F303" s="28">
        <v>0</v>
      </c>
      <c r="H303" s="28">
        <v>0</v>
      </c>
      <c r="I303" s="28">
        <v>19.399999999999999</v>
      </c>
      <c r="J303" s="28">
        <v>19.399999999999999</v>
      </c>
      <c r="K303" s="62">
        <f t="shared" si="42"/>
        <v>0</v>
      </c>
      <c r="L303" s="62">
        <f t="shared" si="43"/>
        <v>0</v>
      </c>
      <c r="M303" s="83">
        <f t="shared" si="44"/>
        <v>0</v>
      </c>
      <c r="N303" s="28">
        <v>31</v>
      </c>
      <c r="O303" s="93" t="str">
        <f t="shared" si="45"/>
        <v/>
      </c>
      <c r="P303" s="93">
        <f t="shared" si="40"/>
        <v>0</v>
      </c>
      <c r="Q303" s="60">
        <v>3</v>
      </c>
      <c r="R303" s="170"/>
    </row>
    <row r="304" spans="1:18" x14ac:dyDescent="0.25">
      <c r="A304" s="169">
        <v>2019</v>
      </c>
      <c r="B304" s="28" t="s">
        <v>149</v>
      </c>
      <c r="C304" s="28" t="s">
        <v>860</v>
      </c>
      <c r="D304" s="68">
        <v>43585</v>
      </c>
      <c r="E304" s="171"/>
      <c r="F304" s="28">
        <v>0</v>
      </c>
      <c r="G304" s="169"/>
      <c r="H304" s="28">
        <v>0</v>
      </c>
      <c r="I304" s="28">
        <v>20.5</v>
      </c>
      <c r="J304" s="28">
        <v>12</v>
      </c>
      <c r="K304" s="62">
        <f t="shared" si="42"/>
        <v>0</v>
      </c>
      <c r="L304" s="62">
        <f t="shared" si="43"/>
        <v>0</v>
      </c>
      <c r="M304" s="83">
        <f t="shared" si="44"/>
        <v>0</v>
      </c>
      <c r="N304" s="28">
        <v>30</v>
      </c>
      <c r="O304" s="93" t="str">
        <f t="shared" si="45"/>
        <v/>
      </c>
      <c r="P304" s="93">
        <f t="shared" si="40"/>
        <v>0</v>
      </c>
      <c r="Q304" s="60">
        <v>3</v>
      </c>
      <c r="R304" s="170"/>
    </row>
    <row r="305" spans="1:18" x14ac:dyDescent="0.25">
      <c r="A305" s="169">
        <v>2019</v>
      </c>
      <c r="B305" s="28" t="s">
        <v>149</v>
      </c>
      <c r="C305" s="28" t="s">
        <v>860</v>
      </c>
      <c r="D305" s="68">
        <v>43616</v>
      </c>
      <c r="E305" s="171"/>
      <c r="F305" s="28">
        <v>0</v>
      </c>
      <c r="G305" s="169"/>
      <c r="H305" s="28">
        <v>0</v>
      </c>
      <c r="I305" s="28">
        <v>30.6</v>
      </c>
      <c r="J305" s="28">
        <v>11.9</v>
      </c>
      <c r="K305" s="62">
        <f t="shared" si="42"/>
        <v>0</v>
      </c>
      <c r="L305" s="62">
        <f t="shared" si="43"/>
        <v>0</v>
      </c>
      <c r="M305" s="83">
        <f t="shared" si="44"/>
        <v>0</v>
      </c>
      <c r="N305" s="28">
        <v>31</v>
      </c>
      <c r="O305" s="93" t="str">
        <f t="shared" si="45"/>
        <v/>
      </c>
      <c r="P305" s="93">
        <f t="shared" si="40"/>
        <v>0</v>
      </c>
      <c r="Q305" s="60">
        <v>3</v>
      </c>
      <c r="R305" s="170"/>
    </row>
    <row r="306" spans="1:18" x14ac:dyDescent="0.25">
      <c r="A306" s="169">
        <v>2019</v>
      </c>
      <c r="B306" s="28" t="s">
        <v>149</v>
      </c>
      <c r="C306" s="28" t="s">
        <v>860</v>
      </c>
      <c r="D306" s="68">
        <v>43646</v>
      </c>
      <c r="E306" s="171"/>
      <c r="F306" s="28">
        <v>0</v>
      </c>
      <c r="G306" s="169"/>
      <c r="H306" s="28">
        <v>0</v>
      </c>
      <c r="I306" s="28">
        <v>38.700000000000003</v>
      </c>
      <c r="J306" s="28">
        <v>17.5</v>
      </c>
      <c r="K306" s="62">
        <f t="shared" si="42"/>
        <v>0</v>
      </c>
      <c r="L306" s="62">
        <f t="shared" si="43"/>
        <v>0</v>
      </c>
      <c r="M306" s="83">
        <f t="shared" si="44"/>
        <v>0</v>
      </c>
      <c r="N306" s="28">
        <v>30</v>
      </c>
      <c r="O306" s="93" t="str">
        <f t="shared" si="45"/>
        <v/>
      </c>
      <c r="P306" s="93">
        <f t="shared" si="40"/>
        <v>0</v>
      </c>
      <c r="Q306" s="60">
        <v>3</v>
      </c>
      <c r="R306" s="170"/>
    </row>
    <row r="307" spans="1:18" x14ac:dyDescent="0.25">
      <c r="A307" s="169">
        <v>2019</v>
      </c>
      <c r="B307" s="28" t="s">
        <v>149</v>
      </c>
      <c r="C307" s="28" t="s">
        <v>860</v>
      </c>
      <c r="D307" s="68">
        <v>43677</v>
      </c>
      <c r="E307" s="171"/>
      <c r="F307" s="28">
        <v>0</v>
      </c>
      <c r="G307" s="169"/>
      <c r="H307" s="28">
        <v>0</v>
      </c>
      <c r="I307" s="28">
        <v>21.1</v>
      </c>
      <c r="J307" s="28">
        <v>12.2</v>
      </c>
      <c r="K307" s="62">
        <f t="shared" si="42"/>
        <v>0</v>
      </c>
      <c r="L307" s="62">
        <f t="shared" si="43"/>
        <v>0</v>
      </c>
      <c r="M307" s="83">
        <f t="shared" si="44"/>
        <v>0</v>
      </c>
      <c r="N307" s="28">
        <v>31</v>
      </c>
      <c r="O307" s="93" t="str">
        <f t="shared" si="45"/>
        <v/>
      </c>
      <c r="P307" s="93">
        <f t="shared" si="40"/>
        <v>0</v>
      </c>
      <c r="Q307" s="60">
        <v>3</v>
      </c>
      <c r="R307" s="170"/>
    </row>
    <row r="308" spans="1:18" x14ac:dyDescent="0.25">
      <c r="A308" s="169">
        <v>2019</v>
      </c>
      <c r="B308" s="28" t="s">
        <v>149</v>
      </c>
      <c r="C308" s="28" t="s">
        <v>860</v>
      </c>
      <c r="D308" s="68">
        <v>43708</v>
      </c>
      <c r="E308" s="171"/>
      <c r="F308" s="28">
        <v>0</v>
      </c>
      <c r="G308" s="169"/>
      <c r="H308" s="28">
        <v>0</v>
      </c>
      <c r="I308" s="28">
        <v>25.3</v>
      </c>
      <c r="J308" s="28">
        <v>19.100000000000001</v>
      </c>
      <c r="K308" s="62">
        <f t="shared" si="42"/>
        <v>0</v>
      </c>
      <c r="L308" s="62">
        <f t="shared" si="43"/>
        <v>0</v>
      </c>
      <c r="M308" s="83">
        <f t="shared" si="44"/>
        <v>0</v>
      </c>
      <c r="N308" s="28">
        <v>31</v>
      </c>
      <c r="O308" s="93" t="str">
        <f t="shared" si="45"/>
        <v/>
      </c>
      <c r="P308" s="93">
        <f t="shared" si="40"/>
        <v>0</v>
      </c>
      <c r="Q308" s="60">
        <v>3</v>
      </c>
      <c r="R308" s="170"/>
    </row>
    <row r="309" spans="1:18" x14ac:dyDescent="0.25">
      <c r="A309" s="169">
        <v>2019</v>
      </c>
      <c r="B309" s="28" t="s">
        <v>149</v>
      </c>
      <c r="C309" s="28" t="s">
        <v>860</v>
      </c>
      <c r="D309" s="68">
        <v>43738</v>
      </c>
      <c r="E309" s="171"/>
      <c r="F309" s="28">
        <v>0</v>
      </c>
      <c r="G309" s="169"/>
      <c r="H309" s="28">
        <v>0</v>
      </c>
      <c r="I309" s="28">
        <v>20</v>
      </c>
      <c r="J309" s="28">
        <v>10.199999999999999</v>
      </c>
      <c r="K309" s="62">
        <f t="shared" si="42"/>
        <v>0</v>
      </c>
      <c r="L309" s="62">
        <f t="shared" si="43"/>
        <v>0</v>
      </c>
      <c r="M309" s="83">
        <f t="shared" si="44"/>
        <v>0</v>
      </c>
      <c r="N309" s="28">
        <v>30</v>
      </c>
      <c r="O309" s="93" t="str">
        <f t="shared" si="45"/>
        <v/>
      </c>
      <c r="P309" s="93">
        <f t="shared" si="40"/>
        <v>0</v>
      </c>
      <c r="Q309" s="60">
        <v>3</v>
      </c>
      <c r="R309" s="170"/>
    </row>
    <row r="310" spans="1:18" x14ac:dyDescent="0.25">
      <c r="A310" s="169">
        <v>2019</v>
      </c>
      <c r="B310" s="28" t="s">
        <v>149</v>
      </c>
      <c r="C310" s="28" t="s">
        <v>860</v>
      </c>
      <c r="D310" s="68">
        <v>43769</v>
      </c>
      <c r="E310" s="171"/>
      <c r="F310" s="28">
        <v>0</v>
      </c>
      <c r="G310" s="169"/>
      <c r="H310" s="28">
        <v>0</v>
      </c>
      <c r="I310" s="28">
        <v>23.9</v>
      </c>
      <c r="J310" s="28">
        <v>8.8000000000000007</v>
      </c>
      <c r="K310" s="62">
        <f t="shared" si="42"/>
        <v>0</v>
      </c>
      <c r="L310" s="62">
        <f t="shared" si="43"/>
        <v>0</v>
      </c>
      <c r="M310" s="83">
        <f t="shared" si="44"/>
        <v>0</v>
      </c>
      <c r="N310" s="126">
        <v>31</v>
      </c>
      <c r="O310" s="93" t="str">
        <f t="shared" si="45"/>
        <v/>
      </c>
      <c r="P310" s="93">
        <f t="shared" si="40"/>
        <v>0</v>
      </c>
      <c r="Q310" s="60">
        <v>3</v>
      </c>
      <c r="R310" s="170"/>
    </row>
    <row r="311" spans="1:18" x14ac:dyDescent="0.25">
      <c r="A311" s="169">
        <v>2019</v>
      </c>
      <c r="B311" s="28" t="s">
        <v>149</v>
      </c>
      <c r="C311" s="28" t="s">
        <v>860</v>
      </c>
      <c r="D311" s="190">
        <v>43799</v>
      </c>
      <c r="E311" s="174"/>
      <c r="F311" s="126">
        <v>0</v>
      </c>
      <c r="G311" s="175"/>
      <c r="H311" s="126">
        <v>0</v>
      </c>
      <c r="I311" s="126">
        <v>39.6</v>
      </c>
      <c r="J311" s="126">
        <v>13.8</v>
      </c>
      <c r="K311" s="62">
        <f t="shared" si="42"/>
        <v>0</v>
      </c>
      <c r="L311" s="62">
        <f t="shared" si="43"/>
        <v>0</v>
      </c>
      <c r="M311" s="83">
        <f t="shared" si="44"/>
        <v>0</v>
      </c>
      <c r="N311" s="126">
        <v>30</v>
      </c>
      <c r="O311" s="208" t="str">
        <f t="shared" si="45"/>
        <v/>
      </c>
      <c r="P311" s="208">
        <f t="shared" si="40"/>
        <v>0</v>
      </c>
      <c r="Q311" s="215">
        <v>3</v>
      </c>
      <c r="R311" s="170"/>
    </row>
    <row r="312" spans="1:18" x14ac:dyDescent="0.25">
      <c r="A312" s="169">
        <v>2019</v>
      </c>
      <c r="B312" s="28" t="s">
        <v>149</v>
      </c>
      <c r="C312" s="81" t="s">
        <v>860</v>
      </c>
      <c r="D312" s="68">
        <v>43830</v>
      </c>
      <c r="E312" s="171"/>
      <c r="F312" s="28">
        <v>0</v>
      </c>
      <c r="G312" s="169"/>
      <c r="H312" s="28">
        <v>0</v>
      </c>
      <c r="I312" s="28">
        <v>14.8</v>
      </c>
      <c r="J312" s="28">
        <v>9.5</v>
      </c>
      <c r="K312" s="62">
        <f t="shared" si="42"/>
        <v>0</v>
      </c>
      <c r="L312" s="62">
        <f t="shared" si="43"/>
        <v>0</v>
      </c>
      <c r="M312" s="83">
        <f t="shared" si="44"/>
        <v>0</v>
      </c>
      <c r="N312" s="28">
        <v>31</v>
      </c>
      <c r="O312" s="93" t="str">
        <f t="shared" si="45"/>
        <v/>
      </c>
      <c r="P312" s="93">
        <f t="shared" si="40"/>
        <v>0</v>
      </c>
      <c r="Q312" s="60">
        <v>3</v>
      </c>
      <c r="R312" s="170"/>
    </row>
    <row r="313" spans="1:18" x14ac:dyDescent="0.25">
      <c r="A313" s="169">
        <v>2019</v>
      </c>
      <c r="B313" s="28" t="s">
        <v>149</v>
      </c>
      <c r="C313" s="81" t="s">
        <v>860</v>
      </c>
      <c r="D313" s="68">
        <v>43496</v>
      </c>
      <c r="E313" s="171"/>
      <c r="F313" s="28">
        <v>0</v>
      </c>
      <c r="G313" s="169"/>
      <c r="H313" s="28">
        <v>0</v>
      </c>
      <c r="I313" s="28">
        <v>17.399999999999999</v>
      </c>
      <c r="J313" s="28">
        <v>8</v>
      </c>
      <c r="K313" s="62">
        <f t="shared" si="42"/>
        <v>0</v>
      </c>
      <c r="L313" s="62">
        <f t="shared" si="43"/>
        <v>0</v>
      </c>
      <c r="M313" s="83">
        <f t="shared" si="44"/>
        <v>0</v>
      </c>
      <c r="N313" s="28">
        <v>31</v>
      </c>
      <c r="O313" s="93" t="str">
        <f t="shared" si="45"/>
        <v/>
      </c>
      <c r="P313" s="93">
        <f t="shared" si="40"/>
        <v>0</v>
      </c>
      <c r="Q313" s="60">
        <v>4</v>
      </c>
      <c r="R313" s="170" t="s">
        <v>6762</v>
      </c>
    </row>
    <row r="314" spans="1:18" x14ac:dyDescent="0.25">
      <c r="A314" s="169">
        <v>2019</v>
      </c>
      <c r="B314" s="28" t="s">
        <v>149</v>
      </c>
      <c r="C314" s="81" t="s">
        <v>860</v>
      </c>
      <c r="D314" s="68">
        <v>43524</v>
      </c>
      <c r="E314" s="171"/>
      <c r="F314" s="28">
        <v>0</v>
      </c>
      <c r="G314" s="169"/>
      <c r="H314" s="28">
        <v>0</v>
      </c>
      <c r="I314" s="28">
        <v>16.399999999999999</v>
      </c>
      <c r="J314" s="28">
        <v>6.1</v>
      </c>
      <c r="K314" s="62">
        <f t="shared" si="42"/>
        <v>0</v>
      </c>
      <c r="L314" s="62">
        <f t="shared" si="43"/>
        <v>0</v>
      </c>
      <c r="M314" s="83">
        <f t="shared" si="44"/>
        <v>0</v>
      </c>
      <c r="N314" s="28">
        <v>28</v>
      </c>
      <c r="O314" s="93" t="str">
        <f t="shared" si="45"/>
        <v/>
      </c>
      <c r="P314" s="93">
        <f t="shared" si="40"/>
        <v>0</v>
      </c>
      <c r="Q314" s="60">
        <v>4</v>
      </c>
      <c r="R314" s="170"/>
    </row>
    <row r="315" spans="1:18" x14ac:dyDescent="0.25">
      <c r="A315" s="169">
        <v>2019</v>
      </c>
      <c r="B315" s="28" t="s">
        <v>149</v>
      </c>
      <c r="C315" s="81" t="s">
        <v>860</v>
      </c>
      <c r="D315" s="68">
        <v>43555</v>
      </c>
      <c r="E315" s="171"/>
      <c r="F315" s="28" t="s">
        <v>2446</v>
      </c>
      <c r="G315" s="169"/>
      <c r="H315" s="28" t="s">
        <v>2446</v>
      </c>
      <c r="I315" s="28" t="s">
        <v>2446</v>
      </c>
      <c r="J315" s="28" t="s">
        <v>2446</v>
      </c>
      <c r="K315" s="62" t="str">
        <f t="shared" si="42"/>
        <v/>
      </c>
      <c r="L315" s="62" t="str">
        <f t="shared" si="43"/>
        <v/>
      </c>
      <c r="M315" s="83" t="str">
        <f t="shared" si="44"/>
        <v/>
      </c>
      <c r="N315" s="28">
        <v>31</v>
      </c>
      <c r="O315" s="93" t="str">
        <f t="shared" si="45"/>
        <v/>
      </c>
      <c r="P315" s="93" t="str">
        <f t="shared" si="40"/>
        <v/>
      </c>
      <c r="Q315" s="60">
        <v>4</v>
      </c>
      <c r="R315" s="170"/>
    </row>
    <row r="316" spans="1:18" x14ac:dyDescent="0.25">
      <c r="A316" s="169">
        <v>2019</v>
      </c>
      <c r="B316" s="28" t="s">
        <v>149</v>
      </c>
      <c r="C316" s="81" t="s">
        <v>860</v>
      </c>
      <c r="D316" s="68">
        <v>43585</v>
      </c>
      <c r="E316" s="171"/>
      <c r="F316" s="28">
        <v>0</v>
      </c>
      <c r="G316" s="169"/>
      <c r="H316" s="28">
        <v>0</v>
      </c>
      <c r="I316" s="28">
        <v>10.199999999999999</v>
      </c>
      <c r="J316" s="28">
        <v>6.7</v>
      </c>
      <c r="K316" s="62">
        <f t="shared" si="42"/>
        <v>0</v>
      </c>
      <c r="L316" s="62">
        <f t="shared" si="43"/>
        <v>0</v>
      </c>
      <c r="M316" s="83">
        <f t="shared" si="44"/>
        <v>0</v>
      </c>
      <c r="N316" s="28">
        <v>30</v>
      </c>
      <c r="O316" s="93" t="str">
        <f t="shared" si="45"/>
        <v/>
      </c>
      <c r="P316" s="93">
        <f t="shared" si="40"/>
        <v>0</v>
      </c>
      <c r="Q316" s="60">
        <v>4</v>
      </c>
      <c r="R316" s="170"/>
    </row>
    <row r="317" spans="1:18" x14ac:dyDescent="0.25">
      <c r="A317" s="169">
        <v>2019</v>
      </c>
      <c r="B317" s="28" t="s">
        <v>149</v>
      </c>
      <c r="C317" s="81" t="s">
        <v>860</v>
      </c>
      <c r="D317" s="68">
        <v>43616</v>
      </c>
      <c r="E317" s="171"/>
      <c r="F317" s="28">
        <v>0</v>
      </c>
      <c r="G317" s="169"/>
      <c r="H317" s="28">
        <v>0</v>
      </c>
      <c r="I317" s="28">
        <v>33</v>
      </c>
      <c r="J317" s="28">
        <v>12.8</v>
      </c>
      <c r="K317" s="62">
        <f t="shared" si="42"/>
        <v>0</v>
      </c>
      <c r="L317" s="62">
        <f t="shared" si="43"/>
        <v>0</v>
      </c>
      <c r="M317" s="83">
        <f t="shared" si="44"/>
        <v>0</v>
      </c>
      <c r="N317" s="28">
        <v>31</v>
      </c>
      <c r="O317" s="93" t="str">
        <f t="shared" si="45"/>
        <v/>
      </c>
      <c r="P317" s="93">
        <f t="shared" si="40"/>
        <v>0</v>
      </c>
      <c r="Q317" s="60">
        <v>4</v>
      </c>
      <c r="R317" s="170"/>
    </row>
    <row r="318" spans="1:18" x14ac:dyDescent="0.25">
      <c r="A318" s="169">
        <v>2019</v>
      </c>
      <c r="B318" s="28" t="s">
        <v>149</v>
      </c>
      <c r="C318" s="81" t="s">
        <v>860</v>
      </c>
      <c r="D318" s="68">
        <v>43646</v>
      </c>
      <c r="E318" s="171"/>
      <c r="F318" s="28">
        <v>0</v>
      </c>
      <c r="G318" s="169"/>
      <c r="H318" s="28">
        <v>0</v>
      </c>
      <c r="I318" s="28">
        <v>58.4</v>
      </c>
      <c r="J318" s="28">
        <v>17</v>
      </c>
      <c r="K318" s="62">
        <f t="shared" si="42"/>
        <v>0</v>
      </c>
      <c r="L318" s="62">
        <f t="shared" si="43"/>
        <v>0</v>
      </c>
      <c r="M318" s="83">
        <f t="shared" si="44"/>
        <v>0</v>
      </c>
      <c r="N318" s="28">
        <v>30</v>
      </c>
      <c r="O318" s="93" t="str">
        <f t="shared" si="45"/>
        <v/>
      </c>
      <c r="P318" s="93">
        <f t="shared" si="40"/>
        <v>0</v>
      </c>
      <c r="Q318" s="60">
        <v>4</v>
      </c>
      <c r="R318" s="170"/>
    </row>
    <row r="319" spans="1:18" x14ac:dyDescent="0.25">
      <c r="A319" s="169">
        <v>2019</v>
      </c>
      <c r="B319" s="28" t="s">
        <v>149</v>
      </c>
      <c r="C319" s="81" t="s">
        <v>860</v>
      </c>
      <c r="D319" s="68">
        <v>43677</v>
      </c>
      <c r="E319" s="171"/>
      <c r="F319" s="28">
        <v>0</v>
      </c>
      <c r="G319" s="169"/>
      <c r="H319" s="28">
        <v>0</v>
      </c>
      <c r="I319" s="28">
        <v>3.5</v>
      </c>
      <c r="J319" s="28">
        <v>3.5</v>
      </c>
      <c r="K319" s="62">
        <f t="shared" si="42"/>
        <v>0</v>
      </c>
      <c r="L319" s="62">
        <f t="shared" si="43"/>
        <v>0</v>
      </c>
      <c r="M319" s="83">
        <f t="shared" si="44"/>
        <v>0</v>
      </c>
      <c r="N319" s="28">
        <v>31</v>
      </c>
      <c r="O319" s="93" t="str">
        <f t="shared" si="45"/>
        <v/>
      </c>
      <c r="P319" s="93">
        <f t="shared" si="40"/>
        <v>0</v>
      </c>
      <c r="Q319" s="60">
        <v>4</v>
      </c>
      <c r="R319" s="170"/>
    </row>
    <row r="320" spans="1:18" x14ac:dyDescent="0.25">
      <c r="A320" s="169">
        <v>2019</v>
      </c>
      <c r="B320" s="28" t="s">
        <v>149</v>
      </c>
      <c r="C320" s="81" t="s">
        <v>860</v>
      </c>
      <c r="D320" s="68">
        <v>43708</v>
      </c>
      <c r="E320" s="171"/>
      <c r="F320" s="28">
        <v>0</v>
      </c>
      <c r="G320" s="169"/>
      <c r="H320" s="28">
        <v>0</v>
      </c>
      <c r="I320" s="28">
        <v>7.7</v>
      </c>
      <c r="J320" s="28">
        <v>7.7</v>
      </c>
      <c r="K320" s="62">
        <f t="shared" si="42"/>
        <v>0</v>
      </c>
      <c r="L320" s="62">
        <f t="shared" si="43"/>
        <v>0</v>
      </c>
      <c r="M320" s="83">
        <f t="shared" si="44"/>
        <v>0</v>
      </c>
      <c r="N320" s="28">
        <v>31</v>
      </c>
      <c r="O320" s="93" t="str">
        <f t="shared" si="45"/>
        <v/>
      </c>
      <c r="P320" s="93">
        <f t="shared" si="40"/>
        <v>0</v>
      </c>
      <c r="Q320" s="60">
        <v>4</v>
      </c>
      <c r="R320" s="170"/>
    </row>
    <row r="321" spans="1:18" x14ac:dyDescent="0.25">
      <c r="A321" s="169">
        <v>2019</v>
      </c>
      <c r="B321" s="28" t="s">
        <v>149</v>
      </c>
      <c r="C321" s="81" t="s">
        <v>860</v>
      </c>
      <c r="D321" s="68">
        <v>43738</v>
      </c>
      <c r="E321" s="171"/>
      <c r="F321" s="28">
        <v>0</v>
      </c>
      <c r="G321" s="169"/>
      <c r="H321" s="28">
        <v>0</v>
      </c>
      <c r="I321" s="28">
        <v>2.5</v>
      </c>
      <c r="J321" s="28">
        <v>1.4</v>
      </c>
      <c r="K321" s="62">
        <f t="shared" si="42"/>
        <v>0</v>
      </c>
      <c r="L321" s="62">
        <f t="shared" si="43"/>
        <v>0</v>
      </c>
      <c r="M321" s="83">
        <f t="shared" si="44"/>
        <v>0</v>
      </c>
      <c r="N321" s="28">
        <v>30</v>
      </c>
      <c r="O321" s="93" t="str">
        <f t="shared" si="45"/>
        <v/>
      </c>
      <c r="P321" s="93">
        <f t="shared" si="40"/>
        <v>0</v>
      </c>
      <c r="Q321" s="60">
        <v>4</v>
      </c>
      <c r="R321" s="170"/>
    </row>
    <row r="322" spans="1:18" x14ac:dyDescent="0.25">
      <c r="A322" s="169">
        <v>2019</v>
      </c>
      <c r="B322" s="28" t="s">
        <v>149</v>
      </c>
      <c r="C322" s="28" t="s">
        <v>860</v>
      </c>
      <c r="D322" s="68">
        <v>43769</v>
      </c>
      <c r="E322" s="171"/>
      <c r="F322" s="28">
        <v>0</v>
      </c>
      <c r="G322" s="169"/>
      <c r="H322" s="28">
        <v>0</v>
      </c>
      <c r="I322" s="28">
        <v>23.1</v>
      </c>
      <c r="J322" s="28">
        <v>8.3000000000000007</v>
      </c>
      <c r="K322" s="62">
        <f t="shared" si="42"/>
        <v>0</v>
      </c>
      <c r="L322" s="62">
        <f t="shared" si="43"/>
        <v>0</v>
      </c>
      <c r="M322" s="83">
        <f t="shared" si="44"/>
        <v>0</v>
      </c>
      <c r="N322" s="28">
        <v>31</v>
      </c>
      <c r="O322" s="93" t="str">
        <f t="shared" si="45"/>
        <v/>
      </c>
      <c r="P322" s="93">
        <f t="shared" si="40"/>
        <v>0</v>
      </c>
      <c r="Q322" s="60">
        <v>4</v>
      </c>
      <c r="R322" s="170"/>
    </row>
    <row r="323" spans="1:18" x14ac:dyDescent="0.25">
      <c r="A323" s="169">
        <v>2019</v>
      </c>
      <c r="B323" s="28" t="s">
        <v>149</v>
      </c>
      <c r="C323" s="28" t="s">
        <v>860</v>
      </c>
      <c r="D323" s="68">
        <v>43799</v>
      </c>
      <c r="E323" s="171"/>
      <c r="F323" s="28">
        <v>0</v>
      </c>
      <c r="G323" s="169"/>
      <c r="H323" s="28">
        <v>0</v>
      </c>
      <c r="I323" s="28">
        <v>28.5</v>
      </c>
      <c r="J323" s="28">
        <v>14.3</v>
      </c>
      <c r="K323" s="62">
        <f t="shared" si="42"/>
        <v>0</v>
      </c>
      <c r="L323" s="62">
        <f t="shared" si="43"/>
        <v>0</v>
      </c>
      <c r="M323" s="83">
        <f t="shared" si="44"/>
        <v>0</v>
      </c>
      <c r="N323" s="28">
        <v>30</v>
      </c>
      <c r="O323" s="93" t="str">
        <f t="shared" si="45"/>
        <v/>
      </c>
      <c r="P323" s="93">
        <f t="shared" si="40"/>
        <v>0</v>
      </c>
      <c r="Q323" s="60">
        <v>4</v>
      </c>
      <c r="R323" s="170"/>
    </row>
    <row r="324" spans="1:18" x14ac:dyDescent="0.25">
      <c r="A324" s="169">
        <v>2019</v>
      </c>
      <c r="B324" s="28" t="s">
        <v>149</v>
      </c>
      <c r="C324" s="28" t="s">
        <v>860</v>
      </c>
      <c r="D324" s="68">
        <v>43830</v>
      </c>
      <c r="E324" s="171"/>
      <c r="F324" s="28" t="s">
        <v>2446</v>
      </c>
      <c r="G324" s="169"/>
      <c r="H324" s="28" t="s">
        <v>2446</v>
      </c>
      <c r="I324" s="28" t="s">
        <v>2446</v>
      </c>
      <c r="J324" s="28" t="s">
        <v>2446</v>
      </c>
      <c r="K324" s="62" t="str">
        <f t="shared" si="42"/>
        <v/>
      </c>
      <c r="L324" s="62" t="str">
        <f t="shared" si="43"/>
        <v/>
      </c>
      <c r="M324" s="83" t="str">
        <f t="shared" si="44"/>
        <v/>
      </c>
      <c r="N324" s="28">
        <v>31</v>
      </c>
      <c r="O324" s="93" t="str">
        <f t="shared" si="45"/>
        <v/>
      </c>
      <c r="P324" s="93" t="str">
        <f t="shared" si="40"/>
        <v/>
      </c>
      <c r="Q324" s="60">
        <v>4</v>
      </c>
      <c r="R324" s="170"/>
    </row>
    <row r="325" spans="1:18" x14ac:dyDescent="0.25">
      <c r="A325" s="169">
        <v>2019</v>
      </c>
      <c r="B325" s="28" t="s">
        <v>149</v>
      </c>
      <c r="C325" s="28" t="s">
        <v>860</v>
      </c>
      <c r="D325" s="68">
        <v>43496</v>
      </c>
      <c r="E325" s="171"/>
      <c r="F325" s="28">
        <v>0</v>
      </c>
      <c r="G325" s="169"/>
      <c r="H325" s="28">
        <v>0</v>
      </c>
      <c r="I325" s="28">
        <v>17.100000000000001</v>
      </c>
      <c r="J325" s="28">
        <v>10.199999999999999</v>
      </c>
      <c r="K325" s="62">
        <f t="shared" ref="K325:K388" si="46">IFERROR(+F325*I325*3.785,"")</f>
        <v>0</v>
      </c>
      <c r="L325" s="62">
        <f t="shared" ref="L325:L388" si="47">IFERROR(H325*J325*3.785*N325,"")</f>
        <v>0</v>
      </c>
      <c r="M325" s="83">
        <f t="shared" ref="M325:M388" si="48">IFERROR(+L325/N325,"")</f>
        <v>0</v>
      </c>
      <c r="N325" s="28">
        <v>31</v>
      </c>
      <c r="O325" s="93" t="str">
        <f t="shared" si="45"/>
        <v/>
      </c>
      <c r="P325" s="93">
        <f t="shared" si="40"/>
        <v>0</v>
      </c>
      <c r="Q325" s="60">
        <v>5</v>
      </c>
      <c r="R325" s="170" t="s">
        <v>6762</v>
      </c>
    </row>
    <row r="326" spans="1:18" x14ac:dyDescent="0.25">
      <c r="A326" s="169">
        <v>2019</v>
      </c>
      <c r="B326" s="28" t="s">
        <v>149</v>
      </c>
      <c r="C326" s="28" t="s">
        <v>860</v>
      </c>
      <c r="D326" s="68">
        <v>43524</v>
      </c>
      <c r="E326" s="171"/>
      <c r="F326" s="28">
        <v>0</v>
      </c>
      <c r="G326" s="169"/>
      <c r="H326" s="28">
        <v>0</v>
      </c>
      <c r="I326" s="28">
        <v>29.9</v>
      </c>
      <c r="J326" s="28">
        <v>19.5</v>
      </c>
      <c r="K326" s="62">
        <f t="shared" si="46"/>
        <v>0</v>
      </c>
      <c r="L326" s="62">
        <f t="shared" si="47"/>
        <v>0</v>
      </c>
      <c r="M326" s="83">
        <f t="shared" si="48"/>
        <v>0</v>
      </c>
      <c r="N326" s="28">
        <v>28</v>
      </c>
      <c r="O326" s="93" t="str">
        <f t="shared" si="45"/>
        <v/>
      </c>
      <c r="P326" s="93">
        <f t="shared" si="40"/>
        <v>0</v>
      </c>
      <c r="Q326" s="60">
        <v>5</v>
      </c>
      <c r="R326" s="170"/>
    </row>
    <row r="327" spans="1:18" x14ac:dyDescent="0.25">
      <c r="A327" s="169">
        <v>2019</v>
      </c>
      <c r="B327" s="28" t="s">
        <v>149</v>
      </c>
      <c r="C327" s="28" t="s">
        <v>860</v>
      </c>
      <c r="D327" s="68">
        <v>43555</v>
      </c>
      <c r="E327" s="171"/>
      <c r="F327" s="28" t="s">
        <v>2446</v>
      </c>
      <c r="G327" s="28" t="s">
        <v>2446</v>
      </c>
      <c r="H327" s="28" t="s">
        <v>2446</v>
      </c>
      <c r="I327" s="28" t="s">
        <v>2446</v>
      </c>
      <c r="J327" s="28" t="s">
        <v>2446</v>
      </c>
      <c r="K327" s="62" t="str">
        <f t="shared" si="46"/>
        <v/>
      </c>
      <c r="L327" s="62" t="str">
        <f t="shared" si="47"/>
        <v/>
      </c>
      <c r="M327" s="83" t="str">
        <f t="shared" si="48"/>
        <v/>
      </c>
      <c r="N327" s="28">
        <v>31</v>
      </c>
      <c r="O327" s="93" t="str">
        <f t="shared" si="45"/>
        <v/>
      </c>
      <c r="P327" s="93" t="str">
        <f t="shared" si="40"/>
        <v/>
      </c>
      <c r="Q327" s="60">
        <v>5</v>
      </c>
      <c r="R327" s="170"/>
    </row>
    <row r="328" spans="1:18" x14ac:dyDescent="0.25">
      <c r="A328" s="169">
        <v>2019</v>
      </c>
      <c r="B328" s="28" t="s">
        <v>149</v>
      </c>
      <c r="C328" s="28" t="s">
        <v>860</v>
      </c>
      <c r="D328" s="68">
        <v>43585</v>
      </c>
      <c r="E328" s="171"/>
      <c r="F328" s="28">
        <v>0</v>
      </c>
      <c r="G328" s="169"/>
      <c r="H328" s="28">
        <v>0</v>
      </c>
      <c r="I328" s="28">
        <v>4.3</v>
      </c>
      <c r="J328" s="28">
        <v>4.3</v>
      </c>
      <c r="K328" s="62">
        <f t="shared" si="46"/>
        <v>0</v>
      </c>
      <c r="L328" s="62">
        <f t="shared" si="47"/>
        <v>0</v>
      </c>
      <c r="M328" s="83">
        <f t="shared" si="48"/>
        <v>0</v>
      </c>
      <c r="N328" s="28">
        <v>30</v>
      </c>
      <c r="O328" s="93" t="str">
        <f t="shared" si="45"/>
        <v/>
      </c>
      <c r="P328" s="93">
        <f t="shared" si="40"/>
        <v>0</v>
      </c>
      <c r="Q328" s="60">
        <v>5</v>
      </c>
      <c r="R328" s="170"/>
    </row>
    <row r="329" spans="1:18" x14ac:dyDescent="0.25">
      <c r="A329" s="169">
        <v>2019</v>
      </c>
      <c r="B329" s="28" t="s">
        <v>149</v>
      </c>
      <c r="C329" s="28" t="s">
        <v>860</v>
      </c>
      <c r="D329" s="68">
        <v>43616</v>
      </c>
      <c r="E329" s="171"/>
      <c r="F329" s="28">
        <v>0</v>
      </c>
      <c r="G329" s="169"/>
      <c r="H329" s="28">
        <v>0</v>
      </c>
      <c r="I329" s="28">
        <v>31.8</v>
      </c>
      <c r="J329" s="28">
        <v>12.9</v>
      </c>
      <c r="K329" s="62">
        <f t="shared" si="46"/>
        <v>0</v>
      </c>
      <c r="L329" s="62">
        <f t="shared" si="47"/>
        <v>0</v>
      </c>
      <c r="M329" s="83">
        <f t="shared" si="48"/>
        <v>0</v>
      </c>
      <c r="N329" s="28">
        <v>31</v>
      </c>
      <c r="O329" s="93" t="str">
        <f t="shared" si="45"/>
        <v/>
      </c>
      <c r="P329" s="93">
        <f t="shared" si="40"/>
        <v>0</v>
      </c>
      <c r="Q329" s="60">
        <v>5</v>
      </c>
      <c r="R329" s="170"/>
    </row>
    <row r="330" spans="1:18" x14ac:dyDescent="0.25">
      <c r="A330" s="169">
        <v>2019</v>
      </c>
      <c r="B330" s="28" t="s">
        <v>149</v>
      </c>
      <c r="C330" s="28" t="s">
        <v>860</v>
      </c>
      <c r="D330" s="68">
        <v>43646</v>
      </c>
      <c r="E330" s="171"/>
      <c r="F330" s="28">
        <v>0</v>
      </c>
      <c r="G330" s="169"/>
      <c r="H330" s="28">
        <v>0</v>
      </c>
      <c r="I330" s="28">
        <v>31.3</v>
      </c>
      <c r="J330" s="28">
        <v>18.2</v>
      </c>
      <c r="K330" s="62">
        <f t="shared" si="46"/>
        <v>0</v>
      </c>
      <c r="L330" s="62">
        <f t="shared" si="47"/>
        <v>0</v>
      </c>
      <c r="M330" s="83">
        <f t="shared" si="48"/>
        <v>0</v>
      </c>
      <c r="N330" s="28">
        <v>30</v>
      </c>
      <c r="O330" s="93" t="str">
        <f t="shared" si="45"/>
        <v/>
      </c>
      <c r="P330" s="93">
        <f t="shared" ref="P330:P348" si="49">IFERROR(L330*2.205,"")</f>
        <v>0</v>
      </c>
      <c r="Q330" s="60">
        <v>5</v>
      </c>
      <c r="R330" s="170"/>
    </row>
    <row r="331" spans="1:18" x14ac:dyDescent="0.25">
      <c r="A331" s="169">
        <v>2019</v>
      </c>
      <c r="B331" s="28" t="s">
        <v>149</v>
      </c>
      <c r="C331" s="28" t="s">
        <v>860</v>
      </c>
      <c r="D331" s="68">
        <v>43677</v>
      </c>
      <c r="E331" s="171"/>
      <c r="F331" s="28">
        <v>0</v>
      </c>
      <c r="G331" s="169"/>
      <c r="H331" s="28">
        <v>0</v>
      </c>
      <c r="I331" s="28">
        <v>1.3</v>
      </c>
      <c r="J331" s="28">
        <v>1.3</v>
      </c>
      <c r="K331" s="62">
        <f t="shared" si="46"/>
        <v>0</v>
      </c>
      <c r="L331" s="62">
        <f t="shared" si="47"/>
        <v>0</v>
      </c>
      <c r="M331" s="83">
        <f t="shared" si="48"/>
        <v>0</v>
      </c>
      <c r="N331" s="28">
        <v>31</v>
      </c>
      <c r="O331" s="93" t="str">
        <f t="shared" si="45"/>
        <v/>
      </c>
      <c r="P331" s="93">
        <f t="shared" si="49"/>
        <v>0</v>
      </c>
      <c r="Q331" s="60">
        <v>5</v>
      </c>
      <c r="R331" s="170"/>
    </row>
    <row r="332" spans="1:18" x14ac:dyDescent="0.25">
      <c r="A332" s="169">
        <v>2019</v>
      </c>
      <c r="B332" s="28" t="s">
        <v>149</v>
      </c>
      <c r="C332" s="28" t="s">
        <v>860</v>
      </c>
      <c r="D332" s="68">
        <v>43708</v>
      </c>
      <c r="E332" s="171"/>
      <c r="F332" s="28">
        <v>0</v>
      </c>
      <c r="G332" s="169"/>
      <c r="H332" s="28">
        <v>0</v>
      </c>
      <c r="I332" s="28">
        <v>4.0999999999999996</v>
      </c>
      <c r="J332" s="28">
        <v>4.0999999999999996</v>
      </c>
      <c r="K332" s="62">
        <f t="shared" si="46"/>
        <v>0</v>
      </c>
      <c r="L332" s="62">
        <f t="shared" si="47"/>
        <v>0</v>
      </c>
      <c r="M332" s="83">
        <f t="shared" si="48"/>
        <v>0</v>
      </c>
      <c r="N332" s="28">
        <v>31</v>
      </c>
      <c r="O332" s="93" t="str">
        <f t="shared" si="45"/>
        <v/>
      </c>
      <c r="P332" s="93">
        <f t="shared" si="49"/>
        <v>0</v>
      </c>
      <c r="Q332" s="60">
        <v>5</v>
      </c>
      <c r="R332" s="170"/>
    </row>
    <row r="333" spans="1:18" x14ac:dyDescent="0.25">
      <c r="A333" s="169">
        <v>2019</v>
      </c>
      <c r="B333" s="28" t="s">
        <v>149</v>
      </c>
      <c r="C333" s="28" t="s">
        <v>860</v>
      </c>
      <c r="D333" s="68">
        <v>43738</v>
      </c>
      <c r="E333" s="171"/>
      <c r="F333" s="28">
        <v>0</v>
      </c>
      <c r="G333" s="169"/>
      <c r="H333" s="28">
        <v>0</v>
      </c>
      <c r="I333" s="28">
        <v>0.3</v>
      </c>
      <c r="J333" s="28">
        <v>0.3</v>
      </c>
      <c r="K333" s="62">
        <f t="shared" si="46"/>
        <v>0</v>
      </c>
      <c r="L333" s="62">
        <f t="shared" si="47"/>
        <v>0</v>
      </c>
      <c r="M333" s="83">
        <f t="shared" si="48"/>
        <v>0</v>
      </c>
      <c r="N333" s="28">
        <v>30</v>
      </c>
      <c r="O333" s="93" t="str">
        <f t="shared" si="45"/>
        <v/>
      </c>
      <c r="P333" s="93">
        <f t="shared" si="49"/>
        <v>0</v>
      </c>
      <c r="Q333" s="60">
        <v>5</v>
      </c>
      <c r="R333" s="170"/>
    </row>
    <row r="334" spans="1:18" x14ac:dyDescent="0.25">
      <c r="A334" s="169">
        <v>2019</v>
      </c>
      <c r="B334" s="28" t="s">
        <v>149</v>
      </c>
      <c r="C334" s="28" t="s">
        <v>860</v>
      </c>
      <c r="D334" s="68">
        <v>43769</v>
      </c>
      <c r="E334" s="171"/>
      <c r="F334" s="28">
        <v>0</v>
      </c>
      <c r="G334" s="169"/>
      <c r="H334" s="28">
        <v>0</v>
      </c>
      <c r="I334" s="28">
        <v>30.8</v>
      </c>
      <c r="J334" s="28">
        <v>7</v>
      </c>
      <c r="K334" s="62">
        <f t="shared" si="46"/>
        <v>0</v>
      </c>
      <c r="L334" s="62">
        <f t="shared" si="47"/>
        <v>0</v>
      </c>
      <c r="M334" s="83">
        <f t="shared" si="48"/>
        <v>0</v>
      </c>
      <c r="N334" s="28">
        <v>31</v>
      </c>
      <c r="O334" s="93" t="str">
        <f t="shared" si="45"/>
        <v/>
      </c>
      <c r="P334" s="93">
        <f t="shared" si="49"/>
        <v>0</v>
      </c>
      <c r="Q334" s="60">
        <v>5</v>
      </c>
      <c r="R334" s="170"/>
    </row>
    <row r="335" spans="1:18" x14ac:dyDescent="0.25">
      <c r="A335" s="169">
        <v>2019</v>
      </c>
      <c r="B335" s="28" t="s">
        <v>149</v>
      </c>
      <c r="C335" s="28" t="s">
        <v>860</v>
      </c>
      <c r="D335" s="68">
        <v>43799</v>
      </c>
      <c r="E335" s="171"/>
      <c r="F335" s="28">
        <v>0</v>
      </c>
      <c r="G335" s="169"/>
      <c r="H335" s="28">
        <v>0</v>
      </c>
      <c r="I335" s="28">
        <v>12.7</v>
      </c>
      <c r="J335" s="28">
        <v>6.7</v>
      </c>
      <c r="K335" s="62">
        <f t="shared" si="46"/>
        <v>0</v>
      </c>
      <c r="L335" s="62">
        <f t="shared" si="47"/>
        <v>0</v>
      </c>
      <c r="M335" s="83">
        <f t="shared" si="48"/>
        <v>0</v>
      </c>
      <c r="N335" s="28">
        <v>30</v>
      </c>
      <c r="O335" s="93" t="str">
        <f t="shared" si="45"/>
        <v/>
      </c>
      <c r="P335" s="93">
        <f t="shared" si="49"/>
        <v>0</v>
      </c>
      <c r="Q335" s="60">
        <v>5</v>
      </c>
      <c r="R335" s="170"/>
    </row>
    <row r="336" spans="1:18" x14ac:dyDescent="0.25">
      <c r="A336" s="169">
        <v>2019</v>
      </c>
      <c r="B336" s="28" t="s">
        <v>149</v>
      </c>
      <c r="C336" s="28" t="s">
        <v>860</v>
      </c>
      <c r="D336" s="68">
        <v>43830</v>
      </c>
      <c r="E336" s="171"/>
      <c r="F336" s="28">
        <v>0</v>
      </c>
      <c r="G336" s="169"/>
      <c r="H336" s="28">
        <v>0</v>
      </c>
      <c r="I336" s="28">
        <v>0.3</v>
      </c>
      <c r="J336" s="28">
        <v>0.3</v>
      </c>
      <c r="K336" s="62">
        <f t="shared" si="46"/>
        <v>0</v>
      </c>
      <c r="L336" s="62">
        <f t="shared" si="47"/>
        <v>0</v>
      </c>
      <c r="M336" s="83">
        <f t="shared" si="48"/>
        <v>0</v>
      </c>
      <c r="N336" s="28">
        <v>31</v>
      </c>
      <c r="O336" s="93" t="str">
        <f t="shared" si="45"/>
        <v/>
      </c>
      <c r="P336" s="93">
        <f t="shared" si="49"/>
        <v>0</v>
      </c>
      <c r="Q336" s="60">
        <v>5</v>
      </c>
      <c r="R336" s="170"/>
    </row>
    <row r="337" spans="1:18" x14ac:dyDescent="0.25">
      <c r="A337" s="169">
        <v>2019</v>
      </c>
      <c r="B337" s="169" t="s">
        <v>178</v>
      </c>
      <c r="C337" s="28" t="s">
        <v>912</v>
      </c>
      <c r="D337" s="68"/>
      <c r="E337" s="171"/>
      <c r="G337" s="169"/>
      <c r="K337" s="62">
        <f t="shared" si="46"/>
        <v>0</v>
      </c>
      <c r="L337" s="62">
        <f t="shared" si="47"/>
        <v>0</v>
      </c>
      <c r="M337" s="83" t="str">
        <f t="shared" si="48"/>
        <v/>
      </c>
      <c r="O337" s="93" t="str">
        <f>IF(AND(L337&gt;0,L337&lt;&gt;""), L337/(#REF!/30.4167),"")</f>
        <v/>
      </c>
      <c r="P337" s="93">
        <f t="shared" si="49"/>
        <v>0</v>
      </c>
      <c r="Q337" s="203">
        <v>1</v>
      </c>
      <c r="R337" s="170" t="s">
        <v>6760</v>
      </c>
    </row>
    <row r="338" spans="1:18" x14ac:dyDescent="0.25">
      <c r="A338" s="169">
        <v>2019</v>
      </c>
      <c r="B338" s="169" t="s">
        <v>178</v>
      </c>
      <c r="C338" s="28" t="s">
        <v>912</v>
      </c>
      <c r="D338" s="68">
        <v>43496</v>
      </c>
      <c r="E338" s="171"/>
      <c r="F338" s="28">
        <v>0</v>
      </c>
      <c r="G338" s="169"/>
      <c r="H338" s="281">
        <v>0</v>
      </c>
      <c r="I338" s="28">
        <v>1.54</v>
      </c>
      <c r="J338" s="28">
        <v>1.3</v>
      </c>
      <c r="K338" s="62">
        <f t="shared" si="46"/>
        <v>0</v>
      </c>
      <c r="L338" s="62">
        <f t="shared" si="47"/>
        <v>0</v>
      </c>
      <c r="M338" s="83">
        <f t="shared" si="48"/>
        <v>0</v>
      </c>
      <c r="N338" s="28">
        <v>31</v>
      </c>
      <c r="O338" s="93" t="str">
        <f>IF(AND(L338&gt;0,L338&lt;&gt;""), L338/(#REF!/30.4167),"")</f>
        <v/>
      </c>
      <c r="P338" s="93">
        <f t="shared" si="49"/>
        <v>0</v>
      </c>
      <c r="Q338" s="203">
        <v>2</v>
      </c>
      <c r="R338" s="170" t="s">
        <v>6763</v>
      </c>
    </row>
    <row r="339" spans="1:18" x14ac:dyDescent="0.25">
      <c r="A339" s="169">
        <v>2019</v>
      </c>
      <c r="B339" s="169" t="s">
        <v>178</v>
      </c>
      <c r="C339" s="28" t="s">
        <v>912</v>
      </c>
      <c r="D339" s="68">
        <v>43524</v>
      </c>
      <c r="E339" s="171"/>
      <c r="F339" s="28">
        <v>0</v>
      </c>
      <c r="G339" s="169"/>
      <c r="H339" s="281">
        <v>0</v>
      </c>
      <c r="I339" s="28">
        <v>1.47</v>
      </c>
      <c r="J339" s="28">
        <v>0.96</v>
      </c>
      <c r="K339" s="62">
        <f t="shared" si="46"/>
        <v>0</v>
      </c>
      <c r="L339" s="62">
        <f t="shared" si="47"/>
        <v>0</v>
      </c>
      <c r="M339" s="83">
        <f t="shared" si="48"/>
        <v>0</v>
      </c>
      <c r="N339" s="28">
        <v>28</v>
      </c>
      <c r="O339" s="93" t="str">
        <f t="shared" si="45"/>
        <v/>
      </c>
      <c r="P339" s="93">
        <f t="shared" si="49"/>
        <v>0</v>
      </c>
      <c r="Q339" s="203">
        <v>2</v>
      </c>
      <c r="R339" s="170"/>
    </row>
    <row r="340" spans="1:18" x14ac:dyDescent="0.25">
      <c r="A340" s="169">
        <v>2019</v>
      </c>
      <c r="B340" s="169" t="s">
        <v>178</v>
      </c>
      <c r="C340" s="28" t="s">
        <v>912</v>
      </c>
      <c r="D340" s="68">
        <v>43555</v>
      </c>
      <c r="E340" s="171"/>
      <c r="F340" s="28">
        <v>0</v>
      </c>
      <c r="G340" s="169"/>
      <c r="H340" s="281">
        <v>0</v>
      </c>
      <c r="I340" s="28">
        <v>1.63</v>
      </c>
      <c r="J340" s="28">
        <v>1.1299999999999999</v>
      </c>
      <c r="K340" s="62">
        <f t="shared" si="46"/>
        <v>0</v>
      </c>
      <c r="L340" s="62">
        <f t="shared" si="47"/>
        <v>0</v>
      </c>
      <c r="M340" s="83">
        <f t="shared" si="48"/>
        <v>0</v>
      </c>
      <c r="N340" s="28">
        <v>31</v>
      </c>
      <c r="O340" s="93" t="str">
        <f t="shared" si="45"/>
        <v/>
      </c>
      <c r="P340" s="93">
        <f t="shared" si="49"/>
        <v>0</v>
      </c>
      <c r="Q340" s="203">
        <v>2</v>
      </c>
    </row>
    <row r="341" spans="1:18" x14ac:dyDescent="0.25">
      <c r="A341" s="169">
        <v>2019</v>
      </c>
      <c r="B341" s="169" t="s">
        <v>178</v>
      </c>
      <c r="C341" s="28" t="s">
        <v>912</v>
      </c>
      <c r="D341" s="68">
        <v>43585</v>
      </c>
      <c r="E341" s="171"/>
      <c r="F341" s="28">
        <v>0</v>
      </c>
      <c r="G341" s="169"/>
      <c r="H341" s="281">
        <v>0</v>
      </c>
      <c r="I341" s="28">
        <v>1.61</v>
      </c>
      <c r="J341" s="28">
        <v>1.17</v>
      </c>
      <c r="K341" s="62">
        <f t="shared" si="46"/>
        <v>0</v>
      </c>
      <c r="L341" s="62">
        <f t="shared" si="47"/>
        <v>0</v>
      </c>
      <c r="M341" s="83">
        <f t="shared" si="48"/>
        <v>0</v>
      </c>
      <c r="N341" s="28">
        <v>30</v>
      </c>
      <c r="O341" s="93" t="str">
        <f t="shared" si="45"/>
        <v/>
      </c>
      <c r="P341" s="93">
        <f t="shared" si="49"/>
        <v>0</v>
      </c>
      <c r="Q341" s="203">
        <v>2</v>
      </c>
      <c r="R341" s="170"/>
    </row>
    <row r="342" spans="1:18" x14ac:dyDescent="0.25">
      <c r="A342" s="169">
        <v>2019</v>
      </c>
      <c r="B342" s="169" t="s">
        <v>178</v>
      </c>
      <c r="C342" s="28" t="s">
        <v>912</v>
      </c>
      <c r="D342" s="68">
        <v>43616</v>
      </c>
      <c r="E342" s="171"/>
      <c r="F342" s="28">
        <v>0</v>
      </c>
      <c r="G342" s="169"/>
      <c r="H342" s="281">
        <v>0</v>
      </c>
      <c r="I342" s="28">
        <v>1.42</v>
      </c>
      <c r="J342" s="28">
        <v>0.87</v>
      </c>
      <c r="K342" s="62">
        <f t="shared" si="46"/>
        <v>0</v>
      </c>
      <c r="L342" s="62">
        <f t="shared" si="47"/>
        <v>0</v>
      </c>
      <c r="M342" s="83">
        <f t="shared" si="48"/>
        <v>0</v>
      </c>
      <c r="N342" s="28">
        <v>31</v>
      </c>
      <c r="O342" s="93" t="str">
        <f t="shared" si="45"/>
        <v/>
      </c>
      <c r="P342" s="93">
        <f t="shared" si="49"/>
        <v>0</v>
      </c>
      <c r="Q342" s="203">
        <v>2</v>
      </c>
      <c r="R342" s="170"/>
    </row>
    <row r="343" spans="1:18" x14ac:dyDescent="0.25">
      <c r="A343" s="169">
        <v>2019</v>
      </c>
      <c r="B343" s="169" t="s">
        <v>178</v>
      </c>
      <c r="C343" s="28" t="s">
        <v>912</v>
      </c>
      <c r="D343" s="68">
        <v>43646</v>
      </c>
      <c r="E343" s="171"/>
      <c r="F343" s="28">
        <v>0</v>
      </c>
      <c r="G343" s="169"/>
      <c r="H343" s="281">
        <v>0</v>
      </c>
      <c r="I343" s="28">
        <v>1.92</v>
      </c>
      <c r="J343" s="28">
        <v>1.29</v>
      </c>
      <c r="K343" s="62">
        <f t="shared" si="46"/>
        <v>0</v>
      </c>
      <c r="L343" s="62">
        <f t="shared" si="47"/>
        <v>0</v>
      </c>
      <c r="M343" s="83">
        <f t="shared" si="48"/>
        <v>0</v>
      </c>
      <c r="N343" s="28">
        <v>30</v>
      </c>
      <c r="O343" s="93" t="str">
        <f t="shared" si="45"/>
        <v/>
      </c>
      <c r="P343" s="93">
        <f t="shared" si="49"/>
        <v>0</v>
      </c>
      <c r="Q343" s="203">
        <v>2</v>
      </c>
      <c r="R343" s="170"/>
    </row>
    <row r="344" spans="1:18" x14ac:dyDescent="0.25">
      <c r="A344" s="169">
        <v>2019</v>
      </c>
      <c r="B344" s="169" t="s">
        <v>178</v>
      </c>
      <c r="C344" s="28" t="s">
        <v>912</v>
      </c>
      <c r="D344" s="68">
        <v>43677</v>
      </c>
      <c r="E344" s="171"/>
      <c r="F344" s="28">
        <v>0</v>
      </c>
      <c r="G344" s="169"/>
      <c r="H344" s="281">
        <v>0</v>
      </c>
      <c r="I344" s="28">
        <v>3.14</v>
      </c>
      <c r="J344" s="28">
        <v>1.39</v>
      </c>
      <c r="K344" s="62">
        <f t="shared" si="46"/>
        <v>0</v>
      </c>
      <c r="L344" s="62">
        <f t="shared" si="47"/>
        <v>0</v>
      </c>
      <c r="M344" s="83">
        <f t="shared" si="48"/>
        <v>0</v>
      </c>
      <c r="N344" s="28">
        <v>31</v>
      </c>
      <c r="O344" s="93" t="str">
        <f t="shared" si="45"/>
        <v/>
      </c>
      <c r="P344" s="93">
        <f t="shared" si="49"/>
        <v>0</v>
      </c>
      <c r="Q344" s="203">
        <v>2</v>
      </c>
      <c r="R344" s="170"/>
    </row>
    <row r="345" spans="1:18" x14ac:dyDescent="0.25">
      <c r="A345" s="169">
        <v>2019</v>
      </c>
      <c r="B345" s="169" t="s">
        <v>178</v>
      </c>
      <c r="C345" s="28" t="s">
        <v>912</v>
      </c>
      <c r="D345" s="68">
        <v>43708</v>
      </c>
      <c r="E345" s="171"/>
      <c r="F345" s="28">
        <v>0</v>
      </c>
      <c r="G345" s="169"/>
      <c r="H345" s="281">
        <v>0</v>
      </c>
      <c r="I345" s="28">
        <v>2.58</v>
      </c>
      <c r="J345" s="28">
        <v>0.79</v>
      </c>
      <c r="K345" s="62">
        <f t="shared" si="46"/>
        <v>0</v>
      </c>
      <c r="L345" s="62">
        <f t="shared" si="47"/>
        <v>0</v>
      </c>
      <c r="M345" s="83">
        <f t="shared" si="48"/>
        <v>0</v>
      </c>
      <c r="N345" s="28">
        <v>31</v>
      </c>
      <c r="O345" s="93" t="str">
        <f t="shared" si="45"/>
        <v/>
      </c>
      <c r="P345" s="93">
        <f t="shared" si="49"/>
        <v>0</v>
      </c>
      <c r="Q345" s="203">
        <v>2</v>
      </c>
      <c r="R345" s="170"/>
    </row>
    <row r="346" spans="1:18" x14ac:dyDescent="0.25">
      <c r="A346" s="169">
        <v>2019</v>
      </c>
      <c r="B346" s="169" t="s">
        <v>178</v>
      </c>
      <c r="C346" s="28" t="s">
        <v>912</v>
      </c>
      <c r="D346" s="68">
        <v>43738</v>
      </c>
      <c r="E346" s="171"/>
      <c r="F346" s="28">
        <v>0</v>
      </c>
      <c r="G346" s="169"/>
      <c r="H346" s="281">
        <v>0</v>
      </c>
      <c r="I346" s="28">
        <v>1.42</v>
      </c>
      <c r="J346" s="28">
        <v>1.42</v>
      </c>
      <c r="K346" s="62">
        <f t="shared" si="46"/>
        <v>0</v>
      </c>
      <c r="L346" s="62">
        <f t="shared" si="47"/>
        <v>0</v>
      </c>
      <c r="M346" s="83">
        <f t="shared" si="48"/>
        <v>0</v>
      </c>
      <c r="N346" s="28">
        <v>30</v>
      </c>
      <c r="O346" s="93" t="str">
        <f t="shared" si="45"/>
        <v/>
      </c>
      <c r="P346" s="93">
        <f t="shared" si="49"/>
        <v>0</v>
      </c>
      <c r="Q346" s="203">
        <v>2</v>
      </c>
      <c r="R346" s="170"/>
    </row>
    <row r="347" spans="1:18" x14ac:dyDescent="0.25">
      <c r="A347" s="169">
        <v>2019</v>
      </c>
      <c r="B347" s="169" t="s">
        <v>178</v>
      </c>
      <c r="C347" s="28" t="s">
        <v>912</v>
      </c>
      <c r="D347" s="68">
        <v>43769</v>
      </c>
      <c r="E347" s="171"/>
      <c r="F347" s="28">
        <v>0</v>
      </c>
      <c r="G347" s="169"/>
      <c r="H347" s="281">
        <v>0</v>
      </c>
      <c r="I347" s="28">
        <v>2.5</v>
      </c>
      <c r="J347" s="28">
        <v>1.78</v>
      </c>
      <c r="K347" s="62">
        <f t="shared" si="46"/>
        <v>0</v>
      </c>
      <c r="L347" s="62">
        <f t="shared" si="47"/>
        <v>0</v>
      </c>
      <c r="M347" s="83">
        <f t="shared" si="48"/>
        <v>0</v>
      </c>
      <c r="N347" s="28">
        <v>31</v>
      </c>
      <c r="O347" s="93" t="str">
        <f t="shared" si="45"/>
        <v/>
      </c>
      <c r="P347" s="93">
        <f t="shared" si="49"/>
        <v>0</v>
      </c>
      <c r="Q347" s="203">
        <v>2</v>
      </c>
      <c r="R347" s="170"/>
    </row>
    <row r="348" spans="1:18" x14ac:dyDescent="0.25">
      <c r="A348" s="169">
        <v>2019</v>
      </c>
      <c r="B348" s="169" t="s">
        <v>178</v>
      </c>
      <c r="C348" s="28" t="s">
        <v>912</v>
      </c>
      <c r="D348" s="68">
        <v>43799</v>
      </c>
      <c r="E348" s="171"/>
      <c r="F348" s="28">
        <v>0</v>
      </c>
      <c r="G348" s="169"/>
      <c r="H348" s="281">
        <v>0</v>
      </c>
      <c r="I348" s="28">
        <v>3.32</v>
      </c>
      <c r="J348" s="28">
        <v>1.44</v>
      </c>
      <c r="K348" s="62">
        <f t="shared" si="46"/>
        <v>0</v>
      </c>
      <c r="L348" s="62">
        <f t="shared" si="47"/>
        <v>0</v>
      </c>
      <c r="M348" s="83">
        <f t="shared" si="48"/>
        <v>0</v>
      </c>
      <c r="N348" s="28">
        <v>30</v>
      </c>
      <c r="O348" s="93" t="str">
        <f t="shared" si="45"/>
        <v/>
      </c>
      <c r="P348" s="93">
        <f t="shared" si="49"/>
        <v>0</v>
      </c>
      <c r="Q348" s="203">
        <v>2</v>
      </c>
      <c r="R348" s="170"/>
    </row>
    <row r="349" spans="1:18" x14ac:dyDescent="0.25">
      <c r="A349" s="169">
        <v>2019</v>
      </c>
      <c r="B349" s="169" t="s">
        <v>178</v>
      </c>
      <c r="C349" s="28" t="s">
        <v>912</v>
      </c>
      <c r="D349" s="68">
        <v>43830</v>
      </c>
      <c r="E349" s="171"/>
      <c r="F349" s="28">
        <v>0</v>
      </c>
      <c r="G349" s="169"/>
      <c r="H349" s="281">
        <v>0</v>
      </c>
      <c r="I349" s="28">
        <v>1.77</v>
      </c>
      <c r="J349" s="28">
        <v>0.78</v>
      </c>
      <c r="K349" s="62">
        <f t="shared" si="46"/>
        <v>0</v>
      </c>
      <c r="L349" s="62">
        <f t="shared" si="47"/>
        <v>0</v>
      </c>
      <c r="M349" s="83">
        <f t="shared" si="48"/>
        <v>0</v>
      </c>
      <c r="N349" s="28">
        <v>31</v>
      </c>
      <c r="O349" s="93" t="str">
        <f t="shared" ref="O349" si="50">IF(AND(L349&gt;0,L349&lt;&gt;""), L349/(N349/30.4167),"")</f>
        <v/>
      </c>
      <c r="P349" s="93">
        <f t="shared" ref="P349" si="51">IFERROR(L349*2.205,"")</f>
        <v>0</v>
      </c>
      <c r="Q349" s="203">
        <v>2</v>
      </c>
      <c r="R349" s="170"/>
    </row>
    <row r="350" spans="1:18" x14ac:dyDescent="0.25">
      <c r="A350" s="169">
        <v>2019</v>
      </c>
      <c r="B350" s="169" t="s">
        <v>179</v>
      </c>
      <c r="C350" s="169" t="s">
        <v>913</v>
      </c>
      <c r="D350" s="68">
        <v>43496</v>
      </c>
      <c r="E350" s="171"/>
      <c r="F350" s="28">
        <v>0.02</v>
      </c>
      <c r="G350" s="169"/>
      <c r="H350" s="28">
        <v>0.02</v>
      </c>
      <c r="I350" s="28">
        <v>3.2</v>
      </c>
      <c r="J350" s="28">
        <v>2.5</v>
      </c>
      <c r="K350" s="62">
        <f t="shared" si="46"/>
        <v>0.24224000000000001</v>
      </c>
      <c r="L350" s="62">
        <f t="shared" si="47"/>
        <v>5.8667500000000006</v>
      </c>
      <c r="M350" s="83">
        <f t="shared" si="48"/>
        <v>0.18925000000000003</v>
      </c>
      <c r="N350" s="28">
        <v>31</v>
      </c>
      <c r="O350" s="93">
        <f t="shared" ref="O350:O373" si="52">IF(AND(L350&gt;0,L350&lt;&gt;""), L350/(N350/30.4167),"")</f>
        <v>5.7563604750000001</v>
      </c>
      <c r="P350" s="93">
        <f t="shared" ref="P350:P355" si="53">IFERROR(L350*2.205,"")</f>
        <v>12.936183750000001</v>
      </c>
      <c r="Q350" s="60">
        <v>3</v>
      </c>
      <c r="R350" s="170" t="s">
        <v>6764</v>
      </c>
    </row>
    <row r="351" spans="1:18" x14ac:dyDescent="0.25">
      <c r="A351" s="169">
        <v>2019</v>
      </c>
      <c r="B351" s="169" t="s">
        <v>179</v>
      </c>
      <c r="C351" s="169" t="s">
        <v>913</v>
      </c>
      <c r="D351" s="68">
        <v>43524</v>
      </c>
      <c r="E351" s="171"/>
      <c r="F351" s="28">
        <v>2.3E-2</v>
      </c>
      <c r="G351" s="169"/>
      <c r="H351" s="28">
        <v>2.3E-2</v>
      </c>
      <c r="I351" s="28">
        <v>3.1</v>
      </c>
      <c r="J351" s="28">
        <v>2.6</v>
      </c>
      <c r="K351" s="62">
        <f t="shared" si="46"/>
        <v>0.26987050000000001</v>
      </c>
      <c r="L351" s="62">
        <f t="shared" si="47"/>
        <v>6.3376040000000007</v>
      </c>
      <c r="M351" s="83">
        <f t="shared" si="48"/>
        <v>0.22634300000000002</v>
      </c>
      <c r="N351" s="28">
        <v>28</v>
      </c>
      <c r="O351" s="93">
        <f t="shared" si="52"/>
        <v>6.8846071280999999</v>
      </c>
      <c r="P351" s="93">
        <f t="shared" si="53"/>
        <v>13.974416820000002</v>
      </c>
      <c r="Q351" s="60">
        <v>3</v>
      </c>
      <c r="R351" s="170"/>
    </row>
    <row r="352" spans="1:18" x14ac:dyDescent="0.25">
      <c r="A352" s="169">
        <v>2019</v>
      </c>
      <c r="B352" s="169" t="s">
        <v>179</v>
      </c>
      <c r="C352" s="169" t="s">
        <v>913</v>
      </c>
      <c r="D352" s="68">
        <v>43555</v>
      </c>
      <c r="E352" s="171"/>
      <c r="F352" s="28">
        <v>2.3E-2</v>
      </c>
      <c r="G352" s="169"/>
      <c r="H352" s="28">
        <v>2.3E-2</v>
      </c>
      <c r="I352" s="28">
        <v>6.45</v>
      </c>
      <c r="J352" s="28">
        <v>2.6</v>
      </c>
      <c r="K352" s="62">
        <f t="shared" si="46"/>
        <v>0.56150475000000011</v>
      </c>
      <c r="L352" s="62">
        <f t="shared" si="47"/>
        <v>7.0166330000000006</v>
      </c>
      <c r="M352" s="83">
        <f t="shared" si="48"/>
        <v>0.22634300000000002</v>
      </c>
      <c r="N352" s="28">
        <v>31</v>
      </c>
      <c r="O352" s="93">
        <f t="shared" si="52"/>
        <v>6.8846071280999999</v>
      </c>
      <c r="P352" s="93">
        <f t="shared" si="53"/>
        <v>15.471675765000002</v>
      </c>
      <c r="Q352" s="60">
        <v>3</v>
      </c>
      <c r="R352" s="170"/>
    </row>
    <row r="353" spans="1:18" x14ac:dyDescent="0.25">
      <c r="A353" s="169">
        <v>2019</v>
      </c>
      <c r="B353" s="169" t="s">
        <v>179</v>
      </c>
      <c r="C353" s="169" t="s">
        <v>913</v>
      </c>
      <c r="D353" s="68">
        <v>43585</v>
      </c>
      <c r="E353" s="171"/>
      <c r="F353" s="28">
        <v>1.2999999999999999E-2</v>
      </c>
      <c r="G353" s="169"/>
      <c r="H353" s="28">
        <v>1.2999999999999999E-2</v>
      </c>
      <c r="I353" s="28">
        <v>3.6</v>
      </c>
      <c r="J353" s="28">
        <v>2.8</v>
      </c>
      <c r="K353" s="62">
        <f t="shared" si="46"/>
        <v>0.17713800000000002</v>
      </c>
      <c r="L353" s="62">
        <f t="shared" si="47"/>
        <v>4.1332199999999997</v>
      </c>
      <c r="M353" s="83">
        <f t="shared" si="48"/>
        <v>0.13777399999999998</v>
      </c>
      <c r="N353" s="28">
        <v>30</v>
      </c>
      <c r="O353" s="93">
        <f t="shared" si="52"/>
        <v>4.1906304257999993</v>
      </c>
      <c r="P353" s="93">
        <f t="shared" si="53"/>
        <v>9.113750099999999</v>
      </c>
      <c r="Q353" s="60">
        <v>3</v>
      </c>
      <c r="R353" s="170"/>
    </row>
    <row r="354" spans="1:18" x14ac:dyDescent="0.25">
      <c r="A354" s="169">
        <v>2019</v>
      </c>
      <c r="B354" s="169" t="s">
        <v>179</v>
      </c>
      <c r="C354" s="169" t="s">
        <v>913</v>
      </c>
      <c r="D354" s="68">
        <v>43616</v>
      </c>
      <c r="E354" s="171"/>
      <c r="F354" s="28">
        <v>3.2000000000000001E-2</v>
      </c>
      <c r="G354" s="169"/>
      <c r="H354" s="28">
        <v>3.2000000000000001E-2</v>
      </c>
      <c r="I354" s="28">
        <v>4.8</v>
      </c>
      <c r="J354" s="28">
        <v>3.1</v>
      </c>
      <c r="K354" s="62">
        <f t="shared" si="46"/>
        <v>0.581376</v>
      </c>
      <c r="L354" s="62">
        <f t="shared" si="47"/>
        <v>11.639632000000001</v>
      </c>
      <c r="M354" s="83">
        <f t="shared" si="48"/>
        <v>0.37547200000000003</v>
      </c>
      <c r="N354" s="28">
        <v>31</v>
      </c>
      <c r="O354" s="93">
        <f t="shared" si="52"/>
        <v>11.420619182399999</v>
      </c>
      <c r="P354" s="93">
        <f t="shared" si="53"/>
        <v>25.665388560000004</v>
      </c>
      <c r="Q354" s="60">
        <v>3</v>
      </c>
      <c r="R354" s="170"/>
    </row>
    <row r="355" spans="1:18" x14ac:dyDescent="0.25">
      <c r="A355" s="169">
        <v>2019</v>
      </c>
      <c r="B355" s="169" t="s">
        <v>179</v>
      </c>
      <c r="C355" s="169" t="s">
        <v>913</v>
      </c>
      <c r="D355" s="68">
        <v>43646</v>
      </c>
      <c r="E355" s="168"/>
      <c r="F355" s="28">
        <v>1.0999999999999999E-2</v>
      </c>
      <c r="G355" s="169"/>
      <c r="H355" s="28">
        <v>1.0999999999999999E-2</v>
      </c>
      <c r="I355" s="28">
        <v>6.98</v>
      </c>
      <c r="J355" s="28">
        <v>3.2</v>
      </c>
      <c r="K355" s="62">
        <f t="shared" si="46"/>
        <v>0.29061229999999999</v>
      </c>
      <c r="L355" s="62">
        <f t="shared" si="47"/>
        <v>3.9969600000000005</v>
      </c>
      <c r="M355" s="83">
        <f t="shared" si="48"/>
        <v>0.13323200000000002</v>
      </c>
      <c r="N355" s="28">
        <v>30</v>
      </c>
      <c r="O355" s="93">
        <f t="shared" si="52"/>
        <v>4.0524777743999998</v>
      </c>
      <c r="P355" s="93">
        <f t="shared" si="53"/>
        <v>8.8132968000000016</v>
      </c>
      <c r="Q355" s="60">
        <v>3</v>
      </c>
      <c r="R355" s="170"/>
    </row>
    <row r="356" spans="1:18" x14ac:dyDescent="0.25">
      <c r="A356" s="169">
        <v>2019</v>
      </c>
      <c r="B356" s="169" t="s">
        <v>179</v>
      </c>
      <c r="C356" s="169" t="s">
        <v>913</v>
      </c>
      <c r="D356" s="68">
        <v>43677</v>
      </c>
      <c r="E356" s="171"/>
      <c r="F356" s="28">
        <v>8.0000000000000002E-3</v>
      </c>
      <c r="G356" s="169"/>
      <c r="H356" s="28">
        <v>8.0000000000000002E-3</v>
      </c>
      <c r="I356" s="28">
        <v>3.76</v>
      </c>
      <c r="J356" s="28">
        <v>3.1</v>
      </c>
      <c r="K356" s="62">
        <f t="shared" si="46"/>
        <v>0.1138528</v>
      </c>
      <c r="L356" s="62">
        <f t="shared" si="47"/>
        <v>2.9099080000000002</v>
      </c>
      <c r="M356" s="83">
        <f t="shared" si="48"/>
        <v>9.3868000000000007E-2</v>
      </c>
      <c r="N356" s="28">
        <v>31</v>
      </c>
      <c r="O356" s="93">
        <f t="shared" si="52"/>
        <v>2.8551547955999999</v>
      </c>
      <c r="P356" s="93">
        <f t="shared" ref="P356:P373" si="54">IFERROR(L356*2.205,"")</f>
        <v>6.4163471400000009</v>
      </c>
      <c r="Q356" s="60">
        <v>3</v>
      </c>
      <c r="R356" s="170"/>
    </row>
    <row r="357" spans="1:18" x14ac:dyDescent="0.25">
      <c r="A357" s="169">
        <v>2019</v>
      </c>
      <c r="B357" s="169" t="s">
        <v>179</v>
      </c>
      <c r="C357" s="169" t="s">
        <v>913</v>
      </c>
      <c r="D357" s="68">
        <v>43708</v>
      </c>
      <c r="E357" s="171"/>
      <c r="F357" s="28">
        <v>8.0000000000000002E-3</v>
      </c>
      <c r="G357" s="169"/>
      <c r="H357" s="28">
        <v>8.0000000000000002E-3</v>
      </c>
      <c r="I357" s="28">
        <v>3.98</v>
      </c>
      <c r="J357" s="28">
        <v>3.1</v>
      </c>
      <c r="K357" s="62">
        <f t="shared" si="46"/>
        <v>0.12051440000000001</v>
      </c>
      <c r="L357" s="62">
        <f t="shared" si="47"/>
        <v>2.9099080000000002</v>
      </c>
      <c r="M357" s="83">
        <f t="shared" si="48"/>
        <v>9.3868000000000007E-2</v>
      </c>
      <c r="N357" s="28">
        <v>31</v>
      </c>
      <c r="O357" s="93">
        <f t="shared" si="52"/>
        <v>2.8551547955999999</v>
      </c>
      <c r="P357" s="93">
        <f t="shared" si="54"/>
        <v>6.4163471400000009</v>
      </c>
      <c r="Q357" s="60">
        <v>3</v>
      </c>
      <c r="R357" s="170"/>
    </row>
    <row r="358" spans="1:18" x14ac:dyDescent="0.25">
      <c r="A358" s="169">
        <v>2019</v>
      </c>
      <c r="B358" s="169" t="s">
        <v>179</v>
      </c>
      <c r="C358" s="169" t="s">
        <v>913</v>
      </c>
      <c r="D358" s="68">
        <v>43738</v>
      </c>
      <c r="E358" s="168"/>
      <c r="F358" s="28">
        <v>0.01</v>
      </c>
      <c r="G358" s="169"/>
      <c r="H358" s="28">
        <v>0.01</v>
      </c>
      <c r="I358" s="28">
        <v>5.74</v>
      </c>
      <c r="J358" s="28">
        <v>3.3</v>
      </c>
      <c r="K358" s="62">
        <f t="shared" si="46"/>
        <v>0.21725900000000004</v>
      </c>
      <c r="L358" s="62">
        <f t="shared" si="47"/>
        <v>3.7471500000000004</v>
      </c>
      <c r="M358" s="83">
        <f t="shared" si="48"/>
        <v>0.12490500000000002</v>
      </c>
      <c r="N358" s="28">
        <v>30</v>
      </c>
      <c r="O358" s="93">
        <f t="shared" si="52"/>
        <v>3.7991979135</v>
      </c>
      <c r="P358" s="93">
        <f t="shared" si="54"/>
        <v>8.2624657500000005</v>
      </c>
      <c r="Q358" s="60">
        <v>3</v>
      </c>
      <c r="R358" s="170"/>
    </row>
    <row r="359" spans="1:18" x14ac:dyDescent="0.25">
      <c r="A359" s="169">
        <v>2019</v>
      </c>
      <c r="B359" s="169" t="s">
        <v>179</v>
      </c>
      <c r="C359" s="169" t="s">
        <v>913</v>
      </c>
      <c r="D359" s="68">
        <v>43769</v>
      </c>
      <c r="E359" s="168"/>
      <c r="F359" s="28">
        <v>0.01</v>
      </c>
      <c r="G359" s="169"/>
      <c r="H359" s="28">
        <v>0.01</v>
      </c>
      <c r="I359" s="28">
        <v>5.38</v>
      </c>
      <c r="J359" s="28">
        <v>3</v>
      </c>
      <c r="K359" s="62">
        <f t="shared" si="46"/>
        <v>0.20363300000000001</v>
      </c>
      <c r="L359" s="62">
        <f t="shared" si="47"/>
        <v>3.5200499999999999</v>
      </c>
      <c r="M359" s="83">
        <f t="shared" si="48"/>
        <v>0.11355</v>
      </c>
      <c r="N359" s="28">
        <v>31</v>
      </c>
      <c r="O359" s="93">
        <f t="shared" si="52"/>
        <v>3.4538162849999994</v>
      </c>
      <c r="P359" s="93">
        <f t="shared" si="54"/>
        <v>7.7617102500000001</v>
      </c>
      <c r="Q359" s="60">
        <v>3</v>
      </c>
      <c r="R359" s="170"/>
    </row>
    <row r="360" spans="1:18" x14ac:dyDescent="0.25">
      <c r="A360" s="169">
        <v>2019</v>
      </c>
      <c r="B360" s="169" t="s">
        <v>179</v>
      </c>
      <c r="C360" s="169" t="s">
        <v>913</v>
      </c>
      <c r="D360" s="68">
        <v>43799</v>
      </c>
      <c r="F360" s="28">
        <v>2.4E-2</v>
      </c>
      <c r="H360" s="28">
        <v>2.4E-2</v>
      </c>
      <c r="I360" s="28">
        <v>3.21</v>
      </c>
      <c r="J360" s="28">
        <v>2.78</v>
      </c>
      <c r="K360" s="62">
        <f t="shared" si="46"/>
        <v>0.29159639999999998</v>
      </c>
      <c r="L360" s="62">
        <f t="shared" si="47"/>
        <v>7.5760560000000003</v>
      </c>
      <c r="M360" s="83">
        <f t="shared" si="48"/>
        <v>0.25253520000000002</v>
      </c>
      <c r="N360" s="28">
        <v>30</v>
      </c>
      <c r="O360" s="93">
        <f t="shared" si="52"/>
        <v>7.6812874178399992</v>
      </c>
      <c r="P360" s="93">
        <f t="shared" si="54"/>
        <v>16.705203480000002</v>
      </c>
      <c r="Q360" s="60">
        <v>3</v>
      </c>
      <c r="R360" s="170"/>
    </row>
    <row r="361" spans="1:18" x14ac:dyDescent="0.25">
      <c r="A361" s="169">
        <v>2019</v>
      </c>
      <c r="B361" s="169" t="s">
        <v>179</v>
      </c>
      <c r="C361" s="169" t="s">
        <v>913</v>
      </c>
      <c r="D361" s="68">
        <v>43830</v>
      </c>
      <c r="F361" s="28">
        <v>0</v>
      </c>
      <c r="H361" s="28">
        <v>0</v>
      </c>
      <c r="I361" s="28">
        <v>3.43</v>
      </c>
      <c r="J361" s="28">
        <v>2.85</v>
      </c>
      <c r="K361" s="62">
        <f t="shared" si="46"/>
        <v>0</v>
      </c>
      <c r="L361" s="62">
        <f t="shared" si="47"/>
        <v>0</v>
      </c>
      <c r="M361" s="83">
        <f t="shared" si="48"/>
        <v>0</v>
      </c>
      <c r="N361" s="28">
        <v>31</v>
      </c>
      <c r="O361" s="93" t="str">
        <f t="shared" si="52"/>
        <v/>
      </c>
      <c r="P361" s="93">
        <f t="shared" si="54"/>
        <v>0</v>
      </c>
      <c r="Q361" s="60">
        <v>3</v>
      </c>
      <c r="R361" s="170"/>
    </row>
    <row r="362" spans="1:18" x14ac:dyDescent="0.25">
      <c r="A362" s="169">
        <v>2019</v>
      </c>
      <c r="B362" s="169" t="s">
        <v>179</v>
      </c>
      <c r="C362" s="169" t="s">
        <v>913</v>
      </c>
      <c r="D362" s="68">
        <v>43555</v>
      </c>
      <c r="K362" s="62">
        <f t="shared" si="46"/>
        <v>0</v>
      </c>
      <c r="L362" s="62">
        <f t="shared" si="47"/>
        <v>0</v>
      </c>
      <c r="M362" s="83">
        <f t="shared" si="48"/>
        <v>0</v>
      </c>
      <c r="N362" s="28">
        <v>365</v>
      </c>
      <c r="O362" s="93" t="str">
        <f t="shared" si="52"/>
        <v/>
      </c>
      <c r="P362" s="93">
        <f t="shared" si="54"/>
        <v>0</v>
      </c>
      <c r="Q362" s="60">
        <v>5</v>
      </c>
      <c r="R362" s="170" t="s">
        <v>6757</v>
      </c>
    </row>
    <row r="363" spans="1:18" x14ac:dyDescent="0.25">
      <c r="A363" s="28">
        <v>2019</v>
      </c>
      <c r="B363" s="28" t="s">
        <v>105</v>
      </c>
      <c r="C363" s="28" t="s">
        <v>776</v>
      </c>
      <c r="D363" s="68">
        <v>43555</v>
      </c>
      <c r="K363" s="62">
        <f t="shared" si="46"/>
        <v>0</v>
      </c>
      <c r="L363" s="62">
        <f t="shared" si="47"/>
        <v>0</v>
      </c>
      <c r="M363" s="83">
        <f t="shared" si="48"/>
        <v>0</v>
      </c>
      <c r="N363" s="28">
        <v>90</v>
      </c>
      <c r="O363" s="93" t="str">
        <f t="shared" si="52"/>
        <v/>
      </c>
      <c r="P363" s="93">
        <f t="shared" si="54"/>
        <v>0</v>
      </c>
      <c r="Q363" s="60">
        <v>1</v>
      </c>
      <c r="R363" s="170" t="s">
        <v>6760</v>
      </c>
    </row>
    <row r="364" spans="1:18" x14ac:dyDescent="0.25">
      <c r="A364" s="28">
        <v>2019</v>
      </c>
      <c r="B364" s="28" t="s">
        <v>137</v>
      </c>
      <c r="C364" s="28" t="s">
        <v>839</v>
      </c>
      <c r="D364" s="68">
        <v>43830</v>
      </c>
      <c r="K364" s="62">
        <f t="shared" si="46"/>
        <v>0</v>
      </c>
      <c r="L364" s="62">
        <f t="shared" si="47"/>
        <v>0</v>
      </c>
      <c r="M364" s="83">
        <f t="shared" si="48"/>
        <v>0</v>
      </c>
      <c r="N364" s="28">
        <v>365</v>
      </c>
      <c r="O364" s="93" t="str">
        <f t="shared" si="52"/>
        <v/>
      </c>
      <c r="P364" s="93">
        <f t="shared" si="54"/>
        <v>0</v>
      </c>
      <c r="Q364" s="203">
        <v>1</v>
      </c>
      <c r="R364" s="170" t="s">
        <v>6757</v>
      </c>
    </row>
    <row r="365" spans="1:18" x14ac:dyDescent="0.25">
      <c r="A365" s="28">
        <v>2019</v>
      </c>
      <c r="B365" s="28" t="s">
        <v>137</v>
      </c>
      <c r="C365" s="28" t="s">
        <v>839</v>
      </c>
      <c r="D365" s="68">
        <v>43524</v>
      </c>
      <c r="F365" s="28" t="s">
        <v>2446</v>
      </c>
      <c r="I365" s="28" t="s">
        <v>2446</v>
      </c>
      <c r="J365" s="28" t="s">
        <v>2446</v>
      </c>
      <c r="K365" s="62" t="str">
        <f t="shared" si="46"/>
        <v/>
      </c>
      <c r="L365" s="62" t="str">
        <f t="shared" si="47"/>
        <v/>
      </c>
      <c r="M365" s="83" t="str">
        <f t="shared" si="48"/>
        <v/>
      </c>
      <c r="N365" s="28">
        <v>59</v>
      </c>
      <c r="O365" s="93" t="str">
        <f t="shared" si="52"/>
        <v/>
      </c>
      <c r="P365" s="93" t="str">
        <f t="shared" si="54"/>
        <v/>
      </c>
      <c r="Q365" s="203">
        <v>301</v>
      </c>
      <c r="R365" s="170"/>
    </row>
    <row r="366" spans="1:18" x14ac:dyDescent="0.25">
      <c r="A366" s="28">
        <v>2019</v>
      </c>
      <c r="B366" s="28" t="s">
        <v>137</v>
      </c>
      <c r="C366" s="28" t="s">
        <v>839</v>
      </c>
      <c r="D366" s="68">
        <v>43585</v>
      </c>
      <c r="F366" s="28">
        <f>383/1000</f>
        <v>0.38300000000000001</v>
      </c>
      <c r="I366" s="28">
        <v>0.40500000000000003</v>
      </c>
      <c r="J366" s="28">
        <v>0.40500000000000003</v>
      </c>
      <c r="K366" s="62">
        <f t="shared" si="46"/>
        <v>0.58711027500000001</v>
      </c>
      <c r="L366" s="62">
        <f t="shared" si="47"/>
        <v>0</v>
      </c>
      <c r="M366" s="83">
        <f t="shared" si="48"/>
        <v>0</v>
      </c>
      <c r="N366" s="28">
        <v>61</v>
      </c>
      <c r="O366" s="93" t="str">
        <f t="shared" si="52"/>
        <v/>
      </c>
      <c r="P366" s="93">
        <f t="shared" si="54"/>
        <v>0</v>
      </c>
      <c r="Q366" s="203">
        <v>301</v>
      </c>
      <c r="R366" s="170"/>
    </row>
    <row r="367" spans="1:18" x14ac:dyDescent="0.25">
      <c r="A367" s="28">
        <v>2019</v>
      </c>
      <c r="B367" s="28" t="s">
        <v>137</v>
      </c>
      <c r="C367" s="28" t="s">
        <v>839</v>
      </c>
      <c r="D367" s="68">
        <v>43646</v>
      </c>
      <c r="F367" s="28">
        <f>72/1000</f>
        <v>7.1999999999999995E-2</v>
      </c>
      <c r="I367" s="28" t="s">
        <v>2446</v>
      </c>
      <c r="J367" s="28" t="s">
        <v>2446</v>
      </c>
      <c r="K367" s="62" t="str">
        <f t="shared" si="46"/>
        <v/>
      </c>
      <c r="L367" s="62" t="str">
        <f t="shared" si="47"/>
        <v/>
      </c>
      <c r="M367" s="83" t="str">
        <f t="shared" si="48"/>
        <v/>
      </c>
      <c r="N367" s="28">
        <v>61</v>
      </c>
      <c r="O367" s="93" t="str">
        <f t="shared" si="52"/>
        <v/>
      </c>
      <c r="P367" s="93" t="str">
        <f t="shared" si="54"/>
        <v/>
      </c>
      <c r="Q367" s="203">
        <v>301</v>
      </c>
      <c r="R367" s="170"/>
    </row>
    <row r="368" spans="1:18" x14ac:dyDescent="0.25">
      <c r="A368" s="28">
        <v>2019</v>
      </c>
      <c r="B368" s="28" t="s">
        <v>137</v>
      </c>
      <c r="C368" s="28" t="s">
        <v>839</v>
      </c>
      <c r="D368" s="68">
        <v>43708</v>
      </c>
      <c r="F368" s="28" t="s">
        <v>2446</v>
      </c>
      <c r="I368" s="28" t="s">
        <v>2446</v>
      </c>
      <c r="J368" s="28" t="s">
        <v>2446</v>
      </c>
      <c r="K368" s="62" t="str">
        <f t="shared" si="46"/>
        <v/>
      </c>
      <c r="L368" s="62" t="str">
        <f t="shared" si="47"/>
        <v/>
      </c>
      <c r="M368" s="83" t="str">
        <f t="shared" si="48"/>
        <v/>
      </c>
      <c r="N368" s="28">
        <v>62</v>
      </c>
      <c r="O368" s="93" t="str">
        <f t="shared" si="52"/>
        <v/>
      </c>
      <c r="P368" s="93" t="str">
        <f t="shared" si="54"/>
        <v/>
      </c>
      <c r="Q368" s="203">
        <v>301</v>
      </c>
      <c r="R368" s="170"/>
    </row>
    <row r="369" spans="1:18" x14ac:dyDescent="0.25">
      <c r="A369" s="28">
        <v>2019</v>
      </c>
      <c r="B369" s="28" t="s">
        <v>137</v>
      </c>
      <c r="C369" s="28" t="s">
        <v>839</v>
      </c>
      <c r="D369" s="68">
        <v>43769</v>
      </c>
      <c r="F369" s="28" t="s">
        <v>2446</v>
      </c>
      <c r="I369" s="28" t="s">
        <v>2446</v>
      </c>
      <c r="J369" s="28" t="s">
        <v>2446</v>
      </c>
      <c r="K369" s="62" t="str">
        <f t="shared" si="46"/>
        <v/>
      </c>
      <c r="L369" s="62" t="str">
        <f t="shared" si="47"/>
        <v/>
      </c>
      <c r="M369" s="83" t="str">
        <f t="shared" si="48"/>
        <v/>
      </c>
      <c r="N369" s="28">
        <v>61</v>
      </c>
      <c r="O369" s="93" t="str">
        <f t="shared" si="52"/>
        <v/>
      </c>
      <c r="P369" s="93" t="str">
        <f t="shared" si="54"/>
        <v/>
      </c>
      <c r="Q369" s="203">
        <v>301</v>
      </c>
      <c r="R369" s="170"/>
    </row>
    <row r="370" spans="1:18" x14ac:dyDescent="0.25">
      <c r="A370" s="28">
        <v>2019</v>
      </c>
      <c r="B370" s="28" t="s">
        <v>137</v>
      </c>
      <c r="C370" s="28" t="s">
        <v>839</v>
      </c>
      <c r="D370" s="190">
        <v>43830</v>
      </c>
      <c r="E370" s="126"/>
      <c r="F370" s="126" t="s">
        <v>2446</v>
      </c>
      <c r="G370" s="126"/>
      <c r="H370" s="126"/>
      <c r="I370" s="126" t="s">
        <v>2446</v>
      </c>
      <c r="J370" s="126" t="s">
        <v>2446</v>
      </c>
      <c r="K370" s="62" t="str">
        <f t="shared" si="46"/>
        <v/>
      </c>
      <c r="L370" s="62" t="str">
        <f t="shared" si="47"/>
        <v/>
      </c>
      <c r="M370" s="83" t="str">
        <f t="shared" si="48"/>
        <v/>
      </c>
      <c r="N370" s="28">
        <v>61</v>
      </c>
      <c r="O370" s="93" t="str">
        <f t="shared" si="52"/>
        <v/>
      </c>
      <c r="P370" s="93" t="str">
        <f t="shared" si="54"/>
        <v/>
      </c>
      <c r="Q370" s="212">
        <v>301</v>
      </c>
      <c r="R370" s="170"/>
    </row>
    <row r="371" spans="1:18" x14ac:dyDescent="0.25">
      <c r="A371" s="28">
        <v>2020</v>
      </c>
      <c r="B371" s="28" t="s">
        <v>137</v>
      </c>
      <c r="C371" s="81" t="s">
        <v>839</v>
      </c>
      <c r="D371" s="68">
        <v>44196</v>
      </c>
      <c r="K371" s="62">
        <f t="shared" si="46"/>
        <v>0</v>
      </c>
      <c r="L371" s="62">
        <f t="shared" si="47"/>
        <v>0</v>
      </c>
      <c r="M371" s="83">
        <f t="shared" si="48"/>
        <v>0</v>
      </c>
      <c r="N371" s="28">
        <v>365</v>
      </c>
      <c r="O371" s="93" t="str">
        <f t="shared" si="52"/>
        <v/>
      </c>
      <c r="P371" s="210">
        <f t="shared" si="54"/>
        <v>0</v>
      </c>
      <c r="Q371" s="203">
        <v>1</v>
      </c>
      <c r="R371" s="170" t="s">
        <v>6757</v>
      </c>
    </row>
    <row r="372" spans="1:18" x14ac:dyDescent="0.25">
      <c r="A372" s="28">
        <v>2020</v>
      </c>
      <c r="B372" s="28" t="s">
        <v>137</v>
      </c>
      <c r="C372" s="81" t="s">
        <v>839</v>
      </c>
      <c r="D372" s="68">
        <v>43890</v>
      </c>
      <c r="F372" s="28" t="s">
        <v>2446</v>
      </c>
      <c r="H372" s="28" t="s">
        <v>2446</v>
      </c>
      <c r="I372" s="28" t="s">
        <v>2446</v>
      </c>
      <c r="J372" s="28" t="s">
        <v>2446</v>
      </c>
      <c r="K372" s="62" t="str">
        <f t="shared" si="46"/>
        <v/>
      </c>
      <c r="L372" s="62" t="str">
        <f t="shared" si="47"/>
        <v/>
      </c>
      <c r="M372" s="83" t="str">
        <f t="shared" si="48"/>
        <v/>
      </c>
      <c r="N372" s="28">
        <v>59</v>
      </c>
      <c r="O372" s="93" t="str">
        <f t="shared" si="52"/>
        <v/>
      </c>
      <c r="P372" s="210" t="str">
        <f t="shared" si="54"/>
        <v/>
      </c>
      <c r="Q372" s="203">
        <v>301</v>
      </c>
      <c r="R372" s="170"/>
    </row>
    <row r="373" spans="1:18" x14ac:dyDescent="0.25">
      <c r="A373" s="28">
        <v>2020</v>
      </c>
      <c r="B373" s="28" t="s">
        <v>137</v>
      </c>
      <c r="C373" s="81" t="s">
        <v>839</v>
      </c>
      <c r="D373" s="68">
        <v>43951</v>
      </c>
      <c r="F373" s="28">
        <f>2882/1000</f>
        <v>2.8820000000000001</v>
      </c>
      <c r="H373" s="28">
        <f>2882/1000</f>
        <v>2.8820000000000001</v>
      </c>
      <c r="I373" s="28">
        <v>0.01</v>
      </c>
      <c r="J373" s="28">
        <v>0.01</v>
      </c>
      <c r="K373" s="62">
        <f t="shared" si="46"/>
        <v>0.10908370000000001</v>
      </c>
      <c r="L373" s="62">
        <f t="shared" si="47"/>
        <v>6.6541057000000006</v>
      </c>
      <c r="M373" s="83">
        <f t="shared" si="48"/>
        <v>0.10908370000000001</v>
      </c>
      <c r="N373" s="28">
        <v>61</v>
      </c>
      <c r="O373" s="93">
        <f t="shared" si="52"/>
        <v>3.3179661777900007</v>
      </c>
      <c r="P373" s="210">
        <f t="shared" si="54"/>
        <v>14.672303068500002</v>
      </c>
      <c r="Q373" s="203">
        <v>301</v>
      </c>
      <c r="R373" s="170"/>
    </row>
    <row r="374" spans="1:18" x14ac:dyDescent="0.25">
      <c r="A374" s="28">
        <v>2020</v>
      </c>
      <c r="B374" s="28" t="s">
        <v>137</v>
      </c>
      <c r="C374" s="81" t="s">
        <v>839</v>
      </c>
      <c r="D374" s="68">
        <v>44012</v>
      </c>
      <c r="F374" s="28" t="s">
        <v>2446</v>
      </c>
      <c r="H374" s="28" t="s">
        <v>2446</v>
      </c>
      <c r="I374" s="28" t="s">
        <v>2446</v>
      </c>
      <c r="J374" s="28" t="s">
        <v>2446</v>
      </c>
      <c r="K374" s="62" t="str">
        <f t="shared" si="46"/>
        <v/>
      </c>
      <c r="L374" s="62" t="str">
        <f t="shared" si="47"/>
        <v/>
      </c>
      <c r="M374" s="83" t="str">
        <f t="shared" si="48"/>
        <v/>
      </c>
      <c r="N374" s="28">
        <v>61</v>
      </c>
      <c r="O374" s="28" t="str">
        <f t="shared" ref="O374:O405" si="55">IF(AND(L374&gt;0,L374&lt;&gt;""), L374/(N374/30.4167),"")</f>
        <v/>
      </c>
      <c r="P374" s="210" t="str">
        <f t="shared" ref="P374:P405" si="56">IFERROR(L374*2.205,"")</f>
        <v/>
      </c>
      <c r="Q374" s="203">
        <v>301</v>
      </c>
      <c r="R374" s="170"/>
    </row>
    <row r="375" spans="1:18" x14ac:dyDescent="0.25">
      <c r="A375" s="28">
        <v>2020</v>
      </c>
      <c r="B375" s="126" t="s">
        <v>137</v>
      </c>
      <c r="C375" s="223" t="s">
        <v>839</v>
      </c>
      <c r="D375" s="190">
        <v>44074</v>
      </c>
      <c r="E375" s="126"/>
      <c r="F375" s="126" t="s">
        <v>2446</v>
      </c>
      <c r="G375" s="126"/>
      <c r="H375" s="126" t="s">
        <v>2446</v>
      </c>
      <c r="I375" s="126" t="s">
        <v>2446</v>
      </c>
      <c r="J375" s="126" t="s">
        <v>2446</v>
      </c>
      <c r="K375" s="62" t="str">
        <f t="shared" si="46"/>
        <v/>
      </c>
      <c r="L375" s="62" t="str">
        <f t="shared" si="47"/>
        <v/>
      </c>
      <c r="M375" s="83" t="str">
        <f t="shared" si="48"/>
        <v/>
      </c>
      <c r="N375" s="126">
        <v>62</v>
      </c>
      <c r="O375" s="126" t="str">
        <f t="shared" si="55"/>
        <v/>
      </c>
      <c r="P375" s="211" t="str">
        <f t="shared" si="56"/>
        <v/>
      </c>
      <c r="Q375" s="212">
        <v>301</v>
      </c>
      <c r="R375" s="170"/>
    </row>
    <row r="376" spans="1:18" x14ac:dyDescent="0.25">
      <c r="A376" s="81">
        <v>2020</v>
      </c>
      <c r="B376" s="28" t="s">
        <v>137</v>
      </c>
      <c r="C376" s="28" t="s">
        <v>839</v>
      </c>
      <c r="D376" s="68">
        <v>44135</v>
      </c>
      <c r="F376" s="28">
        <f>166000/1000</f>
        <v>166</v>
      </c>
      <c r="H376" s="28">
        <f>146500/1000</f>
        <v>146.5</v>
      </c>
      <c r="I376" s="28">
        <v>3.1</v>
      </c>
      <c r="J376" s="28">
        <v>1.9</v>
      </c>
      <c r="K376" s="62">
        <f t="shared" si="46"/>
        <v>1947.7610000000002</v>
      </c>
      <c r="L376" s="62">
        <f t="shared" si="47"/>
        <v>64266.839749999999</v>
      </c>
      <c r="M376" s="83">
        <f t="shared" si="48"/>
        <v>1053.55475</v>
      </c>
      <c r="N376" s="28">
        <v>61</v>
      </c>
      <c r="O376" s="28">
        <f t="shared" si="55"/>
        <v>32045.658764325002</v>
      </c>
      <c r="P376" s="93">
        <f t="shared" si="56"/>
        <v>141708.38164875002</v>
      </c>
      <c r="Q376" s="203">
        <v>301</v>
      </c>
      <c r="R376" s="170"/>
    </row>
    <row r="377" spans="1:18" x14ac:dyDescent="0.25">
      <c r="A377" s="81">
        <v>2020</v>
      </c>
      <c r="B377" s="28" t="s">
        <v>137</v>
      </c>
      <c r="C377" s="28" t="s">
        <v>839</v>
      </c>
      <c r="D377" s="68">
        <v>44196</v>
      </c>
      <c r="F377" s="28" t="s">
        <v>2446</v>
      </c>
      <c r="H377" s="28" t="s">
        <v>2446</v>
      </c>
      <c r="I377" s="28" t="s">
        <v>2446</v>
      </c>
      <c r="J377" s="28" t="s">
        <v>2446</v>
      </c>
      <c r="K377" s="62" t="str">
        <f t="shared" si="46"/>
        <v/>
      </c>
      <c r="L377" s="62" t="str">
        <f t="shared" si="47"/>
        <v/>
      </c>
      <c r="M377" s="83" t="str">
        <f t="shared" si="48"/>
        <v/>
      </c>
      <c r="N377" s="28">
        <v>61</v>
      </c>
      <c r="O377" s="28" t="str">
        <f t="shared" si="55"/>
        <v/>
      </c>
      <c r="P377" s="93" t="str">
        <f t="shared" si="56"/>
        <v/>
      </c>
      <c r="Q377" s="212">
        <v>301</v>
      </c>
      <c r="R377" s="170"/>
    </row>
    <row r="378" spans="1:18" x14ac:dyDescent="0.25">
      <c r="A378" s="81">
        <v>2020</v>
      </c>
      <c r="B378" s="28" t="s">
        <v>202</v>
      </c>
      <c r="C378" s="28" t="s">
        <v>957</v>
      </c>
      <c r="D378" s="68">
        <v>43861</v>
      </c>
      <c r="F378" s="28">
        <v>7.0000000000000001E-3</v>
      </c>
      <c r="H378" s="28">
        <v>7.0000000000000001E-3</v>
      </c>
      <c r="I378" s="28">
        <v>3.9939</v>
      </c>
      <c r="J378" s="28">
        <v>3.5777000000000001</v>
      </c>
      <c r="K378" s="62">
        <f t="shared" si="46"/>
        <v>0.1058183805</v>
      </c>
      <c r="L378" s="62">
        <f t="shared" si="47"/>
        <v>2.9385260065000005</v>
      </c>
      <c r="M378" s="83">
        <f t="shared" si="48"/>
        <v>9.4791161500000012E-2</v>
      </c>
      <c r="N378" s="28">
        <v>31</v>
      </c>
      <c r="O378" s="28">
        <f t="shared" si="55"/>
        <v>2.8832343219970502</v>
      </c>
      <c r="P378" s="210">
        <f t="shared" si="56"/>
        <v>6.4794498443325015</v>
      </c>
      <c r="Q378" s="203">
        <v>1</v>
      </c>
      <c r="R378" s="170"/>
    </row>
    <row r="379" spans="1:18" x14ac:dyDescent="0.25">
      <c r="A379" s="81">
        <v>2020</v>
      </c>
      <c r="B379" s="28" t="s">
        <v>202</v>
      </c>
      <c r="C379" s="28" t="s">
        <v>957</v>
      </c>
      <c r="D379" s="68">
        <v>43890</v>
      </c>
      <c r="F379" s="28">
        <v>6.0000000000000001E-3</v>
      </c>
      <c r="H379" s="28">
        <v>6.0000000000000001E-3</v>
      </c>
      <c r="I379" s="28">
        <v>4.0754999999999999</v>
      </c>
      <c r="J379" s="28">
        <v>3.3788999999999998</v>
      </c>
      <c r="K379" s="62">
        <f t="shared" si="46"/>
        <v>9.2554604999999998E-2</v>
      </c>
      <c r="L379" s="62">
        <f t="shared" si="47"/>
        <v>2.1485749320000003</v>
      </c>
      <c r="M379" s="83">
        <f t="shared" si="48"/>
        <v>7.673481900000001E-2</v>
      </c>
      <c r="N379" s="28">
        <v>28</v>
      </c>
      <c r="O379" s="28">
        <f t="shared" si="55"/>
        <v>2.3340199690773002</v>
      </c>
      <c r="P379" s="210">
        <f t="shared" si="56"/>
        <v>4.7376077250600011</v>
      </c>
      <c r="Q379" s="203">
        <v>1</v>
      </c>
      <c r="R379" s="170"/>
    </row>
    <row r="380" spans="1:18" x14ac:dyDescent="0.25">
      <c r="A380" s="81">
        <v>2020</v>
      </c>
      <c r="B380" s="28" t="s">
        <v>202</v>
      </c>
      <c r="C380" s="28" t="s">
        <v>957</v>
      </c>
      <c r="D380" s="68">
        <v>43921</v>
      </c>
      <c r="F380" s="28">
        <v>1.9E-2</v>
      </c>
      <c r="H380" s="28">
        <v>1.9E-2</v>
      </c>
      <c r="I380" s="28">
        <v>3.7919</v>
      </c>
      <c r="J380" s="28">
        <v>3.3673000000000002</v>
      </c>
      <c r="K380" s="62">
        <f t="shared" si="46"/>
        <v>0.2726944885</v>
      </c>
      <c r="L380" s="62">
        <f t="shared" si="47"/>
        <v>7.5069407644999995</v>
      </c>
      <c r="M380" s="83">
        <f t="shared" si="48"/>
        <v>0.24215937949999999</v>
      </c>
      <c r="N380" s="28">
        <v>31</v>
      </c>
      <c r="O380" s="28">
        <f t="shared" si="55"/>
        <v>7.3656891984376491</v>
      </c>
      <c r="P380" s="210">
        <f t="shared" si="56"/>
        <v>16.552804385722499</v>
      </c>
      <c r="Q380" s="203">
        <v>1</v>
      </c>
      <c r="R380" s="170"/>
    </row>
    <row r="381" spans="1:18" x14ac:dyDescent="0.25">
      <c r="A381" s="81">
        <v>2020</v>
      </c>
      <c r="B381" s="28" t="s">
        <v>202</v>
      </c>
      <c r="C381" s="28" t="s">
        <v>957</v>
      </c>
      <c r="D381" s="68">
        <v>43951</v>
      </c>
      <c r="F381" s="28">
        <v>6.0000000000000001E-3</v>
      </c>
      <c r="H381" s="28">
        <v>6.0000000000000001E-3</v>
      </c>
      <c r="I381" s="28">
        <v>3.3730000000000002</v>
      </c>
      <c r="J381" s="28">
        <v>3.1770999999999998</v>
      </c>
      <c r="K381" s="62">
        <f t="shared" si="46"/>
        <v>7.6600830000000009E-2</v>
      </c>
      <c r="L381" s="62">
        <f t="shared" si="47"/>
        <v>2.1645582299999999</v>
      </c>
      <c r="M381" s="83">
        <f t="shared" si="48"/>
        <v>7.2151940999999997E-2</v>
      </c>
      <c r="N381" s="28">
        <v>30</v>
      </c>
      <c r="O381" s="28">
        <f t="shared" si="55"/>
        <v>2.1946239438146997</v>
      </c>
      <c r="P381" s="210">
        <f t="shared" si="56"/>
        <v>4.7728508971499997</v>
      </c>
      <c r="Q381" s="203">
        <v>1</v>
      </c>
      <c r="R381" s="170"/>
    </row>
    <row r="382" spans="1:18" x14ac:dyDescent="0.25">
      <c r="A382" s="81">
        <v>2020</v>
      </c>
      <c r="B382" s="28" t="s">
        <v>202</v>
      </c>
      <c r="C382" s="28" t="s">
        <v>957</v>
      </c>
      <c r="D382" s="68">
        <v>43982</v>
      </c>
      <c r="F382" s="28">
        <v>8.0000000000000002E-3</v>
      </c>
      <c r="H382" s="28">
        <v>8.0000000000000002E-3</v>
      </c>
      <c r="I382" s="28">
        <v>3.1364000000000001</v>
      </c>
      <c r="J382" s="28">
        <v>3.0535000000000001</v>
      </c>
      <c r="K382" s="62">
        <f t="shared" si="46"/>
        <v>9.4970192000000009E-2</v>
      </c>
      <c r="L382" s="62">
        <f t="shared" si="47"/>
        <v>2.8662593800000002</v>
      </c>
      <c r="M382" s="83">
        <f t="shared" si="48"/>
        <v>9.2459980000000011E-2</v>
      </c>
      <c r="N382" s="28">
        <v>31</v>
      </c>
      <c r="O382" s="28">
        <f t="shared" si="55"/>
        <v>2.812327473666</v>
      </c>
      <c r="P382" s="210">
        <f t="shared" si="56"/>
        <v>6.320101932900001</v>
      </c>
      <c r="Q382" s="203">
        <v>1</v>
      </c>
      <c r="R382" s="170"/>
    </row>
    <row r="383" spans="1:18" x14ac:dyDescent="0.25">
      <c r="A383" s="81">
        <v>2020</v>
      </c>
      <c r="B383" s="28" t="s">
        <v>202</v>
      </c>
      <c r="C383" s="28" t="s">
        <v>957</v>
      </c>
      <c r="D383" s="68">
        <v>44012</v>
      </c>
      <c r="F383" s="28">
        <v>1.0999999999999999E-2</v>
      </c>
      <c r="H383" s="28">
        <v>1.0999999999999999E-2</v>
      </c>
      <c r="I383" s="28">
        <v>2.9969000000000001</v>
      </c>
      <c r="J383" s="28">
        <v>2.8374000000000001</v>
      </c>
      <c r="K383" s="62">
        <f t="shared" si="46"/>
        <v>0.12477593150000001</v>
      </c>
      <c r="L383" s="62">
        <f t="shared" si="47"/>
        <v>3.5440544700000003</v>
      </c>
      <c r="M383" s="83">
        <f t="shared" si="48"/>
        <v>0.11813514900000001</v>
      </c>
      <c r="N383" s="28">
        <v>30</v>
      </c>
      <c r="O383" s="28">
        <f t="shared" si="55"/>
        <v>3.5932813865882998</v>
      </c>
      <c r="P383" s="210">
        <f t="shared" si="56"/>
        <v>7.8146401063500006</v>
      </c>
      <c r="Q383" s="203">
        <v>1</v>
      </c>
      <c r="R383" s="170"/>
    </row>
    <row r="384" spans="1:18" x14ac:dyDescent="0.25">
      <c r="A384" s="81">
        <v>2020</v>
      </c>
      <c r="B384" s="28" t="s">
        <v>202</v>
      </c>
      <c r="C384" s="28" t="s">
        <v>957</v>
      </c>
      <c r="D384" s="68">
        <v>44043</v>
      </c>
      <c r="F384" s="28">
        <v>2E-3</v>
      </c>
      <c r="H384" s="28">
        <v>2E-3</v>
      </c>
      <c r="I384" s="28">
        <v>3.6052</v>
      </c>
      <c r="J384" s="28">
        <v>3.4</v>
      </c>
      <c r="K384" s="62">
        <f t="shared" si="46"/>
        <v>2.7291364000000002E-2</v>
      </c>
      <c r="L384" s="62">
        <f t="shared" si="47"/>
        <v>0.79787799999999998</v>
      </c>
      <c r="M384" s="83">
        <f t="shared" si="48"/>
        <v>2.5738E-2</v>
      </c>
      <c r="N384" s="28">
        <v>31</v>
      </c>
      <c r="O384" s="28">
        <f t="shared" si="55"/>
        <v>0.78286502459999985</v>
      </c>
      <c r="P384" s="210">
        <f t="shared" si="56"/>
        <v>1.75932099</v>
      </c>
      <c r="Q384" s="203">
        <v>1</v>
      </c>
      <c r="R384" s="170"/>
    </row>
    <row r="385" spans="1:18" x14ac:dyDescent="0.25">
      <c r="A385" s="81">
        <v>2020</v>
      </c>
      <c r="B385" s="28" t="s">
        <v>202</v>
      </c>
      <c r="C385" s="28" t="s">
        <v>957</v>
      </c>
      <c r="D385" s="68">
        <v>44074</v>
      </c>
      <c r="F385" s="28">
        <v>1.8E-3</v>
      </c>
      <c r="H385" s="28">
        <v>1.8E-3</v>
      </c>
      <c r="I385" s="28">
        <v>3.8452000000000002</v>
      </c>
      <c r="J385" s="28">
        <v>3.3028</v>
      </c>
      <c r="K385" s="62">
        <f t="shared" si="46"/>
        <v>2.6197347600000004E-2</v>
      </c>
      <c r="L385" s="62">
        <f t="shared" si="47"/>
        <v>0.69756126839999999</v>
      </c>
      <c r="M385" s="83">
        <f t="shared" si="48"/>
        <v>2.2501976399999998E-2</v>
      </c>
      <c r="N385" s="28">
        <v>31</v>
      </c>
      <c r="O385" s="28">
        <f t="shared" si="55"/>
        <v>0.68443586556587988</v>
      </c>
      <c r="P385" s="210">
        <f t="shared" si="56"/>
        <v>1.538122596822</v>
      </c>
      <c r="Q385" s="203">
        <v>1</v>
      </c>
      <c r="R385" s="170"/>
    </row>
    <row r="386" spans="1:18" x14ac:dyDescent="0.25">
      <c r="A386" s="81">
        <v>2020</v>
      </c>
      <c r="B386" s="28" t="s">
        <v>202</v>
      </c>
      <c r="C386" s="28" t="s">
        <v>957</v>
      </c>
      <c r="D386" s="68">
        <v>44104</v>
      </c>
      <c r="F386" s="28">
        <v>1.17E-2</v>
      </c>
      <c r="H386" s="28">
        <v>1.17E-2</v>
      </c>
      <c r="I386" s="28">
        <v>3.0179999999999998</v>
      </c>
      <c r="J386" s="28">
        <v>2.5842000000000001</v>
      </c>
      <c r="K386" s="62">
        <f t="shared" si="46"/>
        <v>0.133650621</v>
      </c>
      <c r="L386" s="62">
        <f t="shared" si="47"/>
        <v>3.433200147</v>
      </c>
      <c r="M386" s="83">
        <f t="shared" si="48"/>
        <v>0.1144400049</v>
      </c>
      <c r="N386" s="28">
        <v>30</v>
      </c>
      <c r="O386" s="28">
        <f t="shared" si="55"/>
        <v>3.4808872970418299</v>
      </c>
      <c r="P386" s="210">
        <f t="shared" si="56"/>
        <v>7.5702063241350004</v>
      </c>
      <c r="Q386" s="203">
        <v>1</v>
      </c>
      <c r="R386" s="170"/>
    </row>
    <row r="387" spans="1:18" x14ac:dyDescent="0.25">
      <c r="A387" s="81">
        <v>2020</v>
      </c>
      <c r="B387" s="28" t="s">
        <v>202</v>
      </c>
      <c r="C387" s="28" t="s">
        <v>957</v>
      </c>
      <c r="D387" s="190">
        <v>44135</v>
      </c>
      <c r="F387" s="28">
        <v>5.8999999999999999E-3</v>
      </c>
      <c r="H387" s="28">
        <v>5.8999999999999999E-3</v>
      </c>
      <c r="I387" s="28">
        <v>3.3077999999999999</v>
      </c>
      <c r="J387" s="28">
        <v>2.5708000000000002</v>
      </c>
      <c r="K387" s="62">
        <f t="shared" si="46"/>
        <v>7.3868135700000004E-2</v>
      </c>
      <c r="L387" s="62">
        <f t="shared" si="47"/>
        <v>1.7797044262000001</v>
      </c>
      <c r="M387" s="83">
        <f t="shared" si="48"/>
        <v>5.7409820200000003E-2</v>
      </c>
      <c r="N387" s="28">
        <v>31</v>
      </c>
      <c r="O387" s="28">
        <f t="shared" si="55"/>
        <v>1.74621727807734</v>
      </c>
      <c r="P387" s="210">
        <f t="shared" si="56"/>
        <v>3.9242482597710002</v>
      </c>
      <c r="Q387" s="203">
        <v>1</v>
      </c>
      <c r="R387" s="170"/>
    </row>
    <row r="388" spans="1:18" x14ac:dyDescent="0.25">
      <c r="A388" s="81">
        <v>2020</v>
      </c>
      <c r="B388" s="28" t="s">
        <v>202</v>
      </c>
      <c r="C388" s="81" t="s">
        <v>957</v>
      </c>
      <c r="D388" s="68">
        <v>44165</v>
      </c>
      <c r="E388" s="97"/>
      <c r="F388" s="28">
        <v>4.37</v>
      </c>
      <c r="H388" s="28">
        <v>4.37</v>
      </c>
      <c r="I388" s="28">
        <v>2.1520000000000001</v>
      </c>
      <c r="J388" s="28">
        <v>0.86429999999999996</v>
      </c>
      <c r="K388" s="62">
        <f t="shared" si="46"/>
        <v>35.59504840000001</v>
      </c>
      <c r="L388" s="62">
        <f t="shared" si="47"/>
        <v>428.87732805000002</v>
      </c>
      <c r="M388" s="83">
        <f t="shared" si="48"/>
        <v>14.295910935</v>
      </c>
      <c r="N388" s="28">
        <v>30</v>
      </c>
      <c r="O388" s="28">
        <f t="shared" si="55"/>
        <v>434.8344341366145</v>
      </c>
      <c r="P388" s="210">
        <f t="shared" si="56"/>
        <v>945.67450835025011</v>
      </c>
      <c r="Q388" s="203">
        <v>1</v>
      </c>
      <c r="R388" s="170"/>
    </row>
    <row r="389" spans="1:18" x14ac:dyDescent="0.25">
      <c r="A389" s="81">
        <v>2020</v>
      </c>
      <c r="B389" s="28" t="s">
        <v>202</v>
      </c>
      <c r="C389" s="81" t="s">
        <v>957</v>
      </c>
      <c r="D389" s="68">
        <v>44196</v>
      </c>
      <c r="E389" s="97"/>
      <c r="F389" s="28">
        <v>1.8200000000000001E-2</v>
      </c>
      <c r="H389" s="28">
        <v>1.8200000000000001E-2</v>
      </c>
      <c r="I389" s="28">
        <v>3.0026000000000002</v>
      </c>
      <c r="J389" s="28">
        <v>2.3858000000000001</v>
      </c>
      <c r="K389" s="62">
        <f t="shared" ref="K389:K452" si="57">IFERROR(+F389*I389*3.785,"")</f>
        <v>0.20684010620000004</v>
      </c>
      <c r="L389" s="62">
        <f t="shared" ref="L389:L452" si="58">IFERROR(H389*J389*3.785*N389,"")</f>
        <v>5.094868742600001</v>
      </c>
      <c r="M389" s="83">
        <f t="shared" ref="M389:M452" si="59">IFERROR(+L389/N389,"")</f>
        <v>0.16435060460000003</v>
      </c>
      <c r="N389" s="28">
        <v>31</v>
      </c>
      <c r="O389" s="28">
        <f t="shared" si="55"/>
        <v>4.9990030349368206</v>
      </c>
      <c r="P389" s="93">
        <f t="shared" si="56"/>
        <v>11.234185577433003</v>
      </c>
      <c r="Q389" s="214">
        <v>1</v>
      </c>
      <c r="R389" s="170"/>
    </row>
    <row r="390" spans="1:18" x14ac:dyDescent="0.25">
      <c r="A390" s="81">
        <v>2020</v>
      </c>
      <c r="B390" s="28" t="s">
        <v>202</v>
      </c>
      <c r="C390" s="81" t="s">
        <v>957</v>
      </c>
      <c r="D390" s="68"/>
      <c r="E390" s="97"/>
      <c r="K390" s="62">
        <f t="shared" si="57"/>
        <v>0</v>
      </c>
      <c r="L390" s="62">
        <f t="shared" si="58"/>
        <v>0</v>
      </c>
      <c r="M390" s="83" t="str">
        <f t="shared" si="59"/>
        <v/>
      </c>
      <c r="O390" s="28" t="str">
        <f t="shared" si="55"/>
        <v/>
      </c>
      <c r="P390" s="93">
        <f t="shared" si="56"/>
        <v>0</v>
      </c>
      <c r="Q390" s="203">
        <v>2</v>
      </c>
      <c r="R390" s="170" t="s">
        <v>6757</v>
      </c>
    </row>
    <row r="391" spans="1:18" x14ac:dyDescent="0.25">
      <c r="A391" s="81">
        <v>2020</v>
      </c>
      <c r="B391" s="81" t="s">
        <v>202</v>
      </c>
      <c r="C391" s="28" t="s">
        <v>957</v>
      </c>
      <c r="D391" s="68"/>
      <c r="K391" s="62">
        <f t="shared" si="57"/>
        <v>0</v>
      </c>
      <c r="L391" s="62">
        <f t="shared" si="58"/>
        <v>0</v>
      </c>
      <c r="M391" s="83" t="str">
        <f t="shared" si="59"/>
        <v/>
      </c>
      <c r="O391" s="28" t="str">
        <f t="shared" si="55"/>
        <v/>
      </c>
      <c r="P391" s="93">
        <f t="shared" si="56"/>
        <v>0</v>
      </c>
      <c r="Q391" s="203">
        <v>9</v>
      </c>
      <c r="R391" s="170" t="s">
        <v>6757</v>
      </c>
    </row>
    <row r="392" spans="1:18" x14ac:dyDescent="0.25">
      <c r="A392" s="81">
        <v>2020</v>
      </c>
      <c r="B392" s="81" t="s">
        <v>135</v>
      </c>
      <c r="C392" s="28" t="s">
        <v>835</v>
      </c>
      <c r="D392" s="68">
        <v>43861</v>
      </c>
      <c r="F392" s="28">
        <f>6/1000</f>
        <v>6.0000000000000001E-3</v>
      </c>
      <c r="H392" s="28">
        <f>6/1000</f>
        <v>6.0000000000000001E-3</v>
      </c>
      <c r="I392" s="28">
        <v>22.07</v>
      </c>
      <c r="J392" s="28">
        <v>17.760000000000002</v>
      </c>
      <c r="K392" s="62">
        <f t="shared" si="57"/>
        <v>0.50120970000000009</v>
      </c>
      <c r="L392" s="62">
        <f t="shared" si="58"/>
        <v>12.503217600000003</v>
      </c>
      <c r="M392" s="83">
        <f t="shared" si="59"/>
        <v>0.40332960000000007</v>
      </c>
      <c r="N392" s="28">
        <v>31</v>
      </c>
      <c r="O392" s="28">
        <f t="shared" si="55"/>
        <v>12.267955444320002</v>
      </c>
      <c r="P392" s="210">
        <f t="shared" si="56"/>
        <v>27.569594808000009</v>
      </c>
      <c r="Q392" s="203">
        <v>31</v>
      </c>
      <c r="R392" s="170"/>
    </row>
    <row r="393" spans="1:18" x14ac:dyDescent="0.25">
      <c r="A393" s="81">
        <v>2020</v>
      </c>
      <c r="B393" s="81" t="s">
        <v>135</v>
      </c>
      <c r="C393" s="28" t="s">
        <v>835</v>
      </c>
      <c r="D393" s="68">
        <v>43890</v>
      </c>
      <c r="F393" s="28">
        <f>3/1000</f>
        <v>3.0000000000000001E-3</v>
      </c>
      <c r="H393" s="28">
        <f>3/1000</f>
        <v>3.0000000000000001E-3</v>
      </c>
      <c r="I393" s="28">
        <v>22.11</v>
      </c>
      <c r="J393" s="28">
        <v>16.809999999999999</v>
      </c>
      <c r="K393" s="62">
        <f t="shared" si="57"/>
        <v>0.25105905000000001</v>
      </c>
      <c r="L393" s="62">
        <f t="shared" si="58"/>
        <v>5.3445713999999995</v>
      </c>
      <c r="M393" s="83">
        <f t="shared" si="59"/>
        <v>0.19087754999999998</v>
      </c>
      <c r="N393" s="28">
        <v>28</v>
      </c>
      <c r="O393" s="28">
        <f t="shared" si="55"/>
        <v>5.8058651750849988</v>
      </c>
      <c r="P393" s="210">
        <f t="shared" si="56"/>
        <v>11.784779937</v>
      </c>
      <c r="Q393" s="203">
        <v>31</v>
      </c>
      <c r="R393" s="170"/>
    </row>
    <row r="394" spans="1:18" x14ac:dyDescent="0.25">
      <c r="A394" s="81">
        <v>2020</v>
      </c>
      <c r="B394" s="81" t="s">
        <v>135</v>
      </c>
      <c r="C394" s="28" t="s">
        <v>835</v>
      </c>
      <c r="D394" s="68">
        <v>43921</v>
      </c>
      <c r="F394" s="28">
        <v>0</v>
      </c>
      <c r="H394" s="28">
        <v>0</v>
      </c>
      <c r="I394" s="28">
        <v>19.54</v>
      </c>
      <c r="J394" s="28">
        <v>13.86</v>
      </c>
      <c r="K394" s="62">
        <f t="shared" si="57"/>
        <v>0</v>
      </c>
      <c r="L394" s="62">
        <f t="shared" si="58"/>
        <v>0</v>
      </c>
      <c r="M394" s="83">
        <f t="shared" si="59"/>
        <v>0</v>
      </c>
      <c r="N394" s="28">
        <v>31</v>
      </c>
      <c r="O394" s="28" t="str">
        <f t="shared" si="55"/>
        <v/>
      </c>
      <c r="P394" s="210">
        <f t="shared" si="56"/>
        <v>0</v>
      </c>
      <c r="Q394" s="203">
        <v>31</v>
      </c>
      <c r="R394" s="170"/>
    </row>
    <row r="395" spans="1:18" x14ac:dyDescent="0.25">
      <c r="A395" s="81">
        <v>2020</v>
      </c>
      <c r="B395" s="81" t="s">
        <v>135</v>
      </c>
      <c r="C395" s="28" t="s">
        <v>835</v>
      </c>
      <c r="D395" s="68">
        <v>43951</v>
      </c>
      <c r="F395" s="28">
        <f>4/1000</f>
        <v>4.0000000000000001E-3</v>
      </c>
      <c r="H395" s="28">
        <f>4/1000</f>
        <v>4.0000000000000001E-3</v>
      </c>
      <c r="I395" s="28">
        <v>18</v>
      </c>
      <c r="J395" s="28">
        <v>15.34</v>
      </c>
      <c r="K395" s="62">
        <f t="shared" si="57"/>
        <v>0.27252000000000004</v>
      </c>
      <c r="L395" s="62">
        <f t="shared" si="58"/>
        <v>6.967428</v>
      </c>
      <c r="M395" s="83">
        <f t="shared" si="59"/>
        <v>0.2322476</v>
      </c>
      <c r="N395" s="28">
        <v>30</v>
      </c>
      <c r="O395" s="28">
        <f t="shared" si="55"/>
        <v>7.064205574919999</v>
      </c>
      <c r="P395" s="210">
        <f t="shared" si="56"/>
        <v>15.36317874</v>
      </c>
      <c r="Q395" s="203">
        <v>31</v>
      </c>
      <c r="R395" s="170"/>
    </row>
    <row r="396" spans="1:18" x14ac:dyDescent="0.25">
      <c r="A396" s="81">
        <v>2020</v>
      </c>
      <c r="B396" s="81" t="s">
        <v>135</v>
      </c>
      <c r="C396" s="28" t="s">
        <v>835</v>
      </c>
      <c r="D396" s="68">
        <v>43982</v>
      </c>
      <c r="F396" s="28">
        <v>0</v>
      </c>
      <c r="H396" s="28">
        <v>0</v>
      </c>
      <c r="I396" s="28">
        <v>21.81</v>
      </c>
      <c r="J396" s="28">
        <v>16.52</v>
      </c>
      <c r="K396" s="62">
        <f t="shared" si="57"/>
        <v>0</v>
      </c>
      <c r="L396" s="62">
        <f t="shared" si="58"/>
        <v>0</v>
      </c>
      <c r="M396" s="83">
        <f t="shared" si="59"/>
        <v>0</v>
      </c>
      <c r="N396" s="28">
        <v>31</v>
      </c>
      <c r="O396" s="28" t="str">
        <f t="shared" si="55"/>
        <v/>
      </c>
      <c r="P396" s="210">
        <f t="shared" si="56"/>
        <v>0</v>
      </c>
      <c r="Q396" s="203">
        <v>31</v>
      </c>
      <c r="R396" s="170"/>
    </row>
    <row r="397" spans="1:18" x14ac:dyDescent="0.25">
      <c r="A397" s="28">
        <v>2020</v>
      </c>
      <c r="B397" s="160" t="s">
        <v>135</v>
      </c>
      <c r="C397" s="28" t="s">
        <v>835</v>
      </c>
      <c r="D397" s="68">
        <v>44012</v>
      </c>
      <c r="F397" s="28">
        <v>0</v>
      </c>
      <c r="H397" s="28">
        <v>0</v>
      </c>
      <c r="I397" s="28">
        <v>18</v>
      </c>
      <c r="J397" s="28">
        <v>15.62</v>
      </c>
      <c r="K397" s="62">
        <f t="shared" si="57"/>
        <v>0</v>
      </c>
      <c r="L397" s="62">
        <f t="shared" si="58"/>
        <v>0</v>
      </c>
      <c r="M397" s="83">
        <f t="shared" si="59"/>
        <v>0</v>
      </c>
      <c r="N397" s="36">
        <v>30</v>
      </c>
      <c r="O397" s="36" t="str">
        <f t="shared" si="55"/>
        <v/>
      </c>
      <c r="P397" s="210">
        <f t="shared" si="56"/>
        <v>0</v>
      </c>
      <c r="Q397" s="203">
        <v>31</v>
      </c>
      <c r="R397" s="170"/>
    </row>
    <row r="398" spans="1:18" x14ac:dyDescent="0.25">
      <c r="A398" s="28">
        <v>2020</v>
      </c>
      <c r="B398" s="81" t="s">
        <v>135</v>
      </c>
      <c r="C398" s="28" t="s">
        <v>835</v>
      </c>
      <c r="D398" s="68">
        <v>44043</v>
      </c>
      <c r="F398" s="28">
        <v>0</v>
      </c>
      <c r="H398" s="28">
        <v>0</v>
      </c>
      <c r="I398" s="28">
        <v>19.989999999999998</v>
      </c>
      <c r="J398" s="28">
        <v>14.71</v>
      </c>
      <c r="K398" s="62">
        <f t="shared" si="57"/>
        <v>0</v>
      </c>
      <c r="L398" s="62">
        <f t="shared" si="58"/>
        <v>0</v>
      </c>
      <c r="M398" s="83">
        <f t="shared" si="59"/>
        <v>0</v>
      </c>
      <c r="N398" s="28">
        <v>31</v>
      </c>
      <c r="O398" s="28" t="str">
        <f t="shared" si="55"/>
        <v/>
      </c>
      <c r="P398" s="210">
        <f t="shared" si="56"/>
        <v>0</v>
      </c>
      <c r="Q398" s="203">
        <v>31</v>
      </c>
      <c r="R398" s="170"/>
    </row>
    <row r="399" spans="1:18" x14ac:dyDescent="0.25">
      <c r="A399" s="28">
        <v>2020</v>
      </c>
      <c r="B399" s="81" t="s">
        <v>135</v>
      </c>
      <c r="C399" s="28" t="s">
        <v>835</v>
      </c>
      <c r="D399" s="68">
        <v>44074</v>
      </c>
      <c r="F399" s="28">
        <v>0</v>
      </c>
      <c r="H399" s="28">
        <v>0</v>
      </c>
      <c r="I399" s="28">
        <v>19.93</v>
      </c>
      <c r="J399" s="28">
        <v>15.2</v>
      </c>
      <c r="K399" s="62">
        <f t="shared" si="57"/>
        <v>0</v>
      </c>
      <c r="L399" s="62">
        <f t="shared" si="58"/>
        <v>0</v>
      </c>
      <c r="M399" s="83">
        <f t="shared" si="59"/>
        <v>0</v>
      </c>
      <c r="N399" s="28">
        <v>31</v>
      </c>
      <c r="O399" s="28" t="str">
        <f t="shared" si="55"/>
        <v/>
      </c>
      <c r="P399" s="210">
        <f t="shared" si="56"/>
        <v>0</v>
      </c>
      <c r="Q399" s="203">
        <v>31</v>
      </c>
      <c r="R399" s="170"/>
    </row>
    <row r="400" spans="1:18" x14ac:dyDescent="0.25">
      <c r="A400" s="28">
        <v>2020</v>
      </c>
      <c r="B400" s="81" t="s">
        <v>135</v>
      </c>
      <c r="C400" s="28" t="s">
        <v>835</v>
      </c>
      <c r="D400" s="68">
        <v>44104</v>
      </c>
      <c r="F400" s="28">
        <v>0</v>
      </c>
      <c r="H400" s="28">
        <v>0</v>
      </c>
      <c r="I400" s="28">
        <v>15.98</v>
      </c>
      <c r="J400" s="28">
        <v>13.1</v>
      </c>
      <c r="K400" s="62">
        <f t="shared" si="57"/>
        <v>0</v>
      </c>
      <c r="L400" s="62">
        <f t="shared" si="58"/>
        <v>0</v>
      </c>
      <c r="M400" s="83">
        <f t="shared" si="59"/>
        <v>0</v>
      </c>
      <c r="N400" s="28">
        <v>30</v>
      </c>
      <c r="O400" s="28" t="str">
        <f t="shared" si="55"/>
        <v/>
      </c>
      <c r="P400" s="210">
        <f t="shared" si="56"/>
        <v>0</v>
      </c>
      <c r="Q400" s="203">
        <v>31</v>
      </c>
      <c r="R400" s="170"/>
    </row>
    <row r="401" spans="1:18" x14ac:dyDescent="0.25">
      <c r="A401" s="28">
        <v>2020</v>
      </c>
      <c r="B401" s="81" t="s">
        <v>135</v>
      </c>
      <c r="C401" s="126" t="s">
        <v>835</v>
      </c>
      <c r="D401" s="190">
        <v>44135</v>
      </c>
      <c r="E401" s="126"/>
      <c r="F401" s="126">
        <v>0</v>
      </c>
      <c r="H401" s="28">
        <v>0</v>
      </c>
      <c r="I401" s="28">
        <v>14</v>
      </c>
      <c r="J401" s="28">
        <v>10.130000000000001</v>
      </c>
      <c r="K401" s="62">
        <f t="shared" si="57"/>
        <v>0</v>
      </c>
      <c r="L401" s="62">
        <f t="shared" si="58"/>
        <v>0</v>
      </c>
      <c r="M401" s="83">
        <f t="shared" si="59"/>
        <v>0</v>
      </c>
      <c r="N401" s="28">
        <v>31</v>
      </c>
      <c r="O401" s="28" t="str">
        <f t="shared" si="55"/>
        <v/>
      </c>
      <c r="P401" s="210">
        <f t="shared" si="56"/>
        <v>0</v>
      </c>
      <c r="Q401" s="203">
        <v>31</v>
      </c>
      <c r="R401" s="170"/>
    </row>
    <row r="402" spans="1:18" x14ac:dyDescent="0.25">
      <c r="A402" s="28">
        <v>2020</v>
      </c>
      <c r="B402" s="81" t="s">
        <v>135</v>
      </c>
      <c r="C402" s="28" t="s">
        <v>835</v>
      </c>
      <c r="D402" s="68">
        <v>44165</v>
      </c>
      <c r="F402" s="28">
        <v>0</v>
      </c>
      <c r="G402" s="97"/>
      <c r="H402" s="28">
        <v>0</v>
      </c>
      <c r="I402" s="28">
        <v>17.190000000000001</v>
      </c>
      <c r="J402" s="28">
        <v>10.68</v>
      </c>
      <c r="K402" s="62">
        <f t="shared" si="57"/>
        <v>0</v>
      </c>
      <c r="L402" s="62">
        <f t="shared" si="58"/>
        <v>0</v>
      </c>
      <c r="M402" s="83">
        <f t="shared" si="59"/>
        <v>0</v>
      </c>
      <c r="N402" s="28">
        <v>30</v>
      </c>
      <c r="O402" s="28" t="str">
        <f t="shared" si="55"/>
        <v/>
      </c>
      <c r="P402" s="210">
        <f t="shared" si="56"/>
        <v>0</v>
      </c>
      <c r="Q402" s="203">
        <v>31</v>
      </c>
      <c r="R402" s="170"/>
    </row>
    <row r="403" spans="1:18" x14ac:dyDescent="0.25">
      <c r="A403" s="28">
        <v>2020</v>
      </c>
      <c r="B403" s="81" t="s">
        <v>135</v>
      </c>
      <c r="C403" s="28" t="s">
        <v>835</v>
      </c>
      <c r="D403" s="68">
        <v>44196</v>
      </c>
      <c r="F403" s="28">
        <v>0</v>
      </c>
      <c r="G403" s="97"/>
      <c r="H403" s="28">
        <v>0</v>
      </c>
      <c r="I403" s="28">
        <v>18.920000000000002</v>
      </c>
      <c r="J403" s="28">
        <v>15.15</v>
      </c>
      <c r="K403" s="62">
        <f t="shared" si="57"/>
        <v>0</v>
      </c>
      <c r="L403" s="62">
        <f t="shared" si="58"/>
        <v>0</v>
      </c>
      <c r="M403" s="83">
        <f t="shared" si="59"/>
        <v>0</v>
      </c>
      <c r="N403" s="28">
        <v>31</v>
      </c>
      <c r="O403" s="28" t="str">
        <f t="shared" si="55"/>
        <v/>
      </c>
      <c r="P403" s="210">
        <f t="shared" si="56"/>
        <v>0</v>
      </c>
      <c r="Q403" s="203">
        <v>31</v>
      </c>
      <c r="R403" s="170"/>
    </row>
    <row r="404" spans="1:18" x14ac:dyDescent="0.25">
      <c r="A404" s="28">
        <v>2020</v>
      </c>
      <c r="B404" s="81" t="s">
        <v>135</v>
      </c>
      <c r="C404" s="28" t="s">
        <v>835</v>
      </c>
      <c r="D404" s="68">
        <v>43861</v>
      </c>
      <c r="F404" s="28" t="s">
        <v>2446</v>
      </c>
      <c r="G404" s="97"/>
      <c r="H404" t="s">
        <v>2446</v>
      </c>
      <c r="K404" s="62" t="str">
        <f t="shared" si="57"/>
        <v/>
      </c>
      <c r="L404" s="62" t="str">
        <f t="shared" si="58"/>
        <v/>
      </c>
      <c r="M404" s="83" t="str">
        <f t="shared" si="59"/>
        <v/>
      </c>
      <c r="N404" s="28">
        <v>31</v>
      </c>
      <c r="O404" s="28" t="str">
        <f t="shared" si="55"/>
        <v/>
      </c>
      <c r="P404" s="93" t="str">
        <f t="shared" si="56"/>
        <v/>
      </c>
      <c r="Q404" s="203" t="s">
        <v>2454</v>
      </c>
      <c r="R404" t="s">
        <v>2456</v>
      </c>
    </row>
    <row r="405" spans="1:18" x14ac:dyDescent="0.25">
      <c r="A405" s="28">
        <v>2020</v>
      </c>
      <c r="B405" s="81" t="s">
        <v>135</v>
      </c>
      <c r="C405" s="28" t="s">
        <v>835</v>
      </c>
      <c r="D405" s="68">
        <v>43890</v>
      </c>
      <c r="F405" s="28" t="s">
        <v>2446</v>
      </c>
      <c r="G405" s="97"/>
      <c r="H405" t="s">
        <v>2446</v>
      </c>
      <c r="K405" s="62" t="str">
        <f t="shared" si="57"/>
        <v/>
      </c>
      <c r="L405" s="62" t="str">
        <f t="shared" si="58"/>
        <v/>
      </c>
      <c r="M405" s="83" t="str">
        <f t="shared" si="59"/>
        <v/>
      </c>
      <c r="N405" s="28">
        <v>28</v>
      </c>
      <c r="O405" s="28" t="str">
        <f t="shared" si="55"/>
        <v/>
      </c>
      <c r="P405" s="93" t="str">
        <f t="shared" si="56"/>
        <v/>
      </c>
      <c r="Q405" s="203" t="s">
        <v>2454</v>
      </c>
      <c r="R405" s="170"/>
    </row>
    <row r="406" spans="1:18" x14ac:dyDescent="0.25">
      <c r="A406" s="28">
        <v>2020</v>
      </c>
      <c r="B406" s="81" t="s">
        <v>135</v>
      </c>
      <c r="C406" s="28" t="s">
        <v>835</v>
      </c>
      <c r="D406" s="68">
        <v>43921</v>
      </c>
      <c r="F406" s="28" t="s">
        <v>2446</v>
      </c>
      <c r="G406" s="97"/>
      <c r="H406" t="s">
        <v>2446</v>
      </c>
      <c r="K406" s="62" t="str">
        <f t="shared" si="57"/>
        <v/>
      </c>
      <c r="L406" s="62" t="str">
        <f t="shared" si="58"/>
        <v/>
      </c>
      <c r="M406" s="83" t="str">
        <f t="shared" si="59"/>
        <v/>
      </c>
      <c r="N406" s="28">
        <v>31</v>
      </c>
      <c r="O406" s="28" t="str">
        <f t="shared" ref="O406:O437" si="60">IF(AND(L406&gt;0,L406&lt;&gt;""), L406/(N406/30.4167),"")</f>
        <v/>
      </c>
      <c r="P406" s="93" t="str">
        <f t="shared" ref="P406:P437" si="61">IFERROR(L406*2.205,"")</f>
        <v/>
      </c>
      <c r="Q406" s="203" t="s">
        <v>2454</v>
      </c>
      <c r="R406" s="170"/>
    </row>
    <row r="407" spans="1:18" x14ac:dyDescent="0.25">
      <c r="A407" s="28">
        <v>2020</v>
      </c>
      <c r="B407" s="81" t="s">
        <v>135</v>
      </c>
      <c r="C407" s="28" t="s">
        <v>835</v>
      </c>
      <c r="D407" s="68">
        <v>43951</v>
      </c>
      <c r="F407" s="28" t="s">
        <v>2446</v>
      </c>
      <c r="G407" s="97"/>
      <c r="H407" t="s">
        <v>2446</v>
      </c>
      <c r="K407" s="62" t="str">
        <f t="shared" si="57"/>
        <v/>
      </c>
      <c r="L407" s="62" t="str">
        <f t="shared" si="58"/>
        <v/>
      </c>
      <c r="M407" s="83" t="str">
        <f t="shared" si="59"/>
        <v/>
      </c>
      <c r="N407" s="28">
        <v>30</v>
      </c>
      <c r="O407" s="28" t="str">
        <f t="shared" si="60"/>
        <v/>
      </c>
      <c r="P407" s="93" t="str">
        <f t="shared" si="61"/>
        <v/>
      </c>
      <c r="Q407" s="203" t="s">
        <v>2454</v>
      </c>
      <c r="R407" s="170"/>
    </row>
    <row r="408" spans="1:18" x14ac:dyDescent="0.25">
      <c r="A408" s="28">
        <v>2020</v>
      </c>
      <c r="B408" s="81" t="s">
        <v>135</v>
      </c>
      <c r="C408" s="28" t="s">
        <v>835</v>
      </c>
      <c r="D408" s="68">
        <v>43982</v>
      </c>
      <c r="F408" s="28" t="s">
        <v>2446</v>
      </c>
      <c r="G408" s="97"/>
      <c r="H408" t="s">
        <v>2446</v>
      </c>
      <c r="K408" s="62" t="str">
        <f t="shared" si="57"/>
        <v/>
      </c>
      <c r="L408" s="62" t="str">
        <f t="shared" si="58"/>
        <v/>
      </c>
      <c r="M408" s="83" t="str">
        <f t="shared" si="59"/>
        <v/>
      </c>
      <c r="N408" s="28">
        <v>31</v>
      </c>
      <c r="O408" s="28" t="str">
        <f t="shared" si="60"/>
        <v/>
      </c>
      <c r="P408" s="93" t="str">
        <f t="shared" si="61"/>
        <v/>
      </c>
      <c r="Q408" s="203" t="s">
        <v>2454</v>
      </c>
      <c r="R408" s="170"/>
    </row>
    <row r="409" spans="1:18" x14ac:dyDescent="0.25">
      <c r="A409" s="28">
        <v>2020</v>
      </c>
      <c r="B409" s="81" t="s">
        <v>135</v>
      </c>
      <c r="C409" s="28" t="s">
        <v>835</v>
      </c>
      <c r="D409" s="68">
        <v>44012</v>
      </c>
      <c r="F409" s="28" t="s">
        <v>2446</v>
      </c>
      <c r="G409" s="97"/>
      <c r="H409" t="s">
        <v>2446</v>
      </c>
      <c r="K409" s="62" t="str">
        <f t="shared" si="57"/>
        <v/>
      </c>
      <c r="L409" s="62" t="str">
        <f t="shared" si="58"/>
        <v/>
      </c>
      <c r="M409" s="83" t="str">
        <f t="shared" si="59"/>
        <v/>
      </c>
      <c r="N409" s="28">
        <v>30</v>
      </c>
      <c r="O409" s="28" t="str">
        <f t="shared" si="60"/>
        <v/>
      </c>
      <c r="P409" s="93" t="str">
        <f t="shared" si="61"/>
        <v/>
      </c>
      <c r="Q409" s="203" t="s">
        <v>2454</v>
      </c>
      <c r="R409" s="170"/>
    </row>
    <row r="410" spans="1:18" x14ac:dyDescent="0.25">
      <c r="A410" s="28">
        <v>2020</v>
      </c>
      <c r="B410" s="81" t="s">
        <v>135</v>
      </c>
      <c r="C410" s="28" t="s">
        <v>835</v>
      </c>
      <c r="D410" s="68">
        <v>44043</v>
      </c>
      <c r="F410" s="28" t="s">
        <v>2446</v>
      </c>
      <c r="G410" s="97"/>
      <c r="H410" t="s">
        <v>2446</v>
      </c>
      <c r="K410" s="62" t="str">
        <f t="shared" si="57"/>
        <v/>
      </c>
      <c r="L410" s="62" t="str">
        <f t="shared" si="58"/>
        <v/>
      </c>
      <c r="M410" s="83" t="str">
        <f t="shared" si="59"/>
        <v/>
      </c>
      <c r="N410" s="28">
        <v>31</v>
      </c>
      <c r="O410" s="28" t="str">
        <f t="shared" si="60"/>
        <v/>
      </c>
      <c r="P410" s="93" t="str">
        <f t="shared" si="61"/>
        <v/>
      </c>
      <c r="Q410" s="203" t="s">
        <v>2454</v>
      </c>
      <c r="R410" s="170"/>
    </row>
    <row r="411" spans="1:18" x14ac:dyDescent="0.25">
      <c r="A411" s="28">
        <v>2020</v>
      </c>
      <c r="B411" s="81" t="s">
        <v>135</v>
      </c>
      <c r="C411" s="28" t="s">
        <v>835</v>
      </c>
      <c r="D411" s="68">
        <v>44074</v>
      </c>
      <c r="F411" s="28" t="s">
        <v>2446</v>
      </c>
      <c r="G411" s="97"/>
      <c r="H411" t="s">
        <v>2446</v>
      </c>
      <c r="K411" s="62" t="str">
        <f t="shared" si="57"/>
        <v/>
      </c>
      <c r="L411" s="62" t="str">
        <f t="shared" si="58"/>
        <v/>
      </c>
      <c r="M411" s="83" t="str">
        <f t="shared" si="59"/>
        <v/>
      </c>
      <c r="N411" s="28">
        <v>31</v>
      </c>
      <c r="O411" s="28" t="str">
        <f t="shared" si="60"/>
        <v/>
      </c>
      <c r="P411" s="93" t="str">
        <f t="shared" si="61"/>
        <v/>
      </c>
      <c r="Q411" s="203" t="s">
        <v>2454</v>
      </c>
      <c r="R411" s="170"/>
    </row>
    <row r="412" spans="1:18" x14ac:dyDescent="0.25">
      <c r="A412" s="28">
        <v>2020</v>
      </c>
      <c r="B412" s="81" t="s">
        <v>135</v>
      </c>
      <c r="C412" s="28" t="s">
        <v>835</v>
      </c>
      <c r="D412" s="68">
        <v>44104</v>
      </c>
      <c r="F412" s="28" t="s">
        <v>2446</v>
      </c>
      <c r="G412" s="97"/>
      <c r="H412" t="s">
        <v>2446</v>
      </c>
      <c r="K412" s="62" t="str">
        <f t="shared" si="57"/>
        <v/>
      </c>
      <c r="L412" s="62" t="str">
        <f t="shared" si="58"/>
        <v/>
      </c>
      <c r="M412" s="83" t="str">
        <f t="shared" si="59"/>
        <v/>
      </c>
      <c r="N412" s="28">
        <v>30</v>
      </c>
      <c r="O412" s="28" t="str">
        <f t="shared" si="60"/>
        <v/>
      </c>
      <c r="P412" s="93" t="str">
        <f t="shared" si="61"/>
        <v/>
      </c>
      <c r="Q412" s="203" t="s">
        <v>2454</v>
      </c>
      <c r="R412" s="170"/>
    </row>
    <row r="413" spans="1:18" x14ac:dyDescent="0.25">
      <c r="A413" s="28">
        <v>2020</v>
      </c>
      <c r="B413" s="81" t="s">
        <v>135</v>
      </c>
      <c r="C413" s="28" t="s">
        <v>835</v>
      </c>
      <c r="D413" s="68">
        <v>44135</v>
      </c>
      <c r="F413" s="28" t="s">
        <v>2446</v>
      </c>
      <c r="G413" s="97"/>
      <c r="H413" t="s">
        <v>2446</v>
      </c>
      <c r="K413" s="62" t="str">
        <f t="shared" si="57"/>
        <v/>
      </c>
      <c r="L413" s="62" t="str">
        <f t="shared" si="58"/>
        <v/>
      </c>
      <c r="M413" s="83" t="str">
        <f t="shared" si="59"/>
        <v/>
      </c>
      <c r="N413" s="28">
        <v>31</v>
      </c>
      <c r="O413" s="28" t="str">
        <f t="shared" si="60"/>
        <v/>
      </c>
      <c r="P413" s="93" t="str">
        <f t="shared" si="61"/>
        <v/>
      </c>
      <c r="Q413" s="203" t="s">
        <v>2454</v>
      </c>
      <c r="R413" s="170"/>
    </row>
    <row r="414" spans="1:18" x14ac:dyDescent="0.25">
      <c r="A414" s="126">
        <v>2020</v>
      </c>
      <c r="B414" s="223" t="s">
        <v>135</v>
      </c>
      <c r="C414" s="126" t="s">
        <v>835</v>
      </c>
      <c r="D414" s="190">
        <v>44165</v>
      </c>
      <c r="E414" s="126"/>
      <c r="F414" s="126" t="s">
        <v>2446</v>
      </c>
      <c r="G414" s="254"/>
      <c r="H414" t="s">
        <v>2446</v>
      </c>
      <c r="I414" s="126"/>
      <c r="J414" s="126"/>
      <c r="K414" s="62" t="str">
        <f t="shared" si="57"/>
        <v/>
      </c>
      <c r="L414" s="62" t="str">
        <f t="shared" si="58"/>
        <v/>
      </c>
      <c r="M414" s="83" t="str">
        <f t="shared" si="59"/>
        <v/>
      </c>
      <c r="N414" s="126">
        <v>30</v>
      </c>
      <c r="O414" s="126" t="str">
        <f t="shared" si="60"/>
        <v/>
      </c>
      <c r="P414" s="208" t="str">
        <f t="shared" si="61"/>
        <v/>
      </c>
      <c r="Q414" s="212" t="s">
        <v>2454</v>
      </c>
      <c r="R414" s="170"/>
    </row>
    <row r="415" spans="1:18" x14ac:dyDescent="0.25">
      <c r="A415" s="28">
        <v>2020</v>
      </c>
      <c r="B415" s="28" t="s">
        <v>135</v>
      </c>
      <c r="C415" s="28" t="s">
        <v>835</v>
      </c>
      <c r="D415" s="68">
        <v>44196</v>
      </c>
      <c r="F415" s="28" t="s">
        <v>2446</v>
      </c>
      <c r="H415" s="28" t="s">
        <v>2446</v>
      </c>
      <c r="K415" s="62" t="str">
        <f t="shared" si="57"/>
        <v/>
      </c>
      <c r="L415" s="62" t="str">
        <f t="shared" si="58"/>
        <v/>
      </c>
      <c r="M415" s="83" t="str">
        <f t="shared" si="59"/>
        <v/>
      </c>
      <c r="N415" s="28">
        <v>31</v>
      </c>
      <c r="O415" s="28" t="str">
        <f t="shared" si="60"/>
        <v/>
      </c>
      <c r="P415" s="93" t="str">
        <f t="shared" si="61"/>
        <v/>
      </c>
      <c r="Q415" s="203" t="s">
        <v>2454</v>
      </c>
    </row>
    <row r="416" spans="1:18" x14ac:dyDescent="0.25">
      <c r="A416" s="28">
        <v>2020</v>
      </c>
      <c r="B416" s="28" t="s">
        <v>178</v>
      </c>
      <c r="C416" s="28" t="s">
        <v>912</v>
      </c>
      <c r="K416" s="62">
        <f t="shared" si="57"/>
        <v>0</v>
      </c>
      <c r="L416" s="62">
        <f t="shared" si="58"/>
        <v>0</v>
      </c>
      <c r="M416" s="83" t="str">
        <f t="shared" si="59"/>
        <v/>
      </c>
      <c r="O416" s="28" t="str">
        <f t="shared" si="60"/>
        <v/>
      </c>
      <c r="P416" s="93">
        <f t="shared" si="61"/>
        <v>0</v>
      </c>
      <c r="Q416" s="60">
        <v>1</v>
      </c>
      <c r="R416" s="170" t="s">
        <v>6757</v>
      </c>
    </row>
    <row r="417" spans="1:18" x14ac:dyDescent="0.25">
      <c r="A417" s="28">
        <v>2020</v>
      </c>
      <c r="B417" s="28" t="s">
        <v>178</v>
      </c>
      <c r="C417" s="28" t="s">
        <v>912</v>
      </c>
      <c r="D417" s="68">
        <v>43861</v>
      </c>
      <c r="F417" s="28">
        <v>0</v>
      </c>
      <c r="H417" s="281">
        <v>0</v>
      </c>
      <c r="I417" s="28">
        <v>3.03</v>
      </c>
      <c r="J417" s="28">
        <v>2.2799999999999998</v>
      </c>
      <c r="K417" s="62">
        <f t="shared" si="57"/>
        <v>0</v>
      </c>
      <c r="L417" s="62">
        <f t="shared" si="58"/>
        <v>0</v>
      </c>
      <c r="M417" s="83">
        <f t="shared" si="59"/>
        <v>0</v>
      </c>
      <c r="N417" s="28">
        <v>31</v>
      </c>
      <c r="O417" s="28" t="str">
        <f t="shared" si="60"/>
        <v/>
      </c>
      <c r="P417" s="93">
        <f t="shared" si="61"/>
        <v>0</v>
      </c>
      <c r="Q417" s="203">
        <v>2</v>
      </c>
      <c r="R417" t="s">
        <v>6765</v>
      </c>
    </row>
    <row r="418" spans="1:18" x14ac:dyDescent="0.25">
      <c r="A418" s="28">
        <v>2020</v>
      </c>
      <c r="B418" s="28" t="s">
        <v>178</v>
      </c>
      <c r="C418" s="28" t="s">
        <v>912</v>
      </c>
      <c r="D418" s="68">
        <v>43890</v>
      </c>
      <c r="F418" s="28">
        <v>0</v>
      </c>
      <c r="H418" s="281">
        <v>0</v>
      </c>
      <c r="I418" s="28">
        <v>1.46</v>
      </c>
      <c r="J418" s="28">
        <v>0.71</v>
      </c>
      <c r="K418" s="62">
        <f t="shared" si="57"/>
        <v>0</v>
      </c>
      <c r="L418" s="62">
        <f t="shared" si="58"/>
        <v>0</v>
      </c>
      <c r="M418" s="83">
        <f t="shared" si="59"/>
        <v>0</v>
      </c>
      <c r="N418" s="28">
        <v>28</v>
      </c>
      <c r="O418" s="28" t="str">
        <f t="shared" si="60"/>
        <v/>
      </c>
      <c r="P418" s="93">
        <f t="shared" si="61"/>
        <v>0</v>
      </c>
      <c r="Q418" s="203">
        <v>2</v>
      </c>
      <c r="R418" s="170"/>
    </row>
    <row r="419" spans="1:18" x14ac:dyDescent="0.25">
      <c r="A419" s="28">
        <v>2020</v>
      </c>
      <c r="B419" s="28" t="s">
        <v>178</v>
      </c>
      <c r="C419" s="28" t="s">
        <v>912</v>
      </c>
      <c r="D419" s="68">
        <v>43921</v>
      </c>
      <c r="F419" s="28">
        <v>0</v>
      </c>
      <c r="H419" s="281">
        <v>0</v>
      </c>
      <c r="I419" s="28">
        <v>1.89</v>
      </c>
      <c r="J419" s="28">
        <v>1.33</v>
      </c>
      <c r="K419" s="62">
        <f t="shared" si="57"/>
        <v>0</v>
      </c>
      <c r="L419" s="62">
        <f t="shared" si="58"/>
        <v>0</v>
      </c>
      <c r="M419" s="83">
        <f t="shared" si="59"/>
        <v>0</v>
      </c>
      <c r="N419" s="28">
        <v>31</v>
      </c>
      <c r="O419" s="28" t="str">
        <f t="shared" si="60"/>
        <v/>
      </c>
      <c r="P419" s="93">
        <f t="shared" si="61"/>
        <v>0</v>
      </c>
      <c r="Q419" s="203">
        <v>2</v>
      </c>
      <c r="R419" s="170"/>
    </row>
    <row r="420" spans="1:18" x14ac:dyDescent="0.25">
      <c r="A420" s="28">
        <v>2020</v>
      </c>
      <c r="B420" s="28" t="s">
        <v>178</v>
      </c>
      <c r="C420" s="28" t="s">
        <v>912</v>
      </c>
      <c r="D420" s="68">
        <v>43951</v>
      </c>
      <c r="F420" s="28">
        <v>0</v>
      </c>
      <c r="H420" s="281">
        <v>0</v>
      </c>
      <c r="I420" s="28">
        <v>2.9</v>
      </c>
      <c r="J420" s="28">
        <v>2.9</v>
      </c>
      <c r="K420" s="62">
        <f t="shared" si="57"/>
        <v>0</v>
      </c>
      <c r="L420" s="62">
        <f t="shared" si="58"/>
        <v>0</v>
      </c>
      <c r="M420" s="83">
        <f t="shared" si="59"/>
        <v>0</v>
      </c>
      <c r="N420" s="28">
        <v>30</v>
      </c>
      <c r="O420" s="28" t="str">
        <f t="shared" si="60"/>
        <v/>
      </c>
      <c r="P420" s="93">
        <f t="shared" si="61"/>
        <v>0</v>
      </c>
      <c r="Q420" s="203">
        <v>2</v>
      </c>
      <c r="R420" s="170"/>
    </row>
    <row r="421" spans="1:18" x14ac:dyDescent="0.25">
      <c r="A421" s="28">
        <v>2020</v>
      </c>
      <c r="B421" s="28" t="s">
        <v>178</v>
      </c>
      <c r="C421" s="28" t="s">
        <v>912</v>
      </c>
      <c r="D421" s="68">
        <v>43982</v>
      </c>
      <c r="F421" s="28">
        <v>0</v>
      </c>
      <c r="H421" s="281">
        <v>0</v>
      </c>
      <c r="I421" s="28">
        <v>7.75</v>
      </c>
      <c r="J421" s="28">
        <v>2.56</v>
      </c>
      <c r="K421" s="62">
        <f t="shared" si="57"/>
        <v>0</v>
      </c>
      <c r="L421" s="62">
        <f t="shared" si="58"/>
        <v>0</v>
      </c>
      <c r="M421" s="83">
        <f t="shared" si="59"/>
        <v>0</v>
      </c>
      <c r="N421" s="28">
        <v>31</v>
      </c>
      <c r="O421" s="28" t="str">
        <f t="shared" si="60"/>
        <v/>
      </c>
      <c r="P421" s="93">
        <f t="shared" si="61"/>
        <v>0</v>
      </c>
      <c r="Q421" s="203">
        <v>2</v>
      </c>
      <c r="R421" s="170"/>
    </row>
    <row r="422" spans="1:18" x14ac:dyDescent="0.25">
      <c r="A422" s="28">
        <v>2020</v>
      </c>
      <c r="B422" s="28" t="s">
        <v>178</v>
      </c>
      <c r="C422" s="28" t="s">
        <v>912</v>
      </c>
      <c r="D422" s="68">
        <v>44012</v>
      </c>
      <c r="F422" s="28">
        <v>0</v>
      </c>
      <c r="H422" s="281">
        <v>0</v>
      </c>
      <c r="I422" s="28">
        <v>3.56</v>
      </c>
      <c r="J422" s="28">
        <v>2.41</v>
      </c>
      <c r="K422" s="62">
        <f t="shared" si="57"/>
        <v>0</v>
      </c>
      <c r="L422" s="62">
        <f t="shared" si="58"/>
        <v>0</v>
      </c>
      <c r="M422" s="83">
        <f t="shared" si="59"/>
        <v>0</v>
      </c>
      <c r="N422" s="28">
        <v>30</v>
      </c>
      <c r="O422" s="28" t="str">
        <f t="shared" si="60"/>
        <v/>
      </c>
      <c r="P422" s="93">
        <f t="shared" si="61"/>
        <v>0</v>
      </c>
      <c r="Q422" s="203">
        <v>2</v>
      </c>
      <c r="R422" s="170"/>
    </row>
    <row r="423" spans="1:18" x14ac:dyDescent="0.25">
      <c r="A423" s="28">
        <v>2020</v>
      </c>
      <c r="B423" s="28" t="s">
        <v>178</v>
      </c>
      <c r="C423" s="28" t="s">
        <v>912</v>
      </c>
      <c r="D423" s="68">
        <v>44043</v>
      </c>
      <c r="F423" s="28">
        <v>0</v>
      </c>
      <c r="H423" s="281">
        <v>0</v>
      </c>
      <c r="I423" s="28">
        <v>4.59</v>
      </c>
      <c r="J423" s="28">
        <v>2.8</v>
      </c>
      <c r="K423" s="62">
        <f t="shared" si="57"/>
        <v>0</v>
      </c>
      <c r="L423" s="62">
        <f t="shared" si="58"/>
        <v>0</v>
      </c>
      <c r="M423" s="83">
        <f t="shared" si="59"/>
        <v>0</v>
      </c>
      <c r="N423" s="28">
        <v>31</v>
      </c>
      <c r="O423" s="28" t="str">
        <f t="shared" si="60"/>
        <v/>
      </c>
      <c r="P423" s="93">
        <f t="shared" si="61"/>
        <v>0</v>
      </c>
      <c r="Q423" s="203">
        <v>2</v>
      </c>
      <c r="R423" s="170"/>
    </row>
    <row r="424" spans="1:18" x14ac:dyDescent="0.25">
      <c r="A424" s="28">
        <v>2020</v>
      </c>
      <c r="B424" s="28" t="s">
        <v>178</v>
      </c>
      <c r="C424" s="28" t="s">
        <v>912</v>
      </c>
      <c r="D424" s="68">
        <v>44074</v>
      </c>
      <c r="F424" s="28">
        <v>0</v>
      </c>
      <c r="H424" s="281">
        <v>0</v>
      </c>
      <c r="I424" s="28">
        <v>2.29</v>
      </c>
      <c r="J424" s="28">
        <v>1.88</v>
      </c>
      <c r="K424" s="62">
        <f t="shared" si="57"/>
        <v>0</v>
      </c>
      <c r="L424" s="62">
        <f t="shared" si="58"/>
        <v>0</v>
      </c>
      <c r="M424" s="83">
        <f t="shared" si="59"/>
        <v>0</v>
      </c>
      <c r="N424" s="28">
        <v>31</v>
      </c>
      <c r="O424" s="28" t="str">
        <f t="shared" si="60"/>
        <v/>
      </c>
      <c r="P424" s="93">
        <f t="shared" si="61"/>
        <v>0</v>
      </c>
      <c r="Q424" s="203">
        <v>2</v>
      </c>
      <c r="R424" s="170"/>
    </row>
    <row r="425" spans="1:18" x14ac:dyDescent="0.25">
      <c r="A425" s="28">
        <v>2020</v>
      </c>
      <c r="B425" s="126" t="s">
        <v>178</v>
      </c>
      <c r="C425" s="126" t="s">
        <v>912</v>
      </c>
      <c r="D425" s="190">
        <v>44104</v>
      </c>
      <c r="E425" s="126"/>
      <c r="F425" s="126">
        <v>0</v>
      </c>
      <c r="G425" s="126"/>
      <c r="H425" s="282">
        <v>0</v>
      </c>
      <c r="I425" s="126">
        <v>2.1</v>
      </c>
      <c r="J425" s="126">
        <v>1.58</v>
      </c>
      <c r="K425" s="62">
        <f t="shared" si="57"/>
        <v>0</v>
      </c>
      <c r="L425" s="62">
        <f t="shared" si="58"/>
        <v>0</v>
      </c>
      <c r="M425" s="83">
        <f t="shared" si="59"/>
        <v>0</v>
      </c>
      <c r="N425" s="28">
        <v>30</v>
      </c>
      <c r="O425" s="28" t="str">
        <f t="shared" si="60"/>
        <v/>
      </c>
      <c r="P425" s="93">
        <f t="shared" si="61"/>
        <v>0</v>
      </c>
      <c r="Q425" s="203">
        <v>2</v>
      </c>
      <c r="R425" s="170"/>
    </row>
    <row r="426" spans="1:18" x14ac:dyDescent="0.25">
      <c r="A426" s="81">
        <v>2020</v>
      </c>
      <c r="B426" s="28" t="s">
        <v>178</v>
      </c>
      <c r="C426" s="28" t="s">
        <v>912</v>
      </c>
      <c r="D426" s="68">
        <v>44135</v>
      </c>
      <c r="F426" s="28">
        <v>0</v>
      </c>
      <c r="H426" s="281">
        <v>0</v>
      </c>
      <c r="I426" s="28">
        <v>2.1</v>
      </c>
      <c r="J426" s="28">
        <v>1.19</v>
      </c>
      <c r="K426" s="62">
        <f t="shared" si="57"/>
        <v>0</v>
      </c>
      <c r="L426" s="62">
        <f t="shared" si="58"/>
        <v>0</v>
      </c>
      <c r="M426" s="83">
        <f t="shared" si="59"/>
        <v>0</v>
      </c>
      <c r="N426" s="28">
        <v>31</v>
      </c>
      <c r="O426" s="28" t="str">
        <f t="shared" si="60"/>
        <v/>
      </c>
      <c r="P426" s="93">
        <f t="shared" si="61"/>
        <v>0</v>
      </c>
      <c r="Q426" s="212">
        <v>2</v>
      </c>
      <c r="R426" s="170"/>
    </row>
    <row r="427" spans="1:18" x14ac:dyDescent="0.25">
      <c r="A427" s="81">
        <v>2020</v>
      </c>
      <c r="B427" s="28" t="s">
        <v>178</v>
      </c>
      <c r="C427" s="28" t="s">
        <v>912</v>
      </c>
      <c r="D427" s="68">
        <v>44165</v>
      </c>
      <c r="F427" s="28" t="s">
        <v>2446</v>
      </c>
      <c r="H427" s="281" t="s">
        <v>2446</v>
      </c>
      <c r="I427" s="28" t="s">
        <v>2446</v>
      </c>
      <c r="J427" s="28" t="s">
        <v>2446</v>
      </c>
      <c r="K427" s="62" t="str">
        <f t="shared" si="57"/>
        <v/>
      </c>
      <c r="L427" s="62" t="str">
        <f t="shared" si="58"/>
        <v/>
      </c>
      <c r="M427" s="83" t="str">
        <f t="shared" si="59"/>
        <v/>
      </c>
      <c r="N427" s="28">
        <v>30</v>
      </c>
      <c r="O427" s="28" t="str">
        <f t="shared" si="60"/>
        <v/>
      </c>
      <c r="P427" s="210" t="str">
        <f t="shared" si="61"/>
        <v/>
      </c>
      <c r="Q427" s="203">
        <v>2</v>
      </c>
      <c r="R427" s="170"/>
    </row>
    <row r="428" spans="1:18" x14ac:dyDescent="0.25">
      <c r="A428" s="81">
        <v>2020</v>
      </c>
      <c r="B428" s="28" t="s">
        <v>178</v>
      </c>
      <c r="C428" s="28" t="s">
        <v>912</v>
      </c>
      <c r="D428" s="68">
        <v>44196</v>
      </c>
      <c r="F428" s="28">
        <v>0</v>
      </c>
      <c r="H428" s="281">
        <v>0</v>
      </c>
      <c r="I428" s="28">
        <v>2.83</v>
      </c>
      <c r="J428" s="28">
        <v>1.66</v>
      </c>
      <c r="K428" s="62">
        <f t="shared" si="57"/>
        <v>0</v>
      </c>
      <c r="L428" s="62">
        <f t="shared" si="58"/>
        <v>0</v>
      </c>
      <c r="M428" s="83">
        <f t="shared" si="59"/>
        <v>0</v>
      </c>
      <c r="N428" s="28">
        <v>31</v>
      </c>
      <c r="O428" s="28" t="str">
        <f t="shared" si="60"/>
        <v/>
      </c>
      <c r="P428" s="210">
        <f t="shared" si="61"/>
        <v>0</v>
      </c>
      <c r="Q428" s="203">
        <v>2</v>
      </c>
      <c r="R428" s="170"/>
    </row>
    <row r="429" spans="1:18" x14ac:dyDescent="0.25">
      <c r="A429" s="81">
        <v>2020</v>
      </c>
      <c r="B429" s="28" t="s">
        <v>179</v>
      </c>
      <c r="C429" s="28" t="s">
        <v>913</v>
      </c>
      <c r="D429" s="68">
        <v>43861</v>
      </c>
      <c r="F429" s="28">
        <v>1.2E-2</v>
      </c>
      <c r="H429" s="28">
        <v>1.2E-2</v>
      </c>
      <c r="I429" s="28">
        <v>4.78</v>
      </c>
      <c r="J429" s="28">
        <v>2.93</v>
      </c>
      <c r="K429" s="62">
        <f t="shared" si="57"/>
        <v>0.21710760000000001</v>
      </c>
      <c r="L429" s="62">
        <f t="shared" si="58"/>
        <v>4.1254986000000002</v>
      </c>
      <c r="M429" s="83">
        <f t="shared" si="59"/>
        <v>0.13308060000000002</v>
      </c>
      <c r="N429" s="28">
        <v>31</v>
      </c>
      <c r="O429" s="28">
        <f t="shared" si="60"/>
        <v>4.0478726860199998</v>
      </c>
      <c r="P429" s="93">
        <f t="shared" si="61"/>
        <v>9.0967244130000005</v>
      </c>
      <c r="Q429" s="203">
        <v>3</v>
      </c>
      <c r="R429" s="255" t="s">
        <v>6766</v>
      </c>
    </row>
    <row r="430" spans="1:18" x14ac:dyDescent="0.25">
      <c r="A430" s="81">
        <v>2020</v>
      </c>
      <c r="B430" s="28" t="s">
        <v>179</v>
      </c>
      <c r="C430" s="28" t="s">
        <v>913</v>
      </c>
      <c r="D430" s="68">
        <v>43890</v>
      </c>
      <c r="F430" s="28">
        <v>2.4E-2</v>
      </c>
      <c r="H430" s="28">
        <v>2.4E-2</v>
      </c>
      <c r="I430" s="28">
        <v>3.27</v>
      </c>
      <c r="J430" s="28">
        <v>2.82</v>
      </c>
      <c r="K430" s="62">
        <f t="shared" si="57"/>
        <v>0.29704680000000006</v>
      </c>
      <c r="L430" s="62">
        <f t="shared" si="58"/>
        <v>7.1727264000000011</v>
      </c>
      <c r="M430" s="83">
        <f t="shared" si="59"/>
        <v>0.25616880000000003</v>
      </c>
      <c r="N430" s="28">
        <v>28</v>
      </c>
      <c r="O430" s="28">
        <f t="shared" si="60"/>
        <v>7.7918095389600008</v>
      </c>
      <c r="P430" s="93">
        <f t="shared" si="61"/>
        <v>15.815861712000002</v>
      </c>
      <c r="Q430" s="203">
        <v>3</v>
      </c>
      <c r="R430" s="170"/>
    </row>
    <row r="431" spans="1:18" x14ac:dyDescent="0.25">
      <c r="A431" s="81">
        <v>2020</v>
      </c>
      <c r="B431" s="28" t="s">
        <v>179</v>
      </c>
      <c r="C431" s="28" t="s">
        <v>913</v>
      </c>
      <c r="D431" s="68">
        <v>43921</v>
      </c>
      <c r="F431" s="28">
        <v>0</v>
      </c>
      <c r="H431" s="28">
        <v>0</v>
      </c>
      <c r="I431" s="28">
        <v>3.23</v>
      </c>
      <c r="J431" s="28">
        <v>2.69</v>
      </c>
      <c r="K431" s="62">
        <f t="shared" si="57"/>
        <v>0</v>
      </c>
      <c r="L431" s="62">
        <f t="shared" si="58"/>
        <v>0</v>
      </c>
      <c r="M431" s="83">
        <f t="shared" si="59"/>
        <v>0</v>
      </c>
      <c r="N431" s="28">
        <v>31</v>
      </c>
      <c r="O431" s="28" t="str">
        <f t="shared" si="60"/>
        <v/>
      </c>
      <c r="P431" s="93">
        <f t="shared" si="61"/>
        <v>0</v>
      </c>
      <c r="Q431" s="203">
        <v>3</v>
      </c>
      <c r="R431" s="170"/>
    </row>
    <row r="432" spans="1:18" x14ac:dyDescent="0.25">
      <c r="A432" s="81">
        <v>2020</v>
      </c>
      <c r="B432" s="28" t="s">
        <v>179</v>
      </c>
      <c r="C432" s="28" t="s">
        <v>913</v>
      </c>
      <c r="D432" s="68">
        <v>43951</v>
      </c>
      <c r="F432" s="28">
        <v>0</v>
      </c>
      <c r="H432" s="28">
        <v>0</v>
      </c>
      <c r="I432" s="28">
        <v>3.81</v>
      </c>
      <c r="J432" s="28">
        <v>2.76</v>
      </c>
      <c r="K432" s="62">
        <f t="shared" si="57"/>
        <v>0</v>
      </c>
      <c r="L432" s="62">
        <f t="shared" si="58"/>
        <v>0</v>
      </c>
      <c r="M432" s="83">
        <f t="shared" si="59"/>
        <v>0</v>
      </c>
      <c r="N432" s="28">
        <v>30</v>
      </c>
      <c r="O432" s="28" t="str">
        <f t="shared" si="60"/>
        <v/>
      </c>
      <c r="P432" s="93">
        <f t="shared" si="61"/>
        <v>0</v>
      </c>
      <c r="Q432" s="203">
        <v>3</v>
      </c>
      <c r="R432" s="170"/>
    </row>
    <row r="433" spans="1:18" x14ac:dyDescent="0.25">
      <c r="A433" s="81">
        <v>2020</v>
      </c>
      <c r="B433" s="28" t="s">
        <v>179</v>
      </c>
      <c r="C433" s="28" t="s">
        <v>913</v>
      </c>
      <c r="D433" s="68">
        <v>43982</v>
      </c>
      <c r="F433" s="28">
        <v>1.4999999999999999E-2</v>
      </c>
      <c r="H433" s="28">
        <v>1.4999999999999999E-2</v>
      </c>
      <c r="I433" s="28">
        <v>6.72</v>
      </c>
      <c r="J433" s="28">
        <v>3.14</v>
      </c>
      <c r="K433" s="62">
        <f t="shared" si="57"/>
        <v>0.38152799999999998</v>
      </c>
      <c r="L433" s="62">
        <f t="shared" si="58"/>
        <v>5.5264785000000005</v>
      </c>
      <c r="M433" s="83">
        <f t="shared" si="59"/>
        <v>0.17827350000000003</v>
      </c>
      <c r="N433" s="28">
        <v>31</v>
      </c>
      <c r="O433" s="28">
        <f t="shared" si="60"/>
        <v>5.4224915674499998</v>
      </c>
      <c r="P433" s="93">
        <f t="shared" si="61"/>
        <v>12.185885092500001</v>
      </c>
      <c r="Q433" s="203">
        <v>3</v>
      </c>
      <c r="R433" s="170"/>
    </row>
    <row r="434" spans="1:18" x14ac:dyDescent="0.25">
      <c r="A434" s="81">
        <v>2020</v>
      </c>
      <c r="B434" s="28" t="s">
        <v>179</v>
      </c>
      <c r="C434" s="28" t="s">
        <v>913</v>
      </c>
      <c r="D434" s="68">
        <v>44012</v>
      </c>
      <c r="F434" s="28">
        <v>0</v>
      </c>
      <c r="H434" s="28">
        <v>0</v>
      </c>
      <c r="I434" s="28">
        <v>4.03</v>
      </c>
      <c r="J434" s="28">
        <v>3.04</v>
      </c>
      <c r="K434" s="62">
        <f t="shared" si="57"/>
        <v>0</v>
      </c>
      <c r="L434" s="62">
        <f t="shared" si="58"/>
        <v>0</v>
      </c>
      <c r="M434" s="83">
        <f t="shared" si="59"/>
        <v>0</v>
      </c>
      <c r="N434" s="28">
        <v>30</v>
      </c>
      <c r="O434" s="28" t="str">
        <f t="shared" si="60"/>
        <v/>
      </c>
      <c r="P434" s="93">
        <f t="shared" si="61"/>
        <v>0</v>
      </c>
      <c r="Q434" s="203">
        <v>3</v>
      </c>
      <c r="R434" s="170"/>
    </row>
    <row r="435" spans="1:18" x14ac:dyDescent="0.25">
      <c r="A435" s="81">
        <v>2020</v>
      </c>
      <c r="B435" s="28" t="s">
        <v>179</v>
      </c>
      <c r="C435" s="28" t="s">
        <v>913</v>
      </c>
      <c r="D435" s="68">
        <v>44043</v>
      </c>
      <c r="F435" s="28">
        <v>0</v>
      </c>
      <c r="H435" s="28">
        <v>0</v>
      </c>
      <c r="I435" s="28">
        <v>4</v>
      </c>
      <c r="J435" s="28">
        <v>3</v>
      </c>
      <c r="K435" s="62">
        <f t="shared" si="57"/>
        <v>0</v>
      </c>
      <c r="L435" s="62">
        <f t="shared" si="58"/>
        <v>0</v>
      </c>
      <c r="M435" s="83">
        <f t="shared" si="59"/>
        <v>0</v>
      </c>
      <c r="N435" s="28">
        <v>31</v>
      </c>
      <c r="O435" s="28" t="str">
        <f t="shared" si="60"/>
        <v/>
      </c>
      <c r="P435" s="93">
        <f t="shared" si="61"/>
        <v>0</v>
      </c>
      <c r="Q435" s="203">
        <v>3</v>
      </c>
      <c r="R435" s="170"/>
    </row>
    <row r="436" spans="1:18" x14ac:dyDescent="0.25">
      <c r="A436" s="81">
        <v>2020</v>
      </c>
      <c r="B436" s="28" t="s">
        <v>179</v>
      </c>
      <c r="C436" s="28" t="s">
        <v>913</v>
      </c>
      <c r="D436" s="68">
        <v>44074</v>
      </c>
      <c r="F436" s="28">
        <v>1.0999999999999999E-2</v>
      </c>
      <c r="H436" s="28">
        <v>1.0999999999999999E-2</v>
      </c>
      <c r="I436" s="28">
        <v>4.9000000000000004</v>
      </c>
      <c r="J436" s="28">
        <v>2.5</v>
      </c>
      <c r="K436" s="62">
        <f t="shared" si="57"/>
        <v>0.20401150000000001</v>
      </c>
      <c r="L436" s="62">
        <f t="shared" si="58"/>
        <v>3.2267124999999997</v>
      </c>
      <c r="M436" s="83">
        <f t="shared" si="59"/>
        <v>0.10408749999999999</v>
      </c>
      <c r="N436" s="28">
        <v>31</v>
      </c>
      <c r="O436" s="28">
        <f t="shared" si="60"/>
        <v>3.1659982612499995</v>
      </c>
      <c r="P436" s="93">
        <f t="shared" si="61"/>
        <v>7.1149010624999995</v>
      </c>
      <c r="Q436" s="203">
        <v>3</v>
      </c>
      <c r="R436" s="170"/>
    </row>
    <row r="437" spans="1:18" x14ac:dyDescent="0.25">
      <c r="A437" s="81">
        <v>2020</v>
      </c>
      <c r="B437" s="28" t="s">
        <v>179</v>
      </c>
      <c r="C437" s="28" t="s">
        <v>913</v>
      </c>
      <c r="D437" s="68">
        <v>44104</v>
      </c>
      <c r="F437" s="28">
        <v>0</v>
      </c>
      <c r="H437" s="28">
        <v>0</v>
      </c>
      <c r="I437" s="28">
        <v>2.62</v>
      </c>
      <c r="J437" s="28">
        <v>2.2400000000000002</v>
      </c>
      <c r="K437" s="62">
        <f t="shared" si="57"/>
        <v>0</v>
      </c>
      <c r="L437" s="62">
        <f t="shared" si="58"/>
        <v>0</v>
      </c>
      <c r="M437" s="83">
        <f t="shared" si="59"/>
        <v>0</v>
      </c>
      <c r="N437" s="28">
        <v>30</v>
      </c>
      <c r="O437" s="28" t="str">
        <f t="shared" si="60"/>
        <v/>
      </c>
      <c r="P437" s="93">
        <f t="shared" si="61"/>
        <v>0</v>
      </c>
      <c r="Q437" s="203">
        <v>3</v>
      </c>
      <c r="R437" s="170"/>
    </row>
    <row r="438" spans="1:18" x14ac:dyDescent="0.25">
      <c r="A438" s="81">
        <v>2020</v>
      </c>
      <c r="B438" s="28" t="s">
        <v>179</v>
      </c>
      <c r="C438" s="28" t="s">
        <v>913</v>
      </c>
      <c r="D438" s="68">
        <v>44135</v>
      </c>
      <c r="F438" s="28">
        <v>0</v>
      </c>
      <c r="H438" s="28">
        <v>0</v>
      </c>
      <c r="I438" s="28">
        <v>2.9</v>
      </c>
      <c r="J438" s="28">
        <v>2.4</v>
      </c>
      <c r="K438" s="62">
        <f t="shared" si="57"/>
        <v>0</v>
      </c>
      <c r="L438" s="62">
        <f t="shared" si="58"/>
        <v>0</v>
      </c>
      <c r="M438" s="83">
        <f t="shared" si="59"/>
        <v>0</v>
      </c>
      <c r="N438" s="28">
        <v>31</v>
      </c>
      <c r="O438" s="28" t="str">
        <f t="shared" ref="O438:O469" si="62">IF(AND(L438&gt;0,L438&lt;&gt;""), L438/(N438/30.4167),"")</f>
        <v/>
      </c>
      <c r="P438" s="93">
        <f t="shared" ref="P438:P469" si="63">IFERROR(L438*2.205,"")</f>
        <v>0</v>
      </c>
      <c r="Q438" s="203">
        <v>3</v>
      </c>
      <c r="R438" s="170"/>
    </row>
    <row r="439" spans="1:18" x14ac:dyDescent="0.25">
      <c r="A439" s="81">
        <v>2020</v>
      </c>
      <c r="B439" s="28" t="s">
        <v>179</v>
      </c>
      <c r="C439" s="28" t="s">
        <v>913</v>
      </c>
      <c r="D439" s="68">
        <v>44165</v>
      </c>
      <c r="F439" s="28">
        <v>0</v>
      </c>
      <c r="H439" s="28">
        <v>0</v>
      </c>
      <c r="I439" s="28">
        <v>2.6</v>
      </c>
      <c r="J439" s="28">
        <v>2.2000000000000002</v>
      </c>
      <c r="K439" s="62">
        <f t="shared" si="57"/>
        <v>0</v>
      </c>
      <c r="L439" s="62">
        <f t="shared" si="58"/>
        <v>0</v>
      </c>
      <c r="M439" s="83">
        <f t="shared" si="59"/>
        <v>0</v>
      </c>
      <c r="N439" s="28">
        <v>30</v>
      </c>
      <c r="O439" s="28" t="str">
        <f t="shared" si="62"/>
        <v/>
      </c>
      <c r="P439" s="93">
        <f t="shared" si="63"/>
        <v>0</v>
      </c>
      <c r="Q439" s="203">
        <v>3</v>
      </c>
      <c r="R439" s="170"/>
    </row>
    <row r="440" spans="1:18" x14ac:dyDescent="0.25">
      <c r="A440" s="81">
        <v>2020</v>
      </c>
      <c r="B440" s="28" t="s">
        <v>179</v>
      </c>
      <c r="C440" s="28" t="s">
        <v>913</v>
      </c>
      <c r="D440" s="68">
        <v>44196</v>
      </c>
      <c r="F440" s="28">
        <v>1.4999999999999999E-2</v>
      </c>
      <c r="H440" s="28">
        <v>1.4999999999999999E-2</v>
      </c>
      <c r="I440" s="28">
        <v>2.7</v>
      </c>
      <c r="J440" s="28">
        <v>2.2000000000000002</v>
      </c>
      <c r="K440" s="62">
        <f t="shared" si="57"/>
        <v>0.1532925</v>
      </c>
      <c r="L440" s="62">
        <f t="shared" si="58"/>
        <v>3.8720550000000005</v>
      </c>
      <c r="M440" s="83">
        <f t="shared" si="59"/>
        <v>0.12490500000000002</v>
      </c>
      <c r="N440" s="28">
        <v>31</v>
      </c>
      <c r="O440" s="28">
        <f t="shared" si="62"/>
        <v>3.7991979135</v>
      </c>
      <c r="P440" s="93">
        <f t="shared" si="63"/>
        <v>8.5378812750000019</v>
      </c>
      <c r="Q440" s="203">
        <v>3</v>
      </c>
      <c r="R440" s="170"/>
    </row>
    <row r="441" spans="1:18" x14ac:dyDescent="0.25">
      <c r="A441" s="81">
        <v>2020</v>
      </c>
      <c r="B441" s="28" t="s">
        <v>179</v>
      </c>
      <c r="C441" s="28" t="s">
        <v>913</v>
      </c>
      <c r="K441" s="62">
        <f t="shared" si="57"/>
        <v>0</v>
      </c>
      <c r="L441" s="62">
        <f t="shared" si="58"/>
        <v>0</v>
      </c>
      <c r="M441" s="83" t="str">
        <f t="shared" si="59"/>
        <v/>
      </c>
      <c r="O441" s="28" t="str">
        <f t="shared" si="62"/>
        <v/>
      </c>
      <c r="P441" s="93">
        <f t="shared" si="63"/>
        <v>0</v>
      </c>
      <c r="Q441" s="215">
        <v>5</v>
      </c>
      <c r="R441" s="170" t="s">
        <v>6757</v>
      </c>
    </row>
    <row r="442" spans="1:18" x14ac:dyDescent="0.25">
      <c r="A442" s="223">
        <v>2020</v>
      </c>
      <c r="B442" s="126" t="s">
        <v>105</v>
      </c>
      <c r="C442" s="126" t="s">
        <v>776</v>
      </c>
      <c r="D442" s="126"/>
      <c r="E442" s="126"/>
      <c r="F442" s="126"/>
      <c r="G442" s="126"/>
      <c r="H442" s="126"/>
      <c r="I442" s="126"/>
      <c r="J442" s="126"/>
      <c r="K442" s="62">
        <f t="shared" si="57"/>
        <v>0</v>
      </c>
      <c r="L442" s="62">
        <f t="shared" si="58"/>
        <v>0</v>
      </c>
      <c r="M442" s="83" t="str">
        <f t="shared" si="59"/>
        <v/>
      </c>
      <c r="O442" s="28" t="str">
        <f t="shared" si="62"/>
        <v/>
      </c>
      <c r="P442" s="210">
        <f t="shared" si="63"/>
        <v>0</v>
      </c>
      <c r="Q442" s="60">
        <v>1</v>
      </c>
      <c r="R442" s="170" t="s">
        <v>6757</v>
      </c>
    </row>
    <row r="443" spans="1:18" x14ac:dyDescent="0.25">
      <c r="A443" s="28">
        <v>2020</v>
      </c>
      <c r="B443" s="28" t="s">
        <v>149</v>
      </c>
      <c r="C443" s="81" t="s">
        <v>860</v>
      </c>
      <c r="D443" s="68">
        <v>43861</v>
      </c>
      <c r="F443" s="28">
        <v>0.01</v>
      </c>
      <c r="H443" s="28">
        <v>0</v>
      </c>
      <c r="I443" s="28">
        <v>8.1</v>
      </c>
      <c r="J443" s="28">
        <v>7</v>
      </c>
      <c r="K443" s="62">
        <f t="shared" si="57"/>
        <v>0.306585</v>
      </c>
      <c r="L443" s="62">
        <f t="shared" si="58"/>
        <v>0</v>
      </c>
      <c r="M443" s="83">
        <f t="shared" si="59"/>
        <v>0</v>
      </c>
      <c r="N443" s="28">
        <v>31</v>
      </c>
      <c r="O443" s="28" t="str">
        <f t="shared" si="62"/>
        <v/>
      </c>
      <c r="P443" s="210">
        <f t="shared" si="63"/>
        <v>0</v>
      </c>
      <c r="Q443" s="203">
        <v>1</v>
      </c>
      <c r="R443" s="170" t="s">
        <v>2449</v>
      </c>
    </row>
    <row r="444" spans="1:18" x14ac:dyDescent="0.25">
      <c r="A444" s="28">
        <v>2020</v>
      </c>
      <c r="B444" s="28" t="s">
        <v>149</v>
      </c>
      <c r="C444" s="81" t="s">
        <v>860</v>
      </c>
      <c r="D444" s="68">
        <v>43890</v>
      </c>
      <c r="F444" s="28">
        <v>0</v>
      </c>
      <c r="H444" s="28">
        <v>0</v>
      </c>
      <c r="I444" s="28">
        <v>6.9</v>
      </c>
      <c r="J444" s="28">
        <v>6.2</v>
      </c>
      <c r="K444" s="62">
        <f t="shared" si="57"/>
        <v>0</v>
      </c>
      <c r="L444" s="62">
        <f t="shared" si="58"/>
        <v>0</v>
      </c>
      <c r="M444" s="83">
        <f t="shared" si="59"/>
        <v>0</v>
      </c>
      <c r="N444" s="28">
        <v>28</v>
      </c>
      <c r="O444" s="28" t="str">
        <f t="shared" si="62"/>
        <v/>
      </c>
      <c r="P444" s="210">
        <f t="shared" si="63"/>
        <v>0</v>
      </c>
      <c r="Q444" s="203">
        <v>1</v>
      </c>
      <c r="R444" s="170"/>
    </row>
    <row r="445" spans="1:18" x14ac:dyDescent="0.25">
      <c r="A445" s="28">
        <v>2020</v>
      </c>
      <c r="B445" s="28" t="s">
        <v>149</v>
      </c>
      <c r="C445" s="81" t="s">
        <v>860</v>
      </c>
      <c r="D445" s="68">
        <v>43921</v>
      </c>
      <c r="F445" s="28">
        <v>0</v>
      </c>
      <c r="H445" s="28">
        <v>0</v>
      </c>
      <c r="I445" s="28">
        <v>7.2</v>
      </c>
      <c r="J445" s="28">
        <v>6.2</v>
      </c>
      <c r="K445" s="62">
        <f t="shared" si="57"/>
        <v>0</v>
      </c>
      <c r="L445" s="62">
        <f t="shared" si="58"/>
        <v>0</v>
      </c>
      <c r="M445" s="83">
        <f t="shared" si="59"/>
        <v>0</v>
      </c>
      <c r="N445" s="28">
        <v>31</v>
      </c>
      <c r="O445" s="28" t="str">
        <f t="shared" si="62"/>
        <v/>
      </c>
      <c r="P445" s="210">
        <f t="shared" si="63"/>
        <v>0</v>
      </c>
      <c r="Q445" s="203">
        <v>1</v>
      </c>
      <c r="R445" s="170"/>
    </row>
    <row r="446" spans="1:18" x14ac:dyDescent="0.25">
      <c r="A446" s="28">
        <v>2020</v>
      </c>
      <c r="B446" s="28" t="s">
        <v>149</v>
      </c>
      <c r="C446" s="81" t="s">
        <v>860</v>
      </c>
      <c r="D446" s="68">
        <v>43951</v>
      </c>
      <c r="F446" s="28">
        <v>0</v>
      </c>
      <c r="H446" s="28">
        <v>0</v>
      </c>
      <c r="I446" s="28">
        <v>7.3</v>
      </c>
      <c r="J446" s="28">
        <v>6.7</v>
      </c>
      <c r="K446" s="62">
        <f t="shared" si="57"/>
        <v>0</v>
      </c>
      <c r="L446" s="62">
        <f t="shared" si="58"/>
        <v>0</v>
      </c>
      <c r="M446" s="83">
        <f t="shared" si="59"/>
        <v>0</v>
      </c>
      <c r="N446" s="28">
        <v>30</v>
      </c>
      <c r="O446" s="28" t="str">
        <f t="shared" si="62"/>
        <v/>
      </c>
      <c r="P446" s="210">
        <f t="shared" si="63"/>
        <v>0</v>
      </c>
      <c r="Q446" s="203">
        <v>1</v>
      </c>
      <c r="R446" s="170"/>
    </row>
    <row r="447" spans="1:18" x14ac:dyDescent="0.25">
      <c r="A447" s="28">
        <v>2020</v>
      </c>
      <c r="B447" s="28" t="s">
        <v>149</v>
      </c>
      <c r="C447" s="81" t="s">
        <v>860</v>
      </c>
      <c r="D447" s="68">
        <v>43982</v>
      </c>
      <c r="F447" s="28">
        <v>0.01</v>
      </c>
      <c r="H447" s="28">
        <v>0</v>
      </c>
      <c r="I447" s="28">
        <v>8</v>
      </c>
      <c r="J447" s="28">
        <v>7.2</v>
      </c>
      <c r="K447" s="62">
        <f t="shared" si="57"/>
        <v>0.30280000000000001</v>
      </c>
      <c r="L447" s="62">
        <f t="shared" si="58"/>
        <v>0</v>
      </c>
      <c r="M447" s="83">
        <f t="shared" si="59"/>
        <v>0</v>
      </c>
      <c r="N447" s="28">
        <v>31</v>
      </c>
      <c r="O447" s="28" t="str">
        <f t="shared" si="62"/>
        <v/>
      </c>
      <c r="P447" s="210">
        <f t="shared" si="63"/>
        <v>0</v>
      </c>
      <c r="Q447" s="203">
        <v>1</v>
      </c>
      <c r="R447" s="170"/>
    </row>
    <row r="448" spans="1:18" x14ac:dyDescent="0.25">
      <c r="A448" s="28">
        <v>2020</v>
      </c>
      <c r="B448" s="28" t="s">
        <v>149</v>
      </c>
      <c r="C448" s="81" t="s">
        <v>860</v>
      </c>
      <c r="D448" s="68">
        <v>44012</v>
      </c>
      <c r="F448" s="28">
        <v>0.09</v>
      </c>
      <c r="H448" s="28">
        <v>0.01</v>
      </c>
      <c r="I448" s="28">
        <v>8.5</v>
      </c>
      <c r="J448" s="28">
        <v>7.3</v>
      </c>
      <c r="K448" s="62">
        <f t="shared" si="57"/>
        <v>2.8955250000000001</v>
      </c>
      <c r="L448" s="62">
        <f t="shared" si="58"/>
        <v>8.2891499999999994</v>
      </c>
      <c r="M448" s="83">
        <f t="shared" si="59"/>
        <v>0.27630499999999997</v>
      </c>
      <c r="N448" s="28">
        <v>30</v>
      </c>
      <c r="O448" s="28">
        <f t="shared" si="62"/>
        <v>8.4042862934999985</v>
      </c>
      <c r="P448" s="210">
        <f t="shared" si="63"/>
        <v>18.27757575</v>
      </c>
      <c r="Q448" s="203">
        <v>1</v>
      </c>
      <c r="R448" s="170"/>
    </row>
    <row r="449" spans="1:18" x14ac:dyDescent="0.25">
      <c r="A449" s="28">
        <v>2020</v>
      </c>
      <c r="B449" s="28" t="s">
        <v>149</v>
      </c>
      <c r="C449" s="81" t="s">
        <v>860</v>
      </c>
      <c r="D449" s="68">
        <v>44043</v>
      </c>
      <c r="F449" s="28">
        <v>0</v>
      </c>
      <c r="H449" s="28">
        <v>0</v>
      </c>
      <c r="I449" s="28">
        <v>7.8</v>
      </c>
      <c r="J449" s="28">
        <v>6.4</v>
      </c>
      <c r="K449" s="62">
        <f t="shared" si="57"/>
        <v>0</v>
      </c>
      <c r="L449" s="62">
        <f t="shared" si="58"/>
        <v>0</v>
      </c>
      <c r="M449" s="83">
        <f t="shared" si="59"/>
        <v>0</v>
      </c>
      <c r="N449" s="28">
        <v>31</v>
      </c>
      <c r="O449" s="28" t="str">
        <f t="shared" si="62"/>
        <v/>
      </c>
      <c r="P449" s="210">
        <f t="shared" si="63"/>
        <v>0</v>
      </c>
      <c r="Q449" s="203">
        <v>1</v>
      </c>
      <c r="R449" s="170"/>
    </row>
    <row r="450" spans="1:18" x14ac:dyDescent="0.25">
      <c r="A450" s="28">
        <v>2020</v>
      </c>
      <c r="B450" s="28" t="s">
        <v>149</v>
      </c>
      <c r="C450" s="81" t="s">
        <v>860</v>
      </c>
      <c r="D450" s="68">
        <v>44074</v>
      </c>
      <c r="F450" s="28">
        <v>0</v>
      </c>
      <c r="H450" s="28">
        <v>0</v>
      </c>
      <c r="I450" s="28">
        <v>7.8</v>
      </c>
      <c r="J450" s="28">
        <v>6</v>
      </c>
      <c r="K450" s="62">
        <f t="shared" si="57"/>
        <v>0</v>
      </c>
      <c r="L450" s="62">
        <f t="shared" si="58"/>
        <v>0</v>
      </c>
      <c r="M450" s="83">
        <f t="shared" si="59"/>
        <v>0</v>
      </c>
      <c r="N450" s="28">
        <v>31</v>
      </c>
      <c r="O450" s="28" t="str">
        <f t="shared" si="62"/>
        <v/>
      </c>
      <c r="P450" s="210">
        <f t="shared" si="63"/>
        <v>0</v>
      </c>
      <c r="Q450" s="203">
        <v>1</v>
      </c>
      <c r="R450" s="170"/>
    </row>
    <row r="451" spans="1:18" x14ac:dyDescent="0.25">
      <c r="A451" s="28">
        <v>2020</v>
      </c>
      <c r="B451" s="28" t="s">
        <v>149</v>
      </c>
      <c r="C451" s="81" t="s">
        <v>860</v>
      </c>
      <c r="D451" s="68">
        <v>44104</v>
      </c>
      <c r="F451" s="28">
        <v>0</v>
      </c>
      <c r="H451" s="28">
        <v>0</v>
      </c>
      <c r="I451" s="28">
        <v>8.1</v>
      </c>
      <c r="J451" s="28">
        <v>6.7</v>
      </c>
      <c r="K451" s="62">
        <f t="shared" si="57"/>
        <v>0</v>
      </c>
      <c r="L451" s="62">
        <f t="shared" si="58"/>
        <v>0</v>
      </c>
      <c r="M451" s="83">
        <f t="shared" si="59"/>
        <v>0</v>
      </c>
      <c r="N451" s="28">
        <v>30</v>
      </c>
      <c r="O451" s="28" t="str">
        <f t="shared" si="62"/>
        <v/>
      </c>
      <c r="P451" s="210">
        <f t="shared" si="63"/>
        <v>0</v>
      </c>
      <c r="Q451" s="203">
        <v>1</v>
      </c>
      <c r="R451" s="170"/>
    </row>
    <row r="452" spans="1:18" x14ac:dyDescent="0.25">
      <c r="A452" s="28">
        <v>2020</v>
      </c>
      <c r="B452" s="28" t="s">
        <v>149</v>
      </c>
      <c r="C452" s="81" t="s">
        <v>860</v>
      </c>
      <c r="D452" s="68">
        <v>44135</v>
      </c>
      <c r="F452" s="28">
        <v>0</v>
      </c>
      <c r="H452" s="28">
        <v>0</v>
      </c>
      <c r="I452" s="28">
        <v>8</v>
      </c>
      <c r="J452" s="28">
        <v>6.8</v>
      </c>
      <c r="K452" s="62">
        <f t="shared" si="57"/>
        <v>0</v>
      </c>
      <c r="L452" s="62">
        <f t="shared" si="58"/>
        <v>0</v>
      </c>
      <c r="M452" s="83">
        <f t="shared" si="59"/>
        <v>0</v>
      </c>
      <c r="N452" s="28">
        <v>31</v>
      </c>
      <c r="O452" s="28" t="str">
        <f t="shared" si="62"/>
        <v/>
      </c>
      <c r="P452" s="210">
        <f t="shared" si="63"/>
        <v>0</v>
      </c>
      <c r="Q452" s="203">
        <v>1</v>
      </c>
      <c r="R452" s="170"/>
    </row>
    <row r="453" spans="1:18" x14ac:dyDescent="0.25">
      <c r="A453" s="28">
        <v>2020</v>
      </c>
      <c r="B453" s="28" t="s">
        <v>149</v>
      </c>
      <c r="C453" s="81" t="s">
        <v>860</v>
      </c>
      <c r="D453" s="68">
        <v>44165</v>
      </c>
      <c r="F453" s="28">
        <v>0.01</v>
      </c>
      <c r="H453" s="28">
        <v>0</v>
      </c>
      <c r="I453" s="28">
        <v>8.1999999999999993</v>
      </c>
      <c r="J453" s="28">
        <v>6.8</v>
      </c>
      <c r="K453" s="62">
        <f t="shared" ref="K453:K516" si="64">IFERROR(+F453*I453*3.785,"")</f>
        <v>0.31036999999999998</v>
      </c>
      <c r="L453" s="62">
        <f t="shared" ref="L453:L516" si="65">IFERROR(H453*J453*3.785*N453,"")</f>
        <v>0</v>
      </c>
      <c r="M453" s="83">
        <f t="shared" ref="M453:M516" si="66">IFERROR(+L453/N453,"")</f>
        <v>0</v>
      </c>
      <c r="N453" s="28">
        <v>30</v>
      </c>
      <c r="O453" s="28" t="str">
        <f t="shared" si="62"/>
        <v/>
      </c>
      <c r="P453" s="210">
        <f t="shared" si="63"/>
        <v>0</v>
      </c>
      <c r="Q453" s="203">
        <v>1</v>
      </c>
      <c r="R453" s="170"/>
    </row>
    <row r="454" spans="1:18" x14ac:dyDescent="0.25">
      <c r="A454" s="28">
        <v>2020</v>
      </c>
      <c r="B454" s="28" t="s">
        <v>149</v>
      </c>
      <c r="C454" s="28" t="s">
        <v>860</v>
      </c>
      <c r="D454" s="68">
        <v>44196</v>
      </c>
      <c r="F454" s="28">
        <v>0.01</v>
      </c>
      <c r="H454" s="28">
        <v>0</v>
      </c>
      <c r="I454" s="28">
        <v>9.1999999999999993</v>
      </c>
      <c r="J454" s="28">
        <v>8</v>
      </c>
      <c r="K454" s="62">
        <f t="shared" si="64"/>
        <v>0.34822000000000003</v>
      </c>
      <c r="L454" s="62">
        <f t="shared" si="65"/>
        <v>0</v>
      </c>
      <c r="M454" s="83">
        <f t="shared" si="66"/>
        <v>0</v>
      </c>
      <c r="N454" s="28">
        <v>31</v>
      </c>
      <c r="O454" s="28" t="str">
        <f t="shared" si="62"/>
        <v/>
      </c>
      <c r="P454" s="210">
        <f t="shared" si="63"/>
        <v>0</v>
      </c>
      <c r="Q454" s="203">
        <v>1</v>
      </c>
      <c r="R454" s="170"/>
    </row>
    <row r="455" spans="1:18" x14ac:dyDescent="0.25">
      <c r="A455" s="28">
        <v>2020</v>
      </c>
      <c r="B455" s="28" t="s">
        <v>149</v>
      </c>
      <c r="C455" s="28" t="s">
        <v>860</v>
      </c>
      <c r="D455" s="68">
        <v>43861</v>
      </c>
      <c r="F455" s="28">
        <v>0</v>
      </c>
      <c r="H455" s="28">
        <v>0</v>
      </c>
      <c r="I455" s="28">
        <v>48</v>
      </c>
      <c r="J455" s="28">
        <v>19.3</v>
      </c>
      <c r="K455" s="62">
        <f t="shared" si="64"/>
        <v>0</v>
      </c>
      <c r="L455" s="62">
        <f t="shared" si="65"/>
        <v>0</v>
      </c>
      <c r="M455" s="83">
        <f t="shared" si="66"/>
        <v>0</v>
      </c>
      <c r="N455" s="28">
        <v>31</v>
      </c>
      <c r="O455" s="28" t="str">
        <f t="shared" si="62"/>
        <v/>
      </c>
      <c r="P455" s="210">
        <f t="shared" si="63"/>
        <v>0</v>
      </c>
      <c r="Q455" s="203">
        <v>2</v>
      </c>
      <c r="R455" s="255" t="s">
        <v>6766</v>
      </c>
    </row>
    <row r="456" spans="1:18" x14ac:dyDescent="0.25">
      <c r="A456" s="28">
        <v>2020</v>
      </c>
      <c r="B456" s="28" t="s">
        <v>149</v>
      </c>
      <c r="C456" s="28" t="s">
        <v>860</v>
      </c>
      <c r="D456" s="68">
        <v>43890</v>
      </c>
      <c r="F456" s="28">
        <v>0</v>
      </c>
      <c r="H456" s="28">
        <v>0</v>
      </c>
      <c r="I456" s="28">
        <v>17.8</v>
      </c>
      <c r="J456" s="28">
        <v>17.8</v>
      </c>
      <c r="K456" s="62">
        <f t="shared" si="64"/>
        <v>0</v>
      </c>
      <c r="L456" s="62">
        <f t="shared" si="65"/>
        <v>0</v>
      </c>
      <c r="M456" s="83">
        <f t="shared" si="66"/>
        <v>0</v>
      </c>
      <c r="N456" s="28">
        <v>28</v>
      </c>
      <c r="O456" s="28" t="str">
        <f t="shared" si="62"/>
        <v/>
      </c>
      <c r="P456" s="210">
        <f t="shared" si="63"/>
        <v>0</v>
      </c>
      <c r="Q456" s="203">
        <v>2</v>
      </c>
      <c r="R456" s="170"/>
    </row>
    <row r="457" spans="1:18" x14ac:dyDescent="0.25">
      <c r="A457" s="36">
        <v>2020</v>
      </c>
      <c r="B457" s="28" t="s">
        <v>149</v>
      </c>
      <c r="C457" s="28" t="s">
        <v>860</v>
      </c>
      <c r="D457" s="68">
        <v>43921</v>
      </c>
      <c r="F457" s="28" t="s">
        <v>2446</v>
      </c>
      <c r="H457" s="28" t="s">
        <v>2446</v>
      </c>
      <c r="I457" s="28" t="s">
        <v>2446</v>
      </c>
      <c r="J457" s="28" t="s">
        <v>2446</v>
      </c>
      <c r="K457" s="62" t="str">
        <f t="shared" si="64"/>
        <v/>
      </c>
      <c r="L457" s="62" t="str">
        <f t="shared" si="65"/>
        <v/>
      </c>
      <c r="M457" s="83" t="str">
        <f t="shared" si="66"/>
        <v/>
      </c>
      <c r="N457" s="28">
        <v>31</v>
      </c>
      <c r="O457" s="28" t="str">
        <f t="shared" si="62"/>
        <v/>
      </c>
      <c r="P457" s="210" t="str">
        <f t="shared" si="63"/>
        <v/>
      </c>
      <c r="Q457" s="203">
        <v>2</v>
      </c>
      <c r="R457" s="170"/>
    </row>
    <row r="458" spans="1:18" x14ac:dyDescent="0.25">
      <c r="A458" s="28">
        <v>2020</v>
      </c>
      <c r="B458" s="28" t="s">
        <v>149</v>
      </c>
      <c r="C458" s="28" t="s">
        <v>860</v>
      </c>
      <c r="D458" s="68">
        <v>43951</v>
      </c>
      <c r="F458" s="28" t="s">
        <v>2446</v>
      </c>
      <c r="H458" s="28" t="s">
        <v>2446</v>
      </c>
      <c r="I458" s="28" t="s">
        <v>2446</v>
      </c>
      <c r="J458" s="28" t="s">
        <v>2446</v>
      </c>
      <c r="K458" s="62" t="str">
        <f t="shared" si="64"/>
        <v/>
      </c>
      <c r="L458" s="62" t="str">
        <f t="shared" si="65"/>
        <v/>
      </c>
      <c r="M458" s="83" t="str">
        <f t="shared" si="66"/>
        <v/>
      </c>
      <c r="N458" s="28">
        <v>30</v>
      </c>
      <c r="O458" s="28" t="str">
        <f t="shared" si="62"/>
        <v/>
      </c>
      <c r="P458" s="210" t="str">
        <f t="shared" si="63"/>
        <v/>
      </c>
      <c r="Q458" s="203">
        <v>2</v>
      </c>
      <c r="R458" s="170"/>
    </row>
    <row r="459" spans="1:18" x14ac:dyDescent="0.25">
      <c r="A459" s="28">
        <v>2020</v>
      </c>
      <c r="B459" s="28" t="s">
        <v>149</v>
      </c>
      <c r="C459" s="28" t="s">
        <v>860</v>
      </c>
      <c r="D459" s="68">
        <v>43982</v>
      </c>
      <c r="F459" s="28" t="s">
        <v>2446</v>
      </c>
      <c r="H459" s="28" t="s">
        <v>2446</v>
      </c>
      <c r="I459" s="28" t="s">
        <v>2446</v>
      </c>
      <c r="J459" s="28" t="s">
        <v>2446</v>
      </c>
      <c r="K459" s="62" t="str">
        <f t="shared" si="64"/>
        <v/>
      </c>
      <c r="L459" s="62" t="str">
        <f t="shared" si="65"/>
        <v/>
      </c>
      <c r="M459" s="83" t="str">
        <f t="shared" si="66"/>
        <v/>
      </c>
      <c r="N459" s="28">
        <v>31</v>
      </c>
      <c r="O459" s="28" t="str">
        <f t="shared" si="62"/>
        <v/>
      </c>
      <c r="P459" s="210" t="str">
        <f t="shared" si="63"/>
        <v/>
      </c>
      <c r="Q459" s="203">
        <v>2</v>
      </c>
      <c r="R459" s="170"/>
    </row>
    <row r="460" spans="1:18" x14ac:dyDescent="0.25">
      <c r="A460" s="28">
        <v>2020</v>
      </c>
      <c r="B460" s="28" t="s">
        <v>149</v>
      </c>
      <c r="C460" s="28" t="s">
        <v>860</v>
      </c>
      <c r="D460" s="68">
        <v>44012</v>
      </c>
      <c r="F460" s="28">
        <v>0</v>
      </c>
      <c r="H460" s="28">
        <v>0</v>
      </c>
      <c r="I460" s="28">
        <v>0.1</v>
      </c>
      <c r="J460" s="28">
        <v>0.1</v>
      </c>
      <c r="K460" s="62">
        <f t="shared" si="64"/>
        <v>0</v>
      </c>
      <c r="L460" s="62">
        <f t="shared" si="65"/>
        <v>0</v>
      </c>
      <c r="M460" s="83">
        <f t="shared" si="66"/>
        <v>0</v>
      </c>
      <c r="N460" s="28">
        <v>30</v>
      </c>
      <c r="O460" s="28" t="str">
        <f t="shared" si="62"/>
        <v/>
      </c>
      <c r="P460" s="210">
        <f t="shared" si="63"/>
        <v>0</v>
      </c>
      <c r="Q460" s="203">
        <v>2</v>
      </c>
      <c r="R460" s="170"/>
    </row>
    <row r="461" spans="1:18" x14ac:dyDescent="0.25">
      <c r="A461" s="28">
        <v>2020</v>
      </c>
      <c r="B461" s="28" t="s">
        <v>149</v>
      </c>
      <c r="C461" s="28" t="s">
        <v>860</v>
      </c>
      <c r="D461" s="68">
        <v>44043</v>
      </c>
      <c r="F461" s="28">
        <v>0</v>
      </c>
      <c r="H461" s="28">
        <v>0</v>
      </c>
      <c r="I461" s="28">
        <v>16.5</v>
      </c>
      <c r="J461" s="28">
        <v>16.5</v>
      </c>
      <c r="K461" s="62">
        <f t="shared" si="64"/>
        <v>0</v>
      </c>
      <c r="L461" s="62">
        <f t="shared" si="65"/>
        <v>0</v>
      </c>
      <c r="M461" s="83">
        <f t="shared" si="66"/>
        <v>0</v>
      </c>
      <c r="N461" s="28">
        <v>31</v>
      </c>
      <c r="O461" s="28" t="str">
        <f t="shared" si="62"/>
        <v/>
      </c>
      <c r="P461" s="210">
        <f t="shared" si="63"/>
        <v>0</v>
      </c>
      <c r="Q461" s="203">
        <v>2</v>
      </c>
      <c r="R461" s="170"/>
    </row>
    <row r="462" spans="1:18" x14ac:dyDescent="0.25">
      <c r="A462" s="28">
        <v>2020</v>
      </c>
      <c r="B462" s="28" t="s">
        <v>149</v>
      </c>
      <c r="C462" s="28" t="s">
        <v>860</v>
      </c>
      <c r="D462" s="68">
        <v>44074</v>
      </c>
      <c r="F462" s="28" t="s">
        <v>2446</v>
      </c>
      <c r="H462" s="28" t="s">
        <v>2446</v>
      </c>
      <c r="I462" s="28" t="s">
        <v>2446</v>
      </c>
      <c r="J462" s="28" t="s">
        <v>2446</v>
      </c>
      <c r="K462" s="62" t="str">
        <f t="shared" si="64"/>
        <v/>
      </c>
      <c r="L462" s="62" t="str">
        <f t="shared" si="65"/>
        <v/>
      </c>
      <c r="M462" s="83" t="str">
        <f t="shared" si="66"/>
        <v/>
      </c>
      <c r="N462" s="28">
        <v>31</v>
      </c>
      <c r="O462" s="28" t="str">
        <f t="shared" si="62"/>
        <v/>
      </c>
      <c r="P462" s="210" t="str">
        <f t="shared" si="63"/>
        <v/>
      </c>
      <c r="Q462" s="203">
        <v>2</v>
      </c>
      <c r="R462" s="170"/>
    </row>
    <row r="463" spans="1:18" x14ac:dyDescent="0.25">
      <c r="A463" s="28">
        <v>2020</v>
      </c>
      <c r="B463" s="28" t="s">
        <v>149</v>
      </c>
      <c r="C463" s="28" t="s">
        <v>860</v>
      </c>
      <c r="D463" s="68">
        <v>44104</v>
      </c>
      <c r="F463" s="28" t="s">
        <v>2446</v>
      </c>
      <c r="H463" s="28" t="s">
        <v>2446</v>
      </c>
      <c r="I463" s="28" t="s">
        <v>2446</v>
      </c>
      <c r="J463" s="28" t="s">
        <v>2446</v>
      </c>
      <c r="K463" s="62" t="str">
        <f t="shared" si="64"/>
        <v/>
      </c>
      <c r="L463" s="62" t="str">
        <f t="shared" si="65"/>
        <v/>
      </c>
      <c r="M463" s="83" t="str">
        <f t="shared" si="66"/>
        <v/>
      </c>
      <c r="N463" s="28">
        <v>30</v>
      </c>
      <c r="O463" s="28" t="str">
        <f t="shared" si="62"/>
        <v/>
      </c>
      <c r="P463" s="210" t="str">
        <f t="shared" si="63"/>
        <v/>
      </c>
      <c r="Q463" s="203">
        <v>2</v>
      </c>
      <c r="R463" s="170"/>
    </row>
    <row r="464" spans="1:18" x14ac:dyDescent="0.25">
      <c r="A464" s="28">
        <v>2020</v>
      </c>
      <c r="B464" s="28" t="s">
        <v>149</v>
      </c>
      <c r="C464" s="28" t="s">
        <v>860</v>
      </c>
      <c r="D464" s="68">
        <v>44135</v>
      </c>
      <c r="F464" s="28" t="s">
        <v>2446</v>
      </c>
      <c r="H464" s="28" t="s">
        <v>2446</v>
      </c>
      <c r="I464" s="28" t="s">
        <v>2446</v>
      </c>
      <c r="J464" s="28" t="s">
        <v>2446</v>
      </c>
      <c r="K464" s="62" t="str">
        <f t="shared" si="64"/>
        <v/>
      </c>
      <c r="L464" s="62" t="str">
        <f t="shared" si="65"/>
        <v/>
      </c>
      <c r="M464" s="83" t="str">
        <f t="shared" si="66"/>
        <v/>
      </c>
      <c r="N464" s="28">
        <v>31</v>
      </c>
      <c r="O464" s="28" t="str">
        <f t="shared" si="62"/>
        <v/>
      </c>
      <c r="P464" s="210" t="str">
        <f t="shared" si="63"/>
        <v/>
      </c>
      <c r="Q464" s="203">
        <v>2</v>
      </c>
      <c r="R464" s="170"/>
    </row>
    <row r="465" spans="1:18" x14ac:dyDescent="0.25">
      <c r="A465" s="28">
        <v>2020</v>
      </c>
      <c r="B465" s="28" t="s">
        <v>149</v>
      </c>
      <c r="C465" s="28" t="s">
        <v>860</v>
      </c>
      <c r="D465" s="68">
        <v>44165</v>
      </c>
      <c r="F465" s="28">
        <v>0</v>
      </c>
      <c r="H465" s="28">
        <v>0</v>
      </c>
      <c r="I465" s="28">
        <v>0.4</v>
      </c>
      <c r="J465" s="28">
        <v>0.4</v>
      </c>
      <c r="K465" s="62">
        <f t="shared" si="64"/>
        <v>0</v>
      </c>
      <c r="L465" s="62">
        <f t="shared" si="65"/>
        <v>0</v>
      </c>
      <c r="M465" s="83">
        <f t="shared" si="66"/>
        <v>0</v>
      </c>
      <c r="N465" s="28">
        <v>30</v>
      </c>
      <c r="O465" s="28" t="str">
        <f t="shared" si="62"/>
        <v/>
      </c>
      <c r="P465" s="210">
        <f t="shared" si="63"/>
        <v>0</v>
      </c>
      <c r="Q465" s="203">
        <v>2</v>
      </c>
      <c r="R465" s="170"/>
    </row>
    <row r="466" spans="1:18" x14ac:dyDescent="0.25">
      <c r="A466" s="28">
        <v>2020</v>
      </c>
      <c r="B466" s="28" t="s">
        <v>149</v>
      </c>
      <c r="C466" s="28" t="s">
        <v>860</v>
      </c>
      <c r="D466" s="68">
        <v>44196</v>
      </c>
      <c r="F466" s="28">
        <v>0.1</v>
      </c>
      <c r="H466" s="28">
        <v>0.1</v>
      </c>
      <c r="I466" s="28">
        <v>0.3</v>
      </c>
      <c r="J466" s="28">
        <v>0.3</v>
      </c>
      <c r="K466" s="62">
        <f t="shared" si="64"/>
        <v>0.11355</v>
      </c>
      <c r="L466" s="62">
        <f t="shared" si="65"/>
        <v>3.5200499999999999</v>
      </c>
      <c r="M466" s="83">
        <f t="shared" si="66"/>
        <v>0.11355</v>
      </c>
      <c r="N466" s="28">
        <v>31</v>
      </c>
      <c r="O466" s="28">
        <f t="shared" si="62"/>
        <v>3.4538162849999994</v>
      </c>
      <c r="P466" s="210">
        <f t="shared" si="63"/>
        <v>7.7617102500000001</v>
      </c>
      <c r="Q466" s="203">
        <v>2</v>
      </c>
      <c r="R466" s="170"/>
    </row>
    <row r="467" spans="1:18" x14ac:dyDescent="0.25">
      <c r="A467" s="28">
        <v>2020</v>
      </c>
      <c r="B467" s="28" t="s">
        <v>149</v>
      </c>
      <c r="C467" s="28" t="s">
        <v>860</v>
      </c>
      <c r="D467" s="68">
        <v>43861</v>
      </c>
      <c r="F467" s="28">
        <v>0</v>
      </c>
      <c r="H467" s="28">
        <v>0</v>
      </c>
      <c r="I467" s="28">
        <v>57.5</v>
      </c>
      <c r="J467" s="28">
        <v>19.399999999999999</v>
      </c>
      <c r="K467" s="62">
        <f t="shared" si="64"/>
        <v>0</v>
      </c>
      <c r="L467" s="62">
        <f t="shared" si="65"/>
        <v>0</v>
      </c>
      <c r="M467" s="83">
        <f t="shared" si="66"/>
        <v>0</v>
      </c>
      <c r="N467" s="28">
        <v>31</v>
      </c>
      <c r="O467" s="28" t="str">
        <f t="shared" si="62"/>
        <v/>
      </c>
      <c r="P467" s="210">
        <f t="shared" si="63"/>
        <v>0</v>
      </c>
      <c r="Q467" s="203">
        <v>3</v>
      </c>
      <c r="R467" s="170"/>
    </row>
    <row r="468" spans="1:18" x14ac:dyDescent="0.25">
      <c r="A468" s="28">
        <v>2020</v>
      </c>
      <c r="B468" s="28" t="s">
        <v>149</v>
      </c>
      <c r="C468" s="28" t="s">
        <v>860</v>
      </c>
      <c r="D468" s="68">
        <v>43890</v>
      </c>
      <c r="F468" s="28">
        <v>0</v>
      </c>
      <c r="H468" s="28">
        <v>0</v>
      </c>
      <c r="I468" s="28">
        <v>6.7</v>
      </c>
      <c r="J468" s="28">
        <v>6.7</v>
      </c>
      <c r="K468" s="62">
        <f t="shared" si="64"/>
        <v>0</v>
      </c>
      <c r="L468" s="62">
        <f t="shared" si="65"/>
        <v>0</v>
      </c>
      <c r="M468" s="83">
        <f t="shared" si="66"/>
        <v>0</v>
      </c>
      <c r="N468" s="28">
        <v>28</v>
      </c>
      <c r="O468" s="28" t="str">
        <f t="shared" si="62"/>
        <v/>
      </c>
      <c r="P468" s="210">
        <f t="shared" si="63"/>
        <v>0</v>
      </c>
      <c r="Q468" s="203">
        <v>3</v>
      </c>
      <c r="R468" s="170"/>
    </row>
    <row r="469" spans="1:18" x14ac:dyDescent="0.25">
      <c r="A469" s="28">
        <v>2020</v>
      </c>
      <c r="B469" s="28" t="s">
        <v>149</v>
      </c>
      <c r="C469" s="28" t="s">
        <v>860</v>
      </c>
      <c r="D469" s="68">
        <v>43921</v>
      </c>
      <c r="F469" s="28" t="s">
        <v>2446</v>
      </c>
      <c r="H469" s="28" t="s">
        <v>2446</v>
      </c>
      <c r="I469" s="28" t="s">
        <v>2446</v>
      </c>
      <c r="J469" s="28" t="s">
        <v>2446</v>
      </c>
      <c r="K469" s="62" t="str">
        <f t="shared" si="64"/>
        <v/>
      </c>
      <c r="L469" s="62" t="str">
        <f t="shared" si="65"/>
        <v/>
      </c>
      <c r="M469" s="83" t="str">
        <f t="shared" si="66"/>
        <v/>
      </c>
      <c r="N469" s="28">
        <v>31</v>
      </c>
      <c r="O469" s="28" t="str">
        <f t="shared" si="62"/>
        <v/>
      </c>
      <c r="P469" s="210" t="str">
        <f t="shared" si="63"/>
        <v/>
      </c>
      <c r="Q469" s="203">
        <v>3</v>
      </c>
      <c r="R469" s="170"/>
    </row>
    <row r="470" spans="1:18" x14ac:dyDescent="0.25">
      <c r="A470" s="28">
        <v>2020</v>
      </c>
      <c r="B470" s="28" t="s">
        <v>149</v>
      </c>
      <c r="C470" s="28" t="s">
        <v>860</v>
      </c>
      <c r="D470" s="68">
        <v>43951</v>
      </c>
      <c r="F470" s="28">
        <v>0</v>
      </c>
      <c r="H470" s="28">
        <v>0</v>
      </c>
      <c r="I470" s="28">
        <v>23.3</v>
      </c>
      <c r="J470" s="28">
        <v>17.5</v>
      </c>
      <c r="K470" s="62">
        <f t="shared" si="64"/>
        <v>0</v>
      </c>
      <c r="L470" s="62">
        <f t="shared" si="65"/>
        <v>0</v>
      </c>
      <c r="M470" s="83">
        <f t="shared" si="66"/>
        <v>0</v>
      </c>
      <c r="N470" s="28">
        <v>30</v>
      </c>
      <c r="O470" s="28" t="str">
        <f t="shared" ref="O470:O501" si="67">IF(AND(L470&gt;0,L470&lt;&gt;""), L470/(N470/30.4167),"")</f>
        <v/>
      </c>
      <c r="P470" s="210">
        <f t="shared" ref="P470:P501" si="68">IFERROR(L470*2.205,"")</f>
        <v>0</v>
      </c>
      <c r="Q470" s="203">
        <v>3</v>
      </c>
      <c r="R470" s="170"/>
    </row>
    <row r="471" spans="1:18" x14ac:dyDescent="0.25">
      <c r="A471" s="28">
        <v>2020</v>
      </c>
      <c r="B471" s="28" t="s">
        <v>149</v>
      </c>
      <c r="C471" s="28" t="s">
        <v>860</v>
      </c>
      <c r="D471" s="68">
        <v>43982</v>
      </c>
      <c r="F471" s="28">
        <v>0</v>
      </c>
      <c r="H471" s="28">
        <v>0</v>
      </c>
      <c r="I471" s="28">
        <v>18.14</v>
      </c>
      <c r="J471" s="28">
        <v>9.07</v>
      </c>
      <c r="K471" s="62">
        <f t="shared" si="64"/>
        <v>0</v>
      </c>
      <c r="L471" s="62">
        <f t="shared" si="65"/>
        <v>0</v>
      </c>
      <c r="M471" s="83">
        <f t="shared" si="66"/>
        <v>0</v>
      </c>
      <c r="N471" s="28">
        <v>31</v>
      </c>
      <c r="O471" s="28" t="str">
        <f t="shared" si="67"/>
        <v/>
      </c>
      <c r="P471" s="210">
        <f t="shared" si="68"/>
        <v>0</v>
      </c>
      <c r="Q471" s="203">
        <v>3</v>
      </c>
      <c r="R471" s="170"/>
    </row>
    <row r="472" spans="1:18" x14ac:dyDescent="0.25">
      <c r="A472" s="28">
        <v>2020</v>
      </c>
      <c r="B472" s="28" t="s">
        <v>149</v>
      </c>
      <c r="C472" s="28" t="s">
        <v>860</v>
      </c>
      <c r="D472" s="68">
        <v>44012</v>
      </c>
      <c r="F472" s="28">
        <v>0</v>
      </c>
      <c r="H472" s="28">
        <v>0</v>
      </c>
      <c r="I472" s="28">
        <v>0.1</v>
      </c>
      <c r="J472" s="28">
        <v>0.1</v>
      </c>
      <c r="K472" s="62">
        <f t="shared" si="64"/>
        <v>0</v>
      </c>
      <c r="L472" s="62">
        <f t="shared" si="65"/>
        <v>0</v>
      </c>
      <c r="M472" s="83">
        <f t="shared" si="66"/>
        <v>0</v>
      </c>
      <c r="N472" s="28">
        <v>30</v>
      </c>
      <c r="O472" s="28" t="str">
        <f t="shared" si="67"/>
        <v/>
      </c>
      <c r="P472" s="210">
        <f t="shared" si="68"/>
        <v>0</v>
      </c>
      <c r="Q472" s="203">
        <v>3</v>
      </c>
      <c r="R472" s="170"/>
    </row>
    <row r="473" spans="1:18" x14ac:dyDescent="0.25">
      <c r="A473" s="28">
        <v>2020</v>
      </c>
      <c r="B473" s="28" t="s">
        <v>149</v>
      </c>
      <c r="C473" s="28" t="s">
        <v>860</v>
      </c>
      <c r="D473" s="68">
        <v>44043</v>
      </c>
      <c r="F473" s="28">
        <v>0</v>
      </c>
      <c r="H473" s="28">
        <v>0</v>
      </c>
      <c r="I473" s="28">
        <v>0.8</v>
      </c>
      <c r="J473" s="28">
        <v>0.5</v>
      </c>
      <c r="K473" s="62">
        <f t="shared" si="64"/>
        <v>0</v>
      </c>
      <c r="L473" s="62">
        <f t="shared" si="65"/>
        <v>0</v>
      </c>
      <c r="M473" s="83">
        <f t="shared" si="66"/>
        <v>0</v>
      </c>
      <c r="N473" s="28">
        <v>31</v>
      </c>
      <c r="O473" s="28" t="str">
        <f t="shared" si="67"/>
        <v/>
      </c>
      <c r="P473" s="210">
        <f t="shared" si="68"/>
        <v>0</v>
      </c>
      <c r="Q473" s="203">
        <v>3</v>
      </c>
      <c r="R473" s="170"/>
    </row>
    <row r="474" spans="1:18" x14ac:dyDescent="0.25">
      <c r="A474" s="28">
        <v>2020</v>
      </c>
      <c r="B474" s="28" t="s">
        <v>149</v>
      </c>
      <c r="C474" s="28" t="s">
        <v>860</v>
      </c>
      <c r="D474" s="68">
        <v>44074</v>
      </c>
      <c r="F474" s="28" t="s">
        <v>2446</v>
      </c>
      <c r="H474" s="28" t="s">
        <v>2446</v>
      </c>
      <c r="I474" s="28" t="s">
        <v>2446</v>
      </c>
      <c r="J474" s="28" t="s">
        <v>2446</v>
      </c>
      <c r="K474" s="62" t="str">
        <f t="shared" si="64"/>
        <v/>
      </c>
      <c r="L474" s="62" t="str">
        <f t="shared" si="65"/>
        <v/>
      </c>
      <c r="M474" s="83" t="str">
        <f t="shared" si="66"/>
        <v/>
      </c>
      <c r="N474" s="28">
        <v>31</v>
      </c>
      <c r="O474" s="28" t="str">
        <f t="shared" si="67"/>
        <v/>
      </c>
      <c r="P474" s="210" t="str">
        <f t="shared" si="68"/>
        <v/>
      </c>
      <c r="Q474" s="203">
        <v>3</v>
      </c>
      <c r="R474" s="170"/>
    </row>
    <row r="475" spans="1:18" x14ac:dyDescent="0.25">
      <c r="A475" s="28">
        <v>2020</v>
      </c>
      <c r="B475" s="28" t="s">
        <v>149</v>
      </c>
      <c r="C475" s="28" t="s">
        <v>860</v>
      </c>
      <c r="D475" s="68">
        <v>44104</v>
      </c>
      <c r="F475" s="28" t="s">
        <v>2446</v>
      </c>
      <c r="H475" s="28" t="s">
        <v>2446</v>
      </c>
      <c r="I475" s="28" t="s">
        <v>2446</v>
      </c>
      <c r="J475" s="28" t="s">
        <v>2446</v>
      </c>
      <c r="K475" s="62" t="str">
        <f t="shared" si="64"/>
        <v/>
      </c>
      <c r="L475" s="62" t="str">
        <f t="shared" si="65"/>
        <v/>
      </c>
      <c r="M475" s="83" t="str">
        <f t="shared" si="66"/>
        <v/>
      </c>
      <c r="N475" s="28">
        <v>30</v>
      </c>
      <c r="O475" s="28" t="str">
        <f t="shared" si="67"/>
        <v/>
      </c>
      <c r="P475" s="210" t="str">
        <f t="shared" si="68"/>
        <v/>
      </c>
      <c r="Q475" s="203">
        <v>3</v>
      </c>
      <c r="R475" s="170"/>
    </row>
    <row r="476" spans="1:18" x14ac:dyDescent="0.25">
      <c r="A476" s="28">
        <v>2020</v>
      </c>
      <c r="B476" s="28" t="s">
        <v>149</v>
      </c>
      <c r="C476" s="28" t="s">
        <v>860</v>
      </c>
      <c r="D476" s="68">
        <v>44135</v>
      </c>
      <c r="F476" s="28" t="s">
        <v>2446</v>
      </c>
      <c r="H476" s="28" t="s">
        <v>2446</v>
      </c>
      <c r="I476" s="28" t="s">
        <v>2446</v>
      </c>
      <c r="J476" s="28" t="s">
        <v>2446</v>
      </c>
      <c r="K476" s="62" t="str">
        <f t="shared" si="64"/>
        <v/>
      </c>
      <c r="L476" s="62" t="str">
        <f t="shared" si="65"/>
        <v/>
      </c>
      <c r="M476" s="83" t="str">
        <f t="shared" si="66"/>
        <v/>
      </c>
      <c r="N476" s="28">
        <v>31</v>
      </c>
      <c r="O476" s="28" t="str">
        <f t="shared" si="67"/>
        <v/>
      </c>
      <c r="P476" s="210" t="str">
        <f t="shared" si="68"/>
        <v/>
      </c>
      <c r="Q476" s="203">
        <v>3</v>
      </c>
      <c r="R476" s="170"/>
    </row>
    <row r="477" spans="1:18" x14ac:dyDescent="0.25">
      <c r="A477" s="28">
        <v>2020</v>
      </c>
      <c r="B477" s="28" t="s">
        <v>149</v>
      </c>
      <c r="C477" s="28" t="s">
        <v>860</v>
      </c>
      <c r="D477" s="68">
        <v>44165</v>
      </c>
      <c r="F477" s="28">
        <v>0</v>
      </c>
      <c r="H477" s="28">
        <v>0</v>
      </c>
      <c r="I477" s="28">
        <v>0.4</v>
      </c>
      <c r="J477" s="28">
        <v>0.3</v>
      </c>
      <c r="K477" s="62">
        <f t="shared" si="64"/>
        <v>0</v>
      </c>
      <c r="L477" s="62">
        <f t="shared" si="65"/>
        <v>0</v>
      </c>
      <c r="M477" s="83">
        <f t="shared" si="66"/>
        <v>0</v>
      </c>
      <c r="N477" s="28">
        <v>30</v>
      </c>
      <c r="O477" s="28" t="str">
        <f t="shared" si="67"/>
        <v/>
      </c>
      <c r="P477" s="210">
        <f t="shared" si="68"/>
        <v>0</v>
      </c>
      <c r="Q477" s="203">
        <v>3</v>
      </c>
      <c r="R477" s="170"/>
    </row>
    <row r="478" spans="1:18" x14ac:dyDescent="0.25">
      <c r="A478" s="28">
        <v>2020</v>
      </c>
      <c r="B478" s="28" t="s">
        <v>149</v>
      </c>
      <c r="C478" s="28" t="s">
        <v>860</v>
      </c>
      <c r="D478" s="190">
        <v>44196</v>
      </c>
      <c r="E478" s="126"/>
      <c r="F478" s="126">
        <v>0</v>
      </c>
      <c r="G478" s="126"/>
      <c r="H478" s="126">
        <v>0</v>
      </c>
      <c r="I478" s="126">
        <v>0.4</v>
      </c>
      <c r="J478" s="126">
        <v>0.4</v>
      </c>
      <c r="K478" s="62">
        <f t="shared" si="64"/>
        <v>0</v>
      </c>
      <c r="L478" s="62">
        <f t="shared" si="65"/>
        <v>0</v>
      </c>
      <c r="M478" s="83">
        <f t="shared" si="66"/>
        <v>0</v>
      </c>
      <c r="N478" s="28">
        <v>31</v>
      </c>
      <c r="O478" s="28" t="str">
        <f t="shared" si="67"/>
        <v/>
      </c>
      <c r="P478" s="210">
        <f t="shared" si="68"/>
        <v>0</v>
      </c>
      <c r="Q478" s="203">
        <v>3</v>
      </c>
      <c r="R478" s="170"/>
    </row>
    <row r="479" spans="1:18" x14ac:dyDescent="0.25">
      <c r="A479" s="28">
        <v>2020</v>
      </c>
      <c r="B479" s="28" t="s">
        <v>149</v>
      </c>
      <c r="C479" s="28" t="s">
        <v>860</v>
      </c>
      <c r="D479" s="68">
        <v>43861</v>
      </c>
      <c r="F479" s="28">
        <v>0</v>
      </c>
      <c r="H479" s="28">
        <v>0</v>
      </c>
      <c r="I479" s="28">
        <v>25.7</v>
      </c>
      <c r="J479" s="28">
        <v>7.4</v>
      </c>
      <c r="K479" s="62">
        <f t="shared" si="64"/>
        <v>0</v>
      </c>
      <c r="L479" s="62">
        <f t="shared" si="65"/>
        <v>0</v>
      </c>
      <c r="M479" s="83">
        <f t="shared" si="66"/>
        <v>0</v>
      </c>
      <c r="N479" s="28">
        <v>31</v>
      </c>
      <c r="O479" s="28" t="str">
        <f t="shared" si="67"/>
        <v/>
      </c>
      <c r="P479" s="210">
        <f t="shared" si="68"/>
        <v>0</v>
      </c>
      <c r="Q479" s="203">
        <v>4</v>
      </c>
      <c r="R479" s="170"/>
    </row>
    <row r="480" spans="1:18" x14ac:dyDescent="0.25">
      <c r="A480" s="28">
        <v>2020</v>
      </c>
      <c r="B480" s="28" t="s">
        <v>149</v>
      </c>
      <c r="C480" s="28" t="s">
        <v>860</v>
      </c>
      <c r="D480" s="68">
        <v>43890</v>
      </c>
      <c r="F480" s="28" t="s">
        <v>2446</v>
      </c>
      <c r="H480" s="28" t="s">
        <v>2446</v>
      </c>
      <c r="I480" s="28" t="s">
        <v>2446</v>
      </c>
      <c r="J480" s="28" t="s">
        <v>2446</v>
      </c>
      <c r="K480" s="62" t="str">
        <f t="shared" si="64"/>
        <v/>
      </c>
      <c r="L480" s="62" t="str">
        <f t="shared" si="65"/>
        <v/>
      </c>
      <c r="M480" s="83" t="str">
        <f t="shared" si="66"/>
        <v/>
      </c>
      <c r="N480" s="28">
        <v>28</v>
      </c>
      <c r="O480" s="28" t="str">
        <f t="shared" si="67"/>
        <v/>
      </c>
      <c r="P480" s="210" t="str">
        <f t="shared" si="68"/>
        <v/>
      </c>
      <c r="Q480" s="203">
        <v>4</v>
      </c>
      <c r="R480" s="170"/>
    </row>
    <row r="481" spans="1:18" x14ac:dyDescent="0.25">
      <c r="A481" s="28">
        <v>2020</v>
      </c>
      <c r="B481" s="28" t="s">
        <v>149</v>
      </c>
      <c r="C481" s="28" t="s">
        <v>860</v>
      </c>
      <c r="D481" s="68">
        <v>43921</v>
      </c>
      <c r="F481" s="28" t="s">
        <v>2446</v>
      </c>
      <c r="H481" s="28" t="s">
        <v>2446</v>
      </c>
      <c r="I481" s="28" t="s">
        <v>2446</v>
      </c>
      <c r="J481" s="28" t="s">
        <v>2446</v>
      </c>
      <c r="K481" s="62" t="str">
        <f t="shared" si="64"/>
        <v/>
      </c>
      <c r="L481" s="62" t="str">
        <f t="shared" si="65"/>
        <v/>
      </c>
      <c r="M481" s="83" t="str">
        <f t="shared" si="66"/>
        <v/>
      </c>
      <c r="N481" s="28">
        <v>31</v>
      </c>
      <c r="O481" s="28" t="str">
        <f t="shared" si="67"/>
        <v/>
      </c>
      <c r="P481" s="210" t="str">
        <f t="shared" si="68"/>
        <v/>
      </c>
      <c r="Q481" s="203">
        <v>4</v>
      </c>
      <c r="R481" s="170"/>
    </row>
    <row r="482" spans="1:18" x14ac:dyDescent="0.25">
      <c r="A482" s="28">
        <v>2020</v>
      </c>
      <c r="B482" s="28" t="s">
        <v>149</v>
      </c>
      <c r="C482" s="28" t="s">
        <v>860</v>
      </c>
      <c r="D482" s="68">
        <v>43951</v>
      </c>
      <c r="F482" s="28" t="s">
        <v>2446</v>
      </c>
      <c r="H482" s="28" t="s">
        <v>2446</v>
      </c>
      <c r="I482" s="28" t="s">
        <v>2446</v>
      </c>
      <c r="J482" s="28" t="s">
        <v>2446</v>
      </c>
      <c r="K482" s="62" t="str">
        <f t="shared" si="64"/>
        <v/>
      </c>
      <c r="L482" s="62" t="str">
        <f t="shared" si="65"/>
        <v/>
      </c>
      <c r="M482" s="83" t="str">
        <f t="shared" si="66"/>
        <v/>
      </c>
      <c r="N482" s="28">
        <v>30</v>
      </c>
      <c r="O482" s="28" t="str">
        <f t="shared" si="67"/>
        <v/>
      </c>
      <c r="P482" s="210" t="str">
        <f t="shared" si="68"/>
        <v/>
      </c>
      <c r="Q482" s="203">
        <v>4</v>
      </c>
      <c r="R482" s="170"/>
    </row>
    <row r="483" spans="1:18" x14ac:dyDescent="0.25">
      <c r="A483" s="28">
        <v>2020</v>
      </c>
      <c r="B483" s="28" t="s">
        <v>149</v>
      </c>
      <c r="C483" s="28" t="s">
        <v>860</v>
      </c>
      <c r="D483" s="68">
        <v>43982</v>
      </c>
      <c r="F483" s="28" t="s">
        <v>2446</v>
      </c>
      <c r="H483" s="28" t="s">
        <v>2446</v>
      </c>
      <c r="I483" s="28" t="s">
        <v>2446</v>
      </c>
      <c r="J483" s="28" t="s">
        <v>2446</v>
      </c>
      <c r="K483" s="62" t="str">
        <f t="shared" si="64"/>
        <v/>
      </c>
      <c r="L483" s="62" t="str">
        <f t="shared" si="65"/>
        <v/>
      </c>
      <c r="M483" s="83" t="str">
        <f t="shared" si="66"/>
        <v/>
      </c>
      <c r="N483" s="28">
        <v>31</v>
      </c>
      <c r="O483" s="28" t="str">
        <f t="shared" si="67"/>
        <v/>
      </c>
      <c r="P483" s="210" t="str">
        <f t="shared" si="68"/>
        <v/>
      </c>
      <c r="Q483" s="203">
        <v>4</v>
      </c>
      <c r="R483" s="170"/>
    </row>
    <row r="484" spans="1:18" x14ac:dyDescent="0.25">
      <c r="A484" s="28">
        <v>2020</v>
      </c>
      <c r="B484" s="28" t="s">
        <v>149</v>
      </c>
      <c r="C484" s="28" t="s">
        <v>860</v>
      </c>
      <c r="D484" s="68">
        <v>44012</v>
      </c>
      <c r="F484" s="28">
        <v>0</v>
      </c>
      <c r="H484" s="28">
        <v>0</v>
      </c>
      <c r="I484" s="28">
        <v>0.1</v>
      </c>
      <c r="J484" s="28">
        <v>0.1</v>
      </c>
      <c r="K484" s="62">
        <f t="shared" si="64"/>
        <v>0</v>
      </c>
      <c r="L484" s="62">
        <f t="shared" si="65"/>
        <v>0</v>
      </c>
      <c r="M484" s="83">
        <f t="shared" si="66"/>
        <v>0</v>
      </c>
      <c r="N484" s="28">
        <v>30</v>
      </c>
      <c r="O484" s="28" t="str">
        <f t="shared" si="67"/>
        <v/>
      </c>
      <c r="P484" s="210">
        <f t="shared" si="68"/>
        <v>0</v>
      </c>
      <c r="Q484" s="203">
        <v>4</v>
      </c>
      <c r="R484" s="170"/>
    </row>
    <row r="485" spans="1:18" x14ac:dyDescent="0.25">
      <c r="A485" s="28">
        <v>2020</v>
      </c>
      <c r="B485" s="28" t="s">
        <v>149</v>
      </c>
      <c r="C485" s="28" t="s">
        <v>860</v>
      </c>
      <c r="D485" s="68">
        <v>44043</v>
      </c>
      <c r="F485" s="28">
        <v>0</v>
      </c>
      <c r="H485" s="28">
        <v>0</v>
      </c>
      <c r="I485" s="28">
        <v>16.5</v>
      </c>
      <c r="J485" s="28">
        <v>16.5</v>
      </c>
      <c r="K485" s="62">
        <f t="shared" si="64"/>
        <v>0</v>
      </c>
      <c r="L485" s="62">
        <f t="shared" si="65"/>
        <v>0</v>
      </c>
      <c r="M485" s="83">
        <f t="shared" si="66"/>
        <v>0</v>
      </c>
      <c r="N485" s="28">
        <v>31</v>
      </c>
      <c r="O485" s="28" t="str">
        <f t="shared" si="67"/>
        <v/>
      </c>
      <c r="P485" s="210">
        <f t="shared" si="68"/>
        <v>0</v>
      </c>
      <c r="Q485" s="203">
        <v>4</v>
      </c>
      <c r="R485" s="170"/>
    </row>
    <row r="486" spans="1:18" x14ac:dyDescent="0.25">
      <c r="A486" s="28">
        <v>2020</v>
      </c>
      <c r="B486" s="28" t="s">
        <v>149</v>
      </c>
      <c r="C486" s="28" t="s">
        <v>860</v>
      </c>
      <c r="D486" s="68">
        <v>44074</v>
      </c>
      <c r="F486" s="28" t="s">
        <v>2446</v>
      </c>
      <c r="H486" s="28" t="s">
        <v>2446</v>
      </c>
      <c r="I486" s="28" t="s">
        <v>2446</v>
      </c>
      <c r="J486" s="28" t="s">
        <v>2446</v>
      </c>
      <c r="K486" s="62" t="str">
        <f t="shared" si="64"/>
        <v/>
      </c>
      <c r="L486" s="62" t="str">
        <f t="shared" si="65"/>
        <v/>
      </c>
      <c r="M486" s="83" t="str">
        <f t="shared" si="66"/>
        <v/>
      </c>
      <c r="N486" s="28">
        <v>31</v>
      </c>
      <c r="O486" s="28" t="str">
        <f t="shared" si="67"/>
        <v/>
      </c>
      <c r="P486" s="210" t="str">
        <f t="shared" si="68"/>
        <v/>
      </c>
      <c r="Q486" s="203">
        <v>4</v>
      </c>
      <c r="R486" s="170"/>
    </row>
    <row r="487" spans="1:18" x14ac:dyDescent="0.25">
      <c r="A487" s="28">
        <v>2020</v>
      </c>
      <c r="B487" s="28" t="s">
        <v>149</v>
      </c>
      <c r="C487" s="28" t="s">
        <v>860</v>
      </c>
      <c r="D487" s="68">
        <v>44104</v>
      </c>
      <c r="F487" s="28" t="s">
        <v>2446</v>
      </c>
      <c r="H487" s="28" t="s">
        <v>2446</v>
      </c>
      <c r="I487" s="28" t="s">
        <v>2446</v>
      </c>
      <c r="J487" s="28" t="s">
        <v>2446</v>
      </c>
      <c r="K487" s="62" t="str">
        <f t="shared" si="64"/>
        <v/>
      </c>
      <c r="L487" s="62" t="str">
        <f t="shared" si="65"/>
        <v/>
      </c>
      <c r="M487" s="83" t="str">
        <f t="shared" si="66"/>
        <v/>
      </c>
      <c r="N487" s="28">
        <v>30</v>
      </c>
      <c r="O487" s="28" t="str">
        <f t="shared" si="67"/>
        <v/>
      </c>
      <c r="P487" s="210" t="str">
        <f t="shared" si="68"/>
        <v/>
      </c>
      <c r="Q487" s="203">
        <v>4</v>
      </c>
      <c r="R487" s="170"/>
    </row>
    <row r="488" spans="1:18" x14ac:dyDescent="0.25">
      <c r="A488" s="28">
        <v>2020</v>
      </c>
      <c r="B488" s="28" t="s">
        <v>149</v>
      </c>
      <c r="C488" s="28" t="s">
        <v>860</v>
      </c>
      <c r="D488" s="68">
        <v>44135</v>
      </c>
      <c r="F488" s="28" t="s">
        <v>2446</v>
      </c>
      <c r="H488" s="28" t="s">
        <v>2446</v>
      </c>
      <c r="I488" s="28" t="s">
        <v>2446</v>
      </c>
      <c r="J488" s="28" t="s">
        <v>2446</v>
      </c>
      <c r="K488" s="62" t="str">
        <f t="shared" si="64"/>
        <v/>
      </c>
      <c r="L488" s="62" t="str">
        <f t="shared" si="65"/>
        <v/>
      </c>
      <c r="M488" s="83" t="str">
        <f t="shared" si="66"/>
        <v/>
      </c>
      <c r="N488" s="28">
        <v>31</v>
      </c>
      <c r="O488" s="28" t="str">
        <f t="shared" si="67"/>
        <v/>
      </c>
      <c r="P488" s="210" t="str">
        <f t="shared" si="68"/>
        <v/>
      </c>
      <c r="Q488" s="203">
        <v>4</v>
      </c>
      <c r="R488" s="170"/>
    </row>
    <row r="489" spans="1:18" x14ac:dyDescent="0.25">
      <c r="A489" s="28">
        <v>2020</v>
      </c>
      <c r="B489" s="28" t="s">
        <v>149</v>
      </c>
      <c r="C489" s="28" t="s">
        <v>860</v>
      </c>
      <c r="D489" s="190">
        <v>44165</v>
      </c>
      <c r="E489" s="126"/>
      <c r="F489" s="126">
        <v>0</v>
      </c>
      <c r="G489" s="126"/>
      <c r="H489" s="126">
        <v>0</v>
      </c>
      <c r="I489" s="126">
        <v>0.2</v>
      </c>
      <c r="J489" s="126">
        <v>0.2</v>
      </c>
      <c r="K489" s="62">
        <f t="shared" si="64"/>
        <v>0</v>
      </c>
      <c r="L489" s="62">
        <f t="shared" si="65"/>
        <v>0</v>
      </c>
      <c r="M489" s="83">
        <f t="shared" si="66"/>
        <v>0</v>
      </c>
      <c r="N489" s="28">
        <v>30</v>
      </c>
      <c r="O489" s="28" t="str">
        <f t="shared" si="67"/>
        <v/>
      </c>
      <c r="P489" s="210">
        <f t="shared" si="68"/>
        <v>0</v>
      </c>
      <c r="Q489" s="203">
        <v>4</v>
      </c>
      <c r="R489" s="170"/>
    </row>
    <row r="490" spans="1:18" x14ac:dyDescent="0.25">
      <c r="A490" s="28">
        <v>2020</v>
      </c>
      <c r="B490" s="28" t="s">
        <v>149</v>
      </c>
      <c r="C490" s="81" t="s">
        <v>860</v>
      </c>
      <c r="D490" s="68">
        <v>44196</v>
      </c>
      <c r="F490" s="28">
        <v>0</v>
      </c>
      <c r="H490" s="28">
        <v>0</v>
      </c>
      <c r="I490" s="28">
        <v>0.1</v>
      </c>
      <c r="J490" s="28">
        <v>0.1</v>
      </c>
      <c r="K490" s="62">
        <f t="shared" si="64"/>
        <v>0</v>
      </c>
      <c r="L490" s="62">
        <f t="shared" si="65"/>
        <v>0</v>
      </c>
      <c r="M490" s="83">
        <f t="shared" si="66"/>
        <v>0</v>
      </c>
      <c r="N490" s="28">
        <v>31</v>
      </c>
      <c r="O490" s="28" t="str">
        <f t="shared" si="67"/>
        <v/>
      </c>
      <c r="P490" s="210">
        <f t="shared" si="68"/>
        <v>0</v>
      </c>
      <c r="Q490" s="203">
        <v>4</v>
      </c>
      <c r="R490" s="170"/>
    </row>
    <row r="491" spans="1:18" x14ac:dyDescent="0.25">
      <c r="A491" s="28">
        <v>2020</v>
      </c>
      <c r="B491" s="28" t="s">
        <v>149</v>
      </c>
      <c r="C491" s="28" t="s">
        <v>860</v>
      </c>
      <c r="D491" s="68">
        <v>43861</v>
      </c>
      <c r="F491" s="28">
        <v>0</v>
      </c>
      <c r="H491" s="28">
        <v>0</v>
      </c>
      <c r="I491" s="28">
        <v>0.1</v>
      </c>
      <c r="J491" s="28">
        <v>7.1</v>
      </c>
      <c r="K491" s="62">
        <f t="shared" si="64"/>
        <v>0</v>
      </c>
      <c r="L491" s="62">
        <f t="shared" si="65"/>
        <v>0</v>
      </c>
      <c r="M491" s="83">
        <f t="shared" si="66"/>
        <v>0</v>
      </c>
      <c r="N491" s="28">
        <v>31</v>
      </c>
      <c r="O491" s="28" t="str">
        <f t="shared" si="67"/>
        <v/>
      </c>
      <c r="P491" s="210">
        <f t="shared" si="68"/>
        <v>0</v>
      </c>
      <c r="Q491" s="203">
        <v>5</v>
      </c>
      <c r="R491" s="170"/>
    </row>
    <row r="492" spans="1:18" x14ac:dyDescent="0.25">
      <c r="A492" s="28">
        <v>2020</v>
      </c>
      <c r="B492" s="28" t="s">
        <v>149</v>
      </c>
      <c r="C492" s="28" t="s">
        <v>860</v>
      </c>
      <c r="D492" s="68">
        <v>43890</v>
      </c>
      <c r="F492" s="28">
        <v>0</v>
      </c>
      <c r="H492" s="28">
        <v>0</v>
      </c>
      <c r="I492" s="28">
        <v>0.2</v>
      </c>
      <c r="J492" s="28">
        <v>1.4</v>
      </c>
      <c r="K492" s="62">
        <f t="shared" si="64"/>
        <v>0</v>
      </c>
      <c r="L492" s="62">
        <f t="shared" si="65"/>
        <v>0</v>
      </c>
      <c r="M492" s="83">
        <f t="shared" si="66"/>
        <v>0</v>
      </c>
      <c r="N492" s="28">
        <v>28</v>
      </c>
      <c r="O492" s="28" t="str">
        <f t="shared" si="67"/>
        <v/>
      </c>
      <c r="P492" s="210">
        <f t="shared" si="68"/>
        <v>0</v>
      </c>
      <c r="Q492" s="203">
        <v>5</v>
      </c>
      <c r="R492" s="170"/>
    </row>
    <row r="493" spans="1:18" x14ac:dyDescent="0.25">
      <c r="A493" s="28">
        <v>2020</v>
      </c>
      <c r="B493" s="28" t="s">
        <v>149</v>
      </c>
      <c r="C493" s="28" t="s">
        <v>860</v>
      </c>
      <c r="D493" s="68">
        <v>43921</v>
      </c>
      <c r="F493" s="28" t="s">
        <v>2446</v>
      </c>
      <c r="H493" s="28" t="s">
        <v>2446</v>
      </c>
      <c r="I493" s="28">
        <v>0.3</v>
      </c>
      <c r="J493" s="28" t="s">
        <v>2446</v>
      </c>
      <c r="K493" s="62" t="str">
        <f t="shared" si="64"/>
        <v/>
      </c>
      <c r="L493" s="62" t="str">
        <f t="shared" si="65"/>
        <v/>
      </c>
      <c r="M493" s="83" t="str">
        <f t="shared" si="66"/>
        <v/>
      </c>
      <c r="N493" s="28">
        <v>31</v>
      </c>
      <c r="O493" s="28" t="str">
        <f t="shared" si="67"/>
        <v/>
      </c>
      <c r="P493" s="210" t="str">
        <f t="shared" si="68"/>
        <v/>
      </c>
      <c r="Q493" s="203">
        <v>5</v>
      </c>
      <c r="R493" s="170"/>
    </row>
    <row r="494" spans="1:18" x14ac:dyDescent="0.25">
      <c r="A494" s="28">
        <v>2020</v>
      </c>
      <c r="B494" s="28" t="s">
        <v>149</v>
      </c>
      <c r="C494" s="28" t="s">
        <v>860</v>
      </c>
      <c r="D494" s="68">
        <v>43951</v>
      </c>
      <c r="F494" s="28" t="s">
        <v>2446</v>
      </c>
      <c r="H494" s="28" t="s">
        <v>2446</v>
      </c>
      <c r="I494" s="28">
        <v>1.4</v>
      </c>
      <c r="J494" s="28" t="s">
        <v>2446</v>
      </c>
      <c r="K494" s="62" t="str">
        <f t="shared" si="64"/>
        <v/>
      </c>
      <c r="L494" s="62" t="str">
        <f t="shared" si="65"/>
        <v/>
      </c>
      <c r="M494" s="83" t="str">
        <f t="shared" si="66"/>
        <v/>
      </c>
      <c r="N494" s="28">
        <v>30</v>
      </c>
      <c r="O494" s="28" t="str">
        <f t="shared" si="67"/>
        <v/>
      </c>
      <c r="P494" s="210" t="str">
        <f t="shared" si="68"/>
        <v/>
      </c>
      <c r="Q494" s="203">
        <v>5</v>
      </c>
      <c r="R494" s="170"/>
    </row>
    <row r="495" spans="1:18" x14ac:dyDescent="0.25">
      <c r="A495" s="28">
        <v>2020</v>
      </c>
      <c r="B495" s="28" t="s">
        <v>149</v>
      </c>
      <c r="C495" s="28" t="s">
        <v>860</v>
      </c>
      <c r="D495" s="68">
        <v>43982</v>
      </c>
      <c r="F495" s="28" t="s">
        <v>2446</v>
      </c>
      <c r="H495" s="28" t="s">
        <v>2446</v>
      </c>
      <c r="I495" s="28">
        <v>16.5</v>
      </c>
      <c r="J495" s="28" t="s">
        <v>2446</v>
      </c>
      <c r="K495" s="62" t="str">
        <f t="shared" si="64"/>
        <v/>
      </c>
      <c r="L495" s="62" t="str">
        <f t="shared" si="65"/>
        <v/>
      </c>
      <c r="M495" s="83" t="str">
        <f t="shared" si="66"/>
        <v/>
      </c>
      <c r="N495" s="28">
        <v>31</v>
      </c>
      <c r="O495" s="28" t="str">
        <f t="shared" si="67"/>
        <v/>
      </c>
      <c r="P495" s="210" t="str">
        <f t="shared" si="68"/>
        <v/>
      </c>
      <c r="Q495" s="203">
        <v>5</v>
      </c>
      <c r="R495" s="170"/>
    </row>
    <row r="496" spans="1:18" x14ac:dyDescent="0.25">
      <c r="A496" s="28">
        <v>2020</v>
      </c>
      <c r="B496" s="28" t="s">
        <v>149</v>
      </c>
      <c r="C496" s="28" t="s">
        <v>860</v>
      </c>
      <c r="D496" s="68">
        <v>44012</v>
      </c>
      <c r="F496" s="28">
        <v>0</v>
      </c>
      <c r="H496" s="28">
        <v>0</v>
      </c>
      <c r="I496" s="28">
        <v>29.4</v>
      </c>
      <c r="J496" s="28">
        <v>0.1</v>
      </c>
      <c r="K496" s="62">
        <f t="shared" si="64"/>
        <v>0</v>
      </c>
      <c r="L496" s="62">
        <f t="shared" si="65"/>
        <v>0</v>
      </c>
      <c r="M496" s="83">
        <f t="shared" si="66"/>
        <v>0</v>
      </c>
      <c r="N496" s="28">
        <v>30</v>
      </c>
      <c r="O496" s="28" t="str">
        <f t="shared" si="67"/>
        <v/>
      </c>
      <c r="P496" s="210">
        <f t="shared" si="68"/>
        <v>0</v>
      </c>
      <c r="Q496" s="203">
        <v>5</v>
      </c>
      <c r="R496" s="170"/>
    </row>
    <row r="497" spans="1:18" x14ac:dyDescent="0.25">
      <c r="A497" s="28">
        <v>2020</v>
      </c>
      <c r="B497" s="28" t="s">
        <v>149</v>
      </c>
      <c r="C497" s="28" t="s">
        <v>860</v>
      </c>
      <c r="D497" s="68">
        <v>44043</v>
      </c>
      <c r="F497" s="28">
        <v>0</v>
      </c>
      <c r="H497" s="28">
        <v>0</v>
      </c>
      <c r="I497" s="28" t="s">
        <v>2446</v>
      </c>
      <c r="J497" s="28">
        <v>16.5</v>
      </c>
      <c r="K497" s="62" t="str">
        <f t="shared" si="64"/>
        <v/>
      </c>
      <c r="L497" s="62">
        <f t="shared" si="65"/>
        <v>0</v>
      </c>
      <c r="M497" s="83">
        <f t="shared" si="66"/>
        <v>0</v>
      </c>
      <c r="N497" s="28">
        <v>31</v>
      </c>
      <c r="O497" s="28" t="str">
        <f t="shared" si="67"/>
        <v/>
      </c>
      <c r="P497" s="210">
        <f t="shared" si="68"/>
        <v>0</v>
      </c>
      <c r="Q497" s="203">
        <v>5</v>
      </c>
      <c r="R497" s="170"/>
    </row>
    <row r="498" spans="1:18" x14ac:dyDescent="0.25">
      <c r="A498" s="28">
        <v>2020</v>
      </c>
      <c r="B498" s="28" t="s">
        <v>149</v>
      </c>
      <c r="C498" s="28" t="s">
        <v>860</v>
      </c>
      <c r="D498" s="68">
        <v>44074</v>
      </c>
      <c r="F498" s="28" t="s">
        <v>2446</v>
      </c>
      <c r="H498" s="28" t="s">
        <v>2446</v>
      </c>
      <c r="I498" s="28" t="s">
        <v>2446</v>
      </c>
      <c r="J498" s="28" t="s">
        <v>2446</v>
      </c>
      <c r="K498" s="62" t="str">
        <f t="shared" si="64"/>
        <v/>
      </c>
      <c r="L498" s="62" t="str">
        <f t="shared" si="65"/>
        <v/>
      </c>
      <c r="M498" s="83" t="str">
        <f t="shared" si="66"/>
        <v/>
      </c>
      <c r="N498" s="28">
        <v>31</v>
      </c>
      <c r="O498" s="28" t="str">
        <f t="shared" si="67"/>
        <v/>
      </c>
      <c r="P498" s="210" t="str">
        <f t="shared" si="68"/>
        <v/>
      </c>
      <c r="Q498" s="203">
        <v>5</v>
      </c>
      <c r="R498" s="170"/>
    </row>
    <row r="499" spans="1:18" x14ac:dyDescent="0.25">
      <c r="A499" s="28">
        <v>2020</v>
      </c>
      <c r="B499" s="28" t="s">
        <v>149</v>
      </c>
      <c r="C499" s="28" t="s">
        <v>860</v>
      </c>
      <c r="D499" s="68">
        <v>44104</v>
      </c>
      <c r="F499" s="28" t="s">
        <v>2446</v>
      </c>
      <c r="H499" s="28" t="s">
        <v>2446</v>
      </c>
      <c r="I499" s="28" t="s">
        <v>2446</v>
      </c>
      <c r="J499" s="28" t="s">
        <v>2446</v>
      </c>
      <c r="K499" s="62" t="str">
        <f t="shared" si="64"/>
        <v/>
      </c>
      <c r="L499" s="62" t="str">
        <f t="shared" si="65"/>
        <v/>
      </c>
      <c r="M499" s="83" t="str">
        <f t="shared" si="66"/>
        <v/>
      </c>
      <c r="N499" s="28">
        <v>30</v>
      </c>
      <c r="O499" s="28" t="str">
        <f t="shared" si="67"/>
        <v/>
      </c>
      <c r="P499" s="210" t="str">
        <f t="shared" si="68"/>
        <v/>
      </c>
      <c r="Q499" s="203">
        <v>5</v>
      </c>
      <c r="R499" s="170"/>
    </row>
    <row r="500" spans="1:18" x14ac:dyDescent="0.25">
      <c r="A500" s="28">
        <v>2020</v>
      </c>
      <c r="B500" s="28" t="s">
        <v>149</v>
      </c>
      <c r="C500" s="28" t="s">
        <v>860</v>
      </c>
      <c r="D500" s="68">
        <v>44135</v>
      </c>
      <c r="F500" s="28" t="s">
        <v>2446</v>
      </c>
      <c r="H500" s="28" t="s">
        <v>2446</v>
      </c>
      <c r="I500" s="28" t="s">
        <v>2446</v>
      </c>
      <c r="J500" s="28" t="s">
        <v>2446</v>
      </c>
      <c r="K500" s="62" t="str">
        <f t="shared" si="64"/>
        <v/>
      </c>
      <c r="L500" s="62" t="str">
        <f t="shared" si="65"/>
        <v/>
      </c>
      <c r="M500" s="83" t="str">
        <f t="shared" si="66"/>
        <v/>
      </c>
      <c r="N500" s="28">
        <v>31</v>
      </c>
      <c r="O500" s="28" t="str">
        <f t="shared" si="67"/>
        <v/>
      </c>
      <c r="P500" s="210" t="str">
        <f t="shared" si="68"/>
        <v/>
      </c>
      <c r="Q500" s="203">
        <v>5</v>
      </c>
      <c r="R500" s="170"/>
    </row>
    <row r="501" spans="1:18" x14ac:dyDescent="0.25">
      <c r="A501" s="28">
        <v>2020</v>
      </c>
      <c r="B501" s="28" t="s">
        <v>149</v>
      </c>
      <c r="C501" s="28" t="s">
        <v>860</v>
      </c>
      <c r="D501" s="68">
        <v>44165</v>
      </c>
      <c r="F501" s="28">
        <v>0</v>
      </c>
      <c r="H501" s="28">
        <v>0</v>
      </c>
      <c r="I501" s="28" t="s">
        <v>2446</v>
      </c>
      <c r="J501" s="28">
        <v>0.3</v>
      </c>
      <c r="K501" s="62" t="str">
        <f t="shared" si="64"/>
        <v/>
      </c>
      <c r="L501" s="62">
        <f t="shared" si="65"/>
        <v>0</v>
      </c>
      <c r="M501" s="83">
        <f t="shared" si="66"/>
        <v>0</v>
      </c>
      <c r="N501" s="28">
        <v>30</v>
      </c>
      <c r="O501" s="28" t="str">
        <f t="shared" si="67"/>
        <v/>
      </c>
      <c r="P501" s="210">
        <f t="shared" si="68"/>
        <v>0</v>
      </c>
      <c r="Q501" s="203">
        <v>5</v>
      </c>
      <c r="R501" s="170"/>
    </row>
    <row r="502" spans="1:18" x14ac:dyDescent="0.25">
      <c r="A502" s="28">
        <v>2020</v>
      </c>
      <c r="B502" s="28" t="s">
        <v>149</v>
      </c>
      <c r="C502" s="28" t="s">
        <v>860</v>
      </c>
      <c r="D502" s="68">
        <v>44196</v>
      </c>
      <c r="F502" s="28">
        <v>0</v>
      </c>
      <c r="H502" s="28">
        <v>0</v>
      </c>
      <c r="I502" s="28" t="s">
        <v>2446</v>
      </c>
      <c r="J502" s="28">
        <v>0.2</v>
      </c>
      <c r="K502" s="62" t="str">
        <f t="shared" si="64"/>
        <v/>
      </c>
      <c r="L502" s="62">
        <f t="shared" si="65"/>
        <v>0</v>
      </c>
      <c r="M502" s="83">
        <f t="shared" si="66"/>
        <v>0</v>
      </c>
      <c r="N502" s="28">
        <v>31</v>
      </c>
      <c r="O502" s="28" t="str">
        <f t="shared" ref="O502:O533" si="69">IF(AND(L502&gt;0,L502&lt;&gt;""), L502/(N502/30.4167),"")</f>
        <v/>
      </c>
      <c r="P502" s="210">
        <f t="shared" ref="P502:P533" si="70">IFERROR(L502*2.205,"")</f>
        <v>0</v>
      </c>
      <c r="Q502" s="203">
        <v>5</v>
      </c>
      <c r="R502" s="170"/>
    </row>
    <row r="503" spans="1:18" x14ac:dyDescent="0.25">
      <c r="A503" s="28">
        <v>2020</v>
      </c>
      <c r="B503" s="28" t="s">
        <v>150</v>
      </c>
      <c r="C503" s="28" t="s">
        <v>862</v>
      </c>
      <c r="F503" s="126"/>
      <c r="G503" s="126"/>
      <c r="H503" s="126"/>
      <c r="I503" s="126"/>
      <c r="J503" s="126"/>
      <c r="K503" s="62">
        <f t="shared" si="64"/>
        <v>0</v>
      </c>
      <c r="L503" s="62">
        <f t="shared" si="65"/>
        <v>0</v>
      </c>
      <c r="M503" s="83" t="str">
        <f t="shared" si="66"/>
        <v/>
      </c>
      <c r="O503" s="28" t="str">
        <f t="shared" si="69"/>
        <v/>
      </c>
      <c r="P503" s="210">
        <f t="shared" si="70"/>
        <v>0</v>
      </c>
      <c r="Q503" s="60">
        <v>1</v>
      </c>
      <c r="R503" s="170" t="s">
        <v>6767</v>
      </c>
    </row>
    <row r="504" spans="1:18" x14ac:dyDescent="0.25">
      <c r="A504" s="28">
        <v>2020</v>
      </c>
      <c r="B504" s="28" t="s">
        <v>183</v>
      </c>
      <c r="C504" s="28" t="s">
        <v>921</v>
      </c>
      <c r="E504" s="81"/>
      <c r="K504" s="62">
        <f t="shared" si="64"/>
        <v>0</v>
      </c>
      <c r="L504" s="62">
        <f t="shared" si="65"/>
        <v>0</v>
      </c>
      <c r="M504" s="83" t="str">
        <f t="shared" si="66"/>
        <v/>
      </c>
      <c r="O504" s="28" t="str">
        <f t="shared" si="69"/>
        <v/>
      </c>
      <c r="P504" s="210">
        <f t="shared" si="70"/>
        <v>0</v>
      </c>
      <c r="Q504" s="60">
        <v>2</v>
      </c>
      <c r="R504" s="170" t="s">
        <v>6767</v>
      </c>
    </row>
    <row r="505" spans="1:18" x14ac:dyDescent="0.25">
      <c r="A505" s="28">
        <v>2020</v>
      </c>
      <c r="B505" s="28" t="s">
        <v>183</v>
      </c>
      <c r="C505" s="28" t="s">
        <v>921</v>
      </c>
      <c r="D505" s="68">
        <v>43921</v>
      </c>
      <c r="E505" s="81"/>
      <c r="F505" s="28">
        <v>0</v>
      </c>
      <c r="H505" s="28">
        <v>0</v>
      </c>
      <c r="I505" s="28">
        <v>0.45</v>
      </c>
      <c r="J505" s="28">
        <v>0.45</v>
      </c>
      <c r="K505" s="62">
        <f t="shared" si="64"/>
        <v>0</v>
      </c>
      <c r="L505" s="62">
        <f t="shared" si="65"/>
        <v>0</v>
      </c>
      <c r="M505" s="83">
        <f t="shared" si="66"/>
        <v>0</v>
      </c>
      <c r="N505" s="28">
        <v>90</v>
      </c>
      <c r="O505" s="28" t="str">
        <f t="shared" si="69"/>
        <v/>
      </c>
      <c r="P505" s="210">
        <f t="shared" si="70"/>
        <v>0</v>
      </c>
      <c r="Q505" s="203">
        <v>4</v>
      </c>
      <c r="R505" s="170"/>
    </row>
    <row r="506" spans="1:18" x14ac:dyDescent="0.25">
      <c r="A506" s="28">
        <v>2020</v>
      </c>
      <c r="B506" s="28" t="s">
        <v>183</v>
      </c>
      <c r="C506" s="28" t="s">
        <v>921</v>
      </c>
      <c r="D506" s="68">
        <v>44012</v>
      </c>
      <c r="E506" s="81"/>
      <c r="F506" s="28">
        <f>5/1000</f>
        <v>5.0000000000000001E-3</v>
      </c>
      <c r="H506" s="28">
        <f>5/1000</f>
        <v>5.0000000000000001E-3</v>
      </c>
      <c r="I506" s="28">
        <v>0.5</v>
      </c>
      <c r="J506" s="28">
        <v>0.5</v>
      </c>
      <c r="K506" s="62">
        <f t="shared" si="64"/>
        <v>9.4625000000000004E-3</v>
      </c>
      <c r="L506" s="62">
        <f t="shared" si="65"/>
        <v>0.86108750000000001</v>
      </c>
      <c r="M506" s="83">
        <f t="shared" si="66"/>
        <v>9.4625000000000004E-3</v>
      </c>
      <c r="N506" s="28">
        <v>91</v>
      </c>
      <c r="O506" s="28">
        <f t="shared" si="69"/>
        <v>0.28781802374999998</v>
      </c>
      <c r="P506" s="210">
        <f t="shared" si="70"/>
        <v>1.8986979375000002</v>
      </c>
      <c r="Q506" s="203">
        <v>4</v>
      </c>
      <c r="R506" s="170"/>
    </row>
    <row r="507" spans="1:18" x14ac:dyDescent="0.25">
      <c r="A507" s="28">
        <v>2020</v>
      </c>
      <c r="B507" s="28" t="s">
        <v>183</v>
      </c>
      <c r="C507" s="28" t="s">
        <v>921</v>
      </c>
      <c r="D507" s="68">
        <v>44104</v>
      </c>
      <c r="E507" s="81"/>
      <c r="F507" s="28">
        <v>0</v>
      </c>
      <c r="H507" s="28">
        <v>0</v>
      </c>
      <c r="I507" s="28">
        <v>0.2</v>
      </c>
      <c r="J507" s="28">
        <v>0.2</v>
      </c>
      <c r="K507" s="62">
        <f t="shared" si="64"/>
        <v>0</v>
      </c>
      <c r="L507" s="62">
        <f t="shared" si="65"/>
        <v>0</v>
      </c>
      <c r="M507" s="83">
        <f t="shared" si="66"/>
        <v>0</v>
      </c>
      <c r="N507" s="28">
        <v>92</v>
      </c>
      <c r="O507" s="28" t="str">
        <f t="shared" si="69"/>
        <v/>
      </c>
      <c r="P507" s="210">
        <f t="shared" si="70"/>
        <v>0</v>
      </c>
      <c r="Q507" s="203">
        <v>4</v>
      </c>
      <c r="R507" s="170"/>
    </row>
    <row r="508" spans="1:18" x14ac:dyDescent="0.25">
      <c r="A508" s="28">
        <v>2020</v>
      </c>
      <c r="B508" s="28" t="s">
        <v>183</v>
      </c>
      <c r="C508" s="28" t="s">
        <v>921</v>
      </c>
      <c r="D508" s="68">
        <v>44196</v>
      </c>
      <c r="F508" s="28">
        <f>5/1000</f>
        <v>5.0000000000000001E-3</v>
      </c>
      <c r="H508" s="28">
        <f>5/1000</f>
        <v>5.0000000000000001E-3</v>
      </c>
      <c r="I508" s="28">
        <v>3.52</v>
      </c>
      <c r="J508" s="28">
        <v>3.52</v>
      </c>
      <c r="K508" s="62">
        <f t="shared" si="64"/>
        <v>6.6616000000000009E-2</v>
      </c>
      <c r="L508" s="62">
        <f t="shared" si="65"/>
        <v>6.1286720000000008</v>
      </c>
      <c r="M508" s="83">
        <f t="shared" si="66"/>
        <v>6.6616000000000009E-2</v>
      </c>
      <c r="N508" s="28">
        <v>92</v>
      </c>
      <c r="O508" s="28">
        <f t="shared" si="69"/>
        <v>2.0262388872000003</v>
      </c>
      <c r="P508" s="210">
        <f t="shared" si="70"/>
        <v>13.513721760000003</v>
      </c>
      <c r="Q508" s="203">
        <v>4</v>
      </c>
      <c r="R508" s="170"/>
    </row>
    <row r="509" spans="1:18" x14ac:dyDescent="0.25">
      <c r="A509" s="28">
        <v>2020</v>
      </c>
      <c r="B509" s="28" t="s">
        <v>183</v>
      </c>
      <c r="C509" s="28" t="s">
        <v>921</v>
      </c>
      <c r="D509" s="68">
        <v>43861</v>
      </c>
      <c r="F509" s="28">
        <v>0</v>
      </c>
      <c r="H509" s="28">
        <v>0</v>
      </c>
      <c r="I509" s="28">
        <v>0.03</v>
      </c>
      <c r="J509" s="28">
        <v>0.02</v>
      </c>
      <c r="K509" s="62">
        <f t="shared" si="64"/>
        <v>0</v>
      </c>
      <c r="L509" s="62">
        <f t="shared" si="65"/>
        <v>0</v>
      </c>
      <c r="M509" s="83">
        <f t="shared" si="66"/>
        <v>0</v>
      </c>
      <c r="N509" s="28">
        <v>31</v>
      </c>
      <c r="O509" s="28" t="str">
        <f t="shared" si="69"/>
        <v/>
      </c>
      <c r="P509" s="210">
        <f t="shared" si="70"/>
        <v>0</v>
      </c>
      <c r="Q509" s="203">
        <v>5</v>
      </c>
      <c r="R509" s="170" t="s">
        <v>2457</v>
      </c>
    </row>
    <row r="510" spans="1:18" x14ac:dyDescent="0.25">
      <c r="A510" s="28">
        <v>2020</v>
      </c>
      <c r="B510" s="28" t="s">
        <v>183</v>
      </c>
      <c r="C510" s="28" t="s">
        <v>921</v>
      </c>
      <c r="D510" s="68">
        <v>43890</v>
      </c>
      <c r="F510" s="28">
        <v>0</v>
      </c>
      <c r="H510" s="28">
        <v>0</v>
      </c>
      <c r="I510" s="28">
        <v>2.5000000000000001E-2</v>
      </c>
      <c r="J510" s="28">
        <v>2.3E-2</v>
      </c>
      <c r="K510" s="62">
        <f t="shared" si="64"/>
        <v>0</v>
      </c>
      <c r="L510" s="62">
        <f t="shared" si="65"/>
        <v>0</v>
      </c>
      <c r="M510" s="83">
        <f t="shared" si="66"/>
        <v>0</v>
      </c>
      <c r="N510" s="28">
        <v>28</v>
      </c>
      <c r="O510" s="28" t="str">
        <f t="shared" si="69"/>
        <v/>
      </c>
      <c r="P510" s="210">
        <f t="shared" si="70"/>
        <v>0</v>
      </c>
      <c r="Q510" s="203">
        <v>5</v>
      </c>
      <c r="R510" s="170"/>
    </row>
    <row r="511" spans="1:18" x14ac:dyDescent="0.25">
      <c r="A511" s="28">
        <v>2020</v>
      </c>
      <c r="B511" s="28" t="s">
        <v>183</v>
      </c>
      <c r="C511" s="28" t="s">
        <v>921</v>
      </c>
      <c r="D511" s="68">
        <v>43921</v>
      </c>
      <c r="F511" s="28">
        <v>0</v>
      </c>
      <c r="H511" s="28">
        <v>0</v>
      </c>
      <c r="I511" s="28">
        <v>2.4E-2</v>
      </c>
      <c r="J511" s="28">
        <v>2.3E-2</v>
      </c>
      <c r="K511" s="62">
        <f t="shared" si="64"/>
        <v>0</v>
      </c>
      <c r="L511" s="62">
        <f t="shared" si="65"/>
        <v>0</v>
      </c>
      <c r="M511" s="83">
        <f t="shared" si="66"/>
        <v>0</v>
      </c>
      <c r="N511" s="28">
        <v>31</v>
      </c>
      <c r="O511" s="28" t="str">
        <f t="shared" si="69"/>
        <v/>
      </c>
      <c r="P511" s="210">
        <f t="shared" si="70"/>
        <v>0</v>
      </c>
      <c r="Q511" s="203">
        <v>5</v>
      </c>
      <c r="R511" s="170"/>
    </row>
    <row r="512" spans="1:18" x14ac:dyDescent="0.25">
      <c r="A512" s="28">
        <v>2020</v>
      </c>
      <c r="B512" s="28" t="s">
        <v>183</v>
      </c>
      <c r="C512" s="28" t="s">
        <v>921</v>
      </c>
      <c r="D512" s="68">
        <v>43951</v>
      </c>
      <c r="F512" s="28">
        <v>0</v>
      </c>
      <c r="H512" s="28">
        <v>0</v>
      </c>
      <c r="I512" s="28">
        <v>2.5000000000000001E-2</v>
      </c>
      <c r="J512" s="28">
        <v>2.3E-2</v>
      </c>
      <c r="K512" s="62">
        <f t="shared" si="64"/>
        <v>0</v>
      </c>
      <c r="L512" s="62">
        <f t="shared" si="65"/>
        <v>0</v>
      </c>
      <c r="M512" s="83">
        <f t="shared" si="66"/>
        <v>0</v>
      </c>
      <c r="N512" s="28">
        <v>30</v>
      </c>
      <c r="O512" s="28" t="str">
        <f t="shared" si="69"/>
        <v/>
      </c>
      <c r="P512" s="210">
        <f t="shared" si="70"/>
        <v>0</v>
      </c>
      <c r="Q512" s="203">
        <v>5</v>
      </c>
      <c r="R512" s="170"/>
    </row>
    <row r="513" spans="1:18" x14ac:dyDescent="0.25">
      <c r="A513" s="28">
        <v>2020</v>
      </c>
      <c r="B513" s="28" t="s">
        <v>183</v>
      </c>
      <c r="C513" s="28" t="s">
        <v>921</v>
      </c>
      <c r="D513" s="68">
        <v>43982</v>
      </c>
      <c r="F513" s="28">
        <v>0</v>
      </c>
      <c r="H513" s="28">
        <v>0</v>
      </c>
      <c r="I513" s="28">
        <v>2.7E-2</v>
      </c>
      <c r="J513" s="28">
        <v>2.4E-2</v>
      </c>
      <c r="K513" s="62">
        <f t="shared" si="64"/>
        <v>0</v>
      </c>
      <c r="L513" s="62">
        <f t="shared" si="65"/>
        <v>0</v>
      </c>
      <c r="M513" s="83">
        <f t="shared" si="66"/>
        <v>0</v>
      </c>
      <c r="N513" s="28">
        <v>31</v>
      </c>
      <c r="O513" s="28" t="str">
        <f t="shared" si="69"/>
        <v/>
      </c>
      <c r="P513" s="210">
        <f t="shared" si="70"/>
        <v>0</v>
      </c>
      <c r="Q513" s="203">
        <v>5</v>
      </c>
      <c r="R513" s="170"/>
    </row>
    <row r="514" spans="1:18" x14ac:dyDescent="0.25">
      <c r="A514" s="28">
        <v>2020</v>
      </c>
      <c r="B514" s="28" t="s">
        <v>183</v>
      </c>
      <c r="C514" s="28" t="s">
        <v>921</v>
      </c>
      <c r="D514" s="68">
        <v>44012</v>
      </c>
      <c r="F514" s="28">
        <v>0</v>
      </c>
      <c r="H514" s="28">
        <v>0</v>
      </c>
      <c r="I514" s="28">
        <v>2.5999999999999999E-2</v>
      </c>
      <c r="J514" s="28">
        <v>1.7000000000000001E-2</v>
      </c>
      <c r="K514" s="62">
        <f t="shared" si="64"/>
        <v>0</v>
      </c>
      <c r="L514" s="62">
        <f t="shared" si="65"/>
        <v>0</v>
      </c>
      <c r="M514" s="83">
        <f t="shared" si="66"/>
        <v>0</v>
      </c>
      <c r="N514" s="28">
        <v>30</v>
      </c>
      <c r="O514" s="28" t="str">
        <f t="shared" si="69"/>
        <v/>
      </c>
      <c r="P514" s="210">
        <f t="shared" si="70"/>
        <v>0</v>
      </c>
      <c r="Q514" s="203">
        <v>5</v>
      </c>
      <c r="R514" s="170"/>
    </row>
    <row r="515" spans="1:18" x14ac:dyDescent="0.25">
      <c r="A515" s="28">
        <v>2020</v>
      </c>
      <c r="B515" s="28" t="s">
        <v>183</v>
      </c>
      <c r="C515" s="28" t="s">
        <v>921</v>
      </c>
      <c r="D515" s="68">
        <v>44043</v>
      </c>
      <c r="F515" s="28">
        <v>0</v>
      </c>
      <c r="H515" s="28">
        <v>0</v>
      </c>
      <c r="I515" s="28">
        <v>2.4E-2</v>
      </c>
      <c r="J515" s="28">
        <v>1.4999999999999999E-2</v>
      </c>
      <c r="K515" s="62">
        <f t="shared" si="64"/>
        <v>0</v>
      </c>
      <c r="L515" s="62">
        <f t="shared" si="65"/>
        <v>0</v>
      </c>
      <c r="M515" s="83">
        <f t="shared" si="66"/>
        <v>0</v>
      </c>
      <c r="N515" s="28">
        <v>31</v>
      </c>
      <c r="O515" s="28" t="str">
        <f t="shared" si="69"/>
        <v/>
      </c>
      <c r="P515" s="210">
        <f t="shared" si="70"/>
        <v>0</v>
      </c>
      <c r="Q515" s="203">
        <v>5</v>
      </c>
      <c r="R515" s="170"/>
    </row>
    <row r="516" spans="1:18" x14ac:dyDescent="0.25">
      <c r="A516" s="28">
        <v>2020</v>
      </c>
      <c r="B516" s="28" t="s">
        <v>183</v>
      </c>
      <c r="C516" s="126" t="s">
        <v>921</v>
      </c>
      <c r="D516" s="190">
        <v>44074</v>
      </c>
      <c r="E516" s="126"/>
      <c r="F516" s="126">
        <v>0</v>
      </c>
      <c r="G516" s="126"/>
      <c r="H516" s="126">
        <v>0</v>
      </c>
      <c r="I516" s="126">
        <v>2.5000000000000001E-2</v>
      </c>
      <c r="J516" s="126">
        <v>2.3E-2</v>
      </c>
      <c r="K516" s="62">
        <f t="shared" si="64"/>
        <v>0</v>
      </c>
      <c r="L516" s="62">
        <f t="shared" si="65"/>
        <v>0</v>
      </c>
      <c r="M516" s="83">
        <f t="shared" si="66"/>
        <v>0</v>
      </c>
      <c r="N516" s="28">
        <v>31</v>
      </c>
      <c r="O516" s="28" t="str">
        <f t="shared" si="69"/>
        <v/>
      </c>
      <c r="P516" s="210">
        <f t="shared" si="70"/>
        <v>0</v>
      </c>
      <c r="Q516" s="203">
        <v>5</v>
      </c>
      <c r="R516" s="170"/>
    </row>
    <row r="517" spans="1:18" x14ac:dyDescent="0.25">
      <c r="A517" s="28">
        <v>2020</v>
      </c>
      <c r="B517" s="81" t="s">
        <v>183</v>
      </c>
      <c r="C517" s="28" t="s">
        <v>921</v>
      </c>
      <c r="D517" s="68">
        <v>44104</v>
      </c>
      <c r="F517" s="28" t="s">
        <v>2446</v>
      </c>
      <c r="H517" s="28" t="s">
        <v>2446</v>
      </c>
      <c r="I517" s="28" t="s">
        <v>2446</v>
      </c>
      <c r="J517" s="28" t="s">
        <v>2446</v>
      </c>
      <c r="K517" s="62" t="str">
        <f t="shared" ref="K517:K540" si="71">IFERROR(+F517*I517*3.785,"")</f>
        <v/>
      </c>
      <c r="L517" s="62" t="str">
        <f t="shared" ref="L517:L540" si="72">IFERROR(H517*J517*3.785*N517,"")</f>
        <v/>
      </c>
      <c r="M517" s="83" t="str">
        <f t="shared" ref="M517:M540" si="73">IFERROR(+L517/N517,"")</f>
        <v/>
      </c>
      <c r="N517" s="28">
        <v>30</v>
      </c>
      <c r="O517" s="28" t="str">
        <f t="shared" si="69"/>
        <v/>
      </c>
      <c r="P517" s="210" t="str">
        <f t="shared" si="70"/>
        <v/>
      </c>
      <c r="Q517" s="203">
        <v>5</v>
      </c>
      <c r="R517" s="170"/>
    </row>
    <row r="518" spans="1:18" x14ac:dyDescent="0.25">
      <c r="A518" s="28">
        <v>2020</v>
      </c>
      <c r="B518" s="81" t="s">
        <v>183</v>
      </c>
      <c r="C518" s="28" t="s">
        <v>921</v>
      </c>
      <c r="D518" s="68">
        <v>44135</v>
      </c>
      <c r="F518" s="28" t="s">
        <v>2446</v>
      </c>
      <c r="H518" s="28" t="s">
        <v>2446</v>
      </c>
      <c r="I518" s="28" t="s">
        <v>2446</v>
      </c>
      <c r="J518" s="28" t="s">
        <v>2446</v>
      </c>
      <c r="K518" s="62" t="str">
        <f t="shared" si="71"/>
        <v/>
      </c>
      <c r="L518" s="62" t="str">
        <f t="shared" si="72"/>
        <v/>
      </c>
      <c r="M518" s="83" t="str">
        <f t="shared" si="73"/>
        <v/>
      </c>
      <c r="N518" s="28">
        <v>31</v>
      </c>
      <c r="O518" s="28" t="str">
        <f t="shared" si="69"/>
        <v/>
      </c>
      <c r="P518" s="210" t="str">
        <f t="shared" si="70"/>
        <v/>
      </c>
      <c r="Q518" s="203">
        <v>5</v>
      </c>
      <c r="R518" s="170"/>
    </row>
    <row r="519" spans="1:18" x14ac:dyDescent="0.25">
      <c r="A519" s="28">
        <v>2020</v>
      </c>
      <c r="B519" s="81" t="s">
        <v>183</v>
      </c>
      <c r="C519" s="28" t="s">
        <v>921</v>
      </c>
      <c r="D519" s="68">
        <v>44165</v>
      </c>
      <c r="F519" s="28">
        <v>0</v>
      </c>
      <c r="H519" s="28">
        <v>0</v>
      </c>
      <c r="I519" s="28">
        <v>0.4</v>
      </c>
      <c r="J519" s="28">
        <v>0.23</v>
      </c>
      <c r="K519" s="62">
        <f t="shared" si="71"/>
        <v>0</v>
      </c>
      <c r="L519" s="62">
        <f t="shared" si="72"/>
        <v>0</v>
      </c>
      <c r="M519" s="83">
        <f t="shared" si="73"/>
        <v>0</v>
      </c>
      <c r="N519" s="28">
        <v>30</v>
      </c>
      <c r="O519" s="28" t="str">
        <f t="shared" si="69"/>
        <v/>
      </c>
      <c r="P519" s="210">
        <f t="shared" si="70"/>
        <v>0</v>
      </c>
      <c r="Q519" s="203">
        <v>5</v>
      </c>
      <c r="R519" s="170"/>
    </row>
    <row r="520" spans="1:18" x14ac:dyDescent="0.25">
      <c r="A520" s="28">
        <v>2020</v>
      </c>
      <c r="B520" s="81" t="s">
        <v>183</v>
      </c>
      <c r="C520" s="28" t="s">
        <v>921</v>
      </c>
      <c r="D520" s="68">
        <v>44196</v>
      </c>
      <c r="F520" s="28">
        <v>0</v>
      </c>
      <c r="H520" s="28">
        <v>0</v>
      </c>
      <c r="I520" s="28">
        <v>0.04</v>
      </c>
      <c r="J520" s="28">
        <v>0.03</v>
      </c>
      <c r="K520" s="62">
        <f t="shared" si="71"/>
        <v>0</v>
      </c>
      <c r="L520" s="62">
        <f t="shared" si="72"/>
        <v>0</v>
      </c>
      <c r="M520" s="83">
        <f t="shared" si="73"/>
        <v>0</v>
      </c>
      <c r="N520" s="28">
        <v>31</v>
      </c>
      <c r="O520" s="28" t="str">
        <f t="shared" si="69"/>
        <v/>
      </c>
      <c r="P520" s="210">
        <f t="shared" si="70"/>
        <v>0</v>
      </c>
      <c r="Q520" s="203">
        <v>5</v>
      </c>
      <c r="R520" s="170"/>
    </row>
    <row r="521" spans="1:18" x14ac:dyDescent="0.25">
      <c r="A521" s="28">
        <v>2020</v>
      </c>
      <c r="B521" s="81" t="s">
        <v>183</v>
      </c>
      <c r="C521" s="28" t="s">
        <v>921</v>
      </c>
      <c r="D521" s="68">
        <v>43921</v>
      </c>
      <c r="F521" s="28" t="s">
        <v>2446</v>
      </c>
      <c r="H521" s="28" t="s">
        <v>2446</v>
      </c>
      <c r="I521" s="28" t="s">
        <v>2446</v>
      </c>
      <c r="J521" s="28" t="s">
        <v>2446</v>
      </c>
      <c r="K521" s="62" t="str">
        <f t="shared" si="71"/>
        <v/>
      </c>
      <c r="L521" s="62" t="str">
        <f t="shared" si="72"/>
        <v/>
      </c>
      <c r="M521" s="83" t="str">
        <f t="shared" si="73"/>
        <v/>
      </c>
      <c r="N521" s="28">
        <v>90</v>
      </c>
      <c r="O521" s="28" t="str">
        <f t="shared" si="69"/>
        <v/>
      </c>
      <c r="P521" s="210" t="str">
        <f t="shared" si="70"/>
        <v/>
      </c>
      <c r="Q521" s="203">
        <v>9</v>
      </c>
      <c r="R521" s="170"/>
    </row>
    <row r="522" spans="1:18" x14ac:dyDescent="0.25">
      <c r="A522" s="28">
        <v>2020</v>
      </c>
      <c r="B522" s="81" t="s">
        <v>183</v>
      </c>
      <c r="C522" s="28" t="s">
        <v>921</v>
      </c>
      <c r="D522" s="190">
        <v>44012</v>
      </c>
      <c r="E522" s="126"/>
      <c r="F522" s="126" t="s">
        <v>2446</v>
      </c>
      <c r="G522" s="126"/>
      <c r="H522" s="126" t="s">
        <v>2446</v>
      </c>
      <c r="I522" s="126" t="s">
        <v>2446</v>
      </c>
      <c r="J522" s="126" t="s">
        <v>2446</v>
      </c>
      <c r="K522" s="62" t="str">
        <f t="shared" si="71"/>
        <v/>
      </c>
      <c r="L522" s="62" t="str">
        <f t="shared" si="72"/>
        <v/>
      </c>
      <c r="M522" s="83" t="str">
        <f t="shared" si="73"/>
        <v/>
      </c>
      <c r="N522" s="28">
        <v>91</v>
      </c>
      <c r="O522" s="28" t="str">
        <f t="shared" si="69"/>
        <v/>
      </c>
      <c r="P522" s="210" t="str">
        <f t="shared" si="70"/>
        <v/>
      </c>
      <c r="Q522" s="203">
        <v>9</v>
      </c>
      <c r="R522" s="170"/>
    </row>
    <row r="523" spans="1:18" x14ac:dyDescent="0.25">
      <c r="A523" s="28">
        <v>2020</v>
      </c>
      <c r="B523" s="81" t="s">
        <v>183</v>
      </c>
      <c r="C523" s="81" t="s">
        <v>921</v>
      </c>
      <c r="D523" s="68">
        <v>44104</v>
      </c>
      <c r="F523" s="28" t="s">
        <v>2446</v>
      </c>
      <c r="H523" s="28" t="s">
        <v>2446</v>
      </c>
      <c r="I523" s="28" t="s">
        <v>2446</v>
      </c>
      <c r="J523" s="28" t="s">
        <v>2446</v>
      </c>
      <c r="K523" s="62" t="str">
        <f t="shared" si="71"/>
        <v/>
      </c>
      <c r="L523" s="62" t="str">
        <f t="shared" si="72"/>
        <v/>
      </c>
      <c r="M523" s="83" t="str">
        <f t="shared" si="73"/>
        <v/>
      </c>
      <c r="N523" s="28">
        <v>92</v>
      </c>
      <c r="O523" s="28" t="str">
        <f t="shared" si="69"/>
        <v/>
      </c>
      <c r="P523" s="210" t="str">
        <f t="shared" si="70"/>
        <v/>
      </c>
      <c r="Q523" s="203">
        <v>9</v>
      </c>
      <c r="R523" s="170"/>
    </row>
    <row r="524" spans="1:18" x14ac:dyDescent="0.25">
      <c r="A524" s="28">
        <v>2020</v>
      </c>
      <c r="B524" s="81" t="s">
        <v>183</v>
      </c>
      <c r="C524" s="81" t="s">
        <v>921</v>
      </c>
      <c r="D524" s="68">
        <v>44196</v>
      </c>
      <c r="F524" s="28" t="s">
        <v>2446</v>
      </c>
      <c r="H524" s="28" t="s">
        <v>2446</v>
      </c>
      <c r="I524" s="28" t="s">
        <v>2446</v>
      </c>
      <c r="J524" s="28" t="s">
        <v>2446</v>
      </c>
      <c r="K524" s="62" t="str">
        <f t="shared" si="71"/>
        <v/>
      </c>
      <c r="L524" s="62" t="str">
        <f t="shared" si="72"/>
        <v/>
      </c>
      <c r="M524" s="83" t="str">
        <f t="shared" si="73"/>
        <v/>
      </c>
      <c r="N524" s="28">
        <v>92</v>
      </c>
      <c r="O524" s="28" t="str">
        <f t="shared" si="69"/>
        <v/>
      </c>
      <c r="P524" s="210" t="str">
        <f t="shared" si="70"/>
        <v/>
      </c>
      <c r="Q524" s="203">
        <v>9</v>
      </c>
      <c r="R524" s="170"/>
    </row>
    <row r="525" spans="1:18" x14ac:dyDescent="0.25">
      <c r="A525" s="28">
        <v>2020</v>
      </c>
      <c r="B525" s="81" t="s">
        <v>183</v>
      </c>
      <c r="C525" s="81" t="s">
        <v>921</v>
      </c>
      <c r="D525" s="68">
        <v>43921</v>
      </c>
      <c r="F525" s="28" t="s">
        <v>2446</v>
      </c>
      <c r="H525" s="28" t="s">
        <v>2446</v>
      </c>
      <c r="I525" s="28" t="s">
        <v>2446</v>
      </c>
      <c r="J525" s="28" t="s">
        <v>2446</v>
      </c>
      <c r="K525" s="62" t="str">
        <f t="shared" si="71"/>
        <v/>
      </c>
      <c r="L525" s="62" t="str">
        <f t="shared" si="72"/>
        <v/>
      </c>
      <c r="M525" s="83" t="str">
        <f t="shared" si="73"/>
        <v/>
      </c>
      <c r="N525" s="28">
        <v>90</v>
      </c>
      <c r="O525" s="28" t="str">
        <f t="shared" si="69"/>
        <v/>
      </c>
      <c r="P525" s="210" t="str">
        <f t="shared" si="70"/>
        <v/>
      </c>
      <c r="Q525" s="203">
        <v>10</v>
      </c>
      <c r="R525" s="170"/>
    </row>
    <row r="526" spans="1:18" x14ac:dyDescent="0.25">
      <c r="A526" s="28">
        <v>2020</v>
      </c>
      <c r="B526" s="81" t="s">
        <v>183</v>
      </c>
      <c r="C526" s="81" t="s">
        <v>921</v>
      </c>
      <c r="D526" s="68">
        <v>44012</v>
      </c>
      <c r="F526" s="28" t="s">
        <v>2446</v>
      </c>
      <c r="H526" s="28" t="s">
        <v>2446</v>
      </c>
      <c r="I526" s="28" t="s">
        <v>2446</v>
      </c>
      <c r="J526" s="28" t="s">
        <v>2446</v>
      </c>
      <c r="K526" s="62" t="str">
        <f t="shared" si="71"/>
        <v/>
      </c>
      <c r="L526" s="62" t="str">
        <f t="shared" si="72"/>
        <v/>
      </c>
      <c r="M526" s="83" t="str">
        <f t="shared" si="73"/>
        <v/>
      </c>
      <c r="N526" s="28">
        <v>91</v>
      </c>
      <c r="O526" s="28" t="str">
        <f t="shared" si="69"/>
        <v/>
      </c>
      <c r="P526" s="210" t="str">
        <f t="shared" si="70"/>
        <v/>
      </c>
      <c r="Q526" s="203">
        <v>10</v>
      </c>
      <c r="R526" s="170"/>
    </row>
    <row r="527" spans="1:18" x14ac:dyDescent="0.25">
      <c r="A527" s="28">
        <v>2020</v>
      </c>
      <c r="B527" s="81" t="s">
        <v>183</v>
      </c>
      <c r="C527" s="81" t="s">
        <v>921</v>
      </c>
      <c r="D527" s="68">
        <v>44104</v>
      </c>
      <c r="F527" s="28" t="s">
        <v>2446</v>
      </c>
      <c r="H527" s="28" t="s">
        <v>2446</v>
      </c>
      <c r="I527" s="28" t="s">
        <v>2446</v>
      </c>
      <c r="J527" s="28" t="s">
        <v>2446</v>
      </c>
      <c r="K527" s="62" t="str">
        <f t="shared" si="71"/>
        <v/>
      </c>
      <c r="L527" s="62" t="str">
        <f t="shared" si="72"/>
        <v/>
      </c>
      <c r="M527" s="83" t="str">
        <f t="shared" si="73"/>
        <v/>
      </c>
      <c r="N527" s="28">
        <v>92</v>
      </c>
      <c r="O527" s="28" t="str">
        <f t="shared" si="69"/>
        <v/>
      </c>
      <c r="P527" s="210" t="str">
        <f t="shared" si="70"/>
        <v/>
      </c>
      <c r="Q527" s="203">
        <v>10</v>
      </c>
      <c r="R527" s="170"/>
    </row>
    <row r="528" spans="1:18" x14ac:dyDescent="0.25">
      <c r="A528" s="28">
        <v>2020</v>
      </c>
      <c r="B528" s="81" t="s">
        <v>183</v>
      </c>
      <c r="C528" s="81" t="s">
        <v>921</v>
      </c>
      <c r="D528" s="68">
        <v>44196</v>
      </c>
      <c r="F528" s="28" t="s">
        <v>2446</v>
      </c>
      <c r="H528" s="28" t="s">
        <v>2446</v>
      </c>
      <c r="I528" s="28" t="s">
        <v>2446</v>
      </c>
      <c r="J528" s="28" t="s">
        <v>2446</v>
      </c>
      <c r="K528" s="62" t="str">
        <f t="shared" si="71"/>
        <v/>
      </c>
      <c r="L528" s="62" t="str">
        <f t="shared" si="72"/>
        <v/>
      </c>
      <c r="M528" s="83" t="str">
        <f t="shared" si="73"/>
        <v/>
      </c>
      <c r="N528" s="28">
        <v>92</v>
      </c>
      <c r="O528" s="28" t="str">
        <f t="shared" si="69"/>
        <v/>
      </c>
      <c r="P528" s="210" t="str">
        <f t="shared" si="70"/>
        <v/>
      </c>
      <c r="Q528" s="203">
        <v>10</v>
      </c>
      <c r="R528" s="170"/>
    </row>
    <row r="529" spans="1:18" x14ac:dyDescent="0.25">
      <c r="A529" s="28">
        <v>2020</v>
      </c>
      <c r="B529" s="81" t="s">
        <v>183</v>
      </c>
      <c r="C529" s="81" t="s">
        <v>921</v>
      </c>
      <c r="D529" s="190">
        <v>43861</v>
      </c>
      <c r="E529" s="126"/>
      <c r="F529" t="s">
        <v>2446</v>
      </c>
      <c r="G529" s="126"/>
      <c r="H529" t="s">
        <v>2446</v>
      </c>
      <c r="I529" t="s">
        <v>2446</v>
      </c>
      <c r="J529" t="s">
        <v>2446</v>
      </c>
      <c r="K529" s="62" t="str">
        <f t="shared" si="71"/>
        <v/>
      </c>
      <c r="L529" s="62" t="str">
        <f t="shared" si="72"/>
        <v/>
      </c>
      <c r="M529" s="83" t="str">
        <f t="shared" si="73"/>
        <v/>
      </c>
      <c r="N529" s="28">
        <v>31</v>
      </c>
      <c r="O529" s="28" t="str">
        <f t="shared" si="69"/>
        <v/>
      </c>
      <c r="P529" s="210" t="str">
        <f t="shared" si="70"/>
        <v/>
      </c>
      <c r="Q529" s="203">
        <v>60</v>
      </c>
      <c r="R529" s="170"/>
    </row>
    <row r="530" spans="1:18" x14ac:dyDescent="0.25">
      <c r="A530" s="28">
        <v>2020</v>
      </c>
      <c r="B530" s="81" t="s">
        <v>183</v>
      </c>
      <c r="C530" s="81" t="s">
        <v>921</v>
      </c>
      <c r="D530" s="68">
        <v>43890</v>
      </c>
      <c r="F530" s="28" t="s">
        <v>2446</v>
      </c>
      <c r="H530" s="28" t="s">
        <v>2446</v>
      </c>
      <c r="I530" s="28" t="s">
        <v>2446</v>
      </c>
      <c r="J530" s="28" t="s">
        <v>2446</v>
      </c>
      <c r="K530" s="62" t="str">
        <f t="shared" si="71"/>
        <v/>
      </c>
      <c r="L530" s="62" t="str">
        <f t="shared" si="72"/>
        <v/>
      </c>
      <c r="M530" s="83" t="str">
        <f t="shared" si="73"/>
        <v/>
      </c>
      <c r="N530" s="28">
        <v>28</v>
      </c>
      <c r="O530" s="28" t="str">
        <f t="shared" si="69"/>
        <v/>
      </c>
      <c r="P530" s="210" t="str">
        <f t="shared" si="70"/>
        <v/>
      </c>
      <c r="Q530" s="203">
        <v>60</v>
      </c>
      <c r="R530" s="170"/>
    </row>
    <row r="531" spans="1:18" x14ac:dyDescent="0.25">
      <c r="A531" s="28">
        <v>2020</v>
      </c>
      <c r="B531" s="28" t="s">
        <v>183</v>
      </c>
      <c r="C531" s="160" t="s">
        <v>921</v>
      </c>
      <c r="D531" s="68">
        <v>43921</v>
      </c>
      <c r="F531" s="28" t="s">
        <v>2446</v>
      </c>
      <c r="H531" s="28" t="s">
        <v>2446</v>
      </c>
      <c r="I531" s="28" t="s">
        <v>2446</v>
      </c>
      <c r="J531" s="28" t="s">
        <v>2446</v>
      </c>
      <c r="K531" s="62" t="str">
        <f t="shared" si="71"/>
        <v/>
      </c>
      <c r="L531" s="62" t="str">
        <f t="shared" si="72"/>
        <v/>
      </c>
      <c r="M531" s="83" t="str">
        <f t="shared" si="73"/>
        <v/>
      </c>
      <c r="N531" s="28">
        <v>31</v>
      </c>
      <c r="O531" s="28" t="str">
        <f t="shared" si="69"/>
        <v/>
      </c>
      <c r="P531" s="210" t="str">
        <f t="shared" si="70"/>
        <v/>
      </c>
      <c r="Q531" s="203">
        <v>60</v>
      </c>
      <c r="R531" s="170"/>
    </row>
    <row r="532" spans="1:18" x14ac:dyDescent="0.25">
      <c r="A532" s="28">
        <v>2020</v>
      </c>
      <c r="B532" s="28" t="s">
        <v>183</v>
      </c>
      <c r="C532" s="81" t="s">
        <v>921</v>
      </c>
      <c r="D532" s="68">
        <v>43951</v>
      </c>
      <c r="F532" s="28" t="s">
        <v>2446</v>
      </c>
      <c r="H532" s="28" t="s">
        <v>2446</v>
      </c>
      <c r="I532" s="28" t="s">
        <v>2446</v>
      </c>
      <c r="J532" s="28" t="s">
        <v>2446</v>
      </c>
      <c r="K532" s="62" t="str">
        <f t="shared" si="71"/>
        <v/>
      </c>
      <c r="L532" s="62" t="str">
        <f t="shared" si="72"/>
        <v/>
      </c>
      <c r="M532" s="83" t="str">
        <f t="shared" si="73"/>
        <v/>
      </c>
      <c r="N532" s="28">
        <v>30</v>
      </c>
      <c r="O532" s="28" t="str">
        <f t="shared" si="69"/>
        <v/>
      </c>
      <c r="P532" s="210" t="str">
        <f t="shared" si="70"/>
        <v/>
      </c>
      <c r="Q532" s="203">
        <v>60</v>
      </c>
      <c r="R532" s="170"/>
    </row>
    <row r="533" spans="1:18" x14ac:dyDescent="0.25">
      <c r="A533" s="28">
        <v>2020</v>
      </c>
      <c r="B533" s="28" t="s">
        <v>183</v>
      </c>
      <c r="C533" s="81" t="s">
        <v>921</v>
      </c>
      <c r="D533" s="68">
        <v>43982</v>
      </c>
      <c r="F533" s="28" t="s">
        <v>2446</v>
      </c>
      <c r="H533" s="28" t="s">
        <v>2446</v>
      </c>
      <c r="I533" s="28" t="s">
        <v>2446</v>
      </c>
      <c r="J533" s="28" t="s">
        <v>2446</v>
      </c>
      <c r="K533" s="62" t="str">
        <f t="shared" si="71"/>
        <v/>
      </c>
      <c r="L533" s="62" t="str">
        <f t="shared" si="72"/>
        <v/>
      </c>
      <c r="M533" s="83" t="str">
        <f t="shared" si="73"/>
        <v/>
      </c>
      <c r="N533" s="28">
        <v>31</v>
      </c>
      <c r="O533" s="28" t="str">
        <f t="shared" si="69"/>
        <v/>
      </c>
      <c r="P533" s="210" t="str">
        <f t="shared" si="70"/>
        <v/>
      </c>
      <c r="Q533" s="203">
        <v>60</v>
      </c>
      <c r="R533" s="170"/>
    </row>
    <row r="534" spans="1:18" x14ac:dyDescent="0.25">
      <c r="A534" s="28">
        <v>2020</v>
      </c>
      <c r="B534" s="28" t="s">
        <v>183</v>
      </c>
      <c r="C534" s="81" t="s">
        <v>921</v>
      </c>
      <c r="D534" s="68">
        <v>44012</v>
      </c>
      <c r="F534" s="28" t="s">
        <v>2446</v>
      </c>
      <c r="H534" s="28" t="s">
        <v>2446</v>
      </c>
      <c r="I534" s="28" t="s">
        <v>2446</v>
      </c>
      <c r="J534" s="28" t="s">
        <v>2446</v>
      </c>
      <c r="K534" s="62" t="str">
        <f t="shared" si="71"/>
        <v/>
      </c>
      <c r="L534" s="62" t="str">
        <f t="shared" si="72"/>
        <v/>
      </c>
      <c r="M534" s="83" t="str">
        <f t="shared" si="73"/>
        <v/>
      </c>
      <c r="N534" s="28">
        <v>30</v>
      </c>
      <c r="O534" s="28" t="str">
        <f t="shared" ref="O534:O540" si="74">IF(AND(L534&gt;0,L534&lt;&gt;""), L534/(N534/30.4167),"")</f>
        <v/>
      </c>
      <c r="P534" s="210" t="str">
        <f t="shared" ref="P534:P540" si="75">IFERROR(L534*2.205,"")</f>
        <v/>
      </c>
      <c r="Q534" s="203">
        <v>60</v>
      </c>
      <c r="R534" s="170"/>
    </row>
    <row r="535" spans="1:18" x14ac:dyDescent="0.25">
      <c r="A535" s="28">
        <v>2020</v>
      </c>
      <c r="B535" s="28" t="s">
        <v>183</v>
      </c>
      <c r="C535" s="81" t="s">
        <v>921</v>
      </c>
      <c r="D535" s="68">
        <v>44043</v>
      </c>
      <c r="F535" s="28" t="s">
        <v>2446</v>
      </c>
      <c r="H535" s="28" t="s">
        <v>2446</v>
      </c>
      <c r="I535" s="28" t="s">
        <v>2446</v>
      </c>
      <c r="J535" s="28" t="s">
        <v>2446</v>
      </c>
      <c r="K535" s="62" t="str">
        <f t="shared" si="71"/>
        <v/>
      </c>
      <c r="L535" s="62" t="str">
        <f t="shared" si="72"/>
        <v/>
      </c>
      <c r="M535" s="83" t="str">
        <f t="shared" si="73"/>
        <v/>
      </c>
      <c r="N535" s="28">
        <v>31</v>
      </c>
      <c r="O535" s="28" t="str">
        <f t="shared" si="74"/>
        <v/>
      </c>
      <c r="P535" s="211" t="str">
        <f t="shared" si="75"/>
        <v/>
      </c>
      <c r="Q535" s="203">
        <v>60</v>
      </c>
      <c r="R535" s="170"/>
    </row>
    <row r="536" spans="1:18" x14ac:dyDescent="0.25">
      <c r="A536" s="28">
        <v>2020</v>
      </c>
      <c r="B536" s="28" t="s">
        <v>183</v>
      </c>
      <c r="C536" s="81" t="s">
        <v>921</v>
      </c>
      <c r="D536" s="68">
        <v>44074</v>
      </c>
      <c r="F536" s="28" t="s">
        <v>2446</v>
      </c>
      <c r="H536" s="28" t="s">
        <v>2446</v>
      </c>
      <c r="I536" s="28" t="s">
        <v>2446</v>
      </c>
      <c r="J536" s="28" t="s">
        <v>2446</v>
      </c>
      <c r="K536" s="62" t="str">
        <f t="shared" si="71"/>
        <v/>
      </c>
      <c r="L536" s="62" t="str">
        <f t="shared" si="72"/>
        <v/>
      </c>
      <c r="M536" s="83" t="str">
        <f t="shared" si="73"/>
        <v/>
      </c>
      <c r="N536" s="28">
        <v>31</v>
      </c>
      <c r="O536" s="81" t="str">
        <f t="shared" si="74"/>
        <v/>
      </c>
      <c r="P536" s="210" t="str">
        <f t="shared" si="75"/>
        <v/>
      </c>
      <c r="Q536" s="203">
        <v>60</v>
      </c>
      <c r="R536" s="170"/>
    </row>
    <row r="537" spans="1:18" x14ac:dyDescent="0.25">
      <c r="A537" s="28">
        <v>2020</v>
      </c>
      <c r="B537" s="28" t="s">
        <v>183</v>
      </c>
      <c r="C537" s="81" t="s">
        <v>921</v>
      </c>
      <c r="D537" s="68">
        <v>44104</v>
      </c>
      <c r="F537" s="28" t="s">
        <v>2446</v>
      </c>
      <c r="H537" s="28" t="s">
        <v>2446</v>
      </c>
      <c r="I537" s="28" t="s">
        <v>2446</v>
      </c>
      <c r="J537" s="28" t="s">
        <v>2446</v>
      </c>
      <c r="K537" s="62" t="str">
        <f t="shared" si="71"/>
        <v/>
      </c>
      <c r="L537" s="62" t="str">
        <f t="shared" si="72"/>
        <v/>
      </c>
      <c r="M537" s="83" t="str">
        <f t="shared" si="73"/>
        <v/>
      </c>
      <c r="N537" s="28">
        <v>30</v>
      </c>
      <c r="O537" s="81" t="str">
        <f t="shared" si="74"/>
        <v/>
      </c>
      <c r="P537" s="210" t="str">
        <f t="shared" si="75"/>
        <v/>
      </c>
      <c r="Q537" s="203">
        <v>60</v>
      </c>
      <c r="R537" s="170"/>
    </row>
    <row r="538" spans="1:18" x14ac:dyDescent="0.25">
      <c r="A538" s="28">
        <v>2020</v>
      </c>
      <c r="B538" s="28" t="s">
        <v>183</v>
      </c>
      <c r="C538" s="81" t="s">
        <v>921</v>
      </c>
      <c r="D538" s="68">
        <v>44135</v>
      </c>
      <c r="F538" s="28" t="s">
        <v>2446</v>
      </c>
      <c r="H538" s="28" t="s">
        <v>2446</v>
      </c>
      <c r="I538" s="28" t="s">
        <v>2446</v>
      </c>
      <c r="J538" s="28" t="s">
        <v>2446</v>
      </c>
      <c r="K538" s="62" t="str">
        <f t="shared" si="71"/>
        <v/>
      </c>
      <c r="L538" s="62" t="str">
        <f t="shared" si="72"/>
        <v/>
      </c>
      <c r="M538" s="83" t="str">
        <f t="shared" si="73"/>
        <v/>
      </c>
      <c r="N538" s="28">
        <v>31</v>
      </c>
      <c r="O538" s="81" t="str">
        <f t="shared" si="74"/>
        <v/>
      </c>
      <c r="P538" s="210" t="str">
        <f t="shared" si="75"/>
        <v/>
      </c>
      <c r="Q538" s="203">
        <v>60</v>
      </c>
      <c r="R538" s="170"/>
    </row>
    <row r="539" spans="1:18" x14ac:dyDescent="0.25">
      <c r="A539" s="28">
        <v>2020</v>
      </c>
      <c r="B539" s="28" t="s">
        <v>183</v>
      </c>
      <c r="C539" s="81" t="s">
        <v>921</v>
      </c>
      <c r="D539" s="68">
        <v>44165</v>
      </c>
      <c r="F539" s="28" t="s">
        <v>2446</v>
      </c>
      <c r="H539" s="28" t="s">
        <v>2446</v>
      </c>
      <c r="I539" s="28" t="s">
        <v>2446</v>
      </c>
      <c r="J539" s="28" t="s">
        <v>2446</v>
      </c>
      <c r="K539" s="62" t="str">
        <f t="shared" si="71"/>
        <v/>
      </c>
      <c r="L539" s="62" t="str">
        <f t="shared" si="72"/>
        <v/>
      </c>
      <c r="M539" s="83" t="str">
        <f t="shared" si="73"/>
        <v/>
      </c>
      <c r="N539" s="28">
        <v>30</v>
      </c>
      <c r="O539" s="81" t="str">
        <f t="shared" si="74"/>
        <v/>
      </c>
      <c r="P539" s="210" t="str">
        <f t="shared" si="75"/>
        <v/>
      </c>
      <c r="Q539" s="203">
        <v>60</v>
      </c>
      <c r="R539" s="170"/>
    </row>
    <row r="540" spans="1:18" x14ac:dyDescent="0.25">
      <c r="A540" s="28">
        <v>2020</v>
      </c>
      <c r="B540" s="28" t="s">
        <v>183</v>
      </c>
      <c r="C540" s="81" t="s">
        <v>921</v>
      </c>
      <c r="D540" s="68">
        <v>44196</v>
      </c>
      <c r="F540" s="28" t="s">
        <v>2446</v>
      </c>
      <c r="H540" s="28" t="s">
        <v>2446</v>
      </c>
      <c r="I540" s="28" t="s">
        <v>2446</v>
      </c>
      <c r="J540" s="28" t="s">
        <v>2446</v>
      </c>
      <c r="K540" s="62" t="str">
        <f t="shared" si="71"/>
        <v/>
      </c>
      <c r="L540" s="62" t="str">
        <f t="shared" si="72"/>
        <v/>
      </c>
      <c r="M540" s="83" t="str">
        <f t="shared" si="73"/>
        <v/>
      </c>
      <c r="N540" s="28">
        <v>31</v>
      </c>
      <c r="O540" s="81" t="str">
        <f t="shared" si="74"/>
        <v/>
      </c>
      <c r="P540" s="93" t="str">
        <f t="shared" si="75"/>
        <v/>
      </c>
      <c r="Q540" s="214">
        <v>60</v>
      </c>
      <c r="R540" s="170"/>
    </row>
  </sheetData>
  <sheetProtection sheet="1" objects="1" scenarios="1" formatCells="0" formatColumns="0" formatRows="0"/>
  <autoFilter ref="A3:R540" xr:uid="{937EF50B-5591-47E0-9F68-F5DB8F2E6C3F}"/>
  <phoneticPr fontId="7" type="noConversion"/>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40AA4-706D-45AF-AE2A-AA659B7226C1}">
  <sheetPr>
    <tabColor theme="8" tint="0.59999389629810485"/>
  </sheetPr>
  <dimension ref="A1:AB248"/>
  <sheetViews>
    <sheetView zoomScale="80" zoomScaleNormal="80" workbookViewId="0">
      <pane ySplit="1" topLeftCell="A2" activePane="bottomLeft" state="frozen"/>
      <selection pane="bottomLeft" activeCell="K1" sqref="K1:K1048576"/>
    </sheetView>
  </sheetViews>
  <sheetFormatPr defaultRowHeight="15" x14ac:dyDescent="0.25"/>
  <cols>
    <col min="1" max="2" width="12.42578125" customWidth="1"/>
    <col min="3" max="3" width="53.5703125" bestFit="1" customWidth="1"/>
    <col min="4" max="4" width="21.85546875" bestFit="1" customWidth="1"/>
    <col min="5" max="5" width="15.5703125" bestFit="1" customWidth="1"/>
    <col min="7" max="7" width="11.5703125" customWidth="1"/>
    <col min="8" max="8" width="8.85546875" customWidth="1"/>
    <col min="9" max="9" width="13.85546875" customWidth="1"/>
    <col min="10" max="10" width="18.42578125" customWidth="1"/>
    <col min="11" max="11" width="20.42578125" customWidth="1"/>
    <col min="12" max="12" width="46.85546875" bestFit="1" customWidth="1"/>
    <col min="13" max="13" width="12.140625" customWidth="1"/>
    <col min="14" max="14" width="50.5703125" customWidth="1"/>
    <col min="15" max="15" width="38.5703125" hidden="1" customWidth="1"/>
    <col min="16" max="16" width="26.140625" bestFit="1" customWidth="1"/>
    <col min="17" max="17" width="26.140625" customWidth="1"/>
    <col min="18" max="19" width="16.42578125" customWidth="1"/>
    <col min="20" max="21" width="20.42578125" customWidth="1"/>
    <col min="22" max="23" width="16.5703125" customWidth="1"/>
    <col min="24" max="24" width="21.42578125" bestFit="1" customWidth="1"/>
    <col min="25" max="25" width="15.140625" customWidth="1"/>
    <col min="26" max="28" width="22.42578125" hidden="1" customWidth="1"/>
  </cols>
  <sheetData>
    <row r="1" spans="1:28" s="59" customFormat="1" ht="60" x14ac:dyDescent="0.25">
      <c r="A1" s="64" t="s">
        <v>2395</v>
      </c>
      <c r="B1" s="64" t="s">
        <v>2396</v>
      </c>
      <c r="C1" s="64" t="s">
        <v>276</v>
      </c>
      <c r="D1" s="64" t="s">
        <v>277</v>
      </c>
      <c r="E1" s="64" t="s">
        <v>278</v>
      </c>
      <c r="F1" s="64" t="s">
        <v>279</v>
      </c>
      <c r="G1" s="64" t="s">
        <v>2397</v>
      </c>
      <c r="H1" s="64" t="s">
        <v>281</v>
      </c>
      <c r="I1" s="64" t="s">
        <v>282</v>
      </c>
      <c r="J1" s="64" t="s">
        <v>2398</v>
      </c>
      <c r="K1" s="72" t="s">
        <v>284</v>
      </c>
      <c r="L1" s="72" t="s">
        <v>285</v>
      </c>
      <c r="M1" s="64" t="s">
        <v>2399</v>
      </c>
      <c r="N1" s="72" t="s">
        <v>2400</v>
      </c>
      <c r="O1" s="72" t="s">
        <v>288</v>
      </c>
      <c r="P1" s="72" t="s">
        <v>1451</v>
      </c>
      <c r="Q1" s="72" t="s">
        <v>291</v>
      </c>
      <c r="R1" s="64" t="s">
        <v>2401</v>
      </c>
      <c r="S1" s="163" t="s">
        <v>2402</v>
      </c>
      <c r="T1" s="64" t="s">
        <v>2458</v>
      </c>
      <c r="U1" s="163" t="s">
        <v>2459</v>
      </c>
      <c r="V1" s="64" t="s">
        <v>2460</v>
      </c>
      <c r="W1" s="163" t="s">
        <v>2461</v>
      </c>
      <c r="X1" s="72" t="s">
        <v>1457</v>
      </c>
      <c r="Y1" s="164" t="s">
        <v>1453</v>
      </c>
      <c r="Z1" s="163" t="s">
        <v>2462</v>
      </c>
      <c r="AA1" s="163" t="s">
        <v>2463</v>
      </c>
      <c r="AB1" s="163" t="s">
        <v>2464</v>
      </c>
    </row>
    <row r="2" spans="1:28" x14ac:dyDescent="0.25">
      <c r="A2" s="97">
        <v>2015</v>
      </c>
      <c r="B2" s="28" t="s">
        <v>2403</v>
      </c>
      <c r="C2" s="28" t="s">
        <v>683</v>
      </c>
      <c r="D2" s="28" t="s">
        <v>684</v>
      </c>
      <c r="E2" s="28" t="s">
        <v>685</v>
      </c>
      <c r="F2" s="28" t="s">
        <v>686</v>
      </c>
      <c r="G2" s="28">
        <v>53085</v>
      </c>
      <c r="H2" s="28">
        <v>43.674059999999997</v>
      </c>
      <c r="I2" s="28">
        <v>-87.781469999999999</v>
      </c>
      <c r="J2" s="28" t="s">
        <v>687</v>
      </c>
      <c r="K2" s="61">
        <v>110000605872</v>
      </c>
      <c r="L2" s="28" t="str">
        <f>INDEX('Facility Summary'!$K:$K,MATCH(K2,'Facility Summary'!$J:$J,0))</f>
        <v>Repackaging</v>
      </c>
      <c r="M2" s="28">
        <v>325199</v>
      </c>
      <c r="N2" s="28" t="s">
        <v>28</v>
      </c>
      <c r="O2" s="28"/>
      <c r="P2" s="28" t="s">
        <v>2404</v>
      </c>
      <c r="Q2" s="28"/>
      <c r="R2" s="28">
        <v>500</v>
      </c>
      <c r="S2" s="28">
        <f t="shared" ref="S2:S65" si="0">CONVERT(R2,"lbm","g")/1000</f>
        <v>226.79618500000001</v>
      </c>
      <c r="T2" s="28">
        <v>500</v>
      </c>
      <c r="U2" s="28">
        <f t="shared" ref="U2:U65" si="1">CONVERT(T2,"lbm","g")/1000</f>
        <v>226.79618500000001</v>
      </c>
      <c r="V2" s="28">
        <v>500</v>
      </c>
      <c r="W2" s="28">
        <f t="shared" ref="W2:W65" si="2">CONVERT(V2,"lbm","g")/1000</f>
        <v>226.79618500000001</v>
      </c>
      <c r="X2" s="28"/>
      <c r="Y2" s="92">
        <f>IF(COUNTIF('Raw Annual DMR Data'!$L:$L,'Raw TRI Data'!K2)&gt;0,"N/A - See DMRs",SUMIFS('Generic Factors'!$D:$D,'Generic Factors'!$A:$A,A2,'Generic Factors'!$B:$B,L2))</f>
        <v>0</v>
      </c>
      <c r="Z2" s="112" t="str">
        <f t="shared" ref="Z2:Z65" si="3">IFERROR(IF($Y2&gt;0,$Y2*S2/30.4167,"N/A - No Generic Factor"),#N/A)</f>
        <v>N/A - No Generic Factor</v>
      </c>
      <c r="AA2" s="112" t="str">
        <f t="shared" ref="AA2:AA65" si="4">IFERROR(IF($Y2&gt;0, $Y2*U2/30.4167,"N/A - No Generic Factor"),#N/A)</f>
        <v>N/A - No Generic Factor</v>
      </c>
      <c r="AB2" s="112" t="str">
        <f t="shared" ref="AB2:AB65" si="5">IFERROR(IF($Y2&gt;0, $Y2*W2/30.4167,"N/A - No Generic Factor"),#N/A)</f>
        <v>N/A - No Generic Factor</v>
      </c>
    </row>
    <row r="3" spans="1:28" x14ac:dyDescent="0.25">
      <c r="A3" s="97">
        <v>2015</v>
      </c>
      <c r="B3" s="28" t="s">
        <v>2405</v>
      </c>
      <c r="C3" s="28" t="s">
        <v>105</v>
      </c>
      <c r="D3" s="28" t="s">
        <v>322</v>
      </c>
      <c r="E3" s="28" t="s">
        <v>323</v>
      </c>
      <c r="F3" s="28" t="s">
        <v>324</v>
      </c>
      <c r="G3" s="28">
        <v>42029</v>
      </c>
      <c r="H3" s="28">
        <v>37.056699000000002</v>
      </c>
      <c r="I3" s="28">
        <v>-88.365727000000007</v>
      </c>
      <c r="J3" s="28" t="s">
        <v>325</v>
      </c>
      <c r="K3" s="61">
        <v>110000380061</v>
      </c>
      <c r="L3" s="28" t="str">
        <f>INDEX('Facility Summary'!$K:$K,MATCH(K3,'Facility Summary'!$J:$J,0))</f>
        <v>Manufacturing</v>
      </c>
      <c r="M3" s="28">
        <v>325180</v>
      </c>
      <c r="N3" s="28" t="str">
        <f>VLOOKUP(M3,'SIC &amp; NAICS Codes'!$D:$E,2,FALSE)</f>
        <v>Other Basic Inorganic Chemical Manufacturing</v>
      </c>
      <c r="O3" s="28"/>
      <c r="P3" s="28" t="s">
        <v>2404</v>
      </c>
      <c r="Q3" s="28"/>
      <c r="R3" s="28">
        <v>58</v>
      </c>
      <c r="S3" s="28">
        <f t="shared" si="0"/>
        <v>26.30835746</v>
      </c>
      <c r="T3" s="28">
        <v>0</v>
      </c>
      <c r="U3" s="28">
        <f t="shared" si="1"/>
        <v>0</v>
      </c>
      <c r="V3" s="28">
        <v>0</v>
      </c>
      <c r="W3" s="28">
        <f t="shared" si="2"/>
        <v>0</v>
      </c>
      <c r="X3" s="28" t="s">
        <v>776</v>
      </c>
      <c r="Y3" s="92">
        <f>IF(COUNTIF('Raw Annual DMR Data'!$L:$L,'Raw TRI Data'!K4)&gt;0,"N/A - See DMRs",SUMIFS('Generic Factors'!$D:$D,'Generic Factors'!$A:$A,A3,'Generic Factors'!$B:$B,L3))</f>
        <v>20.451304340508976</v>
      </c>
      <c r="Z3" s="112">
        <f t="shared" si="3"/>
        <v>17.688974317179699</v>
      </c>
      <c r="AA3" s="112">
        <f t="shared" si="4"/>
        <v>0</v>
      </c>
      <c r="AB3" s="112">
        <f t="shared" si="5"/>
        <v>0</v>
      </c>
    </row>
    <row r="4" spans="1:28" x14ac:dyDescent="0.25">
      <c r="A4" s="97">
        <v>2015</v>
      </c>
      <c r="B4" s="28" t="s">
        <v>2405</v>
      </c>
      <c r="C4" s="28" t="s">
        <v>204</v>
      </c>
      <c r="D4" s="28" t="s">
        <v>333</v>
      </c>
      <c r="E4" s="28" t="s">
        <v>334</v>
      </c>
      <c r="F4" s="28" t="s">
        <v>303</v>
      </c>
      <c r="G4" s="28">
        <v>70764</v>
      </c>
      <c r="H4" s="28">
        <v>30.262255</v>
      </c>
      <c r="I4" s="28">
        <v>-91.185837000000006</v>
      </c>
      <c r="J4" s="28" t="s">
        <v>335</v>
      </c>
      <c r="K4" s="61">
        <v>110000613747</v>
      </c>
      <c r="L4" s="28" t="str">
        <f>INDEX('Facility Summary'!$K:$K,MATCH(K4,'Facility Summary'!$J:$J,0))</f>
        <v>Manufacturing</v>
      </c>
      <c r="M4" s="28">
        <v>325211</v>
      </c>
      <c r="N4" s="28" t="str">
        <f>VLOOKUP(M4,'SIC &amp; NAICS Codes'!$D:$E,2,FALSE)</f>
        <v>Plastics Material and Resin Manufacturing</v>
      </c>
      <c r="O4" s="28"/>
      <c r="P4" s="28" t="s">
        <v>2404</v>
      </c>
      <c r="Q4" s="28"/>
      <c r="R4" s="28">
        <v>5</v>
      </c>
      <c r="S4" s="28">
        <f t="shared" si="0"/>
        <v>2.2679618500000003</v>
      </c>
      <c r="T4" s="28">
        <v>0</v>
      </c>
      <c r="U4" s="28">
        <f t="shared" si="1"/>
        <v>0</v>
      </c>
      <c r="V4" s="28">
        <v>0</v>
      </c>
      <c r="W4" s="28">
        <f t="shared" si="2"/>
        <v>0</v>
      </c>
      <c r="X4" s="28" t="s">
        <v>2465</v>
      </c>
      <c r="Y4" s="92" t="str">
        <f>IF(COUNTIF('Raw Annual DMR Data'!$L:$L,'Raw TRI Data'!K10)&gt;0,"N/A - See DMRs",SUMIFS('Generic Factors'!$D:$D,'Generic Factors'!$A:$A,A4,'Generic Factors'!$B:$B,L4))</f>
        <v>N/A - See DMRs</v>
      </c>
      <c r="Z4" s="112" t="e">
        <f t="shared" si="3"/>
        <v>#N/A</v>
      </c>
      <c r="AA4" s="112" t="e">
        <f t="shared" si="4"/>
        <v>#N/A</v>
      </c>
      <c r="AB4" s="112" t="e">
        <f t="shared" si="5"/>
        <v>#N/A</v>
      </c>
    </row>
    <row r="5" spans="1:28" x14ac:dyDescent="0.25">
      <c r="A5" s="97">
        <v>2015</v>
      </c>
      <c r="B5" s="28" t="s">
        <v>2405</v>
      </c>
      <c r="C5" s="28" t="s">
        <v>205</v>
      </c>
      <c r="D5" s="28" t="s">
        <v>343</v>
      </c>
      <c r="E5" s="28" t="s">
        <v>344</v>
      </c>
      <c r="F5" s="28" t="s">
        <v>345</v>
      </c>
      <c r="G5" s="28">
        <v>60901</v>
      </c>
      <c r="H5" s="28">
        <v>41.085541999999997</v>
      </c>
      <c r="I5" s="28">
        <v>-87.880542000000005</v>
      </c>
      <c r="J5" s="28" t="s">
        <v>346</v>
      </c>
      <c r="K5" s="61">
        <v>110043972207</v>
      </c>
      <c r="L5" s="28" t="str">
        <f>INDEX('Facility Summary'!$K:$K,MATCH(K5,'Facility Summary'!$J:$J,0))</f>
        <v>Processing into formulation, mixture, or reaction product</v>
      </c>
      <c r="M5" s="28">
        <v>325613</v>
      </c>
      <c r="N5" s="28" t="str">
        <f>VLOOKUP(M5,'SIC &amp; NAICS Codes'!$D:$E,2,FALSE)</f>
        <v>Surface Active Agent Manufacturing</v>
      </c>
      <c r="O5" s="28"/>
      <c r="P5" s="28" t="s">
        <v>2466</v>
      </c>
      <c r="Q5" s="28"/>
      <c r="R5" s="28">
        <v>0</v>
      </c>
      <c r="S5" s="28">
        <f t="shared" si="0"/>
        <v>0</v>
      </c>
      <c r="T5" s="28">
        <v>250</v>
      </c>
      <c r="U5" s="28">
        <f t="shared" si="1"/>
        <v>113.3980925</v>
      </c>
      <c r="V5" s="28">
        <v>0</v>
      </c>
      <c r="W5" s="28">
        <f t="shared" si="2"/>
        <v>0</v>
      </c>
      <c r="X5" s="28" t="s">
        <v>2467</v>
      </c>
      <c r="Y5" s="92">
        <f>IF(COUNTIF('Raw Annual DMR Data'!$L:$L,'Raw TRI Data'!K15)&gt;0,"N/A - See DMRs",SUMIFS('Generic Factors'!$D:$D,'Generic Factors'!$A:$A,A5,'Generic Factors'!$B:$B,L5))</f>
        <v>0</v>
      </c>
      <c r="Z5" s="62" t="str">
        <f t="shared" si="3"/>
        <v>N/A - No Generic Factor</v>
      </c>
      <c r="AA5" s="62" t="str">
        <f t="shared" si="4"/>
        <v>N/A - No Generic Factor</v>
      </c>
      <c r="AB5" s="62" t="str">
        <f t="shared" si="5"/>
        <v>N/A - No Generic Factor</v>
      </c>
    </row>
    <row r="6" spans="1:28" x14ac:dyDescent="0.25">
      <c r="A6" s="97">
        <v>2015</v>
      </c>
      <c r="B6" s="28" t="s">
        <v>2405</v>
      </c>
      <c r="C6" s="28" t="s">
        <v>206</v>
      </c>
      <c r="D6" s="28" t="s">
        <v>347</v>
      </c>
      <c r="E6" s="28" t="s">
        <v>348</v>
      </c>
      <c r="F6" s="28" t="s">
        <v>349</v>
      </c>
      <c r="G6" s="28">
        <v>63461</v>
      </c>
      <c r="H6" s="28">
        <v>39.834117999999997</v>
      </c>
      <c r="I6" s="28">
        <v>-91.436790999999999</v>
      </c>
      <c r="J6" s="28" t="s">
        <v>350</v>
      </c>
      <c r="K6" s="61">
        <v>110056953765</v>
      </c>
      <c r="L6" s="28" t="str">
        <f>INDEX('Facility Summary'!$K:$K,MATCH(K6,'Facility Summary'!$J:$J,0))</f>
        <v>Processing into formulation, mixture, or reaction product</v>
      </c>
      <c r="M6" s="28">
        <v>325320</v>
      </c>
      <c r="N6" s="28" t="str">
        <f>VLOOKUP(M6,'SIC &amp; NAICS Codes'!$D:$E,2,FALSE)</f>
        <v>Pesticide and Other Agricultural Chemical Manufacturing</v>
      </c>
      <c r="O6" s="28"/>
      <c r="P6" s="28" t="s">
        <v>2404</v>
      </c>
      <c r="Q6" s="28"/>
      <c r="R6" s="28">
        <v>5</v>
      </c>
      <c r="S6" s="28">
        <f t="shared" si="0"/>
        <v>2.2679618500000003</v>
      </c>
      <c r="T6" s="28">
        <v>0</v>
      </c>
      <c r="U6" s="28">
        <f t="shared" si="1"/>
        <v>0</v>
      </c>
      <c r="V6" s="28">
        <v>0</v>
      </c>
      <c r="W6" s="28">
        <f t="shared" si="2"/>
        <v>0</v>
      </c>
      <c r="X6" s="28" t="s">
        <v>2468</v>
      </c>
      <c r="Y6" s="92" t="str">
        <f>IF(COUNTIF('Raw Annual DMR Data'!$L:$L,'Raw TRI Data'!K21)&gt;0,"N/A - See DMRs",SUMIFS('Generic Factors'!$D:$D,'Generic Factors'!$A:$A,A6,'Generic Factors'!$B:$B,L6))</f>
        <v>N/A - See DMRs</v>
      </c>
      <c r="Z6" s="112" t="e">
        <f t="shared" si="3"/>
        <v>#N/A</v>
      </c>
      <c r="AA6" s="112" t="e">
        <f t="shared" si="4"/>
        <v>#N/A</v>
      </c>
      <c r="AB6" s="112" t="e">
        <f t="shared" si="5"/>
        <v>#N/A</v>
      </c>
    </row>
    <row r="7" spans="1:28" x14ac:dyDescent="0.25">
      <c r="A7" s="97">
        <v>2015</v>
      </c>
      <c r="B7" s="28" t="s">
        <v>2405</v>
      </c>
      <c r="C7" s="28" t="s">
        <v>128</v>
      </c>
      <c r="D7" s="28" t="s">
        <v>2408</v>
      </c>
      <c r="E7" s="28" t="s">
        <v>412</v>
      </c>
      <c r="F7" s="28" t="s">
        <v>299</v>
      </c>
      <c r="G7" s="28">
        <v>71730</v>
      </c>
      <c r="H7" s="28">
        <v>33.2044</v>
      </c>
      <c r="I7" s="28">
        <v>-92.630799999999994</v>
      </c>
      <c r="J7" s="28" t="s">
        <v>413</v>
      </c>
      <c r="K7" s="61">
        <v>110000521221</v>
      </c>
      <c r="L7" s="28" t="str">
        <f>INDEX('Facility Summary'!$K:$K,MATCH(K7,'Facility Summary'!$J:$J,0))</f>
        <v>Waste Handling, Disposal and Treatment (Incinerator)</v>
      </c>
      <c r="M7" s="28">
        <v>562211</v>
      </c>
      <c r="N7" s="28" t="str">
        <f>VLOOKUP(M7,'SIC &amp; NAICS Codes'!$D:$E,2,FALSE)</f>
        <v>Hazardous Waste Treatment and Disposal</v>
      </c>
      <c r="O7" s="28"/>
      <c r="P7" s="28" t="s">
        <v>2404</v>
      </c>
      <c r="Q7" s="28"/>
      <c r="R7" s="28">
        <v>243</v>
      </c>
      <c r="S7" s="28">
        <f t="shared" si="0"/>
        <v>110.22294591000001</v>
      </c>
      <c r="T7" s="28">
        <v>0</v>
      </c>
      <c r="U7" s="28">
        <f t="shared" si="1"/>
        <v>0</v>
      </c>
      <c r="V7" s="28">
        <v>0</v>
      </c>
      <c r="W7" s="28">
        <f t="shared" si="2"/>
        <v>0</v>
      </c>
      <c r="X7" s="28" t="s">
        <v>821</v>
      </c>
      <c r="Y7" s="92" t="str">
        <f>IF(COUNTIF('Raw Annual DMR Data'!$L:$L,'Raw TRI Data'!K31)&gt;0,"N/A - See DMRs",SUMIFS('Generic Factors'!$D:$D,'Generic Factors'!$A:$A,A7,'Generic Factors'!$B:$B,L7))</f>
        <v>N/A - See DMRs</v>
      </c>
      <c r="Z7" s="112" t="e">
        <f t="shared" si="3"/>
        <v>#N/A</v>
      </c>
      <c r="AA7" s="112" t="e">
        <f t="shared" si="4"/>
        <v>#N/A</v>
      </c>
      <c r="AB7" s="112" t="e">
        <f t="shared" si="5"/>
        <v>#N/A</v>
      </c>
    </row>
    <row r="8" spans="1:28" x14ac:dyDescent="0.25">
      <c r="A8" s="97">
        <v>2015</v>
      </c>
      <c r="B8" s="28" t="s">
        <v>2405</v>
      </c>
      <c r="C8" s="28" t="s">
        <v>209</v>
      </c>
      <c r="D8" s="28" t="s">
        <v>436</v>
      </c>
      <c r="E8" s="28" t="s">
        <v>437</v>
      </c>
      <c r="F8" s="28" t="s">
        <v>362</v>
      </c>
      <c r="G8" s="28">
        <v>775413257</v>
      </c>
      <c r="H8" s="28">
        <v>28.979199999999999</v>
      </c>
      <c r="I8" s="28">
        <v>-95.354900000000001</v>
      </c>
      <c r="J8" s="28" t="s">
        <v>438</v>
      </c>
      <c r="K8" s="61">
        <v>110008170237</v>
      </c>
      <c r="L8" s="28" t="str">
        <f>INDEX('Facility Summary'!$K:$K,MATCH(K8,'Facility Summary'!$J:$J,0))</f>
        <v>Processing as a Reactant</v>
      </c>
      <c r="M8" s="28">
        <v>325199</v>
      </c>
      <c r="N8" s="28" t="str">
        <f>VLOOKUP(M8,'SIC &amp; NAICS Codes'!$D:$E,2,FALSE)</f>
        <v>All Other Basic Organic Chemical Manufacturing</v>
      </c>
      <c r="O8" s="28"/>
      <c r="P8" s="28" t="s">
        <v>2404</v>
      </c>
      <c r="Q8" s="28"/>
      <c r="R8" s="28">
        <v>320</v>
      </c>
      <c r="S8" s="28">
        <f t="shared" si="0"/>
        <v>145.14955840000002</v>
      </c>
      <c r="T8" s="28">
        <v>0</v>
      </c>
      <c r="U8" s="28">
        <f t="shared" si="1"/>
        <v>0</v>
      </c>
      <c r="V8" s="28">
        <v>0</v>
      </c>
      <c r="W8" s="28">
        <f t="shared" si="2"/>
        <v>0</v>
      </c>
      <c r="X8" s="28" t="s">
        <v>2473</v>
      </c>
      <c r="Y8" s="92">
        <f>IF(COUNTIF('Raw Annual DMR Data'!$L:$L,'Raw TRI Data'!K36)&gt;0,"N/A - See DMRs",SUMIFS('Generic Factors'!$D:$D,'Generic Factors'!$A:$A,A8,'Generic Factors'!$B:$B,L8))</f>
        <v>6.9557812976273156E-2</v>
      </c>
      <c r="Z8" s="112">
        <f t="shared" si="3"/>
        <v>0.33193232128323719</v>
      </c>
      <c r="AA8" s="112">
        <f t="shared" si="4"/>
        <v>0</v>
      </c>
      <c r="AB8" s="112">
        <f t="shared" si="5"/>
        <v>0</v>
      </c>
    </row>
    <row r="9" spans="1:28" x14ac:dyDescent="0.25">
      <c r="A9" s="97">
        <v>2015</v>
      </c>
      <c r="B9" s="28" t="s">
        <v>2405</v>
      </c>
      <c r="C9" s="28" t="s">
        <v>2410</v>
      </c>
      <c r="D9" s="28" t="s">
        <v>2411</v>
      </c>
      <c r="E9" s="28" t="s">
        <v>446</v>
      </c>
      <c r="F9" s="28" t="s">
        <v>303</v>
      </c>
      <c r="G9" s="28">
        <v>70669</v>
      </c>
      <c r="H9" s="28">
        <v>30.223500000000001</v>
      </c>
      <c r="I9" s="28">
        <v>-93.286900000000003</v>
      </c>
      <c r="J9" s="28" t="s">
        <v>447</v>
      </c>
      <c r="K9" s="61">
        <v>110000494894</v>
      </c>
      <c r="L9" s="28" t="str">
        <f>INDEX('Facility Summary'!$K:$K,MATCH(K9,'Facility Summary'!$J:$J,0))</f>
        <v>Manufacturing</v>
      </c>
      <c r="M9" s="28">
        <v>325180</v>
      </c>
      <c r="N9" s="28" t="str">
        <f>VLOOKUP(M9,'SIC &amp; NAICS Codes'!$D:$E,2,FALSE)</f>
        <v>Other Basic Inorganic Chemical Manufacturing</v>
      </c>
      <c r="O9" s="28"/>
      <c r="P9" s="28" t="s">
        <v>2404</v>
      </c>
      <c r="Q9" s="28"/>
      <c r="R9" s="28">
        <v>18</v>
      </c>
      <c r="S9" s="28">
        <f t="shared" si="0"/>
        <v>8.1646626599999994</v>
      </c>
      <c r="T9" s="28">
        <v>0</v>
      </c>
      <c r="U9" s="28">
        <f t="shared" si="1"/>
        <v>0</v>
      </c>
      <c r="V9" s="28">
        <v>0</v>
      </c>
      <c r="W9" s="28">
        <f t="shared" si="2"/>
        <v>0</v>
      </c>
      <c r="X9" s="28" t="s">
        <v>839</v>
      </c>
      <c r="Y9" s="92">
        <f>IF(COUNTIF('Raw Annual DMR Data'!$L:$L,'Raw TRI Data'!K42)&gt;0,"N/A - See DMRs",SUMIFS('Generic Factors'!$D:$D,'Generic Factors'!$A:$A,A9,'Generic Factors'!$B:$B,L9))</f>
        <v>20.451304340508976</v>
      </c>
      <c r="Z9" s="112">
        <f t="shared" si="3"/>
        <v>5.4896816846419751</v>
      </c>
      <c r="AA9" s="112">
        <f t="shared" si="4"/>
        <v>0</v>
      </c>
      <c r="AB9" s="112">
        <f t="shared" si="5"/>
        <v>0</v>
      </c>
    </row>
    <row r="10" spans="1:28" x14ac:dyDescent="0.25">
      <c r="A10" s="97">
        <v>2015</v>
      </c>
      <c r="B10" s="28" t="s">
        <v>2405</v>
      </c>
      <c r="C10" s="28" t="s">
        <v>2412</v>
      </c>
      <c r="D10" s="28" t="s">
        <v>2413</v>
      </c>
      <c r="E10" s="28" t="s">
        <v>302</v>
      </c>
      <c r="F10" s="28" t="s">
        <v>303</v>
      </c>
      <c r="G10" s="28">
        <v>70805</v>
      </c>
      <c r="H10" s="28">
        <v>30.501336999999999</v>
      </c>
      <c r="I10" s="28">
        <v>-91.192340000000002</v>
      </c>
      <c r="J10" s="28" t="s">
        <v>483</v>
      </c>
      <c r="K10" s="61">
        <v>110000597444</v>
      </c>
      <c r="L10" s="28" t="str">
        <f>INDEX('Facility Summary'!$K:$K,MATCH(K10,'Facility Summary'!$J:$J,0))</f>
        <v>Manufacturing</v>
      </c>
      <c r="M10" s="28">
        <v>325211</v>
      </c>
      <c r="N10" s="28" t="str">
        <f>VLOOKUP(M10,'SIC &amp; NAICS Codes'!$D:$E,2,FALSE)</f>
        <v>Plastics Material and Resin Manufacturing</v>
      </c>
      <c r="O10" s="28"/>
      <c r="P10" s="28" t="s">
        <v>2404</v>
      </c>
      <c r="Q10" s="28"/>
      <c r="R10" s="28">
        <v>17</v>
      </c>
      <c r="S10" s="28">
        <f t="shared" si="0"/>
        <v>7.7110702900000003</v>
      </c>
      <c r="T10" s="28">
        <v>0</v>
      </c>
      <c r="U10" s="28">
        <f t="shared" si="1"/>
        <v>0</v>
      </c>
      <c r="V10" s="28">
        <v>0</v>
      </c>
      <c r="W10" s="28">
        <f t="shared" si="2"/>
        <v>0</v>
      </c>
      <c r="X10" s="28" t="s">
        <v>862</v>
      </c>
      <c r="Y10" s="92">
        <f>IF(COUNTIF('Raw Annual DMR Data'!$L:$L,'Raw TRI Data'!K48)&gt;0,"N/A - See DMRs",SUMIFS('Generic Factors'!$D:$D,'Generic Factors'!$A:$A,A10,'Generic Factors'!$B:$B,L10))</f>
        <v>20.451304340508976</v>
      </c>
      <c r="Z10" s="112">
        <f t="shared" si="3"/>
        <v>5.1846993688285323</v>
      </c>
      <c r="AA10" s="112">
        <f t="shared" si="4"/>
        <v>0</v>
      </c>
      <c r="AB10" s="112">
        <f t="shared" si="5"/>
        <v>0</v>
      </c>
    </row>
    <row r="11" spans="1:28" x14ac:dyDescent="0.25">
      <c r="A11" s="97">
        <v>2015</v>
      </c>
      <c r="B11" s="28" t="s">
        <v>2405</v>
      </c>
      <c r="C11" s="28" t="s">
        <v>2414</v>
      </c>
      <c r="D11" s="28" t="s">
        <v>2415</v>
      </c>
      <c r="E11" s="28" t="s">
        <v>480</v>
      </c>
      <c r="F11" s="28" t="s">
        <v>362</v>
      </c>
      <c r="G11" s="28">
        <v>77978</v>
      </c>
      <c r="H11" s="28">
        <v>28.6753</v>
      </c>
      <c r="I11" s="28">
        <v>-96.549499999999995</v>
      </c>
      <c r="J11" s="28" t="s">
        <v>481</v>
      </c>
      <c r="K11" s="61">
        <v>110018925957</v>
      </c>
      <c r="L11" s="28" t="str">
        <f>INDEX('Facility Summary'!$K:$K,MATCH(K11,'Facility Summary'!$J:$J,0))</f>
        <v>Manufacturing</v>
      </c>
      <c r="M11" s="28">
        <v>325211</v>
      </c>
      <c r="N11" s="28" t="str">
        <f>VLOOKUP(M11,'SIC &amp; NAICS Codes'!$D:$E,2,FALSE)</f>
        <v>Plastics Material and Resin Manufacturing</v>
      </c>
      <c r="O11" s="28"/>
      <c r="P11" s="28" t="s">
        <v>2404</v>
      </c>
      <c r="Q11" s="28"/>
      <c r="R11" s="28">
        <v>3</v>
      </c>
      <c r="S11" s="28">
        <f t="shared" si="0"/>
        <v>1.3607771099999999</v>
      </c>
      <c r="T11" s="28">
        <v>0</v>
      </c>
      <c r="U11" s="28">
        <f t="shared" si="1"/>
        <v>0</v>
      </c>
      <c r="V11" s="28">
        <v>0</v>
      </c>
      <c r="W11" s="28">
        <f t="shared" si="2"/>
        <v>0</v>
      </c>
      <c r="X11" s="28" t="s">
        <v>2475</v>
      </c>
      <c r="Y11" s="92">
        <f>IF(COUNTIF('Raw Annual DMR Data'!$L:$L,'Raw TRI Data'!K53)&gt;0,"N/A - See DMRs",SUMIFS('Generic Factors'!$D:$D,'Generic Factors'!$A:$A,A11,'Generic Factors'!$B:$B,L11))</f>
        <v>20.451304340508976</v>
      </c>
      <c r="Z11" s="112">
        <f t="shared" si="3"/>
        <v>0.91494694744032923</v>
      </c>
      <c r="AA11" s="112">
        <f t="shared" si="4"/>
        <v>0</v>
      </c>
      <c r="AB11" s="112">
        <f t="shared" si="5"/>
        <v>0</v>
      </c>
    </row>
    <row r="12" spans="1:28" x14ac:dyDescent="0.25">
      <c r="A12" s="97">
        <v>2015</v>
      </c>
      <c r="B12" s="28" t="s">
        <v>2403</v>
      </c>
      <c r="C12" s="28" t="s">
        <v>671</v>
      </c>
      <c r="D12" s="28" t="s">
        <v>672</v>
      </c>
      <c r="E12" s="28" t="s">
        <v>412</v>
      </c>
      <c r="F12" s="28" t="s">
        <v>299</v>
      </c>
      <c r="G12" s="28">
        <v>71730</v>
      </c>
      <c r="H12" s="28">
        <v>33.109833000000002</v>
      </c>
      <c r="I12" s="28">
        <v>-92.678805999999994</v>
      </c>
      <c r="J12" s="28" t="s">
        <v>673</v>
      </c>
      <c r="K12" s="61">
        <v>110000451038</v>
      </c>
      <c r="L12" s="28" t="str">
        <f>INDEX('Facility Summary'!$K:$K,MATCH(K12,'Facility Summary'!$J:$J,0))</f>
        <v>Processing as a Reactant</v>
      </c>
      <c r="M12" s="28">
        <v>325180</v>
      </c>
      <c r="N12" s="28" t="s">
        <v>674</v>
      </c>
      <c r="O12" s="28"/>
      <c r="P12" s="28" t="s">
        <v>2404</v>
      </c>
      <c r="Q12" s="28"/>
      <c r="R12" s="28">
        <v>500</v>
      </c>
      <c r="S12" s="28">
        <f t="shared" si="0"/>
        <v>226.79618500000001</v>
      </c>
      <c r="T12" s="28">
        <v>500</v>
      </c>
      <c r="U12" s="28">
        <f t="shared" si="1"/>
        <v>226.79618500000001</v>
      </c>
      <c r="V12" s="28">
        <v>500</v>
      </c>
      <c r="W12" s="28">
        <f t="shared" si="2"/>
        <v>226.79618500000001</v>
      </c>
      <c r="X12" s="28" t="s">
        <v>2476</v>
      </c>
      <c r="Y12" s="92" t="str">
        <f>IF(COUNTIF('Raw Annual DMR Data'!$L:$L,'Raw TRI Data'!K60)&gt;0,"N/A - See DMRs",SUMIFS('Generic Factors'!$D:$D,'Generic Factors'!$A:$A,A12,'Generic Factors'!$B:$B,L12))</f>
        <v>N/A - See DMRs</v>
      </c>
      <c r="Z12" s="112" t="e">
        <f t="shared" si="3"/>
        <v>#N/A</v>
      </c>
      <c r="AA12" s="112" t="e">
        <f t="shared" si="4"/>
        <v>#N/A</v>
      </c>
      <c r="AB12" s="112" t="e">
        <f t="shared" si="5"/>
        <v>#N/A</v>
      </c>
    </row>
    <row r="13" spans="1:28" x14ac:dyDescent="0.25">
      <c r="A13" s="97">
        <v>2015</v>
      </c>
      <c r="B13" s="28" t="s">
        <v>2405</v>
      </c>
      <c r="C13" s="28" t="s">
        <v>211</v>
      </c>
      <c r="D13" s="28" t="s">
        <v>510</v>
      </c>
      <c r="E13" s="28" t="s">
        <v>511</v>
      </c>
      <c r="F13" s="28" t="s">
        <v>319</v>
      </c>
      <c r="G13" s="28">
        <v>43920</v>
      </c>
      <c r="H13" s="28">
        <v>40.631622</v>
      </c>
      <c r="I13" s="28">
        <v>-80.546319999999994</v>
      </c>
      <c r="J13" s="28" t="s">
        <v>512</v>
      </c>
      <c r="K13" s="61">
        <v>110027242320</v>
      </c>
      <c r="L13" s="28" t="str">
        <f>INDEX('Facility Summary'!$K:$K,MATCH(K13,'Facility Summary'!$J:$J,0))</f>
        <v>Waste Handling, Disposal and Treatment (Incinerator)</v>
      </c>
      <c r="M13" s="28">
        <v>562213</v>
      </c>
      <c r="N13" s="28" t="str">
        <f>VLOOKUP(M13,'SIC &amp; NAICS Codes'!$D:$E,2,FALSE)</f>
        <v>Solid Waste Combustors and Incinerators</v>
      </c>
      <c r="O13" s="28"/>
      <c r="P13" s="28" t="s">
        <v>2404</v>
      </c>
      <c r="Q13" s="28"/>
      <c r="R13" s="28">
        <v>1E-3</v>
      </c>
      <c r="S13" s="28">
        <f t="shared" si="0"/>
        <v>4.5359237000000004E-4</v>
      </c>
      <c r="T13" s="28">
        <v>2.9999999999999997E-4</v>
      </c>
      <c r="U13" s="28">
        <f t="shared" si="1"/>
        <v>1.36077711E-4</v>
      </c>
      <c r="V13" s="28">
        <v>0</v>
      </c>
      <c r="W13" s="28">
        <f t="shared" si="2"/>
        <v>0</v>
      </c>
      <c r="X13" s="28" t="s">
        <v>2477</v>
      </c>
      <c r="Y13" s="92" t="str">
        <f>IF(COUNTIF('Raw Annual DMR Data'!$L:$L,'Raw TRI Data'!K62)&gt;0,"N/A - See DMRs",SUMIFS('Generic Factors'!$D:$D,'Generic Factors'!$A:$A,A13,'Generic Factors'!$B:$B,L13))</f>
        <v>N/A - See DMRs</v>
      </c>
      <c r="Z13" s="112" t="e">
        <f t="shared" si="3"/>
        <v>#N/A</v>
      </c>
      <c r="AA13" s="112" t="e">
        <f t="shared" si="4"/>
        <v>#N/A</v>
      </c>
      <c r="AB13" s="112" t="e">
        <f t="shared" si="5"/>
        <v>#N/A</v>
      </c>
    </row>
    <row r="14" spans="1:28" x14ac:dyDescent="0.25">
      <c r="A14" s="97">
        <v>2015</v>
      </c>
      <c r="B14" s="28" t="s">
        <v>2405</v>
      </c>
      <c r="C14" s="28" t="s">
        <v>2417</v>
      </c>
      <c r="D14" s="28" t="s">
        <v>2418</v>
      </c>
      <c r="E14" s="28" t="s">
        <v>302</v>
      </c>
      <c r="F14" s="28" t="s">
        <v>303</v>
      </c>
      <c r="G14" s="28">
        <v>70805</v>
      </c>
      <c r="H14" s="28">
        <v>30.474443999999998</v>
      </c>
      <c r="I14" s="28">
        <v>-91.183055999999993</v>
      </c>
      <c r="J14" s="28" t="s">
        <v>514</v>
      </c>
      <c r="K14" s="61">
        <v>110003266849</v>
      </c>
      <c r="L14" s="28" t="str">
        <f>INDEX('Facility Summary'!$K:$K,MATCH(K14,'Facility Summary'!$J:$J,0))</f>
        <v>Processing into formulation, mixture, or reaction product</v>
      </c>
      <c r="M14" s="28">
        <v>325199</v>
      </c>
      <c r="N14" s="28" t="str">
        <f>VLOOKUP(M14,'SIC &amp; NAICS Codes'!$D:$E,2,FALSE)</f>
        <v>All Other Basic Organic Chemical Manufacturing</v>
      </c>
      <c r="O14" s="28"/>
      <c r="P14" s="28" t="s">
        <v>2404</v>
      </c>
      <c r="Q14" s="28"/>
      <c r="R14" s="28">
        <v>5</v>
      </c>
      <c r="S14" s="28">
        <f t="shared" si="0"/>
        <v>2.2679618500000003</v>
      </c>
      <c r="T14" s="28">
        <v>0</v>
      </c>
      <c r="U14" s="28">
        <f t="shared" si="1"/>
        <v>0</v>
      </c>
      <c r="V14" s="28">
        <v>0</v>
      </c>
      <c r="W14" s="28">
        <f t="shared" si="2"/>
        <v>0</v>
      </c>
      <c r="X14" s="28" t="s">
        <v>878</v>
      </c>
      <c r="Y14" s="92" t="str">
        <f>IF(COUNTIF('Raw Annual DMR Data'!$L:$L,'Raw TRI Data'!K63)&gt;0,"N/A - See DMRs",SUMIFS('Generic Factors'!$D:$D,'Generic Factors'!$A:$A,A14,'Generic Factors'!$B:$B,L14))</f>
        <v>N/A - See DMRs</v>
      </c>
      <c r="Z14" s="112" t="e">
        <f t="shared" si="3"/>
        <v>#N/A</v>
      </c>
      <c r="AA14" s="112" t="e">
        <f t="shared" si="4"/>
        <v>#N/A</v>
      </c>
      <c r="AB14" s="112" t="e">
        <f t="shared" si="5"/>
        <v>#N/A</v>
      </c>
    </row>
    <row r="15" spans="1:28" x14ac:dyDescent="0.25">
      <c r="A15" s="97">
        <v>2015</v>
      </c>
      <c r="B15" s="28" t="s">
        <v>2405</v>
      </c>
      <c r="C15" s="28" t="s">
        <v>212</v>
      </c>
      <c r="D15" s="28" t="s">
        <v>523</v>
      </c>
      <c r="E15" s="28" t="s">
        <v>437</v>
      </c>
      <c r="F15" s="28" t="s">
        <v>362</v>
      </c>
      <c r="G15" s="28">
        <v>77541</v>
      </c>
      <c r="H15" s="28">
        <v>28.952500000000001</v>
      </c>
      <c r="I15" s="28">
        <v>-95.313000000000002</v>
      </c>
      <c r="J15" s="28" t="s">
        <v>524</v>
      </c>
      <c r="K15" s="61">
        <v>110012256076</v>
      </c>
      <c r="L15" s="28" t="str">
        <f>INDEX('Facility Summary'!$K:$K,MATCH(K15,'Facility Summary'!$J:$J,0))</f>
        <v>Processing as a Reactant</v>
      </c>
      <c r="M15" s="28">
        <v>325199</v>
      </c>
      <c r="N15" s="28" t="str">
        <f>VLOOKUP(M15,'SIC &amp; NAICS Codes'!$D:$E,2,FALSE)</f>
        <v>All Other Basic Organic Chemical Manufacturing</v>
      </c>
      <c r="O15" s="28"/>
      <c r="P15" s="28" t="s">
        <v>2404</v>
      </c>
      <c r="Q15" s="28"/>
      <c r="R15" s="28">
        <v>5</v>
      </c>
      <c r="S15" s="28">
        <f t="shared" si="0"/>
        <v>2.2679618500000003</v>
      </c>
      <c r="T15" s="28">
        <v>0</v>
      </c>
      <c r="U15" s="28">
        <f t="shared" si="1"/>
        <v>0</v>
      </c>
      <c r="V15" s="28">
        <v>0</v>
      </c>
      <c r="W15" s="28">
        <f t="shared" si="2"/>
        <v>0</v>
      </c>
      <c r="X15" s="28"/>
      <c r="Y15" s="92">
        <f>IF(COUNTIF('Raw Annual DMR Data'!$L:$L,'Raw TRI Data'!K67)&gt;0,"N/A - See DMRs",SUMIFS('Generic Factors'!$D:$D,'Generic Factors'!$A:$A,A15,'Generic Factors'!$B:$B,L15))</f>
        <v>6.9557812976273156E-2</v>
      </c>
      <c r="Z15" s="112">
        <f t="shared" si="3"/>
        <v>5.186442520050581E-3</v>
      </c>
      <c r="AA15" s="112">
        <f t="shared" si="4"/>
        <v>0</v>
      </c>
      <c r="AB15" s="112">
        <f t="shared" si="5"/>
        <v>0</v>
      </c>
    </row>
    <row r="16" spans="1:28" x14ac:dyDescent="0.25">
      <c r="A16" s="97">
        <v>2015</v>
      </c>
      <c r="B16" s="28" t="s">
        <v>2405</v>
      </c>
      <c r="C16" s="28" t="s">
        <v>213</v>
      </c>
      <c r="D16" s="28" t="s">
        <v>540</v>
      </c>
      <c r="E16" s="28" t="s">
        <v>460</v>
      </c>
      <c r="F16" s="28" t="s">
        <v>541</v>
      </c>
      <c r="G16" s="28">
        <v>29405</v>
      </c>
      <c r="H16" s="28">
        <v>32.835301999999999</v>
      </c>
      <c r="I16" s="28">
        <v>-79.958067999999997</v>
      </c>
      <c r="J16" s="28" t="s">
        <v>542</v>
      </c>
      <c r="K16" s="61">
        <v>110017326963</v>
      </c>
      <c r="L16" s="28" t="str">
        <f>INDEX('Facility Summary'!$K:$K,MATCH(K16,'Facility Summary'!$J:$J,0))</f>
        <v>Manufacturing</v>
      </c>
      <c r="M16" s="28">
        <v>325199</v>
      </c>
      <c r="N16" s="28" t="str">
        <f>VLOOKUP(M16,'SIC &amp; NAICS Codes'!$D:$E,2,FALSE)</f>
        <v>All Other Basic Organic Chemical Manufacturing</v>
      </c>
      <c r="O16" s="28"/>
      <c r="P16" s="28" t="s">
        <v>2466</v>
      </c>
      <c r="Q16" s="28"/>
      <c r="R16" s="28">
        <v>0</v>
      </c>
      <c r="S16" s="28">
        <f t="shared" si="0"/>
        <v>0</v>
      </c>
      <c r="T16" s="28">
        <v>8</v>
      </c>
      <c r="U16" s="28">
        <f t="shared" si="1"/>
        <v>3.6287389600000002</v>
      </c>
      <c r="V16" s="28">
        <v>0</v>
      </c>
      <c r="W16" s="28">
        <f t="shared" si="2"/>
        <v>0</v>
      </c>
      <c r="X16" s="28" t="s">
        <v>2478</v>
      </c>
      <c r="Y16" s="92" t="str">
        <f>IF(COUNTIF('Raw Annual DMR Data'!$L:$L,'Raw TRI Data'!K72)&gt;0,"N/A - See DMRs",SUMIFS('Generic Factors'!$D:$D,'Generic Factors'!$A:$A,A16,'Generic Factors'!$B:$B,L16))</f>
        <v>N/A - See DMRs</v>
      </c>
      <c r="Z16" s="112" t="e">
        <f t="shared" si="3"/>
        <v>#N/A</v>
      </c>
      <c r="AA16" s="112" t="e">
        <f t="shared" si="4"/>
        <v>#N/A</v>
      </c>
      <c r="AB16" s="112" t="e">
        <f t="shared" si="5"/>
        <v>#N/A</v>
      </c>
    </row>
    <row r="17" spans="1:28" x14ac:dyDescent="0.25">
      <c r="A17" s="97">
        <v>2015</v>
      </c>
      <c r="B17" s="28" t="s">
        <v>2405</v>
      </c>
      <c r="C17" s="28" t="s">
        <v>214</v>
      </c>
      <c r="D17" s="28" t="s">
        <v>562</v>
      </c>
      <c r="E17" s="28" t="s">
        <v>563</v>
      </c>
      <c r="F17" s="28" t="s">
        <v>564</v>
      </c>
      <c r="G17" s="28">
        <v>52761</v>
      </c>
      <c r="H17" s="28">
        <v>41.350468999999997</v>
      </c>
      <c r="I17" s="28">
        <v>-91.081619000000003</v>
      </c>
      <c r="J17" s="28" t="s">
        <v>565</v>
      </c>
      <c r="K17" s="61">
        <v>110018869474</v>
      </c>
      <c r="L17" s="28" t="str">
        <f>INDEX('Facility Summary'!$K:$K,MATCH(K17,'Facility Summary'!$J:$J,0))</f>
        <v>Processing into formulation, mixture, or reaction product</v>
      </c>
      <c r="M17" s="28">
        <v>325320</v>
      </c>
      <c r="N17" s="28" t="str">
        <f>VLOOKUP(M17,'SIC &amp; NAICS Codes'!$D:$E,2,FALSE)</f>
        <v>Pesticide and Other Agricultural Chemical Manufacturing</v>
      </c>
      <c r="O17" s="28"/>
      <c r="P17" s="28" t="s">
        <v>2404</v>
      </c>
      <c r="Q17" s="28"/>
      <c r="R17" s="28">
        <v>50</v>
      </c>
      <c r="S17" s="28">
        <f t="shared" si="0"/>
        <v>22.6796185</v>
      </c>
      <c r="T17" s="28">
        <v>0</v>
      </c>
      <c r="U17" s="28">
        <f t="shared" si="1"/>
        <v>0</v>
      </c>
      <c r="V17" s="28">
        <v>0</v>
      </c>
      <c r="W17" s="28">
        <f t="shared" si="2"/>
        <v>0</v>
      </c>
      <c r="X17" s="28" t="s">
        <v>2479</v>
      </c>
      <c r="Y17" s="92">
        <f>IF(COUNTIF('Raw Annual DMR Data'!$L:$L,'Raw TRI Data'!K78)&gt;0,"N/A - See DMRs",SUMIFS('Generic Factors'!$D:$D,'Generic Factors'!$A:$A,A17,'Generic Factors'!$B:$B,L17))</f>
        <v>0</v>
      </c>
      <c r="Z17" s="112" t="str">
        <f t="shared" si="3"/>
        <v>N/A - No Generic Factor</v>
      </c>
      <c r="AA17" s="112" t="str">
        <f t="shared" si="4"/>
        <v>N/A - No Generic Factor</v>
      </c>
      <c r="AB17" s="112" t="str">
        <f t="shared" si="5"/>
        <v>N/A - No Generic Factor</v>
      </c>
    </row>
    <row r="18" spans="1:28" x14ac:dyDescent="0.25">
      <c r="A18" s="97">
        <v>2015</v>
      </c>
      <c r="B18" s="28" t="s">
        <v>2405</v>
      </c>
      <c r="C18" s="28" t="s">
        <v>215</v>
      </c>
      <c r="D18" s="28" t="s">
        <v>574</v>
      </c>
      <c r="E18" s="28" t="s">
        <v>575</v>
      </c>
      <c r="F18" s="28" t="s">
        <v>435</v>
      </c>
      <c r="G18" s="28">
        <v>28147</v>
      </c>
      <c r="H18" s="28">
        <v>35.632199999999997</v>
      </c>
      <c r="I18" s="28">
        <v>-80.541200000000003</v>
      </c>
      <c r="J18" s="28" t="s">
        <v>576</v>
      </c>
      <c r="K18" s="61">
        <v>110000348936</v>
      </c>
      <c r="L18" s="28" t="str">
        <f>INDEX('Facility Summary'!$K:$K,MATCH(K18,'Facility Summary'!$J:$J,0))</f>
        <v>Processing into formulation, mixture, or reaction product</v>
      </c>
      <c r="M18" s="28">
        <v>325199</v>
      </c>
      <c r="N18" s="28" t="str">
        <f>VLOOKUP(M18,'SIC &amp; NAICS Codes'!$D:$E,2,FALSE)</f>
        <v>All Other Basic Organic Chemical Manufacturing</v>
      </c>
      <c r="O18" s="28"/>
      <c r="P18" s="28" t="s">
        <v>2466</v>
      </c>
      <c r="Q18" s="28"/>
      <c r="R18" s="28">
        <v>0</v>
      </c>
      <c r="S18" s="28">
        <f t="shared" si="0"/>
        <v>0</v>
      </c>
      <c r="T18" s="28">
        <v>4.72</v>
      </c>
      <c r="U18" s="28">
        <f t="shared" si="1"/>
        <v>2.1409559863999998</v>
      </c>
      <c r="V18" s="28">
        <v>0</v>
      </c>
      <c r="W18" s="28">
        <f t="shared" si="2"/>
        <v>0</v>
      </c>
      <c r="X18" s="28" t="s">
        <v>2480</v>
      </c>
      <c r="Y18" s="92" t="str">
        <f>IF(COUNTIF('Raw Annual DMR Data'!$L:$L,'Raw TRI Data'!K84)&gt;0,"N/A - See DMRs",SUMIFS('Generic Factors'!$D:$D,'Generic Factors'!$A:$A,A18,'Generic Factors'!$B:$B,L18))</f>
        <v>N/A - See DMRs</v>
      </c>
      <c r="Z18" s="112" t="e">
        <f t="shared" si="3"/>
        <v>#N/A</v>
      </c>
      <c r="AA18" s="112" t="e">
        <f t="shared" si="4"/>
        <v>#N/A</v>
      </c>
      <c r="AB18" s="112" t="e">
        <f t="shared" si="5"/>
        <v>#N/A</v>
      </c>
    </row>
    <row r="19" spans="1:28" x14ac:dyDescent="0.25">
      <c r="A19" s="97">
        <v>2015</v>
      </c>
      <c r="B19" s="28" t="s">
        <v>2405</v>
      </c>
      <c r="C19" s="28" t="s">
        <v>2419</v>
      </c>
      <c r="D19" s="28" t="s">
        <v>2420</v>
      </c>
      <c r="E19" s="28" t="s">
        <v>2421</v>
      </c>
      <c r="F19" s="28" t="s">
        <v>362</v>
      </c>
      <c r="G19" s="28">
        <v>78359</v>
      </c>
      <c r="H19" s="28">
        <v>27.883610999999998</v>
      </c>
      <c r="I19" s="28">
        <v>-97.241382999999999</v>
      </c>
      <c r="J19" s="28" t="s">
        <v>583</v>
      </c>
      <c r="K19" s="61">
        <v>110000599807</v>
      </c>
      <c r="L19" s="28" t="str">
        <f>INDEX('Facility Summary'!$K:$K,MATCH(K19,'Facility Summary'!$J:$J,0))</f>
        <v>Manufacturing</v>
      </c>
      <c r="M19" s="28">
        <v>325199</v>
      </c>
      <c r="N19" s="28" t="str">
        <f>VLOOKUP(M19,'SIC &amp; NAICS Codes'!$D:$E,2,FALSE)</f>
        <v>All Other Basic Organic Chemical Manufacturing</v>
      </c>
      <c r="O19" s="28"/>
      <c r="P19" s="28" t="s">
        <v>2404</v>
      </c>
      <c r="Q19" s="28"/>
      <c r="R19" s="28">
        <v>12</v>
      </c>
      <c r="S19" s="28">
        <f t="shared" si="0"/>
        <v>5.4431084399999996</v>
      </c>
      <c r="T19" s="28">
        <v>0</v>
      </c>
      <c r="U19" s="28">
        <f t="shared" si="1"/>
        <v>0</v>
      </c>
      <c r="V19" s="28">
        <v>0</v>
      </c>
      <c r="W19" s="28">
        <f t="shared" si="2"/>
        <v>0</v>
      </c>
      <c r="X19" s="28" t="s">
        <v>910</v>
      </c>
      <c r="Y19" s="92" t="str">
        <f>IF(COUNTIF('Raw Annual DMR Data'!$L:$L,'Raw TRI Data'!K90)&gt;0,"N/A - See DMRs",SUMIFS('Generic Factors'!$D:$D,'Generic Factors'!$A:$A,A19,'Generic Factors'!$B:$B,L19))</f>
        <v>N/A - See DMRs</v>
      </c>
      <c r="Z19" s="112" t="e">
        <f t="shared" si="3"/>
        <v>#N/A</v>
      </c>
      <c r="AA19" s="112" t="e">
        <f t="shared" si="4"/>
        <v>#N/A</v>
      </c>
      <c r="AB19" s="112" t="e">
        <f t="shared" si="5"/>
        <v>#N/A</v>
      </c>
    </row>
    <row r="20" spans="1:28" x14ac:dyDescent="0.25">
      <c r="A20" s="97">
        <v>2015</v>
      </c>
      <c r="B20" s="28" t="s">
        <v>2405</v>
      </c>
      <c r="C20" s="28" t="s">
        <v>216</v>
      </c>
      <c r="D20" s="28" t="s">
        <v>586</v>
      </c>
      <c r="E20" s="28" t="s">
        <v>587</v>
      </c>
      <c r="F20" s="28" t="s">
        <v>303</v>
      </c>
      <c r="G20" s="28">
        <v>70723</v>
      </c>
      <c r="H20" s="28">
        <v>30.05509</v>
      </c>
      <c r="I20" s="28">
        <v>-90.830839999999995</v>
      </c>
      <c r="J20" s="28" t="s">
        <v>588</v>
      </c>
      <c r="K20" s="61">
        <v>110000597328</v>
      </c>
      <c r="L20" s="28" t="str">
        <f>INDEX('Facility Summary'!$K:$K,MATCH(K20,'Facility Summary'!$J:$J,0))</f>
        <v>Manufacturing</v>
      </c>
      <c r="M20" s="28">
        <v>325180</v>
      </c>
      <c r="N20" s="28" t="str">
        <f>VLOOKUP(M20,'SIC &amp; NAICS Codes'!$D:$E,2,FALSE)</f>
        <v>Other Basic Inorganic Chemical Manufacturing</v>
      </c>
      <c r="O20" s="28"/>
      <c r="P20" s="28" t="s">
        <v>2404</v>
      </c>
      <c r="Q20" s="28"/>
      <c r="R20" s="28">
        <v>1.26</v>
      </c>
      <c r="S20" s="28">
        <f t="shared" si="0"/>
        <v>0.57152638620000007</v>
      </c>
      <c r="T20" s="28">
        <v>0</v>
      </c>
      <c r="U20" s="28">
        <f t="shared" si="1"/>
        <v>0</v>
      </c>
      <c r="V20" s="28">
        <v>0</v>
      </c>
      <c r="W20" s="28">
        <f t="shared" si="2"/>
        <v>0</v>
      </c>
      <c r="X20" s="28" t="s">
        <v>2481</v>
      </c>
      <c r="Y20" s="92">
        <f>IF(COUNTIF('Raw Annual DMR Data'!$L:$L,'Raw TRI Data'!K96)&gt;0,"N/A - See DMRs",SUMIFS('Generic Factors'!$D:$D,'Generic Factors'!$A:$A,A20,'Generic Factors'!$B:$B,L20))</f>
        <v>20.451304340508976</v>
      </c>
      <c r="Z20" s="112">
        <f t="shared" si="3"/>
        <v>0.38427771792493831</v>
      </c>
      <c r="AA20" s="112">
        <f t="shared" si="4"/>
        <v>0</v>
      </c>
      <c r="AB20" s="112">
        <f t="shared" si="5"/>
        <v>0</v>
      </c>
    </row>
    <row r="21" spans="1:28" x14ac:dyDescent="0.25">
      <c r="A21" s="97">
        <v>2015</v>
      </c>
      <c r="B21" s="28" t="s">
        <v>2405</v>
      </c>
      <c r="C21" s="28" t="s">
        <v>2422</v>
      </c>
      <c r="D21" s="28" t="s">
        <v>2423</v>
      </c>
      <c r="E21" s="28" t="s">
        <v>516</v>
      </c>
      <c r="F21" s="28" t="s">
        <v>303</v>
      </c>
      <c r="G21" s="28">
        <v>70734</v>
      </c>
      <c r="H21" s="28">
        <v>30.185099999999998</v>
      </c>
      <c r="I21" s="28">
        <v>-90.980400000000003</v>
      </c>
      <c r="J21" s="28" t="s">
        <v>585</v>
      </c>
      <c r="K21" s="61">
        <v>110000449774</v>
      </c>
      <c r="L21" s="28" t="str">
        <f>INDEX('Facility Summary'!$K:$K,MATCH(K21,'Facility Summary'!$J:$J,0))</f>
        <v>Manufacturing</v>
      </c>
      <c r="M21" s="28">
        <v>325199</v>
      </c>
      <c r="N21" s="28" t="str">
        <f>VLOOKUP(M21,'SIC &amp; NAICS Codes'!$D:$E,2,FALSE)</f>
        <v>All Other Basic Organic Chemical Manufacturing</v>
      </c>
      <c r="O21" s="28"/>
      <c r="P21" s="28" t="s">
        <v>2404</v>
      </c>
      <c r="Q21" s="28"/>
      <c r="R21" s="28">
        <v>7.86</v>
      </c>
      <c r="S21" s="28">
        <f t="shared" si="0"/>
        <v>3.5652360282000006</v>
      </c>
      <c r="T21" s="28">
        <v>0</v>
      </c>
      <c r="U21" s="28">
        <f t="shared" si="1"/>
        <v>0</v>
      </c>
      <c r="V21" s="28">
        <v>0</v>
      </c>
      <c r="W21" s="28">
        <f t="shared" si="2"/>
        <v>0</v>
      </c>
      <c r="X21" s="28" t="s">
        <v>912</v>
      </c>
      <c r="Y21" s="92">
        <f>IF(COUNTIF('Raw Annual DMR Data'!$L:$L,'Raw TRI Data'!K102)&gt;0,"N/A - See DMRs",SUMIFS('Generic Factors'!$D:$D,'Generic Factors'!$A:$A,A21,'Generic Factors'!$B:$B,L21))</f>
        <v>20.451304340508976</v>
      </c>
      <c r="Z21" s="112">
        <f t="shared" si="3"/>
        <v>2.3971610022936627</v>
      </c>
      <c r="AA21" s="112">
        <f t="shared" si="4"/>
        <v>0</v>
      </c>
      <c r="AB21" s="112">
        <f t="shared" si="5"/>
        <v>0</v>
      </c>
    </row>
    <row r="22" spans="1:28" x14ac:dyDescent="0.25">
      <c r="A22" s="97">
        <v>2015</v>
      </c>
      <c r="B22" s="28" t="s">
        <v>2405</v>
      </c>
      <c r="C22" s="28" t="s">
        <v>2424</v>
      </c>
      <c r="D22" s="28" t="s">
        <v>2425</v>
      </c>
      <c r="E22" s="28" t="s">
        <v>437</v>
      </c>
      <c r="F22" s="28" t="s">
        <v>362</v>
      </c>
      <c r="G22" s="28">
        <v>77541</v>
      </c>
      <c r="H22" s="28">
        <v>28.981691999999999</v>
      </c>
      <c r="I22" s="28">
        <v>-95.376501000000005</v>
      </c>
      <c r="J22" s="28" t="s">
        <v>484</v>
      </c>
      <c r="K22" s="61">
        <v>110066943605</v>
      </c>
      <c r="L22" s="28" t="str">
        <f>INDEX('Facility Summary'!$K:$K,MATCH(K22,'Facility Summary'!$J:$J,0))</f>
        <v>Manufacturing</v>
      </c>
      <c r="M22" s="28">
        <v>325199</v>
      </c>
      <c r="N22" s="28" t="str">
        <f>VLOOKUP(M22,'SIC &amp; NAICS Codes'!$D:$E,2,FALSE)</f>
        <v>All Other Basic Organic Chemical Manufacturing</v>
      </c>
      <c r="O22" s="28"/>
      <c r="P22" s="28" t="s">
        <v>2404</v>
      </c>
      <c r="Q22" s="28"/>
      <c r="R22" s="28">
        <v>7</v>
      </c>
      <c r="S22" s="28">
        <f t="shared" si="0"/>
        <v>3.1751465900000002</v>
      </c>
      <c r="T22" s="28">
        <v>0</v>
      </c>
      <c r="U22" s="28">
        <f t="shared" si="1"/>
        <v>0</v>
      </c>
      <c r="V22" s="28">
        <v>0</v>
      </c>
      <c r="W22" s="28">
        <f t="shared" si="2"/>
        <v>0</v>
      </c>
      <c r="X22" s="28" t="s">
        <v>2483</v>
      </c>
      <c r="Y22" s="92" t="str">
        <f>IF(COUNTIF('Raw Annual DMR Data'!$L:$L,'Raw TRI Data'!K110)&gt;0,"N/A - See DMRs",SUMIFS('Generic Factors'!$D:$D,'Generic Factors'!$A:$A,A22,'Generic Factors'!$B:$B,L22))</f>
        <v>N/A - See DMRs</v>
      </c>
      <c r="Z22" s="112" t="e">
        <f t="shared" si="3"/>
        <v>#N/A</v>
      </c>
      <c r="AA22" s="112" t="e">
        <f t="shared" si="4"/>
        <v>#N/A</v>
      </c>
      <c r="AB22" s="112" t="e">
        <f t="shared" si="5"/>
        <v>#N/A</v>
      </c>
    </row>
    <row r="23" spans="1:28" x14ac:dyDescent="0.25">
      <c r="A23" s="97">
        <v>2015</v>
      </c>
      <c r="B23" s="28" t="s">
        <v>2403</v>
      </c>
      <c r="C23" s="28" t="s">
        <v>679</v>
      </c>
      <c r="D23" s="28" t="s">
        <v>680</v>
      </c>
      <c r="E23" s="28" t="s">
        <v>681</v>
      </c>
      <c r="F23" s="28" t="s">
        <v>328</v>
      </c>
      <c r="G23" s="28">
        <v>31535</v>
      </c>
      <c r="H23" s="28">
        <v>31.485279999999999</v>
      </c>
      <c r="I23" s="28">
        <v>-82.862380000000002</v>
      </c>
      <c r="J23" s="28" t="s">
        <v>682</v>
      </c>
      <c r="K23" s="61">
        <v>110000360644</v>
      </c>
      <c r="L23" s="28" t="str">
        <f>INDEX('Facility Summary'!$K:$K,MATCH(K23,'Facility Summary'!$J:$J,0))</f>
        <v>Processing as a Reactant</v>
      </c>
      <c r="M23" s="28">
        <v>325199</v>
      </c>
      <c r="N23" s="28" t="s">
        <v>28</v>
      </c>
      <c r="O23" s="28"/>
      <c r="P23" s="28" t="s">
        <v>2404</v>
      </c>
      <c r="Q23" s="28"/>
      <c r="R23" s="28">
        <v>500</v>
      </c>
      <c r="S23" s="28">
        <f t="shared" si="0"/>
        <v>226.79618500000001</v>
      </c>
      <c r="T23" s="28">
        <v>500</v>
      </c>
      <c r="U23" s="28">
        <f t="shared" si="1"/>
        <v>226.79618500000001</v>
      </c>
      <c r="V23" s="28">
        <v>500</v>
      </c>
      <c r="W23" s="28">
        <f t="shared" si="2"/>
        <v>226.79618500000001</v>
      </c>
      <c r="X23" s="28" t="s">
        <v>2484</v>
      </c>
      <c r="Y23" s="92">
        <f>IF(COUNTIF('Raw Annual DMR Data'!$L:$L,'Raw TRI Data'!K113)&gt;0,"N/A - See DMRs",SUMIFS('Generic Factors'!$D:$D,'Generic Factors'!$A:$A,A23,'Generic Factors'!$B:$B,L23))</f>
        <v>6.9557812976273156E-2</v>
      </c>
      <c r="Z23" s="112">
        <f t="shared" si="3"/>
        <v>0.51864425200505804</v>
      </c>
      <c r="AA23" s="112">
        <f t="shared" si="4"/>
        <v>0.51864425200505804</v>
      </c>
      <c r="AB23" s="112">
        <f t="shared" si="5"/>
        <v>0.51864425200505804</v>
      </c>
    </row>
    <row r="24" spans="1:28" x14ac:dyDescent="0.25">
      <c r="A24" s="97">
        <v>2015</v>
      </c>
      <c r="B24" s="28" t="s">
        <v>2405</v>
      </c>
      <c r="C24" s="28" t="s">
        <v>217</v>
      </c>
      <c r="D24" s="28" t="s">
        <v>592</v>
      </c>
      <c r="E24" s="28" t="s">
        <v>590</v>
      </c>
      <c r="F24" s="28" t="s">
        <v>362</v>
      </c>
      <c r="G24" s="28">
        <v>77536</v>
      </c>
      <c r="H24" s="28">
        <v>29.728559000000001</v>
      </c>
      <c r="I24" s="28">
        <v>-95.110764000000003</v>
      </c>
      <c r="J24" s="28" t="s">
        <v>593</v>
      </c>
      <c r="K24" s="61">
        <v>110015742204</v>
      </c>
      <c r="L24" s="28" t="str">
        <f>INDEX('Facility Summary'!$K:$K,MATCH(K24,'Facility Summary'!$J:$J,0))</f>
        <v>Manufacturing</v>
      </c>
      <c r="M24" s="28">
        <v>325199</v>
      </c>
      <c r="N24" s="28" t="str">
        <f>VLOOKUP(M24,'SIC &amp; NAICS Codes'!$D:$E,2,FALSE)</f>
        <v>All Other Basic Organic Chemical Manufacturing</v>
      </c>
      <c r="O24" s="28"/>
      <c r="P24" s="28" t="s">
        <v>2466</v>
      </c>
      <c r="Q24" s="28"/>
      <c r="R24" s="28">
        <v>0</v>
      </c>
      <c r="S24" s="28">
        <f t="shared" si="0"/>
        <v>0</v>
      </c>
      <c r="T24" s="28">
        <v>0</v>
      </c>
      <c r="U24" s="28">
        <f t="shared" si="1"/>
        <v>0</v>
      </c>
      <c r="V24" s="28">
        <v>533.20000000000005</v>
      </c>
      <c r="W24" s="28">
        <f t="shared" si="2"/>
        <v>241.85545168400003</v>
      </c>
      <c r="X24" s="28"/>
      <c r="Y24" s="92" t="str">
        <f>IF(COUNTIF('Raw Annual DMR Data'!$L:$L,'Raw TRI Data'!K119)&gt;0,"N/A - See DMRs",SUMIFS('Generic Factors'!$D:$D,'Generic Factors'!$A:$A,A24,'Generic Factors'!$B:$B,L24))</f>
        <v>N/A - See DMRs</v>
      </c>
      <c r="Z24" s="112" t="e">
        <f t="shared" si="3"/>
        <v>#N/A</v>
      </c>
      <c r="AA24" s="112" t="e">
        <f t="shared" si="4"/>
        <v>#N/A</v>
      </c>
      <c r="AB24" s="112" t="e">
        <f t="shared" si="5"/>
        <v>#N/A</v>
      </c>
    </row>
    <row r="25" spans="1:28" x14ac:dyDescent="0.25">
      <c r="A25" s="97">
        <v>2015</v>
      </c>
      <c r="B25" s="28" t="s">
        <v>2405</v>
      </c>
      <c r="C25" s="28" t="s">
        <v>218</v>
      </c>
      <c r="D25" s="28" t="s">
        <v>594</v>
      </c>
      <c r="E25" s="28" t="s">
        <v>361</v>
      </c>
      <c r="F25" s="28" t="s">
        <v>362</v>
      </c>
      <c r="G25" s="28">
        <v>77571</v>
      </c>
      <c r="H25" s="28">
        <v>29.723759999999999</v>
      </c>
      <c r="I25" s="28">
        <v>-95.074219999999997</v>
      </c>
      <c r="J25" s="28" t="s">
        <v>595</v>
      </c>
      <c r="K25" s="61">
        <v>110017769734</v>
      </c>
      <c r="L25" s="28" t="str">
        <f>INDEX('Facility Summary'!$K:$K,MATCH(K25,'Facility Summary'!$J:$J,0))</f>
        <v>Manufacturing</v>
      </c>
      <c r="M25" s="28">
        <v>325199</v>
      </c>
      <c r="N25" s="28" t="str">
        <f>VLOOKUP(M25,'SIC &amp; NAICS Codes'!$D:$E,2,FALSE)</f>
        <v>All Other Basic Organic Chemical Manufacturing</v>
      </c>
      <c r="O25" s="28"/>
      <c r="P25" s="28" t="s">
        <v>2404</v>
      </c>
      <c r="Q25" s="28"/>
      <c r="R25" s="28">
        <v>3.3</v>
      </c>
      <c r="S25" s="28">
        <f t="shared" si="0"/>
        <v>1.4968548209999999</v>
      </c>
      <c r="T25" s="28">
        <v>0</v>
      </c>
      <c r="U25" s="28">
        <f t="shared" si="1"/>
        <v>0</v>
      </c>
      <c r="V25" s="28">
        <v>0</v>
      </c>
      <c r="W25" s="28">
        <f t="shared" si="2"/>
        <v>0</v>
      </c>
      <c r="X25" s="28" t="s">
        <v>2485</v>
      </c>
      <c r="Y25" s="92">
        <f>IF(COUNTIF('Raw Annual DMR Data'!$L:$L,'Raw TRI Data'!K124)&gt;0,"N/A - See DMRs",SUMIFS('Generic Factors'!$D:$D,'Generic Factors'!$A:$A,A25,'Generic Factors'!$B:$B,L25))</f>
        <v>20.451304340508976</v>
      </c>
      <c r="Z25" s="112">
        <f t="shared" si="3"/>
        <v>1.0064416421843621</v>
      </c>
      <c r="AA25" s="112">
        <f t="shared" si="4"/>
        <v>0</v>
      </c>
      <c r="AB25" s="112">
        <f t="shared" si="5"/>
        <v>0</v>
      </c>
    </row>
    <row r="26" spans="1:28" x14ac:dyDescent="0.25">
      <c r="A26" s="97">
        <v>2015</v>
      </c>
      <c r="B26" s="28" t="s">
        <v>2405</v>
      </c>
      <c r="C26" s="28" t="s">
        <v>637</v>
      </c>
      <c r="D26" s="28" t="s">
        <v>638</v>
      </c>
      <c r="E26" s="28" t="s">
        <v>437</v>
      </c>
      <c r="F26" s="28" t="s">
        <v>362</v>
      </c>
      <c r="G26" s="28">
        <v>77541</v>
      </c>
      <c r="H26" s="28">
        <v>28.901664</v>
      </c>
      <c r="I26" s="28">
        <v>-95.383094</v>
      </c>
      <c r="J26" s="28" t="s">
        <v>639</v>
      </c>
      <c r="K26" s="61">
        <v>110020774740</v>
      </c>
      <c r="L26" s="28" t="str">
        <f>INDEX('Facility Summary'!$K:$K,MATCH(K26,'Facility Summary'!$J:$J,0))</f>
        <v>Repackaging</v>
      </c>
      <c r="M26" s="28">
        <v>336611</v>
      </c>
      <c r="N26" s="28" t="str">
        <f>VLOOKUP(M26,'SIC &amp; NAICS Codes'!$D:$E,2,FALSE)</f>
        <v>Ship Building and Repairing</v>
      </c>
      <c r="O26" s="28"/>
      <c r="P26" s="28" t="s">
        <v>2466</v>
      </c>
      <c r="Q26" s="28"/>
      <c r="R26" s="28">
        <v>0</v>
      </c>
      <c r="S26" s="28">
        <f t="shared" si="0"/>
        <v>0</v>
      </c>
      <c r="T26" s="28">
        <v>0</v>
      </c>
      <c r="U26" s="28">
        <f t="shared" si="1"/>
        <v>0</v>
      </c>
      <c r="V26" s="28">
        <v>21684</v>
      </c>
      <c r="W26" s="28">
        <f t="shared" si="2"/>
        <v>9835.6969510800009</v>
      </c>
      <c r="X26" s="28" t="s">
        <v>942</v>
      </c>
      <c r="Y26" s="92">
        <f>IF(COUNTIF('Raw Annual DMR Data'!$L:$L,'Raw TRI Data'!K131)&gt;0,"N/A - See DMRs",SUMIFS('Generic Factors'!$D:$D,'Generic Factors'!$A:$A,A26,'Generic Factors'!$B:$B,L26))</f>
        <v>0</v>
      </c>
      <c r="Z26" s="112" t="str">
        <f t="shared" si="3"/>
        <v>N/A - No Generic Factor</v>
      </c>
      <c r="AA26" s="112" t="str">
        <f t="shared" si="4"/>
        <v>N/A - No Generic Factor</v>
      </c>
      <c r="AB26" s="112" t="str">
        <f t="shared" si="5"/>
        <v>N/A - No Generic Factor</v>
      </c>
    </row>
    <row r="27" spans="1:28" x14ac:dyDescent="0.25">
      <c r="A27" s="97">
        <v>2015</v>
      </c>
      <c r="B27" s="28" t="s">
        <v>2405</v>
      </c>
      <c r="C27" s="28" t="s">
        <v>219</v>
      </c>
      <c r="D27" s="28" t="s">
        <v>641</v>
      </c>
      <c r="E27" s="28" t="s">
        <v>426</v>
      </c>
      <c r="F27" s="28" t="s">
        <v>427</v>
      </c>
      <c r="G27" s="28">
        <v>48667</v>
      </c>
      <c r="H27" s="28">
        <v>43.600299999999997</v>
      </c>
      <c r="I27" s="28">
        <v>-84.223399999999998</v>
      </c>
      <c r="J27" s="28" t="s">
        <v>642</v>
      </c>
      <c r="K27" s="61">
        <v>110043787408</v>
      </c>
      <c r="L27" s="28" t="str">
        <f>INDEX('Facility Summary'!$K:$K,MATCH(K27,'Facility Summary'!$J:$J,0))</f>
        <v>Processing into formulation, mixture, or reaction product</v>
      </c>
      <c r="M27" s="28">
        <v>325199</v>
      </c>
      <c r="N27" s="28" t="str">
        <f>VLOOKUP(M27,'SIC &amp; NAICS Codes'!$D:$E,2,FALSE)</f>
        <v>All Other Basic Organic Chemical Manufacturing</v>
      </c>
      <c r="O27" s="28"/>
      <c r="P27" s="28" t="s">
        <v>2404</v>
      </c>
      <c r="Q27" s="28"/>
      <c r="R27" s="28">
        <v>140</v>
      </c>
      <c r="S27" s="28">
        <f t="shared" si="0"/>
        <v>63.502931800000006</v>
      </c>
      <c r="T27" s="28">
        <v>0</v>
      </c>
      <c r="U27" s="28">
        <f t="shared" si="1"/>
        <v>0</v>
      </c>
      <c r="V27" s="28">
        <v>0</v>
      </c>
      <c r="W27" s="28">
        <f t="shared" si="2"/>
        <v>0</v>
      </c>
      <c r="X27" s="28"/>
      <c r="Y27" s="92">
        <f>IF(COUNTIF('Raw Annual DMR Data'!$L:$L,'Raw TRI Data'!K132)&gt;0,"N/A - See DMRs",SUMIFS('Generic Factors'!$D:$D,'Generic Factors'!$A:$A,A27,'Generic Factors'!$B:$B,L27))</f>
        <v>0</v>
      </c>
      <c r="Z27" s="112" t="str">
        <f t="shared" si="3"/>
        <v>N/A - No Generic Factor</v>
      </c>
      <c r="AA27" s="112" t="str">
        <f t="shared" si="4"/>
        <v>N/A - No Generic Factor</v>
      </c>
      <c r="AB27" s="112" t="str">
        <f t="shared" si="5"/>
        <v>N/A - No Generic Factor</v>
      </c>
    </row>
    <row r="28" spans="1:28" x14ac:dyDescent="0.25">
      <c r="A28" s="97">
        <v>2015</v>
      </c>
      <c r="B28" s="28" t="s">
        <v>2403</v>
      </c>
      <c r="C28" s="28" t="s">
        <v>675</v>
      </c>
      <c r="D28" s="28" t="s">
        <v>676</v>
      </c>
      <c r="E28" s="28" t="s">
        <v>516</v>
      </c>
      <c r="F28" s="28" t="s">
        <v>303</v>
      </c>
      <c r="G28" s="28">
        <v>70734</v>
      </c>
      <c r="H28" s="28">
        <v>30.180099999999999</v>
      </c>
      <c r="I28" s="28">
        <v>-90.981899999999996</v>
      </c>
      <c r="J28" s="28" t="s">
        <v>677</v>
      </c>
      <c r="K28" s="61">
        <v>110007909095</v>
      </c>
      <c r="L28" s="28" t="str">
        <f>INDEX('Facility Summary'!$K:$K,MATCH(K28,'Facility Summary'!$J:$J,0))</f>
        <v>Repackaging</v>
      </c>
      <c r="M28" s="28">
        <v>424690</v>
      </c>
      <c r="N28" s="28" t="s">
        <v>678</v>
      </c>
      <c r="O28" s="28"/>
      <c r="P28" s="28" t="s">
        <v>2404</v>
      </c>
      <c r="Q28" s="28"/>
      <c r="R28" s="28">
        <v>500</v>
      </c>
      <c r="S28" s="28">
        <f t="shared" si="0"/>
        <v>226.79618500000001</v>
      </c>
      <c r="T28" s="28">
        <v>500</v>
      </c>
      <c r="U28" s="28">
        <f t="shared" si="1"/>
        <v>226.79618500000001</v>
      </c>
      <c r="V28" s="28">
        <v>500</v>
      </c>
      <c r="W28" s="28">
        <f t="shared" si="2"/>
        <v>226.79618500000001</v>
      </c>
      <c r="X28" s="28" t="s">
        <v>2487</v>
      </c>
      <c r="Y28" s="92">
        <f>IF(COUNTIF('Raw Annual DMR Data'!$L:$L,'Raw TRI Data'!K137)&gt;0,"N/A - See DMRs",SUMIFS('Generic Factors'!$D:$D,'Generic Factors'!$A:$A,A28,'Generic Factors'!$B:$B,L28))</f>
        <v>0</v>
      </c>
      <c r="Z28" s="112" t="str">
        <f t="shared" si="3"/>
        <v>N/A - No Generic Factor</v>
      </c>
      <c r="AA28" s="112" t="str">
        <f t="shared" si="4"/>
        <v>N/A - No Generic Factor</v>
      </c>
      <c r="AB28" s="112" t="str">
        <f t="shared" si="5"/>
        <v>N/A - No Generic Factor</v>
      </c>
    </row>
    <row r="29" spans="1:28" x14ac:dyDescent="0.25">
      <c r="A29" s="97">
        <v>2015</v>
      </c>
      <c r="B29" s="28" t="s">
        <v>2405</v>
      </c>
      <c r="C29" s="28" t="s">
        <v>221</v>
      </c>
      <c r="D29" s="28" t="s">
        <v>663</v>
      </c>
      <c r="E29" s="28" t="s">
        <v>446</v>
      </c>
      <c r="F29" s="28" t="s">
        <v>303</v>
      </c>
      <c r="G29" s="28">
        <v>70669</v>
      </c>
      <c r="H29" s="28">
        <v>30.252222</v>
      </c>
      <c r="I29" s="28">
        <v>-93.284443999999993</v>
      </c>
      <c r="J29" s="28" t="s">
        <v>664</v>
      </c>
      <c r="K29" s="61">
        <v>110002054482</v>
      </c>
      <c r="L29" s="28" t="str">
        <f>INDEX('Facility Summary'!$K:$K,MATCH(K29,'Facility Summary'!$J:$J,0))</f>
        <v>Manufacturing</v>
      </c>
      <c r="M29" s="28">
        <v>325110</v>
      </c>
      <c r="N29" s="28" t="str">
        <f>VLOOKUP(M29,'SIC &amp; NAICS Codes'!$D:$E,2,FALSE)</f>
        <v>Petrochemical Manufacturing</v>
      </c>
      <c r="O29" s="28"/>
      <c r="P29" s="28" t="s">
        <v>2466</v>
      </c>
      <c r="Q29" s="28"/>
      <c r="R29" s="28">
        <v>0</v>
      </c>
      <c r="S29" s="28">
        <f t="shared" si="0"/>
        <v>0</v>
      </c>
      <c r="T29" s="28">
        <v>0</v>
      </c>
      <c r="U29" s="28">
        <f t="shared" si="1"/>
        <v>0</v>
      </c>
      <c r="V29" s="28">
        <v>63</v>
      </c>
      <c r="W29" s="28">
        <f t="shared" si="2"/>
        <v>28.576319310000002</v>
      </c>
      <c r="X29" s="28"/>
      <c r="Y29" s="92">
        <f>IF(COUNTIF('Raw Annual DMR Data'!$L:$L,'Raw TRI Data'!K142)&gt;0,"N/A - See DMRs",SUMIFS('Generic Factors'!$D:$D,'Generic Factors'!$A:$A,A29,'Generic Factors'!$B:$B,L29))</f>
        <v>20.451304340508976</v>
      </c>
      <c r="Z29" s="112">
        <f t="shared" si="3"/>
        <v>0</v>
      </c>
      <c r="AA29" s="112">
        <f t="shared" si="4"/>
        <v>0</v>
      </c>
      <c r="AB29" s="112">
        <f t="shared" si="5"/>
        <v>19.213885896246918</v>
      </c>
    </row>
    <row r="30" spans="1:28" x14ac:dyDescent="0.25">
      <c r="A30" s="97">
        <v>2015</v>
      </c>
      <c r="B30" s="28" t="s">
        <v>2405</v>
      </c>
      <c r="C30" s="28" t="s">
        <v>201</v>
      </c>
      <c r="D30" s="28" t="s">
        <v>665</v>
      </c>
      <c r="E30" s="28" t="s">
        <v>516</v>
      </c>
      <c r="F30" s="28" t="s">
        <v>303</v>
      </c>
      <c r="G30" s="28">
        <v>70734</v>
      </c>
      <c r="H30" s="28">
        <v>30.208604000000001</v>
      </c>
      <c r="I30" s="28">
        <v>-91.011127999999999</v>
      </c>
      <c r="J30" s="28" t="s">
        <v>666</v>
      </c>
      <c r="K30" s="61">
        <v>110000746328</v>
      </c>
      <c r="L30" s="28" t="str">
        <f>INDEX('Facility Summary'!$K:$K,MATCH(K30,'Facility Summary'!$J:$J,0))</f>
        <v>Manufacturing</v>
      </c>
      <c r="M30" s="28">
        <v>325211</v>
      </c>
      <c r="N30" s="28" t="str">
        <f>VLOOKUP(M30,'SIC &amp; NAICS Codes'!$D:$E,2,FALSE)</f>
        <v>Plastics Material and Resin Manufacturing</v>
      </c>
      <c r="O30" s="28"/>
      <c r="P30" s="28" t="s">
        <v>2404</v>
      </c>
      <c r="Q30" s="28"/>
      <c r="R30" s="28">
        <v>48</v>
      </c>
      <c r="S30" s="28">
        <f t="shared" si="0"/>
        <v>21.772433759999998</v>
      </c>
      <c r="T30" s="28">
        <v>0</v>
      </c>
      <c r="U30" s="28">
        <f t="shared" si="1"/>
        <v>0</v>
      </c>
      <c r="V30" s="28">
        <v>0</v>
      </c>
      <c r="W30" s="28">
        <f t="shared" si="2"/>
        <v>0</v>
      </c>
      <c r="X30" s="28" t="s">
        <v>2488</v>
      </c>
      <c r="Y30" s="92">
        <f>IF(COUNTIF('Raw Annual DMR Data'!$L:$L,'Raw TRI Data'!K148)&gt;0,"N/A - See DMRs",SUMIFS('Generic Factors'!$D:$D,'Generic Factors'!$A:$A,A30,'Generic Factors'!$B:$B,L30))</f>
        <v>20.451304340508976</v>
      </c>
      <c r="Z30" s="112">
        <f t="shared" si="3"/>
        <v>14.639151159045268</v>
      </c>
      <c r="AA30" s="112">
        <f t="shared" si="4"/>
        <v>0</v>
      </c>
      <c r="AB30" s="112">
        <f t="shared" si="5"/>
        <v>0</v>
      </c>
    </row>
    <row r="31" spans="1:28" x14ac:dyDescent="0.25">
      <c r="A31" s="97">
        <v>2015</v>
      </c>
      <c r="B31" s="28" t="s">
        <v>2405</v>
      </c>
      <c r="C31" s="28" t="s">
        <v>202</v>
      </c>
      <c r="D31" s="28" t="s">
        <v>2426</v>
      </c>
      <c r="E31" s="28" t="s">
        <v>323</v>
      </c>
      <c r="F31" s="28" t="s">
        <v>324</v>
      </c>
      <c r="G31" s="28">
        <v>42029</v>
      </c>
      <c r="H31" s="28">
        <v>37.051110999999999</v>
      </c>
      <c r="I31" s="28">
        <v>-88.334166999999994</v>
      </c>
      <c r="J31" s="28" t="s">
        <v>668</v>
      </c>
      <c r="K31" s="61">
        <v>110027373072</v>
      </c>
      <c r="L31" s="28" t="str">
        <f>INDEX('Facility Summary'!$K:$K,MATCH(K31,'Facility Summary'!$J:$J,0))</f>
        <v>Manufacturing</v>
      </c>
      <c r="M31" s="28">
        <v>325199</v>
      </c>
      <c r="N31" s="28" t="str">
        <f>VLOOKUP(M31,'SIC &amp; NAICS Codes'!$D:$E,2,FALSE)</f>
        <v>All Other Basic Organic Chemical Manufacturing</v>
      </c>
      <c r="O31" s="28"/>
      <c r="P31" s="28" t="s">
        <v>2404</v>
      </c>
      <c r="Q31" s="28"/>
      <c r="R31" s="28">
        <v>1606</v>
      </c>
      <c r="S31" s="28">
        <f t="shared" si="0"/>
        <v>728.46934622000003</v>
      </c>
      <c r="T31" s="28">
        <v>0</v>
      </c>
      <c r="U31" s="28">
        <f t="shared" si="1"/>
        <v>0</v>
      </c>
      <c r="V31" s="28">
        <v>0</v>
      </c>
      <c r="W31" s="28">
        <f t="shared" si="2"/>
        <v>0</v>
      </c>
      <c r="X31" s="28" t="s">
        <v>957</v>
      </c>
      <c r="Y31" s="92">
        <f>IF(COUNTIF('Raw Annual DMR Data'!$L:$L,'Raw TRI Data'!K154)&gt;0,"N/A - See DMRs",SUMIFS('Generic Factors'!$D:$D,'Generic Factors'!$A:$A,A31,'Generic Factors'!$B:$B,L31))</f>
        <v>20.451304340508976</v>
      </c>
      <c r="Z31" s="112">
        <f t="shared" si="3"/>
        <v>489.80159919638959</v>
      </c>
      <c r="AA31" s="112">
        <f t="shared" si="4"/>
        <v>0</v>
      </c>
      <c r="AB31" s="112">
        <f t="shared" si="5"/>
        <v>0</v>
      </c>
    </row>
    <row r="32" spans="1:28" x14ac:dyDescent="0.25">
      <c r="A32" s="97">
        <v>2016</v>
      </c>
      <c r="B32" s="28" t="s">
        <v>2405</v>
      </c>
      <c r="C32" s="28" t="s">
        <v>105</v>
      </c>
      <c r="D32" s="28" t="s">
        <v>322</v>
      </c>
      <c r="E32" s="28" t="s">
        <v>323</v>
      </c>
      <c r="F32" s="28" t="s">
        <v>324</v>
      </c>
      <c r="G32" s="28">
        <v>42029</v>
      </c>
      <c r="H32" s="28">
        <v>37.056699000000002</v>
      </c>
      <c r="I32" s="28">
        <v>-88.365727000000007</v>
      </c>
      <c r="J32" s="28" t="s">
        <v>325</v>
      </c>
      <c r="K32" s="61">
        <v>110000380061</v>
      </c>
      <c r="L32" s="28" t="str">
        <f>INDEX('Facility Summary'!$K:$K,MATCH(K32,'Facility Summary'!$J:$J,0))</f>
        <v>Manufacturing</v>
      </c>
      <c r="M32" s="28">
        <v>325180</v>
      </c>
      <c r="N32" s="28" t="str">
        <f>VLOOKUP(M32,'SIC &amp; NAICS Codes'!$D:$E,2,FALSE)</f>
        <v>Other Basic Inorganic Chemical Manufacturing</v>
      </c>
      <c r="O32" s="28"/>
      <c r="P32" s="28" t="s">
        <v>2404</v>
      </c>
      <c r="Q32" s="28"/>
      <c r="R32" s="28">
        <v>26</v>
      </c>
      <c r="S32" s="28">
        <f t="shared" si="0"/>
        <v>11.793401620000001</v>
      </c>
      <c r="T32" s="28">
        <v>0</v>
      </c>
      <c r="U32" s="28">
        <f t="shared" si="1"/>
        <v>0</v>
      </c>
      <c r="V32" s="28">
        <v>0</v>
      </c>
      <c r="W32" s="28">
        <f t="shared" si="2"/>
        <v>0</v>
      </c>
      <c r="X32" s="28" t="s">
        <v>776</v>
      </c>
      <c r="Y32" s="92">
        <f>IF(COUNTIF('Raw Annual DMR Data'!$L:$L,'Raw TRI Data'!K5)&gt;0,"N/A - See DMRs",SUMIFS('Generic Factors'!$D:$D,'Generic Factors'!$A:$A,A32,'Generic Factors'!$B:$B,L32))</f>
        <v>5.3940313809082499</v>
      </c>
      <c r="Z32" s="112">
        <f t="shared" si="3"/>
        <v>2.0914161768349029</v>
      </c>
      <c r="AA32" s="112">
        <f t="shared" si="4"/>
        <v>0</v>
      </c>
      <c r="AB32" s="112">
        <f t="shared" si="5"/>
        <v>0</v>
      </c>
    </row>
    <row r="33" spans="1:28" x14ac:dyDescent="0.25">
      <c r="A33" s="97">
        <v>2016</v>
      </c>
      <c r="B33" s="28" t="s">
        <v>2405</v>
      </c>
      <c r="C33" s="28" t="s">
        <v>205</v>
      </c>
      <c r="D33" s="28" t="s">
        <v>343</v>
      </c>
      <c r="E33" s="28" t="s">
        <v>344</v>
      </c>
      <c r="F33" s="28" t="s">
        <v>345</v>
      </c>
      <c r="G33" s="28">
        <v>60901</v>
      </c>
      <c r="H33" s="28">
        <v>41.085541999999997</v>
      </c>
      <c r="I33" s="28">
        <v>-87.880542000000005</v>
      </c>
      <c r="J33" s="28" t="s">
        <v>346</v>
      </c>
      <c r="K33" s="61">
        <v>110043972207</v>
      </c>
      <c r="L33" s="28" t="str">
        <f>INDEX('Facility Summary'!$K:$K,MATCH(K33,'Facility Summary'!$J:$J,0))</f>
        <v>Processing into formulation, mixture, or reaction product</v>
      </c>
      <c r="M33" s="28">
        <v>325613</v>
      </c>
      <c r="N33" s="28" t="str">
        <f>VLOOKUP(M33,'SIC &amp; NAICS Codes'!$D:$E,2,FALSE)</f>
        <v>Surface Active Agent Manufacturing</v>
      </c>
      <c r="O33" s="28"/>
      <c r="P33" s="28" t="s">
        <v>2466</v>
      </c>
      <c r="Q33" s="28"/>
      <c r="R33" s="28">
        <v>0</v>
      </c>
      <c r="S33" s="28">
        <f t="shared" si="0"/>
        <v>0</v>
      </c>
      <c r="T33" s="28">
        <v>250</v>
      </c>
      <c r="U33" s="28">
        <f t="shared" si="1"/>
        <v>113.3980925</v>
      </c>
      <c r="V33" s="28">
        <v>0</v>
      </c>
      <c r="W33" s="28">
        <f t="shared" si="2"/>
        <v>0</v>
      </c>
      <c r="X33" s="28" t="s">
        <v>2467</v>
      </c>
      <c r="Y33" s="92">
        <f>IF(COUNTIF('Raw Annual DMR Data'!$L:$L,'Raw TRI Data'!K16)&gt;0,"N/A - See DMRs",SUMIFS('Generic Factors'!$D:$D,'Generic Factors'!$A:$A,A33,'Generic Factors'!$B:$B,L33))</f>
        <v>0</v>
      </c>
      <c r="Z33" s="112" t="str">
        <f t="shared" si="3"/>
        <v>N/A - No Generic Factor</v>
      </c>
      <c r="AA33" s="112" t="str">
        <f t="shared" si="4"/>
        <v>N/A - No Generic Factor</v>
      </c>
      <c r="AB33" s="112" t="str">
        <f t="shared" si="5"/>
        <v>N/A - No Generic Factor</v>
      </c>
    </row>
    <row r="34" spans="1:28" x14ac:dyDescent="0.25">
      <c r="A34" s="97">
        <v>2016</v>
      </c>
      <c r="B34" s="28" t="s">
        <v>2405</v>
      </c>
      <c r="C34" s="28" t="s">
        <v>206</v>
      </c>
      <c r="D34" s="28" t="s">
        <v>347</v>
      </c>
      <c r="E34" s="28" t="s">
        <v>348</v>
      </c>
      <c r="F34" s="28" t="s">
        <v>349</v>
      </c>
      <c r="G34" s="28">
        <v>63461</v>
      </c>
      <c r="H34" s="28">
        <v>39.834117999999997</v>
      </c>
      <c r="I34" s="28">
        <v>-91.436790999999999</v>
      </c>
      <c r="J34" s="28" t="s">
        <v>350</v>
      </c>
      <c r="K34" s="61">
        <v>110056953765</v>
      </c>
      <c r="L34" s="28" t="str">
        <f>INDEX('Facility Summary'!$K:$K,MATCH(K34,'Facility Summary'!$J:$J,0))</f>
        <v>Processing into formulation, mixture, or reaction product</v>
      </c>
      <c r="M34" s="28">
        <v>325320</v>
      </c>
      <c r="N34" s="28" t="str">
        <f>VLOOKUP(M34,'SIC &amp; NAICS Codes'!$D:$E,2,FALSE)</f>
        <v>Pesticide and Other Agricultural Chemical Manufacturing</v>
      </c>
      <c r="O34" s="28"/>
      <c r="P34" s="28" t="s">
        <v>2404</v>
      </c>
      <c r="Q34" s="28"/>
      <c r="R34" s="28">
        <v>5</v>
      </c>
      <c r="S34" s="28">
        <f t="shared" si="0"/>
        <v>2.2679618500000003</v>
      </c>
      <c r="T34" s="28">
        <v>0</v>
      </c>
      <c r="U34" s="28">
        <f t="shared" si="1"/>
        <v>0</v>
      </c>
      <c r="V34" s="28">
        <v>0</v>
      </c>
      <c r="W34" s="28">
        <f t="shared" si="2"/>
        <v>0</v>
      </c>
      <c r="X34" s="28" t="s">
        <v>2468</v>
      </c>
      <c r="Y34" s="92">
        <f>IF(COUNTIF('Raw Annual DMR Data'!$L:$L,'Raw TRI Data'!K22)&gt;0,"N/A - See DMRs",SUMIFS('Generic Factors'!$D:$D,'Generic Factors'!$A:$A,A34,'Generic Factors'!$B:$B,L34))</f>
        <v>0</v>
      </c>
      <c r="Z34" s="112" t="str">
        <f t="shared" si="3"/>
        <v>N/A - No Generic Factor</v>
      </c>
      <c r="AA34" s="112" t="str">
        <f t="shared" si="4"/>
        <v>N/A - No Generic Factor</v>
      </c>
      <c r="AB34" s="112" t="str">
        <f t="shared" si="5"/>
        <v>N/A - No Generic Factor</v>
      </c>
    </row>
    <row r="35" spans="1:28" x14ac:dyDescent="0.25">
      <c r="A35" s="97">
        <v>2016</v>
      </c>
      <c r="B35" s="28" t="s">
        <v>2405</v>
      </c>
      <c r="C35" s="28" t="s">
        <v>128</v>
      </c>
      <c r="D35" s="28" t="s">
        <v>2408</v>
      </c>
      <c r="E35" s="28" t="s">
        <v>412</v>
      </c>
      <c r="F35" s="28" t="s">
        <v>299</v>
      </c>
      <c r="G35" s="28">
        <v>71730</v>
      </c>
      <c r="H35" s="28">
        <v>33.2044</v>
      </c>
      <c r="I35" s="28">
        <v>-92.630799999999994</v>
      </c>
      <c r="J35" s="28" t="s">
        <v>413</v>
      </c>
      <c r="K35" s="61">
        <v>110000521221</v>
      </c>
      <c r="L35" s="28" t="str">
        <f>INDEX('Facility Summary'!$K:$K,MATCH(K35,'Facility Summary'!$J:$J,0))</f>
        <v>Waste Handling, Disposal and Treatment (Incinerator)</v>
      </c>
      <c r="M35" s="28">
        <v>562211</v>
      </c>
      <c r="N35" s="28" t="str">
        <f>VLOOKUP(M35,'SIC &amp; NAICS Codes'!$D:$E,2,FALSE)</f>
        <v>Hazardous Waste Treatment and Disposal</v>
      </c>
      <c r="O35" s="28"/>
      <c r="P35" s="28" t="s">
        <v>2404</v>
      </c>
      <c r="Q35" s="28"/>
      <c r="R35" s="28">
        <v>173.2</v>
      </c>
      <c r="S35" s="28">
        <f t="shared" si="0"/>
        <v>78.562198483999993</v>
      </c>
      <c r="T35" s="28">
        <v>0</v>
      </c>
      <c r="U35" s="28">
        <f t="shared" si="1"/>
        <v>0</v>
      </c>
      <c r="V35" s="28">
        <v>0</v>
      </c>
      <c r="W35" s="28">
        <f t="shared" si="2"/>
        <v>0</v>
      </c>
      <c r="X35" s="28" t="s">
        <v>821</v>
      </c>
      <c r="Y35" s="92" t="str">
        <f>IF(COUNTIF('Raw Annual DMR Data'!$L:$L,'Raw TRI Data'!K32)&gt;0,"N/A - See DMRs",SUMIFS('Generic Factors'!$D:$D,'Generic Factors'!$A:$A,A35,'Generic Factors'!$B:$B,L35))</f>
        <v>N/A - See DMRs</v>
      </c>
      <c r="Z35" s="112" t="e">
        <f t="shared" si="3"/>
        <v>#N/A</v>
      </c>
      <c r="AA35" s="112" t="e">
        <f t="shared" si="4"/>
        <v>#N/A</v>
      </c>
      <c r="AB35" s="112" t="e">
        <f t="shared" si="5"/>
        <v>#N/A</v>
      </c>
    </row>
    <row r="36" spans="1:28" x14ac:dyDescent="0.25">
      <c r="A36" s="97">
        <v>2016</v>
      </c>
      <c r="B36" s="28" t="s">
        <v>2405</v>
      </c>
      <c r="C36" s="28" t="s">
        <v>209</v>
      </c>
      <c r="D36" s="28" t="s">
        <v>436</v>
      </c>
      <c r="E36" s="28" t="s">
        <v>437</v>
      </c>
      <c r="F36" s="28" t="s">
        <v>362</v>
      </c>
      <c r="G36" s="28">
        <v>775413257</v>
      </c>
      <c r="H36" s="28">
        <v>28.979199999999999</v>
      </c>
      <c r="I36" s="28">
        <v>-95.354900000000001</v>
      </c>
      <c r="J36" s="28" t="s">
        <v>438</v>
      </c>
      <c r="K36" s="61">
        <v>110008170237</v>
      </c>
      <c r="L36" s="28" t="str">
        <f>INDEX('Facility Summary'!$K:$K,MATCH(K36,'Facility Summary'!$J:$J,0))</f>
        <v>Processing as a Reactant</v>
      </c>
      <c r="M36" s="28">
        <v>325199</v>
      </c>
      <c r="N36" s="28" t="str">
        <f>VLOOKUP(M36,'SIC &amp; NAICS Codes'!$D:$E,2,FALSE)</f>
        <v>All Other Basic Organic Chemical Manufacturing</v>
      </c>
      <c r="O36" s="28"/>
      <c r="P36" s="28" t="s">
        <v>2404</v>
      </c>
      <c r="Q36" s="28"/>
      <c r="R36" s="28">
        <v>606</v>
      </c>
      <c r="S36" s="28">
        <f t="shared" si="0"/>
        <v>274.87697622000002</v>
      </c>
      <c r="T36" s="28">
        <v>0</v>
      </c>
      <c r="U36" s="28">
        <f t="shared" si="1"/>
        <v>0</v>
      </c>
      <c r="V36" s="28">
        <v>0</v>
      </c>
      <c r="W36" s="28">
        <f t="shared" si="2"/>
        <v>0</v>
      </c>
      <c r="X36" s="28" t="s">
        <v>2473</v>
      </c>
      <c r="Y36" s="92" t="str">
        <f>IF(COUNTIF('Raw Annual DMR Data'!$L:$L,'Raw TRI Data'!K37)&gt;0,"N/A - See DMRs",SUMIFS('Generic Factors'!$D:$D,'Generic Factors'!$A:$A,A36,'Generic Factors'!$B:$B,L36))</f>
        <v>N/A - See DMRs</v>
      </c>
      <c r="Z36" s="112" t="e">
        <f t="shared" si="3"/>
        <v>#N/A</v>
      </c>
      <c r="AA36" s="112" t="e">
        <f t="shared" si="4"/>
        <v>#N/A</v>
      </c>
      <c r="AB36" s="112" t="e">
        <f t="shared" si="5"/>
        <v>#N/A</v>
      </c>
    </row>
    <row r="37" spans="1:28" x14ac:dyDescent="0.25">
      <c r="A37" s="97">
        <v>2016</v>
      </c>
      <c r="B37" s="28" t="s">
        <v>2405</v>
      </c>
      <c r="C37" s="28" t="s">
        <v>2410</v>
      </c>
      <c r="D37" s="28" t="s">
        <v>2411</v>
      </c>
      <c r="E37" s="28" t="s">
        <v>446</v>
      </c>
      <c r="F37" s="28" t="s">
        <v>303</v>
      </c>
      <c r="G37" s="28">
        <v>70669</v>
      </c>
      <c r="H37" s="28">
        <v>30.223500000000001</v>
      </c>
      <c r="I37" s="28">
        <v>-93.286900000000003</v>
      </c>
      <c r="J37" s="28" t="s">
        <v>447</v>
      </c>
      <c r="K37" s="61">
        <v>110000494894</v>
      </c>
      <c r="L37" s="28" t="str">
        <f>INDEX('Facility Summary'!$K:$K,MATCH(K37,'Facility Summary'!$J:$J,0))</f>
        <v>Manufacturing</v>
      </c>
      <c r="M37" s="28">
        <v>325180</v>
      </c>
      <c r="N37" s="28" t="str">
        <f>VLOOKUP(M37,'SIC &amp; NAICS Codes'!$D:$E,2,FALSE)</f>
        <v>Other Basic Inorganic Chemical Manufacturing</v>
      </c>
      <c r="O37" s="28"/>
      <c r="P37" s="28" t="s">
        <v>2404</v>
      </c>
      <c r="Q37" s="28"/>
      <c r="R37" s="28">
        <v>320</v>
      </c>
      <c r="S37" s="28">
        <f t="shared" si="0"/>
        <v>145.14955840000002</v>
      </c>
      <c r="T37" s="28">
        <v>0</v>
      </c>
      <c r="U37" s="28">
        <f t="shared" si="1"/>
        <v>0</v>
      </c>
      <c r="V37" s="28">
        <v>0</v>
      </c>
      <c r="W37" s="28">
        <f t="shared" si="2"/>
        <v>0</v>
      </c>
      <c r="X37" s="28" t="s">
        <v>839</v>
      </c>
      <c r="Y37" s="92">
        <f>IF(COUNTIF('Raw Annual DMR Data'!$L:$L,'Raw TRI Data'!K43)&gt;0,"N/A - See DMRs",SUMIFS('Generic Factors'!$D:$D,'Generic Factors'!$A:$A,A37,'Generic Factors'!$B:$B,L37))</f>
        <v>5.3940313809082499</v>
      </c>
      <c r="Z37" s="112">
        <f t="shared" si="3"/>
        <v>25.740506791814195</v>
      </c>
      <c r="AA37" s="112">
        <f t="shared" si="4"/>
        <v>0</v>
      </c>
      <c r="AB37" s="112">
        <f t="shared" si="5"/>
        <v>0</v>
      </c>
    </row>
    <row r="38" spans="1:28" x14ac:dyDescent="0.25">
      <c r="A38" s="97">
        <v>2016</v>
      </c>
      <c r="B38" s="28" t="s">
        <v>2405</v>
      </c>
      <c r="C38" s="28" t="s">
        <v>2414</v>
      </c>
      <c r="D38" s="28" t="s">
        <v>2415</v>
      </c>
      <c r="E38" s="28" t="s">
        <v>480</v>
      </c>
      <c r="F38" s="28" t="s">
        <v>362</v>
      </c>
      <c r="G38" s="28">
        <v>77978</v>
      </c>
      <c r="H38" s="28">
        <v>28.6753</v>
      </c>
      <c r="I38" s="28">
        <v>-96.549499999999995</v>
      </c>
      <c r="J38" s="28" t="s">
        <v>481</v>
      </c>
      <c r="K38" s="61">
        <v>110018925957</v>
      </c>
      <c r="L38" s="28" t="str">
        <f>INDEX('Facility Summary'!$K:$K,MATCH(K38,'Facility Summary'!$J:$J,0))</f>
        <v>Manufacturing</v>
      </c>
      <c r="M38" s="28">
        <v>325211</v>
      </c>
      <c r="N38" s="28" t="str">
        <f>VLOOKUP(M38,'SIC &amp; NAICS Codes'!$D:$E,2,FALSE)</f>
        <v>Plastics Material and Resin Manufacturing</v>
      </c>
      <c r="O38" s="28"/>
      <c r="P38" s="28" t="s">
        <v>2404</v>
      </c>
      <c r="Q38" s="28"/>
      <c r="R38" s="28">
        <v>46</v>
      </c>
      <c r="S38" s="28">
        <f t="shared" si="0"/>
        <v>20.86524902</v>
      </c>
      <c r="T38" s="28">
        <v>0</v>
      </c>
      <c r="U38" s="28">
        <f t="shared" si="1"/>
        <v>0</v>
      </c>
      <c r="V38" s="28">
        <v>0</v>
      </c>
      <c r="W38" s="28">
        <f t="shared" si="2"/>
        <v>0</v>
      </c>
      <c r="X38" s="28" t="s">
        <v>2475</v>
      </c>
      <c r="Y38" s="92" t="str">
        <f>IF(COUNTIF('Raw Annual DMR Data'!$L:$L,'Raw TRI Data'!K54)&gt;0,"N/A - See DMRs",SUMIFS('Generic Factors'!$D:$D,'Generic Factors'!$A:$A,A38,'Generic Factors'!$B:$B,L38))</f>
        <v>N/A - See DMRs</v>
      </c>
      <c r="Z38" s="112" t="e">
        <f t="shared" si="3"/>
        <v>#N/A</v>
      </c>
      <c r="AA38" s="112" t="e">
        <f t="shared" si="4"/>
        <v>#N/A</v>
      </c>
      <c r="AB38" s="112" t="e">
        <f t="shared" si="5"/>
        <v>#N/A</v>
      </c>
    </row>
    <row r="39" spans="1:28" x14ac:dyDescent="0.25">
      <c r="A39" s="97">
        <v>2016</v>
      </c>
      <c r="B39" s="28" t="s">
        <v>2405</v>
      </c>
      <c r="C39" s="28" t="s">
        <v>211</v>
      </c>
      <c r="D39" s="28" t="s">
        <v>510</v>
      </c>
      <c r="E39" s="28" t="s">
        <v>511</v>
      </c>
      <c r="F39" s="28" t="s">
        <v>319</v>
      </c>
      <c r="G39" s="28">
        <v>43920</v>
      </c>
      <c r="H39" s="28">
        <v>40.631622</v>
      </c>
      <c r="I39" s="28">
        <v>-80.546319999999994</v>
      </c>
      <c r="J39" s="28" t="s">
        <v>512</v>
      </c>
      <c r="K39" s="61">
        <v>110027242320</v>
      </c>
      <c r="L39" s="28" t="str">
        <f>INDEX('Facility Summary'!$K:$K,MATCH(K39,'Facility Summary'!$J:$J,0))</f>
        <v>Waste Handling, Disposal and Treatment (Incinerator)</v>
      </c>
      <c r="M39" s="28">
        <v>562213</v>
      </c>
      <c r="N39" s="28" t="str">
        <f>VLOOKUP(M39,'SIC &amp; NAICS Codes'!$D:$E,2,FALSE)</f>
        <v>Solid Waste Combustors and Incinerators</v>
      </c>
      <c r="O39" s="28"/>
      <c r="P39" s="28" t="s">
        <v>2466</v>
      </c>
      <c r="Q39" s="28"/>
      <c r="R39" s="28">
        <v>0</v>
      </c>
      <c r="S39" s="28">
        <f t="shared" si="0"/>
        <v>0</v>
      </c>
      <c r="T39" s="28">
        <v>2.0000000000000001E-4</v>
      </c>
      <c r="U39" s="28">
        <f t="shared" si="1"/>
        <v>9.0718474000000011E-5</v>
      </c>
      <c r="V39" s="28">
        <v>0</v>
      </c>
      <c r="W39" s="28">
        <f t="shared" si="2"/>
        <v>0</v>
      </c>
      <c r="X39" s="28" t="s">
        <v>2477</v>
      </c>
      <c r="Y39" s="92">
        <f>IF(COUNTIF('Raw Annual DMR Data'!$L:$L,'Raw TRI Data'!K61)&gt;0,"N/A - See DMRs",SUMIFS('Generic Factors'!$D:$D,'Generic Factors'!$A:$A,A39,'Generic Factors'!$B:$B,L39))</f>
        <v>0</v>
      </c>
      <c r="Z39" s="112" t="str">
        <f t="shared" si="3"/>
        <v>N/A - No Generic Factor</v>
      </c>
      <c r="AA39" s="112" t="str">
        <f t="shared" si="4"/>
        <v>N/A - No Generic Factor</v>
      </c>
      <c r="AB39" s="112" t="str">
        <f t="shared" si="5"/>
        <v>N/A - No Generic Factor</v>
      </c>
    </row>
    <row r="40" spans="1:28" x14ac:dyDescent="0.25">
      <c r="A40" s="97">
        <v>2016</v>
      </c>
      <c r="B40" s="28" t="s">
        <v>2405</v>
      </c>
      <c r="C40" s="28" t="s">
        <v>2417</v>
      </c>
      <c r="D40" s="28" t="s">
        <v>2418</v>
      </c>
      <c r="E40" s="28" t="s">
        <v>302</v>
      </c>
      <c r="F40" s="28" t="s">
        <v>303</v>
      </c>
      <c r="G40" s="28">
        <v>70805</v>
      </c>
      <c r="H40" s="28">
        <v>30.474443999999998</v>
      </c>
      <c r="I40" s="28">
        <v>-91.183055999999993</v>
      </c>
      <c r="J40" s="28" t="s">
        <v>514</v>
      </c>
      <c r="K40" s="61">
        <v>110003266849</v>
      </c>
      <c r="L40" s="28" t="str">
        <f>INDEX('Facility Summary'!$K:$K,MATCH(K40,'Facility Summary'!$J:$J,0))</f>
        <v>Processing into formulation, mixture, or reaction product</v>
      </c>
      <c r="M40" s="28">
        <v>325199</v>
      </c>
      <c r="N40" s="28" t="str">
        <f>VLOOKUP(M40,'SIC &amp; NAICS Codes'!$D:$E,2,FALSE)</f>
        <v>All Other Basic Organic Chemical Manufacturing</v>
      </c>
      <c r="O40" s="28"/>
      <c r="P40" s="28" t="s">
        <v>2404</v>
      </c>
      <c r="Q40" s="28"/>
      <c r="R40" s="28">
        <v>61</v>
      </c>
      <c r="S40" s="28">
        <f t="shared" si="0"/>
        <v>27.669134570000001</v>
      </c>
      <c r="T40" s="28">
        <v>0</v>
      </c>
      <c r="U40" s="28">
        <f t="shared" si="1"/>
        <v>0</v>
      </c>
      <c r="V40" s="28">
        <v>0</v>
      </c>
      <c r="W40" s="28">
        <f t="shared" si="2"/>
        <v>0</v>
      </c>
      <c r="X40" s="28" t="s">
        <v>878</v>
      </c>
      <c r="Y40" s="92" t="str">
        <f>IF(COUNTIF('Raw Annual DMR Data'!$L:$L,'Raw TRI Data'!K64)&gt;0,"N/A - See DMRs",SUMIFS('Generic Factors'!$D:$D,'Generic Factors'!$A:$A,A40,'Generic Factors'!$B:$B,L40))</f>
        <v>N/A - See DMRs</v>
      </c>
      <c r="Z40" s="112" t="e">
        <f t="shared" si="3"/>
        <v>#N/A</v>
      </c>
      <c r="AA40" s="112" t="e">
        <f t="shared" si="4"/>
        <v>#N/A</v>
      </c>
      <c r="AB40" s="112" t="e">
        <f t="shared" si="5"/>
        <v>#N/A</v>
      </c>
    </row>
    <row r="41" spans="1:28" x14ac:dyDescent="0.25">
      <c r="A41" s="97">
        <v>2016</v>
      </c>
      <c r="B41" s="28" t="s">
        <v>2405</v>
      </c>
      <c r="C41" s="28" t="s">
        <v>212</v>
      </c>
      <c r="D41" s="28" t="s">
        <v>523</v>
      </c>
      <c r="E41" s="28" t="s">
        <v>437</v>
      </c>
      <c r="F41" s="28" t="s">
        <v>362</v>
      </c>
      <c r="G41" s="28">
        <v>77541</v>
      </c>
      <c r="H41" s="28">
        <v>28.952500000000001</v>
      </c>
      <c r="I41" s="28">
        <v>-95.313000000000002</v>
      </c>
      <c r="J41" s="28" t="s">
        <v>524</v>
      </c>
      <c r="K41" s="61">
        <v>110012256076</v>
      </c>
      <c r="L41" s="28" t="str">
        <f>INDEX('Facility Summary'!$K:$K,MATCH(K41,'Facility Summary'!$J:$J,0))</f>
        <v>Processing as a Reactant</v>
      </c>
      <c r="M41" s="28">
        <v>325199</v>
      </c>
      <c r="N41" s="28" t="str">
        <f>VLOOKUP(M41,'SIC &amp; NAICS Codes'!$D:$E,2,FALSE)</f>
        <v>All Other Basic Organic Chemical Manufacturing</v>
      </c>
      <c r="O41" s="28"/>
      <c r="P41" s="28" t="s">
        <v>2404</v>
      </c>
      <c r="Q41" s="28"/>
      <c r="R41" s="28">
        <v>5</v>
      </c>
      <c r="S41" s="28">
        <f t="shared" si="0"/>
        <v>2.2679618500000003</v>
      </c>
      <c r="T41" s="28">
        <v>0</v>
      </c>
      <c r="U41" s="28">
        <f t="shared" si="1"/>
        <v>0</v>
      </c>
      <c r="V41" s="28">
        <v>0</v>
      </c>
      <c r="W41" s="28">
        <f t="shared" si="2"/>
        <v>0</v>
      </c>
      <c r="X41" s="28"/>
      <c r="Y41" s="92">
        <f>IF(COUNTIF('Raw Annual DMR Data'!$L:$L,'Raw TRI Data'!K68)&gt;0,"N/A - See DMRs",SUMIFS('Generic Factors'!$D:$D,'Generic Factors'!$A:$A,A41,'Generic Factors'!$B:$B,L41))</f>
        <v>0</v>
      </c>
      <c r="Z41" s="112" t="str">
        <f t="shared" si="3"/>
        <v>N/A - No Generic Factor</v>
      </c>
      <c r="AA41" s="112" t="str">
        <f t="shared" si="4"/>
        <v>N/A - No Generic Factor</v>
      </c>
      <c r="AB41" s="112" t="str">
        <f t="shared" si="5"/>
        <v>N/A - No Generic Factor</v>
      </c>
    </row>
    <row r="42" spans="1:28" x14ac:dyDescent="0.25">
      <c r="A42" s="97">
        <v>2016</v>
      </c>
      <c r="B42" s="28" t="s">
        <v>2405</v>
      </c>
      <c r="C42" s="28" t="s">
        <v>213</v>
      </c>
      <c r="D42" s="28" t="s">
        <v>540</v>
      </c>
      <c r="E42" s="28" t="s">
        <v>460</v>
      </c>
      <c r="F42" s="28" t="s">
        <v>541</v>
      </c>
      <c r="G42" s="28">
        <v>29405</v>
      </c>
      <c r="H42" s="28">
        <v>32.835301999999999</v>
      </c>
      <c r="I42" s="28">
        <v>-79.958067999999997</v>
      </c>
      <c r="J42" s="28" t="s">
        <v>542</v>
      </c>
      <c r="K42" s="61">
        <v>110017326963</v>
      </c>
      <c r="L42" s="28" t="str">
        <f>INDEX('Facility Summary'!$K:$K,MATCH(K42,'Facility Summary'!$J:$J,0))</f>
        <v>Manufacturing</v>
      </c>
      <c r="M42" s="28">
        <v>325199</v>
      </c>
      <c r="N42" s="28" t="str">
        <f>VLOOKUP(M42,'SIC &amp; NAICS Codes'!$D:$E,2,FALSE)</f>
        <v>All Other Basic Organic Chemical Manufacturing</v>
      </c>
      <c r="O42" s="28"/>
      <c r="P42" s="28" t="s">
        <v>2466</v>
      </c>
      <c r="Q42" s="28"/>
      <c r="R42" s="28">
        <v>0</v>
      </c>
      <c r="S42" s="28">
        <f t="shared" si="0"/>
        <v>0</v>
      </c>
      <c r="T42" s="28">
        <v>3</v>
      </c>
      <c r="U42" s="28">
        <f t="shared" si="1"/>
        <v>1.3607771099999999</v>
      </c>
      <c r="V42" s="28">
        <v>0</v>
      </c>
      <c r="W42" s="28">
        <f t="shared" si="2"/>
        <v>0</v>
      </c>
      <c r="X42" s="28" t="s">
        <v>2478</v>
      </c>
      <c r="Y42" s="92">
        <f>IF(COUNTIF('Raw Annual DMR Data'!$L:$L,'Raw TRI Data'!K73)&gt;0,"N/A - See DMRs",SUMIFS('Generic Factors'!$D:$D,'Generic Factors'!$A:$A,A42,'Generic Factors'!$B:$B,L42))</f>
        <v>5.3940313809082499</v>
      </c>
      <c r="Z42" s="112">
        <f t="shared" si="3"/>
        <v>0</v>
      </c>
      <c r="AA42" s="112">
        <f t="shared" si="4"/>
        <v>0.24131725117325803</v>
      </c>
      <c r="AB42" s="112">
        <f t="shared" si="5"/>
        <v>0</v>
      </c>
    </row>
    <row r="43" spans="1:28" x14ac:dyDescent="0.25">
      <c r="A43" s="97">
        <v>2016</v>
      </c>
      <c r="B43" s="28" t="s">
        <v>2405</v>
      </c>
      <c r="C43" s="28" t="s">
        <v>214</v>
      </c>
      <c r="D43" s="28" t="s">
        <v>562</v>
      </c>
      <c r="E43" s="28" t="s">
        <v>563</v>
      </c>
      <c r="F43" s="28" t="s">
        <v>564</v>
      </c>
      <c r="G43" s="28">
        <v>52761</v>
      </c>
      <c r="H43" s="28">
        <v>41.350468999999997</v>
      </c>
      <c r="I43" s="28">
        <v>-91.081619000000003</v>
      </c>
      <c r="J43" s="28" t="s">
        <v>565</v>
      </c>
      <c r="K43" s="61">
        <v>110018869474</v>
      </c>
      <c r="L43" s="28" t="str">
        <f>INDEX('Facility Summary'!$K:$K,MATCH(K43,'Facility Summary'!$J:$J,0))</f>
        <v>Processing into formulation, mixture, or reaction product</v>
      </c>
      <c r="M43" s="28">
        <v>325320</v>
      </c>
      <c r="N43" s="28" t="str">
        <f>VLOOKUP(M43,'SIC &amp; NAICS Codes'!$D:$E,2,FALSE)</f>
        <v>Pesticide and Other Agricultural Chemical Manufacturing</v>
      </c>
      <c r="O43" s="28"/>
      <c r="P43" s="28" t="s">
        <v>2404</v>
      </c>
      <c r="Q43" s="28"/>
      <c r="R43" s="28">
        <v>38</v>
      </c>
      <c r="S43" s="28">
        <f t="shared" si="0"/>
        <v>17.236510060000001</v>
      </c>
      <c r="T43" s="28">
        <v>0</v>
      </c>
      <c r="U43" s="28">
        <f t="shared" si="1"/>
        <v>0</v>
      </c>
      <c r="V43" s="28">
        <v>0</v>
      </c>
      <c r="W43" s="28">
        <f t="shared" si="2"/>
        <v>0</v>
      </c>
      <c r="X43" s="28" t="s">
        <v>2479</v>
      </c>
      <c r="Y43" s="92">
        <f>IF(COUNTIF('Raw Annual DMR Data'!$L:$L,'Raw TRI Data'!K79)&gt;0,"N/A - See DMRs",SUMIFS('Generic Factors'!$D:$D,'Generic Factors'!$A:$A,A43,'Generic Factors'!$B:$B,L43))</f>
        <v>0</v>
      </c>
      <c r="Z43" s="112" t="str">
        <f t="shared" si="3"/>
        <v>N/A - No Generic Factor</v>
      </c>
      <c r="AA43" s="112" t="str">
        <f t="shared" si="4"/>
        <v>N/A - No Generic Factor</v>
      </c>
      <c r="AB43" s="112" t="str">
        <f t="shared" si="5"/>
        <v>N/A - No Generic Factor</v>
      </c>
    </row>
    <row r="44" spans="1:28" x14ac:dyDescent="0.25">
      <c r="A44" s="97">
        <v>2016</v>
      </c>
      <c r="B44" s="28" t="s">
        <v>2405</v>
      </c>
      <c r="C44" s="28" t="s">
        <v>215</v>
      </c>
      <c r="D44" s="28" t="s">
        <v>574</v>
      </c>
      <c r="E44" s="28" t="s">
        <v>575</v>
      </c>
      <c r="F44" s="28" t="s">
        <v>435</v>
      </c>
      <c r="G44" s="28">
        <v>28147</v>
      </c>
      <c r="H44" s="28">
        <v>35.632199999999997</v>
      </c>
      <c r="I44" s="28">
        <v>-80.541200000000003</v>
      </c>
      <c r="J44" s="28" t="s">
        <v>576</v>
      </c>
      <c r="K44" s="61">
        <v>110000348936</v>
      </c>
      <c r="L44" s="28" t="str">
        <f>INDEX('Facility Summary'!$K:$K,MATCH(K44,'Facility Summary'!$J:$J,0))</f>
        <v>Processing into formulation, mixture, or reaction product</v>
      </c>
      <c r="M44" s="28">
        <v>325199</v>
      </c>
      <c r="N44" s="28" t="str">
        <f>VLOOKUP(M44,'SIC &amp; NAICS Codes'!$D:$E,2,FALSE)</f>
        <v>All Other Basic Organic Chemical Manufacturing</v>
      </c>
      <c r="O44" s="28"/>
      <c r="P44" s="28" t="s">
        <v>2466</v>
      </c>
      <c r="Q44" s="28"/>
      <c r="R44" s="28">
        <v>0</v>
      </c>
      <c r="S44" s="28">
        <f t="shared" si="0"/>
        <v>0</v>
      </c>
      <c r="T44" s="28">
        <v>5.6</v>
      </c>
      <c r="U44" s="28">
        <f t="shared" si="1"/>
        <v>2.5401172719999998</v>
      </c>
      <c r="V44" s="28">
        <v>0</v>
      </c>
      <c r="W44" s="28">
        <f t="shared" si="2"/>
        <v>0</v>
      </c>
      <c r="X44" s="28" t="s">
        <v>2480</v>
      </c>
      <c r="Y44" s="92">
        <f>IF(COUNTIF('Raw Annual DMR Data'!$L:$L,'Raw TRI Data'!K85)&gt;0,"N/A - See DMRs",SUMIFS('Generic Factors'!$D:$D,'Generic Factors'!$A:$A,A44,'Generic Factors'!$B:$B,L44))</f>
        <v>0</v>
      </c>
      <c r="Z44" s="112" t="str">
        <f t="shared" si="3"/>
        <v>N/A - No Generic Factor</v>
      </c>
      <c r="AA44" s="112" t="str">
        <f t="shared" si="4"/>
        <v>N/A - No Generic Factor</v>
      </c>
      <c r="AB44" s="112" t="str">
        <f t="shared" si="5"/>
        <v>N/A - No Generic Factor</v>
      </c>
    </row>
    <row r="45" spans="1:28" x14ac:dyDescent="0.25">
      <c r="A45" s="97">
        <v>2016</v>
      </c>
      <c r="B45" s="28" t="s">
        <v>2405</v>
      </c>
      <c r="C45" s="28" t="s">
        <v>2419</v>
      </c>
      <c r="D45" s="28" t="s">
        <v>2420</v>
      </c>
      <c r="E45" s="28" t="s">
        <v>2421</v>
      </c>
      <c r="F45" s="28" t="s">
        <v>362</v>
      </c>
      <c r="G45" s="28">
        <v>78359</v>
      </c>
      <c r="H45" s="28">
        <v>27.883610999999998</v>
      </c>
      <c r="I45" s="28">
        <v>-97.241382999999999</v>
      </c>
      <c r="J45" s="28" t="s">
        <v>583</v>
      </c>
      <c r="K45" s="61">
        <v>110000599807</v>
      </c>
      <c r="L45" s="28" t="str">
        <f>INDEX('Facility Summary'!$K:$K,MATCH(K45,'Facility Summary'!$J:$J,0))</f>
        <v>Manufacturing</v>
      </c>
      <c r="M45" s="28">
        <v>325199</v>
      </c>
      <c r="N45" s="28" t="str">
        <f>VLOOKUP(M45,'SIC &amp; NAICS Codes'!$D:$E,2,FALSE)</f>
        <v>All Other Basic Organic Chemical Manufacturing</v>
      </c>
      <c r="O45" s="28"/>
      <c r="P45" s="28" t="s">
        <v>2404</v>
      </c>
      <c r="Q45" s="28"/>
      <c r="R45" s="28">
        <v>4</v>
      </c>
      <c r="S45" s="28">
        <f t="shared" si="0"/>
        <v>1.8143694800000001</v>
      </c>
      <c r="T45" s="28">
        <v>0</v>
      </c>
      <c r="U45" s="28">
        <f t="shared" si="1"/>
        <v>0</v>
      </c>
      <c r="V45" s="28">
        <v>0</v>
      </c>
      <c r="W45" s="28">
        <f t="shared" si="2"/>
        <v>0</v>
      </c>
      <c r="X45" s="28" t="s">
        <v>910</v>
      </c>
      <c r="Y45" s="92" t="str">
        <f>IF(COUNTIF('Raw Annual DMR Data'!$L:$L,'Raw TRI Data'!K91)&gt;0,"N/A - See DMRs",SUMIFS('Generic Factors'!$D:$D,'Generic Factors'!$A:$A,A45,'Generic Factors'!$B:$B,L45))</f>
        <v>N/A - See DMRs</v>
      </c>
      <c r="Z45" s="112" t="e">
        <f t="shared" si="3"/>
        <v>#N/A</v>
      </c>
      <c r="AA45" s="112" t="e">
        <f t="shared" si="4"/>
        <v>#N/A</v>
      </c>
      <c r="AB45" s="112" t="e">
        <f t="shared" si="5"/>
        <v>#N/A</v>
      </c>
    </row>
    <row r="46" spans="1:28" x14ac:dyDescent="0.25">
      <c r="A46" s="97">
        <v>2016</v>
      </c>
      <c r="B46" s="28" t="s">
        <v>2405</v>
      </c>
      <c r="C46" s="28" t="s">
        <v>216</v>
      </c>
      <c r="D46" s="28" t="s">
        <v>586</v>
      </c>
      <c r="E46" s="28" t="s">
        <v>587</v>
      </c>
      <c r="F46" s="28" t="s">
        <v>303</v>
      </c>
      <c r="G46" s="28">
        <v>70723</v>
      </c>
      <c r="H46" s="28">
        <v>30.05509</v>
      </c>
      <c r="I46" s="28">
        <v>-90.830839999999995</v>
      </c>
      <c r="J46" s="28" t="s">
        <v>588</v>
      </c>
      <c r="K46" s="61">
        <v>110000597328</v>
      </c>
      <c r="L46" s="28" t="str">
        <f>INDEX('Facility Summary'!$K:$K,MATCH(K46,'Facility Summary'!$J:$J,0))</f>
        <v>Manufacturing</v>
      </c>
      <c r="M46" s="28">
        <v>325180</v>
      </c>
      <c r="N46" s="28" t="str">
        <f>VLOOKUP(M46,'SIC &amp; NAICS Codes'!$D:$E,2,FALSE)</f>
        <v>Other Basic Inorganic Chemical Manufacturing</v>
      </c>
      <c r="O46" s="28"/>
      <c r="P46" s="28" t="s">
        <v>2404</v>
      </c>
      <c r="Q46" s="28"/>
      <c r="R46" s="28">
        <v>1.3609</v>
      </c>
      <c r="S46" s="28">
        <f t="shared" si="0"/>
        <v>0.61729385633300005</v>
      </c>
      <c r="T46" s="28">
        <v>0</v>
      </c>
      <c r="U46" s="28">
        <f t="shared" si="1"/>
        <v>0</v>
      </c>
      <c r="V46" s="28">
        <v>0</v>
      </c>
      <c r="W46" s="28">
        <f t="shared" si="2"/>
        <v>0</v>
      </c>
      <c r="X46" s="28" t="s">
        <v>2481</v>
      </c>
      <c r="Y46" s="92">
        <f>IF(COUNTIF('Raw Annual DMR Data'!$L:$L,'Raw TRI Data'!K97)&gt;0,"N/A - See DMRs",SUMIFS('Generic Factors'!$D:$D,'Generic Factors'!$A:$A,A46,'Generic Factors'!$B:$B,L46))</f>
        <v>5.3940313809082499</v>
      </c>
      <c r="Z46" s="112">
        <f t="shared" si="3"/>
        <v>0.1094695490405623</v>
      </c>
      <c r="AA46" s="112">
        <f t="shared" si="4"/>
        <v>0</v>
      </c>
      <c r="AB46" s="112">
        <f t="shared" si="5"/>
        <v>0</v>
      </c>
    </row>
    <row r="47" spans="1:28" x14ac:dyDescent="0.25">
      <c r="A47" s="97">
        <v>2016</v>
      </c>
      <c r="B47" s="28" t="s">
        <v>2405</v>
      </c>
      <c r="C47" s="28" t="s">
        <v>2422</v>
      </c>
      <c r="D47" s="28" t="s">
        <v>2423</v>
      </c>
      <c r="E47" s="28" t="s">
        <v>516</v>
      </c>
      <c r="F47" s="28" t="s">
        <v>303</v>
      </c>
      <c r="G47" s="28">
        <v>70734</v>
      </c>
      <c r="H47" s="28">
        <v>30.185099999999998</v>
      </c>
      <c r="I47" s="28">
        <v>-90.980400000000003</v>
      </c>
      <c r="J47" s="28" t="s">
        <v>585</v>
      </c>
      <c r="K47" s="61">
        <v>110000449774</v>
      </c>
      <c r="L47" s="28" t="str">
        <f>INDEX('Facility Summary'!$K:$K,MATCH(K47,'Facility Summary'!$J:$J,0))</f>
        <v>Manufacturing</v>
      </c>
      <c r="M47" s="28">
        <v>325199</v>
      </c>
      <c r="N47" s="28" t="str">
        <f>VLOOKUP(M47,'SIC &amp; NAICS Codes'!$D:$E,2,FALSE)</f>
        <v>All Other Basic Organic Chemical Manufacturing</v>
      </c>
      <c r="O47" s="28"/>
      <c r="P47" s="28" t="s">
        <v>2404</v>
      </c>
      <c r="Q47" s="28"/>
      <c r="R47" s="28">
        <v>16.443000000000001</v>
      </c>
      <c r="S47" s="28">
        <f t="shared" si="0"/>
        <v>7.4584193399100016</v>
      </c>
      <c r="T47" s="28">
        <v>0</v>
      </c>
      <c r="U47" s="28">
        <f t="shared" si="1"/>
        <v>0</v>
      </c>
      <c r="V47" s="28">
        <v>0</v>
      </c>
      <c r="W47" s="28">
        <f t="shared" si="2"/>
        <v>0</v>
      </c>
      <c r="X47" s="28" t="s">
        <v>912</v>
      </c>
      <c r="Y47" s="92">
        <f>IF(COUNTIF('Raw Annual DMR Data'!$L:$L,'Raw TRI Data'!K103)&gt;0,"N/A - See DMRs",SUMIFS('Generic Factors'!$D:$D,'Generic Factors'!$A:$A,A47,'Generic Factors'!$B:$B,L47))</f>
        <v>5.3940313809082499</v>
      </c>
      <c r="Z47" s="112">
        <f t="shared" si="3"/>
        <v>1.3226598536806276</v>
      </c>
      <c r="AA47" s="112">
        <f t="shared" si="4"/>
        <v>0</v>
      </c>
      <c r="AB47" s="112">
        <f t="shared" si="5"/>
        <v>0</v>
      </c>
    </row>
    <row r="48" spans="1:28" x14ac:dyDescent="0.25">
      <c r="A48" s="97">
        <v>2016</v>
      </c>
      <c r="B48" s="28" t="s">
        <v>2405</v>
      </c>
      <c r="C48" s="28" t="s">
        <v>2424</v>
      </c>
      <c r="D48" s="28" t="s">
        <v>2425</v>
      </c>
      <c r="E48" s="28" t="s">
        <v>437</v>
      </c>
      <c r="F48" s="28" t="s">
        <v>362</v>
      </c>
      <c r="G48" s="28">
        <v>77541</v>
      </c>
      <c r="H48" s="28">
        <v>28.981691999999999</v>
      </c>
      <c r="I48" s="28">
        <v>-95.376501000000005</v>
      </c>
      <c r="J48" s="28" t="s">
        <v>484</v>
      </c>
      <c r="K48" s="61">
        <v>110066943605</v>
      </c>
      <c r="L48" s="28" t="str">
        <f>INDEX('Facility Summary'!$K:$K,MATCH(K48,'Facility Summary'!$J:$J,0))</f>
        <v>Manufacturing</v>
      </c>
      <c r="M48" s="28">
        <v>325199</v>
      </c>
      <c r="N48" s="28" t="str">
        <f>VLOOKUP(M48,'SIC &amp; NAICS Codes'!$D:$E,2,FALSE)</f>
        <v>All Other Basic Organic Chemical Manufacturing</v>
      </c>
      <c r="O48" s="28"/>
      <c r="P48" s="28" t="s">
        <v>2466</v>
      </c>
      <c r="Q48" s="28"/>
      <c r="R48" s="28">
        <v>0</v>
      </c>
      <c r="S48" s="28">
        <f t="shared" si="0"/>
        <v>0</v>
      </c>
      <c r="T48" s="28">
        <v>0</v>
      </c>
      <c r="U48" s="28">
        <f t="shared" si="1"/>
        <v>0</v>
      </c>
      <c r="V48" s="28">
        <v>746</v>
      </c>
      <c r="W48" s="28">
        <f t="shared" si="2"/>
        <v>338.37990802000002</v>
      </c>
      <c r="X48" s="28" t="s">
        <v>2483</v>
      </c>
      <c r="Y48" s="92" t="str">
        <f>IF(COUNTIF('Raw Annual DMR Data'!$L:$L,'Raw TRI Data'!K108)&gt;0,"N/A - See DMRs",SUMIFS('Generic Factors'!$D:$D,'Generic Factors'!$A:$A,A48,'Generic Factors'!$B:$B,L48))</f>
        <v>N/A - See DMRs</v>
      </c>
      <c r="Z48" s="112" t="e">
        <f t="shared" si="3"/>
        <v>#N/A</v>
      </c>
      <c r="AA48" s="112" t="e">
        <f t="shared" si="4"/>
        <v>#N/A</v>
      </c>
      <c r="AB48" s="112" t="e">
        <f t="shared" si="5"/>
        <v>#N/A</v>
      </c>
    </row>
    <row r="49" spans="1:28" x14ac:dyDescent="0.25">
      <c r="A49" s="97">
        <v>2016</v>
      </c>
      <c r="B49" s="28" t="s">
        <v>2403</v>
      </c>
      <c r="C49" s="28" t="s">
        <v>679</v>
      </c>
      <c r="D49" s="28" t="s">
        <v>680</v>
      </c>
      <c r="E49" s="28" t="s">
        <v>681</v>
      </c>
      <c r="F49" s="28" t="s">
        <v>328</v>
      </c>
      <c r="G49" s="28">
        <v>31535</v>
      </c>
      <c r="H49" s="28">
        <v>31.485279999999999</v>
      </c>
      <c r="I49" s="28">
        <v>-82.862380000000002</v>
      </c>
      <c r="J49" s="28" t="s">
        <v>682</v>
      </c>
      <c r="K49" s="61">
        <v>110000360644</v>
      </c>
      <c r="L49" s="28" t="str">
        <f>INDEX('Facility Summary'!$K:$K,MATCH(K49,'Facility Summary'!$J:$J,0))</f>
        <v>Processing as a Reactant</v>
      </c>
      <c r="M49" s="28">
        <v>325199</v>
      </c>
      <c r="N49" s="28" t="s">
        <v>28</v>
      </c>
      <c r="O49" s="28"/>
      <c r="P49" s="28" t="s">
        <v>2404</v>
      </c>
      <c r="Q49" s="28"/>
      <c r="R49" s="28">
        <v>500</v>
      </c>
      <c r="S49" s="28">
        <f t="shared" si="0"/>
        <v>226.79618500000001</v>
      </c>
      <c r="T49" s="28">
        <v>500</v>
      </c>
      <c r="U49" s="28">
        <f t="shared" si="1"/>
        <v>226.79618500000001</v>
      </c>
      <c r="V49" s="28">
        <v>500</v>
      </c>
      <c r="W49" s="28">
        <f t="shared" si="2"/>
        <v>226.79618500000001</v>
      </c>
      <c r="X49" s="28" t="s">
        <v>2484</v>
      </c>
      <c r="Y49" s="92" t="str">
        <f>IF(COUNTIF('Raw Annual DMR Data'!$L:$L,'Raw TRI Data'!K114)&gt;0,"N/A - See DMRs",SUMIFS('Generic Factors'!$D:$D,'Generic Factors'!$A:$A,A49,'Generic Factors'!$B:$B,L49))</f>
        <v>N/A - See DMRs</v>
      </c>
      <c r="Z49" s="112" t="e">
        <f t="shared" si="3"/>
        <v>#N/A</v>
      </c>
      <c r="AA49" s="112" t="e">
        <f t="shared" si="4"/>
        <v>#N/A</v>
      </c>
      <c r="AB49" s="112" t="e">
        <f t="shared" si="5"/>
        <v>#N/A</v>
      </c>
    </row>
    <row r="50" spans="1:28" x14ac:dyDescent="0.25">
      <c r="A50" s="97">
        <v>2016</v>
      </c>
      <c r="B50" s="28" t="s">
        <v>2405</v>
      </c>
      <c r="C50" s="28" t="s">
        <v>218</v>
      </c>
      <c r="D50" s="28" t="s">
        <v>594</v>
      </c>
      <c r="E50" s="28" t="s">
        <v>361</v>
      </c>
      <c r="F50" s="28" t="s">
        <v>362</v>
      </c>
      <c r="G50" s="28">
        <v>77571</v>
      </c>
      <c r="H50" s="28">
        <v>29.723759999999999</v>
      </c>
      <c r="I50" s="28">
        <v>-95.074219999999997</v>
      </c>
      <c r="J50" s="28" t="s">
        <v>595</v>
      </c>
      <c r="K50" s="61">
        <v>110017769734</v>
      </c>
      <c r="L50" s="28" t="str">
        <f>INDEX('Facility Summary'!$K:$K,MATCH(K50,'Facility Summary'!$J:$J,0))</f>
        <v>Manufacturing</v>
      </c>
      <c r="M50" s="28">
        <v>325199</v>
      </c>
      <c r="N50" s="28" t="str">
        <f>VLOOKUP(M50,'SIC &amp; NAICS Codes'!$D:$E,2,FALSE)</f>
        <v>All Other Basic Organic Chemical Manufacturing</v>
      </c>
      <c r="O50" s="28"/>
      <c r="P50" s="28" t="s">
        <v>2404</v>
      </c>
      <c r="Q50" s="28"/>
      <c r="R50" s="28">
        <v>1.6</v>
      </c>
      <c r="S50" s="28">
        <f t="shared" si="0"/>
        <v>0.72574779200000017</v>
      </c>
      <c r="T50" s="28">
        <v>0</v>
      </c>
      <c r="U50" s="28">
        <f t="shared" si="1"/>
        <v>0</v>
      </c>
      <c r="V50" s="28">
        <v>0</v>
      </c>
      <c r="W50" s="28">
        <f t="shared" si="2"/>
        <v>0</v>
      </c>
      <c r="X50" s="28" t="s">
        <v>2485</v>
      </c>
      <c r="Y50" s="92" t="str">
        <f>IF(COUNTIF('Raw Annual DMR Data'!$L:$L,'Raw TRI Data'!K125)&gt;0,"N/A - See DMRs",SUMIFS('Generic Factors'!$D:$D,'Generic Factors'!$A:$A,A50,'Generic Factors'!$B:$B,L50))</f>
        <v>N/A - See DMRs</v>
      </c>
      <c r="Z50" s="112" t="e">
        <f t="shared" si="3"/>
        <v>#N/A</v>
      </c>
      <c r="AA50" s="112" t="e">
        <f t="shared" si="4"/>
        <v>#N/A</v>
      </c>
      <c r="AB50" s="112" t="e">
        <f t="shared" si="5"/>
        <v>#N/A</v>
      </c>
    </row>
    <row r="51" spans="1:28" x14ac:dyDescent="0.25">
      <c r="A51" s="97">
        <v>2016</v>
      </c>
      <c r="B51" s="28" t="s">
        <v>2405</v>
      </c>
      <c r="C51" s="28" t="s">
        <v>219</v>
      </c>
      <c r="D51" s="28" t="s">
        <v>641</v>
      </c>
      <c r="E51" s="28" t="s">
        <v>426</v>
      </c>
      <c r="F51" s="28" t="s">
        <v>427</v>
      </c>
      <c r="G51" s="28">
        <v>48667</v>
      </c>
      <c r="H51" s="28">
        <v>43.600299999999997</v>
      </c>
      <c r="I51" s="28">
        <v>-84.223399999999998</v>
      </c>
      <c r="J51" s="28" t="s">
        <v>642</v>
      </c>
      <c r="K51" s="61">
        <v>110043787408</v>
      </c>
      <c r="L51" s="28" t="str">
        <f>INDEX('Facility Summary'!$K:$K,MATCH(K51,'Facility Summary'!$J:$J,0))</f>
        <v>Processing into formulation, mixture, or reaction product</v>
      </c>
      <c r="M51" s="28">
        <v>325320</v>
      </c>
      <c r="N51" s="28" t="str">
        <f>VLOOKUP(M51,'SIC &amp; NAICS Codes'!$D:$E,2,FALSE)</f>
        <v>Pesticide and Other Agricultural Chemical Manufacturing</v>
      </c>
      <c r="O51" s="28"/>
      <c r="P51" s="28" t="s">
        <v>2404</v>
      </c>
      <c r="Q51" s="28"/>
      <c r="R51" s="28">
        <v>130</v>
      </c>
      <c r="S51" s="28">
        <f t="shared" si="0"/>
        <v>58.967008100000001</v>
      </c>
      <c r="T51" s="28">
        <v>0</v>
      </c>
      <c r="U51" s="28">
        <f t="shared" si="1"/>
        <v>0</v>
      </c>
      <c r="V51" s="28">
        <v>0</v>
      </c>
      <c r="W51" s="28">
        <f t="shared" si="2"/>
        <v>0</v>
      </c>
      <c r="X51" s="28"/>
      <c r="Y51" s="92">
        <f>IF(COUNTIF('Raw Annual DMR Data'!$L:$L,'Raw TRI Data'!K133)&gt;0,"N/A - See DMRs",SUMIFS('Generic Factors'!$D:$D,'Generic Factors'!$A:$A,A51,'Generic Factors'!$B:$B,L51))</f>
        <v>0</v>
      </c>
      <c r="Z51" s="112" t="str">
        <f t="shared" si="3"/>
        <v>N/A - No Generic Factor</v>
      </c>
      <c r="AA51" s="112" t="str">
        <f t="shared" si="4"/>
        <v>N/A - No Generic Factor</v>
      </c>
      <c r="AB51" s="112" t="str">
        <f t="shared" si="5"/>
        <v>N/A - No Generic Factor</v>
      </c>
    </row>
    <row r="52" spans="1:28" x14ac:dyDescent="0.25">
      <c r="A52" s="97">
        <v>2016</v>
      </c>
      <c r="B52" s="28" t="s">
        <v>2403</v>
      </c>
      <c r="C52" s="28" t="s">
        <v>675</v>
      </c>
      <c r="D52" s="28" t="s">
        <v>676</v>
      </c>
      <c r="E52" s="28" t="s">
        <v>516</v>
      </c>
      <c r="F52" s="28" t="s">
        <v>303</v>
      </c>
      <c r="G52" s="28">
        <v>70734</v>
      </c>
      <c r="H52" s="28">
        <v>30.180099999999999</v>
      </c>
      <c r="I52" s="28">
        <v>-90.981899999999996</v>
      </c>
      <c r="J52" s="28" t="s">
        <v>677</v>
      </c>
      <c r="K52" s="61">
        <v>110007909095</v>
      </c>
      <c r="L52" s="28" t="str">
        <f>INDEX('Facility Summary'!$K:$K,MATCH(K52,'Facility Summary'!$J:$J,0))</f>
        <v>Repackaging</v>
      </c>
      <c r="M52" s="28">
        <v>424690</v>
      </c>
      <c r="N52" s="28" t="s">
        <v>678</v>
      </c>
      <c r="O52" s="28"/>
      <c r="P52" s="28" t="s">
        <v>2404</v>
      </c>
      <c r="Q52" s="28"/>
      <c r="R52" s="28">
        <v>500</v>
      </c>
      <c r="S52" s="28">
        <f t="shared" si="0"/>
        <v>226.79618500000001</v>
      </c>
      <c r="T52" s="28">
        <v>500</v>
      </c>
      <c r="U52" s="28">
        <f t="shared" si="1"/>
        <v>226.79618500000001</v>
      </c>
      <c r="V52" s="28">
        <v>500</v>
      </c>
      <c r="W52" s="28">
        <f t="shared" si="2"/>
        <v>226.79618500000001</v>
      </c>
      <c r="X52" s="28" t="s">
        <v>2487</v>
      </c>
      <c r="Y52" s="92">
        <f>IF(COUNTIF('Raw Annual DMR Data'!$L:$L,'Raw TRI Data'!K138)&gt;0,"N/A - See DMRs",SUMIFS('Generic Factors'!$D:$D,'Generic Factors'!$A:$A,A52,'Generic Factors'!$B:$B,L52))</f>
        <v>0</v>
      </c>
      <c r="Z52" s="112" t="str">
        <f t="shared" si="3"/>
        <v>N/A - No Generic Factor</v>
      </c>
      <c r="AA52" s="112" t="str">
        <f t="shared" si="4"/>
        <v>N/A - No Generic Factor</v>
      </c>
      <c r="AB52" s="112" t="str">
        <f t="shared" si="5"/>
        <v>N/A - No Generic Factor</v>
      </c>
    </row>
    <row r="53" spans="1:28" x14ac:dyDescent="0.25">
      <c r="A53" s="97">
        <v>2016</v>
      </c>
      <c r="B53" s="28" t="s">
        <v>2405</v>
      </c>
      <c r="C53" s="28" t="s">
        <v>221</v>
      </c>
      <c r="D53" s="28" t="s">
        <v>663</v>
      </c>
      <c r="E53" s="28" t="s">
        <v>446</v>
      </c>
      <c r="F53" s="28" t="s">
        <v>303</v>
      </c>
      <c r="G53" s="28">
        <v>70669</v>
      </c>
      <c r="H53" s="28">
        <v>30.252222</v>
      </c>
      <c r="I53" s="28">
        <v>-93.284443999999993</v>
      </c>
      <c r="J53" s="28" t="s">
        <v>664</v>
      </c>
      <c r="K53" s="61">
        <v>110002054482</v>
      </c>
      <c r="L53" s="28" t="str">
        <f>INDEX('Facility Summary'!$K:$K,MATCH(K53,'Facility Summary'!$J:$J,0))</f>
        <v>Manufacturing</v>
      </c>
      <c r="M53" s="28">
        <v>325110</v>
      </c>
      <c r="N53" s="28" t="str">
        <f>VLOOKUP(M53,'SIC &amp; NAICS Codes'!$D:$E,2,FALSE)</f>
        <v>Petrochemical Manufacturing</v>
      </c>
      <c r="O53" s="28"/>
      <c r="P53" s="28" t="s">
        <v>2466</v>
      </c>
      <c r="Q53" s="28"/>
      <c r="R53" s="28">
        <v>0</v>
      </c>
      <c r="S53" s="28">
        <f t="shared" si="0"/>
        <v>0</v>
      </c>
      <c r="T53" s="28">
        <v>0</v>
      </c>
      <c r="U53" s="28">
        <f t="shared" si="1"/>
        <v>0</v>
      </c>
      <c r="V53" s="28">
        <v>8</v>
      </c>
      <c r="W53" s="28">
        <f t="shared" si="2"/>
        <v>3.6287389600000002</v>
      </c>
      <c r="X53" s="28"/>
      <c r="Y53" s="92" t="str">
        <f>IF(COUNTIF('Raw Annual DMR Data'!$L:$L,'Raw TRI Data'!K143)&gt;0,"N/A - See DMRs",SUMIFS('Generic Factors'!$D:$D,'Generic Factors'!$A:$A,A53,'Generic Factors'!$B:$B,L53))</f>
        <v>N/A - See DMRs</v>
      </c>
      <c r="Z53" s="112" t="e">
        <f t="shared" si="3"/>
        <v>#N/A</v>
      </c>
      <c r="AA53" s="112" t="e">
        <f t="shared" si="4"/>
        <v>#N/A</v>
      </c>
      <c r="AB53" s="112" t="e">
        <f t="shared" si="5"/>
        <v>#N/A</v>
      </c>
    </row>
    <row r="54" spans="1:28" x14ac:dyDescent="0.25">
      <c r="A54" s="97">
        <v>2016</v>
      </c>
      <c r="B54" s="28" t="s">
        <v>2405</v>
      </c>
      <c r="C54" s="28" t="s">
        <v>201</v>
      </c>
      <c r="D54" s="28" t="s">
        <v>665</v>
      </c>
      <c r="E54" s="28" t="s">
        <v>516</v>
      </c>
      <c r="F54" s="28" t="s">
        <v>303</v>
      </c>
      <c r="G54" s="28">
        <v>70734</v>
      </c>
      <c r="H54" s="28">
        <v>30.208604000000001</v>
      </c>
      <c r="I54" s="28">
        <v>-91.011127999999999</v>
      </c>
      <c r="J54" s="28" t="s">
        <v>666</v>
      </c>
      <c r="K54" s="61">
        <v>110000746328</v>
      </c>
      <c r="L54" s="28" t="str">
        <f>INDEX('Facility Summary'!$K:$K,MATCH(K54,'Facility Summary'!$J:$J,0))</f>
        <v>Manufacturing</v>
      </c>
      <c r="M54" s="28">
        <v>325211</v>
      </c>
      <c r="N54" s="28" t="str">
        <f>VLOOKUP(M54,'SIC &amp; NAICS Codes'!$D:$E,2,FALSE)</f>
        <v>Plastics Material and Resin Manufacturing</v>
      </c>
      <c r="O54" s="28"/>
      <c r="P54" s="28" t="s">
        <v>2404</v>
      </c>
      <c r="Q54" s="28"/>
      <c r="R54" s="28">
        <v>3</v>
      </c>
      <c r="S54" s="28">
        <f t="shared" si="0"/>
        <v>1.3607771099999999</v>
      </c>
      <c r="T54" s="28">
        <v>0</v>
      </c>
      <c r="U54" s="28">
        <f t="shared" si="1"/>
        <v>0</v>
      </c>
      <c r="V54" s="28">
        <v>0</v>
      </c>
      <c r="W54" s="28">
        <f t="shared" si="2"/>
        <v>0</v>
      </c>
      <c r="X54" s="28" t="s">
        <v>2488</v>
      </c>
      <c r="Y54" s="92">
        <f>IF(COUNTIF('Raw Annual DMR Data'!$L:$L,'Raw TRI Data'!K149)&gt;0,"N/A - See DMRs",SUMIFS('Generic Factors'!$D:$D,'Generic Factors'!$A:$A,A54,'Generic Factors'!$B:$B,L54))</f>
        <v>5.3940313809082499</v>
      </c>
      <c r="Z54" s="62">
        <f t="shared" si="3"/>
        <v>0.24131725117325803</v>
      </c>
      <c r="AA54" s="62">
        <f t="shared" si="4"/>
        <v>0</v>
      </c>
      <c r="AB54" s="62">
        <f t="shared" si="5"/>
        <v>0</v>
      </c>
    </row>
    <row r="55" spans="1:28" x14ac:dyDescent="0.25">
      <c r="A55" s="97">
        <v>2016</v>
      </c>
      <c r="B55" s="28" t="s">
        <v>2405</v>
      </c>
      <c r="C55" s="28" t="s">
        <v>202</v>
      </c>
      <c r="D55" s="28" t="s">
        <v>2426</v>
      </c>
      <c r="E55" s="28" t="s">
        <v>323</v>
      </c>
      <c r="F55" s="28" t="s">
        <v>324</v>
      </c>
      <c r="G55" s="28">
        <v>42029</v>
      </c>
      <c r="H55" s="28">
        <v>37.051110999999999</v>
      </c>
      <c r="I55" s="28">
        <v>-88.334166999999994</v>
      </c>
      <c r="J55" s="28" t="s">
        <v>668</v>
      </c>
      <c r="K55" s="61">
        <v>110027373072</v>
      </c>
      <c r="L55" s="28" t="str">
        <f>INDEX('Facility Summary'!$K:$K,MATCH(K55,'Facility Summary'!$J:$J,0))</f>
        <v>Manufacturing</v>
      </c>
      <c r="M55" s="28">
        <v>325199</v>
      </c>
      <c r="N55" s="28" t="str">
        <f>VLOOKUP(M55,'SIC &amp; NAICS Codes'!$D:$E,2,FALSE)</f>
        <v>All Other Basic Organic Chemical Manufacturing</v>
      </c>
      <c r="O55" s="28"/>
      <c r="P55" s="28" t="s">
        <v>2404</v>
      </c>
      <c r="Q55" s="28"/>
      <c r="R55" s="28">
        <v>981</v>
      </c>
      <c r="S55" s="28">
        <f t="shared" si="0"/>
        <v>444.97411497000002</v>
      </c>
      <c r="T55" s="28">
        <v>0</v>
      </c>
      <c r="U55" s="28">
        <f t="shared" si="1"/>
        <v>0</v>
      </c>
      <c r="V55" s="28">
        <v>0</v>
      </c>
      <c r="W55" s="28">
        <f t="shared" si="2"/>
        <v>0</v>
      </c>
      <c r="X55" s="28" t="s">
        <v>957</v>
      </c>
      <c r="Y55" s="92">
        <f>IF(COUNTIF('Raw Annual DMR Data'!$L:$L,'Raw TRI Data'!K155)&gt;0,"N/A - See DMRs",SUMIFS('Generic Factors'!$D:$D,'Generic Factors'!$A:$A,A55,'Generic Factors'!$B:$B,L55))</f>
        <v>5.3940313809082499</v>
      </c>
      <c r="Z55" s="112">
        <f t="shared" si="3"/>
        <v>78.910741133655378</v>
      </c>
      <c r="AA55" s="112">
        <f t="shared" si="4"/>
        <v>0</v>
      </c>
      <c r="AB55" s="112">
        <f t="shared" si="5"/>
        <v>0</v>
      </c>
    </row>
    <row r="56" spans="1:28" x14ac:dyDescent="0.25">
      <c r="A56" s="97">
        <v>2017</v>
      </c>
      <c r="B56" s="28" t="s">
        <v>2405</v>
      </c>
      <c r="C56" s="28" t="s">
        <v>105</v>
      </c>
      <c r="D56" s="28" t="s">
        <v>322</v>
      </c>
      <c r="E56" s="28" t="s">
        <v>323</v>
      </c>
      <c r="F56" s="28" t="s">
        <v>324</v>
      </c>
      <c r="G56" s="28">
        <v>42029</v>
      </c>
      <c r="H56" s="28">
        <v>37.056699000000002</v>
      </c>
      <c r="I56" s="28">
        <v>-88.365727000000007</v>
      </c>
      <c r="J56" s="28" t="s">
        <v>325</v>
      </c>
      <c r="K56" s="61">
        <v>110000380061</v>
      </c>
      <c r="L56" s="28" t="str">
        <f>INDEX('Facility Summary'!$K:$K,MATCH(K56,'Facility Summary'!$J:$J,0))</f>
        <v>Manufacturing</v>
      </c>
      <c r="M56" s="28">
        <v>325199</v>
      </c>
      <c r="N56" s="28" t="str">
        <f>VLOOKUP(M56,'SIC &amp; NAICS Codes'!$D:$E,2,FALSE)</f>
        <v>All Other Basic Organic Chemical Manufacturing</v>
      </c>
      <c r="O56" s="28"/>
      <c r="P56" s="28" t="s">
        <v>2404</v>
      </c>
      <c r="Q56" s="28"/>
      <c r="R56" s="28">
        <v>160</v>
      </c>
      <c r="S56" s="28">
        <f t="shared" si="0"/>
        <v>72.574779200000009</v>
      </c>
      <c r="T56" s="28">
        <v>0</v>
      </c>
      <c r="U56" s="28">
        <f t="shared" si="1"/>
        <v>0</v>
      </c>
      <c r="V56" s="28">
        <v>0</v>
      </c>
      <c r="W56" s="28">
        <f t="shared" si="2"/>
        <v>0</v>
      </c>
      <c r="X56" s="28" t="s">
        <v>776</v>
      </c>
      <c r="Y56" s="92">
        <f>IF(COUNTIF('Raw Annual DMR Data'!$L:$L,'Raw TRI Data'!K6)&gt;0,"N/A - See DMRs",SUMIFS('Generic Factors'!$D:$D,'Generic Factors'!$A:$A,A56,'Generic Factors'!$B:$B,L56))</f>
        <v>4.2865301144334813</v>
      </c>
      <c r="Z56" s="112">
        <f t="shared" si="3"/>
        <v>10.227735967056278</v>
      </c>
      <c r="AA56" s="112">
        <f t="shared" si="4"/>
        <v>0</v>
      </c>
      <c r="AB56" s="112">
        <f t="shared" si="5"/>
        <v>0</v>
      </c>
    </row>
    <row r="57" spans="1:28" x14ac:dyDescent="0.25">
      <c r="A57" s="97">
        <v>2017</v>
      </c>
      <c r="B57" s="28" t="s">
        <v>2405</v>
      </c>
      <c r="C57" s="28" t="s">
        <v>204</v>
      </c>
      <c r="D57" s="28" t="s">
        <v>333</v>
      </c>
      <c r="E57" s="28" t="s">
        <v>334</v>
      </c>
      <c r="F57" s="28" t="s">
        <v>303</v>
      </c>
      <c r="G57" s="28">
        <v>70764</v>
      </c>
      <c r="H57" s="28">
        <v>30.262255</v>
      </c>
      <c r="I57" s="28">
        <v>-91.185837000000006</v>
      </c>
      <c r="J57" s="28" t="s">
        <v>335</v>
      </c>
      <c r="K57" s="61">
        <v>110000613747</v>
      </c>
      <c r="L57" s="28" t="str">
        <f>INDEX('Facility Summary'!$K:$K,MATCH(K57,'Facility Summary'!$J:$J,0))</f>
        <v>Manufacturing</v>
      </c>
      <c r="M57" s="28">
        <v>325211</v>
      </c>
      <c r="N57" s="28" t="str">
        <f>VLOOKUP(M57,'SIC &amp; NAICS Codes'!$D:$E,2,FALSE)</f>
        <v>Plastics Material and Resin Manufacturing</v>
      </c>
      <c r="O57" s="28"/>
      <c r="P57" s="28" t="s">
        <v>2404</v>
      </c>
      <c r="Q57" s="28"/>
      <c r="R57" s="28">
        <v>1</v>
      </c>
      <c r="S57" s="28">
        <f t="shared" si="0"/>
        <v>0.45359237000000002</v>
      </c>
      <c r="T57" s="28">
        <v>0</v>
      </c>
      <c r="U57" s="28">
        <f t="shared" si="1"/>
        <v>0</v>
      </c>
      <c r="V57" s="28">
        <v>0</v>
      </c>
      <c r="W57" s="28">
        <f t="shared" si="2"/>
        <v>0</v>
      </c>
      <c r="X57" s="28" t="s">
        <v>2465</v>
      </c>
      <c r="Y57" s="92" t="str">
        <f>IF(COUNTIF('Raw Annual DMR Data'!$L:$L,'Raw TRI Data'!K11)&gt;0,"N/A - See DMRs",SUMIFS('Generic Factors'!$D:$D,'Generic Factors'!$A:$A,A57,'Generic Factors'!$B:$B,L57))</f>
        <v>N/A - See DMRs</v>
      </c>
      <c r="Z57" s="112" t="e">
        <f t="shared" si="3"/>
        <v>#N/A</v>
      </c>
      <c r="AA57" s="112" t="e">
        <f t="shared" si="4"/>
        <v>#N/A</v>
      </c>
      <c r="AB57" s="112" t="e">
        <f t="shared" si="5"/>
        <v>#N/A</v>
      </c>
    </row>
    <row r="58" spans="1:28" x14ac:dyDescent="0.25">
      <c r="A58" s="97">
        <v>2017</v>
      </c>
      <c r="B58" s="28" t="s">
        <v>2405</v>
      </c>
      <c r="C58" s="28" t="s">
        <v>205</v>
      </c>
      <c r="D58" s="28" t="s">
        <v>343</v>
      </c>
      <c r="E58" s="28" t="s">
        <v>344</v>
      </c>
      <c r="F58" s="28" t="s">
        <v>345</v>
      </c>
      <c r="G58" s="28">
        <v>60901</v>
      </c>
      <c r="H58" s="28">
        <v>41.085541999999997</v>
      </c>
      <c r="I58" s="28">
        <v>-87.880542000000005</v>
      </c>
      <c r="J58" s="28" t="s">
        <v>346</v>
      </c>
      <c r="K58" s="61">
        <v>110043972207</v>
      </c>
      <c r="L58" s="28" t="str">
        <f>INDEX('Facility Summary'!$K:$K,MATCH(K58,'Facility Summary'!$J:$J,0))</f>
        <v>Processing into formulation, mixture, or reaction product</v>
      </c>
      <c r="M58" s="28">
        <v>325613</v>
      </c>
      <c r="N58" s="28" t="str">
        <f>VLOOKUP(M58,'SIC &amp; NAICS Codes'!$D:$E,2,FALSE)</f>
        <v>Surface Active Agent Manufacturing</v>
      </c>
      <c r="O58" s="28"/>
      <c r="P58" s="28" t="s">
        <v>2466</v>
      </c>
      <c r="Q58" s="28"/>
      <c r="R58" s="28">
        <v>0</v>
      </c>
      <c r="S58" s="28">
        <f t="shared" si="0"/>
        <v>0</v>
      </c>
      <c r="T58" s="28">
        <v>250</v>
      </c>
      <c r="U58" s="28">
        <f t="shared" si="1"/>
        <v>113.3980925</v>
      </c>
      <c r="V58" s="28">
        <v>0</v>
      </c>
      <c r="W58" s="28">
        <f t="shared" si="2"/>
        <v>0</v>
      </c>
      <c r="X58" s="28" t="s">
        <v>2467</v>
      </c>
      <c r="Y58" s="92">
        <f>IF(COUNTIF('Raw Annual DMR Data'!$L:$L,'Raw TRI Data'!K17)&gt;0,"N/A - See DMRs",SUMIFS('Generic Factors'!$D:$D,'Generic Factors'!$A:$A,A58,'Generic Factors'!$B:$B,L58))</f>
        <v>0</v>
      </c>
      <c r="Z58" s="112" t="str">
        <f t="shared" si="3"/>
        <v>N/A - No Generic Factor</v>
      </c>
      <c r="AA58" s="112" t="str">
        <f t="shared" si="4"/>
        <v>N/A - No Generic Factor</v>
      </c>
      <c r="AB58" s="112" t="str">
        <f t="shared" si="5"/>
        <v>N/A - No Generic Factor</v>
      </c>
    </row>
    <row r="59" spans="1:28" x14ac:dyDescent="0.25">
      <c r="A59" s="97">
        <v>2017</v>
      </c>
      <c r="B59" s="28" t="s">
        <v>2405</v>
      </c>
      <c r="C59" s="28" t="s">
        <v>206</v>
      </c>
      <c r="D59" s="28" t="s">
        <v>347</v>
      </c>
      <c r="E59" s="28" t="s">
        <v>348</v>
      </c>
      <c r="F59" s="28" t="s">
        <v>349</v>
      </c>
      <c r="G59" s="28">
        <v>63461</v>
      </c>
      <c r="H59" s="28">
        <v>39.834117999999997</v>
      </c>
      <c r="I59" s="28">
        <v>-91.436790999999999</v>
      </c>
      <c r="J59" s="28" t="s">
        <v>350</v>
      </c>
      <c r="K59" s="61">
        <v>110056953765</v>
      </c>
      <c r="L59" s="28" t="str">
        <f>INDEX('Facility Summary'!$K:$K,MATCH(K59,'Facility Summary'!$J:$J,0))</f>
        <v>Processing into formulation, mixture, or reaction product</v>
      </c>
      <c r="M59" s="28">
        <v>325320</v>
      </c>
      <c r="N59" s="28" t="str">
        <f>VLOOKUP(M59,'SIC &amp; NAICS Codes'!$D:$E,2,FALSE)</f>
        <v>Pesticide and Other Agricultural Chemical Manufacturing</v>
      </c>
      <c r="O59" s="28"/>
      <c r="P59" s="28" t="s">
        <v>2404</v>
      </c>
      <c r="Q59" s="28"/>
      <c r="R59" s="28">
        <v>5</v>
      </c>
      <c r="S59" s="28">
        <f t="shared" si="0"/>
        <v>2.2679618500000003</v>
      </c>
      <c r="T59" s="28">
        <v>0</v>
      </c>
      <c r="U59" s="28">
        <f t="shared" si="1"/>
        <v>0</v>
      </c>
      <c r="V59" s="28">
        <v>0</v>
      </c>
      <c r="W59" s="28">
        <f t="shared" si="2"/>
        <v>0</v>
      </c>
      <c r="X59" s="28" t="s">
        <v>2468</v>
      </c>
      <c r="Y59" s="92">
        <f>IF(COUNTIF('Raw Annual DMR Data'!$L:$L,'Raw TRI Data'!K23)&gt;0,"N/A - See DMRs",SUMIFS('Generic Factors'!$D:$D,'Generic Factors'!$A:$A,A59,'Generic Factors'!$B:$B,L59))</f>
        <v>0</v>
      </c>
      <c r="Z59" s="112" t="str">
        <f t="shared" si="3"/>
        <v>N/A - No Generic Factor</v>
      </c>
      <c r="AA59" s="112" t="str">
        <f t="shared" si="4"/>
        <v>N/A - No Generic Factor</v>
      </c>
      <c r="AB59" s="112" t="str">
        <f t="shared" si="5"/>
        <v>N/A - No Generic Factor</v>
      </c>
    </row>
    <row r="60" spans="1:28" x14ac:dyDescent="0.25">
      <c r="A60" s="97">
        <v>2017</v>
      </c>
      <c r="B60" s="28" t="s">
        <v>2405</v>
      </c>
      <c r="C60" s="28" t="s">
        <v>128</v>
      </c>
      <c r="D60" s="28" t="s">
        <v>2408</v>
      </c>
      <c r="E60" s="28" t="s">
        <v>412</v>
      </c>
      <c r="F60" s="28" t="s">
        <v>299</v>
      </c>
      <c r="G60" s="28">
        <v>71730</v>
      </c>
      <c r="H60" s="28">
        <v>33.2044</v>
      </c>
      <c r="I60" s="28">
        <v>-92.630799999999994</v>
      </c>
      <c r="J60" s="28" t="s">
        <v>413</v>
      </c>
      <c r="K60" s="61">
        <v>110000521221</v>
      </c>
      <c r="L60" s="28" t="str">
        <f>INDEX('Facility Summary'!$K:$K,MATCH(K60,'Facility Summary'!$J:$J,0))</f>
        <v>Waste Handling, Disposal and Treatment (Incinerator)</v>
      </c>
      <c r="M60" s="28">
        <v>562211</v>
      </c>
      <c r="N60" s="28" t="str">
        <f>VLOOKUP(M60,'SIC &amp; NAICS Codes'!$D:$E,2,FALSE)</f>
        <v>Hazardous Waste Treatment and Disposal</v>
      </c>
      <c r="O60" s="28"/>
      <c r="P60" s="28" t="s">
        <v>2404</v>
      </c>
      <c r="Q60" s="28"/>
      <c r="R60" s="28">
        <v>4.4000000000000004</v>
      </c>
      <c r="S60" s="28">
        <f t="shared" si="0"/>
        <v>1.9958064280000003</v>
      </c>
      <c r="T60" s="28">
        <v>0</v>
      </c>
      <c r="U60" s="28">
        <f t="shared" si="1"/>
        <v>0</v>
      </c>
      <c r="V60" s="28">
        <v>0</v>
      </c>
      <c r="W60" s="28">
        <f t="shared" si="2"/>
        <v>0</v>
      </c>
      <c r="X60" s="28" t="s">
        <v>821</v>
      </c>
      <c r="Y60" s="92">
        <f>IF(COUNTIF('Raw Annual DMR Data'!$L:$L,'Raw TRI Data'!K33)&gt;0,"N/A - See DMRs",SUMIFS('Generic Factors'!$D:$D,'Generic Factors'!$A:$A,A60,'Generic Factors'!$B:$B,L60))</f>
        <v>0</v>
      </c>
      <c r="Z60" s="112" t="str">
        <f t="shared" si="3"/>
        <v>N/A - No Generic Factor</v>
      </c>
      <c r="AA60" s="112" t="str">
        <f t="shared" si="4"/>
        <v>N/A - No Generic Factor</v>
      </c>
      <c r="AB60" s="112" t="str">
        <f t="shared" si="5"/>
        <v>N/A - No Generic Factor</v>
      </c>
    </row>
    <row r="61" spans="1:28" x14ac:dyDescent="0.25">
      <c r="A61" s="97">
        <v>2017</v>
      </c>
      <c r="B61" s="28" t="s">
        <v>2405</v>
      </c>
      <c r="C61" s="28" t="s">
        <v>209</v>
      </c>
      <c r="D61" s="28" t="s">
        <v>436</v>
      </c>
      <c r="E61" s="28" t="s">
        <v>437</v>
      </c>
      <c r="F61" s="28" t="s">
        <v>362</v>
      </c>
      <c r="G61" s="28">
        <v>775413257</v>
      </c>
      <c r="H61" s="28">
        <v>28.979199999999999</v>
      </c>
      <c r="I61" s="28">
        <v>-95.354900000000001</v>
      </c>
      <c r="J61" s="28" t="s">
        <v>438</v>
      </c>
      <c r="K61" s="61">
        <v>110008170237</v>
      </c>
      <c r="L61" s="28" t="str">
        <f>INDEX('Facility Summary'!$K:$K,MATCH(K61,'Facility Summary'!$J:$J,0))</f>
        <v>Processing as a Reactant</v>
      </c>
      <c r="M61" s="28">
        <v>325199</v>
      </c>
      <c r="N61" s="28" t="str">
        <f>VLOOKUP(M61,'SIC &amp; NAICS Codes'!$D:$E,2,FALSE)</f>
        <v>All Other Basic Organic Chemical Manufacturing</v>
      </c>
      <c r="O61" s="28"/>
      <c r="P61" s="28" t="s">
        <v>2404</v>
      </c>
      <c r="Q61" s="28"/>
      <c r="R61" s="28">
        <v>586</v>
      </c>
      <c r="S61" s="28">
        <f t="shared" si="0"/>
        <v>265.80512881999999</v>
      </c>
      <c r="T61" s="28">
        <v>0</v>
      </c>
      <c r="U61" s="28">
        <f t="shared" si="1"/>
        <v>0</v>
      </c>
      <c r="V61" s="28">
        <v>0</v>
      </c>
      <c r="W61" s="28">
        <f t="shared" si="2"/>
        <v>0</v>
      </c>
      <c r="X61" s="28" t="s">
        <v>2473</v>
      </c>
      <c r="Y61" s="92" t="str">
        <f>IF(COUNTIF('Raw Annual DMR Data'!$L:$L,'Raw TRI Data'!K38)&gt;0,"N/A - See DMRs",SUMIFS('Generic Factors'!$D:$D,'Generic Factors'!$A:$A,A61,'Generic Factors'!$B:$B,L61))</f>
        <v>N/A - See DMRs</v>
      </c>
      <c r="Z61" s="112" t="e">
        <f t="shared" si="3"/>
        <v>#N/A</v>
      </c>
      <c r="AA61" s="112" t="e">
        <f t="shared" si="4"/>
        <v>#N/A</v>
      </c>
      <c r="AB61" s="112" t="e">
        <f t="shared" si="5"/>
        <v>#N/A</v>
      </c>
    </row>
    <row r="62" spans="1:28" x14ac:dyDescent="0.25">
      <c r="A62" s="97">
        <v>2017</v>
      </c>
      <c r="B62" s="28" t="s">
        <v>2405</v>
      </c>
      <c r="C62" s="28" t="s">
        <v>2410</v>
      </c>
      <c r="D62" s="28" t="s">
        <v>2411</v>
      </c>
      <c r="E62" s="28" t="s">
        <v>446</v>
      </c>
      <c r="F62" s="28" t="s">
        <v>303</v>
      </c>
      <c r="G62" s="28">
        <v>70669</v>
      </c>
      <c r="H62" s="28">
        <v>30.223500000000001</v>
      </c>
      <c r="I62" s="28">
        <v>-93.286900000000003</v>
      </c>
      <c r="J62" s="28" t="s">
        <v>447</v>
      </c>
      <c r="K62" s="61">
        <v>110000494894</v>
      </c>
      <c r="L62" s="28" t="str">
        <f>INDEX('Facility Summary'!$K:$K,MATCH(K62,'Facility Summary'!$J:$J,0))</f>
        <v>Manufacturing</v>
      </c>
      <c r="M62" s="28">
        <v>325180</v>
      </c>
      <c r="N62" s="28" t="str">
        <f>VLOOKUP(M62,'SIC &amp; NAICS Codes'!$D:$E,2,FALSE)</f>
        <v>Other Basic Inorganic Chemical Manufacturing</v>
      </c>
      <c r="O62" s="28"/>
      <c r="P62" s="28" t="s">
        <v>2404</v>
      </c>
      <c r="Q62" s="28"/>
      <c r="R62" s="28">
        <v>16</v>
      </c>
      <c r="S62" s="28">
        <f t="shared" si="0"/>
        <v>7.2574779200000004</v>
      </c>
      <c r="T62" s="28">
        <v>0</v>
      </c>
      <c r="U62" s="28">
        <f t="shared" si="1"/>
        <v>0</v>
      </c>
      <c r="V62" s="28">
        <v>0</v>
      </c>
      <c r="W62" s="28">
        <f t="shared" si="2"/>
        <v>0</v>
      </c>
      <c r="X62" s="28" t="s">
        <v>839</v>
      </c>
      <c r="Y62" s="92">
        <f>IF(COUNTIF('Raw Annual DMR Data'!$L:$L,'Raw TRI Data'!K44)&gt;0,"N/A - See DMRs",SUMIFS('Generic Factors'!$D:$D,'Generic Factors'!$A:$A,A62,'Generic Factors'!$B:$B,L62))</f>
        <v>4.2865301144334813</v>
      </c>
      <c r="Z62" s="112">
        <f t="shared" si="3"/>
        <v>1.0227735967056277</v>
      </c>
      <c r="AA62" s="112">
        <f t="shared" si="4"/>
        <v>0</v>
      </c>
      <c r="AB62" s="112">
        <f t="shared" si="5"/>
        <v>0</v>
      </c>
    </row>
    <row r="63" spans="1:28" x14ac:dyDescent="0.25">
      <c r="A63" s="97">
        <v>2017</v>
      </c>
      <c r="B63" s="28" t="s">
        <v>2405</v>
      </c>
      <c r="C63" s="28" t="s">
        <v>2412</v>
      </c>
      <c r="D63" s="28" t="s">
        <v>2413</v>
      </c>
      <c r="E63" s="28" t="s">
        <v>302</v>
      </c>
      <c r="F63" s="28" t="s">
        <v>303</v>
      </c>
      <c r="G63" s="28">
        <v>70805</v>
      </c>
      <c r="H63" s="28">
        <v>30.501336999999999</v>
      </c>
      <c r="I63" s="28">
        <v>-91.192340000000002</v>
      </c>
      <c r="J63" s="28" t="s">
        <v>483</v>
      </c>
      <c r="K63" s="61">
        <v>110000597444</v>
      </c>
      <c r="L63" s="28" t="str">
        <f>INDEX('Facility Summary'!$K:$K,MATCH(K63,'Facility Summary'!$J:$J,0))</f>
        <v>Manufacturing</v>
      </c>
      <c r="M63" s="28">
        <v>325211</v>
      </c>
      <c r="N63" s="28" t="str">
        <f>VLOOKUP(M63,'SIC &amp; NAICS Codes'!$D:$E,2,FALSE)</f>
        <v>Plastics Material and Resin Manufacturing</v>
      </c>
      <c r="O63" s="28"/>
      <c r="P63" s="28" t="s">
        <v>2404</v>
      </c>
      <c r="Q63" s="28"/>
      <c r="R63" s="28">
        <v>2</v>
      </c>
      <c r="S63" s="28">
        <f t="shared" si="0"/>
        <v>0.90718474000000004</v>
      </c>
      <c r="T63" s="28">
        <v>0</v>
      </c>
      <c r="U63" s="28">
        <f t="shared" si="1"/>
        <v>0</v>
      </c>
      <c r="V63" s="28">
        <v>0</v>
      </c>
      <c r="W63" s="28">
        <f t="shared" si="2"/>
        <v>0</v>
      </c>
      <c r="X63" s="28" t="s">
        <v>862</v>
      </c>
      <c r="Y63" s="92">
        <f>IF(COUNTIF('Raw Annual DMR Data'!$L:$L,'Raw TRI Data'!K49)&gt;0,"N/A - See DMRs",SUMIFS('Generic Factors'!$D:$D,'Generic Factors'!$A:$A,A63,'Generic Factors'!$B:$B,L63))</f>
        <v>4.2865301144334813</v>
      </c>
      <c r="Z63" s="112">
        <f t="shared" si="3"/>
        <v>0.12784669958820347</v>
      </c>
      <c r="AA63" s="112">
        <f t="shared" si="4"/>
        <v>0</v>
      </c>
      <c r="AB63" s="112">
        <f t="shared" si="5"/>
        <v>0</v>
      </c>
    </row>
    <row r="64" spans="1:28" x14ac:dyDescent="0.25">
      <c r="A64" s="97">
        <v>2017</v>
      </c>
      <c r="B64" s="28" t="s">
        <v>2405</v>
      </c>
      <c r="C64" s="28" t="s">
        <v>2414</v>
      </c>
      <c r="D64" s="28" t="s">
        <v>2415</v>
      </c>
      <c r="E64" s="28" t="s">
        <v>480</v>
      </c>
      <c r="F64" s="28" t="s">
        <v>362</v>
      </c>
      <c r="G64" s="28">
        <v>77978</v>
      </c>
      <c r="H64" s="28">
        <v>28.6753</v>
      </c>
      <c r="I64" s="28">
        <v>-96.549499999999995</v>
      </c>
      <c r="J64" s="28" t="s">
        <v>481</v>
      </c>
      <c r="K64" s="61">
        <v>110018925957</v>
      </c>
      <c r="L64" s="28" t="str">
        <f>INDEX('Facility Summary'!$K:$K,MATCH(K64,'Facility Summary'!$J:$J,0))</f>
        <v>Manufacturing</v>
      </c>
      <c r="M64" s="28">
        <v>325211</v>
      </c>
      <c r="N64" s="28" t="str">
        <f>VLOOKUP(M64,'SIC &amp; NAICS Codes'!$D:$E,2,FALSE)</f>
        <v>Plastics Material and Resin Manufacturing</v>
      </c>
      <c r="O64" s="28"/>
      <c r="P64" s="28" t="s">
        <v>2404</v>
      </c>
      <c r="Q64" s="28"/>
      <c r="R64" s="28">
        <v>163</v>
      </c>
      <c r="S64" s="28">
        <f t="shared" si="0"/>
        <v>73.935556309999996</v>
      </c>
      <c r="T64" s="28">
        <v>0</v>
      </c>
      <c r="U64" s="28">
        <f t="shared" si="1"/>
        <v>0</v>
      </c>
      <c r="V64" s="28">
        <v>0</v>
      </c>
      <c r="W64" s="28">
        <f t="shared" si="2"/>
        <v>0</v>
      </c>
      <c r="X64" s="28" t="s">
        <v>2475</v>
      </c>
      <c r="Y64" s="92" t="str">
        <f>IF(COUNTIF('Raw Annual DMR Data'!$L:$L,'Raw TRI Data'!K55)&gt;0,"N/A - See DMRs",SUMIFS('Generic Factors'!$D:$D,'Generic Factors'!$A:$A,A64,'Generic Factors'!$B:$B,L64))</f>
        <v>N/A - See DMRs</v>
      </c>
      <c r="Z64" s="112" t="e">
        <f t="shared" si="3"/>
        <v>#N/A</v>
      </c>
      <c r="AA64" s="112" t="e">
        <f t="shared" si="4"/>
        <v>#N/A</v>
      </c>
      <c r="AB64" s="112" t="e">
        <f t="shared" si="5"/>
        <v>#N/A</v>
      </c>
    </row>
    <row r="65" spans="1:28" x14ac:dyDescent="0.25">
      <c r="A65" s="97">
        <v>2017</v>
      </c>
      <c r="B65" s="28" t="s">
        <v>2405</v>
      </c>
      <c r="C65" s="28" t="s">
        <v>2417</v>
      </c>
      <c r="D65" s="28" t="s">
        <v>2418</v>
      </c>
      <c r="E65" s="28" t="s">
        <v>302</v>
      </c>
      <c r="F65" s="28" t="s">
        <v>303</v>
      </c>
      <c r="G65" s="28">
        <v>70805</v>
      </c>
      <c r="H65" s="28">
        <v>30.474443999999998</v>
      </c>
      <c r="I65" s="28">
        <v>-91.183055999999993</v>
      </c>
      <c r="J65" s="28" t="s">
        <v>514</v>
      </c>
      <c r="K65" s="61">
        <v>110003266849</v>
      </c>
      <c r="L65" s="28" t="str">
        <f>INDEX('Facility Summary'!$K:$K,MATCH(K65,'Facility Summary'!$J:$J,0))</f>
        <v>Processing into formulation, mixture, or reaction product</v>
      </c>
      <c r="M65" s="28">
        <v>325199</v>
      </c>
      <c r="N65" s="28" t="str">
        <f>VLOOKUP(M65,'SIC &amp; NAICS Codes'!$D:$E,2,FALSE)</f>
        <v>All Other Basic Organic Chemical Manufacturing</v>
      </c>
      <c r="O65" s="28"/>
      <c r="P65" s="28" t="s">
        <v>2404</v>
      </c>
      <c r="Q65" s="28"/>
      <c r="R65" s="28">
        <v>3</v>
      </c>
      <c r="S65" s="28">
        <f t="shared" si="0"/>
        <v>1.3607771099999999</v>
      </c>
      <c r="T65" s="28">
        <v>0</v>
      </c>
      <c r="U65" s="28">
        <f t="shared" si="1"/>
        <v>0</v>
      </c>
      <c r="V65" s="28">
        <v>0</v>
      </c>
      <c r="W65" s="28">
        <f t="shared" si="2"/>
        <v>0</v>
      </c>
      <c r="X65" s="28" t="s">
        <v>878</v>
      </c>
      <c r="Y65" s="92" t="str">
        <f>IF(COUNTIF('Raw Annual DMR Data'!$L:$L,'Raw TRI Data'!K65)&gt;0,"N/A - See DMRs",SUMIFS('Generic Factors'!$D:$D,'Generic Factors'!$A:$A,A65,'Generic Factors'!$B:$B,L65))</f>
        <v>N/A - See DMRs</v>
      </c>
      <c r="Z65" s="112" t="e">
        <f t="shared" si="3"/>
        <v>#N/A</v>
      </c>
      <c r="AA65" s="112" t="e">
        <f t="shared" si="4"/>
        <v>#N/A</v>
      </c>
      <c r="AB65" s="112" t="e">
        <f t="shared" si="5"/>
        <v>#N/A</v>
      </c>
    </row>
    <row r="66" spans="1:28" x14ac:dyDescent="0.25">
      <c r="A66" s="97">
        <v>2017</v>
      </c>
      <c r="B66" s="28" t="s">
        <v>2405</v>
      </c>
      <c r="C66" s="28" t="s">
        <v>212</v>
      </c>
      <c r="D66" s="28" t="s">
        <v>523</v>
      </c>
      <c r="E66" s="28" t="s">
        <v>437</v>
      </c>
      <c r="F66" s="28" t="s">
        <v>362</v>
      </c>
      <c r="G66" s="28">
        <v>77541</v>
      </c>
      <c r="H66" s="28">
        <v>28.952500000000001</v>
      </c>
      <c r="I66" s="28">
        <v>-95.313000000000002</v>
      </c>
      <c r="J66" s="28" t="s">
        <v>524</v>
      </c>
      <c r="K66" s="61">
        <v>110012256076</v>
      </c>
      <c r="L66" s="28" t="str">
        <f>INDEX('Facility Summary'!$K:$K,MATCH(K66,'Facility Summary'!$J:$J,0))</f>
        <v>Processing as a Reactant</v>
      </c>
      <c r="M66" s="28">
        <v>325199</v>
      </c>
      <c r="N66" s="28" t="str">
        <f>VLOOKUP(M66,'SIC &amp; NAICS Codes'!$D:$E,2,FALSE)</f>
        <v>All Other Basic Organic Chemical Manufacturing</v>
      </c>
      <c r="O66" s="28"/>
      <c r="P66" s="28" t="s">
        <v>2404</v>
      </c>
      <c r="Q66" s="28"/>
      <c r="R66" s="28">
        <v>5</v>
      </c>
      <c r="S66" s="28">
        <f t="shared" ref="S66:S129" si="6">CONVERT(R66,"lbm","g")/1000</f>
        <v>2.2679618500000003</v>
      </c>
      <c r="T66" s="28">
        <v>0</v>
      </c>
      <c r="U66" s="28">
        <f t="shared" ref="U66:U129" si="7">CONVERT(T66,"lbm","g")/1000</f>
        <v>0</v>
      </c>
      <c r="V66" s="28">
        <v>0</v>
      </c>
      <c r="W66" s="28">
        <f t="shared" ref="W66:W129" si="8">CONVERT(V66,"lbm","g")/1000</f>
        <v>0</v>
      </c>
      <c r="X66" s="28"/>
      <c r="Y66" s="92">
        <f>IF(COUNTIF('Raw Annual DMR Data'!$L:$L,'Raw TRI Data'!K69)&gt;0,"N/A - See DMRs",SUMIFS('Generic Factors'!$D:$D,'Generic Factors'!$A:$A,A66,'Generic Factors'!$B:$B,L66))</f>
        <v>0</v>
      </c>
      <c r="Z66" s="112" t="str">
        <f t="shared" ref="Z66:Z129" si="9">IFERROR(IF($Y66&gt;0,$Y66*S66/30.4167,"N/A - No Generic Factor"),#N/A)</f>
        <v>N/A - No Generic Factor</v>
      </c>
      <c r="AA66" s="112" t="str">
        <f t="shared" ref="AA66:AA129" si="10">IFERROR(IF($Y66&gt;0, $Y66*U66/30.4167,"N/A - No Generic Factor"),#N/A)</f>
        <v>N/A - No Generic Factor</v>
      </c>
      <c r="AB66" s="112" t="str">
        <f t="shared" ref="AB66:AB129" si="11">IFERROR(IF($Y66&gt;0, $Y66*W66/30.4167,"N/A - No Generic Factor"),#N/A)</f>
        <v>N/A - No Generic Factor</v>
      </c>
    </row>
    <row r="67" spans="1:28" x14ac:dyDescent="0.25">
      <c r="A67" s="97">
        <v>2017</v>
      </c>
      <c r="B67" s="28" t="s">
        <v>2405</v>
      </c>
      <c r="C67" s="28" t="s">
        <v>213</v>
      </c>
      <c r="D67" s="28" t="s">
        <v>540</v>
      </c>
      <c r="E67" s="28" t="s">
        <v>460</v>
      </c>
      <c r="F67" s="28" t="s">
        <v>541</v>
      </c>
      <c r="G67" s="28">
        <v>29405</v>
      </c>
      <c r="H67" s="28">
        <v>32.835301999999999</v>
      </c>
      <c r="I67" s="28">
        <v>-79.958067999999997</v>
      </c>
      <c r="J67" s="28" t="s">
        <v>542</v>
      </c>
      <c r="K67" s="61">
        <v>110017326963</v>
      </c>
      <c r="L67" s="28" t="str">
        <f>INDEX('Facility Summary'!$K:$K,MATCH(K67,'Facility Summary'!$J:$J,0))</f>
        <v>Manufacturing</v>
      </c>
      <c r="M67" s="28">
        <v>325199</v>
      </c>
      <c r="N67" s="28" t="str">
        <f>VLOOKUP(M67,'SIC &amp; NAICS Codes'!$D:$E,2,FALSE)</f>
        <v>All Other Basic Organic Chemical Manufacturing</v>
      </c>
      <c r="O67" s="28"/>
      <c r="P67" s="28" t="s">
        <v>2466</v>
      </c>
      <c r="Q67" s="28"/>
      <c r="R67" s="28">
        <v>0</v>
      </c>
      <c r="S67" s="28">
        <f t="shared" si="6"/>
        <v>0</v>
      </c>
      <c r="T67" s="28">
        <v>6</v>
      </c>
      <c r="U67" s="28">
        <f t="shared" si="7"/>
        <v>2.7215542199999998</v>
      </c>
      <c r="V67" s="28">
        <v>0</v>
      </c>
      <c r="W67" s="28">
        <f t="shared" si="8"/>
        <v>0</v>
      </c>
      <c r="X67" s="28" t="s">
        <v>2478</v>
      </c>
      <c r="Y67" s="92">
        <f>IF(COUNTIF('Raw Annual DMR Data'!$L:$L,'Raw TRI Data'!K74)&gt;0,"N/A - See DMRs",SUMIFS('Generic Factors'!$D:$D,'Generic Factors'!$A:$A,A67,'Generic Factors'!$B:$B,L67))</f>
        <v>4.2865301144334813</v>
      </c>
      <c r="Z67" s="112">
        <f t="shared" si="9"/>
        <v>0</v>
      </c>
      <c r="AA67" s="112">
        <f t="shared" si="10"/>
        <v>0.38354009876461037</v>
      </c>
      <c r="AB67" s="112">
        <f t="shared" si="11"/>
        <v>0</v>
      </c>
    </row>
    <row r="68" spans="1:28" x14ac:dyDescent="0.25">
      <c r="A68" s="97">
        <v>2017</v>
      </c>
      <c r="B68" s="28" t="s">
        <v>2405</v>
      </c>
      <c r="C68" s="28" t="s">
        <v>214</v>
      </c>
      <c r="D68" s="28" t="s">
        <v>562</v>
      </c>
      <c r="E68" s="28" t="s">
        <v>563</v>
      </c>
      <c r="F68" s="28" t="s">
        <v>564</v>
      </c>
      <c r="G68" s="28">
        <v>52761</v>
      </c>
      <c r="H68" s="28">
        <v>41.350468999999997</v>
      </c>
      <c r="I68" s="28">
        <v>-91.081619000000003</v>
      </c>
      <c r="J68" s="28" t="s">
        <v>565</v>
      </c>
      <c r="K68" s="61">
        <v>110018869474</v>
      </c>
      <c r="L68" s="28" t="str">
        <f>INDEX('Facility Summary'!$K:$K,MATCH(K68,'Facility Summary'!$J:$J,0))</f>
        <v>Processing into formulation, mixture, or reaction product</v>
      </c>
      <c r="M68" s="28">
        <v>325320</v>
      </c>
      <c r="N68" s="28" t="str">
        <f>VLOOKUP(M68,'SIC &amp; NAICS Codes'!$D:$E,2,FALSE)</f>
        <v>Pesticide and Other Agricultural Chemical Manufacturing</v>
      </c>
      <c r="O68" s="28"/>
      <c r="P68" s="28" t="s">
        <v>2404</v>
      </c>
      <c r="Q68" s="28"/>
      <c r="R68" s="28">
        <v>7</v>
      </c>
      <c r="S68" s="28">
        <f t="shared" si="6"/>
        <v>3.1751465900000002</v>
      </c>
      <c r="T68" s="28">
        <v>0</v>
      </c>
      <c r="U68" s="28">
        <f t="shared" si="7"/>
        <v>0</v>
      </c>
      <c r="V68" s="28">
        <v>0</v>
      </c>
      <c r="W68" s="28">
        <f t="shared" si="8"/>
        <v>0</v>
      </c>
      <c r="X68" s="28" t="s">
        <v>2479</v>
      </c>
      <c r="Y68" s="92">
        <f>IF(COUNTIF('Raw Annual DMR Data'!$L:$L,'Raw TRI Data'!K80)&gt;0,"N/A - See DMRs",SUMIFS('Generic Factors'!$D:$D,'Generic Factors'!$A:$A,A68,'Generic Factors'!$B:$B,L68))</f>
        <v>0</v>
      </c>
      <c r="Z68" s="112" t="str">
        <f t="shared" si="9"/>
        <v>N/A - No Generic Factor</v>
      </c>
      <c r="AA68" s="112" t="str">
        <f t="shared" si="10"/>
        <v>N/A - No Generic Factor</v>
      </c>
      <c r="AB68" s="112" t="str">
        <f t="shared" si="11"/>
        <v>N/A - No Generic Factor</v>
      </c>
    </row>
    <row r="69" spans="1:28" x14ac:dyDescent="0.25">
      <c r="A69" s="97">
        <v>2017</v>
      </c>
      <c r="B69" s="28" t="s">
        <v>2405</v>
      </c>
      <c r="C69" s="28" t="s">
        <v>215</v>
      </c>
      <c r="D69" s="28" t="s">
        <v>574</v>
      </c>
      <c r="E69" s="28" t="s">
        <v>575</v>
      </c>
      <c r="F69" s="28" t="s">
        <v>435</v>
      </c>
      <c r="G69" s="28">
        <v>28147</v>
      </c>
      <c r="H69" s="28">
        <v>35.632199999999997</v>
      </c>
      <c r="I69" s="28">
        <v>-80.541200000000003</v>
      </c>
      <c r="J69" s="28" t="s">
        <v>576</v>
      </c>
      <c r="K69" s="61">
        <v>110000348936</v>
      </c>
      <c r="L69" s="28" t="str">
        <f>INDEX('Facility Summary'!$K:$K,MATCH(K69,'Facility Summary'!$J:$J,0))</f>
        <v>Processing into formulation, mixture, or reaction product</v>
      </c>
      <c r="M69" s="28">
        <v>325199</v>
      </c>
      <c r="N69" s="28" t="str">
        <f>VLOOKUP(M69,'SIC &amp; NAICS Codes'!$D:$E,2,FALSE)</f>
        <v>All Other Basic Organic Chemical Manufacturing</v>
      </c>
      <c r="O69" s="28"/>
      <c r="P69" s="28" t="s">
        <v>2466</v>
      </c>
      <c r="Q69" s="28"/>
      <c r="R69" s="28">
        <v>0</v>
      </c>
      <c r="S69" s="28">
        <f t="shared" si="6"/>
        <v>0</v>
      </c>
      <c r="T69" s="28">
        <v>5.3</v>
      </c>
      <c r="U69" s="28">
        <f t="shared" si="7"/>
        <v>2.4040395610000003</v>
      </c>
      <c r="V69" s="28">
        <v>0</v>
      </c>
      <c r="W69" s="28">
        <f t="shared" si="8"/>
        <v>0</v>
      </c>
      <c r="X69" s="28" t="s">
        <v>2480</v>
      </c>
      <c r="Y69" s="92">
        <f>IF(COUNTIF('Raw Annual DMR Data'!$L:$L,'Raw TRI Data'!K86)&gt;0,"N/A - See DMRs",SUMIFS('Generic Factors'!$D:$D,'Generic Factors'!$A:$A,A69,'Generic Factors'!$B:$B,L69))</f>
        <v>0</v>
      </c>
      <c r="Z69" s="112" t="str">
        <f t="shared" si="9"/>
        <v>N/A - No Generic Factor</v>
      </c>
      <c r="AA69" s="112" t="str">
        <f t="shared" si="10"/>
        <v>N/A - No Generic Factor</v>
      </c>
      <c r="AB69" s="112" t="str">
        <f t="shared" si="11"/>
        <v>N/A - No Generic Factor</v>
      </c>
    </row>
    <row r="70" spans="1:28" x14ac:dyDescent="0.25">
      <c r="A70" s="97">
        <v>2017</v>
      </c>
      <c r="B70" s="28" t="s">
        <v>2405</v>
      </c>
      <c r="C70" s="28" t="s">
        <v>2419</v>
      </c>
      <c r="D70" s="28" t="s">
        <v>2420</v>
      </c>
      <c r="E70" s="28" t="s">
        <v>2421</v>
      </c>
      <c r="F70" s="28" t="s">
        <v>362</v>
      </c>
      <c r="G70" s="28">
        <v>78359</v>
      </c>
      <c r="H70" s="28">
        <v>27.883610999999998</v>
      </c>
      <c r="I70" s="28">
        <v>-97.241382999999999</v>
      </c>
      <c r="J70" s="28" t="s">
        <v>583</v>
      </c>
      <c r="K70" s="61">
        <v>110000599807</v>
      </c>
      <c r="L70" s="28" t="str">
        <f>INDEX('Facility Summary'!$K:$K,MATCH(K70,'Facility Summary'!$J:$J,0))</f>
        <v>Manufacturing</v>
      </c>
      <c r="M70" s="28">
        <v>325199</v>
      </c>
      <c r="N70" s="28" t="str">
        <f>VLOOKUP(M70,'SIC &amp; NAICS Codes'!$D:$E,2,FALSE)</f>
        <v>All Other Basic Organic Chemical Manufacturing</v>
      </c>
      <c r="O70" s="28"/>
      <c r="P70" s="28" t="s">
        <v>2404</v>
      </c>
      <c r="Q70" s="28"/>
      <c r="R70" s="28">
        <v>3</v>
      </c>
      <c r="S70" s="28">
        <f t="shared" si="6"/>
        <v>1.3607771099999999</v>
      </c>
      <c r="T70" s="28">
        <v>0</v>
      </c>
      <c r="U70" s="28">
        <f t="shared" si="7"/>
        <v>0</v>
      </c>
      <c r="V70" s="28">
        <v>0</v>
      </c>
      <c r="W70" s="28">
        <f t="shared" si="8"/>
        <v>0</v>
      </c>
      <c r="X70" s="28" t="s">
        <v>910</v>
      </c>
      <c r="Y70" s="92" t="str">
        <f>IF(COUNTIF('Raw Annual DMR Data'!$L:$L,'Raw TRI Data'!K92)&gt;0,"N/A - See DMRs",SUMIFS('Generic Factors'!$D:$D,'Generic Factors'!$A:$A,A70,'Generic Factors'!$B:$B,L70))</f>
        <v>N/A - See DMRs</v>
      </c>
      <c r="Z70" s="112" t="e">
        <f t="shared" si="9"/>
        <v>#N/A</v>
      </c>
      <c r="AA70" s="112" t="e">
        <f t="shared" si="10"/>
        <v>#N/A</v>
      </c>
      <c r="AB70" s="112" t="e">
        <f t="shared" si="11"/>
        <v>#N/A</v>
      </c>
    </row>
    <row r="71" spans="1:28" x14ac:dyDescent="0.25">
      <c r="A71" s="97">
        <v>2017</v>
      </c>
      <c r="B71" s="28" t="s">
        <v>2405</v>
      </c>
      <c r="C71" s="28" t="s">
        <v>216</v>
      </c>
      <c r="D71" s="28" t="s">
        <v>586</v>
      </c>
      <c r="E71" s="28" t="s">
        <v>587</v>
      </c>
      <c r="F71" s="28" t="s">
        <v>303</v>
      </c>
      <c r="G71" s="28">
        <v>70723</v>
      </c>
      <c r="H71" s="28">
        <v>30.05509</v>
      </c>
      <c r="I71" s="28">
        <v>-90.830839999999995</v>
      </c>
      <c r="J71" s="28" t="s">
        <v>588</v>
      </c>
      <c r="K71" s="61">
        <v>110000597328</v>
      </c>
      <c r="L71" s="28" t="str">
        <f>INDEX('Facility Summary'!$K:$K,MATCH(K71,'Facility Summary'!$J:$J,0))</f>
        <v>Manufacturing</v>
      </c>
      <c r="M71" s="28">
        <v>325180</v>
      </c>
      <c r="N71" s="28" t="str">
        <f>VLOOKUP(M71,'SIC &amp; NAICS Codes'!$D:$E,2,FALSE)</f>
        <v>Other Basic Inorganic Chemical Manufacturing</v>
      </c>
      <c r="O71" s="28"/>
      <c r="P71" s="28" t="s">
        <v>2404</v>
      </c>
      <c r="Q71" s="28"/>
      <c r="R71" s="28">
        <v>1.34</v>
      </c>
      <c r="S71" s="28">
        <f t="shared" si="6"/>
        <v>0.60781377580000007</v>
      </c>
      <c r="T71" s="28">
        <v>0</v>
      </c>
      <c r="U71" s="28">
        <f t="shared" si="7"/>
        <v>0</v>
      </c>
      <c r="V71" s="28">
        <v>0</v>
      </c>
      <c r="W71" s="28">
        <f t="shared" si="8"/>
        <v>0</v>
      </c>
      <c r="X71" s="28" t="s">
        <v>2481</v>
      </c>
      <c r="Y71" s="92" t="str">
        <f>IF(COUNTIF('Raw Annual DMR Data'!$L:$L,'Raw TRI Data'!K98)&gt;0,"N/A - See DMRs",SUMIFS('Generic Factors'!$D:$D,'Generic Factors'!$A:$A,A71,'Generic Factors'!$B:$B,L71))</f>
        <v>N/A - See DMRs</v>
      </c>
      <c r="Z71" s="112" t="e">
        <f t="shared" si="9"/>
        <v>#N/A</v>
      </c>
      <c r="AA71" s="112" t="e">
        <f t="shared" si="10"/>
        <v>#N/A</v>
      </c>
      <c r="AB71" s="112" t="e">
        <f t="shared" si="11"/>
        <v>#N/A</v>
      </c>
    </row>
    <row r="72" spans="1:28" x14ac:dyDescent="0.25">
      <c r="A72" s="97">
        <v>2017</v>
      </c>
      <c r="B72" s="28" t="s">
        <v>2405</v>
      </c>
      <c r="C72" s="28" t="s">
        <v>2422</v>
      </c>
      <c r="D72" s="28" t="s">
        <v>2423</v>
      </c>
      <c r="E72" s="28" t="s">
        <v>516</v>
      </c>
      <c r="F72" s="28" t="s">
        <v>303</v>
      </c>
      <c r="G72" s="28">
        <v>70734</v>
      </c>
      <c r="H72" s="28">
        <v>30.185099999999998</v>
      </c>
      <c r="I72" s="28">
        <v>-90.980400000000003</v>
      </c>
      <c r="J72" s="28" t="s">
        <v>585</v>
      </c>
      <c r="K72" s="61">
        <v>110000449774</v>
      </c>
      <c r="L72" s="28" t="str">
        <f>INDEX('Facility Summary'!$K:$K,MATCH(K72,'Facility Summary'!$J:$J,0))</f>
        <v>Manufacturing</v>
      </c>
      <c r="M72" s="28">
        <v>325199</v>
      </c>
      <c r="N72" s="28" t="str">
        <f>VLOOKUP(M72,'SIC &amp; NAICS Codes'!$D:$E,2,FALSE)</f>
        <v>All Other Basic Organic Chemical Manufacturing</v>
      </c>
      <c r="O72" s="28"/>
      <c r="P72" s="28" t="s">
        <v>2404</v>
      </c>
      <c r="Q72" s="28"/>
      <c r="R72" s="28">
        <v>9.39</v>
      </c>
      <c r="S72" s="28">
        <f t="shared" si="6"/>
        <v>4.2592323542999999</v>
      </c>
      <c r="T72" s="28">
        <v>0</v>
      </c>
      <c r="U72" s="28">
        <f t="shared" si="7"/>
        <v>0</v>
      </c>
      <c r="V72" s="28">
        <v>0</v>
      </c>
      <c r="W72" s="28">
        <f t="shared" si="8"/>
        <v>0</v>
      </c>
      <c r="X72" s="28" t="s">
        <v>912</v>
      </c>
      <c r="Y72" s="92">
        <f>IF(COUNTIF('Raw Annual DMR Data'!$L:$L,'Raw TRI Data'!K104)&gt;0,"N/A - See DMRs",SUMIFS('Generic Factors'!$D:$D,'Generic Factors'!$A:$A,A72,'Generic Factors'!$B:$B,L72))</f>
        <v>4.2865301144334813</v>
      </c>
      <c r="Z72" s="112">
        <f t="shared" si="9"/>
        <v>0.60024025456661523</v>
      </c>
      <c r="AA72" s="112">
        <f t="shared" si="10"/>
        <v>0</v>
      </c>
      <c r="AB72" s="112">
        <f t="shared" si="11"/>
        <v>0</v>
      </c>
    </row>
    <row r="73" spans="1:28" x14ac:dyDescent="0.25">
      <c r="A73" s="97">
        <v>2017</v>
      </c>
      <c r="B73" s="28" t="s">
        <v>2405</v>
      </c>
      <c r="C73" s="28" t="s">
        <v>2424</v>
      </c>
      <c r="D73" s="28" t="s">
        <v>2425</v>
      </c>
      <c r="E73" s="28" t="s">
        <v>437</v>
      </c>
      <c r="F73" s="28" t="s">
        <v>362</v>
      </c>
      <c r="G73" s="28">
        <v>77541</v>
      </c>
      <c r="H73" s="28">
        <v>28.981691999999999</v>
      </c>
      <c r="I73" s="28">
        <v>-95.376501000000005</v>
      </c>
      <c r="J73" s="28" t="s">
        <v>484</v>
      </c>
      <c r="K73" s="61">
        <v>110066943605</v>
      </c>
      <c r="L73" s="28" t="str">
        <f>INDEX('Facility Summary'!$K:$K,MATCH(K73,'Facility Summary'!$J:$J,0))</f>
        <v>Manufacturing</v>
      </c>
      <c r="M73" s="28">
        <v>325199</v>
      </c>
      <c r="N73" s="28" t="str">
        <f>VLOOKUP(M73,'SIC &amp; NAICS Codes'!$D:$E,2,FALSE)</f>
        <v>All Other Basic Organic Chemical Manufacturing</v>
      </c>
      <c r="O73" s="28"/>
      <c r="P73" s="28" t="s">
        <v>2466</v>
      </c>
      <c r="Q73" s="28"/>
      <c r="R73" s="28">
        <v>0</v>
      </c>
      <c r="S73" s="28">
        <f t="shared" si="6"/>
        <v>0</v>
      </c>
      <c r="T73" s="28">
        <v>0</v>
      </c>
      <c r="U73" s="28">
        <f t="shared" si="7"/>
        <v>0</v>
      </c>
      <c r="V73" s="28">
        <v>723</v>
      </c>
      <c r="W73" s="28">
        <f t="shared" si="8"/>
        <v>327.94728351000003</v>
      </c>
      <c r="X73" s="28" t="s">
        <v>2483</v>
      </c>
      <c r="Y73" s="92" t="str">
        <f>IF(COUNTIF('Raw Annual DMR Data'!$L:$L,'Raw TRI Data'!K109)&gt;0,"N/A - See DMRs",SUMIFS('Generic Factors'!$D:$D,'Generic Factors'!$A:$A,A73,'Generic Factors'!$B:$B,L73))</f>
        <v>N/A - See DMRs</v>
      </c>
      <c r="Z73" s="112" t="e">
        <f t="shared" si="9"/>
        <v>#N/A</v>
      </c>
      <c r="AA73" s="112" t="e">
        <f t="shared" si="10"/>
        <v>#N/A</v>
      </c>
      <c r="AB73" s="112" t="e">
        <f t="shared" si="11"/>
        <v>#N/A</v>
      </c>
    </row>
    <row r="74" spans="1:28" x14ac:dyDescent="0.25">
      <c r="A74" s="97">
        <v>2017</v>
      </c>
      <c r="B74" s="28" t="s">
        <v>2403</v>
      </c>
      <c r="C74" s="28" t="s">
        <v>679</v>
      </c>
      <c r="D74" s="28" t="s">
        <v>680</v>
      </c>
      <c r="E74" s="28" t="s">
        <v>681</v>
      </c>
      <c r="F74" s="28" t="s">
        <v>328</v>
      </c>
      <c r="G74" s="28">
        <v>31535</v>
      </c>
      <c r="H74" s="28">
        <v>31.485279999999999</v>
      </c>
      <c r="I74" s="28">
        <v>-82.862380000000002</v>
      </c>
      <c r="J74" s="28" t="s">
        <v>682</v>
      </c>
      <c r="K74" s="61">
        <v>110000360644</v>
      </c>
      <c r="L74" s="28" t="str">
        <f>INDEX('Facility Summary'!$K:$K,MATCH(K74,'Facility Summary'!$J:$J,0))</f>
        <v>Processing as a Reactant</v>
      </c>
      <c r="M74" s="28">
        <v>325199</v>
      </c>
      <c r="N74" s="28" t="s">
        <v>28</v>
      </c>
      <c r="O74" s="28"/>
      <c r="P74" s="28" t="s">
        <v>2404</v>
      </c>
      <c r="Q74" s="28"/>
      <c r="R74" s="28">
        <v>500</v>
      </c>
      <c r="S74" s="28">
        <f t="shared" si="6"/>
        <v>226.79618500000001</v>
      </c>
      <c r="T74" s="28">
        <v>500</v>
      </c>
      <c r="U74" s="28">
        <f t="shared" si="7"/>
        <v>226.79618500000001</v>
      </c>
      <c r="V74" s="28">
        <v>500</v>
      </c>
      <c r="W74" s="28">
        <f t="shared" si="8"/>
        <v>226.79618500000001</v>
      </c>
      <c r="X74" s="28" t="s">
        <v>2484</v>
      </c>
      <c r="Y74" s="92">
        <f>IF(COUNTIF('Raw Annual DMR Data'!$L:$L,'Raw TRI Data'!K115)&gt;0,"N/A - See DMRs",SUMIFS('Generic Factors'!$D:$D,'Generic Factors'!$A:$A,A74,'Generic Factors'!$B:$B,L74))</f>
        <v>0</v>
      </c>
      <c r="Z74" s="112" t="str">
        <f t="shared" si="9"/>
        <v>N/A - No Generic Factor</v>
      </c>
      <c r="AA74" s="112" t="str">
        <f t="shared" si="10"/>
        <v>N/A - No Generic Factor</v>
      </c>
      <c r="AB74" s="112" t="str">
        <f t="shared" si="11"/>
        <v>N/A - No Generic Factor</v>
      </c>
    </row>
    <row r="75" spans="1:28" x14ac:dyDescent="0.25">
      <c r="A75" s="97">
        <v>2017</v>
      </c>
      <c r="B75" s="28" t="s">
        <v>2405</v>
      </c>
      <c r="C75" s="28" t="s">
        <v>217</v>
      </c>
      <c r="D75" s="28" t="s">
        <v>592</v>
      </c>
      <c r="E75" s="28" t="s">
        <v>590</v>
      </c>
      <c r="F75" s="28" t="s">
        <v>362</v>
      </c>
      <c r="G75" s="28">
        <v>77536</v>
      </c>
      <c r="H75" s="28">
        <v>29.728559000000001</v>
      </c>
      <c r="I75" s="28">
        <v>-95.110764000000003</v>
      </c>
      <c r="J75" s="28" t="s">
        <v>593</v>
      </c>
      <c r="K75" s="61">
        <v>110015742204</v>
      </c>
      <c r="L75" s="28" t="str">
        <f>INDEX('Facility Summary'!$K:$K,MATCH(K75,'Facility Summary'!$J:$J,0))</f>
        <v>Manufacturing</v>
      </c>
      <c r="M75" s="28">
        <v>325199</v>
      </c>
      <c r="N75" s="28" t="str">
        <f>VLOOKUP(M75,'SIC &amp; NAICS Codes'!$D:$E,2,FALSE)</f>
        <v>All Other Basic Organic Chemical Manufacturing</v>
      </c>
      <c r="O75" s="28"/>
      <c r="P75" s="28" t="s">
        <v>2466</v>
      </c>
      <c r="Q75" s="28"/>
      <c r="R75" s="28">
        <v>0</v>
      </c>
      <c r="S75" s="28">
        <f t="shared" si="6"/>
        <v>0</v>
      </c>
      <c r="T75" s="28">
        <v>0</v>
      </c>
      <c r="U75" s="28">
        <f t="shared" si="7"/>
        <v>0</v>
      </c>
      <c r="V75" s="28">
        <v>1734</v>
      </c>
      <c r="W75" s="28">
        <f t="shared" si="8"/>
        <v>786.52916958000003</v>
      </c>
      <c r="X75" s="28"/>
      <c r="Y75" s="92" t="str">
        <f>IF(COUNTIF('Raw Annual DMR Data'!$L:$L,'Raw TRI Data'!K120)&gt;0,"N/A - See DMRs",SUMIFS('Generic Factors'!$D:$D,'Generic Factors'!$A:$A,A75,'Generic Factors'!$B:$B,L75))</f>
        <v>N/A - See DMRs</v>
      </c>
      <c r="Z75" s="112" t="e">
        <f t="shared" si="9"/>
        <v>#N/A</v>
      </c>
      <c r="AA75" s="112" t="e">
        <f t="shared" si="10"/>
        <v>#N/A</v>
      </c>
      <c r="AB75" s="112" t="e">
        <f t="shared" si="11"/>
        <v>#N/A</v>
      </c>
    </row>
    <row r="76" spans="1:28" x14ac:dyDescent="0.25">
      <c r="A76" s="97">
        <v>2017</v>
      </c>
      <c r="B76" s="28" t="s">
        <v>2405</v>
      </c>
      <c r="C76" s="28" t="s">
        <v>218</v>
      </c>
      <c r="D76" s="28" t="s">
        <v>594</v>
      </c>
      <c r="E76" s="28" t="s">
        <v>361</v>
      </c>
      <c r="F76" s="28" t="s">
        <v>362</v>
      </c>
      <c r="G76" s="28">
        <v>77571</v>
      </c>
      <c r="H76" s="28">
        <v>29.723759999999999</v>
      </c>
      <c r="I76" s="28">
        <v>-95.074219999999997</v>
      </c>
      <c r="J76" s="28" t="s">
        <v>595</v>
      </c>
      <c r="K76" s="61">
        <v>110017769734</v>
      </c>
      <c r="L76" s="28" t="str">
        <f>INDEX('Facility Summary'!$K:$K,MATCH(K76,'Facility Summary'!$J:$J,0))</f>
        <v>Manufacturing</v>
      </c>
      <c r="M76" s="28">
        <v>325199</v>
      </c>
      <c r="N76" s="28" t="str">
        <f>VLOOKUP(M76,'SIC &amp; NAICS Codes'!$D:$E,2,FALSE)</f>
        <v>All Other Basic Organic Chemical Manufacturing</v>
      </c>
      <c r="O76" s="28"/>
      <c r="P76" s="28" t="s">
        <v>2404</v>
      </c>
      <c r="Q76" s="28"/>
      <c r="R76" s="28">
        <v>1.7</v>
      </c>
      <c r="S76" s="28">
        <f t="shared" si="6"/>
        <v>0.77110702900000005</v>
      </c>
      <c r="T76" s="28">
        <v>0</v>
      </c>
      <c r="U76" s="28">
        <f t="shared" si="7"/>
        <v>0</v>
      </c>
      <c r="V76" s="28">
        <v>0</v>
      </c>
      <c r="W76" s="28">
        <f t="shared" si="8"/>
        <v>0</v>
      </c>
      <c r="X76" s="28" t="s">
        <v>2485</v>
      </c>
      <c r="Y76" s="92">
        <f>IF(COUNTIF('Raw Annual DMR Data'!$L:$L,'Raw TRI Data'!K126)&gt;0,"N/A - See DMRs",SUMIFS('Generic Factors'!$D:$D,'Generic Factors'!$A:$A,A76,'Generic Factors'!$B:$B,L76))</f>
        <v>4.2865301144334813</v>
      </c>
      <c r="Z76" s="112">
        <f t="shared" si="9"/>
        <v>0.10866969464997295</v>
      </c>
      <c r="AA76" s="112">
        <f t="shared" si="10"/>
        <v>0</v>
      </c>
      <c r="AB76" s="112">
        <f t="shared" si="11"/>
        <v>0</v>
      </c>
    </row>
    <row r="77" spans="1:28" x14ac:dyDescent="0.25">
      <c r="A77" s="97">
        <v>2017</v>
      </c>
      <c r="B77" s="28" t="s">
        <v>2405</v>
      </c>
      <c r="C77" s="28" t="s">
        <v>219</v>
      </c>
      <c r="D77" s="28" t="s">
        <v>641</v>
      </c>
      <c r="E77" s="28" t="s">
        <v>426</v>
      </c>
      <c r="F77" s="28" t="s">
        <v>427</v>
      </c>
      <c r="G77" s="28">
        <v>48667</v>
      </c>
      <c r="H77" s="28">
        <v>43.600299999999997</v>
      </c>
      <c r="I77" s="28">
        <v>-84.223399999999998</v>
      </c>
      <c r="J77" s="28" t="s">
        <v>642</v>
      </c>
      <c r="K77" s="61">
        <v>110043787408</v>
      </c>
      <c r="L77" s="28" t="str">
        <f>INDEX('Facility Summary'!$K:$K,MATCH(K77,'Facility Summary'!$J:$J,0))</f>
        <v>Processing into formulation, mixture, or reaction product</v>
      </c>
      <c r="M77" s="28">
        <v>325320</v>
      </c>
      <c r="N77" s="28" t="str">
        <f>VLOOKUP(M77,'SIC &amp; NAICS Codes'!$D:$E,2,FALSE)</f>
        <v>Pesticide and Other Agricultural Chemical Manufacturing</v>
      </c>
      <c r="O77" s="28"/>
      <c r="P77" s="28" t="s">
        <v>2404</v>
      </c>
      <c r="Q77" s="28"/>
      <c r="R77" s="28">
        <v>58</v>
      </c>
      <c r="S77" s="28">
        <f t="shared" si="6"/>
        <v>26.30835746</v>
      </c>
      <c r="T77" s="28">
        <v>0</v>
      </c>
      <c r="U77" s="28">
        <f t="shared" si="7"/>
        <v>0</v>
      </c>
      <c r="V77" s="28">
        <v>0</v>
      </c>
      <c r="W77" s="28">
        <f t="shared" si="8"/>
        <v>0</v>
      </c>
      <c r="X77" s="28"/>
      <c r="Y77" s="92" t="str">
        <f>IF(COUNTIF('Raw Annual DMR Data'!$L:$L,'Raw TRI Data'!K134)&gt;0,"N/A - See DMRs",SUMIFS('Generic Factors'!$D:$D,'Generic Factors'!$A:$A,A77,'Generic Factors'!$B:$B,L77))</f>
        <v>N/A - See DMRs</v>
      </c>
      <c r="Z77" s="112" t="e">
        <f t="shared" si="9"/>
        <v>#N/A</v>
      </c>
      <c r="AA77" s="112" t="e">
        <f t="shared" si="10"/>
        <v>#N/A</v>
      </c>
      <c r="AB77" s="112" t="e">
        <f t="shared" si="11"/>
        <v>#N/A</v>
      </c>
    </row>
    <row r="78" spans="1:28" x14ac:dyDescent="0.25">
      <c r="A78" s="97">
        <v>2017</v>
      </c>
      <c r="B78" s="28" t="s">
        <v>2405</v>
      </c>
      <c r="C78" s="28" t="s">
        <v>220</v>
      </c>
      <c r="D78" s="28" t="s">
        <v>643</v>
      </c>
      <c r="E78" s="28" t="s">
        <v>334</v>
      </c>
      <c r="F78" s="28" t="s">
        <v>303</v>
      </c>
      <c r="G78" s="28">
        <v>70764</v>
      </c>
      <c r="H78" s="28">
        <v>30.320903000000001</v>
      </c>
      <c r="I78" s="28">
        <v>-91.239014999999995</v>
      </c>
      <c r="J78" s="28" t="s">
        <v>644</v>
      </c>
      <c r="K78" s="61">
        <v>110001244724</v>
      </c>
      <c r="L78" s="28" t="str">
        <f>INDEX('Facility Summary'!$K:$K,MATCH(K78,'Facility Summary'!$J:$J,0))</f>
        <v>Processing as a Reactant</v>
      </c>
      <c r="M78" s="28">
        <v>325199</v>
      </c>
      <c r="N78" s="28" t="str">
        <f>VLOOKUP(M78,'SIC &amp; NAICS Codes'!$D:$E,2,FALSE)</f>
        <v>All Other Basic Organic Chemical Manufacturing</v>
      </c>
      <c r="O78" s="28"/>
      <c r="P78" s="28" t="s">
        <v>2404</v>
      </c>
      <c r="Q78" s="28"/>
      <c r="R78" s="28">
        <v>727</v>
      </c>
      <c r="S78" s="28">
        <f t="shared" si="6"/>
        <v>329.76165299000002</v>
      </c>
      <c r="T78" s="28">
        <v>0</v>
      </c>
      <c r="U78" s="28">
        <f t="shared" si="7"/>
        <v>0</v>
      </c>
      <c r="V78" s="28">
        <v>0</v>
      </c>
      <c r="W78" s="28">
        <f t="shared" si="8"/>
        <v>0</v>
      </c>
      <c r="X78" s="28" t="s">
        <v>2486</v>
      </c>
      <c r="Y78" s="92" t="str">
        <f>IF(COUNTIF('Raw Annual DMR Data'!$L:$L,'Raw TRI Data'!K136)&gt;0,"N/A - See DMRs",SUMIFS('Generic Factors'!$D:$D,'Generic Factors'!$A:$A,A78,'Generic Factors'!$B:$B,L78))</f>
        <v>N/A - See DMRs</v>
      </c>
      <c r="Z78" s="112" t="e">
        <f t="shared" si="9"/>
        <v>#N/A</v>
      </c>
      <c r="AA78" s="112" t="e">
        <f t="shared" si="10"/>
        <v>#N/A</v>
      </c>
      <c r="AB78" s="112" t="e">
        <f t="shared" si="11"/>
        <v>#N/A</v>
      </c>
    </row>
    <row r="79" spans="1:28" x14ac:dyDescent="0.25">
      <c r="A79" s="97">
        <v>2017</v>
      </c>
      <c r="B79" s="28" t="s">
        <v>2403</v>
      </c>
      <c r="C79" s="28" t="s">
        <v>675</v>
      </c>
      <c r="D79" s="28" t="s">
        <v>676</v>
      </c>
      <c r="E79" s="28" t="s">
        <v>516</v>
      </c>
      <c r="F79" s="28" t="s">
        <v>303</v>
      </c>
      <c r="G79" s="28">
        <v>70734</v>
      </c>
      <c r="H79" s="28">
        <v>30.180099999999999</v>
      </c>
      <c r="I79" s="28">
        <v>-90.981899999999996</v>
      </c>
      <c r="J79" s="28" t="s">
        <v>677</v>
      </c>
      <c r="K79" s="61">
        <v>110007909095</v>
      </c>
      <c r="L79" s="28" t="str">
        <f>INDEX('Facility Summary'!$K:$K,MATCH(K79,'Facility Summary'!$J:$J,0))</f>
        <v>Repackaging</v>
      </c>
      <c r="M79" s="28">
        <v>424690</v>
      </c>
      <c r="N79" s="28" t="s">
        <v>678</v>
      </c>
      <c r="O79" s="28"/>
      <c r="P79" s="28" t="s">
        <v>2404</v>
      </c>
      <c r="Q79" s="28"/>
      <c r="R79" s="28">
        <v>500</v>
      </c>
      <c r="S79" s="28">
        <f t="shared" si="6"/>
        <v>226.79618500000001</v>
      </c>
      <c r="T79" s="28">
        <v>500</v>
      </c>
      <c r="U79" s="28">
        <f t="shared" si="7"/>
        <v>226.79618500000001</v>
      </c>
      <c r="V79" s="28">
        <v>500</v>
      </c>
      <c r="W79" s="28">
        <f t="shared" si="8"/>
        <v>226.79618500000001</v>
      </c>
      <c r="X79" s="28" t="s">
        <v>2487</v>
      </c>
      <c r="Y79" s="92">
        <f>IF(COUNTIF('Raw Annual DMR Data'!$L:$L,'Raw TRI Data'!K139)&gt;0,"N/A - See DMRs",SUMIFS('Generic Factors'!$D:$D,'Generic Factors'!$A:$A,A79,'Generic Factors'!$B:$B,L79))</f>
        <v>0</v>
      </c>
      <c r="Z79" s="112" t="str">
        <f t="shared" si="9"/>
        <v>N/A - No Generic Factor</v>
      </c>
      <c r="AA79" s="112" t="str">
        <f t="shared" si="10"/>
        <v>N/A - No Generic Factor</v>
      </c>
      <c r="AB79" s="112" t="str">
        <f t="shared" si="11"/>
        <v>N/A - No Generic Factor</v>
      </c>
    </row>
    <row r="80" spans="1:28" x14ac:dyDescent="0.25">
      <c r="A80" s="97">
        <v>2017</v>
      </c>
      <c r="B80" s="28" t="s">
        <v>2405</v>
      </c>
      <c r="C80" s="28" t="s">
        <v>221</v>
      </c>
      <c r="D80" s="28" t="s">
        <v>663</v>
      </c>
      <c r="E80" s="28" t="s">
        <v>446</v>
      </c>
      <c r="F80" s="28" t="s">
        <v>303</v>
      </c>
      <c r="G80" s="28">
        <v>70669</v>
      </c>
      <c r="H80" s="28">
        <v>30.252222</v>
      </c>
      <c r="I80" s="28">
        <v>-93.284443999999993</v>
      </c>
      <c r="J80" s="28" t="s">
        <v>664</v>
      </c>
      <c r="K80" s="61">
        <v>110002054482</v>
      </c>
      <c r="L80" s="28" t="str">
        <f>INDEX('Facility Summary'!$K:$K,MATCH(K80,'Facility Summary'!$J:$J,0))</f>
        <v>Manufacturing</v>
      </c>
      <c r="M80" s="28">
        <v>325110</v>
      </c>
      <c r="N80" s="28" t="str">
        <f>VLOOKUP(M80,'SIC &amp; NAICS Codes'!$D:$E,2,FALSE)</f>
        <v>Petrochemical Manufacturing</v>
      </c>
      <c r="O80" s="28"/>
      <c r="P80" s="28" t="s">
        <v>2466</v>
      </c>
      <c r="Q80" s="28"/>
      <c r="R80" s="28">
        <v>0</v>
      </c>
      <c r="S80" s="28">
        <f t="shared" si="6"/>
        <v>0</v>
      </c>
      <c r="T80" s="28">
        <v>0</v>
      </c>
      <c r="U80" s="28">
        <f t="shared" si="7"/>
        <v>0</v>
      </c>
      <c r="V80" s="28">
        <v>7</v>
      </c>
      <c r="W80" s="28">
        <f t="shared" si="8"/>
        <v>3.1751465900000002</v>
      </c>
      <c r="X80" s="28"/>
      <c r="Y80" s="92" t="str">
        <f>IF(COUNTIF('Raw Annual DMR Data'!$L:$L,'Raw TRI Data'!K144)&gt;0,"N/A - See DMRs",SUMIFS('Generic Factors'!$D:$D,'Generic Factors'!$A:$A,A80,'Generic Factors'!$B:$B,L80))</f>
        <v>N/A - See DMRs</v>
      </c>
      <c r="Z80" s="112" t="e">
        <f t="shared" si="9"/>
        <v>#N/A</v>
      </c>
      <c r="AA80" s="112" t="e">
        <f t="shared" si="10"/>
        <v>#N/A</v>
      </c>
      <c r="AB80" s="112" t="e">
        <f t="shared" si="11"/>
        <v>#N/A</v>
      </c>
    </row>
    <row r="81" spans="1:28" x14ac:dyDescent="0.25">
      <c r="A81" s="97">
        <v>2017</v>
      </c>
      <c r="B81" s="28" t="s">
        <v>2405</v>
      </c>
      <c r="C81" s="28" t="s">
        <v>201</v>
      </c>
      <c r="D81" s="28" t="s">
        <v>665</v>
      </c>
      <c r="E81" s="28" t="s">
        <v>516</v>
      </c>
      <c r="F81" s="28" t="s">
        <v>303</v>
      </c>
      <c r="G81" s="28">
        <v>70734</v>
      </c>
      <c r="H81" s="28">
        <v>30.208604000000001</v>
      </c>
      <c r="I81" s="28">
        <v>-91.011127999999999</v>
      </c>
      <c r="J81" s="28" t="s">
        <v>666</v>
      </c>
      <c r="K81" s="61">
        <v>110000746328</v>
      </c>
      <c r="L81" s="28" t="str">
        <f>INDEX('Facility Summary'!$K:$K,MATCH(K81,'Facility Summary'!$J:$J,0))</f>
        <v>Manufacturing</v>
      </c>
      <c r="M81" s="28">
        <v>325211</v>
      </c>
      <c r="N81" s="28" t="str">
        <f>VLOOKUP(M81,'SIC &amp; NAICS Codes'!$D:$E,2,FALSE)</f>
        <v>Plastics Material and Resin Manufacturing</v>
      </c>
      <c r="O81" s="28"/>
      <c r="P81" s="28" t="s">
        <v>2404</v>
      </c>
      <c r="Q81" s="28"/>
      <c r="R81" s="28">
        <v>14</v>
      </c>
      <c r="S81" s="28">
        <f t="shared" si="6"/>
        <v>6.3502931800000004</v>
      </c>
      <c r="T81" s="28">
        <v>0</v>
      </c>
      <c r="U81" s="28">
        <f t="shared" si="7"/>
        <v>0</v>
      </c>
      <c r="V81" s="28">
        <v>0</v>
      </c>
      <c r="W81" s="28">
        <f t="shared" si="8"/>
        <v>0</v>
      </c>
      <c r="X81" s="28" t="s">
        <v>2488</v>
      </c>
      <c r="Y81" s="92" t="str">
        <f>IF(COUNTIF('Raw Annual DMR Data'!$L:$L,'Raw TRI Data'!K150)&gt;0,"N/A - See DMRs",SUMIFS('Generic Factors'!$D:$D,'Generic Factors'!$A:$A,A81,'Generic Factors'!$B:$B,L81))</f>
        <v>N/A - See DMRs</v>
      </c>
      <c r="Z81" s="112" t="e">
        <f t="shared" si="9"/>
        <v>#N/A</v>
      </c>
      <c r="AA81" s="112" t="e">
        <f t="shared" si="10"/>
        <v>#N/A</v>
      </c>
      <c r="AB81" s="112" t="e">
        <f t="shared" si="11"/>
        <v>#N/A</v>
      </c>
    </row>
    <row r="82" spans="1:28" x14ac:dyDescent="0.25">
      <c r="A82" s="97">
        <v>2017</v>
      </c>
      <c r="B82" s="28" t="s">
        <v>2405</v>
      </c>
      <c r="C82" s="28" t="s">
        <v>202</v>
      </c>
      <c r="D82" s="28" t="s">
        <v>2426</v>
      </c>
      <c r="E82" s="28" t="s">
        <v>323</v>
      </c>
      <c r="F82" s="28" t="s">
        <v>324</v>
      </c>
      <c r="G82" s="28">
        <v>42029</v>
      </c>
      <c r="H82" s="28">
        <v>37.051110999999999</v>
      </c>
      <c r="I82" s="28">
        <v>-88.334166999999994</v>
      </c>
      <c r="J82" s="28" t="s">
        <v>668</v>
      </c>
      <c r="K82" s="61">
        <v>110027373072</v>
      </c>
      <c r="L82" s="28" t="str">
        <f>INDEX('Facility Summary'!$K:$K,MATCH(K82,'Facility Summary'!$J:$J,0))</f>
        <v>Manufacturing</v>
      </c>
      <c r="M82" s="28">
        <v>325199</v>
      </c>
      <c r="N82" s="28" t="str">
        <f>VLOOKUP(M82,'SIC &amp; NAICS Codes'!$D:$E,2,FALSE)</f>
        <v>All Other Basic Organic Chemical Manufacturing</v>
      </c>
      <c r="O82" s="28"/>
      <c r="P82" s="28" t="s">
        <v>2404</v>
      </c>
      <c r="Q82" s="28"/>
      <c r="R82" s="28">
        <v>542</v>
      </c>
      <c r="S82" s="28">
        <f t="shared" si="6"/>
        <v>245.84706454000002</v>
      </c>
      <c r="T82" s="28">
        <v>0</v>
      </c>
      <c r="U82" s="28">
        <f t="shared" si="7"/>
        <v>0</v>
      </c>
      <c r="V82" s="28">
        <v>0</v>
      </c>
      <c r="W82" s="28">
        <f t="shared" si="8"/>
        <v>0</v>
      </c>
      <c r="X82" s="28" t="s">
        <v>957</v>
      </c>
      <c r="Y82" s="92">
        <f>IF(COUNTIF('Raw Annual DMR Data'!$L:$L,'Raw TRI Data'!K156)&gt;0,"N/A - See DMRs",SUMIFS('Generic Factors'!$D:$D,'Generic Factors'!$A:$A,A82,'Generic Factors'!$B:$B,L82))</f>
        <v>4.2865301144334813</v>
      </c>
      <c r="Z82" s="112">
        <f t="shared" si="9"/>
        <v>34.646455588403143</v>
      </c>
      <c r="AA82" s="112">
        <f t="shared" si="10"/>
        <v>0</v>
      </c>
      <c r="AB82" s="112">
        <f t="shared" si="11"/>
        <v>0</v>
      </c>
    </row>
    <row r="83" spans="1:28" x14ac:dyDescent="0.25">
      <c r="A83" s="97">
        <v>2018</v>
      </c>
      <c r="B83" s="28" t="s">
        <v>2403</v>
      </c>
      <c r="C83" s="28" t="s">
        <v>683</v>
      </c>
      <c r="D83" s="28" t="s">
        <v>684</v>
      </c>
      <c r="E83" s="28" t="s">
        <v>685</v>
      </c>
      <c r="F83" s="28" t="s">
        <v>686</v>
      </c>
      <c r="G83" s="28">
        <v>53085</v>
      </c>
      <c r="H83" s="28">
        <v>43.674059999999997</v>
      </c>
      <c r="I83" s="28">
        <v>-87.781469999999999</v>
      </c>
      <c r="J83" s="28" t="s">
        <v>687</v>
      </c>
      <c r="K83" s="61">
        <v>110000605872</v>
      </c>
      <c r="L83" s="28" t="str">
        <f>INDEX('Facility Summary'!$K:$K,MATCH(K83,'Facility Summary'!$J:$J,0))</f>
        <v>Repackaging</v>
      </c>
      <c r="M83" s="28">
        <v>325199</v>
      </c>
      <c r="N83" s="28" t="s">
        <v>28</v>
      </c>
      <c r="O83" s="28"/>
      <c r="P83" s="28" t="s">
        <v>2404</v>
      </c>
      <c r="Q83" s="28"/>
      <c r="R83" s="28">
        <v>500</v>
      </c>
      <c r="S83" s="28">
        <f t="shared" si="6"/>
        <v>226.79618500000001</v>
      </c>
      <c r="T83" s="28">
        <v>500</v>
      </c>
      <c r="U83" s="28">
        <f t="shared" si="7"/>
        <v>226.79618500000001</v>
      </c>
      <c r="V83" s="28">
        <v>500</v>
      </c>
      <c r="W83" s="28">
        <f t="shared" si="8"/>
        <v>226.79618500000001</v>
      </c>
      <c r="X83" s="28"/>
      <c r="Y83" s="92" t="str">
        <f>IF(COUNTIF('Raw Annual DMR Data'!$L:$L,'Raw TRI Data'!K3)&gt;0,"N/A - See DMRs",SUMIFS('Generic Factors'!$D:$D,'Generic Factors'!$A:$A,A83,'Generic Factors'!$B:$B,L83))</f>
        <v>N/A - See DMRs</v>
      </c>
      <c r="Z83" s="112" t="e">
        <f t="shared" si="9"/>
        <v>#N/A</v>
      </c>
      <c r="AA83" s="112" t="e">
        <f t="shared" si="10"/>
        <v>#N/A</v>
      </c>
      <c r="AB83" s="112" t="e">
        <f t="shared" si="11"/>
        <v>#N/A</v>
      </c>
    </row>
    <row r="84" spans="1:28" x14ac:dyDescent="0.25">
      <c r="A84" s="97">
        <v>2018</v>
      </c>
      <c r="B84" s="28" t="s">
        <v>2405</v>
      </c>
      <c r="C84" s="28" t="s">
        <v>105</v>
      </c>
      <c r="D84" s="28" t="s">
        <v>322</v>
      </c>
      <c r="E84" s="28" t="s">
        <v>323</v>
      </c>
      <c r="F84" s="28" t="s">
        <v>324</v>
      </c>
      <c r="G84" s="28">
        <v>42029</v>
      </c>
      <c r="H84" s="28">
        <v>37.056699000000002</v>
      </c>
      <c r="I84" s="28">
        <v>-88.365727000000007</v>
      </c>
      <c r="J84" s="28" t="s">
        <v>325</v>
      </c>
      <c r="K84" s="61">
        <v>110000380061</v>
      </c>
      <c r="L84" s="28" t="str">
        <f>INDEX('Facility Summary'!$K:$K,MATCH(K84,'Facility Summary'!$J:$J,0))</f>
        <v>Manufacturing</v>
      </c>
      <c r="M84" s="28">
        <v>325199</v>
      </c>
      <c r="N84" s="28" t="str">
        <f>VLOOKUP(M84,'SIC &amp; NAICS Codes'!$D:$E,2,FALSE)</f>
        <v>All Other Basic Organic Chemical Manufacturing</v>
      </c>
      <c r="O84" s="28"/>
      <c r="P84" s="28" t="s">
        <v>2404</v>
      </c>
      <c r="Q84" s="28"/>
      <c r="R84" s="28">
        <v>34</v>
      </c>
      <c r="S84" s="28">
        <f t="shared" si="6"/>
        <v>15.422140580000001</v>
      </c>
      <c r="T84" s="28">
        <v>0</v>
      </c>
      <c r="U84" s="28">
        <f t="shared" si="7"/>
        <v>0</v>
      </c>
      <c r="V84" s="28">
        <v>0</v>
      </c>
      <c r="W84" s="28">
        <f t="shared" si="8"/>
        <v>0</v>
      </c>
      <c r="X84" s="28" t="s">
        <v>776</v>
      </c>
      <c r="Y84" s="92" t="str">
        <f>IF(COUNTIF('Raw Annual DMR Data'!$L:$L,'Raw TRI Data'!K7)&gt;0,"N/A - See DMRs",SUMIFS('Generic Factors'!$D:$D,'Generic Factors'!$A:$A,A84,'Generic Factors'!$B:$B,L84))</f>
        <v>N/A - See DMRs</v>
      </c>
      <c r="Z84" s="112" t="e">
        <f t="shared" si="9"/>
        <v>#N/A</v>
      </c>
      <c r="AA84" s="112" t="e">
        <f t="shared" si="10"/>
        <v>#N/A</v>
      </c>
      <c r="AB84" s="112" t="e">
        <f t="shared" si="11"/>
        <v>#N/A</v>
      </c>
    </row>
    <row r="85" spans="1:28" x14ac:dyDescent="0.25">
      <c r="A85" s="97">
        <v>2018</v>
      </c>
      <c r="B85" s="28" t="s">
        <v>2405</v>
      </c>
      <c r="C85" s="28" t="s">
        <v>204</v>
      </c>
      <c r="D85" s="28" t="s">
        <v>333</v>
      </c>
      <c r="E85" s="28" t="s">
        <v>334</v>
      </c>
      <c r="F85" s="28" t="s">
        <v>303</v>
      </c>
      <c r="G85" s="28">
        <v>70764</v>
      </c>
      <c r="H85" s="28">
        <v>30.262255</v>
      </c>
      <c r="I85" s="28">
        <v>-91.185837000000006</v>
      </c>
      <c r="J85" s="28" t="s">
        <v>335</v>
      </c>
      <c r="K85" s="61">
        <v>110000613747</v>
      </c>
      <c r="L85" s="28" t="str">
        <f>INDEX('Facility Summary'!$K:$K,MATCH(K85,'Facility Summary'!$J:$J,0))</f>
        <v>Manufacturing</v>
      </c>
      <c r="M85" s="28">
        <v>325211</v>
      </c>
      <c r="N85" s="28" t="str">
        <f>VLOOKUP(M85,'SIC &amp; NAICS Codes'!$D:$E,2,FALSE)</f>
        <v>Plastics Material and Resin Manufacturing</v>
      </c>
      <c r="O85" s="28"/>
      <c r="P85" s="28" t="s">
        <v>2404</v>
      </c>
      <c r="Q85" s="28"/>
      <c r="R85" s="28">
        <v>18</v>
      </c>
      <c r="S85" s="28">
        <f t="shared" si="6"/>
        <v>8.1646626599999994</v>
      </c>
      <c r="T85" s="28">
        <v>0</v>
      </c>
      <c r="U85" s="28">
        <f t="shared" si="7"/>
        <v>0</v>
      </c>
      <c r="V85" s="28">
        <v>0</v>
      </c>
      <c r="W85" s="28">
        <f t="shared" si="8"/>
        <v>0</v>
      </c>
      <c r="X85" s="28" t="s">
        <v>2465</v>
      </c>
      <c r="Y85" s="92">
        <f>IF(COUNTIF('Raw Annual DMR Data'!$L:$L,'Raw TRI Data'!K12)&gt;0,"N/A - See DMRs",SUMIFS('Generic Factors'!$D:$D,'Generic Factors'!$A:$A,A85,'Generic Factors'!$B:$B,L85))</f>
        <v>1.6552166960465783E-2</v>
      </c>
      <c r="Z85" s="112">
        <f t="shared" si="9"/>
        <v>4.4430480467703816E-3</v>
      </c>
      <c r="AA85" s="112">
        <f t="shared" si="10"/>
        <v>0</v>
      </c>
      <c r="AB85" s="112">
        <f t="shared" si="11"/>
        <v>0</v>
      </c>
    </row>
    <row r="86" spans="1:28" x14ac:dyDescent="0.25">
      <c r="A86" s="97">
        <v>2018</v>
      </c>
      <c r="B86" s="28" t="s">
        <v>2405</v>
      </c>
      <c r="C86" s="28" t="s">
        <v>205</v>
      </c>
      <c r="D86" s="28" t="s">
        <v>343</v>
      </c>
      <c r="E86" s="28" t="s">
        <v>344</v>
      </c>
      <c r="F86" s="28" t="s">
        <v>345</v>
      </c>
      <c r="G86" s="28">
        <v>60901</v>
      </c>
      <c r="H86" s="28">
        <v>41.085541999999997</v>
      </c>
      <c r="I86" s="28">
        <v>-87.880542000000005</v>
      </c>
      <c r="J86" s="28" t="s">
        <v>346</v>
      </c>
      <c r="K86" s="61">
        <v>110043972207</v>
      </c>
      <c r="L86" s="28" t="str">
        <f>INDEX('Facility Summary'!$K:$K,MATCH(K86,'Facility Summary'!$J:$J,0))</f>
        <v>Processing into formulation, mixture, or reaction product</v>
      </c>
      <c r="M86" s="28">
        <v>325613</v>
      </c>
      <c r="N86" s="28" t="str">
        <f>VLOOKUP(M86,'SIC &amp; NAICS Codes'!$D:$E,2,FALSE)</f>
        <v>Surface Active Agent Manufacturing</v>
      </c>
      <c r="O86" s="28"/>
      <c r="P86" s="28" t="s">
        <v>2466</v>
      </c>
      <c r="Q86" s="28"/>
      <c r="R86" s="28">
        <v>0</v>
      </c>
      <c r="S86" s="28">
        <f t="shared" si="6"/>
        <v>0</v>
      </c>
      <c r="T86" s="28">
        <v>33</v>
      </c>
      <c r="U86" s="28">
        <f t="shared" si="7"/>
        <v>14.968548210000002</v>
      </c>
      <c r="V86" s="28">
        <v>0</v>
      </c>
      <c r="W86" s="28">
        <f t="shared" si="8"/>
        <v>0</v>
      </c>
      <c r="X86" s="28" t="s">
        <v>2467</v>
      </c>
      <c r="Y86" s="92">
        <f>IF(COUNTIF('Raw Annual DMR Data'!$L:$L,'Raw TRI Data'!K18)&gt;0,"N/A - See DMRs",SUMIFS('Generic Factors'!$D:$D,'Generic Factors'!$A:$A,A86,'Generic Factors'!$B:$B,L86))</f>
        <v>0</v>
      </c>
      <c r="Z86" s="112" t="str">
        <f t="shared" si="9"/>
        <v>N/A - No Generic Factor</v>
      </c>
      <c r="AA86" s="112" t="str">
        <f t="shared" si="10"/>
        <v>N/A - No Generic Factor</v>
      </c>
      <c r="AB86" s="112" t="str">
        <f t="shared" si="11"/>
        <v>N/A - No Generic Factor</v>
      </c>
    </row>
    <row r="87" spans="1:28" x14ac:dyDescent="0.25">
      <c r="A87" s="97">
        <v>2018</v>
      </c>
      <c r="B87" s="28" t="s">
        <v>2405</v>
      </c>
      <c r="C87" s="28" t="s">
        <v>206</v>
      </c>
      <c r="D87" s="28" t="s">
        <v>347</v>
      </c>
      <c r="E87" s="28" t="s">
        <v>348</v>
      </c>
      <c r="F87" s="28" t="s">
        <v>349</v>
      </c>
      <c r="G87" s="28">
        <v>63461</v>
      </c>
      <c r="H87" s="28">
        <v>39.834117999999997</v>
      </c>
      <c r="I87" s="28">
        <v>-91.436790999999999</v>
      </c>
      <c r="J87" s="28" t="s">
        <v>350</v>
      </c>
      <c r="K87" s="61">
        <v>110056953765</v>
      </c>
      <c r="L87" s="28" t="str">
        <f>INDEX('Facility Summary'!$K:$K,MATCH(K87,'Facility Summary'!$J:$J,0))</f>
        <v>Processing into formulation, mixture, or reaction product</v>
      </c>
      <c r="M87" s="28">
        <v>325320</v>
      </c>
      <c r="N87" s="28" t="str">
        <f>VLOOKUP(M87,'SIC &amp; NAICS Codes'!$D:$E,2,FALSE)</f>
        <v>Pesticide and Other Agricultural Chemical Manufacturing</v>
      </c>
      <c r="O87" s="28"/>
      <c r="P87" s="28" t="s">
        <v>2404</v>
      </c>
      <c r="Q87" s="28"/>
      <c r="R87" s="28">
        <v>5</v>
      </c>
      <c r="S87" s="28">
        <f t="shared" si="6"/>
        <v>2.2679618500000003</v>
      </c>
      <c r="T87" s="28">
        <v>0</v>
      </c>
      <c r="U87" s="28">
        <f t="shared" si="7"/>
        <v>0</v>
      </c>
      <c r="V87" s="28">
        <v>0</v>
      </c>
      <c r="W87" s="28">
        <f t="shared" si="8"/>
        <v>0</v>
      </c>
      <c r="X87" s="28" t="s">
        <v>2468</v>
      </c>
      <c r="Y87" s="92">
        <f>IF(COUNTIF('Raw Annual DMR Data'!$L:$L,'Raw TRI Data'!K24)&gt;0,"N/A - See DMRs",SUMIFS('Generic Factors'!$D:$D,'Generic Factors'!$A:$A,A87,'Generic Factors'!$B:$B,L87))</f>
        <v>0</v>
      </c>
      <c r="Z87" s="112" t="str">
        <f t="shared" si="9"/>
        <v>N/A - No Generic Factor</v>
      </c>
      <c r="AA87" s="112" t="str">
        <f t="shared" si="10"/>
        <v>N/A - No Generic Factor</v>
      </c>
      <c r="AB87" s="112" t="str">
        <f t="shared" si="11"/>
        <v>N/A - No Generic Factor</v>
      </c>
    </row>
    <row r="88" spans="1:28" x14ac:dyDescent="0.25">
      <c r="A88" s="97">
        <v>2018</v>
      </c>
      <c r="B88" s="28" t="s">
        <v>2403</v>
      </c>
      <c r="C88" s="28" t="s">
        <v>688</v>
      </c>
      <c r="D88" s="28" t="s">
        <v>689</v>
      </c>
      <c r="E88" s="28" t="s">
        <v>690</v>
      </c>
      <c r="F88" s="28" t="s">
        <v>691</v>
      </c>
      <c r="G88" s="28">
        <v>74116</v>
      </c>
      <c r="H88" s="28">
        <v>36.194099999999999</v>
      </c>
      <c r="I88" s="28">
        <v>-95.811700000000002</v>
      </c>
      <c r="J88" s="28" t="s">
        <v>692</v>
      </c>
      <c r="K88" s="61">
        <v>110001988877</v>
      </c>
      <c r="L88" s="28" t="str">
        <f>INDEX('Facility Summary'!$K:$K,MATCH(K88,'Facility Summary'!$J:$J,0))</f>
        <v>Waste Handling, Disposal and Treatment (Incinerator)</v>
      </c>
      <c r="M88" s="28">
        <v>327310</v>
      </c>
      <c r="N88" s="28" t="s">
        <v>693</v>
      </c>
      <c r="O88" s="28"/>
      <c r="P88" s="28" t="s">
        <v>2404</v>
      </c>
      <c r="Q88" s="28"/>
      <c r="R88" s="28">
        <v>500</v>
      </c>
      <c r="S88" s="28">
        <f t="shared" si="6"/>
        <v>226.79618500000001</v>
      </c>
      <c r="T88" s="28">
        <v>500</v>
      </c>
      <c r="U88" s="28">
        <f t="shared" si="7"/>
        <v>226.79618500000001</v>
      </c>
      <c r="V88" s="28">
        <v>500</v>
      </c>
      <c r="W88" s="28">
        <f t="shared" si="8"/>
        <v>226.79618500000001</v>
      </c>
      <c r="X88" s="28" t="s">
        <v>2471</v>
      </c>
      <c r="Y88" s="92">
        <f>IF(COUNTIF('Raw Annual DMR Data'!$L:$L,'Raw TRI Data'!K29)&gt;0,"N/A - See DMRs",SUMIFS('Generic Factors'!$D:$D,'Generic Factors'!$A:$A,A88,'Generic Factors'!$B:$B,L88))</f>
        <v>0</v>
      </c>
      <c r="Z88" s="112" t="str">
        <f t="shared" si="9"/>
        <v>N/A - No Generic Factor</v>
      </c>
      <c r="AA88" s="112" t="str">
        <f t="shared" si="10"/>
        <v>N/A - No Generic Factor</v>
      </c>
      <c r="AB88" s="112" t="str">
        <f t="shared" si="11"/>
        <v>N/A - No Generic Factor</v>
      </c>
    </row>
    <row r="89" spans="1:28" x14ac:dyDescent="0.25">
      <c r="A89" s="97">
        <v>2018</v>
      </c>
      <c r="B89" s="28" t="s">
        <v>2405</v>
      </c>
      <c r="C89" s="28" t="s">
        <v>209</v>
      </c>
      <c r="D89" s="28" t="s">
        <v>436</v>
      </c>
      <c r="E89" s="28" t="s">
        <v>437</v>
      </c>
      <c r="F89" s="28" t="s">
        <v>362</v>
      </c>
      <c r="G89" s="28">
        <v>775413257</v>
      </c>
      <c r="H89" s="28">
        <v>28.979199999999999</v>
      </c>
      <c r="I89" s="28">
        <v>-95.354900000000001</v>
      </c>
      <c r="J89" s="28" t="s">
        <v>438</v>
      </c>
      <c r="K89" s="61">
        <v>110008170237</v>
      </c>
      <c r="L89" s="28" t="str">
        <f>INDEX('Facility Summary'!$K:$K,MATCH(K89,'Facility Summary'!$J:$J,0))</f>
        <v>Processing as a Reactant</v>
      </c>
      <c r="M89" s="28">
        <v>325199</v>
      </c>
      <c r="N89" s="28" t="str">
        <f>VLOOKUP(M89,'SIC &amp; NAICS Codes'!$D:$E,2,FALSE)</f>
        <v>All Other Basic Organic Chemical Manufacturing</v>
      </c>
      <c r="O89" s="28"/>
      <c r="P89" s="28" t="s">
        <v>2404</v>
      </c>
      <c r="Q89" s="28"/>
      <c r="R89" s="28">
        <v>397</v>
      </c>
      <c r="S89" s="28">
        <f t="shared" si="6"/>
        <v>180.07617089000001</v>
      </c>
      <c r="T89" s="28">
        <v>0</v>
      </c>
      <c r="U89" s="28">
        <f t="shared" si="7"/>
        <v>0</v>
      </c>
      <c r="V89" s="28">
        <v>0</v>
      </c>
      <c r="W89" s="28">
        <f t="shared" si="8"/>
        <v>0</v>
      </c>
      <c r="X89" s="28" t="s">
        <v>2473</v>
      </c>
      <c r="Y89" s="92">
        <f>IF(COUNTIF('Raw Annual DMR Data'!$L:$L,'Raw TRI Data'!K39)&gt;0,"N/A - See DMRs",SUMIFS('Generic Factors'!$D:$D,'Generic Factors'!$A:$A,A89,'Generic Factors'!$B:$B,L89))</f>
        <v>1.3098821446156496E-2</v>
      </c>
      <c r="Z89" s="112">
        <f t="shared" si="9"/>
        <v>7.7549030933522514E-2</v>
      </c>
      <c r="AA89" s="112">
        <f t="shared" si="10"/>
        <v>0</v>
      </c>
      <c r="AB89" s="112">
        <f t="shared" si="11"/>
        <v>0</v>
      </c>
    </row>
    <row r="90" spans="1:28" x14ac:dyDescent="0.25">
      <c r="A90" s="97">
        <v>2018</v>
      </c>
      <c r="B90" s="28" t="s">
        <v>2405</v>
      </c>
      <c r="C90" s="28" t="s">
        <v>2410</v>
      </c>
      <c r="D90" s="28" t="s">
        <v>2411</v>
      </c>
      <c r="E90" s="28" t="s">
        <v>446</v>
      </c>
      <c r="F90" s="28" t="s">
        <v>303</v>
      </c>
      <c r="G90" s="28">
        <v>70669</v>
      </c>
      <c r="H90" s="28">
        <v>30.223500000000001</v>
      </c>
      <c r="I90" s="28">
        <v>-93.286900000000003</v>
      </c>
      <c r="J90" s="28" t="s">
        <v>447</v>
      </c>
      <c r="K90" s="61">
        <v>110000494894</v>
      </c>
      <c r="L90" s="28" t="str">
        <f>INDEX('Facility Summary'!$K:$K,MATCH(K90,'Facility Summary'!$J:$J,0))</f>
        <v>Manufacturing</v>
      </c>
      <c r="M90" s="28">
        <v>325180</v>
      </c>
      <c r="N90" s="28" t="str">
        <f>VLOOKUP(M90,'SIC &amp; NAICS Codes'!$D:$E,2,FALSE)</f>
        <v>Other Basic Inorganic Chemical Manufacturing</v>
      </c>
      <c r="O90" s="28"/>
      <c r="P90" s="28" t="s">
        <v>2404</v>
      </c>
      <c r="Q90" s="28"/>
      <c r="R90" s="28">
        <v>220</v>
      </c>
      <c r="S90" s="28">
        <f t="shared" si="6"/>
        <v>99.790321399999996</v>
      </c>
      <c r="T90" s="28">
        <v>0</v>
      </c>
      <c r="U90" s="28">
        <f t="shared" si="7"/>
        <v>0</v>
      </c>
      <c r="V90" s="28">
        <v>0</v>
      </c>
      <c r="W90" s="28">
        <f t="shared" si="8"/>
        <v>0</v>
      </c>
      <c r="X90" s="28" t="s">
        <v>839</v>
      </c>
      <c r="Y90" s="92" t="str">
        <f>IF(COUNTIF('Raw Annual DMR Data'!$L:$L,'Raw TRI Data'!K45)&gt;0,"N/A - See DMRs",SUMIFS('Generic Factors'!$D:$D,'Generic Factors'!$A:$A,A90,'Generic Factors'!$B:$B,L90))</f>
        <v>N/A - See DMRs</v>
      </c>
      <c r="Z90" s="112" t="e">
        <f t="shared" si="9"/>
        <v>#N/A</v>
      </c>
      <c r="AA90" s="112" t="e">
        <f t="shared" si="10"/>
        <v>#N/A</v>
      </c>
      <c r="AB90" s="112" t="e">
        <f t="shared" si="11"/>
        <v>#N/A</v>
      </c>
    </row>
    <row r="91" spans="1:28" x14ac:dyDescent="0.25">
      <c r="A91" s="97">
        <v>2018</v>
      </c>
      <c r="B91" s="28" t="s">
        <v>2405</v>
      </c>
      <c r="C91" s="28" t="s">
        <v>2412</v>
      </c>
      <c r="D91" s="28" t="s">
        <v>2413</v>
      </c>
      <c r="E91" s="28" t="s">
        <v>302</v>
      </c>
      <c r="F91" s="28" t="s">
        <v>303</v>
      </c>
      <c r="G91" s="28">
        <v>70805</v>
      </c>
      <c r="H91" s="28">
        <v>30.501336999999999</v>
      </c>
      <c r="I91" s="28">
        <v>-91.192340000000002</v>
      </c>
      <c r="J91" s="28" t="s">
        <v>483</v>
      </c>
      <c r="K91" s="61">
        <v>110000597444</v>
      </c>
      <c r="L91" s="28" t="str">
        <f>INDEX('Facility Summary'!$K:$K,MATCH(K91,'Facility Summary'!$J:$J,0))</f>
        <v>Manufacturing</v>
      </c>
      <c r="M91" s="28">
        <v>325211</v>
      </c>
      <c r="N91" s="28" t="str">
        <f>VLOOKUP(M91,'SIC &amp; NAICS Codes'!$D:$E,2,FALSE)</f>
        <v>Plastics Material and Resin Manufacturing</v>
      </c>
      <c r="O91" s="28"/>
      <c r="P91" s="28" t="s">
        <v>2404</v>
      </c>
      <c r="Q91" s="28"/>
      <c r="R91" s="28">
        <v>29</v>
      </c>
      <c r="S91" s="28">
        <f t="shared" si="6"/>
        <v>13.15417873</v>
      </c>
      <c r="T91" s="28">
        <v>0</v>
      </c>
      <c r="U91" s="28">
        <f t="shared" si="7"/>
        <v>0</v>
      </c>
      <c r="V91" s="28">
        <v>0</v>
      </c>
      <c r="W91" s="28">
        <f t="shared" si="8"/>
        <v>0</v>
      </c>
      <c r="X91" s="28" t="s">
        <v>862</v>
      </c>
      <c r="Y91" s="92">
        <f>IF(COUNTIF('Raw Annual DMR Data'!$L:$L,'Raw TRI Data'!K50)&gt;0,"N/A - See DMRs",SUMIFS('Generic Factors'!$D:$D,'Generic Factors'!$A:$A,A91,'Generic Factors'!$B:$B,L91))</f>
        <v>1.6552166960465783E-2</v>
      </c>
      <c r="Z91" s="112">
        <f t="shared" si="9"/>
        <v>7.1582440753522819E-3</v>
      </c>
      <c r="AA91" s="112">
        <f t="shared" si="10"/>
        <v>0</v>
      </c>
      <c r="AB91" s="112">
        <f t="shared" si="11"/>
        <v>0</v>
      </c>
    </row>
    <row r="92" spans="1:28" x14ac:dyDescent="0.25">
      <c r="A92" s="97">
        <v>2018</v>
      </c>
      <c r="B92" s="28" t="s">
        <v>2405</v>
      </c>
      <c r="C92" s="28" t="s">
        <v>2414</v>
      </c>
      <c r="D92" s="28" t="s">
        <v>2415</v>
      </c>
      <c r="E92" s="28" t="s">
        <v>480</v>
      </c>
      <c r="F92" s="28" t="s">
        <v>362</v>
      </c>
      <c r="G92" s="28">
        <v>77978</v>
      </c>
      <c r="H92" s="28">
        <v>28.6753</v>
      </c>
      <c r="I92" s="28">
        <v>-96.549499999999995</v>
      </c>
      <c r="J92" s="28" t="s">
        <v>481</v>
      </c>
      <c r="K92" s="61">
        <v>110018925957</v>
      </c>
      <c r="L92" s="28" t="str">
        <f>INDEX('Facility Summary'!$K:$K,MATCH(K92,'Facility Summary'!$J:$J,0))</f>
        <v>Manufacturing</v>
      </c>
      <c r="M92" s="28">
        <v>325211</v>
      </c>
      <c r="N92" s="28" t="str">
        <f>VLOOKUP(M92,'SIC &amp; NAICS Codes'!$D:$E,2,FALSE)</f>
        <v>Plastics Material and Resin Manufacturing</v>
      </c>
      <c r="O92" s="28"/>
      <c r="P92" s="28" t="s">
        <v>2404</v>
      </c>
      <c r="Q92" s="28"/>
      <c r="R92" s="28">
        <v>5</v>
      </c>
      <c r="S92" s="28">
        <f t="shared" si="6"/>
        <v>2.2679618500000003</v>
      </c>
      <c r="T92" s="28">
        <v>0</v>
      </c>
      <c r="U92" s="28">
        <f t="shared" si="7"/>
        <v>0</v>
      </c>
      <c r="V92" s="28">
        <v>0</v>
      </c>
      <c r="W92" s="28">
        <f t="shared" si="8"/>
        <v>0</v>
      </c>
      <c r="X92" s="28" t="s">
        <v>2475</v>
      </c>
      <c r="Y92" s="92" t="str">
        <f>IF(COUNTIF('Raw Annual DMR Data'!$L:$L,'Raw TRI Data'!K56)&gt;0,"N/A - See DMRs",SUMIFS('Generic Factors'!$D:$D,'Generic Factors'!$A:$A,A92,'Generic Factors'!$B:$B,L92))</f>
        <v>N/A - See DMRs</v>
      </c>
      <c r="Z92" s="112" t="e">
        <f t="shared" si="9"/>
        <v>#N/A</v>
      </c>
      <c r="AA92" s="112" t="e">
        <f t="shared" si="10"/>
        <v>#N/A</v>
      </c>
      <c r="AB92" s="112" t="e">
        <f t="shared" si="11"/>
        <v>#N/A</v>
      </c>
    </row>
    <row r="93" spans="1:28" x14ac:dyDescent="0.25">
      <c r="A93" s="97">
        <v>2018</v>
      </c>
      <c r="B93" s="28" t="s">
        <v>2405</v>
      </c>
      <c r="C93" s="28" t="s">
        <v>2417</v>
      </c>
      <c r="D93" s="28" t="s">
        <v>2418</v>
      </c>
      <c r="E93" s="28" t="s">
        <v>302</v>
      </c>
      <c r="F93" s="28" t="s">
        <v>303</v>
      </c>
      <c r="G93" s="28">
        <v>70805</v>
      </c>
      <c r="H93" s="28">
        <v>30.474443999999998</v>
      </c>
      <c r="I93" s="28">
        <v>-91.183055999999993</v>
      </c>
      <c r="J93" s="28" t="s">
        <v>514</v>
      </c>
      <c r="K93" s="61">
        <v>110003266849</v>
      </c>
      <c r="L93" s="28" t="str">
        <f>INDEX('Facility Summary'!$K:$K,MATCH(K93,'Facility Summary'!$J:$J,0))</f>
        <v>Processing into formulation, mixture, or reaction product</v>
      </c>
      <c r="M93" s="28">
        <v>325199</v>
      </c>
      <c r="N93" s="28" t="str">
        <f>VLOOKUP(M93,'SIC &amp; NAICS Codes'!$D:$E,2,FALSE)</f>
        <v>All Other Basic Organic Chemical Manufacturing</v>
      </c>
      <c r="O93" s="28"/>
      <c r="P93" s="28" t="s">
        <v>2404</v>
      </c>
      <c r="Q93" s="28"/>
      <c r="R93" s="28">
        <v>14</v>
      </c>
      <c r="S93" s="28">
        <f t="shared" si="6"/>
        <v>6.3502931800000004</v>
      </c>
      <c r="T93" s="28">
        <v>0</v>
      </c>
      <c r="U93" s="28">
        <f t="shared" si="7"/>
        <v>0</v>
      </c>
      <c r="V93" s="28">
        <v>0</v>
      </c>
      <c r="W93" s="28">
        <f t="shared" si="8"/>
        <v>0</v>
      </c>
      <c r="X93" s="28" t="s">
        <v>878</v>
      </c>
      <c r="Y93" s="92">
        <f>IF(COUNTIF('Raw Annual DMR Data'!$L:$L,'Raw TRI Data'!K66)&gt;0,"N/A - See DMRs",SUMIFS('Generic Factors'!$D:$D,'Generic Factors'!$A:$A,A93,'Generic Factors'!$B:$B,L93))</f>
        <v>0</v>
      </c>
      <c r="Z93" s="112" t="str">
        <f t="shared" si="9"/>
        <v>N/A - No Generic Factor</v>
      </c>
      <c r="AA93" s="112" t="str">
        <f t="shared" si="10"/>
        <v>N/A - No Generic Factor</v>
      </c>
      <c r="AB93" s="112" t="str">
        <f t="shared" si="11"/>
        <v>N/A - No Generic Factor</v>
      </c>
    </row>
    <row r="94" spans="1:28" x14ac:dyDescent="0.25">
      <c r="A94" s="97">
        <v>2018</v>
      </c>
      <c r="B94" s="28" t="s">
        <v>2405</v>
      </c>
      <c r="C94" s="28" t="s">
        <v>212</v>
      </c>
      <c r="D94" s="28" t="s">
        <v>523</v>
      </c>
      <c r="E94" s="28" t="s">
        <v>437</v>
      </c>
      <c r="F94" s="28" t="s">
        <v>362</v>
      </c>
      <c r="G94" s="28">
        <v>77541</v>
      </c>
      <c r="H94" s="28">
        <v>28.952500000000001</v>
      </c>
      <c r="I94" s="28">
        <v>-95.313000000000002</v>
      </c>
      <c r="J94" s="28" t="s">
        <v>524</v>
      </c>
      <c r="K94" s="61">
        <v>110012256076</v>
      </c>
      <c r="L94" s="28" t="str">
        <f>INDEX('Facility Summary'!$K:$K,MATCH(K94,'Facility Summary'!$J:$J,0))</f>
        <v>Processing as a Reactant</v>
      </c>
      <c r="M94" s="28">
        <v>325199</v>
      </c>
      <c r="N94" s="28" t="str">
        <f>VLOOKUP(M94,'SIC &amp; NAICS Codes'!$D:$E,2,FALSE)</f>
        <v>All Other Basic Organic Chemical Manufacturing</v>
      </c>
      <c r="O94" s="28"/>
      <c r="P94" s="28" t="s">
        <v>2404</v>
      </c>
      <c r="Q94" s="28"/>
      <c r="R94" s="28">
        <v>5</v>
      </c>
      <c r="S94" s="28">
        <f t="shared" si="6"/>
        <v>2.2679618500000003</v>
      </c>
      <c r="T94" s="28">
        <v>0</v>
      </c>
      <c r="U94" s="28">
        <f t="shared" si="7"/>
        <v>0</v>
      </c>
      <c r="V94" s="28">
        <v>0</v>
      </c>
      <c r="W94" s="28">
        <f t="shared" si="8"/>
        <v>0</v>
      </c>
      <c r="X94" s="28"/>
      <c r="Y94" s="92" t="str">
        <f>IF(COUNTIF('Raw Annual DMR Data'!$L:$L,'Raw TRI Data'!K70)&gt;0,"N/A - See DMRs",SUMIFS('Generic Factors'!$D:$D,'Generic Factors'!$A:$A,A94,'Generic Factors'!$B:$B,L94))</f>
        <v>N/A - See DMRs</v>
      </c>
      <c r="Z94" s="112" t="e">
        <f t="shared" si="9"/>
        <v>#N/A</v>
      </c>
      <c r="AA94" s="112" t="e">
        <f t="shared" si="10"/>
        <v>#N/A</v>
      </c>
      <c r="AB94" s="112" t="e">
        <f t="shared" si="11"/>
        <v>#N/A</v>
      </c>
    </row>
    <row r="95" spans="1:28" x14ac:dyDescent="0.25">
      <c r="A95" s="97">
        <v>2018</v>
      </c>
      <c r="B95" s="28" t="s">
        <v>2405</v>
      </c>
      <c r="C95" s="28" t="s">
        <v>213</v>
      </c>
      <c r="D95" s="28" t="s">
        <v>540</v>
      </c>
      <c r="E95" s="28" t="s">
        <v>460</v>
      </c>
      <c r="F95" s="28" t="s">
        <v>541</v>
      </c>
      <c r="G95" s="28">
        <v>29405</v>
      </c>
      <c r="H95" s="28">
        <v>32.835301999999999</v>
      </c>
      <c r="I95" s="28">
        <v>-79.958067999999997</v>
      </c>
      <c r="J95" s="28" t="s">
        <v>542</v>
      </c>
      <c r="K95" s="61">
        <v>110017326963</v>
      </c>
      <c r="L95" s="28" t="str">
        <f>INDEX('Facility Summary'!$K:$K,MATCH(K95,'Facility Summary'!$J:$J,0))</f>
        <v>Manufacturing</v>
      </c>
      <c r="M95" s="28">
        <v>325199</v>
      </c>
      <c r="N95" s="28" t="str">
        <f>VLOOKUP(M95,'SIC &amp; NAICS Codes'!$D:$E,2,FALSE)</f>
        <v>All Other Basic Organic Chemical Manufacturing</v>
      </c>
      <c r="O95" s="28"/>
      <c r="P95" s="28" t="s">
        <v>2466</v>
      </c>
      <c r="Q95" s="28"/>
      <c r="R95" s="28">
        <v>0</v>
      </c>
      <c r="S95" s="28">
        <f t="shared" si="6"/>
        <v>0</v>
      </c>
      <c r="T95" s="28">
        <v>15</v>
      </c>
      <c r="U95" s="28">
        <f t="shared" si="7"/>
        <v>6.8038855500000004</v>
      </c>
      <c r="V95" s="28">
        <v>0</v>
      </c>
      <c r="W95" s="28">
        <f t="shared" si="8"/>
        <v>0</v>
      </c>
      <c r="X95" s="28" t="s">
        <v>2478</v>
      </c>
      <c r="Y95" s="92">
        <f>IF(COUNTIF('Raw Annual DMR Data'!$L:$L,'Raw TRI Data'!K75)&gt;0,"N/A - See DMRs",SUMIFS('Generic Factors'!$D:$D,'Generic Factors'!$A:$A,A95,'Generic Factors'!$B:$B,L95))</f>
        <v>1.6552166960465783E-2</v>
      </c>
      <c r="Z95" s="112">
        <f t="shared" si="9"/>
        <v>0</v>
      </c>
      <c r="AA95" s="112">
        <f t="shared" si="10"/>
        <v>3.7025400389753185E-3</v>
      </c>
      <c r="AB95" s="112">
        <f t="shared" si="11"/>
        <v>0</v>
      </c>
    </row>
    <row r="96" spans="1:28" x14ac:dyDescent="0.25">
      <c r="A96" s="97">
        <v>2018</v>
      </c>
      <c r="B96" s="28" t="s">
        <v>2405</v>
      </c>
      <c r="C96" s="28" t="s">
        <v>214</v>
      </c>
      <c r="D96" s="28" t="s">
        <v>562</v>
      </c>
      <c r="E96" s="28" t="s">
        <v>563</v>
      </c>
      <c r="F96" s="28" t="s">
        <v>564</v>
      </c>
      <c r="G96" s="28">
        <v>52761</v>
      </c>
      <c r="H96" s="28">
        <v>41.350468999999997</v>
      </c>
      <c r="I96" s="28">
        <v>-91.081619000000003</v>
      </c>
      <c r="J96" s="28" t="s">
        <v>565</v>
      </c>
      <c r="K96" s="61">
        <v>110018869474</v>
      </c>
      <c r="L96" s="28" t="str">
        <f>INDEX('Facility Summary'!$K:$K,MATCH(K96,'Facility Summary'!$J:$J,0))</f>
        <v>Processing into formulation, mixture, or reaction product</v>
      </c>
      <c r="M96" s="28">
        <v>325320</v>
      </c>
      <c r="N96" s="28" t="str">
        <f>VLOOKUP(M96,'SIC &amp; NAICS Codes'!$D:$E,2,FALSE)</f>
        <v>Pesticide and Other Agricultural Chemical Manufacturing</v>
      </c>
      <c r="O96" s="28"/>
      <c r="P96" s="28" t="s">
        <v>2404</v>
      </c>
      <c r="Q96" s="28"/>
      <c r="R96" s="28">
        <v>30</v>
      </c>
      <c r="S96" s="28">
        <f t="shared" si="6"/>
        <v>13.607771100000001</v>
      </c>
      <c r="T96" s="28">
        <v>0</v>
      </c>
      <c r="U96" s="28">
        <f t="shared" si="7"/>
        <v>0</v>
      </c>
      <c r="V96" s="28">
        <v>0</v>
      </c>
      <c r="W96" s="28">
        <f t="shared" si="8"/>
        <v>0</v>
      </c>
      <c r="X96" s="28" t="s">
        <v>2479</v>
      </c>
      <c r="Y96" s="92" t="str">
        <f>IF(COUNTIF('Raw Annual DMR Data'!$L:$L,'Raw TRI Data'!K81)&gt;0,"N/A - See DMRs",SUMIFS('Generic Factors'!$D:$D,'Generic Factors'!$A:$A,A96,'Generic Factors'!$B:$B,L96))</f>
        <v>N/A - See DMRs</v>
      </c>
      <c r="Z96" s="112" t="e">
        <f t="shared" si="9"/>
        <v>#N/A</v>
      </c>
      <c r="AA96" s="112" t="e">
        <f t="shared" si="10"/>
        <v>#N/A</v>
      </c>
      <c r="AB96" s="112" t="e">
        <f t="shared" si="11"/>
        <v>#N/A</v>
      </c>
    </row>
    <row r="97" spans="1:28" x14ac:dyDescent="0.25">
      <c r="A97" s="97">
        <v>2018</v>
      </c>
      <c r="B97" s="28" t="s">
        <v>2405</v>
      </c>
      <c r="C97" s="28" t="s">
        <v>215</v>
      </c>
      <c r="D97" s="28" t="s">
        <v>574</v>
      </c>
      <c r="E97" s="28" t="s">
        <v>575</v>
      </c>
      <c r="F97" s="28" t="s">
        <v>435</v>
      </c>
      <c r="G97" s="28">
        <v>28147</v>
      </c>
      <c r="H97" s="28">
        <v>35.632199999999997</v>
      </c>
      <c r="I97" s="28">
        <v>-80.541200000000003</v>
      </c>
      <c r="J97" s="28" t="s">
        <v>576</v>
      </c>
      <c r="K97" s="61">
        <v>110000348936</v>
      </c>
      <c r="L97" s="28" t="str">
        <f>INDEX('Facility Summary'!$K:$K,MATCH(K97,'Facility Summary'!$J:$J,0))</f>
        <v>Processing into formulation, mixture, or reaction product</v>
      </c>
      <c r="M97" s="28">
        <v>325199</v>
      </c>
      <c r="N97" s="28" t="str">
        <f>VLOOKUP(M97,'SIC &amp; NAICS Codes'!$D:$E,2,FALSE)</f>
        <v>All Other Basic Organic Chemical Manufacturing</v>
      </c>
      <c r="O97" s="28"/>
      <c r="P97" s="28" t="s">
        <v>2466</v>
      </c>
      <c r="Q97" s="28"/>
      <c r="R97" s="28">
        <v>0</v>
      </c>
      <c r="S97" s="28">
        <f t="shared" si="6"/>
        <v>0</v>
      </c>
      <c r="T97" s="28">
        <v>0.45</v>
      </c>
      <c r="U97" s="28">
        <f t="shared" si="7"/>
        <v>0.20411656650000001</v>
      </c>
      <c r="V97" s="28">
        <v>0</v>
      </c>
      <c r="W97" s="28">
        <f t="shared" si="8"/>
        <v>0</v>
      </c>
      <c r="X97" s="28" t="s">
        <v>2480</v>
      </c>
      <c r="Y97" s="92">
        <f>IF(COUNTIF('Raw Annual DMR Data'!$L:$L,'Raw TRI Data'!K87)&gt;0,"N/A - See DMRs",SUMIFS('Generic Factors'!$D:$D,'Generic Factors'!$A:$A,A97,'Generic Factors'!$B:$B,L97))</f>
        <v>0</v>
      </c>
      <c r="Z97" s="112" t="str">
        <f t="shared" si="9"/>
        <v>N/A - No Generic Factor</v>
      </c>
      <c r="AA97" s="112" t="str">
        <f t="shared" si="10"/>
        <v>N/A - No Generic Factor</v>
      </c>
      <c r="AB97" s="112" t="str">
        <f t="shared" si="11"/>
        <v>N/A - No Generic Factor</v>
      </c>
    </row>
    <row r="98" spans="1:28" x14ac:dyDescent="0.25">
      <c r="A98" s="97">
        <v>2018</v>
      </c>
      <c r="B98" s="28" t="s">
        <v>2405</v>
      </c>
      <c r="C98" s="28" t="s">
        <v>2419</v>
      </c>
      <c r="D98" s="28" t="s">
        <v>2420</v>
      </c>
      <c r="E98" s="28" t="s">
        <v>2421</v>
      </c>
      <c r="F98" s="28" t="s">
        <v>362</v>
      </c>
      <c r="G98" s="28">
        <v>78359</v>
      </c>
      <c r="H98" s="28">
        <v>27.883610999999998</v>
      </c>
      <c r="I98" s="28">
        <v>-97.241382999999999</v>
      </c>
      <c r="J98" s="28" t="s">
        <v>583</v>
      </c>
      <c r="K98" s="61">
        <v>110000599807</v>
      </c>
      <c r="L98" s="28" t="str">
        <f>INDEX('Facility Summary'!$K:$K,MATCH(K98,'Facility Summary'!$J:$J,0))</f>
        <v>Manufacturing</v>
      </c>
      <c r="M98" s="28">
        <v>325199</v>
      </c>
      <c r="N98" s="28" t="str">
        <f>VLOOKUP(M98,'SIC &amp; NAICS Codes'!$D:$E,2,FALSE)</f>
        <v>All Other Basic Organic Chemical Manufacturing</v>
      </c>
      <c r="O98" s="28"/>
      <c r="P98" s="28" t="s">
        <v>2404</v>
      </c>
      <c r="Q98" s="28"/>
      <c r="R98" s="28">
        <v>4</v>
      </c>
      <c r="S98" s="28">
        <f t="shared" si="6"/>
        <v>1.8143694800000001</v>
      </c>
      <c r="T98" s="28">
        <v>0</v>
      </c>
      <c r="U98" s="28">
        <f t="shared" si="7"/>
        <v>0</v>
      </c>
      <c r="V98" s="28">
        <v>0</v>
      </c>
      <c r="W98" s="28">
        <f t="shared" si="8"/>
        <v>0</v>
      </c>
      <c r="X98" s="28" t="s">
        <v>910</v>
      </c>
      <c r="Y98" s="92" t="str">
        <f>IF(COUNTIF('Raw Annual DMR Data'!$L:$L,'Raw TRI Data'!K93)&gt;0,"N/A - See DMRs",SUMIFS('Generic Factors'!$D:$D,'Generic Factors'!$A:$A,A98,'Generic Factors'!$B:$B,L98))</f>
        <v>N/A - See DMRs</v>
      </c>
      <c r="Z98" s="112" t="e">
        <f t="shared" si="9"/>
        <v>#N/A</v>
      </c>
      <c r="AA98" s="112" t="e">
        <f t="shared" si="10"/>
        <v>#N/A</v>
      </c>
      <c r="AB98" s="112" t="e">
        <f t="shared" si="11"/>
        <v>#N/A</v>
      </c>
    </row>
    <row r="99" spans="1:28" x14ac:dyDescent="0.25">
      <c r="A99" s="97">
        <v>2018</v>
      </c>
      <c r="B99" s="28" t="s">
        <v>2405</v>
      </c>
      <c r="C99" s="28" t="s">
        <v>216</v>
      </c>
      <c r="D99" s="28" t="s">
        <v>586</v>
      </c>
      <c r="E99" s="28" t="s">
        <v>587</v>
      </c>
      <c r="F99" s="28" t="s">
        <v>303</v>
      </c>
      <c r="G99" s="28">
        <v>70723</v>
      </c>
      <c r="H99" s="28">
        <v>30.05509</v>
      </c>
      <c r="I99" s="28">
        <v>-90.830839999999995</v>
      </c>
      <c r="J99" s="28" t="s">
        <v>588</v>
      </c>
      <c r="K99" s="61">
        <v>110000597328</v>
      </c>
      <c r="L99" s="28" t="str">
        <f>INDEX('Facility Summary'!$K:$K,MATCH(K99,'Facility Summary'!$J:$J,0))</f>
        <v>Manufacturing</v>
      </c>
      <c r="M99" s="28">
        <v>325180</v>
      </c>
      <c r="N99" s="28" t="str">
        <f>VLOOKUP(M99,'SIC &amp; NAICS Codes'!$D:$E,2,FALSE)</f>
        <v>Other Basic Inorganic Chemical Manufacturing</v>
      </c>
      <c r="O99" s="28"/>
      <c r="P99" s="28" t="s">
        <v>2404</v>
      </c>
      <c r="Q99" s="28"/>
      <c r="R99" s="28">
        <v>1.26</v>
      </c>
      <c r="S99" s="28">
        <f t="shared" si="6"/>
        <v>0.57152638620000007</v>
      </c>
      <c r="T99" s="28">
        <v>0</v>
      </c>
      <c r="U99" s="28">
        <f t="shared" si="7"/>
        <v>0</v>
      </c>
      <c r="V99" s="28">
        <v>0</v>
      </c>
      <c r="W99" s="28">
        <f t="shared" si="8"/>
        <v>0</v>
      </c>
      <c r="X99" s="28" t="s">
        <v>2481</v>
      </c>
      <c r="Y99" s="92">
        <f>IF(COUNTIF('Raw Annual DMR Data'!$L:$L,'Raw TRI Data'!K99)&gt;0,"N/A - See DMRs",SUMIFS('Generic Factors'!$D:$D,'Generic Factors'!$A:$A,A99,'Generic Factors'!$B:$B,L99))</f>
        <v>1.6552166960465783E-2</v>
      </c>
      <c r="Z99" s="112">
        <f t="shared" si="9"/>
        <v>3.1101336327392679E-4</v>
      </c>
      <c r="AA99" s="112">
        <f t="shared" si="10"/>
        <v>0</v>
      </c>
      <c r="AB99" s="112">
        <f t="shared" si="11"/>
        <v>0</v>
      </c>
    </row>
    <row r="100" spans="1:28" x14ac:dyDescent="0.25">
      <c r="A100" s="97">
        <v>2018</v>
      </c>
      <c r="B100" s="28" t="s">
        <v>2405</v>
      </c>
      <c r="C100" s="28" t="s">
        <v>2422</v>
      </c>
      <c r="D100" s="28" t="s">
        <v>2423</v>
      </c>
      <c r="E100" s="28" t="s">
        <v>516</v>
      </c>
      <c r="F100" s="28" t="s">
        <v>303</v>
      </c>
      <c r="G100" s="28">
        <v>70734</v>
      </c>
      <c r="H100" s="28">
        <v>30.185099999999998</v>
      </c>
      <c r="I100" s="28">
        <v>-90.980400000000003</v>
      </c>
      <c r="J100" s="28" t="s">
        <v>585</v>
      </c>
      <c r="K100" s="61">
        <v>110000449774</v>
      </c>
      <c r="L100" s="28" t="str">
        <f>INDEX('Facility Summary'!$K:$K,MATCH(K100,'Facility Summary'!$J:$J,0))</f>
        <v>Manufacturing</v>
      </c>
      <c r="M100" s="28">
        <v>325199</v>
      </c>
      <c r="N100" s="28" t="str">
        <f>VLOOKUP(M100,'SIC &amp; NAICS Codes'!$D:$E,2,FALSE)</f>
        <v>All Other Basic Organic Chemical Manufacturing</v>
      </c>
      <c r="O100" s="28"/>
      <c r="P100" s="28" t="s">
        <v>2404</v>
      </c>
      <c r="Q100" s="28"/>
      <c r="R100" s="28">
        <v>14.09</v>
      </c>
      <c r="S100" s="28">
        <f t="shared" si="6"/>
        <v>6.3911164933000002</v>
      </c>
      <c r="T100" s="28">
        <v>0</v>
      </c>
      <c r="U100" s="28">
        <f t="shared" si="7"/>
        <v>0</v>
      </c>
      <c r="V100" s="28">
        <v>0</v>
      </c>
      <c r="W100" s="28">
        <f t="shared" si="8"/>
        <v>0</v>
      </c>
      <c r="X100" s="28" t="s">
        <v>912</v>
      </c>
      <c r="Y100" s="92">
        <f>IF(COUNTIF('Raw Annual DMR Data'!$L:$L,'Raw TRI Data'!K105)&gt;0,"N/A - See DMRs",SUMIFS('Generic Factors'!$D:$D,'Generic Factors'!$A:$A,A100,'Generic Factors'!$B:$B,L100))</f>
        <v>1.6552166960465783E-2</v>
      </c>
      <c r="Z100" s="112">
        <f t="shared" si="9"/>
        <v>3.4779192766108157E-3</v>
      </c>
      <c r="AA100" s="112">
        <f t="shared" si="10"/>
        <v>0</v>
      </c>
      <c r="AB100" s="112">
        <f t="shared" si="11"/>
        <v>0</v>
      </c>
    </row>
    <row r="101" spans="1:28" x14ac:dyDescent="0.25">
      <c r="A101" s="97">
        <v>2018</v>
      </c>
      <c r="B101" s="28" t="s">
        <v>2405</v>
      </c>
      <c r="C101" s="28" t="s">
        <v>2424</v>
      </c>
      <c r="D101" s="28" t="s">
        <v>2425</v>
      </c>
      <c r="E101" s="28" t="s">
        <v>437</v>
      </c>
      <c r="F101" s="28" t="s">
        <v>362</v>
      </c>
      <c r="G101" s="28">
        <v>77541</v>
      </c>
      <c r="H101" s="28">
        <v>28.981691999999999</v>
      </c>
      <c r="I101" s="28">
        <v>-95.376501000000005</v>
      </c>
      <c r="J101" s="28" t="s">
        <v>484</v>
      </c>
      <c r="K101" s="61">
        <v>110066943605</v>
      </c>
      <c r="L101" s="28" t="str">
        <f>INDEX('Facility Summary'!$K:$K,MATCH(K101,'Facility Summary'!$J:$J,0))</f>
        <v>Manufacturing</v>
      </c>
      <c r="M101" s="28">
        <v>325199</v>
      </c>
      <c r="N101" s="28" t="str">
        <f>VLOOKUP(M101,'SIC &amp; NAICS Codes'!$D:$E,2,FALSE)</f>
        <v>All Other Basic Organic Chemical Manufacturing</v>
      </c>
      <c r="O101" s="28"/>
      <c r="P101" s="28" t="s">
        <v>2466</v>
      </c>
      <c r="Q101" s="28"/>
      <c r="R101" s="28">
        <v>0</v>
      </c>
      <c r="S101" s="28">
        <f t="shared" si="6"/>
        <v>0</v>
      </c>
      <c r="T101" s="28">
        <v>0</v>
      </c>
      <c r="U101" s="28">
        <f t="shared" si="7"/>
        <v>0</v>
      </c>
      <c r="V101" s="28">
        <v>735</v>
      </c>
      <c r="W101" s="28">
        <f t="shared" si="8"/>
        <v>333.39039195000004</v>
      </c>
      <c r="X101" s="28" t="s">
        <v>2483</v>
      </c>
      <c r="Y101" s="92">
        <f>IF(COUNTIF('Raw Annual DMR Data'!$L:$L,'Raw TRI Data'!K111)&gt;0,"N/A - See DMRs",SUMIFS('Generic Factors'!$D:$D,'Generic Factors'!$A:$A,A101,'Generic Factors'!$B:$B,L101))</f>
        <v>1.6552166960465783E-2</v>
      </c>
      <c r="Z101" s="112">
        <f t="shared" si="9"/>
        <v>0</v>
      </c>
      <c r="AA101" s="112">
        <f t="shared" si="10"/>
        <v>0</v>
      </c>
      <c r="AB101" s="112">
        <f t="shared" si="11"/>
        <v>0.18142446190979061</v>
      </c>
    </row>
    <row r="102" spans="1:28" x14ac:dyDescent="0.25">
      <c r="A102" s="97">
        <v>2018</v>
      </c>
      <c r="B102" s="28" t="s">
        <v>2403</v>
      </c>
      <c r="C102" s="28" t="s">
        <v>679</v>
      </c>
      <c r="D102" s="28" t="s">
        <v>680</v>
      </c>
      <c r="E102" s="28" t="s">
        <v>681</v>
      </c>
      <c r="F102" s="28" t="s">
        <v>328</v>
      </c>
      <c r="G102" s="28">
        <v>31535</v>
      </c>
      <c r="H102" s="28">
        <v>31.485279999999999</v>
      </c>
      <c r="I102" s="28">
        <v>-82.862380000000002</v>
      </c>
      <c r="J102" s="28" t="s">
        <v>682</v>
      </c>
      <c r="K102" s="61">
        <v>110000360644</v>
      </c>
      <c r="L102" s="28" t="str">
        <f>INDEX('Facility Summary'!$K:$K,MATCH(K102,'Facility Summary'!$J:$J,0))</f>
        <v>Processing as a Reactant</v>
      </c>
      <c r="M102" s="28">
        <v>325199</v>
      </c>
      <c r="N102" s="28" t="s">
        <v>28</v>
      </c>
      <c r="O102" s="28"/>
      <c r="P102" s="28" t="s">
        <v>2404</v>
      </c>
      <c r="Q102" s="28"/>
      <c r="R102" s="28">
        <v>500</v>
      </c>
      <c r="S102" s="28">
        <f t="shared" si="6"/>
        <v>226.79618500000001</v>
      </c>
      <c r="T102" s="28">
        <v>500</v>
      </c>
      <c r="U102" s="28">
        <f t="shared" si="7"/>
        <v>226.79618500000001</v>
      </c>
      <c r="V102" s="28">
        <v>500</v>
      </c>
      <c r="W102" s="28">
        <f t="shared" si="8"/>
        <v>226.79618500000001</v>
      </c>
      <c r="X102" s="28" t="s">
        <v>2484</v>
      </c>
      <c r="Y102" s="92">
        <f>IF(COUNTIF('Raw Annual DMR Data'!$L:$L,'Raw TRI Data'!K116)&gt;0,"N/A - See DMRs",SUMIFS('Generic Factors'!$D:$D,'Generic Factors'!$A:$A,A102,'Generic Factors'!$B:$B,L102))</f>
        <v>1.3098821446156496E-2</v>
      </c>
      <c r="Z102" s="112">
        <f t="shared" si="9"/>
        <v>9.7668804702169418E-2</v>
      </c>
      <c r="AA102" s="112">
        <f t="shared" si="10"/>
        <v>9.7668804702169418E-2</v>
      </c>
      <c r="AB102" s="112">
        <f t="shared" si="11"/>
        <v>9.7668804702169418E-2</v>
      </c>
    </row>
    <row r="103" spans="1:28" x14ac:dyDescent="0.25">
      <c r="A103" s="97">
        <v>2018</v>
      </c>
      <c r="B103" s="28" t="s">
        <v>2405</v>
      </c>
      <c r="C103" s="28" t="s">
        <v>217</v>
      </c>
      <c r="D103" s="28" t="s">
        <v>592</v>
      </c>
      <c r="E103" s="28" t="s">
        <v>590</v>
      </c>
      <c r="F103" s="28" t="s">
        <v>362</v>
      </c>
      <c r="G103" s="28">
        <v>77536</v>
      </c>
      <c r="H103" s="28">
        <v>29.728559000000001</v>
      </c>
      <c r="I103" s="28">
        <v>-95.110764000000003</v>
      </c>
      <c r="J103" s="28" t="s">
        <v>593</v>
      </c>
      <c r="K103" s="61">
        <v>110015742204</v>
      </c>
      <c r="L103" s="28" t="str">
        <f>INDEX('Facility Summary'!$K:$K,MATCH(K103,'Facility Summary'!$J:$J,0))</f>
        <v>Manufacturing</v>
      </c>
      <c r="M103" s="28">
        <v>325199</v>
      </c>
      <c r="N103" s="28" t="str">
        <f>VLOOKUP(M103,'SIC &amp; NAICS Codes'!$D:$E,2,FALSE)</f>
        <v>All Other Basic Organic Chemical Manufacturing</v>
      </c>
      <c r="O103" s="28"/>
      <c r="P103" s="28" t="s">
        <v>2466</v>
      </c>
      <c r="Q103" s="28"/>
      <c r="R103" s="28">
        <v>0</v>
      </c>
      <c r="S103" s="28">
        <f t="shared" si="6"/>
        <v>0</v>
      </c>
      <c r="T103" s="28">
        <v>0</v>
      </c>
      <c r="U103" s="28">
        <f t="shared" si="7"/>
        <v>0</v>
      </c>
      <c r="V103" s="28">
        <v>598.04999999999995</v>
      </c>
      <c r="W103" s="28">
        <f t="shared" si="8"/>
        <v>271.27091687849997</v>
      </c>
      <c r="X103" s="28"/>
      <c r="Y103" s="92">
        <f>IF(COUNTIF('Raw Annual DMR Data'!$L:$L,'Raw TRI Data'!K121)&gt;0,"N/A - See DMRs",SUMIFS('Generic Factors'!$D:$D,'Generic Factors'!$A:$A,A103,'Generic Factors'!$B:$B,L103))</f>
        <v>1.6552166960465783E-2</v>
      </c>
      <c r="Z103" s="112">
        <f t="shared" si="9"/>
        <v>0</v>
      </c>
      <c r="AA103" s="112">
        <f t="shared" si="10"/>
        <v>0</v>
      </c>
      <c r="AB103" s="112">
        <f t="shared" si="11"/>
        <v>0.14762027135394593</v>
      </c>
    </row>
    <row r="104" spans="1:28" x14ac:dyDescent="0.25">
      <c r="A104" s="97">
        <v>2018</v>
      </c>
      <c r="B104" s="28" t="s">
        <v>2405</v>
      </c>
      <c r="C104" s="28" t="s">
        <v>218</v>
      </c>
      <c r="D104" s="28" t="s">
        <v>594</v>
      </c>
      <c r="E104" s="28" t="s">
        <v>361</v>
      </c>
      <c r="F104" s="28" t="s">
        <v>362</v>
      </c>
      <c r="G104" s="28">
        <v>77571</v>
      </c>
      <c r="H104" s="28">
        <v>29.723759999999999</v>
      </c>
      <c r="I104" s="28">
        <v>-95.074219999999997</v>
      </c>
      <c r="J104" s="28" t="s">
        <v>595</v>
      </c>
      <c r="K104" s="61">
        <v>110017769734</v>
      </c>
      <c r="L104" s="28" t="str">
        <f>INDEX('Facility Summary'!$K:$K,MATCH(K104,'Facility Summary'!$J:$J,0))</f>
        <v>Manufacturing</v>
      </c>
      <c r="M104" s="28">
        <v>325199</v>
      </c>
      <c r="N104" s="28" t="str">
        <f>VLOOKUP(M104,'SIC &amp; NAICS Codes'!$D:$E,2,FALSE)</f>
        <v>All Other Basic Organic Chemical Manufacturing</v>
      </c>
      <c r="O104" s="28"/>
      <c r="P104" s="28" t="s">
        <v>2404</v>
      </c>
      <c r="Q104" s="28"/>
      <c r="R104" s="28">
        <v>1.6</v>
      </c>
      <c r="S104" s="28">
        <f t="shared" si="6"/>
        <v>0.72574779200000017</v>
      </c>
      <c r="T104" s="28">
        <v>0</v>
      </c>
      <c r="U104" s="28">
        <f t="shared" si="7"/>
        <v>0</v>
      </c>
      <c r="V104" s="28">
        <v>0</v>
      </c>
      <c r="W104" s="28">
        <f t="shared" si="8"/>
        <v>0</v>
      </c>
      <c r="X104" s="28" t="s">
        <v>2485</v>
      </c>
      <c r="Y104" s="92" t="str">
        <f>IF(COUNTIF('Raw Annual DMR Data'!$L:$L,'Raw TRI Data'!K127)&gt;0,"N/A - See DMRs",SUMIFS('Generic Factors'!$D:$D,'Generic Factors'!$A:$A,A104,'Generic Factors'!$B:$B,L104))</f>
        <v>N/A - See DMRs</v>
      </c>
      <c r="Z104" s="112" t="e">
        <f t="shared" si="9"/>
        <v>#N/A</v>
      </c>
      <c r="AA104" s="112" t="e">
        <f t="shared" si="10"/>
        <v>#N/A</v>
      </c>
      <c r="AB104" s="112" t="e">
        <f t="shared" si="11"/>
        <v>#N/A</v>
      </c>
    </row>
    <row r="105" spans="1:28" x14ac:dyDescent="0.25">
      <c r="A105" s="97">
        <v>2018</v>
      </c>
      <c r="B105" s="28" t="s">
        <v>2405</v>
      </c>
      <c r="C105" s="28" t="s">
        <v>219</v>
      </c>
      <c r="D105" s="28" t="s">
        <v>641</v>
      </c>
      <c r="E105" s="28" t="s">
        <v>426</v>
      </c>
      <c r="F105" s="28" t="s">
        <v>427</v>
      </c>
      <c r="G105" s="28">
        <v>48667</v>
      </c>
      <c r="H105" s="28">
        <v>43.600299999999997</v>
      </c>
      <c r="I105" s="28">
        <v>-84.223399999999998</v>
      </c>
      <c r="J105" s="28" t="s">
        <v>642</v>
      </c>
      <c r="K105" s="61">
        <v>110043787408</v>
      </c>
      <c r="L105" s="28" t="str">
        <f>INDEX('Facility Summary'!$K:$K,MATCH(K105,'Facility Summary'!$J:$J,0))</f>
        <v>Processing into formulation, mixture, or reaction product</v>
      </c>
      <c r="M105" s="28">
        <v>325320</v>
      </c>
      <c r="N105" s="28" t="str">
        <f>VLOOKUP(M105,'SIC &amp; NAICS Codes'!$D:$E,2,FALSE)</f>
        <v>Pesticide and Other Agricultural Chemical Manufacturing</v>
      </c>
      <c r="O105" s="28"/>
      <c r="P105" s="28" t="s">
        <v>2404</v>
      </c>
      <c r="Q105" s="28"/>
      <c r="R105" s="28">
        <v>39</v>
      </c>
      <c r="S105" s="28">
        <f t="shared" si="6"/>
        <v>17.69010243</v>
      </c>
      <c r="T105" s="28">
        <v>0</v>
      </c>
      <c r="U105" s="28">
        <f t="shared" si="7"/>
        <v>0</v>
      </c>
      <c r="V105" s="28">
        <v>0</v>
      </c>
      <c r="W105" s="28">
        <f t="shared" si="8"/>
        <v>0</v>
      </c>
      <c r="X105" s="28"/>
      <c r="Y105" s="92" t="str">
        <f>IF(COUNTIF('Raw Annual DMR Data'!$L:$L,'Raw TRI Data'!K135)&gt;0,"N/A - See DMRs",SUMIFS('Generic Factors'!$D:$D,'Generic Factors'!$A:$A,A105,'Generic Factors'!$B:$B,L105))</f>
        <v>N/A - See DMRs</v>
      </c>
      <c r="Z105" s="112" t="e">
        <f t="shared" si="9"/>
        <v>#N/A</v>
      </c>
      <c r="AA105" s="112" t="e">
        <f t="shared" si="10"/>
        <v>#N/A</v>
      </c>
      <c r="AB105" s="112" t="e">
        <f t="shared" si="11"/>
        <v>#N/A</v>
      </c>
    </row>
    <row r="106" spans="1:28" x14ac:dyDescent="0.25">
      <c r="A106" s="97">
        <v>2018</v>
      </c>
      <c r="B106" s="28" t="s">
        <v>2403</v>
      </c>
      <c r="C106" s="28" t="s">
        <v>675</v>
      </c>
      <c r="D106" s="28" t="s">
        <v>676</v>
      </c>
      <c r="E106" s="28" t="s">
        <v>516</v>
      </c>
      <c r="F106" s="28" t="s">
        <v>303</v>
      </c>
      <c r="G106" s="28">
        <v>70734</v>
      </c>
      <c r="H106" s="28">
        <v>30.180099999999999</v>
      </c>
      <c r="I106" s="28">
        <v>-90.981899999999996</v>
      </c>
      <c r="J106" s="28" t="s">
        <v>677</v>
      </c>
      <c r="K106" s="61">
        <v>110007909095</v>
      </c>
      <c r="L106" s="28" t="str">
        <f>INDEX('Facility Summary'!$K:$K,MATCH(K106,'Facility Summary'!$J:$J,0))</f>
        <v>Repackaging</v>
      </c>
      <c r="M106" s="28">
        <v>424690</v>
      </c>
      <c r="N106" s="28" t="s">
        <v>678</v>
      </c>
      <c r="O106" s="28"/>
      <c r="P106" s="28" t="s">
        <v>2404</v>
      </c>
      <c r="Q106" s="28"/>
      <c r="R106" s="28">
        <v>500</v>
      </c>
      <c r="S106" s="28">
        <f t="shared" si="6"/>
        <v>226.79618500000001</v>
      </c>
      <c r="T106" s="28">
        <v>500</v>
      </c>
      <c r="U106" s="28">
        <f t="shared" si="7"/>
        <v>226.79618500000001</v>
      </c>
      <c r="V106" s="28">
        <v>500</v>
      </c>
      <c r="W106" s="28">
        <f t="shared" si="8"/>
        <v>226.79618500000001</v>
      </c>
      <c r="X106" s="28" t="s">
        <v>2487</v>
      </c>
      <c r="Y106" s="92" t="str">
        <f>IF(COUNTIF('Raw Annual DMR Data'!$L:$L,'Raw TRI Data'!K140)&gt;0,"N/A - See DMRs",SUMIFS('Generic Factors'!$D:$D,'Generic Factors'!$A:$A,A106,'Generic Factors'!$B:$B,L106))</f>
        <v>N/A - See DMRs</v>
      </c>
      <c r="Z106" s="112" t="e">
        <f t="shared" si="9"/>
        <v>#N/A</v>
      </c>
      <c r="AA106" s="112" t="e">
        <f t="shared" si="10"/>
        <v>#N/A</v>
      </c>
      <c r="AB106" s="112" t="e">
        <f t="shared" si="11"/>
        <v>#N/A</v>
      </c>
    </row>
    <row r="107" spans="1:28" x14ac:dyDescent="0.25">
      <c r="A107" s="97">
        <v>2018</v>
      </c>
      <c r="B107" s="28" t="s">
        <v>2405</v>
      </c>
      <c r="C107" s="28" t="s">
        <v>221</v>
      </c>
      <c r="D107" s="28" t="s">
        <v>663</v>
      </c>
      <c r="E107" s="28" t="s">
        <v>446</v>
      </c>
      <c r="F107" s="28" t="s">
        <v>303</v>
      </c>
      <c r="G107" s="28">
        <v>70669</v>
      </c>
      <c r="H107" s="28">
        <v>30.252222</v>
      </c>
      <c r="I107" s="28">
        <v>-93.284443999999993</v>
      </c>
      <c r="J107" s="28" t="s">
        <v>664</v>
      </c>
      <c r="K107" s="61">
        <v>110002054482</v>
      </c>
      <c r="L107" s="28" t="str">
        <f>INDEX('Facility Summary'!$K:$K,MATCH(K107,'Facility Summary'!$J:$J,0))</f>
        <v>Manufacturing</v>
      </c>
      <c r="M107" s="28">
        <v>325110</v>
      </c>
      <c r="N107" s="28" t="str">
        <f>VLOOKUP(M107,'SIC &amp; NAICS Codes'!$D:$E,2,FALSE)</f>
        <v>Petrochemical Manufacturing</v>
      </c>
      <c r="O107" s="28"/>
      <c r="P107" s="28" t="s">
        <v>2466</v>
      </c>
      <c r="Q107" s="28"/>
      <c r="R107" s="28">
        <v>0</v>
      </c>
      <c r="S107" s="28">
        <f t="shared" si="6"/>
        <v>0</v>
      </c>
      <c r="T107" s="28">
        <v>0</v>
      </c>
      <c r="U107" s="28">
        <f t="shared" si="7"/>
        <v>0</v>
      </c>
      <c r="V107" s="28">
        <v>63</v>
      </c>
      <c r="W107" s="28">
        <f t="shared" si="8"/>
        <v>28.576319310000002</v>
      </c>
      <c r="X107" s="28"/>
      <c r="Y107" s="92" t="str">
        <f>IF(COUNTIF('Raw Annual DMR Data'!$L:$L,'Raw TRI Data'!K145)&gt;0,"N/A - See DMRs",SUMIFS('Generic Factors'!$D:$D,'Generic Factors'!$A:$A,A107,'Generic Factors'!$B:$B,L107))</f>
        <v>N/A - See DMRs</v>
      </c>
      <c r="Z107" s="112" t="e">
        <f t="shared" si="9"/>
        <v>#N/A</v>
      </c>
      <c r="AA107" s="112" t="e">
        <f t="shared" si="10"/>
        <v>#N/A</v>
      </c>
      <c r="AB107" s="112" t="e">
        <f t="shared" si="11"/>
        <v>#N/A</v>
      </c>
    </row>
    <row r="108" spans="1:28" x14ac:dyDescent="0.25">
      <c r="A108" s="97">
        <v>2018</v>
      </c>
      <c r="B108" s="28" t="s">
        <v>2405</v>
      </c>
      <c r="C108" s="28" t="s">
        <v>201</v>
      </c>
      <c r="D108" s="28" t="s">
        <v>665</v>
      </c>
      <c r="E108" s="28" t="s">
        <v>516</v>
      </c>
      <c r="F108" s="28" t="s">
        <v>303</v>
      </c>
      <c r="G108" s="28">
        <v>70734</v>
      </c>
      <c r="H108" s="28">
        <v>30.208604000000001</v>
      </c>
      <c r="I108" s="28">
        <v>-91.011127999999999</v>
      </c>
      <c r="J108" s="28" t="s">
        <v>666</v>
      </c>
      <c r="K108" s="61">
        <v>110000746328</v>
      </c>
      <c r="L108" s="28" t="str">
        <f>INDEX('Facility Summary'!$K:$K,MATCH(K108,'Facility Summary'!$J:$J,0))</f>
        <v>Manufacturing</v>
      </c>
      <c r="M108" s="28">
        <v>325211</v>
      </c>
      <c r="N108" s="28" t="str">
        <f>VLOOKUP(M108,'SIC &amp; NAICS Codes'!$D:$E,2,FALSE)</f>
        <v>Plastics Material and Resin Manufacturing</v>
      </c>
      <c r="O108" s="28"/>
      <c r="P108" s="28" t="s">
        <v>2404</v>
      </c>
      <c r="Q108" s="28"/>
      <c r="R108" s="28">
        <v>60</v>
      </c>
      <c r="S108" s="28">
        <f t="shared" si="6"/>
        <v>27.215542200000002</v>
      </c>
      <c r="T108" s="28">
        <v>0</v>
      </c>
      <c r="U108" s="28">
        <f t="shared" si="7"/>
        <v>0</v>
      </c>
      <c r="V108" s="28">
        <v>0</v>
      </c>
      <c r="W108" s="28">
        <f t="shared" si="8"/>
        <v>0</v>
      </c>
      <c r="X108" s="28" t="s">
        <v>2488</v>
      </c>
      <c r="Y108" s="92">
        <f>IF(COUNTIF('Raw Annual DMR Data'!$L:$L,'Raw TRI Data'!K151)&gt;0,"N/A - See DMRs",SUMIFS('Generic Factors'!$D:$D,'Generic Factors'!$A:$A,A108,'Generic Factors'!$B:$B,L108))</f>
        <v>1.6552166960465783E-2</v>
      </c>
      <c r="Z108" s="112">
        <f t="shared" si="9"/>
        <v>1.4810160155901274E-2</v>
      </c>
      <c r="AA108" s="112">
        <f t="shared" si="10"/>
        <v>0</v>
      </c>
      <c r="AB108" s="112">
        <f t="shared" si="11"/>
        <v>0</v>
      </c>
    </row>
    <row r="109" spans="1:28" x14ac:dyDescent="0.25">
      <c r="A109" s="97">
        <v>2018</v>
      </c>
      <c r="B109" s="28" t="s">
        <v>2405</v>
      </c>
      <c r="C109" s="28" t="s">
        <v>202</v>
      </c>
      <c r="D109" s="28" t="s">
        <v>2426</v>
      </c>
      <c r="E109" s="28" t="s">
        <v>323</v>
      </c>
      <c r="F109" s="28" t="s">
        <v>324</v>
      </c>
      <c r="G109" s="28">
        <v>42029</v>
      </c>
      <c r="H109" s="28">
        <v>37.051110999999999</v>
      </c>
      <c r="I109" s="28">
        <v>-88.334166999999994</v>
      </c>
      <c r="J109" s="28" t="s">
        <v>668</v>
      </c>
      <c r="K109" s="61">
        <v>110027373072</v>
      </c>
      <c r="L109" s="28" t="str">
        <f>INDEX('Facility Summary'!$K:$K,MATCH(K109,'Facility Summary'!$J:$J,0))</f>
        <v>Manufacturing</v>
      </c>
      <c r="M109" s="28">
        <v>325199</v>
      </c>
      <c r="N109" s="28" t="str">
        <f>VLOOKUP(M109,'SIC &amp; NAICS Codes'!$D:$E,2,FALSE)</f>
        <v>All Other Basic Organic Chemical Manufacturing</v>
      </c>
      <c r="O109" s="28"/>
      <c r="P109" s="28" t="s">
        <v>2404</v>
      </c>
      <c r="Q109" s="28"/>
      <c r="R109" s="28">
        <v>2485</v>
      </c>
      <c r="S109" s="28">
        <f t="shared" si="6"/>
        <v>1127.1770394499999</v>
      </c>
      <c r="T109" s="28">
        <v>0</v>
      </c>
      <c r="U109" s="28">
        <f t="shared" si="7"/>
        <v>0</v>
      </c>
      <c r="V109" s="28">
        <v>0</v>
      </c>
      <c r="W109" s="28">
        <f t="shared" si="8"/>
        <v>0</v>
      </c>
      <c r="X109" s="28" t="s">
        <v>957</v>
      </c>
      <c r="Y109" s="92">
        <f>IF(COUNTIF('Raw Annual DMR Data'!$L:$L,'Raw TRI Data'!K157)&gt;0,"N/A - See DMRs",SUMIFS('Generic Factors'!$D:$D,'Generic Factors'!$A:$A,A109,'Generic Factors'!$B:$B,L109))</f>
        <v>1.6552166960465783E-2</v>
      </c>
      <c r="Z109" s="112">
        <f t="shared" si="9"/>
        <v>0.61338746645691111</v>
      </c>
      <c r="AA109" s="112">
        <f t="shared" si="10"/>
        <v>0</v>
      </c>
      <c r="AB109" s="112">
        <f t="shared" si="11"/>
        <v>0</v>
      </c>
    </row>
    <row r="110" spans="1:28" x14ac:dyDescent="0.25">
      <c r="A110" s="97">
        <v>2019</v>
      </c>
      <c r="B110" s="28" t="s">
        <v>2405</v>
      </c>
      <c r="C110" s="28" t="s">
        <v>105</v>
      </c>
      <c r="D110" s="28" t="s">
        <v>322</v>
      </c>
      <c r="E110" s="28" t="s">
        <v>323</v>
      </c>
      <c r="F110" s="28" t="s">
        <v>324</v>
      </c>
      <c r="G110" s="28">
        <v>42029</v>
      </c>
      <c r="H110" s="28">
        <v>37.056699000000002</v>
      </c>
      <c r="I110" s="28">
        <v>-88.365727000000007</v>
      </c>
      <c r="J110" s="28" t="s">
        <v>325</v>
      </c>
      <c r="K110" s="61">
        <v>110000380061</v>
      </c>
      <c r="L110" s="28" t="str">
        <f>INDEX('Facility Summary'!$K:$K,MATCH(K110,'Facility Summary'!$J:$J,0))</f>
        <v>Manufacturing</v>
      </c>
      <c r="M110" s="28">
        <v>325199</v>
      </c>
      <c r="N110" s="28" t="str">
        <f>VLOOKUP(M110,'SIC &amp; NAICS Codes'!$D:$E,2,FALSE)</f>
        <v>All Other Basic Organic Chemical Manufacturing</v>
      </c>
      <c r="O110" s="28"/>
      <c r="P110" s="28" t="s">
        <v>2404</v>
      </c>
      <c r="Q110" s="28"/>
      <c r="R110" s="28">
        <v>140</v>
      </c>
      <c r="S110" s="28">
        <f t="shared" si="6"/>
        <v>63.502931800000006</v>
      </c>
      <c r="T110" s="28">
        <v>0</v>
      </c>
      <c r="U110" s="28">
        <f t="shared" si="7"/>
        <v>0</v>
      </c>
      <c r="V110" s="28">
        <v>0</v>
      </c>
      <c r="W110" s="28">
        <f t="shared" si="8"/>
        <v>0</v>
      </c>
      <c r="X110" s="28" t="s">
        <v>776</v>
      </c>
      <c r="Y110" s="92">
        <f>IF(COUNTIF('Raw Annual DMR Data'!$L:$L,'Raw TRI Data'!K8)&gt;0,"N/A - See DMRs",SUMIFS('Generic Factors'!$D:$D,'Generic Factors'!$A:$A,A110,'Generic Factors'!$B:$B,L110))</f>
        <v>2.7786351820470339</v>
      </c>
      <c r="Z110" s="112">
        <f t="shared" si="9"/>
        <v>5.8011382057426815</v>
      </c>
      <c r="AA110" s="112">
        <f t="shared" si="10"/>
        <v>0</v>
      </c>
      <c r="AB110" s="112">
        <f t="shared" si="11"/>
        <v>0</v>
      </c>
    </row>
    <row r="111" spans="1:28" x14ac:dyDescent="0.25">
      <c r="A111" s="97">
        <v>2019</v>
      </c>
      <c r="B111" s="28" t="s">
        <v>2405</v>
      </c>
      <c r="C111" s="28" t="s">
        <v>204</v>
      </c>
      <c r="D111" s="28" t="s">
        <v>333</v>
      </c>
      <c r="E111" s="28" t="s">
        <v>334</v>
      </c>
      <c r="F111" s="28" t="s">
        <v>303</v>
      </c>
      <c r="G111" s="28">
        <v>70764</v>
      </c>
      <c r="H111" s="28">
        <v>30.262255</v>
      </c>
      <c r="I111" s="28">
        <v>-91.185837000000006</v>
      </c>
      <c r="J111" s="28" t="s">
        <v>335</v>
      </c>
      <c r="K111" s="61">
        <v>110000613747</v>
      </c>
      <c r="L111" s="28" t="str">
        <f>INDEX('Facility Summary'!$K:$K,MATCH(K111,'Facility Summary'!$J:$J,0))</f>
        <v>Manufacturing</v>
      </c>
      <c r="M111" s="28">
        <v>325211</v>
      </c>
      <c r="N111" s="28" t="str">
        <f>VLOOKUP(M111,'SIC &amp; NAICS Codes'!$D:$E,2,FALSE)</f>
        <v>Plastics Material and Resin Manufacturing</v>
      </c>
      <c r="O111" s="28"/>
      <c r="P111" s="28" t="s">
        <v>2404</v>
      </c>
      <c r="Q111" s="28"/>
      <c r="R111" s="28">
        <v>22</v>
      </c>
      <c r="S111" s="28">
        <f t="shared" si="6"/>
        <v>9.979032140000001</v>
      </c>
      <c r="T111" s="28">
        <v>0</v>
      </c>
      <c r="U111" s="28">
        <f t="shared" si="7"/>
        <v>0</v>
      </c>
      <c r="V111" s="28">
        <v>0</v>
      </c>
      <c r="W111" s="28">
        <f t="shared" si="8"/>
        <v>0</v>
      </c>
      <c r="X111" s="28" t="s">
        <v>2465</v>
      </c>
      <c r="Y111" s="92">
        <f>IF(COUNTIF('Raw Annual DMR Data'!$L:$L,'Raw TRI Data'!K13)&gt;0,"N/A - See DMRs",SUMIFS('Generic Factors'!$D:$D,'Generic Factors'!$A:$A,A111,'Generic Factors'!$B:$B,L111))</f>
        <v>2.7786351820470339</v>
      </c>
      <c r="Z111" s="112">
        <f t="shared" si="9"/>
        <v>0.91160743233099262</v>
      </c>
      <c r="AA111" s="112">
        <f t="shared" si="10"/>
        <v>0</v>
      </c>
      <c r="AB111" s="112">
        <f t="shared" si="11"/>
        <v>0</v>
      </c>
    </row>
    <row r="112" spans="1:28" x14ac:dyDescent="0.25">
      <c r="A112" s="97">
        <v>2019</v>
      </c>
      <c r="B112" s="28" t="s">
        <v>2405</v>
      </c>
      <c r="C112" s="28" t="s">
        <v>205</v>
      </c>
      <c r="D112" s="28" t="s">
        <v>343</v>
      </c>
      <c r="E112" s="28" t="s">
        <v>344</v>
      </c>
      <c r="F112" s="28" t="s">
        <v>345</v>
      </c>
      <c r="G112" s="28">
        <v>60901</v>
      </c>
      <c r="H112" s="28">
        <v>41.085541999999997</v>
      </c>
      <c r="I112" s="28">
        <v>-87.880542000000005</v>
      </c>
      <c r="J112" s="28" t="s">
        <v>346</v>
      </c>
      <c r="K112" s="61">
        <v>110043972207</v>
      </c>
      <c r="L112" s="28" t="str">
        <f>INDEX('Facility Summary'!$K:$K,MATCH(K112,'Facility Summary'!$J:$J,0))</f>
        <v>Processing into formulation, mixture, or reaction product</v>
      </c>
      <c r="M112" s="28">
        <v>325613</v>
      </c>
      <c r="N112" s="28" t="str">
        <f>VLOOKUP(M112,'SIC &amp; NAICS Codes'!$D:$E,2,FALSE)</f>
        <v>Surface Active Agent Manufacturing</v>
      </c>
      <c r="O112" s="28"/>
      <c r="P112" s="28" t="s">
        <v>2466</v>
      </c>
      <c r="Q112" s="28"/>
      <c r="R112" s="28">
        <v>0</v>
      </c>
      <c r="S112" s="28">
        <f t="shared" si="6"/>
        <v>0</v>
      </c>
      <c r="T112" s="28">
        <v>1800</v>
      </c>
      <c r="U112" s="28">
        <f t="shared" si="7"/>
        <v>816.46626600000002</v>
      </c>
      <c r="V112" s="28">
        <v>0</v>
      </c>
      <c r="W112" s="28">
        <f t="shared" si="8"/>
        <v>0</v>
      </c>
      <c r="X112" s="28" t="s">
        <v>2467</v>
      </c>
      <c r="Y112" s="92" t="str">
        <f>IF(COUNTIF('Raw Annual DMR Data'!$L:$L,'Raw TRI Data'!K19)&gt;0,"N/A - See DMRs",SUMIFS('Generic Factors'!$D:$D,'Generic Factors'!$A:$A,A112,'Generic Factors'!$B:$B,L112))</f>
        <v>N/A - See DMRs</v>
      </c>
      <c r="Z112" s="112" t="e">
        <f t="shared" si="9"/>
        <v>#N/A</v>
      </c>
      <c r="AA112" s="112" t="e">
        <f t="shared" si="10"/>
        <v>#N/A</v>
      </c>
      <c r="AB112" s="112" t="e">
        <f t="shared" si="11"/>
        <v>#N/A</v>
      </c>
    </row>
    <row r="113" spans="1:28" x14ac:dyDescent="0.25">
      <c r="A113" s="97">
        <v>2019</v>
      </c>
      <c r="B113" s="28" t="s">
        <v>2405</v>
      </c>
      <c r="C113" s="28" t="s">
        <v>206</v>
      </c>
      <c r="D113" s="28" t="s">
        <v>347</v>
      </c>
      <c r="E113" s="28" t="s">
        <v>348</v>
      </c>
      <c r="F113" s="28" t="s">
        <v>349</v>
      </c>
      <c r="G113" s="28">
        <v>63461</v>
      </c>
      <c r="H113" s="28">
        <v>39.834117999999997</v>
      </c>
      <c r="I113" s="28">
        <v>-91.436790999999999</v>
      </c>
      <c r="J113" s="28" t="s">
        <v>350</v>
      </c>
      <c r="K113" s="61">
        <v>110056953765</v>
      </c>
      <c r="L113" s="28" t="str">
        <f>INDEX('Facility Summary'!$K:$K,MATCH(K113,'Facility Summary'!$J:$J,0))</f>
        <v>Processing into formulation, mixture, or reaction product</v>
      </c>
      <c r="M113" s="28">
        <v>325320</v>
      </c>
      <c r="N113" s="28" t="str">
        <f>VLOOKUP(M113,'SIC &amp; NAICS Codes'!$D:$E,2,FALSE)</f>
        <v>Pesticide and Other Agricultural Chemical Manufacturing</v>
      </c>
      <c r="O113" s="28"/>
      <c r="P113" s="28" t="s">
        <v>2404</v>
      </c>
      <c r="Q113" s="28"/>
      <c r="R113" s="28">
        <v>5</v>
      </c>
      <c r="S113" s="28">
        <f t="shared" si="6"/>
        <v>2.2679618500000003</v>
      </c>
      <c r="T113" s="28">
        <v>0</v>
      </c>
      <c r="U113" s="28">
        <f t="shared" si="7"/>
        <v>0</v>
      </c>
      <c r="V113" s="28">
        <v>0</v>
      </c>
      <c r="W113" s="28">
        <f t="shared" si="8"/>
        <v>0</v>
      </c>
      <c r="X113" s="28" t="s">
        <v>2468</v>
      </c>
      <c r="Y113" s="92">
        <f>IF(COUNTIF('Raw Annual DMR Data'!$L:$L,'Raw TRI Data'!K25)&gt;0,"N/A - See DMRs",SUMIFS('Generic Factors'!$D:$D,'Generic Factors'!$A:$A,A113,'Generic Factors'!$B:$B,L113))</f>
        <v>0</v>
      </c>
      <c r="Z113" s="112" t="str">
        <f t="shared" si="9"/>
        <v>N/A - No Generic Factor</v>
      </c>
      <c r="AA113" s="112" t="str">
        <f t="shared" si="10"/>
        <v>N/A - No Generic Factor</v>
      </c>
      <c r="AB113" s="112" t="str">
        <f t="shared" si="11"/>
        <v>N/A - No Generic Factor</v>
      </c>
    </row>
    <row r="114" spans="1:28" x14ac:dyDescent="0.25">
      <c r="A114" s="97">
        <v>2019</v>
      </c>
      <c r="B114" s="28" t="s">
        <v>2405</v>
      </c>
      <c r="C114" s="28" t="s">
        <v>2469</v>
      </c>
      <c r="D114" s="28" t="s">
        <v>2470</v>
      </c>
      <c r="E114" s="28" t="s">
        <v>368</v>
      </c>
      <c r="F114" s="28" t="s">
        <v>349</v>
      </c>
      <c r="G114" s="28">
        <v>63630</v>
      </c>
      <c r="H114" s="28">
        <v>37.983333000000002</v>
      </c>
      <c r="I114" s="28">
        <v>-90.690832999999998</v>
      </c>
      <c r="J114" s="28" t="s">
        <v>369</v>
      </c>
      <c r="K114" s="61">
        <v>110017980443</v>
      </c>
      <c r="L114" s="28" t="str">
        <f>INDEX('Facility Summary'!$K:$K,MATCH(K114,'Facility Summary'!$J:$J,0))</f>
        <v>Manufacturing</v>
      </c>
      <c r="M114" s="28">
        <v>325998</v>
      </c>
      <c r="N114" s="28" t="str">
        <f>VLOOKUP(M114,'SIC &amp; NAICS Codes'!$D:$E,2,FALSE)</f>
        <v>All Other Miscellaneous Chemical Product and Preparation Manufacturing</v>
      </c>
      <c r="O114" s="28"/>
      <c r="P114" s="28" t="s">
        <v>2466</v>
      </c>
      <c r="Q114" s="28"/>
      <c r="R114" s="28">
        <v>0</v>
      </c>
      <c r="S114" s="28">
        <f t="shared" si="6"/>
        <v>0</v>
      </c>
      <c r="T114" s="28">
        <v>10</v>
      </c>
      <c r="U114" s="28">
        <f t="shared" si="7"/>
        <v>4.5359237000000006</v>
      </c>
      <c r="V114" s="28">
        <v>0</v>
      </c>
      <c r="W114" s="28">
        <f t="shared" si="8"/>
        <v>0</v>
      </c>
      <c r="X114" s="28" t="s">
        <v>796</v>
      </c>
      <c r="Y114" s="92">
        <f>IF(COUNTIF('Raw Annual DMR Data'!$L:$L,'Raw TRI Data'!K27)&gt;0,"N/A - See DMRs",SUMIFS('Generic Factors'!$D:$D,'Generic Factors'!$A:$A,A114,'Generic Factors'!$B:$B,L114))</f>
        <v>2.7786351820470339</v>
      </c>
      <c r="Z114" s="112">
        <f t="shared" si="9"/>
        <v>0</v>
      </c>
      <c r="AA114" s="112">
        <f t="shared" si="10"/>
        <v>0.41436701469590581</v>
      </c>
      <c r="AB114" s="112">
        <f t="shared" si="11"/>
        <v>0</v>
      </c>
    </row>
    <row r="115" spans="1:28" x14ac:dyDescent="0.25">
      <c r="A115" s="97">
        <v>2019</v>
      </c>
      <c r="B115" s="28" t="s">
        <v>2405</v>
      </c>
      <c r="C115" s="28" t="s">
        <v>207</v>
      </c>
      <c r="D115" s="28" t="s">
        <v>400</v>
      </c>
      <c r="E115" s="28" t="s">
        <v>401</v>
      </c>
      <c r="F115" s="28" t="s">
        <v>385</v>
      </c>
      <c r="G115" s="28">
        <v>67460</v>
      </c>
      <c r="H115" s="28">
        <v>38.346800000000002</v>
      </c>
      <c r="I115" s="28">
        <v>-97.674499999999995</v>
      </c>
      <c r="J115" s="28" t="s">
        <v>402</v>
      </c>
      <c r="K115" s="61">
        <v>110016678969</v>
      </c>
      <c r="L115" s="28" t="str">
        <f>INDEX('Facility Summary'!$K:$K,MATCH(K115,'Facility Summary'!$J:$J,0))</f>
        <v>Processing into formulation, mixture, or reaction product</v>
      </c>
      <c r="M115" s="28">
        <v>324110</v>
      </c>
      <c r="N115" s="28" t="str">
        <f>VLOOKUP(M115,'SIC &amp; NAICS Codes'!$D:$E,2,FALSE)</f>
        <v>Petroleum Refineries</v>
      </c>
      <c r="O115" s="28"/>
      <c r="P115" s="28" t="s">
        <v>2404</v>
      </c>
      <c r="Q115" s="28"/>
      <c r="R115" s="28">
        <v>0.2</v>
      </c>
      <c r="S115" s="28">
        <f t="shared" si="6"/>
        <v>9.0718474000000021E-2</v>
      </c>
      <c r="T115" s="28">
        <v>0</v>
      </c>
      <c r="U115" s="28">
        <f t="shared" si="7"/>
        <v>0</v>
      </c>
      <c r="V115" s="28">
        <v>0</v>
      </c>
      <c r="W115" s="28">
        <f t="shared" si="8"/>
        <v>0</v>
      </c>
      <c r="X115" s="28"/>
      <c r="Y115" s="92" t="str">
        <f>IF(COUNTIF('Raw Annual DMR Data'!$L:$L,'Raw TRI Data'!K30)&gt;0,"N/A - See DMRs",SUMIFS('Generic Factors'!$D:$D,'Generic Factors'!$A:$A,A115,'Generic Factors'!$B:$B,L115))</f>
        <v>N/A - See DMRs</v>
      </c>
      <c r="Z115" s="112" t="e">
        <f t="shared" si="9"/>
        <v>#N/A</v>
      </c>
      <c r="AA115" s="112" t="e">
        <f t="shared" si="10"/>
        <v>#N/A</v>
      </c>
      <c r="AB115" s="112" t="e">
        <f t="shared" si="11"/>
        <v>#N/A</v>
      </c>
    </row>
    <row r="116" spans="1:28" x14ac:dyDescent="0.25">
      <c r="A116" s="97">
        <v>2019</v>
      </c>
      <c r="B116" s="28" t="s">
        <v>2405</v>
      </c>
      <c r="C116" s="28" t="s">
        <v>2472</v>
      </c>
      <c r="D116" s="28" t="s">
        <v>425</v>
      </c>
      <c r="E116" s="28" t="s">
        <v>426</v>
      </c>
      <c r="F116" s="28" t="s">
        <v>427</v>
      </c>
      <c r="G116" s="28">
        <v>48640</v>
      </c>
      <c r="H116" s="28">
        <v>43.600960000000001</v>
      </c>
      <c r="I116" s="28">
        <v>-84.207689999999999</v>
      </c>
      <c r="J116" s="28" t="s">
        <v>428</v>
      </c>
      <c r="K116" s="61">
        <v>110070788638</v>
      </c>
      <c r="L116" s="28" t="str">
        <f>INDEX('Facility Summary'!$K:$K,MATCH(K116,'Facility Summary'!$J:$J,0))</f>
        <v>Processing as a Reactant</v>
      </c>
      <c r="M116" s="28">
        <v>325199</v>
      </c>
      <c r="N116" s="28" t="str">
        <f>VLOOKUP(M116,'SIC &amp; NAICS Codes'!$D:$E,2,FALSE)</f>
        <v>All Other Basic Organic Chemical Manufacturing</v>
      </c>
      <c r="O116" s="28"/>
      <c r="P116" s="28" t="s">
        <v>2466</v>
      </c>
      <c r="Q116" s="28"/>
      <c r="R116" s="28">
        <v>0</v>
      </c>
      <c r="S116" s="28">
        <f t="shared" si="6"/>
        <v>0</v>
      </c>
      <c r="T116" s="28">
        <v>0</v>
      </c>
      <c r="U116" s="28">
        <f t="shared" si="7"/>
        <v>0</v>
      </c>
      <c r="V116" s="28">
        <v>3600</v>
      </c>
      <c r="W116" s="28">
        <f t="shared" si="8"/>
        <v>1632.932532</v>
      </c>
      <c r="X116" s="28"/>
      <c r="Y116" s="92">
        <f>IF(COUNTIF('Raw Annual DMR Data'!$L:$L,'Raw TRI Data'!K34)&gt;0,"N/A - See DMRs",SUMIFS('Generic Factors'!$D:$D,'Generic Factors'!$A:$A,A116,'Generic Factors'!$B:$B,L116))</f>
        <v>1.7549407509866395E-2</v>
      </c>
      <c r="Z116" s="112">
        <f t="shared" si="9"/>
        <v>0</v>
      </c>
      <c r="AA116" s="112">
        <f t="shared" si="10"/>
        <v>0</v>
      </c>
      <c r="AB116" s="112">
        <f t="shared" si="11"/>
        <v>0.94214686143421045</v>
      </c>
    </row>
    <row r="117" spans="1:28" x14ac:dyDescent="0.25">
      <c r="A117" s="97">
        <v>2019</v>
      </c>
      <c r="B117" s="28" t="s">
        <v>2405</v>
      </c>
      <c r="C117" s="28" t="s">
        <v>209</v>
      </c>
      <c r="D117" s="28" t="s">
        <v>436</v>
      </c>
      <c r="E117" s="28" t="s">
        <v>437</v>
      </c>
      <c r="F117" s="28" t="s">
        <v>362</v>
      </c>
      <c r="G117" s="28">
        <v>775413257</v>
      </c>
      <c r="H117" s="28">
        <v>28.979199999999999</v>
      </c>
      <c r="I117" s="28">
        <v>-95.354900000000001</v>
      </c>
      <c r="J117" s="28" t="s">
        <v>438</v>
      </c>
      <c r="K117" s="61">
        <v>110008170237</v>
      </c>
      <c r="L117" s="28" t="str">
        <f>INDEX('Facility Summary'!$K:$K,MATCH(K117,'Facility Summary'!$J:$J,0))</f>
        <v>Processing as a Reactant</v>
      </c>
      <c r="M117" s="28">
        <v>325199</v>
      </c>
      <c r="N117" s="28" t="str">
        <f>VLOOKUP(M117,'SIC &amp; NAICS Codes'!$D:$E,2,FALSE)</f>
        <v>All Other Basic Organic Chemical Manufacturing</v>
      </c>
      <c r="O117" s="28"/>
      <c r="P117" s="28" t="s">
        <v>2404</v>
      </c>
      <c r="Q117" s="28"/>
      <c r="R117" s="28">
        <v>57</v>
      </c>
      <c r="S117" s="28">
        <f t="shared" si="6"/>
        <v>25.854765090000001</v>
      </c>
      <c r="T117" s="28">
        <v>0</v>
      </c>
      <c r="U117" s="28">
        <f t="shared" si="7"/>
        <v>0</v>
      </c>
      <c r="V117" s="28">
        <v>0</v>
      </c>
      <c r="W117" s="28">
        <f t="shared" si="8"/>
        <v>0</v>
      </c>
      <c r="X117" s="28" t="s">
        <v>2473</v>
      </c>
      <c r="Y117" s="92" t="str">
        <f>IF(COUNTIF('Raw Annual DMR Data'!$L:$L,'Raw TRI Data'!K40)&gt;0,"N/A - See DMRs",SUMIFS('Generic Factors'!$D:$D,'Generic Factors'!$A:$A,A117,'Generic Factors'!$B:$B,L117))</f>
        <v>N/A - See DMRs</v>
      </c>
      <c r="Z117" s="112" t="e">
        <f t="shared" si="9"/>
        <v>#N/A</v>
      </c>
      <c r="AA117" s="112" t="e">
        <f t="shared" si="10"/>
        <v>#N/A</v>
      </c>
      <c r="AB117" s="112" t="e">
        <f t="shared" si="11"/>
        <v>#N/A</v>
      </c>
    </row>
    <row r="118" spans="1:28" x14ac:dyDescent="0.25">
      <c r="A118" s="97">
        <v>2019</v>
      </c>
      <c r="B118" s="28" t="s">
        <v>2405</v>
      </c>
      <c r="C118" s="28" t="s">
        <v>2410</v>
      </c>
      <c r="D118" s="28" t="s">
        <v>2411</v>
      </c>
      <c r="E118" s="28" t="s">
        <v>446</v>
      </c>
      <c r="F118" s="28" t="s">
        <v>303</v>
      </c>
      <c r="G118" s="28">
        <v>70669</v>
      </c>
      <c r="H118" s="28">
        <v>30.223500000000001</v>
      </c>
      <c r="I118" s="28">
        <v>-93.286900000000003</v>
      </c>
      <c r="J118" s="28" t="s">
        <v>447</v>
      </c>
      <c r="K118" s="61">
        <v>110000494894</v>
      </c>
      <c r="L118" s="28" t="str">
        <f>INDEX('Facility Summary'!$K:$K,MATCH(K118,'Facility Summary'!$J:$J,0))</f>
        <v>Manufacturing</v>
      </c>
      <c r="M118" s="28">
        <v>325180</v>
      </c>
      <c r="N118" s="28" t="str">
        <f>VLOOKUP(M118,'SIC &amp; NAICS Codes'!$D:$E,2,FALSE)</f>
        <v>Other Basic Inorganic Chemical Manufacturing</v>
      </c>
      <c r="O118" s="28"/>
      <c r="P118" s="28" t="s">
        <v>2404</v>
      </c>
      <c r="Q118" s="28"/>
      <c r="R118" s="28">
        <v>4</v>
      </c>
      <c r="S118" s="28">
        <f t="shared" si="6"/>
        <v>1.8143694800000001</v>
      </c>
      <c r="T118" s="28">
        <v>0</v>
      </c>
      <c r="U118" s="28">
        <f t="shared" si="7"/>
        <v>0</v>
      </c>
      <c r="V118" s="28">
        <v>0</v>
      </c>
      <c r="W118" s="28">
        <f t="shared" si="8"/>
        <v>0</v>
      </c>
      <c r="X118" s="28" t="s">
        <v>839</v>
      </c>
      <c r="Y118" s="92">
        <f>IF(COUNTIF('Raw Annual DMR Data'!$L:$L,'Raw TRI Data'!K46)&gt;0,"N/A - See DMRs",SUMIFS('Generic Factors'!$D:$D,'Generic Factors'!$A:$A,A118,'Generic Factors'!$B:$B,L118))</f>
        <v>2.7786351820470339</v>
      </c>
      <c r="Z118" s="112">
        <f t="shared" si="9"/>
        <v>0.1657468058783623</v>
      </c>
      <c r="AA118" s="112">
        <f t="shared" si="10"/>
        <v>0</v>
      </c>
      <c r="AB118" s="112">
        <f t="shared" si="11"/>
        <v>0</v>
      </c>
    </row>
    <row r="119" spans="1:28" x14ac:dyDescent="0.25">
      <c r="A119" s="97">
        <v>2019</v>
      </c>
      <c r="B119" s="28" t="s">
        <v>2405</v>
      </c>
      <c r="C119" s="28" t="s">
        <v>2412</v>
      </c>
      <c r="D119" s="28" t="s">
        <v>2413</v>
      </c>
      <c r="E119" s="28" t="s">
        <v>302</v>
      </c>
      <c r="F119" s="28" t="s">
        <v>303</v>
      </c>
      <c r="G119" s="28">
        <v>70805</v>
      </c>
      <c r="H119" s="28">
        <v>30.501336999999999</v>
      </c>
      <c r="I119" s="28">
        <v>-91.192340000000002</v>
      </c>
      <c r="J119" s="28" t="s">
        <v>483</v>
      </c>
      <c r="K119" s="61">
        <v>110000597444</v>
      </c>
      <c r="L119" s="28" t="str">
        <f>INDEX('Facility Summary'!$K:$K,MATCH(K119,'Facility Summary'!$J:$J,0))</f>
        <v>Manufacturing</v>
      </c>
      <c r="M119" s="28">
        <v>325211</v>
      </c>
      <c r="N119" s="28" t="str">
        <f>VLOOKUP(M119,'SIC &amp; NAICS Codes'!$D:$E,2,FALSE)</f>
        <v>Plastics Material and Resin Manufacturing</v>
      </c>
      <c r="O119" s="28"/>
      <c r="P119" s="28" t="s">
        <v>2404</v>
      </c>
      <c r="Q119" s="28"/>
      <c r="R119" s="28">
        <v>5</v>
      </c>
      <c r="S119" s="28">
        <f t="shared" si="6"/>
        <v>2.2679618500000003</v>
      </c>
      <c r="T119" s="28">
        <v>0</v>
      </c>
      <c r="U119" s="28">
        <f t="shared" si="7"/>
        <v>0</v>
      </c>
      <c r="V119" s="28">
        <v>0</v>
      </c>
      <c r="W119" s="28">
        <f t="shared" si="8"/>
        <v>0</v>
      </c>
      <c r="X119" s="28" t="s">
        <v>862</v>
      </c>
      <c r="Y119" s="92">
        <f>IF(COUNTIF('Raw Annual DMR Data'!$L:$L,'Raw TRI Data'!K51)&gt;0,"N/A - See DMRs",SUMIFS('Generic Factors'!$D:$D,'Generic Factors'!$A:$A,A119,'Generic Factors'!$B:$B,L119))</f>
        <v>2.7786351820470339</v>
      </c>
      <c r="Z119" s="112">
        <f t="shared" si="9"/>
        <v>0.20718350734795291</v>
      </c>
      <c r="AA119" s="112">
        <f t="shared" si="10"/>
        <v>0</v>
      </c>
      <c r="AB119" s="112">
        <f t="shared" si="11"/>
        <v>0</v>
      </c>
    </row>
    <row r="120" spans="1:28" x14ac:dyDescent="0.25">
      <c r="A120" s="97">
        <v>2019</v>
      </c>
      <c r="B120" s="28" t="s">
        <v>2405</v>
      </c>
      <c r="C120" s="28" t="s">
        <v>2414</v>
      </c>
      <c r="D120" s="28" t="s">
        <v>2415</v>
      </c>
      <c r="E120" s="28" t="s">
        <v>480</v>
      </c>
      <c r="F120" s="28" t="s">
        <v>362</v>
      </c>
      <c r="G120" s="28">
        <v>77978</v>
      </c>
      <c r="H120" s="28">
        <v>28.6753</v>
      </c>
      <c r="I120" s="28">
        <v>-96.549499999999995</v>
      </c>
      <c r="J120" s="28" t="s">
        <v>481</v>
      </c>
      <c r="K120" s="61">
        <v>110018925957</v>
      </c>
      <c r="L120" s="28" t="str">
        <f>INDEX('Facility Summary'!$K:$K,MATCH(K120,'Facility Summary'!$J:$J,0))</f>
        <v>Manufacturing</v>
      </c>
      <c r="M120" s="28">
        <v>325211</v>
      </c>
      <c r="N120" s="28" t="str">
        <f>VLOOKUP(M120,'SIC &amp; NAICS Codes'!$D:$E,2,FALSE)</f>
        <v>Plastics Material and Resin Manufacturing</v>
      </c>
      <c r="O120" s="28"/>
      <c r="P120" s="28" t="s">
        <v>2404</v>
      </c>
      <c r="Q120" s="28"/>
      <c r="R120" s="28">
        <v>54</v>
      </c>
      <c r="S120" s="28">
        <f t="shared" si="6"/>
        <v>24.49398798</v>
      </c>
      <c r="T120" s="28">
        <v>0</v>
      </c>
      <c r="U120" s="28">
        <f t="shared" si="7"/>
        <v>0</v>
      </c>
      <c r="V120" s="28">
        <v>0</v>
      </c>
      <c r="W120" s="28">
        <f t="shared" si="8"/>
        <v>0</v>
      </c>
      <c r="X120" s="28" t="s">
        <v>2475</v>
      </c>
      <c r="Y120" s="92">
        <f>IF(COUNTIF('Raw Annual DMR Data'!$L:$L,'Raw TRI Data'!K57)&gt;0,"N/A - See DMRs",SUMIFS('Generic Factors'!$D:$D,'Generic Factors'!$A:$A,A120,'Generic Factors'!$B:$B,L120))</f>
        <v>2.7786351820470339</v>
      </c>
      <c r="Z120" s="112">
        <f t="shared" si="9"/>
        <v>2.237581879357891</v>
      </c>
      <c r="AA120" s="112">
        <f t="shared" si="10"/>
        <v>0</v>
      </c>
      <c r="AB120" s="112">
        <f t="shared" si="11"/>
        <v>0</v>
      </c>
    </row>
    <row r="121" spans="1:28" x14ac:dyDescent="0.25">
      <c r="A121" s="254">
        <v>2019</v>
      </c>
      <c r="B121" s="126" t="s">
        <v>2405</v>
      </c>
      <c r="C121" s="126" t="s">
        <v>212</v>
      </c>
      <c r="D121" s="126" t="s">
        <v>523</v>
      </c>
      <c r="E121" s="126" t="s">
        <v>437</v>
      </c>
      <c r="F121" s="126" t="s">
        <v>362</v>
      </c>
      <c r="G121" s="126">
        <v>77541</v>
      </c>
      <c r="H121" s="126">
        <v>28.952500000000001</v>
      </c>
      <c r="I121" s="126">
        <v>-95.313000000000002</v>
      </c>
      <c r="J121" s="126" t="s">
        <v>524</v>
      </c>
      <c r="K121" s="286">
        <v>110012256076</v>
      </c>
      <c r="L121" s="28" t="str">
        <f>INDEX('Facility Summary'!$K:$K,MATCH(K121,'Facility Summary'!$J:$J,0))</f>
        <v>Processing as a Reactant</v>
      </c>
      <c r="M121" s="126">
        <v>325199</v>
      </c>
      <c r="N121" s="126" t="str">
        <f>VLOOKUP(M121,'SIC &amp; NAICS Codes'!$D:$E,2,FALSE)</f>
        <v>All Other Basic Organic Chemical Manufacturing</v>
      </c>
      <c r="O121" s="126"/>
      <c r="P121" s="28" t="s">
        <v>2404</v>
      </c>
      <c r="Q121" s="126"/>
      <c r="R121" s="126">
        <v>0.17</v>
      </c>
      <c r="S121" s="126">
        <f t="shared" si="6"/>
        <v>7.7110702900000008E-2</v>
      </c>
      <c r="T121" s="126">
        <v>0</v>
      </c>
      <c r="U121" s="126">
        <f t="shared" si="7"/>
        <v>0</v>
      </c>
      <c r="V121" s="126">
        <v>0</v>
      </c>
      <c r="W121" s="126">
        <f t="shared" si="8"/>
        <v>0</v>
      </c>
      <c r="X121" s="126"/>
      <c r="Y121" s="92">
        <f>IF(COUNTIF('Raw Annual DMR Data'!$L:$L,'Raw TRI Data'!K71)&gt;0,"N/A - See DMRs",SUMIFS('Generic Factors'!$D:$D,'Generic Factors'!$A:$A,A121,'Generic Factors'!$B:$B,L121))</f>
        <v>1.7549407509866395E-2</v>
      </c>
      <c r="Z121" s="287">
        <f t="shared" si="9"/>
        <v>4.4490268456615495E-5</v>
      </c>
      <c r="AA121" s="287">
        <f t="shared" si="10"/>
        <v>0</v>
      </c>
      <c r="AB121" s="287">
        <f t="shared" si="11"/>
        <v>0</v>
      </c>
    </row>
    <row r="122" spans="1:28" x14ac:dyDescent="0.25">
      <c r="A122" s="97">
        <v>2019</v>
      </c>
      <c r="B122" s="28" t="s">
        <v>2405</v>
      </c>
      <c r="C122" s="28" t="s">
        <v>213</v>
      </c>
      <c r="D122" s="28" t="s">
        <v>540</v>
      </c>
      <c r="E122" s="28" t="s">
        <v>460</v>
      </c>
      <c r="F122" s="28" t="s">
        <v>541</v>
      </c>
      <c r="G122" s="28">
        <v>29405</v>
      </c>
      <c r="H122" s="28">
        <v>32.835301999999999</v>
      </c>
      <c r="I122" s="28">
        <v>-79.958067999999997</v>
      </c>
      <c r="J122" s="28" t="s">
        <v>542</v>
      </c>
      <c r="K122" s="61">
        <v>110017326963</v>
      </c>
      <c r="L122" s="28" t="str">
        <f>INDEX('Facility Summary'!$K:$K,MATCH(K122,'Facility Summary'!$J:$J,0))</f>
        <v>Manufacturing</v>
      </c>
      <c r="M122" s="28">
        <v>325199</v>
      </c>
      <c r="N122" s="28" t="str">
        <f>VLOOKUP(M122,'SIC &amp; NAICS Codes'!$D:$E,2,FALSE)</f>
        <v>All Other Basic Organic Chemical Manufacturing</v>
      </c>
      <c r="O122" s="28"/>
      <c r="P122" s="28" t="s">
        <v>2466</v>
      </c>
      <c r="Q122" s="28"/>
      <c r="R122" s="28">
        <v>0</v>
      </c>
      <c r="S122" s="28">
        <f t="shared" si="6"/>
        <v>0</v>
      </c>
      <c r="T122" s="28">
        <v>13</v>
      </c>
      <c r="U122" s="28">
        <f t="shared" si="7"/>
        <v>5.8967008100000005</v>
      </c>
      <c r="V122" s="28">
        <v>0</v>
      </c>
      <c r="W122" s="28">
        <f t="shared" si="8"/>
        <v>0</v>
      </c>
      <c r="X122" s="28" t="s">
        <v>2478</v>
      </c>
      <c r="Y122" s="92">
        <f>IF(COUNTIF('Raw Annual DMR Data'!$L:$L,'Raw TRI Data'!K76)&gt;0,"N/A - See DMRs",SUMIFS('Generic Factors'!$D:$D,'Generic Factors'!$A:$A,A122,'Generic Factors'!$B:$B,L122))</f>
        <v>2.7786351820470339</v>
      </c>
      <c r="Z122" s="112">
        <f t="shared" si="9"/>
        <v>0</v>
      </c>
      <c r="AA122" s="112">
        <f t="shared" si="10"/>
        <v>0.53867711910467753</v>
      </c>
      <c r="AB122" s="112">
        <f t="shared" si="11"/>
        <v>0</v>
      </c>
    </row>
    <row r="123" spans="1:28" x14ac:dyDescent="0.25">
      <c r="A123" s="97">
        <v>2019</v>
      </c>
      <c r="B123" s="28" t="s">
        <v>2405</v>
      </c>
      <c r="C123" s="28" t="s">
        <v>214</v>
      </c>
      <c r="D123" s="28" t="s">
        <v>562</v>
      </c>
      <c r="E123" s="28" t="s">
        <v>563</v>
      </c>
      <c r="F123" s="28" t="s">
        <v>564</v>
      </c>
      <c r="G123" s="28">
        <v>52761</v>
      </c>
      <c r="H123" s="28">
        <v>41.350468999999997</v>
      </c>
      <c r="I123" s="28">
        <v>-91.081619000000003</v>
      </c>
      <c r="J123" s="28" t="s">
        <v>565</v>
      </c>
      <c r="K123" s="61">
        <v>110018869474</v>
      </c>
      <c r="L123" s="28" t="str">
        <f>INDEX('Facility Summary'!$K:$K,MATCH(K123,'Facility Summary'!$J:$J,0))</f>
        <v>Processing into formulation, mixture, or reaction product</v>
      </c>
      <c r="M123" s="28">
        <v>325320</v>
      </c>
      <c r="N123" s="28" t="str">
        <f>VLOOKUP(M123,'SIC &amp; NAICS Codes'!$D:$E,2,FALSE)</f>
        <v>Pesticide and Other Agricultural Chemical Manufacturing</v>
      </c>
      <c r="O123" s="28"/>
      <c r="P123" s="28" t="s">
        <v>2404</v>
      </c>
      <c r="Q123" s="28"/>
      <c r="R123" s="28">
        <v>32</v>
      </c>
      <c r="S123" s="28">
        <f t="shared" si="6"/>
        <v>14.514955840000001</v>
      </c>
      <c r="T123" s="28">
        <v>0</v>
      </c>
      <c r="U123" s="28">
        <f t="shared" si="7"/>
        <v>0</v>
      </c>
      <c r="V123" s="28">
        <v>0</v>
      </c>
      <c r="W123" s="28">
        <f t="shared" si="8"/>
        <v>0</v>
      </c>
      <c r="X123" s="28" t="s">
        <v>2479</v>
      </c>
      <c r="Y123" s="92" t="str">
        <f>IF(COUNTIF('Raw Annual DMR Data'!$L:$L,'Raw TRI Data'!K82)&gt;0,"N/A - See DMRs",SUMIFS('Generic Factors'!$D:$D,'Generic Factors'!$A:$A,A123,'Generic Factors'!$B:$B,L123))</f>
        <v>N/A - See DMRs</v>
      </c>
      <c r="Z123" s="112" t="e">
        <f t="shared" si="9"/>
        <v>#N/A</v>
      </c>
      <c r="AA123" s="112" t="e">
        <f t="shared" si="10"/>
        <v>#N/A</v>
      </c>
      <c r="AB123" s="112" t="e">
        <f t="shared" si="11"/>
        <v>#N/A</v>
      </c>
    </row>
    <row r="124" spans="1:28" x14ac:dyDescent="0.25">
      <c r="A124" s="97">
        <v>2019</v>
      </c>
      <c r="B124" s="28" t="s">
        <v>2405</v>
      </c>
      <c r="C124" s="28" t="s">
        <v>215</v>
      </c>
      <c r="D124" s="28" t="s">
        <v>574</v>
      </c>
      <c r="E124" s="28" t="s">
        <v>575</v>
      </c>
      <c r="F124" s="28" t="s">
        <v>435</v>
      </c>
      <c r="G124" s="28">
        <v>28147</v>
      </c>
      <c r="H124" s="28">
        <v>35.632199999999997</v>
      </c>
      <c r="I124" s="28">
        <v>-80.541200000000003</v>
      </c>
      <c r="J124" s="28" t="s">
        <v>576</v>
      </c>
      <c r="K124" s="61">
        <v>110000348936</v>
      </c>
      <c r="L124" s="28" t="str">
        <f>INDEX('Facility Summary'!$K:$K,MATCH(K124,'Facility Summary'!$J:$J,0))</f>
        <v>Processing into formulation, mixture, or reaction product</v>
      </c>
      <c r="M124" s="28">
        <v>325199</v>
      </c>
      <c r="N124" s="28" t="str">
        <f>VLOOKUP(M124,'SIC &amp; NAICS Codes'!$D:$E,2,FALSE)</f>
        <v>All Other Basic Organic Chemical Manufacturing</v>
      </c>
      <c r="O124" s="28"/>
      <c r="P124" s="28" t="s">
        <v>2466</v>
      </c>
      <c r="Q124" s="28"/>
      <c r="R124" s="28">
        <v>0</v>
      </c>
      <c r="S124" s="28">
        <f t="shared" si="6"/>
        <v>0</v>
      </c>
      <c r="T124" s="28">
        <v>0.42</v>
      </c>
      <c r="U124" s="28">
        <f t="shared" si="7"/>
        <v>0.19050879539999999</v>
      </c>
      <c r="V124" s="28">
        <v>0</v>
      </c>
      <c r="W124" s="28">
        <f t="shared" si="8"/>
        <v>0</v>
      </c>
      <c r="X124" s="28" t="s">
        <v>2480</v>
      </c>
      <c r="Y124" s="92">
        <f>IF(COUNTIF('Raw Annual DMR Data'!$L:$L,'Raw TRI Data'!K88)&gt;0,"N/A - See DMRs",SUMIFS('Generic Factors'!$D:$D,'Generic Factors'!$A:$A,A124,'Generic Factors'!$B:$B,L124))</f>
        <v>0</v>
      </c>
      <c r="Z124" s="112" t="str">
        <f t="shared" si="9"/>
        <v>N/A - No Generic Factor</v>
      </c>
      <c r="AA124" s="112" t="str">
        <f t="shared" si="10"/>
        <v>N/A - No Generic Factor</v>
      </c>
      <c r="AB124" s="112" t="str">
        <f t="shared" si="11"/>
        <v>N/A - No Generic Factor</v>
      </c>
    </row>
    <row r="125" spans="1:28" x14ac:dyDescent="0.25">
      <c r="A125" s="97">
        <v>2019</v>
      </c>
      <c r="B125" s="28" t="s">
        <v>2405</v>
      </c>
      <c r="C125" s="28" t="s">
        <v>2419</v>
      </c>
      <c r="D125" s="28" t="s">
        <v>2420</v>
      </c>
      <c r="E125" s="28" t="s">
        <v>2421</v>
      </c>
      <c r="F125" s="28" t="s">
        <v>362</v>
      </c>
      <c r="G125" s="28">
        <v>78359</v>
      </c>
      <c r="H125" s="28">
        <v>27.883610999999998</v>
      </c>
      <c r="I125" s="28">
        <v>-97.241382999999999</v>
      </c>
      <c r="J125" s="28" t="s">
        <v>583</v>
      </c>
      <c r="K125" s="61">
        <v>110000599807</v>
      </c>
      <c r="L125" s="28" t="str">
        <f>INDEX('Facility Summary'!$K:$K,MATCH(K125,'Facility Summary'!$J:$J,0))</f>
        <v>Manufacturing</v>
      </c>
      <c r="M125" s="28">
        <v>325199</v>
      </c>
      <c r="N125" s="28" t="str">
        <f>VLOOKUP(M125,'SIC &amp; NAICS Codes'!$D:$E,2,FALSE)</f>
        <v>All Other Basic Organic Chemical Manufacturing</v>
      </c>
      <c r="O125" s="28"/>
      <c r="P125" s="28" t="s">
        <v>2404</v>
      </c>
      <c r="Q125" s="28"/>
      <c r="R125" s="28">
        <v>3</v>
      </c>
      <c r="S125" s="28">
        <f t="shared" si="6"/>
        <v>1.3607771099999999</v>
      </c>
      <c r="T125" s="28">
        <v>0</v>
      </c>
      <c r="U125" s="28">
        <f t="shared" si="7"/>
        <v>0</v>
      </c>
      <c r="V125" s="28">
        <v>0</v>
      </c>
      <c r="W125" s="28">
        <f t="shared" si="8"/>
        <v>0</v>
      </c>
      <c r="X125" s="28" t="s">
        <v>910</v>
      </c>
      <c r="Y125" s="92">
        <f>IF(COUNTIF('Raw Annual DMR Data'!$L:$L,'Raw TRI Data'!K94)&gt;0,"N/A - See DMRs",SUMIFS('Generic Factors'!$D:$D,'Generic Factors'!$A:$A,A125,'Generic Factors'!$B:$B,L125))</f>
        <v>2.7786351820470339</v>
      </c>
      <c r="Z125" s="112">
        <f t="shared" si="9"/>
        <v>0.12431010440877172</v>
      </c>
      <c r="AA125" s="112">
        <f t="shared" si="10"/>
        <v>0</v>
      </c>
      <c r="AB125" s="112">
        <f t="shared" si="11"/>
        <v>0</v>
      </c>
    </row>
    <row r="126" spans="1:28" x14ac:dyDescent="0.25">
      <c r="A126" s="97">
        <v>2019</v>
      </c>
      <c r="B126" s="28" t="s">
        <v>2405</v>
      </c>
      <c r="C126" s="28" t="s">
        <v>216</v>
      </c>
      <c r="D126" s="28" t="s">
        <v>586</v>
      </c>
      <c r="E126" s="28" t="s">
        <v>587</v>
      </c>
      <c r="F126" s="28" t="s">
        <v>303</v>
      </c>
      <c r="G126" s="28">
        <v>70723</v>
      </c>
      <c r="H126" s="28">
        <v>30.05509</v>
      </c>
      <c r="I126" s="28">
        <v>-90.830839999999995</v>
      </c>
      <c r="J126" s="28" t="s">
        <v>588</v>
      </c>
      <c r="K126" s="61">
        <v>110000597328</v>
      </c>
      <c r="L126" s="28" t="str">
        <f>INDEX('Facility Summary'!$K:$K,MATCH(K126,'Facility Summary'!$J:$J,0))</f>
        <v>Manufacturing</v>
      </c>
      <c r="M126" s="28">
        <v>325180</v>
      </c>
      <c r="N126" s="28" t="str">
        <f>VLOOKUP(M126,'SIC &amp; NAICS Codes'!$D:$E,2,FALSE)</f>
        <v>Other Basic Inorganic Chemical Manufacturing</v>
      </c>
      <c r="O126" s="28"/>
      <c r="P126" s="28" t="s">
        <v>2404</v>
      </c>
      <c r="Q126" s="28"/>
      <c r="R126" s="28">
        <v>1</v>
      </c>
      <c r="S126" s="28">
        <f t="shared" si="6"/>
        <v>0.45359237000000002</v>
      </c>
      <c r="T126" s="28">
        <v>0</v>
      </c>
      <c r="U126" s="28">
        <f t="shared" si="7"/>
        <v>0</v>
      </c>
      <c r="V126" s="28">
        <v>0</v>
      </c>
      <c r="W126" s="28">
        <f t="shared" si="8"/>
        <v>0</v>
      </c>
      <c r="X126" s="28" t="s">
        <v>2481</v>
      </c>
      <c r="Y126" s="92" t="str">
        <f>IF(COUNTIF('Raw Annual DMR Data'!$L:$L,'Raw TRI Data'!K100)&gt;0,"N/A - See DMRs",SUMIFS('Generic Factors'!$D:$D,'Generic Factors'!$A:$A,A126,'Generic Factors'!$B:$B,L126))</f>
        <v>N/A - See DMRs</v>
      </c>
      <c r="Z126" s="112" t="e">
        <f t="shared" si="9"/>
        <v>#N/A</v>
      </c>
      <c r="AA126" s="112" t="e">
        <f t="shared" si="10"/>
        <v>#N/A</v>
      </c>
      <c r="AB126" s="112" t="e">
        <f t="shared" si="11"/>
        <v>#N/A</v>
      </c>
    </row>
    <row r="127" spans="1:28" x14ac:dyDescent="0.25">
      <c r="A127" s="97">
        <v>2019</v>
      </c>
      <c r="B127" s="28" t="s">
        <v>2405</v>
      </c>
      <c r="C127" s="28" t="s">
        <v>2422</v>
      </c>
      <c r="D127" s="28" t="s">
        <v>2423</v>
      </c>
      <c r="E127" s="28" t="s">
        <v>516</v>
      </c>
      <c r="F127" s="28" t="s">
        <v>303</v>
      </c>
      <c r="G127" s="28">
        <v>70734</v>
      </c>
      <c r="H127" s="28">
        <v>30.185099999999998</v>
      </c>
      <c r="I127" s="28">
        <v>-90.980400000000003</v>
      </c>
      <c r="J127" s="28" t="s">
        <v>585</v>
      </c>
      <c r="K127" s="61">
        <v>110000449774</v>
      </c>
      <c r="L127" s="28" t="str">
        <f>INDEX('Facility Summary'!$K:$K,MATCH(K127,'Facility Summary'!$J:$J,0))</f>
        <v>Manufacturing</v>
      </c>
      <c r="M127" s="28">
        <v>325199</v>
      </c>
      <c r="N127" s="28" t="str">
        <f>VLOOKUP(M127,'SIC &amp; NAICS Codes'!$D:$E,2,FALSE)</f>
        <v>All Other Basic Organic Chemical Manufacturing</v>
      </c>
      <c r="O127" s="28"/>
      <c r="P127" s="28" t="s">
        <v>2404</v>
      </c>
      <c r="Q127" s="28"/>
      <c r="R127" s="28">
        <v>23</v>
      </c>
      <c r="S127" s="28">
        <f t="shared" si="6"/>
        <v>10.43262451</v>
      </c>
      <c r="T127" s="28">
        <v>0</v>
      </c>
      <c r="U127" s="28">
        <f t="shared" si="7"/>
        <v>0</v>
      </c>
      <c r="V127" s="28">
        <v>0</v>
      </c>
      <c r="W127" s="28">
        <f t="shared" si="8"/>
        <v>0</v>
      </c>
      <c r="X127" s="28" t="s">
        <v>912</v>
      </c>
      <c r="Y127" s="92">
        <f>IF(COUNTIF('Raw Annual DMR Data'!$L:$L,'Raw TRI Data'!K106)&gt;0,"N/A - See DMRs",SUMIFS('Generic Factors'!$D:$D,'Generic Factors'!$A:$A,A127,'Generic Factors'!$B:$B,L127))</f>
        <v>2.7786351820470339</v>
      </c>
      <c r="Z127" s="112">
        <f t="shared" si="9"/>
        <v>0.95304413380058328</v>
      </c>
      <c r="AA127" s="112">
        <f t="shared" si="10"/>
        <v>0</v>
      </c>
      <c r="AB127" s="112">
        <f t="shared" si="11"/>
        <v>0</v>
      </c>
    </row>
    <row r="128" spans="1:28" x14ac:dyDescent="0.25">
      <c r="A128" s="97">
        <v>2019</v>
      </c>
      <c r="B128" s="28" t="s">
        <v>2405</v>
      </c>
      <c r="C128" s="28" t="s">
        <v>2424</v>
      </c>
      <c r="D128" s="28" t="s">
        <v>2425</v>
      </c>
      <c r="E128" s="28" t="s">
        <v>437</v>
      </c>
      <c r="F128" s="28" t="s">
        <v>362</v>
      </c>
      <c r="G128" s="28">
        <v>77541</v>
      </c>
      <c r="H128" s="28">
        <v>28.981691999999999</v>
      </c>
      <c r="I128" s="28">
        <v>-95.376501000000005</v>
      </c>
      <c r="J128" s="28" t="s">
        <v>484</v>
      </c>
      <c r="K128" s="61">
        <v>110066943605</v>
      </c>
      <c r="L128" s="28" t="str">
        <f>INDEX('Facility Summary'!$K:$K,MATCH(K128,'Facility Summary'!$J:$J,0))</f>
        <v>Manufacturing</v>
      </c>
      <c r="M128" s="28">
        <v>325199</v>
      </c>
      <c r="N128" s="28" t="str">
        <f>VLOOKUP(M128,'SIC &amp; NAICS Codes'!$D:$E,2,FALSE)</f>
        <v>All Other Basic Organic Chemical Manufacturing</v>
      </c>
      <c r="O128" s="28"/>
      <c r="P128" s="28" t="s">
        <v>2466</v>
      </c>
      <c r="Q128" s="28"/>
      <c r="R128" s="28">
        <v>0</v>
      </c>
      <c r="S128" s="28">
        <f t="shared" si="6"/>
        <v>0</v>
      </c>
      <c r="T128" s="28">
        <v>0</v>
      </c>
      <c r="U128" s="28">
        <f t="shared" si="7"/>
        <v>0</v>
      </c>
      <c r="V128" s="28">
        <v>743</v>
      </c>
      <c r="W128" s="28">
        <f t="shared" si="8"/>
        <v>337.01913091</v>
      </c>
      <c r="X128" s="28" t="s">
        <v>2483</v>
      </c>
      <c r="Y128" s="92">
        <f>IF(COUNTIF('Raw Annual DMR Data'!$L:$L,'Raw TRI Data'!K112)&gt;0,"N/A - See DMRs",SUMIFS('Generic Factors'!$D:$D,'Generic Factors'!$A:$A,A128,'Generic Factors'!$B:$B,L128))</f>
        <v>2.7786351820470339</v>
      </c>
      <c r="Z128" s="112">
        <f t="shared" si="9"/>
        <v>0</v>
      </c>
      <c r="AA128" s="112">
        <f t="shared" si="10"/>
        <v>0</v>
      </c>
      <c r="AB128" s="112">
        <f t="shared" si="11"/>
        <v>30.787469191905796</v>
      </c>
    </row>
    <row r="129" spans="1:28" x14ac:dyDescent="0.25">
      <c r="A129" s="97">
        <v>2019</v>
      </c>
      <c r="B129" s="28" t="s">
        <v>2403</v>
      </c>
      <c r="C129" s="28" t="s">
        <v>679</v>
      </c>
      <c r="D129" s="28" t="s">
        <v>680</v>
      </c>
      <c r="E129" s="28" t="s">
        <v>681</v>
      </c>
      <c r="F129" s="28" t="s">
        <v>328</v>
      </c>
      <c r="G129" s="28">
        <v>31535</v>
      </c>
      <c r="H129" s="28">
        <v>31.485279999999999</v>
      </c>
      <c r="I129" s="28">
        <v>-82.862380000000002</v>
      </c>
      <c r="J129" s="28" t="s">
        <v>682</v>
      </c>
      <c r="K129" s="61">
        <v>110000360644</v>
      </c>
      <c r="L129" s="28" t="str">
        <f>INDEX('Facility Summary'!$K:$K,MATCH(K129,'Facility Summary'!$J:$J,0))</f>
        <v>Processing as a Reactant</v>
      </c>
      <c r="M129" s="28">
        <v>325199</v>
      </c>
      <c r="N129" s="28" t="s">
        <v>28</v>
      </c>
      <c r="O129" s="28"/>
      <c r="P129" s="28" t="s">
        <v>2404</v>
      </c>
      <c r="Q129" s="28"/>
      <c r="R129" s="28">
        <v>500</v>
      </c>
      <c r="S129" s="28">
        <f t="shared" si="6"/>
        <v>226.79618500000001</v>
      </c>
      <c r="T129" s="28">
        <v>500</v>
      </c>
      <c r="U129" s="28">
        <f t="shared" si="7"/>
        <v>226.79618500000001</v>
      </c>
      <c r="V129" s="28">
        <v>500</v>
      </c>
      <c r="W129" s="28">
        <f t="shared" si="8"/>
        <v>226.79618500000001</v>
      </c>
      <c r="X129" s="28" t="s">
        <v>2484</v>
      </c>
      <c r="Y129" s="92">
        <f>IF(COUNTIF('Raw Annual DMR Data'!$L:$L,'Raw TRI Data'!K117)&gt;0,"N/A - See DMRs",SUMIFS('Generic Factors'!$D:$D,'Generic Factors'!$A:$A,A129,'Generic Factors'!$B:$B,L129))</f>
        <v>1.7549407509866395E-2</v>
      </c>
      <c r="Z129" s="112">
        <f t="shared" si="9"/>
        <v>0.13085373075475146</v>
      </c>
      <c r="AA129" s="112">
        <f t="shared" si="10"/>
        <v>0.13085373075475146</v>
      </c>
      <c r="AB129" s="112">
        <f t="shared" si="11"/>
        <v>0.13085373075475146</v>
      </c>
    </row>
    <row r="130" spans="1:28" x14ac:dyDescent="0.25">
      <c r="A130" s="97">
        <v>2019</v>
      </c>
      <c r="B130" s="28" t="s">
        <v>2405</v>
      </c>
      <c r="C130" s="28" t="s">
        <v>217</v>
      </c>
      <c r="D130" s="28" t="s">
        <v>592</v>
      </c>
      <c r="E130" s="28" t="s">
        <v>590</v>
      </c>
      <c r="F130" s="28" t="s">
        <v>362</v>
      </c>
      <c r="G130" s="28">
        <v>77536</v>
      </c>
      <c r="H130" s="28">
        <v>29.728559000000001</v>
      </c>
      <c r="I130" s="28">
        <v>-95.110764000000003</v>
      </c>
      <c r="J130" s="28" t="s">
        <v>593</v>
      </c>
      <c r="K130" s="61">
        <v>110015742204</v>
      </c>
      <c r="L130" s="28" t="str">
        <f>INDEX('Facility Summary'!$K:$K,MATCH(K130,'Facility Summary'!$J:$J,0))</f>
        <v>Manufacturing</v>
      </c>
      <c r="M130" s="28">
        <v>325199</v>
      </c>
      <c r="N130" s="28" t="str">
        <f>VLOOKUP(M130,'SIC &amp; NAICS Codes'!$D:$E,2,FALSE)</f>
        <v>All Other Basic Organic Chemical Manufacturing</v>
      </c>
      <c r="O130" s="28"/>
      <c r="P130" s="28" t="s">
        <v>2466</v>
      </c>
      <c r="Q130" s="28"/>
      <c r="R130" s="28">
        <v>0</v>
      </c>
      <c r="S130" s="28">
        <f t="shared" ref="S130:S193" si="12">CONVERT(R130,"lbm","g")/1000</f>
        <v>0</v>
      </c>
      <c r="T130" s="28">
        <v>0</v>
      </c>
      <c r="U130" s="28">
        <f t="shared" ref="U130:U193" si="13">CONVERT(T130,"lbm","g")/1000</f>
        <v>0</v>
      </c>
      <c r="V130" s="28">
        <v>504.01</v>
      </c>
      <c r="W130" s="28">
        <f t="shared" ref="W130:W193" si="14">CONVERT(V130,"lbm","g")/1000</f>
        <v>228.61509040370001</v>
      </c>
      <c r="X130" s="28"/>
      <c r="Y130" s="92">
        <f>IF(COUNTIF('Raw Annual DMR Data'!$L:$L,'Raw TRI Data'!K122)&gt;0,"N/A - See DMRs",SUMIFS('Generic Factors'!$D:$D,'Generic Factors'!$A:$A,A130,'Generic Factors'!$B:$B,L130))</f>
        <v>2.7786351820470339</v>
      </c>
      <c r="Z130" s="112">
        <f t="shared" ref="Z130:Z193" si="15">IFERROR(IF($Y130&gt;0,$Y130*S130/30.4167,"N/A - No Generic Factor"),#N/A)</f>
        <v>0</v>
      </c>
      <c r="AA130" s="112">
        <f t="shared" ref="AA130:AA193" si="16">IFERROR(IF($Y130&gt;0, $Y130*U130/30.4167,"N/A - No Generic Factor"),#N/A)</f>
        <v>0</v>
      </c>
      <c r="AB130" s="112">
        <f t="shared" ref="AB130:AB193" si="17">IFERROR(IF($Y130&gt;0, $Y130*W130/30.4167,"N/A - No Generic Factor"),#N/A)</f>
        <v>20.884511907688346</v>
      </c>
    </row>
    <row r="131" spans="1:28" x14ac:dyDescent="0.25">
      <c r="A131" s="97">
        <v>2019</v>
      </c>
      <c r="B131" s="28" t="s">
        <v>2405</v>
      </c>
      <c r="C131" s="28" t="s">
        <v>218</v>
      </c>
      <c r="D131" s="28" t="s">
        <v>594</v>
      </c>
      <c r="E131" s="28" t="s">
        <v>361</v>
      </c>
      <c r="F131" s="28" t="s">
        <v>362</v>
      </c>
      <c r="G131" s="28">
        <v>77571</v>
      </c>
      <c r="H131" s="28">
        <v>29.723759999999999</v>
      </c>
      <c r="I131" s="28">
        <v>-95.074219999999997</v>
      </c>
      <c r="J131" s="28" t="s">
        <v>595</v>
      </c>
      <c r="K131" s="61">
        <v>110017769734</v>
      </c>
      <c r="L131" s="28" t="str">
        <f>INDEX('Facility Summary'!$K:$K,MATCH(K131,'Facility Summary'!$J:$J,0))</f>
        <v>Manufacturing</v>
      </c>
      <c r="M131" s="28">
        <v>325199</v>
      </c>
      <c r="N131" s="28" t="str">
        <f>VLOOKUP(M131,'SIC &amp; NAICS Codes'!$D:$E,2,FALSE)</f>
        <v>All Other Basic Organic Chemical Manufacturing</v>
      </c>
      <c r="O131" s="28"/>
      <c r="P131" s="28" t="s">
        <v>2404</v>
      </c>
      <c r="Q131" s="28"/>
      <c r="R131" s="28">
        <v>3.3</v>
      </c>
      <c r="S131" s="28">
        <f t="shared" si="12"/>
        <v>1.4968548209999999</v>
      </c>
      <c r="T131" s="28">
        <v>0</v>
      </c>
      <c r="U131" s="28">
        <f t="shared" si="13"/>
        <v>0</v>
      </c>
      <c r="V131" s="28">
        <v>0</v>
      </c>
      <c r="W131" s="28">
        <f t="shared" si="14"/>
        <v>0</v>
      </c>
      <c r="X131" s="28" t="s">
        <v>2485</v>
      </c>
      <c r="Y131" s="92">
        <f>IF(COUNTIF('Raw Annual DMR Data'!$L:$L,'Raw TRI Data'!K128)&gt;0,"N/A - See DMRs",SUMIFS('Generic Factors'!$D:$D,'Generic Factors'!$A:$A,A131,'Generic Factors'!$B:$B,L131))</f>
        <v>2.7786351820470339</v>
      </c>
      <c r="Z131" s="112">
        <f t="shared" si="15"/>
        <v>0.13674111484964888</v>
      </c>
      <c r="AA131" s="112">
        <f t="shared" si="16"/>
        <v>0</v>
      </c>
      <c r="AB131" s="112">
        <f t="shared" si="17"/>
        <v>0</v>
      </c>
    </row>
    <row r="132" spans="1:28" x14ac:dyDescent="0.25">
      <c r="A132" s="97">
        <v>2019</v>
      </c>
      <c r="B132" s="28" t="s">
        <v>2403</v>
      </c>
      <c r="C132" s="28" t="s">
        <v>675</v>
      </c>
      <c r="D132" s="28" t="s">
        <v>676</v>
      </c>
      <c r="E132" s="28" t="s">
        <v>516</v>
      </c>
      <c r="F132" s="28" t="s">
        <v>303</v>
      </c>
      <c r="G132" s="28">
        <v>70734</v>
      </c>
      <c r="H132" s="28">
        <v>30.180099999999999</v>
      </c>
      <c r="I132" s="28">
        <v>-90.981899999999996</v>
      </c>
      <c r="J132" s="28" t="s">
        <v>677</v>
      </c>
      <c r="K132" s="61">
        <v>110007909095</v>
      </c>
      <c r="L132" s="28" t="str">
        <f>INDEX('Facility Summary'!$K:$K,MATCH(K132,'Facility Summary'!$J:$J,0))</f>
        <v>Repackaging</v>
      </c>
      <c r="M132" s="28">
        <v>424690</v>
      </c>
      <c r="N132" s="28" t="s">
        <v>678</v>
      </c>
      <c r="O132" s="28"/>
      <c r="P132" s="28" t="s">
        <v>2404</v>
      </c>
      <c r="Q132" s="28"/>
      <c r="R132" s="28">
        <v>500</v>
      </c>
      <c r="S132" s="28">
        <f t="shared" si="12"/>
        <v>226.79618500000001</v>
      </c>
      <c r="T132" s="28">
        <v>500</v>
      </c>
      <c r="U132" s="28">
        <f t="shared" si="13"/>
        <v>226.79618500000001</v>
      </c>
      <c r="V132" s="28">
        <v>500</v>
      </c>
      <c r="W132" s="28">
        <f t="shared" si="14"/>
        <v>226.79618500000001</v>
      </c>
      <c r="X132" s="28" t="s">
        <v>2487</v>
      </c>
      <c r="Y132" s="92">
        <f>IF(COUNTIF('Raw Annual DMR Data'!$L:$L,'Raw TRI Data'!K141)&gt;0,"N/A - See DMRs",SUMIFS('Generic Factors'!$D:$D,'Generic Factors'!$A:$A,A132,'Generic Factors'!$B:$B,L132))</f>
        <v>0</v>
      </c>
      <c r="Z132" s="112" t="str">
        <f t="shared" si="15"/>
        <v>N/A - No Generic Factor</v>
      </c>
      <c r="AA132" s="112" t="str">
        <f t="shared" si="16"/>
        <v>N/A - No Generic Factor</v>
      </c>
      <c r="AB132" s="112" t="str">
        <f t="shared" si="17"/>
        <v>N/A - No Generic Factor</v>
      </c>
    </row>
    <row r="133" spans="1:28" x14ac:dyDescent="0.25">
      <c r="A133" s="97">
        <v>2019</v>
      </c>
      <c r="B133" s="28" t="s">
        <v>2405</v>
      </c>
      <c r="C133" s="28" t="s">
        <v>221</v>
      </c>
      <c r="D133" s="28" t="s">
        <v>663</v>
      </c>
      <c r="E133" s="28" t="s">
        <v>446</v>
      </c>
      <c r="F133" s="28" t="s">
        <v>303</v>
      </c>
      <c r="G133" s="28">
        <v>70669</v>
      </c>
      <c r="H133" s="28">
        <v>30.252222</v>
      </c>
      <c r="I133" s="28">
        <v>-93.284443999999993</v>
      </c>
      <c r="J133" s="28" t="s">
        <v>664</v>
      </c>
      <c r="K133" s="61">
        <v>110002054482</v>
      </c>
      <c r="L133" s="28" t="str">
        <f>INDEX('Facility Summary'!$K:$K,MATCH(K133,'Facility Summary'!$J:$J,0))</f>
        <v>Manufacturing</v>
      </c>
      <c r="M133" s="28">
        <v>325110</v>
      </c>
      <c r="N133" s="28" t="str">
        <f>VLOOKUP(M133,'SIC &amp; NAICS Codes'!$D:$E,2,FALSE)</f>
        <v>Petrochemical Manufacturing</v>
      </c>
      <c r="O133" s="28"/>
      <c r="P133" s="28" t="s">
        <v>2466</v>
      </c>
      <c r="Q133" s="28"/>
      <c r="R133" s="28">
        <v>0</v>
      </c>
      <c r="S133" s="28">
        <f t="shared" si="12"/>
        <v>0</v>
      </c>
      <c r="T133" s="28">
        <v>0</v>
      </c>
      <c r="U133" s="28">
        <f t="shared" si="13"/>
        <v>0</v>
      </c>
      <c r="V133" s="28">
        <v>35</v>
      </c>
      <c r="W133" s="28">
        <f t="shared" si="14"/>
        <v>15.875732950000002</v>
      </c>
      <c r="X133" s="28"/>
      <c r="Y133" s="92">
        <f>IF(COUNTIF('Raw Annual DMR Data'!$L:$L,'Raw TRI Data'!K146)&gt;0,"N/A - See DMRs",SUMIFS('Generic Factors'!$D:$D,'Generic Factors'!$A:$A,A133,'Generic Factors'!$B:$B,L133))</f>
        <v>2.7786351820470339</v>
      </c>
      <c r="Z133" s="112">
        <f t="shared" si="15"/>
        <v>0</v>
      </c>
      <c r="AA133" s="112">
        <f t="shared" si="16"/>
        <v>0</v>
      </c>
      <c r="AB133" s="112">
        <f t="shared" si="17"/>
        <v>1.4502845514356704</v>
      </c>
    </row>
    <row r="134" spans="1:28" x14ac:dyDescent="0.25">
      <c r="A134" s="97">
        <v>2019</v>
      </c>
      <c r="B134" s="28" t="s">
        <v>2405</v>
      </c>
      <c r="C134" s="28" t="s">
        <v>201</v>
      </c>
      <c r="D134" s="28" t="s">
        <v>665</v>
      </c>
      <c r="E134" s="28" t="s">
        <v>516</v>
      </c>
      <c r="F134" s="28" t="s">
        <v>303</v>
      </c>
      <c r="G134" s="28">
        <v>70734</v>
      </c>
      <c r="H134" s="28">
        <v>30.208604000000001</v>
      </c>
      <c r="I134" s="28">
        <v>-91.011127999999999</v>
      </c>
      <c r="J134" s="28" t="s">
        <v>666</v>
      </c>
      <c r="K134" s="61">
        <v>110000746328</v>
      </c>
      <c r="L134" s="28" t="str">
        <f>INDEX('Facility Summary'!$K:$K,MATCH(K134,'Facility Summary'!$J:$J,0))</f>
        <v>Manufacturing</v>
      </c>
      <c r="M134" s="28">
        <v>325211</v>
      </c>
      <c r="N134" s="28" t="str">
        <f>VLOOKUP(M134,'SIC &amp; NAICS Codes'!$D:$E,2,FALSE)</f>
        <v>Plastics Material and Resin Manufacturing</v>
      </c>
      <c r="O134" s="28"/>
      <c r="P134" s="28" t="s">
        <v>2404</v>
      </c>
      <c r="Q134" s="28"/>
      <c r="R134" s="28">
        <v>9</v>
      </c>
      <c r="S134" s="28">
        <f t="shared" si="12"/>
        <v>4.0823313299999997</v>
      </c>
      <c r="T134" s="28">
        <v>0</v>
      </c>
      <c r="U134" s="28">
        <f t="shared" si="13"/>
        <v>0</v>
      </c>
      <c r="V134" s="28">
        <v>0</v>
      </c>
      <c r="W134" s="28">
        <f t="shared" si="14"/>
        <v>0</v>
      </c>
      <c r="X134" s="28" t="s">
        <v>2488</v>
      </c>
      <c r="Y134" s="92" t="str">
        <f>IF(COUNTIF('Raw Annual DMR Data'!$L:$L,'Raw TRI Data'!K152)&gt;0,"N/A - See DMRs",SUMIFS('Generic Factors'!$D:$D,'Generic Factors'!$A:$A,A134,'Generic Factors'!$B:$B,L134))</f>
        <v>N/A - See DMRs</v>
      </c>
      <c r="Z134" s="112" t="e">
        <f t="shared" si="15"/>
        <v>#N/A</v>
      </c>
      <c r="AA134" s="112" t="e">
        <f t="shared" si="16"/>
        <v>#N/A</v>
      </c>
      <c r="AB134" s="112" t="e">
        <f t="shared" si="17"/>
        <v>#N/A</v>
      </c>
    </row>
    <row r="135" spans="1:28" x14ac:dyDescent="0.25">
      <c r="A135" s="97">
        <v>2019</v>
      </c>
      <c r="B135" s="28" t="s">
        <v>2405</v>
      </c>
      <c r="C135" s="28" t="s">
        <v>202</v>
      </c>
      <c r="D135" s="28" t="s">
        <v>2426</v>
      </c>
      <c r="E135" s="28" t="s">
        <v>323</v>
      </c>
      <c r="F135" s="28" t="s">
        <v>324</v>
      </c>
      <c r="G135" s="28">
        <v>42029</v>
      </c>
      <c r="H135" s="28">
        <v>37.051110999999999</v>
      </c>
      <c r="I135" s="28">
        <v>-88.334166999999994</v>
      </c>
      <c r="J135" s="28" t="s">
        <v>668</v>
      </c>
      <c r="K135" s="61">
        <v>110027373072</v>
      </c>
      <c r="L135" s="28" t="str">
        <f>INDEX('Facility Summary'!$K:$K,MATCH(K135,'Facility Summary'!$J:$J,0))</f>
        <v>Manufacturing</v>
      </c>
      <c r="M135" s="28">
        <v>325199</v>
      </c>
      <c r="N135" s="28" t="str">
        <f>VLOOKUP(M135,'SIC &amp; NAICS Codes'!$D:$E,2,FALSE)</f>
        <v>All Other Basic Organic Chemical Manufacturing</v>
      </c>
      <c r="O135" s="28"/>
      <c r="P135" s="28" t="s">
        <v>2404</v>
      </c>
      <c r="Q135" s="28"/>
      <c r="R135" s="28">
        <v>468.22</v>
      </c>
      <c r="S135" s="28">
        <f t="shared" si="12"/>
        <v>212.38101948140002</v>
      </c>
      <c r="T135" s="28">
        <v>0</v>
      </c>
      <c r="U135" s="28">
        <f t="shared" si="13"/>
        <v>0</v>
      </c>
      <c r="V135" s="28">
        <v>0</v>
      </c>
      <c r="W135" s="28">
        <f t="shared" si="14"/>
        <v>0</v>
      </c>
      <c r="X135" s="28" t="s">
        <v>957</v>
      </c>
      <c r="Y135" s="92" t="str">
        <f>IF(COUNTIF('Raw Annual DMR Data'!$L:$L,'Raw TRI Data'!K158)&gt;0,"N/A - See DMRs",SUMIFS('Generic Factors'!$D:$D,'Generic Factors'!$A:$A,A135,'Generic Factors'!$B:$B,L135))</f>
        <v>N/A - See DMRs</v>
      </c>
      <c r="Z135" s="112" t="e">
        <f t="shared" si="15"/>
        <v>#N/A</v>
      </c>
      <c r="AA135" s="112" t="e">
        <f t="shared" si="16"/>
        <v>#N/A</v>
      </c>
      <c r="AB135" s="112" t="e">
        <f t="shared" si="17"/>
        <v>#N/A</v>
      </c>
    </row>
    <row r="136" spans="1:28" x14ac:dyDescent="0.25">
      <c r="A136" s="97">
        <v>2020</v>
      </c>
      <c r="B136" s="28" t="s">
        <v>2405</v>
      </c>
      <c r="C136" s="28" t="s">
        <v>105</v>
      </c>
      <c r="D136" s="28" t="s">
        <v>322</v>
      </c>
      <c r="E136" s="28" t="s">
        <v>323</v>
      </c>
      <c r="F136" s="28" t="s">
        <v>324</v>
      </c>
      <c r="G136" s="28">
        <v>42029</v>
      </c>
      <c r="H136" s="28">
        <v>37.056699000000002</v>
      </c>
      <c r="I136" s="28">
        <v>-88.365727000000007</v>
      </c>
      <c r="J136" s="28" t="s">
        <v>325</v>
      </c>
      <c r="K136" s="61">
        <v>110000380061</v>
      </c>
      <c r="L136" s="28" t="str">
        <f>INDEX('Facility Summary'!$K:$K,MATCH(K136,'Facility Summary'!$J:$J,0))</f>
        <v>Manufacturing</v>
      </c>
      <c r="M136" s="28">
        <v>325199</v>
      </c>
      <c r="N136" s="28" t="str">
        <f>VLOOKUP(M136,'SIC &amp; NAICS Codes'!$D:$E,2,FALSE)</f>
        <v>All Other Basic Organic Chemical Manufacturing</v>
      </c>
      <c r="O136" s="28"/>
      <c r="P136" s="28" t="s">
        <v>2404</v>
      </c>
      <c r="Q136" s="28"/>
      <c r="R136" s="28">
        <v>43</v>
      </c>
      <c r="S136" s="28">
        <f t="shared" si="12"/>
        <v>19.504471909999999</v>
      </c>
      <c r="T136" s="28">
        <v>0</v>
      </c>
      <c r="U136" s="28">
        <f t="shared" si="13"/>
        <v>0</v>
      </c>
      <c r="V136" s="28">
        <v>0</v>
      </c>
      <c r="W136" s="28">
        <f t="shared" si="14"/>
        <v>0</v>
      </c>
      <c r="X136" s="28" t="s">
        <v>776</v>
      </c>
      <c r="Y136" s="92" t="str">
        <f>IF(COUNTIF('Raw Annual DMR Data'!$L:$L,'Raw TRI Data'!K9)&gt;0,"N/A - See DMRs",SUMIFS('Generic Factors'!$D:$D,'Generic Factors'!$A:$A,A136,'Generic Factors'!$B:$B,L136))</f>
        <v>N/A - See DMRs</v>
      </c>
      <c r="Z136" s="112" t="e">
        <f t="shared" si="15"/>
        <v>#N/A</v>
      </c>
      <c r="AA136" s="112" t="e">
        <f t="shared" si="16"/>
        <v>#N/A</v>
      </c>
      <c r="AB136" s="112" t="e">
        <f t="shared" si="17"/>
        <v>#N/A</v>
      </c>
    </row>
    <row r="137" spans="1:28" x14ac:dyDescent="0.25">
      <c r="A137" s="97">
        <v>2020</v>
      </c>
      <c r="B137" s="28" t="s">
        <v>2405</v>
      </c>
      <c r="C137" s="28" t="s">
        <v>204</v>
      </c>
      <c r="D137" s="28" t="s">
        <v>333</v>
      </c>
      <c r="E137" s="28" t="s">
        <v>334</v>
      </c>
      <c r="F137" s="28" t="s">
        <v>303</v>
      </c>
      <c r="G137" s="28">
        <v>70764</v>
      </c>
      <c r="H137" s="28">
        <v>30.262255</v>
      </c>
      <c r="I137" s="28">
        <v>-91.185837000000006</v>
      </c>
      <c r="J137" s="28" t="s">
        <v>335</v>
      </c>
      <c r="K137" s="61">
        <v>110000613747</v>
      </c>
      <c r="L137" s="28" t="str">
        <f>INDEX('Facility Summary'!$K:$K,MATCH(K137,'Facility Summary'!$J:$J,0))</f>
        <v>Manufacturing</v>
      </c>
      <c r="M137" s="28">
        <v>325211</v>
      </c>
      <c r="N137" s="28" t="str">
        <f>VLOOKUP(M137,'SIC &amp; NAICS Codes'!$D:$E,2,FALSE)</f>
        <v>Plastics Material and Resin Manufacturing</v>
      </c>
      <c r="O137" s="28"/>
      <c r="P137" s="28" t="s">
        <v>2404</v>
      </c>
      <c r="Q137" s="28"/>
      <c r="R137" s="28">
        <v>3</v>
      </c>
      <c r="S137" s="28">
        <f t="shared" si="12"/>
        <v>1.3607771099999999</v>
      </c>
      <c r="T137" s="28">
        <v>0</v>
      </c>
      <c r="U137" s="28">
        <f t="shared" si="13"/>
        <v>0</v>
      </c>
      <c r="V137" s="28">
        <v>0</v>
      </c>
      <c r="W137" s="28">
        <f t="shared" si="14"/>
        <v>0</v>
      </c>
      <c r="X137" s="28" t="s">
        <v>2465</v>
      </c>
      <c r="Y137" s="92" t="str">
        <f>IF(COUNTIF('Raw Annual DMR Data'!$L:$L,'Raw TRI Data'!K14)&gt;0,"N/A - See DMRs",SUMIFS('Generic Factors'!$D:$D,'Generic Factors'!$A:$A,A137,'Generic Factors'!$B:$B,L137))</f>
        <v>N/A - See DMRs</v>
      </c>
      <c r="Z137" s="112" t="e">
        <f t="shared" si="15"/>
        <v>#N/A</v>
      </c>
      <c r="AA137" s="112" t="e">
        <f t="shared" si="16"/>
        <v>#N/A</v>
      </c>
      <c r="AB137" s="112" t="e">
        <f t="shared" si="17"/>
        <v>#N/A</v>
      </c>
    </row>
    <row r="138" spans="1:28" x14ac:dyDescent="0.25">
      <c r="A138" s="97">
        <v>2020</v>
      </c>
      <c r="B138" s="28" t="s">
        <v>2405</v>
      </c>
      <c r="C138" s="28" t="s">
        <v>205</v>
      </c>
      <c r="D138" s="28" t="s">
        <v>343</v>
      </c>
      <c r="E138" s="28" t="s">
        <v>344</v>
      </c>
      <c r="F138" s="28" t="s">
        <v>345</v>
      </c>
      <c r="G138" s="28">
        <v>60901</v>
      </c>
      <c r="H138" s="28">
        <v>41.085541999999997</v>
      </c>
      <c r="I138" s="28">
        <v>-87.880542000000005</v>
      </c>
      <c r="J138" s="28" t="s">
        <v>346</v>
      </c>
      <c r="K138" s="61">
        <v>110043972207</v>
      </c>
      <c r="L138" s="28" t="str">
        <f>INDEX('Facility Summary'!$K:$K,MATCH(K138,'Facility Summary'!$J:$J,0))</f>
        <v>Processing into formulation, mixture, or reaction product</v>
      </c>
      <c r="M138" s="28">
        <v>325613</v>
      </c>
      <c r="N138" s="28" t="str">
        <f>VLOOKUP(M138,'SIC &amp; NAICS Codes'!$D:$E,2,FALSE)</f>
        <v>Surface Active Agent Manufacturing</v>
      </c>
      <c r="O138" s="28"/>
      <c r="P138" s="28" t="s">
        <v>2466</v>
      </c>
      <c r="Q138" s="28"/>
      <c r="R138" s="28">
        <v>0</v>
      </c>
      <c r="S138" s="28">
        <f t="shared" si="12"/>
        <v>0</v>
      </c>
      <c r="T138" s="28">
        <v>88</v>
      </c>
      <c r="U138" s="28">
        <f t="shared" si="13"/>
        <v>39.916128560000004</v>
      </c>
      <c r="V138" s="28">
        <v>0</v>
      </c>
      <c r="W138" s="28">
        <f t="shared" si="14"/>
        <v>0</v>
      </c>
      <c r="X138" s="28" t="s">
        <v>2467</v>
      </c>
      <c r="Y138" s="92">
        <f>IF(COUNTIF('Raw Annual DMR Data'!$L:$L,'Raw TRI Data'!K20)&gt;0,"N/A - See DMRs",SUMIFS('Generic Factors'!$D:$D,'Generic Factors'!$A:$A,A138,'Generic Factors'!$B:$B,L138))</f>
        <v>0</v>
      </c>
      <c r="Z138" s="112" t="str">
        <f t="shared" si="15"/>
        <v>N/A - No Generic Factor</v>
      </c>
      <c r="AA138" s="112" t="str">
        <f t="shared" si="16"/>
        <v>N/A - No Generic Factor</v>
      </c>
      <c r="AB138" s="112" t="str">
        <f t="shared" si="17"/>
        <v>N/A - No Generic Factor</v>
      </c>
    </row>
    <row r="139" spans="1:28" x14ac:dyDescent="0.25">
      <c r="A139" s="97">
        <v>2020</v>
      </c>
      <c r="B139" s="28" t="s">
        <v>2405</v>
      </c>
      <c r="C139" s="28" t="s">
        <v>206</v>
      </c>
      <c r="D139" s="28" t="s">
        <v>347</v>
      </c>
      <c r="E139" s="28" t="s">
        <v>348</v>
      </c>
      <c r="F139" s="28" t="s">
        <v>349</v>
      </c>
      <c r="G139" s="28">
        <v>63461</v>
      </c>
      <c r="H139" s="28">
        <v>39.834117999999997</v>
      </c>
      <c r="I139" s="28">
        <v>-91.436790999999999</v>
      </c>
      <c r="J139" s="28" t="s">
        <v>350</v>
      </c>
      <c r="K139" s="61">
        <v>110056953765</v>
      </c>
      <c r="L139" s="28" t="str">
        <f>INDEX('Facility Summary'!$K:$K,MATCH(K139,'Facility Summary'!$J:$J,0))</f>
        <v>Processing into formulation, mixture, or reaction product</v>
      </c>
      <c r="M139" s="28">
        <v>325320</v>
      </c>
      <c r="N139" s="28" t="str">
        <f>VLOOKUP(M139,'SIC &amp; NAICS Codes'!$D:$E,2,FALSE)</f>
        <v>Pesticide and Other Agricultural Chemical Manufacturing</v>
      </c>
      <c r="O139" s="28"/>
      <c r="P139" s="28" t="s">
        <v>2404</v>
      </c>
      <c r="Q139" s="28"/>
      <c r="R139" s="28">
        <v>5</v>
      </c>
      <c r="S139" s="28">
        <f t="shared" si="12"/>
        <v>2.2679618500000003</v>
      </c>
      <c r="T139" s="28">
        <v>0</v>
      </c>
      <c r="U139" s="28">
        <f t="shared" si="13"/>
        <v>0</v>
      </c>
      <c r="V139" s="28">
        <v>0</v>
      </c>
      <c r="W139" s="28">
        <f t="shared" si="14"/>
        <v>0</v>
      </c>
      <c r="X139" s="28" t="s">
        <v>2468</v>
      </c>
      <c r="Y139" s="92">
        <f>IF(COUNTIF('Raw Annual DMR Data'!$L:$L,'Raw TRI Data'!K26)&gt;0,"N/A - See DMRs",SUMIFS('Generic Factors'!$D:$D,'Generic Factors'!$A:$A,A139,'Generic Factors'!$B:$B,L139))</f>
        <v>0</v>
      </c>
      <c r="Z139" s="112" t="str">
        <f t="shared" si="15"/>
        <v>N/A - No Generic Factor</v>
      </c>
      <c r="AA139" s="112" t="str">
        <f t="shared" si="16"/>
        <v>N/A - No Generic Factor</v>
      </c>
      <c r="AB139" s="112" t="str">
        <f t="shared" si="17"/>
        <v>N/A - No Generic Factor</v>
      </c>
    </row>
    <row r="140" spans="1:28" x14ac:dyDescent="0.25">
      <c r="A140" s="97">
        <v>2020</v>
      </c>
      <c r="B140" s="28" t="s">
        <v>2405</v>
      </c>
      <c r="C140" s="28" t="s">
        <v>2469</v>
      </c>
      <c r="D140" s="28" t="s">
        <v>2470</v>
      </c>
      <c r="E140" s="28" t="s">
        <v>368</v>
      </c>
      <c r="F140" s="28" t="s">
        <v>349</v>
      </c>
      <c r="G140" s="28">
        <v>63630</v>
      </c>
      <c r="H140" s="28">
        <v>37.984251999999998</v>
      </c>
      <c r="I140" s="28">
        <v>-90.686081000000001</v>
      </c>
      <c r="J140" s="28" t="s">
        <v>369</v>
      </c>
      <c r="K140" s="61">
        <v>110017980443</v>
      </c>
      <c r="L140" s="28" t="str">
        <f>INDEX('Facility Summary'!$K:$K,MATCH(K140,'Facility Summary'!$J:$J,0))</f>
        <v>Manufacturing</v>
      </c>
      <c r="M140" s="28">
        <v>325998</v>
      </c>
      <c r="N140" s="28" t="str">
        <f>VLOOKUP(M140,'SIC &amp; NAICS Codes'!$D:$E,2,FALSE)</f>
        <v>All Other Miscellaneous Chemical Product and Preparation Manufacturing</v>
      </c>
      <c r="O140" s="28"/>
      <c r="P140" s="28" t="s">
        <v>2466</v>
      </c>
      <c r="Q140" s="28"/>
      <c r="R140" s="28">
        <v>0</v>
      </c>
      <c r="S140" s="28">
        <f t="shared" si="12"/>
        <v>0</v>
      </c>
      <c r="T140" s="28">
        <v>15</v>
      </c>
      <c r="U140" s="28">
        <f t="shared" si="13"/>
        <v>6.8038855500000004</v>
      </c>
      <c r="V140" s="28">
        <v>0</v>
      </c>
      <c r="W140" s="28">
        <f t="shared" si="14"/>
        <v>0</v>
      </c>
      <c r="X140" s="28" t="s">
        <v>796</v>
      </c>
      <c r="Y140" s="92">
        <f>IF(COUNTIF('Raw Annual DMR Data'!$L:$L,'Raw TRI Data'!K28)&gt;0,"N/A - See DMRs",SUMIFS('Generic Factors'!$D:$D,'Generic Factors'!$A:$A,A140,'Generic Factors'!$B:$B,L140))</f>
        <v>2.7567320809326286</v>
      </c>
      <c r="Z140" s="112">
        <f t="shared" si="15"/>
        <v>0</v>
      </c>
      <c r="AA140" s="112">
        <f t="shared" si="16"/>
        <v>0.61665103613077499</v>
      </c>
      <c r="AB140" s="112">
        <f t="shared" si="17"/>
        <v>0</v>
      </c>
    </row>
    <row r="141" spans="1:28" x14ac:dyDescent="0.25">
      <c r="A141" s="97">
        <v>2020</v>
      </c>
      <c r="B141" s="28" t="s">
        <v>2405</v>
      </c>
      <c r="C141" s="28" t="s">
        <v>208</v>
      </c>
      <c r="D141" s="28" t="s">
        <v>425</v>
      </c>
      <c r="E141" s="28" t="s">
        <v>426</v>
      </c>
      <c r="F141" s="28" t="s">
        <v>427</v>
      </c>
      <c r="G141" s="28">
        <v>48640</v>
      </c>
      <c r="H141" s="28">
        <v>43.600960000000001</v>
      </c>
      <c r="I141" s="28">
        <v>-84.207689999999999</v>
      </c>
      <c r="J141" s="28" t="s">
        <v>428</v>
      </c>
      <c r="K141" s="61">
        <v>110070788638</v>
      </c>
      <c r="L141" s="28" t="str">
        <f>INDEX('Facility Summary'!$K:$K,MATCH(K141,'Facility Summary'!$J:$J,0))</f>
        <v>Processing as a Reactant</v>
      </c>
      <c r="M141" s="28">
        <v>325199</v>
      </c>
      <c r="N141" s="28" t="str">
        <f>VLOOKUP(M141,'SIC &amp; NAICS Codes'!$D:$E,2,FALSE)</f>
        <v>All Other Basic Organic Chemical Manufacturing</v>
      </c>
      <c r="O141" s="28"/>
      <c r="P141" s="28" t="s">
        <v>2466</v>
      </c>
      <c r="Q141" s="28"/>
      <c r="R141" s="28">
        <v>0</v>
      </c>
      <c r="S141" s="28">
        <f t="shared" si="12"/>
        <v>0</v>
      </c>
      <c r="T141" s="28">
        <v>0</v>
      </c>
      <c r="U141" s="28">
        <f t="shared" si="13"/>
        <v>0</v>
      </c>
      <c r="V141" s="28">
        <v>2292</v>
      </c>
      <c r="W141" s="28">
        <f t="shared" si="14"/>
        <v>1039.6337120400001</v>
      </c>
      <c r="X141" s="28"/>
      <c r="Y141" s="92" t="str">
        <f>IF(COUNTIF('Raw Annual DMR Data'!$L:$L,'Raw TRI Data'!K35)&gt;0,"N/A - See DMRs",SUMIFS('Generic Factors'!$D:$D,'Generic Factors'!$A:$A,A141,'Generic Factors'!$B:$B,L141))</f>
        <v>N/A - See DMRs</v>
      </c>
      <c r="Z141" s="112" t="e">
        <f t="shared" si="15"/>
        <v>#N/A</v>
      </c>
      <c r="AA141" s="112" t="e">
        <f t="shared" si="16"/>
        <v>#N/A</v>
      </c>
      <c r="AB141" s="112" t="e">
        <f t="shared" si="17"/>
        <v>#N/A</v>
      </c>
    </row>
    <row r="142" spans="1:28" x14ac:dyDescent="0.25">
      <c r="A142" s="97">
        <v>2020</v>
      </c>
      <c r="B142" s="28" t="s">
        <v>2405</v>
      </c>
      <c r="C142" s="28" t="s">
        <v>209</v>
      </c>
      <c r="D142" s="28" t="s">
        <v>436</v>
      </c>
      <c r="E142" s="28" t="s">
        <v>437</v>
      </c>
      <c r="F142" s="28" t="s">
        <v>362</v>
      </c>
      <c r="G142" s="28">
        <v>775413257</v>
      </c>
      <c r="H142" s="28">
        <v>28.979199999999999</v>
      </c>
      <c r="I142" s="28">
        <v>-95.354900000000001</v>
      </c>
      <c r="J142" s="28" t="s">
        <v>438</v>
      </c>
      <c r="K142" s="61">
        <v>110008170237</v>
      </c>
      <c r="L142" s="28" t="str">
        <f>INDEX('Facility Summary'!$K:$K,MATCH(K142,'Facility Summary'!$J:$J,0))</f>
        <v>Processing as a Reactant</v>
      </c>
      <c r="M142" s="28">
        <v>325199</v>
      </c>
      <c r="N142" s="28" t="str">
        <f>VLOOKUP(M142,'SIC &amp; NAICS Codes'!$D:$E,2,FALSE)</f>
        <v>All Other Basic Organic Chemical Manufacturing</v>
      </c>
      <c r="O142" s="28"/>
      <c r="P142" s="28" t="s">
        <v>2404</v>
      </c>
      <c r="Q142" s="28"/>
      <c r="R142" s="28">
        <v>88</v>
      </c>
      <c r="S142" s="28">
        <f t="shared" si="12"/>
        <v>39.916128560000004</v>
      </c>
      <c r="T142" s="28">
        <v>0</v>
      </c>
      <c r="U142" s="28">
        <f t="shared" si="13"/>
        <v>0</v>
      </c>
      <c r="V142" s="28">
        <v>0</v>
      </c>
      <c r="W142" s="28">
        <f t="shared" si="14"/>
        <v>0</v>
      </c>
      <c r="X142" s="28" t="s">
        <v>2474</v>
      </c>
      <c r="Y142" s="92">
        <f>IF(COUNTIF('Raw Annual DMR Data'!$L:$L,'Raw TRI Data'!K41)&gt;0,"N/A - See DMRs",SUMIFS('Generic Factors'!$D:$D,'Generic Factors'!$A:$A,A142,'Generic Factors'!$B:$B,L142))</f>
        <v>1.233701834981144E-2</v>
      </c>
      <c r="Z142" s="112">
        <f t="shared" si="15"/>
        <v>1.6189988082144103E-2</v>
      </c>
      <c r="AA142" s="112">
        <f t="shared" si="16"/>
        <v>0</v>
      </c>
      <c r="AB142" s="112">
        <f t="shared" si="17"/>
        <v>0</v>
      </c>
    </row>
    <row r="143" spans="1:28" x14ac:dyDescent="0.25">
      <c r="A143" s="97">
        <v>2020</v>
      </c>
      <c r="B143" s="28" t="s">
        <v>2405</v>
      </c>
      <c r="C143" s="28" t="s">
        <v>2410</v>
      </c>
      <c r="D143" s="28" t="s">
        <v>2411</v>
      </c>
      <c r="E143" s="28" t="s">
        <v>446</v>
      </c>
      <c r="F143" s="28" t="s">
        <v>303</v>
      </c>
      <c r="G143" s="28">
        <v>70669</v>
      </c>
      <c r="H143" s="28">
        <v>30.223500000000001</v>
      </c>
      <c r="I143" s="28">
        <v>-93.286900000000003</v>
      </c>
      <c r="J143" s="28" t="s">
        <v>447</v>
      </c>
      <c r="K143" s="61">
        <v>110000494894</v>
      </c>
      <c r="L143" s="28" t="str">
        <f>INDEX('Facility Summary'!$K:$K,MATCH(K143,'Facility Summary'!$J:$J,0))</f>
        <v>Manufacturing</v>
      </c>
      <c r="M143" s="28">
        <v>325180</v>
      </c>
      <c r="N143" s="28" t="str">
        <f>VLOOKUP(M143,'SIC &amp; NAICS Codes'!$D:$E,2,FALSE)</f>
        <v>Other Basic Inorganic Chemical Manufacturing</v>
      </c>
      <c r="O143" s="28"/>
      <c r="P143" s="28" t="s">
        <v>2404</v>
      </c>
      <c r="Q143" s="28"/>
      <c r="R143" s="28">
        <v>6400</v>
      </c>
      <c r="S143" s="28">
        <f t="shared" si="12"/>
        <v>2902.991168</v>
      </c>
      <c r="T143" s="28">
        <v>0</v>
      </c>
      <c r="U143" s="28">
        <f t="shared" si="13"/>
        <v>0</v>
      </c>
      <c r="V143" s="28">
        <v>0</v>
      </c>
      <c r="W143" s="28">
        <f t="shared" si="14"/>
        <v>0</v>
      </c>
      <c r="X143" s="28" t="s">
        <v>839</v>
      </c>
      <c r="Y143" s="92" t="str">
        <f>IF(COUNTIF('Raw Annual DMR Data'!$L:$L,'Raw TRI Data'!K47)&gt;0,"N/A - See DMRs",SUMIFS('Generic Factors'!$D:$D,'Generic Factors'!$A:$A,A143,'Generic Factors'!$B:$B,L143))</f>
        <v>N/A - See DMRs</v>
      </c>
      <c r="Z143" s="112" t="e">
        <f t="shared" si="15"/>
        <v>#N/A</v>
      </c>
      <c r="AA143" s="112" t="e">
        <f t="shared" si="16"/>
        <v>#N/A</v>
      </c>
      <c r="AB143" s="112" t="e">
        <f t="shared" si="17"/>
        <v>#N/A</v>
      </c>
    </row>
    <row r="144" spans="1:28" x14ac:dyDescent="0.25">
      <c r="A144" s="97">
        <v>2020</v>
      </c>
      <c r="B144" s="28" t="s">
        <v>2405</v>
      </c>
      <c r="C144" s="28" t="s">
        <v>2412</v>
      </c>
      <c r="D144" s="28" t="s">
        <v>2413</v>
      </c>
      <c r="E144" s="28" t="s">
        <v>302</v>
      </c>
      <c r="F144" s="28" t="s">
        <v>303</v>
      </c>
      <c r="G144" s="28">
        <v>70805</v>
      </c>
      <c r="H144" s="28">
        <v>30.498203</v>
      </c>
      <c r="I144" s="28">
        <v>-91.189148000000003</v>
      </c>
      <c r="J144" s="28" t="s">
        <v>483</v>
      </c>
      <c r="K144" s="61">
        <v>110000597444</v>
      </c>
      <c r="L144" s="28" t="str">
        <f>INDEX('Facility Summary'!$K:$K,MATCH(K144,'Facility Summary'!$J:$J,0))</f>
        <v>Manufacturing</v>
      </c>
      <c r="M144" s="28">
        <v>325211</v>
      </c>
      <c r="N144" s="28" t="str">
        <f>VLOOKUP(M144,'SIC &amp; NAICS Codes'!$D:$E,2,FALSE)</f>
        <v>Plastics Material and Resin Manufacturing</v>
      </c>
      <c r="O144" s="28"/>
      <c r="P144" s="28" t="s">
        <v>2404</v>
      </c>
      <c r="Q144" s="28"/>
      <c r="R144" s="28">
        <v>20</v>
      </c>
      <c r="S144" s="28">
        <f t="shared" si="12"/>
        <v>9.0718474000000011</v>
      </c>
      <c r="T144" s="28">
        <v>0</v>
      </c>
      <c r="U144" s="28">
        <f t="shared" si="13"/>
        <v>0</v>
      </c>
      <c r="V144" s="28">
        <v>0</v>
      </c>
      <c r="W144" s="28">
        <f t="shared" si="14"/>
        <v>0</v>
      </c>
      <c r="X144" s="28" t="s">
        <v>862</v>
      </c>
      <c r="Y144" s="92">
        <f>IF(COUNTIF('Raw Annual DMR Data'!$L:$L,'Raw TRI Data'!K52)&gt;0,"N/A - See DMRs",SUMIFS('Generic Factors'!$D:$D,'Generic Factors'!$A:$A,A144,'Generic Factors'!$B:$B,L144))</f>
        <v>2.7567320809326286</v>
      </c>
      <c r="Z144" s="112">
        <f t="shared" si="15"/>
        <v>0.82220138150770006</v>
      </c>
      <c r="AA144" s="112">
        <f t="shared" si="16"/>
        <v>0</v>
      </c>
      <c r="AB144" s="112">
        <f t="shared" si="17"/>
        <v>0</v>
      </c>
    </row>
    <row r="145" spans="1:28" x14ac:dyDescent="0.25">
      <c r="A145" s="97">
        <v>2020</v>
      </c>
      <c r="B145" s="28" t="s">
        <v>2405</v>
      </c>
      <c r="C145" s="28" t="s">
        <v>2414</v>
      </c>
      <c r="D145" s="28" t="s">
        <v>2415</v>
      </c>
      <c r="E145" s="28" t="s">
        <v>480</v>
      </c>
      <c r="F145" s="28" t="s">
        <v>362</v>
      </c>
      <c r="G145" s="28">
        <v>77978</v>
      </c>
      <c r="H145" s="28">
        <v>28.6753</v>
      </c>
      <c r="I145" s="28">
        <v>-96.549499999999995</v>
      </c>
      <c r="J145" s="28" t="s">
        <v>481</v>
      </c>
      <c r="K145" s="61">
        <v>110018925957</v>
      </c>
      <c r="L145" s="28" t="str">
        <f>INDEX('Facility Summary'!$K:$K,MATCH(K145,'Facility Summary'!$J:$J,0))</f>
        <v>Manufacturing</v>
      </c>
      <c r="M145" s="28">
        <v>325211</v>
      </c>
      <c r="N145" s="28" t="str">
        <f>VLOOKUP(M145,'SIC &amp; NAICS Codes'!$D:$E,2,FALSE)</f>
        <v>Plastics Material and Resin Manufacturing</v>
      </c>
      <c r="O145" s="28"/>
      <c r="P145" s="28" t="s">
        <v>2404</v>
      </c>
      <c r="Q145" s="28"/>
      <c r="R145" s="28">
        <v>14</v>
      </c>
      <c r="S145" s="28">
        <f t="shared" si="12"/>
        <v>6.3502931800000004</v>
      </c>
      <c r="T145" s="28">
        <v>0</v>
      </c>
      <c r="U145" s="28">
        <f t="shared" si="13"/>
        <v>0</v>
      </c>
      <c r="V145" s="28">
        <v>0</v>
      </c>
      <c r="W145" s="28">
        <f t="shared" si="14"/>
        <v>0</v>
      </c>
      <c r="X145" s="28" t="s">
        <v>2475</v>
      </c>
      <c r="Y145" s="92">
        <f>IF(COUNTIF('Raw Annual DMR Data'!$L:$L,'Raw TRI Data'!K58)&gt;0,"N/A - See DMRs",SUMIFS('Generic Factors'!$D:$D,'Generic Factors'!$A:$A,A145,'Generic Factors'!$B:$B,L145))</f>
        <v>2.7567320809326286</v>
      </c>
      <c r="Z145" s="112">
        <f t="shared" si="15"/>
        <v>0.57554096705538993</v>
      </c>
      <c r="AA145" s="112">
        <f t="shared" si="16"/>
        <v>0</v>
      </c>
      <c r="AB145" s="112">
        <f t="shared" si="17"/>
        <v>0</v>
      </c>
    </row>
    <row r="146" spans="1:28" x14ac:dyDescent="0.25">
      <c r="A146" s="97">
        <v>2020</v>
      </c>
      <c r="B146" s="28" t="s">
        <v>2405</v>
      </c>
      <c r="C146" s="28" t="s">
        <v>210</v>
      </c>
      <c r="D146" s="28" t="s">
        <v>436</v>
      </c>
      <c r="E146" s="28" t="s">
        <v>437</v>
      </c>
      <c r="F146" s="28" t="s">
        <v>362</v>
      </c>
      <c r="G146" s="28">
        <v>77541</v>
      </c>
      <c r="H146" s="28">
        <v>28.981691999999999</v>
      </c>
      <c r="I146" s="28">
        <v>-95.376501000000005</v>
      </c>
      <c r="J146" s="28" t="s">
        <v>484</v>
      </c>
      <c r="K146" s="61">
        <v>110066943605</v>
      </c>
      <c r="L146" s="28" t="str">
        <f>INDEX('Facility Summary'!$K:$K,MATCH(K146,'Facility Summary'!$J:$J,0))</f>
        <v>Manufacturing</v>
      </c>
      <c r="M146" s="28">
        <v>325199</v>
      </c>
      <c r="N146" s="28" t="str">
        <f>VLOOKUP(M146,'SIC &amp; NAICS Codes'!$D:$E,2,FALSE)</f>
        <v>All Other Basic Organic Chemical Manufacturing</v>
      </c>
      <c r="O146" s="28"/>
      <c r="P146" s="28" t="s">
        <v>2466</v>
      </c>
      <c r="Q146" s="28"/>
      <c r="R146" s="28">
        <v>0</v>
      </c>
      <c r="S146" s="28">
        <f t="shared" si="12"/>
        <v>0</v>
      </c>
      <c r="T146" s="28">
        <v>0</v>
      </c>
      <c r="U146" s="28">
        <f t="shared" si="13"/>
        <v>0</v>
      </c>
      <c r="V146" s="28">
        <v>612</v>
      </c>
      <c r="W146" s="28">
        <f t="shared" si="14"/>
        <v>277.59853043999999</v>
      </c>
      <c r="X146" s="28"/>
      <c r="Y146" s="92">
        <f>IF(COUNTIF('Raw Annual DMR Data'!$L:$L,'Raw TRI Data'!K59)&gt;0,"N/A - See DMRs",SUMIFS('Generic Factors'!$D:$D,'Generic Factors'!$A:$A,A146,'Generic Factors'!$B:$B,L146))</f>
        <v>2.7567320809326286</v>
      </c>
      <c r="Z146" s="112">
        <f t="shared" si="15"/>
        <v>0</v>
      </c>
      <c r="AA146" s="112">
        <f t="shared" si="16"/>
        <v>0</v>
      </c>
      <c r="AB146" s="112">
        <f t="shared" si="17"/>
        <v>25.159362274135617</v>
      </c>
    </row>
    <row r="147" spans="1:28" x14ac:dyDescent="0.25">
      <c r="A147" s="97">
        <v>2020</v>
      </c>
      <c r="B147" s="28" t="s">
        <v>2405</v>
      </c>
      <c r="C147" s="28" t="s">
        <v>213</v>
      </c>
      <c r="D147" s="28" t="s">
        <v>540</v>
      </c>
      <c r="E147" s="28" t="s">
        <v>460</v>
      </c>
      <c r="F147" s="28" t="s">
        <v>541</v>
      </c>
      <c r="G147" s="28">
        <v>29405</v>
      </c>
      <c r="H147" s="28">
        <v>32.835301999999999</v>
      </c>
      <c r="I147" s="28">
        <v>-79.958067999999997</v>
      </c>
      <c r="J147" s="28" t="s">
        <v>542</v>
      </c>
      <c r="K147" s="61">
        <v>110017326963</v>
      </c>
      <c r="L147" s="28" t="str">
        <f>INDEX('Facility Summary'!$K:$K,MATCH(K147,'Facility Summary'!$J:$J,0))</f>
        <v>Manufacturing</v>
      </c>
      <c r="M147" s="28">
        <v>325199</v>
      </c>
      <c r="N147" s="28" t="str">
        <f>VLOOKUP(M147,'SIC &amp; NAICS Codes'!$D:$E,2,FALSE)</f>
        <v>All Other Basic Organic Chemical Manufacturing</v>
      </c>
      <c r="O147" s="28"/>
      <c r="P147" s="28" t="s">
        <v>2466</v>
      </c>
      <c r="Q147" s="28"/>
      <c r="R147" s="28">
        <v>0</v>
      </c>
      <c r="S147" s="28">
        <f t="shared" si="12"/>
        <v>0</v>
      </c>
      <c r="T147" s="28">
        <v>5</v>
      </c>
      <c r="U147" s="28">
        <f t="shared" si="13"/>
        <v>2.2679618500000003</v>
      </c>
      <c r="V147" s="28">
        <v>0</v>
      </c>
      <c r="W147" s="28">
        <f t="shared" si="14"/>
        <v>0</v>
      </c>
      <c r="X147" s="28"/>
      <c r="Y147" s="92">
        <f>IF(COUNTIF('Raw Annual DMR Data'!$L:$L,'Raw TRI Data'!K77)&gt;0,"N/A - See DMRs",SUMIFS('Generic Factors'!$D:$D,'Generic Factors'!$A:$A,A147,'Generic Factors'!$B:$B,L147))</f>
        <v>2.7567320809326286</v>
      </c>
      <c r="Z147" s="112">
        <f t="shared" si="15"/>
        <v>0</v>
      </c>
      <c r="AA147" s="112">
        <f t="shared" si="16"/>
        <v>0.20555034537692501</v>
      </c>
      <c r="AB147" s="112">
        <f t="shared" si="17"/>
        <v>0</v>
      </c>
    </row>
    <row r="148" spans="1:28" x14ac:dyDescent="0.25">
      <c r="A148" s="97">
        <v>2020</v>
      </c>
      <c r="B148" s="28" t="s">
        <v>2405</v>
      </c>
      <c r="C148" s="28" t="s">
        <v>214</v>
      </c>
      <c r="D148" s="28" t="s">
        <v>562</v>
      </c>
      <c r="E148" s="28" t="s">
        <v>563</v>
      </c>
      <c r="F148" s="28" t="s">
        <v>564</v>
      </c>
      <c r="G148" s="28">
        <v>52761</v>
      </c>
      <c r="H148" s="28">
        <v>41.350468999999997</v>
      </c>
      <c r="I148" s="28">
        <v>-91.081619000000003</v>
      </c>
      <c r="J148" s="28" t="s">
        <v>565</v>
      </c>
      <c r="K148" s="61">
        <v>110018869474</v>
      </c>
      <c r="L148" s="28" t="str">
        <f>INDEX('Facility Summary'!$K:$K,MATCH(K148,'Facility Summary'!$J:$J,0))</f>
        <v>Processing into formulation, mixture, or reaction product</v>
      </c>
      <c r="M148" s="28">
        <v>325320</v>
      </c>
      <c r="N148" s="28" t="str">
        <f>VLOOKUP(M148,'SIC &amp; NAICS Codes'!$D:$E,2,FALSE)</f>
        <v>Pesticide and Other Agricultural Chemical Manufacturing</v>
      </c>
      <c r="O148" s="28"/>
      <c r="P148" s="28" t="s">
        <v>2404</v>
      </c>
      <c r="Q148" s="28"/>
      <c r="R148" s="28">
        <v>8</v>
      </c>
      <c r="S148" s="28">
        <f t="shared" si="12"/>
        <v>3.6287389600000002</v>
      </c>
      <c r="T148" s="28">
        <v>0</v>
      </c>
      <c r="U148" s="28">
        <f t="shared" si="13"/>
        <v>0</v>
      </c>
      <c r="V148" s="28">
        <v>0</v>
      </c>
      <c r="W148" s="28">
        <f t="shared" si="14"/>
        <v>0</v>
      </c>
      <c r="X148" s="28" t="s">
        <v>2479</v>
      </c>
      <c r="Y148" s="92">
        <f>IF(COUNTIF('Raw Annual DMR Data'!$L:$L,'Raw TRI Data'!K83)&gt;0,"N/A - See DMRs",SUMIFS('Generic Factors'!$D:$D,'Generic Factors'!$A:$A,A148,'Generic Factors'!$B:$B,L148))</f>
        <v>0</v>
      </c>
      <c r="Z148" s="112" t="str">
        <f t="shared" si="15"/>
        <v>N/A - No Generic Factor</v>
      </c>
      <c r="AA148" s="112" t="str">
        <f t="shared" si="16"/>
        <v>N/A - No Generic Factor</v>
      </c>
      <c r="AB148" s="112" t="str">
        <f t="shared" si="17"/>
        <v>N/A - No Generic Factor</v>
      </c>
    </row>
    <row r="149" spans="1:28" x14ac:dyDescent="0.25">
      <c r="A149" s="97">
        <v>2020</v>
      </c>
      <c r="B149" s="28" t="s">
        <v>2405</v>
      </c>
      <c r="C149" s="28" t="s">
        <v>215</v>
      </c>
      <c r="D149" s="28" t="s">
        <v>574</v>
      </c>
      <c r="E149" s="28" t="s">
        <v>575</v>
      </c>
      <c r="F149" s="28" t="s">
        <v>435</v>
      </c>
      <c r="G149" s="28">
        <v>28147</v>
      </c>
      <c r="H149" s="28">
        <v>35.629620000000003</v>
      </c>
      <c r="I149" s="28">
        <v>-80.53595</v>
      </c>
      <c r="J149" s="28" t="s">
        <v>576</v>
      </c>
      <c r="K149" s="61">
        <v>110000348936</v>
      </c>
      <c r="L149" s="28" t="str">
        <f>INDEX('Facility Summary'!$K:$K,MATCH(K149,'Facility Summary'!$J:$J,0))</f>
        <v>Processing into formulation, mixture, or reaction product</v>
      </c>
      <c r="M149" s="28">
        <v>325199</v>
      </c>
      <c r="N149" s="28" t="str">
        <f>VLOOKUP(M149,'SIC &amp; NAICS Codes'!$D:$E,2,FALSE)</f>
        <v>All Other Basic Organic Chemical Manufacturing</v>
      </c>
      <c r="O149" s="28"/>
      <c r="P149" s="28" t="s">
        <v>2466</v>
      </c>
      <c r="Q149" s="28"/>
      <c r="R149" s="28">
        <v>0</v>
      </c>
      <c r="S149" s="28">
        <f t="shared" si="12"/>
        <v>0</v>
      </c>
      <c r="T149" s="28">
        <v>0.49</v>
      </c>
      <c r="U149" s="28">
        <f t="shared" si="13"/>
        <v>0.22226026129999998</v>
      </c>
      <c r="V149" s="28">
        <v>0</v>
      </c>
      <c r="W149" s="28">
        <f t="shared" si="14"/>
        <v>0</v>
      </c>
      <c r="X149" s="28" t="s">
        <v>2480</v>
      </c>
      <c r="Y149" s="92">
        <f>IF(COUNTIF('Raw Annual DMR Data'!$L:$L,'Raw TRI Data'!K89)&gt;0,"N/A - See DMRs",SUMIFS('Generic Factors'!$D:$D,'Generic Factors'!$A:$A,A149,'Generic Factors'!$B:$B,L149))</f>
        <v>0</v>
      </c>
      <c r="Z149" s="112" t="str">
        <f t="shared" si="15"/>
        <v>N/A - No Generic Factor</v>
      </c>
      <c r="AA149" s="112" t="str">
        <f t="shared" si="16"/>
        <v>N/A - No Generic Factor</v>
      </c>
      <c r="AB149" s="112" t="str">
        <f t="shared" si="17"/>
        <v>N/A - No Generic Factor</v>
      </c>
    </row>
    <row r="150" spans="1:28" x14ac:dyDescent="0.25">
      <c r="A150" s="97">
        <v>2020</v>
      </c>
      <c r="B150" s="28" t="s">
        <v>2405</v>
      </c>
      <c r="C150" s="28" t="s">
        <v>2419</v>
      </c>
      <c r="D150" s="28" t="s">
        <v>2420</v>
      </c>
      <c r="E150" s="28" t="s">
        <v>2421</v>
      </c>
      <c r="F150" s="28" t="s">
        <v>362</v>
      </c>
      <c r="G150" s="28">
        <v>78359</v>
      </c>
      <c r="H150" s="28">
        <v>27.883610999999998</v>
      </c>
      <c r="I150" s="28">
        <v>-97.241382999999999</v>
      </c>
      <c r="J150" s="28" t="s">
        <v>583</v>
      </c>
      <c r="K150" s="61">
        <v>110000599807</v>
      </c>
      <c r="L150" s="28" t="str">
        <f>INDEX('Facility Summary'!$K:$K,MATCH(K150,'Facility Summary'!$J:$J,0))</f>
        <v>Manufacturing</v>
      </c>
      <c r="M150" s="28">
        <v>325199</v>
      </c>
      <c r="N150" s="28" t="str">
        <f>VLOOKUP(M150,'SIC &amp; NAICS Codes'!$D:$E,2,FALSE)</f>
        <v>All Other Basic Organic Chemical Manufacturing</v>
      </c>
      <c r="O150" s="28"/>
      <c r="P150" s="28" t="s">
        <v>2404</v>
      </c>
      <c r="Q150" s="28"/>
      <c r="R150" s="28">
        <v>3</v>
      </c>
      <c r="S150" s="28">
        <f t="shared" si="12"/>
        <v>1.3607771099999999</v>
      </c>
      <c r="T150" s="28">
        <v>0</v>
      </c>
      <c r="U150" s="28">
        <f t="shared" si="13"/>
        <v>0</v>
      </c>
      <c r="V150" s="28">
        <v>0</v>
      </c>
      <c r="W150" s="28">
        <f t="shared" si="14"/>
        <v>0</v>
      </c>
      <c r="X150" s="28" t="s">
        <v>910</v>
      </c>
      <c r="Y150" s="92">
        <f>IF(COUNTIF('Raw Annual DMR Data'!$L:$L,'Raw TRI Data'!K95)&gt;0,"N/A - See DMRs",SUMIFS('Generic Factors'!$D:$D,'Generic Factors'!$A:$A,A150,'Generic Factors'!$B:$B,L150))</f>
        <v>2.7567320809326286</v>
      </c>
      <c r="Z150" s="112">
        <f t="shared" si="15"/>
        <v>0.12333020722615498</v>
      </c>
      <c r="AA150" s="112">
        <f t="shared" si="16"/>
        <v>0</v>
      </c>
      <c r="AB150" s="112">
        <f t="shared" si="17"/>
        <v>0</v>
      </c>
    </row>
    <row r="151" spans="1:28" x14ac:dyDescent="0.25">
      <c r="A151" s="97">
        <v>2020</v>
      </c>
      <c r="B151" s="28" t="s">
        <v>2405</v>
      </c>
      <c r="C151" s="28" t="s">
        <v>216</v>
      </c>
      <c r="D151" s="28" t="s">
        <v>586</v>
      </c>
      <c r="E151" s="28" t="s">
        <v>587</v>
      </c>
      <c r="F151" s="28" t="s">
        <v>303</v>
      </c>
      <c r="G151" s="28">
        <v>70723</v>
      </c>
      <c r="H151" s="28">
        <v>30.05509</v>
      </c>
      <c r="I151" s="28">
        <v>-90.830839999999995</v>
      </c>
      <c r="J151" s="28" t="s">
        <v>588</v>
      </c>
      <c r="K151" s="61">
        <v>110000597328</v>
      </c>
      <c r="L151" s="28" t="str">
        <f>INDEX('Facility Summary'!$K:$K,MATCH(K151,'Facility Summary'!$J:$J,0))</f>
        <v>Manufacturing</v>
      </c>
      <c r="M151" s="28">
        <v>325180</v>
      </c>
      <c r="N151" s="28" t="str">
        <f>VLOOKUP(M151,'SIC &amp; NAICS Codes'!$D:$E,2,FALSE)</f>
        <v>Other Basic Inorganic Chemical Manufacturing</v>
      </c>
      <c r="O151" s="28"/>
      <c r="P151" s="28" t="s">
        <v>2404</v>
      </c>
      <c r="Q151" s="28"/>
      <c r="R151" s="28">
        <v>1</v>
      </c>
      <c r="S151" s="28">
        <f t="shared" si="12"/>
        <v>0.45359237000000002</v>
      </c>
      <c r="T151" s="28">
        <v>0</v>
      </c>
      <c r="U151" s="28">
        <f t="shared" si="13"/>
        <v>0</v>
      </c>
      <c r="V151" s="28">
        <v>0</v>
      </c>
      <c r="W151" s="28">
        <f t="shared" si="14"/>
        <v>0</v>
      </c>
      <c r="X151" s="28" t="s">
        <v>2482</v>
      </c>
      <c r="Y151" s="92">
        <f>IF(COUNTIF('Raw Annual DMR Data'!$L:$L,'Raw TRI Data'!K101)&gt;0,"N/A - See DMRs",SUMIFS('Generic Factors'!$D:$D,'Generic Factors'!$A:$A,A151,'Generic Factors'!$B:$B,L151))</f>
        <v>2.7567320809326286</v>
      </c>
      <c r="Z151" s="112">
        <f t="shared" si="15"/>
        <v>4.1110069075384996E-2</v>
      </c>
      <c r="AA151" s="112">
        <f t="shared" si="16"/>
        <v>0</v>
      </c>
      <c r="AB151" s="112">
        <f t="shared" si="17"/>
        <v>0</v>
      </c>
    </row>
    <row r="152" spans="1:28" x14ac:dyDescent="0.25">
      <c r="A152" s="97">
        <v>2020</v>
      </c>
      <c r="B152" s="28" t="s">
        <v>2405</v>
      </c>
      <c r="C152" s="28" t="s">
        <v>2422</v>
      </c>
      <c r="D152" s="28" t="s">
        <v>2423</v>
      </c>
      <c r="E152" s="28" t="s">
        <v>516</v>
      </c>
      <c r="F152" s="28" t="s">
        <v>303</v>
      </c>
      <c r="G152" s="28">
        <v>70734</v>
      </c>
      <c r="H152" s="28">
        <v>30.185099999999998</v>
      </c>
      <c r="I152" s="28">
        <v>-90.980400000000003</v>
      </c>
      <c r="J152" s="28" t="s">
        <v>585</v>
      </c>
      <c r="K152" s="61">
        <v>110000449774</v>
      </c>
      <c r="L152" s="28" t="str">
        <f>INDEX('Facility Summary'!$K:$K,MATCH(K152,'Facility Summary'!$J:$J,0))</f>
        <v>Manufacturing</v>
      </c>
      <c r="M152" s="28">
        <v>325199</v>
      </c>
      <c r="N152" s="28" t="str">
        <f>VLOOKUP(M152,'SIC &amp; NAICS Codes'!$D:$E,2,FALSE)</f>
        <v>All Other Basic Organic Chemical Manufacturing</v>
      </c>
      <c r="O152" s="28"/>
      <c r="P152" s="28" t="s">
        <v>2404</v>
      </c>
      <c r="Q152" s="28"/>
      <c r="R152" s="28">
        <v>38</v>
      </c>
      <c r="S152" s="28">
        <f t="shared" si="12"/>
        <v>17.236510060000001</v>
      </c>
      <c r="T152" s="28">
        <v>0</v>
      </c>
      <c r="U152" s="28">
        <f t="shared" si="13"/>
        <v>0</v>
      </c>
      <c r="V152" s="28">
        <v>0</v>
      </c>
      <c r="W152" s="28">
        <f t="shared" si="14"/>
        <v>0</v>
      </c>
      <c r="X152" s="28" t="s">
        <v>912</v>
      </c>
      <c r="Y152" s="92">
        <f>IF(COUNTIF('Raw Annual DMR Data'!$L:$L,'Raw TRI Data'!K107)&gt;0,"N/A - See DMRs",SUMIFS('Generic Factors'!$D:$D,'Generic Factors'!$A:$A,A152,'Generic Factors'!$B:$B,L152))</f>
        <v>2.7567320809326286</v>
      </c>
      <c r="Z152" s="112">
        <f t="shared" si="15"/>
        <v>1.56218262486463</v>
      </c>
      <c r="AA152" s="112">
        <f t="shared" si="16"/>
        <v>0</v>
      </c>
      <c r="AB152" s="112">
        <f t="shared" si="17"/>
        <v>0</v>
      </c>
    </row>
    <row r="153" spans="1:28" x14ac:dyDescent="0.25">
      <c r="A153" s="97">
        <v>2020</v>
      </c>
      <c r="B153" s="28" t="s">
        <v>2403</v>
      </c>
      <c r="C153" s="28" t="s">
        <v>679</v>
      </c>
      <c r="D153" s="28" t="s">
        <v>680</v>
      </c>
      <c r="E153" s="28" t="s">
        <v>681</v>
      </c>
      <c r="F153" s="28" t="s">
        <v>328</v>
      </c>
      <c r="G153" s="28">
        <v>31535</v>
      </c>
      <c r="H153" s="28">
        <v>31.485279999999999</v>
      </c>
      <c r="I153" s="28">
        <v>-82.862380000000002</v>
      </c>
      <c r="J153" s="28" t="s">
        <v>682</v>
      </c>
      <c r="K153" s="61">
        <v>110000360644</v>
      </c>
      <c r="L153" s="28" t="str">
        <f>INDEX('Facility Summary'!$K:$K,MATCH(K153,'Facility Summary'!$J:$J,0))</f>
        <v>Processing as a Reactant</v>
      </c>
      <c r="M153" s="28">
        <v>325199</v>
      </c>
      <c r="N153" s="28" t="s">
        <v>28</v>
      </c>
      <c r="O153" s="28"/>
      <c r="P153" s="28" t="s">
        <v>2404</v>
      </c>
      <c r="Q153" s="28"/>
      <c r="R153" s="28">
        <v>500</v>
      </c>
      <c r="S153" s="28">
        <f t="shared" si="12"/>
        <v>226.79618500000001</v>
      </c>
      <c r="T153" s="28">
        <v>500</v>
      </c>
      <c r="U153" s="28">
        <f t="shared" si="13"/>
        <v>226.79618500000001</v>
      </c>
      <c r="V153" s="28">
        <v>500</v>
      </c>
      <c r="W153" s="28">
        <f t="shared" si="14"/>
        <v>226.79618500000001</v>
      </c>
      <c r="X153" s="28" t="s">
        <v>2484</v>
      </c>
      <c r="Y153" s="92" t="str">
        <f>IF(COUNTIF('Raw Annual DMR Data'!$L:$L,'Raw TRI Data'!K118)&gt;0,"N/A - See DMRs",SUMIFS('Generic Factors'!$D:$D,'Generic Factors'!$A:$A,A153,'Generic Factors'!$B:$B,L153))</f>
        <v>N/A - See DMRs</v>
      </c>
      <c r="Z153" s="112" t="e">
        <f t="shared" si="15"/>
        <v>#N/A</v>
      </c>
      <c r="AA153" s="112" t="e">
        <f t="shared" si="16"/>
        <v>#N/A</v>
      </c>
      <c r="AB153" s="112" t="e">
        <f t="shared" si="17"/>
        <v>#N/A</v>
      </c>
    </row>
    <row r="154" spans="1:28" x14ac:dyDescent="0.25">
      <c r="A154" s="97">
        <v>2020</v>
      </c>
      <c r="B154" s="28" t="s">
        <v>2405</v>
      </c>
      <c r="C154" s="28" t="s">
        <v>217</v>
      </c>
      <c r="D154" s="28" t="s">
        <v>592</v>
      </c>
      <c r="E154" s="28" t="s">
        <v>590</v>
      </c>
      <c r="F154" s="28" t="s">
        <v>362</v>
      </c>
      <c r="G154" s="28">
        <v>77536</v>
      </c>
      <c r="H154" s="28">
        <v>29.710967</v>
      </c>
      <c r="I154" s="28">
        <v>-95.119144000000006</v>
      </c>
      <c r="J154" s="28" t="s">
        <v>593</v>
      </c>
      <c r="K154" s="61">
        <v>110015742204</v>
      </c>
      <c r="L154" s="28" t="str">
        <f>INDEX('Facility Summary'!$K:$K,MATCH(K154,'Facility Summary'!$J:$J,0))</f>
        <v>Manufacturing</v>
      </c>
      <c r="M154" s="28">
        <v>325199</v>
      </c>
      <c r="N154" s="28" t="str">
        <f>VLOOKUP(M154,'SIC &amp; NAICS Codes'!$D:$E,2,FALSE)</f>
        <v>All Other Basic Organic Chemical Manufacturing</v>
      </c>
      <c r="O154" s="28"/>
      <c r="P154" s="28" t="s">
        <v>2466</v>
      </c>
      <c r="Q154" s="28"/>
      <c r="R154" s="28">
        <v>0</v>
      </c>
      <c r="S154" s="28">
        <f t="shared" si="12"/>
        <v>0</v>
      </c>
      <c r="T154" s="28">
        <v>0</v>
      </c>
      <c r="U154" s="28">
        <f t="shared" si="13"/>
        <v>0</v>
      </c>
      <c r="V154" s="28">
        <v>485.88</v>
      </c>
      <c r="W154" s="28">
        <f t="shared" si="14"/>
        <v>220.39146073559999</v>
      </c>
      <c r="X154" s="28"/>
      <c r="Y154" s="92">
        <f>IF(COUNTIF('Raw Annual DMR Data'!$L:$L,'Raw TRI Data'!K123)&gt;0,"N/A - See DMRs",SUMIFS('Generic Factors'!$D:$D,'Generic Factors'!$A:$A,A154,'Generic Factors'!$B:$B,L154))</f>
        <v>2.7567320809326286</v>
      </c>
      <c r="Z154" s="112">
        <f t="shared" si="15"/>
        <v>0</v>
      </c>
      <c r="AA154" s="112">
        <f t="shared" si="16"/>
        <v>0</v>
      </c>
      <c r="AB154" s="112">
        <f t="shared" si="17"/>
        <v>19.974560362348061</v>
      </c>
    </row>
    <row r="155" spans="1:28" x14ac:dyDescent="0.25">
      <c r="A155" s="97">
        <v>2020</v>
      </c>
      <c r="B155" s="28" t="s">
        <v>2405</v>
      </c>
      <c r="C155" s="28" t="s">
        <v>218</v>
      </c>
      <c r="D155" s="28" t="s">
        <v>594</v>
      </c>
      <c r="E155" s="28" t="s">
        <v>361</v>
      </c>
      <c r="F155" s="28" t="s">
        <v>362</v>
      </c>
      <c r="G155" s="28">
        <v>77571</v>
      </c>
      <c r="H155" s="28">
        <v>29.723759999999999</v>
      </c>
      <c r="I155" s="28">
        <v>-95.074219999999997</v>
      </c>
      <c r="J155" s="28" t="s">
        <v>595</v>
      </c>
      <c r="K155" s="61">
        <v>110017769734</v>
      </c>
      <c r="L155" s="28" t="str">
        <f>INDEX('Facility Summary'!$K:$K,MATCH(K155,'Facility Summary'!$J:$J,0))</f>
        <v>Manufacturing</v>
      </c>
      <c r="M155" s="28">
        <v>325199</v>
      </c>
      <c r="N155" s="28" t="str">
        <f>VLOOKUP(M155,'SIC &amp; NAICS Codes'!$D:$E,2,FALSE)</f>
        <v>All Other Basic Organic Chemical Manufacturing</v>
      </c>
      <c r="O155" s="28"/>
      <c r="P155" s="28" t="s">
        <v>2404</v>
      </c>
      <c r="Q155" s="28"/>
      <c r="R155" s="28">
        <v>3.6</v>
      </c>
      <c r="S155" s="28">
        <f t="shared" si="12"/>
        <v>1.6329325320000001</v>
      </c>
      <c r="T155" s="28">
        <v>0</v>
      </c>
      <c r="U155" s="28">
        <f t="shared" si="13"/>
        <v>0</v>
      </c>
      <c r="V155" s="28">
        <v>0</v>
      </c>
      <c r="W155" s="28">
        <f t="shared" si="14"/>
        <v>0</v>
      </c>
      <c r="X155" s="28" t="s">
        <v>2485</v>
      </c>
      <c r="Y155" s="92">
        <f>IF(COUNTIF('Raw Annual DMR Data'!$L:$L,'Raw TRI Data'!K129)&gt;0,"N/A - See DMRs",SUMIFS('Generic Factors'!$D:$D,'Generic Factors'!$A:$A,A155,'Generic Factors'!$B:$B,L155))</f>
        <v>2.7567320809326286</v>
      </c>
      <c r="Z155" s="112">
        <f t="shared" si="15"/>
        <v>0.147996248671386</v>
      </c>
      <c r="AA155" s="112">
        <f t="shared" si="16"/>
        <v>0</v>
      </c>
      <c r="AB155" s="112">
        <f t="shared" si="17"/>
        <v>0</v>
      </c>
    </row>
    <row r="156" spans="1:28" x14ac:dyDescent="0.25">
      <c r="A156" s="97">
        <v>2020</v>
      </c>
      <c r="B156" s="28" t="s">
        <v>2403</v>
      </c>
      <c r="C156" s="28" t="s">
        <v>694</v>
      </c>
      <c r="D156" s="28" t="s">
        <v>695</v>
      </c>
      <c r="E156" s="28" t="s">
        <v>293</v>
      </c>
      <c r="F156" s="28" t="s">
        <v>362</v>
      </c>
      <c r="G156" s="28">
        <v>76010</v>
      </c>
      <c r="H156" s="28">
        <v>32.712986000000001</v>
      </c>
      <c r="I156" s="28">
        <v>-97.056126000000006</v>
      </c>
      <c r="J156" s="28" t="s">
        <v>696</v>
      </c>
      <c r="K156" s="61">
        <v>110071045224</v>
      </c>
      <c r="L156" s="28" t="str">
        <f>INDEX('Facility Summary'!$K:$K,MATCH(K156,'Facility Summary'!$J:$J,0))</f>
        <v>Processing into formulation, mixture, or reaction product</v>
      </c>
      <c r="M156" s="28">
        <v>325510</v>
      </c>
      <c r="N156" s="28" t="s">
        <v>697</v>
      </c>
      <c r="O156" s="28"/>
      <c r="P156" s="28" t="s">
        <v>2404</v>
      </c>
      <c r="Q156" s="28"/>
      <c r="R156" s="28">
        <v>500</v>
      </c>
      <c r="S156" s="28">
        <f t="shared" si="12"/>
        <v>226.79618500000001</v>
      </c>
      <c r="T156" s="28">
        <v>500</v>
      </c>
      <c r="U156" s="28">
        <f t="shared" si="13"/>
        <v>226.79618500000001</v>
      </c>
      <c r="V156" s="28">
        <v>500</v>
      </c>
      <c r="W156" s="28">
        <f t="shared" si="14"/>
        <v>226.79618500000001</v>
      </c>
      <c r="X156" s="28"/>
      <c r="Y156" s="92">
        <f>IF(COUNTIF('Raw Annual DMR Data'!$L:$L,'Raw TRI Data'!K130)&gt;0,"N/A - See DMRs",SUMIFS('Generic Factors'!$D:$D,'Generic Factors'!$A:$A,A156,'Generic Factors'!$B:$B,L156))</f>
        <v>0</v>
      </c>
      <c r="Z156" s="112" t="str">
        <f t="shared" si="15"/>
        <v>N/A - No Generic Factor</v>
      </c>
      <c r="AA156" s="112" t="str">
        <f t="shared" si="16"/>
        <v>N/A - No Generic Factor</v>
      </c>
      <c r="AB156" s="112" t="str">
        <f t="shared" si="17"/>
        <v>N/A - No Generic Factor</v>
      </c>
    </row>
    <row r="157" spans="1:28" x14ac:dyDescent="0.25">
      <c r="A157" s="97">
        <v>2020</v>
      </c>
      <c r="B157" s="28" t="s">
        <v>2405</v>
      </c>
      <c r="C157" s="28" t="s">
        <v>221</v>
      </c>
      <c r="D157" s="28" t="s">
        <v>663</v>
      </c>
      <c r="E157" s="28" t="s">
        <v>446</v>
      </c>
      <c r="F157" s="28" t="s">
        <v>303</v>
      </c>
      <c r="G157" s="28">
        <v>70669</v>
      </c>
      <c r="H157" s="28">
        <v>30.252222</v>
      </c>
      <c r="I157" s="28">
        <v>-93.284443999999993</v>
      </c>
      <c r="J157" s="28" t="s">
        <v>664</v>
      </c>
      <c r="K157" s="61">
        <v>110002054482</v>
      </c>
      <c r="L157" s="28" t="str">
        <f>INDEX('Facility Summary'!$K:$K,MATCH(K157,'Facility Summary'!$J:$J,0))</f>
        <v>Manufacturing</v>
      </c>
      <c r="M157" s="28">
        <v>325110</v>
      </c>
      <c r="N157" s="28" t="str">
        <f>VLOOKUP(M157,'SIC &amp; NAICS Codes'!$D:$E,2,FALSE)</f>
        <v>Petrochemical Manufacturing</v>
      </c>
      <c r="O157" s="28"/>
      <c r="P157" s="28" t="s">
        <v>2466</v>
      </c>
      <c r="Q157" s="28"/>
      <c r="R157" s="28">
        <v>0</v>
      </c>
      <c r="S157" s="28">
        <f t="shared" si="12"/>
        <v>0</v>
      </c>
      <c r="T157" s="28">
        <v>0</v>
      </c>
      <c r="U157" s="28">
        <f t="shared" si="13"/>
        <v>0</v>
      </c>
      <c r="V157" s="28">
        <v>1</v>
      </c>
      <c r="W157" s="28">
        <f t="shared" si="14"/>
        <v>0.45359237000000002</v>
      </c>
      <c r="X157" s="28"/>
      <c r="Y157" s="92">
        <f>IF(COUNTIF('Raw Annual DMR Data'!$L:$L,'Raw TRI Data'!K147)&gt;0,"N/A - See DMRs",SUMIFS('Generic Factors'!$D:$D,'Generic Factors'!$A:$A,A157,'Generic Factors'!$B:$B,L157))</f>
        <v>2.7567320809326286</v>
      </c>
      <c r="Z157" s="112">
        <f t="shared" si="15"/>
        <v>0</v>
      </c>
      <c r="AA157" s="112">
        <f t="shared" si="16"/>
        <v>0</v>
      </c>
      <c r="AB157" s="112">
        <f t="shared" si="17"/>
        <v>4.1110069075384996E-2</v>
      </c>
    </row>
    <row r="158" spans="1:28" x14ac:dyDescent="0.25">
      <c r="A158" s="97">
        <v>2020</v>
      </c>
      <c r="B158" s="28" t="s">
        <v>2405</v>
      </c>
      <c r="C158" s="28" t="s">
        <v>201</v>
      </c>
      <c r="D158" s="28" t="s">
        <v>665</v>
      </c>
      <c r="E158" s="28" t="s">
        <v>516</v>
      </c>
      <c r="F158" s="28" t="s">
        <v>303</v>
      </c>
      <c r="G158" s="28">
        <v>70734</v>
      </c>
      <c r="H158" s="28">
        <v>30.208604000000001</v>
      </c>
      <c r="I158" s="28">
        <v>-91.011127999999999</v>
      </c>
      <c r="J158" s="28" t="s">
        <v>666</v>
      </c>
      <c r="K158" s="61">
        <v>110000746328</v>
      </c>
      <c r="L158" s="28" t="str">
        <f>INDEX('Facility Summary'!$K:$K,MATCH(K158,'Facility Summary'!$J:$J,0))</f>
        <v>Manufacturing</v>
      </c>
      <c r="M158" s="28">
        <v>325211</v>
      </c>
      <c r="N158" s="28" t="str">
        <f>VLOOKUP(M158,'SIC &amp; NAICS Codes'!$D:$E,2,FALSE)</f>
        <v>Plastics Material and Resin Manufacturing</v>
      </c>
      <c r="O158" s="28"/>
      <c r="P158" s="28" t="s">
        <v>2404</v>
      </c>
      <c r="Q158" s="28"/>
      <c r="R158" s="28">
        <v>3</v>
      </c>
      <c r="S158" s="28">
        <f t="shared" si="12"/>
        <v>1.3607771099999999</v>
      </c>
      <c r="T158" s="28">
        <v>0</v>
      </c>
      <c r="U158" s="28">
        <f t="shared" si="13"/>
        <v>0</v>
      </c>
      <c r="V158" s="28">
        <v>0</v>
      </c>
      <c r="W158" s="28">
        <f t="shared" si="14"/>
        <v>0</v>
      </c>
      <c r="X158" s="28" t="s">
        <v>2488</v>
      </c>
      <c r="Y158" s="92">
        <f>IF(COUNTIF('Raw Annual DMR Data'!$L:$L,'Raw TRI Data'!K153)&gt;0,"N/A - See DMRs",SUMIFS('Generic Factors'!$D:$D,'Generic Factors'!$A:$A,A158,'Generic Factors'!$B:$B,L158))</f>
        <v>2.7567320809326286</v>
      </c>
      <c r="Z158" s="112">
        <f t="shared" si="15"/>
        <v>0.12333020722615498</v>
      </c>
      <c r="AA158" s="112">
        <f t="shared" si="16"/>
        <v>0</v>
      </c>
      <c r="AB158" s="112">
        <f t="shared" si="17"/>
        <v>0</v>
      </c>
    </row>
    <row r="159" spans="1:28" x14ac:dyDescent="0.25">
      <c r="A159" s="254">
        <v>2020</v>
      </c>
      <c r="B159" s="126" t="s">
        <v>2405</v>
      </c>
      <c r="C159" s="126" t="s">
        <v>202</v>
      </c>
      <c r="D159" s="126" t="s">
        <v>2426</v>
      </c>
      <c r="E159" s="126" t="s">
        <v>323</v>
      </c>
      <c r="F159" s="126" t="s">
        <v>324</v>
      </c>
      <c r="G159" s="126">
        <v>42029</v>
      </c>
      <c r="H159" s="126">
        <v>37.051110999999999</v>
      </c>
      <c r="I159" s="126">
        <v>-88.334166999999994</v>
      </c>
      <c r="J159" s="126" t="s">
        <v>668</v>
      </c>
      <c r="K159" s="286">
        <v>110027373072</v>
      </c>
      <c r="L159" s="28" t="str">
        <f>INDEX('Facility Summary'!$K:$K,MATCH(K159,'Facility Summary'!$J:$J,0))</f>
        <v>Manufacturing</v>
      </c>
      <c r="M159" s="126">
        <v>325199</v>
      </c>
      <c r="N159" s="28" t="str">
        <f>VLOOKUP(M159,'SIC &amp; NAICS Codes'!$D:$E,2,FALSE)</f>
        <v>All Other Basic Organic Chemical Manufacturing</v>
      </c>
      <c r="O159" s="28"/>
      <c r="P159" s="28" t="s">
        <v>2404</v>
      </c>
      <c r="Q159" s="28"/>
      <c r="R159" s="126">
        <v>159.80000000000001</v>
      </c>
      <c r="S159" s="126">
        <f t="shared" si="12"/>
        <v>72.48406072600001</v>
      </c>
      <c r="T159" s="126">
        <v>0</v>
      </c>
      <c r="U159" s="126">
        <f t="shared" si="13"/>
        <v>0</v>
      </c>
      <c r="V159" s="126">
        <v>0</v>
      </c>
      <c r="W159" s="126">
        <f t="shared" si="14"/>
        <v>0</v>
      </c>
      <c r="X159" s="126" t="s">
        <v>957</v>
      </c>
      <c r="Y159" s="92" t="str">
        <f>IF(COUNTIF('Raw Annual DMR Data'!$L:$L,'Raw TRI Data'!K159)&gt;0,"N/A - See DMRs",SUMIFS('Generic Factors'!$D:$D,'Generic Factors'!$A:$A,A159,'Generic Factors'!$B:$B,L159))</f>
        <v>N/A - See DMRs</v>
      </c>
      <c r="Z159" s="112" t="e">
        <f t="shared" si="15"/>
        <v>#N/A</v>
      </c>
      <c r="AA159" s="112" t="e">
        <f t="shared" si="16"/>
        <v>#N/A</v>
      </c>
      <c r="AB159" s="112" t="e">
        <f t="shared" si="17"/>
        <v>#N/A</v>
      </c>
    </row>
    <row r="160" spans="1:28" x14ac:dyDescent="0.25">
      <c r="A160" s="97">
        <v>2021</v>
      </c>
      <c r="B160" s="28" t="s">
        <v>2405</v>
      </c>
      <c r="C160" s="28" t="s">
        <v>105</v>
      </c>
      <c r="D160" s="28" t="s">
        <v>322</v>
      </c>
      <c r="E160" s="28" t="s">
        <v>323</v>
      </c>
      <c r="F160" s="28" t="s">
        <v>324</v>
      </c>
      <c r="G160" s="81">
        <v>42029</v>
      </c>
      <c r="H160" s="28">
        <v>37.056699000000002</v>
      </c>
      <c r="I160" s="28">
        <v>-88.365727000000007</v>
      </c>
      <c r="J160" s="28" t="s">
        <v>325</v>
      </c>
      <c r="K160" s="61">
        <v>110000380061</v>
      </c>
      <c r="L160" s="28" t="str">
        <f>INDEX('Facility Summary'!$K:$K,MATCH(K160,'Facility Summary'!$J:$J,0))</f>
        <v>Manufacturing</v>
      </c>
      <c r="M160" s="28">
        <v>325180</v>
      </c>
      <c r="N160" s="97" t="str">
        <f>VLOOKUP(M160,'SIC &amp; NAICS Codes'!$D:$E,2,FALSE)</f>
        <v>Other Basic Inorganic Chemical Manufacturing</v>
      </c>
      <c r="R160" s="28">
        <v>27</v>
      </c>
      <c r="S160" s="28">
        <f t="shared" si="12"/>
        <v>12.24699399</v>
      </c>
      <c r="T160" s="28">
        <v>0</v>
      </c>
      <c r="U160" s="28">
        <f t="shared" si="13"/>
        <v>0</v>
      </c>
      <c r="V160" s="28">
        <v>0</v>
      </c>
      <c r="W160" s="81">
        <f t="shared" si="14"/>
        <v>0</v>
      </c>
      <c r="X160" s="28" t="s">
        <v>776</v>
      </c>
      <c r="Y160" s="92" t="str">
        <f>IF(COUNTIF('Raw Annual DMR Data'!$L:$L,'Raw TRI Data'!K160)&gt;0,"N/A - See DMRs",SUMIFS('Generic Factors'!$D:$D,'Generic Factors'!$A:$A,A160,'Generic Factors'!$B:$B,L160))</f>
        <v>N/A - See DMRs</v>
      </c>
      <c r="Z160" s="112" t="e">
        <f t="shared" si="15"/>
        <v>#N/A</v>
      </c>
      <c r="AA160" s="112" t="e">
        <f t="shared" si="16"/>
        <v>#N/A</v>
      </c>
      <c r="AB160" s="112" t="e">
        <f t="shared" si="17"/>
        <v>#N/A</v>
      </c>
    </row>
    <row r="161" spans="1:28" x14ac:dyDescent="0.25">
      <c r="A161" s="97">
        <v>2021</v>
      </c>
      <c r="B161" s="28" t="s">
        <v>2405</v>
      </c>
      <c r="C161" s="28" t="s">
        <v>204</v>
      </c>
      <c r="D161" s="28" t="s">
        <v>333</v>
      </c>
      <c r="E161" s="28" t="s">
        <v>334</v>
      </c>
      <c r="F161" s="28" t="s">
        <v>303</v>
      </c>
      <c r="G161" s="81">
        <v>70764</v>
      </c>
      <c r="H161" s="28">
        <v>30.262255</v>
      </c>
      <c r="I161" s="28">
        <v>-91.185837000000006</v>
      </c>
      <c r="J161" s="28" t="s">
        <v>335</v>
      </c>
      <c r="K161" s="61">
        <v>110000613747</v>
      </c>
      <c r="L161" s="28" t="str">
        <f>INDEX('Facility Summary'!$K:$K,MATCH(K161,'Facility Summary'!$J:$J,0))</f>
        <v>Manufacturing</v>
      </c>
      <c r="M161" s="28">
        <v>325211</v>
      </c>
      <c r="N161" s="97" t="str">
        <f>VLOOKUP(M161,'SIC &amp; NAICS Codes'!$D:$E,2,FALSE)</f>
        <v>Plastics Material and Resin Manufacturing</v>
      </c>
      <c r="R161" s="28">
        <v>26</v>
      </c>
      <c r="S161" s="28">
        <f t="shared" si="12"/>
        <v>11.793401620000001</v>
      </c>
      <c r="T161" s="28">
        <v>0</v>
      </c>
      <c r="U161" s="28">
        <f t="shared" si="13"/>
        <v>0</v>
      </c>
      <c r="V161" s="28">
        <v>0</v>
      </c>
      <c r="W161" s="81">
        <f t="shared" si="14"/>
        <v>0</v>
      </c>
      <c r="X161" s="28" t="s">
        <v>2465</v>
      </c>
      <c r="Y161" s="92">
        <f>IF(COUNTIF('Raw Annual DMR Data'!$L:$L,'Raw TRI Data'!K161)&gt;0,"N/A - See DMRs",SUMIFS('Generic Factors'!$D:$D,'Generic Factors'!$A:$A,A161,'Generic Factors'!$B:$B,L161))</f>
        <v>0</v>
      </c>
      <c r="Z161" s="112" t="str">
        <f t="shared" si="15"/>
        <v>N/A - No Generic Factor</v>
      </c>
      <c r="AA161" s="112" t="str">
        <f t="shared" si="16"/>
        <v>N/A - No Generic Factor</v>
      </c>
      <c r="AB161" s="112" t="str">
        <f t="shared" si="17"/>
        <v>N/A - No Generic Factor</v>
      </c>
    </row>
    <row r="162" spans="1:28" x14ac:dyDescent="0.25">
      <c r="A162" s="97">
        <v>2021</v>
      </c>
      <c r="B162" s="28" t="s">
        <v>2405</v>
      </c>
      <c r="C162" s="28" t="s">
        <v>206</v>
      </c>
      <c r="D162" s="28" t="s">
        <v>347</v>
      </c>
      <c r="E162" s="28" t="s">
        <v>348</v>
      </c>
      <c r="F162" s="28" t="s">
        <v>349</v>
      </c>
      <c r="G162" s="81">
        <v>63461</v>
      </c>
      <c r="H162" s="28">
        <v>39.834117999999997</v>
      </c>
      <c r="I162" s="28">
        <v>-91.436790999999999</v>
      </c>
      <c r="J162" s="28" t="s">
        <v>350</v>
      </c>
      <c r="K162" s="61">
        <v>110056953765</v>
      </c>
      <c r="L162" s="28" t="str">
        <f>INDEX('Facility Summary'!$K:$K,MATCH(K162,'Facility Summary'!$J:$J,0))</f>
        <v>Processing into formulation, mixture, or reaction product</v>
      </c>
      <c r="M162" s="28">
        <v>325320</v>
      </c>
      <c r="N162" s="97" t="str">
        <f>VLOOKUP(M162,'SIC &amp; NAICS Codes'!$D:$E,2,FALSE)</f>
        <v>Pesticide and Other Agricultural Chemical Manufacturing</v>
      </c>
      <c r="R162" s="28">
        <v>5</v>
      </c>
      <c r="S162" s="28">
        <f t="shared" si="12"/>
        <v>2.2679618500000003</v>
      </c>
      <c r="T162" s="28">
        <v>0</v>
      </c>
      <c r="U162" s="28">
        <f t="shared" si="13"/>
        <v>0</v>
      </c>
      <c r="V162" s="28">
        <v>122</v>
      </c>
      <c r="W162" s="81">
        <f t="shared" si="14"/>
        <v>55.338269140000001</v>
      </c>
      <c r="X162" s="28" t="s">
        <v>2468</v>
      </c>
      <c r="Y162" s="92">
        <f>IF(COUNTIF('Raw Annual DMR Data'!$L:$L,'Raw TRI Data'!K162)&gt;0,"N/A - See DMRs",SUMIFS('Generic Factors'!$D:$D,'Generic Factors'!$A:$A,A162,'Generic Factors'!$B:$B,L162))</f>
        <v>0</v>
      </c>
      <c r="Z162" s="112" t="str">
        <f t="shared" si="15"/>
        <v>N/A - No Generic Factor</v>
      </c>
      <c r="AA162" s="112" t="str">
        <f t="shared" si="16"/>
        <v>N/A - No Generic Factor</v>
      </c>
      <c r="AB162" s="112" t="str">
        <f t="shared" si="17"/>
        <v>N/A - No Generic Factor</v>
      </c>
    </row>
    <row r="163" spans="1:28" x14ac:dyDescent="0.25">
      <c r="A163" s="97">
        <v>2021</v>
      </c>
      <c r="B163" s="28" t="s">
        <v>2405</v>
      </c>
      <c r="C163" s="28" t="s">
        <v>7358</v>
      </c>
      <c r="D163" s="28" t="s">
        <v>562</v>
      </c>
      <c r="E163" s="28" t="s">
        <v>563</v>
      </c>
      <c r="F163" s="28" t="s">
        <v>564</v>
      </c>
      <c r="G163" s="81">
        <v>52761</v>
      </c>
      <c r="H163" s="28">
        <v>41.350468999999997</v>
      </c>
      <c r="I163" s="28">
        <v>-91.081619000000003</v>
      </c>
      <c r="J163" s="28" t="s">
        <v>565</v>
      </c>
      <c r="K163" s="61">
        <v>110018869474</v>
      </c>
      <c r="L163" s="28" t="str">
        <f>INDEX('Facility Summary'!$K:$K,MATCH(K163,'Facility Summary'!$J:$J,0))</f>
        <v>Processing into formulation, mixture, or reaction product</v>
      </c>
      <c r="M163" s="28">
        <v>325320</v>
      </c>
      <c r="N163" s="97" t="str">
        <f>VLOOKUP(M163,'SIC &amp; NAICS Codes'!$D:$E,2,FALSE)</f>
        <v>Pesticide and Other Agricultural Chemical Manufacturing</v>
      </c>
      <c r="R163" s="28">
        <v>32</v>
      </c>
      <c r="S163" s="28">
        <f t="shared" si="12"/>
        <v>14.514955840000001</v>
      </c>
      <c r="T163" s="28">
        <v>0</v>
      </c>
      <c r="U163" s="28">
        <f t="shared" si="13"/>
        <v>0</v>
      </c>
      <c r="V163" s="28">
        <v>0</v>
      </c>
      <c r="W163" s="81">
        <f t="shared" si="14"/>
        <v>0</v>
      </c>
      <c r="X163" s="28" t="s">
        <v>2479</v>
      </c>
      <c r="Y163" s="92">
        <f>IF(COUNTIF('Raw Annual DMR Data'!$L:$L,'Raw TRI Data'!K163)&gt;0,"N/A - See DMRs",SUMIFS('Generic Factors'!$D:$D,'Generic Factors'!$A:$A,A163,'Generic Factors'!$B:$B,L163))</f>
        <v>0</v>
      </c>
      <c r="Z163" s="112" t="str">
        <f t="shared" si="15"/>
        <v>N/A - No Generic Factor</v>
      </c>
      <c r="AA163" s="112" t="str">
        <f t="shared" si="16"/>
        <v>N/A - No Generic Factor</v>
      </c>
      <c r="AB163" s="112" t="str">
        <f t="shared" si="17"/>
        <v>N/A - No Generic Factor</v>
      </c>
    </row>
    <row r="164" spans="1:28" x14ac:dyDescent="0.25">
      <c r="A164" s="97">
        <v>2021</v>
      </c>
      <c r="B164" s="28" t="s">
        <v>2405</v>
      </c>
      <c r="C164" s="28" t="s">
        <v>7359</v>
      </c>
      <c r="D164" s="28" t="s">
        <v>2470</v>
      </c>
      <c r="E164" s="28" t="s">
        <v>368</v>
      </c>
      <c r="F164" s="28" t="s">
        <v>349</v>
      </c>
      <c r="G164" s="81">
        <v>63630</v>
      </c>
      <c r="H164" s="28">
        <v>37.983333000000002</v>
      </c>
      <c r="I164" s="28">
        <v>-90.690832999999998</v>
      </c>
      <c r="J164" s="28" t="s">
        <v>369</v>
      </c>
      <c r="K164" s="61">
        <v>110017980443</v>
      </c>
      <c r="L164" s="28" t="str">
        <f>INDEX('Facility Summary'!$K:$K,MATCH(K164,'Facility Summary'!$J:$J,0))</f>
        <v>Manufacturing</v>
      </c>
      <c r="M164" s="28">
        <v>325998</v>
      </c>
      <c r="N164" s="97" t="str">
        <f>VLOOKUP(M164,'SIC &amp; NAICS Codes'!$D:$E,2,FALSE)</f>
        <v>All Other Miscellaneous Chemical Product and Preparation Manufacturing</v>
      </c>
      <c r="R164" s="28">
        <v>0</v>
      </c>
      <c r="S164" s="28">
        <f t="shared" si="12"/>
        <v>0</v>
      </c>
      <c r="T164" s="28">
        <v>22</v>
      </c>
      <c r="U164" s="28">
        <f t="shared" si="13"/>
        <v>9.979032140000001</v>
      </c>
      <c r="V164" s="28">
        <v>0</v>
      </c>
      <c r="W164" s="81">
        <f t="shared" si="14"/>
        <v>0</v>
      </c>
      <c r="X164" s="28" t="s">
        <v>796</v>
      </c>
      <c r="Y164" s="92" t="str">
        <f>IF(COUNTIF('Raw Annual DMR Data'!$L:$L,'Raw TRI Data'!K164)&gt;0,"N/A - See DMRs",SUMIFS('Generic Factors'!$D:$D,'Generic Factors'!$A:$A,A164,'Generic Factors'!$B:$B,L164))</f>
        <v>N/A - See DMRs</v>
      </c>
      <c r="Z164" s="112" t="e">
        <f t="shared" si="15"/>
        <v>#N/A</v>
      </c>
      <c r="AA164" s="112" t="e">
        <f t="shared" si="16"/>
        <v>#N/A</v>
      </c>
      <c r="AB164" s="112" t="e">
        <f t="shared" si="17"/>
        <v>#N/A</v>
      </c>
    </row>
    <row r="165" spans="1:28" x14ac:dyDescent="0.25">
      <c r="A165" s="97">
        <v>2021</v>
      </c>
      <c r="B165" s="28" t="s">
        <v>2405</v>
      </c>
      <c r="C165" s="28" t="s">
        <v>208</v>
      </c>
      <c r="D165" s="28" t="s">
        <v>425</v>
      </c>
      <c r="E165" s="28" t="s">
        <v>426</v>
      </c>
      <c r="F165" s="28" t="s">
        <v>427</v>
      </c>
      <c r="G165" s="81">
        <v>48640</v>
      </c>
      <c r="H165" s="28">
        <v>43.600960000000001</v>
      </c>
      <c r="I165" s="28">
        <v>-84.207689999999999</v>
      </c>
      <c r="J165" s="28" t="s">
        <v>428</v>
      </c>
      <c r="K165" s="61">
        <v>110070788638</v>
      </c>
      <c r="L165" s="28" t="str">
        <f>INDEX('Facility Summary'!$K:$K,MATCH(K165,'Facility Summary'!$J:$J,0))</f>
        <v>Processing as a Reactant</v>
      </c>
      <c r="M165" s="28">
        <v>325199</v>
      </c>
      <c r="N165" s="97" t="str">
        <f>VLOOKUP(M165,'SIC &amp; NAICS Codes'!$D:$E,2,FALSE)</f>
        <v>All Other Basic Organic Chemical Manufacturing</v>
      </c>
      <c r="R165" s="28">
        <v>0</v>
      </c>
      <c r="S165" s="28">
        <f t="shared" si="12"/>
        <v>0</v>
      </c>
      <c r="T165" s="28">
        <v>0</v>
      </c>
      <c r="U165" s="28">
        <f t="shared" si="13"/>
        <v>0</v>
      </c>
      <c r="V165" s="28">
        <v>2541</v>
      </c>
      <c r="W165" s="81">
        <f t="shared" si="14"/>
        <v>1152.5782121699999</v>
      </c>
      <c r="X165" s="28"/>
      <c r="Y165" s="92">
        <f>IF(COUNTIF('Raw Annual DMR Data'!$L:$L,'Raw TRI Data'!K165)&gt;0,"N/A - See DMRs",SUMIFS('Generic Factors'!$D:$D,'Generic Factors'!$A:$A,A165,'Generic Factors'!$B:$B,L165))</f>
        <v>0</v>
      </c>
      <c r="Z165" s="112" t="str">
        <f t="shared" si="15"/>
        <v>N/A - No Generic Factor</v>
      </c>
      <c r="AA165" s="112" t="str">
        <f t="shared" si="16"/>
        <v>N/A - No Generic Factor</v>
      </c>
      <c r="AB165" s="112" t="str">
        <f t="shared" si="17"/>
        <v>N/A - No Generic Factor</v>
      </c>
    </row>
    <row r="166" spans="1:28" x14ac:dyDescent="0.25">
      <c r="A166" s="97">
        <v>2021</v>
      </c>
      <c r="B166" s="28" t="s">
        <v>2405</v>
      </c>
      <c r="C166" s="28" t="s">
        <v>209</v>
      </c>
      <c r="D166" s="28" t="s">
        <v>436</v>
      </c>
      <c r="E166" s="28" t="s">
        <v>437</v>
      </c>
      <c r="F166" s="28" t="s">
        <v>362</v>
      </c>
      <c r="G166" s="63">
        <v>775413257</v>
      </c>
      <c r="H166" s="28">
        <v>28.979199999999999</v>
      </c>
      <c r="I166" s="28">
        <v>-95.354900000000001</v>
      </c>
      <c r="J166" s="28" t="s">
        <v>438</v>
      </c>
      <c r="K166" s="61">
        <v>110008170237</v>
      </c>
      <c r="L166" s="28" t="str">
        <f>INDEX('Facility Summary'!$K:$K,MATCH(K166,'Facility Summary'!$J:$J,0))</f>
        <v>Processing as a Reactant</v>
      </c>
      <c r="M166" s="28">
        <v>325199</v>
      </c>
      <c r="N166" s="97" t="str">
        <f>VLOOKUP(M166,'SIC &amp; NAICS Codes'!$D:$E,2,FALSE)</f>
        <v>All Other Basic Organic Chemical Manufacturing</v>
      </c>
      <c r="R166" s="28">
        <v>1642</v>
      </c>
      <c r="S166" s="28">
        <f t="shared" si="12"/>
        <v>744.79867153999999</v>
      </c>
      <c r="T166" s="28">
        <v>0</v>
      </c>
      <c r="U166" s="28">
        <f t="shared" si="13"/>
        <v>0</v>
      </c>
      <c r="V166" s="28">
        <v>0</v>
      </c>
      <c r="W166" s="81">
        <f t="shared" si="14"/>
        <v>0</v>
      </c>
      <c r="X166" s="28" t="s">
        <v>2474</v>
      </c>
      <c r="Y166" s="92">
        <f>IF(COUNTIF('Raw Annual DMR Data'!$L:$L,'Raw TRI Data'!K166)&gt;0,"N/A - See DMRs",SUMIFS('Generic Factors'!$D:$D,'Generic Factors'!$A:$A,A166,'Generic Factors'!$B:$B,L166))</f>
        <v>0</v>
      </c>
      <c r="Z166" s="112" t="str">
        <f t="shared" si="15"/>
        <v>N/A - No Generic Factor</v>
      </c>
      <c r="AA166" s="112" t="str">
        <f t="shared" si="16"/>
        <v>N/A - No Generic Factor</v>
      </c>
      <c r="AB166" s="112" t="str">
        <f t="shared" si="17"/>
        <v>N/A - No Generic Factor</v>
      </c>
    </row>
    <row r="167" spans="1:28" x14ac:dyDescent="0.25">
      <c r="A167" s="97">
        <v>2021</v>
      </c>
      <c r="B167" s="28" t="s">
        <v>2405</v>
      </c>
      <c r="C167" s="28" t="s">
        <v>2410</v>
      </c>
      <c r="D167" s="28" t="s">
        <v>2411</v>
      </c>
      <c r="E167" s="28" t="s">
        <v>446</v>
      </c>
      <c r="F167" s="28" t="s">
        <v>303</v>
      </c>
      <c r="G167" s="81">
        <v>70669</v>
      </c>
      <c r="H167" s="28">
        <v>30.223500000000001</v>
      </c>
      <c r="I167" s="28">
        <v>-93.286900000000003</v>
      </c>
      <c r="J167" s="28" t="s">
        <v>447</v>
      </c>
      <c r="K167" s="61">
        <v>110000494894</v>
      </c>
      <c r="L167" s="28" t="str">
        <f>INDEX('Facility Summary'!$K:$K,MATCH(K167,'Facility Summary'!$J:$J,0))</f>
        <v>Manufacturing</v>
      </c>
      <c r="M167" s="28">
        <v>325180</v>
      </c>
      <c r="N167" s="97" t="str">
        <f>VLOOKUP(M167,'SIC &amp; NAICS Codes'!$D:$E,2,FALSE)</f>
        <v>Other Basic Inorganic Chemical Manufacturing</v>
      </c>
      <c r="R167" s="28">
        <v>420</v>
      </c>
      <c r="S167" s="28">
        <f t="shared" si="12"/>
        <v>190.5087954</v>
      </c>
      <c r="T167" s="28">
        <v>0</v>
      </c>
      <c r="U167" s="28">
        <f t="shared" si="13"/>
        <v>0</v>
      </c>
      <c r="V167" s="28">
        <v>0</v>
      </c>
      <c r="W167" s="81">
        <f t="shared" si="14"/>
        <v>0</v>
      </c>
      <c r="X167" s="28" t="s">
        <v>839</v>
      </c>
      <c r="Y167" s="92" t="str">
        <f>IF(COUNTIF('Raw Annual DMR Data'!$L:$L,'Raw TRI Data'!K167)&gt;0,"N/A - See DMRs",SUMIFS('Generic Factors'!$D:$D,'Generic Factors'!$A:$A,A167,'Generic Factors'!$B:$B,L167))</f>
        <v>N/A - See DMRs</v>
      </c>
      <c r="Z167" s="112" t="e">
        <f t="shared" si="15"/>
        <v>#N/A</v>
      </c>
      <c r="AA167" s="112" t="e">
        <f t="shared" si="16"/>
        <v>#N/A</v>
      </c>
      <c r="AB167" s="112" t="e">
        <f t="shared" si="17"/>
        <v>#N/A</v>
      </c>
    </row>
    <row r="168" spans="1:28" x14ac:dyDescent="0.25">
      <c r="A168" s="97">
        <v>2021</v>
      </c>
      <c r="B168" s="28" t="s">
        <v>2405</v>
      </c>
      <c r="C168" s="28" t="s">
        <v>2412</v>
      </c>
      <c r="D168" s="28" t="s">
        <v>2413</v>
      </c>
      <c r="E168" s="28" t="s">
        <v>302</v>
      </c>
      <c r="F168" s="28" t="s">
        <v>303</v>
      </c>
      <c r="G168" s="81">
        <v>70805</v>
      </c>
      <c r="H168" s="28">
        <v>30.498203</v>
      </c>
      <c r="I168" s="28">
        <v>-91.189148000000003</v>
      </c>
      <c r="J168" s="28" t="s">
        <v>483</v>
      </c>
      <c r="K168" s="61">
        <v>110000597444</v>
      </c>
      <c r="L168" s="28" t="str">
        <f>INDEX('Facility Summary'!$K:$K,MATCH(K168,'Facility Summary'!$J:$J,0))</f>
        <v>Manufacturing</v>
      </c>
      <c r="M168" s="28">
        <v>325211</v>
      </c>
      <c r="N168" s="97" t="str">
        <f>VLOOKUP(M168,'SIC &amp; NAICS Codes'!$D:$E,2,FALSE)</f>
        <v>Plastics Material and Resin Manufacturing</v>
      </c>
      <c r="R168" s="28">
        <v>27</v>
      </c>
      <c r="S168" s="28">
        <f t="shared" si="12"/>
        <v>12.24699399</v>
      </c>
      <c r="T168" s="28">
        <v>0</v>
      </c>
      <c r="U168" s="28">
        <f t="shared" si="13"/>
        <v>0</v>
      </c>
      <c r="V168" s="28">
        <v>0</v>
      </c>
      <c r="W168" s="81">
        <f t="shared" si="14"/>
        <v>0</v>
      </c>
      <c r="X168" s="28" t="s">
        <v>862</v>
      </c>
      <c r="Y168" s="92" t="str">
        <f>IF(COUNTIF('Raw Annual DMR Data'!$L:$L,'Raw TRI Data'!K168)&gt;0,"N/A - See DMRs",SUMIFS('Generic Factors'!$D:$D,'Generic Factors'!$A:$A,A168,'Generic Factors'!$B:$B,L168))</f>
        <v>N/A - See DMRs</v>
      </c>
      <c r="Z168" s="112" t="e">
        <f t="shared" si="15"/>
        <v>#N/A</v>
      </c>
      <c r="AA168" s="112" t="e">
        <f t="shared" si="16"/>
        <v>#N/A</v>
      </c>
      <c r="AB168" s="112" t="e">
        <f t="shared" si="17"/>
        <v>#N/A</v>
      </c>
    </row>
    <row r="169" spans="1:28" x14ac:dyDescent="0.25">
      <c r="A169" s="97">
        <v>2021</v>
      </c>
      <c r="B169" s="28" t="s">
        <v>2405</v>
      </c>
      <c r="C169" s="28" t="s">
        <v>2414</v>
      </c>
      <c r="D169" s="28" t="s">
        <v>2415</v>
      </c>
      <c r="E169" s="28" t="s">
        <v>480</v>
      </c>
      <c r="F169" s="28" t="s">
        <v>362</v>
      </c>
      <c r="G169" s="81">
        <v>77978</v>
      </c>
      <c r="H169" s="28">
        <v>28.6753</v>
      </c>
      <c r="I169" s="28">
        <v>-96.549499999999995</v>
      </c>
      <c r="J169" s="28" t="s">
        <v>481</v>
      </c>
      <c r="K169" s="61">
        <v>110018925957</v>
      </c>
      <c r="L169" s="28" t="str">
        <f>INDEX('Facility Summary'!$K:$K,MATCH(K169,'Facility Summary'!$J:$J,0))</f>
        <v>Manufacturing</v>
      </c>
      <c r="M169" s="28">
        <v>325211</v>
      </c>
      <c r="N169" s="97" t="str">
        <f>VLOOKUP(M169,'SIC &amp; NAICS Codes'!$D:$E,2,FALSE)</f>
        <v>Plastics Material and Resin Manufacturing</v>
      </c>
      <c r="R169" s="28">
        <v>32</v>
      </c>
      <c r="S169" s="28">
        <f t="shared" si="12"/>
        <v>14.514955840000001</v>
      </c>
      <c r="T169" s="28">
        <v>0</v>
      </c>
      <c r="U169" s="28">
        <f t="shared" si="13"/>
        <v>0</v>
      </c>
      <c r="V169" s="28">
        <v>0</v>
      </c>
      <c r="W169" s="81">
        <f t="shared" si="14"/>
        <v>0</v>
      </c>
      <c r="X169" s="28" t="s">
        <v>2475</v>
      </c>
      <c r="Y169" s="92" t="str">
        <f>IF(COUNTIF('Raw Annual DMR Data'!$L:$L,'Raw TRI Data'!K169)&gt;0,"N/A - See DMRs",SUMIFS('Generic Factors'!$D:$D,'Generic Factors'!$A:$A,A169,'Generic Factors'!$B:$B,L169))</f>
        <v>N/A - See DMRs</v>
      </c>
      <c r="Z169" s="112" t="e">
        <f t="shared" si="15"/>
        <v>#N/A</v>
      </c>
      <c r="AA169" s="112" t="e">
        <f t="shared" si="16"/>
        <v>#N/A</v>
      </c>
      <c r="AB169" s="112" t="e">
        <f t="shared" si="17"/>
        <v>#N/A</v>
      </c>
    </row>
    <row r="170" spans="1:28" x14ac:dyDescent="0.25">
      <c r="A170" s="97">
        <v>2021</v>
      </c>
      <c r="B170" s="28" t="s">
        <v>2405</v>
      </c>
      <c r="C170" s="28" t="s">
        <v>210</v>
      </c>
      <c r="D170" s="28" t="s">
        <v>436</v>
      </c>
      <c r="E170" s="28" t="s">
        <v>437</v>
      </c>
      <c r="F170" s="28" t="s">
        <v>362</v>
      </c>
      <c r="G170" s="81">
        <v>77541</v>
      </c>
      <c r="H170" s="28">
        <v>28.969389</v>
      </c>
      <c r="I170" s="28">
        <v>-95.379527999999993</v>
      </c>
      <c r="J170" s="28" t="s">
        <v>484</v>
      </c>
      <c r="K170" s="61">
        <v>110066943605</v>
      </c>
      <c r="L170" s="28" t="str">
        <f>INDEX('Facility Summary'!$K:$K,MATCH(K170,'Facility Summary'!$J:$J,0))</f>
        <v>Manufacturing</v>
      </c>
      <c r="M170" s="28">
        <v>325199</v>
      </c>
      <c r="N170" s="97" t="str">
        <f>VLOOKUP(M170,'SIC &amp; NAICS Codes'!$D:$E,2,FALSE)</f>
        <v>All Other Basic Organic Chemical Manufacturing</v>
      </c>
      <c r="R170" s="28">
        <v>0</v>
      </c>
      <c r="S170" s="28">
        <f t="shared" si="12"/>
        <v>0</v>
      </c>
      <c r="T170" s="28">
        <v>0</v>
      </c>
      <c r="U170" s="28">
        <f t="shared" si="13"/>
        <v>0</v>
      </c>
      <c r="V170" s="28">
        <v>620</v>
      </c>
      <c r="W170" s="81">
        <f t="shared" si="14"/>
        <v>281.22726940000001</v>
      </c>
      <c r="X170" s="28"/>
      <c r="Y170" s="92">
        <f>IF(COUNTIF('Raw Annual DMR Data'!$L:$L,'Raw TRI Data'!K170)&gt;0,"N/A - See DMRs",SUMIFS('Generic Factors'!$D:$D,'Generic Factors'!$A:$A,A170,'Generic Factors'!$B:$B,L170))</f>
        <v>0</v>
      </c>
      <c r="Z170" s="112" t="str">
        <f t="shared" si="15"/>
        <v>N/A - No Generic Factor</v>
      </c>
      <c r="AA170" s="112" t="str">
        <f t="shared" si="16"/>
        <v>N/A - No Generic Factor</v>
      </c>
      <c r="AB170" s="112" t="str">
        <f t="shared" si="17"/>
        <v>N/A - No Generic Factor</v>
      </c>
    </row>
    <row r="171" spans="1:28" x14ac:dyDescent="0.25">
      <c r="A171" s="97">
        <v>2021</v>
      </c>
      <c r="B171" s="28" t="s">
        <v>2405</v>
      </c>
      <c r="C171" s="28" t="s">
        <v>7360</v>
      </c>
      <c r="D171" s="28" t="s">
        <v>343</v>
      </c>
      <c r="E171" s="28" t="s">
        <v>344</v>
      </c>
      <c r="F171" s="28" t="s">
        <v>345</v>
      </c>
      <c r="G171" s="81">
        <v>60901</v>
      </c>
      <c r="H171" s="28">
        <v>41.085541999999997</v>
      </c>
      <c r="I171" s="28">
        <v>-87.880542000000005</v>
      </c>
      <c r="J171" s="28" t="s">
        <v>346</v>
      </c>
      <c r="K171" s="61">
        <v>110043972207</v>
      </c>
      <c r="L171" s="28" t="str">
        <f>INDEX('Facility Summary'!$K:$K,MATCH(K171,'Facility Summary'!$J:$J,0))</f>
        <v>Processing into formulation, mixture, or reaction product</v>
      </c>
      <c r="M171" s="28">
        <v>325613</v>
      </c>
      <c r="N171" s="97" t="str">
        <f>VLOOKUP(M171,'SIC &amp; NAICS Codes'!$D:$E,2,FALSE)</f>
        <v>Surface Active Agent Manufacturing</v>
      </c>
      <c r="R171" s="28">
        <v>0</v>
      </c>
      <c r="S171" s="28">
        <f t="shared" si="12"/>
        <v>0</v>
      </c>
      <c r="T171" s="28">
        <v>100</v>
      </c>
      <c r="U171" s="28">
        <f t="shared" si="13"/>
        <v>45.359237</v>
      </c>
      <c r="V171" s="28">
        <v>0</v>
      </c>
      <c r="W171" s="81">
        <f t="shared" si="14"/>
        <v>0</v>
      </c>
      <c r="X171" s="28" t="s">
        <v>2467</v>
      </c>
      <c r="Y171" s="92">
        <f>IF(COUNTIF('Raw Annual DMR Data'!$L:$L,'Raw TRI Data'!K171)&gt;0,"N/A - See DMRs",SUMIFS('Generic Factors'!$D:$D,'Generic Factors'!$A:$A,A171,'Generic Factors'!$B:$B,L171))</f>
        <v>0</v>
      </c>
      <c r="Z171" s="112" t="str">
        <f t="shared" si="15"/>
        <v>N/A - No Generic Factor</v>
      </c>
      <c r="AA171" s="112" t="str">
        <f t="shared" si="16"/>
        <v>N/A - No Generic Factor</v>
      </c>
      <c r="AB171" s="112" t="str">
        <f t="shared" si="17"/>
        <v>N/A - No Generic Factor</v>
      </c>
    </row>
    <row r="172" spans="1:28" x14ac:dyDescent="0.25">
      <c r="A172" s="97">
        <v>2021</v>
      </c>
      <c r="B172" s="28" t="s">
        <v>2405</v>
      </c>
      <c r="C172" s="28" t="s">
        <v>213</v>
      </c>
      <c r="D172" s="28" t="s">
        <v>540</v>
      </c>
      <c r="E172" s="28" t="s">
        <v>460</v>
      </c>
      <c r="F172" s="28" t="s">
        <v>541</v>
      </c>
      <c r="G172" s="81">
        <v>29405</v>
      </c>
      <c r="H172" s="28">
        <v>32.835301999999999</v>
      </c>
      <c r="I172" s="28">
        <v>-79.958067999999997</v>
      </c>
      <c r="J172" s="28" t="s">
        <v>542</v>
      </c>
      <c r="K172" s="61">
        <v>110017326963</v>
      </c>
      <c r="L172" s="28" t="str">
        <f>INDEX('Facility Summary'!$K:$K,MATCH(K172,'Facility Summary'!$J:$J,0))</f>
        <v>Manufacturing</v>
      </c>
      <c r="M172" s="28">
        <v>325199</v>
      </c>
      <c r="N172" s="97" t="str">
        <f>VLOOKUP(M172,'SIC &amp; NAICS Codes'!$D:$E,2,FALSE)</f>
        <v>All Other Basic Organic Chemical Manufacturing</v>
      </c>
      <c r="R172" s="28">
        <v>0</v>
      </c>
      <c r="S172" s="28">
        <f t="shared" si="12"/>
        <v>0</v>
      </c>
      <c r="T172" s="28">
        <v>16</v>
      </c>
      <c r="U172" s="28">
        <f t="shared" si="13"/>
        <v>7.2574779200000004</v>
      </c>
      <c r="V172" s="28">
        <v>0</v>
      </c>
      <c r="W172" s="81">
        <f t="shared" si="14"/>
        <v>0</v>
      </c>
      <c r="X172" s="28"/>
      <c r="Y172" s="92">
        <f>IF(COUNTIF('Raw Annual DMR Data'!$L:$L,'Raw TRI Data'!K172)&gt;0,"N/A - See DMRs",SUMIFS('Generic Factors'!$D:$D,'Generic Factors'!$A:$A,A172,'Generic Factors'!$B:$B,L172))</f>
        <v>0</v>
      </c>
      <c r="Z172" s="112" t="str">
        <f t="shared" si="15"/>
        <v>N/A - No Generic Factor</v>
      </c>
      <c r="AA172" s="112" t="str">
        <f t="shared" si="16"/>
        <v>N/A - No Generic Factor</v>
      </c>
      <c r="AB172" s="112" t="str">
        <f t="shared" si="17"/>
        <v>N/A - No Generic Factor</v>
      </c>
    </row>
    <row r="173" spans="1:28" x14ac:dyDescent="0.25">
      <c r="A173" s="97">
        <v>2021</v>
      </c>
      <c r="B173" s="28" t="s">
        <v>2405</v>
      </c>
      <c r="C173" s="28" t="s">
        <v>215</v>
      </c>
      <c r="D173" s="28" t="s">
        <v>574</v>
      </c>
      <c r="E173" s="28" t="s">
        <v>575</v>
      </c>
      <c r="F173" s="28" t="s">
        <v>435</v>
      </c>
      <c r="G173" s="81">
        <v>28147</v>
      </c>
      <c r="H173" s="28">
        <v>35.629620000000003</v>
      </c>
      <c r="I173" s="28">
        <v>-80.53595</v>
      </c>
      <c r="J173" s="28" t="s">
        <v>576</v>
      </c>
      <c r="K173" s="61">
        <v>110000348936</v>
      </c>
      <c r="L173" s="28" t="str">
        <f>INDEX('Facility Summary'!$K:$K,MATCH(K173,'Facility Summary'!$J:$J,0))</f>
        <v>Processing into formulation, mixture, or reaction product</v>
      </c>
      <c r="M173" s="28">
        <v>325199</v>
      </c>
      <c r="N173" s="97" t="str">
        <f>VLOOKUP(M173,'SIC &amp; NAICS Codes'!$D:$E,2,FALSE)</f>
        <v>All Other Basic Organic Chemical Manufacturing</v>
      </c>
      <c r="R173" s="28">
        <v>0</v>
      </c>
      <c r="S173" s="28">
        <f t="shared" si="12"/>
        <v>0</v>
      </c>
      <c r="T173" s="28">
        <v>0.44</v>
      </c>
      <c r="U173" s="28">
        <f t="shared" si="13"/>
        <v>0.19958064280000001</v>
      </c>
      <c r="V173" s="28">
        <v>0</v>
      </c>
      <c r="W173" s="81">
        <f t="shared" si="14"/>
        <v>0</v>
      </c>
      <c r="X173" s="28" t="s">
        <v>2480</v>
      </c>
      <c r="Y173" s="92">
        <f>IF(COUNTIF('Raw Annual DMR Data'!$L:$L,'Raw TRI Data'!K173)&gt;0,"N/A - See DMRs",SUMIFS('Generic Factors'!$D:$D,'Generic Factors'!$A:$A,A173,'Generic Factors'!$B:$B,L173))</f>
        <v>0</v>
      </c>
      <c r="Z173" s="112" t="str">
        <f t="shared" si="15"/>
        <v>N/A - No Generic Factor</v>
      </c>
      <c r="AA173" s="112" t="str">
        <f t="shared" si="16"/>
        <v>N/A - No Generic Factor</v>
      </c>
      <c r="AB173" s="112" t="str">
        <f t="shared" si="17"/>
        <v>N/A - No Generic Factor</v>
      </c>
    </row>
    <row r="174" spans="1:28" x14ac:dyDescent="0.25">
      <c r="A174" s="97">
        <v>2021</v>
      </c>
      <c r="B174" s="28" t="s">
        <v>2405</v>
      </c>
      <c r="C174" s="28" t="s">
        <v>2419</v>
      </c>
      <c r="D174" s="28" t="s">
        <v>2420</v>
      </c>
      <c r="E174" s="28" t="s">
        <v>2421</v>
      </c>
      <c r="F174" s="28" t="s">
        <v>362</v>
      </c>
      <c r="G174" s="81">
        <v>78359</v>
      </c>
      <c r="H174" s="28">
        <v>27.883610999999998</v>
      </c>
      <c r="I174" s="28">
        <v>-97.241382999999999</v>
      </c>
      <c r="J174" s="28" t="s">
        <v>583</v>
      </c>
      <c r="K174" s="61">
        <v>110000599807</v>
      </c>
      <c r="L174" s="28" t="str">
        <f>INDEX('Facility Summary'!$K:$K,MATCH(K174,'Facility Summary'!$J:$J,0))</f>
        <v>Manufacturing</v>
      </c>
      <c r="M174" s="28">
        <v>325199</v>
      </c>
      <c r="N174" s="97" t="str">
        <f>VLOOKUP(M174,'SIC &amp; NAICS Codes'!$D:$E,2,FALSE)</f>
        <v>All Other Basic Organic Chemical Manufacturing</v>
      </c>
      <c r="R174" s="28">
        <v>4</v>
      </c>
      <c r="S174" s="28">
        <f t="shared" si="12"/>
        <v>1.8143694800000001</v>
      </c>
      <c r="T174" s="28">
        <v>0</v>
      </c>
      <c r="U174" s="28">
        <f t="shared" si="13"/>
        <v>0</v>
      </c>
      <c r="V174" s="28">
        <v>0</v>
      </c>
      <c r="W174" s="81">
        <f t="shared" si="14"/>
        <v>0</v>
      </c>
      <c r="X174" s="28" t="s">
        <v>910</v>
      </c>
      <c r="Y174" s="92" t="str">
        <f>IF(COUNTIF('Raw Annual DMR Data'!$L:$L,'Raw TRI Data'!K174)&gt;0,"N/A - See DMRs",SUMIFS('Generic Factors'!$D:$D,'Generic Factors'!$A:$A,A174,'Generic Factors'!$B:$B,L174))</f>
        <v>N/A - See DMRs</v>
      </c>
      <c r="Z174" s="112" t="e">
        <f t="shared" si="15"/>
        <v>#N/A</v>
      </c>
      <c r="AA174" s="112" t="e">
        <f t="shared" si="16"/>
        <v>#N/A</v>
      </c>
      <c r="AB174" s="112" t="e">
        <f t="shared" si="17"/>
        <v>#N/A</v>
      </c>
    </row>
    <row r="175" spans="1:28" x14ac:dyDescent="0.25">
      <c r="A175" s="97">
        <v>2021</v>
      </c>
      <c r="B175" s="28" t="s">
        <v>2405</v>
      </c>
      <c r="C175" s="28" t="s">
        <v>216</v>
      </c>
      <c r="D175" s="28" t="s">
        <v>586</v>
      </c>
      <c r="E175" s="28" t="s">
        <v>587</v>
      </c>
      <c r="F175" s="28" t="s">
        <v>303</v>
      </c>
      <c r="G175" s="81">
        <v>70723</v>
      </c>
      <c r="H175" s="28">
        <v>30.05509</v>
      </c>
      <c r="I175" s="28">
        <v>-90.830839999999995</v>
      </c>
      <c r="J175" s="28" t="s">
        <v>588</v>
      </c>
      <c r="K175" s="61">
        <v>110000597328</v>
      </c>
      <c r="L175" s="28" t="str">
        <f>INDEX('Facility Summary'!$K:$K,MATCH(K175,'Facility Summary'!$J:$J,0))</f>
        <v>Manufacturing</v>
      </c>
      <c r="M175" s="28">
        <v>325180</v>
      </c>
      <c r="N175" s="97" t="str">
        <f>VLOOKUP(M175,'SIC &amp; NAICS Codes'!$D:$E,2,FALSE)</f>
        <v>Other Basic Inorganic Chemical Manufacturing</v>
      </c>
      <c r="R175" s="28">
        <v>25</v>
      </c>
      <c r="S175" s="28">
        <f t="shared" si="12"/>
        <v>11.33980925</v>
      </c>
      <c r="T175" s="28">
        <v>0</v>
      </c>
      <c r="U175" s="28">
        <f t="shared" si="13"/>
        <v>0</v>
      </c>
      <c r="V175" s="28">
        <v>0</v>
      </c>
      <c r="W175" s="81">
        <f t="shared" si="14"/>
        <v>0</v>
      </c>
      <c r="X175" s="28" t="s">
        <v>2482</v>
      </c>
      <c r="Y175" s="92">
        <f>IF(COUNTIF('Raw Annual DMR Data'!$L:$L,'Raw TRI Data'!K175)&gt;0,"N/A - See DMRs",SUMIFS('Generic Factors'!$D:$D,'Generic Factors'!$A:$A,A175,'Generic Factors'!$B:$B,L175))</f>
        <v>0</v>
      </c>
      <c r="Z175" s="112" t="str">
        <f t="shared" si="15"/>
        <v>N/A - No Generic Factor</v>
      </c>
      <c r="AA175" s="112" t="str">
        <f t="shared" si="16"/>
        <v>N/A - No Generic Factor</v>
      </c>
      <c r="AB175" s="112" t="str">
        <f t="shared" si="17"/>
        <v>N/A - No Generic Factor</v>
      </c>
    </row>
    <row r="176" spans="1:28" x14ac:dyDescent="0.25">
      <c r="A176" s="97">
        <v>2021</v>
      </c>
      <c r="B176" s="28" t="s">
        <v>2405</v>
      </c>
      <c r="C176" s="28" t="s">
        <v>2422</v>
      </c>
      <c r="D176" s="28" t="s">
        <v>2423</v>
      </c>
      <c r="E176" s="28" t="s">
        <v>516</v>
      </c>
      <c r="F176" s="28" t="s">
        <v>303</v>
      </c>
      <c r="G176" s="81">
        <v>70734</v>
      </c>
      <c r="H176" s="28">
        <v>30.185099999999998</v>
      </c>
      <c r="I176" s="28">
        <v>-90.980400000000003</v>
      </c>
      <c r="J176" s="28" t="s">
        <v>585</v>
      </c>
      <c r="K176" s="61">
        <v>110000449774</v>
      </c>
      <c r="L176" s="28" t="str">
        <f>INDEX('Facility Summary'!$K:$K,MATCH(K176,'Facility Summary'!$J:$J,0))</f>
        <v>Manufacturing</v>
      </c>
      <c r="M176" s="28">
        <v>325199</v>
      </c>
      <c r="N176" s="97" t="str">
        <f>VLOOKUP(M176,'SIC &amp; NAICS Codes'!$D:$E,2,FALSE)</f>
        <v>All Other Basic Organic Chemical Manufacturing</v>
      </c>
      <c r="R176" s="28">
        <v>13</v>
      </c>
      <c r="S176" s="28">
        <f t="shared" si="12"/>
        <v>5.8967008100000005</v>
      </c>
      <c r="T176" s="28">
        <v>0</v>
      </c>
      <c r="U176" s="28">
        <f t="shared" si="13"/>
        <v>0</v>
      </c>
      <c r="V176" s="28">
        <v>0</v>
      </c>
      <c r="W176" s="81">
        <f t="shared" si="14"/>
        <v>0</v>
      </c>
      <c r="X176" s="28" t="s">
        <v>912</v>
      </c>
      <c r="Y176" s="92" t="str">
        <f>IF(COUNTIF('Raw Annual DMR Data'!$L:$L,'Raw TRI Data'!K176)&gt;0,"N/A - See DMRs",SUMIFS('Generic Factors'!$D:$D,'Generic Factors'!$A:$A,A176,'Generic Factors'!$B:$B,L176))</f>
        <v>N/A - See DMRs</v>
      </c>
      <c r="Z176" s="112" t="e">
        <f t="shared" si="15"/>
        <v>#N/A</v>
      </c>
      <c r="AA176" s="112" t="e">
        <f t="shared" si="16"/>
        <v>#N/A</v>
      </c>
      <c r="AB176" s="112" t="e">
        <f t="shared" si="17"/>
        <v>#N/A</v>
      </c>
    </row>
    <row r="177" spans="1:28" x14ac:dyDescent="0.25">
      <c r="A177" s="97">
        <v>2021</v>
      </c>
      <c r="B177" s="28" t="s">
        <v>2405</v>
      </c>
      <c r="C177" s="28" t="s">
        <v>217</v>
      </c>
      <c r="D177" s="28" t="s">
        <v>592</v>
      </c>
      <c r="E177" s="28" t="s">
        <v>590</v>
      </c>
      <c r="F177" s="28" t="s">
        <v>362</v>
      </c>
      <c r="G177" s="81">
        <v>77536</v>
      </c>
      <c r="H177" s="28">
        <v>29.710967</v>
      </c>
      <c r="I177" s="28">
        <v>-95.119144000000006</v>
      </c>
      <c r="J177" s="28" t="s">
        <v>593</v>
      </c>
      <c r="K177" s="61">
        <v>110015742204</v>
      </c>
      <c r="L177" s="28" t="str">
        <f>INDEX('Facility Summary'!$K:$K,MATCH(K177,'Facility Summary'!$J:$J,0))</f>
        <v>Manufacturing</v>
      </c>
      <c r="M177" s="28">
        <v>325199</v>
      </c>
      <c r="N177" s="97" t="str">
        <f>VLOOKUP(M177,'SIC &amp; NAICS Codes'!$D:$E,2,FALSE)</f>
        <v>All Other Basic Organic Chemical Manufacturing</v>
      </c>
      <c r="R177" s="28">
        <v>0</v>
      </c>
      <c r="S177" s="28">
        <f t="shared" si="12"/>
        <v>0</v>
      </c>
      <c r="T177" s="28">
        <v>0</v>
      </c>
      <c r="U177" s="28">
        <f t="shared" si="13"/>
        <v>0</v>
      </c>
      <c r="V177" s="28">
        <v>536.58000000000004</v>
      </c>
      <c r="W177" s="81">
        <f t="shared" si="14"/>
        <v>243.38859389460004</v>
      </c>
      <c r="X177" s="28"/>
      <c r="Y177" s="92">
        <f>IF(COUNTIF('Raw Annual DMR Data'!$L:$L,'Raw TRI Data'!K177)&gt;0,"N/A - See DMRs",SUMIFS('Generic Factors'!$D:$D,'Generic Factors'!$A:$A,A177,'Generic Factors'!$B:$B,L177))</f>
        <v>0</v>
      </c>
      <c r="Z177" s="112" t="str">
        <f t="shared" si="15"/>
        <v>N/A - No Generic Factor</v>
      </c>
      <c r="AA177" s="112" t="str">
        <f t="shared" si="16"/>
        <v>N/A - No Generic Factor</v>
      </c>
      <c r="AB177" s="112" t="str">
        <f t="shared" si="17"/>
        <v>N/A - No Generic Factor</v>
      </c>
    </row>
    <row r="178" spans="1:28" x14ac:dyDescent="0.25">
      <c r="A178" s="97">
        <v>2021</v>
      </c>
      <c r="B178" s="28" t="s">
        <v>2405</v>
      </c>
      <c r="C178" s="28" t="s">
        <v>218</v>
      </c>
      <c r="D178" s="28" t="s">
        <v>594</v>
      </c>
      <c r="E178" s="28" t="s">
        <v>361</v>
      </c>
      <c r="F178" s="28" t="s">
        <v>362</v>
      </c>
      <c r="G178" s="81">
        <v>77571</v>
      </c>
      <c r="H178" s="28">
        <v>29.723759999999999</v>
      </c>
      <c r="I178" s="28">
        <v>-95.074219999999997</v>
      </c>
      <c r="J178" s="28" t="s">
        <v>595</v>
      </c>
      <c r="K178" s="61">
        <v>110017769734</v>
      </c>
      <c r="L178" s="28" t="str">
        <f>INDEX('Facility Summary'!$K:$K,MATCH(K178,'Facility Summary'!$J:$J,0))</f>
        <v>Manufacturing</v>
      </c>
      <c r="M178" s="28">
        <v>325199</v>
      </c>
      <c r="N178" s="97" t="str">
        <f>VLOOKUP(M178,'SIC &amp; NAICS Codes'!$D:$E,2,FALSE)</f>
        <v>All Other Basic Organic Chemical Manufacturing</v>
      </c>
      <c r="R178" s="28">
        <v>4.2</v>
      </c>
      <c r="S178" s="28">
        <f t="shared" si="12"/>
        <v>1.9050879540000001</v>
      </c>
      <c r="T178" s="28">
        <v>0</v>
      </c>
      <c r="U178" s="28">
        <f t="shared" si="13"/>
        <v>0</v>
      </c>
      <c r="V178" s="28">
        <v>0</v>
      </c>
      <c r="W178" s="81">
        <f t="shared" si="14"/>
        <v>0</v>
      </c>
      <c r="X178" s="28" t="s">
        <v>2485</v>
      </c>
      <c r="Y178" s="92">
        <f>IF(COUNTIF('Raw Annual DMR Data'!$L:$L,'Raw TRI Data'!K178)&gt;0,"N/A - See DMRs",SUMIFS('Generic Factors'!$D:$D,'Generic Factors'!$A:$A,A178,'Generic Factors'!$B:$B,L178))</f>
        <v>0</v>
      </c>
      <c r="Z178" s="112" t="str">
        <f t="shared" si="15"/>
        <v>N/A - No Generic Factor</v>
      </c>
      <c r="AA178" s="112" t="str">
        <f t="shared" si="16"/>
        <v>N/A - No Generic Factor</v>
      </c>
      <c r="AB178" s="112" t="str">
        <f t="shared" si="17"/>
        <v>N/A - No Generic Factor</v>
      </c>
    </row>
    <row r="179" spans="1:28" x14ac:dyDescent="0.25">
      <c r="A179" s="97">
        <v>2021</v>
      </c>
      <c r="B179" s="28" t="s">
        <v>2405</v>
      </c>
      <c r="C179" s="28" t="s">
        <v>221</v>
      </c>
      <c r="D179" s="28" t="s">
        <v>663</v>
      </c>
      <c r="E179" s="28" t="s">
        <v>446</v>
      </c>
      <c r="F179" s="28" t="s">
        <v>303</v>
      </c>
      <c r="G179" s="81">
        <v>70669</v>
      </c>
      <c r="H179" s="28">
        <v>30.252222</v>
      </c>
      <c r="I179" s="28">
        <v>-93.284443999999993</v>
      </c>
      <c r="J179" s="28" t="s">
        <v>664</v>
      </c>
      <c r="K179" s="61">
        <v>110002054482</v>
      </c>
      <c r="L179" s="28" t="str">
        <f>INDEX('Facility Summary'!$K:$K,MATCH(K179,'Facility Summary'!$J:$J,0))</f>
        <v>Manufacturing</v>
      </c>
      <c r="M179" s="28">
        <v>325110</v>
      </c>
      <c r="N179" s="97" t="str">
        <f>VLOOKUP(M179,'SIC &amp; NAICS Codes'!$D:$E,2,FALSE)</f>
        <v>Petrochemical Manufacturing</v>
      </c>
      <c r="R179" s="28">
        <v>0</v>
      </c>
      <c r="S179" s="28">
        <f t="shared" si="12"/>
        <v>0</v>
      </c>
      <c r="T179" s="28">
        <v>0</v>
      </c>
      <c r="U179" s="28">
        <f t="shared" si="13"/>
        <v>0</v>
      </c>
      <c r="V179" s="28">
        <v>75</v>
      </c>
      <c r="W179" s="81">
        <f t="shared" si="14"/>
        <v>34.019427750000006</v>
      </c>
      <c r="X179" s="28"/>
      <c r="Y179" s="92">
        <f>IF(COUNTIF('Raw Annual DMR Data'!$L:$L,'Raw TRI Data'!K179)&gt;0,"N/A - See DMRs",SUMIFS('Generic Factors'!$D:$D,'Generic Factors'!$A:$A,A179,'Generic Factors'!$B:$B,L179))</f>
        <v>0</v>
      </c>
      <c r="Z179" s="112" t="str">
        <f t="shared" si="15"/>
        <v>N/A - No Generic Factor</v>
      </c>
      <c r="AA179" s="112" t="str">
        <f t="shared" si="16"/>
        <v>N/A - No Generic Factor</v>
      </c>
      <c r="AB179" s="112" t="str">
        <f t="shared" si="17"/>
        <v>N/A - No Generic Factor</v>
      </c>
    </row>
    <row r="180" spans="1:28" x14ac:dyDescent="0.25">
      <c r="A180" s="97">
        <v>2021</v>
      </c>
      <c r="B180" s="28" t="s">
        <v>2405</v>
      </c>
      <c r="C180" s="28" t="s">
        <v>201</v>
      </c>
      <c r="D180" s="28" t="s">
        <v>665</v>
      </c>
      <c r="E180" s="28" t="s">
        <v>516</v>
      </c>
      <c r="F180" s="28" t="s">
        <v>303</v>
      </c>
      <c r="G180" s="81">
        <v>70734</v>
      </c>
      <c r="H180" s="28">
        <v>30.208604000000001</v>
      </c>
      <c r="I180" s="28">
        <v>-91.011127999999999</v>
      </c>
      <c r="J180" s="28" t="s">
        <v>666</v>
      </c>
      <c r="K180" s="61">
        <v>110000746328</v>
      </c>
      <c r="L180" s="28" t="str">
        <f>INDEX('Facility Summary'!$K:$K,MATCH(K180,'Facility Summary'!$J:$J,0))</f>
        <v>Manufacturing</v>
      </c>
      <c r="M180" s="28">
        <v>325211</v>
      </c>
      <c r="N180" s="97" t="str">
        <f>VLOOKUP(M180,'SIC &amp; NAICS Codes'!$D:$E,2,FALSE)</f>
        <v>Plastics Material and Resin Manufacturing</v>
      </c>
      <c r="R180" s="28">
        <v>9</v>
      </c>
      <c r="S180" s="28">
        <f t="shared" si="12"/>
        <v>4.0823313299999997</v>
      </c>
      <c r="T180" s="28">
        <v>0</v>
      </c>
      <c r="U180" s="28">
        <f t="shared" si="13"/>
        <v>0</v>
      </c>
      <c r="V180" s="28">
        <v>0</v>
      </c>
      <c r="W180" s="81">
        <f t="shared" si="14"/>
        <v>0</v>
      </c>
      <c r="X180" s="28" t="s">
        <v>2488</v>
      </c>
      <c r="Y180" s="92" t="str">
        <f>IF(COUNTIF('Raw Annual DMR Data'!$L:$L,'Raw TRI Data'!K180)&gt;0,"N/A - See DMRs",SUMIFS('Generic Factors'!$D:$D,'Generic Factors'!$A:$A,A180,'Generic Factors'!$B:$B,L180))</f>
        <v>N/A - See DMRs</v>
      </c>
      <c r="Z180" s="112" t="e">
        <f t="shared" si="15"/>
        <v>#N/A</v>
      </c>
      <c r="AA180" s="112" t="e">
        <f t="shared" si="16"/>
        <v>#N/A</v>
      </c>
      <c r="AB180" s="112" t="e">
        <f t="shared" si="17"/>
        <v>#N/A</v>
      </c>
    </row>
    <row r="181" spans="1:28" x14ac:dyDescent="0.25">
      <c r="A181" s="254">
        <v>2021</v>
      </c>
      <c r="B181" s="126" t="s">
        <v>2405</v>
      </c>
      <c r="C181" s="126" t="s">
        <v>202</v>
      </c>
      <c r="D181" s="126" t="s">
        <v>2426</v>
      </c>
      <c r="E181" s="126" t="s">
        <v>323</v>
      </c>
      <c r="F181" s="126" t="s">
        <v>324</v>
      </c>
      <c r="G181" s="223">
        <v>42029</v>
      </c>
      <c r="H181" s="126">
        <v>37.051110999999999</v>
      </c>
      <c r="I181" s="126">
        <v>-88.334166999999994</v>
      </c>
      <c r="J181" s="28" t="s">
        <v>668</v>
      </c>
      <c r="K181" s="286">
        <v>110027373072</v>
      </c>
      <c r="L181" s="126" t="str">
        <f>INDEX('Facility Summary'!$K:$K,MATCH(K181,'Facility Summary'!$J:$J,0))</f>
        <v>Manufacturing</v>
      </c>
      <c r="M181" s="126">
        <v>325199</v>
      </c>
      <c r="N181" s="254" t="str">
        <f>VLOOKUP(M181,'SIC &amp; NAICS Codes'!$D:$E,2,FALSE)</f>
        <v>All Other Basic Organic Chemical Manufacturing</v>
      </c>
      <c r="R181" s="126">
        <v>1755.942</v>
      </c>
      <c r="S181" s="126">
        <f t="shared" si="12"/>
        <v>796.48189336254006</v>
      </c>
      <c r="T181" s="126">
        <v>0</v>
      </c>
      <c r="U181" s="126">
        <f t="shared" si="13"/>
        <v>0</v>
      </c>
      <c r="V181" s="126">
        <v>0</v>
      </c>
      <c r="W181" s="81">
        <f t="shared" si="14"/>
        <v>0</v>
      </c>
      <c r="X181" s="126" t="s">
        <v>957</v>
      </c>
      <c r="Y181" s="92" t="str">
        <f>IF(COUNTIF('Raw Annual DMR Data'!$L:$L,'Raw TRI Data'!K181)&gt;0,"N/A - See DMRs",SUMIFS('Generic Factors'!$D:$D,'Generic Factors'!$A:$A,A181,'Generic Factors'!$B:$B,L181))</f>
        <v>N/A - See DMRs</v>
      </c>
      <c r="Z181" s="112" t="e">
        <f t="shared" si="15"/>
        <v>#N/A</v>
      </c>
      <c r="AA181" s="112" t="e">
        <f t="shared" si="16"/>
        <v>#N/A</v>
      </c>
      <c r="AB181" s="112" t="e">
        <f t="shared" si="17"/>
        <v>#N/A</v>
      </c>
    </row>
    <row r="182" spans="1:28" x14ac:dyDescent="0.25">
      <c r="A182" s="97">
        <v>2022</v>
      </c>
      <c r="B182" s="28" t="s">
        <v>2405</v>
      </c>
      <c r="C182" s="28" t="s">
        <v>217</v>
      </c>
      <c r="D182" s="28" t="s">
        <v>592</v>
      </c>
      <c r="E182" s="28" t="s">
        <v>590</v>
      </c>
      <c r="F182" s="28" t="s">
        <v>362</v>
      </c>
      <c r="G182" s="81">
        <v>77536</v>
      </c>
      <c r="H182" s="28">
        <v>29.728559000000001</v>
      </c>
      <c r="I182" s="28">
        <v>-95.110764000000003</v>
      </c>
      <c r="J182" s="97" t="s">
        <v>593</v>
      </c>
      <c r="K182" s="61">
        <v>110015742204</v>
      </c>
      <c r="L182" s="28" t="str">
        <f>INDEX('Facility Summary'!$K:$K,MATCH(K182,'Facility Summary'!$J:$J,0))</f>
        <v>Manufacturing</v>
      </c>
      <c r="M182" s="28">
        <v>325199</v>
      </c>
      <c r="N182" s="28" t="str">
        <f>VLOOKUP(M182,'SIC &amp; NAICS Codes'!$D:$E,2,FALSE)</f>
        <v>All Other Basic Organic Chemical Manufacturing</v>
      </c>
      <c r="R182" s="28">
        <v>0</v>
      </c>
      <c r="S182" s="28">
        <f t="shared" si="12"/>
        <v>0</v>
      </c>
      <c r="T182" s="28">
        <v>0</v>
      </c>
      <c r="U182" s="28">
        <f t="shared" si="13"/>
        <v>0</v>
      </c>
      <c r="V182" s="28">
        <v>588</v>
      </c>
      <c r="W182" s="81">
        <f t="shared" si="14"/>
        <v>266.71231356000004</v>
      </c>
      <c r="X182" s="28"/>
      <c r="Y182" s="373">
        <f>IF(COUNTIF('Raw Annual DMR Data'!$L:$L,'Raw TRI Data'!K182)&gt;0,"N/A - See DMRs",SUMIFS('Generic Factors'!$D:$D,'Generic Factors'!$A:$A,A182,'Generic Factors'!$B:$B,L182))</f>
        <v>0</v>
      </c>
      <c r="Z182" s="112" t="str">
        <f t="shared" si="15"/>
        <v>N/A - No Generic Factor</v>
      </c>
      <c r="AA182" s="112" t="str">
        <f t="shared" si="16"/>
        <v>N/A - No Generic Factor</v>
      </c>
      <c r="AB182" s="112" t="str">
        <f t="shared" si="17"/>
        <v>N/A - No Generic Factor</v>
      </c>
    </row>
    <row r="183" spans="1:28" x14ac:dyDescent="0.25">
      <c r="A183" s="97">
        <v>2022</v>
      </c>
      <c r="B183" s="28" t="s">
        <v>2405</v>
      </c>
      <c r="C183" s="28" t="s">
        <v>213</v>
      </c>
      <c r="D183" s="28" t="s">
        <v>540</v>
      </c>
      <c r="E183" s="28" t="s">
        <v>460</v>
      </c>
      <c r="F183" s="28" t="s">
        <v>541</v>
      </c>
      <c r="G183" s="81">
        <v>29405</v>
      </c>
      <c r="H183" s="28">
        <v>32.833576999999998</v>
      </c>
      <c r="I183" s="28">
        <v>-79.964774000000006</v>
      </c>
      <c r="J183" s="97" t="s">
        <v>542</v>
      </c>
      <c r="K183" s="61">
        <v>110017326963</v>
      </c>
      <c r="L183" s="28" t="str">
        <f>INDEX('Facility Summary'!$K:$K,MATCH(K183,'Facility Summary'!$J:$J,0))</f>
        <v>Manufacturing</v>
      </c>
      <c r="M183" s="28">
        <v>325199</v>
      </c>
      <c r="N183" s="28" t="str">
        <f>VLOOKUP(M183,'SIC &amp; NAICS Codes'!$D:$E,2,FALSE)</f>
        <v>All Other Basic Organic Chemical Manufacturing</v>
      </c>
      <c r="R183" s="28">
        <v>0</v>
      </c>
      <c r="S183" s="28">
        <f t="shared" si="12"/>
        <v>0</v>
      </c>
      <c r="T183" s="28">
        <v>18</v>
      </c>
      <c r="U183" s="28">
        <f t="shared" si="13"/>
        <v>8.1646626599999994</v>
      </c>
      <c r="V183" s="28">
        <v>0</v>
      </c>
      <c r="W183" s="81">
        <f t="shared" si="14"/>
        <v>0</v>
      </c>
      <c r="X183" s="28" t="s">
        <v>7363</v>
      </c>
      <c r="Y183" s="373">
        <f>IF(COUNTIF('Raw Annual DMR Data'!$L:$L,'Raw TRI Data'!K183)&gt;0,"N/A - See DMRs",SUMIFS('Generic Factors'!$D:$D,'Generic Factors'!$A:$A,A183,'Generic Factors'!$B:$B,L183))</f>
        <v>0</v>
      </c>
      <c r="Z183" s="112" t="str">
        <f t="shared" si="15"/>
        <v>N/A - No Generic Factor</v>
      </c>
      <c r="AA183" s="112" t="str">
        <f t="shared" si="16"/>
        <v>N/A - No Generic Factor</v>
      </c>
      <c r="AB183" s="112" t="str">
        <f t="shared" si="17"/>
        <v>N/A - No Generic Factor</v>
      </c>
    </row>
    <row r="184" spans="1:28" x14ac:dyDescent="0.25">
      <c r="A184" s="97">
        <v>2022</v>
      </c>
      <c r="B184" s="28" t="s">
        <v>2405</v>
      </c>
      <c r="C184" s="28" t="s">
        <v>210</v>
      </c>
      <c r="D184" s="28" t="s">
        <v>436</v>
      </c>
      <c r="E184" s="28" t="s">
        <v>437</v>
      </c>
      <c r="F184" s="28" t="s">
        <v>362</v>
      </c>
      <c r="G184" s="81">
        <v>77541</v>
      </c>
      <c r="H184" s="28">
        <v>28.969389</v>
      </c>
      <c r="I184" s="28">
        <v>-95.379527999999993</v>
      </c>
      <c r="J184" s="97" t="s">
        <v>484</v>
      </c>
      <c r="K184" s="61">
        <v>110066943605</v>
      </c>
      <c r="L184" s="28" t="str">
        <f>INDEX('Facility Summary'!$K:$K,MATCH(K184,'Facility Summary'!$J:$J,0))</f>
        <v>Manufacturing</v>
      </c>
      <c r="M184" s="28">
        <v>325199</v>
      </c>
      <c r="N184" s="28" t="str">
        <f>VLOOKUP(M184,'SIC &amp; NAICS Codes'!$D:$E,2,FALSE)</f>
        <v>All Other Basic Organic Chemical Manufacturing</v>
      </c>
      <c r="R184" s="28">
        <v>0</v>
      </c>
      <c r="S184" s="28">
        <f t="shared" si="12"/>
        <v>0</v>
      </c>
      <c r="T184" s="28">
        <v>0</v>
      </c>
      <c r="U184" s="28">
        <f t="shared" si="13"/>
        <v>0</v>
      </c>
      <c r="V184" s="28">
        <v>622</v>
      </c>
      <c r="W184" s="81">
        <f t="shared" si="14"/>
        <v>282.13445414</v>
      </c>
      <c r="X184" s="28"/>
      <c r="Y184" s="373">
        <f>IF(COUNTIF('Raw Annual DMR Data'!$L:$L,'Raw TRI Data'!K184)&gt;0,"N/A - See DMRs",SUMIFS('Generic Factors'!$D:$D,'Generic Factors'!$A:$A,A184,'Generic Factors'!$B:$B,L184))</f>
        <v>0</v>
      </c>
      <c r="Z184" s="112" t="str">
        <f t="shared" si="15"/>
        <v>N/A - No Generic Factor</v>
      </c>
      <c r="AA184" s="112" t="str">
        <f t="shared" si="16"/>
        <v>N/A - No Generic Factor</v>
      </c>
      <c r="AB184" s="112" t="str">
        <f t="shared" si="17"/>
        <v>N/A - No Generic Factor</v>
      </c>
    </row>
    <row r="185" spans="1:28" x14ac:dyDescent="0.25">
      <c r="A185" s="97">
        <v>2022</v>
      </c>
      <c r="B185" s="28" t="s">
        <v>2405</v>
      </c>
      <c r="C185" s="28" t="s">
        <v>215</v>
      </c>
      <c r="D185" s="28" t="s">
        <v>574</v>
      </c>
      <c r="E185" s="28" t="s">
        <v>575</v>
      </c>
      <c r="F185" s="28" t="s">
        <v>435</v>
      </c>
      <c r="G185" s="81">
        <v>28147</v>
      </c>
      <c r="H185" s="28">
        <v>35.629620000000003</v>
      </c>
      <c r="I185" s="28">
        <v>-80.53595</v>
      </c>
      <c r="J185" s="97" t="s">
        <v>576</v>
      </c>
      <c r="K185" s="61">
        <v>110000348936</v>
      </c>
      <c r="L185" s="28" t="str">
        <f>INDEX('Facility Summary'!$K:$K,MATCH(K185,'Facility Summary'!$J:$J,0))</f>
        <v>Processing into formulation, mixture, or reaction product</v>
      </c>
      <c r="M185" s="28">
        <v>325199</v>
      </c>
      <c r="N185" s="28" t="str">
        <f>VLOOKUP(M185,'SIC &amp; NAICS Codes'!$D:$E,2,FALSE)</f>
        <v>All Other Basic Organic Chemical Manufacturing</v>
      </c>
      <c r="R185" s="28">
        <v>0</v>
      </c>
      <c r="S185" s="28">
        <f t="shared" si="12"/>
        <v>0</v>
      </c>
      <c r="T185" s="28">
        <v>0.42</v>
      </c>
      <c r="U185" s="28">
        <f t="shared" si="13"/>
        <v>0.19050879539999999</v>
      </c>
      <c r="V185" s="28">
        <v>0</v>
      </c>
      <c r="W185" s="81">
        <f t="shared" si="14"/>
        <v>0</v>
      </c>
      <c r="X185" s="28" t="s">
        <v>2480</v>
      </c>
      <c r="Y185" s="373">
        <f>IF(COUNTIF('Raw Annual DMR Data'!$L:$L,'Raw TRI Data'!K185)&gt;0,"N/A - See DMRs",SUMIFS('Generic Factors'!$D:$D,'Generic Factors'!$A:$A,A185,'Generic Factors'!$B:$B,L185))</f>
        <v>0</v>
      </c>
      <c r="Z185" s="112" t="str">
        <f t="shared" si="15"/>
        <v>N/A - No Generic Factor</v>
      </c>
      <c r="AA185" s="112" t="str">
        <f t="shared" si="16"/>
        <v>N/A - No Generic Factor</v>
      </c>
      <c r="AB185" s="112" t="str">
        <f t="shared" si="17"/>
        <v>N/A - No Generic Factor</v>
      </c>
    </row>
    <row r="186" spans="1:28" x14ac:dyDescent="0.25">
      <c r="A186" s="97">
        <v>2022</v>
      </c>
      <c r="B186" s="28" t="s">
        <v>2405</v>
      </c>
      <c r="C186" s="28" t="s">
        <v>2412</v>
      </c>
      <c r="D186" s="28" t="s">
        <v>2413</v>
      </c>
      <c r="E186" s="28" t="s">
        <v>302</v>
      </c>
      <c r="F186" s="28" t="s">
        <v>303</v>
      </c>
      <c r="G186" s="81">
        <v>70805</v>
      </c>
      <c r="H186" s="28">
        <v>30.503799999999998</v>
      </c>
      <c r="I186" s="28">
        <v>-91.186496000000005</v>
      </c>
      <c r="J186" s="97" t="s">
        <v>483</v>
      </c>
      <c r="K186" s="61">
        <v>110000597444</v>
      </c>
      <c r="L186" s="28" t="str">
        <f>INDEX('Facility Summary'!$K:$K,MATCH(K186,'Facility Summary'!$J:$J,0))</f>
        <v>Manufacturing</v>
      </c>
      <c r="M186" s="28">
        <v>325211</v>
      </c>
      <c r="N186" s="28" t="str">
        <f>VLOOKUP(M186,'SIC &amp; NAICS Codes'!$D:$E,2,FALSE)</f>
        <v>Plastics Material and Resin Manufacturing</v>
      </c>
      <c r="R186" s="28">
        <v>7</v>
      </c>
      <c r="S186" s="28">
        <f t="shared" si="12"/>
        <v>3.1751465900000002</v>
      </c>
      <c r="T186" s="28">
        <v>0</v>
      </c>
      <c r="U186" s="28">
        <f t="shared" si="13"/>
        <v>0</v>
      </c>
      <c r="V186" s="28">
        <v>0</v>
      </c>
      <c r="W186" s="81">
        <f t="shared" si="14"/>
        <v>0</v>
      </c>
      <c r="X186" s="28" t="s">
        <v>862</v>
      </c>
      <c r="Y186" s="373" t="str">
        <f>IF(COUNTIF('Raw Annual DMR Data'!$L:$L,'Raw TRI Data'!K186)&gt;0,"N/A - See DMRs",SUMIFS('Generic Factors'!$D:$D,'Generic Factors'!$A:$A,A186,'Generic Factors'!$B:$B,L186))</f>
        <v>N/A - See DMRs</v>
      </c>
      <c r="Z186" s="112" t="e">
        <f t="shared" si="15"/>
        <v>#N/A</v>
      </c>
      <c r="AA186" s="112" t="e">
        <f t="shared" si="16"/>
        <v>#N/A</v>
      </c>
      <c r="AB186" s="112" t="e">
        <f t="shared" si="17"/>
        <v>#N/A</v>
      </c>
    </row>
    <row r="187" spans="1:28" x14ac:dyDescent="0.25">
      <c r="A187" s="97">
        <v>2022</v>
      </c>
      <c r="B187" s="28" t="s">
        <v>2405</v>
      </c>
      <c r="C187" s="28" t="s">
        <v>105</v>
      </c>
      <c r="D187" s="28" t="s">
        <v>322</v>
      </c>
      <c r="E187" s="28" t="s">
        <v>323</v>
      </c>
      <c r="F187" s="28" t="s">
        <v>324</v>
      </c>
      <c r="G187" s="81">
        <v>42029</v>
      </c>
      <c r="H187" s="28">
        <v>37.056699000000002</v>
      </c>
      <c r="I187" s="28">
        <v>-88.365727000000007</v>
      </c>
      <c r="J187" s="97" t="s">
        <v>325</v>
      </c>
      <c r="K187" s="61">
        <v>110000380061</v>
      </c>
      <c r="L187" s="28" t="str">
        <f>INDEX('Facility Summary'!$K:$K,MATCH(K187,'Facility Summary'!$J:$J,0))</f>
        <v>Manufacturing</v>
      </c>
      <c r="M187" s="28">
        <v>325180</v>
      </c>
      <c r="N187" s="28" t="str">
        <f>VLOOKUP(M187,'SIC &amp; NAICS Codes'!$D:$E,2,FALSE)</f>
        <v>Other Basic Inorganic Chemical Manufacturing</v>
      </c>
      <c r="R187" s="28">
        <v>130</v>
      </c>
      <c r="S187" s="28">
        <f t="shared" si="12"/>
        <v>58.967008100000001</v>
      </c>
      <c r="T187" s="28">
        <v>0</v>
      </c>
      <c r="U187" s="28">
        <f t="shared" si="13"/>
        <v>0</v>
      </c>
      <c r="V187" s="28">
        <v>0</v>
      </c>
      <c r="W187" s="81">
        <f t="shared" si="14"/>
        <v>0</v>
      </c>
      <c r="X187" s="28" t="s">
        <v>776</v>
      </c>
      <c r="Y187" s="373" t="str">
        <f>IF(COUNTIF('Raw Annual DMR Data'!$L:$L,'Raw TRI Data'!K187)&gt;0,"N/A - See DMRs",SUMIFS('Generic Factors'!$D:$D,'Generic Factors'!$A:$A,A187,'Generic Factors'!$B:$B,L187))</f>
        <v>N/A - See DMRs</v>
      </c>
      <c r="Z187" s="112" t="e">
        <f t="shared" si="15"/>
        <v>#N/A</v>
      </c>
      <c r="AA187" s="112" t="e">
        <f t="shared" si="16"/>
        <v>#N/A</v>
      </c>
      <c r="AB187" s="112" t="e">
        <f t="shared" si="17"/>
        <v>#N/A</v>
      </c>
    </row>
    <row r="188" spans="1:28" x14ac:dyDescent="0.25">
      <c r="A188" s="97">
        <v>2022</v>
      </c>
      <c r="B188" s="28" t="s">
        <v>2405</v>
      </c>
      <c r="C188" s="28" t="s">
        <v>7360</v>
      </c>
      <c r="D188" s="28" t="s">
        <v>343</v>
      </c>
      <c r="E188" s="28" t="s">
        <v>344</v>
      </c>
      <c r="F188" s="28" t="s">
        <v>345</v>
      </c>
      <c r="G188" s="81">
        <v>60901</v>
      </c>
      <c r="H188" s="28">
        <v>41.085541999999997</v>
      </c>
      <c r="I188" s="28">
        <v>-87.880542000000005</v>
      </c>
      <c r="J188" s="97" t="s">
        <v>346</v>
      </c>
      <c r="K188" s="61">
        <v>110043972207</v>
      </c>
      <c r="L188" s="28" t="str">
        <f>INDEX('Facility Summary'!$K:$K,MATCH(K188,'Facility Summary'!$J:$J,0))</f>
        <v>Processing into formulation, mixture, or reaction product</v>
      </c>
      <c r="M188" s="28">
        <v>325613</v>
      </c>
      <c r="N188" s="28" t="str">
        <f>VLOOKUP(M188,'SIC &amp; NAICS Codes'!$D:$E,2,FALSE)</f>
        <v>Surface Active Agent Manufacturing</v>
      </c>
      <c r="R188" s="28">
        <v>0</v>
      </c>
      <c r="S188" s="28">
        <f t="shared" si="12"/>
        <v>0</v>
      </c>
      <c r="T188" s="28">
        <v>25</v>
      </c>
      <c r="U188" s="28">
        <f t="shared" si="13"/>
        <v>11.33980925</v>
      </c>
      <c r="V188" s="28">
        <v>0</v>
      </c>
      <c r="W188" s="81">
        <f t="shared" si="14"/>
        <v>0</v>
      </c>
      <c r="X188" s="28" t="s">
        <v>7364</v>
      </c>
      <c r="Y188" s="373">
        <f>IF(COUNTIF('Raw Annual DMR Data'!$L:$L,'Raw TRI Data'!K188)&gt;0,"N/A - See DMRs",SUMIFS('Generic Factors'!$D:$D,'Generic Factors'!$A:$A,A188,'Generic Factors'!$B:$B,L188))</f>
        <v>0</v>
      </c>
      <c r="Z188" s="112" t="str">
        <f t="shared" si="15"/>
        <v>N/A - No Generic Factor</v>
      </c>
      <c r="AA188" s="112" t="str">
        <f t="shared" si="16"/>
        <v>N/A - No Generic Factor</v>
      </c>
      <c r="AB188" s="112" t="str">
        <f t="shared" si="17"/>
        <v>N/A - No Generic Factor</v>
      </c>
    </row>
    <row r="189" spans="1:28" x14ac:dyDescent="0.25">
      <c r="A189" s="97">
        <v>2022</v>
      </c>
      <c r="B189" s="28" t="s">
        <v>2405</v>
      </c>
      <c r="C189" s="28" t="s">
        <v>218</v>
      </c>
      <c r="D189" s="28" t="s">
        <v>594</v>
      </c>
      <c r="E189" s="28" t="s">
        <v>361</v>
      </c>
      <c r="F189" s="28" t="s">
        <v>362</v>
      </c>
      <c r="G189" s="81">
        <v>77571</v>
      </c>
      <c r="H189" s="28">
        <v>29.723700000000001</v>
      </c>
      <c r="I189" s="28">
        <v>-95.074079999999995</v>
      </c>
      <c r="J189" s="97" t="s">
        <v>595</v>
      </c>
      <c r="K189" s="61">
        <v>110017769734</v>
      </c>
      <c r="L189" s="28" t="str">
        <f>INDEX('Facility Summary'!$K:$K,MATCH(K189,'Facility Summary'!$J:$J,0))</f>
        <v>Manufacturing</v>
      </c>
      <c r="M189" s="28">
        <v>325199</v>
      </c>
      <c r="N189" s="28" t="str">
        <f>VLOOKUP(M189,'SIC &amp; NAICS Codes'!$D:$E,2,FALSE)</f>
        <v>All Other Basic Organic Chemical Manufacturing</v>
      </c>
      <c r="R189" s="28">
        <v>3.4</v>
      </c>
      <c r="S189" s="28">
        <f t="shared" si="12"/>
        <v>1.5422140580000001</v>
      </c>
      <c r="T189" s="28">
        <v>0</v>
      </c>
      <c r="U189" s="28">
        <f t="shared" si="13"/>
        <v>0</v>
      </c>
      <c r="V189" s="28">
        <v>0</v>
      </c>
      <c r="W189" s="81">
        <f t="shared" si="14"/>
        <v>0</v>
      </c>
      <c r="X189" s="28" t="s">
        <v>2485</v>
      </c>
      <c r="Y189" s="373">
        <f>IF(COUNTIF('Raw Annual DMR Data'!$L:$L,'Raw TRI Data'!K189)&gt;0,"N/A - See DMRs",SUMIFS('Generic Factors'!$D:$D,'Generic Factors'!$A:$A,A189,'Generic Factors'!$B:$B,L189))</f>
        <v>0</v>
      </c>
      <c r="Z189" s="112" t="str">
        <f t="shared" si="15"/>
        <v>N/A - No Generic Factor</v>
      </c>
      <c r="AA189" s="112" t="str">
        <f t="shared" si="16"/>
        <v>N/A - No Generic Factor</v>
      </c>
      <c r="AB189" s="112" t="str">
        <f t="shared" si="17"/>
        <v>N/A - No Generic Factor</v>
      </c>
    </row>
    <row r="190" spans="1:28" x14ac:dyDescent="0.25">
      <c r="A190" s="97">
        <v>2022</v>
      </c>
      <c r="B190" s="28" t="s">
        <v>2405</v>
      </c>
      <c r="C190" s="28" t="s">
        <v>2414</v>
      </c>
      <c r="D190" s="28" t="s">
        <v>2415</v>
      </c>
      <c r="E190" s="28" t="s">
        <v>480</v>
      </c>
      <c r="F190" s="28" t="s">
        <v>362</v>
      </c>
      <c r="G190" s="81">
        <v>77978</v>
      </c>
      <c r="H190" s="28">
        <v>28.697590000000002</v>
      </c>
      <c r="I190" s="28">
        <v>-96.542101000000002</v>
      </c>
      <c r="J190" s="97" t="s">
        <v>481</v>
      </c>
      <c r="K190" s="61">
        <v>110018925957</v>
      </c>
      <c r="L190" s="28" t="str">
        <f>INDEX('Facility Summary'!$K:$K,MATCH(K190,'Facility Summary'!$J:$J,0))</f>
        <v>Manufacturing</v>
      </c>
      <c r="M190" s="28">
        <v>325199</v>
      </c>
      <c r="N190" s="28" t="str">
        <f>VLOOKUP(M190,'SIC &amp; NAICS Codes'!$D:$E,2,FALSE)</f>
        <v>All Other Basic Organic Chemical Manufacturing</v>
      </c>
      <c r="R190" s="28">
        <v>6</v>
      </c>
      <c r="S190" s="28">
        <f t="shared" si="12"/>
        <v>2.7215542199999998</v>
      </c>
      <c r="T190" s="28">
        <v>0</v>
      </c>
      <c r="U190" s="28">
        <f t="shared" si="13"/>
        <v>0</v>
      </c>
      <c r="V190" s="28">
        <v>0</v>
      </c>
      <c r="W190" s="81">
        <f t="shared" si="14"/>
        <v>0</v>
      </c>
      <c r="X190" s="28" t="s">
        <v>860</v>
      </c>
      <c r="Y190" s="373" t="str">
        <f>IF(COUNTIF('Raw Annual DMR Data'!$L:$L,'Raw TRI Data'!K190)&gt;0,"N/A - See DMRs",SUMIFS('Generic Factors'!$D:$D,'Generic Factors'!$A:$A,A190,'Generic Factors'!$B:$B,L190))</f>
        <v>N/A - See DMRs</v>
      </c>
      <c r="Z190" s="112" t="e">
        <f t="shared" si="15"/>
        <v>#N/A</v>
      </c>
      <c r="AA190" s="112" t="e">
        <f t="shared" si="16"/>
        <v>#N/A</v>
      </c>
      <c r="AB190" s="112" t="e">
        <f t="shared" si="17"/>
        <v>#N/A</v>
      </c>
    </row>
    <row r="191" spans="1:28" x14ac:dyDescent="0.25">
      <c r="A191" s="97">
        <v>2022</v>
      </c>
      <c r="B191" s="28" t="s">
        <v>2405</v>
      </c>
      <c r="C191" s="28" t="s">
        <v>7361</v>
      </c>
      <c r="D191" s="28" t="s">
        <v>2411</v>
      </c>
      <c r="E191" s="28" t="s">
        <v>446</v>
      </c>
      <c r="F191" s="28" t="s">
        <v>303</v>
      </c>
      <c r="G191" s="81">
        <v>70669</v>
      </c>
      <c r="H191" s="28">
        <v>30.223500000000001</v>
      </c>
      <c r="I191" s="28">
        <v>-93.286900000000003</v>
      </c>
      <c r="J191" s="97" t="s">
        <v>447</v>
      </c>
      <c r="K191" s="61">
        <v>110000494894</v>
      </c>
      <c r="L191" s="28" t="str">
        <f>INDEX('Facility Summary'!$K:$K,MATCH(K191,'Facility Summary'!$J:$J,0))</f>
        <v>Manufacturing</v>
      </c>
      <c r="M191" s="28">
        <v>325180</v>
      </c>
      <c r="N191" s="28" t="str">
        <f>VLOOKUP(M191,'SIC &amp; NAICS Codes'!$D:$E,2,FALSE)</f>
        <v>Other Basic Inorganic Chemical Manufacturing</v>
      </c>
      <c r="R191" s="28">
        <v>140</v>
      </c>
      <c r="S191" s="28">
        <f t="shared" si="12"/>
        <v>63.502931800000006</v>
      </c>
      <c r="T191" s="28">
        <v>0</v>
      </c>
      <c r="U191" s="28">
        <f t="shared" si="13"/>
        <v>0</v>
      </c>
      <c r="V191" s="28">
        <v>0</v>
      </c>
      <c r="W191" s="81">
        <f t="shared" si="14"/>
        <v>0</v>
      </c>
      <c r="X191" s="28" t="s">
        <v>839</v>
      </c>
      <c r="Y191" s="373" t="str">
        <f>IF(COUNTIF('Raw Annual DMR Data'!$L:$L,'Raw TRI Data'!K191)&gt;0,"N/A - See DMRs",SUMIFS('Generic Factors'!$D:$D,'Generic Factors'!$A:$A,A191,'Generic Factors'!$B:$B,L191))</f>
        <v>N/A - See DMRs</v>
      </c>
      <c r="Z191" s="112" t="e">
        <f t="shared" si="15"/>
        <v>#N/A</v>
      </c>
      <c r="AA191" s="112" t="e">
        <f t="shared" si="16"/>
        <v>#N/A</v>
      </c>
      <c r="AB191" s="112" t="e">
        <f t="shared" si="17"/>
        <v>#N/A</v>
      </c>
    </row>
    <row r="192" spans="1:28" x14ac:dyDescent="0.25">
      <c r="A192" s="97">
        <v>2022</v>
      </c>
      <c r="B192" s="28" t="s">
        <v>2405</v>
      </c>
      <c r="C192" s="28" t="s">
        <v>201</v>
      </c>
      <c r="D192" s="28" t="s">
        <v>665</v>
      </c>
      <c r="E192" s="28" t="s">
        <v>516</v>
      </c>
      <c r="F192" s="28" t="s">
        <v>303</v>
      </c>
      <c r="G192" s="81">
        <v>70734</v>
      </c>
      <c r="H192" s="28">
        <v>30.208604000000001</v>
      </c>
      <c r="I192" s="28">
        <v>-91.011127999999999</v>
      </c>
      <c r="J192" s="97" t="s">
        <v>666</v>
      </c>
      <c r="K192" s="61">
        <v>110000746328</v>
      </c>
      <c r="L192" s="28" t="str">
        <f>INDEX('Facility Summary'!$K:$K,MATCH(K192,'Facility Summary'!$J:$J,0))</f>
        <v>Manufacturing</v>
      </c>
      <c r="M192" s="28">
        <v>325211</v>
      </c>
      <c r="N192" s="28" t="str">
        <f>VLOOKUP(M192,'SIC &amp; NAICS Codes'!$D:$E,2,FALSE)</f>
        <v>Plastics Material and Resin Manufacturing</v>
      </c>
      <c r="R192" s="28">
        <v>4</v>
      </c>
      <c r="S192" s="28">
        <f t="shared" si="12"/>
        <v>1.8143694800000001</v>
      </c>
      <c r="T192" s="28">
        <v>0</v>
      </c>
      <c r="U192" s="28">
        <f t="shared" si="13"/>
        <v>0</v>
      </c>
      <c r="V192" s="28">
        <v>0</v>
      </c>
      <c r="W192" s="81">
        <f t="shared" si="14"/>
        <v>0</v>
      </c>
      <c r="X192" s="28" t="s">
        <v>2488</v>
      </c>
      <c r="Y192" s="373" t="str">
        <f>IF(COUNTIF('Raw Annual DMR Data'!$L:$L,'Raw TRI Data'!K192)&gt;0,"N/A - See DMRs",SUMIFS('Generic Factors'!$D:$D,'Generic Factors'!$A:$A,A192,'Generic Factors'!$B:$B,L192))</f>
        <v>N/A - See DMRs</v>
      </c>
      <c r="Z192" s="112" t="e">
        <f t="shared" si="15"/>
        <v>#N/A</v>
      </c>
      <c r="AA192" s="112" t="e">
        <f t="shared" si="16"/>
        <v>#N/A</v>
      </c>
      <c r="AB192" s="112" t="e">
        <f t="shared" si="17"/>
        <v>#N/A</v>
      </c>
    </row>
    <row r="193" spans="1:28" x14ac:dyDescent="0.25">
      <c r="A193" s="97">
        <v>2022</v>
      </c>
      <c r="B193" s="28" t="s">
        <v>2405</v>
      </c>
      <c r="C193" s="28" t="s">
        <v>7362</v>
      </c>
      <c r="D193" s="28" t="s">
        <v>333</v>
      </c>
      <c r="E193" s="28" t="s">
        <v>334</v>
      </c>
      <c r="F193" s="28" t="s">
        <v>303</v>
      </c>
      <c r="G193" s="81">
        <v>70764</v>
      </c>
      <c r="H193" s="28">
        <v>30.262255</v>
      </c>
      <c r="I193" s="28">
        <v>-91.185837000000006</v>
      </c>
      <c r="J193" s="97" t="s">
        <v>335</v>
      </c>
      <c r="K193" s="61">
        <v>110000613747</v>
      </c>
      <c r="L193" s="28" t="str">
        <f>INDEX('Facility Summary'!$K:$K,MATCH(K193,'Facility Summary'!$J:$J,0))</f>
        <v>Manufacturing</v>
      </c>
      <c r="M193" s="28">
        <v>325211</v>
      </c>
      <c r="N193" s="28" t="str">
        <f>VLOOKUP(M193,'SIC &amp; NAICS Codes'!$D:$E,2,FALSE)</f>
        <v>Plastics Material and Resin Manufacturing</v>
      </c>
      <c r="R193" s="28">
        <v>407</v>
      </c>
      <c r="S193" s="28">
        <f t="shared" si="12"/>
        <v>184.61209459</v>
      </c>
      <c r="T193" s="28">
        <v>0</v>
      </c>
      <c r="U193" s="28">
        <f t="shared" si="13"/>
        <v>0</v>
      </c>
      <c r="V193" s="28">
        <v>0</v>
      </c>
      <c r="W193" s="81">
        <f t="shared" si="14"/>
        <v>0</v>
      </c>
      <c r="X193" s="28" t="s">
        <v>2465</v>
      </c>
      <c r="Y193" s="373">
        <f>IF(COUNTIF('Raw Annual DMR Data'!$L:$L,'Raw TRI Data'!K193)&gt;0,"N/A - See DMRs",SUMIFS('Generic Factors'!$D:$D,'Generic Factors'!$A:$A,A193,'Generic Factors'!$B:$B,L193))</f>
        <v>0</v>
      </c>
      <c r="Z193" s="112" t="str">
        <f t="shared" si="15"/>
        <v>N/A - No Generic Factor</v>
      </c>
      <c r="AA193" s="112" t="str">
        <f t="shared" si="16"/>
        <v>N/A - No Generic Factor</v>
      </c>
      <c r="AB193" s="112" t="str">
        <f t="shared" si="17"/>
        <v>N/A - No Generic Factor</v>
      </c>
    </row>
    <row r="194" spans="1:28" x14ac:dyDescent="0.25">
      <c r="A194" s="97">
        <v>2022</v>
      </c>
      <c r="B194" s="28" t="s">
        <v>2405</v>
      </c>
      <c r="C194" s="28" t="s">
        <v>2422</v>
      </c>
      <c r="D194" s="28" t="s">
        <v>2423</v>
      </c>
      <c r="E194" s="28" t="s">
        <v>516</v>
      </c>
      <c r="F194" s="28" t="s">
        <v>303</v>
      </c>
      <c r="G194" s="81">
        <v>70734</v>
      </c>
      <c r="H194" s="28">
        <v>30.181861999999999</v>
      </c>
      <c r="I194" s="28">
        <v>-90.986958999999999</v>
      </c>
      <c r="J194" s="97" t="s">
        <v>585</v>
      </c>
      <c r="K194" s="61">
        <v>110000449774</v>
      </c>
      <c r="L194" s="28" t="str">
        <f>INDEX('Facility Summary'!$K:$K,MATCH(K194,'Facility Summary'!$J:$J,0))</f>
        <v>Manufacturing</v>
      </c>
      <c r="M194" s="28">
        <v>325199</v>
      </c>
      <c r="N194" s="28" t="str">
        <f>VLOOKUP(M194,'SIC &amp; NAICS Codes'!$D:$E,2,FALSE)</f>
        <v>All Other Basic Organic Chemical Manufacturing</v>
      </c>
      <c r="R194" s="28">
        <v>39</v>
      </c>
      <c r="S194" s="28">
        <f t="shared" ref="S194:S248" si="18">CONVERT(R194,"lbm","g")/1000</f>
        <v>17.69010243</v>
      </c>
      <c r="T194" s="28">
        <v>0</v>
      </c>
      <c r="U194" s="28">
        <f t="shared" ref="U194:U248" si="19">CONVERT(T194,"lbm","g")/1000</f>
        <v>0</v>
      </c>
      <c r="V194" s="28">
        <v>0</v>
      </c>
      <c r="W194" s="81">
        <f t="shared" ref="W194:W248" si="20">CONVERT(V194,"lbm","g")/1000</f>
        <v>0</v>
      </c>
      <c r="X194" s="28" t="s">
        <v>912</v>
      </c>
      <c r="Y194" s="373" t="str">
        <f>IF(COUNTIF('Raw Annual DMR Data'!$L:$L,'Raw TRI Data'!K194)&gt;0,"N/A - See DMRs",SUMIFS('Generic Factors'!$D:$D,'Generic Factors'!$A:$A,A194,'Generic Factors'!$B:$B,L194))</f>
        <v>N/A - See DMRs</v>
      </c>
      <c r="Z194" s="112" t="e">
        <f t="shared" ref="Z194:Z248" si="21">IFERROR(IF($Y194&gt;0,$Y194*S194/30.4167,"N/A - No Generic Factor"),#N/A)</f>
        <v>#N/A</v>
      </c>
      <c r="AA194" s="112" t="e">
        <f t="shared" ref="AA194:AA248" si="22">IFERROR(IF($Y194&gt;0, $Y194*U194/30.4167,"N/A - No Generic Factor"),#N/A)</f>
        <v>#N/A</v>
      </c>
      <c r="AB194" s="112" t="e">
        <f t="shared" ref="AB194:AB248" si="23">IFERROR(IF($Y194&gt;0, $Y194*W194/30.4167,"N/A - No Generic Factor"),#N/A)</f>
        <v>#N/A</v>
      </c>
    </row>
    <row r="195" spans="1:28" x14ac:dyDescent="0.25">
      <c r="A195" s="97">
        <v>2022</v>
      </c>
      <c r="B195" s="28" t="s">
        <v>2405</v>
      </c>
      <c r="C195" s="28" t="s">
        <v>216</v>
      </c>
      <c r="D195" s="28" t="s">
        <v>586</v>
      </c>
      <c r="E195" s="28" t="s">
        <v>587</v>
      </c>
      <c r="F195" s="28" t="s">
        <v>303</v>
      </c>
      <c r="G195" s="81">
        <v>70723</v>
      </c>
      <c r="H195" s="28">
        <v>30.05509</v>
      </c>
      <c r="I195" s="28">
        <v>-90.830839999999995</v>
      </c>
      <c r="J195" s="97" t="s">
        <v>588</v>
      </c>
      <c r="K195" s="61">
        <v>110000597328</v>
      </c>
      <c r="L195" s="28" t="str">
        <f>INDEX('Facility Summary'!$K:$K,MATCH(K195,'Facility Summary'!$J:$J,0))</f>
        <v>Manufacturing</v>
      </c>
      <c r="M195" s="28">
        <v>325180</v>
      </c>
      <c r="N195" s="28" t="str">
        <f>VLOOKUP(M195,'SIC &amp; NAICS Codes'!$D:$E,2,FALSE)</f>
        <v>Other Basic Inorganic Chemical Manufacturing</v>
      </c>
      <c r="R195" s="28">
        <v>1</v>
      </c>
      <c r="S195" s="28">
        <f t="shared" si="18"/>
        <v>0.45359237000000002</v>
      </c>
      <c r="T195" s="28">
        <v>0</v>
      </c>
      <c r="U195" s="28">
        <f t="shared" si="19"/>
        <v>0</v>
      </c>
      <c r="V195" s="28">
        <v>0</v>
      </c>
      <c r="W195" s="81">
        <f t="shared" si="20"/>
        <v>0</v>
      </c>
      <c r="X195" s="28" t="s">
        <v>2482</v>
      </c>
      <c r="Y195" s="373">
        <f>IF(COUNTIF('Raw Annual DMR Data'!$L:$L,'Raw TRI Data'!K195)&gt;0,"N/A - See DMRs",SUMIFS('Generic Factors'!$D:$D,'Generic Factors'!$A:$A,A195,'Generic Factors'!$B:$B,L195))</f>
        <v>0</v>
      </c>
      <c r="Z195" s="112" t="str">
        <f t="shared" si="21"/>
        <v>N/A - No Generic Factor</v>
      </c>
      <c r="AA195" s="112" t="str">
        <f t="shared" si="22"/>
        <v>N/A - No Generic Factor</v>
      </c>
      <c r="AB195" s="112" t="str">
        <f t="shared" si="23"/>
        <v>N/A - No Generic Factor</v>
      </c>
    </row>
    <row r="196" spans="1:28" x14ac:dyDescent="0.25">
      <c r="A196" s="97">
        <v>2022</v>
      </c>
      <c r="B196" s="28" t="s">
        <v>2405</v>
      </c>
      <c r="C196" s="28" t="s">
        <v>2419</v>
      </c>
      <c r="D196" s="28" t="s">
        <v>2420</v>
      </c>
      <c r="E196" s="28" t="s">
        <v>2421</v>
      </c>
      <c r="F196" s="28" t="s">
        <v>362</v>
      </c>
      <c r="G196" s="81">
        <v>78359</v>
      </c>
      <c r="H196" s="28">
        <v>27.883610999999998</v>
      </c>
      <c r="I196" s="28">
        <v>-97.241382999999999</v>
      </c>
      <c r="J196" s="97" t="s">
        <v>583</v>
      </c>
      <c r="K196" s="61">
        <v>110000599807</v>
      </c>
      <c r="L196" s="28" t="str">
        <f>INDEX('Facility Summary'!$K:$K,MATCH(K196,'Facility Summary'!$J:$J,0))</f>
        <v>Manufacturing</v>
      </c>
      <c r="M196" s="28">
        <v>325199</v>
      </c>
      <c r="N196" s="28" t="str">
        <f>VLOOKUP(M196,'SIC &amp; NAICS Codes'!$D:$E,2,FALSE)</f>
        <v>All Other Basic Organic Chemical Manufacturing</v>
      </c>
      <c r="R196" s="28">
        <v>237</v>
      </c>
      <c r="S196" s="28">
        <f t="shared" si="18"/>
        <v>107.50139169000001</v>
      </c>
      <c r="T196" s="28">
        <v>0</v>
      </c>
      <c r="U196" s="28">
        <f t="shared" si="19"/>
        <v>0</v>
      </c>
      <c r="V196" s="28">
        <v>0</v>
      </c>
      <c r="W196" s="81">
        <f t="shared" si="20"/>
        <v>0</v>
      </c>
      <c r="X196" s="28" t="s">
        <v>910</v>
      </c>
      <c r="Y196" s="373" t="str">
        <f>IF(COUNTIF('Raw Annual DMR Data'!$L:$L,'Raw TRI Data'!K196)&gt;0,"N/A - See DMRs",SUMIFS('Generic Factors'!$D:$D,'Generic Factors'!$A:$A,A196,'Generic Factors'!$B:$B,L196))</f>
        <v>N/A - See DMRs</v>
      </c>
      <c r="Z196" s="112" t="e">
        <f t="shared" si="21"/>
        <v>#N/A</v>
      </c>
      <c r="AA196" s="112" t="e">
        <f t="shared" si="22"/>
        <v>#N/A</v>
      </c>
      <c r="AB196" s="112" t="e">
        <f t="shared" si="23"/>
        <v>#N/A</v>
      </c>
    </row>
    <row r="197" spans="1:28" x14ac:dyDescent="0.25">
      <c r="A197" s="97">
        <v>2022</v>
      </c>
      <c r="B197" s="28" t="s">
        <v>2405</v>
      </c>
      <c r="C197" s="28" t="s">
        <v>209</v>
      </c>
      <c r="D197" s="28" t="s">
        <v>436</v>
      </c>
      <c r="E197" s="28" t="s">
        <v>437</v>
      </c>
      <c r="F197" s="28" t="s">
        <v>362</v>
      </c>
      <c r="G197" s="81">
        <v>775413257</v>
      </c>
      <c r="H197" s="28">
        <v>28.980146999999999</v>
      </c>
      <c r="I197" s="28">
        <v>-95.342271999999994</v>
      </c>
      <c r="J197" s="97" t="s">
        <v>438</v>
      </c>
      <c r="K197" s="61">
        <v>110008170237</v>
      </c>
      <c r="L197" s="28" t="str">
        <f>INDEX('Facility Summary'!$K:$K,MATCH(K197,'Facility Summary'!$J:$J,0))</f>
        <v>Processing as a Reactant</v>
      </c>
      <c r="M197" s="28">
        <v>325199</v>
      </c>
      <c r="N197" s="28" t="str">
        <f>VLOOKUP(M197,'SIC &amp; NAICS Codes'!$D:$E,2,FALSE)</f>
        <v>All Other Basic Organic Chemical Manufacturing</v>
      </c>
      <c r="R197" s="28">
        <v>84</v>
      </c>
      <c r="S197" s="28">
        <f t="shared" si="18"/>
        <v>38.101759080000001</v>
      </c>
      <c r="T197" s="28">
        <v>0</v>
      </c>
      <c r="U197" s="28">
        <f t="shared" si="19"/>
        <v>0</v>
      </c>
      <c r="V197" s="28">
        <v>0</v>
      </c>
      <c r="W197" s="81">
        <f t="shared" si="20"/>
        <v>0</v>
      </c>
      <c r="X197" s="28" t="s">
        <v>7365</v>
      </c>
      <c r="Y197" s="373">
        <f>IF(COUNTIF('Raw Annual DMR Data'!$L:$L,'Raw TRI Data'!K197)&gt;0,"N/A - See DMRs",SUMIFS('Generic Factors'!$D:$D,'Generic Factors'!$A:$A,A197,'Generic Factors'!$B:$B,L197))</f>
        <v>0</v>
      </c>
      <c r="Z197" s="112" t="str">
        <f t="shared" si="21"/>
        <v>N/A - No Generic Factor</v>
      </c>
      <c r="AA197" s="112" t="str">
        <f t="shared" si="22"/>
        <v>N/A - No Generic Factor</v>
      </c>
      <c r="AB197" s="112" t="str">
        <f t="shared" si="23"/>
        <v>N/A - No Generic Factor</v>
      </c>
    </row>
    <row r="198" spans="1:28" x14ac:dyDescent="0.25">
      <c r="A198" s="97">
        <v>2022</v>
      </c>
      <c r="B198" s="28" t="s">
        <v>2405</v>
      </c>
      <c r="C198" s="28" t="s">
        <v>7359</v>
      </c>
      <c r="D198" s="28" t="s">
        <v>2470</v>
      </c>
      <c r="E198" s="28" t="s">
        <v>368</v>
      </c>
      <c r="F198" s="28" t="s">
        <v>349</v>
      </c>
      <c r="G198" s="81">
        <v>63630</v>
      </c>
      <c r="H198" s="28">
        <v>37.983333000000002</v>
      </c>
      <c r="I198" s="28">
        <v>-90.690832999999998</v>
      </c>
      <c r="J198" s="97" t="s">
        <v>369</v>
      </c>
      <c r="K198" s="61">
        <v>110017980443</v>
      </c>
      <c r="L198" s="28" t="str">
        <f>INDEX('Facility Summary'!$K:$K,MATCH(K198,'Facility Summary'!$J:$J,0))</f>
        <v>Manufacturing</v>
      </c>
      <c r="M198" s="28">
        <v>325998</v>
      </c>
      <c r="N198" s="28" t="str">
        <f>VLOOKUP(M198,'SIC &amp; NAICS Codes'!$D:$E,2,FALSE)</f>
        <v>All Other Miscellaneous Chemical Product and Preparation Manufacturing</v>
      </c>
      <c r="R198" s="28">
        <v>0</v>
      </c>
      <c r="S198" s="28">
        <f t="shared" si="18"/>
        <v>0</v>
      </c>
      <c r="T198" s="28">
        <v>19</v>
      </c>
      <c r="U198" s="28">
        <f t="shared" si="19"/>
        <v>8.6182550300000003</v>
      </c>
      <c r="V198" s="28">
        <v>0</v>
      </c>
      <c r="W198" s="81">
        <f t="shared" si="20"/>
        <v>0</v>
      </c>
      <c r="X198" s="28" t="s">
        <v>796</v>
      </c>
      <c r="Y198" s="373" t="str">
        <f>IF(COUNTIF('Raw Annual DMR Data'!$L:$L,'Raw TRI Data'!K198)&gt;0,"N/A - See DMRs",SUMIFS('Generic Factors'!$D:$D,'Generic Factors'!$A:$A,A198,'Generic Factors'!$B:$B,L198))</f>
        <v>N/A - See DMRs</v>
      </c>
      <c r="Z198" s="112" t="e">
        <f t="shared" si="21"/>
        <v>#N/A</v>
      </c>
      <c r="AA198" s="112" t="e">
        <f t="shared" si="22"/>
        <v>#N/A</v>
      </c>
      <c r="AB198" s="112" t="e">
        <f t="shared" si="23"/>
        <v>#N/A</v>
      </c>
    </row>
    <row r="199" spans="1:28" x14ac:dyDescent="0.25">
      <c r="A199" s="97">
        <v>2022</v>
      </c>
      <c r="B199" s="28" t="s">
        <v>2405</v>
      </c>
      <c r="C199" s="28" t="s">
        <v>208</v>
      </c>
      <c r="D199" s="28" t="s">
        <v>425</v>
      </c>
      <c r="E199" s="28" t="s">
        <v>426</v>
      </c>
      <c r="F199" s="28" t="s">
        <v>427</v>
      </c>
      <c r="G199" s="81">
        <v>48640</v>
      </c>
      <c r="H199" s="28">
        <v>43.600960000000001</v>
      </c>
      <c r="I199" s="28">
        <v>-84.207689999999999</v>
      </c>
      <c r="J199" s="97" t="s">
        <v>428</v>
      </c>
      <c r="K199" s="61">
        <v>110070788638</v>
      </c>
      <c r="L199" s="28" t="str">
        <f>INDEX('Facility Summary'!$K:$K,MATCH(K199,'Facility Summary'!$J:$J,0))</f>
        <v>Processing as a Reactant</v>
      </c>
      <c r="M199" s="28">
        <v>325199</v>
      </c>
      <c r="N199" s="28" t="str">
        <f>VLOOKUP(M199,'SIC &amp; NAICS Codes'!$D:$E,2,FALSE)</f>
        <v>All Other Basic Organic Chemical Manufacturing</v>
      </c>
      <c r="R199" s="28">
        <v>0</v>
      </c>
      <c r="S199" s="28">
        <f t="shared" si="18"/>
        <v>0</v>
      </c>
      <c r="T199" s="28">
        <v>0</v>
      </c>
      <c r="U199" s="28">
        <f t="shared" si="19"/>
        <v>0</v>
      </c>
      <c r="V199" s="28">
        <v>724</v>
      </c>
      <c r="W199" s="81">
        <f t="shared" si="20"/>
        <v>328.40087588</v>
      </c>
      <c r="X199" s="28"/>
      <c r="Y199" s="373">
        <f>IF(COUNTIF('Raw Annual DMR Data'!$L:$L,'Raw TRI Data'!K199)&gt;0,"N/A - See DMRs",SUMIFS('Generic Factors'!$D:$D,'Generic Factors'!$A:$A,A199,'Generic Factors'!$B:$B,L199))</f>
        <v>0</v>
      </c>
      <c r="Z199" s="112" t="str">
        <f t="shared" si="21"/>
        <v>N/A - No Generic Factor</v>
      </c>
      <c r="AA199" s="112" t="str">
        <f t="shared" si="22"/>
        <v>N/A - No Generic Factor</v>
      </c>
      <c r="AB199" s="112" t="str">
        <f t="shared" si="23"/>
        <v>N/A - No Generic Factor</v>
      </c>
    </row>
    <row r="200" spans="1:28" x14ac:dyDescent="0.25">
      <c r="A200" s="97">
        <v>2022</v>
      </c>
      <c r="B200" s="28" t="s">
        <v>2405</v>
      </c>
      <c r="C200" s="28" t="s">
        <v>202</v>
      </c>
      <c r="D200" s="28" t="s">
        <v>2426</v>
      </c>
      <c r="E200" s="28" t="s">
        <v>323</v>
      </c>
      <c r="F200" s="28" t="s">
        <v>324</v>
      </c>
      <c r="G200" s="81">
        <v>42029</v>
      </c>
      <c r="H200" s="28">
        <v>37.051110999999999</v>
      </c>
      <c r="I200" s="28">
        <v>-88.334166999999994</v>
      </c>
      <c r="J200" s="97" t="s">
        <v>668</v>
      </c>
      <c r="K200" s="61">
        <v>110027373072</v>
      </c>
      <c r="L200" s="28" t="str">
        <f>INDEX('Facility Summary'!$K:$K,MATCH(K200,'Facility Summary'!$J:$J,0))</f>
        <v>Manufacturing</v>
      </c>
      <c r="M200" s="28">
        <v>325199</v>
      </c>
      <c r="N200" s="28" t="str">
        <f>VLOOKUP(M200,'SIC &amp; NAICS Codes'!$D:$E,2,FALSE)</f>
        <v>All Other Basic Organic Chemical Manufacturing</v>
      </c>
      <c r="R200" s="28">
        <v>442.56299999999999</v>
      </c>
      <c r="S200" s="28">
        <f t="shared" si="18"/>
        <v>200.74320004431002</v>
      </c>
      <c r="T200" s="28">
        <v>0</v>
      </c>
      <c r="U200" s="28">
        <f t="shared" si="19"/>
        <v>0</v>
      </c>
      <c r="V200" s="28">
        <v>0</v>
      </c>
      <c r="W200" s="81">
        <f t="shared" si="20"/>
        <v>0</v>
      </c>
      <c r="X200" s="28" t="s">
        <v>957</v>
      </c>
      <c r="Y200" s="373" t="str">
        <f>IF(COUNTIF('Raw Annual DMR Data'!$L:$L,'Raw TRI Data'!K200)&gt;0,"N/A - See DMRs",SUMIFS('Generic Factors'!$D:$D,'Generic Factors'!$A:$A,A200,'Generic Factors'!$B:$B,L200))</f>
        <v>N/A - See DMRs</v>
      </c>
      <c r="Z200" s="112" t="e">
        <f t="shared" si="21"/>
        <v>#N/A</v>
      </c>
      <c r="AA200" s="112" t="e">
        <f t="shared" si="22"/>
        <v>#N/A</v>
      </c>
      <c r="AB200" s="112" t="e">
        <f t="shared" si="23"/>
        <v>#N/A</v>
      </c>
    </row>
    <row r="201" spans="1:28" x14ac:dyDescent="0.25">
      <c r="A201" s="97">
        <v>2022</v>
      </c>
      <c r="B201" s="28" t="s">
        <v>2405</v>
      </c>
      <c r="C201" s="28" t="s">
        <v>7358</v>
      </c>
      <c r="D201" s="28" t="s">
        <v>562</v>
      </c>
      <c r="E201" s="28" t="s">
        <v>563</v>
      </c>
      <c r="F201" s="28" t="s">
        <v>564</v>
      </c>
      <c r="G201" s="81">
        <v>52761</v>
      </c>
      <c r="H201" s="28">
        <v>41.350468999999997</v>
      </c>
      <c r="I201" s="28">
        <v>-91.081619000000003</v>
      </c>
      <c r="J201" s="97" t="s">
        <v>565</v>
      </c>
      <c r="K201" s="61">
        <v>110018869474</v>
      </c>
      <c r="L201" s="28" t="str">
        <f>INDEX('Facility Summary'!$K:$K,MATCH(K201,'Facility Summary'!$J:$J,0))</f>
        <v>Processing into formulation, mixture, or reaction product</v>
      </c>
      <c r="M201" s="28">
        <v>325320</v>
      </c>
      <c r="N201" s="28" t="str">
        <f>VLOOKUP(M201,'SIC &amp; NAICS Codes'!$D:$E,2,FALSE)</f>
        <v>Pesticide and Other Agricultural Chemical Manufacturing</v>
      </c>
      <c r="R201" s="28">
        <v>41</v>
      </c>
      <c r="S201" s="28">
        <f t="shared" si="18"/>
        <v>18.597287170000001</v>
      </c>
      <c r="T201" s="28">
        <v>0</v>
      </c>
      <c r="U201" s="28">
        <f t="shared" si="19"/>
        <v>0</v>
      </c>
      <c r="V201" s="28">
        <v>0</v>
      </c>
      <c r="W201" s="81">
        <f t="shared" si="20"/>
        <v>0</v>
      </c>
      <c r="X201" s="28" t="s">
        <v>2479</v>
      </c>
      <c r="Y201" s="373">
        <f>IF(COUNTIF('Raw Annual DMR Data'!$L:$L,'Raw TRI Data'!K201)&gt;0,"N/A - See DMRs",SUMIFS('Generic Factors'!$D:$D,'Generic Factors'!$A:$A,A201,'Generic Factors'!$B:$B,L201))</f>
        <v>0</v>
      </c>
      <c r="Z201" s="112" t="str">
        <f t="shared" si="21"/>
        <v>N/A - No Generic Factor</v>
      </c>
      <c r="AA201" s="112" t="str">
        <f t="shared" si="22"/>
        <v>N/A - No Generic Factor</v>
      </c>
      <c r="AB201" s="112" t="str">
        <f t="shared" si="23"/>
        <v>N/A - No Generic Factor</v>
      </c>
    </row>
    <row r="202" spans="1:28" x14ac:dyDescent="0.25">
      <c r="A202" s="97">
        <v>2022</v>
      </c>
      <c r="B202" s="28" t="s">
        <v>2405</v>
      </c>
      <c r="C202" s="28" t="s">
        <v>206</v>
      </c>
      <c r="D202" s="28" t="s">
        <v>347</v>
      </c>
      <c r="E202" s="28" t="s">
        <v>348</v>
      </c>
      <c r="F202" s="28" t="s">
        <v>349</v>
      </c>
      <c r="G202" s="81">
        <v>63461</v>
      </c>
      <c r="H202" s="126">
        <v>39.834117999999997</v>
      </c>
      <c r="I202" s="126">
        <v>-91.436790999999999</v>
      </c>
      <c r="J202" s="97" t="s">
        <v>350</v>
      </c>
      <c r="K202" s="61">
        <v>110056953765</v>
      </c>
      <c r="L202" s="28" t="str">
        <f>INDEX('Facility Summary'!$K:$K,MATCH(K202,'Facility Summary'!$J:$J,0))</f>
        <v>Processing into formulation, mixture, or reaction product</v>
      </c>
      <c r="M202" s="28">
        <v>325320</v>
      </c>
      <c r="N202" s="28" t="str">
        <f>VLOOKUP(M202,'SIC &amp; NAICS Codes'!$D:$E,2,FALSE)</f>
        <v>Pesticide and Other Agricultural Chemical Manufacturing</v>
      </c>
      <c r="R202" s="126">
        <v>5</v>
      </c>
      <c r="S202" s="126">
        <f t="shared" si="18"/>
        <v>2.2679618500000003</v>
      </c>
      <c r="T202" s="126">
        <v>0</v>
      </c>
      <c r="U202" s="126">
        <f t="shared" si="19"/>
        <v>0</v>
      </c>
      <c r="V202" s="126">
        <v>0</v>
      </c>
      <c r="W202" s="223">
        <f t="shared" si="20"/>
        <v>0</v>
      </c>
      <c r="X202" s="126" t="s">
        <v>2468</v>
      </c>
      <c r="Y202" s="373">
        <f>IF(COUNTIF('Raw Annual DMR Data'!$L:$L,'Raw TRI Data'!K202)&gt;0,"N/A - See DMRs",SUMIFS('Generic Factors'!$D:$D,'Generic Factors'!$A:$A,A202,'Generic Factors'!$B:$B,L202))</f>
        <v>0</v>
      </c>
      <c r="Z202" s="112" t="str">
        <f t="shared" si="21"/>
        <v>N/A - No Generic Factor</v>
      </c>
      <c r="AA202" s="112" t="str">
        <f t="shared" si="22"/>
        <v>N/A - No Generic Factor</v>
      </c>
      <c r="AB202" s="112" t="str">
        <f t="shared" si="23"/>
        <v>N/A - No Generic Factor</v>
      </c>
    </row>
    <row r="203" spans="1:28" x14ac:dyDescent="0.25">
      <c r="A203" s="97">
        <v>2023</v>
      </c>
      <c r="B203" s="28" t="s">
        <v>2405</v>
      </c>
      <c r="C203" s="28" t="s">
        <v>7358</v>
      </c>
      <c r="D203" s="28" t="s">
        <v>562</v>
      </c>
      <c r="E203" s="28" t="s">
        <v>563</v>
      </c>
      <c r="F203" s="28" t="s">
        <v>564</v>
      </c>
      <c r="G203" s="81">
        <v>52761</v>
      </c>
      <c r="H203" s="28">
        <v>41.350468999999997</v>
      </c>
      <c r="I203" s="28">
        <v>-91.081619000000003</v>
      </c>
      <c r="J203" s="97" t="s">
        <v>565</v>
      </c>
      <c r="K203" s="61">
        <v>110018869474</v>
      </c>
      <c r="L203" s="28" t="str">
        <f>INDEX('Facility Summary'!$K:$K,MATCH(K203,'Facility Summary'!$J:$J,0))</f>
        <v>Processing into formulation, mixture, or reaction product</v>
      </c>
      <c r="M203" s="28">
        <v>325320</v>
      </c>
      <c r="N203" s="28" t="str">
        <f>VLOOKUP(M203,'SIC &amp; NAICS Codes'!$D:$E,2,FALSE)</f>
        <v>Pesticide and Other Agricultural Chemical Manufacturing</v>
      </c>
      <c r="R203" s="28">
        <v>26</v>
      </c>
      <c r="S203" s="28">
        <f t="shared" si="18"/>
        <v>11.793401620000001</v>
      </c>
      <c r="T203" s="28">
        <v>0</v>
      </c>
      <c r="U203" s="28">
        <f t="shared" si="19"/>
        <v>0</v>
      </c>
      <c r="V203" s="28">
        <v>0</v>
      </c>
      <c r="W203" s="81">
        <f t="shared" si="20"/>
        <v>0</v>
      </c>
      <c r="X203" s="28" t="s">
        <v>2479</v>
      </c>
      <c r="Y203" s="373">
        <f>IF(COUNTIF('Raw Annual DMR Data'!$L:$L,'Raw TRI Data'!K203)&gt;0,"N/A - See DMRs",SUMIFS('Generic Factors'!$D:$D,'Generic Factors'!$A:$A,A203,'Generic Factors'!$B:$B,L203))</f>
        <v>0</v>
      </c>
      <c r="Z203" s="112" t="str">
        <f t="shared" si="21"/>
        <v>N/A - No Generic Factor</v>
      </c>
      <c r="AA203" s="112" t="str">
        <f t="shared" si="22"/>
        <v>N/A - No Generic Factor</v>
      </c>
      <c r="AB203" s="112" t="str">
        <f t="shared" si="23"/>
        <v>N/A - No Generic Factor</v>
      </c>
    </row>
    <row r="204" spans="1:28" x14ac:dyDescent="0.25">
      <c r="A204" s="97">
        <v>2023</v>
      </c>
      <c r="B204" s="28" t="s">
        <v>2405</v>
      </c>
      <c r="C204" s="28" t="s">
        <v>7359</v>
      </c>
      <c r="D204" s="28" t="s">
        <v>2470</v>
      </c>
      <c r="E204" s="28" t="s">
        <v>368</v>
      </c>
      <c r="F204" s="28" t="s">
        <v>349</v>
      </c>
      <c r="G204" s="81">
        <v>63630</v>
      </c>
      <c r="H204" s="28">
        <v>37.983333000000002</v>
      </c>
      <c r="I204" s="28">
        <v>-90.690832999999998</v>
      </c>
      <c r="J204" s="97" t="s">
        <v>369</v>
      </c>
      <c r="K204" s="61">
        <v>110017980443</v>
      </c>
      <c r="L204" s="28" t="str">
        <f>INDEX('Facility Summary'!$K:$K,MATCH(K204,'Facility Summary'!$J:$J,0))</f>
        <v>Manufacturing</v>
      </c>
      <c r="M204" s="28">
        <v>325998</v>
      </c>
      <c r="N204" s="28" t="str">
        <f>VLOOKUP(M204,'SIC &amp; NAICS Codes'!$D:$E,2,FALSE)</f>
        <v>All Other Miscellaneous Chemical Product and Preparation Manufacturing</v>
      </c>
      <c r="R204" s="28">
        <v>0</v>
      </c>
      <c r="S204" s="28">
        <f t="shared" si="18"/>
        <v>0</v>
      </c>
      <c r="T204" s="28">
        <v>142</v>
      </c>
      <c r="U204" s="28">
        <f t="shared" si="19"/>
        <v>64.410116540000004</v>
      </c>
      <c r="V204" s="28">
        <v>0</v>
      </c>
      <c r="W204" s="81">
        <f t="shared" si="20"/>
        <v>0</v>
      </c>
      <c r="X204" s="28" t="s">
        <v>796</v>
      </c>
      <c r="Y204" s="373" t="str">
        <f>IF(COUNTIF('Raw Annual DMR Data'!$L:$L,'Raw TRI Data'!K204)&gt;0,"N/A - See DMRs",SUMIFS('Generic Factors'!$D:$D,'Generic Factors'!$A:$A,A204,'Generic Factors'!$B:$B,L204))</f>
        <v>N/A - See DMRs</v>
      </c>
      <c r="Z204" s="112" t="e">
        <f t="shared" si="21"/>
        <v>#N/A</v>
      </c>
      <c r="AA204" s="112" t="e">
        <f t="shared" si="22"/>
        <v>#N/A</v>
      </c>
      <c r="AB204" s="112" t="e">
        <f t="shared" si="23"/>
        <v>#N/A</v>
      </c>
    </row>
    <row r="205" spans="1:28" x14ac:dyDescent="0.25">
      <c r="A205" s="97">
        <v>2023</v>
      </c>
      <c r="B205" s="28" t="s">
        <v>2405</v>
      </c>
      <c r="C205" s="28" t="s">
        <v>215</v>
      </c>
      <c r="D205" s="28" t="s">
        <v>574</v>
      </c>
      <c r="E205" s="28" t="s">
        <v>575</v>
      </c>
      <c r="F205" s="28" t="s">
        <v>435</v>
      </c>
      <c r="G205" s="81">
        <v>28147</v>
      </c>
      <c r="H205" s="28">
        <v>35.629620000000003</v>
      </c>
      <c r="I205" s="28">
        <v>-80.53595</v>
      </c>
      <c r="J205" s="97" t="s">
        <v>576</v>
      </c>
      <c r="K205" s="61">
        <v>110000348936</v>
      </c>
      <c r="L205" s="28" t="str">
        <f>INDEX('Facility Summary'!$K:$K,MATCH(K205,'Facility Summary'!$J:$J,0))</f>
        <v>Processing into formulation, mixture, or reaction product</v>
      </c>
      <c r="M205" s="28">
        <v>325199</v>
      </c>
      <c r="N205" s="28" t="str">
        <f>VLOOKUP(M205,'SIC &amp; NAICS Codes'!$D:$E,2,FALSE)</f>
        <v>All Other Basic Organic Chemical Manufacturing</v>
      </c>
      <c r="R205" s="28">
        <v>0</v>
      </c>
      <c r="S205" s="28">
        <f t="shared" si="18"/>
        <v>0</v>
      </c>
      <c r="T205" s="28">
        <v>0.5</v>
      </c>
      <c r="U205" s="28">
        <f t="shared" si="19"/>
        <v>0.22679618500000001</v>
      </c>
      <c r="V205" s="28">
        <v>0</v>
      </c>
      <c r="W205" s="81">
        <f t="shared" si="20"/>
        <v>0</v>
      </c>
      <c r="X205" s="28" t="s">
        <v>2480</v>
      </c>
      <c r="Y205" s="373">
        <f>IF(COUNTIF('Raw Annual DMR Data'!$L:$L,'Raw TRI Data'!K205)&gt;0,"N/A - See DMRs",SUMIFS('Generic Factors'!$D:$D,'Generic Factors'!$A:$A,A205,'Generic Factors'!$B:$B,L205))</f>
        <v>0</v>
      </c>
      <c r="Z205" s="112" t="str">
        <f t="shared" si="21"/>
        <v>N/A - No Generic Factor</v>
      </c>
      <c r="AA205" s="112" t="str">
        <f t="shared" si="22"/>
        <v>N/A - No Generic Factor</v>
      </c>
      <c r="AB205" s="112" t="str">
        <f t="shared" si="23"/>
        <v>N/A - No Generic Factor</v>
      </c>
    </row>
    <row r="206" spans="1:28" x14ac:dyDescent="0.25">
      <c r="A206" s="97">
        <v>2023</v>
      </c>
      <c r="B206" s="28" t="s">
        <v>2405</v>
      </c>
      <c r="C206" s="28" t="s">
        <v>213</v>
      </c>
      <c r="D206" s="28" t="s">
        <v>540</v>
      </c>
      <c r="E206" s="28" t="s">
        <v>460</v>
      </c>
      <c r="F206" s="28" t="s">
        <v>541</v>
      </c>
      <c r="G206" s="81">
        <v>29405</v>
      </c>
      <c r="H206" s="28">
        <v>32.833576999999998</v>
      </c>
      <c r="I206" s="28">
        <v>-79.964774000000006</v>
      </c>
      <c r="J206" s="97" t="s">
        <v>542</v>
      </c>
      <c r="K206" s="61">
        <v>110017326963</v>
      </c>
      <c r="L206" s="28" t="str">
        <f>INDEX('Facility Summary'!$K:$K,MATCH(K206,'Facility Summary'!$J:$J,0))</f>
        <v>Manufacturing</v>
      </c>
      <c r="M206" s="28">
        <v>325199</v>
      </c>
      <c r="N206" s="28" t="str">
        <f>VLOOKUP(M206,'SIC &amp; NAICS Codes'!$D:$E,2,FALSE)</f>
        <v>All Other Basic Organic Chemical Manufacturing</v>
      </c>
      <c r="R206" s="28">
        <v>0</v>
      </c>
      <c r="S206" s="28">
        <f t="shared" si="18"/>
        <v>0</v>
      </c>
      <c r="T206" s="28">
        <v>27</v>
      </c>
      <c r="U206" s="28">
        <f t="shared" si="19"/>
        <v>12.24699399</v>
      </c>
      <c r="V206" s="28">
        <v>0</v>
      </c>
      <c r="W206" s="81">
        <f t="shared" si="20"/>
        <v>0</v>
      </c>
      <c r="X206" s="28" t="s">
        <v>7363</v>
      </c>
      <c r="Y206" s="373">
        <f>IF(COUNTIF('Raw Annual DMR Data'!$L:$L,'Raw TRI Data'!K206)&gt;0,"N/A - See DMRs",SUMIFS('Generic Factors'!$D:$D,'Generic Factors'!$A:$A,A206,'Generic Factors'!$B:$B,L206))</f>
        <v>0</v>
      </c>
      <c r="Z206" s="112" t="str">
        <f t="shared" si="21"/>
        <v>N/A - No Generic Factor</v>
      </c>
      <c r="AA206" s="112" t="str">
        <f t="shared" si="22"/>
        <v>N/A - No Generic Factor</v>
      </c>
      <c r="AB206" s="112" t="str">
        <f t="shared" si="23"/>
        <v>N/A - No Generic Factor</v>
      </c>
    </row>
    <row r="207" spans="1:28" x14ac:dyDescent="0.25">
      <c r="A207" s="97">
        <v>2023</v>
      </c>
      <c r="B207" s="28" t="s">
        <v>2405</v>
      </c>
      <c r="C207" s="28" t="s">
        <v>105</v>
      </c>
      <c r="D207" s="28" t="s">
        <v>322</v>
      </c>
      <c r="E207" s="28" t="s">
        <v>323</v>
      </c>
      <c r="F207" s="28" t="s">
        <v>324</v>
      </c>
      <c r="G207" s="81">
        <v>42029</v>
      </c>
      <c r="H207" s="28">
        <v>37.056699000000002</v>
      </c>
      <c r="I207" s="28">
        <v>-88.365727000000007</v>
      </c>
      <c r="J207" s="97" t="s">
        <v>325</v>
      </c>
      <c r="K207" s="61">
        <v>110000380061</v>
      </c>
      <c r="L207" s="28" t="str">
        <f>INDEX('Facility Summary'!$K:$K,MATCH(K207,'Facility Summary'!$J:$J,0))</f>
        <v>Manufacturing</v>
      </c>
      <c r="M207" s="28">
        <v>325199</v>
      </c>
      <c r="N207" s="28" t="str">
        <f>VLOOKUP(M207,'SIC &amp; NAICS Codes'!$D:$E,2,FALSE)</f>
        <v>All Other Basic Organic Chemical Manufacturing</v>
      </c>
      <c r="R207" s="28">
        <v>12</v>
      </c>
      <c r="S207" s="28">
        <f t="shared" si="18"/>
        <v>5.4431084399999996</v>
      </c>
      <c r="T207" s="28">
        <v>0</v>
      </c>
      <c r="U207" s="28">
        <f t="shared" si="19"/>
        <v>0</v>
      </c>
      <c r="V207" s="28">
        <v>0</v>
      </c>
      <c r="W207" s="81">
        <f t="shared" si="20"/>
        <v>0</v>
      </c>
      <c r="X207" s="28" t="s">
        <v>776</v>
      </c>
      <c r="Y207" s="373" t="str">
        <f>IF(COUNTIF('Raw Annual DMR Data'!$L:$L,'Raw TRI Data'!K207)&gt;0,"N/A - See DMRs",SUMIFS('Generic Factors'!$D:$D,'Generic Factors'!$A:$A,A207,'Generic Factors'!$B:$B,L207))</f>
        <v>N/A - See DMRs</v>
      </c>
      <c r="Z207" s="112" t="e">
        <f t="shared" si="21"/>
        <v>#N/A</v>
      </c>
      <c r="AA207" s="112" t="e">
        <f t="shared" si="22"/>
        <v>#N/A</v>
      </c>
      <c r="AB207" s="112" t="e">
        <f t="shared" si="23"/>
        <v>#N/A</v>
      </c>
    </row>
    <row r="208" spans="1:28" x14ac:dyDescent="0.25">
      <c r="A208" s="97">
        <v>2023</v>
      </c>
      <c r="B208" s="28" t="s">
        <v>2405</v>
      </c>
      <c r="C208" s="28" t="s">
        <v>202</v>
      </c>
      <c r="D208" s="28" t="s">
        <v>2426</v>
      </c>
      <c r="E208" s="28" t="s">
        <v>323</v>
      </c>
      <c r="F208" s="28" t="s">
        <v>324</v>
      </c>
      <c r="G208" s="81">
        <v>42029</v>
      </c>
      <c r="H208" s="28">
        <v>37.051110999999999</v>
      </c>
      <c r="I208" s="28">
        <v>-88.334166999999994</v>
      </c>
      <c r="J208" s="97" t="s">
        <v>668</v>
      </c>
      <c r="K208" s="61">
        <v>110027373072</v>
      </c>
      <c r="L208" s="28" t="str">
        <f>INDEX('Facility Summary'!$K:$K,MATCH(K208,'Facility Summary'!$J:$J,0))</f>
        <v>Manufacturing</v>
      </c>
      <c r="M208" s="28">
        <v>325199</v>
      </c>
      <c r="N208" s="28" t="str">
        <f>VLOOKUP(M208,'SIC &amp; NAICS Codes'!$D:$E,2,FALSE)</f>
        <v>All Other Basic Organic Chemical Manufacturing</v>
      </c>
      <c r="R208" s="28">
        <v>761.93799999999999</v>
      </c>
      <c r="S208" s="28">
        <f t="shared" si="18"/>
        <v>345.60926321305999</v>
      </c>
      <c r="T208" s="28">
        <v>0</v>
      </c>
      <c r="U208" s="28">
        <f t="shared" si="19"/>
        <v>0</v>
      </c>
      <c r="V208" s="28">
        <v>0</v>
      </c>
      <c r="W208" s="81">
        <f t="shared" si="20"/>
        <v>0</v>
      </c>
      <c r="X208" s="28" t="s">
        <v>957</v>
      </c>
      <c r="Y208" s="373" t="str">
        <f>IF(COUNTIF('Raw Annual DMR Data'!$L:$L,'Raw TRI Data'!K208)&gt;0,"N/A - See DMRs",SUMIFS('Generic Factors'!$D:$D,'Generic Factors'!$A:$A,A208,'Generic Factors'!$B:$B,L208))</f>
        <v>N/A - See DMRs</v>
      </c>
      <c r="Z208" s="112" t="e">
        <f t="shared" si="21"/>
        <v>#N/A</v>
      </c>
      <c r="AA208" s="112" t="e">
        <f t="shared" si="22"/>
        <v>#N/A</v>
      </c>
      <c r="AB208" s="112" t="e">
        <f t="shared" si="23"/>
        <v>#N/A</v>
      </c>
    </row>
    <row r="209" spans="1:28" x14ac:dyDescent="0.25">
      <c r="A209" s="97">
        <v>2023</v>
      </c>
      <c r="B209" s="28" t="s">
        <v>2405</v>
      </c>
      <c r="C209" s="28" t="s">
        <v>208</v>
      </c>
      <c r="D209" s="28" t="s">
        <v>425</v>
      </c>
      <c r="E209" s="28" t="s">
        <v>426</v>
      </c>
      <c r="F209" s="28" t="s">
        <v>427</v>
      </c>
      <c r="G209" s="81">
        <v>48640</v>
      </c>
      <c r="H209" s="28">
        <v>43.600960000000001</v>
      </c>
      <c r="I209" s="28">
        <v>-84.207689999999999</v>
      </c>
      <c r="J209" s="97" t="s">
        <v>428</v>
      </c>
      <c r="K209" s="61">
        <v>110070788638</v>
      </c>
      <c r="L209" s="28" t="str">
        <f>INDEX('Facility Summary'!$K:$K,MATCH(K209,'Facility Summary'!$J:$J,0))</f>
        <v>Processing as a Reactant</v>
      </c>
      <c r="M209" s="28">
        <v>325199</v>
      </c>
      <c r="N209" s="28" t="str">
        <f>VLOOKUP(M209,'SIC &amp; NAICS Codes'!$D:$E,2,FALSE)</f>
        <v>All Other Basic Organic Chemical Manufacturing</v>
      </c>
      <c r="R209" s="28">
        <v>0</v>
      </c>
      <c r="S209" s="28">
        <f t="shared" si="18"/>
        <v>0</v>
      </c>
      <c r="T209" s="28">
        <v>0</v>
      </c>
      <c r="U209" s="28">
        <f t="shared" si="19"/>
        <v>0</v>
      </c>
      <c r="V209" s="28">
        <v>1793</v>
      </c>
      <c r="W209" s="81">
        <f t="shared" si="20"/>
        <v>813.29111941000008</v>
      </c>
      <c r="X209" s="28"/>
      <c r="Y209" s="373">
        <f>IF(COUNTIF('Raw Annual DMR Data'!$L:$L,'Raw TRI Data'!K209)&gt;0,"N/A - See DMRs",SUMIFS('Generic Factors'!$D:$D,'Generic Factors'!$A:$A,A209,'Generic Factors'!$B:$B,L209))</f>
        <v>0</v>
      </c>
      <c r="Z209" s="112" t="str">
        <f t="shared" si="21"/>
        <v>N/A - No Generic Factor</v>
      </c>
      <c r="AA209" s="112" t="str">
        <f t="shared" si="22"/>
        <v>N/A - No Generic Factor</v>
      </c>
      <c r="AB209" s="112" t="str">
        <f t="shared" si="23"/>
        <v>N/A - No Generic Factor</v>
      </c>
    </row>
    <row r="210" spans="1:28" x14ac:dyDescent="0.25">
      <c r="A210" s="97">
        <v>2023</v>
      </c>
      <c r="B210" s="28" t="s">
        <v>2405</v>
      </c>
      <c r="C210" s="28" t="s">
        <v>7362</v>
      </c>
      <c r="D210" s="28" t="s">
        <v>663</v>
      </c>
      <c r="E210" s="28" t="s">
        <v>446</v>
      </c>
      <c r="F210" s="28" t="s">
        <v>303</v>
      </c>
      <c r="G210" s="81">
        <v>70669</v>
      </c>
      <c r="H210" s="28">
        <v>30.252222</v>
      </c>
      <c r="I210" s="28">
        <v>-93.284443999999993</v>
      </c>
      <c r="J210" s="97" t="s">
        <v>664</v>
      </c>
      <c r="K210" s="61">
        <v>110002054482</v>
      </c>
      <c r="L210" s="28" t="str">
        <f>INDEX('Facility Summary'!$K:$K,MATCH(K210,'Facility Summary'!$J:$J,0))</f>
        <v>Manufacturing</v>
      </c>
      <c r="M210" s="28">
        <v>325110</v>
      </c>
      <c r="N210" s="28" t="str">
        <f>VLOOKUP(M210,'SIC &amp; NAICS Codes'!$D:$E,2,FALSE)</f>
        <v>Petrochemical Manufacturing</v>
      </c>
      <c r="R210" s="28">
        <v>0</v>
      </c>
      <c r="S210" s="28">
        <f t="shared" si="18"/>
        <v>0</v>
      </c>
      <c r="T210" s="28">
        <v>0</v>
      </c>
      <c r="U210" s="28">
        <f t="shared" si="19"/>
        <v>0</v>
      </c>
      <c r="V210" s="28">
        <v>3.98</v>
      </c>
      <c r="W210" s="81">
        <f t="shared" si="20"/>
        <v>1.8052976326000001</v>
      </c>
      <c r="X210" s="28" t="s">
        <v>7366</v>
      </c>
      <c r="Y210" s="373">
        <f>IF(COUNTIF('Raw Annual DMR Data'!$L:$L,'Raw TRI Data'!K210)&gt;0,"N/A - See DMRs",SUMIFS('Generic Factors'!$D:$D,'Generic Factors'!$A:$A,A210,'Generic Factors'!$B:$B,L210))</f>
        <v>0</v>
      </c>
      <c r="Z210" s="112" t="str">
        <f t="shared" si="21"/>
        <v>N/A - No Generic Factor</v>
      </c>
      <c r="AA210" s="112" t="str">
        <f t="shared" si="22"/>
        <v>N/A - No Generic Factor</v>
      </c>
      <c r="AB210" s="112" t="str">
        <f t="shared" si="23"/>
        <v>N/A - No Generic Factor</v>
      </c>
    </row>
    <row r="211" spans="1:28" x14ac:dyDescent="0.25">
      <c r="A211" s="97">
        <v>2023</v>
      </c>
      <c r="B211" s="28" t="s">
        <v>2405</v>
      </c>
      <c r="C211" s="28" t="s">
        <v>216</v>
      </c>
      <c r="D211" s="28" t="s">
        <v>586</v>
      </c>
      <c r="E211" s="28" t="s">
        <v>587</v>
      </c>
      <c r="F211" s="28" t="s">
        <v>303</v>
      </c>
      <c r="G211" s="81">
        <v>70723</v>
      </c>
      <c r="H211" s="28">
        <v>30.05509</v>
      </c>
      <c r="I211" s="28">
        <v>-90.830839999999995</v>
      </c>
      <c r="J211" s="97" t="s">
        <v>588</v>
      </c>
      <c r="K211" s="61">
        <v>110000597328</v>
      </c>
      <c r="L211" s="28" t="str">
        <f>INDEX('Facility Summary'!$K:$K,MATCH(K211,'Facility Summary'!$J:$J,0))</f>
        <v>Manufacturing</v>
      </c>
      <c r="M211" s="28">
        <v>325180</v>
      </c>
      <c r="N211" s="28" t="str">
        <f>VLOOKUP(M211,'SIC &amp; NAICS Codes'!$D:$E,2,FALSE)</f>
        <v>Other Basic Inorganic Chemical Manufacturing</v>
      </c>
      <c r="R211" s="28">
        <v>1</v>
      </c>
      <c r="S211" s="28">
        <f t="shared" si="18"/>
        <v>0.45359237000000002</v>
      </c>
      <c r="T211" s="28">
        <v>0</v>
      </c>
      <c r="U211" s="28">
        <f t="shared" si="19"/>
        <v>0</v>
      </c>
      <c r="V211" s="28">
        <v>0</v>
      </c>
      <c r="W211" s="81">
        <f t="shared" si="20"/>
        <v>0</v>
      </c>
      <c r="X211" s="28" t="s">
        <v>2482</v>
      </c>
      <c r="Y211" s="373">
        <f>IF(COUNTIF('Raw Annual DMR Data'!$L:$L,'Raw TRI Data'!K211)&gt;0,"N/A - See DMRs",SUMIFS('Generic Factors'!$D:$D,'Generic Factors'!$A:$A,A211,'Generic Factors'!$B:$B,L211))</f>
        <v>0</v>
      </c>
      <c r="Z211" s="112" t="str">
        <f t="shared" si="21"/>
        <v>N/A - No Generic Factor</v>
      </c>
      <c r="AA211" s="112" t="str">
        <f t="shared" si="22"/>
        <v>N/A - No Generic Factor</v>
      </c>
      <c r="AB211" s="112" t="str">
        <f t="shared" si="23"/>
        <v>N/A - No Generic Factor</v>
      </c>
    </row>
    <row r="212" spans="1:28" x14ac:dyDescent="0.25">
      <c r="A212" s="97">
        <v>2023</v>
      </c>
      <c r="B212" s="28" t="s">
        <v>2405</v>
      </c>
      <c r="C212" s="28" t="s">
        <v>2412</v>
      </c>
      <c r="D212" s="28" t="s">
        <v>2413</v>
      </c>
      <c r="E212" s="28" t="s">
        <v>302</v>
      </c>
      <c r="F212" s="28" t="s">
        <v>303</v>
      </c>
      <c r="G212" s="81">
        <v>70805</v>
      </c>
      <c r="H212" s="28">
        <v>30.503799999999998</v>
      </c>
      <c r="I212" s="28">
        <v>-91.186496000000005</v>
      </c>
      <c r="J212" s="97" t="s">
        <v>483</v>
      </c>
      <c r="K212" s="61">
        <v>110000597444</v>
      </c>
      <c r="L212" s="28" t="str">
        <f>INDEX('Facility Summary'!$K:$K,MATCH(K212,'Facility Summary'!$J:$J,0))</f>
        <v>Manufacturing</v>
      </c>
      <c r="M212" s="28">
        <v>325211</v>
      </c>
      <c r="N212" s="28" t="str">
        <f>VLOOKUP(M212,'SIC &amp; NAICS Codes'!$D:$E,2,FALSE)</f>
        <v>Plastics Material and Resin Manufacturing</v>
      </c>
      <c r="R212" s="28">
        <v>7</v>
      </c>
      <c r="S212" s="28">
        <f t="shared" si="18"/>
        <v>3.1751465900000002</v>
      </c>
      <c r="T212" s="28">
        <v>0</v>
      </c>
      <c r="U212" s="28">
        <f t="shared" si="19"/>
        <v>0</v>
      </c>
      <c r="V212" s="28">
        <v>0</v>
      </c>
      <c r="W212" s="81">
        <f t="shared" si="20"/>
        <v>0</v>
      </c>
      <c r="X212" s="28" t="s">
        <v>862</v>
      </c>
      <c r="Y212" s="373" t="str">
        <f>IF(COUNTIF('Raw Annual DMR Data'!$L:$L,'Raw TRI Data'!K212)&gt;0,"N/A - See DMRs",SUMIFS('Generic Factors'!$D:$D,'Generic Factors'!$A:$A,A212,'Generic Factors'!$B:$B,L212))</f>
        <v>N/A - See DMRs</v>
      </c>
      <c r="Z212" s="112" t="e">
        <f t="shared" si="21"/>
        <v>#N/A</v>
      </c>
      <c r="AA212" s="112" t="e">
        <f t="shared" si="22"/>
        <v>#N/A</v>
      </c>
      <c r="AB212" s="112" t="e">
        <f t="shared" si="23"/>
        <v>#N/A</v>
      </c>
    </row>
    <row r="213" spans="1:28" x14ac:dyDescent="0.25">
      <c r="A213" s="97">
        <v>2023</v>
      </c>
      <c r="B213" s="28" t="s">
        <v>2405</v>
      </c>
      <c r="C213" s="28" t="s">
        <v>217</v>
      </c>
      <c r="D213" s="28" t="s">
        <v>592</v>
      </c>
      <c r="E213" s="28" t="s">
        <v>590</v>
      </c>
      <c r="F213" s="28" t="s">
        <v>362</v>
      </c>
      <c r="G213" s="81">
        <v>77536</v>
      </c>
      <c r="H213" s="28">
        <v>29.728559000000001</v>
      </c>
      <c r="I213" s="28">
        <v>-95.110764000000003</v>
      </c>
      <c r="J213" s="97" t="s">
        <v>593</v>
      </c>
      <c r="K213" s="61">
        <v>110015742204</v>
      </c>
      <c r="L213" s="28" t="str">
        <f>INDEX('Facility Summary'!$K:$K,MATCH(K213,'Facility Summary'!$J:$J,0))</f>
        <v>Manufacturing</v>
      </c>
      <c r="M213" s="28">
        <v>325199</v>
      </c>
      <c r="N213" s="28" t="str">
        <f>VLOOKUP(M213,'SIC &amp; NAICS Codes'!$D:$E,2,FALSE)</f>
        <v>All Other Basic Organic Chemical Manufacturing</v>
      </c>
      <c r="R213" s="28">
        <v>0</v>
      </c>
      <c r="S213" s="28">
        <f t="shared" si="18"/>
        <v>0</v>
      </c>
      <c r="T213" s="28">
        <v>0</v>
      </c>
      <c r="U213" s="28">
        <f t="shared" si="19"/>
        <v>0</v>
      </c>
      <c r="V213" s="28">
        <v>537</v>
      </c>
      <c r="W213" s="81">
        <f t="shared" si="20"/>
        <v>243.57910269000001</v>
      </c>
      <c r="X213" s="28"/>
      <c r="Y213" s="373">
        <f>IF(COUNTIF('Raw Annual DMR Data'!$L:$L,'Raw TRI Data'!K213)&gt;0,"N/A - See DMRs",SUMIFS('Generic Factors'!$D:$D,'Generic Factors'!$A:$A,A213,'Generic Factors'!$B:$B,L213))</f>
        <v>0</v>
      </c>
      <c r="Z213" s="112" t="str">
        <f t="shared" si="21"/>
        <v>N/A - No Generic Factor</v>
      </c>
      <c r="AA213" s="112" t="str">
        <f t="shared" si="22"/>
        <v>N/A - No Generic Factor</v>
      </c>
      <c r="AB213" s="112" t="str">
        <f t="shared" si="23"/>
        <v>N/A - No Generic Factor</v>
      </c>
    </row>
    <row r="214" spans="1:28" x14ac:dyDescent="0.25">
      <c r="A214" s="97">
        <v>2023</v>
      </c>
      <c r="B214" s="28" t="s">
        <v>2405</v>
      </c>
      <c r="C214" s="28" t="s">
        <v>210</v>
      </c>
      <c r="D214" s="28" t="s">
        <v>436</v>
      </c>
      <c r="E214" s="28" t="s">
        <v>437</v>
      </c>
      <c r="F214" s="28" t="s">
        <v>362</v>
      </c>
      <c r="G214" s="81">
        <v>77541</v>
      </c>
      <c r="H214" s="28">
        <v>28.969389</v>
      </c>
      <c r="I214" s="28">
        <v>-95.379527999999993</v>
      </c>
      <c r="J214" s="97" t="s">
        <v>484</v>
      </c>
      <c r="K214" s="61">
        <v>110066943605</v>
      </c>
      <c r="L214" s="28" t="str">
        <f>INDEX('Facility Summary'!$K:$K,MATCH(K214,'Facility Summary'!$J:$J,0))</f>
        <v>Manufacturing</v>
      </c>
      <c r="M214" s="28">
        <v>325199</v>
      </c>
      <c r="N214" s="28" t="str">
        <f>VLOOKUP(M214,'SIC &amp; NAICS Codes'!$D:$E,2,FALSE)</f>
        <v>All Other Basic Organic Chemical Manufacturing</v>
      </c>
      <c r="R214" s="28">
        <v>0</v>
      </c>
      <c r="S214" s="28">
        <f t="shared" si="18"/>
        <v>0</v>
      </c>
      <c r="T214" s="28">
        <v>0</v>
      </c>
      <c r="U214" s="28">
        <f t="shared" si="19"/>
        <v>0</v>
      </c>
      <c r="V214" s="28">
        <v>511</v>
      </c>
      <c r="W214" s="81">
        <f t="shared" si="20"/>
        <v>231.78570107000002</v>
      </c>
      <c r="X214" s="28"/>
      <c r="Y214" s="373">
        <f>IF(COUNTIF('Raw Annual DMR Data'!$L:$L,'Raw TRI Data'!K214)&gt;0,"N/A - See DMRs",SUMIFS('Generic Factors'!$D:$D,'Generic Factors'!$A:$A,A214,'Generic Factors'!$B:$B,L214))</f>
        <v>0</v>
      </c>
      <c r="Z214" s="112" t="str">
        <f t="shared" si="21"/>
        <v>N/A - No Generic Factor</v>
      </c>
      <c r="AA214" s="112" t="str">
        <f t="shared" si="22"/>
        <v>N/A - No Generic Factor</v>
      </c>
      <c r="AB214" s="112" t="str">
        <f t="shared" si="23"/>
        <v>N/A - No Generic Factor</v>
      </c>
    </row>
    <row r="215" spans="1:28" x14ac:dyDescent="0.25">
      <c r="A215" s="97">
        <v>2023</v>
      </c>
      <c r="B215" s="28" t="s">
        <v>2405</v>
      </c>
      <c r="C215" s="28" t="s">
        <v>2414</v>
      </c>
      <c r="D215" s="28" t="s">
        <v>2415</v>
      </c>
      <c r="E215" s="28" t="s">
        <v>480</v>
      </c>
      <c r="F215" s="28" t="s">
        <v>362</v>
      </c>
      <c r="G215" s="81">
        <v>77978</v>
      </c>
      <c r="H215" s="28">
        <v>28.697590000000002</v>
      </c>
      <c r="I215" s="28">
        <v>-96.542101000000002</v>
      </c>
      <c r="J215" s="97" t="s">
        <v>481</v>
      </c>
      <c r="K215" s="61">
        <v>110018925957</v>
      </c>
      <c r="L215" s="28" t="str">
        <f>INDEX('Facility Summary'!$K:$K,MATCH(K215,'Facility Summary'!$J:$J,0))</f>
        <v>Manufacturing</v>
      </c>
      <c r="M215" s="28">
        <v>325211</v>
      </c>
      <c r="N215" s="28" t="str">
        <f>VLOOKUP(M215,'SIC &amp; NAICS Codes'!$D:$E,2,FALSE)</f>
        <v>Plastics Material and Resin Manufacturing</v>
      </c>
      <c r="R215" s="28">
        <v>147</v>
      </c>
      <c r="S215" s="28">
        <f t="shared" si="18"/>
        <v>66.67807839000001</v>
      </c>
      <c r="T215" s="28">
        <v>0</v>
      </c>
      <c r="U215" s="28">
        <f t="shared" si="19"/>
        <v>0</v>
      </c>
      <c r="V215" s="28">
        <v>0</v>
      </c>
      <c r="W215" s="81">
        <f t="shared" si="20"/>
        <v>0</v>
      </c>
      <c r="X215" s="28" t="s">
        <v>860</v>
      </c>
      <c r="Y215" s="373" t="str">
        <f>IF(COUNTIF('Raw Annual DMR Data'!$L:$L,'Raw TRI Data'!K215)&gt;0,"N/A - See DMRs",SUMIFS('Generic Factors'!$D:$D,'Generic Factors'!$A:$A,A215,'Generic Factors'!$B:$B,L215))</f>
        <v>N/A - See DMRs</v>
      </c>
      <c r="Z215" s="112" t="e">
        <f t="shared" si="21"/>
        <v>#N/A</v>
      </c>
      <c r="AA215" s="112" t="e">
        <f t="shared" si="22"/>
        <v>#N/A</v>
      </c>
      <c r="AB215" s="112" t="e">
        <f t="shared" si="23"/>
        <v>#N/A</v>
      </c>
    </row>
    <row r="216" spans="1:28" x14ac:dyDescent="0.25">
      <c r="A216" s="97">
        <v>2023</v>
      </c>
      <c r="B216" s="28" t="s">
        <v>2405</v>
      </c>
      <c r="C216" s="28" t="s">
        <v>2419</v>
      </c>
      <c r="D216" s="28" t="s">
        <v>2420</v>
      </c>
      <c r="E216" s="28" t="s">
        <v>2421</v>
      </c>
      <c r="F216" s="28" t="s">
        <v>362</v>
      </c>
      <c r="G216" s="81">
        <v>78359</v>
      </c>
      <c r="H216" s="28">
        <v>27.883610999999998</v>
      </c>
      <c r="I216" s="28">
        <v>-97.241382999999999</v>
      </c>
      <c r="J216" s="97" t="s">
        <v>583</v>
      </c>
      <c r="K216" s="61">
        <v>110000599807</v>
      </c>
      <c r="L216" s="28" t="str">
        <f>INDEX('Facility Summary'!$K:$K,MATCH(K216,'Facility Summary'!$J:$J,0))</f>
        <v>Manufacturing</v>
      </c>
      <c r="M216" s="28">
        <v>325199</v>
      </c>
      <c r="N216" s="28" t="str">
        <f>VLOOKUP(M216,'SIC &amp; NAICS Codes'!$D:$E,2,FALSE)</f>
        <v>All Other Basic Organic Chemical Manufacturing</v>
      </c>
      <c r="R216" s="28">
        <v>4</v>
      </c>
      <c r="S216" s="28">
        <f t="shared" si="18"/>
        <v>1.8143694800000001</v>
      </c>
      <c r="T216" s="28">
        <v>0</v>
      </c>
      <c r="U216" s="28">
        <f t="shared" si="19"/>
        <v>0</v>
      </c>
      <c r="V216" s="28">
        <v>0</v>
      </c>
      <c r="W216" s="81">
        <f t="shared" si="20"/>
        <v>0</v>
      </c>
      <c r="X216" s="28" t="s">
        <v>910</v>
      </c>
      <c r="Y216" s="373" t="str">
        <f>IF(COUNTIF('Raw Annual DMR Data'!$L:$L,'Raw TRI Data'!K216)&gt;0,"N/A - See DMRs",SUMIFS('Generic Factors'!$D:$D,'Generic Factors'!$A:$A,A216,'Generic Factors'!$B:$B,L216))</f>
        <v>N/A - See DMRs</v>
      </c>
      <c r="Z216" s="112" t="e">
        <f t="shared" si="21"/>
        <v>#N/A</v>
      </c>
      <c r="AA216" s="112" t="e">
        <f t="shared" si="22"/>
        <v>#N/A</v>
      </c>
      <c r="AB216" s="112" t="e">
        <f t="shared" si="23"/>
        <v>#N/A</v>
      </c>
    </row>
    <row r="217" spans="1:28" x14ac:dyDescent="0.25">
      <c r="A217" s="97">
        <v>2023</v>
      </c>
      <c r="B217" s="28" t="s">
        <v>2405</v>
      </c>
      <c r="C217" s="28" t="s">
        <v>209</v>
      </c>
      <c r="D217" s="28" t="s">
        <v>436</v>
      </c>
      <c r="E217" s="28" t="s">
        <v>437</v>
      </c>
      <c r="F217" s="28" t="s">
        <v>362</v>
      </c>
      <c r="G217" s="81">
        <v>775413257</v>
      </c>
      <c r="H217" s="28">
        <v>28.980146999999999</v>
      </c>
      <c r="I217" s="28">
        <v>-95.342271999999994</v>
      </c>
      <c r="J217" s="97" t="s">
        <v>438</v>
      </c>
      <c r="K217" s="61">
        <v>110008170237</v>
      </c>
      <c r="L217" s="28" t="str">
        <f>INDEX('Facility Summary'!$K:$K,MATCH(K217,'Facility Summary'!$J:$J,0))</f>
        <v>Processing as a Reactant</v>
      </c>
      <c r="M217" s="28">
        <v>325199</v>
      </c>
      <c r="N217" s="28" t="str">
        <f>VLOOKUP(M217,'SIC &amp; NAICS Codes'!$D:$E,2,FALSE)</f>
        <v>All Other Basic Organic Chemical Manufacturing</v>
      </c>
      <c r="R217" s="28">
        <v>97</v>
      </c>
      <c r="S217" s="28">
        <f t="shared" si="18"/>
        <v>43.998459889999999</v>
      </c>
      <c r="T217" s="28">
        <v>0</v>
      </c>
      <c r="U217" s="28">
        <f t="shared" si="19"/>
        <v>0</v>
      </c>
      <c r="V217" s="28">
        <v>0</v>
      </c>
      <c r="W217" s="81">
        <f t="shared" si="20"/>
        <v>0</v>
      </c>
      <c r="X217" s="28" t="s">
        <v>7365</v>
      </c>
      <c r="Y217" s="373">
        <f>IF(COUNTIF('Raw Annual DMR Data'!$L:$L,'Raw TRI Data'!K217)&gt;0,"N/A - See DMRs",SUMIFS('Generic Factors'!$D:$D,'Generic Factors'!$A:$A,A217,'Generic Factors'!$B:$B,L217))</f>
        <v>0</v>
      </c>
      <c r="Z217" s="112" t="str">
        <f t="shared" si="21"/>
        <v>N/A - No Generic Factor</v>
      </c>
      <c r="AA217" s="112" t="str">
        <f t="shared" si="22"/>
        <v>N/A - No Generic Factor</v>
      </c>
      <c r="AB217" s="112" t="str">
        <f t="shared" si="23"/>
        <v>N/A - No Generic Factor</v>
      </c>
    </row>
    <row r="218" spans="1:28" x14ac:dyDescent="0.25">
      <c r="A218" s="97">
        <v>2023</v>
      </c>
      <c r="B218" s="28" t="s">
        <v>2405</v>
      </c>
      <c r="C218" s="28" t="s">
        <v>206</v>
      </c>
      <c r="D218" s="28" t="s">
        <v>347</v>
      </c>
      <c r="E218" s="28" t="s">
        <v>348</v>
      </c>
      <c r="F218" s="28" t="s">
        <v>349</v>
      </c>
      <c r="G218" s="81">
        <v>63461</v>
      </c>
      <c r="H218" s="28">
        <v>39.834117999999997</v>
      </c>
      <c r="I218" s="28">
        <v>-91.436790999999999</v>
      </c>
      <c r="J218" s="97" t="s">
        <v>350</v>
      </c>
      <c r="K218" s="61">
        <v>110056953765</v>
      </c>
      <c r="L218" s="28" t="str">
        <f>INDEX('Facility Summary'!$K:$K,MATCH(K218,'Facility Summary'!$J:$J,0))</f>
        <v>Processing into formulation, mixture, or reaction product</v>
      </c>
      <c r="M218" s="28">
        <v>325320</v>
      </c>
      <c r="N218" s="28" t="str">
        <f>VLOOKUP(M218,'SIC &amp; NAICS Codes'!$D:$E,2,FALSE)</f>
        <v>Pesticide and Other Agricultural Chemical Manufacturing</v>
      </c>
      <c r="R218" s="28">
        <v>5</v>
      </c>
      <c r="S218" s="28">
        <f t="shared" si="18"/>
        <v>2.2679618500000003</v>
      </c>
      <c r="T218" s="28">
        <v>0</v>
      </c>
      <c r="U218" s="28">
        <f t="shared" si="19"/>
        <v>0</v>
      </c>
      <c r="V218" s="28">
        <v>0</v>
      </c>
      <c r="W218" s="81">
        <f t="shared" si="20"/>
        <v>0</v>
      </c>
      <c r="X218" s="28" t="s">
        <v>2468</v>
      </c>
      <c r="Y218" s="373">
        <f>IF(COUNTIF('Raw Annual DMR Data'!$L:$L,'Raw TRI Data'!K218)&gt;0,"N/A - See DMRs",SUMIFS('Generic Factors'!$D:$D,'Generic Factors'!$A:$A,A218,'Generic Factors'!$B:$B,L218))</f>
        <v>0</v>
      </c>
      <c r="Z218" s="112" t="str">
        <f t="shared" si="21"/>
        <v>N/A - No Generic Factor</v>
      </c>
      <c r="AA218" s="112" t="str">
        <f t="shared" si="22"/>
        <v>N/A - No Generic Factor</v>
      </c>
      <c r="AB218" s="112" t="str">
        <f t="shared" si="23"/>
        <v>N/A - No Generic Factor</v>
      </c>
    </row>
    <row r="219" spans="1:28" x14ac:dyDescent="0.25">
      <c r="A219" s="97">
        <v>2023</v>
      </c>
      <c r="B219" s="28" t="s">
        <v>2405</v>
      </c>
      <c r="C219" s="28" t="s">
        <v>218</v>
      </c>
      <c r="D219" s="28" t="s">
        <v>594</v>
      </c>
      <c r="E219" s="28" t="s">
        <v>361</v>
      </c>
      <c r="F219" s="28" t="s">
        <v>362</v>
      </c>
      <c r="G219" s="81">
        <v>77571</v>
      </c>
      <c r="H219" s="28">
        <v>29.723700000000001</v>
      </c>
      <c r="I219" s="28">
        <v>-95.074079999999995</v>
      </c>
      <c r="J219" s="97" t="s">
        <v>595</v>
      </c>
      <c r="K219" s="61">
        <v>110017769734</v>
      </c>
      <c r="L219" s="28" t="str">
        <f>INDEX('Facility Summary'!$K:$K,MATCH(K219,'Facility Summary'!$J:$J,0))</f>
        <v>Manufacturing</v>
      </c>
      <c r="M219" s="28">
        <v>325199</v>
      </c>
      <c r="N219" s="28" t="str">
        <f>VLOOKUP(M219,'SIC &amp; NAICS Codes'!$D:$E,2,FALSE)</f>
        <v>All Other Basic Organic Chemical Manufacturing</v>
      </c>
      <c r="R219" s="28">
        <v>13.74</v>
      </c>
      <c r="S219" s="28">
        <f t="shared" si="18"/>
        <v>6.2323591638000009</v>
      </c>
      <c r="T219" s="28">
        <v>0</v>
      </c>
      <c r="U219" s="28">
        <f t="shared" si="19"/>
        <v>0</v>
      </c>
      <c r="V219" s="28">
        <v>0</v>
      </c>
      <c r="W219" s="81">
        <f t="shared" si="20"/>
        <v>0</v>
      </c>
      <c r="X219" s="28" t="s">
        <v>2485</v>
      </c>
      <c r="Y219" s="373">
        <f>IF(COUNTIF('Raw Annual DMR Data'!$L:$L,'Raw TRI Data'!K219)&gt;0,"N/A - See DMRs",SUMIFS('Generic Factors'!$D:$D,'Generic Factors'!$A:$A,A219,'Generic Factors'!$B:$B,L219))</f>
        <v>0</v>
      </c>
      <c r="Z219" s="112" t="str">
        <f t="shared" si="21"/>
        <v>N/A - No Generic Factor</v>
      </c>
      <c r="AA219" s="112" t="str">
        <f t="shared" si="22"/>
        <v>N/A - No Generic Factor</v>
      </c>
      <c r="AB219" s="112" t="str">
        <f t="shared" si="23"/>
        <v>N/A - No Generic Factor</v>
      </c>
    </row>
    <row r="220" spans="1:28" x14ac:dyDescent="0.25">
      <c r="A220" s="97">
        <v>2023</v>
      </c>
      <c r="B220" s="28" t="s">
        <v>2405</v>
      </c>
      <c r="C220" s="28" t="s">
        <v>7362</v>
      </c>
      <c r="D220" s="28" t="s">
        <v>333</v>
      </c>
      <c r="E220" s="28" t="s">
        <v>334</v>
      </c>
      <c r="F220" s="28" t="s">
        <v>303</v>
      </c>
      <c r="G220" s="81">
        <v>70764</v>
      </c>
      <c r="H220" s="28">
        <v>30.262255</v>
      </c>
      <c r="I220" s="28">
        <v>-91.185837000000006</v>
      </c>
      <c r="J220" s="97" t="s">
        <v>335</v>
      </c>
      <c r="K220" s="61">
        <v>110000613747</v>
      </c>
      <c r="L220" s="28" t="str">
        <f>INDEX('Facility Summary'!$K:$K,MATCH(K220,'Facility Summary'!$J:$J,0))</f>
        <v>Manufacturing</v>
      </c>
      <c r="M220" s="28">
        <v>325211</v>
      </c>
      <c r="N220" s="28" t="str">
        <f>VLOOKUP(M220,'SIC &amp; NAICS Codes'!$D:$E,2,FALSE)</f>
        <v>Plastics Material and Resin Manufacturing</v>
      </c>
      <c r="R220" s="28">
        <v>16</v>
      </c>
      <c r="S220" s="28">
        <f t="shared" si="18"/>
        <v>7.2574779200000004</v>
      </c>
      <c r="T220" s="28">
        <v>0</v>
      </c>
      <c r="U220" s="28">
        <f t="shared" si="19"/>
        <v>0</v>
      </c>
      <c r="V220" s="28">
        <v>0</v>
      </c>
      <c r="W220" s="81">
        <f t="shared" si="20"/>
        <v>0</v>
      </c>
      <c r="X220" s="28" t="s">
        <v>2465</v>
      </c>
      <c r="Y220" s="373">
        <f>IF(COUNTIF('Raw Annual DMR Data'!$L:$L,'Raw TRI Data'!K220)&gt;0,"N/A - See DMRs",SUMIFS('Generic Factors'!$D:$D,'Generic Factors'!$A:$A,A220,'Generic Factors'!$B:$B,L220))</f>
        <v>0</v>
      </c>
      <c r="Z220" s="112" t="str">
        <f t="shared" si="21"/>
        <v>N/A - No Generic Factor</v>
      </c>
      <c r="AA220" s="112" t="str">
        <f t="shared" si="22"/>
        <v>N/A - No Generic Factor</v>
      </c>
      <c r="AB220" s="112" t="str">
        <f t="shared" si="23"/>
        <v>N/A - No Generic Factor</v>
      </c>
    </row>
    <row r="221" spans="1:28" x14ac:dyDescent="0.25">
      <c r="A221" s="97">
        <v>2023</v>
      </c>
      <c r="B221" s="28" t="s">
        <v>2405</v>
      </c>
      <c r="C221" s="28" t="s">
        <v>7360</v>
      </c>
      <c r="D221" s="28" t="s">
        <v>343</v>
      </c>
      <c r="E221" s="28" t="s">
        <v>344</v>
      </c>
      <c r="F221" s="28" t="s">
        <v>345</v>
      </c>
      <c r="G221" s="81">
        <v>60901</v>
      </c>
      <c r="H221" s="28">
        <v>41.085541999999997</v>
      </c>
      <c r="I221" s="28">
        <v>-87.880542000000005</v>
      </c>
      <c r="J221" s="97" t="s">
        <v>346</v>
      </c>
      <c r="K221" s="61">
        <v>110043972207</v>
      </c>
      <c r="L221" s="28" t="str">
        <f>INDEX('Facility Summary'!$K:$K,MATCH(K221,'Facility Summary'!$J:$J,0))</f>
        <v>Processing into formulation, mixture, or reaction product</v>
      </c>
      <c r="M221" s="28">
        <v>325613</v>
      </c>
      <c r="N221" s="28" t="str">
        <f>VLOOKUP(M221,'SIC &amp; NAICS Codes'!$D:$E,2,FALSE)</f>
        <v>Surface Active Agent Manufacturing</v>
      </c>
      <c r="R221" s="28">
        <v>0</v>
      </c>
      <c r="S221" s="28">
        <f t="shared" si="18"/>
        <v>0</v>
      </c>
      <c r="T221" s="28">
        <v>15</v>
      </c>
      <c r="U221" s="28">
        <f t="shared" si="19"/>
        <v>6.8038855500000004</v>
      </c>
      <c r="V221" s="28">
        <v>0</v>
      </c>
      <c r="W221" s="81">
        <f t="shared" si="20"/>
        <v>0</v>
      </c>
      <c r="X221" s="28" t="s">
        <v>7364</v>
      </c>
      <c r="Y221" s="373">
        <f>IF(COUNTIF('Raw Annual DMR Data'!$L:$L,'Raw TRI Data'!K221)&gt;0,"N/A - See DMRs",SUMIFS('Generic Factors'!$D:$D,'Generic Factors'!$A:$A,A221,'Generic Factors'!$B:$B,L221))</f>
        <v>0</v>
      </c>
      <c r="Z221" s="112" t="str">
        <f t="shared" si="21"/>
        <v>N/A - No Generic Factor</v>
      </c>
      <c r="AA221" s="112" t="str">
        <f t="shared" si="22"/>
        <v>N/A - No Generic Factor</v>
      </c>
      <c r="AB221" s="112" t="str">
        <f t="shared" si="23"/>
        <v>N/A - No Generic Factor</v>
      </c>
    </row>
    <row r="222" spans="1:28" x14ac:dyDescent="0.25">
      <c r="A222" s="97">
        <v>2023</v>
      </c>
      <c r="B222" s="28" t="s">
        <v>2405</v>
      </c>
      <c r="C222" s="28" t="s">
        <v>7361</v>
      </c>
      <c r="D222" s="28" t="s">
        <v>2411</v>
      </c>
      <c r="E222" s="28" t="s">
        <v>446</v>
      </c>
      <c r="F222" s="28" t="s">
        <v>303</v>
      </c>
      <c r="G222" s="81">
        <v>70669</v>
      </c>
      <c r="H222" s="28">
        <v>30.223500000000001</v>
      </c>
      <c r="I222" s="28">
        <v>-93.286900000000003</v>
      </c>
      <c r="J222" s="97" t="s">
        <v>447</v>
      </c>
      <c r="K222" s="61">
        <v>110000494894</v>
      </c>
      <c r="L222" s="28" t="str">
        <f>INDEX('Facility Summary'!$K:$K,MATCH(K222,'Facility Summary'!$J:$J,0))</f>
        <v>Manufacturing</v>
      </c>
      <c r="M222" s="28">
        <v>325180</v>
      </c>
      <c r="N222" s="28" t="str">
        <f>VLOOKUP(M222,'SIC &amp; NAICS Codes'!$D:$E,2,FALSE)</f>
        <v>Other Basic Inorganic Chemical Manufacturing</v>
      </c>
      <c r="R222" s="28">
        <v>9.1999999999999993</v>
      </c>
      <c r="S222" s="28">
        <f t="shared" si="18"/>
        <v>4.1730498040000006</v>
      </c>
      <c r="T222" s="28">
        <v>0</v>
      </c>
      <c r="U222" s="28">
        <f t="shared" si="19"/>
        <v>0</v>
      </c>
      <c r="V222" s="28">
        <v>0</v>
      </c>
      <c r="W222" s="81">
        <f t="shared" si="20"/>
        <v>0</v>
      </c>
      <c r="X222" s="28" t="s">
        <v>839</v>
      </c>
      <c r="Y222" s="373" t="str">
        <f>IF(COUNTIF('Raw Annual DMR Data'!$L:$L,'Raw TRI Data'!K222)&gt;0,"N/A - See DMRs",SUMIFS('Generic Factors'!$D:$D,'Generic Factors'!$A:$A,A222,'Generic Factors'!$B:$B,L222))</f>
        <v>N/A - See DMRs</v>
      </c>
      <c r="Z222" s="112" t="e">
        <f t="shared" si="21"/>
        <v>#N/A</v>
      </c>
      <c r="AA222" s="112" t="e">
        <f t="shared" si="22"/>
        <v>#N/A</v>
      </c>
      <c r="AB222" s="112" t="e">
        <f t="shared" si="23"/>
        <v>#N/A</v>
      </c>
    </row>
    <row r="223" spans="1:28" x14ac:dyDescent="0.25">
      <c r="A223" s="97">
        <v>2023</v>
      </c>
      <c r="B223" s="28" t="s">
        <v>2405</v>
      </c>
      <c r="C223" s="28" t="s">
        <v>201</v>
      </c>
      <c r="D223" s="28" t="s">
        <v>665</v>
      </c>
      <c r="E223" s="28" t="s">
        <v>516</v>
      </c>
      <c r="F223" s="28" t="s">
        <v>303</v>
      </c>
      <c r="G223" s="81">
        <v>70734</v>
      </c>
      <c r="H223" s="28">
        <v>30.208604000000001</v>
      </c>
      <c r="I223" s="28">
        <v>-91.011127999999999</v>
      </c>
      <c r="J223" s="97" t="s">
        <v>666</v>
      </c>
      <c r="K223" s="61">
        <v>110000746328</v>
      </c>
      <c r="L223" s="28" t="str">
        <f>INDEX('Facility Summary'!$K:$K,MATCH(K223,'Facility Summary'!$J:$J,0))</f>
        <v>Manufacturing</v>
      </c>
      <c r="M223" s="126">
        <v>325211</v>
      </c>
      <c r="N223" s="28" t="str">
        <f>VLOOKUP(M223,'SIC &amp; NAICS Codes'!$D:$E,2,FALSE)</f>
        <v>Plastics Material and Resin Manufacturing</v>
      </c>
      <c r="R223" s="28">
        <v>1</v>
      </c>
      <c r="S223" s="28">
        <f t="shared" si="18"/>
        <v>0.45359237000000002</v>
      </c>
      <c r="T223" s="28">
        <v>0</v>
      </c>
      <c r="U223" s="28">
        <f t="shared" si="19"/>
        <v>0</v>
      </c>
      <c r="V223" s="28">
        <v>0</v>
      </c>
      <c r="W223" s="81">
        <f t="shared" si="20"/>
        <v>0</v>
      </c>
      <c r="X223" s="28" t="s">
        <v>2488</v>
      </c>
      <c r="Y223" s="373" t="str">
        <f>IF(COUNTIF('Raw Annual DMR Data'!$L:$L,'Raw TRI Data'!K223)&gt;0,"N/A - See DMRs",SUMIFS('Generic Factors'!$D:$D,'Generic Factors'!$A:$A,A223,'Generic Factors'!$B:$B,L223))</f>
        <v>N/A - See DMRs</v>
      </c>
      <c r="Z223" s="112" t="e">
        <f t="shared" si="21"/>
        <v>#N/A</v>
      </c>
      <c r="AA223" s="112" t="e">
        <f t="shared" si="22"/>
        <v>#N/A</v>
      </c>
      <c r="AB223" s="112" t="e">
        <f t="shared" si="23"/>
        <v>#N/A</v>
      </c>
    </row>
    <row r="224" spans="1:28" x14ac:dyDescent="0.25">
      <c r="A224" s="97">
        <v>2023</v>
      </c>
      <c r="B224" s="28" t="s">
        <v>2405</v>
      </c>
      <c r="C224" s="126" t="s">
        <v>2422</v>
      </c>
      <c r="D224" s="126" t="s">
        <v>2423</v>
      </c>
      <c r="E224" s="126" t="s">
        <v>516</v>
      </c>
      <c r="F224" s="126" t="s">
        <v>303</v>
      </c>
      <c r="G224" s="81">
        <v>70734</v>
      </c>
      <c r="H224" s="28">
        <v>30.181861999999999</v>
      </c>
      <c r="I224" s="28">
        <v>-90.986958999999999</v>
      </c>
      <c r="J224" s="97" t="s">
        <v>585</v>
      </c>
      <c r="K224" s="61">
        <v>110000449774</v>
      </c>
      <c r="L224" s="81" t="str">
        <f>INDEX('Facility Summary'!$K:$K,MATCH(K224,'Facility Summary'!$J:$J,0))</f>
        <v>Manufacturing</v>
      </c>
      <c r="M224" s="28">
        <v>325199</v>
      </c>
      <c r="N224" s="97" t="str">
        <f>VLOOKUP(M224,'SIC &amp; NAICS Codes'!$D:$E,2,FALSE)</f>
        <v>All Other Basic Organic Chemical Manufacturing</v>
      </c>
      <c r="R224" s="126">
        <v>9</v>
      </c>
      <c r="S224" s="126">
        <f t="shared" si="18"/>
        <v>4.0823313299999997</v>
      </c>
      <c r="T224" s="126">
        <v>0</v>
      </c>
      <c r="U224" s="126">
        <f t="shared" si="19"/>
        <v>0</v>
      </c>
      <c r="V224" s="126">
        <v>0</v>
      </c>
      <c r="W224" s="81">
        <f t="shared" si="20"/>
        <v>0</v>
      </c>
      <c r="X224" s="126" t="s">
        <v>912</v>
      </c>
      <c r="Y224" s="373" t="str">
        <f>IF(COUNTIF('Raw Annual DMR Data'!$L:$L,'Raw TRI Data'!K224)&gt;0,"N/A - See DMRs",SUMIFS('Generic Factors'!$D:$D,'Generic Factors'!$A:$A,A224,'Generic Factors'!$B:$B,L224))</f>
        <v>N/A - See DMRs</v>
      </c>
      <c r="Z224" s="112" t="e">
        <f t="shared" si="21"/>
        <v>#N/A</v>
      </c>
      <c r="AA224" s="112" t="e">
        <f t="shared" si="22"/>
        <v>#N/A</v>
      </c>
      <c r="AB224" s="112" t="e">
        <f t="shared" si="23"/>
        <v>#N/A</v>
      </c>
    </row>
    <row r="225" spans="1:28" x14ac:dyDescent="0.25">
      <c r="A225" s="97">
        <v>2024</v>
      </c>
      <c r="B225" s="81" t="s">
        <v>2405</v>
      </c>
      <c r="C225" s="28" t="s">
        <v>683</v>
      </c>
      <c r="D225" s="28" t="s">
        <v>684</v>
      </c>
      <c r="E225" s="28" t="s">
        <v>685</v>
      </c>
      <c r="F225" s="28" t="s">
        <v>686</v>
      </c>
      <c r="G225" s="28">
        <v>53085</v>
      </c>
      <c r="H225" s="28">
        <v>43.674059999999997</v>
      </c>
      <c r="I225" s="28">
        <v>-87.781469999999999</v>
      </c>
      <c r="J225" s="28" t="s">
        <v>687</v>
      </c>
      <c r="K225" s="61">
        <v>110000605872</v>
      </c>
      <c r="L225" s="81" t="str">
        <f>INDEX('Facility Summary'!$K:$K,MATCH(K225,'Facility Summary'!$J:$J,0))</f>
        <v>Repackaging</v>
      </c>
      <c r="M225" s="28">
        <v>325199</v>
      </c>
      <c r="N225" s="97" t="str">
        <f>VLOOKUP(M225,'SIC &amp; NAICS Codes'!$D:$E,2,FALSE)</f>
        <v>All Other Basic Organic Chemical Manufacturing</v>
      </c>
      <c r="R225" s="28">
        <v>0</v>
      </c>
      <c r="S225" s="28">
        <f t="shared" si="18"/>
        <v>0</v>
      </c>
      <c r="T225" s="28">
        <v>50.92</v>
      </c>
      <c r="U225" s="28">
        <f t="shared" si="19"/>
        <v>23.096923480400001</v>
      </c>
      <c r="V225" s="28">
        <v>0</v>
      </c>
      <c r="W225" s="276">
        <f t="shared" si="20"/>
        <v>0</v>
      </c>
      <c r="X225" s="28" t="s">
        <v>7367</v>
      </c>
      <c r="Y225" s="373">
        <f>IF(COUNTIF('Raw Annual DMR Data'!$L:$L,'Raw TRI Data'!K225)&gt;0,"N/A - See DMRs",SUMIFS('Generic Factors'!$D:$D,'Generic Factors'!$A:$A,A225,'Generic Factors'!$B:$B,L225))</f>
        <v>0</v>
      </c>
      <c r="Z225" s="112" t="str">
        <f t="shared" si="21"/>
        <v>N/A - No Generic Factor</v>
      </c>
      <c r="AA225" s="112" t="str">
        <f t="shared" si="22"/>
        <v>N/A - No Generic Factor</v>
      </c>
      <c r="AB225" s="112" t="str">
        <f t="shared" si="23"/>
        <v>N/A - No Generic Factor</v>
      </c>
    </row>
    <row r="226" spans="1:28" x14ac:dyDescent="0.25">
      <c r="A226" s="97">
        <v>2024</v>
      </c>
      <c r="B226" s="81" t="s">
        <v>2405</v>
      </c>
      <c r="C226" s="28" t="s">
        <v>105</v>
      </c>
      <c r="D226" s="28" t="s">
        <v>322</v>
      </c>
      <c r="E226" s="28" t="s">
        <v>323</v>
      </c>
      <c r="F226" s="28" t="s">
        <v>324</v>
      </c>
      <c r="G226" s="28">
        <v>42029</v>
      </c>
      <c r="H226" s="28">
        <v>37.056699000000002</v>
      </c>
      <c r="I226" s="28">
        <v>-88.365727000000007</v>
      </c>
      <c r="J226" s="28" t="s">
        <v>325</v>
      </c>
      <c r="K226" s="61">
        <v>110000380061</v>
      </c>
      <c r="L226" s="81" t="str">
        <f>INDEX('Facility Summary'!$K:$K,MATCH(K226,'Facility Summary'!$J:$J,0))</f>
        <v>Manufacturing</v>
      </c>
      <c r="M226" s="28">
        <v>325180</v>
      </c>
      <c r="N226" s="97" t="str">
        <f>VLOOKUP(M226,'SIC &amp; NAICS Codes'!$D:$E,2,FALSE)</f>
        <v>Other Basic Inorganic Chemical Manufacturing</v>
      </c>
      <c r="R226" s="28">
        <v>11</v>
      </c>
      <c r="S226" s="28">
        <f t="shared" si="18"/>
        <v>4.9895160700000005</v>
      </c>
      <c r="T226" s="28">
        <v>0</v>
      </c>
      <c r="U226" s="28">
        <f t="shared" si="19"/>
        <v>0</v>
      </c>
      <c r="V226" s="28">
        <v>0</v>
      </c>
      <c r="W226" s="276">
        <f t="shared" si="20"/>
        <v>0</v>
      </c>
      <c r="X226" s="28" t="s">
        <v>776</v>
      </c>
      <c r="Y226" s="373" t="str">
        <f>IF(COUNTIF('Raw Annual DMR Data'!$L:$L,'Raw TRI Data'!K226)&gt;0,"N/A - See DMRs",SUMIFS('Generic Factors'!$D:$D,'Generic Factors'!$A:$A,A226,'Generic Factors'!$B:$B,L226))</f>
        <v>N/A - See DMRs</v>
      </c>
      <c r="Z226" s="112" t="e">
        <f t="shared" si="21"/>
        <v>#N/A</v>
      </c>
      <c r="AA226" s="112" t="e">
        <f t="shared" si="22"/>
        <v>#N/A</v>
      </c>
      <c r="AB226" s="112" t="e">
        <f t="shared" si="23"/>
        <v>#N/A</v>
      </c>
    </row>
    <row r="227" spans="1:28" x14ac:dyDescent="0.25">
      <c r="A227" s="97">
        <v>2024</v>
      </c>
      <c r="B227" s="81" t="s">
        <v>2405</v>
      </c>
      <c r="C227" s="28" t="s">
        <v>206</v>
      </c>
      <c r="D227" s="28" t="s">
        <v>347</v>
      </c>
      <c r="E227" s="28" t="s">
        <v>348</v>
      </c>
      <c r="F227" s="28" t="s">
        <v>349</v>
      </c>
      <c r="G227" s="28">
        <v>63461</v>
      </c>
      <c r="H227" s="28">
        <v>39.834117999999997</v>
      </c>
      <c r="I227" s="28">
        <v>-91.436790999999999</v>
      </c>
      <c r="J227" s="28" t="s">
        <v>350</v>
      </c>
      <c r="K227" s="61">
        <v>110056953765</v>
      </c>
      <c r="L227" s="81" t="str">
        <f>INDEX('Facility Summary'!$K:$K,MATCH(K227,'Facility Summary'!$J:$J,0))</f>
        <v>Processing into formulation, mixture, or reaction product</v>
      </c>
      <c r="M227" s="28">
        <v>325320</v>
      </c>
      <c r="N227" s="97" t="str">
        <f>VLOOKUP(M227,'SIC &amp; NAICS Codes'!$D:$E,2,FALSE)</f>
        <v>Pesticide and Other Agricultural Chemical Manufacturing</v>
      </c>
      <c r="R227" s="28">
        <v>5</v>
      </c>
      <c r="S227" s="28">
        <f t="shared" si="18"/>
        <v>2.2679618500000003</v>
      </c>
      <c r="T227" s="28">
        <v>0</v>
      </c>
      <c r="U227" s="28">
        <f t="shared" si="19"/>
        <v>0</v>
      </c>
      <c r="V227" s="28">
        <v>0</v>
      </c>
      <c r="W227" s="276">
        <f t="shared" si="20"/>
        <v>0</v>
      </c>
      <c r="X227" s="28" t="s">
        <v>2468</v>
      </c>
      <c r="Y227" s="373">
        <f>IF(COUNTIF('Raw Annual DMR Data'!$L:$L,'Raw TRI Data'!K227)&gt;0,"N/A - See DMRs",SUMIFS('Generic Factors'!$D:$D,'Generic Factors'!$A:$A,A227,'Generic Factors'!$B:$B,L227))</f>
        <v>0</v>
      </c>
      <c r="Z227" s="112" t="str">
        <f t="shared" si="21"/>
        <v>N/A - No Generic Factor</v>
      </c>
      <c r="AA227" s="112" t="str">
        <f t="shared" si="22"/>
        <v>N/A - No Generic Factor</v>
      </c>
      <c r="AB227" s="112" t="str">
        <f t="shared" si="23"/>
        <v>N/A - No Generic Factor</v>
      </c>
    </row>
    <row r="228" spans="1:28" x14ac:dyDescent="0.25">
      <c r="A228" s="97">
        <v>2024</v>
      </c>
      <c r="B228" s="81" t="s">
        <v>2405</v>
      </c>
      <c r="C228" s="28" t="s">
        <v>7358</v>
      </c>
      <c r="D228" s="28" t="s">
        <v>562</v>
      </c>
      <c r="E228" s="28" t="s">
        <v>563</v>
      </c>
      <c r="F228" s="28" t="s">
        <v>564</v>
      </c>
      <c r="G228" s="28">
        <v>52761</v>
      </c>
      <c r="H228" s="28">
        <v>41.350468999999997</v>
      </c>
      <c r="I228" s="28">
        <v>-91.081619000000003</v>
      </c>
      <c r="J228" s="28" t="s">
        <v>565</v>
      </c>
      <c r="K228" s="61">
        <v>110018869474</v>
      </c>
      <c r="L228" s="81" t="str">
        <f>INDEX('Facility Summary'!$K:$K,MATCH(K228,'Facility Summary'!$J:$J,0))</f>
        <v>Processing into formulation, mixture, or reaction product</v>
      </c>
      <c r="M228" s="28">
        <v>325320</v>
      </c>
      <c r="N228" s="97" t="str">
        <f>VLOOKUP(M228,'SIC &amp; NAICS Codes'!$D:$E,2,FALSE)</f>
        <v>Pesticide and Other Agricultural Chemical Manufacturing</v>
      </c>
      <c r="R228" s="28">
        <v>44</v>
      </c>
      <c r="S228" s="28">
        <f t="shared" si="18"/>
        <v>19.958064280000002</v>
      </c>
      <c r="T228" s="28">
        <v>0</v>
      </c>
      <c r="U228" s="28">
        <f t="shared" si="19"/>
        <v>0</v>
      </c>
      <c r="V228" s="28">
        <v>0</v>
      </c>
      <c r="W228" s="276">
        <f t="shared" si="20"/>
        <v>0</v>
      </c>
      <c r="X228" s="28" t="s">
        <v>2479</v>
      </c>
      <c r="Y228" s="373">
        <f>IF(COUNTIF('Raw Annual DMR Data'!$L:$L,'Raw TRI Data'!K228)&gt;0,"N/A - See DMRs",SUMIFS('Generic Factors'!$D:$D,'Generic Factors'!$A:$A,A228,'Generic Factors'!$B:$B,L228))</f>
        <v>0</v>
      </c>
      <c r="Z228" s="112" t="str">
        <f t="shared" si="21"/>
        <v>N/A - No Generic Factor</v>
      </c>
      <c r="AA228" s="112" t="str">
        <f t="shared" si="22"/>
        <v>N/A - No Generic Factor</v>
      </c>
      <c r="AB228" s="112" t="str">
        <f t="shared" si="23"/>
        <v>N/A - No Generic Factor</v>
      </c>
    </row>
    <row r="229" spans="1:28" x14ac:dyDescent="0.25">
      <c r="A229" s="97">
        <v>2024</v>
      </c>
      <c r="B229" s="81" t="s">
        <v>2405</v>
      </c>
      <c r="C229" s="28" t="s">
        <v>7359</v>
      </c>
      <c r="D229" s="28" t="s">
        <v>2470</v>
      </c>
      <c r="E229" s="28" t="s">
        <v>368</v>
      </c>
      <c r="F229" s="28" t="s">
        <v>349</v>
      </c>
      <c r="G229" s="28">
        <v>63630</v>
      </c>
      <c r="H229" s="28">
        <v>37.983333000000002</v>
      </c>
      <c r="I229" s="28">
        <v>-90.690832999999998</v>
      </c>
      <c r="J229" s="28" t="s">
        <v>369</v>
      </c>
      <c r="K229" s="61">
        <v>110017980443</v>
      </c>
      <c r="L229" s="81" t="str">
        <f>INDEX('Facility Summary'!$K:$K,MATCH(K229,'Facility Summary'!$J:$J,0))</f>
        <v>Manufacturing</v>
      </c>
      <c r="M229" s="28">
        <v>325998</v>
      </c>
      <c r="N229" s="97" t="str">
        <f>VLOOKUP(M229,'SIC &amp; NAICS Codes'!$D:$E,2,FALSE)</f>
        <v>All Other Miscellaneous Chemical Product and Preparation Manufacturing</v>
      </c>
      <c r="R229" s="28">
        <v>0</v>
      </c>
      <c r="S229" s="28">
        <f t="shared" si="18"/>
        <v>0</v>
      </c>
      <c r="T229" s="28">
        <v>264</v>
      </c>
      <c r="U229" s="28">
        <f t="shared" si="19"/>
        <v>119.74838568000001</v>
      </c>
      <c r="V229" s="28">
        <v>0</v>
      </c>
      <c r="W229" s="276">
        <f t="shared" si="20"/>
        <v>0</v>
      </c>
      <c r="X229" s="28" t="s">
        <v>796</v>
      </c>
      <c r="Y229" s="373" t="str">
        <f>IF(COUNTIF('Raw Annual DMR Data'!$L:$L,'Raw TRI Data'!K229)&gt;0,"N/A - See DMRs",SUMIFS('Generic Factors'!$D:$D,'Generic Factors'!$A:$A,A229,'Generic Factors'!$B:$B,L229))</f>
        <v>N/A - See DMRs</v>
      </c>
      <c r="Z229" s="112" t="e">
        <f t="shared" si="21"/>
        <v>#N/A</v>
      </c>
      <c r="AA229" s="112" t="e">
        <f t="shared" si="22"/>
        <v>#N/A</v>
      </c>
      <c r="AB229" s="112" t="e">
        <f t="shared" si="23"/>
        <v>#N/A</v>
      </c>
    </row>
    <row r="230" spans="1:28" x14ac:dyDescent="0.25">
      <c r="A230" s="97">
        <v>2024</v>
      </c>
      <c r="B230" s="81" t="s">
        <v>2405</v>
      </c>
      <c r="C230" s="28" t="s">
        <v>208</v>
      </c>
      <c r="D230" s="28" t="s">
        <v>425</v>
      </c>
      <c r="E230" s="28" t="s">
        <v>426</v>
      </c>
      <c r="F230" s="28" t="s">
        <v>427</v>
      </c>
      <c r="G230" s="28">
        <v>48640</v>
      </c>
      <c r="H230" s="28">
        <v>43.601944000000003</v>
      </c>
      <c r="I230" s="28">
        <v>-84.235556000000003</v>
      </c>
      <c r="J230" s="28" t="s">
        <v>428</v>
      </c>
      <c r="K230" s="61">
        <v>110070540611</v>
      </c>
      <c r="L230" s="28" t="str">
        <f>INDEX('Facility Summary'!$K:$K,MATCH(K230,'Facility Summary'!$J:$J,0))</f>
        <v>Processing into formulation, mixture, or reaction product</v>
      </c>
      <c r="M230" s="28">
        <v>325199</v>
      </c>
      <c r="N230" s="97" t="str">
        <f>VLOOKUP(M230,'SIC &amp; NAICS Codes'!$D:$E,2,FALSE)</f>
        <v>All Other Basic Organic Chemical Manufacturing</v>
      </c>
      <c r="R230" s="28">
        <v>0</v>
      </c>
      <c r="S230" s="28">
        <f t="shared" si="18"/>
        <v>0</v>
      </c>
      <c r="T230" s="28">
        <v>0</v>
      </c>
      <c r="U230" s="28">
        <f t="shared" si="19"/>
        <v>0</v>
      </c>
      <c r="V230" s="28">
        <v>1795</v>
      </c>
      <c r="W230" s="276">
        <f t="shared" si="20"/>
        <v>814.19830415000001</v>
      </c>
      <c r="X230" s="28" t="s">
        <v>295</v>
      </c>
      <c r="Y230" s="374">
        <f>IF(COUNTIF('Raw Annual DMR Data'!$L:$L,'Raw TRI Data'!K230)&gt;0,"N/A - See DMRs",SUMIFS('Generic Factors'!$D:$D,'Generic Factors'!$A:$A,A230,'Generic Factors'!$B:$B,L230))</f>
        <v>0</v>
      </c>
      <c r="Z230" s="112" t="str">
        <f t="shared" si="21"/>
        <v>N/A - No Generic Factor</v>
      </c>
      <c r="AA230" s="112" t="str">
        <f t="shared" si="22"/>
        <v>N/A - No Generic Factor</v>
      </c>
      <c r="AB230" s="112" t="str">
        <f t="shared" si="23"/>
        <v>N/A - No Generic Factor</v>
      </c>
    </row>
    <row r="231" spans="1:28" x14ac:dyDescent="0.25">
      <c r="A231" s="97">
        <v>2024</v>
      </c>
      <c r="B231" s="81" t="s">
        <v>2405</v>
      </c>
      <c r="C231" s="28" t="s">
        <v>209</v>
      </c>
      <c r="D231" s="28" t="s">
        <v>436</v>
      </c>
      <c r="E231" s="28" t="s">
        <v>437</v>
      </c>
      <c r="F231" s="28" t="s">
        <v>362</v>
      </c>
      <c r="G231" s="28">
        <v>775413257</v>
      </c>
      <c r="H231" s="28">
        <v>28.979199999999999</v>
      </c>
      <c r="I231" s="28">
        <v>-95.354900000000001</v>
      </c>
      <c r="J231" s="28" t="s">
        <v>438</v>
      </c>
      <c r="K231" s="61">
        <v>110008170237</v>
      </c>
      <c r="L231" s="81" t="str">
        <f>INDEX('Facility Summary'!$K:$K,MATCH(K231,'Facility Summary'!$J:$J,0))</f>
        <v>Processing as a Reactant</v>
      </c>
      <c r="M231" s="28">
        <v>325199</v>
      </c>
      <c r="N231" s="97" t="str">
        <f>VLOOKUP(M231,'SIC &amp; NAICS Codes'!$D:$E,2,FALSE)</f>
        <v>All Other Basic Organic Chemical Manufacturing</v>
      </c>
      <c r="R231" s="28">
        <v>63</v>
      </c>
      <c r="S231" s="28">
        <f t="shared" si="18"/>
        <v>28.576319310000002</v>
      </c>
      <c r="T231" s="28">
        <v>0</v>
      </c>
      <c r="U231" s="28">
        <f t="shared" si="19"/>
        <v>0</v>
      </c>
      <c r="V231" s="28">
        <v>0</v>
      </c>
      <c r="W231" s="276">
        <f t="shared" si="20"/>
        <v>0</v>
      </c>
      <c r="X231" s="28" t="s">
        <v>7365</v>
      </c>
      <c r="Y231" s="374">
        <f>IF(COUNTIF('Raw Annual DMR Data'!$L:$L,'Raw TRI Data'!K231)&gt;0,"N/A - See DMRs",SUMIFS('Generic Factors'!$D:$D,'Generic Factors'!$A:$A,A231,'Generic Factors'!$B:$B,L231))</f>
        <v>0</v>
      </c>
      <c r="Z231" s="112" t="str">
        <f t="shared" si="21"/>
        <v>N/A - No Generic Factor</v>
      </c>
      <c r="AA231" s="112" t="str">
        <f t="shared" si="22"/>
        <v>N/A - No Generic Factor</v>
      </c>
      <c r="AB231" s="112" t="str">
        <f t="shared" si="23"/>
        <v>N/A - No Generic Factor</v>
      </c>
    </row>
    <row r="232" spans="1:28" x14ac:dyDescent="0.25">
      <c r="A232" s="97">
        <v>2024</v>
      </c>
      <c r="B232" s="81" t="s">
        <v>2405</v>
      </c>
      <c r="C232" s="28" t="s">
        <v>2412</v>
      </c>
      <c r="D232" s="28" t="s">
        <v>2413</v>
      </c>
      <c r="E232" s="28" t="s">
        <v>302</v>
      </c>
      <c r="F232" s="28" t="s">
        <v>303</v>
      </c>
      <c r="G232" s="28">
        <v>70805</v>
      </c>
      <c r="H232" s="28">
        <v>30.501300000000001</v>
      </c>
      <c r="I232" s="28">
        <v>-91.192329999999998</v>
      </c>
      <c r="J232" s="28" t="s">
        <v>483</v>
      </c>
      <c r="K232" s="61">
        <v>110000597444</v>
      </c>
      <c r="L232" s="81" t="str">
        <f>INDEX('Facility Summary'!$K:$K,MATCH(K232,'Facility Summary'!$J:$J,0))</f>
        <v>Manufacturing</v>
      </c>
      <c r="M232" s="28">
        <v>325211</v>
      </c>
      <c r="N232" s="97" t="str">
        <f>VLOOKUP(M232,'SIC &amp; NAICS Codes'!$D:$E,2,FALSE)</f>
        <v>Plastics Material and Resin Manufacturing</v>
      </c>
      <c r="R232" s="28">
        <v>106</v>
      </c>
      <c r="S232" s="28">
        <f t="shared" si="18"/>
        <v>48.080791220000002</v>
      </c>
      <c r="T232" s="28">
        <v>0</v>
      </c>
      <c r="U232" s="28">
        <f t="shared" si="19"/>
        <v>0</v>
      </c>
      <c r="V232" s="28">
        <v>0</v>
      </c>
      <c r="W232" s="276">
        <f t="shared" si="20"/>
        <v>0</v>
      </c>
      <c r="X232" s="28" t="s">
        <v>862</v>
      </c>
      <c r="Y232" s="374" t="str">
        <f>IF(COUNTIF('Raw Annual DMR Data'!$L:$L,'Raw TRI Data'!K232)&gt;0,"N/A - See DMRs",SUMIFS('Generic Factors'!$D:$D,'Generic Factors'!$A:$A,A232,'Generic Factors'!$B:$B,L232))</f>
        <v>N/A - See DMRs</v>
      </c>
      <c r="Z232" s="112" t="e">
        <f t="shared" si="21"/>
        <v>#N/A</v>
      </c>
      <c r="AA232" s="112" t="e">
        <f t="shared" si="22"/>
        <v>#N/A</v>
      </c>
      <c r="AB232" s="112" t="e">
        <f t="shared" si="23"/>
        <v>#N/A</v>
      </c>
    </row>
    <row r="233" spans="1:28" x14ac:dyDescent="0.25">
      <c r="A233" s="97">
        <v>2024</v>
      </c>
      <c r="B233" s="81" t="s">
        <v>2405</v>
      </c>
      <c r="C233" s="28" t="s">
        <v>2414</v>
      </c>
      <c r="D233" s="28" t="s">
        <v>2415</v>
      </c>
      <c r="E233" s="28" t="s">
        <v>480</v>
      </c>
      <c r="F233" s="28" t="s">
        <v>362</v>
      </c>
      <c r="G233" s="28">
        <v>77978</v>
      </c>
      <c r="H233" s="28">
        <v>28.697590000000002</v>
      </c>
      <c r="I233" s="28">
        <v>-96.542101000000002</v>
      </c>
      <c r="J233" s="28" t="s">
        <v>481</v>
      </c>
      <c r="K233" s="61">
        <v>110018925957</v>
      </c>
      <c r="L233" s="81" t="str">
        <f>INDEX('Facility Summary'!$K:$K,MATCH(K233,'Facility Summary'!$J:$J,0))</f>
        <v>Manufacturing</v>
      </c>
      <c r="M233" s="28">
        <v>325211</v>
      </c>
      <c r="N233" s="97" t="str">
        <f>VLOOKUP(M233,'SIC &amp; NAICS Codes'!$D:$E,2,FALSE)</f>
        <v>Plastics Material and Resin Manufacturing</v>
      </c>
      <c r="R233" s="28">
        <v>49</v>
      </c>
      <c r="S233" s="28">
        <f t="shared" si="18"/>
        <v>22.226026130000001</v>
      </c>
      <c r="T233" s="28">
        <v>0</v>
      </c>
      <c r="U233" s="28">
        <f t="shared" si="19"/>
        <v>0</v>
      </c>
      <c r="V233" s="28">
        <v>0</v>
      </c>
      <c r="W233" s="276">
        <f t="shared" si="20"/>
        <v>0</v>
      </c>
      <c r="X233" s="28" t="s">
        <v>860</v>
      </c>
      <c r="Y233" s="374" t="str">
        <f>IF(COUNTIF('Raw Annual DMR Data'!$L:$L,'Raw TRI Data'!K233)&gt;0,"N/A - See DMRs",SUMIFS('Generic Factors'!$D:$D,'Generic Factors'!$A:$A,A233,'Generic Factors'!$B:$B,L233))</f>
        <v>N/A - See DMRs</v>
      </c>
      <c r="Z233" s="112" t="e">
        <f t="shared" si="21"/>
        <v>#N/A</v>
      </c>
      <c r="AA233" s="112" t="e">
        <f t="shared" si="22"/>
        <v>#N/A</v>
      </c>
      <c r="AB233" s="112" t="e">
        <f t="shared" si="23"/>
        <v>#N/A</v>
      </c>
    </row>
    <row r="234" spans="1:28" x14ac:dyDescent="0.25">
      <c r="A234" s="97">
        <v>2024</v>
      </c>
      <c r="B234" s="81" t="s">
        <v>2405</v>
      </c>
      <c r="C234" s="28" t="s">
        <v>210</v>
      </c>
      <c r="D234" s="28" t="s">
        <v>436</v>
      </c>
      <c r="E234" s="28" t="s">
        <v>437</v>
      </c>
      <c r="F234" s="28" t="s">
        <v>362</v>
      </c>
      <c r="G234" s="28">
        <v>77541</v>
      </c>
      <c r="H234" s="28">
        <v>28.981691999999999</v>
      </c>
      <c r="I234" s="28">
        <v>-95.376501000000005</v>
      </c>
      <c r="J234" s="28" t="s">
        <v>484</v>
      </c>
      <c r="K234" s="61">
        <v>110066943605</v>
      </c>
      <c r="L234" s="81" t="str">
        <f>INDEX('Facility Summary'!$K:$K,MATCH(K234,'Facility Summary'!$J:$J,0))</f>
        <v>Manufacturing</v>
      </c>
      <c r="M234" s="28">
        <v>325199</v>
      </c>
      <c r="N234" s="97" t="str">
        <f>VLOOKUP(M234,'SIC &amp; NAICS Codes'!$D:$E,2,FALSE)</f>
        <v>All Other Basic Organic Chemical Manufacturing</v>
      </c>
      <c r="R234" s="28">
        <v>0</v>
      </c>
      <c r="S234" s="28">
        <f t="shared" si="18"/>
        <v>0</v>
      </c>
      <c r="T234" s="28">
        <v>0</v>
      </c>
      <c r="U234" s="28">
        <f t="shared" si="19"/>
        <v>0</v>
      </c>
      <c r="V234" s="28">
        <v>61</v>
      </c>
      <c r="W234" s="276">
        <f t="shared" si="20"/>
        <v>27.669134570000001</v>
      </c>
      <c r="X234" s="28" t="s">
        <v>295</v>
      </c>
      <c r="Y234" s="374">
        <f>IF(COUNTIF('Raw Annual DMR Data'!$L:$L,'Raw TRI Data'!K234)&gt;0,"N/A - See DMRs",SUMIFS('Generic Factors'!$D:$D,'Generic Factors'!$A:$A,A234,'Generic Factors'!$B:$B,L234))</f>
        <v>0</v>
      </c>
      <c r="Z234" s="112" t="str">
        <f t="shared" si="21"/>
        <v>N/A - No Generic Factor</v>
      </c>
      <c r="AA234" s="112" t="str">
        <f t="shared" si="22"/>
        <v>N/A - No Generic Factor</v>
      </c>
      <c r="AB234" s="112" t="str">
        <f t="shared" si="23"/>
        <v>N/A - No Generic Factor</v>
      </c>
    </row>
    <row r="235" spans="1:28" x14ac:dyDescent="0.25">
      <c r="A235" s="97">
        <v>2024</v>
      </c>
      <c r="B235" s="81" t="s">
        <v>2405</v>
      </c>
      <c r="C235" s="28" t="s">
        <v>7360</v>
      </c>
      <c r="D235" s="28" t="s">
        <v>343</v>
      </c>
      <c r="E235" s="28" t="s">
        <v>344</v>
      </c>
      <c r="F235" s="28" t="s">
        <v>345</v>
      </c>
      <c r="G235" s="28">
        <v>60901</v>
      </c>
      <c r="H235" s="28">
        <v>41.085541999999997</v>
      </c>
      <c r="I235" s="28">
        <v>-87.880542000000005</v>
      </c>
      <c r="J235" s="28" t="s">
        <v>346</v>
      </c>
      <c r="K235" s="61">
        <v>110043972207</v>
      </c>
      <c r="L235" s="81" t="str">
        <f>INDEX('Facility Summary'!$K:$K,MATCH(K235,'Facility Summary'!$J:$J,0))</f>
        <v>Processing into formulation, mixture, or reaction product</v>
      </c>
      <c r="M235" s="28">
        <v>325613</v>
      </c>
      <c r="N235" s="97" t="str">
        <f>VLOOKUP(M235,'SIC &amp; NAICS Codes'!$D:$E,2,FALSE)</f>
        <v>Surface Active Agent Manufacturing</v>
      </c>
      <c r="R235" s="28">
        <v>0</v>
      </c>
      <c r="S235" s="28">
        <f t="shared" si="18"/>
        <v>0</v>
      </c>
      <c r="T235" s="28">
        <v>25</v>
      </c>
      <c r="U235" s="28">
        <f t="shared" si="19"/>
        <v>11.33980925</v>
      </c>
      <c r="V235" s="28">
        <v>0</v>
      </c>
      <c r="W235" s="276">
        <f t="shared" si="20"/>
        <v>0</v>
      </c>
      <c r="X235" s="28" t="s">
        <v>7364</v>
      </c>
      <c r="Y235" s="374">
        <f>IF(COUNTIF('Raw Annual DMR Data'!$L:$L,'Raw TRI Data'!K235)&gt;0,"N/A - See DMRs",SUMIFS('Generic Factors'!$D:$D,'Generic Factors'!$A:$A,A235,'Generic Factors'!$B:$B,L235))</f>
        <v>0</v>
      </c>
      <c r="Z235" s="112" t="str">
        <f t="shared" si="21"/>
        <v>N/A - No Generic Factor</v>
      </c>
      <c r="AA235" s="112" t="str">
        <f t="shared" si="22"/>
        <v>N/A - No Generic Factor</v>
      </c>
      <c r="AB235" s="112" t="str">
        <f t="shared" si="23"/>
        <v>N/A - No Generic Factor</v>
      </c>
    </row>
    <row r="236" spans="1:28" x14ac:dyDescent="0.25">
      <c r="A236" s="97">
        <v>2024</v>
      </c>
      <c r="B236" s="81" t="s">
        <v>2405</v>
      </c>
      <c r="C236" s="28" t="s">
        <v>213</v>
      </c>
      <c r="D236" s="28" t="s">
        <v>540</v>
      </c>
      <c r="E236" s="28" t="s">
        <v>460</v>
      </c>
      <c r="F236" s="28" t="s">
        <v>541</v>
      </c>
      <c r="G236" s="28">
        <v>29405</v>
      </c>
      <c r="H236" s="28">
        <v>32.833576999999998</v>
      </c>
      <c r="I236" s="28">
        <v>-79.964774000000006</v>
      </c>
      <c r="J236" s="28" t="s">
        <v>542</v>
      </c>
      <c r="K236" s="61">
        <v>110017326963</v>
      </c>
      <c r="L236" s="81" t="str">
        <f>INDEX('Facility Summary'!$K:$K,MATCH(K236,'Facility Summary'!$J:$J,0))</f>
        <v>Manufacturing</v>
      </c>
      <c r="M236" s="28">
        <v>325199</v>
      </c>
      <c r="N236" s="97" t="str">
        <f>VLOOKUP(M236,'SIC &amp; NAICS Codes'!$D:$E,2,FALSE)</f>
        <v>All Other Basic Organic Chemical Manufacturing</v>
      </c>
      <c r="R236" s="28">
        <v>0</v>
      </c>
      <c r="S236" s="28">
        <f t="shared" si="18"/>
        <v>0</v>
      </c>
      <c r="T236" s="28">
        <v>17</v>
      </c>
      <c r="U236" s="28">
        <f t="shared" si="19"/>
        <v>7.7110702900000003</v>
      </c>
      <c r="V236" s="28">
        <v>0</v>
      </c>
      <c r="W236" s="276">
        <f t="shared" si="20"/>
        <v>0</v>
      </c>
      <c r="X236" s="28" t="s">
        <v>7363</v>
      </c>
      <c r="Y236" s="374">
        <f>IF(COUNTIF('Raw Annual DMR Data'!$L:$L,'Raw TRI Data'!K236)&gt;0,"N/A - See DMRs",SUMIFS('Generic Factors'!$D:$D,'Generic Factors'!$A:$A,A236,'Generic Factors'!$B:$B,L236))</f>
        <v>0</v>
      </c>
      <c r="Z236" s="112" t="str">
        <f t="shared" si="21"/>
        <v>N/A - No Generic Factor</v>
      </c>
      <c r="AA236" s="112" t="str">
        <f t="shared" si="22"/>
        <v>N/A - No Generic Factor</v>
      </c>
      <c r="AB236" s="112" t="str">
        <f t="shared" si="23"/>
        <v>N/A - No Generic Factor</v>
      </c>
    </row>
    <row r="237" spans="1:28" x14ac:dyDescent="0.25">
      <c r="A237" s="97">
        <v>2024</v>
      </c>
      <c r="B237" s="81" t="s">
        <v>2405</v>
      </c>
      <c r="C237" s="28" t="s">
        <v>215</v>
      </c>
      <c r="D237" s="28" t="s">
        <v>574</v>
      </c>
      <c r="E237" s="28" t="s">
        <v>575</v>
      </c>
      <c r="F237" s="28" t="s">
        <v>435</v>
      </c>
      <c r="G237" s="28">
        <v>28147</v>
      </c>
      <c r="H237" s="28">
        <v>35.631999999999998</v>
      </c>
      <c r="I237" s="28">
        <v>-80.532839999999993</v>
      </c>
      <c r="J237" s="28" t="s">
        <v>576</v>
      </c>
      <c r="K237" s="61">
        <v>110000348936</v>
      </c>
      <c r="L237" s="81" t="str">
        <f>INDEX('Facility Summary'!$K:$K,MATCH(K237,'Facility Summary'!$J:$J,0))</f>
        <v>Processing into formulation, mixture, or reaction product</v>
      </c>
      <c r="M237" s="28">
        <v>325199</v>
      </c>
      <c r="N237" s="97" t="str">
        <f>VLOOKUP(M237,'SIC &amp; NAICS Codes'!$D:$E,2,FALSE)</f>
        <v>All Other Basic Organic Chemical Manufacturing</v>
      </c>
      <c r="R237" s="28">
        <v>0</v>
      </c>
      <c r="S237" s="28">
        <f t="shared" si="18"/>
        <v>0</v>
      </c>
      <c r="T237" s="28">
        <v>0.47</v>
      </c>
      <c r="U237" s="28">
        <f t="shared" si="19"/>
        <v>0.21318841390000001</v>
      </c>
      <c r="V237" s="28">
        <v>0</v>
      </c>
      <c r="W237" s="276">
        <f t="shared" si="20"/>
        <v>0</v>
      </c>
      <c r="X237" s="28" t="s">
        <v>2480</v>
      </c>
      <c r="Y237" s="374">
        <f>IF(COUNTIF('Raw Annual DMR Data'!$L:$L,'Raw TRI Data'!K237)&gt;0,"N/A - See DMRs",SUMIFS('Generic Factors'!$D:$D,'Generic Factors'!$A:$A,A237,'Generic Factors'!$B:$B,L237))</f>
        <v>0</v>
      </c>
      <c r="Z237" s="112" t="str">
        <f t="shared" si="21"/>
        <v>N/A - No Generic Factor</v>
      </c>
      <c r="AA237" s="112" t="str">
        <f t="shared" si="22"/>
        <v>N/A - No Generic Factor</v>
      </c>
      <c r="AB237" s="112" t="str">
        <f t="shared" si="23"/>
        <v>N/A - No Generic Factor</v>
      </c>
    </row>
    <row r="238" spans="1:28" x14ac:dyDescent="0.25">
      <c r="A238" s="97">
        <v>2024</v>
      </c>
      <c r="B238" s="81" t="s">
        <v>2405</v>
      </c>
      <c r="C238" s="28" t="s">
        <v>2419</v>
      </c>
      <c r="D238" s="28" t="s">
        <v>2420</v>
      </c>
      <c r="E238" s="28" t="s">
        <v>2421</v>
      </c>
      <c r="F238" s="28" t="s">
        <v>362</v>
      </c>
      <c r="G238" s="28">
        <v>78359</v>
      </c>
      <c r="H238" s="28">
        <v>27.883610999999998</v>
      </c>
      <c r="I238" s="28">
        <v>-97.241382999999999</v>
      </c>
      <c r="J238" s="28" t="s">
        <v>583</v>
      </c>
      <c r="K238" s="61">
        <v>110070725501</v>
      </c>
      <c r="L238" s="28" t="str">
        <f>INDEX('Facility Summary'!$K:$K,MATCH(K238,'Facility Summary'!$J:$J,0))</f>
        <v>Manufacturing</v>
      </c>
      <c r="M238" s="28">
        <v>325199</v>
      </c>
      <c r="N238" s="97" t="str">
        <f>VLOOKUP(M238,'SIC &amp; NAICS Codes'!$D:$E,2,FALSE)</f>
        <v>All Other Basic Organic Chemical Manufacturing</v>
      </c>
      <c r="R238" s="28">
        <v>4</v>
      </c>
      <c r="S238" s="28">
        <f t="shared" si="18"/>
        <v>1.8143694800000001</v>
      </c>
      <c r="T238" s="28">
        <v>0</v>
      </c>
      <c r="U238" s="28">
        <f t="shared" si="19"/>
        <v>0</v>
      </c>
      <c r="V238" s="28">
        <v>0</v>
      </c>
      <c r="W238" s="276">
        <f t="shared" si="20"/>
        <v>0</v>
      </c>
      <c r="X238" s="28" t="s">
        <v>910</v>
      </c>
      <c r="Y238" s="374" t="str">
        <f>IF(COUNTIF('Raw Annual DMR Data'!$L:$L,'Raw TRI Data'!K238)&gt;0,"N/A - See DMRs",SUMIFS('Generic Factors'!$D:$D,'Generic Factors'!$A:$A,A238,'Generic Factors'!$B:$B,L238))</f>
        <v>N/A - See DMRs</v>
      </c>
      <c r="Z238" s="112" t="e">
        <f t="shared" si="21"/>
        <v>#N/A</v>
      </c>
      <c r="AA238" s="112" t="e">
        <f t="shared" si="22"/>
        <v>#N/A</v>
      </c>
      <c r="AB238" s="112" t="e">
        <f t="shared" si="23"/>
        <v>#N/A</v>
      </c>
    </row>
    <row r="239" spans="1:28" x14ac:dyDescent="0.25">
      <c r="A239" s="97">
        <v>2024</v>
      </c>
      <c r="B239" s="81" t="s">
        <v>2405</v>
      </c>
      <c r="C239" s="28" t="s">
        <v>216</v>
      </c>
      <c r="D239" s="28" t="s">
        <v>586</v>
      </c>
      <c r="E239" s="28" t="s">
        <v>587</v>
      </c>
      <c r="F239" s="28" t="s">
        <v>303</v>
      </c>
      <c r="G239" s="28">
        <v>70723</v>
      </c>
      <c r="H239" s="28">
        <v>30.05509</v>
      </c>
      <c r="I239" s="28">
        <v>-90.830839999999995</v>
      </c>
      <c r="J239" s="28" t="s">
        <v>588</v>
      </c>
      <c r="K239" s="61">
        <v>110000597328</v>
      </c>
      <c r="L239" s="81" t="str">
        <f>INDEX('Facility Summary'!$K:$K,MATCH(K239,'Facility Summary'!$J:$J,0))</f>
        <v>Manufacturing</v>
      </c>
      <c r="M239" s="28">
        <v>325180</v>
      </c>
      <c r="N239" s="97" t="str">
        <f>VLOOKUP(M239,'SIC &amp; NAICS Codes'!$D:$E,2,FALSE)</f>
        <v>Other Basic Inorganic Chemical Manufacturing</v>
      </c>
      <c r="R239" s="28">
        <v>1</v>
      </c>
      <c r="S239" s="28">
        <f t="shared" si="18"/>
        <v>0.45359237000000002</v>
      </c>
      <c r="T239" s="28">
        <v>0</v>
      </c>
      <c r="U239" s="28">
        <f t="shared" si="19"/>
        <v>0</v>
      </c>
      <c r="V239" s="28">
        <v>0</v>
      </c>
      <c r="W239" s="276">
        <f t="shared" si="20"/>
        <v>0</v>
      </c>
      <c r="X239" s="28" t="s">
        <v>2482</v>
      </c>
      <c r="Y239" s="373">
        <f>IF(COUNTIF('Raw Annual DMR Data'!$L:$L,'Raw TRI Data'!K239)&gt;0,"N/A - See DMRs",SUMIFS('Generic Factors'!$D:$D,'Generic Factors'!$A:$A,A239,'Generic Factors'!$B:$B,L239))</f>
        <v>0</v>
      </c>
      <c r="Z239" s="112" t="str">
        <f t="shared" si="21"/>
        <v>N/A - No Generic Factor</v>
      </c>
      <c r="AA239" s="112" t="str">
        <f t="shared" si="22"/>
        <v>N/A - No Generic Factor</v>
      </c>
      <c r="AB239" s="112" t="str">
        <f t="shared" si="23"/>
        <v>N/A - No Generic Factor</v>
      </c>
    </row>
    <row r="240" spans="1:28" x14ac:dyDescent="0.25">
      <c r="A240" s="97">
        <v>2024</v>
      </c>
      <c r="B240" s="81" t="s">
        <v>2405</v>
      </c>
      <c r="C240" s="28" t="s">
        <v>2422</v>
      </c>
      <c r="D240" s="28" t="s">
        <v>2423</v>
      </c>
      <c r="E240" s="28" t="s">
        <v>516</v>
      </c>
      <c r="F240" s="28" t="s">
        <v>303</v>
      </c>
      <c r="G240" s="28">
        <v>70734</v>
      </c>
      <c r="H240" s="28">
        <v>30.181861999999999</v>
      </c>
      <c r="I240" s="28">
        <v>-90.986958999999999</v>
      </c>
      <c r="J240" s="28" t="s">
        <v>585</v>
      </c>
      <c r="K240" s="61">
        <v>110000449774</v>
      </c>
      <c r="L240" s="81" t="str">
        <f>INDEX('Facility Summary'!$K:$K,MATCH(K240,'Facility Summary'!$J:$J,0))</f>
        <v>Manufacturing</v>
      </c>
      <c r="M240" s="28">
        <v>325199</v>
      </c>
      <c r="N240" s="97" t="str">
        <f>VLOOKUP(M240,'SIC &amp; NAICS Codes'!$D:$E,2,FALSE)</f>
        <v>All Other Basic Organic Chemical Manufacturing</v>
      </c>
      <c r="R240" s="28">
        <v>12</v>
      </c>
      <c r="S240" s="28">
        <f t="shared" si="18"/>
        <v>5.4431084399999996</v>
      </c>
      <c r="T240" s="28">
        <v>0</v>
      </c>
      <c r="U240" s="28">
        <f t="shared" si="19"/>
        <v>0</v>
      </c>
      <c r="V240" s="28">
        <v>74</v>
      </c>
      <c r="W240" s="276">
        <f t="shared" si="20"/>
        <v>33.565835380000003</v>
      </c>
      <c r="X240" s="28" t="s">
        <v>912</v>
      </c>
      <c r="Y240" s="373" t="str">
        <f>IF(COUNTIF('Raw Annual DMR Data'!$L:$L,'Raw TRI Data'!K240)&gt;0,"N/A - See DMRs",SUMIFS('Generic Factors'!$D:$D,'Generic Factors'!$A:$A,A240,'Generic Factors'!$B:$B,L240))</f>
        <v>N/A - See DMRs</v>
      </c>
      <c r="Z240" s="112" t="e">
        <f t="shared" si="21"/>
        <v>#N/A</v>
      </c>
      <c r="AA240" s="112" t="e">
        <f t="shared" si="22"/>
        <v>#N/A</v>
      </c>
      <c r="AB240" s="112" t="e">
        <f t="shared" si="23"/>
        <v>#N/A</v>
      </c>
    </row>
    <row r="241" spans="1:28" x14ac:dyDescent="0.25">
      <c r="A241" s="97">
        <v>2024</v>
      </c>
      <c r="B241" s="81" t="s">
        <v>2405</v>
      </c>
      <c r="C241" s="28" t="s">
        <v>217</v>
      </c>
      <c r="D241" s="28" t="s">
        <v>592</v>
      </c>
      <c r="E241" s="28" t="s">
        <v>590</v>
      </c>
      <c r="F241" s="28" t="s">
        <v>362</v>
      </c>
      <c r="G241" s="28">
        <v>77536</v>
      </c>
      <c r="H241" s="28">
        <v>29.728559000000001</v>
      </c>
      <c r="I241" s="28">
        <v>-95.110764000000003</v>
      </c>
      <c r="J241" s="28" t="s">
        <v>593</v>
      </c>
      <c r="K241" s="61">
        <v>110070827819</v>
      </c>
      <c r="L241" s="28" t="str">
        <f>INDEX('Facility Summary'!$K:$K,MATCH(K241,'Facility Summary'!$J:$J,0))</f>
        <v>Manufacturing</v>
      </c>
      <c r="M241" s="28">
        <v>325199</v>
      </c>
      <c r="N241" s="97" t="str">
        <f>VLOOKUP(M241,'SIC &amp; NAICS Codes'!$D:$E,2,FALSE)</f>
        <v>All Other Basic Organic Chemical Manufacturing</v>
      </c>
      <c r="R241" s="28">
        <v>0</v>
      </c>
      <c r="S241" s="28">
        <f t="shared" si="18"/>
        <v>0</v>
      </c>
      <c r="T241" s="28">
        <v>0</v>
      </c>
      <c r="U241" s="28">
        <f t="shared" si="19"/>
        <v>0</v>
      </c>
      <c r="V241" s="28">
        <v>35</v>
      </c>
      <c r="W241" s="276">
        <f t="shared" si="20"/>
        <v>15.875732950000002</v>
      </c>
      <c r="X241" s="28" t="s">
        <v>295</v>
      </c>
      <c r="Y241" s="374">
        <f>IF(COUNTIF('Raw Annual DMR Data'!$L:$L,'Raw TRI Data'!K241)&gt;0,"N/A - See DMRs",SUMIFS('Generic Factors'!$D:$D,'Generic Factors'!$A:$A,A241,'Generic Factors'!$B:$B,L241))</f>
        <v>0</v>
      </c>
      <c r="Z241" s="112" t="str">
        <f t="shared" si="21"/>
        <v>N/A - No Generic Factor</v>
      </c>
      <c r="AA241" s="112" t="str">
        <f t="shared" si="22"/>
        <v>N/A - No Generic Factor</v>
      </c>
      <c r="AB241" s="112" t="str">
        <f t="shared" si="23"/>
        <v>N/A - No Generic Factor</v>
      </c>
    </row>
    <row r="242" spans="1:28" x14ac:dyDescent="0.25">
      <c r="A242" s="97">
        <v>2024</v>
      </c>
      <c r="B242" s="81" t="s">
        <v>2405</v>
      </c>
      <c r="C242" s="28" t="s">
        <v>218</v>
      </c>
      <c r="D242" s="28" t="s">
        <v>594</v>
      </c>
      <c r="E242" s="28" t="s">
        <v>361</v>
      </c>
      <c r="F242" s="28" t="s">
        <v>362</v>
      </c>
      <c r="G242" s="28">
        <v>77571</v>
      </c>
      <c r="H242" s="28">
        <v>29.723700000000001</v>
      </c>
      <c r="I242" s="28">
        <v>-95.074079999999995</v>
      </c>
      <c r="J242" s="28" t="s">
        <v>595</v>
      </c>
      <c r="K242" s="61">
        <v>110017769734</v>
      </c>
      <c r="L242" s="81" t="str">
        <f>INDEX('Facility Summary'!$K:$K,MATCH(K242,'Facility Summary'!$J:$J,0))</f>
        <v>Manufacturing</v>
      </c>
      <c r="M242" s="28">
        <v>325199</v>
      </c>
      <c r="N242" s="97" t="str">
        <f>VLOOKUP(M242,'SIC &amp; NAICS Codes'!$D:$E,2,FALSE)</f>
        <v>All Other Basic Organic Chemical Manufacturing</v>
      </c>
      <c r="R242" s="28">
        <v>15.15</v>
      </c>
      <c r="S242" s="28">
        <f t="shared" si="18"/>
        <v>6.8719244055000006</v>
      </c>
      <c r="T242" s="28">
        <v>0</v>
      </c>
      <c r="U242" s="28">
        <f t="shared" si="19"/>
        <v>0</v>
      </c>
      <c r="V242" s="28">
        <v>0</v>
      </c>
      <c r="W242" s="276">
        <f t="shared" si="20"/>
        <v>0</v>
      </c>
      <c r="X242" s="28" t="s">
        <v>2485</v>
      </c>
      <c r="Y242" s="373">
        <f>IF(COUNTIF('Raw Annual DMR Data'!$L:$L,'Raw TRI Data'!K242)&gt;0,"N/A - See DMRs",SUMIFS('Generic Factors'!$D:$D,'Generic Factors'!$A:$A,A242,'Generic Factors'!$B:$B,L242))</f>
        <v>0</v>
      </c>
      <c r="Z242" s="112" t="str">
        <f t="shared" si="21"/>
        <v>N/A - No Generic Factor</v>
      </c>
      <c r="AA242" s="112" t="str">
        <f t="shared" si="22"/>
        <v>N/A - No Generic Factor</v>
      </c>
      <c r="AB242" s="112" t="str">
        <f t="shared" si="23"/>
        <v>N/A - No Generic Factor</v>
      </c>
    </row>
    <row r="243" spans="1:28" x14ac:dyDescent="0.25">
      <c r="A243" s="97">
        <v>2024</v>
      </c>
      <c r="B243" s="81" t="s">
        <v>2405</v>
      </c>
      <c r="C243" s="28" t="s">
        <v>86</v>
      </c>
      <c r="D243" s="28" t="s">
        <v>6269</v>
      </c>
      <c r="E243" s="28" t="s">
        <v>334</v>
      </c>
      <c r="F243" s="28" t="s">
        <v>303</v>
      </c>
      <c r="G243" s="28">
        <v>70764</v>
      </c>
      <c r="H243" s="28">
        <v>30.259399999999999</v>
      </c>
      <c r="I243" s="28">
        <v>-91.173699999999997</v>
      </c>
      <c r="J243" s="28" t="s">
        <v>6268</v>
      </c>
      <c r="K243" s="61">
        <v>110000572675</v>
      </c>
      <c r="L243" s="28" t="str">
        <f>INDEX('Facility Summary'!$K:$K,MATCH(K243,'Facility Summary'!$J:$J,0))</f>
        <v>Manufacturing</v>
      </c>
      <c r="M243" s="28">
        <v>325211</v>
      </c>
      <c r="N243" s="97" t="str">
        <f>VLOOKUP(M243,'SIC &amp; NAICS Codes'!$D:$E,2,FALSE)</f>
        <v>Plastics Material and Resin Manufacturing</v>
      </c>
      <c r="R243" s="28">
        <v>417.97</v>
      </c>
      <c r="S243" s="28">
        <f t="shared" si="18"/>
        <v>189.58800288890004</v>
      </c>
      <c r="T243" s="28">
        <v>0</v>
      </c>
      <c r="U243" s="28">
        <f t="shared" si="19"/>
        <v>0</v>
      </c>
      <c r="V243" s="28">
        <v>0</v>
      </c>
      <c r="W243" s="276">
        <f t="shared" si="20"/>
        <v>0</v>
      </c>
      <c r="X243" s="28" t="s">
        <v>7368</v>
      </c>
      <c r="Y243" s="374">
        <f>IF(COUNTIF('Raw Annual DMR Data'!$L:$L,'Raw TRI Data'!K243)&gt;0,"N/A - See DMRs",SUMIFS('Generic Factors'!$D:$D,'Generic Factors'!$A:$A,A243,'Generic Factors'!$B:$B,L243))</f>
        <v>0</v>
      </c>
      <c r="Z243" s="112" t="str">
        <f t="shared" si="21"/>
        <v>N/A - No Generic Factor</v>
      </c>
      <c r="AA243" s="112" t="str">
        <f t="shared" si="22"/>
        <v>N/A - No Generic Factor</v>
      </c>
      <c r="AB243" s="112" t="str">
        <f t="shared" si="23"/>
        <v>N/A - No Generic Factor</v>
      </c>
    </row>
    <row r="244" spans="1:28" x14ac:dyDescent="0.25">
      <c r="A244" s="97">
        <v>2024</v>
      </c>
      <c r="B244" s="81" t="s">
        <v>2405</v>
      </c>
      <c r="C244" s="28" t="s">
        <v>7362</v>
      </c>
      <c r="D244" s="28" t="s">
        <v>663</v>
      </c>
      <c r="E244" s="28" t="s">
        <v>446</v>
      </c>
      <c r="F244" s="28" t="s">
        <v>303</v>
      </c>
      <c r="G244" s="28">
        <v>70669</v>
      </c>
      <c r="H244" s="28">
        <v>30.252222</v>
      </c>
      <c r="I244" s="28">
        <v>-93.284443999999993</v>
      </c>
      <c r="J244" s="28" t="s">
        <v>664</v>
      </c>
      <c r="K244" s="61">
        <v>110070228618</v>
      </c>
      <c r="L244" s="28" t="str">
        <f>INDEX('Facility Summary'!$K:$K,MATCH(K244,'Facility Summary'!$J:$J,0))</f>
        <v>Manufacturing</v>
      </c>
      <c r="M244" s="28">
        <v>325110</v>
      </c>
      <c r="N244" s="97" t="str">
        <f>VLOOKUP(M244,'SIC &amp; NAICS Codes'!$D:$E,2,FALSE)</f>
        <v>Petrochemical Manufacturing</v>
      </c>
      <c r="R244" s="28">
        <v>0</v>
      </c>
      <c r="S244" s="28">
        <f t="shared" si="18"/>
        <v>0</v>
      </c>
      <c r="T244" s="28">
        <v>0</v>
      </c>
      <c r="U244" s="28">
        <f t="shared" si="19"/>
        <v>0</v>
      </c>
      <c r="V244" s="28">
        <v>11.4</v>
      </c>
      <c r="W244" s="276">
        <f t="shared" si="20"/>
        <v>5.1709530180000005</v>
      </c>
      <c r="X244" s="28" t="s">
        <v>7366</v>
      </c>
      <c r="Y244" s="374">
        <f>IF(COUNTIF('Raw Annual DMR Data'!$L:$L,'Raw TRI Data'!K244)&gt;0,"N/A - See DMRs",SUMIFS('Generic Factors'!$D:$D,'Generic Factors'!$A:$A,A244,'Generic Factors'!$B:$B,L244))</f>
        <v>0</v>
      </c>
      <c r="Z244" s="112" t="str">
        <f t="shared" si="21"/>
        <v>N/A - No Generic Factor</v>
      </c>
      <c r="AA244" s="112" t="str">
        <f t="shared" si="22"/>
        <v>N/A - No Generic Factor</v>
      </c>
      <c r="AB244" s="112" t="str">
        <f t="shared" si="23"/>
        <v>N/A - No Generic Factor</v>
      </c>
    </row>
    <row r="245" spans="1:28" x14ac:dyDescent="0.25">
      <c r="A245" s="97">
        <v>2024</v>
      </c>
      <c r="B245" s="81" t="s">
        <v>2405</v>
      </c>
      <c r="C245" s="28" t="s">
        <v>7362</v>
      </c>
      <c r="D245" s="28" t="s">
        <v>333</v>
      </c>
      <c r="E245" s="28" t="s">
        <v>334</v>
      </c>
      <c r="F245" s="28" t="s">
        <v>303</v>
      </c>
      <c r="G245" s="28">
        <v>70764</v>
      </c>
      <c r="H245" s="28">
        <v>30.262255</v>
      </c>
      <c r="I245" s="28">
        <v>-91.185837000000006</v>
      </c>
      <c r="J245" s="28" t="s">
        <v>335</v>
      </c>
      <c r="K245" s="61">
        <v>110000613747</v>
      </c>
      <c r="L245" s="81" t="str">
        <f>INDEX('Facility Summary'!$K:$K,MATCH(K245,'Facility Summary'!$J:$J,0))</f>
        <v>Manufacturing</v>
      </c>
      <c r="M245" s="28">
        <v>325211</v>
      </c>
      <c r="N245" s="97" t="str">
        <f>VLOOKUP(M245,'SIC &amp; NAICS Codes'!$D:$E,2,FALSE)</f>
        <v>Plastics Material and Resin Manufacturing</v>
      </c>
      <c r="R245" s="28">
        <v>60</v>
      </c>
      <c r="S245" s="28">
        <f t="shared" si="18"/>
        <v>27.215542200000002</v>
      </c>
      <c r="T245" s="28">
        <v>0</v>
      </c>
      <c r="U245" s="28">
        <f t="shared" si="19"/>
        <v>0</v>
      </c>
      <c r="V245" s="28">
        <v>0</v>
      </c>
      <c r="W245" s="276">
        <f t="shared" si="20"/>
        <v>0</v>
      </c>
      <c r="X245" s="28" t="s">
        <v>2465</v>
      </c>
      <c r="Y245" s="373">
        <f>IF(COUNTIF('Raw Annual DMR Data'!$L:$L,'Raw TRI Data'!K245)&gt;0,"N/A - See DMRs",SUMIFS('Generic Factors'!$D:$D,'Generic Factors'!$A:$A,A245,'Generic Factors'!$B:$B,L245))</f>
        <v>0</v>
      </c>
      <c r="Z245" s="112" t="str">
        <f t="shared" si="21"/>
        <v>N/A - No Generic Factor</v>
      </c>
      <c r="AA245" s="112" t="str">
        <f t="shared" si="22"/>
        <v>N/A - No Generic Factor</v>
      </c>
      <c r="AB245" s="112" t="str">
        <f t="shared" si="23"/>
        <v>N/A - No Generic Factor</v>
      </c>
    </row>
    <row r="246" spans="1:28" x14ac:dyDescent="0.25">
      <c r="A246" s="97">
        <v>2024</v>
      </c>
      <c r="B246" s="81" t="s">
        <v>2405</v>
      </c>
      <c r="C246" s="28" t="s">
        <v>7361</v>
      </c>
      <c r="D246" s="28" t="s">
        <v>2411</v>
      </c>
      <c r="E246" s="28" t="s">
        <v>446</v>
      </c>
      <c r="F246" s="28" t="s">
        <v>303</v>
      </c>
      <c r="G246" s="28">
        <v>70669</v>
      </c>
      <c r="H246" s="28">
        <v>30.223500000000001</v>
      </c>
      <c r="I246" s="28">
        <v>-93.286900000000003</v>
      </c>
      <c r="J246" s="28" t="s">
        <v>447</v>
      </c>
      <c r="K246" s="61">
        <v>110000494894</v>
      </c>
      <c r="L246" s="81" t="str">
        <f>INDEX('Facility Summary'!$K:$K,MATCH(K246,'Facility Summary'!$J:$J,0))</f>
        <v>Manufacturing</v>
      </c>
      <c r="M246" s="28">
        <v>325180</v>
      </c>
      <c r="N246" s="97" t="str">
        <f>VLOOKUP(M246,'SIC &amp; NAICS Codes'!$D:$E,2,FALSE)</f>
        <v>Other Basic Inorganic Chemical Manufacturing</v>
      </c>
      <c r="R246" s="28">
        <v>720</v>
      </c>
      <c r="S246" s="28">
        <f t="shared" si="18"/>
        <v>326.58650640000002</v>
      </c>
      <c r="T246" s="28">
        <v>0</v>
      </c>
      <c r="U246" s="28">
        <f t="shared" si="19"/>
        <v>0</v>
      </c>
      <c r="V246" s="28">
        <v>0</v>
      </c>
      <c r="W246" s="276">
        <f t="shared" si="20"/>
        <v>0</v>
      </c>
      <c r="X246" s="28" t="s">
        <v>839</v>
      </c>
      <c r="Y246" s="373" t="str">
        <f>IF(COUNTIF('Raw Annual DMR Data'!$L:$L,'Raw TRI Data'!K246)&gt;0,"N/A - See DMRs",SUMIFS('Generic Factors'!$D:$D,'Generic Factors'!$A:$A,A246,'Generic Factors'!$B:$B,L246))</f>
        <v>N/A - See DMRs</v>
      </c>
      <c r="Z246" s="112" t="e">
        <f t="shared" si="21"/>
        <v>#N/A</v>
      </c>
      <c r="AA246" s="112" t="e">
        <f t="shared" si="22"/>
        <v>#N/A</v>
      </c>
      <c r="AB246" s="112" t="e">
        <f t="shared" si="23"/>
        <v>#N/A</v>
      </c>
    </row>
    <row r="247" spans="1:28" x14ac:dyDescent="0.25">
      <c r="A247" s="97">
        <v>2024</v>
      </c>
      <c r="B247" s="81" t="s">
        <v>2405</v>
      </c>
      <c r="C247" s="28" t="s">
        <v>201</v>
      </c>
      <c r="D247" s="28" t="s">
        <v>665</v>
      </c>
      <c r="E247" s="28" t="s">
        <v>516</v>
      </c>
      <c r="F247" s="28" t="s">
        <v>303</v>
      </c>
      <c r="G247" s="28">
        <v>70734</v>
      </c>
      <c r="H247" s="28">
        <v>30.208604000000001</v>
      </c>
      <c r="I247" s="28">
        <v>-91.011127999999999</v>
      </c>
      <c r="J247" s="28" t="s">
        <v>666</v>
      </c>
      <c r="K247" s="61">
        <v>110000746328</v>
      </c>
      <c r="L247" s="81" t="str">
        <f>INDEX('Facility Summary'!$K:$K,MATCH(K247,'Facility Summary'!$J:$J,0))</f>
        <v>Manufacturing</v>
      </c>
      <c r="M247" s="28">
        <v>325211</v>
      </c>
      <c r="N247" s="97" t="str">
        <f>VLOOKUP(M247,'SIC &amp; NAICS Codes'!$D:$E,2,FALSE)</f>
        <v>Plastics Material and Resin Manufacturing</v>
      </c>
      <c r="R247" s="28">
        <v>27</v>
      </c>
      <c r="S247" s="28">
        <f t="shared" si="18"/>
        <v>12.24699399</v>
      </c>
      <c r="T247" s="28">
        <v>0</v>
      </c>
      <c r="U247" s="28">
        <f t="shared" si="19"/>
        <v>0</v>
      </c>
      <c r="V247" s="28">
        <v>0</v>
      </c>
      <c r="W247" s="276">
        <f t="shared" si="20"/>
        <v>0</v>
      </c>
      <c r="X247" s="28" t="s">
        <v>2488</v>
      </c>
      <c r="Y247" s="373" t="str">
        <f>IF(COUNTIF('Raw Annual DMR Data'!$L:$L,'Raw TRI Data'!K247)&gt;0,"N/A - See DMRs",SUMIFS('Generic Factors'!$D:$D,'Generic Factors'!$A:$A,A247,'Generic Factors'!$B:$B,L247))</f>
        <v>N/A - See DMRs</v>
      </c>
      <c r="Z247" s="112" t="e">
        <f t="shared" si="21"/>
        <v>#N/A</v>
      </c>
      <c r="AA247" s="112" t="e">
        <f t="shared" si="22"/>
        <v>#N/A</v>
      </c>
      <c r="AB247" s="112" t="e">
        <f t="shared" si="23"/>
        <v>#N/A</v>
      </c>
    </row>
    <row r="248" spans="1:28" x14ac:dyDescent="0.25">
      <c r="A248" s="97">
        <v>2024</v>
      </c>
      <c r="B248" s="81" t="s">
        <v>2405</v>
      </c>
      <c r="C248" s="28" t="s">
        <v>202</v>
      </c>
      <c r="D248" s="28" t="s">
        <v>2426</v>
      </c>
      <c r="E248" s="28" t="s">
        <v>323</v>
      </c>
      <c r="F248" s="28" t="s">
        <v>324</v>
      </c>
      <c r="G248" s="28">
        <v>42029</v>
      </c>
      <c r="H248" s="28">
        <v>37.051110999999999</v>
      </c>
      <c r="I248" s="28">
        <v>-88.334166999999994</v>
      </c>
      <c r="J248" s="28" t="s">
        <v>668</v>
      </c>
      <c r="K248" s="61">
        <v>110027373072</v>
      </c>
      <c r="L248" s="81" t="str">
        <f>INDEX('Facility Summary'!$K:$K,MATCH(K248,'Facility Summary'!$J:$J,0))</f>
        <v>Manufacturing</v>
      </c>
      <c r="M248" s="28">
        <v>325199</v>
      </c>
      <c r="N248" s="97" t="str">
        <f>VLOOKUP(M248,'SIC &amp; NAICS Codes'!$D:$E,2,FALSE)</f>
        <v>All Other Basic Organic Chemical Manufacturing</v>
      </c>
      <c r="R248" s="28">
        <v>902</v>
      </c>
      <c r="S248" s="28">
        <f t="shared" si="18"/>
        <v>409.14031774</v>
      </c>
      <c r="T248" s="28">
        <v>0</v>
      </c>
      <c r="U248" s="28">
        <f t="shared" si="19"/>
        <v>0</v>
      </c>
      <c r="V248" s="28">
        <v>0</v>
      </c>
      <c r="W248" s="276">
        <f t="shared" si="20"/>
        <v>0</v>
      </c>
      <c r="X248" s="28" t="s">
        <v>957</v>
      </c>
      <c r="Y248" s="373" t="str">
        <f>IF(COUNTIF('Raw Annual DMR Data'!$L:$L,'Raw TRI Data'!K248)&gt;0,"N/A - See DMRs",SUMIFS('Generic Factors'!$D:$D,'Generic Factors'!$A:$A,A248,'Generic Factors'!$B:$B,L248))</f>
        <v>N/A - See DMRs</v>
      </c>
      <c r="Z248" s="112" t="e">
        <f t="shared" si="21"/>
        <v>#N/A</v>
      </c>
      <c r="AA248" s="112" t="e">
        <f t="shared" si="22"/>
        <v>#N/A</v>
      </c>
      <c r="AB248" s="112" t="e">
        <f t="shared" si="23"/>
        <v>#N/A</v>
      </c>
    </row>
  </sheetData>
  <sheetProtection sheet="1" objects="1" scenarios="1" formatCells="0" formatColumns="0" formatRows="0"/>
  <autoFilter ref="A1:AB248" xr:uid="{53240AA4-706D-45AF-AE2A-AA659B7226C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90511-0482-480C-A579-6C19AD70A8FC}">
  <sheetPr>
    <tabColor theme="9" tint="0.59999389629810485"/>
  </sheetPr>
  <dimension ref="A1:N19"/>
  <sheetViews>
    <sheetView workbookViewId="0">
      <selection activeCell="D24" sqref="D24"/>
    </sheetView>
  </sheetViews>
  <sheetFormatPr defaultRowHeight="15" x14ac:dyDescent="0.25"/>
  <cols>
    <col min="1" max="1" width="50.5703125" customWidth="1"/>
    <col min="2" max="2" width="12.5703125" style="27" bestFit="1" customWidth="1"/>
    <col min="3" max="3" width="14" style="27" bestFit="1" customWidth="1"/>
    <col min="4" max="11" width="12.5703125" style="27" customWidth="1"/>
    <col min="12" max="12" width="171.42578125" style="25" bestFit="1" customWidth="1"/>
    <col min="14" max="14" width="13.42578125" style="9" bestFit="1" customWidth="1"/>
    <col min="15" max="15" width="49.42578125" bestFit="1" customWidth="1"/>
  </cols>
  <sheetData>
    <row r="1" spans="1:12" ht="30.75" thickBot="1" x14ac:dyDescent="0.3">
      <c r="A1" s="318" t="s">
        <v>238</v>
      </c>
      <c r="B1" s="319" t="s">
        <v>248</v>
      </c>
      <c r="C1" s="320" t="s">
        <v>2489</v>
      </c>
      <c r="D1" s="321" t="s">
        <v>2490</v>
      </c>
      <c r="E1" s="316" t="s">
        <v>2491</v>
      </c>
      <c r="F1" s="197" t="s">
        <v>2492</v>
      </c>
      <c r="G1" s="198" t="s">
        <v>2493</v>
      </c>
      <c r="H1" s="127" t="s">
        <v>2494</v>
      </c>
      <c r="I1" s="128" t="s">
        <v>2495</v>
      </c>
      <c r="J1" s="330" t="s">
        <v>2496</v>
      </c>
      <c r="K1" s="202" t="s">
        <v>2497</v>
      </c>
      <c r="L1" s="216" t="s">
        <v>243</v>
      </c>
    </row>
    <row r="2" spans="1:12" x14ac:dyDescent="0.25">
      <c r="A2" s="322" t="s">
        <v>251</v>
      </c>
      <c r="B2" s="176">
        <v>350</v>
      </c>
      <c r="C2" s="87">
        <f>COUNTIF('Raw Annual DMR Data'!$M:$M,OES!A2)</f>
        <v>236</v>
      </c>
      <c r="D2" s="91">
        <f>COUNTIF('Raw TRI Data'!$L:$L, OES!A2)</f>
        <v>153</v>
      </c>
      <c r="E2" s="317" cm="1">
        <f t="array" ref="E2">SUM(--(LEN(_xlfn.UNIQUE(_xlfn._xlws.FILTER('Raw Annual DMR Data'!L:L,'Raw Annual DMR Data'!M:M =A2,"")))&gt;0))</f>
        <v>27</v>
      </c>
      <c r="F2" s="77">
        <f>COUNTIFS('Discharge Summary'!$A:$A,$A2,'Discharge Summary'!W:W, "&gt;0")</f>
        <v>5</v>
      </c>
      <c r="G2" s="55">
        <f>COUNTIFS('Discharge Summary'!$A:$A,$A2,'Discharge Summary'!AE:AE, "&gt;0")</f>
        <v>5</v>
      </c>
      <c r="H2" s="129" cm="1">
        <f t="array" ref="H2">SUM(--(LEN(_xlfn.UNIQUE(_xlfn._xlws.FILTER('Raw TRI Data'!J:J,'Raw TRI Data'!L:L =$A2,"")))&gt;0))</f>
        <v>17</v>
      </c>
      <c r="I2" s="87">
        <f>COUNTIFS('Discharge Summary'!$A:$A,$A2,'Discharge Summary'!AA:AA, "&gt;0")</f>
        <v>0</v>
      </c>
      <c r="J2" s="90" t="s">
        <v>244</v>
      </c>
      <c r="K2" s="205" t="e">
        <f>COUNTIF(#REF!,$A2)</f>
        <v>#REF!</v>
      </c>
      <c r="L2" s="217" t="s">
        <v>2498</v>
      </c>
    </row>
    <row r="3" spans="1:12" x14ac:dyDescent="0.25">
      <c r="A3" s="322" t="s">
        <v>252</v>
      </c>
      <c r="B3" s="177">
        <v>250</v>
      </c>
      <c r="C3" s="87">
        <f>COUNTIF('Raw Annual DMR Data'!$M:$M,OES!A3)</f>
        <v>91</v>
      </c>
      <c r="D3" s="91">
        <f>COUNTIF('Raw TRI Data'!$L:$L, OES!A3)</f>
        <v>9</v>
      </c>
      <c r="E3" s="266" cm="1">
        <f t="array" ref="E3">SUM(--(LEN(_xlfn.UNIQUE(_xlfn._xlws.FILTER('Raw Annual DMR Data'!L:L,'Raw Annual DMR Data'!M:M =A3,"")))&gt;0))</f>
        <v>16</v>
      </c>
      <c r="F3" s="87">
        <f>COUNTIFS('Discharge Summary'!$A:$A,$A3,'Discharge Summary'!W:W, "&gt;0")</f>
        <v>1</v>
      </c>
      <c r="G3" s="91">
        <f>COUNTIFS('Discharge Summary'!$A:$A,$A3,'Discharge Summary'!AE:AE, "&gt;0")</f>
        <v>1</v>
      </c>
      <c r="H3" s="129" cm="1">
        <f t="array" ref="H3">SUM(--(LEN(_xlfn.UNIQUE(_xlfn._xlws.FILTER('Raw TRI Data'!J:J,'Raw TRI Data'!L:L =$A3,"")))&gt;0))</f>
        <v>3</v>
      </c>
      <c r="I3" s="87">
        <f>COUNTIFS('Discharge Summary'!$A:$A,$A3,'Discharge Summary'!AA:AA, "&gt;0")</f>
        <v>0</v>
      </c>
      <c r="J3" s="200" t="s">
        <v>244</v>
      </c>
      <c r="K3" s="205" t="e">
        <f>COUNTIF(#REF!,$A3)</f>
        <v>#REF!</v>
      </c>
      <c r="L3" s="218" t="s">
        <v>2499</v>
      </c>
    </row>
    <row r="4" spans="1:12" x14ac:dyDescent="0.25">
      <c r="A4" s="322" t="s">
        <v>253</v>
      </c>
      <c r="B4" s="177">
        <v>350</v>
      </c>
      <c r="C4" s="87">
        <f>COUNTIF('Raw Annual DMR Data'!$M:$M,OES!A4)</f>
        <v>105</v>
      </c>
      <c r="D4" s="91">
        <f>COUNTIF('Raw TRI Data'!$L:$L, OES!A4)</f>
        <v>28</v>
      </c>
      <c r="E4" s="266" cm="1">
        <f t="array" ref="E4">SUM(--(LEN(_xlfn.UNIQUE(_xlfn._xlws.FILTER('Raw Annual DMR Data'!L:L,'Raw Annual DMR Data'!M:M =A4,"")))&gt;0))</f>
        <v>17</v>
      </c>
      <c r="F4" s="87">
        <f>COUNTIFS('Discharge Summary'!$A:$A,$A4,'Discharge Summary'!W:W, "&gt;0")</f>
        <v>1</v>
      </c>
      <c r="G4" s="91">
        <f>COUNTIFS('Discharge Summary'!$A:$A,$A4,'Discharge Summary'!AE:AE, "&gt;0")</f>
        <v>1</v>
      </c>
      <c r="H4" s="129" cm="1">
        <f t="array" ref="H4">SUM(--(LEN(_xlfn.UNIQUE(_xlfn._xlws.FILTER('Raw TRI Data'!J:J,'Raw TRI Data'!L:L =$A4,"")))&gt;0))</f>
        <v>6</v>
      </c>
      <c r="I4" s="87">
        <f>COUNTIFS('Discharge Summary'!$A:$A,$A4,'Discharge Summary'!AA:AA, "&gt;0")</f>
        <v>0</v>
      </c>
      <c r="J4" s="200" t="s">
        <v>244</v>
      </c>
      <c r="K4" s="205" t="e">
        <f>COUNTIF(#REF!,$A4)</f>
        <v>#REF!</v>
      </c>
      <c r="L4" s="218" t="s">
        <v>2499</v>
      </c>
    </row>
    <row r="5" spans="1:12" ht="30" x14ac:dyDescent="0.25">
      <c r="A5" s="322" t="s">
        <v>254</v>
      </c>
      <c r="B5" s="177">
        <v>300</v>
      </c>
      <c r="C5" s="87">
        <f>COUNTIF('Raw Annual DMR Data'!$M:$M,OES!A5)</f>
        <v>117</v>
      </c>
      <c r="D5" s="91">
        <f>COUNTIF('Raw TRI Data'!$L:$L, OES!A5)</f>
        <v>51</v>
      </c>
      <c r="E5" s="266" cm="1">
        <f t="array" ref="E5">SUM(--(LEN(_xlfn.UNIQUE(_xlfn._xlws.FILTER('Raw Annual DMR Data'!L:L,'Raw Annual DMR Data'!M:M =A5,"")))&gt;0))</f>
        <v>14</v>
      </c>
      <c r="F5" s="87">
        <f>COUNTIFS('Discharge Summary'!$A:$A,$A5,'Discharge Summary'!W:W, "&gt;0")</f>
        <v>0</v>
      </c>
      <c r="G5" s="91" t="s">
        <v>2500</v>
      </c>
      <c r="H5" s="129" cm="1">
        <f t="array" ref="H5">SUM(--(LEN(_xlfn.UNIQUE(_xlfn._xlws.FILTER('Raw TRI Data'!J:J,'Raw TRI Data'!L:L =$A5,"")))&gt;0))</f>
        <v>9</v>
      </c>
      <c r="I5" s="87">
        <f>COUNTIFS('Discharge Summary'!$A:$A,$A5,'Discharge Summary'!AA:AA, "&gt;0")</f>
        <v>0</v>
      </c>
      <c r="J5" s="200" t="s">
        <v>244</v>
      </c>
      <c r="K5" s="205" t="e">
        <f>COUNTIF(#REF!,$A5)</f>
        <v>#REF!</v>
      </c>
      <c r="L5" s="352" t="s">
        <v>2501</v>
      </c>
    </row>
    <row r="6" spans="1:12" x14ac:dyDescent="0.25">
      <c r="A6" s="322" t="s">
        <v>2502</v>
      </c>
      <c r="B6" s="177">
        <v>250</v>
      </c>
      <c r="C6" s="87">
        <f>COUNTIF('Raw Annual DMR Data'!$M:$M,OES!A6)</f>
        <v>0</v>
      </c>
      <c r="D6" s="91">
        <f>COUNTIF('Raw TRI Data'!$L:$L, OES!A6)</f>
        <v>0</v>
      </c>
      <c r="E6" s="266" cm="1">
        <f t="array" ref="E6">SUM(--(LEN(_xlfn.UNIQUE(_xlfn._xlws.FILTER('Raw Annual DMR Data'!L:L,'Raw Annual DMR Data'!M:M =A6,"")))&gt;0))</f>
        <v>0</v>
      </c>
      <c r="F6" s="87">
        <f>COUNTIFS('Discharge Summary'!$A:$A,$A6,'Discharge Summary'!W:W, "&gt;0")</f>
        <v>0</v>
      </c>
      <c r="G6" s="91">
        <f>COUNTIFS('Discharge Summary'!$A:$A,$A6,'Discharge Summary'!AE:AE, "&gt;0")</f>
        <v>0</v>
      </c>
      <c r="H6" s="129" cm="1">
        <f t="array" ref="H6">SUM(--(LEN(_xlfn.UNIQUE(_xlfn._xlws.FILTER('Raw TRI Data'!J:J,'Raw TRI Data'!L:L =$A6,"")))&gt;0))</f>
        <v>0</v>
      </c>
      <c r="I6" s="87">
        <f>COUNTIFS('Discharge Summary'!$A:$A,$A6,'Discharge Summary'!AA:AA, "&gt;0")</f>
        <v>0</v>
      </c>
      <c r="J6" s="200" t="s">
        <v>244</v>
      </c>
      <c r="K6" s="205" t="e">
        <f>COUNTIF(#REF!,$A6)</f>
        <v>#REF!</v>
      </c>
      <c r="L6" s="218" t="s">
        <v>2499</v>
      </c>
    </row>
    <row r="7" spans="1:12" x14ac:dyDescent="0.25">
      <c r="A7" s="322" t="s">
        <v>2504</v>
      </c>
      <c r="B7" s="177">
        <v>250</v>
      </c>
      <c r="C7" s="87">
        <f>COUNTIF('Raw Annual DMR Data'!$M:$M,OES!A7)</f>
        <v>0</v>
      </c>
      <c r="D7" s="91">
        <f>COUNTIF('Raw TRI Data'!$L:$L, OES!A7)</f>
        <v>0</v>
      </c>
      <c r="E7" s="266" cm="1">
        <f t="array" ref="E7">SUM(--(LEN(_xlfn.UNIQUE(_xlfn._xlws.FILTER('Raw Annual DMR Data'!L:L,'Raw Annual DMR Data'!M:M =A7,"")))&gt;0))</f>
        <v>0</v>
      </c>
      <c r="F7" s="87">
        <f>COUNTIFS('Discharge Summary'!$A:$A,$A7,'Discharge Summary'!W:W, "&gt;0")</f>
        <v>0</v>
      </c>
      <c r="G7" s="91">
        <f>COUNTIFS('Discharge Summary'!$A:$A,$A7,'Discharge Summary'!AE:AE, "&gt;0")</f>
        <v>0</v>
      </c>
      <c r="H7" s="129" cm="1">
        <f t="array" ref="H7">SUM(--(LEN(_xlfn.UNIQUE(_xlfn._xlws.FILTER('Raw TRI Data'!J:J,'Raw TRI Data'!L:L =$A7,"")))&gt;0))</f>
        <v>0</v>
      </c>
      <c r="I7" s="87">
        <f>COUNTIFS('Discharge Summary'!$A:$A,$A7,'Discharge Summary'!AA:AA, "&gt;0")</f>
        <v>0</v>
      </c>
      <c r="J7" s="200" t="s">
        <v>244</v>
      </c>
      <c r="K7" s="205" t="e">
        <f>COUNTIF(#REF!,$A7)</f>
        <v>#REF!</v>
      </c>
      <c r="L7" s="218" t="s">
        <v>2505</v>
      </c>
    </row>
    <row r="8" spans="1:12" ht="30" x14ac:dyDescent="0.25">
      <c r="A8" s="322" t="s">
        <v>256</v>
      </c>
      <c r="B8" s="177">
        <v>260</v>
      </c>
      <c r="C8" s="87">
        <f>COUNTIF('Raw Annual DMR Data'!$M:$M,OES!A8)</f>
        <v>0</v>
      </c>
      <c r="D8" s="91">
        <f>COUNTIF('Raw TRI Data'!$L:$L, OES!A8)</f>
        <v>0</v>
      </c>
      <c r="E8" s="266" cm="1">
        <f t="array" ref="E8">SUM(--(LEN(_xlfn.UNIQUE(_xlfn._xlws.FILTER('Raw Annual DMR Data'!L:L,'Raw Annual DMR Data'!M:M =A8,"")))&gt;0))</f>
        <v>0</v>
      </c>
      <c r="F8" s="87">
        <f>COUNTIFS('Discharge Summary'!$A:$A,$A8,'Discharge Summary'!W:W, "&gt;0")</f>
        <v>0</v>
      </c>
      <c r="G8" s="91">
        <f>COUNTIFS('Discharge Summary'!$A:$A,$A8,'Discharge Summary'!AE:AE, "&gt;0")</f>
        <v>0</v>
      </c>
      <c r="H8" s="129" cm="1">
        <f t="array" ref="H8">SUM(--(LEN(_xlfn.UNIQUE(_xlfn._xlws.FILTER('Raw TRI Data'!J:J,'Raw TRI Data'!L:L =$A8,"")))&gt;0))</f>
        <v>0</v>
      </c>
      <c r="I8" s="87">
        <f>COUNTIFS('Discharge Summary'!$A:$A,$A8,'Discharge Summary'!AA:AA, "&gt;0")</f>
        <v>0</v>
      </c>
      <c r="J8" s="200" t="s">
        <v>244</v>
      </c>
      <c r="K8" s="205" t="e">
        <f>COUNTIF(#REF!,$A8)</f>
        <v>#REF!</v>
      </c>
      <c r="L8" s="218" t="s">
        <v>2506</v>
      </c>
    </row>
    <row r="9" spans="1:12" x14ac:dyDescent="0.25">
      <c r="A9" s="322" t="s">
        <v>257</v>
      </c>
      <c r="B9" s="177">
        <v>250</v>
      </c>
      <c r="C9" s="87">
        <f>COUNTIF('Raw Annual DMR Data'!$M:$M,OES!A9)</f>
        <v>0</v>
      </c>
      <c r="D9" s="91">
        <f>COUNTIF('Raw TRI Data'!$L:$L, OES!A9)</f>
        <v>0</v>
      </c>
      <c r="E9" s="266" cm="1">
        <f t="array" ref="E9">SUM(--(LEN(_xlfn.UNIQUE(_xlfn._xlws.FILTER('Raw Annual DMR Data'!L:L,'Raw Annual DMR Data'!M:M =A9,"")))&gt;0))</f>
        <v>0</v>
      </c>
      <c r="F9" s="87">
        <f>COUNTIFS('Discharge Summary'!$A:$A,$A9,'Discharge Summary'!W:W, "&gt;0")</f>
        <v>0</v>
      </c>
      <c r="G9" s="91">
        <f>COUNTIFS('Discharge Summary'!$A:$A,$A9,'Discharge Summary'!AE:AE, "&gt;0")</f>
        <v>0</v>
      </c>
      <c r="H9" s="129" cm="1">
        <f t="array" ref="H9">SUM(--(LEN(_xlfn.UNIQUE(_xlfn._xlws.FILTER('Raw TRI Data'!J:J,'Raw TRI Data'!L:L =$A9,"")))&gt;0))</f>
        <v>0</v>
      </c>
      <c r="I9" s="87">
        <f>COUNTIFS('Discharge Summary'!$A:$A,$A9,'Discharge Summary'!AA:AA, "&gt;0")</f>
        <v>0</v>
      </c>
      <c r="J9" s="200" t="s">
        <v>244</v>
      </c>
      <c r="K9" s="205" t="e">
        <f>COUNTIF(#REF!,$A9)</f>
        <v>#REF!</v>
      </c>
      <c r="L9" s="218" t="s">
        <v>2499</v>
      </c>
    </row>
    <row r="10" spans="1:12" ht="30" x14ac:dyDescent="0.25">
      <c r="A10" s="322" t="s">
        <v>258</v>
      </c>
      <c r="B10" s="177">
        <v>250</v>
      </c>
      <c r="C10" s="87">
        <f>COUNTIF('Raw Annual DMR Data'!$M:$M,OES!A10)</f>
        <v>0</v>
      </c>
      <c r="D10" s="91">
        <f>COUNTIF('Raw TRI Data'!$L:$L, OES!A10)</f>
        <v>0</v>
      </c>
      <c r="E10" s="266" cm="1">
        <f t="array" ref="E10">SUM(--(LEN(_xlfn.UNIQUE(_xlfn._xlws.FILTER('Raw Annual DMR Data'!L:L,'Raw Annual DMR Data'!M:M =A10,"")))&gt;0))</f>
        <v>0</v>
      </c>
      <c r="F10" s="87">
        <f>COUNTIFS('Discharge Summary'!$A:$A,$A10,'Discharge Summary'!W:W, "&gt;0")</f>
        <v>0</v>
      </c>
      <c r="G10" s="91">
        <f>COUNTIFS('Discharge Summary'!$A:$A,$A10,'Discharge Summary'!AE:AE, "&gt;0")</f>
        <v>0</v>
      </c>
      <c r="H10" s="129" cm="1">
        <f t="array" ref="H10">SUM(--(LEN(_xlfn.UNIQUE(_xlfn._xlws.FILTER('Raw TRI Data'!J:J,'Raw TRI Data'!L:L =$A10,"")))&gt;0))</f>
        <v>0</v>
      </c>
      <c r="I10" s="87">
        <f>COUNTIFS('Discharge Summary'!$A:$A,$A10,'Discharge Summary'!AA:AA, "&gt;0")</f>
        <v>0</v>
      </c>
      <c r="J10" s="200" t="s">
        <v>244</v>
      </c>
      <c r="K10" s="205" t="e">
        <f>COUNTIF(#REF!,$A10)</f>
        <v>#REF!</v>
      </c>
      <c r="L10" s="218" t="s">
        <v>2499</v>
      </c>
    </row>
    <row r="11" spans="1:12" ht="30" x14ac:dyDescent="0.25">
      <c r="A11" s="322" t="s">
        <v>259</v>
      </c>
      <c r="B11" s="177">
        <v>250</v>
      </c>
      <c r="C11" s="87">
        <f>COUNTIF('Raw Annual DMR Data'!$M:$M,OES!A11)</f>
        <v>12</v>
      </c>
      <c r="D11" s="91">
        <f>COUNTIF('Raw TRI Data'!$L:$L, OES!A11)</f>
        <v>0</v>
      </c>
      <c r="E11" s="266" cm="1">
        <f t="array" ref="E11">SUM(--(LEN(_xlfn.UNIQUE(_xlfn._xlws.FILTER('Raw Annual DMR Data'!L:L,'Raw Annual DMR Data'!M:M =A11,"")))&gt;0))</f>
        <v>3</v>
      </c>
      <c r="F11" s="87">
        <f>COUNTIFS('Discharge Summary'!$A:$A,$A11,'Discharge Summary'!W:W, "&gt;0")</f>
        <v>0</v>
      </c>
      <c r="G11" s="91">
        <f>COUNTIFS('Discharge Summary'!$A:$A,$A11,'Discharge Summary'!AE:AE, "&gt;0")</f>
        <v>0</v>
      </c>
      <c r="H11" s="129" cm="1">
        <f t="array" ref="H11">SUM(--(LEN(_xlfn.UNIQUE(_xlfn._xlws.FILTER('Raw TRI Data'!J:J,'Raw TRI Data'!L:L =$A11,"")))&gt;0))</f>
        <v>0</v>
      </c>
      <c r="I11" s="87">
        <f>COUNTIFS('Discharge Summary'!$A:$A,$A11,'Discharge Summary'!AA:AA, "&gt;0")</f>
        <v>0</v>
      </c>
      <c r="J11" s="200" t="s">
        <v>244</v>
      </c>
      <c r="K11" s="205" t="e">
        <f>COUNTIF(#REF!,$A11)</f>
        <v>#REF!</v>
      </c>
      <c r="L11" s="218" t="s">
        <v>2499</v>
      </c>
    </row>
    <row r="12" spans="1:12" x14ac:dyDescent="0.25">
      <c r="A12" s="322" t="s">
        <v>261</v>
      </c>
      <c r="B12" s="178">
        <v>260</v>
      </c>
      <c r="C12" s="87">
        <f>COUNTIF('Raw Annual DMR Data'!$M:$M,OES!A12)</f>
        <v>18</v>
      </c>
      <c r="D12" s="91">
        <f>COUNTIF('Raw TRI Data'!$L:$L, OES!A12)</f>
        <v>0</v>
      </c>
      <c r="E12" s="266" cm="1">
        <f t="array" ref="E12">SUM(--(LEN(_xlfn.UNIQUE(_xlfn._xlws.FILTER('Raw Annual DMR Data'!L:L,'Raw Annual DMR Data'!M:M =A12,"")))&gt;0))</f>
        <v>5</v>
      </c>
      <c r="F12" s="87">
        <f>COUNTIFS('Discharge Summary'!$A:$A,$A12,'Discharge Summary'!W:W, "&gt;0")</f>
        <v>0</v>
      </c>
      <c r="G12" s="91">
        <f>COUNTIFS('Discharge Summary'!$A:$A,$A12,'Discharge Summary'!AE:AE, "&gt;0")</f>
        <v>0</v>
      </c>
      <c r="H12" s="129" cm="1">
        <f t="array" ref="H12">SUM(--(LEN(_xlfn.UNIQUE(_xlfn._xlws.FILTER('Raw TRI Data'!J:J,'Raw TRI Data'!L:L =$A12,"")))&gt;0))</f>
        <v>0</v>
      </c>
      <c r="I12" s="87">
        <f>COUNTIFS('Discharge Summary'!$A:$A,$A12,'Discharge Summary'!AA:AA, "&gt;0")</f>
        <v>0</v>
      </c>
      <c r="J12" s="200" t="s">
        <v>244</v>
      </c>
      <c r="K12" s="205" t="e">
        <f>COUNTIF(#REF!,$A12)</f>
        <v>#REF!</v>
      </c>
      <c r="L12" s="218" t="s">
        <v>2513</v>
      </c>
    </row>
    <row r="13" spans="1:12" x14ac:dyDescent="0.25">
      <c r="A13" s="322" t="s">
        <v>262</v>
      </c>
      <c r="B13" s="177">
        <v>250</v>
      </c>
      <c r="C13" s="87">
        <f>COUNTIF('Raw Annual DMR Data'!$M:$M,OES!A13)</f>
        <v>0</v>
      </c>
      <c r="D13" s="91">
        <f>COUNTIF('Raw TRI Data'!$L:$L, OES!A13)</f>
        <v>0</v>
      </c>
      <c r="E13" s="266" cm="1">
        <f t="array" ref="E13">SUM(--(LEN(_xlfn.UNIQUE(_xlfn._xlws.FILTER('Raw Annual DMR Data'!L:L,'Raw Annual DMR Data'!M:M =A13,"")))&gt;0))</f>
        <v>0</v>
      </c>
      <c r="F13" s="87">
        <f>COUNTIFS('Discharge Summary'!$A:$A,$A13,'Discharge Summary'!W:W, "&gt;0")</f>
        <v>0</v>
      </c>
      <c r="G13" s="91">
        <f>COUNTIFS('Discharge Summary'!$A:$A,$A13,'Discharge Summary'!AE:AE, "&gt;0")</f>
        <v>0</v>
      </c>
      <c r="H13" s="129" cm="1">
        <f t="array" ref="H13">SUM(--(LEN(_xlfn.UNIQUE(_xlfn._xlws.FILTER('Raw TRI Data'!J:J,'Raw TRI Data'!L:L =$A13,"")))&gt;0))</f>
        <v>0</v>
      </c>
      <c r="I13" s="87">
        <f>COUNTIFS('Discharge Summary'!$A:$A,$A13,'Discharge Summary'!AA:AA, "&gt;0")</f>
        <v>0</v>
      </c>
      <c r="J13" s="200" t="s">
        <v>244</v>
      </c>
      <c r="K13" s="205" t="e">
        <f>COUNTIF(#REF!,$A13)</f>
        <v>#REF!</v>
      </c>
      <c r="L13" s="218" t="s">
        <v>2499</v>
      </c>
    </row>
    <row r="14" spans="1:12" x14ac:dyDescent="0.25">
      <c r="A14" s="323" t="s">
        <v>263</v>
      </c>
      <c r="B14" s="60">
        <v>365</v>
      </c>
      <c r="C14" s="87">
        <f>COUNTIF('Raw Annual DMR Data'!$M:$M,OES!A14)</f>
        <v>567</v>
      </c>
      <c r="D14" s="91">
        <f>COUNTIF('Raw TRI Data'!$L:$L, OES!A14)</f>
        <v>0</v>
      </c>
      <c r="E14" s="266" cm="1">
        <f t="array" ref="E14">SUM(--(LEN(_xlfn.UNIQUE(_xlfn._xlws.FILTER('Raw Annual DMR Data'!L:L,'Raw Annual DMR Data'!M:M =A14,"")))&gt;0))</f>
        <v>170</v>
      </c>
      <c r="F14" s="87">
        <f>COUNTIFS('Discharge Summary'!$A:$A,$A14,'Discharge Summary'!W:W, "&gt;0")</f>
        <v>0</v>
      </c>
      <c r="G14" s="91">
        <f>COUNTIFS('Discharge Summary'!$A:$A,$A14,'Discharge Summary'!AE:AE, "&gt;0")</f>
        <v>0</v>
      </c>
      <c r="H14" s="129" cm="1">
        <f t="array" ref="H14">SUM(--(LEN(_xlfn.UNIQUE(_xlfn._xlws.FILTER('Raw TRI Data'!J:J,'Raw TRI Data'!L:L =$A14,"")))&gt;0))</f>
        <v>0</v>
      </c>
      <c r="I14" s="87">
        <f>COUNTIFS('Discharge Summary'!$A:$A,$A14,'Discharge Summary'!AA:AA, "&gt;0")</f>
        <v>0</v>
      </c>
      <c r="J14" s="200" t="s">
        <v>244</v>
      </c>
      <c r="K14" s="205" t="e">
        <f>COUNTIF(#REF!,$A14)</f>
        <v>#REF!</v>
      </c>
      <c r="L14" s="218" t="s">
        <v>2503</v>
      </c>
    </row>
    <row r="15" spans="1:12" x14ac:dyDescent="0.25">
      <c r="A15" s="324" t="s">
        <v>264</v>
      </c>
      <c r="B15" s="215">
        <v>365</v>
      </c>
      <c r="C15" s="87">
        <f>COUNTIF('Raw Annual DMR Data'!$M:$M,OES!A15)</f>
        <v>169</v>
      </c>
      <c r="D15" s="91">
        <f>COUNTIF('Raw TRI Data'!$L:$L, OES!A15)</f>
        <v>0</v>
      </c>
      <c r="E15" s="266" cm="1">
        <f t="array" ref="E15">SUM(--(LEN(_xlfn.UNIQUE(_xlfn._xlws.FILTER('Raw Annual DMR Data'!L:L,'Raw Annual DMR Data'!M:M =A15,"")))&gt;0))</f>
        <v>20</v>
      </c>
      <c r="F15" s="87">
        <f>COUNTIFS('Discharge Summary'!$A:$A,$A15,'Discharge Summary'!W:W, "&gt;0")</f>
        <v>0</v>
      </c>
      <c r="G15" s="91">
        <f>COUNTIFS('Discharge Summary'!$A:$A,$A15,'Discharge Summary'!AE:AE, "&gt;0")</f>
        <v>0</v>
      </c>
      <c r="H15" s="129" cm="1">
        <f t="array" ref="H15">SUM(--(LEN(_xlfn.UNIQUE(_xlfn._xlws.FILTER('Raw TRI Data'!J:J,'Raw TRI Data'!L:L =$A15,"")))&gt;0))</f>
        <v>0</v>
      </c>
      <c r="I15" s="87">
        <f>COUNTIFS('Discharge Summary'!$A:$A,$A15,'Discharge Summary'!AA:AA, "&gt;0")</f>
        <v>0</v>
      </c>
      <c r="J15" s="200" t="s">
        <v>244</v>
      </c>
      <c r="K15" s="205" t="e">
        <f>COUNTIF(#REF!,$A15)</f>
        <v>#REF!</v>
      </c>
      <c r="L15" s="218" t="s">
        <v>2515</v>
      </c>
    </row>
    <row r="16" spans="1:12" ht="15.75" thickBot="1" x14ac:dyDescent="0.3">
      <c r="A16" s="325" t="s">
        <v>265</v>
      </c>
      <c r="B16" s="116">
        <v>250</v>
      </c>
      <c r="C16" s="116">
        <f>COUNTIF('Raw Annual DMR Data'!$M:$M,OES!A16)</f>
        <v>1015</v>
      </c>
      <c r="D16" s="326">
        <f>COUNTIF('Raw TRI Data'!$L:$L, OES!A16)</f>
        <v>0</v>
      </c>
      <c r="E16" s="327" cm="1">
        <f t="array" ref="E16">SUM(--(LEN(_xlfn.UNIQUE(_xlfn._xlws.FILTER('Raw Annual DMR Data'!L:L,'Raw Annual DMR Data'!M:M =A16,"")))&gt;0))</f>
        <v>205</v>
      </c>
      <c r="F16" s="328">
        <f>COUNTIFS('Discharge Summary'!$A:$A,$A16,'Discharge Summary'!W:W, "&gt;0")</f>
        <v>0</v>
      </c>
      <c r="G16" s="329">
        <f>COUNTIFS('Discharge Summary'!$A:$A,$A16,'Discharge Summary'!AE:AE, "&gt;0")</f>
        <v>0</v>
      </c>
      <c r="H16" s="199" cm="1">
        <f t="array" ref="H16">SUM(--(LEN(_xlfn.UNIQUE(_xlfn._xlws.FILTER('Raw TRI Data'!J:J,'Raw TRI Data'!L:L =$A16,"")))&gt;0))</f>
        <v>0</v>
      </c>
      <c r="I16" s="328">
        <f>COUNTIFS('Discharge Summary'!$A:$A,$A16,'Discharge Summary'!AA:AA, "&gt;0")</f>
        <v>0</v>
      </c>
      <c r="J16" s="201" t="s">
        <v>244</v>
      </c>
      <c r="K16" s="206" t="e">
        <f>COUNTIF(#REF!,$A16)</f>
        <v>#REF!</v>
      </c>
      <c r="L16" s="219" t="s">
        <v>2499</v>
      </c>
    </row>
    <row r="17" spans="1:8" x14ac:dyDescent="0.25">
      <c r="A17" s="94" t="s">
        <v>2516</v>
      </c>
      <c r="C17" s="27">
        <f>SUMIF($A2:$A16,"&lt;&gt;Unknown", C2:C16)</f>
        <v>1315</v>
      </c>
      <c r="D17" s="27">
        <f>SUMIF($A2:$A16,"&lt;&gt;Unknown", D2:D16)</f>
        <v>241</v>
      </c>
      <c r="E17" s="27">
        <f>SUMIF($A2:$A16,"&lt;&gt;Unknown", E2:E16)</f>
        <v>272</v>
      </c>
      <c r="H17" s="27">
        <f>SUMIF($A2:$A16,"&lt;&gt;Unknown", H2:H16)</f>
        <v>35</v>
      </c>
    </row>
    <row r="18" spans="1:8" x14ac:dyDescent="0.25">
      <c r="A18" s="94" t="s">
        <v>2517</v>
      </c>
      <c r="C18" s="303">
        <f>COUNTA('Raw Annual DMR Data'!A:A)-1</f>
        <v>2419</v>
      </c>
      <c r="D18" s="27">
        <f>COUNTA('Raw TRI Data'!A:A)-1</f>
        <v>247</v>
      </c>
      <c r="E18" s="27">
        <f>SUM(E2:E16)</f>
        <v>477</v>
      </c>
      <c r="H18" s="27">
        <f>SUM(H2:H16)</f>
        <v>35</v>
      </c>
    </row>
    <row r="19" spans="1:8" x14ac:dyDescent="0.25">
      <c r="A19" s="25"/>
      <c r="C19" s="95">
        <f>C17/C18</f>
        <v>0.54361306324927661</v>
      </c>
      <c r="D19" s="95">
        <f>D17/D18</f>
        <v>0.97570850202429149</v>
      </c>
      <c r="E19" s="95">
        <f>E17/E18</f>
        <v>0.57023060796645697</v>
      </c>
      <c r="F19" s="95"/>
      <c r="G19" s="95"/>
      <c r="H19" s="95">
        <f t="shared" ref="H19" si="0">H17/H18</f>
        <v>1</v>
      </c>
    </row>
  </sheetData>
  <sheetProtection formatCells="0" formatColumns="0" formatRows="0"/>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484B8-47C7-4C44-9F77-17EE5DB0558E}">
  <sheetPr>
    <tabColor theme="7" tint="0.59999389629810485"/>
  </sheetPr>
  <dimension ref="A1:D126"/>
  <sheetViews>
    <sheetView workbookViewId="0"/>
  </sheetViews>
  <sheetFormatPr defaultRowHeight="15" x14ac:dyDescent="0.25"/>
  <cols>
    <col min="1" max="1" width="57.140625" bestFit="1" customWidth="1"/>
    <col min="2" max="3" width="34.42578125" style="274" bestFit="1" customWidth="1"/>
    <col min="4" max="4" width="36.5703125" style="274" bestFit="1" customWidth="1"/>
  </cols>
  <sheetData>
    <row r="1" spans="1:4" ht="15.75" thickBot="1" x14ac:dyDescent="0.3">
      <c r="A1" t="s">
        <v>92</v>
      </c>
      <c r="B1" s="273" t="s">
        <v>93</v>
      </c>
      <c r="C1" s="279" t="s">
        <v>94</v>
      </c>
      <c r="D1" s="280" t="s">
        <v>95</v>
      </c>
    </row>
    <row r="2" spans="1:4" x14ac:dyDescent="0.25">
      <c r="A2" s="275" t="s">
        <v>96</v>
      </c>
      <c r="B2" s="273" t="s">
        <v>97</v>
      </c>
      <c r="C2" s="272" t="s">
        <v>97</v>
      </c>
      <c r="D2" s="273" t="s">
        <v>98</v>
      </c>
    </row>
    <row r="3" spans="1:4" x14ac:dyDescent="0.25">
      <c r="A3" s="276" t="s">
        <v>99</v>
      </c>
      <c r="B3" s="273" t="s">
        <v>97</v>
      </c>
      <c r="C3" s="272" t="s">
        <v>97</v>
      </c>
      <c r="D3" s="273" t="s">
        <v>98</v>
      </c>
    </row>
    <row r="4" spans="1:4" x14ac:dyDescent="0.25">
      <c r="A4" s="276" t="s">
        <v>100</v>
      </c>
      <c r="B4" s="273" t="s">
        <v>97</v>
      </c>
      <c r="C4" s="272" t="s">
        <v>97</v>
      </c>
      <c r="D4" s="273" t="s">
        <v>98</v>
      </c>
    </row>
    <row r="5" spans="1:4" x14ac:dyDescent="0.25">
      <c r="A5" s="276" t="s">
        <v>101</v>
      </c>
      <c r="B5" s="273" t="s">
        <v>97</v>
      </c>
      <c r="C5" s="272" t="s">
        <v>97</v>
      </c>
      <c r="D5" s="273" t="s">
        <v>98</v>
      </c>
    </row>
    <row r="6" spans="1:4" x14ac:dyDescent="0.25">
      <c r="A6" s="276" t="s">
        <v>102</v>
      </c>
      <c r="B6" s="273" t="s">
        <v>97</v>
      </c>
      <c r="C6" s="272" t="s">
        <v>97</v>
      </c>
      <c r="D6" s="273" t="s">
        <v>98</v>
      </c>
    </row>
    <row r="7" spans="1:4" x14ac:dyDescent="0.25">
      <c r="A7" s="276" t="s">
        <v>103</v>
      </c>
      <c r="B7" s="273" t="s">
        <v>97</v>
      </c>
      <c r="C7" s="272" t="s">
        <v>97</v>
      </c>
      <c r="D7" s="273" t="s">
        <v>98</v>
      </c>
    </row>
    <row r="8" spans="1:4" x14ac:dyDescent="0.25">
      <c r="A8" s="276" t="s">
        <v>104</v>
      </c>
      <c r="B8" s="273" t="s">
        <v>97</v>
      </c>
      <c r="C8" s="272" t="s">
        <v>97</v>
      </c>
      <c r="D8" s="273" t="s">
        <v>98</v>
      </c>
    </row>
    <row r="9" spans="1:4" x14ac:dyDescent="0.25">
      <c r="A9" s="276" t="s">
        <v>105</v>
      </c>
      <c r="B9" s="273" t="s">
        <v>97</v>
      </c>
      <c r="C9" s="272" t="s">
        <v>97</v>
      </c>
      <c r="D9" s="273" t="s">
        <v>98</v>
      </c>
    </row>
    <row r="10" spans="1:4" x14ac:dyDescent="0.25">
      <c r="A10" s="276" t="s">
        <v>106</v>
      </c>
      <c r="B10" s="273" t="s">
        <v>97</v>
      </c>
      <c r="C10" s="272" t="s">
        <v>97</v>
      </c>
      <c r="D10" s="273" t="s">
        <v>98</v>
      </c>
    </row>
    <row r="11" spans="1:4" x14ac:dyDescent="0.25">
      <c r="A11" s="276" t="s">
        <v>107</v>
      </c>
      <c r="B11" s="273" t="s">
        <v>97</v>
      </c>
      <c r="C11" s="272" t="s">
        <v>97</v>
      </c>
      <c r="D11" s="273" t="s">
        <v>98</v>
      </c>
    </row>
    <row r="12" spans="1:4" x14ac:dyDescent="0.25">
      <c r="A12" s="276" t="s">
        <v>108</v>
      </c>
      <c r="B12" s="273" t="s">
        <v>97</v>
      </c>
      <c r="C12" s="272" t="s">
        <v>97</v>
      </c>
      <c r="D12" s="273" t="s">
        <v>98</v>
      </c>
    </row>
    <row r="13" spans="1:4" x14ac:dyDescent="0.25">
      <c r="A13" s="276" t="s">
        <v>109</v>
      </c>
      <c r="B13" s="273" t="s">
        <v>97</v>
      </c>
      <c r="C13" s="272" t="s">
        <v>97</v>
      </c>
      <c r="D13" s="273" t="s">
        <v>98</v>
      </c>
    </row>
    <row r="14" spans="1:4" x14ac:dyDescent="0.25">
      <c r="A14" s="276" t="s">
        <v>110</v>
      </c>
      <c r="B14" s="273" t="s">
        <v>97</v>
      </c>
      <c r="C14" s="272" t="s">
        <v>97</v>
      </c>
      <c r="D14" s="273" t="s">
        <v>98</v>
      </c>
    </row>
    <row r="15" spans="1:4" x14ac:dyDescent="0.25">
      <c r="A15" s="276" t="s">
        <v>111</v>
      </c>
      <c r="B15" s="273" t="s">
        <v>97</v>
      </c>
      <c r="C15" s="272" t="s">
        <v>97</v>
      </c>
      <c r="D15" s="273" t="s">
        <v>98</v>
      </c>
    </row>
    <row r="16" spans="1:4" x14ac:dyDescent="0.25">
      <c r="A16" s="276" t="s">
        <v>112</v>
      </c>
      <c r="B16" s="273" t="s">
        <v>97</v>
      </c>
      <c r="C16" s="272" t="s">
        <v>97</v>
      </c>
      <c r="D16" s="273" t="s">
        <v>98</v>
      </c>
    </row>
    <row r="17" spans="1:4" x14ac:dyDescent="0.25">
      <c r="A17" s="276" t="s">
        <v>113</v>
      </c>
      <c r="B17" s="273" t="s">
        <v>97</v>
      </c>
      <c r="C17" s="272" t="s">
        <v>97</v>
      </c>
      <c r="D17" s="273" t="s">
        <v>98</v>
      </c>
    </row>
    <row r="18" spans="1:4" x14ac:dyDescent="0.25">
      <c r="A18" s="276" t="s">
        <v>114</v>
      </c>
      <c r="B18" s="273" t="s">
        <v>97</v>
      </c>
      <c r="C18" s="272" t="s">
        <v>97</v>
      </c>
      <c r="D18" s="273" t="s">
        <v>98</v>
      </c>
    </row>
    <row r="19" spans="1:4" x14ac:dyDescent="0.25">
      <c r="A19" s="276" t="s">
        <v>44</v>
      </c>
      <c r="B19" s="273" t="s">
        <v>97</v>
      </c>
      <c r="C19" s="272" t="s">
        <v>97</v>
      </c>
      <c r="D19" s="273" t="s">
        <v>98</v>
      </c>
    </row>
    <row r="20" spans="1:4" x14ac:dyDescent="0.25">
      <c r="A20" s="276" t="s">
        <v>115</v>
      </c>
      <c r="B20" s="273" t="s">
        <v>97</v>
      </c>
      <c r="C20" s="272" t="s">
        <v>97</v>
      </c>
      <c r="D20" s="273" t="s">
        <v>98</v>
      </c>
    </row>
    <row r="21" spans="1:4" x14ac:dyDescent="0.25">
      <c r="A21" s="276" t="s">
        <v>116</v>
      </c>
      <c r="B21" s="273" t="s">
        <v>97</v>
      </c>
      <c r="C21" s="272" t="s">
        <v>97</v>
      </c>
      <c r="D21" s="273" t="s">
        <v>98</v>
      </c>
    </row>
    <row r="22" spans="1:4" x14ac:dyDescent="0.25">
      <c r="A22" s="276" t="s">
        <v>117</v>
      </c>
      <c r="B22" s="273" t="s">
        <v>97</v>
      </c>
      <c r="C22" s="272" t="s">
        <v>97</v>
      </c>
      <c r="D22" s="273" t="s">
        <v>98</v>
      </c>
    </row>
    <row r="23" spans="1:4" x14ac:dyDescent="0.25">
      <c r="A23" s="276" t="s">
        <v>118</v>
      </c>
      <c r="B23" s="273" t="s">
        <v>97</v>
      </c>
      <c r="C23" s="272" t="s">
        <v>97</v>
      </c>
      <c r="D23" s="273" t="s">
        <v>98</v>
      </c>
    </row>
    <row r="24" spans="1:4" x14ac:dyDescent="0.25">
      <c r="A24" s="276" t="s">
        <v>119</v>
      </c>
      <c r="B24" s="273" t="s">
        <v>97</v>
      </c>
      <c r="C24" s="272" t="s">
        <v>97</v>
      </c>
      <c r="D24" s="273" t="s">
        <v>98</v>
      </c>
    </row>
    <row r="25" spans="1:4" x14ac:dyDescent="0.25">
      <c r="A25" s="276" t="s">
        <v>120</v>
      </c>
      <c r="B25" s="273" t="s">
        <v>97</v>
      </c>
      <c r="C25" s="272" t="s">
        <v>97</v>
      </c>
      <c r="D25" s="273" t="s">
        <v>98</v>
      </c>
    </row>
    <row r="26" spans="1:4" x14ac:dyDescent="0.25">
      <c r="A26" s="276" t="s">
        <v>121</v>
      </c>
      <c r="B26" s="273" t="s">
        <v>97</v>
      </c>
      <c r="C26" s="272" t="s">
        <v>97</v>
      </c>
      <c r="D26" s="273" t="s">
        <v>98</v>
      </c>
    </row>
    <row r="27" spans="1:4" x14ac:dyDescent="0.25">
      <c r="A27" s="276" t="s">
        <v>122</v>
      </c>
      <c r="B27" s="273" t="s">
        <v>97</v>
      </c>
      <c r="C27" s="272" t="s">
        <v>97</v>
      </c>
      <c r="D27" s="273" t="s">
        <v>98</v>
      </c>
    </row>
    <row r="28" spans="1:4" x14ac:dyDescent="0.25">
      <c r="A28" s="276" t="s">
        <v>123</v>
      </c>
      <c r="B28" s="273" t="s">
        <v>97</v>
      </c>
      <c r="C28" s="272" t="s">
        <v>97</v>
      </c>
      <c r="D28" s="273" t="s">
        <v>98</v>
      </c>
    </row>
    <row r="29" spans="1:4" x14ac:dyDescent="0.25">
      <c r="A29" s="277" t="s">
        <v>124</v>
      </c>
      <c r="B29" s="273" t="s">
        <v>97</v>
      </c>
      <c r="C29" s="272" t="s">
        <v>97</v>
      </c>
      <c r="D29" s="273" t="s">
        <v>98</v>
      </c>
    </row>
    <row r="30" spans="1:4" x14ac:dyDescent="0.25">
      <c r="A30" s="276" t="s">
        <v>125</v>
      </c>
      <c r="B30" s="273" t="s">
        <v>97</v>
      </c>
      <c r="C30" s="272" t="s">
        <v>97</v>
      </c>
      <c r="D30" s="273" t="s">
        <v>98</v>
      </c>
    </row>
    <row r="31" spans="1:4" x14ac:dyDescent="0.25">
      <c r="A31" s="276" t="s">
        <v>126</v>
      </c>
      <c r="B31" s="273" t="s">
        <v>97</v>
      </c>
      <c r="C31" s="272" t="s">
        <v>97</v>
      </c>
      <c r="D31" s="273" t="s">
        <v>98</v>
      </c>
    </row>
    <row r="32" spans="1:4" x14ac:dyDescent="0.25">
      <c r="A32" s="276" t="s">
        <v>127</v>
      </c>
      <c r="B32" s="273" t="s">
        <v>97</v>
      </c>
      <c r="C32" s="272" t="s">
        <v>97</v>
      </c>
      <c r="D32" s="273" t="s">
        <v>98</v>
      </c>
    </row>
    <row r="33" spans="1:4" x14ac:dyDescent="0.25">
      <c r="A33" s="276" t="s">
        <v>128</v>
      </c>
      <c r="B33" s="273">
        <v>3.1326174000000004</v>
      </c>
      <c r="C33" s="272">
        <v>3.1326174000000004</v>
      </c>
      <c r="D33" s="273">
        <v>9.123000639999999</v>
      </c>
    </row>
    <row r="34" spans="1:4" x14ac:dyDescent="0.25">
      <c r="A34" s="276" t="s">
        <v>129</v>
      </c>
      <c r="B34" s="273" t="s">
        <v>97</v>
      </c>
      <c r="C34" s="272" t="s">
        <v>97</v>
      </c>
      <c r="D34" s="273" t="s">
        <v>98</v>
      </c>
    </row>
    <row r="35" spans="1:4" x14ac:dyDescent="0.25">
      <c r="A35" s="276" t="s">
        <v>130</v>
      </c>
      <c r="B35" s="273" t="s">
        <v>97</v>
      </c>
      <c r="C35" s="272" t="s">
        <v>97</v>
      </c>
      <c r="D35" s="273" t="s">
        <v>98</v>
      </c>
    </row>
    <row r="36" spans="1:4" x14ac:dyDescent="0.25">
      <c r="A36" s="276" t="s">
        <v>131</v>
      </c>
      <c r="B36" s="273" t="s">
        <v>97</v>
      </c>
      <c r="C36" s="272" t="s">
        <v>97</v>
      </c>
      <c r="D36" s="273" t="s">
        <v>98</v>
      </c>
    </row>
    <row r="37" spans="1:4" x14ac:dyDescent="0.25">
      <c r="A37" s="276" t="s">
        <v>132</v>
      </c>
      <c r="B37" s="273" t="s">
        <v>97</v>
      </c>
      <c r="C37" s="272" t="s">
        <v>97</v>
      </c>
      <c r="D37" s="273" t="s">
        <v>98</v>
      </c>
    </row>
    <row r="38" spans="1:4" x14ac:dyDescent="0.25">
      <c r="A38" s="276" t="s">
        <v>133</v>
      </c>
      <c r="B38" s="273" t="s">
        <v>97</v>
      </c>
      <c r="C38" s="272" t="s">
        <v>97</v>
      </c>
      <c r="D38" s="273" t="s">
        <v>98</v>
      </c>
    </row>
    <row r="39" spans="1:4" x14ac:dyDescent="0.25">
      <c r="A39" s="276" t="s">
        <v>134</v>
      </c>
      <c r="B39" s="273" t="s">
        <v>97</v>
      </c>
      <c r="C39" s="272" t="s">
        <v>97</v>
      </c>
      <c r="D39" s="273" t="s">
        <v>98</v>
      </c>
    </row>
    <row r="40" spans="1:4" x14ac:dyDescent="0.25">
      <c r="A40" s="276" t="s">
        <v>135</v>
      </c>
      <c r="B40" s="273">
        <v>0.40635759999999999</v>
      </c>
      <c r="C40" s="272">
        <v>1.0264163000000002</v>
      </c>
      <c r="D40" s="273">
        <v>1.2171802999999999</v>
      </c>
    </row>
    <row r="41" spans="1:4" x14ac:dyDescent="0.25">
      <c r="A41" s="276" t="s">
        <v>136</v>
      </c>
      <c r="B41" s="273" t="s">
        <v>97</v>
      </c>
      <c r="C41" s="272" t="s">
        <v>97</v>
      </c>
      <c r="D41" s="273" t="s">
        <v>98</v>
      </c>
    </row>
    <row r="42" spans="1:4" x14ac:dyDescent="0.25">
      <c r="A42" s="276" t="s">
        <v>137</v>
      </c>
      <c r="B42" s="273">
        <v>564.00190375</v>
      </c>
      <c r="C42" s="272">
        <v>1053.55475</v>
      </c>
      <c r="D42" s="273">
        <v>1947.7610000000002</v>
      </c>
    </row>
    <row r="43" spans="1:4" x14ac:dyDescent="0.25">
      <c r="A43" s="276" t="s">
        <v>138</v>
      </c>
      <c r="B43" s="273" t="s">
        <v>97</v>
      </c>
      <c r="C43" s="272" t="s">
        <v>97</v>
      </c>
      <c r="D43" s="273" t="s">
        <v>98</v>
      </c>
    </row>
    <row r="44" spans="1:4" x14ac:dyDescent="0.25">
      <c r="A44" s="276" t="s">
        <v>139</v>
      </c>
      <c r="B44" s="273" t="s">
        <v>97</v>
      </c>
      <c r="C44" s="272" t="s">
        <v>97</v>
      </c>
      <c r="D44" s="273" t="s">
        <v>98</v>
      </c>
    </row>
    <row r="45" spans="1:4" x14ac:dyDescent="0.25">
      <c r="A45" s="276" t="s">
        <v>140</v>
      </c>
      <c r="B45" s="273" t="s">
        <v>97</v>
      </c>
      <c r="C45" s="272" t="s">
        <v>97</v>
      </c>
      <c r="D45" s="273" t="s">
        <v>98</v>
      </c>
    </row>
    <row r="46" spans="1:4" x14ac:dyDescent="0.25">
      <c r="A46" s="276" t="s">
        <v>141</v>
      </c>
      <c r="B46" s="273" t="s">
        <v>97</v>
      </c>
      <c r="C46" s="272" t="s">
        <v>97</v>
      </c>
      <c r="D46" s="273" t="s">
        <v>98</v>
      </c>
    </row>
    <row r="47" spans="1:4" x14ac:dyDescent="0.25">
      <c r="A47" s="276" t="s">
        <v>142</v>
      </c>
      <c r="B47" s="273" t="s">
        <v>97</v>
      </c>
      <c r="C47" s="272" t="s">
        <v>97</v>
      </c>
      <c r="D47" s="273" t="s">
        <v>98</v>
      </c>
    </row>
    <row r="48" spans="1:4" x14ac:dyDescent="0.25">
      <c r="A48" s="276" t="s">
        <v>143</v>
      </c>
      <c r="B48" s="273" t="s">
        <v>97</v>
      </c>
      <c r="C48" s="272" t="s">
        <v>97</v>
      </c>
      <c r="D48" s="273" t="s">
        <v>98</v>
      </c>
    </row>
    <row r="49" spans="1:4" x14ac:dyDescent="0.25">
      <c r="A49" s="276" t="s">
        <v>144</v>
      </c>
      <c r="B49" s="273" t="s">
        <v>97</v>
      </c>
      <c r="C49" s="272" t="s">
        <v>97</v>
      </c>
      <c r="D49" s="273" t="s">
        <v>98</v>
      </c>
    </row>
    <row r="50" spans="1:4" x14ac:dyDescent="0.25">
      <c r="A50" s="276" t="s">
        <v>145</v>
      </c>
      <c r="B50" s="273" t="s">
        <v>97</v>
      </c>
      <c r="C50" s="272" t="s">
        <v>97</v>
      </c>
      <c r="D50" s="273" t="s">
        <v>98</v>
      </c>
    </row>
    <row r="51" spans="1:4" x14ac:dyDescent="0.25">
      <c r="A51" s="276" t="s">
        <v>146</v>
      </c>
      <c r="B51" s="273" t="s">
        <v>97</v>
      </c>
      <c r="C51" s="272" t="s">
        <v>97</v>
      </c>
      <c r="D51" s="273" t="s">
        <v>98</v>
      </c>
    </row>
    <row r="52" spans="1:4" x14ac:dyDescent="0.25">
      <c r="A52" s="276" t="s">
        <v>147</v>
      </c>
      <c r="B52" s="273" t="s">
        <v>97</v>
      </c>
      <c r="C52" s="272" t="s">
        <v>97</v>
      </c>
      <c r="D52" s="273" t="s">
        <v>98</v>
      </c>
    </row>
    <row r="53" spans="1:4" x14ac:dyDescent="0.25">
      <c r="A53" s="276" t="s">
        <v>148</v>
      </c>
      <c r="B53" s="273" t="s">
        <v>97</v>
      </c>
      <c r="C53" s="272" t="s">
        <v>97</v>
      </c>
      <c r="D53" s="273" t="s">
        <v>98</v>
      </c>
    </row>
    <row r="54" spans="1:4" x14ac:dyDescent="0.25">
      <c r="A54" s="276" t="s">
        <v>149</v>
      </c>
      <c r="B54" s="273">
        <v>1.2187700000000001</v>
      </c>
      <c r="C54" s="272">
        <v>20.363299999999999</v>
      </c>
      <c r="D54" s="273">
        <v>31.037000000000006</v>
      </c>
    </row>
    <row r="55" spans="1:4" x14ac:dyDescent="0.25">
      <c r="A55" s="276" t="s">
        <v>150</v>
      </c>
      <c r="B55" s="273" t="s">
        <v>97</v>
      </c>
      <c r="C55" s="272" t="s">
        <v>97</v>
      </c>
      <c r="D55" s="273" t="s">
        <v>98</v>
      </c>
    </row>
    <row r="56" spans="1:4" x14ac:dyDescent="0.25">
      <c r="A56" s="276" t="s">
        <v>151</v>
      </c>
      <c r="B56" s="273" t="s">
        <v>97</v>
      </c>
      <c r="C56" s="272" t="s">
        <v>97</v>
      </c>
      <c r="D56" s="273" t="s">
        <v>98</v>
      </c>
    </row>
    <row r="57" spans="1:4" x14ac:dyDescent="0.25">
      <c r="A57" s="276" t="s">
        <v>152</v>
      </c>
      <c r="B57" s="273" t="s">
        <v>97</v>
      </c>
      <c r="C57" s="272" t="s">
        <v>97</v>
      </c>
      <c r="D57" s="273" t="s">
        <v>98</v>
      </c>
    </row>
    <row r="58" spans="1:4" x14ac:dyDescent="0.25">
      <c r="A58" s="160" t="s">
        <v>153</v>
      </c>
      <c r="B58" s="273" t="s">
        <v>97</v>
      </c>
      <c r="C58" s="272" t="s">
        <v>97</v>
      </c>
      <c r="D58" s="273" t="s">
        <v>98</v>
      </c>
    </row>
    <row r="59" spans="1:4" x14ac:dyDescent="0.25">
      <c r="A59" s="278" t="s">
        <v>154</v>
      </c>
      <c r="B59" s="273" t="s">
        <v>97</v>
      </c>
      <c r="C59" s="272" t="s">
        <v>97</v>
      </c>
      <c r="D59" s="273" t="s">
        <v>98</v>
      </c>
    </row>
    <row r="60" spans="1:4" x14ac:dyDescent="0.25">
      <c r="A60" s="278" t="s">
        <v>155</v>
      </c>
      <c r="B60" s="273" t="s">
        <v>97</v>
      </c>
      <c r="C60" s="272" t="s">
        <v>97</v>
      </c>
      <c r="D60" s="273" t="s">
        <v>98</v>
      </c>
    </row>
    <row r="61" spans="1:4" x14ac:dyDescent="0.25">
      <c r="A61" s="278" t="s">
        <v>156</v>
      </c>
      <c r="B61" s="273" t="s">
        <v>97</v>
      </c>
      <c r="C61" s="272" t="s">
        <v>97</v>
      </c>
      <c r="D61" s="273" t="s">
        <v>98</v>
      </c>
    </row>
    <row r="62" spans="1:4" x14ac:dyDescent="0.25">
      <c r="A62" s="278" t="s">
        <v>157</v>
      </c>
      <c r="B62" s="273" t="s">
        <v>97</v>
      </c>
      <c r="C62" s="272" t="s">
        <v>97</v>
      </c>
      <c r="D62" s="273" t="s">
        <v>98</v>
      </c>
    </row>
    <row r="63" spans="1:4" x14ac:dyDescent="0.25">
      <c r="A63" s="278" t="s">
        <v>158</v>
      </c>
      <c r="B63" s="273" t="s">
        <v>97</v>
      </c>
      <c r="C63" s="272" t="s">
        <v>97</v>
      </c>
      <c r="D63" s="273" t="s">
        <v>98</v>
      </c>
    </row>
    <row r="64" spans="1:4" x14ac:dyDescent="0.25">
      <c r="A64" s="278" t="s">
        <v>159</v>
      </c>
      <c r="B64" s="273" t="s">
        <v>97</v>
      </c>
      <c r="C64" s="272" t="s">
        <v>97</v>
      </c>
      <c r="D64" s="273" t="s">
        <v>98</v>
      </c>
    </row>
    <row r="65" spans="1:4" x14ac:dyDescent="0.25">
      <c r="A65" s="278" t="s">
        <v>160</v>
      </c>
      <c r="B65" s="273" t="s">
        <v>97</v>
      </c>
      <c r="C65" s="272" t="s">
        <v>97</v>
      </c>
      <c r="D65" s="273" t="s">
        <v>98</v>
      </c>
    </row>
    <row r="66" spans="1:4" x14ac:dyDescent="0.25">
      <c r="A66" s="278" t="s">
        <v>161</v>
      </c>
      <c r="B66" s="273" t="s">
        <v>97</v>
      </c>
      <c r="C66" s="272" t="s">
        <v>97</v>
      </c>
      <c r="D66" s="273" t="s">
        <v>98</v>
      </c>
    </row>
    <row r="67" spans="1:4" x14ac:dyDescent="0.25">
      <c r="A67" s="85" t="s">
        <v>162</v>
      </c>
      <c r="B67" s="273" t="s">
        <v>97</v>
      </c>
      <c r="C67" s="272" t="s">
        <v>97</v>
      </c>
      <c r="D67" s="273" t="s">
        <v>98</v>
      </c>
    </row>
    <row r="68" spans="1:4" x14ac:dyDescent="0.25">
      <c r="A68" s="85" t="s">
        <v>163</v>
      </c>
      <c r="B68" s="273" t="s">
        <v>97</v>
      </c>
      <c r="C68" s="272" t="s">
        <v>97</v>
      </c>
      <c r="D68" s="273" t="s">
        <v>98</v>
      </c>
    </row>
    <row r="69" spans="1:4" x14ac:dyDescent="0.25">
      <c r="A69" s="86" t="s">
        <v>164</v>
      </c>
      <c r="B69" s="273" t="s">
        <v>97</v>
      </c>
      <c r="C69" s="272" t="s">
        <v>97</v>
      </c>
      <c r="D69" s="273" t="s">
        <v>98</v>
      </c>
    </row>
    <row r="70" spans="1:4" x14ac:dyDescent="0.25">
      <c r="A70" s="86" t="s">
        <v>165</v>
      </c>
      <c r="B70" s="273" t="s">
        <v>97</v>
      </c>
      <c r="C70" s="272" t="s">
        <v>97</v>
      </c>
      <c r="D70" s="273" t="s">
        <v>98</v>
      </c>
    </row>
    <row r="71" spans="1:4" x14ac:dyDescent="0.25">
      <c r="A71" s="86" t="s">
        <v>166</v>
      </c>
      <c r="B71" s="273" t="s">
        <v>97</v>
      </c>
      <c r="C71" s="272" t="s">
        <v>97</v>
      </c>
      <c r="D71" s="273" t="s">
        <v>98</v>
      </c>
    </row>
    <row r="72" spans="1:4" x14ac:dyDescent="0.25">
      <c r="A72" s="86" t="s">
        <v>167</v>
      </c>
      <c r="B72" s="273" t="s">
        <v>97</v>
      </c>
      <c r="C72" s="272" t="s">
        <v>97</v>
      </c>
      <c r="D72" s="273" t="s">
        <v>98</v>
      </c>
    </row>
    <row r="73" spans="1:4" x14ac:dyDescent="0.25">
      <c r="A73" s="86" t="s">
        <v>168</v>
      </c>
      <c r="B73" s="273" t="s">
        <v>97</v>
      </c>
      <c r="C73" s="272" t="s">
        <v>97</v>
      </c>
      <c r="D73" s="273" t="s">
        <v>98</v>
      </c>
    </row>
    <row r="74" spans="1:4" x14ac:dyDescent="0.25">
      <c r="A74" s="85" t="s">
        <v>169</v>
      </c>
      <c r="B74" s="273" t="s">
        <v>97</v>
      </c>
      <c r="C74" s="272" t="s">
        <v>97</v>
      </c>
      <c r="D74" s="273" t="s">
        <v>98</v>
      </c>
    </row>
    <row r="75" spans="1:4" x14ac:dyDescent="0.25">
      <c r="A75" s="278" t="s">
        <v>170</v>
      </c>
      <c r="B75" s="273" t="s">
        <v>97</v>
      </c>
      <c r="C75" s="272" t="s">
        <v>97</v>
      </c>
      <c r="D75" s="273" t="s">
        <v>98</v>
      </c>
    </row>
    <row r="76" spans="1:4" x14ac:dyDescent="0.25">
      <c r="A76" s="81" t="s">
        <v>171</v>
      </c>
      <c r="B76" s="273" t="s">
        <v>97</v>
      </c>
      <c r="C76" s="272" t="s">
        <v>97</v>
      </c>
      <c r="D76" s="273" t="s">
        <v>98</v>
      </c>
    </row>
    <row r="77" spans="1:4" x14ac:dyDescent="0.25">
      <c r="A77" s="81" t="s">
        <v>172</v>
      </c>
      <c r="B77" s="273" t="s">
        <v>97</v>
      </c>
      <c r="C77" s="272" t="s">
        <v>97</v>
      </c>
      <c r="D77" s="273" t="s">
        <v>98</v>
      </c>
    </row>
    <row r="78" spans="1:4" x14ac:dyDescent="0.25">
      <c r="A78" s="81" t="s">
        <v>173</v>
      </c>
      <c r="B78" s="273" t="s">
        <v>97</v>
      </c>
      <c r="C78" s="272" t="s">
        <v>97</v>
      </c>
      <c r="D78" s="273" t="s">
        <v>98</v>
      </c>
    </row>
    <row r="79" spans="1:4" x14ac:dyDescent="0.25">
      <c r="A79" s="81" t="s">
        <v>174</v>
      </c>
      <c r="B79" s="273" t="s">
        <v>97</v>
      </c>
      <c r="C79" s="272" t="s">
        <v>97</v>
      </c>
      <c r="D79" s="273" t="s">
        <v>98</v>
      </c>
    </row>
    <row r="80" spans="1:4" x14ac:dyDescent="0.25">
      <c r="A80" s="81" t="s">
        <v>175</v>
      </c>
      <c r="B80" s="273" t="s">
        <v>97</v>
      </c>
      <c r="C80" s="272" t="s">
        <v>97</v>
      </c>
      <c r="D80" s="273" t="s">
        <v>98</v>
      </c>
    </row>
    <row r="81" spans="1:4" x14ac:dyDescent="0.25">
      <c r="A81" s="81" t="s">
        <v>176</v>
      </c>
      <c r="B81" s="273" t="s">
        <v>97</v>
      </c>
      <c r="C81" s="272" t="s">
        <v>97</v>
      </c>
      <c r="D81" s="273" t="s">
        <v>98</v>
      </c>
    </row>
    <row r="82" spans="1:4" x14ac:dyDescent="0.25">
      <c r="A82" s="81" t="s">
        <v>177</v>
      </c>
      <c r="B82" s="273" t="s">
        <v>97</v>
      </c>
      <c r="C82" s="272" t="s">
        <v>97</v>
      </c>
      <c r="D82" s="273" t="s">
        <v>98</v>
      </c>
    </row>
    <row r="83" spans="1:4" x14ac:dyDescent="0.25">
      <c r="A83" s="81" t="s">
        <v>178</v>
      </c>
      <c r="B83" s="273">
        <v>0.33050619999999997</v>
      </c>
      <c r="C83" s="272">
        <v>0.33050619999999997</v>
      </c>
      <c r="D83" s="273">
        <v>0.35730400000000001</v>
      </c>
    </row>
    <row r="84" spans="1:4" x14ac:dyDescent="0.25">
      <c r="A84" s="81" t="s">
        <v>179</v>
      </c>
      <c r="B84" s="273">
        <v>0.29522999999999999</v>
      </c>
      <c r="C84" s="272">
        <v>0.37789440000000007</v>
      </c>
      <c r="D84" s="273">
        <v>0.62679599999999991</v>
      </c>
    </row>
    <row r="85" spans="1:4" x14ac:dyDescent="0.25">
      <c r="A85" s="81" t="s">
        <v>180</v>
      </c>
      <c r="B85" s="273" t="s">
        <v>97</v>
      </c>
      <c r="C85" s="272" t="s">
        <v>97</v>
      </c>
      <c r="D85" s="273" t="s">
        <v>98</v>
      </c>
    </row>
    <row r="86" spans="1:4" x14ac:dyDescent="0.25">
      <c r="A86" s="81" t="s">
        <v>181</v>
      </c>
      <c r="B86" s="273" t="s">
        <v>97</v>
      </c>
      <c r="C86" s="272" t="s">
        <v>97</v>
      </c>
      <c r="D86" s="273" t="s">
        <v>98</v>
      </c>
    </row>
    <row r="87" spans="1:4" x14ac:dyDescent="0.25">
      <c r="A87" s="81" t="s">
        <v>182</v>
      </c>
      <c r="B87" s="273" t="s">
        <v>97</v>
      </c>
      <c r="C87" s="272" t="s">
        <v>97</v>
      </c>
      <c r="D87" s="273" t="s">
        <v>98</v>
      </c>
    </row>
    <row r="88" spans="1:4" x14ac:dyDescent="0.25">
      <c r="A88" s="81" t="s">
        <v>183</v>
      </c>
      <c r="B88" s="273">
        <v>6.6616000000000009E-2</v>
      </c>
      <c r="C88" s="272">
        <v>6.6616000000000009E-2</v>
      </c>
      <c r="D88" s="273">
        <v>6.6616000000000009E-2</v>
      </c>
    </row>
    <row r="89" spans="1:4" x14ac:dyDescent="0.25">
      <c r="A89" s="81" t="s">
        <v>184</v>
      </c>
      <c r="B89" s="273" t="s">
        <v>97</v>
      </c>
      <c r="C89" s="272" t="s">
        <v>97</v>
      </c>
      <c r="D89" s="273" t="s">
        <v>98</v>
      </c>
    </row>
    <row r="90" spans="1:4" x14ac:dyDescent="0.25">
      <c r="A90" s="81" t="s">
        <v>185</v>
      </c>
      <c r="B90" s="273" t="s">
        <v>97</v>
      </c>
      <c r="C90" s="272" t="s">
        <v>97</v>
      </c>
      <c r="D90" s="273" t="s">
        <v>98</v>
      </c>
    </row>
    <row r="91" spans="1:4" x14ac:dyDescent="0.25">
      <c r="A91" s="81" t="s">
        <v>186</v>
      </c>
      <c r="B91" s="273" t="s">
        <v>97</v>
      </c>
      <c r="C91" s="272" t="s">
        <v>97</v>
      </c>
      <c r="D91" s="273" t="s">
        <v>98</v>
      </c>
    </row>
    <row r="92" spans="1:4" x14ac:dyDescent="0.25">
      <c r="A92" s="81" t="s">
        <v>187</v>
      </c>
      <c r="B92" s="273" t="s">
        <v>97</v>
      </c>
      <c r="C92" s="272" t="s">
        <v>97</v>
      </c>
      <c r="D92" s="273" t="s">
        <v>98</v>
      </c>
    </row>
    <row r="93" spans="1:4" x14ac:dyDescent="0.25">
      <c r="A93" s="81" t="s">
        <v>188</v>
      </c>
      <c r="B93" s="273" t="s">
        <v>97</v>
      </c>
      <c r="C93" s="272" t="s">
        <v>97</v>
      </c>
      <c r="D93" s="273" t="s">
        <v>98</v>
      </c>
    </row>
    <row r="94" spans="1:4" x14ac:dyDescent="0.25">
      <c r="A94" s="81" t="s">
        <v>189</v>
      </c>
      <c r="B94" s="273" t="s">
        <v>97</v>
      </c>
      <c r="C94" s="272" t="s">
        <v>97</v>
      </c>
      <c r="D94" s="273" t="s">
        <v>98</v>
      </c>
    </row>
    <row r="95" spans="1:4" x14ac:dyDescent="0.25">
      <c r="A95" s="81" t="s">
        <v>190</v>
      </c>
      <c r="B95" s="273" t="s">
        <v>97</v>
      </c>
      <c r="C95" s="272" t="s">
        <v>97</v>
      </c>
      <c r="D95" s="273" t="s">
        <v>98</v>
      </c>
    </row>
    <row r="96" spans="1:4" x14ac:dyDescent="0.25">
      <c r="A96" s="81" t="s">
        <v>191</v>
      </c>
      <c r="B96" s="273" t="s">
        <v>97</v>
      </c>
      <c r="C96" s="272" t="s">
        <v>97</v>
      </c>
      <c r="D96" s="273" t="s">
        <v>98</v>
      </c>
    </row>
    <row r="97" spans="1:4" x14ac:dyDescent="0.25">
      <c r="A97" s="81" t="s">
        <v>192</v>
      </c>
      <c r="B97" s="273" t="s">
        <v>97</v>
      </c>
      <c r="C97" s="272" t="s">
        <v>97</v>
      </c>
      <c r="D97" s="273" t="s">
        <v>98</v>
      </c>
    </row>
    <row r="98" spans="1:4" x14ac:dyDescent="0.25">
      <c r="A98" s="81" t="s">
        <v>193</v>
      </c>
      <c r="B98" s="273" t="s">
        <v>97</v>
      </c>
      <c r="C98" s="272" t="s">
        <v>97</v>
      </c>
      <c r="D98" s="273" t="s">
        <v>98</v>
      </c>
    </row>
    <row r="99" spans="1:4" x14ac:dyDescent="0.25">
      <c r="A99" s="81" t="s">
        <v>194</v>
      </c>
      <c r="B99" s="273" t="s">
        <v>97</v>
      </c>
      <c r="C99" s="272" t="s">
        <v>97</v>
      </c>
      <c r="D99" s="273" t="s">
        <v>98</v>
      </c>
    </row>
    <row r="100" spans="1:4" x14ac:dyDescent="0.25">
      <c r="A100" s="81" t="s">
        <v>195</v>
      </c>
      <c r="B100" s="273" t="s">
        <v>97</v>
      </c>
      <c r="C100" s="272" t="s">
        <v>97</v>
      </c>
      <c r="D100" s="273" t="s">
        <v>98</v>
      </c>
    </row>
    <row r="101" spans="1:4" x14ac:dyDescent="0.25">
      <c r="A101" s="81" t="s">
        <v>196</v>
      </c>
      <c r="B101" s="273" t="s">
        <v>97</v>
      </c>
      <c r="C101" s="272" t="s">
        <v>97</v>
      </c>
      <c r="D101" s="273" t="s">
        <v>98</v>
      </c>
    </row>
    <row r="102" spans="1:4" x14ac:dyDescent="0.25">
      <c r="A102" s="81" t="s">
        <v>197</v>
      </c>
      <c r="B102" s="273" t="s">
        <v>97</v>
      </c>
      <c r="C102" s="272" t="s">
        <v>97</v>
      </c>
      <c r="D102" s="273" t="s">
        <v>98</v>
      </c>
    </row>
    <row r="103" spans="1:4" x14ac:dyDescent="0.25">
      <c r="A103" s="81" t="s">
        <v>198</v>
      </c>
      <c r="B103" s="273" t="s">
        <v>97</v>
      </c>
      <c r="C103" s="272" t="s">
        <v>97</v>
      </c>
      <c r="D103" s="273" t="s">
        <v>98</v>
      </c>
    </row>
    <row r="104" spans="1:4" x14ac:dyDescent="0.25">
      <c r="A104" s="81" t="s">
        <v>199</v>
      </c>
      <c r="B104" s="273" t="s">
        <v>97</v>
      </c>
      <c r="C104" s="272" t="s">
        <v>97</v>
      </c>
      <c r="D104" s="273" t="s">
        <v>98</v>
      </c>
    </row>
    <row r="105" spans="1:4" x14ac:dyDescent="0.25">
      <c r="A105" s="81" t="s">
        <v>200</v>
      </c>
      <c r="B105" s="273" t="s">
        <v>97</v>
      </c>
      <c r="C105" s="272" t="s">
        <v>97</v>
      </c>
      <c r="D105" s="273" t="s">
        <v>98</v>
      </c>
    </row>
    <row r="106" spans="1:4" x14ac:dyDescent="0.25">
      <c r="A106" s="81" t="s">
        <v>201</v>
      </c>
      <c r="B106" s="273" t="s">
        <v>97</v>
      </c>
      <c r="C106" s="272" t="s">
        <v>97</v>
      </c>
      <c r="D106" s="273" t="s">
        <v>98</v>
      </c>
    </row>
    <row r="107" spans="1:4" x14ac:dyDescent="0.25">
      <c r="A107" s="81" t="s">
        <v>202</v>
      </c>
      <c r="B107" s="273">
        <v>14.295910935</v>
      </c>
      <c r="C107" s="272">
        <v>22.233453359999999</v>
      </c>
      <c r="D107" s="273">
        <v>35.59504840000001</v>
      </c>
    </row>
    <row r="108" spans="1:4" x14ac:dyDescent="0.25">
      <c r="A108" s="81" t="s">
        <v>203</v>
      </c>
      <c r="B108" s="273" t="s">
        <v>97</v>
      </c>
      <c r="C108" s="272" t="s">
        <v>97</v>
      </c>
      <c r="D108" s="273" t="s">
        <v>98</v>
      </c>
    </row>
    <row r="109" spans="1:4" x14ac:dyDescent="0.25">
      <c r="A109" s="81" t="s">
        <v>204</v>
      </c>
      <c r="B109" s="273" t="s">
        <v>97</v>
      </c>
      <c r="C109" s="272" t="s">
        <v>97</v>
      </c>
      <c r="D109" s="273" t="s">
        <v>98</v>
      </c>
    </row>
    <row r="110" spans="1:4" x14ac:dyDescent="0.25">
      <c r="A110" s="81" t="s">
        <v>205</v>
      </c>
      <c r="B110" s="273" t="s">
        <v>97</v>
      </c>
      <c r="C110" s="272" t="s">
        <v>97</v>
      </c>
      <c r="D110" s="273" t="s">
        <v>98</v>
      </c>
    </row>
    <row r="111" spans="1:4" x14ac:dyDescent="0.25">
      <c r="A111" s="81" t="s">
        <v>206</v>
      </c>
      <c r="B111" s="273" t="s">
        <v>97</v>
      </c>
      <c r="C111" s="272" t="s">
        <v>97</v>
      </c>
      <c r="D111" s="273" t="s">
        <v>98</v>
      </c>
    </row>
    <row r="112" spans="1:4" x14ac:dyDescent="0.25">
      <c r="A112" s="81" t="s">
        <v>207</v>
      </c>
      <c r="B112" s="273" t="s">
        <v>97</v>
      </c>
      <c r="C112" s="272" t="s">
        <v>97</v>
      </c>
      <c r="D112" s="273" t="s">
        <v>98</v>
      </c>
    </row>
    <row r="113" spans="1:4" x14ac:dyDescent="0.25">
      <c r="A113" s="81" t="s">
        <v>208</v>
      </c>
      <c r="B113" s="273" t="s">
        <v>97</v>
      </c>
      <c r="C113" s="272" t="s">
        <v>97</v>
      </c>
      <c r="D113" s="273" t="s">
        <v>98</v>
      </c>
    </row>
    <row r="114" spans="1:4" x14ac:dyDescent="0.25">
      <c r="A114" s="81" t="s">
        <v>209</v>
      </c>
      <c r="B114" s="273" t="s">
        <v>97</v>
      </c>
      <c r="C114" s="272" t="s">
        <v>97</v>
      </c>
      <c r="D114" s="273" t="s">
        <v>98</v>
      </c>
    </row>
    <row r="115" spans="1:4" x14ac:dyDescent="0.25">
      <c r="A115" s="81" t="s">
        <v>210</v>
      </c>
      <c r="B115" s="273" t="s">
        <v>97</v>
      </c>
      <c r="C115" s="272" t="s">
        <v>97</v>
      </c>
      <c r="D115" s="273" t="s">
        <v>98</v>
      </c>
    </row>
    <row r="116" spans="1:4" x14ac:dyDescent="0.25">
      <c r="A116" s="81" t="s">
        <v>211</v>
      </c>
      <c r="B116" s="273" t="s">
        <v>97</v>
      </c>
      <c r="C116" s="272" t="s">
        <v>97</v>
      </c>
      <c r="D116" s="273" t="s">
        <v>98</v>
      </c>
    </row>
    <row r="117" spans="1:4" x14ac:dyDescent="0.25">
      <c r="A117" s="81" t="s">
        <v>212</v>
      </c>
      <c r="B117" s="273" t="s">
        <v>97</v>
      </c>
      <c r="C117" s="272" t="s">
        <v>97</v>
      </c>
      <c r="D117" s="273" t="s">
        <v>98</v>
      </c>
    </row>
    <row r="118" spans="1:4" x14ac:dyDescent="0.25">
      <c r="A118" s="81" t="s">
        <v>213</v>
      </c>
      <c r="B118" s="273" t="s">
        <v>97</v>
      </c>
      <c r="C118" s="272" t="s">
        <v>97</v>
      </c>
      <c r="D118" s="273" t="s">
        <v>98</v>
      </c>
    </row>
    <row r="119" spans="1:4" x14ac:dyDescent="0.25">
      <c r="A119" s="81" t="s">
        <v>214</v>
      </c>
      <c r="B119" s="273" t="s">
        <v>97</v>
      </c>
      <c r="C119" s="272" t="s">
        <v>97</v>
      </c>
      <c r="D119" s="273" t="s">
        <v>98</v>
      </c>
    </row>
    <row r="120" spans="1:4" x14ac:dyDescent="0.25">
      <c r="A120" s="81" t="s">
        <v>215</v>
      </c>
      <c r="B120" s="273" t="s">
        <v>97</v>
      </c>
      <c r="C120" s="272" t="s">
        <v>97</v>
      </c>
      <c r="D120" s="273" t="s">
        <v>98</v>
      </c>
    </row>
    <row r="121" spans="1:4" x14ac:dyDescent="0.25">
      <c r="A121" s="81" t="s">
        <v>216</v>
      </c>
      <c r="B121" s="273" t="s">
        <v>97</v>
      </c>
      <c r="C121" s="272" t="s">
        <v>97</v>
      </c>
      <c r="D121" s="273" t="s">
        <v>98</v>
      </c>
    </row>
    <row r="122" spans="1:4" x14ac:dyDescent="0.25">
      <c r="A122" s="81" t="s">
        <v>217</v>
      </c>
      <c r="B122" s="273" t="s">
        <v>97</v>
      </c>
      <c r="C122" s="272" t="s">
        <v>97</v>
      </c>
      <c r="D122" s="273" t="s">
        <v>98</v>
      </c>
    </row>
    <row r="123" spans="1:4" x14ac:dyDescent="0.25">
      <c r="A123" s="81" t="s">
        <v>218</v>
      </c>
      <c r="B123" s="273" t="s">
        <v>97</v>
      </c>
      <c r="C123" s="272" t="s">
        <v>97</v>
      </c>
      <c r="D123" s="273" t="s">
        <v>98</v>
      </c>
    </row>
    <row r="124" spans="1:4" x14ac:dyDescent="0.25">
      <c r="A124" s="81" t="s">
        <v>219</v>
      </c>
      <c r="B124" s="273" t="s">
        <v>97</v>
      </c>
      <c r="C124" s="272" t="s">
        <v>97</v>
      </c>
      <c r="D124" s="273" t="s">
        <v>98</v>
      </c>
    </row>
    <row r="125" spans="1:4" x14ac:dyDescent="0.25">
      <c r="A125" s="81" t="s">
        <v>220</v>
      </c>
      <c r="B125" s="273" t="s">
        <v>97</v>
      </c>
      <c r="C125" s="272" t="s">
        <v>97</v>
      </c>
      <c r="D125" s="273" t="s">
        <v>98</v>
      </c>
    </row>
    <row r="126" spans="1:4" x14ac:dyDescent="0.25">
      <c r="A126" s="81" t="s">
        <v>221</v>
      </c>
      <c r="B126" s="273" t="s">
        <v>97</v>
      </c>
      <c r="C126" s="272" t="s">
        <v>97</v>
      </c>
      <c r="D126" s="273" t="s">
        <v>98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0327F-F789-4437-8CA6-7B6503BC96CA}">
  <sheetPr>
    <tabColor theme="9" tint="0.59999389629810485"/>
  </sheetPr>
  <dimension ref="A1:E139"/>
  <sheetViews>
    <sheetView workbookViewId="0"/>
  </sheetViews>
  <sheetFormatPr defaultRowHeight="15.6" customHeight="1" x14ac:dyDescent="0.25"/>
  <cols>
    <col min="1" max="1" width="9.5703125" bestFit="1" customWidth="1"/>
    <col min="2" max="2" width="47.85546875" style="260" bestFit="1" customWidth="1"/>
    <col min="3" max="3" width="15.5703125" bestFit="1" customWidth="1"/>
    <col min="4" max="4" width="44" style="256" customWidth="1"/>
    <col min="5" max="5" width="58.42578125" style="25" customWidth="1"/>
  </cols>
  <sheetData>
    <row r="1" spans="1:5" ht="15.6" customHeight="1" x14ac:dyDescent="0.25">
      <c r="A1" s="261" t="s">
        <v>1447</v>
      </c>
      <c r="B1" s="262" t="s">
        <v>238</v>
      </c>
      <c r="C1" s="263" t="s">
        <v>2518</v>
      </c>
      <c r="D1" s="264" t="s">
        <v>2519</v>
      </c>
      <c r="E1" s="265" t="s">
        <v>2520</v>
      </c>
    </row>
    <row r="2" spans="1:5" ht="15.6" customHeight="1" x14ac:dyDescent="0.25">
      <c r="A2" s="266">
        <v>2015</v>
      </c>
      <c r="B2" s="258" t="s">
        <v>251</v>
      </c>
      <c r="C2" s="60">
        <f>COUNTIFS('Raw Annual DMR Data'!$B:$B,A2,'Raw Annual DMR Data'!$M:$M,B2)</f>
        <v>22</v>
      </c>
      <c r="D2" s="267">
        <f>IF(C2&gt;0,AVERAGEIFS('Raw Annual DMR Data'!$T:$T, 'Raw Annual DMR Data'!$B:$B,A2,'Raw Annual DMR Data'!$M:$M,B2), "There are no entries to calculate Generic Factor")</f>
        <v>20.451304340508976</v>
      </c>
      <c r="E2" s="57"/>
    </row>
    <row r="3" spans="1:5" ht="15.6" customHeight="1" x14ac:dyDescent="0.25">
      <c r="A3" s="266">
        <v>2015</v>
      </c>
      <c r="B3" s="258" t="s">
        <v>252</v>
      </c>
      <c r="C3" s="60">
        <f>COUNTIFS('Raw Annual DMR Data'!$B:$B,A3,'Raw Annual DMR Data'!$M:$M,B3)</f>
        <v>2</v>
      </c>
      <c r="D3" s="267">
        <f>IF(C3&gt;0,AVERAGEIFS('Raw Annual DMR Data'!$T:$T, 'Raw Annual DMR Data'!$B:$B,A3,'Raw Annual DMR Data'!$M:$M,B3), "There are no entries to calculate Generic Factor")</f>
        <v>0</v>
      </c>
      <c r="E3" s="57"/>
    </row>
    <row r="4" spans="1:5" ht="15.6" customHeight="1" x14ac:dyDescent="0.25">
      <c r="A4" s="266">
        <v>2015</v>
      </c>
      <c r="B4" s="258" t="s">
        <v>253</v>
      </c>
      <c r="C4" s="60">
        <f>COUNTIFS('Raw Annual DMR Data'!$B:$B,A4,'Raw Annual DMR Data'!$M:$M,B4)</f>
        <v>13</v>
      </c>
      <c r="D4" s="267">
        <f>IF(C4&gt;0,AVERAGEIFS('Raw Annual DMR Data'!$T:$T, 'Raw Annual DMR Data'!$B:$B,A4,'Raw Annual DMR Data'!$M:$M,B4), "There are no entries to calculate Generic Factor")</f>
        <v>6.9557812976273156E-2</v>
      </c>
      <c r="E4" s="57"/>
    </row>
    <row r="5" spans="1:5" ht="15.6" customHeight="1" x14ac:dyDescent="0.25">
      <c r="A5" s="266">
        <v>2015</v>
      </c>
      <c r="B5" s="258" t="s">
        <v>254</v>
      </c>
      <c r="C5" s="60">
        <f>COUNTIFS('Raw Annual DMR Data'!$B:$B,A5,'Raw Annual DMR Data'!$M:$M,B5)</f>
        <v>11</v>
      </c>
      <c r="D5" s="267">
        <f>IF(C5&gt;0,AVERAGEIFS('Raw Annual DMR Data'!$T:$T, 'Raw Annual DMR Data'!$B:$B,A5,'Raw Annual DMR Data'!$M:$M,B5), "There are no entries to calculate Generic Factor")</f>
        <v>0</v>
      </c>
      <c r="E5" s="57"/>
    </row>
    <row r="6" spans="1:5" ht="15.6" customHeight="1" x14ac:dyDescent="0.25">
      <c r="A6" s="266">
        <v>2015</v>
      </c>
      <c r="B6" s="258" t="s">
        <v>2502</v>
      </c>
      <c r="C6" s="60">
        <f>COUNTIFS('Raw Annual DMR Data'!$B:$B,A6,'Raw Annual DMR Data'!$M:$M,B6)</f>
        <v>0</v>
      </c>
      <c r="D6" s="267" t="str">
        <f>IF(C6&gt;0,AVERAGEIFS('Raw Annual DMR Data'!$T:$T, 'Raw Annual DMR Data'!$B:$B,A6,'Raw Annual DMR Data'!$M:$M,B6), "There are no entries to calculate Generic Factor")</f>
        <v>There are no entries to calculate Generic Factor</v>
      </c>
      <c r="E6" s="57"/>
    </row>
    <row r="7" spans="1:5" ht="15.6" customHeight="1" x14ac:dyDescent="0.25">
      <c r="A7" s="266">
        <v>2015</v>
      </c>
      <c r="B7" s="258" t="s">
        <v>255</v>
      </c>
      <c r="C7" s="60">
        <f>COUNTIFS('Raw Annual DMR Data'!$B:$B,A7,'Raw Annual DMR Data'!$M:$M,B7)</f>
        <v>0</v>
      </c>
      <c r="D7" s="267" t="str">
        <f>IF(C7&gt;0,AVERAGEIFS('Raw Annual DMR Data'!$T:$T, 'Raw Annual DMR Data'!$B:$B,A7,'Raw Annual DMR Data'!$M:$M,B7), "There are no entries to calculate Generic Factor")</f>
        <v>There are no entries to calculate Generic Factor</v>
      </c>
      <c r="E7" s="57"/>
    </row>
    <row r="8" spans="1:5" ht="15.6" customHeight="1" x14ac:dyDescent="0.25">
      <c r="A8" s="266">
        <v>2015</v>
      </c>
      <c r="B8" s="258" t="s">
        <v>2504</v>
      </c>
      <c r="C8" s="60">
        <f>COUNTIFS('Raw Annual DMR Data'!$B:$B,A8,'Raw Annual DMR Data'!$M:$M,B8)</f>
        <v>0</v>
      </c>
      <c r="D8" s="267" t="str">
        <f>IF(C8&gt;0,AVERAGEIFS('Raw Annual DMR Data'!$T:$T, 'Raw Annual DMR Data'!$B:$B,A8,'Raw Annual DMR Data'!$M:$M,B8), "There are no entries to calculate Generic Factor")</f>
        <v>There are no entries to calculate Generic Factor</v>
      </c>
      <c r="E8" s="57"/>
    </row>
    <row r="9" spans="1:5" ht="15.6" customHeight="1" x14ac:dyDescent="0.25">
      <c r="A9" s="266">
        <v>2015</v>
      </c>
      <c r="B9" s="258" t="s">
        <v>256</v>
      </c>
      <c r="C9" s="60">
        <f>COUNTIFS('Raw Annual DMR Data'!$B:$B,A9,'Raw Annual DMR Data'!$M:$M,B9)</f>
        <v>0</v>
      </c>
      <c r="D9" s="267" t="str">
        <f>IF(C9&gt;0,AVERAGEIFS('Raw Annual DMR Data'!$T:$T, 'Raw Annual DMR Data'!$B:$B,A9,'Raw Annual DMR Data'!$M:$M,B9), "There are no entries to calculate Generic Factor")</f>
        <v>There are no entries to calculate Generic Factor</v>
      </c>
      <c r="E9" s="57"/>
    </row>
    <row r="10" spans="1:5" ht="15.6" customHeight="1" x14ac:dyDescent="0.25">
      <c r="A10" s="266">
        <v>2015</v>
      </c>
      <c r="B10" s="258" t="s">
        <v>2507</v>
      </c>
      <c r="C10" s="60">
        <f>COUNTIFS('Raw Annual DMR Data'!$B:$B,A10,'Raw Annual DMR Data'!$M:$M,B10)</f>
        <v>0</v>
      </c>
      <c r="D10" s="267" t="str">
        <f>IF(C10&gt;0,AVERAGEIFS('Raw Annual DMR Data'!$T:$T, 'Raw Annual DMR Data'!$B:$B,A10,'Raw Annual DMR Data'!$M:$M,B10), "There are no entries to calculate Generic Factor")</f>
        <v>There are no entries to calculate Generic Factor</v>
      </c>
      <c r="E10" s="57"/>
    </row>
    <row r="11" spans="1:5" ht="15.6" customHeight="1" x14ac:dyDescent="0.25">
      <c r="A11" s="266">
        <v>2015</v>
      </c>
      <c r="B11" s="258" t="s">
        <v>2508</v>
      </c>
      <c r="C11" s="60">
        <f>COUNTIFS('Raw Annual DMR Data'!$B:$B,A11,'Raw Annual DMR Data'!$M:$M,B11)</f>
        <v>0</v>
      </c>
      <c r="D11" s="267" t="str">
        <f>IF(C11&gt;0,AVERAGEIFS('Raw Annual DMR Data'!$T:$T, 'Raw Annual DMR Data'!$B:$B,A11,'Raw Annual DMR Data'!$M:$M,B11), "There are no entries to calculate Generic Factor")</f>
        <v>There are no entries to calculate Generic Factor</v>
      </c>
      <c r="E11" s="57"/>
    </row>
    <row r="12" spans="1:5" ht="15.6" customHeight="1" x14ac:dyDescent="0.25">
      <c r="A12" s="266">
        <v>2015</v>
      </c>
      <c r="B12" s="258" t="s">
        <v>2509</v>
      </c>
      <c r="C12" s="60">
        <f>COUNTIFS('Raw Annual DMR Data'!$B:$B,A12,'Raw Annual DMR Data'!$M:$M,B12)</f>
        <v>0</v>
      </c>
      <c r="D12" s="267" t="str">
        <f>IF(C12&gt;0,AVERAGEIFS('Raw Annual DMR Data'!$T:$T, 'Raw Annual DMR Data'!$B:$B,A12,'Raw Annual DMR Data'!$M:$M,B12), "There are no entries to calculate Generic Factor")</f>
        <v>There are no entries to calculate Generic Factor</v>
      </c>
      <c r="E12" s="57"/>
    </row>
    <row r="13" spans="1:5" ht="15.6" customHeight="1" x14ac:dyDescent="0.25">
      <c r="A13" s="266">
        <v>2015</v>
      </c>
      <c r="B13" s="258" t="s">
        <v>258</v>
      </c>
      <c r="C13" s="60">
        <f>COUNTIFS('Raw Annual DMR Data'!$B:$B,A13,'Raw Annual DMR Data'!$M:$M,B13)</f>
        <v>0</v>
      </c>
      <c r="D13" s="267" t="str">
        <f>IF(C13&gt;0,AVERAGEIFS('Raw Annual DMR Data'!$T:$T, 'Raw Annual DMR Data'!$B:$B,A13,'Raw Annual DMR Data'!$M:$M,B13), "There are no entries to calculate Generic Factor")</f>
        <v>There are no entries to calculate Generic Factor</v>
      </c>
      <c r="E13" s="57"/>
    </row>
    <row r="14" spans="1:5" ht="15.6" customHeight="1" x14ac:dyDescent="0.25">
      <c r="A14" s="266">
        <v>2015</v>
      </c>
      <c r="B14" s="258" t="s">
        <v>259</v>
      </c>
      <c r="C14" s="60">
        <f>COUNTIFS('Raw Annual DMR Data'!$B:$B,A14,'Raw Annual DMR Data'!$M:$M,B14)</f>
        <v>0</v>
      </c>
      <c r="D14" s="267" t="str">
        <f>IF(C14&gt;0,AVERAGEIFS('Raw Annual DMR Data'!$T:$T, 'Raw Annual DMR Data'!$B:$B,A14,'Raw Annual DMR Data'!$M:$M,B14), "There are no entries to calculate Generic Factor")</f>
        <v>There are no entries to calculate Generic Factor</v>
      </c>
      <c r="E14" s="57"/>
    </row>
    <row r="15" spans="1:5" ht="15.6" customHeight="1" x14ac:dyDescent="0.25">
      <c r="A15" s="266">
        <v>2015</v>
      </c>
      <c r="B15" s="258" t="s">
        <v>2510</v>
      </c>
      <c r="C15" s="60">
        <f>COUNTIFS('Raw Annual DMR Data'!$B:$B,A15,'Raw Annual DMR Data'!$M:$M,B15)</f>
        <v>0</v>
      </c>
      <c r="D15" s="267" t="str">
        <f>IF(C15&gt;0,AVERAGEIFS('Raw Annual DMR Data'!$T:$T, 'Raw Annual DMR Data'!$B:$B,A15,'Raw Annual DMR Data'!$M:$M,B15), "There are no entries to calculate Generic Factor")</f>
        <v>There are no entries to calculate Generic Factor</v>
      </c>
      <c r="E15" s="57"/>
    </row>
    <row r="16" spans="1:5" ht="15.6" customHeight="1" x14ac:dyDescent="0.25">
      <c r="A16" s="266">
        <v>2015</v>
      </c>
      <c r="B16" s="257" t="s">
        <v>2511</v>
      </c>
      <c r="C16" s="60">
        <f>COUNTIFS('Raw Annual DMR Data'!$B:$B,A16,'Raw Annual DMR Data'!$M:$M,B16)</f>
        <v>0</v>
      </c>
      <c r="D16" s="267" t="str">
        <f>IF(C16&gt;0,AVERAGEIFS('Raw Annual DMR Data'!$T:$T, 'Raw Annual DMR Data'!$B:$B,A16,'Raw Annual DMR Data'!$M:$M,B16), "There are no entries to calculate Generic Factor")</f>
        <v>There are no entries to calculate Generic Factor</v>
      </c>
      <c r="E16" s="57"/>
    </row>
    <row r="17" spans="1:5" ht="15.6" customHeight="1" x14ac:dyDescent="0.25">
      <c r="A17" s="266">
        <v>2015</v>
      </c>
      <c r="B17" s="257" t="s">
        <v>2512</v>
      </c>
      <c r="C17" s="60">
        <f>COUNTIFS('Raw Annual DMR Data'!$B:$B,A17,'Raw Annual DMR Data'!$M:$M,B17)</f>
        <v>0</v>
      </c>
      <c r="D17" s="267" t="str">
        <f>IF(C17&gt;0,AVERAGEIFS('Raw Annual DMR Data'!$T:$T, 'Raw Annual DMR Data'!$B:$B,A17,'Raw Annual DMR Data'!$M:$M,B17), "There are no entries to calculate Generic Factor")</f>
        <v>There are no entries to calculate Generic Factor</v>
      </c>
      <c r="E17" s="57"/>
    </row>
    <row r="18" spans="1:5" ht="15.6" customHeight="1" x14ac:dyDescent="0.25">
      <c r="A18" s="266">
        <v>2015</v>
      </c>
      <c r="B18" s="258" t="s">
        <v>260</v>
      </c>
      <c r="C18" s="60">
        <f>COUNTIFS('Raw Annual DMR Data'!$B:$B,A18,'Raw Annual DMR Data'!$M:$M,B18)</f>
        <v>0</v>
      </c>
      <c r="D18" s="267" t="str">
        <f>IF(C18&gt;0,AVERAGEIFS('Raw Annual DMR Data'!$T:$T, 'Raw Annual DMR Data'!$B:$B,A18,'Raw Annual DMR Data'!$M:$M,B18), "There are no entries to calculate Generic Factor")</f>
        <v>There are no entries to calculate Generic Factor</v>
      </c>
      <c r="E18" s="57"/>
    </row>
    <row r="19" spans="1:5" ht="15.6" customHeight="1" x14ac:dyDescent="0.25">
      <c r="A19" s="266">
        <v>2015</v>
      </c>
      <c r="B19" s="258" t="s">
        <v>261</v>
      </c>
      <c r="C19" s="60">
        <f>COUNTIFS('Raw Annual DMR Data'!$B:$B,A19,'Raw Annual DMR Data'!$M:$M,B19)</f>
        <v>2</v>
      </c>
      <c r="D19" s="267">
        <f>IF(C19&gt;0,AVERAGEIFS('Raw Annual DMR Data'!$T:$T, 'Raw Annual DMR Data'!$B:$B,A19,'Raw Annual DMR Data'!$M:$M,B19), "There are no entries to calculate Generic Factor")</f>
        <v>0</v>
      </c>
      <c r="E19" s="57"/>
    </row>
    <row r="20" spans="1:5" ht="15.6" customHeight="1" x14ac:dyDescent="0.25">
      <c r="A20" s="266">
        <v>2015</v>
      </c>
      <c r="B20" s="258" t="s">
        <v>2514</v>
      </c>
      <c r="C20" s="60">
        <f>COUNTIFS('Raw Annual DMR Data'!$B:$B,A20,'Raw Annual DMR Data'!$M:$M,B20)</f>
        <v>0</v>
      </c>
      <c r="D20" s="267" t="str">
        <f>IF(C20&gt;0,AVERAGEIFS('Raw Annual DMR Data'!$T:$T, 'Raw Annual DMR Data'!$B:$B,A20,'Raw Annual DMR Data'!$M:$M,B20), "There are no entries to calculate Generic Factor")</f>
        <v>There are no entries to calculate Generic Factor</v>
      </c>
      <c r="E20" s="57"/>
    </row>
    <row r="21" spans="1:5" ht="15.6" customHeight="1" x14ac:dyDescent="0.25">
      <c r="A21" s="266">
        <v>2015</v>
      </c>
      <c r="B21" s="258" t="s">
        <v>262</v>
      </c>
      <c r="C21" s="60">
        <f>COUNTIFS('Raw Annual DMR Data'!$B:$B,A21,'Raw Annual DMR Data'!$M:$M,B21)</f>
        <v>0</v>
      </c>
      <c r="D21" s="267" t="str">
        <f>IF(C21&gt;0,AVERAGEIFS('Raw Annual DMR Data'!$T:$T, 'Raw Annual DMR Data'!$B:$B,A21,'Raw Annual DMR Data'!$M:$M,B21), "There are no entries to calculate Generic Factor")</f>
        <v>There are no entries to calculate Generic Factor</v>
      </c>
      <c r="E21" s="57"/>
    </row>
    <row r="22" spans="1:5" ht="15.6" customHeight="1" x14ac:dyDescent="0.25">
      <c r="A22" s="266">
        <v>2015</v>
      </c>
      <c r="B22" s="258" t="s">
        <v>263</v>
      </c>
      <c r="C22" s="60">
        <f>COUNTIFS('Raw Annual DMR Data'!$B:$B,A22,'Raw Annual DMR Data'!$M:$M,B22)</f>
        <v>36</v>
      </c>
      <c r="D22" s="267">
        <f>IF(C22&gt;0,AVERAGEIFS('Raw Annual DMR Data'!$T:$T, 'Raw Annual DMR Data'!$B:$B,A22,'Raw Annual DMR Data'!$M:$M,B22), "There are no entries to calculate Generic Factor")</f>
        <v>0</v>
      </c>
      <c r="E22" s="57"/>
    </row>
    <row r="23" spans="1:5" ht="15.6" customHeight="1" x14ac:dyDescent="0.25">
      <c r="A23" s="266">
        <v>2015</v>
      </c>
      <c r="B23" s="258" t="s">
        <v>264</v>
      </c>
      <c r="C23" s="60">
        <f>COUNTIFS('Raw Annual DMR Data'!$B:$B,A23,'Raw Annual DMR Data'!$M:$M,B23)</f>
        <v>9</v>
      </c>
      <c r="D23" s="267">
        <f>IF(C23&gt;0,AVERAGEIFS('Raw Annual DMR Data'!$T:$T, 'Raw Annual DMR Data'!$B:$B,A23,'Raw Annual DMR Data'!$M:$M,B23), "There are no entries to calculate Generic Factor")</f>
        <v>0</v>
      </c>
      <c r="E23" s="268"/>
    </row>
    <row r="24" spans="1:5" ht="15.6" customHeight="1" x14ac:dyDescent="0.25">
      <c r="A24" s="266">
        <v>2015</v>
      </c>
      <c r="B24" s="258" t="s">
        <v>265</v>
      </c>
      <c r="C24" s="60">
        <f>COUNTIFS('Raw Annual DMR Data'!$B:$B,A24,'Raw Annual DMR Data'!$M:$M,B24)</f>
        <v>62</v>
      </c>
      <c r="D24" s="267">
        <f>IF(C24&gt;0,AVERAGEIFS('Raw Annual DMR Data'!$T:$T, 'Raw Annual DMR Data'!$B:$B,A24,'Raw Annual DMR Data'!$M:$M,B24), "There are no entries to calculate Generic Factor")</f>
        <v>0</v>
      </c>
      <c r="E24" s="57"/>
    </row>
    <row r="25" spans="1:5" ht="15.6" customHeight="1" x14ac:dyDescent="0.25">
      <c r="A25" s="266">
        <v>2016</v>
      </c>
      <c r="B25" s="258" t="s">
        <v>251</v>
      </c>
      <c r="C25" s="60">
        <f>COUNTIFS('Raw Annual DMR Data'!$B:$B,A25,'Raw Annual DMR Data'!$M:$M,B25)</f>
        <v>21</v>
      </c>
      <c r="D25" s="267">
        <f>IF(C25&gt;0,AVERAGEIFS('Raw Annual DMR Data'!$T:$T, 'Raw Annual DMR Data'!$B:$B,A25,'Raw Annual DMR Data'!$M:$M,B25), "There are no entries to calculate Generic Factor")</f>
        <v>5.3940313809082499</v>
      </c>
      <c r="E25" s="57"/>
    </row>
    <row r="26" spans="1:5" ht="15.6" customHeight="1" x14ac:dyDescent="0.25">
      <c r="A26" s="266">
        <v>2016</v>
      </c>
      <c r="B26" s="258" t="s">
        <v>252</v>
      </c>
      <c r="C26" s="60">
        <f>COUNTIFS('Raw Annual DMR Data'!$B:$B,A26,'Raw Annual DMR Data'!$M:$M,B26)</f>
        <v>5</v>
      </c>
      <c r="D26" s="267">
        <f>IF(C26&gt;0,AVERAGEIFS('Raw Annual DMR Data'!$T:$T, 'Raw Annual DMR Data'!$B:$B,A26,'Raw Annual DMR Data'!$M:$M,B26), "There are no entries to calculate Generic Factor")</f>
        <v>0</v>
      </c>
      <c r="E26" s="57"/>
    </row>
    <row r="27" spans="1:5" ht="15.6" customHeight="1" x14ac:dyDescent="0.25">
      <c r="A27" s="266">
        <v>2016</v>
      </c>
      <c r="B27" s="258" t="s">
        <v>253</v>
      </c>
      <c r="C27" s="60">
        <f>COUNTIFS('Raw Annual DMR Data'!$B:$B,A27,'Raw Annual DMR Data'!$M:$M,B27)</f>
        <v>10</v>
      </c>
      <c r="D27" s="267">
        <f>IF(C27&gt;0,AVERAGEIFS('Raw Annual DMR Data'!$T:$T, 'Raw Annual DMR Data'!$B:$B,A27,'Raw Annual DMR Data'!$M:$M,B27), "There are no entries to calculate Generic Factor")</f>
        <v>0</v>
      </c>
      <c r="E27" s="57"/>
    </row>
    <row r="28" spans="1:5" ht="15.6" customHeight="1" x14ac:dyDescent="0.25">
      <c r="A28" s="266">
        <v>2016</v>
      </c>
      <c r="B28" s="258" t="s">
        <v>254</v>
      </c>
      <c r="C28" s="60">
        <f>COUNTIFS('Raw Annual DMR Data'!$B:$B,A28,'Raw Annual DMR Data'!$M:$M,B28)</f>
        <v>11</v>
      </c>
      <c r="D28" s="267">
        <f>IF(C28&gt;0,AVERAGEIFS('Raw Annual DMR Data'!$T:$T, 'Raw Annual DMR Data'!$B:$B,A28,'Raw Annual DMR Data'!$M:$M,B28), "There are no entries to calculate Generic Factor")</f>
        <v>0</v>
      </c>
      <c r="E28" s="57"/>
    </row>
    <row r="29" spans="1:5" ht="15.6" customHeight="1" x14ac:dyDescent="0.25">
      <c r="A29" s="266">
        <v>2016</v>
      </c>
      <c r="B29" s="258" t="s">
        <v>2502</v>
      </c>
      <c r="C29" s="60">
        <f>COUNTIFS('Raw Annual DMR Data'!$B:$B,A29,'Raw Annual DMR Data'!$M:$M,B29)</f>
        <v>0</v>
      </c>
      <c r="D29" s="267" t="str">
        <f>IF(C29&gt;0,AVERAGEIFS('Raw Annual DMR Data'!$T:$T, 'Raw Annual DMR Data'!$B:$B,A29,'Raw Annual DMR Data'!$M:$M,B29), "There are no entries to calculate Generic Factor")</f>
        <v>There are no entries to calculate Generic Factor</v>
      </c>
      <c r="E29" s="57"/>
    </row>
    <row r="30" spans="1:5" ht="15.6" customHeight="1" x14ac:dyDescent="0.25">
      <c r="A30" s="266">
        <v>2016</v>
      </c>
      <c r="B30" s="258" t="s">
        <v>255</v>
      </c>
      <c r="C30" s="60">
        <f>COUNTIFS('Raw Annual DMR Data'!$B:$B,A30,'Raw Annual DMR Data'!$M:$M,B30)</f>
        <v>0</v>
      </c>
      <c r="D30" s="267" t="str">
        <f>IF(C30&gt;0,AVERAGEIFS('Raw Annual DMR Data'!$T:$T, 'Raw Annual DMR Data'!$B:$B,A30,'Raw Annual DMR Data'!$M:$M,B30), "There are no entries to calculate Generic Factor")</f>
        <v>There are no entries to calculate Generic Factor</v>
      </c>
      <c r="E30" s="57"/>
    </row>
    <row r="31" spans="1:5" ht="15.6" customHeight="1" x14ac:dyDescent="0.25">
      <c r="A31" s="266">
        <v>2016</v>
      </c>
      <c r="B31" s="258" t="s">
        <v>2504</v>
      </c>
      <c r="C31" s="60">
        <f>COUNTIFS('Raw Annual DMR Data'!$B:$B,A31,'Raw Annual DMR Data'!$M:$M,B31)</f>
        <v>0</v>
      </c>
      <c r="D31" s="267" t="str">
        <f>IF(C31&gt;0,AVERAGEIFS('Raw Annual DMR Data'!$T:$T, 'Raw Annual DMR Data'!$B:$B,A31,'Raw Annual DMR Data'!$M:$M,B31), "There are no entries to calculate Generic Factor")</f>
        <v>There are no entries to calculate Generic Factor</v>
      </c>
      <c r="E31" s="57"/>
    </row>
    <row r="32" spans="1:5" ht="15.6" customHeight="1" x14ac:dyDescent="0.25">
      <c r="A32" s="266">
        <v>2016</v>
      </c>
      <c r="B32" s="258" t="s">
        <v>256</v>
      </c>
      <c r="C32" s="60">
        <f>COUNTIFS('Raw Annual DMR Data'!$B:$B,A32,'Raw Annual DMR Data'!$M:$M,B32)</f>
        <v>0</v>
      </c>
      <c r="D32" s="267" t="str">
        <f>IF(C32&gt;0,AVERAGEIFS('Raw Annual DMR Data'!$T:$T, 'Raw Annual DMR Data'!$B:$B,A32,'Raw Annual DMR Data'!$M:$M,B32), "There are no entries to calculate Generic Factor")</f>
        <v>There are no entries to calculate Generic Factor</v>
      </c>
      <c r="E32" s="57"/>
    </row>
    <row r="33" spans="1:5" ht="15.6" customHeight="1" x14ac:dyDescent="0.25">
      <c r="A33" s="266">
        <v>2016</v>
      </c>
      <c r="B33" s="258" t="s">
        <v>2507</v>
      </c>
      <c r="C33" s="60">
        <f>COUNTIFS('Raw Annual DMR Data'!$B:$B,A33,'Raw Annual DMR Data'!$M:$M,B33)</f>
        <v>0</v>
      </c>
      <c r="D33" s="267" t="str">
        <f>IF(C33&gt;0,AVERAGEIFS('Raw Annual DMR Data'!$T:$T, 'Raw Annual DMR Data'!$B:$B,A33,'Raw Annual DMR Data'!$M:$M,B33), "There are no entries to calculate Generic Factor")</f>
        <v>There are no entries to calculate Generic Factor</v>
      </c>
      <c r="E33" s="57"/>
    </row>
    <row r="34" spans="1:5" ht="15.6" customHeight="1" x14ac:dyDescent="0.25">
      <c r="A34" s="266">
        <v>2016</v>
      </c>
      <c r="B34" s="258" t="s">
        <v>2508</v>
      </c>
      <c r="C34" s="60">
        <f>COUNTIFS('Raw Annual DMR Data'!$B:$B,A34,'Raw Annual DMR Data'!$M:$M,B34)</f>
        <v>0</v>
      </c>
      <c r="D34" s="267" t="str">
        <f>IF(C34&gt;0,AVERAGEIFS('Raw Annual DMR Data'!$T:$T, 'Raw Annual DMR Data'!$B:$B,A34,'Raw Annual DMR Data'!$M:$M,B34), "There are no entries to calculate Generic Factor")</f>
        <v>There are no entries to calculate Generic Factor</v>
      </c>
      <c r="E34" s="57"/>
    </row>
    <row r="35" spans="1:5" ht="15.6" customHeight="1" x14ac:dyDescent="0.25">
      <c r="A35" s="266">
        <v>2016</v>
      </c>
      <c r="B35" s="258" t="s">
        <v>2509</v>
      </c>
      <c r="C35" s="60">
        <f>COUNTIFS('Raw Annual DMR Data'!$B:$B,A35,'Raw Annual DMR Data'!$M:$M,B35)</f>
        <v>0</v>
      </c>
      <c r="D35" s="267" t="str">
        <f>IF(C35&gt;0,AVERAGEIFS('Raw Annual DMR Data'!$T:$T, 'Raw Annual DMR Data'!$B:$B,A35,'Raw Annual DMR Data'!$M:$M,B35), "There are no entries to calculate Generic Factor")</f>
        <v>There are no entries to calculate Generic Factor</v>
      </c>
      <c r="E35" s="57"/>
    </row>
    <row r="36" spans="1:5" ht="15.6" customHeight="1" x14ac:dyDescent="0.25">
      <c r="A36" s="266">
        <v>2016</v>
      </c>
      <c r="B36" s="258" t="s">
        <v>258</v>
      </c>
      <c r="C36" s="60">
        <f>COUNTIFS('Raw Annual DMR Data'!$B:$B,A36,'Raw Annual DMR Data'!$M:$M,B36)</f>
        <v>0</v>
      </c>
      <c r="D36" s="267" t="str">
        <f>IF(C36&gt;0,AVERAGEIFS('Raw Annual DMR Data'!$T:$T, 'Raw Annual DMR Data'!$B:$B,A36,'Raw Annual DMR Data'!$M:$M,B36), "There are no entries to calculate Generic Factor")</f>
        <v>There are no entries to calculate Generic Factor</v>
      </c>
      <c r="E36" s="57"/>
    </row>
    <row r="37" spans="1:5" ht="15.6" customHeight="1" x14ac:dyDescent="0.25">
      <c r="A37" s="266">
        <v>2016</v>
      </c>
      <c r="B37" s="258" t="s">
        <v>259</v>
      </c>
      <c r="C37" s="60">
        <f>COUNTIFS('Raw Annual DMR Data'!$B:$B,A37,'Raw Annual DMR Data'!$M:$M,B37)</f>
        <v>0</v>
      </c>
      <c r="D37" s="267" t="str">
        <f>IF(C37&gt;0,AVERAGEIFS('Raw Annual DMR Data'!$T:$T, 'Raw Annual DMR Data'!$B:$B,A37,'Raw Annual DMR Data'!$M:$M,B37), "There are no entries to calculate Generic Factor")</f>
        <v>There are no entries to calculate Generic Factor</v>
      </c>
      <c r="E37" s="57"/>
    </row>
    <row r="38" spans="1:5" ht="15.6" customHeight="1" x14ac:dyDescent="0.25">
      <c r="A38" s="266">
        <v>2016</v>
      </c>
      <c r="B38" s="258" t="s">
        <v>2510</v>
      </c>
      <c r="C38" s="60">
        <f>COUNTIFS('Raw Annual DMR Data'!$B:$B,A38,'Raw Annual DMR Data'!$M:$M,B38)</f>
        <v>0</v>
      </c>
      <c r="D38" s="267" t="str">
        <f>IF(C38&gt;0,AVERAGEIFS('Raw Annual DMR Data'!$T:$T, 'Raw Annual DMR Data'!$B:$B,A38,'Raw Annual DMR Data'!$M:$M,B38), "There are no entries to calculate Generic Factor")</f>
        <v>There are no entries to calculate Generic Factor</v>
      </c>
      <c r="E38" s="57"/>
    </row>
    <row r="39" spans="1:5" ht="15.6" customHeight="1" x14ac:dyDescent="0.25">
      <c r="A39" s="266">
        <v>2016</v>
      </c>
      <c r="B39" s="257" t="s">
        <v>2511</v>
      </c>
      <c r="C39" s="60">
        <f>COUNTIFS('Raw Annual DMR Data'!$B:$B,A39,'Raw Annual DMR Data'!$M:$M,B39)</f>
        <v>0</v>
      </c>
      <c r="D39" s="267" t="str">
        <f>IF(C39&gt;0,AVERAGEIFS('Raw Annual DMR Data'!$T:$T, 'Raw Annual DMR Data'!$B:$B,A39,'Raw Annual DMR Data'!$M:$M,B39), "There are no entries to calculate Generic Factor")</f>
        <v>There are no entries to calculate Generic Factor</v>
      </c>
      <c r="E39" s="57"/>
    </row>
    <row r="40" spans="1:5" ht="15.6" customHeight="1" x14ac:dyDescent="0.25">
      <c r="A40" s="266">
        <v>2016</v>
      </c>
      <c r="B40" s="257" t="s">
        <v>2512</v>
      </c>
      <c r="C40" s="60">
        <f>COUNTIFS('Raw Annual DMR Data'!$B:$B,A40,'Raw Annual DMR Data'!$M:$M,B40)</f>
        <v>0</v>
      </c>
      <c r="D40" s="267" t="str">
        <f>IF(C40&gt;0,AVERAGEIFS('Raw Annual DMR Data'!$T:$T, 'Raw Annual DMR Data'!$B:$B,A40,'Raw Annual DMR Data'!$M:$M,B40), "There are no entries to calculate Generic Factor")</f>
        <v>There are no entries to calculate Generic Factor</v>
      </c>
      <c r="E40" s="57"/>
    </row>
    <row r="41" spans="1:5" ht="15.6" customHeight="1" x14ac:dyDescent="0.25">
      <c r="A41" s="266">
        <v>2016</v>
      </c>
      <c r="B41" s="258" t="s">
        <v>260</v>
      </c>
      <c r="C41" s="60">
        <f>COUNTIFS('Raw Annual DMR Data'!$B:$B,A41,'Raw Annual DMR Data'!$M:$M,B41)</f>
        <v>0</v>
      </c>
      <c r="D41" s="267" t="str">
        <f>IF(C41&gt;0,AVERAGEIFS('Raw Annual DMR Data'!$T:$T, 'Raw Annual DMR Data'!$B:$B,A41,'Raw Annual DMR Data'!$M:$M,B41), "There are no entries to calculate Generic Factor")</f>
        <v>There are no entries to calculate Generic Factor</v>
      </c>
      <c r="E41" s="57"/>
    </row>
    <row r="42" spans="1:5" ht="15.6" customHeight="1" x14ac:dyDescent="0.25">
      <c r="A42" s="266">
        <v>2016</v>
      </c>
      <c r="B42" s="258" t="s">
        <v>261</v>
      </c>
      <c r="C42" s="60">
        <f>COUNTIFS('Raw Annual DMR Data'!$B:$B,A42,'Raw Annual DMR Data'!$M:$M,B42)</f>
        <v>1</v>
      </c>
      <c r="D42" s="267">
        <f>IF(C42&gt;0,AVERAGEIFS('Raw Annual DMR Data'!$T:$T, 'Raw Annual DMR Data'!$B:$B,A42,'Raw Annual DMR Data'!$M:$M,B42), "There are no entries to calculate Generic Factor")</f>
        <v>0</v>
      </c>
      <c r="E42" s="57"/>
    </row>
    <row r="43" spans="1:5" ht="15.6" customHeight="1" x14ac:dyDescent="0.25">
      <c r="A43" s="266">
        <v>2016</v>
      </c>
      <c r="B43" s="258" t="s">
        <v>2514</v>
      </c>
      <c r="C43" s="60">
        <f>COUNTIFS('Raw Annual DMR Data'!$B:$B,A43,'Raw Annual DMR Data'!$M:$M,B43)</f>
        <v>0</v>
      </c>
      <c r="D43" s="267" t="str">
        <f>IF(C43&gt;0,AVERAGEIFS('Raw Annual DMR Data'!$T:$T, 'Raw Annual DMR Data'!$B:$B,A43,'Raw Annual DMR Data'!$M:$M,B43), "There are no entries to calculate Generic Factor")</f>
        <v>There are no entries to calculate Generic Factor</v>
      </c>
      <c r="E43" s="57"/>
    </row>
    <row r="44" spans="1:5" ht="15.6" customHeight="1" x14ac:dyDescent="0.25">
      <c r="A44" s="266">
        <v>2016</v>
      </c>
      <c r="B44" s="258" t="s">
        <v>262</v>
      </c>
      <c r="C44" s="60">
        <f>COUNTIFS('Raw Annual DMR Data'!$B:$B,A44,'Raw Annual DMR Data'!$M:$M,B44)</f>
        <v>0</v>
      </c>
      <c r="D44" s="267" t="str">
        <f>IF(C44&gt;0,AVERAGEIFS('Raw Annual DMR Data'!$T:$T, 'Raw Annual DMR Data'!$B:$B,A44,'Raw Annual DMR Data'!$M:$M,B44), "There are no entries to calculate Generic Factor")</f>
        <v>There are no entries to calculate Generic Factor</v>
      </c>
      <c r="E44" s="57"/>
    </row>
    <row r="45" spans="1:5" ht="15.6" customHeight="1" x14ac:dyDescent="0.25">
      <c r="A45" s="266">
        <v>2016</v>
      </c>
      <c r="B45" s="258" t="s">
        <v>263</v>
      </c>
      <c r="C45" s="60">
        <f>COUNTIFS('Raw Annual DMR Data'!$B:$B,A45,'Raw Annual DMR Data'!$M:$M,B45)</f>
        <v>47</v>
      </c>
      <c r="D45" s="267">
        <f>IF(C45&gt;0,AVERAGEIFS('Raw Annual DMR Data'!$T:$T, 'Raw Annual DMR Data'!$B:$B,A45,'Raw Annual DMR Data'!$M:$M,B45), "There are no entries to calculate Generic Factor")</f>
        <v>0</v>
      </c>
      <c r="E45" s="57"/>
    </row>
    <row r="46" spans="1:5" ht="15.6" customHeight="1" x14ac:dyDescent="0.25">
      <c r="A46" s="266">
        <v>2016</v>
      </c>
      <c r="B46" s="258" t="s">
        <v>264</v>
      </c>
      <c r="C46" s="60">
        <f>COUNTIFS('Raw Annual DMR Data'!$B:$B,A46,'Raw Annual DMR Data'!$M:$M,B46)</f>
        <v>19</v>
      </c>
      <c r="D46" s="267">
        <f>IF(C46&gt;0,AVERAGEIFS('Raw Annual DMR Data'!$T:$T, 'Raw Annual DMR Data'!$B:$B,A46,'Raw Annual DMR Data'!$M:$M,B46), "There are no entries to calculate Generic Factor")</f>
        <v>0</v>
      </c>
      <c r="E46" s="57"/>
    </row>
    <row r="47" spans="1:5" ht="15.6" customHeight="1" x14ac:dyDescent="0.25">
      <c r="A47" s="266">
        <v>2016</v>
      </c>
      <c r="B47" s="258" t="s">
        <v>265</v>
      </c>
      <c r="C47" s="60">
        <f>COUNTIFS('Raw Annual DMR Data'!$B:$B,A47,'Raw Annual DMR Data'!$M:$M,B47)</f>
        <v>85</v>
      </c>
      <c r="D47" s="267">
        <f>IF(C47&gt;0,AVERAGEIFS('Raw Annual DMR Data'!$T:$T, 'Raw Annual DMR Data'!$B:$B,A47,'Raw Annual DMR Data'!$M:$M,B47), "There are no entries to calculate Generic Factor")</f>
        <v>0</v>
      </c>
      <c r="E47" s="57"/>
    </row>
    <row r="48" spans="1:5" ht="15.6" customHeight="1" x14ac:dyDescent="0.25">
      <c r="A48" s="266">
        <v>2017</v>
      </c>
      <c r="B48" s="258" t="s">
        <v>251</v>
      </c>
      <c r="C48" s="60">
        <f>COUNTIFS('Raw Annual DMR Data'!$B:$B,A48,'Raw Annual DMR Data'!$M:$M,B48)</f>
        <v>29</v>
      </c>
      <c r="D48" s="267">
        <f>IF(C48&gt;0,AVERAGEIFS('Raw Annual DMR Data'!$T:$T, 'Raw Annual DMR Data'!$B:$B,A48,'Raw Annual DMR Data'!$M:$M,B48), "There are no entries to calculate Generic Factor")</f>
        <v>4.2865301144334813</v>
      </c>
      <c r="E48" s="57"/>
    </row>
    <row r="49" spans="1:5" ht="15.6" customHeight="1" x14ac:dyDescent="0.25">
      <c r="A49" s="266">
        <v>2017</v>
      </c>
      <c r="B49" s="258" t="s">
        <v>252</v>
      </c>
      <c r="C49" s="60">
        <f>COUNTIFS('Raw Annual DMR Data'!$B:$B,A49,'Raw Annual DMR Data'!$M:$M,B49)</f>
        <v>7</v>
      </c>
      <c r="D49" s="267">
        <f>IF(C49&gt;0,AVERAGEIFS('Raw Annual DMR Data'!$T:$T, 'Raw Annual DMR Data'!$B:$B,A49,'Raw Annual DMR Data'!$M:$M,B49), "There are no entries to calculate Generic Factor")</f>
        <v>0</v>
      </c>
      <c r="E49" s="57"/>
    </row>
    <row r="50" spans="1:5" ht="15.6" customHeight="1" x14ac:dyDescent="0.25">
      <c r="A50" s="266">
        <v>2017</v>
      </c>
      <c r="B50" s="258" t="s">
        <v>253</v>
      </c>
      <c r="C50" s="60">
        <f>COUNTIFS('Raw Annual DMR Data'!$B:$B,A50,'Raw Annual DMR Data'!$M:$M,B50)</f>
        <v>13</v>
      </c>
      <c r="D50" s="267">
        <f>IF(C50&gt;0,AVERAGEIFS('Raw Annual DMR Data'!$T:$T, 'Raw Annual DMR Data'!$B:$B,A50,'Raw Annual DMR Data'!$M:$M,B50), "There are no entries to calculate Generic Factor")</f>
        <v>0</v>
      </c>
      <c r="E50" s="57"/>
    </row>
    <row r="51" spans="1:5" ht="15.6" customHeight="1" x14ac:dyDescent="0.25">
      <c r="A51" s="266">
        <v>2017</v>
      </c>
      <c r="B51" s="258" t="s">
        <v>254</v>
      </c>
      <c r="C51" s="60">
        <f>COUNTIFS('Raw Annual DMR Data'!$B:$B,A51,'Raw Annual DMR Data'!$M:$M,B51)</f>
        <v>15</v>
      </c>
      <c r="D51" s="267">
        <f>IF(C51&gt;0,AVERAGEIFS('Raw Annual DMR Data'!$T:$T, 'Raw Annual DMR Data'!$B:$B,A51,'Raw Annual DMR Data'!$M:$M,B51), "There are no entries to calculate Generic Factor")</f>
        <v>0</v>
      </c>
      <c r="E51" s="57"/>
    </row>
    <row r="52" spans="1:5" ht="15.6" customHeight="1" x14ac:dyDescent="0.25">
      <c r="A52" s="266">
        <v>2017</v>
      </c>
      <c r="B52" s="258" t="s">
        <v>2502</v>
      </c>
      <c r="C52" s="60">
        <f>COUNTIFS('Raw Annual DMR Data'!$B:$B,A52,'Raw Annual DMR Data'!$M:$M,B52)</f>
        <v>0</v>
      </c>
      <c r="D52" s="267" t="str">
        <f>IF(C52&gt;0,AVERAGEIFS('Raw Annual DMR Data'!$T:$T, 'Raw Annual DMR Data'!$B:$B,A52,'Raw Annual DMR Data'!$M:$M,B52), "There are no entries to calculate Generic Factor")</f>
        <v>There are no entries to calculate Generic Factor</v>
      </c>
      <c r="E52" s="57"/>
    </row>
    <row r="53" spans="1:5" ht="15.6" customHeight="1" x14ac:dyDescent="0.25">
      <c r="A53" s="266">
        <v>2017</v>
      </c>
      <c r="B53" s="258" t="s">
        <v>255</v>
      </c>
      <c r="C53" s="60">
        <f>COUNTIFS('Raw Annual DMR Data'!$B:$B,A53,'Raw Annual DMR Data'!$M:$M,B53)</f>
        <v>0</v>
      </c>
      <c r="D53" s="267" t="str">
        <f>IF(C53&gt;0,AVERAGEIFS('Raw Annual DMR Data'!$T:$T, 'Raw Annual DMR Data'!$B:$B,A53,'Raw Annual DMR Data'!$M:$M,B53), "There are no entries to calculate Generic Factor")</f>
        <v>There are no entries to calculate Generic Factor</v>
      </c>
      <c r="E53" s="57"/>
    </row>
    <row r="54" spans="1:5" ht="15.6" customHeight="1" x14ac:dyDescent="0.25">
      <c r="A54" s="266">
        <v>2017</v>
      </c>
      <c r="B54" s="258" t="s">
        <v>2504</v>
      </c>
      <c r="C54" s="60">
        <f>COUNTIFS('Raw Annual DMR Data'!$B:$B,A54,'Raw Annual DMR Data'!$M:$M,B54)</f>
        <v>0</v>
      </c>
      <c r="D54" s="267" t="str">
        <f>IF(C54&gt;0,AVERAGEIFS('Raw Annual DMR Data'!$T:$T, 'Raw Annual DMR Data'!$B:$B,A54,'Raw Annual DMR Data'!$M:$M,B54), "There are no entries to calculate Generic Factor")</f>
        <v>There are no entries to calculate Generic Factor</v>
      </c>
      <c r="E54" s="57"/>
    </row>
    <row r="55" spans="1:5" ht="15.6" customHeight="1" x14ac:dyDescent="0.25">
      <c r="A55" s="266">
        <v>2017</v>
      </c>
      <c r="B55" s="258" t="s">
        <v>256</v>
      </c>
      <c r="C55" s="60">
        <f>COUNTIFS('Raw Annual DMR Data'!$B:$B,A55,'Raw Annual DMR Data'!$M:$M,B55)</f>
        <v>0</v>
      </c>
      <c r="D55" s="267" t="str">
        <f>IF(C55&gt;0,AVERAGEIFS('Raw Annual DMR Data'!$T:$T, 'Raw Annual DMR Data'!$B:$B,A55,'Raw Annual DMR Data'!$M:$M,B55), "There are no entries to calculate Generic Factor")</f>
        <v>There are no entries to calculate Generic Factor</v>
      </c>
      <c r="E55" s="57"/>
    </row>
    <row r="56" spans="1:5" ht="15.6" customHeight="1" x14ac:dyDescent="0.25">
      <c r="A56" s="266">
        <v>2017</v>
      </c>
      <c r="B56" s="258" t="s">
        <v>2507</v>
      </c>
      <c r="C56" s="60">
        <f>COUNTIFS('Raw Annual DMR Data'!$B:$B,A56,'Raw Annual DMR Data'!$M:$M,B56)</f>
        <v>0</v>
      </c>
      <c r="D56" s="267" t="str">
        <f>IF(C56&gt;0,AVERAGEIFS('Raw Annual DMR Data'!$T:$T, 'Raw Annual DMR Data'!$B:$B,A56,'Raw Annual DMR Data'!$M:$M,B56), "There are no entries to calculate Generic Factor")</f>
        <v>There are no entries to calculate Generic Factor</v>
      </c>
      <c r="E56" s="57"/>
    </row>
    <row r="57" spans="1:5" ht="15.6" customHeight="1" x14ac:dyDescent="0.25">
      <c r="A57" s="266">
        <v>2017</v>
      </c>
      <c r="B57" s="258" t="s">
        <v>2508</v>
      </c>
      <c r="C57" s="60">
        <f>COUNTIFS('Raw Annual DMR Data'!$B:$B,A57,'Raw Annual DMR Data'!$M:$M,B57)</f>
        <v>0</v>
      </c>
      <c r="D57" s="267" t="str">
        <f>IF(C57&gt;0,AVERAGEIFS('Raw Annual DMR Data'!$T:$T, 'Raw Annual DMR Data'!$B:$B,A57,'Raw Annual DMR Data'!$M:$M,B57), "There are no entries to calculate Generic Factor")</f>
        <v>There are no entries to calculate Generic Factor</v>
      </c>
      <c r="E57" s="57"/>
    </row>
    <row r="58" spans="1:5" ht="15.6" customHeight="1" x14ac:dyDescent="0.25">
      <c r="A58" s="266">
        <v>2017</v>
      </c>
      <c r="B58" s="258" t="s">
        <v>2509</v>
      </c>
      <c r="C58" s="60">
        <f>COUNTIFS('Raw Annual DMR Data'!$B:$B,A58,'Raw Annual DMR Data'!$M:$M,B58)</f>
        <v>0</v>
      </c>
      <c r="D58" s="267" t="str">
        <f>IF(C58&gt;0,AVERAGEIFS('Raw Annual DMR Data'!$T:$T, 'Raw Annual DMR Data'!$B:$B,A58,'Raw Annual DMR Data'!$M:$M,B58), "There are no entries to calculate Generic Factor")</f>
        <v>There are no entries to calculate Generic Factor</v>
      </c>
      <c r="E58" s="57"/>
    </row>
    <row r="59" spans="1:5" ht="15.6" customHeight="1" x14ac:dyDescent="0.25">
      <c r="A59" s="266">
        <v>2017</v>
      </c>
      <c r="B59" s="258" t="s">
        <v>258</v>
      </c>
      <c r="C59" s="60">
        <f>COUNTIFS('Raw Annual DMR Data'!$B:$B,A59,'Raw Annual DMR Data'!$M:$M,B59)</f>
        <v>0</v>
      </c>
      <c r="D59" s="267" t="str">
        <f>IF(C59&gt;0,AVERAGEIFS('Raw Annual DMR Data'!$T:$T, 'Raw Annual DMR Data'!$B:$B,A59,'Raw Annual DMR Data'!$M:$M,B59), "There are no entries to calculate Generic Factor")</f>
        <v>There are no entries to calculate Generic Factor</v>
      </c>
      <c r="E59" s="57"/>
    </row>
    <row r="60" spans="1:5" ht="15.6" customHeight="1" x14ac:dyDescent="0.25">
      <c r="A60" s="266">
        <v>2017</v>
      </c>
      <c r="B60" s="258" t="s">
        <v>259</v>
      </c>
      <c r="C60" s="60">
        <f>COUNTIFS('Raw Annual DMR Data'!$B:$B,A60,'Raw Annual DMR Data'!$M:$M,B60)</f>
        <v>3</v>
      </c>
      <c r="D60" s="267">
        <f>IF(C60&gt;0,AVERAGEIFS('Raw Annual DMR Data'!$T:$T, 'Raw Annual DMR Data'!$B:$B,A60,'Raw Annual DMR Data'!$M:$M,B60), "There are no entries to calculate Generic Factor")</f>
        <v>0</v>
      </c>
      <c r="E60" s="57"/>
    </row>
    <row r="61" spans="1:5" ht="15.6" customHeight="1" x14ac:dyDescent="0.25">
      <c r="A61" s="266">
        <v>2017</v>
      </c>
      <c r="B61" s="258" t="s">
        <v>2510</v>
      </c>
      <c r="C61" s="60">
        <f>COUNTIFS('Raw Annual DMR Data'!$B:$B,A61,'Raw Annual DMR Data'!$M:$M,B61)</f>
        <v>0</v>
      </c>
      <c r="D61" s="267" t="str">
        <f>IF(C61&gt;0,AVERAGEIFS('Raw Annual DMR Data'!$T:$T, 'Raw Annual DMR Data'!$B:$B,A61,'Raw Annual DMR Data'!$M:$M,B61), "There are no entries to calculate Generic Factor")</f>
        <v>There are no entries to calculate Generic Factor</v>
      </c>
      <c r="E61" s="57"/>
    </row>
    <row r="62" spans="1:5" ht="15.6" customHeight="1" x14ac:dyDescent="0.25">
      <c r="A62" s="266">
        <v>2017</v>
      </c>
      <c r="B62" s="257" t="s">
        <v>2511</v>
      </c>
      <c r="C62" s="60">
        <f>COUNTIFS('Raw Annual DMR Data'!$B:$B,A62,'Raw Annual DMR Data'!$M:$M,B62)</f>
        <v>0</v>
      </c>
      <c r="D62" s="267" t="str">
        <f>IF(C62&gt;0,AVERAGEIFS('Raw Annual DMR Data'!$T:$T, 'Raw Annual DMR Data'!$B:$B,A62,'Raw Annual DMR Data'!$M:$M,B62), "There are no entries to calculate Generic Factor")</f>
        <v>There are no entries to calculate Generic Factor</v>
      </c>
      <c r="E62" s="57"/>
    </row>
    <row r="63" spans="1:5" ht="15.6" customHeight="1" x14ac:dyDescent="0.25">
      <c r="A63" s="266">
        <v>2017</v>
      </c>
      <c r="B63" s="257" t="s">
        <v>2512</v>
      </c>
      <c r="C63" s="60">
        <f>COUNTIFS('Raw Annual DMR Data'!$B:$B,A63,'Raw Annual DMR Data'!$M:$M,B63)</f>
        <v>0</v>
      </c>
      <c r="D63" s="267" t="str">
        <f>IF(C63&gt;0,AVERAGEIFS('Raw Annual DMR Data'!$T:$T, 'Raw Annual DMR Data'!$B:$B,A63,'Raw Annual DMR Data'!$M:$M,B63), "There are no entries to calculate Generic Factor")</f>
        <v>There are no entries to calculate Generic Factor</v>
      </c>
      <c r="E63" s="57"/>
    </row>
    <row r="64" spans="1:5" ht="15.6" customHeight="1" x14ac:dyDescent="0.25">
      <c r="A64" s="266">
        <v>2017</v>
      </c>
      <c r="B64" s="258" t="s">
        <v>260</v>
      </c>
      <c r="C64" s="60">
        <f>COUNTIFS('Raw Annual DMR Data'!$B:$B,A64,'Raw Annual DMR Data'!$M:$M,B64)</f>
        <v>1</v>
      </c>
      <c r="D64" s="267">
        <f>IF(C64&gt;0,AVERAGEIFS('Raw Annual DMR Data'!$T:$T, 'Raw Annual DMR Data'!$B:$B,A64,'Raw Annual DMR Data'!$M:$M,B64), "There are no entries to calculate Generic Factor")</f>
        <v>0</v>
      </c>
      <c r="E64" s="57"/>
    </row>
    <row r="65" spans="1:5" ht="15.6" customHeight="1" x14ac:dyDescent="0.25">
      <c r="A65" s="266">
        <v>2017</v>
      </c>
      <c r="B65" s="258" t="s">
        <v>261</v>
      </c>
      <c r="C65" s="60">
        <f>COUNTIFS('Raw Annual DMR Data'!$B:$B,A65,'Raw Annual DMR Data'!$M:$M,B65)</f>
        <v>3</v>
      </c>
      <c r="D65" s="267">
        <f>IF(C65&gt;0,AVERAGEIFS('Raw Annual DMR Data'!$T:$T, 'Raw Annual DMR Data'!$B:$B,A65,'Raw Annual DMR Data'!$M:$M,B65), "There are no entries to calculate Generic Factor")</f>
        <v>0</v>
      </c>
      <c r="E65" s="57"/>
    </row>
    <row r="66" spans="1:5" ht="15.6" customHeight="1" x14ac:dyDescent="0.25">
      <c r="A66" s="266">
        <v>2017</v>
      </c>
      <c r="B66" s="258" t="s">
        <v>2514</v>
      </c>
      <c r="C66" s="60">
        <f>COUNTIFS('Raw Annual DMR Data'!$B:$B,A66,'Raw Annual DMR Data'!$M:$M,B66)</f>
        <v>0</v>
      </c>
      <c r="D66" s="267" t="str">
        <f>IF(C66&gt;0,AVERAGEIFS('Raw Annual DMR Data'!$T:$T, 'Raw Annual DMR Data'!$B:$B,A66,'Raw Annual DMR Data'!$M:$M,B66), "There are no entries to calculate Generic Factor")</f>
        <v>There are no entries to calculate Generic Factor</v>
      </c>
      <c r="E66" s="57"/>
    </row>
    <row r="67" spans="1:5" ht="15.6" customHeight="1" x14ac:dyDescent="0.25">
      <c r="A67" s="266">
        <v>2017</v>
      </c>
      <c r="B67" s="258" t="s">
        <v>262</v>
      </c>
      <c r="C67" s="60">
        <f>COUNTIFS('Raw Annual DMR Data'!$B:$B,A67,'Raw Annual DMR Data'!$M:$M,B67)</f>
        <v>0</v>
      </c>
      <c r="D67" s="267" t="str">
        <f>IF(C67&gt;0,AVERAGEIFS('Raw Annual DMR Data'!$T:$T, 'Raw Annual DMR Data'!$B:$B,A67,'Raw Annual DMR Data'!$M:$M,B67), "There are no entries to calculate Generic Factor")</f>
        <v>There are no entries to calculate Generic Factor</v>
      </c>
      <c r="E67" s="57"/>
    </row>
    <row r="68" spans="1:5" ht="15.6" customHeight="1" x14ac:dyDescent="0.25">
      <c r="A68" s="266">
        <v>2017</v>
      </c>
      <c r="B68" s="258" t="s">
        <v>263</v>
      </c>
      <c r="C68" s="60">
        <f>COUNTIFS('Raw Annual DMR Data'!$B:$B,A68,'Raw Annual DMR Data'!$M:$M,B68)</f>
        <v>55</v>
      </c>
      <c r="D68" s="267">
        <f>IF(C68&gt;0,AVERAGEIFS('Raw Annual DMR Data'!$T:$T, 'Raw Annual DMR Data'!$B:$B,A68,'Raw Annual DMR Data'!$M:$M,B68), "There are no entries to calculate Generic Factor")</f>
        <v>0</v>
      </c>
      <c r="E68" s="57"/>
    </row>
    <row r="69" spans="1:5" ht="15.6" customHeight="1" x14ac:dyDescent="0.25">
      <c r="A69" s="266">
        <v>2017</v>
      </c>
      <c r="B69" s="258" t="s">
        <v>264</v>
      </c>
      <c r="C69" s="60">
        <f>COUNTIFS('Raw Annual DMR Data'!$B:$B,A69,'Raw Annual DMR Data'!$M:$M,B69)</f>
        <v>17</v>
      </c>
      <c r="D69" s="267">
        <f>IF(C69&gt;0,AVERAGEIFS('Raw Annual DMR Data'!$T:$T, 'Raw Annual DMR Data'!$B:$B,A69,'Raw Annual DMR Data'!$M:$M,B69), "There are no entries to calculate Generic Factor")</f>
        <v>0</v>
      </c>
      <c r="E69" s="57"/>
    </row>
    <row r="70" spans="1:5" ht="15.6" customHeight="1" x14ac:dyDescent="0.25">
      <c r="A70" s="266">
        <v>2017</v>
      </c>
      <c r="B70" s="258" t="s">
        <v>265</v>
      </c>
      <c r="C70" s="60">
        <f>COUNTIFS('Raw Annual DMR Data'!$B:$B,A70,'Raw Annual DMR Data'!$M:$M,B70)</f>
        <v>78</v>
      </c>
      <c r="D70" s="267">
        <f>IF(C70&gt;0,AVERAGEIFS('Raw Annual DMR Data'!$T:$T, 'Raw Annual DMR Data'!$B:$B,A70,'Raw Annual DMR Data'!$M:$M,B70), "There are no entries to calculate Generic Factor")</f>
        <v>0</v>
      </c>
      <c r="E70" s="57"/>
    </row>
    <row r="71" spans="1:5" ht="15.6" customHeight="1" x14ac:dyDescent="0.25">
      <c r="A71" s="266">
        <v>2018</v>
      </c>
      <c r="B71" s="258" t="s">
        <v>251</v>
      </c>
      <c r="C71" s="60">
        <f>COUNTIFS('Raw Annual DMR Data'!$B:$B,A71,'Raw Annual DMR Data'!$M:$M,B71)</f>
        <v>24</v>
      </c>
      <c r="D71" s="267">
        <f>IF(C71&gt;0,AVERAGEIFS('Raw Annual DMR Data'!$T:$T, 'Raw Annual DMR Data'!$B:$B,A71,'Raw Annual DMR Data'!$M:$M,B71), "There are no entries to calculate Generic Factor")</f>
        <v>1.6552166960465783E-2</v>
      </c>
      <c r="E71" s="57"/>
    </row>
    <row r="72" spans="1:5" ht="15.6" customHeight="1" x14ac:dyDescent="0.25">
      <c r="A72" s="266">
        <v>2018</v>
      </c>
      <c r="B72" s="258" t="s">
        <v>252</v>
      </c>
      <c r="C72" s="60">
        <f>COUNTIFS('Raw Annual DMR Data'!$B:$B,A72,'Raw Annual DMR Data'!$M:$M,B72)</f>
        <v>15</v>
      </c>
      <c r="D72" s="267">
        <f>IF(C72&gt;0,AVERAGEIFS('Raw Annual DMR Data'!$T:$T, 'Raw Annual DMR Data'!$B:$B,A72,'Raw Annual DMR Data'!$M:$M,B72), "There are no entries to calculate Generic Factor")</f>
        <v>0</v>
      </c>
      <c r="E72" s="57"/>
    </row>
    <row r="73" spans="1:5" ht="15.6" customHeight="1" x14ac:dyDescent="0.25">
      <c r="A73" s="266">
        <v>2018</v>
      </c>
      <c r="B73" s="258" t="s">
        <v>253</v>
      </c>
      <c r="C73" s="60">
        <f>COUNTIFS('Raw Annual DMR Data'!$B:$B,A73,'Raw Annual DMR Data'!$M:$M,B73)</f>
        <v>12</v>
      </c>
      <c r="D73" s="267">
        <f>IF(C73&gt;0,AVERAGEIFS('Raw Annual DMR Data'!$T:$T, 'Raw Annual DMR Data'!$B:$B,A73,'Raw Annual DMR Data'!$M:$M,B73), "There are no entries to calculate Generic Factor")</f>
        <v>1.3098821446156496E-2</v>
      </c>
      <c r="E73" s="57"/>
    </row>
    <row r="74" spans="1:5" ht="15.6" customHeight="1" x14ac:dyDescent="0.25">
      <c r="A74" s="266">
        <v>2018</v>
      </c>
      <c r="B74" s="258" t="s">
        <v>254</v>
      </c>
      <c r="C74" s="60">
        <f>COUNTIFS('Raw Annual DMR Data'!$B:$B,A74,'Raw Annual DMR Data'!$M:$M,B74)</f>
        <v>14</v>
      </c>
      <c r="D74" s="267">
        <f>IF(C74&gt;0,AVERAGEIFS('Raw Annual DMR Data'!$T:$T, 'Raw Annual DMR Data'!$B:$B,A74,'Raw Annual DMR Data'!$M:$M,B74), "There are no entries to calculate Generic Factor")</f>
        <v>0</v>
      </c>
      <c r="E74" s="57"/>
    </row>
    <row r="75" spans="1:5" ht="15.6" customHeight="1" x14ac:dyDescent="0.25">
      <c r="A75" s="266">
        <v>2018</v>
      </c>
      <c r="B75" s="258" t="s">
        <v>2502</v>
      </c>
      <c r="C75" s="60">
        <f>COUNTIFS('Raw Annual DMR Data'!$B:$B,A75,'Raw Annual DMR Data'!$M:$M,B75)</f>
        <v>0</v>
      </c>
      <c r="D75" s="267" t="str">
        <f>IF(C75&gt;0,AVERAGEIFS('Raw Annual DMR Data'!$T:$T, 'Raw Annual DMR Data'!$B:$B,A75,'Raw Annual DMR Data'!$M:$M,B75), "There are no entries to calculate Generic Factor")</f>
        <v>There are no entries to calculate Generic Factor</v>
      </c>
      <c r="E75" s="57"/>
    </row>
    <row r="76" spans="1:5" ht="15.6" customHeight="1" x14ac:dyDescent="0.25">
      <c r="A76" s="266">
        <v>2018</v>
      </c>
      <c r="B76" s="258" t="s">
        <v>255</v>
      </c>
      <c r="C76" s="60">
        <f>COUNTIFS('Raw Annual DMR Data'!$B:$B,A76,'Raw Annual DMR Data'!$M:$M,B76)</f>
        <v>0</v>
      </c>
      <c r="D76" s="267" t="str">
        <f>IF(C76&gt;0,AVERAGEIFS('Raw Annual DMR Data'!$T:$T, 'Raw Annual DMR Data'!$B:$B,A76,'Raw Annual DMR Data'!$M:$M,B76), "There are no entries to calculate Generic Factor")</f>
        <v>There are no entries to calculate Generic Factor</v>
      </c>
      <c r="E76" s="57"/>
    </row>
    <row r="77" spans="1:5" ht="15.6" customHeight="1" x14ac:dyDescent="0.25">
      <c r="A77" s="266">
        <v>2018</v>
      </c>
      <c r="B77" s="258" t="s">
        <v>2504</v>
      </c>
      <c r="C77" s="60">
        <f>COUNTIFS('Raw Annual DMR Data'!$B:$B,A77,'Raw Annual DMR Data'!$M:$M,B77)</f>
        <v>0</v>
      </c>
      <c r="D77" s="267" t="str">
        <f>IF(C77&gt;0,AVERAGEIFS('Raw Annual DMR Data'!$T:$T, 'Raw Annual DMR Data'!$B:$B,A77,'Raw Annual DMR Data'!$M:$M,B77), "There are no entries to calculate Generic Factor")</f>
        <v>There are no entries to calculate Generic Factor</v>
      </c>
      <c r="E77" s="57"/>
    </row>
    <row r="78" spans="1:5" ht="15.6" customHeight="1" x14ac:dyDescent="0.25">
      <c r="A78" s="266">
        <v>2018</v>
      </c>
      <c r="B78" s="258" t="s">
        <v>256</v>
      </c>
      <c r="C78" s="60">
        <f>COUNTIFS('Raw Annual DMR Data'!$B:$B,A78,'Raw Annual DMR Data'!$M:$M,B78)</f>
        <v>0</v>
      </c>
      <c r="D78" s="267" t="str">
        <f>IF(C78&gt;0,AVERAGEIFS('Raw Annual DMR Data'!$T:$T, 'Raw Annual DMR Data'!$B:$B,A78,'Raw Annual DMR Data'!$M:$M,B78), "There are no entries to calculate Generic Factor")</f>
        <v>There are no entries to calculate Generic Factor</v>
      </c>
      <c r="E78" s="57"/>
    </row>
    <row r="79" spans="1:5" ht="15.6" customHeight="1" x14ac:dyDescent="0.25">
      <c r="A79" s="266">
        <v>2018</v>
      </c>
      <c r="B79" s="258" t="s">
        <v>2507</v>
      </c>
      <c r="C79" s="60">
        <f>COUNTIFS('Raw Annual DMR Data'!$B:$B,A79,'Raw Annual DMR Data'!$M:$M,B79)</f>
        <v>0</v>
      </c>
      <c r="D79" s="267" t="str">
        <f>IF(C79&gt;0,AVERAGEIFS('Raw Annual DMR Data'!$T:$T, 'Raw Annual DMR Data'!$B:$B,A79,'Raw Annual DMR Data'!$M:$M,B79), "There are no entries to calculate Generic Factor")</f>
        <v>There are no entries to calculate Generic Factor</v>
      </c>
      <c r="E79" s="57"/>
    </row>
    <row r="80" spans="1:5" ht="15.6" customHeight="1" x14ac:dyDescent="0.25">
      <c r="A80" s="266">
        <v>2018</v>
      </c>
      <c r="B80" s="258" t="s">
        <v>2508</v>
      </c>
      <c r="C80" s="60">
        <f>COUNTIFS('Raw Annual DMR Data'!$B:$B,A80,'Raw Annual DMR Data'!$M:$M,B80)</f>
        <v>0</v>
      </c>
      <c r="D80" s="267" t="str">
        <f>IF(C80&gt;0,AVERAGEIFS('Raw Annual DMR Data'!$T:$T, 'Raw Annual DMR Data'!$B:$B,A80,'Raw Annual DMR Data'!$M:$M,B80), "There are no entries to calculate Generic Factor")</f>
        <v>There are no entries to calculate Generic Factor</v>
      </c>
      <c r="E80" s="57"/>
    </row>
    <row r="81" spans="1:5" ht="15.6" customHeight="1" x14ac:dyDescent="0.25">
      <c r="A81" s="266">
        <v>2018</v>
      </c>
      <c r="B81" s="258" t="s">
        <v>2509</v>
      </c>
      <c r="C81" s="60">
        <f>COUNTIFS('Raw Annual DMR Data'!$B:$B,A81,'Raw Annual DMR Data'!$M:$M,B81)</f>
        <v>0</v>
      </c>
      <c r="D81" s="267" t="str">
        <f>IF(C81&gt;0,AVERAGEIFS('Raw Annual DMR Data'!$T:$T, 'Raw Annual DMR Data'!$B:$B,A81,'Raw Annual DMR Data'!$M:$M,B81), "There are no entries to calculate Generic Factor")</f>
        <v>There are no entries to calculate Generic Factor</v>
      </c>
      <c r="E81" s="57"/>
    </row>
    <row r="82" spans="1:5" ht="15.6" customHeight="1" x14ac:dyDescent="0.25">
      <c r="A82" s="266">
        <v>2018</v>
      </c>
      <c r="B82" s="258" t="s">
        <v>258</v>
      </c>
      <c r="C82" s="60">
        <f>COUNTIFS('Raw Annual DMR Data'!$B:$B,A82,'Raw Annual DMR Data'!$M:$M,B82)</f>
        <v>0</v>
      </c>
      <c r="D82" s="267" t="str">
        <f>IF(C82&gt;0,AVERAGEIFS('Raw Annual DMR Data'!$T:$T, 'Raw Annual DMR Data'!$B:$B,A82,'Raw Annual DMR Data'!$M:$M,B82), "There are no entries to calculate Generic Factor")</f>
        <v>There are no entries to calculate Generic Factor</v>
      </c>
      <c r="E82" s="57"/>
    </row>
    <row r="83" spans="1:5" ht="15.6" customHeight="1" x14ac:dyDescent="0.25">
      <c r="A83" s="266">
        <v>2018</v>
      </c>
      <c r="B83" s="258" t="s">
        <v>259</v>
      </c>
      <c r="C83" s="60">
        <f>COUNTIFS('Raw Annual DMR Data'!$B:$B,A83,'Raw Annual DMR Data'!$M:$M,B83)</f>
        <v>2</v>
      </c>
      <c r="D83" s="267">
        <f>IF(C83&gt;0,AVERAGEIFS('Raw Annual DMR Data'!$T:$T, 'Raw Annual DMR Data'!$B:$B,A83,'Raw Annual DMR Data'!$M:$M,B83), "There are no entries to calculate Generic Factor")</f>
        <v>0</v>
      </c>
      <c r="E83" s="57"/>
    </row>
    <row r="84" spans="1:5" ht="15.6" customHeight="1" x14ac:dyDescent="0.25">
      <c r="A84" s="266">
        <v>2018</v>
      </c>
      <c r="B84" s="258" t="s">
        <v>2510</v>
      </c>
      <c r="C84" s="60">
        <f>COUNTIFS('Raw Annual DMR Data'!$B:$B,A84,'Raw Annual DMR Data'!$M:$M,B84)</f>
        <v>0</v>
      </c>
      <c r="D84" s="267" t="str">
        <f>IF(C84&gt;0,AVERAGEIFS('Raw Annual DMR Data'!$T:$T, 'Raw Annual DMR Data'!$B:$B,A84,'Raw Annual DMR Data'!$M:$M,B84), "There are no entries to calculate Generic Factor")</f>
        <v>There are no entries to calculate Generic Factor</v>
      </c>
      <c r="E84" s="57"/>
    </row>
    <row r="85" spans="1:5" ht="15.6" customHeight="1" x14ac:dyDescent="0.25">
      <c r="A85" s="266">
        <v>2018</v>
      </c>
      <c r="B85" s="257" t="s">
        <v>2511</v>
      </c>
      <c r="C85" s="60">
        <f>COUNTIFS('Raw Annual DMR Data'!$B:$B,A85,'Raw Annual DMR Data'!$M:$M,B85)</f>
        <v>0</v>
      </c>
      <c r="D85" s="267" t="str">
        <f>IF(C85&gt;0,AVERAGEIFS('Raw Annual DMR Data'!$T:$T, 'Raw Annual DMR Data'!$B:$B,A85,'Raw Annual DMR Data'!$M:$M,B85), "There are no entries to calculate Generic Factor")</f>
        <v>There are no entries to calculate Generic Factor</v>
      </c>
      <c r="E85" s="57"/>
    </row>
    <row r="86" spans="1:5" ht="15.6" customHeight="1" x14ac:dyDescent="0.25">
      <c r="A86" s="266">
        <v>2018</v>
      </c>
      <c r="B86" s="257" t="s">
        <v>2512</v>
      </c>
      <c r="C86" s="60">
        <f>COUNTIFS('Raw Annual DMR Data'!$B:$B,A86,'Raw Annual DMR Data'!$M:$M,B86)</f>
        <v>0</v>
      </c>
      <c r="D86" s="267" t="str">
        <f>IF(C86&gt;0,AVERAGEIFS('Raw Annual DMR Data'!$T:$T, 'Raw Annual DMR Data'!$B:$B,A86,'Raw Annual DMR Data'!$M:$M,B86), "There are no entries to calculate Generic Factor")</f>
        <v>There are no entries to calculate Generic Factor</v>
      </c>
      <c r="E86" s="57"/>
    </row>
    <row r="87" spans="1:5" ht="15.6" customHeight="1" x14ac:dyDescent="0.25">
      <c r="A87" s="266">
        <v>2018</v>
      </c>
      <c r="B87" s="258" t="s">
        <v>260</v>
      </c>
      <c r="C87" s="60">
        <f>COUNTIFS('Raw Annual DMR Data'!$B:$B,A87,'Raw Annual DMR Data'!$M:$M,B87)</f>
        <v>1</v>
      </c>
      <c r="D87" s="267">
        <f>IF(C87&gt;0,AVERAGEIFS('Raw Annual DMR Data'!$T:$T, 'Raw Annual DMR Data'!$B:$B,A87,'Raw Annual DMR Data'!$M:$M,B87), "There are no entries to calculate Generic Factor")</f>
        <v>0</v>
      </c>
      <c r="E87" s="57"/>
    </row>
    <row r="88" spans="1:5" ht="15.6" customHeight="1" x14ac:dyDescent="0.25">
      <c r="A88" s="266">
        <v>2018</v>
      </c>
      <c r="B88" s="258" t="s">
        <v>261</v>
      </c>
      <c r="C88" s="60">
        <f>COUNTIFS('Raw Annual DMR Data'!$B:$B,A88,'Raw Annual DMR Data'!$M:$M,B88)</f>
        <v>2</v>
      </c>
      <c r="D88" s="267">
        <f>IF(C88&gt;0,AVERAGEIFS('Raw Annual DMR Data'!$T:$T, 'Raw Annual DMR Data'!$B:$B,A88,'Raw Annual DMR Data'!$M:$M,B88), "There are no entries to calculate Generic Factor")</f>
        <v>0</v>
      </c>
      <c r="E88" s="57"/>
    </row>
    <row r="89" spans="1:5" ht="15.6" customHeight="1" x14ac:dyDescent="0.25">
      <c r="A89" s="266">
        <v>2018</v>
      </c>
      <c r="B89" s="258" t="s">
        <v>2514</v>
      </c>
      <c r="C89" s="60">
        <f>COUNTIFS('Raw Annual DMR Data'!$B:$B,A89,'Raw Annual DMR Data'!$M:$M,B89)</f>
        <v>0</v>
      </c>
      <c r="D89" s="267" t="str">
        <f>IF(C89&gt;0,AVERAGEIFS('Raw Annual DMR Data'!$T:$T, 'Raw Annual DMR Data'!$B:$B,A89,'Raw Annual DMR Data'!$M:$M,B89), "There are no entries to calculate Generic Factor")</f>
        <v>There are no entries to calculate Generic Factor</v>
      </c>
      <c r="E89" s="57"/>
    </row>
    <row r="90" spans="1:5" ht="15.6" customHeight="1" x14ac:dyDescent="0.25">
      <c r="A90" s="266">
        <v>2018</v>
      </c>
      <c r="B90" s="258" t="s">
        <v>262</v>
      </c>
      <c r="C90" s="60">
        <f>COUNTIFS('Raw Annual DMR Data'!$B:$B,A90,'Raw Annual DMR Data'!$M:$M,B90)</f>
        <v>0</v>
      </c>
      <c r="D90" s="267" t="str">
        <f>IF(C90&gt;0,AVERAGEIFS('Raw Annual DMR Data'!$T:$T, 'Raw Annual DMR Data'!$B:$B,A90,'Raw Annual DMR Data'!$M:$M,B90), "There are no entries to calculate Generic Factor")</f>
        <v>There are no entries to calculate Generic Factor</v>
      </c>
      <c r="E90" s="57"/>
    </row>
    <row r="91" spans="1:5" ht="15.6" customHeight="1" x14ac:dyDescent="0.25">
      <c r="A91" s="266">
        <v>2018</v>
      </c>
      <c r="B91" s="258" t="s">
        <v>263</v>
      </c>
      <c r="C91" s="60">
        <f>COUNTIFS('Raw Annual DMR Data'!$B:$B,A91,'Raw Annual DMR Data'!$M:$M,B91)</f>
        <v>72</v>
      </c>
      <c r="D91" s="267">
        <f>IF(C91&gt;0,AVERAGEIFS('Raw Annual DMR Data'!$T:$T, 'Raw Annual DMR Data'!$B:$B,A91,'Raw Annual DMR Data'!$M:$M,B91), "There are no entries to calculate Generic Factor")</f>
        <v>0</v>
      </c>
      <c r="E91" s="57"/>
    </row>
    <row r="92" spans="1:5" ht="15.6" customHeight="1" x14ac:dyDescent="0.25">
      <c r="A92" s="266">
        <v>2018</v>
      </c>
      <c r="B92" s="258" t="s">
        <v>264</v>
      </c>
      <c r="C92" s="60">
        <f>COUNTIFS('Raw Annual DMR Data'!$B:$B,A92,'Raw Annual DMR Data'!$M:$M,B92)</f>
        <v>19</v>
      </c>
      <c r="D92" s="267">
        <f>IF(C92&gt;0,AVERAGEIFS('Raw Annual DMR Data'!$T:$T, 'Raw Annual DMR Data'!$B:$B,A92,'Raw Annual DMR Data'!$M:$M,B92), "There are no entries to calculate Generic Factor")</f>
        <v>0</v>
      </c>
      <c r="E92" s="57"/>
    </row>
    <row r="93" spans="1:5" ht="15.6" customHeight="1" x14ac:dyDescent="0.25">
      <c r="A93" s="266">
        <v>2018</v>
      </c>
      <c r="B93" s="258" t="s">
        <v>265</v>
      </c>
      <c r="C93" s="60">
        <f>COUNTIFS('Raw Annual DMR Data'!$B:$B,A93,'Raw Annual DMR Data'!$M:$M,B93)</f>
        <v>89</v>
      </c>
      <c r="D93" s="267">
        <f>IF(C93&gt;0,AVERAGEIFS('Raw Annual DMR Data'!$T:$T, 'Raw Annual DMR Data'!$B:$B,A93,'Raw Annual DMR Data'!$M:$M,B93), "There are no entries to calculate Generic Factor")</f>
        <v>0</v>
      </c>
      <c r="E93" s="57"/>
    </row>
    <row r="94" spans="1:5" ht="15.6" customHeight="1" x14ac:dyDescent="0.25">
      <c r="A94" s="266">
        <v>2019</v>
      </c>
      <c r="B94" s="258" t="s">
        <v>251</v>
      </c>
      <c r="C94" s="60">
        <f>COUNTIFS('Raw Annual DMR Data'!$B:$B,A94,'Raw Annual DMR Data'!$M:$M,B94)</f>
        <v>26</v>
      </c>
      <c r="D94" s="267">
        <f>IF(C94&gt;0,AVERAGEIFS('Raw Annual DMR Data'!$T:$T, 'Raw Annual DMR Data'!$B:$B,A94,'Raw Annual DMR Data'!$M:$M,B94), "There are no entries to calculate Generic Factor")</f>
        <v>2.7786351820470339</v>
      </c>
      <c r="E94" s="57"/>
    </row>
    <row r="95" spans="1:5" ht="15.6" customHeight="1" x14ac:dyDescent="0.25">
      <c r="A95" s="266">
        <v>2019</v>
      </c>
      <c r="B95" s="258" t="s">
        <v>252</v>
      </c>
      <c r="C95" s="60">
        <f>COUNTIFS('Raw Annual DMR Data'!$B:$B,A95,'Raw Annual DMR Data'!$M:$M,B95)</f>
        <v>17</v>
      </c>
      <c r="D95" s="267">
        <f>IF(C95&gt;0,AVERAGEIFS('Raw Annual DMR Data'!$T:$T, 'Raw Annual DMR Data'!$B:$B,A95,'Raw Annual DMR Data'!$M:$M,B95), "There are no entries to calculate Generic Factor")</f>
        <v>0</v>
      </c>
      <c r="E95" s="57"/>
    </row>
    <row r="96" spans="1:5" ht="15.6" customHeight="1" x14ac:dyDescent="0.25">
      <c r="A96" s="266">
        <v>2019</v>
      </c>
      <c r="B96" s="258" t="s">
        <v>253</v>
      </c>
      <c r="C96" s="60">
        <f>COUNTIFS('Raw Annual DMR Data'!$B:$B,A96,'Raw Annual DMR Data'!$M:$M,B96)</f>
        <v>10</v>
      </c>
      <c r="D96" s="267">
        <f>IF(C96&gt;0,AVERAGEIFS('Raw Annual DMR Data'!$T:$T, 'Raw Annual DMR Data'!$B:$B,A96,'Raw Annual DMR Data'!$M:$M,B96), "There are no entries to calculate Generic Factor")</f>
        <v>1.7549407509866395E-2</v>
      </c>
      <c r="E96" s="57"/>
    </row>
    <row r="97" spans="1:5" ht="15.6" customHeight="1" x14ac:dyDescent="0.25">
      <c r="A97" s="266">
        <v>2019</v>
      </c>
      <c r="B97" s="258" t="s">
        <v>254</v>
      </c>
      <c r="C97" s="60">
        <f>COUNTIFS('Raw Annual DMR Data'!$B:$B,A97,'Raw Annual DMR Data'!$M:$M,B97)</f>
        <v>10</v>
      </c>
      <c r="D97" s="267">
        <f>IF(C97&gt;0,AVERAGEIFS('Raw Annual DMR Data'!$T:$T, 'Raw Annual DMR Data'!$B:$B,A97,'Raw Annual DMR Data'!$M:$M,B97), "There are no entries to calculate Generic Factor")</f>
        <v>0</v>
      </c>
      <c r="E97" s="57"/>
    </row>
    <row r="98" spans="1:5" ht="15.6" customHeight="1" x14ac:dyDescent="0.25">
      <c r="A98" s="266">
        <v>2019</v>
      </c>
      <c r="B98" s="258" t="s">
        <v>2502</v>
      </c>
      <c r="C98" s="60">
        <f>COUNTIFS('Raw Annual DMR Data'!$B:$B,A98,'Raw Annual DMR Data'!$M:$M,B98)</f>
        <v>0</v>
      </c>
      <c r="D98" s="267" t="str">
        <f>IF(C98&gt;0,AVERAGEIFS('Raw Annual DMR Data'!$T:$T, 'Raw Annual DMR Data'!$B:$B,A98,'Raw Annual DMR Data'!$M:$M,B98), "There are no entries to calculate Generic Factor")</f>
        <v>There are no entries to calculate Generic Factor</v>
      </c>
      <c r="E98" s="57"/>
    </row>
    <row r="99" spans="1:5" ht="15.6" customHeight="1" x14ac:dyDescent="0.25">
      <c r="A99" s="266">
        <v>2019</v>
      </c>
      <c r="B99" s="258" t="s">
        <v>255</v>
      </c>
      <c r="C99" s="60">
        <f>COUNTIFS('Raw Annual DMR Data'!$B:$B,A99,'Raw Annual DMR Data'!$M:$M,B99)</f>
        <v>0</v>
      </c>
      <c r="D99" s="267" t="str">
        <f>IF(C99&gt;0,AVERAGEIFS('Raw Annual DMR Data'!$T:$T, 'Raw Annual DMR Data'!$B:$B,A99,'Raw Annual DMR Data'!$M:$M,B99), "There are no entries to calculate Generic Factor")</f>
        <v>There are no entries to calculate Generic Factor</v>
      </c>
      <c r="E99" s="57"/>
    </row>
    <row r="100" spans="1:5" ht="15.6" customHeight="1" x14ac:dyDescent="0.25">
      <c r="A100" s="266">
        <v>2019</v>
      </c>
      <c r="B100" s="258" t="s">
        <v>2504</v>
      </c>
      <c r="C100" s="60">
        <f>COUNTIFS('Raw Annual DMR Data'!$B:$B,A100,'Raw Annual DMR Data'!$M:$M,B100)</f>
        <v>0</v>
      </c>
      <c r="D100" s="267" t="str">
        <f>IF(C100&gt;0,AVERAGEIFS('Raw Annual DMR Data'!$T:$T, 'Raw Annual DMR Data'!$B:$B,A100,'Raw Annual DMR Data'!$M:$M,B100), "There are no entries to calculate Generic Factor")</f>
        <v>There are no entries to calculate Generic Factor</v>
      </c>
      <c r="E100" s="57"/>
    </row>
    <row r="101" spans="1:5" ht="15.6" customHeight="1" x14ac:dyDescent="0.25">
      <c r="A101" s="266">
        <v>2019</v>
      </c>
      <c r="B101" s="258" t="s">
        <v>256</v>
      </c>
      <c r="C101" s="60">
        <f>COUNTIFS('Raw Annual DMR Data'!$B:$B,A101,'Raw Annual DMR Data'!$M:$M,B101)</f>
        <v>0</v>
      </c>
      <c r="D101" s="267" t="str">
        <f>IF(C101&gt;0,AVERAGEIFS('Raw Annual DMR Data'!$T:$T, 'Raw Annual DMR Data'!$B:$B,A101,'Raw Annual DMR Data'!$M:$M,B101), "There are no entries to calculate Generic Factor")</f>
        <v>There are no entries to calculate Generic Factor</v>
      </c>
      <c r="E101" s="57"/>
    </row>
    <row r="102" spans="1:5" ht="15.6" customHeight="1" x14ac:dyDescent="0.25">
      <c r="A102" s="266">
        <v>2019</v>
      </c>
      <c r="B102" s="258" t="s">
        <v>2507</v>
      </c>
      <c r="C102" s="60">
        <f>COUNTIFS('Raw Annual DMR Data'!$B:$B,A102,'Raw Annual DMR Data'!$M:$M,B102)</f>
        <v>0</v>
      </c>
      <c r="D102" s="267" t="str">
        <f>IF(C102&gt;0,AVERAGEIFS('Raw Annual DMR Data'!$T:$T, 'Raw Annual DMR Data'!$B:$B,A102,'Raw Annual DMR Data'!$M:$M,B102), "There are no entries to calculate Generic Factor")</f>
        <v>There are no entries to calculate Generic Factor</v>
      </c>
      <c r="E102" s="57"/>
    </row>
    <row r="103" spans="1:5" ht="15.6" customHeight="1" x14ac:dyDescent="0.25">
      <c r="A103" s="266">
        <v>2019</v>
      </c>
      <c r="B103" s="258" t="s">
        <v>2508</v>
      </c>
      <c r="C103" s="60">
        <f>COUNTIFS('Raw Annual DMR Data'!$B:$B,A103,'Raw Annual DMR Data'!$M:$M,B103)</f>
        <v>0</v>
      </c>
      <c r="D103" s="267" t="str">
        <f>IF(C103&gt;0,AVERAGEIFS('Raw Annual DMR Data'!$T:$T, 'Raw Annual DMR Data'!$B:$B,A103,'Raw Annual DMR Data'!$M:$M,B103), "There are no entries to calculate Generic Factor")</f>
        <v>There are no entries to calculate Generic Factor</v>
      </c>
      <c r="E103" s="57"/>
    </row>
    <row r="104" spans="1:5" ht="15.6" customHeight="1" x14ac:dyDescent="0.25">
      <c r="A104" s="266">
        <v>2019</v>
      </c>
      <c r="B104" s="258" t="s">
        <v>2509</v>
      </c>
      <c r="C104" s="60">
        <f>COUNTIFS('Raw Annual DMR Data'!$B:$B,A104,'Raw Annual DMR Data'!$M:$M,B104)</f>
        <v>0</v>
      </c>
      <c r="D104" s="267" t="str">
        <f>IF(C104&gt;0,AVERAGEIFS('Raw Annual DMR Data'!$T:$T, 'Raw Annual DMR Data'!$B:$B,A104,'Raw Annual DMR Data'!$M:$M,B104), "There are no entries to calculate Generic Factor")</f>
        <v>There are no entries to calculate Generic Factor</v>
      </c>
      <c r="E104" s="57"/>
    </row>
    <row r="105" spans="1:5" ht="15.6" customHeight="1" x14ac:dyDescent="0.25">
      <c r="A105" s="266">
        <v>2019</v>
      </c>
      <c r="B105" s="258" t="s">
        <v>258</v>
      </c>
      <c r="C105" s="60">
        <f>COUNTIFS('Raw Annual DMR Data'!$B:$B,A105,'Raw Annual DMR Data'!$M:$M,B105)</f>
        <v>0</v>
      </c>
      <c r="D105" s="267" t="str">
        <f>IF(C105&gt;0,AVERAGEIFS('Raw Annual DMR Data'!$T:$T, 'Raw Annual DMR Data'!$B:$B,A105,'Raw Annual DMR Data'!$M:$M,B105), "There are no entries to calculate Generic Factor")</f>
        <v>There are no entries to calculate Generic Factor</v>
      </c>
      <c r="E105" s="57"/>
    </row>
    <row r="106" spans="1:5" ht="15.6" customHeight="1" x14ac:dyDescent="0.25">
      <c r="A106" s="266">
        <v>2019</v>
      </c>
      <c r="B106" s="258" t="s">
        <v>259</v>
      </c>
      <c r="C106" s="60">
        <f>COUNTIFS('Raw Annual DMR Data'!$B:$B,A106,'Raw Annual DMR Data'!$M:$M,B106)</f>
        <v>2</v>
      </c>
      <c r="D106" s="267">
        <f>IF(C106&gt;0,AVERAGEIFS('Raw Annual DMR Data'!$T:$T, 'Raw Annual DMR Data'!$B:$B,A106,'Raw Annual DMR Data'!$M:$M,B106), "There are no entries to calculate Generic Factor")</f>
        <v>0</v>
      </c>
      <c r="E106" s="57"/>
    </row>
    <row r="107" spans="1:5" ht="15.6" customHeight="1" x14ac:dyDescent="0.25">
      <c r="A107" s="266">
        <v>2019</v>
      </c>
      <c r="B107" s="258" t="s">
        <v>2510</v>
      </c>
      <c r="C107" s="60">
        <f>COUNTIFS('Raw Annual DMR Data'!$B:$B,A107,'Raw Annual DMR Data'!$M:$M,B107)</f>
        <v>0</v>
      </c>
      <c r="D107" s="267" t="str">
        <f>IF(C107&gt;0,AVERAGEIFS('Raw Annual DMR Data'!$T:$T, 'Raw Annual DMR Data'!$B:$B,A107,'Raw Annual DMR Data'!$M:$M,B107), "There are no entries to calculate Generic Factor")</f>
        <v>There are no entries to calculate Generic Factor</v>
      </c>
      <c r="E107" s="57"/>
    </row>
    <row r="108" spans="1:5" ht="15.6" customHeight="1" x14ac:dyDescent="0.25">
      <c r="A108" s="266">
        <v>2019</v>
      </c>
      <c r="B108" s="257" t="s">
        <v>2511</v>
      </c>
      <c r="C108" s="60">
        <f>COUNTIFS('Raw Annual DMR Data'!$B:$B,A108,'Raw Annual DMR Data'!$M:$M,B108)</f>
        <v>0</v>
      </c>
      <c r="D108" s="267" t="str">
        <f>IF(C108&gt;0,AVERAGEIFS('Raw Annual DMR Data'!$T:$T, 'Raw Annual DMR Data'!$B:$B,A108,'Raw Annual DMR Data'!$M:$M,B108), "There are no entries to calculate Generic Factor")</f>
        <v>There are no entries to calculate Generic Factor</v>
      </c>
      <c r="E108" s="57"/>
    </row>
    <row r="109" spans="1:5" ht="15.6" customHeight="1" x14ac:dyDescent="0.25">
      <c r="A109" s="266">
        <v>2019</v>
      </c>
      <c r="B109" s="257" t="s">
        <v>2512</v>
      </c>
      <c r="C109" s="60">
        <f>COUNTIFS('Raw Annual DMR Data'!$B:$B,A109,'Raw Annual DMR Data'!$M:$M,B109)</f>
        <v>0</v>
      </c>
      <c r="D109" s="267" t="str">
        <f>IF(C109&gt;0,AVERAGEIFS('Raw Annual DMR Data'!$T:$T, 'Raw Annual DMR Data'!$B:$B,A109,'Raw Annual DMR Data'!$M:$M,B109), "There are no entries to calculate Generic Factor")</f>
        <v>There are no entries to calculate Generic Factor</v>
      </c>
      <c r="E109" s="57"/>
    </row>
    <row r="110" spans="1:5" ht="15.6" customHeight="1" x14ac:dyDescent="0.25">
      <c r="A110" s="266">
        <v>2019</v>
      </c>
      <c r="B110" s="258" t="s">
        <v>260</v>
      </c>
      <c r="C110" s="60">
        <f>COUNTIFS('Raw Annual DMR Data'!$B:$B,A110,'Raw Annual DMR Data'!$M:$M,B110)</f>
        <v>0</v>
      </c>
      <c r="D110" s="267" t="str">
        <f>IF(C110&gt;0,AVERAGEIFS('Raw Annual DMR Data'!$T:$T, 'Raw Annual DMR Data'!$B:$B,A110,'Raw Annual DMR Data'!$M:$M,B110), "There are no entries to calculate Generic Factor")</f>
        <v>There are no entries to calculate Generic Factor</v>
      </c>
      <c r="E110" s="57"/>
    </row>
    <row r="111" spans="1:5" ht="15.6" customHeight="1" x14ac:dyDescent="0.25">
      <c r="A111" s="266">
        <v>2019</v>
      </c>
      <c r="B111" s="258" t="s">
        <v>261</v>
      </c>
      <c r="C111" s="60">
        <f>COUNTIFS('Raw Annual DMR Data'!$B:$B,A111,'Raw Annual DMR Data'!$M:$M,B111)</f>
        <v>2</v>
      </c>
      <c r="D111" s="267">
        <f>IF(C111&gt;0,AVERAGEIFS('Raw Annual DMR Data'!$T:$T, 'Raw Annual DMR Data'!$B:$B,A111,'Raw Annual DMR Data'!$M:$M,B111), "There are no entries to calculate Generic Factor")</f>
        <v>0</v>
      </c>
      <c r="E111" s="57"/>
    </row>
    <row r="112" spans="1:5" ht="15.6" customHeight="1" x14ac:dyDescent="0.25">
      <c r="A112" s="266">
        <v>2019</v>
      </c>
      <c r="B112" s="258" t="s">
        <v>2514</v>
      </c>
      <c r="C112" s="60">
        <f>COUNTIFS('Raw Annual DMR Data'!$B:$B,A112,'Raw Annual DMR Data'!$M:$M,B112)</f>
        <v>0</v>
      </c>
      <c r="D112" s="267" t="str">
        <f>IF(C112&gt;0,AVERAGEIFS('Raw Annual DMR Data'!$T:$T, 'Raw Annual DMR Data'!$B:$B,A112,'Raw Annual DMR Data'!$M:$M,B112), "There are no entries to calculate Generic Factor")</f>
        <v>There are no entries to calculate Generic Factor</v>
      </c>
      <c r="E112" s="57"/>
    </row>
    <row r="113" spans="1:5" ht="15.6" customHeight="1" x14ac:dyDescent="0.25">
      <c r="A113" s="266">
        <v>2019</v>
      </c>
      <c r="B113" s="258" t="s">
        <v>262</v>
      </c>
      <c r="C113" s="60">
        <f>COUNTIFS('Raw Annual DMR Data'!$B:$B,A113,'Raw Annual DMR Data'!$M:$M,B113)</f>
        <v>0</v>
      </c>
      <c r="D113" s="267" t="str">
        <f>IF(C113&gt;0,AVERAGEIFS('Raw Annual DMR Data'!$T:$T, 'Raw Annual DMR Data'!$B:$B,A113,'Raw Annual DMR Data'!$M:$M,B113), "There are no entries to calculate Generic Factor")</f>
        <v>There are no entries to calculate Generic Factor</v>
      </c>
      <c r="E113" s="57"/>
    </row>
    <row r="114" spans="1:5" ht="15.6" customHeight="1" x14ac:dyDescent="0.25">
      <c r="A114" s="266">
        <v>2019</v>
      </c>
      <c r="B114" s="258" t="s">
        <v>263</v>
      </c>
      <c r="C114" s="60">
        <f>COUNTIFS('Raw Annual DMR Data'!$B:$B,A114,'Raw Annual DMR Data'!$M:$M,B114)</f>
        <v>70</v>
      </c>
      <c r="D114" s="267">
        <f>IF(C114&gt;0,AVERAGEIFS('Raw Annual DMR Data'!$T:$T, 'Raw Annual DMR Data'!$B:$B,A114,'Raw Annual DMR Data'!$M:$M,B114), "There are no entries to calculate Generic Factor")</f>
        <v>0</v>
      </c>
      <c r="E114" s="57"/>
    </row>
    <row r="115" spans="1:5" ht="15.6" customHeight="1" x14ac:dyDescent="0.25">
      <c r="A115" s="266">
        <v>2019</v>
      </c>
      <c r="B115" s="258" t="s">
        <v>264</v>
      </c>
      <c r="C115" s="60">
        <f>COUNTIFS('Raw Annual DMR Data'!$B:$B,A115,'Raw Annual DMR Data'!$M:$M,B115)</f>
        <v>21</v>
      </c>
      <c r="D115" s="267">
        <f>IF(C115&gt;0,AVERAGEIFS('Raw Annual DMR Data'!$T:$T, 'Raw Annual DMR Data'!$B:$B,A115,'Raw Annual DMR Data'!$M:$M,B115), "There are no entries to calculate Generic Factor")</f>
        <v>0</v>
      </c>
      <c r="E115" s="57"/>
    </row>
    <row r="116" spans="1:5" ht="15.6" customHeight="1" x14ac:dyDescent="0.25">
      <c r="A116" s="266">
        <v>2019</v>
      </c>
      <c r="B116" s="258" t="s">
        <v>265</v>
      </c>
      <c r="C116" s="60">
        <f>COUNTIFS('Raw Annual DMR Data'!$B:$B,A116,'Raw Annual DMR Data'!$M:$M,B116)</f>
        <v>106</v>
      </c>
      <c r="D116" s="267">
        <f>IF(C116&gt;0,AVERAGEIFS('Raw Annual DMR Data'!$T:$T, 'Raw Annual DMR Data'!$B:$B,A116,'Raw Annual DMR Data'!$M:$M,B116), "There are no entries to calculate Generic Factor")</f>
        <v>0</v>
      </c>
      <c r="E116" s="57"/>
    </row>
    <row r="117" spans="1:5" ht="15.6" customHeight="1" x14ac:dyDescent="0.25">
      <c r="A117" s="266">
        <v>2020</v>
      </c>
      <c r="B117" s="258" t="s">
        <v>251</v>
      </c>
      <c r="C117" s="60">
        <f>COUNTIFS('Raw Annual DMR Data'!$B:$B,A117,'Raw Annual DMR Data'!$M:$M,B117)</f>
        <v>30</v>
      </c>
      <c r="D117" s="267">
        <f>IF(C117&gt;0,AVERAGEIFS('Raw Annual DMR Data'!$T:$T, 'Raw Annual DMR Data'!$B:$B,A117,'Raw Annual DMR Data'!$M:$M,B117), "There are no entries to calculate Generic Factor")</f>
        <v>2.7567320809326286</v>
      </c>
      <c r="E117" s="57"/>
    </row>
    <row r="118" spans="1:5" ht="15.6" customHeight="1" x14ac:dyDescent="0.25">
      <c r="A118" s="266">
        <v>2020</v>
      </c>
      <c r="B118" s="258" t="s">
        <v>252</v>
      </c>
      <c r="C118" s="60">
        <f>COUNTIFS('Raw Annual DMR Data'!$B:$B,A118,'Raw Annual DMR Data'!$M:$M,B118)</f>
        <v>14</v>
      </c>
      <c r="D118" s="267">
        <f>IF(C118&gt;0,AVERAGEIFS('Raw Annual DMR Data'!$T:$T, 'Raw Annual DMR Data'!$B:$B,A118,'Raw Annual DMR Data'!$M:$M,B118), "There are no entries to calculate Generic Factor")</f>
        <v>1.0353099350965816E-2</v>
      </c>
      <c r="E118" s="57"/>
    </row>
    <row r="119" spans="1:5" ht="15.6" customHeight="1" x14ac:dyDescent="0.25">
      <c r="A119" s="266">
        <v>2020</v>
      </c>
      <c r="B119" s="258" t="s">
        <v>253</v>
      </c>
      <c r="C119" s="60">
        <f>COUNTIFS('Raw Annual DMR Data'!$B:$B,A119,'Raw Annual DMR Data'!$M:$M,B119)</f>
        <v>11</v>
      </c>
      <c r="D119" s="267">
        <f>IF(C119&gt;0,AVERAGEIFS('Raw Annual DMR Data'!$T:$T, 'Raw Annual DMR Data'!$B:$B,A119,'Raw Annual DMR Data'!$M:$M,B119), "There are no entries to calculate Generic Factor")</f>
        <v>1.233701834981144E-2</v>
      </c>
      <c r="E119" s="57"/>
    </row>
    <row r="120" spans="1:5" ht="15.6" customHeight="1" x14ac:dyDescent="0.25">
      <c r="A120" s="266">
        <v>2020</v>
      </c>
      <c r="B120" s="258" t="s">
        <v>254</v>
      </c>
      <c r="C120" s="60">
        <f>COUNTIFS('Raw Annual DMR Data'!$B:$B,A120,'Raw Annual DMR Data'!$M:$M,B120)</f>
        <v>13</v>
      </c>
      <c r="D120" s="267">
        <f>IF(C120&gt;0,AVERAGEIFS('Raw Annual DMR Data'!$T:$T, 'Raw Annual DMR Data'!$B:$B,A120,'Raw Annual DMR Data'!$M:$M,B120), "There are no entries to calculate Generic Factor")</f>
        <v>0</v>
      </c>
      <c r="E120" s="57"/>
    </row>
    <row r="121" spans="1:5" ht="15.6" customHeight="1" x14ac:dyDescent="0.25">
      <c r="A121" s="266">
        <v>2020</v>
      </c>
      <c r="B121" s="258" t="s">
        <v>2502</v>
      </c>
      <c r="C121" s="60">
        <f>COUNTIFS('Raw Annual DMR Data'!$B:$B,A121,'Raw Annual DMR Data'!$M:$M,B121)</f>
        <v>0</v>
      </c>
      <c r="D121" s="267" t="str">
        <f>IF(C121&gt;0,AVERAGEIFS('Raw Annual DMR Data'!$T:$T, 'Raw Annual DMR Data'!$B:$B,A121,'Raw Annual DMR Data'!$M:$M,B121), "There are no entries to calculate Generic Factor")</f>
        <v>There are no entries to calculate Generic Factor</v>
      </c>
      <c r="E121" s="57"/>
    </row>
    <row r="122" spans="1:5" ht="15.6" customHeight="1" x14ac:dyDescent="0.25">
      <c r="A122" s="266">
        <v>2020</v>
      </c>
      <c r="B122" s="258" t="s">
        <v>255</v>
      </c>
      <c r="C122" s="60">
        <f>COUNTIFS('Raw Annual DMR Data'!$B:$B,A122,'Raw Annual DMR Data'!$M:$M,B122)</f>
        <v>0</v>
      </c>
      <c r="D122" s="267" t="str">
        <f>IF(C122&gt;0,AVERAGEIFS('Raw Annual DMR Data'!$T:$T, 'Raw Annual DMR Data'!$B:$B,A122,'Raw Annual DMR Data'!$M:$M,B122), "There are no entries to calculate Generic Factor")</f>
        <v>There are no entries to calculate Generic Factor</v>
      </c>
      <c r="E122" s="57"/>
    </row>
    <row r="123" spans="1:5" ht="15.6" customHeight="1" x14ac:dyDescent="0.25">
      <c r="A123" s="266">
        <v>2020</v>
      </c>
      <c r="B123" s="258" t="s">
        <v>2504</v>
      </c>
      <c r="C123" s="60">
        <f>COUNTIFS('Raw Annual DMR Data'!$B:$B,A123,'Raw Annual DMR Data'!$M:$M,B123)</f>
        <v>0</v>
      </c>
      <c r="D123" s="267" t="str">
        <f>IF(C123&gt;0,AVERAGEIFS('Raw Annual DMR Data'!$T:$T, 'Raw Annual DMR Data'!$B:$B,A123,'Raw Annual DMR Data'!$M:$M,B123), "There are no entries to calculate Generic Factor")</f>
        <v>There are no entries to calculate Generic Factor</v>
      </c>
      <c r="E123" s="57"/>
    </row>
    <row r="124" spans="1:5" ht="15.6" customHeight="1" x14ac:dyDescent="0.25">
      <c r="A124" s="266">
        <v>2020</v>
      </c>
      <c r="B124" s="258" t="s">
        <v>256</v>
      </c>
      <c r="C124" s="60">
        <f>COUNTIFS('Raw Annual DMR Data'!$B:$B,A124,'Raw Annual DMR Data'!$M:$M,B124)</f>
        <v>0</v>
      </c>
      <c r="D124" s="267" t="str">
        <f>IF(C124&gt;0,AVERAGEIFS('Raw Annual DMR Data'!$T:$T, 'Raw Annual DMR Data'!$B:$B,A124,'Raw Annual DMR Data'!$M:$M,B124), "There are no entries to calculate Generic Factor")</f>
        <v>There are no entries to calculate Generic Factor</v>
      </c>
      <c r="E124" s="57"/>
    </row>
    <row r="125" spans="1:5" ht="15.6" customHeight="1" x14ac:dyDescent="0.25">
      <c r="A125" s="266">
        <v>2020</v>
      </c>
      <c r="B125" s="258" t="s">
        <v>2507</v>
      </c>
      <c r="C125" s="60">
        <f>COUNTIFS('Raw Annual DMR Data'!$B:$B,A125,'Raw Annual DMR Data'!$M:$M,B125)</f>
        <v>0</v>
      </c>
      <c r="D125" s="267" t="str">
        <f>IF(C125&gt;0,AVERAGEIFS('Raw Annual DMR Data'!$T:$T, 'Raw Annual DMR Data'!$B:$B,A125,'Raw Annual DMR Data'!$M:$M,B125), "There are no entries to calculate Generic Factor")</f>
        <v>There are no entries to calculate Generic Factor</v>
      </c>
      <c r="E125" s="57"/>
    </row>
    <row r="126" spans="1:5" ht="15.6" customHeight="1" x14ac:dyDescent="0.25">
      <c r="A126" s="266">
        <v>2020</v>
      </c>
      <c r="B126" s="258" t="s">
        <v>2508</v>
      </c>
      <c r="C126" s="60">
        <f>COUNTIFS('Raw Annual DMR Data'!$B:$B,A126,'Raw Annual DMR Data'!$M:$M,B126)</f>
        <v>0</v>
      </c>
      <c r="D126" s="267" t="str">
        <f>IF(C126&gt;0,AVERAGEIFS('Raw Annual DMR Data'!$T:$T, 'Raw Annual DMR Data'!$B:$B,A126,'Raw Annual DMR Data'!$M:$M,B126), "There are no entries to calculate Generic Factor")</f>
        <v>There are no entries to calculate Generic Factor</v>
      </c>
      <c r="E126" s="57"/>
    </row>
    <row r="127" spans="1:5" ht="15.6" customHeight="1" x14ac:dyDescent="0.25">
      <c r="A127" s="266">
        <v>2020</v>
      </c>
      <c r="B127" s="258" t="s">
        <v>2509</v>
      </c>
      <c r="C127" s="60">
        <f>COUNTIFS('Raw Annual DMR Data'!$B:$B,A127,'Raw Annual DMR Data'!$M:$M,B127)</f>
        <v>0</v>
      </c>
      <c r="D127" s="267" t="str">
        <f>IF(C127&gt;0,AVERAGEIFS('Raw Annual DMR Data'!$T:$T, 'Raw Annual DMR Data'!$B:$B,A127,'Raw Annual DMR Data'!$M:$M,B127), "There are no entries to calculate Generic Factor")</f>
        <v>There are no entries to calculate Generic Factor</v>
      </c>
      <c r="E127" s="57"/>
    </row>
    <row r="128" spans="1:5" ht="15.6" customHeight="1" x14ac:dyDescent="0.25">
      <c r="A128" s="266">
        <v>2020</v>
      </c>
      <c r="B128" s="258" t="s">
        <v>258</v>
      </c>
      <c r="C128" s="60">
        <f>COUNTIFS('Raw Annual DMR Data'!$B:$B,A128,'Raw Annual DMR Data'!$M:$M,B128)</f>
        <v>0</v>
      </c>
      <c r="D128" s="267" t="str">
        <f>IF(C128&gt;0,AVERAGEIFS('Raw Annual DMR Data'!$T:$T, 'Raw Annual DMR Data'!$B:$B,A128,'Raw Annual DMR Data'!$M:$M,B128), "There are no entries to calculate Generic Factor")</f>
        <v>There are no entries to calculate Generic Factor</v>
      </c>
      <c r="E128" s="57"/>
    </row>
    <row r="129" spans="1:5" ht="15.6" customHeight="1" x14ac:dyDescent="0.25">
      <c r="A129" s="266">
        <v>2020</v>
      </c>
      <c r="B129" s="258" t="s">
        <v>259</v>
      </c>
      <c r="C129" s="60">
        <f>COUNTIFS('Raw Annual DMR Data'!$B:$B,A129,'Raw Annual DMR Data'!$M:$M,B129)</f>
        <v>3</v>
      </c>
      <c r="D129" s="267">
        <f>IF(C129&gt;0,AVERAGEIFS('Raw Annual DMR Data'!$T:$T, 'Raw Annual DMR Data'!$B:$B,A129,'Raw Annual DMR Data'!$M:$M,B129), "There are no entries to calculate Generic Factor")</f>
        <v>0</v>
      </c>
      <c r="E129" s="57"/>
    </row>
    <row r="130" spans="1:5" ht="15.6" customHeight="1" x14ac:dyDescent="0.25">
      <c r="A130" s="266">
        <v>2020</v>
      </c>
      <c r="B130" s="258" t="s">
        <v>2510</v>
      </c>
      <c r="C130" s="60">
        <f>COUNTIFS('Raw Annual DMR Data'!$B:$B,A130,'Raw Annual DMR Data'!$M:$M,B130)</f>
        <v>0</v>
      </c>
      <c r="D130" s="267" t="str">
        <f>IF(C130&gt;0,AVERAGEIFS('Raw Annual DMR Data'!$T:$T, 'Raw Annual DMR Data'!$B:$B,A130,'Raw Annual DMR Data'!$M:$M,B130), "There are no entries to calculate Generic Factor")</f>
        <v>There are no entries to calculate Generic Factor</v>
      </c>
      <c r="E130" s="57"/>
    </row>
    <row r="131" spans="1:5" ht="15.6" customHeight="1" x14ac:dyDescent="0.25">
      <c r="A131" s="266">
        <v>2020</v>
      </c>
      <c r="B131" s="257" t="s">
        <v>2511</v>
      </c>
      <c r="C131" s="60">
        <f>COUNTIFS('Raw Annual DMR Data'!$B:$B,A131,'Raw Annual DMR Data'!$M:$M,B131)</f>
        <v>0</v>
      </c>
      <c r="D131" s="267" t="str">
        <f>IF(C131&gt;0,AVERAGEIFS('Raw Annual DMR Data'!$T:$T, 'Raw Annual DMR Data'!$B:$B,A131,'Raw Annual DMR Data'!$M:$M,B131), "There are no entries to calculate Generic Factor")</f>
        <v>There are no entries to calculate Generic Factor</v>
      </c>
      <c r="E131" s="57"/>
    </row>
    <row r="132" spans="1:5" ht="15.6" customHeight="1" x14ac:dyDescent="0.25">
      <c r="A132" s="266">
        <v>2020</v>
      </c>
      <c r="B132" s="257" t="s">
        <v>2512</v>
      </c>
      <c r="C132" s="60">
        <f>COUNTIFS('Raw Annual DMR Data'!$B:$B,A132,'Raw Annual DMR Data'!$M:$M,B132)</f>
        <v>0</v>
      </c>
      <c r="D132" s="267" t="str">
        <f>IF(C132&gt;0,AVERAGEIFS('Raw Annual DMR Data'!$T:$T, 'Raw Annual DMR Data'!$B:$B,A132,'Raw Annual DMR Data'!$M:$M,B132), "There are no entries to calculate Generic Factor")</f>
        <v>There are no entries to calculate Generic Factor</v>
      </c>
      <c r="E132" s="57"/>
    </row>
    <row r="133" spans="1:5" ht="15.6" customHeight="1" x14ac:dyDescent="0.25">
      <c r="A133" s="266">
        <v>2020</v>
      </c>
      <c r="B133" s="258" t="s">
        <v>260</v>
      </c>
      <c r="C133" s="60">
        <f>COUNTIFS('Raw Annual DMR Data'!$B:$B,A133,'Raw Annual DMR Data'!$M:$M,B133)</f>
        <v>0</v>
      </c>
      <c r="D133" s="267" t="str">
        <f>IF(C133&gt;0,AVERAGEIFS('Raw Annual DMR Data'!$T:$T, 'Raw Annual DMR Data'!$B:$B,A133,'Raw Annual DMR Data'!$M:$M,B133), "There are no entries to calculate Generic Factor")</f>
        <v>There are no entries to calculate Generic Factor</v>
      </c>
      <c r="E133" s="57"/>
    </row>
    <row r="134" spans="1:5" ht="15.6" customHeight="1" x14ac:dyDescent="0.25">
      <c r="A134" s="266">
        <v>2020</v>
      </c>
      <c r="B134" s="258" t="s">
        <v>261</v>
      </c>
      <c r="C134" s="60">
        <f>COUNTIFS('Raw Annual DMR Data'!$B:$B,A134,'Raw Annual DMR Data'!$M:$M,B134)</f>
        <v>2</v>
      </c>
      <c r="D134" s="267">
        <f>IF(C134&gt;0,AVERAGEIFS('Raw Annual DMR Data'!$T:$T, 'Raw Annual DMR Data'!$B:$B,A134,'Raw Annual DMR Data'!$M:$M,B134), "There are no entries to calculate Generic Factor")</f>
        <v>0</v>
      </c>
      <c r="E134" s="57"/>
    </row>
    <row r="135" spans="1:5" ht="15.6" customHeight="1" x14ac:dyDescent="0.25">
      <c r="A135" s="266">
        <v>2020</v>
      </c>
      <c r="B135" s="258" t="s">
        <v>2514</v>
      </c>
      <c r="C135" s="60">
        <f>COUNTIFS('Raw Annual DMR Data'!$B:$B,A135,'Raw Annual DMR Data'!$M:$M,B135)</f>
        <v>0</v>
      </c>
      <c r="D135" s="267" t="str">
        <f>IF(C135&gt;0,AVERAGEIFS('Raw Annual DMR Data'!$T:$T, 'Raw Annual DMR Data'!$B:$B,A135,'Raw Annual DMR Data'!$M:$M,B135), "There are no entries to calculate Generic Factor")</f>
        <v>There are no entries to calculate Generic Factor</v>
      </c>
      <c r="E135" s="57"/>
    </row>
    <row r="136" spans="1:5" ht="15.6" customHeight="1" x14ac:dyDescent="0.25">
      <c r="A136" s="266">
        <v>2020</v>
      </c>
      <c r="B136" s="258" t="s">
        <v>262</v>
      </c>
      <c r="C136" s="60">
        <f>COUNTIFS('Raw Annual DMR Data'!$B:$B,A136,'Raw Annual DMR Data'!$M:$M,B136)</f>
        <v>0</v>
      </c>
      <c r="D136" s="267" t="str">
        <f>IF(C136&gt;0,AVERAGEIFS('Raw Annual DMR Data'!$T:$T, 'Raw Annual DMR Data'!$B:$B,A136,'Raw Annual DMR Data'!$M:$M,B136), "There are no entries to calculate Generic Factor")</f>
        <v>There are no entries to calculate Generic Factor</v>
      </c>
      <c r="E136" s="57"/>
    </row>
    <row r="137" spans="1:5" ht="15.6" customHeight="1" x14ac:dyDescent="0.25">
      <c r="A137" s="266">
        <v>2020</v>
      </c>
      <c r="B137" s="258" t="s">
        <v>263</v>
      </c>
      <c r="C137" s="60">
        <f>COUNTIFS('Raw Annual DMR Data'!$B:$B,A137,'Raw Annual DMR Data'!$M:$M,B137)</f>
        <v>75</v>
      </c>
      <c r="D137" s="267">
        <f>IF(C137&gt;0,AVERAGEIFS('Raw Annual DMR Data'!$T:$T, 'Raw Annual DMR Data'!$B:$B,A137,'Raw Annual DMR Data'!$M:$M,B137), "There are no entries to calculate Generic Factor")</f>
        <v>0</v>
      </c>
      <c r="E137" s="57"/>
    </row>
    <row r="138" spans="1:5" ht="15.6" customHeight="1" x14ac:dyDescent="0.25">
      <c r="A138" s="266">
        <v>2020</v>
      </c>
      <c r="B138" s="258" t="s">
        <v>264</v>
      </c>
      <c r="C138" s="60">
        <f>COUNTIFS('Raw Annual DMR Data'!$B:$B,A138,'Raw Annual DMR Data'!$M:$M,B138)</f>
        <v>20</v>
      </c>
      <c r="D138" s="267">
        <f>IF(C138&gt;0,AVERAGEIFS('Raw Annual DMR Data'!$T:$T, 'Raw Annual DMR Data'!$B:$B,A138,'Raw Annual DMR Data'!$M:$M,B138), "There are no entries to calculate Generic Factor")</f>
        <v>0</v>
      </c>
      <c r="E138" s="57"/>
    </row>
    <row r="139" spans="1:5" ht="15.6" customHeight="1" x14ac:dyDescent="0.25">
      <c r="A139" s="269">
        <v>2020</v>
      </c>
      <c r="B139" s="259" t="s">
        <v>265</v>
      </c>
      <c r="C139" s="60">
        <f>COUNTIFS('Raw Annual DMR Data'!$B:$B,A139,'Raw Annual DMR Data'!$M:$M,B139)</f>
        <v>110</v>
      </c>
      <c r="D139" s="267">
        <f>IF(C139&gt;0,AVERAGEIFS('Raw Annual DMR Data'!$T:$T, 'Raw Annual DMR Data'!$B:$B,A139,'Raw Annual DMR Data'!$M:$M,B139), "There are no entries to calculate Generic Factor")</f>
        <v>0</v>
      </c>
      <c r="E139" s="270"/>
    </row>
  </sheetData>
  <sheetProtection sheet="1" objects="1" scenarios="1" formatCells="0" formatColumns="0" formatRows="0"/>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D5EBC-D359-4F98-B29E-E1FDFA9C0401}">
  <sheetPr>
    <tabColor theme="9" tint="0.59999389629810485"/>
  </sheetPr>
  <dimension ref="A1:C21"/>
  <sheetViews>
    <sheetView workbookViewId="0">
      <selection activeCell="R17" sqref="R17"/>
    </sheetView>
  </sheetViews>
  <sheetFormatPr defaultRowHeight="15" x14ac:dyDescent="0.25"/>
  <cols>
    <col min="1" max="1" width="66.5703125" customWidth="1"/>
    <col min="2" max="2" width="11.5703125" customWidth="1"/>
  </cols>
  <sheetData>
    <row r="1" spans="1:3" x14ac:dyDescent="0.25">
      <c r="A1" s="59" t="s">
        <v>2521</v>
      </c>
      <c r="B1" s="59"/>
    </row>
    <row r="2" spans="1:3" x14ac:dyDescent="0.25">
      <c r="A2" s="59" t="s">
        <v>2522</v>
      </c>
      <c r="B2" s="59"/>
    </row>
    <row r="3" spans="1:3" x14ac:dyDescent="0.25">
      <c r="A3" s="59" t="s">
        <v>2428</v>
      </c>
      <c r="B3" s="59"/>
    </row>
    <row r="5" spans="1:3" ht="30" x14ac:dyDescent="0.25">
      <c r="A5" s="99" t="s">
        <v>2523</v>
      </c>
      <c r="B5" s="100">
        <f>COUNTA(_xlfn.UNIQUE('Raw TRI Data'!C:C))-2</f>
        <v>44</v>
      </c>
    </row>
    <row r="6" spans="1:3" x14ac:dyDescent="0.25">
      <c r="A6" s="101" t="s">
        <v>2524</v>
      </c>
      <c r="B6" s="102">
        <f>OES!D18</f>
        <v>247</v>
      </c>
      <c r="C6" s="110" t="s">
        <v>2525</v>
      </c>
    </row>
    <row r="7" spans="1:3" ht="30" x14ac:dyDescent="0.25">
      <c r="A7" s="101" t="s">
        <v>2526</v>
      </c>
      <c r="B7" s="102">
        <f>COUNTA(_xlfn.UNIQUE(#REF!))-2</f>
        <v>-1</v>
      </c>
    </row>
    <row r="8" spans="1:3" x14ac:dyDescent="0.25">
      <c r="A8" s="101" t="s">
        <v>2527</v>
      </c>
      <c r="B8" s="102">
        <f>OES!C18</f>
        <v>2419</v>
      </c>
    </row>
    <row r="9" spans="1:3" ht="30" x14ac:dyDescent="0.25">
      <c r="A9" s="103" t="s">
        <v>2528</v>
      </c>
      <c r="B9" s="104">
        <f>B5+B7</f>
        <v>43</v>
      </c>
    </row>
    <row r="10" spans="1:3" ht="30" x14ac:dyDescent="0.25">
      <c r="A10" s="101" t="s">
        <v>2529</v>
      </c>
      <c r="B10" s="102">
        <f>B8+B6</f>
        <v>2666</v>
      </c>
    </row>
    <row r="11" spans="1:3" x14ac:dyDescent="0.25">
      <c r="A11" s="105" t="s">
        <v>2530</v>
      </c>
      <c r="B11" s="102">
        <f>OES!C17+OES!D17</f>
        <v>1556</v>
      </c>
      <c r="C11" s="73"/>
    </row>
    <row r="12" spans="1:3" x14ac:dyDescent="0.25">
      <c r="A12" s="105" t="s">
        <v>2531</v>
      </c>
      <c r="B12" s="102">
        <f>SUMIFS(OES!C:C, OES!A:A, "Unknown")+SUMIFS(OES!D:D,OES!A:A, "Unknown")</f>
        <v>1015</v>
      </c>
      <c r="C12" s="73"/>
    </row>
    <row r="13" spans="1:3" x14ac:dyDescent="0.25">
      <c r="A13" s="106" t="s">
        <v>2532</v>
      </c>
      <c r="B13" s="107">
        <f>B11/(B6+B8)</f>
        <v>0.58364591147786948</v>
      </c>
      <c r="C13" s="73"/>
    </row>
    <row r="14" spans="1:3" ht="30" x14ac:dyDescent="0.25">
      <c r="A14" s="101" t="s">
        <v>2533</v>
      </c>
      <c r="B14" s="102">
        <f>COUNTIF('Discharge Summary'!N:N, "&gt;0")+COUNTIF('Discharge Summary'!S:S, "&gt;0")</f>
        <v>405</v>
      </c>
    </row>
    <row r="15" spans="1:3" x14ac:dyDescent="0.25">
      <c r="A15" s="103" t="s">
        <v>2534</v>
      </c>
      <c r="B15" s="107">
        <f>B14/$B$9</f>
        <v>9.4186046511627914</v>
      </c>
    </row>
    <row r="16" spans="1:3" ht="30" x14ac:dyDescent="0.25">
      <c r="A16" s="101" t="s">
        <v>2535</v>
      </c>
      <c r="B16" s="102">
        <f>COUNTIF('Discharge Summary'!O:O, "&gt;0")+COUNTIF('Discharge Summary'!T:T, "&gt;0")</f>
        <v>405</v>
      </c>
    </row>
    <row r="17" spans="1:3" ht="30" x14ac:dyDescent="0.25">
      <c r="A17" s="103" t="s">
        <v>2536</v>
      </c>
      <c r="B17" s="107">
        <f>B16/$B$9</f>
        <v>9.4186046511627914</v>
      </c>
    </row>
    <row r="18" spans="1:3" ht="30" x14ac:dyDescent="0.25">
      <c r="A18" s="101" t="s">
        <v>2537</v>
      </c>
      <c r="B18" s="102">
        <f>COUNTIF('Discharge Summary'!W:W, "&gt;0")+COUNTIF('Discharge Summary'!AA:AA, "&gt;0")</f>
        <v>8</v>
      </c>
    </row>
    <row r="19" spans="1:3" ht="30" x14ac:dyDescent="0.25">
      <c r="A19" s="103" t="s">
        <v>2538</v>
      </c>
      <c r="B19" s="107">
        <f>B18/$B$9</f>
        <v>0.18604651162790697</v>
      </c>
      <c r="C19" t="s">
        <v>2539</v>
      </c>
    </row>
    <row r="20" spans="1:3" ht="30" x14ac:dyDescent="0.25">
      <c r="A20" s="101" t="s">
        <v>2540</v>
      </c>
      <c r="B20" s="102">
        <f>COUNTIF('Discharge Summary'!AE:AE, "&gt;0")</f>
        <v>8</v>
      </c>
    </row>
    <row r="21" spans="1:3" ht="30" x14ac:dyDescent="0.25">
      <c r="A21" s="108" t="s">
        <v>2541</v>
      </c>
      <c r="B21" s="109">
        <f>B20/$B$9</f>
        <v>0.18604651162790697</v>
      </c>
      <c r="C21" t="s">
        <v>2539</v>
      </c>
    </row>
  </sheetData>
  <sheetProtection sheet="1" objects="1" scenarios="1" formatCells="0" formatColumns="0" formatRows="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0BC49-84AB-4F1C-99F5-8693696F3ACA}">
  <sheetPr>
    <tabColor theme="0" tint="-0.14999847407452621"/>
  </sheetPr>
  <dimension ref="A1:E2166"/>
  <sheetViews>
    <sheetView workbookViewId="0"/>
  </sheetViews>
  <sheetFormatPr defaultRowHeight="15" x14ac:dyDescent="0.25"/>
  <cols>
    <col min="1" max="1" width="5.5703125" customWidth="1"/>
    <col min="2" max="2" width="82.42578125" customWidth="1"/>
    <col min="4" max="4" width="9.140625" style="179" customWidth="1"/>
    <col min="5" max="5" width="72.140625" style="179" customWidth="1"/>
  </cols>
  <sheetData>
    <row r="1" spans="1:5" ht="38.25" x14ac:dyDescent="0.25">
      <c r="A1" s="181" t="s">
        <v>2542</v>
      </c>
      <c r="B1" s="182" t="s">
        <v>2543</v>
      </c>
      <c r="D1" s="18" t="s">
        <v>2544</v>
      </c>
      <c r="E1" s="180" t="s">
        <v>2545</v>
      </c>
    </row>
    <row r="2" spans="1:5" x14ac:dyDescent="0.25">
      <c r="A2" s="183">
        <v>111</v>
      </c>
      <c r="B2" s="184" t="s">
        <v>2546</v>
      </c>
      <c r="D2" s="19">
        <v>111110</v>
      </c>
      <c r="E2" s="19" t="s">
        <v>2547</v>
      </c>
    </row>
    <row r="3" spans="1:5" x14ac:dyDescent="0.25">
      <c r="A3" s="183">
        <v>112</v>
      </c>
      <c r="B3" s="184" t="s">
        <v>2548</v>
      </c>
      <c r="D3" s="19">
        <v>111120</v>
      </c>
      <c r="E3" s="19" t="s">
        <v>2549</v>
      </c>
    </row>
    <row r="4" spans="1:5" x14ac:dyDescent="0.25">
      <c r="A4" s="183">
        <v>115</v>
      </c>
      <c r="B4" s="184" t="s">
        <v>2550</v>
      </c>
      <c r="D4" s="19">
        <v>111130</v>
      </c>
      <c r="E4" s="19" t="s">
        <v>2551</v>
      </c>
    </row>
    <row r="5" spans="1:5" x14ac:dyDescent="0.25">
      <c r="A5" s="183">
        <v>116</v>
      </c>
      <c r="B5" s="184" t="s">
        <v>2552</v>
      </c>
      <c r="D5" s="19">
        <v>111140</v>
      </c>
      <c r="E5" s="19" t="s">
        <v>2553</v>
      </c>
    </row>
    <row r="6" spans="1:5" x14ac:dyDescent="0.25">
      <c r="A6" s="183">
        <v>119</v>
      </c>
      <c r="B6" s="184" t="s">
        <v>2554</v>
      </c>
      <c r="D6" s="19">
        <v>111150</v>
      </c>
      <c r="E6" s="19" t="s">
        <v>2555</v>
      </c>
    </row>
    <row r="7" spans="1:5" x14ac:dyDescent="0.25">
      <c r="A7" s="183">
        <v>119</v>
      </c>
      <c r="B7" s="184" t="s">
        <v>2556</v>
      </c>
      <c r="D7" s="19">
        <v>111160</v>
      </c>
      <c r="E7" s="19" t="s">
        <v>2557</v>
      </c>
    </row>
    <row r="8" spans="1:5" x14ac:dyDescent="0.25">
      <c r="A8" s="183">
        <v>119</v>
      </c>
      <c r="B8" s="184" t="s">
        <v>2558</v>
      </c>
      <c r="D8" s="19">
        <v>111191</v>
      </c>
      <c r="E8" s="19" t="s">
        <v>2559</v>
      </c>
    </row>
    <row r="9" spans="1:5" x14ac:dyDescent="0.25">
      <c r="A9" s="183">
        <v>119</v>
      </c>
      <c r="B9" s="184" t="s">
        <v>2560</v>
      </c>
      <c r="D9" s="19">
        <v>111199</v>
      </c>
      <c r="E9" s="19" t="s">
        <v>2561</v>
      </c>
    </row>
    <row r="10" spans="1:5" ht="25.5" x14ac:dyDescent="0.25">
      <c r="A10" s="183">
        <v>119</v>
      </c>
      <c r="B10" s="184" t="s">
        <v>2562</v>
      </c>
      <c r="D10" s="19">
        <v>111211</v>
      </c>
      <c r="E10" s="19" t="s">
        <v>2563</v>
      </c>
    </row>
    <row r="11" spans="1:5" x14ac:dyDescent="0.25">
      <c r="A11" s="183">
        <v>131</v>
      </c>
      <c r="B11" s="184" t="s">
        <v>2564</v>
      </c>
      <c r="D11" s="19">
        <v>111219</v>
      </c>
      <c r="E11" s="19" t="s">
        <v>2565</v>
      </c>
    </row>
    <row r="12" spans="1:5" x14ac:dyDescent="0.25">
      <c r="A12" s="183">
        <v>132</v>
      </c>
      <c r="B12" s="184" t="s">
        <v>2566</v>
      </c>
      <c r="D12" s="19">
        <v>111310</v>
      </c>
      <c r="E12" s="19" t="s">
        <v>2567</v>
      </c>
    </row>
    <row r="13" spans="1:5" x14ac:dyDescent="0.25">
      <c r="A13" s="183">
        <v>133</v>
      </c>
      <c r="B13" s="184" t="s">
        <v>2568</v>
      </c>
      <c r="D13" s="19">
        <v>111320</v>
      </c>
      <c r="E13" s="19" t="s">
        <v>2569</v>
      </c>
    </row>
    <row r="14" spans="1:5" x14ac:dyDescent="0.25">
      <c r="A14" s="183">
        <v>133</v>
      </c>
      <c r="B14" s="184" t="s">
        <v>2570</v>
      </c>
      <c r="D14" s="19">
        <v>111331</v>
      </c>
      <c r="E14" s="19" t="s">
        <v>2571</v>
      </c>
    </row>
    <row r="15" spans="1:5" x14ac:dyDescent="0.25">
      <c r="A15" s="183">
        <v>134</v>
      </c>
      <c r="B15" s="184" t="s">
        <v>2572</v>
      </c>
      <c r="D15" s="19">
        <v>111332</v>
      </c>
      <c r="E15" s="19" t="s">
        <v>2573</v>
      </c>
    </row>
    <row r="16" spans="1:5" x14ac:dyDescent="0.25">
      <c r="A16" s="183">
        <v>139</v>
      </c>
      <c r="B16" s="184" t="s">
        <v>2574</v>
      </c>
      <c r="D16" s="19">
        <v>111333</v>
      </c>
      <c r="E16" s="19" t="s">
        <v>2575</v>
      </c>
    </row>
    <row r="17" spans="1:5" x14ac:dyDescent="0.25">
      <c r="A17" s="183">
        <v>139</v>
      </c>
      <c r="B17" s="184" t="s">
        <v>2576</v>
      </c>
      <c r="D17" s="19">
        <v>111334</v>
      </c>
      <c r="E17" s="19" t="s">
        <v>2577</v>
      </c>
    </row>
    <row r="18" spans="1:5" x14ac:dyDescent="0.25">
      <c r="A18" s="183">
        <v>139</v>
      </c>
      <c r="B18" s="184" t="s">
        <v>2578</v>
      </c>
      <c r="D18" s="19">
        <v>111335</v>
      </c>
      <c r="E18" s="19" t="s">
        <v>2579</v>
      </c>
    </row>
    <row r="19" spans="1:5" x14ac:dyDescent="0.25">
      <c r="A19" s="183">
        <v>139</v>
      </c>
      <c r="B19" s="184" t="s">
        <v>2580</v>
      </c>
      <c r="D19" s="19">
        <v>111336</v>
      </c>
      <c r="E19" s="19" t="s">
        <v>2581</v>
      </c>
    </row>
    <row r="20" spans="1:5" ht="25.5" x14ac:dyDescent="0.25">
      <c r="A20" s="183">
        <v>139</v>
      </c>
      <c r="B20" s="184" t="s">
        <v>2582</v>
      </c>
      <c r="D20" s="19">
        <v>111339</v>
      </c>
      <c r="E20" s="19" t="s">
        <v>2583</v>
      </c>
    </row>
    <row r="21" spans="1:5" x14ac:dyDescent="0.25">
      <c r="A21" s="183">
        <v>161</v>
      </c>
      <c r="B21" s="184" t="s">
        <v>2584</v>
      </c>
      <c r="D21" s="19">
        <v>111411</v>
      </c>
      <c r="E21" s="19" t="s">
        <v>2585</v>
      </c>
    </row>
    <row r="22" spans="1:5" x14ac:dyDescent="0.25">
      <c r="A22" s="183">
        <v>171</v>
      </c>
      <c r="B22" s="184" t="s">
        <v>2586</v>
      </c>
      <c r="D22" s="19">
        <v>111419</v>
      </c>
      <c r="E22" s="19" t="s">
        <v>2587</v>
      </c>
    </row>
    <row r="23" spans="1:5" x14ac:dyDescent="0.25">
      <c r="A23" s="183">
        <v>171</v>
      </c>
      <c r="B23" s="184" t="s">
        <v>2588</v>
      </c>
      <c r="D23" s="19">
        <v>111421</v>
      </c>
      <c r="E23" s="19" t="s">
        <v>2589</v>
      </c>
    </row>
    <row r="24" spans="1:5" x14ac:dyDescent="0.25">
      <c r="A24" s="183">
        <v>172</v>
      </c>
      <c r="B24" s="184" t="s">
        <v>2590</v>
      </c>
      <c r="D24" s="19">
        <v>111422</v>
      </c>
      <c r="E24" s="19" t="s">
        <v>2591</v>
      </c>
    </row>
    <row r="25" spans="1:5" x14ac:dyDescent="0.25">
      <c r="A25" s="183">
        <v>173</v>
      </c>
      <c r="B25" s="184" t="s">
        <v>2592</v>
      </c>
      <c r="D25" s="19">
        <v>111910</v>
      </c>
      <c r="E25" s="19" t="s">
        <v>2593</v>
      </c>
    </row>
    <row r="26" spans="1:5" x14ac:dyDescent="0.25">
      <c r="A26" s="183">
        <v>174</v>
      </c>
      <c r="B26" s="184" t="s">
        <v>2594</v>
      </c>
      <c r="D26" s="19">
        <v>111920</v>
      </c>
      <c r="E26" s="19" t="s">
        <v>2595</v>
      </c>
    </row>
    <row r="27" spans="1:5" x14ac:dyDescent="0.25">
      <c r="A27" s="183">
        <v>174</v>
      </c>
      <c r="B27" s="184" t="s">
        <v>2596</v>
      </c>
      <c r="D27" s="19">
        <v>111930</v>
      </c>
      <c r="E27" s="19" t="s">
        <v>2597</v>
      </c>
    </row>
    <row r="28" spans="1:5" x14ac:dyDescent="0.25">
      <c r="A28" s="183">
        <v>175</v>
      </c>
      <c r="B28" s="184" t="s">
        <v>2598</v>
      </c>
      <c r="D28" s="19">
        <v>111940</v>
      </c>
      <c r="E28" s="19" t="s">
        <v>2599</v>
      </c>
    </row>
    <row r="29" spans="1:5" x14ac:dyDescent="0.25">
      <c r="A29" s="183">
        <v>175</v>
      </c>
      <c r="B29" s="184" t="s">
        <v>2600</v>
      </c>
      <c r="D29" s="19">
        <v>111991</v>
      </c>
      <c r="E29" s="19" t="s">
        <v>2601</v>
      </c>
    </row>
    <row r="30" spans="1:5" x14ac:dyDescent="0.25">
      <c r="A30" s="183">
        <v>179</v>
      </c>
      <c r="B30" s="184" t="s">
        <v>2602</v>
      </c>
      <c r="D30" s="19">
        <v>111992</v>
      </c>
      <c r="E30" s="19" t="s">
        <v>2603</v>
      </c>
    </row>
    <row r="31" spans="1:5" x14ac:dyDescent="0.25">
      <c r="A31" s="183">
        <v>179</v>
      </c>
      <c r="B31" s="184" t="s">
        <v>2604</v>
      </c>
      <c r="D31" s="19">
        <v>111998</v>
      </c>
      <c r="E31" s="19" t="s">
        <v>2605</v>
      </c>
    </row>
    <row r="32" spans="1:5" x14ac:dyDescent="0.25">
      <c r="A32" s="183">
        <v>181</v>
      </c>
      <c r="B32" s="184" t="s">
        <v>2606</v>
      </c>
      <c r="D32" s="19">
        <v>112111</v>
      </c>
      <c r="E32" s="19" t="s">
        <v>2607</v>
      </c>
    </row>
    <row r="33" spans="1:5" x14ac:dyDescent="0.25">
      <c r="A33" s="183">
        <v>181</v>
      </c>
      <c r="B33" s="184" t="s">
        <v>2608</v>
      </c>
      <c r="D33" s="19">
        <v>112112</v>
      </c>
      <c r="E33" s="19" t="s">
        <v>2609</v>
      </c>
    </row>
    <row r="34" spans="1:5" x14ac:dyDescent="0.25">
      <c r="A34" s="183">
        <v>182</v>
      </c>
      <c r="B34" s="184" t="s">
        <v>2610</v>
      </c>
      <c r="D34" s="19">
        <v>112120</v>
      </c>
      <c r="E34" s="19" t="s">
        <v>2611</v>
      </c>
    </row>
    <row r="35" spans="1:5" x14ac:dyDescent="0.25">
      <c r="A35" s="183">
        <v>182</v>
      </c>
      <c r="B35" s="184" t="s">
        <v>2612</v>
      </c>
      <c r="D35" s="19">
        <v>112130</v>
      </c>
      <c r="E35" s="19" t="s">
        <v>2613</v>
      </c>
    </row>
    <row r="36" spans="1:5" x14ac:dyDescent="0.25">
      <c r="A36" s="183">
        <v>191</v>
      </c>
      <c r="B36" s="184" t="s">
        <v>2614</v>
      </c>
      <c r="D36" s="19">
        <v>112210</v>
      </c>
      <c r="E36" s="19" t="s">
        <v>2615</v>
      </c>
    </row>
    <row r="37" spans="1:5" x14ac:dyDescent="0.25">
      <c r="A37" s="183">
        <v>211</v>
      </c>
      <c r="B37" s="184" t="s">
        <v>2616</v>
      </c>
      <c r="D37" s="19">
        <v>112310</v>
      </c>
      <c r="E37" s="19" t="s">
        <v>2617</v>
      </c>
    </row>
    <row r="38" spans="1:5" x14ac:dyDescent="0.25">
      <c r="A38" s="183">
        <v>212</v>
      </c>
      <c r="B38" s="184" t="s">
        <v>2618</v>
      </c>
      <c r="D38" s="19">
        <v>112320</v>
      </c>
      <c r="E38" s="19" t="s">
        <v>2619</v>
      </c>
    </row>
    <row r="39" spans="1:5" x14ac:dyDescent="0.25">
      <c r="A39" s="183">
        <v>213</v>
      </c>
      <c r="B39" s="184" t="s">
        <v>2620</v>
      </c>
      <c r="D39" s="19">
        <v>112330</v>
      </c>
      <c r="E39" s="19" t="s">
        <v>2621</v>
      </c>
    </row>
    <row r="40" spans="1:5" x14ac:dyDescent="0.25">
      <c r="A40" s="183">
        <v>214</v>
      </c>
      <c r="B40" s="184" t="s">
        <v>2622</v>
      </c>
      <c r="D40" s="19">
        <v>112340</v>
      </c>
      <c r="E40" s="19" t="s">
        <v>2623</v>
      </c>
    </row>
    <row r="41" spans="1:5" x14ac:dyDescent="0.25">
      <c r="A41" s="183">
        <v>214</v>
      </c>
      <c r="B41" s="184" t="s">
        <v>2624</v>
      </c>
      <c r="D41" s="19">
        <v>112390</v>
      </c>
      <c r="E41" s="19" t="s">
        <v>2625</v>
      </c>
    </row>
    <row r="42" spans="1:5" x14ac:dyDescent="0.25">
      <c r="A42" s="183">
        <v>219</v>
      </c>
      <c r="B42" s="184" t="s">
        <v>2626</v>
      </c>
      <c r="D42" s="19">
        <v>112410</v>
      </c>
      <c r="E42" s="19" t="s">
        <v>2627</v>
      </c>
    </row>
    <row r="43" spans="1:5" x14ac:dyDescent="0.25">
      <c r="A43" s="183">
        <v>241</v>
      </c>
      <c r="B43" s="184" t="s">
        <v>2628</v>
      </c>
      <c r="D43" s="19">
        <v>112420</v>
      </c>
      <c r="E43" s="19" t="s">
        <v>2629</v>
      </c>
    </row>
    <row r="44" spans="1:5" x14ac:dyDescent="0.25">
      <c r="A44" s="183">
        <v>241</v>
      </c>
      <c r="B44" s="184" t="s">
        <v>2630</v>
      </c>
      <c r="D44" s="19">
        <v>112511</v>
      </c>
      <c r="E44" s="19" t="s">
        <v>2631</v>
      </c>
    </row>
    <row r="45" spans="1:5" x14ac:dyDescent="0.25">
      <c r="A45" s="183">
        <v>251</v>
      </c>
      <c r="B45" s="184" t="s">
        <v>2632</v>
      </c>
      <c r="D45" s="19">
        <v>112512</v>
      </c>
      <c r="E45" s="19" t="s">
        <v>2633</v>
      </c>
    </row>
    <row r="46" spans="1:5" x14ac:dyDescent="0.25">
      <c r="A46" s="183">
        <v>252</v>
      </c>
      <c r="B46" s="184" t="s">
        <v>2634</v>
      </c>
      <c r="D46" s="19">
        <v>112519</v>
      </c>
      <c r="E46" s="19" t="s">
        <v>2635</v>
      </c>
    </row>
    <row r="47" spans="1:5" x14ac:dyDescent="0.25">
      <c r="A47" s="183">
        <v>253</v>
      </c>
      <c r="B47" s="184" t="s">
        <v>2636</v>
      </c>
      <c r="D47" s="19">
        <v>112910</v>
      </c>
      <c r="E47" s="19" t="s">
        <v>2637</v>
      </c>
    </row>
    <row r="48" spans="1:5" x14ac:dyDescent="0.25">
      <c r="A48" s="183">
        <v>254</v>
      </c>
      <c r="B48" s="184" t="s">
        <v>2623</v>
      </c>
      <c r="D48" s="19">
        <v>112920</v>
      </c>
      <c r="E48" s="19" t="s">
        <v>2638</v>
      </c>
    </row>
    <row r="49" spans="1:5" x14ac:dyDescent="0.25">
      <c r="A49" s="183">
        <v>259</v>
      </c>
      <c r="B49" s="184" t="s">
        <v>2639</v>
      </c>
      <c r="D49" s="19">
        <v>112930</v>
      </c>
      <c r="E49" s="19" t="s">
        <v>2640</v>
      </c>
    </row>
    <row r="50" spans="1:5" x14ac:dyDescent="0.25">
      <c r="A50" s="183">
        <v>271</v>
      </c>
      <c r="B50" s="184" t="s">
        <v>2641</v>
      </c>
      <c r="D50" s="19">
        <v>112990</v>
      </c>
      <c r="E50" s="19" t="s">
        <v>2642</v>
      </c>
    </row>
    <row r="51" spans="1:5" x14ac:dyDescent="0.25">
      <c r="A51" s="183">
        <v>272</v>
      </c>
      <c r="B51" s="184" t="s">
        <v>2643</v>
      </c>
      <c r="D51" s="19">
        <v>113110</v>
      </c>
      <c r="E51" s="19" t="s">
        <v>2644</v>
      </c>
    </row>
    <row r="52" spans="1:5" x14ac:dyDescent="0.25">
      <c r="A52" s="183">
        <v>273</v>
      </c>
      <c r="B52" s="184" t="s">
        <v>2645</v>
      </c>
      <c r="D52" s="19">
        <v>113210</v>
      </c>
      <c r="E52" s="19" t="s">
        <v>2646</v>
      </c>
    </row>
    <row r="53" spans="1:5" x14ac:dyDescent="0.25">
      <c r="A53" s="183">
        <v>273</v>
      </c>
      <c r="B53" s="184" t="s">
        <v>2647</v>
      </c>
      <c r="D53" s="19">
        <v>113310</v>
      </c>
      <c r="E53" s="19" t="s">
        <v>2648</v>
      </c>
    </row>
    <row r="54" spans="1:5" x14ac:dyDescent="0.25">
      <c r="A54" s="183">
        <v>273</v>
      </c>
      <c r="B54" s="184" t="s">
        <v>2649</v>
      </c>
      <c r="D54" s="19">
        <v>114111</v>
      </c>
      <c r="E54" s="19" t="s">
        <v>2650</v>
      </c>
    </row>
    <row r="55" spans="1:5" x14ac:dyDescent="0.25">
      <c r="A55" s="183">
        <v>279</v>
      </c>
      <c r="B55" s="184" t="s">
        <v>2651</v>
      </c>
      <c r="D55" s="19">
        <v>114112</v>
      </c>
      <c r="E55" s="19" t="s">
        <v>2652</v>
      </c>
    </row>
    <row r="56" spans="1:5" x14ac:dyDescent="0.25">
      <c r="A56" s="183">
        <v>279</v>
      </c>
      <c r="B56" s="184" t="s">
        <v>2653</v>
      </c>
      <c r="D56" s="19">
        <v>114119</v>
      </c>
      <c r="E56" s="19" t="s">
        <v>2654</v>
      </c>
    </row>
    <row r="57" spans="1:5" x14ac:dyDescent="0.25">
      <c r="A57" s="183">
        <v>279</v>
      </c>
      <c r="B57" s="184" t="s">
        <v>2655</v>
      </c>
      <c r="D57" s="19">
        <v>114210</v>
      </c>
      <c r="E57" s="19" t="s">
        <v>2656</v>
      </c>
    </row>
    <row r="58" spans="1:5" x14ac:dyDescent="0.25">
      <c r="A58" s="183">
        <v>291</v>
      </c>
      <c r="B58" s="184" t="s">
        <v>2657</v>
      </c>
      <c r="D58" s="19">
        <v>115111</v>
      </c>
      <c r="E58" s="19" t="s">
        <v>2658</v>
      </c>
    </row>
    <row r="59" spans="1:5" x14ac:dyDescent="0.25">
      <c r="A59" s="183">
        <v>711</v>
      </c>
      <c r="B59" s="184" t="s">
        <v>2659</v>
      </c>
      <c r="D59" s="19">
        <v>115112</v>
      </c>
      <c r="E59" s="19" t="s">
        <v>2660</v>
      </c>
    </row>
    <row r="60" spans="1:5" x14ac:dyDescent="0.25">
      <c r="A60" s="183">
        <v>721</v>
      </c>
      <c r="B60" s="184" t="s">
        <v>2661</v>
      </c>
      <c r="D60" s="19">
        <v>115113</v>
      </c>
      <c r="E60" s="19" t="s">
        <v>2662</v>
      </c>
    </row>
    <row r="61" spans="1:5" x14ac:dyDescent="0.25">
      <c r="A61" s="183">
        <v>722</v>
      </c>
      <c r="B61" s="184" t="s">
        <v>2662</v>
      </c>
      <c r="D61" s="19">
        <v>115114</v>
      </c>
      <c r="E61" s="19" t="s">
        <v>2663</v>
      </c>
    </row>
    <row r="62" spans="1:5" x14ac:dyDescent="0.25">
      <c r="A62" s="183">
        <v>723</v>
      </c>
      <c r="B62" s="184" t="s">
        <v>2664</v>
      </c>
      <c r="D62" s="19">
        <v>115115</v>
      </c>
      <c r="E62" s="19" t="s">
        <v>2665</v>
      </c>
    </row>
    <row r="63" spans="1:5" x14ac:dyDescent="0.25">
      <c r="A63" s="183">
        <v>723</v>
      </c>
      <c r="B63" s="184" t="s">
        <v>2666</v>
      </c>
      <c r="D63" s="19">
        <v>115116</v>
      </c>
      <c r="E63" s="19" t="s">
        <v>2667</v>
      </c>
    </row>
    <row r="64" spans="1:5" x14ac:dyDescent="0.25">
      <c r="A64" s="183">
        <v>724</v>
      </c>
      <c r="B64" s="184" t="s">
        <v>2658</v>
      </c>
      <c r="D64" s="19">
        <v>115210</v>
      </c>
      <c r="E64" s="19" t="s">
        <v>2668</v>
      </c>
    </row>
    <row r="65" spans="1:5" x14ac:dyDescent="0.25">
      <c r="A65" s="183">
        <v>741</v>
      </c>
      <c r="B65" s="184" t="s">
        <v>2669</v>
      </c>
      <c r="D65" s="19">
        <v>115310</v>
      </c>
      <c r="E65" s="19" t="s">
        <v>2670</v>
      </c>
    </row>
    <row r="66" spans="1:5" x14ac:dyDescent="0.25">
      <c r="A66" s="183">
        <v>742</v>
      </c>
      <c r="B66" s="184" t="s">
        <v>2671</v>
      </c>
      <c r="D66" s="19">
        <v>211120</v>
      </c>
      <c r="E66" s="19" t="s">
        <v>2672</v>
      </c>
    </row>
    <row r="67" spans="1:5" x14ac:dyDescent="0.25">
      <c r="A67" s="183">
        <v>751</v>
      </c>
      <c r="B67" s="184" t="s">
        <v>2673</v>
      </c>
      <c r="D67" s="19">
        <v>211130</v>
      </c>
      <c r="E67" s="19" t="s">
        <v>2674</v>
      </c>
    </row>
    <row r="68" spans="1:5" x14ac:dyDescent="0.25">
      <c r="A68" s="183">
        <v>751</v>
      </c>
      <c r="B68" s="184" t="s">
        <v>2675</v>
      </c>
      <c r="D68" s="19">
        <v>212111</v>
      </c>
      <c r="E68" s="19" t="s">
        <v>2676</v>
      </c>
    </row>
    <row r="69" spans="1:5" ht="25.5" x14ac:dyDescent="0.25">
      <c r="A69" s="183">
        <v>752</v>
      </c>
      <c r="B69" s="184" t="s">
        <v>2677</v>
      </c>
      <c r="D69" s="19">
        <v>212112</v>
      </c>
      <c r="E69" s="19" t="s">
        <v>2678</v>
      </c>
    </row>
    <row r="70" spans="1:5" x14ac:dyDescent="0.25">
      <c r="A70" s="183">
        <v>752</v>
      </c>
      <c r="B70" s="184" t="s">
        <v>2679</v>
      </c>
      <c r="D70" s="21">
        <v>212113</v>
      </c>
      <c r="E70" s="19" t="s">
        <v>2680</v>
      </c>
    </row>
    <row r="71" spans="1:5" x14ac:dyDescent="0.25">
      <c r="A71" s="183">
        <v>761</v>
      </c>
      <c r="B71" s="184" t="s">
        <v>2665</v>
      </c>
      <c r="D71" s="21">
        <v>212113</v>
      </c>
      <c r="E71" s="19" t="s">
        <v>2681</v>
      </c>
    </row>
    <row r="72" spans="1:5" x14ac:dyDescent="0.25">
      <c r="A72" s="183">
        <v>762</v>
      </c>
      <c r="B72" s="184" t="s">
        <v>2667</v>
      </c>
      <c r="D72" s="19">
        <v>212210</v>
      </c>
      <c r="E72" s="19" t="s">
        <v>2682</v>
      </c>
    </row>
    <row r="73" spans="1:5" x14ac:dyDescent="0.25">
      <c r="A73" s="183">
        <v>781</v>
      </c>
      <c r="B73" s="184" t="s">
        <v>2683</v>
      </c>
      <c r="D73" s="19">
        <v>212221</v>
      </c>
      <c r="E73" s="19" t="s">
        <v>2684</v>
      </c>
    </row>
    <row r="74" spans="1:5" x14ac:dyDescent="0.25">
      <c r="A74" s="183">
        <v>781</v>
      </c>
      <c r="B74" s="184" t="s">
        <v>2685</v>
      </c>
      <c r="D74" s="19">
        <v>212222</v>
      </c>
      <c r="E74" s="19" t="s">
        <v>2686</v>
      </c>
    </row>
    <row r="75" spans="1:5" x14ac:dyDescent="0.25">
      <c r="A75" s="183">
        <v>782</v>
      </c>
      <c r="B75" s="184" t="s">
        <v>2687</v>
      </c>
      <c r="D75" s="19">
        <v>212230</v>
      </c>
      <c r="E75" s="19" t="s">
        <v>2688</v>
      </c>
    </row>
    <row r="76" spans="1:5" x14ac:dyDescent="0.25">
      <c r="A76" s="183">
        <v>783</v>
      </c>
      <c r="B76" s="184" t="s">
        <v>2689</v>
      </c>
      <c r="D76" s="19">
        <v>212291</v>
      </c>
      <c r="E76" s="19" t="s">
        <v>2690</v>
      </c>
    </row>
    <row r="77" spans="1:5" x14ac:dyDescent="0.25">
      <c r="A77" s="183">
        <v>811</v>
      </c>
      <c r="B77" s="184" t="s">
        <v>2691</v>
      </c>
      <c r="D77" s="19">
        <v>212299</v>
      </c>
      <c r="E77" s="19" t="s">
        <v>2692</v>
      </c>
    </row>
    <row r="78" spans="1:5" x14ac:dyDescent="0.25">
      <c r="A78" s="183">
        <v>811</v>
      </c>
      <c r="B78" s="184" t="s">
        <v>2693</v>
      </c>
      <c r="D78" s="19">
        <v>212311</v>
      </c>
      <c r="E78" s="19" t="s">
        <v>2694</v>
      </c>
    </row>
    <row r="79" spans="1:5" x14ac:dyDescent="0.25">
      <c r="A79" s="183">
        <v>831</v>
      </c>
      <c r="B79" s="184" t="s">
        <v>2695</v>
      </c>
      <c r="D79" s="19">
        <v>212312</v>
      </c>
      <c r="E79" s="19" t="s">
        <v>2696</v>
      </c>
    </row>
    <row r="80" spans="1:5" ht="25.5" x14ac:dyDescent="0.25">
      <c r="A80" s="183">
        <v>831</v>
      </c>
      <c r="B80" s="184" t="s">
        <v>2697</v>
      </c>
      <c r="D80" s="19">
        <v>212313</v>
      </c>
      <c r="E80" s="19" t="s">
        <v>2698</v>
      </c>
    </row>
    <row r="81" spans="1:5" x14ac:dyDescent="0.25">
      <c r="A81" s="183">
        <v>851</v>
      </c>
      <c r="B81" s="184" t="s">
        <v>2699</v>
      </c>
      <c r="D81" s="19">
        <v>212319</v>
      </c>
      <c r="E81" s="19" t="s">
        <v>2700</v>
      </c>
    </row>
    <row r="82" spans="1:5" x14ac:dyDescent="0.25">
      <c r="A82" s="183">
        <v>912</v>
      </c>
      <c r="B82" s="184" t="s">
        <v>2701</v>
      </c>
      <c r="D82" s="19">
        <v>212321</v>
      </c>
      <c r="E82" s="19" t="s">
        <v>2702</v>
      </c>
    </row>
    <row r="83" spans="1:5" x14ac:dyDescent="0.25">
      <c r="A83" s="183">
        <v>913</v>
      </c>
      <c r="B83" s="184" t="s">
        <v>2703</v>
      </c>
      <c r="D83" s="19">
        <v>212322</v>
      </c>
      <c r="E83" s="19" t="s">
        <v>2704</v>
      </c>
    </row>
    <row r="84" spans="1:5" x14ac:dyDescent="0.25">
      <c r="A84" s="183">
        <v>919</v>
      </c>
      <c r="B84" s="184" t="s">
        <v>2705</v>
      </c>
      <c r="D84" s="19">
        <v>212324</v>
      </c>
      <c r="E84" s="19" t="s">
        <v>2706</v>
      </c>
    </row>
    <row r="85" spans="1:5" x14ac:dyDescent="0.25">
      <c r="A85" s="183">
        <v>919</v>
      </c>
      <c r="B85" s="184" t="s">
        <v>2707</v>
      </c>
      <c r="D85" s="19">
        <v>212325</v>
      </c>
      <c r="E85" s="19" t="s">
        <v>2708</v>
      </c>
    </row>
    <row r="86" spans="1:5" x14ac:dyDescent="0.25">
      <c r="A86" s="183">
        <v>919</v>
      </c>
      <c r="B86" s="184" t="s">
        <v>2709</v>
      </c>
      <c r="D86" s="19">
        <v>212391</v>
      </c>
      <c r="E86" s="19" t="s">
        <v>2710</v>
      </c>
    </row>
    <row r="87" spans="1:5" ht="25.5" x14ac:dyDescent="0.25">
      <c r="A87" s="183">
        <v>919</v>
      </c>
      <c r="B87" s="184" t="s">
        <v>2711</v>
      </c>
      <c r="D87" s="19">
        <v>212392</v>
      </c>
      <c r="E87" s="19" t="s">
        <v>2712</v>
      </c>
    </row>
    <row r="88" spans="1:5" x14ac:dyDescent="0.25">
      <c r="A88" s="183">
        <v>921</v>
      </c>
      <c r="B88" s="184" t="s">
        <v>458</v>
      </c>
      <c r="D88" s="19">
        <v>212393</v>
      </c>
      <c r="E88" s="19" t="s">
        <v>2713</v>
      </c>
    </row>
    <row r="89" spans="1:5" x14ac:dyDescent="0.25">
      <c r="A89" s="183">
        <v>921</v>
      </c>
      <c r="B89" s="184" t="s">
        <v>2714</v>
      </c>
      <c r="D89" s="19">
        <v>212399</v>
      </c>
      <c r="E89" s="19" t="s">
        <v>2715</v>
      </c>
    </row>
    <row r="90" spans="1:5" x14ac:dyDescent="0.25">
      <c r="A90" s="183">
        <v>971</v>
      </c>
      <c r="B90" s="184" t="s">
        <v>2716</v>
      </c>
      <c r="D90" s="19">
        <v>213111</v>
      </c>
      <c r="E90" s="19" t="s">
        <v>2717</v>
      </c>
    </row>
    <row r="91" spans="1:5" x14ac:dyDescent="0.25">
      <c r="A91" s="183">
        <v>1011</v>
      </c>
      <c r="B91" s="184" t="s">
        <v>2718</v>
      </c>
      <c r="D91" s="19">
        <v>213112</v>
      </c>
      <c r="E91" s="19" t="s">
        <v>2719</v>
      </c>
    </row>
    <row r="92" spans="1:5" x14ac:dyDescent="0.25">
      <c r="A92" s="183">
        <v>1021</v>
      </c>
      <c r="B92" s="184" t="s">
        <v>2720</v>
      </c>
      <c r="D92" s="19">
        <v>213113</v>
      </c>
      <c r="E92" s="19" t="s">
        <v>2721</v>
      </c>
    </row>
    <row r="93" spans="1:5" x14ac:dyDescent="0.25">
      <c r="A93" s="183">
        <v>1031</v>
      </c>
      <c r="B93" s="184" t="s">
        <v>2722</v>
      </c>
      <c r="D93" s="19">
        <v>213114</v>
      </c>
      <c r="E93" s="19" t="s">
        <v>2723</v>
      </c>
    </row>
    <row r="94" spans="1:5" x14ac:dyDescent="0.25">
      <c r="A94" s="183">
        <v>1041</v>
      </c>
      <c r="B94" s="184" t="s">
        <v>550</v>
      </c>
      <c r="D94" s="19">
        <v>213115</v>
      </c>
      <c r="E94" s="19" t="s">
        <v>2724</v>
      </c>
    </row>
    <row r="95" spans="1:5" x14ac:dyDescent="0.25">
      <c r="A95" s="183">
        <v>1044</v>
      </c>
      <c r="B95" s="184" t="s">
        <v>2725</v>
      </c>
      <c r="D95" s="19">
        <v>221111</v>
      </c>
      <c r="E95" s="19" t="s">
        <v>2726</v>
      </c>
    </row>
    <row r="96" spans="1:5" x14ac:dyDescent="0.25">
      <c r="A96" s="183">
        <v>1061</v>
      </c>
      <c r="B96" s="184" t="s">
        <v>2727</v>
      </c>
      <c r="D96" s="19">
        <v>221112</v>
      </c>
      <c r="E96" s="19" t="s">
        <v>2728</v>
      </c>
    </row>
    <row r="97" spans="1:5" x14ac:dyDescent="0.25">
      <c r="A97" s="183">
        <v>1061</v>
      </c>
      <c r="B97" s="184" t="s">
        <v>2729</v>
      </c>
      <c r="D97" s="19">
        <v>221113</v>
      </c>
      <c r="E97" s="19" t="s">
        <v>2730</v>
      </c>
    </row>
    <row r="98" spans="1:5" ht="25.5" x14ac:dyDescent="0.25">
      <c r="A98" s="183">
        <v>1081</v>
      </c>
      <c r="B98" s="184" t="s">
        <v>2731</v>
      </c>
      <c r="D98" s="19">
        <v>221114</v>
      </c>
      <c r="E98" s="19" t="s">
        <v>2732</v>
      </c>
    </row>
    <row r="99" spans="1:5" x14ac:dyDescent="0.25">
      <c r="A99" s="185">
        <v>1081</v>
      </c>
      <c r="B99" s="184" t="s">
        <v>2733</v>
      </c>
      <c r="D99" s="19">
        <v>221115</v>
      </c>
      <c r="E99" s="19" t="s">
        <v>2734</v>
      </c>
    </row>
    <row r="100" spans="1:5" x14ac:dyDescent="0.25">
      <c r="A100" s="183">
        <v>1081</v>
      </c>
      <c r="B100" s="184" t="s">
        <v>2735</v>
      </c>
      <c r="D100" s="19">
        <v>221116</v>
      </c>
      <c r="E100" s="19" t="s">
        <v>2736</v>
      </c>
    </row>
    <row r="101" spans="1:5" x14ac:dyDescent="0.25">
      <c r="A101" s="183">
        <v>1094</v>
      </c>
      <c r="B101" s="184" t="s">
        <v>2737</v>
      </c>
      <c r="D101" s="19">
        <v>221117</v>
      </c>
      <c r="E101" s="19" t="s">
        <v>2738</v>
      </c>
    </row>
    <row r="102" spans="1:5" x14ac:dyDescent="0.25">
      <c r="A102" s="183">
        <v>1099</v>
      </c>
      <c r="B102" s="184" t="s">
        <v>2739</v>
      </c>
      <c r="D102" s="19">
        <v>221118</v>
      </c>
      <c r="E102" s="19" t="s">
        <v>2740</v>
      </c>
    </row>
    <row r="103" spans="1:5" x14ac:dyDescent="0.25">
      <c r="A103" s="183">
        <v>1221</v>
      </c>
      <c r="B103" s="184" t="s">
        <v>2676</v>
      </c>
      <c r="D103" s="19">
        <v>221121</v>
      </c>
      <c r="E103" s="19" t="s">
        <v>2741</v>
      </c>
    </row>
    <row r="104" spans="1:5" x14ac:dyDescent="0.25">
      <c r="A104" s="183">
        <v>1222</v>
      </c>
      <c r="B104" s="184" t="s">
        <v>2678</v>
      </c>
      <c r="D104" s="19">
        <v>221122</v>
      </c>
      <c r="E104" s="19" t="s">
        <v>2742</v>
      </c>
    </row>
    <row r="105" spans="1:5" x14ac:dyDescent="0.25">
      <c r="A105" s="183">
        <v>1231</v>
      </c>
      <c r="B105" s="184" t="s">
        <v>2743</v>
      </c>
      <c r="D105" s="19">
        <v>221210</v>
      </c>
      <c r="E105" s="19" t="s">
        <v>2744</v>
      </c>
    </row>
    <row r="106" spans="1:5" ht="25.5" x14ac:dyDescent="0.25">
      <c r="A106" s="183">
        <v>1241</v>
      </c>
      <c r="B106" s="184" t="s">
        <v>2745</v>
      </c>
      <c r="D106" s="19">
        <v>221310</v>
      </c>
      <c r="E106" s="19" t="s">
        <v>2746</v>
      </c>
    </row>
    <row r="107" spans="1:5" x14ac:dyDescent="0.25">
      <c r="A107" s="185">
        <v>1241</v>
      </c>
      <c r="B107" s="184" t="s">
        <v>2747</v>
      </c>
      <c r="D107" s="19">
        <v>221320</v>
      </c>
      <c r="E107" s="19" t="s">
        <v>2748</v>
      </c>
    </row>
    <row r="108" spans="1:5" x14ac:dyDescent="0.25">
      <c r="A108" s="183">
        <v>1311</v>
      </c>
      <c r="B108" s="184" t="s">
        <v>2749</v>
      </c>
      <c r="D108" s="19">
        <v>221330</v>
      </c>
      <c r="E108" s="19" t="s">
        <v>2750</v>
      </c>
    </row>
    <row r="109" spans="1:5" x14ac:dyDescent="0.25">
      <c r="A109" s="183">
        <v>1321</v>
      </c>
      <c r="B109" s="184" t="s">
        <v>2751</v>
      </c>
      <c r="D109" s="19">
        <v>236115</v>
      </c>
      <c r="E109" s="19" t="s">
        <v>2752</v>
      </c>
    </row>
    <row r="110" spans="1:5" x14ac:dyDescent="0.25">
      <c r="A110" s="183">
        <v>1381</v>
      </c>
      <c r="B110" s="184" t="s">
        <v>2717</v>
      </c>
      <c r="D110" s="19">
        <v>236116</v>
      </c>
      <c r="E110" s="19" t="s">
        <v>2753</v>
      </c>
    </row>
    <row r="111" spans="1:5" x14ac:dyDescent="0.25">
      <c r="A111" s="183">
        <v>1382</v>
      </c>
      <c r="B111" s="184" t="s">
        <v>2754</v>
      </c>
      <c r="D111" s="19">
        <v>236117</v>
      </c>
      <c r="E111" s="19" t="s">
        <v>2755</v>
      </c>
    </row>
    <row r="112" spans="1:5" x14ac:dyDescent="0.25">
      <c r="A112" s="183">
        <v>1382</v>
      </c>
      <c r="B112" s="184" t="s">
        <v>2756</v>
      </c>
      <c r="D112" s="19">
        <v>236118</v>
      </c>
      <c r="E112" s="19" t="s">
        <v>2757</v>
      </c>
    </row>
    <row r="113" spans="1:5" ht="25.5" x14ac:dyDescent="0.25">
      <c r="A113" s="183">
        <v>1389</v>
      </c>
      <c r="B113" s="184" t="s">
        <v>2758</v>
      </c>
      <c r="D113" s="19">
        <v>236210</v>
      </c>
      <c r="E113" s="19" t="s">
        <v>2759</v>
      </c>
    </row>
    <row r="114" spans="1:5" x14ac:dyDescent="0.25">
      <c r="A114" s="185">
        <v>1389</v>
      </c>
      <c r="B114" s="184" t="s">
        <v>2760</v>
      </c>
      <c r="D114" s="19">
        <v>236220</v>
      </c>
      <c r="E114" s="19" t="s">
        <v>2761</v>
      </c>
    </row>
    <row r="115" spans="1:5" ht="25.5" x14ac:dyDescent="0.25">
      <c r="A115" s="185">
        <v>1389</v>
      </c>
      <c r="B115" s="184" t="s">
        <v>2762</v>
      </c>
      <c r="D115" s="19">
        <v>237110</v>
      </c>
      <c r="E115" s="19" t="s">
        <v>2763</v>
      </c>
    </row>
    <row r="116" spans="1:5" x14ac:dyDescent="0.25">
      <c r="A116" s="183">
        <v>1411</v>
      </c>
      <c r="B116" s="184" t="s">
        <v>2764</v>
      </c>
      <c r="D116" s="19">
        <v>237120</v>
      </c>
      <c r="E116" s="19" t="s">
        <v>2765</v>
      </c>
    </row>
    <row r="117" spans="1:5" x14ac:dyDescent="0.25">
      <c r="A117" s="183">
        <v>1422</v>
      </c>
      <c r="B117" s="184" t="s">
        <v>2766</v>
      </c>
      <c r="D117" s="19">
        <v>237130</v>
      </c>
      <c r="E117" s="19" t="s">
        <v>2767</v>
      </c>
    </row>
    <row r="118" spans="1:5" x14ac:dyDescent="0.25">
      <c r="A118" s="183">
        <v>1423</v>
      </c>
      <c r="B118" s="184" t="s">
        <v>2768</v>
      </c>
      <c r="D118" s="19">
        <v>237210</v>
      </c>
      <c r="E118" s="19" t="s">
        <v>2769</v>
      </c>
    </row>
    <row r="119" spans="1:5" x14ac:dyDescent="0.25">
      <c r="A119" s="183">
        <v>1429</v>
      </c>
      <c r="B119" s="184" t="s">
        <v>2770</v>
      </c>
      <c r="D119" s="19">
        <v>237310</v>
      </c>
      <c r="E119" s="19" t="s">
        <v>2771</v>
      </c>
    </row>
    <row r="120" spans="1:5" x14ac:dyDescent="0.25">
      <c r="A120" s="183">
        <v>1442</v>
      </c>
      <c r="B120" s="184" t="s">
        <v>2772</v>
      </c>
      <c r="D120" s="19">
        <v>237990</v>
      </c>
      <c r="E120" s="19" t="s">
        <v>2773</v>
      </c>
    </row>
    <row r="121" spans="1:5" x14ac:dyDescent="0.25">
      <c r="A121" s="183">
        <v>1446</v>
      </c>
      <c r="B121" s="184" t="s">
        <v>2774</v>
      </c>
      <c r="D121" s="19">
        <v>238110</v>
      </c>
      <c r="E121" s="19" t="s">
        <v>2775</v>
      </c>
    </row>
    <row r="122" spans="1:5" x14ac:dyDescent="0.25">
      <c r="A122" s="183">
        <v>1455</v>
      </c>
      <c r="B122" s="184" t="s">
        <v>2776</v>
      </c>
      <c r="D122" s="19">
        <v>238120</v>
      </c>
      <c r="E122" s="19" t="s">
        <v>2777</v>
      </c>
    </row>
    <row r="123" spans="1:5" x14ac:dyDescent="0.25">
      <c r="A123" s="183">
        <v>1459</v>
      </c>
      <c r="B123" s="184" t="s">
        <v>2778</v>
      </c>
      <c r="D123" s="19">
        <v>238130</v>
      </c>
      <c r="E123" s="19" t="s">
        <v>2779</v>
      </c>
    </row>
    <row r="124" spans="1:5" x14ac:dyDescent="0.25">
      <c r="A124" s="183">
        <v>1474</v>
      </c>
      <c r="B124" s="184" t="s">
        <v>2780</v>
      </c>
      <c r="D124" s="19">
        <v>238140</v>
      </c>
      <c r="E124" s="19" t="s">
        <v>2781</v>
      </c>
    </row>
    <row r="125" spans="1:5" x14ac:dyDescent="0.25">
      <c r="A125" s="183">
        <v>1475</v>
      </c>
      <c r="B125" s="184" t="s">
        <v>2782</v>
      </c>
      <c r="D125" s="19">
        <v>238150</v>
      </c>
      <c r="E125" s="19" t="s">
        <v>2783</v>
      </c>
    </row>
    <row r="126" spans="1:5" x14ac:dyDescent="0.25">
      <c r="A126" s="183">
        <v>1479</v>
      </c>
      <c r="B126" s="184" t="s">
        <v>2784</v>
      </c>
      <c r="D126" s="19">
        <v>238160</v>
      </c>
      <c r="E126" s="19" t="s">
        <v>2785</v>
      </c>
    </row>
    <row r="127" spans="1:5" ht="25.5" x14ac:dyDescent="0.25">
      <c r="A127" s="183">
        <v>1481</v>
      </c>
      <c r="B127" s="184" t="s">
        <v>2786</v>
      </c>
      <c r="D127" s="19">
        <v>238170</v>
      </c>
      <c r="E127" s="19" t="s">
        <v>2787</v>
      </c>
    </row>
    <row r="128" spans="1:5" ht="25.5" x14ac:dyDescent="0.25">
      <c r="A128" s="185">
        <v>1481</v>
      </c>
      <c r="B128" s="184" t="s">
        <v>2788</v>
      </c>
      <c r="D128" s="19">
        <v>238190</v>
      </c>
      <c r="E128" s="19" t="s">
        <v>2789</v>
      </c>
    </row>
    <row r="129" spans="1:5" x14ac:dyDescent="0.25">
      <c r="A129" s="183">
        <v>1481</v>
      </c>
      <c r="B129" s="184" t="s">
        <v>2790</v>
      </c>
      <c r="D129" s="19">
        <v>238210</v>
      </c>
      <c r="E129" s="19" t="s">
        <v>2791</v>
      </c>
    </row>
    <row r="130" spans="1:5" ht="25.5" x14ac:dyDescent="0.25">
      <c r="A130" s="183">
        <v>1499</v>
      </c>
      <c r="B130" s="184" t="s">
        <v>2792</v>
      </c>
      <c r="D130" s="19">
        <v>238220</v>
      </c>
      <c r="E130" s="19" t="s">
        <v>2793</v>
      </c>
    </row>
    <row r="131" spans="1:5" ht="25.5" x14ac:dyDescent="0.25">
      <c r="A131" s="183">
        <v>1499</v>
      </c>
      <c r="B131" s="184" t="s">
        <v>2794</v>
      </c>
      <c r="D131" s="19">
        <v>238290</v>
      </c>
      <c r="E131" s="19" t="s">
        <v>2795</v>
      </c>
    </row>
    <row r="132" spans="1:5" x14ac:dyDescent="0.25">
      <c r="A132" s="183">
        <v>1521</v>
      </c>
      <c r="B132" s="184" t="s">
        <v>2796</v>
      </c>
      <c r="D132" s="19">
        <v>238310</v>
      </c>
      <c r="E132" s="19" t="s">
        <v>2797</v>
      </c>
    </row>
    <row r="133" spans="1:5" x14ac:dyDescent="0.25">
      <c r="A133" s="185">
        <v>1521</v>
      </c>
      <c r="B133" s="184" t="s">
        <v>2798</v>
      </c>
      <c r="D133" s="19">
        <v>238320</v>
      </c>
      <c r="E133" s="19" t="s">
        <v>2799</v>
      </c>
    </row>
    <row r="134" spans="1:5" ht="38.25" x14ac:dyDescent="0.25">
      <c r="A134" s="185">
        <v>1522</v>
      </c>
      <c r="B134" s="184" t="s">
        <v>507</v>
      </c>
      <c r="D134" s="19">
        <v>238330</v>
      </c>
      <c r="E134" s="19" t="s">
        <v>2800</v>
      </c>
    </row>
    <row r="135" spans="1:5" x14ac:dyDescent="0.25">
      <c r="A135" s="185">
        <v>1522</v>
      </c>
      <c r="B135" s="184" t="s">
        <v>2801</v>
      </c>
      <c r="D135" s="19">
        <v>238340</v>
      </c>
      <c r="E135" s="19" t="s">
        <v>2802</v>
      </c>
    </row>
    <row r="136" spans="1:5" ht="25.5" x14ac:dyDescent="0.25">
      <c r="A136" s="185">
        <v>1522</v>
      </c>
      <c r="B136" s="184" t="s">
        <v>2803</v>
      </c>
      <c r="D136" s="19">
        <v>238350</v>
      </c>
      <c r="E136" s="19" t="s">
        <v>2804</v>
      </c>
    </row>
    <row r="137" spans="1:5" x14ac:dyDescent="0.25">
      <c r="A137" s="185">
        <v>1531</v>
      </c>
      <c r="B137" s="184" t="s">
        <v>2805</v>
      </c>
      <c r="D137" s="19">
        <v>238390</v>
      </c>
      <c r="E137" s="19" t="s">
        <v>2806</v>
      </c>
    </row>
    <row r="138" spans="1:5" x14ac:dyDescent="0.25">
      <c r="A138" s="185">
        <v>1531</v>
      </c>
      <c r="B138" s="184" t="s">
        <v>2807</v>
      </c>
      <c r="D138" s="19">
        <v>238910</v>
      </c>
      <c r="E138" s="19" t="s">
        <v>2808</v>
      </c>
    </row>
    <row r="139" spans="1:5" ht="25.5" x14ac:dyDescent="0.25">
      <c r="A139" s="185">
        <v>1531</v>
      </c>
      <c r="B139" s="184" t="s">
        <v>2809</v>
      </c>
      <c r="D139" s="19">
        <v>238990</v>
      </c>
      <c r="E139" s="19" t="s">
        <v>2810</v>
      </c>
    </row>
    <row r="140" spans="1:5" ht="25.5" x14ac:dyDescent="0.25">
      <c r="A140" s="185">
        <v>1531</v>
      </c>
      <c r="B140" s="184" t="s">
        <v>2811</v>
      </c>
      <c r="D140" s="19">
        <v>311111</v>
      </c>
      <c r="E140" s="19" t="s">
        <v>2812</v>
      </c>
    </row>
    <row r="141" spans="1:5" ht="25.5" x14ac:dyDescent="0.25">
      <c r="A141" s="185">
        <v>1541</v>
      </c>
      <c r="B141" s="184" t="s">
        <v>2813</v>
      </c>
      <c r="D141" s="19">
        <v>311119</v>
      </c>
      <c r="E141" s="19" t="s">
        <v>2814</v>
      </c>
    </row>
    <row r="142" spans="1:5" ht="25.5" x14ac:dyDescent="0.25">
      <c r="A142" s="185">
        <v>1541</v>
      </c>
      <c r="B142" s="184" t="s">
        <v>2815</v>
      </c>
      <c r="D142" s="19">
        <v>311211</v>
      </c>
      <c r="E142" s="19" t="s">
        <v>2816</v>
      </c>
    </row>
    <row r="143" spans="1:5" x14ac:dyDescent="0.25">
      <c r="A143" s="185">
        <v>1542</v>
      </c>
      <c r="B143" s="184" t="s">
        <v>2817</v>
      </c>
      <c r="D143" s="19">
        <v>311212</v>
      </c>
      <c r="E143" s="19" t="s">
        <v>2818</v>
      </c>
    </row>
    <row r="144" spans="1:5" x14ac:dyDescent="0.25">
      <c r="A144" s="185">
        <v>1611</v>
      </c>
      <c r="B144" s="184" t="s">
        <v>2819</v>
      </c>
      <c r="D144" s="19">
        <v>311213</v>
      </c>
      <c r="E144" s="19" t="s">
        <v>2820</v>
      </c>
    </row>
    <row r="145" spans="1:5" x14ac:dyDescent="0.25">
      <c r="A145" s="185">
        <v>1622</v>
      </c>
      <c r="B145" s="184" t="s">
        <v>2821</v>
      </c>
      <c r="D145" s="19">
        <v>311221</v>
      </c>
      <c r="E145" s="19" t="s">
        <v>2822</v>
      </c>
    </row>
    <row r="146" spans="1:5" x14ac:dyDescent="0.25">
      <c r="A146" s="185">
        <v>1622</v>
      </c>
      <c r="B146" s="184" t="s">
        <v>2823</v>
      </c>
      <c r="D146" s="19">
        <v>311224</v>
      </c>
      <c r="E146" s="19" t="s">
        <v>2824</v>
      </c>
    </row>
    <row r="147" spans="1:5" ht="25.5" x14ac:dyDescent="0.25">
      <c r="A147" s="185">
        <v>1623</v>
      </c>
      <c r="B147" s="184" t="s">
        <v>2825</v>
      </c>
      <c r="D147" s="19">
        <v>311225</v>
      </c>
      <c r="E147" s="19" t="s">
        <v>2826</v>
      </c>
    </row>
    <row r="148" spans="1:5" ht="25.5" x14ac:dyDescent="0.25">
      <c r="A148" s="185">
        <v>1623</v>
      </c>
      <c r="B148" s="184" t="s">
        <v>2827</v>
      </c>
      <c r="D148" s="19">
        <v>311230</v>
      </c>
      <c r="E148" s="19" t="s">
        <v>2828</v>
      </c>
    </row>
    <row r="149" spans="1:5" ht="25.5" x14ac:dyDescent="0.25">
      <c r="A149" s="185">
        <v>1623</v>
      </c>
      <c r="B149" s="184" t="s">
        <v>2829</v>
      </c>
      <c r="D149" s="19">
        <v>311313</v>
      </c>
      <c r="E149" s="19" t="s">
        <v>2830</v>
      </c>
    </row>
    <row r="150" spans="1:5" ht="25.5" x14ac:dyDescent="0.25">
      <c r="A150" s="185">
        <v>1629</v>
      </c>
      <c r="B150" s="184" t="s">
        <v>455</v>
      </c>
      <c r="D150" s="19">
        <v>311314</v>
      </c>
      <c r="E150" s="19" t="s">
        <v>2831</v>
      </c>
    </row>
    <row r="151" spans="1:5" ht="25.5" x14ac:dyDescent="0.25">
      <c r="A151" s="185">
        <v>1629</v>
      </c>
      <c r="B151" s="184" t="s">
        <v>2832</v>
      </c>
      <c r="D151" s="19">
        <v>311340</v>
      </c>
      <c r="E151" s="19" t="s">
        <v>2833</v>
      </c>
    </row>
    <row r="152" spans="1:5" x14ac:dyDescent="0.25">
      <c r="A152" s="185">
        <v>1629</v>
      </c>
      <c r="B152" s="184" t="s">
        <v>2834</v>
      </c>
      <c r="D152" s="19">
        <v>311351</v>
      </c>
      <c r="E152" s="19" t="s">
        <v>2835</v>
      </c>
    </row>
    <row r="153" spans="1:5" ht="25.5" x14ac:dyDescent="0.25">
      <c r="A153" s="185">
        <v>1629</v>
      </c>
      <c r="B153" s="184" t="s">
        <v>2836</v>
      </c>
      <c r="D153" s="19">
        <v>311352</v>
      </c>
      <c r="E153" s="19" t="s">
        <v>2837</v>
      </c>
    </row>
    <row r="154" spans="1:5" ht="51" x14ac:dyDescent="0.25">
      <c r="A154" s="185">
        <v>1629</v>
      </c>
      <c r="B154" s="184" t="s">
        <v>2838</v>
      </c>
      <c r="D154" s="19">
        <v>311411</v>
      </c>
      <c r="E154" s="19" t="s">
        <v>2839</v>
      </c>
    </row>
    <row r="155" spans="1:5" x14ac:dyDescent="0.25">
      <c r="A155" s="185">
        <v>1629</v>
      </c>
      <c r="B155" s="184" t="s">
        <v>2840</v>
      </c>
      <c r="D155" s="19">
        <v>311412</v>
      </c>
      <c r="E155" s="19" t="s">
        <v>2841</v>
      </c>
    </row>
    <row r="156" spans="1:5" x14ac:dyDescent="0.25">
      <c r="A156" s="185">
        <v>1711</v>
      </c>
      <c r="B156" s="184" t="s">
        <v>2842</v>
      </c>
      <c r="D156" s="19">
        <v>311421</v>
      </c>
      <c r="E156" s="19" t="s">
        <v>2843</v>
      </c>
    </row>
    <row r="157" spans="1:5" ht="25.5" x14ac:dyDescent="0.25">
      <c r="A157" s="185">
        <v>1711</v>
      </c>
      <c r="B157" s="184" t="s">
        <v>2844</v>
      </c>
      <c r="D157" s="19">
        <v>311422</v>
      </c>
      <c r="E157" s="19" t="s">
        <v>2845</v>
      </c>
    </row>
    <row r="158" spans="1:5" ht="25.5" x14ac:dyDescent="0.25">
      <c r="A158" s="185">
        <v>1711</v>
      </c>
      <c r="B158" s="184" t="s">
        <v>2846</v>
      </c>
      <c r="D158" s="19">
        <v>311423</v>
      </c>
      <c r="E158" s="19" t="s">
        <v>2847</v>
      </c>
    </row>
    <row r="159" spans="1:5" x14ac:dyDescent="0.25">
      <c r="A159" s="185">
        <v>1721</v>
      </c>
      <c r="B159" s="184" t="s">
        <v>2848</v>
      </c>
      <c r="D159" s="19">
        <v>311511</v>
      </c>
      <c r="E159" s="19" t="s">
        <v>2849</v>
      </c>
    </row>
    <row r="160" spans="1:5" x14ac:dyDescent="0.25">
      <c r="A160" s="185">
        <v>1721</v>
      </c>
      <c r="B160" s="184" t="s">
        <v>2850</v>
      </c>
      <c r="D160" s="19">
        <v>311512</v>
      </c>
      <c r="E160" s="19" t="s">
        <v>2851</v>
      </c>
    </row>
    <row r="161" spans="1:5" x14ac:dyDescent="0.25">
      <c r="A161" s="185">
        <v>1731</v>
      </c>
      <c r="B161" s="184" t="s">
        <v>2852</v>
      </c>
      <c r="D161" s="19">
        <v>311513</v>
      </c>
      <c r="E161" s="19" t="s">
        <v>2853</v>
      </c>
    </row>
    <row r="162" spans="1:5" x14ac:dyDescent="0.25">
      <c r="A162" s="185">
        <v>1741</v>
      </c>
      <c r="B162" s="184" t="s">
        <v>2854</v>
      </c>
      <c r="D162" s="19">
        <v>311514</v>
      </c>
      <c r="E162" s="19" t="s">
        <v>2855</v>
      </c>
    </row>
    <row r="163" spans="1:5" x14ac:dyDescent="0.25">
      <c r="A163" s="185">
        <v>1742</v>
      </c>
      <c r="B163" s="184" t="s">
        <v>2856</v>
      </c>
      <c r="D163" s="19">
        <v>311520</v>
      </c>
      <c r="E163" s="19" t="s">
        <v>2857</v>
      </c>
    </row>
    <row r="164" spans="1:5" x14ac:dyDescent="0.25">
      <c r="A164" s="185">
        <v>1743</v>
      </c>
      <c r="B164" s="184" t="s">
        <v>2858</v>
      </c>
      <c r="D164" s="19">
        <v>311611</v>
      </c>
      <c r="E164" s="19" t="s">
        <v>2859</v>
      </c>
    </row>
    <row r="165" spans="1:5" x14ac:dyDescent="0.25">
      <c r="A165" s="185">
        <v>1743</v>
      </c>
      <c r="B165" s="184" t="s">
        <v>2860</v>
      </c>
      <c r="D165" s="19">
        <v>311612</v>
      </c>
      <c r="E165" s="19" t="s">
        <v>2861</v>
      </c>
    </row>
    <row r="166" spans="1:5" x14ac:dyDescent="0.25">
      <c r="A166" s="185">
        <v>1751</v>
      </c>
      <c r="B166" s="184" t="s">
        <v>2862</v>
      </c>
      <c r="D166" s="19">
        <v>311613</v>
      </c>
      <c r="E166" s="19" t="s">
        <v>2863</v>
      </c>
    </row>
    <row r="167" spans="1:5" x14ac:dyDescent="0.25">
      <c r="A167" s="185">
        <v>1751</v>
      </c>
      <c r="B167" s="184" t="s">
        <v>2864</v>
      </c>
      <c r="D167" s="19">
        <v>311615</v>
      </c>
      <c r="E167" s="19" t="s">
        <v>2865</v>
      </c>
    </row>
    <row r="168" spans="1:5" x14ac:dyDescent="0.25">
      <c r="A168" s="185">
        <v>1752</v>
      </c>
      <c r="B168" s="184" t="s">
        <v>2866</v>
      </c>
      <c r="D168" s="19">
        <v>311710</v>
      </c>
      <c r="E168" s="19" t="s">
        <v>2867</v>
      </c>
    </row>
    <row r="169" spans="1:5" x14ac:dyDescent="0.25">
      <c r="A169" s="185">
        <v>1761</v>
      </c>
      <c r="B169" s="184" t="s">
        <v>2868</v>
      </c>
      <c r="D169" s="19">
        <v>311811</v>
      </c>
      <c r="E169" s="19" t="s">
        <v>2869</v>
      </c>
    </row>
    <row r="170" spans="1:5" x14ac:dyDescent="0.25">
      <c r="A170" s="185">
        <v>1761</v>
      </c>
      <c r="B170" s="184" t="s">
        <v>2870</v>
      </c>
      <c r="D170" s="19">
        <v>311812</v>
      </c>
      <c r="E170" s="19" t="s">
        <v>2871</v>
      </c>
    </row>
    <row r="171" spans="1:5" x14ac:dyDescent="0.25">
      <c r="A171" s="185">
        <v>1761</v>
      </c>
      <c r="B171" s="184" t="s">
        <v>2872</v>
      </c>
      <c r="D171" s="19">
        <v>311813</v>
      </c>
      <c r="E171" s="19" t="s">
        <v>2873</v>
      </c>
    </row>
    <row r="172" spans="1:5" x14ac:dyDescent="0.25">
      <c r="A172" s="185">
        <v>1771</v>
      </c>
      <c r="B172" s="184" t="s">
        <v>2874</v>
      </c>
      <c r="D172" s="19">
        <v>311821</v>
      </c>
      <c r="E172" s="19" t="s">
        <v>2875</v>
      </c>
    </row>
    <row r="173" spans="1:5" x14ac:dyDescent="0.25">
      <c r="A173" s="185">
        <v>1771</v>
      </c>
      <c r="B173" s="184" t="s">
        <v>2876</v>
      </c>
      <c r="D173" s="19">
        <v>311824</v>
      </c>
      <c r="E173" s="19" t="s">
        <v>2877</v>
      </c>
    </row>
    <row r="174" spans="1:5" x14ac:dyDescent="0.25">
      <c r="A174" s="185">
        <v>1771</v>
      </c>
      <c r="B174" s="184" t="s">
        <v>2878</v>
      </c>
      <c r="D174" s="19">
        <v>311830</v>
      </c>
      <c r="E174" s="19" t="s">
        <v>2879</v>
      </c>
    </row>
    <row r="175" spans="1:5" x14ac:dyDescent="0.25">
      <c r="A175" s="185">
        <v>1781</v>
      </c>
      <c r="B175" s="184" t="s">
        <v>2880</v>
      </c>
      <c r="D175" s="19">
        <v>311911</v>
      </c>
      <c r="E175" s="19" t="s">
        <v>2881</v>
      </c>
    </row>
    <row r="176" spans="1:5" x14ac:dyDescent="0.25">
      <c r="A176" s="185">
        <v>1791</v>
      </c>
      <c r="B176" s="184" t="s">
        <v>2882</v>
      </c>
      <c r="D176" s="19">
        <v>311919</v>
      </c>
      <c r="E176" s="19" t="s">
        <v>2883</v>
      </c>
    </row>
    <row r="177" spans="1:5" x14ac:dyDescent="0.25">
      <c r="A177" s="185">
        <v>1791</v>
      </c>
      <c r="B177" s="184" t="s">
        <v>2884</v>
      </c>
      <c r="D177" s="19">
        <v>311920</v>
      </c>
      <c r="E177" s="19" t="s">
        <v>2885</v>
      </c>
    </row>
    <row r="178" spans="1:5" x14ac:dyDescent="0.25">
      <c r="A178" s="185">
        <v>1791</v>
      </c>
      <c r="B178" s="184" t="s">
        <v>2886</v>
      </c>
      <c r="D178" s="19">
        <v>311930</v>
      </c>
      <c r="E178" s="19" t="s">
        <v>2887</v>
      </c>
    </row>
    <row r="179" spans="1:5" x14ac:dyDescent="0.25">
      <c r="A179" s="185">
        <v>1793</v>
      </c>
      <c r="B179" s="184" t="s">
        <v>2888</v>
      </c>
      <c r="D179" s="19">
        <v>311941</v>
      </c>
      <c r="E179" s="19" t="s">
        <v>2889</v>
      </c>
    </row>
    <row r="180" spans="1:5" x14ac:dyDescent="0.25">
      <c r="A180" s="185">
        <v>1794</v>
      </c>
      <c r="B180" s="184" t="s">
        <v>296</v>
      </c>
      <c r="D180" s="19">
        <v>311942</v>
      </c>
      <c r="E180" s="19" t="s">
        <v>2890</v>
      </c>
    </row>
    <row r="181" spans="1:5" x14ac:dyDescent="0.25">
      <c r="A181" s="185">
        <v>1795</v>
      </c>
      <c r="B181" s="184" t="s">
        <v>2891</v>
      </c>
      <c r="D181" s="19">
        <v>311991</v>
      </c>
      <c r="E181" s="19" t="s">
        <v>2892</v>
      </c>
    </row>
    <row r="182" spans="1:5" ht="25.5" x14ac:dyDescent="0.25">
      <c r="A182" s="185">
        <v>1796</v>
      </c>
      <c r="B182" s="184" t="s">
        <v>2893</v>
      </c>
      <c r="D182" s="19">
        <v>311999</v>
      </c>
      <c r="E182" s="19" t="s">
        <v>2894</v>
      </c>
    </row>
    <row r="183" spans="1:5" ht="25.5" x14ac:dyDescent="0.25">
      <c r="A183" s="185">
        <v>1796</v>
      </c>
      <c r="B183" s="184" t="s">
        <v>2895</v>
      </c>
      <c r="D183" s="19">
        <v>312111</v>
      </c>
      <c r="E183" s="19" t="s">
        <v>2896</v>
      </c>
    </row>
    <row r="184" spans="1:5" x14ac:dyDescent="0.25">
      <c r="A184" s="185">
        <v>1799</v>
      </c>
      <c r="B184" s="184" t="s">
        <v>653</v>
      </c>
      <c r="D184" s="19">
        <v>312112</v>
      </c>
      <c r="E184" s="19" t="s">
        <v>2897</v>
      </c>
    </row>
    <row r="185" spans="1:5" x14ac:dyDescent="0.25">
      <c r="A185" s="185">
        <v>1799</v>
      </c>
      <c r="B185" s="184" t="s">
        <v>2898</v>
      </c>
      <c r="D185" s="19">
        <v>312113</v>
      </c>
      <c r="E185" s="19" t="s">
        <v>2899</v>
      </c>
    </row>
    <row r="186" spans="1:5" x14ac:dyDescent="0.25">
      <c r="A186" s="185">
        <v>1799</v>
      </c>
      <c r="B186" s="184" t="s">
        <v>2900</v>
      </c>
      <c r="D186" s="19">
        <v>312120</v>
      </c>
      <c r="E186" s="19" t="s">
        <v>2901</v>
      </c>
    </row>
    <row r="187" spans="1:5" x14ac:dyDescent="0.25">
      <c r="A187" s="185">
        <v>1799</v>
      </c>
      <c r="B187" s="184" t="s">
        <v>2902</v>
      </c>
      <c r="D187" s="19">
        <v>312130</v>
      </c>
      <c r="E187" s="19" t="s">
        <v>2903</v>
      </c>
    </row>
    <row r="188" spans="1:5" ht="38.25" x14ac:dyDescent="0.25">
      <c r="A188" s="185">
        <v>1799</v>
      </c>
      <c r="B188" s="184" t="s">
        <v>2904</v>
      </c>
      <c r="D188" s="19">
        <v>312140</v>
      </c>
      <c r="E188" s="19" t="s">
        <v>2905</v>
      </c>
    </row>
    <row r="189" spans="1:5" x14ac:dyDescent="0.25">
      <c r="A189" s="185">
        <v>1799</v>
      </c>
      <c r="B189" s="184" t="s">
        <v>2906</v>
      </c>
      <c r="D189" s="19">
        <v>312230</v>
      </c>
      <c r="E189" s="19" t="s">
        <v>2907</v>
      </c>
    </row>
    <row r="190" spans="1:5" x14ac:dyDescent="0.25">
      <c r="A190" s="185">
        <v>1799</v>
      </c>
      <c r="B190" s="184" t="s">
        <v>2908</v>
      </c>
      <c r="D190" s="19">
        <v>313110</v>
      </c>
      <c r="E190" s="19" t="s">
        <v>2909</v>
      </c>
    </row>
    <row r="191" spans="1:5" ht="38.25" x14ac:dyDescent="0.25">
      <c r="A191" s="185">
        <v>1799</v>
      </c>
      <c r="B191" s="184" t="s">
        <v>2910</v>
      </c>
      <c r="D191" s="19">
        <v>313210</v>
      </c>
      <c r="E191" s="19" t="s">
        <v>2911</v>
      </c>
    </row>
    <row r="192" spans="1:5" ht="25.5" x14ac:dyDescent="0.25">
      <c r="A192" s="185">
        <v>1799</v>
      </c>
      <c r="B192" s="184" t="s">
        <v>2912</v>
      </c>
      <c r="D192" s="19">
        <v>313220</v>
      </c>
      <c r="E192" s="19" t="s">
        <v>2913</v>
      </c>
    </row>
    <row r="193" spans="1:5" ht="63.75" x14ac:dyDescent="0.25">
      <c r="A193" s="185">
        <v>1799</v>
      </c>
      <c r="B193" s="184" t="s">
        <v>2914</v>
      </c>
      <c r="D193" s="19">
        <v>313230</v>
      </c>
      <c r="E193" s="19" t="s">
        <v>2915</v>
      </c>
    </row>
    <row r="194" spans="1:5" ht="25.5" x14ac:dyDescent="0.25">
      <c r="A194" s="183">
        <v>1799</v>
      </c>
      <c r="B194" s="184" t="s">
        <v>2916</v>
      </c>
      <c r="D194" s="19">
        <v>313240</v>
      </c>
      <c r="E194" s="19" t="s">
        <v>2917</v>
      </c>
    </row>
    <row r="195" spans="1:5" x14ac:dyDescent="0.25">
      <c r="A195" s="183">
        <v>1799</v>
      </c>
      <c r="B195" s="184" t="s">
        <v>2918</v>
      </c>
      <c r="D195" s="19">
        <v>313310</v>
      </c>
      <c r="E195" s="19" t="s">
        <v>2919</v>
      </c>
    </row>
    <row r="196" spans="1:5" x14ac:dyDescent="0.25">
      <c r="A196" s="183">
        <v>2011</v>
      </c>
      <c r="B196" s="184" t="s">
        <v>2920</v>
      </c>
      <c r="D196" s="19">
        <v>313320</v>
      </c>
      <c r="E196" s="19" t="s">
        <v>2921</v>
      </c>
    </row>
    <row r="197" spans="1:5" x14ac:dyDescent="0.25">
      <c r="A197" s="183">
        <v>2013</v>
      </c>
      <c r="B197" s="184" t="s">
        <v>2922</v>
      </c>
      <c r="D197" s="19">
        <v>314110</v>
      </c>
      <c r="E197" s="19" t="s">
        <v>2923</v>
      </c>
    </row>
    <row r="198" spans="1:5" x14ac:dyDescent="0.25">
      <c r="A198" s="183">
        <v>2013</v>
      </c>
      <c r="B198" s="184" t="s">
        <v>2924</v>
      </c>
      <c r="D198" s="19">
        <v>314120</v>
      </c>
      <c r="E198" s="19" t="s">
        <v>2925</v>
      </c>
    </row>
    <row r="199" spans="1:5" x14ac:dyDescent="0.25">
      <c r="A199" s="183">
        <v>2015</v>
      </c>
      <c r="B199" s="184" t="s">
        <v>2926</v>
      </c>
      <c r="D199" s="19">
        <v>314910</v>
      </c>
      <c r="E199" s="19" t="s">
        <v>2927</v>
      </c>
    </row>
    <row r="200" spans="1:5" x14ac:dyDescent="0.25">
      <c r="A200" s="183">
        <v>2015</v>
      </c>
      <c r="B200" s="184" t="s">
        <v>2928</v>
      </c>
      <c r="D200" s="19">
        <v>314994</v>
      </c>
      <c r="E200" s="19" t="s">
        <v>2929</v>
      </c>
    </row>
    <row r="201" spans="1:5" x14ac:dyDescent="0.25">
      <c r="A201" s="183">
        <v>2021</v>
      </c>
      <c r="B201" s="184" t="s">
        <v>2930</v>
      </c>
      <c r="D201" s="19">
        <v>314999</v>
      </c>
      <c r="E201" s="19" t="s">
        <v>2931</v>
      </c>
    </row>
    <row r="202" spans="1:5" x14ac:dyDescent="0.25">
      <c r="A202" s="183">
        <v>2022</v>
      </c>
      <c r="B202" s="184" t="s">
        <v>2932</v>
      </c>
      <c r="D202" s="19">
        <v>315110</v>
      </c>
      <c r="E202" s="19" t="s">
        <v>2933</v>
      </c>
    </row>
    <row r="203" spans="1:5" x14ac:dyDescent="0.25">
      <c r="A203" s="183">
        <v>2023</v>
      </c>
      <c r="B203" s="184" t="s">
        <v>2934</v>
      </c>
      <c r="D203" s="19">
        <v>315190</v>
      </c>
      <c r="E203" s="19" t="s">
        <v>2935</v>
      </c>
    </row>
    <row r="204" spans="1:5" x14ac:dyDescent="0.25">
      <c r="A204" s="183">
        <v>2023</v>
      </c>
      <c r="B204" s="184" t="s">
        <v>2936</v>
      </c>
      <c r="D204" s="19">
        <v>315210</v>
      </c>
      <c r="E204" s="19" t="s">
        <v>2937</v>
      </c>
    </row>
    <row r="205" spans="1:5" x14ac:dyDescent="0.25">
      <c r="A205" s="183">
        <v>2024</v>
      </c>
      <c r="B205" s="184" t="s">
        <v>2938</v>
      </c>
      <c r="D205" s="19">
        <v>315220</v>
      </c>
      <c r="E205" s="19" t="s">
        <v>2939</v>
      </c>
    </row>
    <row r="206" spans="1:5" x14ac:dyDescent="0.25">
      <c r="A206" s="183">
        <v>2026</v>
      </c>
      <c r="B206" s="184" t="s">
        <v>2940</v>
      </c>
      <c r="D206" s="19">
        <v>315240</v>
      </c>
      <c r="E206" s="19" t="s">
        <v>2941</v>
      </c>
    </row>
    <row r="207" spans="1:5" x14ac:dyDescent="0.25">
      <c r="A207" s="183">
        <v>2026</v>
      </c>
      <c r="B207" s="184" t="s">
        <v>2942</v>
      </c>
      <c r="D207" s="19">
        <v>315280</v>
      </c>
      <c r="E207" s="19" t="s">
        <v>2943</v>
      </c>
    </row>
    <row r="208" spans="1:5" x14ac:dyDescent="0.25">
      <c r="A208" s="183">
        <v>2032</v>
      </c>
      <c r="B208" s="184" t="s">
        <v>2944</v>
      </c>
      <c r="D208" s="19">
        <v>315990</v>
      </c>
      <c r="E208" s="19" t="s">
        <v>2945</v>
      </c>
    </row>
    <row r="209" spans="1:5" x14ac:dyDescent="0.25">
      <c r="A209" s="183">
        <v>2032</v>
      </c>
      <c r="B209" s="184" t="s">
        <v>2946</v>
      </c>
      <c r="D209" s="19">
        <v>316110</v>
      </c>
      <c r="E209" s="19" t="s">
        <v>2947</v>
      </c>
    </row>
    <row r="210" spans="1:5" x14ac:dyDescent="0.25">
      <c r="A210" s="183">
        <v>2033</v>
      </c>
      <c r="B210" s="184" t="s">
        <v>2948</v>
      </c>
      <c r="D210" s="19">
        <v>316210</v>
      </c>
      <c r="E210" s="19" t="s">
        <v>2949</v>
      </c>
    </row>
    <row r="211" spans="1:5" x14ac:dyDescent="0.25">
      <c r="A211" s="183">
        <v>2034</v>
      </c>
      <c r="B211" s="184" t="s">
        <v>2950</v>
      </c>
      <c r="D211" s="19">
        <v>316992</v>
      </c>
      <c r="E211" s="19" t="s">
        <v>2951</v>
      </c>
    </row>
    <row r="212" spans="1:5" ht="25.5" x14ac:dyDescent="0.25">
      <c r="A212" s="183">
        <v>2034</v>
      </c>
      <c r="B212" s="184" t="s">
        <v>2952</v>
      </c>
      <c r="D212" s="19">
        <v>316998</v>
      </c>
      <c r="E212" s="19" t="s">
        <v>2953</v>
      </c>
    </row>
    <row r="213" spans="1:5" ht="25.5" x14ac:dyDescent="0.25">
      <c r="A213" s="183">
        <v>2034</v>
      </c>
      <c r="B213" s="184" t="s">
        <v>2954</v>
      </c>
      <c r="D213" s="19">
        <v>321113</v>
      </c>
      <c r="E213" s="19" t="s">
        <v>2955</v>
      </c>
    </row>
    <row r="214" spans="1:5" ht="25.5" x14ac:dyDescent="0.25">
      <c r="A214" s="183">
        <v>2035</v>
      </c>
      <c r="B214" s="184" t="s">
        <v>2956</v>
      </c>
      <c r="D214" s="19">
        <v>321114</v>
      </c>
      <c r="E214" s="19" t="s">
        <v>2957</v>
      </c>
    </row>
    <row r="215" spans="1:5" ht="25.5" x14ac:dyDescent="0.25">
      <c r="A215" s="183">
        <v>2035</v>
      </c>
      <c r="B215" s="184" t="s">
        <v>2958</v>
      </c>
      <c r="D215" s="19">
        <v>321211</v>
      </c>
      <c r="E215" s="19" t="s">
        <v>2959</v>
      </c>
    </row>
    <row r="216" spans="1:5" x14ac:dyDescent="0.25">
      <c r="A216" s="183">
        <v>2037</v>
      </c>
      <c r="B216" s="184" t="s">
        <v>2960</v>
      </c>
      <c r="D216" s="19">
        <v>321212</v>
      </c>
      <c r="E216" s="19" t="s">
        <v>2961</v>
      </c>
    </row>
    <row r="217" spans="1:5" x14ac:dyDescent="0.25">
      <c r="A217" s="183">
        <v>2038</v>
      </c>
      <c r="B217" s="184" t="s">
        <v>2962</v>
      </c>
      <c r="D217" s="19">
        <v>321213</v>
      </c>
      <c r="E217" s="19" t="s">
        <v>2963</v>
      </c>
    </row>
    <row r="218" spans="1:5" x14ac:dyDescent="0.25">
      <c r="A218" s="183">
        <v>2041</v>
      </c>
      <c r="B218" s="184" t="s">
        <v>2964</v>
      </c>
      <c r="D218" s="19">
        <v>321214</v>
      </c>
      <c r="E218" s="19" t="s">
        <v>2965</v>
      </c>
    </row>
    <row r="219" spans="1:5" ht="25.5" x14ac:dyDescent="0.25">
      <c r="A219" s="183">
        <v>2043</v>
      </c>
      <c r="B219" s="184" t="s">
        <v>2966</v>
      </c>
      <c r="D219" s="19">
        <v>321219</v>
      </c>
      <c r="E219" s="19" t="s">
        <v>2967</v>
      </c>
    </row>
    <row r="220" spans="1:5" x14ac:dyDescent="0.25">
      <c r="A220" s="183">
        <v>2043</v>
      </c>
      <c r="B220" s="184" t="s">
        <v>2968</v>
      </c>
      <c r="D220" s="19">
        <v>321911</v>
      </c>
      <c r="E220" s="19" t="s">
        <v>2969</v>
      </c>
    </row>
    <row r="221" spans="1:5" x14ac:dyDescent="0.25">
      <c r="A221" s="183">
        <v>2044</v>
      </c>
      <c r="B221" s="184" t="s">
        <v>2818</v>
      </c>
      <c r="D221" s="19">
        <v>321912</v>
      </c>
      <c r="E221" s="19" t="s">
        <v>2970</v>
      </c>
    </row>
    <row r="222" spans="1:5" x14ac:dyDescent="0.25">
      <c r="A222" s="183">
        <v>2045</v>
      </c>
      <c r="B222" s="184" t="s">
        <v>2971</v>
      </c>
      <c r="D222" s="19">
        <v>321918</v>
      </c>
      <c r="E222" s="19" t="s">
        <v>2972</v>
      </c>
    </row>
    <row r="223" spans="1:5" x14ac:dyDescent="0.25">
      <c r="A223" s="183">
        <v>2046</v>
      </c>
      <c r="B223" s="184" t="s">
        <v>2973</v>
      </c>
      <c r="D223" s="19">
        <v>321920</v>
      </c>
      <c r="E223" s="19" t="s">
        <v>2974</v>
      </c>
    </row>
    <row r="224" spans="1:5" x14ac:dyDescent="0.25">
      <c r="A224" s="183">
        <v>2046</v>
      </c>
      <c r="B224" s="184" t="s">
        <v>2975</v>
      </c>
      <c r="D224" s="19">
        <v>321991</v>
      </c>
      <c r="E224" s="19" t="s">
        <v>2976</v>
      </c>
    </row>
    <row r="225" spans="1:5" x14ac:dyDescent="0.25">
      <c r="A225" s="183">
        <v>2047</v>
      </c>
      <c r="B225" s="184" t="s">
        <v>2977</v>
      </c>
      <c r="D225" s="19">
        <v>321992</v>
      </c>
      <c r="E225" s="19" t="s">
        <v>2978</v>
      </c>
    </row>
    <row r="226" spans="1:5" ht="25.5" x14ac:dyDescent="0.25">
      <c r="A226" s="183">
        <v>2048</v>
      </c>
      <c r="B226" s="184" t="s">
        <v>2979</v>
      </c>
      <c r="D226" s="19">
        <v>321999</v>
      </c>
      <c r="E226" s="19" t="s">
        <v>2980</v>
      </c>
    </row>
    <row r="227" spans="1:5" ht="25.5" x14ac:dyDescent="0.25">
      <c r="A227" s="183">
        <v>2048</v>
      </c>
      <c r="B227" s="184" t="s">
        <v>2981</v>
      </c>
      <c r="D227" s="19">
        <v>322110</v>
      </c>
      <c r="E227" s="19" t="s">
        <v>2982</v>
      </c>
    </row>
    <row r="228" spans="1:5" x14ac:dyDescent="0.25">
      <c r="A228" s="183">
        <v>2051</v>
      </c>
      <c r="B228" s="184" t="s">
        <v>2983</v>
      </c>
      <c r="D228" s="19">
        <v>322121</v>
      </c>
      <c r="E228" s="19" t="s">
        <v>2984</v>
      </c>
    </row>
    <row r="229" spans="1:5" x14ac:dyDescent="0.25">
      <c r="A229" s="183">
        <v>2052</v>
      </c>
      <c r="B229" s="184" t="s">
        <v>2985</v>
      </c>
      <c r="D229" s="19">
        <v>322122</v>
      </c>
      <c r="E229" s="19" t="s">
        <v>2986</v>
      </c>
    </row>
    <row r="230" spans="1:5" x14ac:dyDescent="0.25">
      <c r="A230" s="183">
        <v>2052</v>
      </c>
      <c r="B230" s="184" t="s">
        <v>2987</v>
      </c>
      <c r="D230" s="19">
        <v>322130</v>
      </c>
      <c r="E230" s="19" t="s">
        <v>2988</v>
      </c>
    </row>
    <row r="231" spans="1:5" x14ac:dyDescent="0.25">
      <c r="A231" s="183">
        <v>2052</v>
      </c>
      <c r="B231" s="184" t="s">
        <v>2989</v>
      </c>
      <c r="D231" s="19">
        <v>322211</v>
      </c>
      <c r="E231" s="19" t="s">
        <v>2990</v>
      </c>
    </row>
    <row r="232" spans="1:5" x14ac:dyDescent="0.25">
      <c r="A232" s="183">
        <v>2053</v>
      </c>
      <c r="B232" s="184" t="s">
        <v>2991</v>
      </c>
      <c r="D232" s="19">
        <v>322212</v>
      </c>
      <c r="E232" s="19" t="s">
        <v>2992</v>
      </c>
    </row>
    <row r="233" spans="1:5" x14ac:dyDescent="0.25">
      <c r="A233" s="183">
        <v>2061</v>
      </c>
      <c r="B233" s="184" t="s">
        <v>2993</v>
      </c>
      <c r="D233" s="19">
        <v>322219</v>
      </c>
      <c r="E233" s="19" t="s">
        <v>2994</v>
      </c>
    </row>
    <row r="234" spans="1:5" x14ac:dyDescent="0.25">
      <c r="A234" s="183">
        <v>2062</v>
      </c>
      <c r="B234" s="184" t="s">
        <v>2995</v>
      </c>
      <c r="D234" s="19">
        <v>322220</v>
      </c>
      <c r="E234" s="19" t="s">
        <v>2996</v>
      </c>
    </row>
    <row r="235" spans="1:5" x14ac:dyDescent="0.25">
      <c r="A235" s="183">
        <v>2063</v>
      </c>
      <c r="B235" s="184" t="s">
        <v>2997</v>
      </c>
      <c r="D235" s="19">
        <v>322230</v>
      </c>
      <c r="E235" s="19" t="s">
        <v>2998</v>
      </c>
    </row>
    <row r="236" spans="1:5" x14ac:dyDescent="0.25">
      <c r="A236" s="183">
        <v>2064</v>
      </c>
      <c r="B236" s="184" t="s">
        <v>2999</v>
      </c>
      <c r="D236" s="19">
        <v>322291</v>
      </c>
      <c r="E236" s="19" t="s">
        <v>3000</v>
      </c>
    </row>
    <row r="237" spans="1:5" x14ac:dyDescent="0.25">
      <c r="A237" s="183">
        <v>2064</v>
      </c>
      <c r="B237" s="184" t="s">
        <v>3001</v>
      </c>
      <c r="D237" s="19">
        <v>322299</v>
      </c>
      <c r="E237" s="19" t="s">
        <v>3002</v>
      </c>
    </row>
    <row r="238" spans="1:5" x14ac:dyDescent="0.25">
      <c r="A238" s="183">
        <v>2066</v>
      </c>
      <c r="B238" s="184" t="s">
        <v>3003</v>
      </c>
      <c r="D238" s="19">
        <v>323111</v>
      </c>
      <c r="E238" s="19" t="s">
        <v>3004</v>
      </c>
    </row>
    <row r="239" spans="1:5" x14ac:dyDescent="0.25">
      <c r="A239" s="183">
        <v>2066</v>
      </c>
      <c r="B239" s="184" t="s">
        <v>3005</v>
      </c>
      <c r="D239" s="19">
        <v>323113</v>
      </c>
      <c r="E239" s="19" t="s">
        <v>3006</v>
      </c>
    </row>
    <row r="240" spans="1:5" x14ac:dyDescent="0.25">
      <c r="A240" s="183">
        <v>2067</v>
      </c>
      <c r="B240" s="184" t="s">
        <v>3007</v>
      </c>
      <c r="D240" s="19">
        <v>323117</v>
      </c>
      <c r="E240" s="19" t="s">
        <v>3008</v>
      </c>
    </row>
    <row r="241" spans="1:5" x14ac:dyDescent="0.25">
      <c r="A241" s="183">
        <v>2068</v>
      </c>
      <c r="B241" s="184" t="s">
        <v>3009</v>
      </c>
      <c r="D241" s="19">
        <v>323120</v>
      </c>
      <c r="E241" s="19" t="s">
        <v>3010</v>
      </c>
    </row>
    <row r="242" spans="1:5" x14ac:dyDescent="0.25">
      <c r="A242" s="183">
        <v>2074</v>
      </c>
      <c r="B242" s="184" t="s">
        <v>3011</v>
      </c>
      <c r="D242" s="19">
        <v>324110</v>
      </c>
      <c r="E242" s="19" t="s">
        <v>2407</v>
      </c>
    </row>
    <row r="243" spans="1:5" x14ac:dyDescent="0.25">
      <c r="A243" s="183">
        <v>2074</v>
      </c>
      <c r="B243" s="184" t="s">
        <v>3012</v>
      </c>
      <c r="D243" s="19">
        <v>324121</v>
      </c>
      <c r="E243" s="19" t="s">
        <v>3013</v>
      </c>
    </row>
    <row r="244" spans="1:5" x14ac:dyDescent="0.25">
      <c r="A244" s="183">
        <v>2075</v>
      </c>
      <c r="B244" s="184" t="s">
        <v>3014</v>
      </c>
      <c r="D244" s="19">
        <v>324122</v>
      </c>
      <c r="E244" s="19" t="s">
        <v>3015</v>
      </c>
    </row>
    <row r="245" spans="1:5" x14ac:dyDescent="0.25">
      <c r="A245" s="183">
        <v>2075</v>
      </c>
      <c r="B245" s="184" t="s">
        <v>3016</v>
      </c>
      <c r="D245" s="19">
        <v>324191</v>
      </c>
      <c r="E245" s="19" t="s">
        <v>3017</v>
      </c>
    </row>
    <row r="246" spans="1:5" x14ac:dyDescent="0.25">
      <c r="A246" s="183">
        <v>2076</v>
      </c>
      <c r="B246" s="184" t="s">
        <v>3018</v>
      </c>
      <c r="D246" s="19">
        <v>324199</v>
      </c>
      <c r="E246" s="19" t="s">
        <v>3019</v>
      </c>
    </row>
    <row r="247" spans="1:5" ht="25.5" x14ac:dyDescent="0.25">
      <c r="A247" s="183">
        <v>2076</v>
      </c>
      <c r="B247" s="184" t="s">
        <v>3020</v>
      </c>
      <c r="D247" s="19">
        <v>325110</v>
      </c>
      <c r="E247" s="19" t="s">
        <v>36</v>
      </c>
    </row>
    <row r="248" spans="1:5" x14ac:dyDescent="0.25">
      <c r="A248" s="183">
        <v>2077</v>
      </c>
      <c r="B248" s="184" t="s">
        <v>3021</v>
      </c>
      <c r="D248" s="19">
        <v>325120</v>
      </c>
      <c r="E248" s="19" t="s">
        <v>3022</v>
      </c>
    </row>
    <row r="249" spans="1:5" x14ac:dyDescent="0.25">
      <c r="A249" s="183">
        <v>2077</v>
      </c>
      <c r="B249" s="184" t="s">
        <v>3023</v>
      </c>
      <c r="D249" s="19">
        <v>325130</v>
      </c>
      <c r="E249" s="19" t="s">
        <v>3024</v>
      </c>
    </row>
    <row r="250" spans="1:5" x14ac:dyDescent="0.25">
      <c r="A250" s="183">
        <v>2077</v>
      </c>
      <c r="B250" s="184" t="s">
        <v>3025</v>
      </c>
      <c r="D250" s="19">
        <v>325180</v>
      </c>
      <c r="E250" s="19" t="s">
        <v>674</v>
      </c>
    </row>
    <row r="251" spans="1:5" ht="25.5" x14ac:dyDescent="0.25">
      <c r="A251" s="183">
        <v>2079</v>
      </c>
      <c r="B251" s="184" t="s">
        <v>3026</v>
      </c>
      <c r="D251" s="19">
        <v>325193</v>
      </c>
      <c r="E251" s="19" t="s">
        <v>3027</v>
      </c>
    </row>
    <row r="252" spans="1:5" ht="38.25" x14ac:dyDescent="0.25">
      <c r="A252" s="183">
        <v>2079</v>
      </c>
      <c r="B252" s="184" t="s">
        <v>3028</v>
      </c>
      <c r="D252" s="19">
        <v>325194</v>
      </c>
      <c r="E252" s="19" t="s">
        <v>3029</v>
      </c>
    </row>
    <row r="253" spans="1:5" ht="38.25" x14ac:dyDescent="0.25">
      <c r="A253" s="183">
        <v>2079</v>
      </c>
      <c r="B253" s="184" t="s">
        <v>3030</v>
      </c>
      <c r="D253" s="19">
        <v>325199</v>
      </c>
      <c r="E253" s="19" t="s">
        <v>28</v>
      </c>
    </row>
    <row r="254" spans="1:5" x14ac:dyDescent="0.25">
      <c r="A254" s="183">
        <v>2082</v>
      </c>
      <c r="B254" s="184" t="s">
        <v>3031</v>
      </c>
      <c r="D254" s="19">
        <v>325211</v>
      </c>
      <c r="E254" s="19" t="s">
        <v>54</v>
      </c>
    </row>
    <row r="255" spans="1:5" x14ac:dyDescent="0.25">
      <c r="A255" s="183">
        <v>2082</v>
      </c>
      <c r="B255" s="184" t="s">
        <v>3032</v>
      </c>
      <c r="D255" s="19">
        <v>325212</v>
      </c>
      <c r="E255" s="19" t="s">
        <v>3033</v>
      </c>
    </row>
    <row r="256" spans="1:5" x14ac:dyDescent="0.25">
      <c r="A256" s="183">
        <v>2083</v>
      </c>
      <c r="B256" s="184" t="s">
        <v>3034</v>
      </c>
      <c r="D256" s="19">
        <v>325220</v>
      </c>
      <c r="E256" s="19" t="s">
        <v>3035</v>
      </c>
    </row>
    <row r="257" spans="1:5" x14ac:dyDescent="0.25">
      <c r="A257" s="183">
        <v>2084</v>
      </c>
      <c r="B257" s="184" t="s">
        <v>3036</v>
      </c>
      <c r="D257" s="19">
        <v>325311</v>
      </c>
      <c r="E257" s="19" t="s">
        <v>3037</v>
      </c>
    </row>
    <row r="258" spans="1:5" x14ac:dyDescent="0.25">
      <c r="A258" s="183">
        <v>2085</v>
      </c>
      <c r="B258" s="184" t="s">
        <v>3038</v>
      </c>
      <c r="D258" s="19">
        <v>325312</v>
      </c>
      <c r="E258" s="19" t="s">
        <v>3039</v>
      </c>
    </row>
    <row r="259" spans="1:5" x14ac:dyDescent="0.25">
      <c r="A259" s="183">
        <v>2085</v>
      </c>
      <c r="B259" s="184" t="s">
        <v>3040</v>
      </c>
      <c r="D259" s="21">
        <v>325314</v>
      </c>
      <c r="E259" s="19" t="s">
        <v>3041</v>
      </c>
    </row>
    <row r="260" spans="1:5" x14ac:dyDescent="0.25">
      <c r="A260" s="183">
        <v>2086</v>
      </c>
      <c r="B260" s="184" t="s">
        <v>3042</v>
      </c>
      <c r="D260" s="21">
        <v>325314</v>
      </c>
      <c r="E260" s="19" t="s">
        <v>3043</v>
      </c>
    </row>
    <row r="261" spans="1:5" x14ac:dyDescent="0.25">
      <c r="A261" s="183">
        <v>2086</v>
      </c>
      <c r="B261" s="184" t="s">
        <v>3044</v>
      </c>
      <c r="D261" s="19">
        <v>325320</v>
      </c>
      <c r="E261" s="19" t="s">
        <v>2406</v>
      </c>
    </row>
    <row r="262" spans="1:5" x14ac:dyDescent="0.25">
      <c r="A262" s="183">
        <v>2087</v>
      </c>
      <c r="B262" s="184" t="s">
        <v>3045</v>
      </c>
      <c r="D262" s="19">
        <v>325411</v>
      </c>
      <c r="E262" s="19" t="s">
        <v>3046</v>
      </c>
    </row>
    <row r="263" spans="1:5" ht="25.5" x14ac:dyDescent="0.25">
      <c r="A263" s="183">
        <v>2087</v>
      </c>
      <c r="B263" s="184" t="s">
        <v>3047</v>
      </c>
      <c r="D263" s="19">
        <v>325412</v>
      </c>
      <c r="E263" s="19" t="s">
        <v>3048</v>
      </c>
    </row>
    <row r="264" spans="1:5" x14ac:dyDescent="0.25">
      <c r="A264" s="183">
        <v>2087</v>
      </c>
      <c r="B264" s="184" t="s">
        <v>3049</v>
      </c>
      <c r="D264" s="19">
        <v>325413</v>
      </c>
      <c r="E264" s="19" t="s">
        <v>3050</v>
      </c>
    </row>
    <row r="265" spans="1:5" x14ac:dyDescent="0.25">
      <c r="A265" s="183">
        <v>2087</v>
      </c>
      <c r="B265" s="184" t="s">
        <v>3051</v>
      </c>
      <c r="D265" s="19">
        <v>325414</v>
      </c>
      <c r="E265" s="19" t="s">
        <v>3052</v>
      </c>
    </row>
    <row r="266" spans="1:5" x14ac:dyDescent="0.25">
      <c r="A266" s="183">
        <v>2091</v>
      </c>
      <c r="B266" s="184" t="s">
        <v>3053</v>
      </c>
      <c r="D266" s="19">
        <v>325510</v>
      </c>
      <c r="E266" s="19" t="s">
        <v>697</v>
      </c>
    </row>
    <row r="267" spans="1:5" x14ac:dyDescent="0.25">
      <c r="A267" s="183">
        <v>2092</v>
      </c>
      <c r="B267" s="184" t="s">
        <v>3054</v>
      </c>
      <c r="D267" s="19">
        <v>325520</v>
      </c>
      <c r="E267" s="19" t="s">
        <v>3055</v>
      </c>
    </row>
    <row r="268" spans="1:5" x14ac:dyDescent="0.25">
      <c r="A268" s="183">
        <v>2095</v>
      </c>
      <c r="B268" s="184" t="s">
        <v>3056</v>
      </c>
      <c r="D268" s="19">
        <v>325611</v>
      </c>
      <c r="E268" s="19" t="s">
        <v>3057</v>
      </c>
    </row>
    <row r="269" spans="1:5" x14ac:dyDescent="0.25">
      <c r="A269" s="183">
        <v>2096</v>
      </c>
      <c r="B269" s="184" t="s">
        <v>3058</v>
      </c>
      <c r="D269" s="19">
        <v>325612</v>
      </c>
      <c r="E269" s="19" t="s">
        <v>3059</v>
      </c>
    </row>
    <row r="270" spans="1:5" x14ac:dyDescent="0.25">
      <c r="A270" s="183">
        <v>2097</v>
      </c>
      <c r="B270" s="184" t="s">
        <v>3060</v>
      </c>
      <c r="D270" s="19">
        <v>325613</v>
      </c>
      <c r="E270" s="19" t="s">
        <v>3061</v>
      </c>
    </row>
    <row r="271" spans="1:5" x14ac:dyDescent="0.25">
      <c r="A271" s="183">
        <v>2098</v>
      </c>
      <c r="B271" s="184" t="s">
        <v>3062</v>
      </c>
      <c r="D271" s="19">
        <v>325620</v>
      </c>
      <c r="E271" s="19" t="s">
        <v>3063</v>
      </c>
    </row>
    <row r="272" spans="1:5" x14ac:dyDescent="0.25">
      <c r="A272" s="183">
        <v>2099</v>
      </c>
      <c r="B272" s="184" t="s">
        <v>3064</v>
      </c>
      <c r="D272" s="19">
        <v>325910</v>
      </c>
      <c r="E272" s="19" t="s">
        <v>3065</v>
      </c>
    </row>
    <row r="273" spans="1:5" ht="25.5" x14ac:dyDescent="0.25">
      <c r="A273" s="183">
        <v>2099</v>
      </c>
      <c r="B273" s="184" t="s">
        <v>3066</v>
      </c>
      <c r="D273" s="19">
        <v>325920</v>
      </c>
      <c r="E273" s="19" t="s">
        <v>3067</v>
      </c>
    </row>
    <row r="274" spans="1:5" x14ac:dyDescent="0.25">
      <c r="A274" s="183">
        <v>2099</v>
      </c>
      <c r="B274" s="184" t="s">
        <v>3068</v>
      </c>
      <c r="D274" s="19">
        <v>325991</v>
      </c>
      <c r="E274" s="19" t="s">
        <v>3069</v>
      </c>
    </row>
    <row r="275" spans="1:5" ht="25.5" x14ac:dyDescent="0.25">
      <c r="A275" s="183">
        <v>2099</v>
      </c>
      <c r="B275" s="184" t="s">
        <v>3070</v>
      </c>
      <c r="D275" s="19">
        <v>325992</v>
      </c>
      <c r="E275" s="19" t="s">
        <v>3071</v>
      </c>
    </row>
    <row r="276" spans="1:5" x14ac:dyDescent="0.25">
      <c r="A276" s="183">
        <v>2099</v>
      </c>
      <c r="B276" s="184" t="s">
        <v>3072</v>
      </c>
      <c r="D276" s="19">
        <v>325998</v>
      </c>
      <c r="E276" s="19" t="s">
        <v>3073</v>
      </c>
    </row>
    <row r="277" spans="1:5" x14ac:dyDescent="0.25">
      <c r="A277" s="183">
        <v>2099</v>
      </c>
      <c r="B277" s="184" t="s">
        <v>3074</v>
      </c>
      <c r="D277" s="19">
        <v>326111</v>
      </c>
      <c r="E277" s="19" t="s">
        <v>3075</v>
      </c>
    </row>
    <row r="278" spans="1:5" x14ac:dyDescent="0.25">
      <c r="A278" s="183">
        <v>2099</v>
      </c>
      <c r="B278" s="184" t="s">
        <v>3076</v>
      </c>
      <c r="D278" s="19">
        <v>326112</v>
      </c>
      <c r="E278" s="19" t="s">
        <v>3077</v>
      </c>
    </row>
    <row r="279" spans="1:5" x14ac:dyDescent="0.25">
      <c r="A279" s="183">
        <v>2099</v>
      </c>
      <c r="B279" s="184" t="s">
        <v>3078</v>
      </c>
      <c r="D279" s="19">
        <v>326113</v>
      </c>
      <c r="E279" s="19" t="s">
        <v>3079</v>
      </c>
    </row>
    <row r="280" spans="1:5" x14ac:dyDescent="0.25">
      <c r="A280" s="183">
        <v>2099</v>
      </c>
      <c r="B280" s="184" t="s">
        <v>3080</v>
      </c>
      <c r="D280" s="19">
        <v>326121</v>
      </c>
      <c r="E280" s="19" t="s">
        <v>3081</v>
      </c>
    </row>
    <row r="281" spans="1:5" x14ac:dyDescent="0.25">
      <c r="A281" s="183">
        <v>2099</v>
      </c>
      <c r="B281" s="184" t="s">
        <v>3082</v>
      </c>
      <c r="D281" s="19">
        <v>326122</v>
      </c>
      <c r="E281" s="19" t="s">
        <v>3083</v>
      </c>
    </row>
    <row r="282" spans="1:5" x14ac:dyDescent="0.25">
      <c r="A282" s="183">
        <v>2099</v>
      </c>
      <c r="B282" s="184" t="s">
        <v>3084</v>
      </c>
      <c r="D282" s="19">
        <v>326130</v>
      </c>
      <c r="E282" s="19" t="s">
        <v>3085</v>
      </c>
    </row>
    <row r="283" spans="1:5" ht="51" x14ac:dyDescent="0.25">
      <c r="A283" s="183">
        <v>2099</v>
      </c>
      <c r="B283" s="184" t="s">
        <v>3086</v>
      </c>
      <c r="D283" s="19">
        <v>326140</v>
      </c>
      <c r="E283" s="19" t="s">
        <v>3087</v>
      </c>
    </row>
    <row r="284" spans="1:5" x14ac:dyDescent="0.25">
      <c r="A284" s="183">
        <v>2111</v>
      </c>
      <c r="B284" s="184" t="s">
        <v>3088</v>
      </c>
      <c r="D284" s="19">
        <v>326150</v>
      </c>
      <c r="E284" s="19" t="s">
        <v>3089</v>
      </c>
    </row>
    <row r="285" spans="1:5" x14ac:dyDescent="0.25">
      <c r="A285" s="183">
        <v>2121</v>
      </c>
      <c r="B285" s="184" t="s">
        <v>3090</v>
      </c>
      <c r="D285" s="19">
        <v>326160</v>
      </c>
      <c r="E285" s="19" t="s">
        <v>3091</v>
      </c>
    </row>
    <row r="286" spans="1:5" x14ac:dyDescent="0.25">
      <c r="A286" s="183">
        <v>2131</v>
      </c>
      <c r="B286" s="184" t="s">
        <v>3092</v>
      </c>
      <c r="D286" s="19">
        <v>326191</v>
      </c>
      <c r="E286" s="19" t="s">
        <v>3093</v>
      </c>
    </row>
    <row r="287" spans="1:5" x14ac:dyDescent="0.25">
      <c r="A287" s="183">
        <v>2141</v>
      </c>
      <c r="B287" s="184" t="s">
        <v>3094</v>
      </c>
      <c r="D287" s="19">
        <v>326199</v>
      </c>
      <c r="E287" s="19" t="s">
        <v>3095</v>
      </c>
    </row>
    <row r="288" spans="1:5" x14ac:dyDescent="0.25">
      <c r="A288" s="183">
        <v>2141</v>
      </c>
      <c r="B288" s="184" t="s">
        <v>3096</v>
      </c>
      <c r="D288" s="19">
        <v>326211</v>
      </c>
      <c r="E288" s="19" t="s">
        <v>3097</v>
      </c>
    </row>
    <row r="289" spans="1:5" x14ac:dyDescent="0.25">
      <c r="A289" s="183">
        <v>2211</v>
      </c>
      <c r="B289" s="184" t="s">
        <v>3098</v>
      </c>
      <c r="D289" s="19">
        <v>326212</v>
      </c>
      <c r="E289" s="19" t="s">
        <v>3099</v>
      </c>
    </row>
    <row r="290" spans="1:5" x14ac:dyDescent="0.25">
      <c r="A290" s="183">
        <v>2221</v>
      </c>
      <c r="B290" s="184" t="s">
        <v>3100</v>
      </c>
      <c r="D290" s="19">
        <v>326220</v>
      </c>
      <c r="E290" s="19" t="s">
        <v>3101</v>
      </c>
    </row>
    <row r="291" spans="1:5" ht="25.5" x14ac:dyDescent="0.25">
      <c r="A291" s="183">
        <v>2231</v>
      </c>
      <c r="B291" s="184" t="s">
        <v>3102</v>
      </c>
      <c r="D291" s="19">
        <v>326291</v>
      </c>
      <c r="E291" s="19" t="s">
        <v>3103</v>
      </c>
    </row>
    <row r="292" spans="1:5" x14ac:dyDescent="0.25">
      <c r="A292" s="183">
        <v>2231</v>
      </c>
      <c r="B292" s="184" t="s">
        <v>3104</v>
      </c>
      <c r="D292" s="19">
        <v>326299</v>
      </c>
      <c r="E292" s="19" t="s">
        <v>3105</v>
      </c>
    </row>
    <row r="293" spans="1:5" x14ac:dyDescent="0.25">
      <c r="A293" s="183">
        <v>2231</v>
      </c>
      <c r="B293" s="184" t="s">
        <v>3106</v>
      </c>
      <c r="D293" s="19">
        <v>327110</v>
      </c>
      <c r="E293" s="19" t="s">
        <v>3107</v>
      </c>
    </row>
    <row r="294" spans="1:5" x14ac:dyDescent="0.25">
      <c r="A294" s="183">
        <v>2241</v>
      </c>
      <c r="B294" s="184" t="s">
        <v>3108</v>
      </c>
      <c r="D294" s="19">
        <v>327120</v>
      </c>
      <c r="E294" s="19" t="s">
        <v>3109</v>
      </c>
    </row>
    <row r="295" spans="1:5" ht="25.5" x14ac:dyDescent="0.25">
      <c r="A295" s="183">
        <v>2251</v>
      </c>
      <c r="B295" s="184" t="s">
        <v>3110</v>
      </c>
      <c r="D295" s="19">
        <v>327211</v>
      </c>
      <c r="E295" s="19" t="s">
        <v>3111</v>
      </c>
    </row>
    <row r="296" spans="1:5" ht="25.5" x14ac:dyDescent="0.25">
      <c r="A296" s="183">
        <v>2251</v>
      </c>
      <c r="B296" s="184" t="s">
        <v>3112</v>
      </c>
      <c r="D296" s="19">
        <v>327212</v>
      </c>
      <c r="E296" s="19" t="s">
        <v>3113</v>
      </c>
    </row>
    <row r="297" spans="1:5" x14ac:dyDescent="0.25">
      <c r="A297" s="183">
        <v>2252</v>
      </c>
      <c r="B297" s="184" t="s">
        <v>3114</v>
      </c>
      <c r="D297" s="19">
        <v>327213</v>
      </c>
      <c r="E297" s="19" t="s">
        <v>3115</v>
      </c>
    </row>
    <row r="298" spans="1:5" x14ac:dyDescent="0.25">
      <c r="A298" s="183">
        <v>2252</v>
      </c>
      <c r="B298" s="184" t="s">
        <v>3116</v>
      </c>
      <c r="D298" s="19">
        <v>327215</v>
      </c>
      <c r="E298" s="19" t="s">
        <v>3117</v>
      </c>
    </row>
    <row r="299" spans="1:5" ht="25.5" x14ac:dyDescent="0.25">
      <c r="A299" s="183">
        <v>2252</v>
      </c>
      <c r="B299" s="184" t="s">
        <v>3118</v>
      </c>
      <c r="D299" s="19">
        <v>327310</v>
      </c>
      <c r="E299" s="19" t="s">
        <v>693</v>
      </c>
    </row>
    <row r="300" spans="1:5" x14ac:dyDescent="0.25">
      <c r="A300" s="183">
        <v>2253</v>
      </c>
      <c r="B300" s="184" t="s">
        <v>3119</v>
      </c>
      <c r="D300" s="19">
        <v>327320</v>
      </c>
      <c r="E300" s="19" t="s">
        <v>3120</v>
      </c>
    </row>
    <row r="301" spans="1:5" ht="25.5" x14ac:dyDescent="0.25">
      <c r="A301" s="183">
        <v>2253</v>
      </c>
      <c r="B301" s="184" t="s">
        <v>3121</v>
      </c>
      <c r="D301" s="19">
        <v>327331</v>
      </c>
      <c r="E301" s="19" t="s">
        <v>3122</v>
      </c>
    </row>
    <row r="302" spans="1:5" x14ac:dyDescent="0.25">
      <c r="A302" s="183">
        <v>2253</v>
      </c>
      <c r="B302" s="184" t="s">
        <v>3123</v>
      </c>
      <c r="D302" s="19">
        <v>327332</v>
      </c>
      <c r="E302" s="19" t="s">
        <v>3124</v>
      </c>
    </row>
    <row r="303" spans="1:5" ht="25.5" x14ac:dyDescent="0.25">
      <c r="A303" s="183">
        <v>2254</v>
      </c>
      <c r="B303" s="184" t="s">
        <v>3125</v>
      </c>
      <c r="D303" s="19">
        <v>327390</v>
      </c>
      <c r="E303" s="19" t="s">
        <v>3126</v>
      </c>
    </row>
    <row r="304" spans="1:5" ht="25.5" x14ac:dyDescent="0.25">
      <c r="A304" s="183">
        <v>2254</v>
      </c>
      <c r="B304" s="184" t="s">
        <v>3127</v>
      </c>
      <c r="D304" s="19">
        <v>327410</v>
      </c>
      <c r="E304" s="19" t="s">
        <v>3128</v>
      </c>
    </row>
    <row r="305" spans="1:5" x14ac:dyDescent="0.25">
      <c r="A305" s="183">
        <v>2257</v>
      </c>
      <c r="B305" s="184" t="s">
        <v>3129</v>
      </c>
      <c r="D305" s="19">
        <v>327420</v>
      </c>
      <c r="E305" s="19" t="s">
        <v>3130</v>
      </c>
    </row>
    <row r="306" spans="1:5" x14ac:dyDescent="0.25">
      <c r="A306" s="183">
        <v>2257</v>
      </c>
      <c r="B306" s="184" t="s">
        <v>3131</v>
      </c>
      <c r="D306" s="19">
        <v>327910</v>
      </c>
      <c r="E306" s="19" t="s">
        <v>3132</v>
      </c>
    </row>
    <row r="307" spans="1:5" ht="25.5" x14ac:dyDescent="0.25">
      <c r="A307" s="183">
        <v>2258</v>
      </c>
      <c r="B307" s="184" t="s">
        <v>3133</v>
      </c>
      <c r="D307" s="19">
        <v>327991</v>
      </c>
      <c r="E307" s="19" t="s">
        <v>3134</v>
      </c>
    </row>
    <row r="308" spans="1:5" ht="25.5" x14ac:dyDescent="0.25">
      <c r="A308" s="183">
        <v>2258</v>
      </c>
      <c r="B308" s="184" t="s">
        <v>3135</v>
      </c>
      <c r="D308" s="19">
        <v>327992</v>
      </c>
      <c r="E308" s="19" t="s">
        <v>3136</v>
      </c>
    </row>
    <row r="309" spans="1:5" ht="25.5" x14ac:dyDescent="0.25">
      <c r="A309" s="183">
        <v>2259</v>
      </c>
      <c r="B309" s="184" t="s">
        <v>3137</v>
      </c>
      <c r="D309" s="19">
        <v>327993</v>
      </c>
      <c r="E309" s="19" t="s">
        <v>3138</v>
      </c>
    </row>
    <row r="310" spans="1:5" ht="25.5" x14ac:dyDescent="0.25">
      <c r="A310" s="183">
        <v>2259</v>
      </c>
      <c r="B310" s="184" t="s">
        <v>3139</v>
      </c>
      <c r="D310" s="19">
        <v>327999</v>
      </c>
      <c r="E310" s="19" t="s">
        <v>3140</v>
      </c>
    </row>
    <row r="311" spans="1:5" ht="25.5" x14ac:dyDescent="0.25">
      <c r="A311" s="183">
        <v>2259</v>
      </c>
      <c r="B311" s="184" t="s">
        <v>3141</v>
      </c>
      <c r="D311" s="19">
        <v>331110</v>
      </c>
      <c r="E311" s="19" t="s">
        <v>3142</v>
      </c>
    </row>
    <row r="312" spans="1:5" x14ac:dyDescent="0.25">
      <c r="A312" s="183">
        <v>2259</v>
      </c>
      <c r="B312" s="184" t="s">
        <v>3143</v>
      </c>
      <c r="D312" s="19">
        <v>331210</v>
      </c>
      <c r="E312" s="19" t="s">
        <v>3144</v>
      </c>
    </row>
    <row r="313" spans="1:5" x14ac:dyDescent="0.25">
      <c r="A313" s="183">
        <v>2259</v>
      </c>
      <c r="B313" s="184" t="s">
        <v>3145</v>
      </c>
      <c r="D313" s="19">
        <v>331221</v>
      </c>
      <c r="E313" s="19" t="s">
        <v>3146</v>
      </c>
    </row>
    <row r="314" spans="1:5" x14ac:dyDescent="0.25">
      <c r="A314" s="183">
        <v>2261</v>
      </c>
      <c r="B314" s="184" t="s">
        <v>3147</v>
      </c>
      <c r="D314" s="19">
        <v>331222</v>
      </c>
      <c r="E314" s="19" t="s">
        <v>3148</v>
      </c>
    </row>
    <row r="315" spans="1:5" x14ac:dyDescent="0.25">
      <c r="A315" s="183">
        <v>2262</v>
      </c>
      <c r="B315" s="184" t="s">
        <v>3149</v>
      </c>
      <c r="D315" s="19">
        <v>331313</v>
      </c>
      <c r="E315" s="19" t="s">
        <v>3150</v>
      </c>
    </row>
    <row r="316" spans="1:5" x14ac:dyDescent="0.25">
      <c r="A316" s="183">
        <v>2269</v>
      </c>
      <c r="B316" s="184" t="s">
        <v>3151</v>
      </c>
      <c r="D316" s="19">
        <v>331314</v>
      </c>
      <c r="E316" s="19" t="s">
        <v>3152</v>
      </c>
    </row>
    <row r="317" spans="1:5" x14ac:dyDescent="0.25">
      <c r="A317" s="183">
        <v>2269</v>
      </c>
      <c r="B317" s="184" t="s">
        <v>3153</v>
      </c>
      <c r="D317" s="19">
        <v>331315</v>
      </c>
      <c r="E317" s="19" t="s">
        <v>3154</v>
      </c>
    </row>
    <row r="318" spans="1:5" x14ac:dyDescent="0.25">
      <c r="A318" s="183">
        <v>2273</v>
      </c>
      <c r="B318" s="184" t="s">
        <v>3155</v>
      </c>
      <c r="D318" s="19">
        <v>331318</v>
      </c>
      <c r="E318" s="19" t="s">
        <v>3156</v>
      </c>
    </row>
    <row r="319" spans="1:5" x14ac:dyDescent="0.25">
      <c r="A319" s="183">
        <v>2281</v>
      </c>
      <c r="B319" s="184" t="s">
        <v>3157</v>
      </c>
      <c r="D319" s="19">
        <v>331410</v>
      </c>
      <c r="E319" s="19" t="s">
        <v>3158</v>
      </c>
    </row>
    <row r="320" spans="1:5" x14ac:dyDescent="0.25">
      <c r="A320" s="183">
        <v>2282</v>
      </c>
      <c r="B320" s="184" t="s">
        <v>3159</v>
      </c>
      <c r="D320" s="19">
        <v>331420</v>
      </c>
      <c r="E320" s="19" t="s">
        <v>3160</v>
      </c>
    </row>
    <row r="321" spans="1:5" x14ac:dyDescent="0.25">
      <c r="A321" s="183">
        <v>2284</v>
      </c>
      <c r="B321" s="184" t="s">
        <v>3161</v>
      </c>
      <c r="D321" s="19">
        <v>331491</v>
      </c>
      <c r="E321" s="19" t="s">
        <v>3162</v>
      </c>
    </row>
    <row r="322" spans="1:5" ht="25.5" x14ac:dyDescent="0.25">
      <c r="A322" s="183">
        <v>2284</v>
      </c>
      <c r="B322" s="184" t="s">
        <v>3163</v>
      </c>
      <c r="D322" s="19">
        <v>331492</v>
      </c>
      <c r="E322" s="19" t="s">
        <v>3164</v>
      </c>
    </row>
    <row r="323" spans="1:5" x14ac:dyDescent="0.25">
      <c r="A323" s="183">
        <v>2295</v>
      </c>
      <c r="B323" s="184" t="s">
        <v>3165</v>
      </c>
      <c r="D323" s="19">
        <v>331511</v>
      </c>
      <c r="E323" s="19" t="s">
        <v>3166</v>
      </c>
    </row>
    <row r="324" spans="1:5" x14ac:dyDescent="0.25">
      <c r="A324" s="183">
        <v>2296</v>
      </c>
      <c r="B324" s="184" t="s">
        <v>3167</v>
      </c>
      <c r="D324" s="19">
        <v>331512</v>
      </c>
      <c r="E324" s="19" t="s">
        <v>3168</v>
      </c>
    </row>
    <row r="325" spans="1:5" x14ac:dyDescent="0.25">
      <c r="A325" s="183">
        <v>2297</v>
      </c>
      <c r="B325" s="184" t="s">
        <v>3169</v>
      </c>
      <c r="D325" s="19">
        <v>331513</v>
      </c>
      <c r="E325" s="19" t="s">
        <v>3170</v>
      </c>
    </row>
    <row r="326" spans="1:5" x14ac:dyDescent="0.25">
      <c r="A326" s="183">
        <v>2298</v>
      </c>
      <c r="B326" s="184" t="s">
        <v>3171</v>
      </c>
      <c r="D326" s="19">
        <v>331523</v>
      </c>
      <c r="E326" s="19" t="s">
        <v>3172</v>
      </c>
    </row>
    <row r="327" spans="1:5" x14ac:dyDescent="0.25">
      <c r="A327" s="183">
        <v>2298</v>
      </c>
      <c r="B327" s="184" t="s">
        <v>3173</v>
      </c>
      <c r="D327" s="19">
        <v>331524</v>
      </c>
      <c r="E327" s="19" t="s">
        <v>3174</v>
      </c>
    </row>
    <row r="328" spans="1:5" x14ac:dyDescent="0.25">
      <c r="A328" s="183">
        <v>2299</v>
      </c>
      <c r="B328" s="184" t="s">
        <v>3175</v>
      </c>
      <c r="D328" s="19">
        <v>331529</v>
      </c>
      <c r="E328" s="19" t="s">
        <v>3176</v>
      </c>
    </row>
    <row r="329" spans="1:5" x14ac:dyDescent="0.25">
      <c r="A329" s="183">
        <v>2299</v>
      </c>
      <c r="B329" s="184" t="s">
        <v>3177</v>
      </c>
      <c r="D329" s="19">
        <v>332111</v>
      </c>
      <c r="E329" s="19" t="s">
        <v>3178</v>
      </c>
    </row>
    <row r="330" spans="1:5" x14ac:dyDescent="0.25">
      <c r="A330" s="183">
        <v>2299</v>
      </c>
      <c r="B330" s="184" t="s">
        <v>3179</v>
      </c>
      <c r="D330" s="19">
        <v>332112</v>
      </c>
      <c r="E330" s="19" t="s">
        <v>3180</v>
      </c>
    </row>
    <row r="331" spans="1:5" x14ac:dyDescent="0.25">
      <c r="A331" s="183">
        <v>2299</v>
      </c>
      <c r="B331" s="184" t="s">
        <v>3181</v>
      </c>
      <c r="D331" s="19">
        <v>332114</v>
      </c>
      <c r="E331" s="19" t="s">
        <v>3182</v>
      </c>
    </row>
    <row r="332" spans="1:5" x14ac:dyDescent="0.25">
      <c r="A332" s="183">
        <v>2299</v>
      </c>
      <c r="B332" s="184" t="s">
        <v>3183</v>
      </c>
      <c r="D332" s="19">
        <v>332117</v>
      </c>
      <c r="E332" s="19" t="s">
        <v>3184</v>
      </c>
    </row>
    <row r="333" spans="1:5" x14ac:dyDescent="0.25">
      <c r="A333" s="183">
        <v>2299</v>
      </c>
      <c r="B333" s="184" t="s">
        <v>3185</v>
      </c>
      <c r="D333" s="19">
        <v>332119</v>
      </c>
      <c r="E333" s="19" t="s">
        <v>3186</v>
      </c>
    </row>
    <row r="334" spans="1:5" ht="25.5" x14ac:dyDescent="0.25">
      <c r="A334" s="183">
        <v>2299</v>
      </c>
      <c r="B334" s="184" t="s">
        <v>3187</v>
      </c>
      <c r="D334" s="19">
        <v>332215</v>
      </c>
      <c r="E334" s="19" t="s">
        <v>3188</v>
      </c>
    </row>
    <row r="335" spans="1:5" x14ac:dyDescent="0.25">
      <c r="A335" s="183">
        <v>2299</v>
      </c>
      <c r="B335" s="184" t="s">
        <v>3189</v>
      </c>
      <c r="D335" s="19">
        <v>332216</v>
      </c>
      <c r="E335" s="19" t="s">
        <v>3190</v>
      </c>
    </row>
    <row r="336" spans="1:5" x14ac:dyDescent="0.25">
      <c r="A336" s="183">
        <v>2311</v>
      </c>
      <c r="B336" s="184" t="s">
        <v>3191</v>
      </c>
      <c r="D336" s="19">
        <v>332311</v>
      </c>
      <c r="E336" s="19" t="s">
        <v>3192</v>
      </c>
    </row>
    <row r="337" spans="1:5" x14ac:dyDescent="0.25">
      <c r="A337" s="183">
        <v>2311</v>
      </c>
      <c r="B337" s="184" t="s">
        <v>3193</v>
      </c>
      <c r="D337" s="19">
        <v>332312</v>
      </c>
      <c r="E337" s="19" t="s">
        <v>3194</v>
      </c>
    </row>
    <row r="338" spans="1:5" x14ac:dyDescent="0.25">
      <c r="A338" s="183">
        <v>2321</v>
      </c>
      <c r="B338" s="184" t="s">
        <v>3195</v>
      </c>
      <c r="D338" s="19">
        <v>332313</v>
      </c>
      <c r="E338" s="19" t="s">
        <v>3196</v>
      </c>
    </row>
    <row r="339" spans="1:5" x14ac:dyDescent="0.25">
      <c r="A339" s="183">
        <v>2321</v>
      </c>
      <c r="B339" s="184" t="s">
        <v>3197</v>
      </c>
      <c r="D339" s="19">
        <v>332321</v>
      </c>
      <c r="E339" s="19" t="s">
        <v>3198</v>
      </c>
    </row>
    <row r="340" spans="1:5" x14ac:dyDescent="0.25">
      <c r="A340" s="183">
        <v>2322</v>
      </c>
      <c r="B340" s="184" t="s">
        <v>3199</v>
      </c>
      <c r="D340" s="19">
        <v>332322</v>
      </c>
      <c r="E340" s="19" t="s">
        <v>3200</v>
      </c>
    </row>
    <row r="341" spans="1:5" x14ac:dyDescent="0.25">
      <c r="A341" s="183">
        <v>2322</v>
      </c>
      <c r="B341" s="184" t="s">
        <v>3201</v>
      </c>
      <c r="D341" s="19">
        <v>332323</v>
      </c>
      <c r="E341" s="19" t="s">
        <v>3202</v>
      </c>
    </row>
    <row r="342" spans="1:5" x14ac:dyDescent="0.25">
      <c r="A342" s="183">
        <v>2323</v>
      </c>
      <c r="B342" s="184" t="s">
        <v>3203</v>
      </c>
      <c r="D342" s="19">
        <v>332410</v>
      </c>
      <c r="E342" s="19" t="s">
        <v>3204</v>
      </c>
    </row>
    <row r="343" spans="1:5" x14ac:dyDescent="0.25">
      <c r="A343" s="183">
        <v>2323</v>
      </c>
      <c r="B343" s="184" t="s">
        <v>3205</v>
      </c>
      <c r="D343" s="19">
        <v>332420</v>
      </c>
      <c r="E343" s="19" t="s">
        <v>3206</v>
      </c>
    </row>
    <row r="344" spans="1:5" x14ac:dyDescent="0.25">
      <c r="A344" s="183">
        <v>2325</v>
      </c>
      <c r="B344" s="184" t="s">
        <v>3207</v>
      </c>
      <c r="D344" s="19">
        <v>332431</v>
      </c>
      <c r="E344" s="19" t="s">
        <v>3208</v>
      </c>
    </row>
    <row r="345" spans="1:5" x14ac:dyDescent="0.25">
      <c r="A345" s="183">
        <v>2325</v>
      </c>
      <c r="B345" s="184" t="s">
        <v>3209</v>
      </c>
      <c r="D345" s="19">
        <v>332439</v>
      </c>
      <c r="E345" s="19" t="s">
        <v>3210</v>
      </c>
    </row>
    <row r="346" spans="1:5" x14ac:dyDescent="0.25">
      <c r="A346" s="183">
        <v>2326</v>
      </c>
      <c r="B346" s="184" t="s">
        <v>3211</v>
      </c>
      <c r="D346" s="19">
        <v>332510</v>
      </c>
      <c r="E346" s="19" t="s">
        <v>3212</v>
      </c>
    </row>
    <row r="347" spans="1:5" x14ac:dyDescent="0.25">
      <c r="A347" s="183">
        <v>2326</v>
      </c>
      <c r="B347" s="184" t="s">
        <v>3213</v>
      </c>
      <c r="D347" s="19">
        <v>332613</v>
      </c>
      <c r="E347" s="19" t="s">
        <v>3214</v>
      </c>
    </row>
    <row r="348" spans="1:5" x14ac:dyDescent="0.25">
      <c r="A348" s="183">
        <v>2329</v>
      </c>
      <c r="B348" s="184" t="s">
        <v>3215</v>
      </c>
      <c r="D348" s="19">
        <v>332618</v>
      </c>
      <c r="E348" s="19" t="s">
        <v>3216</v>
      </c>
    </row>
    <row r="349" spans="1:5" x14ac:dyDescent="0.25">
      <c r="A349" s="183">
        <v>2329</v>
      </c>
      <c r="B349" s="184" t="s">
        <v>3217</v>
      </c>
      <c r="D349" s="19">
        <v>332710</v>
      </c>
      <c r="E349" s="19" t="s">
        <v>3218</v>
      </c>
    </row>
    <row r="350" spans="1:5" x14ac:dyDescent="0.25">
      <c r="A350" s="183">
        <v>2329</v>
      </c>
      <c r="B350" s="184" t="s">
        <v>3219</v>
      </c>
      <c r="D350" s="19">
        <v>332721</v>
      </c>
      <c r="E350" s="19" t="s">
        <v>3220</v>
      </c>
    </row>
    <row r="351" spans="1:5" x14ac:dyDescent="0.25">
      <c r="A351" s="183">
        <v>2331</v>
      </c>
      <c r="B351" s="184" t="s">
        <v>3221</v>
      </c>
      <c r="D351" s="19">
        <v>332722</v>
      </c>
      <c r="E351" s="19" t="s">
        <v>3222</v>
      </c>
    </row>
    <row r="352" spans="1:5" x14ac:dyDescent="0.25">
      <c r="A352" s="183">
        <v>2331</v>
      </c>
      <c r="B352" s="184" t="s">
        <v>3223</v>
      </c>
      <c r="D352" s="19">
        <v>332811</v>
      </c>
      <c r="E352" s="19" t="s">
        <v>3224</v>
      </c>
    </row>
    <row r="353" spans="1:5" ht="25.5" x14ac:dyDescent="0.25">
      <c r="A353" s="183">
        <v>2335</v>
      </c>
      <c r="B353" s="184" t="s">
        <v>3225</v>
      </c>
      <c r="D353" s="19">
        <v>332812</v>
      </c>
      <c r="E353" s="19" t="s">
        <v>3226</v>
      </c>
    </row>
    <row r="354" spans="1:5" x14ac:dyDescent="0.25">
      <c r="A354" s="183">
        <v>2335</v>
      </c>
      <c r="B354" s="184" t="s">
        <v>3227</v>
      </c>
      <c r="D354" s="19">
        <v>332813</v>
      </c>
      <c r="E354" s="19" t="s">
        <v>3228</v>
      </c>
    </row>
    <row r="355" spans="1:5" x14ac:dyDescent="0.25">
      <c r="A355" s="183">
        <v>2337</v>
      </c>
      <c r="B355" s="184" t="s">
        <v>3229</v>
      </c>
      <c r="D355" s="19">
        <v>332911</v>
      </c>
      <c r="E355" s="19" t="s">
        <v>3230</v>
      </c>
    </row>
    <row r="356" spans="1:5" x14ac:dyDescent="0.25">
      <c r="A356" s="183">
        <v>2337</v>
      </c>
      <c r="B356" s="184" t="s">
        <v>3231</v>
      </c>
      <c r="D356" s="19">
        <v>332912</v>
      </c>
      <c r="E356" s="19" t="s">
        <v>3232</v>
      </c>
    </row>
    <row r="357" spans="1:5" x14ac:dyDescent="0.25">
      <c r="A357" s="183">
        <v>2339</v>
      </c>
      <c r="B357" s="184" t="s">
        <v>3233</v>
      </c>
      <c r="D357" s="19">
        <v>332913</v>
      </c>
      <c r="E357" s="19" t="s">
        <v>3234</v>
      </c>
    </row>
    <row r="358" spans="1:5" ht="25.5" x14ac:dyDescent="0.25">
      <c r="A358" s="183">
        <v>2339</v>
      </c>
      <c r="B358" s="184" t="s">
        <v>3235</v>
      </c>
      <c r="D358" s="19">
        <v>332919</v>
      </c>
      <c r="E358" s="19" t="s">
        <v>3236</v>
      </c>
    </row>
    <row r="359" spans="1:5" x14ac:dyDescent="0.25">
      <c r="A359" s="183">
        <v>2339</v>
      </c>
      <c r="B359" s="184" t="s">
        <v>3237</v>
      </c>
      <c r="D359" s="19">
        <v>332991</v>
      </c>
      <c r="E359" s="19" t="s">
        <v>3238</v>
      </c>
    </row>
    <row r="360" spans="1:5" x14ac:dyDescent="0.25">
      <c r="A360" s="183">
        <v>2339</v>
      </c>
      <c r="B360" s="184" t="s">
        <v>3239</v>
      </c>
      <c r="D360" s="19">
        <v>332992</v>
      </c>
      <c r="E360" s="19" t="s">
        <v>3240</v>
      </c>
    </row>
    <row r="361" spans="1:5" x14ac:dyDescent="0.25">
      <c r="A361" s="183">
        <v>2341</v>
      </c>
      <c r="B361" s="184" t="s">
        <v>3241</v>
      </c>
      <c r="D361" s="19">
        <v>332993</v>
      </c>
      <c r="E361" s="19" t="s">
        <v>3242</v>
      </c>
    </row>
    <row r="362" spans="1:5" ht="25.5" x14ac:dyDescent="0.25">
      <c r="A362" s="183">
        <v>2341</v>
      </c>
      <c r="B362" s="184" t="s">
        <v>3243</v>
      </c>
      <c r="D362" s="19">
        <v>332994</v>
      </c>
      <c r="E362" s="19" t="s">
        <v>3244</v>
      </c>
    </row>
    <row r="363" spans="1:5" x14ac:dyDescent="0.25">
      <c r="A363" s="183">
        <v>2341</v>
      </c>
      <c r="B363" s="184" t="s">
        <v>3245</v>
      </c>
      <c r="D363" s="19">
        <v>332996</v>
      </c>
      <c r="E363" s="19" t="s">
        <v>3246</v>
      </c>
    </row>
    <row r="364" spans="1:5" ht="25.5" x14ac:dyDescent="0.25">
      <c r="A364" s="183">
        <v>2341</v>
      </c>
      <c r="B364" s="184" t="s">
        <v>3247</v>
      </c>
      <c r="D364" s="19">
        <v>332999</v>
      </c>
      <c r="E364" s="19" t="s">
        <v>3248</v>
      </c>
    </row>
    <row r="365" spans="1:5" ht="25.5" x14ac:dyDescent="0.25">
      <c r="A365" s="183">
        <v>2341</v>
      </c>
      <c r="B365" s="184" t="s">
        <v>3249</v>
      </c>
      <c r="D365" s="19">
        <v>333111</v>
      </c>
      <c r="E365" s="19" t="s">
        <v>3250</v>
      </c>
    </row>
    <row r="366" spans="1:5" x14ac:dyDescent="0.25">
      <c r="A366" s="183">
        <v>2342</v>
      </c>
      <c r="B366" s="184" t="s">
        <v>3251</v>
      </c>
      <c r="D366" s="19">
        <v>333112</v>
      </c>
      <c r="E366" s="19" t="s">
        <v>3252</v>
      </c>
    </row>
    <row r="367" spans="1:5" x14ac:dyDescent="0.25">
      <c r="A367" s="183">
        <v>2342</v>
      </c>
      <c r="B367" s="184" t="s">
        <v>3253</v>
      </c>
      <c r="D367" s="19">
        <v>333120</v>
      </c>
      <c r="E367" s="19" t="s">
        <v>3254</v>
      </c>
    </row>
    <row r="368" spans="1:5" x14ac:dyDescent="0.25">
      <c r="A368" s="183">
        <v>2353</v>
      </c>
      <c r="B368" s="184" t="s">
        <v>3255</v>
      </c>
      <c r="D368" s="19">
        <v>333131</v>
      </c>
      <c r="E368" s="19" t="s">
        <v>3256</v>
      </c>
    </row>
    <row r="369" spans="1:5" x14ac:dyDescent="0.25">
      <c r="A369" s="183">
        <v>2353</v>
      </c>
      <c r="B369" s="184" t="s">
        <v>3257</v>
      </c>
      <c r="D369" s="19">
        <v>333132</v>
      </c>
      <c r="E369" s="19" t="s">
        <v>3258</v>
      </c>
    </row>
    <row r="370" spans="1:5" x14ac:dyDescent="0.25">
      <c r="A370" s="183">
        <v>2353</v>
      </c>
      <c r="B370" s="184" t="s">
        <v>3259</v>
      </c>
      <c r="D370" s="19">
        <v>333241</v>
      </c>
      <c r="E370" s="19" t="s">
        <v>3260</v>
      </c>
    </row>
    <row r="371" spans="1:5" x14ac:dyDescent="0.25">
      <c r="A371" s="183">
        <v>2361</v>
      </c>
      <c r="B371" s="184" t="s">
        <v>3261</v>
      </c>
      <c r="D371" s="19">
        <v>333242</v>
      </c>
      <c r="E371" s="19" t="s">
        <v>3262</v>
      </c>
    </row>
    <row r="372" spans="1:5" x14ac:dyDescent="0.25">
      <c r="A372" s="183">
        <v>2361</v>
      </c>
      <c r="B372" s="184" t="s">
        <v>3263</v>
      </c>
      <c r="D372" s="19">
        <v>333243</v>
      </c>
      <c r="E372" s="19" t="s">
        <v>3264</v>
      </c>
    </row>
    <row r="373" spans="1:5" x14ac:dyDescent="0.25">
      <c r="A373" s="183">
        <v>2361</v>
      </c>
      <c r="B373" s="184" t="s">
        <v>3265</v>
      </c>
      <c r="D373" s="19">
        <v>333244</v>
      </c>
      <c r="E373" s="19" t="s">
        <v>3266</v>
      </c>
    </row>
    <row r="374" spans="1:5" ht="25.5" x14ac:dyDescent="0.25">
      <c r="A374" s="183">
        <v>2361</v>
      </c>
      <c r="B374" s="184" t="s">
        <v>3267</v>
      </c>
      <c r="D374" s="19">
        <v>333249</v>
      </c>
      <c r="E374" s="19" t="s">
        <v>3268</v>
      </c>
    </row>
    <row r="375" spans="1:5" x14ac:dyDescent="0.25">
      <c r="A375" s="183">
        <v>2361</v>
      </c>
      <c r="B375" s="184" t="s">
        <v>3269</v>
      </c>
      <c r="D375" s="19">
        <v>333314</v>
      </c>
      <c r="E375" s="19" t="s">
        <v>3270</v>
      </c>
    </row>
    <row r="376" spans="1:5" x14ac:dyDescent="0.25">
      <c r="A376" s="183">
        <v>2361</v>
      </c>
      <c r="B376" s="184" t="s">
        <v>3271</v>
      </c>
      <c r="D376" s="19">
        <v>333316</v>
      </c>
      <c r="E376" s="19" t="s">
        <v>3272</v>
      </c>
    </row>
    <row r="377" spans="1:5" x14ac:dyDescent="0.25">
      <c r="A377" s="183">
        <v>2369</v>
      </c>
      <c r="B377" s="184" t="s">
        <v>3273</v>
      </c>
      <c r="D377" s="19">
        <v>333318</v>
      </c>
      <c r="E377" s="19" t="s">
        <v>3274</v>
      </c>
    </row>
    <row r="378" spans="1:5" ht="25.5" x14ac:dyDescent="0.25">
      <c r="A378" s="183">
        <v>2369</v>
      </c>
      <c r="B378" s="184" t="s">
        <v>3275</v>
      </c>
      <c r="D378" s="19">
        <v>333413</v>
      </c>
      <c r="E378" s="19" t="s">
        <v>3276</v>
      </c>
    </row>
    <row r="379" spans="1:5" x14ac:dyDescent="0.25">
      <c r="A379" s="183">
        <v>2369</v>
      </c>
      <c r="B379" s="184" t="s">
        <v>3277</v>
      </c>
      <c r="D379" s="19">
        <v>333414</v>
      </c>
      <c r="E379" s="19" t="s">
        <v>3278</v>
      </c>
    </row>
    <row r="380" spans="1:5" ht="25.5" x14ac:dyDescent="0.25">
      <c r="A380" s="183">
        <v>2369</v>
      </c>
      <c r="B380" s="184" t="s">
        <v>3279</v>
      </c>
      <c r="D380" s="19">
        <v>333415</v>
      </c>
      <c r="E380" s="19" t="s">
        <v>3280</v>
      </c>
    </row>
    <row r="381" spans="1:5" ht="25.5" x14ac:dyDescent="0.25">
      <c r="A381" s="183">
        <v>2369</v>
      </c>
      <c r="B381" s="184" t="s">
        <v>3281</v>
      </c>
      <c r="D381" s="19">
        <v>333511</v>
      </c>
      <c r="E381" s="19" t="s">
        <v>3282</v>
      </c>
    </row>
    <row r="382" spans="1:5" x14ac:dyDescent="0.25">
      <c r="A382" s="183">
        <v>2369</v>
      </c>
      <c r="B382" s="184" t="s">
        <v>3283</v>
      </c>
      <c r="D382" s="19">
        <v>333514</v>
      </c>
      <c r="E382" s="19" t="s">
        <v>3284</v>
      </c>
    </row>
    <row r="383" spans="1:5" x14ac:dyDescent="0.25">
      <c r="A383" s="183">
        <v>2369</v>
      </c>
      <c r="B383" s="184" t="s">
        <v>3285</v>
      </c>
      <c r="D383" s="19">
        <v>333515</v>
      </c>
      <c r="E383" s="19" t="s">
        <v>3286</v>
      </c>
    </row>
    <row r="384" spans="1:5" ht="25.5" x14ac:dyDescent="0.25">
      <c r="A384" s="183">
        <v>2369</v>
      </c>
      <c r="B384" s="184" t="s">
        <v>3287</v>
      </c>
      <c r="D384" s="19">
        <v>333517</v>
      </c>
      <c r="E384" s="19" t="s">
        <v>3288</v>
      </c>
    </row>
    <row r="385" spans="1:5" x14ac:dyDescent="0.25">
      <c r="A385" s="183">
        <v>2369</v>
      </c>
      <c r="B385" s="184" t="s">
        <v>3289</v>
      </c>
      <c r="D385" s="19">
        <v>333519</v>
      </c>
      <c r="E385" s="19" t="s">
        <v>3290</v>
      </c>
    </row>
    <row r="386" spans="1:5" x14ac:dyDescent="0.25">
      <c r="A386" s="183">
        <v>2369</v>
      </c>
      <c r="B386" s="184" t="s">
        <v>3291</v>
      </c>
      <c r="D386" s="19">
        <v>333611</v>
      </c>
      <c r="E386" s="19" t="s">
        <v>3292</v>
      </c>
    </row>
    <row r="387" spans="1:5" x14ac:dyDescent="0.25">
      <c r="A387" s="183">
        <v>2371</v>
      </c>
      <c r="B387" s="184" t="s">
        <v>3293</v>
      </c>
      <c r="D387" s="19">
        <v>333612</v>
      </c>
      <c r="E387" s="19" t="s">
        <v>3294</v>
      </c>
    </row>
    <row r="388" spans="1:5" x14ac:dyDescent="0.25">
      <c r="A388" s="183">
        <v>2371</v>
      </c>
      <c r="B388" s="184" t="s">
        <v>3295</v>
      </c>
      <c r="D388" s="19">
        <v>333613</v>
      </c>
      <c r="E388" s="19" t="s">
        <v>3296</v>
      </c>
    </row>
    <row r="389" spans="1:5" x14ac:dyDescent="0.25">
      <c r="A389" s="183">
        <v>2371</v>
      </c>
      <c r="B389" s="184" t="s">
        <v>3297</v>
      </c>
      <c r="D389" s="19">
        <v>333618</v>
      </c>
      <c r="E389" s="19" t="s">
        <v>3298</v>
      </c>
    </row>
    <row r="390" spans="1:5" x14ac:dyDescent="0.25">
      <c r="A390" s="183">
        <v>2381</v>
      </c>
      <c r="B390" s="184" t="s">
        <v>3299</v>
      </c>
      <c r="D390" s="19">
        <v>333912</v>
      </c>
      <c r="E390" s="19" t="s">
        <v>3300</v>
      </c>
    </row>
    <row r="391" spans="1:5" x14ac:dyDescent="0.25">
      <c r="A391" s="183">
        <v>2381</v>
      </c>
      <c r="B391" s="184" t="s">
        <v>3301</v>
      </c>
      <c r="D391" s="19">
        <v>333914</v>
      </c>
      <c r="E391" s="19" t="s">
        <v>3302</v>
      </c>
    </row>
    <row r="392" spans="1:5" x14ac:dyDescent="0.25">
      <c r="A392" s="183">
        <v>2381</v>
      </c>
      <c r="B392" s="184" t="s">
        <v>3303</v>
      </c>
      <c r="D392" s="19">
        <v>333921</v>
      </c>
      <c r="E392" s="19" t="s">
        <v>3304</v>
      </c>
    </row>
    <row r="393" spans="1:5" x14ac:dyDescent="0.25">
      <c r="A393" s="183">
        <v>2384</v>
      </c>
      <c r="B393" s="184" t="s">
        <v>3305</v>
      </c>
      <c r="D393" s="19">
        <v>333922</v>
      </c>
      <c r="E393" s="19" t="s">
        <v>3306</v>
      </c>
    </row>
    <row r="394" spans="1:5" x14ac:dyDescent="0.25">
      <c r="A394" s="183">
        <v>2384</v>
      </c>
      <c r="B394" s="184" t="s">
        <v>3307</v>
      </c>
      <c r="D394" s="19">
        <v>333923</v>
      </c>
      <c r="E394" s="19" t="s">
        <v>3308</v>
      </c>
    </row>
    <row r="395" spans="1:5" x14ac:dyDescent="0.25">
      <c r="A395" s="183">
        <v>2384</v>
      </c>
      <c r="B395" s="184" t="s">
        <v>3309</v>
      </c>
      <c r="D395" s="19">
        <v>333924</v>
      </c>
      <c r="E395" s="19" t="s">
        <v>3310</v>
      </c>
    </row>
    <row r="396" spans="1:5" x14ac:dyDescent="0.25">
      <c r="A396" s="183">
        <v>2384</v>
      </c>
      <c r="B396" s="184" t="s">
        <v>3311</v>
      </c>
      <c r="D396" s="19">
        <v>333991</v>
      </c>
      <c r="E396" s="19" t="s">
        <v>3312</v>
      </c>
    </row>
    <row r="397" spans="1:5" x14ac:dyDescent="0.25">
      <c r="A397" s="183">
        <v>2385</v>
      </c>
      <c r="B397" s="184" t="s">
        <v>3313</v>
      </c>
      <c r="D397" s="19">
        <v>333992</v>
      </c>
      <c r="E397" s="19" t="s">
        <v>3314</v>
      </c>
    </row>
    <row r="398" spans="1:5" x14ac:dyDescent="0.25">
      <c r="A398" s="183">
        <v>2385</v>
      </c>
      <c r="B398" s="184" t="s">
        <v>3315</v>
      </c>
      <c r="D398" s="19">
        <v>333993</v>
      </c>
      <c r="E398" s="19" t="s">
        <v>3316</v>
      </c>
    </row>
    <row r="399" spans="1:5" ht="25.5" x14ac:dyDescent="0.25">
      <c r="A399" s="183">
        <v>2385</v>
      </c>
      <c r="B399" s="184" t="s">
        <v>3317</v>
      </c>
      <c r="D399" s="19">
        <v>333994</v>
      </c>
      <c r="E399" s="19" t="s">
        <v>3318</v>
      </c>
    </row>
    <row r="400" spans="1:5" ht="25.5" x14ac:dyDescent="0.25">
      <c r="A400" s="183">
        <v>2385</v>
      </c>
      <c r="B400" s="184" t="s">
        <v>3319</v>
      </c>
      <c r="D400" s="19">
        <v>333995</v>
      </c>
      <c r="E400" s="19" t="s">
        <v>3320</v>
      </c>
    </row>
    <row r="401" spans="1:5" ht="25.5" x14ac:dyDescent="0.25">
      <c r="A401" s="183">
        <v>2385</v>
      </c>
      <c r="B401" s="184" t="s">
        <v>3321</v>
      </c>
      <c r="D401" s="19">
        <v>333996</v>
      </c>
      <c r="E401" s="19" t="s">
        <v>3322</v>
      </c>
    </row>
    <row r="402" spans="1:5" ht="25.5" x14ac:dyDescent="0.25">
      <c r="A402" s="183">
        <v>2385</v>
      </c>
      <c r="B402" s="184" t="s">
        <v>3323</v>
      </c>
      <c r="D402" s="19">
        <v>333997</v>
      </c>
      <c r="E402" s="19" t="s">
        <v>3324</v>
      </c>
    </row>
    <row r="403" spans="1:5" ht="25.5" x14ac:dyDescent="0.25">
      <c r="A403" s="183">
        <v>2385</v>
      </c>
      <c r="B403" s="184" t="s">
        <v>3325</v>
      </c>
      <c r="D403" s="19">
        <v>333999</v>
      </c>
      <c r="E403" s="19" t="s">
        <v>3326</v>
      </c>
    </row>
    <row r="404" spans="1:5" ht="25.5" x14ac:dyDescent="0.25">
      <c r="A404" s="183">
        <v>2385</v>
      </c>
      <c r="B404" s="184" t="s">
        <v>3327</v>
      </c>
      <c r="D404" s="19">
        <v>334111</v>
      </c>
      <c r="E404" s="19" t="s">
        <v>3328</v>
      </c>
    </row>
    <row r="405" spans="1:5" ht="25.5" x14ac:dyDescent="0.25">
      <c r="A405" s="183">
        <v>2385</v>
      </c>
      <c r="B405" s="184" t="s">
        <v>3329</v>
      </c>
      <c r="D405" s="19">
        <v>334112</v>
      </c>
      <c r="E405" s="19" t="s">
        <v>3330</v>
      </c>
    </row>
    <row r="406" spans="1:5" x14ac:dyDescent="0.25">
      <c r="A406" s="183">
        <v>2386</v>
      </c>
      <c r="B406" s="184" t="s">
        <v>3331</v>
      </c>
      <c r="D406" s="19">
        <v>334118</v>
      </c>
      <c r="E406" s="19" t="s">
        <v>3332</v>
      </c>
    </row>
    <row r="407" spans="1:5" x14ac:dyDescent="0.25">
      <c r="A407" s="183">
        <v>2386</v>
      </c>
      <c r="B407" s="184" t="s">
        <v>3333</v>
      </c>
      <c r="D407" s="19">
        <v>334210</v>
      </c>
      <c r="E407" s="19" t="s">
        <v>3334</v>
      </c>
    </row>
    <row r="408" spans="1:5" ht="25.5" x14ac:dyDescent="0.25">
      <c r="A408" s="183">
        <v>2386</v>
      </c>
      <c r="B408" s="184" t="s">
        <v>3335</v>
      </c>
      <c r="D408" s="19">
        <v>334220</v>
      </c>
      <c r="E408" s="19" t="s">
        <v>3336</v>
      </c>
    </row>
    <row r="409" spans="1:5" x14ac:dyDescent="0.25">
      <c r="A409" s="183">
        <v>2387</v>
      </c>
      <c r="B409" s="184" t="s">
        <v>3337</v>
      </c>
      <c r="D409" s="19">
        <v>334290</v>
      </c>
      <c r="E409" s="19" t="s">
        <v>3338</v>
      </c>
    </row>
    <row r="410" spans="1:5" x14ac:dyDescent="0.25">
      <c r="A410" s="183">
        <v>2387</v>
      </c>
      <c r="B410" s="184" t="s">
        <v>3339</v>
      </c>
      <c r="D410" s="19">
        <v>334310</v>
      </c>
      <c r="E410" s="19" t="s">
        <v>3340</v>
      </c>
    </row>
    <row r="411" spans="1:5" x14ac:dyDescent="0.25">
      <c r="A411" s="183">
        <v>2387</v>
      </c>
      <c r="B411" s="184" t="s">
        <v>3341</v>
      </c>
      <c r="D411" s="19">
        <v>334412</v>
      </c>
      <c r="E411" s="19" t="s">
        <v>3342</v>
      </c>
    </row>
    <row r="412" spans="1:5" x14ac:dyDescent="0.25">
      <c r="A412" s="183">
        <v>2389</v>
      </c>
      <c r="B412" s="184" t="s">
        <v>3343</v>
      </c>
      <c r="D412" s="19">
        <v>334413</v>
      </c>
      <c r="E412" s="19" t="s">
        <v>3344</v>
      </c>
    </row>
    <row r="413" spans="1:5" x14ac:dyDescent="0.25">
      <c r="A413" s="183">
        <v>2389</v>
      </c>
      <c r="B413" s="184" t="s">
        <v>3345</v>
      </c>
      <c r="D413" s="19">
        <v>334416</v>
      </c>
      <c r="E413" s="19" t="s">
        <v>3346</v>
      </c>
    </row>
    <row r="414" spans="1:5" x14ac:dyDescent="0.25">
      <c r="A414" s="183">
        <v>2389</v>
      </c>
      <c r="B414" s="184" t="s">
        <v>3347</v>
      </c>
      <c r="D414" s="19">
        <v>334417</v>
      </c>
      <c r="E414" s="19" t="s">
        <v>3348</v>
      </c>
    </row>
    <row r="415" spans="1:5" ht="25.5" x14ac:dyDescent="0.25">
      <c r="A415" s="183">
        <v>2389</v>
      </c>
      <c r="B415" s="184" t="s">
        <v>3349</v>
      </c>
      <c r="D415" s="19">
        <v>334418</v>
      </c>
      <c r="E415" s="19" t="s">
        <v>3350</v>
      </c>
    </row>
    <row r="416" spans="1:5" ht="25.5" x14ac:dyDescent="0.25">
      <c r="A416" s="183">
        <v>2389</v>
      </c>
      <c r="B416" s="184" t="s">
        <v>3351</v>
      </c>
      <c r="D416" s="19">
        <v>334419</v>
      </c>
      <c r="E416" s="19" t="s">
        <v>3352</v>
      </c>
    </row>
    <row r="417" spans="1:5" x14ac:dyDescent="0.25">
      <c r="A417" s="183">
        <v>2391</v>
      </c>
      <c r="B417" s="184" t="s">
        <v>3353</v>
      </c>
      <c r="D417" s="19">
        <v>334510</v>
      </c>
      <c r="E417" s="19" t="s">
        <v>3354</v>
      </c>
    </row>
    <row r="418" spans="1:5" ht="25.5" x14ac:dyDescent="0.25">
      <c r="A418" s="183">
        <v>2392</v>
      </c>
      <c r="B418" s="184" t="s">
        <v>3355</v>
      </c>
      <c r="D418" s="19">
        <v>334511</v>
      </c>
      <c r="E418" s="19" t="s">
        <v>3356</v>
      </c>
    </row>
    <row r="419" spans="1:5" ht="25.5" x14ac:dyDescent="0.25">
      <c r="A419" s="183">
        <v>2392</v>
      </c>
      <c r="B419" s="184" t="s">
        <v>3357</v>
      </c>
      <c r="D419" s="19">
        <v>334512</v>
      </c>
      <c r="E419" s="19" t="s">
        <v>3358</v>
      </c>
    </row>
    <row r="420" spans="1:5" ht="25.5" x14ac:dyDescent="0.25">
      <c r="A420" s="183">
        <v>2392</v>
      </c>
      <c r="B420" s="184" t="s">
        <v>3359</v>
      </c>
      <c r="D420" s="19">
        <v>334513</v>
      </c>
      <c r="E420" s="19" t="s">
        <v>3360</v>
      </c>
    </row>
    <row r="421" spans="1:5" x14ac:dyDescent="0.25">
      <c r="A421" s="183">
        <v>2392</v>
      </c>
      <c r="B421" s="184" t="s">
        <v>3361</v>
      </c>
      <c r="D421" s="19">
        <v>334514</v>
      </c>
      <c r="E421" s="19" t="s">
        <v>3362</v>
      </c>
    </row>
    <row r="422" spans="1:5" ht="25.5" x14ac:dyDescent="0.25">
      <c r="A422" s="183">
        <v>2393</v>
      </c>
      <c r="B422" s="184" t="s">
        <v>3363</v>
      </c>
      <c r="D422" s="19">
        <v>334515</v>
      </c>
      <c r="E422" s="19" t="s">
        <v>3364</v>
      </c>
    </row>
    <row r="423" spans="1:5" x14ac:dyDescent="0.25">
      <c r="A423" s="183">
        <v>2394</v>
      </c>
      <c r="B423" s="184" t="s">
        <v>3365</v>
      </c>
      <c r="D423" s="19">
        <v>334516</v>
      </c>
      <c r="E423" s="19" t="s">
        <v>3366</v>
      </c>
    </row>
    <row r="424" spans="1:5" ht="25.5" x14ac:dyDescent="0.25">
      <c r="A424" s="183">
        <v>2395</v>
      </c>
      <c r="B424" s="184" t="s">
        <v>3367</v>
      </c>
      <c r="D424" s="19">
        <v>334517</v>
      </c>
      <c r="E424" s="19" t="s">
        <v>3368</v>
      </c>
    </row>
    <row r="425" spans="1:5" ht="25.5" x14ac:dyDescent="0.25">
      <c r="A425" s="183">
        <v>2395</v>
      </c>
      <c r="B425" s="184" t="s">
        <v>3369</v>
      </c>
      <c r="D425" s="19">
        <v>334519</v>
      </c>
      <c r="E425" s="19" t="s">
        <v>3370</v>
      </c>
    </row>
    <row r="426" spans="1:5" ht="25.5" x14ac:dyDescent="0.25">
      <c r="A426" s="183">
        <v>2395</v>
      </c>
      <c r="B426" s="184" t="s">
        <v>3371</v>
      </c>
      <c r="D426" s="19">
        <v>334613</v>
      </c>
      <c r="E426" s="19" t="s">
        <v>3372</v>
      </c>
    </row>
    <row r="427" spans="1:5" ht="38.25" x14ac:dyDescent="0.25">
      <c r="A427" s="183">
        <v>2396</v>
      </c>
      <c r="B427" s="184" t="s">
        <v>3373</v>
      </c>
      <c r="D427" s="19">
        <v>334614</v>
      </c>
      <c r="E427" s="19" t="s">
        <v>3374</v>
      </c>
    </row>
    <row r="428" spans="1:5" x14ac:dyDescent="0.25">
      <c r="A428" s="183">
        <v>2396</v>
      </c>
      <c r="B428" s="184" t="s">
        <v>3375</v>
      </c>
      <c r="D428" s="19">
        <v>335110</v>
      </c>
      <c r="E428" s="19" t="s">
        <v>3376</v>
      </c>
    </row>
    <row r="429" spans="1:5" ht="25.5" x14ac:dyDescent="0.25">
      <c r="A429" s="183">
        <v>2396</v>
      </c>
      <c r="B429" s="184" t="s">
        <v>3377</v>
      </c>
      <c r="D429" s="19">
        <v>335121</v>
      </c>
      <c r="E429" s="19" t="s">
        <v>3378</v>
      </c>
    </row>
    <row r="430" spans="1:5" ht="25.5" x14ac:dyDescent="0.25">
      <c r="A430" s="183">
        <v>2396</v>
      </c>
      <c r="B430" s="184" t="s">
        <v>3379</v>
      </c>
      <c r="D430" s="19">
        <v>335122</v>
      </c>
      <c r="E430" s="19" t="s">
        <v>3380</v>
      </c>
    </row>
    <row r="431" spans="1:5" ht="25.5" x14ac:dyDescent="0.25">
      <c r="A431" s="183">
        <v>2396</v>
      </c>
      <c r="B431" s="184" t="s">
        <v>3381</v>
      </c>
      <c r="D431" s="19">
        <v>335129</v>
      </c>
      <c r="E431" s="19" t="s">
        <v>3382</v>
      </c>
    </row>
    <row r="432" spans="1:5" ht="25.5" x14ac:dyDescent="0.25">
      <c r="A432" s="183">
        <v>2396</v>
      </c>
      <c r="B432" s="184" t="s">
        <v>3383</v>
      </c>
      <c r="D432" s="19">
        <v>335210</v>
      </c>
      <c r="E432" s="19" t="s">
        <v>3384</v>
      </c>
    </row>
    <row r="433" spans="1:5" x14ac:dyDescent="0.25">
      <c r="A433" s="183">
        <v>2397</v>
      </c>
      <c r="B433" s="184" t="s">
        <v>3385</v>
      </c>
      <c r="D433" s="19">
        <v>335220</v>
      </c>
      <c r="E433" s="19" t="s">
        <v>3386</v>
      </c>
    </row>
    <row r="434" spans="1:5" ht="25.5" x14ac:dyDescent="0.25">
      <c r="A434" s="183">
        <v>2399</v>
      </c>
      <c r="B434" s="184" t="s">
        <v>3387</v>
      </c>
      <c r="D434" s="19">
        <v>335311</v>
      </c>
      <c r="E434" s="19" t="s">
        <v>3388</v>
      </c>
    </row>
    <row r="435" spans="1:5" x14ac:dyDescent="0.25">
      <c r="A435" s="183">
        <v>2399</v>
      </c>
      <c r="B435" s="184" t="s">
        <v>3389</v>
      </c>
      <c r="D435" s="19">
        <v>335312</v>
      </c>
      <c r="E435" s="19" t="s">
        <v>3390</v>
      </c>
    </row>
    <row r="436" spans="1:5" x14ac:dyDescent="0.25">
      <c r="A436" s="183">
        <v>2399</v>
      </c>
      <c r="B436" s="184" t="s">
        <v>3391</v>
      </c>
      <c r="D436" s="19">
        <v>335313</v>
      </c>
      <c r="E436" s="19" t="s">
        <v>3392</v>
      </c>
    </row>
    <row r="437" spans="1:5" x14ac:dyDescent="0.25">
      <c r="A437" s="183">
        <v>2399</v>
      </c>
      <c r="B437" s="184" t="s">
        <v>3393</v>
      </c>
      <c r="D437" s="19">
        <v>335314</v>
      </c>
      <c r="E437" s="19" t="s">
        <v>3394</v>
      </c>
    </row>
    <row r="438" spans="1:5" x14ac:dyDescent="0.25">
      <c r="A438" s="183">
        <v>2399</v>
      </c>
      <c r="B438" s="184" t="s">
        <v>3395</v>
      </c>
      <c r="D438" s="19">
        <v>335911</v>
      </c>
      <c r="E438" s="19" t="s">
        <v>3396</v>
      </c>
    </row>
    <row r="439" spans="1:5" x14ac:dyDescent="0.25">
      <c r="A439" s="183">
        <v>2411</v>
      </c>
      <c r="B439" s="184" t="s">
        <v>2648</v>
      </c>
      <c r="D439" s="19">
        <v>335912</v>
      </c>
      <c r="E439" s="19" t="s">
        <v>3397</v>
      </c>
    </row>
    <row r="440" spans="1:5" x14ac:dyDescent="0.25">
      <c r="A440" s="183">
        <v>2421</v>
      </c>
      <c r="B440" s="184" t="s">
        <v>3398</v>
      </c>
      <c r="D440" s="19">
        <v>335921</v>
      </c>
      <c r="E440" s="19" t="s">
        <v>3399</v>
      </c>
    </row>
    <row r="441" spans="1:5" ht="25.5" x14ac:dyDescent="0.25">
      <c r="A441" s="183">
        <v>2421</v>
      </c>
      <c r="B441" s="184" t="s">
        <v>3400</v>
      </c>
      <c r="D441" s="19">
        <v>335929</v>
      </c>
      <c r="E441" s="19" t="s">
        <v>3401</v>
      </c>
    </row>
    <row r="442" spans="1:5" x14ac:dyDescent="0.25">
      <c r="A442" s="183">
        <v>2421</v>
      </c>
      <c r="B442" s="184" t="s">
        <v>3402</v>
      </c>
      <c r="D442" s="19">
        <v>335931</v>
      </c>
      <c r="E442" s="19" t="s">
        <v>3403</v>
      </c>
    </row>
    <row r="443" spans="1:5" x14ac:dyDescent="0.25">
      <c r="A443" s="183">
        <v>2421</v>
      </c>
      <c r="B443" s="184" t="s">
        <v>3404</v>
      </c>
      <c r="D443" s="19">
        <v>335932</v>
      </c>
      <c r="E443" s="19" t="s">
        <v>3405</v>
      </c>
    </row>
    <row r="444" spans="1:5" x14ac:dyDescent="0.25">
      <c r="A444" s="183">
        <v>2421</v>
      </c>
      <c r="B444" s="184" t="s">
        <v>3406</v>
      </c>
      <c r="D444" s="19">
        <v>335991</v>
      </c>
      <c r="E444" s="19" t="s">
        <v>3407</v>
      </c>
    </row>
    <row r="445" spans="1:5" x14ac:dyDescent="0.25">
      <c r="A445" s="183">
        <v>2426</v>
      </c>
      <c r="B445" s="184" t="s">
        <v>3408</v>
      </c>
      <c r="D445" s="19">
        <v>335999</v>
      </c>
      <c r="E445" s="19" t="s">
        <v>3409</v>
      </c>
    </row>
    <row r="446" spans="1:5" ht="25.5" x14ac:dyDescent="0.25">
      <c r="A446" s="183">
        <v>2426</v>
      </c>
      <c r="B446" s="184" t="s">
        <v>3410</v>
      </c>
      <c r="D446" s="19">
        <v>336111</v>
      </c>
      <c r="E446" s="19" t="s">
        <v>3411</v>
      </c>
    </row>
    <row r="447" spans="1:5" x14ac:dyDescent="0.25">
      <c r="A447" s="183">
        <v>2426</v>
      </c>
      <c r="B447" s="184" t="s">
        <v>3412</v>
      </c>
      <c r="D447" s="19">
        <v>336112</v>
      </c>
      <c r="E447" s="19" t="s">
        <v>3413</v>
      </c>
    </row>
    <row r="448" spans="1:5" x14ac:dyDescent="0.25">
      <c r="A448" s="183">
        <v>2426</v>
      </c>
      <c r="B448" s="184" t="s">
        <v>3414</v>
      </c>
      <c r="D448" s="19">
        <v>336120</v>
      </c>
      <c r="E448" s="19" t="s">
        <v>3415</v>
      </c>
    </row>
    <row r="449" spans="1:5" x14ac:dyDescent="0.25">
      <c r="A449" s="183">
        <v>2429</v>
      </c>
      <c r="B449" s="184" t="s">
        <v>3416</v>
      </c>
      <c r="D449" s="19">
        <v>336211</v>
      </c>
      <c r="E449" s="19" t="s">
        <v>3417</v>
      </c>
    </row>
    <row r="450" spans="1:5" x14ac:dyDescent="0.25">
      <c r="A450" s="183">
        <v>2429</v>
      </c>
      <c r="B450" s="184" t="s">
        <v>3418</v>
      </c>
      <c r="D450" s="19">
        <v>336212</v>
      </c>
      <c r="E450" s="19" t="s">
        <v>3419</v>
      </c>
    </row>
    <row r="451" spans="1:5" x14ac:dyDescent="0.25">
      <c r="A451" s="183">
        <v>2429</v>
      </c>
      <c r="B451" s="184" t="s">
        <v>3420</v>
      </c>
      <c r="D451" s="19">
        <v>336213</v>
      </c>
      <c r="E451" s="19" t="s">
        <v>3421</v>
      </c>
    </row>
    <row r="452" spans="1:5" x14ac:dyDescent="0.25">
      <c r="A452" s="183">
        <v>2431</v>
      </c>
      <c r="B452" s="184" t="s">
        <v>3422</v>
      </c>
      <c r="D452" s="19">
        <v>336214</v>
      </c>
      <c r="E452" s="19" t="s">
        <v>3423</v>
      </c>
    </row>
    <row r="453" spans="1:5" x14ac:dyDescent="0.25">
      <c r="A453" s="183">
        <v>2431</v>
      </c>
      <c r="B453" s="184" t="s">
        <v>3424</v>
      </c>
      <c r="D453" s="19">
        <v>336310</v>
      </c>
      <c r="E453" s="19" t="s">
        <v>3425</v>
      </c>
    </row>
    <row r="454" spans="1:5" x14ac:dyDescent="0.25">
      <c r="A454" s="183">
        <v>2434</v>
      </c>
      <c r="B454" s="184" t="s">
        <v>3426</v>
      </c>
      <c r="D454" s="19">
        <v>336320</v>
      </c>
      <c r="E454" s="19" t="s">
        <v>3427</v>
      </c>
    </row>
    <row r="455" spans="1:5" x14ac:dyDescent="0.25">
      <c r="A455" s="183">
        <v>2435</v>
      </c>
      <c r="B455" s="184" t="s">
        <v>3428</v>
      </c>
      <c r="D455" s="19">
        <v>336330</v>
      </c>
      <c r="E455" s="19" t="s">
        <v>3429</v>
      </c>
    </row>
    <row r="456" spans="1:5" x14ac:dyDescent="0.25">
      <c r="A456" s="183">
        <v>2436</v>
      </c>
      <c r="B456" s="184" t="s">
        <v>3430</v>
      </c>
      <c r="D456" s="19">
        <v>336340</v>
      </c>
      <c r="E456" s="19" t="s">
        <v>3431</v>
      </c>
    </row>
    <row r="457" spans="1:5" x14ac:dyDescent="0.25">
      <c r="A457" s="183">
        <v>2439</v>
      </c>
      <c r="B457" s="184" t="s">
        <v>3432</v>
      </c>
      <c r="D457" s="19">
        <v>336350</v>
      </c>
      <c r="E457" s="19" t="s">
        <v>3433</v>
      </c>
    </row>
    <row r="458" spans="1:5" x14ac:dyDescent="0.25">
      <c r="A458" s="183">
        <v>2439</v>
      </c>
      <c r="B458" s="184" t="s">
        <v>3434</v>
      </c>
      <c r="D458" s="19">
        <v>336360</v>
      </c>
      <c r="E458" s="19" t="s">
        <v>3435</v>
      </c>
    </row>
    <row r="459" spans="1:5" x14ac:dyDescent="0.25">
      <c r="A459" s="183">
        <v>2441</v>
      </c>
      <c r="B459" s="184" t="s">
        <v>3436</v>
      </c>
      <c r="D459" s="19">
        <v>336370</v>
      </c>
      <c r="E459" s="19" t="s">
        <v>3437</v>
      </c>
    </row>
    <row r="460" spans="1:5" x14ac:dyDescent="0.25">
      <c r="A460" s="183">
        <v>2448</v>
      </c>
      <c r="B460" s="184" t="s">
        <v>3438</v>
      </c>
      <c r="D460" s="19">
        <v>336390</v>
      </c>
      <c r="E460" s="19" t="s">
        <v>3439</v>
      </c>
    </row>
    <row r="461" spans="1:5" x14ac:dyDescent="0.25">
      <c r="A461" s="183">
        <v>2449</v>
      </c>
      <c r="B461" s="184" t="s">
        <v>3440</v>
      </c>
      <c r="D461" s="19">
        <v>336411</v>
      </c>
      <c r="E461" s="19" t="s">
        <v>3441</v>
      </c>
    </row>
    <row r="462" spans="1:5" x14ac:dyDescent="0.25">
      <c r="A462" s="183">
        <v>2451</v>
      </c>
      <c r="B462" s="184" t="s">
        <v>3442</v>
      </c>
      <c r="D462" s="19">
        <v>336412</v>
      </c>
      <c r="E462" s="19" t="s">
        <v>3443</v>
      </c>
    </row>
    <row r="463" spans="1:5" x14ac:dyDescent="0.25">
      <c r="A463" s="183">
        <v>2452</v>
      </c>
      <c r="B463" s="184" t="s">
        <v>3444</v>
      </c>
      <c r="D463" s="19">
        <v>336413</v>
      </c>
      <c r="E463" s="19" t="s">
        <v>3445</v>
      </c>
    </row>
    <row r="464" spans="1:5" x14ac:dyDescent="0.25">
      <c r="A464" s="183">
        <v>2491</v>
      </c>
      <c r="B464" s="184" t="s">
        <v>3446</v>
      </c>
      <c r="D464" s="19">
        <v>336414</v>
      </c>
      <c r="E464" s="19" t="s">
        <v>3447</v>
      </c>
    </row>
    <row r="465" spans="1:5" ht="25.5" x14ac:dyDescent="0.25">
      <c r="A465" s="183">
        <v>2493</v>
      </c>
      <c r="B465" s="184" t="s">
        <v>3448</v>
      </c>
      <c r="D465" s="19">
        <v>336415</v>
      </c>
      <c r="E465" s="19" t="s">
        <v>3449</v>
      </c>
    </row>
    <row r="466" spans="1:5" ht="25.5" x14ac:dyDescent="0.25">
      <c r="A466" s="183">
        <v>2499</v>
      </c>
      <c r="B466" s="184" t="s">
        <v>3450</v>
      </c>
      <c r="D466" s="19">
        <v>336419</v>
      </c>
      <c r="E466" s="19" t="s">
        <v>3451</v>
      </c>
    </row>
    <row r="467" spans="1:5" ht="25.5" x14ac:dyDescent="0.25">
      <c r="A467" s="183">
        <v>2499</v>
      </c>
      <c r="B467" s="184" t="s">
        <v>3452</v>
      </c>
      <c r="D467" s="19">
        <v>336510</v>
      </c>
      <c r="E467" s="19" t="s">
        <v>3453</v>
      </c>
    </row>
    <row r="468" spans="1:5" x14ac:dyDescent="0.25">
      <c r="A468" s="183">
        <v>2499</v>
      </c>
      <c r="B468" s="184" t="s">
        <v>3454</v>
      </c>
      <c r="D468" s="19">
        <v>336611</v>
      </c>
      <c r="E468" s="19" t="s">
        <v>640</v>
      </c>
    </row>
    <row r="469" spans="1:5" x14ac:dyDescent="0.25">
      <c r="A469" s="183">
        <v>2499</v>
      </c>
      <c r="B469" s="184" t="s">
        <v>3455</v>
      </c>
      <c r="D469" s="19">
        <v>336612</v>
      </c>
      <c r="E469" s="19" t="s">
        <v>3456</v>
      </c>
    </row>
    <row r="470" spans="1:5" x14ac:dyDescent="0.25">
      <c r="A470" s="183">
        <v>2499</v>
      </c>
      <c r="B470" s="184" t="s">
        <v>3457</v>
      </c>
      <c r="D470" s="19">
        <v>336991</v>
      </c>
      <c r="E470" s="19" t="s">
        <v>3458</v>
      </c>
    </row>
    <row r="471" spans="1:5" x14ac:dyDescent="0.25">
      <c r="A471" s="183">
        <v>2499</v>
      </c>
      <c r="B471" s="184" t="s">
        <v>3459</v>
      </c>
      <c r="D471" s="19">
        <v>336992</v>
      </c>
      <c r="E471" s="19" t="s">
        <v>3460</v>
      </c>
    </row>
    <row r="472" spans="1:5" x14ac:dyDescent="0.25">
      <c r="A472" s="183">
        <v>2511</v>
      </c>
      <c r="B472" s="184" t="s">
        <v>3461</v>
      </c>
      <c r="D472" s="19">
        <v>336999</v>
      </c>
      <c r="E472" s="19" t="s">
        <v>3462</v>
      </c>
    </row>
    <row r="473" spans="1:5" x14ac:dyDescent="0.25">
      <c r="A473" s="183">
        <v>2511</v>
      </c>
      <c r="B473" s="184" t="s">
        <v>3463</v>
      </c>
      <c r="D473" s="19">
        <v>337110</v>
      </c>
      <c r="E473" s="19" t="s">
        <v>3464</v>
      </c>
    </row>
    <row r="474" spans="1:5" x14ac:dyDescent="0.25">
      <c r="A474" s="183">
        <v>2512</v>
      </c>
      <c r="B474" s="184" t="s">
        <v>3465</v>
      </c>
      <c r="D474" s="19">
        <v>337121</v>
      </c>
      <c r="E474" s="19" t="s">
        <v>3466</v>
      </c>
    </row>
    <row r="475" spans="1:5" x14ac:dyDescent="0.25">
      <c r="A475" s="183">
        <v>2514</v>
      </c>
      <c r="B475" s="184" t="s">
        <v>3467</v>
      </c>
      <c r="D475" s="19">
        <v>337122</v>
      </c>
      <c r="E475" s="19" t="s">
        <v>3468</v>
      </c>
    </row>
    <row r="476" spans="1:5" x14ac:dyDescent="0.25">
      <c r="A476" s="183">
        <v>2514</v>
      </c>
      <c r="B476" s="184" t="s">
        <v>3469</v>
      </c>
      <c r="D476" s="19">
        <v>337124</v>
      </c>
      <c r="E476" s="19" t="s">
        <v>3470</v>
      </c>
    </row>
    <row r="477" spans="1:5" x14ac:dyDescent="0.25">
      <c r="A477" s="183">
        <v>2514</v>
      </c>
      <c r="B477" s="184" t="s">
        <v>3471</v>
      </c>
      <c r="D477" s="19">
        <v>337125</v>
      </c>
      <c r="E477" s="19" t="s">
        <v>3472</v>
      </c>
    </row>
    <row r="478" spans="1:5" x14ac:dyDescent="0.25">
      <c r="A478" s="183">
        <v>2515</v>
      </c>
      <c r="B478" s="184" t="s">
        <v>3473</v>
      </c>
      <c r="D478" s="19">
        <v>337127</v>
      </c>
      <c r="E478" s="19" t="s">
        <v>3474</v>
      </c>
    </row>
    <row r="479" spans="1:5" x14ac:dyDescent="0.25">
      <c r="A479" s="183">
        <v>2515</v>
      </c>
      <c r="B479" s="184" t="s">
        <v>3475</v>
      </c>
      <c r="D479" s="19">
        <v>337211</v>
      </c>
      <c r="E479" s="19" t="s">
        <v>3476</v>
      </c>
    </row>
    <row r="480" spans="1:5" x14ac:dyDescent="0.25">
      <c r="A480" s="183">
        <v>2517</v>
      </c>
      <c r="B480" s="184" t="s">
        <v>3477</v>
      </c>
      <c r="D480" s="19">
        <v>337212</v>
      </c>
      <c r="E480" s="19" t="s">
        <v>3478</v>
      </c>
    </row>
    <row r="481" spans="1:5" x14ac:dyDescent="0.25">
      <c r="A481" s="183">
        <v>2519</v>
      </c>
      <c r="B481" s="184" t="s">
        <v>3479</v>
      </c>
      <c r="D481" s="19">
        <v>337214</v>
      </c>
      <c r="E481" s="19" t="s">
        <v>3480</v>
      </c>
    </row>
    <row r="482" spans="1:5" x14ac:dyDescent="0.25">
      <c r="A482" s="183">
        <v>2521</v>
      </c>
      <c r="B482" s="184" t="s">
        <v>3481</v>
      </c>
      <c r="D482" s="19">
        <v>337215</v>
      </c>
      <c r="E482" s="19" t="s">
        <v>3482</v>
      </c>
    </row>
    <row r="483" spans="1:5" x14ac:dyDescent="0.25">
      <c r="A483" s="183">
        <v>2522</v>
      </c>
      <c r="B483" s="184" t="s">
        <v>3483</v>
      </c>
      <c r="D483" s="19">
        <v>337910</v>
      </c>
      <c r="E483" s="19" t="s">
        <v>3484</v>
      </c>
    </row>
    <row r="484" spans="1:5" x14ac:dyDescent="0.25">
      <c r="A484" s="183">
        <v>2531</v>
      </c>
      <c r="B484" s="184" t="s">
        <v>3485</v>
      </c>
      <c r="D484" s="19">
        <v>337920</v>
      </c>
      <c r="E484" s="19" t="s">
        <v>3486</v>
      </c>
    </row>
    <row r="485" spans="1:5" x14ac:dyDescent="0.25">
      <c r="A485" s="183">
        <v>2531</v>
      </c>
      <c r="B485" s="184" t="s">
        <v>3487</v>
      </c>
      <c r="D485" s="19">
        <v>339112</v>
      </c>
      <c r="E485" s="19" t="s">
        <v>3488</v>
      </c>
    </row>
    <row r="486" spans="1:5" x14ac:dyDescent="0.25">
      <c r="A486" s="183">
        <v>2531</v>
      </c>
      <c r="B486" s="184" t="s">
        <v>3489</v>
      </c>
      <c r="D486" s="19">
        <v>339113</v>
      </c>
      <c r="E486" s="19" t="s">
        <v>3490</v>
      </c>
    </row>
    <row r="487" spans="1:5" x14ac:dyDescent="0.25">
      <c r="A487" s="183">
        <v>2541</v>
      </c>
      <c r="B487" s="184" t="s">
        <v>3491</v>
      </c>
      <c r="D487" s="19">
        <v>339114</v>
      </c>
      <c r="E487" s="19" t="s">
        <v>3492</v>
      </c>
    </row>
    <row r="488" spans="1:5" ht="25.5" x14ac:dyDescent="0.25">
      <c r="A488" s="183">
        <v>2541</v>
      </c>
      <c r="B488" s="184" t="s">
        <v>3493</v>
      </c>
      <c r="D488" s="19">
        <v>339115</v>
      </c>
      <c r="E488" s="19" t="s">
        <v>3494</v>
      </c>
    </row>
    <row r="489" spans="1:5" ht="25.5" x14ac:dyDescent="0.25">
      <c r="A489" s="183">
        <v>2541</v>
      </c>
      <c r="B489" s="184" t="s">
        <v>3495</v>
      </c>
      <c r="D489" s="19">
        <v>339116</v>
      </c>
      <c r="E489" s="19" t="s">
        <v>3496</v>
      </c>
    </row>
    <row r="490" spans="1:5" ht="25.5" x14ac:dyDescent="0.25">
      <c r="A490" s="183">
        <v>2541</v>
      </c>
      <c r="B490" s="184" t="s">
        <v>3497</v>
      </c>
      <c r="D490" s="19">
        <v>339910</v>
      </c>
      <c r="E490" s="19" t="s">
        <v>3498</v>
      </c>
    </row>
    <row r="491" spans="1:5" ht="25.5" x14ac:dyDescent="0.25">
      <c r="A491" s="183">
        <v>2542</v>
      </c>
      <c r="B491" s="184" t="s">
        <v>3499</v>
      </c>
      <c r="D491" s="19">
        <v>339920</v>
      </c>
      <c r="E491" s="19" t="s">
        <v>3500</v>
      </c>
    </row>
    <row r="492" spans="1:5" ht="25.5" x14ac:dyDescent="0.25">
      <c r="A492" s="183">
        <v>2542</v>
      </c>
      <c r="B492" s="184" t="s">
        <v>3501</v>
      </c>
      <c r="D492" s="19">
        <v>339930</v>
      </c>
      <c r="E492" s="19" t="s">
        <v>3502</v>
      </c>
    </row>
    <row r="493" spans="1:5" x14ac:dyDescent="0.25">
      <c r="A493" s="183">
        <v>2591</v>
      </c>
      <c r="B493" s="184" t="s">
        <v>3503</v>
      </c>
      <c r="D493" s="19">
        <v>339940</v>
      </c>
      <c r="E493" s="19" t="s">
        <v>3504</v>
      </c>
    </row>
    <row r="494" spans="1:5" x14ac:dyDescent="0.25">
      <c r="A494" s="183">
        <v>2599</v>
      </c>
      <c r="B494" s="184" t="s">
        <v>3505</v>
      </c>
      <c r="D494" s="19">
        <v>339950</v>
      </c>
      <c r="E494" s="19" t="s">
        <v>3506</v>
      </c>
    </row>
    <row r="495" spans="1:5" x14ac:dyDescent="0.25">
      <c r="A495" s="183">
        <v>2599</v>
      </c>
      <c r="B495" s="184" t="s">
        <v>3507</v>
      </c>
      <c r="D495" s="19">
        <v>339991</v>
      </c>
      <c r="E495" s="19" t="s">
        <v>3508</v>
      </c>
    </row>
    <row r="496" spans="1:5" x14ac:dyDescent="0.25">
      <c r="A496" s="183">
        <v>2611</v>
      </c>
      <c r="B496" s="184" t="s">
        <v>3509</v>
      </c>
      <c r="D496" s="19">
        <v>339992</v>
      </c>
      <c r="E496" s="19" t="s">
        <v>3510</v>
      </c>
    </row>
    <row r="497" spans="1:5" x14ac:dyDescent="0.25">
      <c r="A497" s="183">
        <v>2611</v>
      </c>
      <c r="B497" s="184" t="s">
        <v>3511</v>
      </c>
      <c r="D497" s="19">
        <v>339993</v>
      </c>
      <c r="E497" s="19" t="s">
        <v>3512</v>
      </c>
    </row>
    <row r="498" spans="1:5" x14ac:dyDescent="0.25">
      <c r="A498" s="183">
        <v>2611</v>
      </c>
      <c r="B498" s="184" t="s">
        <v>3513</v>
      </c>
      <c r="D498" s="19">
        <v>339994</v>
      </c>
      <c r="E498" s="19" t="s">
        <v>3514</v>
      </c>
    </row>
    <row r="499" spans="1:5" x14ac:dyDescent="0.25">
      <c r="A499" s="183">
        <v>2611</v>
      </c>
      <c r="B499" s="184" t="s">
        <v>3515</v>
      </c>
      <c r="D499" s="19">
        <v>339995</v>
      </c>
      <c r="E499" s="19" t="s">
        <v>3516</v>
      </c>
    </row>
    <row r="500" spans="1:5" x14ac:dyDescent="0.25">
      <c r="A500" s="183">
        <v>2621</v>
      </c>
      <c r="B500" s="184" t="s">
        <v>3517</v>
      </c>
      <c r="D500" s="19">
        <v>339999</v>
      </c>
      <c r="E500" s="19" t="s">
        <v>3518</v>
      </c>
    </row>
    <row r="501" spans="1:5" x14ac:dyDescent="0.25">
      <c r="A501" s="183">
        <v>2621</v>
      </c>
      <c r="B501" s="184" t="s">
        <v>3519</v>
      </c>
      <c r="D501" s="19">
        <v>423110</v>
      </c>
      <c r="E501" s="19" t="s">
        <v>3520</v>
      </c>
    </row>
    <row r="502" spans="1:5" x14ac:dyDescent="0.25">
      <c r="A502" s="183">
        <v>2631</v>
      </c>
      <c r="B502" s="184" t="s">
        <v>2988</v>
      </c>
      <c r="D502" s="19">
        <v>423120</v>
      </c>
      <c r="E502" s="19" t="s">
        <v>3521</v>
      </c>
    </row>
    <row r="503" spans="1:5" x14ac:dyDescent="0.25">
      <c r="A503" s="183">
        <v>2652</v>
      </c>
      <c r="B503" s="184" t="s">
        <v>3522</v>
      </c>
      <c r="D503" s="19">
        <v>423130</v>
      </c>
      <c r="E503" s="19" t="s">
        <v>3523</v>
      </c>
    </row>
    <row r="504" spans="1:5" x14ac:dyDescent="0.25">
      <c r="A504" s="183">
        <v>2653</v>
      </c>
      <c r="B504" s="184" t="s">
        <v>3524</v>
      </c>
      <c r="D504" s="19">
        <v>423140</v>
      </c>
      <c r="E504" s="19" t="s">
        <v>3525</v>
      </c>
    </row>
    <row r="505" spans="1:5" x14ac:dyDescent="0.25">
      <c r="A505" s="183">
        <v>2655</v>
      </c>
      <c r="B505" s="184" t="s">
        <v>3526</v>
      </c>
      <c r="D505" s="19">
        <v>423210</v>
      </c>
      <c r="E505" s="19" t="s">
        <v>3527</v>
      </c>
    </row>
    <row r="506" spans="1:5" x14ac:dyDescent="0.25">
      <c r="A506" s="183">
        <v>2656</v>
      </c>
      <c r="B506" s="184" t="s">
        <v>3528</v>
      </c>
      <c r="D506" s="19">
        <v>423220</v>
      </c>
      <c r="E506" s="19" t="s">
        <v>3529</v>
      </c>
    </row>
    <row r="507" spans="1:5" ht="25.5" x14ac:dyDescent="0.25">
      <c r="A507" s="183">
        <v>2657</v>
      </c>
      <c r="B507" s="184" t="s">
        <v>3530</v>
      </c>
      <c r="D507" s="19">
        <v>423310</v>
      </c>
      <c r="E507" s="19" t="s">
        <v>3531</v>
      </c>
    </row>
    <row r="508" spans="1:5" ht="25.5" x14ac:dyDescent="0.25">
      <c r="A508" s="183">
        <v>2671</v>
      </c>
      <c r="B508" s="184" t="s">
        <v>3532</v>
      </c>
      <c r="D508" s="19">
        <v>423320</v>
      </c>
      <c r="E508" s="19" t="s">
        <v>3533</v>
      </c>
    </row>
    <row r="509" spans="1:5" ht="25.5" x14ac:dyDescent="0.25">
      <c r="A509" s="183">
        <v>2671</v>
      </c>
      <c r="B509" s="184" t="s">
        <v>3534</v>
      </c>
      <c r="D509" s="19">
        <v>423330</v>
      </c>
      <c r="E509" s="19" t="s">
        <v>3535</v>
      </c>
    </row>
    <row r="510" spans="1:5" x14ac:dyDescent="0.25">
      <c r="A510" s="183">
        <v>2672</v>
      </c>
      <c r="B510" s="184" t="s">
        <v>3536</v>
      </c>
      <c r="D510" s="19">
        <v>423390</v>
      </c>
      <c r="E510" s="19" t="s">
        <v>3537</v>
      </c>
    </row>
    <row r="511" spans="1:5" x14ac:dyDescent="0.25">
      <c r="A511" s="183">
        <v>2673</v>
      </c>
      <c r="B511" s="184" t="s">
        <v>3538</v>
      </c>
      <c r="D511" s="19">
        <v>423410</v>
      </c>
      <c r="E511" s="19" t="s">
        <v>3539</v>
      </c>
    </row>
    <row r="512" spans="1:5" x14ac:dyDescent="0.25">
      <c r="A512" s="183">
        <v>2673</v>
      </c>
      <c r="B512" s="184" t="s">
        <v>3540</v>
      </c>
      <c r="D512" s="19">
        <v>423420</v>
      </c>
      <c r="E512" s="19" t="s">
        <v>3541</v>
      </c>
    </row>
    <row r="513" spans="1:5" x14ac:dyDescent="0.25">
      <c r="A513" s="183">
        <v>2674</v>
      </c>
      <c r="B513" s="184" t="s">
        <v>3542</v>
      </c>
      <c r="D513" s="19">
        <v>423430</v>
      </c>
      <c r="E513" s="19" t="s">
        <v>3543</v>
      </c>
    </row>
    <row r="514" spans="1:5" ht="25.5" x14ac:dyDescent="0.25">
      <c r="A514" s="183">
        <v>2675</v>
      </c>
      <c r="B514" s="184" t="s">
        <v>3544</v>
      </c>
      <c r="D514" s="19">
        <v>423440</v>
      </c>
      <c r="E514" s="19" t="s">
        <v>3545</v>
      </c>
    </row>
    <row r="515" spans="1:5" ht="25.5" x14ac:dyDescent="0.25">
      <c r="A515" s="183">
        <v>2675</v>
      </c>
      <c r="B515" s="184" t="s">
        <v>3546</v>
      </c>
      <c r="D515" s="19">
        <v>423450</v>
      </c>
      <c r="E515" s="19" t="s">
        <v>3547</v>
      </c>
    </row>
    <row r="516" spans="1:5" ht="25.5" x14ac:dyDescent="0.25">
      <c r="A516" s="183">
        <v>2675</v>
      </c>
      <c r="B516" s="184" t="s">
        <v>3548</v>
      </c>
      <c r="D516" s="19">
        <v>423460</v>
      </c>
      <c r="E516" s="19" t="s">
        <v>3549</v>
      </c>
    </row>
    <row r="517" spans="1:5" x14ac:dyDescent="0.25">
      <c r="A517" s="183">
        <v>2676</v>
      </c>
      <c r="B517" s="184" t="s">
        <v>3550</v>
      </c>
      <c r="D517" s="19">
        <v>423490</v>
      </c>
      <c r="E517" s="19" t="s">
        <v>3551</v>
      </c>
    </row>
    <row r="518" spans="1:5" x14ac:dyDescent="0.25">
      <c r="A518" s="183">
        <v>2677</v>
      </c>
      <c r="B518" s="184" t="s">
        <v>3552</v>
      </c>
      <c r="D518" s="19">
        <v>423510</v>
      </c>
      <c r="E518" s="19" t="s">
        <v>3553</v>
      </c>
    </row>
    <row r="519" spans="1:5" x14ac:dyDescent="0.25">
      <c r="A519" s="183">
        <v>2678</v>
      </c>
      <c r="B519" s="184" t="s">
        <v>3554</v>
      </c>
      <c r="D519" s="19">
        <v>423520</v>
      </c>
      <c r="E519" s="19" t="s">
        <v>3555</v>
      </c>
    </row>
    <row r="520" spans="1:5" ht="25.5" x14ac:dyDescent="0.25">
      <c r="A520" s="183">
        <v>2679</v>
      </c>
      <c r="B520" s="184" t="s">
        <v>3556</v>
      </c>
      <c r="D520" s="19">
        <v>423610</v>
      </c>
      <c r="E520" s="19" t="s">
        <v>3557</v>
      </c>
    </row>
    <row r="521" spans="1:5" ht="25.5" x14ac:dyDescent="0.25">
      <c r="A521" s="183">
        <v>2679</v>
      </c>
      <c r="B521" s="184" t="s">
        <v>3558</v>
      </c>
      <c r="D521" s="19">
        <v>423620</v>
      </c>
      <c r="E521" s="19" t="s">
        <v>3559</v>
      </c>
    </row>
    <row r="522" spans="1:5" ht="25.5" x14ac:dyDescent="0.25">
      <c r="A522" s="183">
        <v>2679</v>
      </c>
      <c r="B522" s="184" t="s">
        <v>3560</v>
      </c>
      <c r="D522" s="19">
        <v>423690</v>
      </c>
      <c r="E522" s="19" t="s">
        <v>3561</v>
      </c>
    </row>
    <row r="523" spans="1:5" ht="25.5" x14ac:dyDescent="0.25">
      <c r="A523" s="183">
        <v>2679</v>
      </c>
      <c r="B523" s="184" t="s">
        <v>3562</v>
      </c>
      <c r="D523" s="19">
        <v>423710</v>
      </c>
      <c r="E523" s="19" t="s">
        <v>3563</v>
      </c>
    </row>
    <row r="524" spans="1:5" x14ac:dyDescent="0.25">
      <c r="A524" s="183">
        <v>2711</v>
      </c>
      <c r="B524" s="184" t="s">
        <v>3564</v>
      </c>
      <c r="D524" s="19">
        <v>423720</v>
      </c>
      <c r="E524" s="19" t="s">
        <v>3565</v>
      </c>
    </row>
    <row r="525" spans="1:5" ht="25.5" x14ac:dyDescent="0.25">
      <c r="A525" s="183">
        <v>2711</v>
      </c>
      <c r="B525" s="184" t="s">
        <v>3566</v>
      </c>
      <c r="D525" s="19">
        <v>423730</v>
      </c>
      <c r="E525" s="19" t="s">
        <v>3567</v>
      </c>
    </row>
    <row r="526" spans="1:5" x14ac:dyDescent="0.25">
      <c r="A526" s="183">
        <v>2721</v>
      </c>
      <c r="B526" s="184" t="s">
        <v>3568</v>
      </c>
      <c r="D526" s="19">
        <v>423740</v>
      </c>
      <c r="E526" s="19" t="s">
        <v>3569</v>
      </c>
    </row>
    <row r="527" spans="1:5" ht="25.5" x14ac:dyDescent="0.25">
      <c r="A527" s="183">
        <v>2721</v>
      </c>
      <c r="B527" s="184" t="s">
        <v>3570</v>
      </c>
      <c r="D527" s="19">
        <v>423810</v>
      </c>
      <c r="E527" s="19" t="s">
        <v>3571</v>
      </c>
    </row>
    <row r="528" spans="1:5" ht="25.5" x14ac:dyDescent="0.25">
      <c r="A528" s="183">
        <v>2731</v>
      </c>
      <c r="B528" s="184" t="s">
        <v>3572</v>
      </c>
      <c r="D528" s="19">
        <v>423820</v>
      </c>
      <c r="E528" s="19" t="s">
        <v>3573</v>
      </c>
    </row>
    <row r="529" spans="1:5" x14ac:dyDescent="0.25">
      <c r="A529" s="183">
        <v>2731</v>
      </c>
      <c r="B529" s="184" t="s">
        <v>3574</v>
      </c>
      <c r="D529" s="19">
        <v>423830</v>
      </c>
      <c r="E529" s="19" t="s">
        <v>3575</v>
      </c>
    </row>
    <row r="530" spans="1:5" x14ac:dyDescent="0.25">
      <c r="A530" s="183">
        <v>2731</v>
      </c>
      <c r="B530" s="184" t="s">
        <v>3576</v>
      </c>
      <c r="D530" s="19">
        <v>423840</v>
      </c>
      <c r="E530" s="19" t="s">
        <v>3577</v>
      </c>
    </row>
    <row r="531" spans="1:5" x14ac:dyDescent="0.25">
      <c r="A531" s="183">
        <v>2732</v>
      </c>
      <c r="B531" s="184" t="s">
        <v>3578</v>
      </c>
      <c r="D531" s="19">
        <v>423850</v>
      </c>
      <c r="E531" s="19" t="s">
        <v>3579</v>
      </c>
    </row>
    <row r="532" spans="1:5" ht="25.5" x14ac:dyDescent="0.25">
      <c r="A532" s="183">
        <v>2741</v>
      </c>
      <c r="B532" s="184" t="s">
        <v>3580</v>
      </c>
      <c r="D532" s="19">
        <v>423860</v>
      </c>
      <c r="E532" s="19" t="s">
        <v>3581</v>
      </c>
    </row>
    <row r="533" spans="1:5" ht="25.5" x14ac:dyDescent="0.25">
      <c r="A533" s="183">
        <v>2741</v>
      </c>
      <c r="B533" s="184" t="s">
        <v>3582</v>
      </c>
      <c r="D533" s="19">
        <v>423910</v>
      </c>
      <c r="E533" s="19" t="s">
        <v>3583</v>
      </c>
    </row>
    <row r="534" spans="1:5" x14ac:dyDescent="0.25">
      <c r="A534" s="183">
        <v>2741</v>
      </c>
      <c r="B534" s="184" t="s">
        <v>3584</v>
      </c>
      <c r="D534" s="19">
        <v>423920</v>
      </c>
      <c r="E534" s="19" t="s">
        <v>3585</v>
      </c>
    </row>
    <row r="535" spans="1:5" ht="38.25" x14ac:dyDescent="0.25">
      <c r="A535" s="183">
        <v>2741</v>
      </c>
      <c r="B535" s="184" t="s">
        <v>3586</v>
      </c>
      <c r="D535" s="19">
        <v>423930</v>
      </c>
      <c r="E535" s="19" t="s">
        <v>3587</v>
      </c>
    </row>
    <row r="536" spans="1:5" x14ac:dyDescent="0.25">
      <c r="A536" s="183">
        <v>2741</v>
      </c>
      <c r="B536" s="184" t="s">
        <v>3588</v>
      </c>
      <c r="D536" s="19">
        <v>423940</v>
      </c>
      <c r="E536" s="19" t="s">
        <v>3589</v>
      </c>
    </row>
    <row r="537" spans="1:5" x14ac:dyDescent="0.25">
      <c r="A537" s="183">
        <v>2741</v>
      </c>
      <c r="B537" s="184" t="s">
        <v>3590</v>
      </c>
      <c r="D537" s="19">
        <v>423990</v>
      </c>
      <c r="E537" s="19" t="s">
        <v>3591</v>
      </c>
    </row>
    <row r="538" spans="1:5" x14ac:dyDescent="0.25">
      <c r="A538" s="183">
        <v>2752</v>
      </c>
      <c r="B538" s="184" t="s">
        <v>3592</v>
      </c>
      <c r="D538" s="19">
        <v>424110</v>
      </c>
      <c r="E538" s="19" t="s">
        <v>3593</v>
      </c>
    </row>
    <row r="539" spans="1:5" x14ac:dyDescent="0.25">
      <c r="A539" s="183">
        <v>2752</v>
      </c>
      <c r="B539" s="184" t="s">
        <v>3594</v>
      </c>
      <c r="D539" s="19">
        <v>424120</v>
      </c>
      <c r="E539" s="19" t="s">
        <v>3595</v>
      </c>
    </row>
    <row r="540" spans="1:5" x14ac:dyDescent="0.25">
      <c r="A540" s="183">
        <v>2754</v>
      </c>
      <c r="B540" s="184" t="s">
        <v>3596</v>
      </c>
      <c r="D540" s="19">
        <v>424130</v>
      </c>
      <c r="E540" s="19" t="s">
        <v>3597</v>
      </c>
    </row>
    <row r="541" spans="1:5" x14ac:dyDescent="0.25">
      <c r="A541" s="183">
        <v>2759</v>
      </c>
      <c r="B541" s="184" t="s">
        <v>3598</v>
      </c>
      <c r="D541" s="19">
        <v>424210</v>
      </c>
      <c r="E541" s="19" t="s">
        <v>3599</v>
      </c>
    </row>
    <row r="542" spans="1:5" x14ac:dyDescent="0.25">
      <c r="A542" s="183">
        <v>2759</v>
      </c>
      <c r="B542" s="184" t="s">
        <v>3600</v>
      </c>
      <c r="D542" s="19">
        <v>424310</v>
      </c>
      <c r="E542" s="19" t="s">
        <v>3601</v>
      </c>
    </row>
    <row r="543" spans="1:5" x14ac:dyDescent="0.25">
      <c r="A543" s="183">
        <v>2759</v>
      </c>
      <c r="B543" s="184" t="s">
        <v>3602</v>
      </c>
      <c r="D543" s="19">
        <v>424320</v>
      </c>
      <c r="E543" s="19" t="s">
        <v>3603</v>
      </c>
    </row>
    <row r="544" spans="1:5" x14ac:dyDescent="0.25">
      <c r="A544" s="183">
        <v>2759</v>
      </c>
      <c r="B544" s="184" t="s">
        <v>3604</v>
      </c>
      <c r="D544" s="19">
        <v>424330</v>
      </c>
      <c r="E544" s="19" t="s">
        <v>3605</v>
      </c>
    </row>
    <row r="545" spans="1:5" ht="25.5" x14ac:dyDescent="0.25">
      <c r="A545" s="183">
        <v>2759</v>
      </c>
      <c r="B545" s="184" t="s">
        <v>3606</v>
      </c>
      <c r="D545" s="19">
        <v>424340</v>
      </c>
      <c r="E545" s="19" t="s">
        <v>3607</v>
      </c>
    </row>
    <row r="546" spans="1:5" x14ac:dyDescent="0.25">
      <c r="A546" s="183">
        <v>2761</v>
      </c>
      <c r="B546" s="184" t="s">
        <v>3608</v>
      </c>
      <c r="D546" s="19">
        <v>424410</v>
      </c>
      <c r="E546" s="19" t="s">
        <v>3609</v>
      </c>
    </row>
    <row r="547" spans="1:5" x14ac:dyDescent="0.25">
      <c r="A547" s="183">
        <v>2771</v>
      </c>
      <c r="B547" s="184" t="s">
        <v>3610</v>
      </c>
      <c r="D547" s="19">
        <v>424420</v>
      </c>
      <c r="E547" s="19" t="s">
        <v>3611</v>
      </c>
    </row>
    <row r="548" spans="1:5" x14ac:dyDescent="0.25">
      <c r="A548" s="183">
        <v>2771</v>
      </c>
      <c r="B548" s="184" t="s">
        <v>3612</v>
      </c>
      <c r="D548" s="19">
        <v>424430</v>
      </c>
      <c r="E548" s="19" t="s">
        <v>3613</v>
      </c>
    </row>
    <row r="549" spans="1:5" x14ac:dyDescent="0.25">
      <c r="A549" s="183">
        <v>2771</v>
      </c>
      <c r="B549" s="184" t="s">
        <v>3614</v>
      </c>
      <c r="D549" s="19">
        <v>424440</v>
      </c>
      <c r="E549" s="19" t="s">
        <v>3615</v>
      </c>
    </row>
    <row r="550" spans="1:5" x14ac:dyDescent="0.25">
      <c r="A550" s="183">
        <v>2771</v>
      </c>
      <c r="B550" s="184" t="s">
        <v>3616</v>
      </c>
      <c r="D550" s="19">
        <v>424450</v>
      </c>
      <c r="E550" s="19" t="s">
        <v>3617</v>
      </c>
    </row>
    <row r="551" spans="1:5" x14ac:dyDescent="0.25">
      <c r="A551" s="183">
        <v>2771</v>
      </c>
      <c r="B551" s="184" t="s">
        <v>3618</v>
      </c>
      <c r="D551" s="19">
        <v>424460</v>
      </c>
      <c r="E551" s="19" t="s">
        <v>3619</v>
      </c>
    </row>
    <row r="552" spans="1:5" x14ac:dyDescent="0.25">
      <c r="A552" s="183">
        <v>2771</v>
      </c>
      <c r="B552" s="184" t="s">
        <v>3620</v>
      </c>
      <c r="D552" s="19">
        <v>424470</v>
      </c>
      <c r="E552" s="19" t="s">
        <v>3621</v>
      </c>
    </row>
    <row r="553" spans="1:5" x14ac:dyDescent="0.25">
      <c r="A553" s="183">
        <v>2771</v>
      </c>
      <c r="B553" s="184" t="s">
        <v>3622</v>
      </c>
      <c r="D553" s="19">
        <v>424480</v>
      </c>
      <c r="E553" s="19" t="s">
        <v>3623</v>
      </c>
    </row>
    <row r="554" spans="1:5" x14ac:dyDescent="0.25">
      <c r="A554" s="183">
        <v>2782</v>
      </c>
      <c r="B554" s="184" t="s">
        <v>3624</v>
      </c>
      <c r="D554" s="19">
        <v>424490</v>
      </c>
      <c r="E554" s="19" t="s">
        <v>3625</v>
      </c>
    </row>
    <row r="555" spans="1:5" x14ac:dyDescent="0.25">
      <c r="A555" s="183">
        <v>2782</v>
      </c>
      <c r="B555" s="184" t="s">
        <v>3626</v>
      </c>
      <c r="D555" s="19">
        <v>424510</v>
      </c>
      <c r="E555" s="19" t="s">
        <v>3627</v>
      </c>
    </row>
    <row r="556" spans="1:5" x14ac:dyDescent="0.25">
      <c r="A556" s="183">
        <v>2789</v>
      </c>
      <c r="B556" s="184" t="s">
        <v>3628</v>
      </c>
      <c r="D556" s="19">
        <v>424520</v>
      </c>
      <c r="E556" s="19" t="s">
        <v>3629</v>
      </c>
    </row>
    <row r="557" spans="1:5" x14ac:dyDescent="0.25">
      <c r="A557" s="183">
        <v>2791</v>
      </c>
      <c r="B557" s="184" t="s">
        <v>3630</v>
      </c>
      <c r="D557" s="19">
        <v>424590</v>
      </c>
      <c r="E557" s="19" t="s">
        <v>3631</v>
      </c>
    </row>
    <row r="558" spans="1:5" x14ac:dyDescent="0.25">
      <c r="A558" s="183">
        <v>2796</v>
      </c>
      <c r="B558" s="184" t="s">
        <v>3632</v>
      </c>
      <c r="D558" s="19">
        <v>424610</v>
      </c>
      <c r="E558" s="19" t="s">
        <v>3633</v>
      </c>
    </row>
    <row r="559" spans="1:5" x14ac:dyDescent="0.25">
      <c r="A559" s="183">
        <v>2812</v>
      </c>
      <c r="B559" s="184" t="s">
        <v>580</v>
      </c>
      <c r="D559" s="19">
        <v>424690</v>
      </c>
      <c r="E559" s="19" t="s">
        <v>678</v>
      </c>
    </row>
    <row r="560" spans="1:5" x14ac:dyDescent="0.25">
      <c r="A560" s="183">
        <v>2813</v>
      </c>
      <c r="B560" s="184" t="s">
        <v>3634</v>
      </c>
      <c r="D560" s="19">
        <v>424710</v>
      </c>
      <c r="E560" s="19" t="s">
        <v>3635</v>
      </c>
    </row>
    <row r="561" spans="1:5" ht="25.5" x14ac:dyDescent="0.25">
      <c r="A561" s="183">
        <v>2816</v>
      </c>
      <c r="B561" s="184" t="s">
        <v>3636</v>
      </c>
      <c r="D561" s="19">
        <v>424720</v>
      </c>
      <c r="E561" s="19" t="s">
        <v>3637</v>
      </c>
    </row>
    <row r="562" spans="1:5" x14ac:dyDescent="0.25">
      <c r="A562" s="183">
        <v>2816</v>
      </c>
      <c r="B562" s="184" t="s">
        <v>3638</v>
      </c>
      <c r="D562" s="19">
        <v>424810</v>
      </c>
      <c r="E562" s="19" t="s">
        <v>3639</v>
      </c>
    </row>
    <row r="563" spans="1:5" x14ac:dyDescent="0.25">
      <c r="A563" s="183">
        <v>2819</v>
      </c>
      <c r="B563" s="184" t="s">
        <v>522</v>
      </c>
      <c r="D563" s="19">
        <v>424820</v>
      </c>
      <c r="E563" s="19" t="s">
        <v>3640</v>
      </c>
    </row>
    <row r="564" spans="1:5" x14ac:dyDescent="0.25">
      <c r="A564" s="183">
        <v>2819</v>
      </c>
      <c r="B564" s="184" t="s">
        <v>3641</v>
      </c>
      <c r="D564" s="19">
        <v>424910</v>
      </c>
      <c r="E564" s="19" t="s">
        <v>3642</v>
      </c>
    </row>
    <row r="565" spans="1:5" ht="25.5" x14ac:dyDescent="0.25">
      <c r="A565" s="183">
        <v>2819</v>
      </c>
      <c r="B565" s="184" t="s">
        <v>3643</v>
      </c>
      <c r="D565" s="19">
        <v>424920</v>
      </c>
      <c r="E565" s="19" t="s">
        <v>3644</v>
      </c>
    </row>
    <row r="566" spans="1:5" x14ac:dyDescent="0.25">
      <c r="A566" s="183">
        <v>2819</v>
      </c>
      <c r="B566" s="184" t="s">
        <v>3645</v>
      </c>
      <c r="D566" s="19">
        <v>424930</v>
      </c>
      <c r="E566" s="19" t="s">
        <v>3646</v>
      </c>
    </row>
    <row r="567" spans="1:5" x14ac:dyDescent="0.25">
      <c r="A567" s="183">
        <v>2819</v>
      </c>
      <c r="B567" s="184" t="s">
        <v>3647</v>
      </c>
      <c r="D567" s="19">
        <v>424940</v>
      </c>
      <c r="E567" s="19" t="s">
        <v>3648</v>
      </c>
    </row>
    <row r="568" spans="1:5" x14ac:dyDescent="0.25">
      <c r="A568" s="183">
        <v>2821</v>
      </c>
      <c r="B568" s="184" t="s">
        <v>316</v>
      </c>
      <c r="D568" s="19">
        <v>424950</v>
      </c>
      <c r="E568" s="19" t="s">
        <v>3649</v>
      </c>
    </row>
    <row r="569" spans="1:5" x14ac:dyDescent="0.25">
      <c r="A569" s="183">
        <v>2822</v>
      </c>
      <c r="B569" s="184" t="s">
        <v>390</v>
      </c>
      <c r="D569" s="19">
        <v>424990</v>
      </c>
      <c r="E569" s="19" t="s">
        <v>3650</v>
      </c>
    </row>
    <row r="570" spans="1:5" x14ac:dyDescent="0.25">
      <c r="A570" s="183">
        <v>2823</v>
      </c>
      <c r="B570" s="184" t="s">
        <v>3651</v>
      </c>
      <c r="D570" s="19">
        <v>425110</v>
      </c>
      <c r="E570" s="19" t="s">
        <v>3652</v>
      </c>
    </row>
    <row r="571" spans="1:5" x14ac:dyDescent="0.25">
      <c r="A571" s="183">
        <v>2824</v>
      </c>
      <c r="B571" s="184" t="s">
        <v>3653</v>
      </c>
      <c r="D571" s="19">
        <v>425120</v>
      </c>
      <c r="E571" s="19" t="s">
        <v>3654</v>
      </c>
    </row>
    <row r="572" spans="1:5" x14ac:dyDescent="0.25">
      <c r="A572" s="183">
        <v>2833</v>
      </c>
      <c r="B572" s="184" t="s">
        <v>444</v>
      </c>
      <c r="D572" s="19">
        <v>441110</v>
      </c>
      <c r="E572" s="19" t="s">
        <v>3655</v>
      </c>
    </row>
    <row r="573" spans="1:5" x14ac:dyDescent="0.25">
      <c r="A573" s="183">
        <v>2834</v>
      </c>
      <c r="B573" s="184" t="s">
        <v>3656</v>
      </c>
      <c r="D573" s="19">
        <v>441120</v>
      </c>
      <c r="E573" s="19" t="s">
        <v>3657</v>
      </c>
    </row>
    <row r="574" spans="1:5" x14ac:dyDescent="0.25">
      <c r="A574" s="183">
        <v>2835</v>
      </c>
      <c r="B574" s="184" t="s">
        <v>3658</v>
      </c>
      <c r="D574" s="19">
        <v>441210</v>
      </c>
      <c r="E574" s="19" t="s">
        <v>3659</v>
      </c>
    </row>
    <row r="575" spans="1:5" x14ac:dyDescent="0.25">
      <c r="A575" s="183">
        <v>2835</v>
      </c>
      <c r="B575" s="184" t="s">
        <v>3660</v>
      </c>
      <c r="D575" s="19">
        <v>441222</v>
      </c>
      <c r="E575" s="19" t="s">
        <v>3661</v>
      </c>
    </row>
    <row r="576" spans="1:5" x14ac:dyDescent="0.25">
      <c r="A576" s="183">
        <v>2836</v>
      </c>
      <c r="B576" s="184" t="s">
        <v>3662</v>
      </c>
      <c r="D576" s="19">
        <v>441228</v>
      </c>
      <c r="E576" s="19" t="s">
        <v>3663</v>
      </c>
    </row>
    <row r="577" spans="1:5" x14ac:dyDescent="0.25">
      <c r="A577" s="183">
        <v>2841</v>
      </c>
      <c r="B577" s="184" t="s">
        <v>545</v>
      </c>
      <c r="D577" s="19">
        <v>441310</v>
      </c>
      <c r="E577" s="19" t="s">
        <v>3664</v>
      </c>
    </row>
    <row r="578" spans="1:5" x14ac:dyDescent="0.25">
      <c r="A578" s="183">
        <v>2842</v>
      </c>
      <c r="B578" s="184" t="s">
        <v>3665</v>
      </c>
      <c r="D578" s="19">
        <v>441320</v>
      </c>
      <c r="E578" s="19" t="s">
        <v>3666</v>
      </c>
    </row>
    <row r="579" spans="1:5" x14ac:dyDescent="0.25">
      <c r="A579" s="183">
        <v>2843</v>
      </c>
      <c r="B579" s="184" t="s">
        <v>632</v>
      </c>
      <c r="D579" s="19">
        <v>442110</v>
      </c>
      <c r="E579" s="19" t="s">
        <v>3667</v>
      </c>
    </row>
    <row r="580" spans="1:5" x14ac:dyDescent="0.25">
      <c r="A580" s="183">
        <v>2844</v>
      </c>
      <c r="B580" s="184" t="s">
        <v>3668</v>
      </c>
      <c r="D580" s="19">
        <v>442210</v>
      </c>
      <c r="E580" s="19" t="s">
        <v>3669</v>
      </c>
    </row>
    <row r="581" spans="1:5" ht="25.5" x14ac:dyDescent="0.25">
      <c r="A581" s="183">
        <v>2844</v>
      </c>
      <c r="B581" s="184" t="s">
        <v>3670</v>
      </c>
      <c r="D581" s="19">
        <v>442291</v>
      </c>
      <c r="E581" s="19" t="s">
        <v>3671</v>
      </c>
    </row>
    <row r="582" spans="1:5" x14ac:dyDescent="0.25">
      <c r="A582" s="183">
        <v>2851</v>
      </c>
      <c r="B582" s="184" t="s">
        <v>598</v>
      </c>
      <c r="D582" s="19">
        <v>442299</v>
      </c>
      <c r="E582" s="19" t="s">
        <v>3672</v>
      </c>
    </row>
    <row r="583" spans="1:5" x14ac:dyDescent="0.25">
      <c r="A583" s="183">
        <v>2861</v>
      </c>
      <c r="B583" s="184" t="s">
        <v>3673</v>
      </c>
      <c r="D583" s="19">
        <v>443141</v>
      </c>
      <c r="E583" s="19" t="s">
        <v>3674</v>
      </c>
    </row>
    <row r="584" spans="1:5" x14ac:dyDescent="0.25">
      <c r="A584" s="183">
        <v>2865</v>
      </c>
      <c r="B584" s="184" t="s">
        <v>3675</v>
      </c>
      <c r="D584" s="19">
        <v>443142</v>
      </c>
      <c r="E584" s="19" t="s">
        <v>3676</v>
      </c>
    </row>
    <row r="585" spans="1:5" ht="25.5" x14ac:dyDescent="0.25">
      <c r="A585" s="183">
        <v>2865</v>
      </c>
      <c r="B585" s="184" t="s">
        <v>3677</v>
      </c>
      <c r="D585" s="19">
        <v>444110</v>
      </c>
      <c r="E585" s="19" t="s">
        <v>3678</v>
      </c>
    </row>
    <row r="586" spans="1:5" ht="25.5" x14ac:dyDescent="0.25">
      <c r="A586" s="183">
        <v>2865</v>
      </c>
      <c r="B586" s="184" t="s">
        <v>3679</v>
      </c>
      <c r="D586" s="19">
        <v>444120</v>
      </c>
      <c r="E586" s="19" t="s">
        <v>3680</v>
      </c>
    </row>
    <row r="587" spans="1:5" x14ac:dyDescent="0.25">
      <c r="A587" s="183">
        <v>2869</v>
      </c>
      <c r="B587" s="184" t="s">
        <v>312</v>
      </c>
      <c r="D587" s="19">
        <v>444130</v>
      </c>
      <c r="E587" s="19" t="s">
        <v>3681</v>
      </c>
    </row>
    <row r="588" spans="1:5" x14ac:dyDescent="0.25">
      <c r="A588" s="183">
        <v>2869</v>
      </c>
      <c r="B588" s="184" t="s">
        <v>3682</v>
      </c>
      <c r="D588" s="19">
        <v>444190</v>
      </c>
      <c r="E588" s="19" t="s">
        <v>3683</v>
      </c>
    </row>
    <row r="589" spans="1:5" x14ac:dyDescent="0.25">
      <c r="A589" s="183">
        <v>2869</v>
      </c>
      <c r="B589" s="184" t="s">
        <v>3684</v>
      </c>
      <c r="D589" s="19">
        <v>444210</v>
      </c>
      <c r="E589" s="19" t="s">
        <v>3685</v>
      </c>
    </row>
    <row r="590" spans="1:5" ht="25.5" x14ac:dyDescent="0.25">
      <c r="A590" s="183">
        <v>2869</v>
      </c>
      <c r="B590" s="184" t="s">
        <v>3686</v>
      </c>
      <c r="D590" s="19">
        <v>444220</v>
      </c>
      <c r="E590" s="19" t="s">
        <v>3687</v>
      </c>
    </row>
    <row r="591" spans="1:5" x14ac:dyDescent="0.25">
      <c r="A591" s="183">
        <v>2869</v>
      </c>
      <c r="B591" s="184" t="s">
        <v>3688</v>
      </c>
      <c r="D591" s="19">
        <v>445110</v>
      </c>
      <c r="E591" s="19" t="s">
        <v>3689</v>
      </c>
    </row>
    <row r="592" spans="1:5" ht="38.25" x14ac:dyDescent="0.25">
      <c r="A592" s="183">
        <v>2869</v>
      </c>
      <c r="B592" s="184" t="s">
        <v>3690</v>
      </c>
      <c r="D592" s="19">
        <v>445120</v>
      </c>
      <c r="E592" s="19" t="s">
        <v>3691</v>
      </c>
    </row>
    <row r="593" spans="1:5" x14ac:dyDescent="0.25">
      <c r="A593" s="183">
        <v>2869</v>
      </c>
      <c r="B593" s="184" t="s">
        <v>3692</v>
      </c>
      <c r="D593" s="19">
        <v>445210</v>
      </c>
      <c r="E593" s="19" t="s">
        <v>3693</v>
      </c>
    </row>
    <row r="594" spans="1:5" x14ac:dyDescent="0.25">
      <c r="A594" s="183">
        <v>2873</v>
      </c>
      <c r="B594" s="184" t="s">
        <v>3694</v>
      </c>
      <c r="D594" s="19">
        <v>445220</v>
      </c>
      <c r="E594" s="19" t="s">
        <v>3695</v>
      </c>
    </row>
    <row r="595" spans="1:5" x14ac:dyDescent="0.25">
      <c r="A595" s="183">
        <v>2874</v>
      </c>
      <c r="B595" s="184" t="s">
        <v>3696</v>
      </c>
      <c r="D595" s="19">
        <v>445230</v>
      </c>
      <c r="E595" s="19" t="s">
        <v>3697</v>
      </c>
    </row>
    <row r="596" spans="1:5" x14ac:dyDescent="0.25">
      <c r="A596" s="183">
        <v>2875</v>
      </c>
      <c r="B596" s="184" t="s">
        <v>3698</v>
      </c>
      <c r="D596" s="19">
        <v>445291</v>
      </c>
      <c r="E596" s="19" t="s">
        <v>3699</v>
      </c>
    </row>
    <row r="597" spans="1:5" x14ac:dyDescent="0.25">
      <c r="A597" s="183">
        <v>2879</v>
      </c>
      <c r="B597" s="184" t="s">
        <v>354</v>
      </c>
      <c r="D597" s="19">
        <v>445292</v>
      </c>
      <c r="E597" s="19" t="s">
        <v>3700</v>
      </c>
    </row>
    <row r="598" spans="1:5" x14ac:dyDescent="0.25">
      <c r="A598" s="183">
        <v>2891</v>
      </c>
      <c r="B598" s="184" t="s">
        <v>3701</v>
      </c>
      <c r="D598" s="19">
        <v>445299</v>
      </c>
      <c r="E598" s="19" t="s">
        <v>3702</v>
      </c>
    </row>
    <row r="599" spans="1:5" x14ac:dyDescent="0.25">
      <c r="A599" s="183">
        <v>2892</v>
      </c>
      <c r="B599" s="184" t="s">
        <v>3703</v>
      </c>
      <c r="D599" s="19">
        <v>445310</v>
      </c>
      <c r="E599" s="19" t="s">
        <v>3704</v>
      </c>
    </row>
    <row r="600" spans="1:5" x14ac:dyDescent="0.25">
      <c r="A600" s="183">
        <v>2893</v>
      </c>
      <c r="B600" s="184" t="s">
        <v>3705</v>
      </c>
      <c r="D600" s="19">
        <v>446110</v>
      </c>
      <c r="E600" s="19" t="s">
        <v>3706</v>
      </c>
    </row>
    <row r="601" spans="1:5" x14ac:dyDescent="0.25">
      <c r="A601" s="183">
        <v>2895</v>
      </c>
      <c r="B601" s="184" t="s">
        <v>3707</v>
      </c>
      <c r="D601" s="19">
        <v>446120</v>
      </c>
      <c r="E601" s="19" t="s">
        <v>3708</v>
      </c>
    </row>
    <row r="602" spans="1:5" x14ac:dyDescent="0.25">
      <c r="A602" s="183">
        <v>2899</v>
      </c>
      <c r="B602" s="184" t="s">
        <v>305</v>
      </c>
      <c r="D602" s="19">
        <v>446130</v>
      </c>
      <c r="E602" s="19" t="s">
        <v>3709</v>
      </c>
    </row>
    <row r="603" spans="1:5" x14ac:dyDescent="0.25">
      <c r="A603" s="183">
        <v>2899</v>
      </c>
      <c r="B603" s="184" t="s">
        <v>3710</v>
      </c>
      <c r="D603" s="19">
        <v>446191</v>
      </c>
      <c r="E603" s="19" t="s">
        <v>3711</v>
      </c>
    </row>
    <row r="604" spans="1:5" x14ac:dyDescent="0.25">
      <c r="A604" s="183">
        <v>2899</v>
      </c>
      <c r="B604" s="184" t="s">
        <v>3712</v>
      </c>
      <c r="D604" s="19">
        <v>446199</v>
      </c>
      <c r="E604" s="19" t="s">
        <v>3713</v>
      </c>
    </row>
    <row r="605" spans="1:5" ht="25.5" x14ac:dyDescent="0.25">
      <c r="A605" s="183">
        <v>2899</v>
      </c>
      <c r="B605" s="184" t="s">
        <v>3714</v>
      </c>
      <c r="D605" s="19">
        <v>447110</v>
      </c>
      <c r="E605" s="19" t="s">
        <v>3715</v>
      </c>
    </row>
    <row r="606" spans="1:5" x14ac:dyDescent="0.25">
      <c r="A606" s="183">
        <v>2911</v>
      </c>
      <c r="B606" s="184" t="s">
        <v>606</v>
      </c>
      <c r="D606" s="19">
        <v>447190</v>
      </c>
      <c r="E606" s="19" t="s">
        <v>3716</v>
      </c>
    </row>
    <row r="607" spans="1:5" x14ac:dyDescent="0.25">
      <c r="A607" s="183">
        <v>2951</v>
      </c>
      <c r="B607" s="184" t="s">
        <v>3717</v>
      </c>
      <c r="D607" s="19">
        <v>448110</v>
      </c>
      <c r="E607" s="19" t="s">
        <v>3718</v>
      </c>
    </row>
    <row r="608" spans="1:5" x14ac:dyDescent="0.25">
      <c r="A608" s="183">
        <v>2952</v>
      </c>
      <c r="B608" s="184" t="s">
        <v>3719</v>
      </c>
      <c r="D608" s="19">
        <v>448120</v>
      </c>
      <c r="E608" s="19" t="s">
        <v>3720</v>
      </c>
    </row>
    <row r="609" spans="1:5" x14ac:dyDescent="0.25">
      <c r="A609" s="183">
        <v>2992</v>
      </c>
      <c r="B609" s="184" t="s">
        <v>3721</v>
      </c>
      <c r="D609" s="19">
        <v>448130</v>
      </c>
      <c r="E609" s="19" t="s">
        <v>3722</v>
      </c>
    </row>
    <row r="610" spans="1:5" x14ac:dyDescent="0.25">
      <c r="A610" s="183">
        <v>2999</v>
      </c>
      <c r="B610" s="184" t="s">
        <v>3723</v>
      </c>
      <c r="D610" s="19">
        <v>448140</v>
      </c>
      <c r="E610" s="19" t="s">
        <v>3724</v>
      </c>
    </row>
    <row r="611" spans="1:5" x14ac:dyDescent="0.25">
      <c r="A611" s="183">
        <v>3011</v>
      </c>
      <c r="B611" s="184" t="s">
        <v>3725</v>
      </c>
      <c r="D611" s="19">
        <v>448150</v>
      </c>
      <c r="E611" s="19" t="s">
        <v>3726</v>
      </c>
    </row>
    <row r="612" spans="1:5" x14ac:dyDescent="0.25">
      <c r="A612" s="183">
        <v>3021</v>
      </c>
      <c r="B612" s="184" t="s">
        <v>3727</v>
      </c>
      <c r="D612" s="19">
        <v>448190</v>
      </c>
      <c r="E612" s="19" t="s">
        <v>3728</v>
      </c>
    </row>
    <row r="613" spans="1:5" x14ac:dyDescent="0.25">
      <c r="A613" s="183">
        <v>3052</v>
      </c>
      <c r="B613" s="184" t="s">
        <v>3729</v>
      </c>
      <c r="D613" s="19">
        <v>448210</v>
      </c>
      <c r="E613" s="19" t="s">
        <v>3730</v>
      </c>
    </row>
    <row r="614" spans="1:5" x14ac:dyDescent="0.25">
      <c r="A614" s="183">
        <v>3053</v>
      </c>
      <c r="B614" s="184" t="s">
        <v>3731</v>
      </c>
      <c r="D614" s="19">
        <v>448310</v>
      </c>
      <c r="E614" s="19" t="s">
        <v>3732</v>
      </c>
    </row>
    <row r="615" spans="1:5" x14ac:dyDescent="0.25">
      <c r="A615" s="183">
        <v>3061</v>
      </c>
      <c r="B615" s="184" t="s">
        <v>3733</v>
      </c>
      <c r="D615" s="19">
        <v>448320</v>
      </c>
      <c r="E615" s="19" t="s">
        <v>3734</v>
      </c>
    </row>
    <row r="616" spans="1:5" x14ac:dyDescent="0.25">
      <c r="A616" s="183">
        <v>3069</v>
      </c>
      <c r="B616" s="184" t="s">
        <v>3735</v>
      </c>
      <c r="D616" s="19">
        <v>451110</v>
      </c>
      <c r="E616" s="19" t="s">
        <v>3736</v>
      </c>
    </row>
    <row r="617" spans="1:5" x14ac:dyDescent="0.25">
      <c r="A617" s="183">
        <v>3069</v>
      </c>
      <c r="B617" s="184" t="s">
        <v>3737</v>
      </c>
      <c r="D617" s="19">
        <v>451120</v>
      </c>
      <c r="E617" s="19" t="s">
        <v>3738</v>
      </c>
    </row>
    <row r="618" spans="1:5" x14ac:dyDescent="0.25">
      <c r="A618" s="183">
        <v>3069</v>
      </c>
      <c r="B618" s="184" t="s">
        <v>3739</v>
      </c>
      <c r="D618" s="19">
        <v>451130</v>
      </c>
      <c r="E618" s="19" t="s">
        <v>3740</v>
      </c>
    </row>
    <row r="619" spans="1:5" x14ac:dyDescent="0.25">
      <c r="A619" s="183">
        <v>3069</v>
      </c>
      <c r="B619" s="184" t="s">
        <v>3741</v>
      </c>
      <c r="D619" s="19">
        <v>451140</v>
      </c>
      <c r="E619" s="19" t="s">
        <v>3742</v>
      </c>
    </row>
    <row r="620" spans="1:5" x14ac:dyDescent="0.25">
      <c r="A620" s="183">
        <v>3069</v>
      </c>
      <c r="B620" s="184" t="s">
        <v>3743</v>
      </c>
      <c r="D620" s="19">
        <v>451211</v>
      </c>
      <c r="E620" s="19" t="s">
        <v>3744</v>
      </c>
    </row>
    <row r="621" spans="1:5" ht="38.25" x14ac:dyDescent="0.25">
      <c r="A621" s="183">
        <v>3069</v>
      </c>
      <c r="B621" s="184" t="s">
        <v>3745</v>
      </c>
      <c r="D621" s="19">
        <v>451212</v>
      </c>
      <c r="E621" s="19" t="s">
        <v>3746</v>
      </c>
    </row>
    <row r="622" spans="1:5" x14ac:dyDescent="0.25">
      <c r="A622" s="183">
        <v>3069</v>
      </c>
      <c r="B622" s="184" t="s">
        <v>3747</v>
      </c>
      <c r="D622" s="19">
        <v>452210</v>
      </c>
      <c r="E622" s="19" t="s">
        <v>3748</v>
      </c>
    </row>
    <row r="623" spans="1:5" x14ac:dyDescent="0.25">
      <c r="A623" s="183">
        <v>3069</v>
      </c>
      <c r="B623" s="184" t="s">
        <v>3749</v>
      </c>
      <c r="D623" s="19">
        <v>452311</v>
      </c>
      <c r="E623" s="19" t="s">
        <v>3750</v>
      </c>
    </row>
    <row r="624" spans="1:5" x14ac:dyDescent="0.25">
      <c r="A624" s="183">
        <v>3069</v>
      </c>
      <c r="B624" s="184" t="s">
        <v>3751</v>
      </c>
      <c r="D624" s="19">
        <v>452319</v>
      </c>
      <c r="E624" s="19" t="s">
        <v>3752</v>
      </c>
    </row>
    <row r="625" spans="1:5" x14ac:dyDescent="0.25">
      <c r="A625" s="183">
        <v>3081</v>
      </c>
      <c r="B625" s="184" t="s">
        <v>3753</v>
      </c>
      <c r="D625" s="19">
        <v>453110</v>
      </c>
      <c r="E625" s="19" t="s">
        <v>3754</v>
      </c>
    </row>
    <row r="626" spans="1:5" x14ac:dyDescent="0.25">
      <c r="A626" s="183">
        <v>3082</v>
      </c>
      <c r="B626" s="184" t="s">
        <v>3755</v>
      </c>
      <c r="D626" s="19">
        <v>453210</v>
      </c>
      <c r="E626" s="19" t="s">
        <v>3756</v>
      </c>
    </row>
    <row r="627" spans="1:5" x14ac:dyDescent="0.25">
      <c r="A627" s="183">
        <v>3083</v>
      </c>
      <c r="B627" s="184" t="s">
        <v>3757</v>
      </c>
      <c r="D627" s="19">
        <v>453220</v>
      </c>
      <c r="E627" s="19" t="s">
        <v>3758</v>
      </c>
    </row>
    <row r="628" spans="1:5" x14ac:dyDescent="0.25">
      <c r="A628" s="183">
        <v>3084</v>
      </c>
      <c r="B628" s="184" t="s">
        <v>3759</v>
      </c>
      <c r="D628" s="19">
        <v>453310</v>
      </c>
      <c r="E628" s="19" t="s">
        <v>3760</v>
      </c>
    </row>
    <row r="629" spans="1:5" x14ac:dyDescent="0.25">
      <c r="A629" s="183">
        <v>3085</v>
      </c>
      <c r="B629" s="184" t="s">
        <v>3761</v>
      </c>
      <c r="D629" s="19">
        <v>453910</v>
      </c>
      <c r="E629" s="19" t="s">
        <v>3762</v>
      </c>
    </row>
    <row r="630" spans="1:5" x14ac:dyDescent="0.25">
      <c r="A630" s="183">
        <v>3086</v>
      </c>
      <c r="B630" s="184" t="s">
        <v>3763</v>
      </c>
      <c r="D630" s="19">
        <v>453920</v>
      </c>
      <c r="E630" s="19" t="s">
        <v>3764</v>
      </c>
    </row>
    <row r="631" spans="1:5" x14ac:dyDescent="0.25">
      <c r="A631" s="183">
        <v>3086</v>
      </c>
      <c r="B631" s="184" t="s">
        <v>3765</v>
      </c>
      <c r="D631" s="19">
        <v>453930</v>
      </c>
      <c r="E631" s="19" t="s">
        <v>3766</v>
      </c>
    </row>
    <row r="632" spans="1:5" x14ac:dyDescent="0.25">
      <c r="A632" s="183">
        <v>3087</v>
      </c>
      <c r="B632" s="184" t="s">
        <v>3767</v>
      </c>
      <c r="D632" s="19">
        <v>453991</v>
      </c>
      <c r="E632" s="19" t="s">
        <v>3768</v>
      </c>
    </row>
    <row r="633" spans="1:5" ht="25.5" x14ac:dyDescent="0.25">
      <c r="A633" s="183">
        <v>3088</v>
      </c>
      <c r="B633" s="184" t="s">
        <v>3769</v>
      </c>
      <c r="D633" s="21">
        <v>453998</v>
      </c>
      <c r="E633" s="19" t="s">
        <v>3770</v>
      </c>
    </row>
    <row r="634" spans="1:5" ht="25.5" x14ac:dyDescent="0.25">
      <c r="A634" s="183">
        <v>3089</v>
      </c>
      <c r="B634" s="184" t="s">
        <v>3771</v>
      </c>
      <c r="D634" s="21">
        <v>453998</v>
      </c>
      <c r="E634" s="19" t="s">
        <v>3772</v>
      </c>
    </row>
    <row r="635" spans="1:5" ht="38.25" x14ac:dyDescent="0.25">
      <c r="A635" s="183">
        <v>3089</v>
      </c>
      <c r="B635" s="184" t="s">
        <v>3773</v>
      </c>
      <c r="D635" s="21">
        <v>453998</v>
      </c>
      <c r="E635" s="19" t="s">
        <v>3774</v>
      </c>
    </row>
    <row r="636" spans="1:5" ht="25.5" x14ac:dyDescent="0.25">
      <c r="A636" s="183">
        <v>3089</v>
      </c>
      <c r="B636" s="184" t="s">
        <v>3775</v>
      </c>
      <c r="D636" s="21">
        <v>454110</v>
      </c>
      <c r="E636" s="19" t="s">
        <v>3776</v>
      </c>
    </row>
    <row r="637" spans="1:5" x14ac:dyDescent="0.25">
      <c r="A637" s="183">
        <v>3089</v>
      </c>
      <c r="B637" s="184" t="s">
        <v>3777</v>
      </c>
      <c r="D637" s="21">
        <v>454110</v>
      </c>
      <c r="E637" s="19" t="s">
        <v>3776</v>
      </c>
    </row>
    <row r="638" spans="1:5" x14ac:dyDescent="0.25">
      <c r="A638" s="183">
        <v>3089</v>
      </c>
      <c r="B638" s="184" t="s">
        <v>3778</v>
      </c>
      <c r="D638" s="21">
        <v>454110</v>
      </c>
      <c r="E638" s="19" t="s">
        <v>3776</v>
      </c>
    </row>
    <row r="639" spans="1:5" x14ac:dyDescent="0.25">
      <c r="A639" s="183">
        <v>3111</v>
      </c>
      <c r="B639" s="184" t="s">
        <v>3779</v>
      </c>
      <c r="D639" s="21">
        <v>454110</v>
      </c>
      <c r="E639" s="19" t="s">
        <v>3776</v>
      </c>
    </row>
    <row r="640" spans="1:5" x14ac:dyDescent="0.25">
      <c r="A640" s="183">
        <v>3131</v>
      </c>
      <c r="B640" s="184" t="s">
        <v>3780</v>
      </c>
      <c r="D640" s="21">
        <v>454110</v>
      </c>
      <c r="E640" s="19" t="s">
        <v>3776</v>
      </c>
    </row>
    <row r="641" spans="1:5" x14ac:dyDescent="0.25">
      <c r="A641" s="183">
        <v>3131</v>
      </c>
      <c r="B641" s="184" t="s">
        <v>3781</v>
      </c>
      <c r="D641" s="21">
        <v>454110</v>
      </c>
      <c r="E641" s="19" t="s">
        <v>3776</v>
      </c>
    </row>
    <row r="642" spans="1:5" x14ac:dyDescent="0.25">
      <c r="A642" s="183">
        <v>3131</v>
      </c>
      <c r="B642" s="184" t="s">
        <v>3782</v>
      </c>
      <c r="D642" s="21">
        <v>454110</v>
      </c>
      <c r="E642" s="19" t="s">
        <v>3776</v>
      </c>
    </row>
    <row r="643" spans="1:5" x14ac:dyDescent="0.25">
      <c r="A643" s="183">
        <v>3142</v>
      </c>
      <c r="B643" s="184" t="s">
        <v>3783</v>
      </c>
      <c r="D643" s="21">
        <v>454110</v>
      </c>
      <c r="E643" s="19" t="s">
        <v>3776</v>
      </c>
    </row>
    <row r="644" spans="1:5" x14ac:dyDescent="0.25">
      <c r="A644" s="183">
        <v>3143</v>
      </c>
      <c r="B644" s="184" t="s">
        <v>3784</v>
      </c>
      <c r="D644" s="21">
        <v>454110</v>
      </c>
      <c r="E644" s="19" t="s">
        <v>3776</v>
      </c>
    </row>
    <row r="645" spans="1:5" x14ac:dyDescent="0.25">
      <c r="A645" s="183">
        <v>3144</v>
      </c>
      <c r="B645" s="184" t="s">
        <v>3785</v>
      </c>
      <c r="D645" s="21">
        <v>454110</v>
      </c>
      <c r="E645" s="19" t="s">
        <v>3776</v>
      </c>
    </row>
    <row r="646" spans="1:5" x14ac:dyDescent="0.25">
      <c r="A646" s="183">
        <v>3149</v>
      </c>
      <c r="B646" s="184" t="s">
        <v>3786</v>
      </c>
      <c r="D646" s="21">
        <v>454110</v>
      </c>
      <c r="E646" s="19" t="s">
        <v>3776</v>
      </c>
    </row>
    <row r="647" spans="1:5" x14ac:dyDescent="0.25">
      <c r="A647" s="183">
        <v>3151</v>
      </c>
      <c r="B647" s="184" t="s">
        <v>3787</v>
      </c>
      <c r="D647" s="21">
        <v>454110</v>
      </c>
      <c r="E647" s="19" t="s">
        <v>3776</v>
      </c>
    </row>
    <row r="648" spans="1:5" x14ac:dyDescent="0.25">
      <c r="A648" s="183">
        <v>3151</v>
      </c>
      <c r="B648" s="184" t="s">
        <v>3788</v>
      </c>
      <c r="D648" s="21">
        <v>454110</v>
      </c>
      <c r="E648" s="19" t="s">
        <v>3776</v>
      </c>
    </row>
    <row r="649" spans="1:5" x14ac:dyDescent="0.25">
      <c r="A649" s="183">
        <v>3151</v>
      </c>
      <c r="B649" s="184" t="s">
        <v>3789</v>
      </c>
      <c r="D649" s="21">
        <v>454110</v>
      </c>
      <c r="E649" s="19" t="s">
        <v>3776</v>
      </c>
    </row>
    <row r="650" spans="1:5" x14ac:dyDescent="0.25">
      <c r="A650" s="183">
        <v>3161</v>
      </c>
      <c r="B650" s="184" t="s">
        <v>3790</v>
      </c>
      <c r="D650" s="21">
        <v>454110</v>
      </c>
      <c r="E650" s="19" t="s">
        <v>3776</v>
      </c>
    </row>
    <row r="651" spans="1:5" x14ac:dyDescent="0.25">
      <c r="A651" s="183">
        <v>3171</v>
      </c>
      <c r="B651" s="184" t="s">
        <v>3791</v>
      </c>
      <c r="D651" s="21">
        <v>454110</v>
      </c>
      <c r="E651" s="19" t="s">
        <v>3776</v>
      </c>
    </row>
    <row r="652" spans="1:5" ht="25.5" x14ac:dyDescent="0.25">
      <c r="A652" s="183">
        <v>3172</v>
      </c>
      <c r="B652" s="184" t="s">
        <v>3792</v>
      </c>
      <c r="D652" s="21">
        <v>454110</v>
      </c>
      <c r="E652" s="19" t="s">
        <v>3776</v>
      </c>
    </row>
    <row r="653" spans="1:5" ht="25.5" x14ac:dyDescent="0.25">
      <c r="A653" s="183">
        <v>3172</v>
      </c>
      <c r="B653" s="184" t="s">
        <v>3793</v>
      </c>
      <c r="D653" s="21">
        <v>454110</v>
      </c>
      <c r="E653" s="19" t="s">
        <v>3776</v>
      </c>
    </row>
    <row r="654" spans="1:5" x14ac:dyDescent="0.25">
      <c r="A654" s="183">
        <v>3199</v>
      </c>
      <c r="B654" s="184" t="s">
        <v>3794</v>
      </c>
      <c r="D654" s="21">
        <v>454110</v>
      </c>
      <c r="E654" s="19" t="s">
        <v>3776</v>
      </c>
    </row>
    <row r="655" spans="1:5" x14ac:dyDescent="0.25">
      <c r="A655" s="183">
        <v>3211</v>
      </c>
      <c r="B655" s="184" t="s">
        <v>3795</v>
      </c>
      <c r="D655" s="21">
        <v>454110</v>
      </c>
      <c r="E655" s="19" t="s">
        <v>3776</v>
      </c>
    </row>
    <row r="656" spans="1:5" x14ac:dyDescent="0.25">
      <c r="A656" s="183">
        <v>3221</v>
      </c>
      <c r="B656" s="184" t="s">
        <v>3796</v>
      </c>
      <c r="D656" s="21">
        <v>454110</v>
      </c>
      <c r="E656" s="19" t="s">
        <v>3776</v>
      </c>
    </row>
    <row r="657" spans="1:5" x14ac:dyDescent="0.25">
      <c r="A657" s="183">
        <v>3229</v>
      </c>
      <c r="B657" s="184" t="s">
        <v>3797</v>
      </c>
      <c r="D657" s="21">
        <v>454110</v>
      </c>
      <c r="E657" s="19" t="s">
        <v>3776</v>
      </c>
    </row>
    <row r="658" spans="1:5" x14ac:dyDescent="0.25">
      <c r="A658" s="183">
        <v>3231</v>
      </c>
      <c r="B658" s="184" t="s">
        <v>3798</v>
      </c>
      <c r="D658" s="21">
        <v>454110</v>
      </c>
      <c r="E658" s="19" t="s">
        <v>3776</v>
      </c>
    </row>
    <row r="659" spans="1:5" x14ac:dyDescent="0.25">
      <c r="A659" s="183">
        <v>3241</v>
      </c>
      <c r="B659" s="184" t="s">
        <v>3799</v>
      </c>
      <c r="D659" s="21">
        <v>454110</v>
      </c>
      <c r="E659" s="19" t="s">
        <v>3776</v>
      </c>
    </row>
    <row r="660" spans="1:5" x14ac:dyDescent="0.25">
      <c r="A660" s="183">
        <v>3251</v>
      </c>
      <c r="B660" s="184" t="s">
        <v>3800</v>
      </c>
      <c r="D660" s="21">
        <v>454110</v>
      </c>
      <c r="E660" s="19" t="s">
        <v>3776</v>
      </c>
    </row>
    <row r="661" spans="1:5" x14ac:dyDescent="0.25">
      <c r="A661" s="183">
        <v>3251</v>
      </c>
      <c r="B661" s="184" t="s">
        <v>3801</v>
      </c>
      <c r="D661" s="21">
        <v>454110</v>
      </c>
      <c r="E661" s="19" t="s">
        <v>3776</v>
      </c>
    </row>
    <row r="662" spans="1:5" x14ac:dyDescent="0.25">
      <c r="A662" s="183">
        <v>3253</v>
      </c>
      <c r="B662" s="184" t="s">
        <v>3802</v>
      </c>
      <c r="D662" s="21">
        <v>454110</v>
      </c>
      <c r="E662" s="19" t="s">
        <v>3776</v>
      </c>
    </row>
    <row r="663" spans="1:5" x14ac:dyDescent="0.25">
      <c r="A663" s="183">
        <v>3255</v>
      </c>
      <c r="B663" s="184" t="s">
        <v>3803</v>
      </c>
      <c r="D663" s="21">
        <v>454110</v>
      </c>
      <c r="E663" s="19" t="s">
        <v>3776</v>
      </c>
    </row>
    <row r="664" spans="1:5" x14ac:dyDescent="0.25">
      <c r="A664" s="183">
        <v>3259</v>
      </c>
      <c r="B664" s="184" t="s">
        <v>3804</v>
      </c>
      <c r="D664" s="21">
        <v>454110</v>
      </c>
      <c r="E664" s="19" t="s">
        <v>3776</v>
      </c>
    </row>
    <row r="665" spans="1:5" ht="25.5" x14ac:dyDescent="0.25">
      <c r="A665" s="183">
        <v>3261</v>
      </c>
      <c r="B665" s="184" t="s">
        <v>3805</v>
      </c>
      <c r="D665" s="21">
        <v>454110</v>
      </c>
      <c r="E665" s="19" t="s">
        <v>3776</v>
      </c>
    </row>
    <row r="666" spans="1:5" x14ac:dyDescent="0.25">
      <c r="A666" s="183">
        <v>3262</v>
      </c>
      <c r="B666" s="184" t="s">
        <v>3806</v>
      </c>
      <c r="D666" s="21">
        <v>454110</v>
      </c>
      <c r="E666" s="19" t="s">
        <v>3776</v>
      </c>
    </row>
    <row r="667" spans="1:5" x14ac:dyDescent="0.25">
      <c r="A667" s="183">
        <v>3263</v>
      </c>
      <c r="B667" s="184" t="s">
        <v>3807</v>
      </c>
      <c r="D667" s="21">
        <v>454110</v>
      </c>
      <c r="E667" s="19" t="s">
        <v>3776</v>
      </c>
    </row>
    <row r="668" spans="1:5" x14ac:dyDescent="0.25">
      <c r="A668" s="183">
        <v>3264</v>
      </c>
      <c r="B668" s="184" t="s">
        <v>3808</v>
      </c>
      <c r="D668" s="21">
        <v>454110</v>
      </c>
      <c r="E668" s="19" t="s">
        <v>3776</v>
      </c>
    </row>
    <row r="669" spans="1:5" x14ac:dyDescent="0.25">
      <c r="A669" s="183">
        <v>3269</v>
      </c>
      <c r="B669" s="184" t="s">
        <v>3809</v>
      </c>
      <c r="D669" s="21">
        <v>454110</v>
      </c>
      <c r="E669" s="19" t="s">
        <v>3776</v>
      </c>
    </row>
    <row r="670" spans="1:5" x14ac:dyDescent="0.25">
      <c r="A670" s="183">
        <v>3271</v>
      </c>
      <c r="B670" s="184" t="s">
        <v>3810</v>
      </c>
      <c r="D670" s="21">
        <v>454110</v>
      </c>
      <c r="E670" s="19" t="s">
        <v>3776</v>
      </c>
    </row>
    <row r="671" spans="1:5" x14ac:dyDescent="0.25">
      <c r="A671" s="183">
        <v>3272</v>
      </c>
      <c r="B671" s="184" t="s">
        <v>3811</v>
      </c>
      <c r="D671" s="21">
        <v>454110</v>
      </c>
      <c r="E671" s="19" t="s">
        <v>3776</v>
      </c>
    </row>
    <row r="672" spans="1:5" ht="25.5" x14ac:dyDescent="0.25">
      <c r="A672" s="183">
        <v>3272</v>
      </c>
      <c r="B672" s="184" t="s">
        <v>3812</v>
      </c>
      <c r="D672" s="21">
        <v>454110</v>
      </c>
      <c r="E672" s="19" t="s">
        <v>3776</v>
      </c>
    </row>
    <row r="673" spans="1:5" x14ac:dyDescent="0.25">
      <c r="A673" s="183">
        <v>3272</v>
      </c>
      <c r="B673" s="184" t="s">
        <v>3813</v>
      </c>
      <c r="D673" s="21">
        <v>454110</v>
      </c>
      <c r="E673" s="19" t="s">
        <v>3776</v>
      </c>
    </row>
    <row r="674" spans="1:5" x14ac:dyDescent="0.25">
      <c r="A674" s="183">
        <v>3273</v>
      </c>
      <c r="B674" s="184" t="s">
        <v>3814</v>
      </c>
      <c r="D674" s="21">
        <v>454110</v>
      </c>
      <c r="E674" s="19" t="s">
        <v>3776</v>
      </c>
    </row>
    <row r="675" spans="1:5" x14ac:dyDescent="0.25">
      <c r="A675" s="183">
        <v>3274</v>
      </c>
      <c r="B675" s="184" t="s">
        <v>3815</v>
      </c>
      <c r="D675" s="21">
        <v>454110</v>
      </c>
      <c r="E675" s="19" t="s">
        <v>3776</v>
      </c>
    </row>
    <row r="676" spans="1:5" x14ac:dyDescent="0.25">
      <c r="A676" s="183">
        <v>3275</v>
      </c>
      <c r="B676" s="184" t="s">
        <v>3816</v>
      </c>
      <c r="D676" s="21">
        <v>454110</v>
      </c>
      <c r="E676" s="19" t="s">
        <v>3776</v>
      </c>
    </row>
    <row r="677" spans="1:5" x14ac:dyDescent="0.25">
      <c r="A677" s="183">
        <v>3281</v>
      </c>
      <c r="B677" s="184" t="s">
        <v>3817</v>
      </c>
      <c r="D677" s="21">
        <v>454110</v>
      </c>
      <c r="E677" s="19" t="s">
        <v>3776</v>
      </c>
    </row>
    <row r="678" spans="1:5" x14ac:dyDescent="0.25">
      <c r="A678" s="183">
        <v>3291</v>
      </c>
      <c r="B678" s="184" t="s">
        <v>3818</v>
      </c>
      <c r="D678" s="19">
        <v>454210</v>
      </c>
      <c r="E678" s="19" t="s">
        <v>3819</v>
      </c>
    </row>
    <row r="679" spans="1:5" x14ac:dyDescent="0.25">
      <c r="A679" s="183">
        <v>3291</v>
      </c>
      <c r="B679" s="184" t="s">
        <v>3820</v>
      </c>
      <c r="D679" s="19">
        <v>454310</v>
      </c>
      <c r="E679" s="19" t="s">
        <v>3821</v>
      </c>
    </row>
    <row r="680" spans="1:5" x14ac:dyDescent="0.25">
      <c r="A680" s="183">
        <v>3292</v>
      </c>
      <c r="B680" s="184" t="s">
        <v>3822</v>
      </c>
      <c r="D680" s="21">
        <v>454390</v>
      </c>
      <c r="E680" s="19" t="s">
        <v>3823</v>
      </c>
    </row>
    <row r="681" spans="1:5" x14ac:dyDescent="0.25">
      <c r="A681" s="183">
        <v>3292</v>
      </c>
      <c r="B681" s="184" t="s">
        <v>3824</v>
      </c>
      <c r="D681" s="21">
        <v>454390</v>
      </c>
      <c r="E681" s="19" t="s">
        <v>3823</v>
      </c>
    </row>
    <row r="682" spans="1:5" x14ac:dyDescent="0.25">
      <c r="A682" s="183">
        <v>3292</v>
      </c>
      <c r="B682" s="184" t="s">
        <v>3825</v>
      </c>
      <c r="D682" s="21">
        <v>454390</v>
      </c>
      <c r="E682" s="19" t="s">
        <v>3823</v>
      </c>
    </row>
    <row r="683" spans="1:5" ht="25.5" x14ac:dyDescent="0.25">
      <c r="A683" s="183">
        <v>3295</v>
      </c>
      <c r="B683" s="184" t="s">
        <v>3826</v>
      </c>
      <c r="D683" s="21">
        <v>454390</v>
      </c>
      <c r="E683" s="19" t="s">
        <v>3823</v>
      </c>
    </row>
    <row r="684" spans="1:5" ht="25.5" x14ac:dyDescent="0.25">
      <c r="A684" s="183">
        <v>3295</v>
      </c>
      <c r="B684" s="184" t="s">
        <v>3827</v>
      </c>
      <c r="D684" s="21">
        <v>454390</v>
      </c>
      <c r="E684" s="19" t="s">
        <v>3823</v>
      </c>
    </row>
    <row r="685" spans="1:5" ht="25.5" x14ac:dyDescent="0.25">
      <c r="A685" s="183">
        <v>3295</v>
      </c>
      <c r="B685" s="184" t="s">
        <v>3828</v>
      </c>
      <c r="D685" s="21">
        <v>454390</v>
      </c>
      <c r="E685" s="19" t="s">
        <v>3823</v>
      </c>
    </row>
    <row r="686" spans="1:5" ht="25.5" x14ac:dyDescent="0.25">
      <c r="A686" s="183">
        <v>3295</v>
      </c>
      <c r="B686" s="184" t="s">
        <v>3829</v>
      </c>
      <c r="D686" s="21">
        <v>454390</v>
      </c>
      <c r="E686" s="19" t="s">
        <v>3823</v>
      </c>
    </row>
    <row r="687" spans="1:5" ht="25.5" x14ac:dyDescent="0.25">
      <c r="A687" s="183">
        <v>3295</v>
      </c>
      <c r="B687" s="184" t="s">
        <v>3830</v>
      </c>
      <c r="D687" s="21">
        <v>454390</v>
      </c>
      <c r="E687" s="19" t="s">
        <v>3823</v>
      </c>
    </row>
    <row r="688" spans="1:5" x14ac:dyDescent="0.25">
      <c r="A688" s="183">
        <v>3296</v>
      </c>
      <c r="B688" s="184" t="s">
        <v>3831</v>
      </c>
      <c r="D688" s="21">
        <v>454390</v>
      </c>
      <c r="E688" s="19" t="s">
        <v>3823</v>
      </c>
    </row>
    <row r="689" spans="1:5" x14ac:dyDescent="0.25">
      <c r="A689" s="183">
        <v>3297</v>
      </c>
      <c r="B689" s="184" t="s">
        <v>3832</v>
      </c>
      <c r="D689" s="21">
        <v>454390</v>
      </c>
      <c r="E689" s="19" t="s">
        <v>3823</v>
      </c>
    </row>
    <row r="690" spans="1:5" x14ac:dyDescent="0.25">
      <c r="A690" s="183">
        <v>3299</v>
      </c>
      <c r="B690" s="184" t="s">
        <v>3833</v>
      </c>
      <c r="D690" s="21">
        <v>454390</v>
      </c>
      <c r="E690" s="19" t="s">
        <v>3823</v>
      </c>
    </row>
    <row r="691" spans="1:5" ht="25.5" x14ac:dyDescent="0.25">
      <c r="A691" s="183">
        <v>3299</v>
      </c>
      <c r="B691" s="184" t="s">
        <v>3834</v>
      </c>
      <c r="D691" s="21">
        <v>454390</v>
      </c>
      <c r="E691" s="19" t="s">
        <v>3823</v>
      </c>
    </row>
    <row r="692" spans="1:5" ht="25.5" x14ac:dyDescent="0.25">
      <c r="A692" s="183">
        <v>3299</v>
      </c>
      <c r="B692" s="184" t="s">
        <v>3835</v>
      </c>
      <c r="D692" s="21">
        <v>454390</v>
      </c>
      <c r="E692" s="19" t="s">
        <v>3823</v>
      </c>
    </row>
    <row r="693" spans="1:5" x14ac:dyDescent="0.25">
      <c r="A693" s="183">
        <v>3312</v>
      </c>
      <c r="B693" s="184" t="s">
        <v>3836</v>
      </c>
      <c r="D693" s="21">
        <v>454390</v>
      </c>
      <c r="E693" s="19" t="s">
        <v>3823</v>
      </c>
    </row>
    <row r="694" spans="1:5" ht="25.5" x14ac:dyDescent="0.25">
      <c r="A694" s="183">
        <v>3312</v>
      </c>
      <c r="B694" s="184" t="s">
        <v>3837</v>
      </c>
      <c r="D694" s="21">
        <v>454390</v>
      </c>
      <c r="E694" s="19" t="s">
        <v>3823</v>
      </c>
    </row>
    <row r="695" spans="1:5" ht="25.5" x14ac:dyDescent="0.25">
      <c r="A695" s="183">
        <v>3312</v>
      </c>
      <c r="B695" s="184" t="s">
        <v>3838</v>
      </c>
      <c r="D695" s="21">
        <v>454390</v>
      </c>
      <c r="E695" s="19" t="s">
        <v>3823</v>
      </c>
    </row>
    <row r="696" spans="1:5" x14ac:dyDescent="0.25">
      <c r="A696" s="183">
        <v>3313</v>
      </c>
      <c r="B696" s="184" t="s">
        <v>3839</v>
      </c>
      <c r="D696" s="21">
        <v>454390</v>
      </c>
      <c r="E696" s="19" t="s">
        <v>3823</v>
      </c>
    </row>
    <row r="697" spans="1:5" x14ac:dyDescent="0.25">
      <c r="A697" s="183">
        <v>3315</v>
      </c>
      <c r="B697" s="184" t="s">
        <v>3840</v>
      </c>
      <c r="D697" s="21">
        <v>454390</v>
      </c>
      <c r="E697" s="19" t="s">
        <v>3823</v>
      </c>
    </row>
    <row r="698" spans="1:5" ht="25.5" x14ac:dyDescent="0.25">
      <c r="A698" s="183">
        <v>3315</v>
      </c>
      <c r="B698" s="184" t="s">
        <v>3841</v>
      </c>
      <c r="D698" s="21">
        <v>454390</v>
      </c>
      <c r="E698" s="19" t="s">
        <v>3823</v>
      </c>
    </row>
    <row r="699" spans="1:5" x14ac:dyDescent="0.25">
      <c r="A699" s="183">
        <v>3316</v>
      </c>
      <c r="B699" s="184" t="s">
        <v>3842</v>
      </c>
      <c r="D699" s="21">
        <v>454390</v>
      </c>
      <c r="E699" s="19" t="s">
        <v>3823</v>
      </c>
    </row>
    <row r="700" spans="1:5" x14ac:dyDescent="0.25">
      <c r="A700" s="183">
        <v>3317</v>
      </c>
      <c r="B700" s="184" t="s">
        <v>3843</v>
      </c>
      <c r="D700" s="21">
        <v>454390</v>
      </c>
      <c r="E700" s="19" t="s">
        <v>3823</v>
      </c>
    </row>
    <row r="701" spans="1:5" x14ac:dyDescent="0.25">
      <c r="A701" s="183">
        <v>3321</v>
      </c>
      <c r="B701" s="184" t="s">
        <v>3844</v>
      </c>
      <c r="D701" s="21">
        <v>454390</v>
      </c>
      <c r="E701" s="19" t="s">
        <v>3823</v>
      </c>
    </row>
    <row r="702" spans="1:5" x14ac:dyDescent="0.25">
      <c r="A702" s="183">
        <v>3322</v>
      </c>
      <c r="B702" s="184" t="s">
        <v>3845</v>
      </c>
      <c r="D702" s="21">
        <v>454390</v>
      </c>
      <c r="E702" s="19" t="s">
        <v>3823</v>
      </c>
    </row>
    <row r="703" spans="1:5" x14ac:dyDescent="0.25">
      <c r="A703" s="183">
        <v>3324</v>
      </c>
      <c r="B703" s="184" t="s">
        <v>3168</v>
      </c>
      <c r="D703" s="21">
        <v>454390</v>
      </c>
      <c r="E703" s="19" t="s">
        <v>3823</v>
      </c>
    </row>
    <row r="704" spans="1:5" x14ac:dyDescent="0.25">
      <c r="A704" s="183">
        <v>3325</v>
      </c>
      <c r="B704" s="184" t="s">
        <v>3846</v>
      </c>
      <c r="D704" s="21">
        <v>454390</v>
      </c>
      <c r="E704" s="19" t="s">
        <v>3823</v>
      </c>
    </row>
    <row r="705" spans="1:5" x14ac:dyDescent="0.25">
      <c r="A705" s="183">
        <v>3331</v>
      </c>
      <c r="B705" s="184" t="s">
        <v>3847</v>
      </c>
      <c r="D705" s="21">
        <v>454390</v>
      </c>
      <c r="E705" s="19" t="s">
        <v>3823</v>
      </c>
    </row>
    <row r="706" spans="1:5" x14ac:dyDescent="0.25">
      <c r="A706" s="183">
        <v>3334</v>
      </c>
      <c r="B706" s="184" t="s">
        <v>3848</v>
      </c>
      <c r="D706" s="21">
        <v>454390</v>
      </c>
      <c r="E706" s="19" t="s">
        <v>3823</v>
      </c>
    </row>
    <row r="707" spans="1:5" x14ac:dyDescent="0.25">
      <c r="A707" s="183">
        <v>3339</v>
      </c>
      <c r="B707" s="184" t="s">
        <v>3849</v>
      </c>
      <c r="D707" s="21">
        <v>454390</v>
      </c>
      <c r="E707" s="19" t="s">
        <v>3823</v>
      </c>
    </row>
    <row r="708" spans="1:5" x14ac:dyDescent="0.25">
      <c r="A708" s="183">
        <v>3341</v>
      </c>
      <c r="B708" s="184" t="s">
        <v>3850</v>
      </c>
      <c r="D708" s="21">
        <v>454390</v>
      </c>
      <c r="E708" s="19" t="s">
        <v>3823</v>
      </c>
    </row>
    <row r="709" spans="1:5" x14ac:dyDescent="0.25">
      <c r="A709" s="183">
        <v>3341</v>
      </c>
      <c r="B709" s="184" t="s">
        <v>3851</v>
      </c>
      <c r="D709" s="21">
        <v>454390</v>
      </c>
      <c r="E709" s="19" t="s">
        <v>3823</v>
      </c>
    </row>
    <row r="710" spans="1:5" x14ac:dyDescent="0.25">
      <c r="A710" s="183">
        <v>3341</v>
      </c>
      <c r="B710" s="184" t="s">
        <v>3852</v>
      </c>
      <c r="D710" s="21">
        <v>454390</v>
      </c>
      <c r="E710" s="19" t="s">
        <v>3823</v>
      </c>
    </row>
    <row r="711" spans="1:5" x14ac:dyDescent="0.25">
      <c r="A711" s="183">
        <v>3351</v>
      </c>
      <c r="B711" s="184" t="s">
        <v>3853</v>
      </c>
      <c r="D711" s="21">
        <v>454390</v>
      </c>
      <c r="E711" s="19" t="s">
        <v>3823</v>
      </c>
    </row>
    <row r="712" spans="1:5" x14ac:dyDescent="0.25">
      <c r="A712" s="183">
        <v>3353</v>
      </c>
      <c r="B712" s="184" t="s">
        <v>3854</v>
      </c>
      <c r="D712" s="21">
        <v>454390</v>
      </c>
      <c r="E712" s="19" t="s">
        <v>3823</v>
      </c>
    </row>
    <row r="713" spans="1:5" x14ac:dyDescent="0.25">
      <c r="A713" s="183">
        <v>3354</v>
      </c>
      <c r="B713" s="184" t="s">
        <v>3855</v>
      </c>
      <c r="D713" s="21">
        <v>454390</v>
      </c>
      <c r="E713" s="19" t="s">
        <v>3823</v>
      </c>
    </row>
    <row r="714" spans="1:5" x14ac:dyDescent="0.25">
      <c r="A714" s="183">
        <v>3355</v>
      </c>
      <c r="B714" s="184" t="s">
        <v>3856</v>
      </c>
      <c r="D714" s="21">
        <v>454390</v>
      </c>
      <c r="E714" s="19" t="s">
        <v>3823</v>
      </c>
    </row>
    <row r="715" spans="1:5" x14ac:dyDescent="0.25">
      <c r="A715" s="183">
        <v>3356</v>
      </c>
      <c r="B715" s="184" t="s">
        <v>3857</v>
      </c>
      <c r="D715" s="21">
        <v>454390</v>
      </c>
      <c r="E715" s="19" t="s">
        <v>3823</v>
      </c>
    </row>
    <row r="716" spans="1:5" x14ac:dyDescent="0.25">
      <c r="A716" s="183">
        <v>3357</v>
      </c>
      <c r="B716" s="184" t="s">
        <v>3858</v>
      </c>
      <c r="D716" s="21">
        <v>454390</v>
      </c>
      <c r="E716" s="19" t="s">
        <v>3823</v>
      </c>
    </row>
    <row r="717" spans="1:5" x14ac:dyDescent="0.25">
      <c r="A717" s="183">
        <v>3357</v>
      </c>
      <c r="B717" s="184" t="s">
        <v>3859</v>
      </c>
      <c r="D717" s="21">
        <v>454390</v>
      </c>
      <c r="E717" s="19" t="s">
        <v>3823</v>
      </c>
    </row>
    <row r="718" spans="1:5" x14ac:dyDescent="0.25">
      <c r="A718" s="183">
        <v>3357</v>
      </c>
      <c r="B718" s="184" t="s">
        <v>3860</v>
      </c>
      <c r="D718" s="21">
        <v>454390</v>
      </c>
      <c r="E718" s="19" t="s">
        <v>3823</v>
      </c>
    </row>
    <row r="719" spans="1:5" x14ac:dyDescent="0.25">
      <c r="A719" s="183">
        <v>3357</v>
      </c>
      <c r="B719" s="184" t="s">
        <v>3861</v>
      </c>
      <c r="D719" s="19">
        <v>481111</v>
      </c>
      <c r="E719" s="19" t="s">
        <v>3862</v>
      </c>
    </row>
    <row r="720" spans="1:5" ht="25.5" x14ac:dyDescent="0.25">
      <c r="A720" s="183">
        <v>3357</v>
      </c>
      <c r="B720" s="184" t="s">
        <v>3863</v>
      </c>
      <c r="D720" s="19">
        <v>481112</v>
      </c>
      <c r="E720" s="19" t="s">
        <v>3864</v>
      </c>
    </row>
    <row r="721" spans="1:5" x14ac:dyDescent="0.25">
      <c r="A721" s="183">
        <v>3363</v>
      </c>
      <c r="B721" s="184" t="s">
        <v>3865</v>
      </c>
      <c r="D721" s="19">
        <v>481211</v>
      </c>
      <c r="E721" s="19" t="s">
        <v>3866</v>
      </c>
    </row>
    <row r="722" spans="1:5" x14ac:dyDescent="0.25">
      <c r="A722" s="183">
        <v>3364</v>
      </c>
      <c r="B722" s="184" t="s">
        <v>3867</v>
      </c>
      <c r="D722" s="19">
        <v>481212</v>
      </c>
      <c r="E722" s="19" t="s">
        <v>3868</v>
      </c>
    </row>
    <row r="723" spans="1:5" x14ac:dyDescent="0.25">
      <c r="A723" s="183">
        <v>3365</v>
      </c>
      <c r="B723" s="184" t="s">
        <v>3869</v>
      </c>
      <c r="D723" s="19">
        <v>481219</v>
      </c>
      <c r="E723" s="19" t="s">
        <v>3870</v>
      </c>
    </row>
    <row r="724" spans="1:5" x14ac:dyDescent="0.25">
      <c r="A724" s="183">
        <v>3366</v>
      </c>
      <c r="B724" s="184" t="s">
        <v>3871</v>
      </c>
      <c r="D724" s="19">
        <v>482111</v>
      </c>
      <c r="E724" s="19" t="s">
        <v>3872</v>
      </c>
    </row>
    <row r="725" spans="1:5" x14ac:dyDescent="0.25">
      <c r="A725" s="183">
        <v>3369</v>
      </c>
      <c r="B725" s="184" t="s">
        <v>3873</v>
      </c>
      <c r="D725" s="19">
        <v>482112</v>
      </c>
      <c r="E725" s="19" t="s">
        <v>3874</v>
      </c>
    </row>
    <row r="726" spans="1:5" x14ac:dyDescent="0.25">
      <c r="A726" s="183">
        <v>3398</v>
      </c>
      <c r="B726" s="184" t="s">
        <v>3224</v>
      </c>
      <c r="D726" s="19">
        <v>483111</v>
      </c>
      <c r="E726" s="19" t="s">
        <v>3875</v>
      </c>
    </row>
    <row r="727" spans="1:5" x14ac:dyDescent="0.25">
      <c r="A727" s="183">
        <v>3399</v>
      </c>
      <c r="B727" s="184" t="s">
        <v>3876</v>
      </c>
      <c r="D727" s="19">
        <v>483112</v>
      </c>
      <c r="E727" s="19" t="s">
        <v>3877</v>
      </c>
    </row>
    <row r="728" spans="1:5" x14ac:dyDescent="0.25">
      <c r="A728" s="183">
        <v>3399</v>
      </c>
      <c r="B728" s="184" t="s">
        <v>3878</v>
      </c>
      <c r="D728" s="19">
        <v>483113</v>
      </c>
      <c r="E728" s="19" t="s">
        <v>3879</v>
      </c>
    </row>
    <row r="729" spans="1:5" x14ac:dyDescent="0.25">
      <c r="A729" s="183">
        <v>3399</v>
      </c>
      <c r="B729" s="184" t="s">
        <v>3880</v>
      </c>
      <c r="D729" s="19">
        <v>483114</v>
      </c>
      <c r="E729" s="19" t="s">
        <v>3881</v>
      </c>
    </row>
    <row r="730" spans="1:5" x14ac:dyDescent="0.25">
      <c r="A730" s="183">
        <v>3399</v>
      </c>
      <c r="B730" s="184" t="s">
        <v>3882</v>
      </c>
      <c r="D730" s="19">
        <v>483211</v>
      </c>
      <c r="E730" s="19" t="s">
        <v>3883</v>
      </c>
    </row>
    <row r="731" spans="1:5" ht="25.5" x14ac:dyDescent="0.25">
      <c r="A731" s="183">
        <v>3399</v>
      </c>
      <c r="B731" s="184" t="s">
        <v>3884</v>
      </c>
      <c r="D731" s="19">
        <v>483212</v>
      </c>
      <c r="E731" s="19" t="s">
        <v>3885</v>
      </c>
    </row>
    <row r="732" spans="1:5" ht="25.5" x14ac:dyDescent="0.25">
      <c r="A732" s="183">
        <v>3399</v>
      </c>
      <c r="B732" s="184" t="s">
        <v>3886</v>
      </c>
      <c r="D732" s="19">
        <v>484110</v>
      </c>
      <c r="E732" s="19" t="s">
        <v>3887</v>
      </c>
    </row>
    <row r="733" spans="1:5" x14ac:dyDescent="0.25">
      <c r="A733" s="183">
        <v>3399</v>
      </c>
      <c r="B733" s="184" t="s">
        <v>3888</v>
      </c>
      <c r="D733" s="19">
        <v>484121</v>
      </c>
      <c r="E733" s="19" t="s">
        <v>3889</v>
      </c>
    </row>
    <row r="734" spans="1:5" x14ac:dyDescent="0.25">
      <c r="A734" s="183">
        <v>3411</v>
      </c>
      <c r="B734" s="184" t="s">
        <v>3890</v>
      </c>
      <c r="D734" s="19">
        <v>484122</v>
      </c>
      <c r="E734" s="19" t="s">
        <v>3891</v>
      </c>
    </row>
    <row r="735" spans="1:5" x14ac:dyDescent="0.25">
      <c r="A735" s="183">
        <v>3412</v>
      </c>
      <c r="B735" s="184" t="s">
        <v>3892</v>
      </c>
      <c r="D735" s="19">
        <v>484210</v>
      </c>
      <c r="E735" s="19" t="s">
        <v>3893</v>
      </c>
    </row>
    <row r="736" spans="1:5" x14ac:dyDescent="0.25">
      <c r="A736" s="183">
        <v>3421</v>
      </c>
      <c r="B736" s="184" t="s">
        <v>3894</v>
      </c>
      <c r="D736" s="19">
        <v>484220</v>
      </c>
      <c r="E736" s="19" t="s">
        <v>3895</v>
      </c>
    </row>
    <row r="737" spans="1:5" x14ac:dyDescent="0.25">
      <c r="A737" s="183">
        <v>3421</v>
      </c>
      <c r="B737" s="184" t="s">
        <v>3896</v>
      </c>
      <c r="D737" s="19">
        <v>484230</v>
      </c>
      <c r="E737" s="19" t="s">
        <v>3897</v>
      </c>
    </row>
    <row r="738" spans="1:5" x14ac:dyDescent="0.25">
      <c r="A738" s="183">
        <v>3423</v>
      </c>
      <c r="B738" s="184" t="s">
        <v>3898</v>
      </c>
      <c r="D738" s="19">
        <v>485111</v>
      </c>
      <c r="E738" s="19" t="s">
        <v>3899</v>
      </c>
    </row>
    <row r="739" spans="1:5" x14ac:dyDescent="0.25">
      <c r="A739" s="183">
        <v>3425</v>
      </c>
      <c r="B739" s="184" t="s">
        <v>3900</v>
      </c>
      <c r="D739" s="19">
        <v>485112</v>
      </c>
      <c r="E739" s="19" t="s">
        <v>3901</v>
      </c>
    </row>
    <row r="740" spans="1:5" x14ac:dyDescent="0.25">
      <c r="A740" s="183">
        <v>3429</v>
      </c>
      <c r="B740" s="184" t="s">
        <v>3902</v>
      </c>
      <c r="D740" s="19">
        <v>485113</v>
      </c>
      <c r="E740" s="19" t="s">
        <v>3903</v>
      </c>
    </row>
    <row r="741" spans="1:5" ht="51" x14ac:dyDescent="0.25">
      <c r="A741" s="183">
        <v>3429</v>
      </c>
      <c r="B741" s="184" t="s">
        <v>3904</v>
      </c>
      <c r="D741" s="19">
        <v>485119</v>
      </c>
      <c r="E741" s="19" t="s">
        <v>3905</v>
      </c>
    </row>
    <row r="742" spans="1:5" x14ac:dyDescent="0.25">
      <c r="A742" s="183">
        <v>3429</v>
      </c>
      <c r="B742" s="184" t="s">
        <v>3906</v>
      </c>
      <c r="D742" s="19">
        <v>485210</v>
      </c>
      <c r="E742" s="19" t="s">
        <v>3907</v>
      </c>
    </row>
    <row r="743" spans="1:5" x14ac:dyDescent="0.25">
      <c r="A743" s="183">
        <v>3429</v>
      </c>
      <c r="B743" s="184" t="s">
        <v>3908</v>
      </c>
      <c r="D743" s="19">
        <v>485310</v>
      </c>
      <c r="E743" s="19" t="s">
        <v>3909</v>
      </c>
    </row>
    <row r="744" spans="1:5" ht="25.5" x14ac:dyDescent="0.25">
      <c r="A744" s="183">
        <v>3429</v>
      </c>
      <c r="B744" s="184" t="s">
        <v>3910</v>
      </c>
      <c r="D744" s="19">
        <v>485320</v>
      </c>
      <c r="E744" s="19" t="s">
        <v>3911</v>
      </c>
    </row>
    <row r="745" spans="1:5" x14ac:dyDescent="0.25">
      <c r="A745" s="183">
        <v>3429</v>
      </c>
      <c r="B745" s="184" t="s">
        <v>3912</v>
      </c>
      <c r="D745" s="19">
        <v>485410</v>
      </c>
      <c r="E745" s="19" t="s">
        <v>3913</v>
      </c>
    </row>
    <row r="746" spans="1:5" x14ac:dyDescent="0.25">
      <c r="A746" s="183">
        <v>3429</v>
      </c>
      <c r="B746" s="184" t="s">
        <v>3914</v>
      </c>
      <c r="D746" s="19">
        <v>485510</v>
      </c>
      <c r="E746" s="19" t="s">
        <v>3915</v>
      </c>
    </row>
    <row r="747" spans="1:5" x14ac:dyDescent="0.25">
      <c r="A747" s="183">
        <v>3429</v>
      </c>
      <c r="B747" s="184" t="s">
        <v>3916</v>
      </c>
      <c r="D747" s="19">
        <v>485991</v>
      </c>
      <c r="E747" s="19" t="s">
        <v>3917</v>
      </c>
    </row>
    <row r="748" spans="1:5" x14ac:dyDescent="0.25">
      <c r="A748" s="183">
        <v>3429</v>
      </c>
      <c r="B748" s="184" t="s">
        <v>3918</v>
      </c>
      <c r="D748" s="19">
        <v>485999</v>
      </c>
      <c r="E748" s="19" t="s">
        <v>3919</v>
      </c>
    </row>
    <row r="749" spans="1:5" x14ac:dyDescent="0.25">
      <c r="A749" s="183">
        <v>3431</v>
      </c>
      <c r="B749" s="184" t="s">
        <v>3920</v>
      </c>
      <c r="D749" s="19">
        <v>486110</v>
      </c>
      <c r="E749" s="19" t="s">
        <v>3921</v>
      </c>
    </row>
    <row r="750" spans="1:5" ht="25.5" x14ac:dyDescent="0.25">
      <c r="A750" s="183">
        <v>3432</v>
      </c>
      <c r="B750" s="184" t="s">
        <v>3922</v>
      </c>
      <c r="D750" s="19">
        <v>486210</v>
      </c>
      <c r="E750" s="19" t="s">
        <v>3923</v>
      </c>
    </row>
    <row r="751" spans="1:5" x14ac:dyDescent="0.25">
      <c r="A751" s="183">
        <v>3432</v>
      </c>
      <c r="B751" s="184" t="s">
        <v>3924</v>
      </c>
      <c r="D751" s="19">
        <v>486910</v>
      </c>
      <c r="E751" s="19" t="s">
        <v>3925</v>
      </c>
    </row>
    <row r="752" spans="1:5" x14ac:dyDescent="0.25">
      <c r="A752" s="183">
        <v>3432</v>
      </c>
      <c r="B752" s="184" t="s">
        <v>3926</v>
      </c>
      <c r="D752" s="19">
        <v>486990</v>
      </c>
      <c r="E752" s="19" t="s">
        <v>3927</v>
      </c>
    </row>
    <row r="753" spans="1:5" x14ac:dyDescent="0.25">
      <c r="A753" s="183">
        <v>3433</v>
      </c>
      <c r="B753" s="184" t="s">
        <v>3928</v>
      </c>
      <c r="D753" s="19">
        <v>487110</v>
      </c>
      <c r="E753" s="19" t="s">
        <v>3929</v>
      </c>
    </row>
    <row r="754" spans="1:5" x14ac:dyDescent="0.25">
      <c r="A754" s="183">
        <v>3441</v>
      </c>
      <c r="B754" s="184" t="s">
        <v>3930</v>
      </c>
      <c r="D754" s="19">
        <v>487210</v>
      </c>
      <c r="E754" s="19" t="s">
        <v>3931</v>
      </c>
    </row>
    <row r="755" spans="1:5" x14ac:dyDescent="0.25">
      <c r="A755" s="183">
        <v>3442</v>
      </c>
      <c r="B755" s="184" t="s">
        <v>3932</v>
      </c>
      <c r="D755" s="19">
        <v>487990</v>
      </c>
      <c r="E755" s="19" t="s">
        <v>3933</v>
      </c>
    </row>
    <row r="756" spans="1:5" x14ac:dyDescent="0.25">
      <c r="A756" s="183">
        <v>3443</v>
      </c>
      <c r="B756" s="184" t="s">
        <v>3934</v>
      </c>
      <c r="D756" s="19">
        <v>488111</v>
      </c>
      <c r="E756" s="19" t="s">
        <v>3935</v>
      </c>
    </row>
    <row r="757" spans="1:5" x14ac:dyDescent="0.25">
      <c r="A757" s="183">
        <v>3443</v>
      </c>
      <c r="B757" s="184" t="s">
        <v>3936</v>
      </c>
      <c r="D757" s="19">
        <v>488119</v>
      </c>
      <c r="E757" s="19" t="s">
        <v>3937</v>
      </c>
    </row>
    <row r="758" spans="1:5" x14ac:dyDescent="0.25">
      <c r="A758" s="183">
        <v>3443</v>
      </c>
      <c r="B758" s="184" t="s">
        <v>3938</v>
      </c>
      <c r="D758" s="19">
        <v>488190</v>
      </c>
      <c r="E758" s="19" t="s">
        <v>3939</v>
      </c>
    </row>
    <row r="759" spans="1:5" x14ac:dyDescent="0.25">
      <c r="A759" s="183">
        <v>3443</v>
      </c>
      <c r="B759" s="184" t="s">
        <v>3940</v>
      </c>
      <c r="D759" s="19">
        <v>488210</v>
      </c>
      <c r="E759" s="19" t="s">
        <v>3941</v>
      </c>
    </row>
    <row r="760" spans="1:5" x14ac:dyDescent="0.25">
      <c r="A760" s="183">
        <v>3444</v>
      </c>
      <c r="B760" s="184" t="s">
        <v>3942</v>
      </c>
      <c r="D760" s="19">
        <v>488310</v>
      </c>
      <c r="E760" s="19" t="s">
        <v>3943</v>
      </c>
    </row>
    <row r="761" spans="1:5" ht="25.5" x14ac:dyDescent="0.25">
      <c r="A761" s="183">
        <v>3444</v>
      </c>
      <c r="B761" s="184" t="s">
        <v>3944</v>
      </c>
      <c r="D761" s="19">
        <v>488320</v>
      </c>
      <c r="E761" s="19" t="s">
        <v>3945</v>
      </c>
    </row>
    <row r="762" spans="1:5" x14ac:dyDescent="0.25">
      <c r="A762" s="183">
        <v>3444</v>
      </c>
      <c r="B762" s="184" t="s">
        <v>3946</v>
      </c>
      <c r="D762" s="19">
        <v>488330</v>
      </c>
      <c r="E762" s="19" t="s">
        <v>3947</v>
      </c>
    </row>
    <row r="763" spans="1:5" x14ac:dyDescent="0.25">
      <c r="A763" s="183">
        <v>3444</v>
      </c>
      <c r="B763" s="184" t="s">
        <v>3948</v>
      </c>
      <c r="D763" s="19">
        <v>488390</v>
      </c>
      <c r="E763" s="19" t="s">
        <v>3949</v>
      </c>
    </row>
    <row r="764" spans="1:5" x14ac:dyDescent="0.25">
      <c r="A764" s="183">
        <v>3446</v>
      </c>
      <c r="B764" s="184" t="s">
        <v>3950</v>
      </c>
      <c r="D764" s="19">
        <v>488410</v>
      </c>
      <c r="E764" s="19" t="s">
        <v>3951</v>
      </c>
    </row>
    <row r="765" spans="1:5" x14ac:dyDescent="0.25">
      <c r="A765" s="183">
        <v>3448</v>
      </c>
      <c r="B765" s="184" t="s">
        <v>3952</v>
      </c>
      <c r="D765" s="19">
        <v>488490</v>
      </c>
      <c r="E765" s="19" t="s">
        <v>3953</v>
      </c>
    </row>
    <row r="766" spans="1:5" x14ac:dyDescent="0.25">
      <c r="A766" s="183">
        <v>3449</v>
      </c>
      <c r="B766" s="184" t="s">
        <v>3954</v>
      </c>
      <c r="D766" s="19">
        <v>488510</v>
      </c>
      <c r="E766" s="19" t="s">
        <v>3955</v>
      </c>
    </row>
    <row r="767" spans="1:5" x14ac:dyDescent="0.25">
      <c r="A767" s="183">
        <v>3449</v>
      </c>
      <c r="B767" s="184" t="s">
        <v>3956</v>
      </c>
      <c r="D767" s="19">
        <v>488991</v>
      </c>
      <c r="E767" s="19" t="s">
        <v>3957</v>
      </c>
    </row>
    <row r="768" spans="1:5" x14ac:dyDescent="0.25">
      <c r="A768" s="183">
        <v>3449</v>
      </c>
      <c r="B768" s="184" t="s">
        <v>3958</v>
      </c>
      <c r="D768" s="19">
        <v>488999</v>
      </c>
      <c r="E768" s="19" t="s">
        <v>3959</v>
      </c>
    </row>
    <row r="769" spans="1:5" x14ac:dyDescent="0.25">
      <c r="A769" s="183">
        <v>3451</v>
      </c>
      <c r="B769" s="184" t="s">
        <v>3960</v>
      </c>
      <c r="D769" s="19">
        <v>491110</v>
      </c>
      <c r="E769" s="19" t="s">
        <v>3961</v>
      </c>
    </row>
    <row r="770" spans="1:5" x14ac:dyDescent="0.25">
      <c r="A770" s="183">
        <v>3452</v>
      </c>
      <c r="B770" s="184" t="s">
        <v>3962</v>
      </c>
      <c r="D770" s="19">
        <v>492110</v>
      </c>
      <c r="E770" s="19" t="s">
        <v>3963</v>
      </c>
    </row>
    <row r="771" spans="1:5" x14ac:dyDescent="0.25">
      <c r="A771" s="183">
        <v>3462</v>
      </c>
      <c r="B771" s="184" t="s">
        <v>3964</v>
      </c>
      <c r="D771" s="19">
        <v>492210</v>
      </c>
      <c r="E771" s="19" t="s">
        <v>3965</v>
      </c>
    </row>
    <row r="772" spans="1:5" x14ac:dyDescent="0.25">
      <c r="A772" s="183">
        <v>3463</v>
      </c>
      <c r="B772" s="184" t="s">
        <v>3966</v>
      </c>
      <c r="D772" s="19">
        <v>493110</v>
      </c>
      <c r="E772" s="19" t="s">
        <v>3967</v>
      </c>
    </row>
    <row r="773" spans="1:5" x14ac:dyDescent="0.25">
      <c r="A773" s="183">
        <v>3465</v>
      </c>
      <c r="B773" s="184" t="s">
        <v>3968</v>
      </c>
      <c r="D773" s="19">
        <v>493120</v>
      </c>
      <c r="E773" s="19" t="s">
        <v>3969</v>
      </c>
    </row>
    <row r="774" spans="1:5" x14ac:dyDescent="0.25">
      <c r="A774" s="183">
        <v>3466</v>
      </c>
      <c r="B774" s="184" t="s">
        <v>3970</v>
      </c>
      <c r="D774" s="19">
        <v>493130</v>
      </c>
      <c r="E774" s="19" t="s">
        <v>3971</v>
      </c>
    </row>
    <row r="775" spans="1:5" ht="25.5" x14ac:dyDescent="0.25">
      <c r="A775" s="183">
        <v>3469</v>
      </c>
      <c r="B775" s="184" t="s">
        <v>3972</v>
      </c>
      <c r="D775" s="19">
        <v>493190</v>
      </c>
      <c r="E775" s="19" t="s">
        <v>3973</v>
      </c>
    </row>
    <row r="776" spans="1:5" x14ac:dyDescent="0.25">
      <c r="A776" s="183">
        <v>3469</v>
      </c>
      <c r="B776" s="184" t="s">
        <v>3974</v>
      </c>
      <c r="D776" s="19">
        <v>511110</v>
      </c>
      <c r="E776" s="19" t="s">
        <v>3975</v>
      </c>
    </row>
    <row r="777" spans="1:5" x14ac:dyDescent="0.25">
      <c r="A777" s="183">
        <v>3469</v>
      </c>
      <c r="B777" s="184" t="s">
        <v>3976</v>
      </c>
      <c r="D777" s="19">
        <v>511120</v>
      </c>
      <c r="E777" s="19" t="s">
        <v>3977</v>
      </c>
    </row>
    <row r="778" spans="1:5" x14ac:dyDescent="0.25">
      <c r="A778" s="183">
        <v>3471</v>
      </c>
      <c r="B778" s="184" t="s">
        <v>3228</v>
      </c>
      <c r="D778" s="19">
        <v>511130</v>
      </c>
      <c r="E778" s="19" t="s">
        <v>3978</v>
      </c>
    </row>
    <row r="779" spans="1:5" ht="25.5" x14ac:dyDescent="0.25">
      <c r="A779" s="183">
        <v>3479</v>
      </c>
      <c r="B779" s="184" t="s">
        <v>3979</v>
      </c>
      <c r="D779" s="19">
        <v>511140</v>
      </c>
      <c r="E779" s="19" t="s">
        <v>3980</v>
      </c>
    </row>
    <row r="780" spans="1:5" x14ac:dyDescent="0.25">
      <c r="A780" s="183">
        <v>3479</v>
      </c>
      <c r="B780" s="184" t="s">
        <v>3981</v>
      </c>
      <c r="D780" s="19">
        <v>511191</v>
      </c>
      <c r="E780" s="19" t="s">
        <v>3982</v>
      </c>
    </row>
    <row r="781" spans="1:5" x14ac:dyDescent="0.25">
      <c r="A781" s="183">
        <v>3479</v>
      </c>
      <c r="B781" s="184" t="s">
        <v>3983</v>
      </c>
      <c r="D781" s="19">
        <v>511199</v>
      </c>
      <c r="E781" s="19" t="s">
        <v>3984</v>
      </c>
    </row>
    <row r="782" spans="1:5" x14ac:dyDescent="0.25">
      <c r="A782" s="183">
        <v>3479</v>
      </c>
      <c r="B782" s="184" t="s">
        <v>3985</v>
      </c>
      <c r="D782" s="19">
        <v>511210</v>
      </c>
      <c r="E782" s="19" t="s">
        <v>3986</v>
      </c>
    </row>
    <row r="783" spans="1:5" x14ac:dyDescent="0.25">
      <c r="A783" s="183">
        <v>3482</v>
      </c>
      <c r="B783" s="184" t="s">
        <v>3987</v>
      </c>
      <c r="D783" s="19">
        <v>512110</v>
      </c>
      <c r="E783" s="19" t="s">
        <v>3988</v>
      </c>
    </row>
    <row r="784" spans="1:5" x14ac:dyDescent="0.25">
      <c r="A784" s="183">
        <v>3483</v>
      </c>
      <c r="B784" s="184" t="s">
        <v>3989</v>
      </c>
      <c r="D784" s="19">
        <v>512120</v>
      </c>
      <c r="E784" s="19" t="s">
        <v>3990</v>
      </c>
    </row>
    <row r="785" spans="1:5" x14ac:dyDescent="0.25">
      <c r="A785" s="183">
        <v>3484</v>
      </c>
      <c r="B785" s="184" t="s">
        <v>3991</v>
      </c>
      <c r="D785" s="19">
        <v>512131</v>
      </c>
      <c r="E785" s="19" t="s">
        <v>3992</v>
      </c>
    </row>
    <row r="786" spans="1:5" x14ac:dyDescent="0.25">
      <c r="A786" s="183">
        <v>3489</v>
      </c>
      <c r="B786" s="184" t="s">
        <v>493</v>
      </c>
      <c r="D786" s="19">
        <v>512132</v>
      </c>
      <c r="E786" s="19" t="s">
        <v>3993</v>
      </c>
    </row>
    <row r="787" spans="1:5" x14ac:dyDescent="0.25">
      <c r="A787" s="183">
        <v>3491</v>
      </c>
      <c r="B787" s="184" t="s">
        <v>3994</v>
      </c>
      <c r="D787" s="19">
        <v>512191</v>
      </c>
      <c r="E787" s="19" t="s">
        <v>3995</v>
      </c>
    </row>
    <row r="788" spans="1:5" x14ac:dyDescent="0.25">
      <c r="A788" s="183">
        <v>3492</v>
      </c>
      <c r="B788" s="184" t="s">
        <v>3996</v>
      </c>
      <c r="D788" s="19">
        <v>512199</v>
      </c>
      <c r="E788" s="19" t="s">
        <v>3997</v>
      </c>
    </row>
    <row r="789" spans="1:5" x14ac:dyDescent="0.25">
      <c r="A789" s="183">
        <v>3493</v>
      </c>
      <c r="B789" s="184" t="s">
        <v>3998</v>
      </c>
      <c r="D789" s="19">
        <v>512230</v>
      </c>
      <c r="E789" s="19" t="s">
        <v>3999</v>
      </c>
    </row>
    <row r="790" spans="1:5" x14ac:dyDescent="0.25">
      <c r="A790" s="183">
        <v>3494</v>
      </c>
      <c r="B790" s="184" t="s">
        <v>4000</v>
      </c>
      <c r="D790" s="19">
        <v>512240</v>
      </c>
      <c r="E790" s="19" t="s">
        <v>4001</v>
      </c>
    </row>
    <row r="791" spans="1:5" x14ac:dyDescent="0.25">
      <c r="A791" s="183">
        <v>3494</v>
      </c>
      <c r="B791" s="184" t="s">
        <v>4002</v>
      </c>
      <c r="D791" s="19">
        <v>512250</v>
      </c>
      <c r="E791" s="19" t="s">
        <v>4003</v>
      </c>
    </row>
    <row r="792" spans="1:5" x14ac:dyDescent="0.25">
      <c r="A792" s="183">
        <v>3495</v>
      </c>
      <c r="B792" s="184" t="s">
        <v>4004</v>
      </c>
      <c r="D792" s="19">
        <v>512290</v>
      </c>
      <c r="E792" s="19" t="s">
        <v>4005</v>
      </c>
    </row>
    <row r="793" spans="1:5" x14ac:dyDescent="0.25">
      <c r="A793" s="183">
        <v>3495</v>
      </c>
      <c r="B793" s="184" t="s">
        <v>4006</v>
      </c>
      <c r="D793" s="19">
        <v>515111</v>
      </c>
      <c r="E793" s="19" t="s">
        <v>4007</v>
      </c>
    </row>
    <row r="794" spans="1:5" x14ac:dyDescent="0.25">
      <c r="A794" s="183">
        <v>3496</v>
      </c>
      <c r="B794" s="184" t="s">
        <v>4008</v>
      </c>
      <c r="D794" s="19">
        <v>515112</v>
      </c>
      <c r="E794" s="19" t="s">
        <v>4009</v>
      </c>
    </row>
    <row r="795" spans="1:5" x14ac:dyDescent="0.25">
      <c r="A795" s="183">
        <v>3496</v>
      </c>
      <c r="B795" s="184" t="s">
        <v>4010</v>
      </c>
      <c r="D795" s="21">
        <v>515120</v>
      </c>
      <c r="E795" s="19" t="s">
        <v>4011</v>
      </c>
    </row>
    <row r="796" spans="1:5" x14ac:dyDescent="0.25">
      <c r="A796" s="183">
        <v>3496</v>
      </c>
      <c r="B796" s="184" t="s">
        <v>4012</v>
      </c>
      <c r="D796" s="21">
        <v>515120</v>
      </c>
      <c r="E796" s="19" t="s">
        <v>4013</v>
      </c>
    </row>
    <row r="797" spans="1:5" x14ac:dyDescent="0.25">
      <c r="A797" s="183">
        <v>3497</v>
      </c>
      <c r="B797" s="184" t="s">
        <v>4014</v>
      </c>
      <c r="D797" s="19">
        <v>515210</v>
      </c>
      <c r="E797" s="19" t="s">
        <v>4015</v>
      </c>
    </row>
    <row r="798" spans="1:5" x14ac:dyDescent="0.25">
      <c r="A798" s="183">
        <v>3497</v>
      </c>
      <c r="B798" s="184" t="s">
        <v>4016</v>
      </c>
      <c r="D798" s="19">
        <v>517311</v>
      </c>
      <c r="E798" s="19" t="s">
        <v>4017</v>
      </c>
    </row>
    <row r="799" spans="1:5" ht="25.5" x14ac:dyDescent="0.25">
      <c r="A799" s="183">
        <v>3498</v>
      </c>
      <c r="B799" s="184" t="s">
        <v>4018</v>
      </c>
      <c r="D799" s="21">
        <v>517312</v>
      </c>
      <c r="E799" s="19" t="s">
        <v>4019</v>
      </c>
    </row>
    <row r="800" spans="1:5" ht="25.5" x14ac:dyDescent="0.25">
      <c r="A800" s="183">
        <v>3499</v>
      </c>
      <c r="B800" s="184" t="s">
        <v>4020</v>
      </c>
      <c r="D800" s="21">
        <v>517312</v>
      </c>
      <c r="E800" s="19" t="s">
        <v>4021</v>
      </c>
    </row>
    <row r="801" spans="1:5" x14ac:dyDescent="0.25">
      <c r="A801" s="183">
        <v>3499</v>
      </c>
      <c r="B801" s="184" t="s">
        <v>4022</v>
      </c>
      <c r="D801" s="19">
        <v>517410</v>
      </c>
      <c r="E801" s="19" t="s">
        <v>4023</v>
      </c>
    </row>
    <row r="802" spans="1:5" ht="25.5" x14ac:dyDescent="0.25">
      <c r="A802" s="183">
        <v>3499</v>
      </c>
      <c r="B802" s="184" t="s">
        <v>4024</v>
      </c>
      <c r="D802" s="21">
        <v>517911</v>
      </c>
      <c r="E802" s="19" t="s">
        <v>4025</v>
      </c>
    </row>
    <row r="803" spans="1:5" x14ac:dyDescent="0.25">
      <c r="A803" s="183">
        <v>3499</v>
      </c>
      <c r="B803" s="184" t="s">
        <v>4026</v>
      </c>
      <c r="D803" s="21">
        <v>517911</v>
      </c>
      <c r="E803" s="19" t="s">
        <v>4027</v>
      </c>
    </row>
    <row r="804" spans="1:5" x14ac:dyDescent="0.25">
      <c r="A804" s="183">
        <v>3499</v>
      </c>
      <c r="B804" s="184" t="s">
        <v>4028</v>
      </c>
      <c r="D804" s="19">
        <v>517919</v>
      </c>
      <c r="E804" s="19" t="s">
        <v>4029</v>
      </c>
    </row>
    <row r="805" spans="1:5" x14ac:dyDescent="0.25">
      <c r="A805" s="183">
        <v>3499</v>
      </c>
      <c r="B805" s="184" t="s">
        <v>4030</v>
      </c>
      <c r="D805" s="19">
        <v>518210</v>
      </c>
      <c r="E805" s="19" t="s">
        <v>4031</v>
      </c>
    </row>
    <row r="806" spans="1:5" x14ac:dyDescent="0.25">
      <c r="A806" s="183">
        <v>3499</v>
      </c>
      <c r="B806" s="184" t="s">
        <v>4032</v>
      </c>
      <c r="D806" s="19">
        <v>519110</v>
      </c>
      <c r="E806" s="19" t="s">
        <v>4033</v>
      </c>
    </row>
    <row r="807" spans="1:5" x14ac:dyDescent="0.25">
      <c r="A807" s="183">
        <v>3511</v>
      </c>
      <c r="B807" s="184" t="s">
        <v>4034</v>
      </c>
      <c r="D807" s="19">
        <v>519120</v>
      </c>
      <c r="E807" s="19" t="s">
        <v>4035</v>
      </c>
    </row>
    <row r="808" spans="1:5" ht="25.5" x14ac:dyDescent="0.25">
      <c r="A808" s="183">
        <v>3519</v>
      </c>
      <c r="B808" s="184" t="s">
        <v>4036</v>
      </c>
      <c r="D808" s="21">
        <v>519130</v>
      </c>
      <c r="E808" s="19" t="s">
        <v>4037</v>
      </c>
    </row>
    <row r="809" spans="1:5" ht="25.5" x14ac:dyDescent="0.25">
      <c r="A809" s="183">
        <v>3519</v>
      </c>
      <c r="B809" s="184" t="s">
        <v>4038</v>
      </c>
      <c r="D809" s="21">
        <v>519130</v>
      </c>
      <c r="E809" s="19" t="s">
        <v>4039</v>
      </c>
    </row>
    <row r="810" spans="1:5" ht="25.5" x14ac:dyDescent="0.25">
      <c r="A810" s="183">
        <v>3523</v>
      </c>
      <c r="B810" s="184" t="s">
        <v>4040</v>
      </c>
      <c r="D810" s="21">
        <v>519130</v>
      </c>
      <c r="E810" s="19" t="s">
        <v>4041</v>
      </c>
    </row>
    <row r="811" spans="1:5" ht="25.5" x14ac:dyDescent="0.25">
      <c r="A811" s="183">
        <v>3523</v>
      </c>
      <c r="B811" s="184" t="s">
        <v>4042</v>
      </c>
      <c r="D811" s="21">
        <v>519130</v>
      </c>
      <c r="E811" s="19" t="s">
        <v>4043</v>
      </c>
    </row>
    <row r="812" spans="1:5" ht="25.5" x14ac:dyDescent="0.25">
      <c r="A812" s="183">
        <v>3523</v>
      </c>
      <c r="B812" s="184" t="s">
        <v>4044</v>
      </c>
      <c r="D812" s="21">
        <v>519130</v>
      </c>
      <c r="E812" s="19" t="s">
        <v>4045</v>
      </c>
    </row>
    <row r="813" spans="1:5" ht="25.5" x14ac:dyDescent="0.25">
      <c r="A813" s="183">
        <v>3523</v>
      </c>
      <c r="B813" s="184" t="s">
        <v>4046</v>
      </c>
      <c r="D813" s="21">
        <v>519130</v>
      </c>
      <c r="E813" s="19" t="s">
        <v>4047</v>
      </c>
    </row>
    <row r="814" spans="1:5" ht="25.5" x14ac:dyDescent="0.25">
      <c r="A814" s="183">
        <v>3524</v>
      </c>
      <c r="B814" s="184" t="s">
        <v>4048</v>
      </c>
      <c r="D814" s="21">
        <v>519130</v>
      </c>
      <c r="E814" s="19" t="s">
        <v>4049</v>
      </c>
    </row>
    <row r="815" spans="1:5" ht="25.5" x14ac:dyDescent="0.25">
      <c r="A815" s="183">
        <v>3524</v>
      </c>
      <c r="B815" s="184" t="s">
        <v>4050</v>
      </c>
      <c r="D815" s="21">
        <v>519130</v>
      </c>
      <c r="E815" s="19" t="s">
        <v>4051</v>
      </c>
    </row>
    <row r="816" spans="1:5" ht="25.5" x14ac:dyDescent="0.25">
      <c r="A816" s="183">
        <v>3531</v>
      </c>
      <c r="B816" s="184" t="s">
        <v>4052</v>
      </c>
      <c r="D816" s="19">
        <v>519190</v>
      </c>
      <c r="E816" s="19" t="s">
        <v>4053</v>
      </c>
    </row>
    <row r="817" spans="1:5" ht="25.5" x14ac:dyDescent="0.25">
      <c r="A817" s="183">
        <v>3531</v>
      </c>
      <c r="B817" s="184" t="s">
        <v>4054</v>
      </c>
      <c r="D817" s="19">
        <v>521110</v>
      </c>
      <c r="E817" s="19" t="s">
        <v>4055</v>
      </c>
    </row>
    <row r="818" spans="1:5" x14ac:dyDescent="0.25">
      <c r="A818" s="183">
        <v>3531</v>
      </c>
      <c r="B818" s="184" t="s">
        <v>4056</v>
      </c>
      <c r="D818" s="19">
        <v>522110</v>
      </c>
      <c r="E818" s="19" t="s">
        <v>4057</v>
      </c>
    </row>
    <row r="819" spans="1:5" x14ac:dyDescent="0.25">
      <c r="A819" s="183">
        <v>3532</v>
      </c>
      <c r="B819" s="184" t="s">
        <v>627</v>
      </c>
      <c r="D819" s="19">
        <v>522120</v>
      </c>
      <c r="E819" s="19" t="s">
        <v>4058</v>
      </c>
    </row>
    <row r="820" spans="1:5" x14ac:dyDescent="0.25">
      <c r="A820" s="183">
        <v>3533</v>
      </c>
      <c r="B820" s="184" t="s">
        <v>4059</v>
      </c>
      <c r="D820" s="19">
        <v>522130</v>
      </c>
      <c r="E820" s="19" t="s">
        <v>4060</v>
      </c>
    </row>
    <row r="821" spans="1:5" x14ac:dyDescent="0.25">
      <c r="A821" s="183">
        <v>3534</v>
      </c>
      <c r="B821" s="184" t="s">
        <v>4061</v>
      </c>
      <c r="D821" s="19">
        <v>522190</v>
      </c>
      <c r="E821" s="19" t="s">
        <v>4062</v>
      </c>
    </row>
    <row r="822" spans="1:5" x14ac:dyDescent="0.25">
      <c r="A822" s="183">
        <v>3535</v>
      </c>
      <c r="B822" s="184" t="s">
        <v>4063</v>
      </c>
      <c r="D822" s="19">
        <v>522210</v>
      </c>
      <c r="E822" s="19" t="s">
        <v>4064</v>
      </c>
    </row>
    <row r="823" spans="1:5" x14ac:dyDescent="0.25">
      <c r="A823" s="183">
        <v>3536</v>
      </c>
      <c r="B823" s="184" t="s">
        <v>4065</v>
      </c>
      <c r="D823" s="19">
        <v>522220</v>
      </c>
      <c r="E823" s="19" t="s">
        <v>4066</v>
      </c>
    </row>
    <row r="824" spans="1:5" x14ac:dyDescent="0.25">
      <c r="A824" s="183">
        <v>3537</v>
      </c>
      <c r="B824" s="184" t="s">
        <v>4067</v>
      </c>
      <c r="D824" s="19">
        <v>522291</v>
      </c>
      <c r="E824" s="19" t="s">
        <v>4068</v>
      </c>
    </row>
    <row r="825" spans="1:5" x14ac:dyDescent="0.25">
      <c r="A825" s="183">
        <v>3537</v>
      </c>
      <c r="B825" s="184" t="s">
        <v>4069</v>
      </c>
      <c r="D825" s="19">
        <v>522292</v>
      </c>
      <c r="E825" s="19" t="s">
        <v>4070</v>
      </c>
    </row>
    <row r="826" spans="1:5" ht="25.5" x14ac:dyDescent="0.25">
      <c r="A826" s="183">
        <v>3537</v>
      </c>
      <c r="B826" s="184" t="s">
        <v>4071</v>
      </c>
      <c r="D826" s="19">
        <v>522293</v>
      </c>
      <c r="E826" s="19" t="s">
        <v>4072</v>
      </c>
    </row>
    <row r="827" spans="1:5" x14ac:dyDescent="0.25">
      <c r="A827" s="183">
        <v>3541</v>
      </c>
      <c r="B827" s="184" t="s">
        <v>4073</v>
      </c>
      <c r="D827" s="19">
        <v>522294</v>
      </c>
      <c r="E827" s="19" t="s">
        <v>4074</v>
      </c>
    </row>
    <row r="828" spans="1:5" x14ac:dyDescent="0.25">
      <c r="A828" s="183">
        <v>3542</v>
      </c>
      <c r="B828" s="184" t="s">
        <v>4075</v>
      </c>
      <c r="D828" s="19">
        <v>522298</v>
      </c>
      <c r="E828" s="19" t="s">
        <v>4076</v>
      </c>
    </row>
    <row r="829" spans="1:5" x14ac:dyDescent="0.25">
      <c r="A829" s="183">
        <v>3543</v>
      </c>
      <c r="B829" s="184" t="s">
        <v>4077</v>
      </c>
      <c r="D829" s="19">
        <v>522310</v>
      </c>
      <c r="E829" s="19" t="s">
        <v>4078</v>
      </c>
    </row>
    <row r="830" spans="1:5" x14ac:dyDescent="0.25">
      <c r="A830" s="183">
        <v>3544</v>
      </c>
      <c r="B830" s="184" t="s">
        <v>4079</v>
      </c>
      <c r="D830" s="19">
        <v>522320</v>
      </c>
      <c r="E830" s="19" t="s">
        <v>4080</v>
      </c>
    </row>
    <row r="831" spans="1:5" x14ac:dyDescent="0.25">
      <c r="A831" s="183">
        <v>3544</v>
      </c>
      <c r="B831" s="184" t="s">
        <v>4081</v>
      </c>
      <c r="D831" s="22">
        <v>522390</v>
      </c>
      <c r="E831" s="19" t="s">
        <v>4082</v>
      </c>
    </row>
    <row r="832" spans="1:5" ht="25.5" x14ac:dyDescent="0.25">
      <c r="A832" s="183">
        <v>3545</v>
      </c>
      <c r="B832" s="184" t="s">
        <v>4083</v>
      </c>
      <c r="D832" s="19">
        <v>523110</v>
      </c>
      <c r="E832" s="19" t="s">
        <v>4084</v>
      </c>
    </row>
    <row r="833" spans="1:5" ht="25.5" x14ac:dyDescent="0.25">
      <c r="A833" s="183">
        <v>3545</v>
      </c>
      <c r="B833" s="184" t="s">
        <v>4085</v>
      </c>
      <c r="D833" s="19">
        <v>523120</v>
      </c>
      <c r="E833" s="19" t="s">
        <v>4086</v>
      </c>
    </row>
    <row r="834" spans="1:5" x14ac:dyDescent="0.25">
      <c r="A834" s="183">
        <v>3546</v>
      </c>
      <c r="B834" s="184" t="s">
        <v>4087</v>
      </c>
      <c r="D834" s="19">
        <v>523130</v>
      </c>
      <c r="E834" s="19" t="s">
        <v>4088</v>
      </c>
    </row>
    <row r="835" spans="1:5" x14ac:dyDescent="0.25">
      <c r="A835" s="183">
        <v>3547</v>
      </c>
      <c r="B835" s="184" t="s">
        <v>4089</v>
      </c>
      <c r="D835" s="19">
        <v>523140</v>
      </c>
      <c r="E835" s="19" t="s">
        <v>4090</v>
      </c>
    </row>
    <row r="836" spans="1:5" x14ac:dyDescent="0.25">
      <c r="A836" s="183">
        <v>3548</v>
      </c>
      <c r="B836" s="184" t="s">
        <v>4091</v>
      </c>
      <c r="D836" s="19">
        <v>523210</v>
      </c>
      <c r="E836" s="19" t="s">
        <v>4092</v>
      </c>
    </row>
    <row r="837" spans="1:5" x14ac:dyDescent="0.25">
      <c r="A837" s="183">
        <v>3548</v>
      </c>
      <c r="B837" s="184" t="s">
        <v>4093</v>
      </c>
      <c r="D837" s="19">
        <v>523910</v>
      </c>
      <c r="E837" s="19" t="s">
        <v>4094</v>
      </c>
    </row>
    <row r="838" spans="1:5" x14ac:dyDescent="0.25">
      <c r="A838" s="183">
        <v>3549</v>
      </c>
      <c r="B838" s="184" t="s">
        <v>4095</v>
      </c>
      <c r="D838" s="19">
        <v>523920</v>
      </c>
      <c r="E838" s="19" t="s">
        <v>4096</v>
      </c>
    </row>
    <row r="839" spans="1:5" x14ac:dyDescent="0.25">
      <c r="A839" s="183">
        <v>3552</v>
      </c>
      <c r="B839" s="184" t="s">
        <v>655</v>
      </c>
      <c r="D839" s="19">
        <v>523930</v>
      </c>
      <c r="E839" s="19" t="s">
        <v>4097</v>
      </c>
    </row>
    <row r="840" spans="1:5" x14ac:dyDescent="0.25">
      <c r="A840" s="183">
        <v>3553</v>
      </c>
      <c r="B840" s="184" t="s">
        <v>4098</v>
      </c>
      <c r="D840" s="19">
        <v>523991</v>
      </c>
      <c r="E840" s="19" t="s">
        <v>4099</v>
      </c>
    </row>
    <row r="841" spans="1:5" x14ac:dyDescent="0.25">
      <c r="A841" s="183">
        <v>3554</v>
      </c>
      <c r="B841" s="184" t="s">
        <v>4100</v>
      </c>
      <c r="D841" s="19">
        <v>523999</v>
      </c>
      <c r="E841" s="19" t="s">
        <v>4101</v>
      </c>
    </row>
    <row r="842" spans="1:5" x14ac:dyDescent="0.25">
      <c r="A842" s="183">
        <v>3555</v>
      </c>
      <c r="B842" s="184" t="s">
        <v>4102</v>
      </c>
      <c r="D842" s="19">
        <v>524113</v>
      </c>
      <c r="E842" s="19" t="s">
        <v>4103</v>
      </c>
    </row>
    <row r="843" spans="1:5" x14ac:dyDescent="0.25">
      <c r="A843" s="183">
        <v>3556</v>
      </c>
      <c r="B843" s="184" t="s">
        <v>4104</v>
      </c>
      <c r="D843" s="19">
        <v>524114</v>
      </c>
      <c r="E843" s="19" t="s">
        <v>4105</v>
      </c>
    </row>
    <row r="844" spans="1:5" x14ac:dyDescent="0.25">
      <c r="A844" s="183">
        <v>3559</v>
      </c>
      <c r="B844" s="184" t="s">
        <v>4106</v>
      </c>
      <c r="D844" s="19">
        <v>524126</v>
      </c>
      <c r="E844" s="19" t="s">
        <v>4107</v>
      </c>
    </row>
    <row r="845" spans="1:5" x14ac:dyDescent="0.25">
      <c r="A845" s="183">
        <v>3559</v>
      </c>
      <c r="B845" s="184" t="s">
        <v>4108</v>
      </c>
      <c r="D845" s="19">
        <v>524127</v>
      </c>
      <c r="E845" s="19" t="s">
        <v>4109</v>
      </c>
    </row>
    <row r="846" spans="1:5" x14ac:dyDescent="0.25">
      <c r="A846" s="183">
        <v>3559</v>
      </c>
      <c r="B846" s="184" t="s">
        <v>4110</v>
      </c>
      <c r="D846" s="19">
        <v>524128</v>
      </c>
      <c r="E846" s="19" t="s">
        <v>4111</v>
      </c>
    </row>
    <row r="847" spans="1:5" x14ac:dyDescent="0.25">
      <c r="A847" s="183">
        <v>3559</v>
      </c>
      <c r="B847" s="184" t="s">
        <v>4112</v>
      </c>
      <c r="D847" s="19">
        <v>524130</v>
      </c>
      <c r="E847" s="19" t="s">
        <v>4113</v>
      </c>
    </row>
    <row r="848" spans="1:5" ht="25.5" x14ac:dyDescent="0.25">
      <c r="A848" s="183">
        <v>3559</v>
      </c>
      <c r="B848" s="184" t="s">
        <v>4114</v>
      </c>
      <c r="D848" s="19">
        <v>524210</v>
      </c>
      <c r="E848" s="19" t="s">
        <v>4115</v>
      </c>
    </row>
    <row r="849" spans="1:5" x14ac:dyDescent="0.25">
      <c r="A849" s="183">
        <v>3559</v>
      </c>
      <c r="B849" s="184" t="s">
        <v>4116</v>
      </c>
      <c r="D849" s="19">
        <v>524291</v>
      </c>
      <c r="E849" s="19" t="s">
        <v>4117</v>
      </c>
    </row>
    <row r="850" spans="1:5" x14ac:dyDescent="0.25">
      <c r="A850" s="183">
        <v>3561</v>
      </c>
      <c r="B850" s="184" t="s">
        <v>4118</v>
      </c>
      <c r="D850" s="19">
        <v>524292</v>
      </c>
      <c r="E850" s="19" t="s">
        <v>4119</v>
      </c>
    </row>
    <row r="851" spans="1:5" x14ac:dyDescent="0.25">
      <c r="A851" s="183">
        <v>3562</v>
      </c>
      <c r="B851" s="184" t="s">
        <v>4120</v>
      </c>
      <c r="D851" s="19">
        <v>524298</v>
      </c>
      <c r="E851" s="19" t="s">
        <v>4121</v>
      </c>
    </row>
    <row r="852" spans="1:5" x14ac:dyDescent="0.25">
      <c r="A852" s="183">
        <v>3563</v>
      </c>
      <c r="B852" s="184" t="s">
        <v>4122</v>
      </c>
      <c r="D852" s="19">
        <v>525110</v>
      </c>
      <c r="E852" s="19" t="s">
        <v>4123</v>
      </c>
    </row>
    <row r="853" spans="1:5" ht="25.5" x14ac:dyDescent="0.25">
      <c r="A853" s="183">
        <v>3564</v>
      </c>
      <c r="B853" s="184" t="s">
        <v>4124</v>
      </c>
      <c r="D853" s="19">
        <v>525120</v>
      </c>
      <c r="E853" s="19" t="s">
        <v>4125</v>
      </c>
    </row>
    <row r="854" spans="1:5" x14ac:dyDescent="0.25">
      <c r="A854" s="183">
        <v>3564</v>
      </c>
      <c r="B854" s="184" t="s">
        <v>4126</v>
      </c>
      <c r="D854" s="19">
        <v>525190</v>
      </c>
      <c r="E854" s="19" t="s">
        <v>4127</v>
      </c>
    </row>
    <row r="855" spans="1:5" x14ac:dyDescent="0.25">
      <c r="A855" s="183">
        <v>3565</v>
      </c>
      <c r="B855" s="184" t="s">
        <v>4128</v>
      </c>
      <c r="D855" s="19">
        <v>525910</v>
      </c>
      <c r="E855" s="19" t="s">
        <v>4129</v>
      </c>
    </row>
    <row r="856" spans="1:5" x14ac:dyDescent="0.25">
      <c r="A856" s="183">
        <v>3566</v>
      </c>
      <c r="B856" s="184" t="s">
        <v>4130</v>
      </c>
      <c r="D856" s="19">
        <v>525920</v>
      </c>
      <c r="E856" s="19" t="s">
        <v>4131</v>
      </c>
    </row>
    <row r="857" spans="1:5" x14ac:dyDescent="0.25">
      <c r="A857" s="183">
        <v>3567</v>
      </c>
      <c r="B857" s="184" t="s">
        <v>4132</v>
      </c>
      <c r="D857" s="19">
        <v>525990</v>
      </c>
      <c r="E857" s="19" t="s">
        <v>4133</v>
      </c>
    </row>
    <row r="858" spans="1:5" x14ac:dyDescent="0.25">
      <c r="A858" s="183">
        <v>3568</v>
      </c>
      <c r="B858" s="184" t="s">
        <v>4134</v>
      </c>
      <c r="D858" s="19">
        <v>531110</v>
      </c>
      <c r="E858" s="19" t="s">
        <v>4135</v>
      </c>
    </row>
    <row r="859" spans="1:5" x14ac:dyDescent="0.25">
      <c r="A859" s="183">
        <v>3569</v>
      </c>
      <c r="B859" s="184" t="s">
        <v>4136</v>
      </c>
      <c r="D859" s="19">
        <v>531120</v>
      </c>
      <c r="E859" s="19" t="s">
        <v>4137</v>
      </c>
    </row>
    <row r="860" spans="1:5" x14ac:dyDescent="0.25">
      <c r="A860" s="183">
        <v>3569</v>
      </c>
      <c r="B860" s="184" t="s">
        <v>4138</v>
      </c>
      <c r="D860" s="19">
        <v>531130</v>
      </c>
      <c r="E860" s="19" t="s">
        <v>4139</v>
      </c>
    </row>
    <row r="861" spans="1:5" ht="25.5" x14ac:dyDescent="0.25">
      <c r="A861" s="183">
        <v>3569</v>
      </c>
      <c r="B861" s="184" t="s">
        <v>4140</v>
      </c>
      <c r="D861" s="19">
        <v>531190</v>
      </c>
      <c r="E861" s="19" t="s">
        <v>4141</v>
      </c>
    </row>
    <row r="862" spans="1:5" x14ac:dyDescent="0.25">
      <c r="A862" s="183">
        <v>3571</v>
      </c>
      <c r="B862" s="184" t="s">
        <v>4142</v>
      </c>
      <c r="D862" s="19">
        <v>531210</v>
      </c>
      <c r="E862" s="19" t="s">
        <v>4143</v>
      </c>
    </row>
    <row r="863" spans="1:5" x14ac:dyDescent="0.25">
      <c r="A863" s="183">
        <v>3572</v>
      </c>
      <c r="B863" s="184" t="s">
        <v>4144</v>
      </c>
      <c r="D863" s="19">
        <v>531311</v>
      </c>
      <c r="E863" s="19" t="s">
        <v>4145</v>
      </c>
    </row>
    <row r="864" spans="1:5" x14ac:dyDescent="0.25">
      <c r="A864" s="183">
        <v>3575</v>
      </c>
      <c r="B864" s="184" t="s">
        <v>4146</v>
      </c>
      <c r="D864" s="19">
        <v>531312</v>
      </c>
      <c r="E864" s="19" t="s">
        <v>4147</v>
      </c>
    </row>
    <row r="865" spans="1:5" ht="25.5" x14ac:dyDescent="0.25">
      <c r="A865" s="183">
        <v>3577</v>
      </c>
      <c r="B865" s="184" t="s">
        <v>4148</v>
      </c>
      <c r="D865" s="19">
        <v>531320</v>
      </c>
      <c r="E865" s="19" t="s">
        <v>4149</v>
      </c>
    </row>
    <row r="866" spans="1:5" x14ac:dyDescent="0.25">
      <c r="A866" s="183">
        <v>3577</v>
      </c>
      <c r="B866" s="184" t="s">
        <v>4150</v>
      </c>
      <c r="D866" s="19">
        <v>531390</v>
      </c>
      <c r="E866" s="19" t="s">
        <v>4151</v>
      </c>
    </row>
    <row r="867" spans="1:5" x14ac:dyDescent="0.25">
      <c r="A867" s="183">
        <v>3577</v>
      </c>
      <c r="B867" s="184" t="s">
        <v>4152</v>
      </c>
      <c r="D867" s="19">
        <v>532111</v>
      </c>
      <c r="E867" s="19" t="s">
        <v>4153</v>
      </c>
    </row>
    <row r="868" spans="1:5" ht="25.5" x14ac:dyDescent="0.25">
      <c r="A868" s="183">
        <v>3578</v>
      </c>
      <c r="B868" s="184" t="s">
        <v>4154</v>
      </c>
      <c r="D868" s="19">
        <v>532112</v>
      </c>
      <c r="E868" s="19" t="s">
        <v>4155</v>
      </c>
    </row>
    <row r="869" spans="1:5" ht="25.5" x14ac:dyDescent="0.25">
      <c r="A869" s="183">
        <v>3578</v>
      </c>
      <c r="B869" s="184" t="s">
        <v>4156</v>
      </c>
      <c r="D869" s="19">
        <v>532120</v>
      </c>
      <c r="E869" s="19" t="s">
        <v>4157</v>
      </c>
    </row>
    <row r="870" spans="1:5" ht="25.5" x14ac:dyDescent="0.25">
      <c r="A870" s="183">
        <v>3578</v>
      </c>
      <c r="B870" s="184" t="s">
        <v>4158</v>
      </c>
      <c r="D870" s="19">
        <v>532210</v>
      </c>
      <c r="E870" s="19" t="s">
        <v>4159</v>
      </c>
    </row>
    <row r="871" spans="1:5" ht="25.5" x14ac:dyDescent="0.25">
      <c r="A871" s="183">
        <v>3579</v>
      </c>
      <c r="B871" s="184" t="s">
        <v>4160</v>
      </c>
      <c r="D871" s="19">
        <v>532281</v>
      </c>
      <c r="E871" s="19" t="s">
        <v>4161</v>
      </c>
    </row>
    <row r="872" spans="1:5" x14ac:dyDescent="0.25">
      <c r="A872" s="183">
        <v>3579</v>
      </c>
      <c r="B872" s="184" t="s">
        <v>4162</v>
      </c>
      <c r="D872" s="19">
        <v>532282</v>
      </c>
      <c r="E872" s="19" t="s">
        <v>4163</v>
      </c>
    </row>
    <row r="873" spans="1:5" x14ac:dyDescent="0.25">
      <c r="A873" s="183">
        <v>3579</v>
      </c>
      <c r="B873" s="184" t="s">
        <v>4164</v>
      </c>
      <c r="D873" s="19">
        <v>532283</v>
      </c>
      <c r="E873" s="19" t="s">
        <v>4165</v>
      </c>
    </row>
    <row r="874" spans="1:5" x14ac:dyDescent="0.25">
      <c r="A874" s="183">
        <v>3581</v>
      </c>
      <c r="B874" s="184" t="s">
        <v>4166</v>
      </c>
      <c r="D874" s="19">
        <v>532284</v>
      </c>
      <c r="E874" s="19" t="s">
        <v>4167</v>
      </c>
    </row>
    <row r="875" spans="1:5" x14ac:dyDescent="0.25">
      <c r="A875" s="183">
        <v>3582</v>
      </c>
      <c r="B875" s="184" t="s">
        <v>4168</v>
      </c>
      <c r="D875" s="19">
        <v>532289</v>
      </c>
      <c r="E875" s="19" t="s">
        <v>4169</v>
      </c>
    </row>
    <row r="876" spans="1:5" ht="25.5" x14ac:dyDescent="0.25">
      <c r="A876" s="183">
        <v>3585</v>
      </c>
      <c r="B876" s="184" t="s">
        <v>300</v>
      </c>
      <c r="D876" s="19">
        <v>532310</v>
      </c>
      <c r="E876" s="19" t="s">
        <v>4170</v>
      </c>
    </row>
    <row r="877" spans="1:5" ht="25.5" x14ac:dyDescent="0.25">
      <c r="A877" s="183">
        <v>3585</v>
      </c>
      <c r="B877" s="184" t="s">
        <v>4171</v>
      </c>
      <c r="D877" s="19">
        <v>532411</v>
      </c>
      <c r="E877" s="19" t="s">
        <v>4172</v>
      </c>
    </row>
    <row r="878" spans="1:5" x14ac:dyDescent="0.25">
      <c r="A878" s="183">
        <v>3586</v>
      </c>
      <c r="B878" s="184" t="s">
        <v>4173</v>
      </c>
      <c r="D878" s="19">
        <v>532412</v>
      </c>
      <c r="E878" s="19" t="s">
        <v>4174</v>
      </c>
    </row>
    <row r="879" spans="1:5" x14ac:dyDescent="0.25">
      <c r="A879" s="183">
        <v>3589</v>
      </c>
      <c r="B879" s="184" t="s">
        <v>4175</v>
      </c>
      <c r="D879" s="19">
        <v>532420</v>
      </c>
      <c r="E879" s="19" t="s">
        <v>4176</v>
      </c>
    </row>
    <row r="880" spans="1:5" x14ac:dyDescent="0.25">
      <c r="A880" s="183">
        <v>3592</v>
      </c>
      <c r="B880" s="184" t="s">
        <v>4177</v>
      </c>
      <c r="D880" s="19">
        <v>532490</v>
      </c>
      <c r="E880" s="19" t="s">
        <v>4178</v>
      </c>
    </row>
    <row r="881" spans="1:5" x14ac:dyDescent="0.25">
      <c r="A881" s="183">
        <v>3593</v>
      </c>
      <c r="B881" s="184" t="s">
        <v>4179</v>
      </c>
      <c r="D881" s="19">
        <v>533110</v>
      </c>
      <c r="E881" s="19" t="s">
        <v>4180</v>
      </c>
    </row>
    <row r="882" spans="1:5" x14ac:dyDescent="0.25">
      <c r="A882" s="183">
        <v>3594</v>
      </c>
      <c r="B882" s="184" t="s">
        <v>4181</v>
      </c>
      <c r="D882" s="19">
        <v>541110</v>
      </c>
      <c r="E882" s="19" t="s">
        <v>4182</v>
      </c>
    </row>
    <row r="883" spans="1:5" x14ac:dyDescent="0.25">
      <c r="A883" s="183">
        <v>3596</v>
      </c>
      <c r="B883" s="184" t="s">
        <v>4183</v>
      </c>
      <c r="D883" s="19">
        <v>541120</v>
      </c>
      <c r="E883" s="19" t="s">
        <v>4184</v>
      </c>
    </row>
    <row r="884" spans="1:5" x14ac:dyDescent="0.25">
      <c r="A884" s="183">
        <v>3599</v>
      </c>
      <c r="B884" s="184" t="s">
        <v>4185</v>
      </c>
      <c r="D884" s="19">
        <v>541191</v>
      </c>
      <c r="E884" s="19" t="s">
        <v>4186</v>
      </c>
    </row>
    <row r="885" spans="1:5" x14ac:dyDescent="0.25">
      <c r="A885" s="183">
        <v>3599</v>
      </c>
      <c r="B885" s="184" t="s">
        <v>4187</v>
      </c>
      <c r="D885" s="19">
        <v>541199</v>
      </c>
      <c r="E885" s="19" t="s">
        <v>4188</v>
      </c>
    </row>
    <row r="886" spans="1:5" x14ac:dyDescent="0.25">
      <c r="A886" s="183">
        <v>3599</v>
      </c>
      <c r="B886" s="184" t="s">
        <v>4189</v>
      </c>
      <c r="D886" s="19">
        <v>541211</v>
      </c>
      <c r="E886" s="19" t="s">
        <v>4190</v>
      </c>
    </row>
    <row r="887" spans="1:5" ht="25.5" x14ac:dyDescent="0.25">
      <c r="A887" s="183">
        <v>3599</v>
      </c>
      <c r="B887" s="184" t="s">
        <v>4191</v>
      </c>
      <c r="D887" s="19">
        <v>541213</v>
      </c>
      <c r="E887" s="19" t="s">
        <v>4192</v>
      </c>
    </row>
    <row r="888" spans="1:5" ht="25.5" x14ac:dyDescent="0.25">
      <c r="A888" s="183">
        <v>3599</v>
      </c>
      <c r="B888" s="184" t="s">
        <v>4193</v>
      </c>
      <c r="D888" s="19">
        <v>541214</v>
      </c>
      <c r="E888" s="19" t="s">
        <v>4194</v>
      </c>
    </row>
    <row r="889" spans="1:5" x14ac:dyDescent="0.25">
      <c r="A889" s="183">
        <v>3599</v>
      </c>
      <c r="B889" s="184" t="s">
        <v>4195</v>
      </c>
      <c r="D889" s="19">
        <v>541219</v>
      </c>
      <c r="E889" s="19" t="s">
        <v>4196</v>
      </c>
    </row>
    <row r="890" spans="1:5" ht="25.5" x14ac:dyDescent="0.25">
      <c r="A890" s="183">
        <v>3599</v>
      </c>
      <c r="B890" s="184" t="s">
        <v>4197</v>
      </c>
      <c r="D890" s="19">
        <v>541310</v>
      </c>
      <c r="E890" s="19" t="s">
        <v>4198</v>
      </c>
    </row>
    <row r="891" spans="1:5" x14ac:dyDescent="0.25">
      <c r="A891" s="183">
        <v>3612</v>
      </c>
      <c r="B891" s="184" t="s">
        <v>4199</v>
      </c>
      <c r="D891" s="19">
        <v>541320</v>
      </c>
      <c r="E891" s="19" t="s">
        <v>4200</v>
      </c>
    </row>
    <row r="892" spans="1:5" x14ac:dyDescent="0.25">
      <c r="A892" s="183">
        <v>3613</v>
      </c>
      <c r="B892" s="184" t="s">
        <v>4201</v>
      </c>
      <c r="D892" s="19">
        <v>541330</v>
      </c>
      <c r="E892" s="19" t="s">
        <v>4202</v>
      </c>
    </row>
    <row r="893" spans="1:5" x14ac:dyDescent="0.25">
      <c r="A893" s="183">
        <v>3621</v>
      </c>
      <c r="B893" s="184" t="s">
        <v>4203</v>
      </c>
      <c r="D893" s="19">
        <v>541340</v>
      </c>
      <c r="E893" s="19" t="s">
        <v>4204</v>
      </c>
    </row>
    <row r="894" spans="1:5" x14ac:dyDescent="0.25">
      <c r="A894" s="183">
        <v>3624</v>
      </c>
      <c r="B894" s="184" t="s">
        <v>4205</v>
      </c>
      <c r="D894" s="19">
        <v>541350</v>
      </c>
      <c r="E894" s="19" t="s">
        <v>4206</v>
      </c>
    </row>
    <row r="895" spans="1:5" x14ac:dyDescent="0.25">
      <c r="A895" s="183">
        <v>3625</v>
      </c>
      <c r="B895" s="184" t="s">
        <v>4207</v>
      </c>
      <c r="D895" s="19">
        <v>541360</v>
      </c>
      <c r="E895" s="19" t="s">
        <v>4208</v>
      </c>
    </row>
    <row r="896" spans="1:5" x14ac:dyDescent="0.25">
      <c r="A896" s="183">
        <v>3629</v>
      </c>
      <c r="B896" s="184" t="s">
        <v>4209</v>
      </c>
      <c r="D896" s="19">
        <v>541370</v>
      </c>
      <c r="E896" s="19" t="s">
        <v>4210</v>
      </c>
    </row>
    <row r="897" spans="1:5" x14ac:dyDescent="0.25">
      <c r="A897" s="183">
        <v>3631</v>
      </c>
      <c r="B897" s="184" t="s">
        <v>4211</v>
      </c>
      <c r="D897" s="19">
        <v>541380</v>
      </c>
      <c r="E897" s="19" t="s">
        <v>4212</v>
      </c>
    </row>
    <row r="898" spans="1:5" x14ac:dyDescent="0.25">
      <c r="A898" s="183">
        <v>3632</v>
      </c>
      <c r="B898" s="184" t="s">
        <v>4213</v>
      </c>
      <c r="D898" s="19">
        <v>541410</v>
      </c>
      <c r="E898" s="19" t="s">
        <v>4214</v>
      </c>
    </row>
    <row r="899" spans="1:5" x14ac:dyDescent="0.25">
      <c r="A899" s="183">
        <v>3633</v>
      </c>
      <c r="B899" s="184" t="s">
        <v>4215</v>
      </c>
      <c r="D899" s="19">
        <v>541420</v>
      </c>
      <c r="E899" s="19" t="s">
        <v>4216</v>
      </c>
    </row>
    <row r="900" spans="1:5" x14ac:dyDescent="0.25">
      <c r="A900" s="183">
        <v>3634</v>
      </c>
      <c r="B900" s="184" t="s">
        <v>4217</v>
      </c>
      <c r="D900" s="19">
        <v>541430</v>
      </c>
      <c r="E900" s="19" t="s">
        <v>4218</v>
      </c>
    </row>
    <row r="901" spans="1:5" ht="25.5" x14ac:dyDescent="0.25">
      <c r="A901" s="183">
        <v>3634</v>
      </c>
      <c r="B901" s="184" t="s">
        <v>4219</v>
      </c>
      <c r="D901" s="19">
        <v>541490</v>
      </c>
      <c r="E901" s="19" t="s">
        <v>4220</v>
      </c>
    </row>
    <row r="902" spans="1:5" x14ac:dyDescent="0.25">
      <c r="A902" s="183">
        <v>3634</v>
      </c>
      <c r="B902" s="184" t="s">
        <v>4221</v>
      </c>
      <c r="D902" s="19">
        <v>541511</v>
      </c>
      <c r="E902" s="19" t="s">
        <v>4222</v>
      </c>
    </row>
    <row r="903" spans="1:5" x14ac:dyDescent="0.25">
      <c r="A903" s="183">
        <v>3635</v>
      </c>
      <c r="B903" s="184" t="s">
        <v>4223</v>
      </c>
      <c r="D903" s="19">
        <v>541512</v>
      </c>
      <c r="E903" s="19" t="s">
        <v>4224</v>
      </c>
    </row>
    <row r="904" spans="1:5" x14ac:dyDescent="0.25">
      <c r="A904" s="183">
        <v>3639</v>
      </c>
      <c r="B904" s="184" t="s">
        <v>4225</v>
      </c>
      <c r="D904" s="19">
        <v>541513</v>
      </c>
      <c r="E904" s="19" t="s">
        <v>4226</v>
      </c>
    </row>
    <row r="905" spans="1:5" x14ac:dyDescent="0.25">
      <c r="A905" s="183">
        <v>3639</v>
      </c>
      <c r="B905" s="184" t="s">
        <v>4227</v>
      </c>
      <c r="D905" s="19">
        <v>541519</v>
      </c>
      <c r="E905" s="19" t="s">
        <v>4228</v>
      </c>
    </row>
    <row r="906" spans="1:5" ht="25.5" x14ac:dyDescent="0.25">
      <c r="A906" s="183">
        <v>3639</v>
      </c>
      <c r="B906" s="184" t="s">
        <v>4229</v>
      </c>
      <c r="D906" s="19">
        <v>541611</v>
      </c>
      <c r="E906" s="19" t="s">
        <v>4230</v>
      </c>
    </row>
    <row r="907" spans="1:5" x14ac:dyDescent="0.25">
      <c r="A907" s="183">
        <v>3641</v>
      </c>
      <c r="B907" s="184" t="s">
        <v>4231</v>
      </c>
      <c r="D907" s="19">
        <v>541612</v>
      </c>
      <c r="E907" s="19" t="s">
        <v>4232</v>
      </c>
    </row>
    <row r="908" spans="1:5" x14ac:dyDescent="0.25">
      <c r="A908" s="183">
        <v>3643</v>
      </c>
      <c r="B908" s="184" t="s">
        <v>4233</v>
      </c>
      <c r="D908" s="19">
        <v>541613</v>
      </c>
      <c r="E908" s="19" t="s">
        <v>4234</v>
      </c>
    </row>
    <row r="909" spans="1:5" x14ac:dyDescent="0.25">
      <c r="A909" s="183">
        <v>3644</v>
      </c>
      <c r="B909" s="184" t="s">
        <v>4235</v>
      </c>
      <c r="D909" s="19">
        <v>541614</v>
      </c>
      <c r="E909" s="19" t="s">
        <v>4236</v>
      </c>
    </row>
    <row r="910" spans="1:5" x14ac:dyDescent="0.25">
      <c r="A910" s="183">
        <v>3644</v>
      </c>
      <c r="B910" s="184" t="s">
        <v>4237</v>
      </c>
      <c r="D910" s="19">
        <v>541618</v>
      </c>
      <c r="E910" s="19" t="s">
        <v>4238</v>
      </c>
    </row>
    <row r="911" spans="1:5" x14ac:dyDescent="0.25">
      <c r="A911" s="183">
        <v>3645</v>
      </c>
      <c r="B911" s="184" t="s">
        <v>4239</v>
      </c>
      <c r="D911" s="19">
        <v>541620</v>
      </c>
      <c r="E911" s="19" t="s">
        <v>4240</v>
      </c>
    </row>
    <row r="912" spans="1:5" x14ac:dyDescent="0.25">
      <c r="A912" s="183">
        <v>3646</v>
      </c>
      <c r="B912" s="184" t="s">
        <v>4241</v>
      </c>
      <c r="D912" s="19">
        <v>541690</v>
      </c>
      <c r="E912" s="19" t="s">
        <v>4242</v>
      </c>
    </row>
    <row r="913" spans="1:5" x14ac:dyDescent="0.25">
      <c r="A913" s="183">
        <v>3647</v>
      </c>
      <c r="B913" s="184" t="s">
        <v>4243</v>
      </c>
      <c r="D913" s="19">
        <v>541713</v>
      </c>
      <c r="E913" s="19" t="s">
        <v>4244</v>
      </c>
    </row>
    <row r="914" spans="1:5" x14ac:dyDescent="0.25">
      <c r="A914" s="183">
        <v>3648</v>
      </c>
      <c r="B914" s="184" t="s">
        <v>4245</v>
      </c>
      <c r="D914" s="19">
        <v>541714</v>
      </c>
      <c r="E914" s="19" t="s">
        <v>4246</v>
      </c>
    </row>
    <row r="915" spans="1:5" ht="25.5" x14ac:dyDescent="0.25">
      <c r="A915" s="183">
        <v>3651</v>
      </c>
      <c r="B915" s="184" t="s">
        <v>4247</v>
      </c>
      <c r="D915" s="19">
        <v>541715</v>
      </c>
      <c r="E915" s="19" t="s">
        <v>4248</v>
      </c>
    </row>
    <row r="916" spans="1:5" ht="25.5" x14ac:dyDescent="0.25">
      <c r="A916" s="183">
        <v>3652</v>
      </c>
      <c r="B916" s="184" t="s">
        <v>4249</v>
      </c>
      <c r="D916" s="19">
        <v>541720</v>
      </c>
      <c r="E916" s="19" t="s">
        <v>4250</v>
      </c>
    </row>
    <row r="917" spans="1:5" ht="25.5" x14ac:dyDescent="0.25">
      <c r="A917" s="183">
        <v>3652</v>
      </c>
      <c r="B917" s="184" t="s">
        <v>4251</v>
      </c>
      <c r="D917" s="19">
        <v>541810</v>
      </c>
      <c r="E917" s="19" t="s">
        <v>4252</v>
      </c>
    </row>
    <row r="918" spans="1:5" x14ac:dyDescent="0.25">
      <c r="A918" s="183">
        <v>3661</v>
      </c>
      <c r="B918" s="184" t="s">
        <v>4253</v>
      </c>
      <c r="D918" s="19">
        <v>541820</v>
      </c>
      <c r="E918" s="19" t="s">
        <v>4254</v>
      </c>
    </row>
    <row r="919" spans="1:5" x14ac:dyDescent="0.25">
      <c r="A919" s="183">
        <v>3661</v>
      </c>
      <c r="B919" s="184" t="s">
        <v>4255</v>
      </c>
      <c r="D919" s="19">
        <v>541830</v>
      </c>
      <c r="E919" s="19" t="s">
        <v>4256</v>
      </c>
    </row>
    <row r="920" spans="1:5" x14ac:dyDescent="0.25">
      <c r="A920" s="183">
        <v>3663</v>
      </c>
      <c r="B920" s="184" t="s">
        <v>4257</v>
      </c>
      <c r="D920" s="19">
        <v>541840</v>
      </c>
      <c r="E920" s="19" t="s">
        <v>4258</v>
      </c>
    </row>
    <row r="921" spans="1:5" x14ac:dyDescent="0.25">
      <c r="A921" s="183">
        <v>3669</v>
      </c>
      <c r="B921" s="184" t="s">
        <v>4259</v>
      </c>
      <c r="D921" s="19">
        <v>541850</v>
      </c>
      <c r="E921" s="19" t="s">
        <v>4260</v>
      </c>
    </row>
    <row r="922" spans="1:5" x14ac:dyDescent="0.25">
      <c r="A922" s="183">
        <v>3671</v>
      </c>
      <c r="B922" s="184" t="s">
        <v>4261</v>
      </c>
      <c r="D922" s="19">
        <v>541860</v>
      </c>
      <c r="E922" s="19" t="s">
        <v>4262</v>
      </c>
    </row>
    <row r="923" spans="1:5" x14ac:dyDescent="0.25">
      <c r="A923" s="183">
        <v>3672</v>
      </c>
      <c r="B923" s="184" t="s">
        <v>4263</v>
      </c>
      <c r="D923" s="19">
        <v>541870</v>
      </c>
      <c r="E923" s="19" t="s">
        <v>4264</v>
      </c>
    </row>
    <row r="924" spans="1:5" x14ac:dyDescent="0.25">
      <c r="A924" s="183">
        <v>3674</v>
      </c>
      <c r="B924" s="184" t="s">
        <v>4265</v>
      </c>
      <c r="D924" s="19">
        <v>541890</v>
      </c>
      <c r="E924" s="19" t="s">
        <v>4266</v>
      </c>
    </row>
    <row r="925" spans="1:5" x14ac:dyDescent="0.25">
      <c r="A925" s="183">
        <v>3675</v>
      </c>
      <c r="B925" s="184" t="s">
        <v>4267</v>
      </c>
      <c r="D925" s="19">
        <v>541910</v>
      </c>
      <c r="E925" s="19" t="s">
        <v>4268</v>
      </c>
    </row>
    <row r="926" spans="1:5" x14ac:dyDescent="0.25">
      <c r="A926" s="183">
        <v>3676</v>
      </c>
      <c r="B926" s="184" t="s">
        <v>4269</v>
      </c>
      <c r="D926" s="19">
        <v>541921</v>
      </c>
      <c r="E926" s="19" t="s">
        <v>4270</v>
      </c>
    </row>
    <row r="927" spans="1:5" x14ac:dyDescent="0.25">
      <c r="A927" s="183">
        <v>3677</v>
      </c>
      <c r="B927" s="184" t="s">
        <v>4271</v>
      </c>
      <c r="D927" s="19">
        <v>541922</v>
      </c>
      <c r="E927" s="19" t="s">
        <v>4272</v>
      </c>
    </row>
    <row r="928" spans="1:5" x14ac:dyDescent="0.25">
      <c r="A928" s="183">
        <v>3678</v>
      </c>
      <c r="B928" s="184" t="s">
        <v>4273</v>
      </c>
      <c r="D928" s="19">
        <v>541930</v>
      </c>
      <c r="E928" s="19" t="s">
        <v>4274</v>
      </c>
    </row>
    <row r="929" spans="1:5" x14ac:dyDescent="0.25">
      <c r="A929" s="183">
        <v>3679</v>
      </c>
      <c r="B929" s="184" t="s">
        <v>4275</v>
      </c>
      <c r="D929" s="19">
        <v>541940</v>
      </c>
      <c r="E929" s="19" t="s">
        <v>4276</v>
      </c>
    </row>
    <row r="930" spans="1:5" x14ac:dyDescent="0.25">
      <c r="A930" s="183">
        <v>3679</v>
      </c>
      <c r="B930" s="184" t="s">
        <v>4277</v>
      </c>
      <c r="D930" s="19">
        <v>541990</v>
      </c>
      <c r="E930" s="19" t="s">
        <v>4278</v>
      </c>
    </row>
    <row r="931" spans="1:5" x14ac:dyDescent="0.25">
      <c r="A931" s="183">
        <v>3679</v>
      </c>
      <c r="B931" s="184" t="s">
        <v>4279</v>
      </c>
      <c r="D931" s="19">
        <v>551111</v>
      </c>
      <c r="E931" s="19" t="s">
        <v>4280</v>
      </c>
    </row>
    <row r="932" spans="1:5" x14ac:dyDescent="0.25">
      <c r="A932" s="183">
        <v>3679</v>
      </c>
      <c r="B932" s="184" t="s">
        <v>4281</v>
      </c>
      <c r="D932" s="19">
        <v>551112</v>
      </c>
      <c r="E932" s="19" t="s">
        <v>4282</v>
      </c>
    </row>
    <row r="933" spans="1:5" x14ac:dyDescent="0.25">
      <c r="A933" s="183">
        <v>3691</v>
      </c>
      <c r="B933" s="184" t="s">
        <v>4283</v>
      </c>
      <c r="D933" s="19">
        <v>551114</v>
      </c>
      <c r="E933" s="19" t="s">
        <v>4284</v>
      </c>
    </row>
    <row r="934" spans="1:5" x14ac:dyDescent="0.25">
      <c r="A934" s="183">
        <v>3692</v>
      </c>
      <c r="B934" s="184" t="s">
        <v>4285</v>
      </c>
      <c r="D934" s="19">
        <v>561110</v>
      </c>
      <c r="E934" s="19" t="s">
        <v>4286</v>
      </c>
    </row>
    <row r="935" spans="1:5" x14ac:dyDescent="0.25">
      <c r="A935" s="183">
        <v>3694</v>
      </c>
      <c r="B935" s="184" t="s">
        <v>4287</v>
      </c>
      <c r="D935" s="19">
        <v>561210</v>
      </c>
      <c r="E935" s="19" t="s">
        <v>4288</v>
      </c>
    </row>
    <row r="936" spans="1:5" x14ac:dyDescent="0.25">
      <c r="A936" s="183">
        <v>3695</v>
      </c>
      <c r="B936" s="184" t="s">
        <v>4289</v>
      </c>
      <c r="D936" s="19">
        <v>561311</v>
      </c>
      <c r="E936" s="19" t="s">
        <v>4290</v>
      </c>
    </row>
    <row r="937" spans="1:5" ht="25.5" x14ac:dyDescent="0.25">
      <c r="A937" s="183">
        <v>3699</v>
      </c>
      <c r="B937" s="184" t="s">
        <v>4291</v>
      </c>
      <c r="D937" s="19">
        <v>561312</v>
      </c>
      <c r="E937" s="19" t="s">
        <v>4292</v>
      </c>
    </row>
    <row r="938" spans="1:5" x14ac:dyDescent="0.25">
      <c r="A938" s="183">
        <v>3699</v>
      </c>
      <c r="B938" s="184" t="s">
        <v>4293</v>
      </c>
      <c r="D938" s="19">
        <v>561320</v>
      </c>
      <c r="E938" s="19" t="s">
        <v>4294</v>
      </c>
    </row>
    <row r="939" spans="1:5" x14ac:dyDescent="0.25">
      <c r="A939" s="183">
        <v>3699</v>
      </c>
      <c r="B939" s="184" t="s">
        <v>4295</v>
      </c>
      <c r="D939" s="19">
        <v>561330</v>
      </c>
      <c r="E939" s="19" t="s">
        <v>4296</v>
      </c>
    </row>
    <row r="940" spans="1:5" ht="25.5" x14ac:dyDescent="0.25">
      <c r="A940" s="183">
        <v>3699</v>
      </c>
      <c r="B940" s="184" t="s">
        <v>4297</v>
      </c>
      <c r="D940" s="19">
        <v>561410</v>
      </c>
      <c r="E940" s="19" t="s">
        <v>4298</v>
      </c>
    </row>
    <row r="941" spans="1:5" x14ac:dyDescent="0.25">
      <c r="A941" s="183">
        <v>3699</v>
      </c>
      <c r="B941" s="184" t="s">
        <v>4299</v>
      </c>
      <c r="D941" s="19">
        <v>561421</v>
      </c>
      <c r="E941" s="19" t="s">
        <v>4300</v>
      </c>
    </row>
    <row r="942" spans="1:5" x14ac:dyDescent="0.25">
      <c r="A942" s="183">
        <v>3711</v>
      </c>
      <c r="B942" s="184" t="s">
        <v>4301</v>
      </c>
      <c r="D942" s="19">
        <v>561422</v>
      </c>
      <c r="E942" s="19" t="s">
        <v>4302</v>
      </c>
    </row>
    <row r="943" spans="1:5" x14ac:dyDescent="0.25">
      <c r="A943" s="183">
        <v>3711</v>
      </c>
      <c r="B943" s="184" t="s">
        <v>4303</v>
      </c>
      <c r="D943" s="19">
        <v>561431</v>
      </c>
      <c r="E943" s="19" t="s">
        <v>4304</v>
      </c>
    </row>
    <row r="944" spans="1:5" x14ac:dyDescent="0.25">
      <c r="A944" s="183">
        <v>3711</v>
      </c>
      <c r="B944" s="184" t="s">
        <v>4305</v>
      </c>
      <c r="D944" s="19">
        <v>561439</v>
      </c>
      <c r="E944" s="19" t="s">
        <v>4306</v>
      </c>
    </row>
    <row r="945" spans="1:5" x14ac:dyDescent="0.25">
      <c r="A945" s="183">
        <v>3711</v>
      </c>
      <c r="B945" s="184" t="s">
        <v>4307</v>
      </c>
      <c r="D945" s="19">
        <v>561440</v>
      </c>
      <c r="E945" s="19" t="s">
        <v>4308</v>
      </c>
    </row>
    <row r="946" spans="1:5" x14ac:dyDescent="0.25">
      <c r="A946" s="183">
        <v>3711</v>
      </c>
      <c r="B946" s="184" t="s">
        <v>4309</v>
      </c>
      <c r="D946" s="19">
        <v>561450</v>
      </c>
      <c r="E946" s="19" t="s">
        <v>4310</v>
      </c>
    </row>
    <row r="947" spans="1:5" x14ac:dyDescent="0.25">
      <c r="A947" s="183">
        <v>3713</v>
      </c>
      <c r="B947" s="184" t="s">
        <v>4311</v>
      </c>
      <c r="D947" s="19">
        <v>561491</v>
      </c>
      <c r="E947" s="19" t="s">
        <v>4312</v>
      </c>
    </row>
    <row r="948" spans="1:5" x14ac:dyDescent="0.25">
      <c r="A948" s="183">
        <v>3714</v>
      </c>
      <c r="B948" s="184" t="s">
        <v>4313</v>
      </c>
      <c r="D948" s="19">
        <v>561492</v>
      </c>
      <c r="E948" s="19" t="s">
        <v>4314</v>
      </c>
    </row>
    <row r="949" spans="1:5" x14ac:dyDescent="0.25">
      <c r="A949" s="183">
        <v>3714</v>
      </c>
      <c r="B949" s="184" t="s">
        <v>4315</v>
      </c>
      <c r="D949" s="19">
        <v>561499</v>
      </c>
      <c r="E949" s="19" t="s">
        <v>4316</v>
      </c>
    </row>
    <row r="950" spans="1:5" ht="51" x14ac:dyDescent="0.25">
      <c r="A950" s="183">
        <v>3714</v>
      </c>
      <c r="B950" s="184" t="s">
        <v>4317</v>
      </c>
      <c r="D950" s="19">
        <v>561510</v>
      </c>
      <c r="E950" s="19" t="s">
        <v>4318</v>
      </c>
    </row>
    <row r="951" spans="1:5" x14ac:dyDescent="0.25">
      <c r="A951" s="183">
        <v>3714</v>
      </c>
      <c r="B951" s="184" t="s">
        <v>4319</v>
      </c>
      <c r="D951" s="19">
        <v>561520</v>
      </c>
      <c r="E951" s="19" t="s">
        <v>4320</v>
      </c>
    </row>
    <row r="952" spans="1:5" x14ac:dyDescent="0.25">
      <c r="A952" s="183">
        <v>3714</v>
      </c>
      <c r="B952" s="184" t="s">
        <v>4321</v>
      </c>
      <c r="D952" s="19">
        <v>561591</v>
      </c>
      <c r="E952" s="19" t="s">
        <v>4322</v>
      </c>
    </row>
    <row r="953" spans="1:5" x14ac:dyDescent="0.25">
      <c r="A953" s="183">
        <v>3714</v>
      </c>
      <c r="B953" s="184" t="s">
        <v>4323</v>
      </c>
      <c r="D953" s="19">
        <v>561599</v>
      </c>
      <c r="E953" s="19" t="s">
        <v>4324</v>
      </c>
    </row>
    <row r="954" spans="1:5" ht="51" x14ac:dyDescent="0.25">
      <c r="A954" s="183">
        <v>3714</v>
      </c>
      <c r="B954" s="184" t="s">
        <v>4325</v>
      </c>
      <c r="D954" s="19">
        <v>561611</v>
      </c>
      <c r="E954" s="19" t="s">
        <v>4326</v>
      </c>
    </row>
    <row r="955" spans="1:5" x14ac:dyDescent="0.25">
      <c r="A955" s="183">
        <v>3715</v>
      </c>
      <c r="B955" s="184" t="s">
        <v>4327</v>
      </c>
      <c r="D955" s="19">
        <v>561612</v>
      </c>
      <c r="E955" s="19" t="s">
        <v>4328</v>
      </c>
    </row>
    <row r="956" spans="1:5" x14ac:dyDescent="0.25">
      <c r="A956" s="183">
        <v>3716</v>
      </c>
      <c r="B956" s="184" t="s">
        <v>4329</v>
      </c>
      <c r="D956" s="19">
        <v>561613</v>
      </c>
      <c r="E956" s="19" t="s">
        <v>4330</v>
      </c>
    </row>
    <row r="957" spans="1:5" x14ac:dyDescent="0.25">
      <c r="A957" s="183">
        <v>3721</v>
      </c>
      <c r="B957" s="184" t="s">
        <v>4331</v>
      </c>
      <c r="D957" s="19">
        <v>561621</v>
      </c>
      <c r="E957" s="19" t="s">
        <v>4332</v>
      </c>
    </row>
    <row r="958" spans="1:5" x14ac:dyDescent="0.25">
      <c r="A958" s="183">
        <v>3721</v>
      </c>
      <c r="B958" s="184" t="s">
        <v>4333</v>
      </c>
      <c r="D958" s="19">
        <v>561622</v>
      </c>
      <c r="E958" s="19" t="s">
        <v>4334</v>
      </c>
    </row>
    <row r="959" spans="1:5" x14ac:dyDescent="0.25">
      <c r="A959" s="183">
        <v>3724</v>
      </c>
      <c r="B959" s="184" t="s">
        <v>488</v>
      </c>
      <c r="D959" s="19">
        <v>561710</v>
      </c>
      <c r="E959" s="19" t="s">
        <v>4335</v>
      </c>
    </row>
    <row r="960" spans="1:5" x14ac:dyDescent="0.25">
      <c r="A960" s="183">
        <v>3724</v>
      </c>
      <c r="B960" s="184" t="s">
        <v>4336</v>
      </c>
      <c r="D960" s="19">
        <v>561720</v>
      </c>
      <c r="E960" s="19" t="s">
        <v>4337</v>
      </c>
    </row>
    <row r="961" spans="1:5" x14ac:dyDescent="0.25">
      <c r="A961" s="183">
        <v>3728</v>
      </c>
      <c r="B961" s="184" t="s">
        <v>4338</v>
      </c>
      <c r="D961" s="19">
        <v>561730</v>
      </c>
      <c r="E961" s="19" t="s">
        <v>4339</v>
      </c>
    </row>
    <row r="962" spans="1:5" x14ac:dyDescent="0.25">
      <c r="A962" s="183">
        <v>3728</v>
      </c>
      <c r="B962" s="184" t="s">
        <v>4340</v>
      </c>
      <c r="D962" s="19">
        <v>561740</v>
      </c>
      <c r="E962" s="19" t="s">
        <v>4341</v>
      </c>
    </row>
    <row r="963" spans="1:5" ht="25.5" x14ac:dyDescent="0.25">
      <c r="A963" s="183">
        <v>3728</v>
      </c>
      <c r="B963" s="184" t="s">
        <v>4342</v>
      </c>
      <c r="D963" s="19">
        <v>561790</v>
      </c>
      <c r="E963" s="19" t="s">
        <v>4343</v>
      </c>
    </row>
    <row r="964" spans="1:5" ht="25.5" x14ac:dyDescent="0.25">
      <c r="A964" s="183">
        <v>3728</v>
      </c>
      <c r="B964" s="184" t="s">
        <v>4344</v>
      </c>
      <c r="D964" s="19">
        <v>561910</v>
      </c>
      <c r="E964" s="19" t="s">
        <v>4345</v>
      </c>
    </row>
    <row r="965" spans="1:5" x14ac:dyDescent="0.25">
      <c r="A965" s="183">
        <v>3731</v>
      </c>
      <c r="B965" s="184" t="s">
        <v>4346</v>
      </c>
      <c r="D965" s="19">
        <v>561920</v>
      </c>
      <c r="E965" s="19" t="s">
        <v>4347</v>
      </c>
    </row>
    <row r="966" spans="1:5" x14ac:dyDescent="0.25">
      <c r="A966" s="183">
        <v>3731</v>
      </c>
      <c r="B966" s="184" t="s">
        <v>4348</v>
      </c>
      <c r="D966" s="19">
        <v>561990</v>
      </c>
      <c r="E966" s="19" t="s">
        <v>4349</v>
      </c>
    </row>
    <row r="967" spans="1:5" x14ac:dyDescent="0.25">
      <c r="A967" s="183">
        <v>3732</v>
      </c>
      <c r="B967" s="184" t="s">
        <v>4350</v>
      </c>
      <c r="D967" s="19">
        <v>562111</v>
      </c>
      <c r="E967" s="19" t="s">
        <v>4351</v>
      </c>
    </row>
    <row r="968" spans="1:5" x14ac:dyDescent="0.25">
      <c r="A968" s="183">
        <v>3732</v>
      </c>
      <c r="B968" s="184" t="s">
        <v>4352</v>
      </c>
      <c r="D968" s="19">
        <v>562112</v>
      </c>
      <c r="E968" s="19" t="s">
        <v>4353</v>
      </c>
    </row>
    <row r="969" spans="1:5" x14ac:dyDescent="0.25">
      <c r="A969" s="183">
        <v>3743</v>
      </c>
      <c r="B969" s="184" t="s">
        <v>4354</v>
      </c>
      <c r="D969" s="19">
        <v>562119</v>
      </c>
      <c r="E969" s="19" t="s">
        <v>4355</v>
      </c>
    </row>
    <row r="970" spans="1:5" x14ac:dyDescent="0.25">
      <c r="A970" s="183">
        <v>3743</v>
      </c>
      <c r="B970" s="184" t="s">
        <v>4356</v>
      </c>
      <c r="D970" s="19">
        <v>562211</v>
      </c>
      <c r="E970" s="19" t="s">
        <v>2409</v>
      </c>
    </row>
    <row r="971" spans="1:5" x14ac:dyDescent="0.25">
      <c r="A971" s="183">
        <v>3751</v>
      </c>
      <c r="B971" s="184" t="s">
        <v>4357</v>
      </c>
      <c r="D971" s="19">
        <v>562212</v>
      </c>
      <c r="E971" s="19" t="s">
        <v>4358</v>
      </c>
    </row>
    <row r="972" spans="1:5" ht="25.5" x14ac:dyDescent="0.25">
      <c r="A972" s="183">
        <v>3761</v>
      </c>
      <c r="B972" s="184" t="s">
        <v>4359</v>
      </c>
      <c r="D972" s="19">
        <v>562213</v>
      </c>
      <c r="E972" s="19" t="s">
        <v>2416</v>
      </c>
    </row>
    <row r="973" spans="1:5" x14ac:dyDescent="0.25">
      <c r="A973" s="183">
        <v>3761</v>
      </c>
      <c r="B973" s="184" t="s">
        <v>4360</v>
      </c>
      <c r="D973" s="19">
        <v>562219</v>
      </c>
      <c r="E973" s="19" t="s">
        <v>4361</v>
      </c>
    </row>
    <row r="974" spans="1:5" ht="25.5" x14ac:dyDescent="0.25">
      <c r="A974" s="183">
        <v>3764</v>
      </c>
      <c r="B974" s="184" t="s">
        <v>4362</v>
      </c>
      <c r="D974" s="19">
        <v>562910</v>
      </c>
      <c r="E974" s="19" t="s">
        <v>4363</v>
      </c>
    </row>
    <row r="975" spans="1:5" ht="25.5" x14ac:dyDescent="0.25">
      <c r="A975" s="183">
        <v>3764</v>
      </c>
      <c r="B975" s="184" t="s">
        <v>4364</v>
      </c>
      <c r="D975" s="19">
        <v>562920</v>
      </c>
      <c r="E975" s="19" t="s">
        <v>4365</v>
      </c>
    </row>
    <row r="976" spans="1:5" ht="25.5" x14ac:dyDescent="0.25">
      <c r="A976" s="183">
        <v>3769</v>
      </c>
      <c r="B976" s="184" t="s">
        <v>4366</v>
      </c>
      <c r="D976" s="19">
        <v>562991</v>
      </c>
      <c r="E976" s="19" t="s">
        <v>4367</v>
      </c>
    </row>
    <row r="977" spans="1:5" ht="25.5" x14ac:dyDescent="0.25">
      <c r="A977" s="183">
        <v>3769</v>
      </c>
      <c r="B977" s="184" t="s">
        <v>4368</v>
      </c>
      <c r="D977" s="19">
        <v>562998</v>
      </c>
      <c r="E977" s="19" t="s">
        <v>4369</v>
      </c>
    </row>
    <row r="978" spans="1:5" x14ac:dyDescent="0.25">
      <c r="A978" s="183">
        <v>3792</v>
      </c>
      <c r="B978" s="184" t="s">
        <v>4370</v>
      </c>
      <c r="D978" s="19">
        <v>611110</v>
      </c>
      <c r="E978" s="19" t="s">
        <v>4371</v>
      </c>
    </row>
    <row r="979" spans="1:5" x14ac:dyDescent="0.25">
      <c r="A979" s="183">
        <v>3795</v>
      </c>
      <c r="B979" s="184" t="s">
        <v>4372</v>
      </c>
      <c r="D979" s="19">
        <v>611210</v>
      </c>
      <c r="E979" s="19" t="s">
        <v>4373</v>
      </c>
    </row>
    <row r="980" spans="1:5" x14ac:dyDescent="0.25">
      <c r="A980" s="183">
        <v>3799</v>
      </c>
      <c r="B980" s="184" t="s">
        <v>4374</v>
      </c>
      <c r="D980" s="19">
        <v>611310</v>
      </c>
      <c r="E980" s="19" t="s">
        <v>4375</v>
      </c>
    </row>
    <row r="981" spans="1:5" x14ac:dyDescent="0.25">
      <c r="A981" s="183">
        <v>3799</v>
      </c>
      <c r="B981" s="184" t="s">
        <v>4376</v>
      </c>
      <c r="D981" s="19">
        <v>611410</v>
      </c>
      <c r="E981" s="19" t="s">
        <v>4377</v>
      </c>
    </row>
    <row r="982" spans="1:5" x14ac:dyDescent="0.25">
      <c r="A982" s="183">
        <v>3799</v>
      </c>
      <c r="B982" s="184" t="s">
        <v>4378</v>
      </c>
      <c r="D982" s="19">
        <v>611420</v>
      </c>
      <c r="E982" s="19" t="s">
        <v>4379</v>
      </c>
    </row>
    <row r="983" spans="1:5" ht="25.5" x14ac:dyDescent="0.25">
      <c r="A983" s="183">
        <v>3799</v>
      </c>
      <c r="B983" s="184" t="s">
        <v>4380</v>
      </c>
      <c r="D983" s="19">
        <v>611430</v>
      </c>
      <c r="E983" s="19" t="s">
        <v>4381</v>
      </c>
    </row>
    <row r="984" spans="1:5" x14ac:dyDescent="0.25">
      <c r="A984" s="183">
        <v>3812</v>
      </c>
      <c r="B984" s="184" t="s">
        <v>4382</v>
      </c>
      <c r="D984" s="19">
        <v>611511</v>
      </c>
      <c r="E984" s="19" t="s">
        <v>4383</v>
      </c>
    </row>
    <row r="985" spans="1:5" x14ac:dyDescent="0.25">
      <c r="A985" s="183">
        <v>3821</v>
      </c>
      <c r="B985" s="184" t="s">
        <v>4384</v>
      </c>
      <c r="D985" s="19">
        <v>611512</v>
      </c>
      <c r="E985" s="19" t="s">
        <v>4385</v>
      </c>
    </row>
    <row r="986" spans="1:5" x14ac:dyDescent="0.25">
      <c r="A986" s="183">
        <v>3822</v>
      </c>
      <c r="B986" s="184" t="s">
        <v>4386</v>
      </c>
      <c r="D986" s="19">
        <v>611513</v>
      </c>
      <c r="E986" s="19" t="s">
        <v>4387</v>
      </c>
    </row>
    <row r="987" spans="1:5" ht="25.5" x14ac:dyDescent="0.25">
      <c r="A987" s="183">
        <v>3823</v>
      </c>
      <c r="B987" s="184" t="s">
        <v>4388</v>
      </c>
      <c r="D987" s="19">
        <v>611519</v>
      </c>
      <c r="E987" s="19" t="s">
        <v>4389</v>
      </c>
    </row>
    <row r="988" spans="1:5" x14ac:dyDescent="0.25">
      <c r="A988" s="183">
        <v>3824</v>
      </c>
      <c r="B988" s="184" t="s">
        <v>4390</v>
      </c>
      <c r="D988" s="19">
        <v>611610</v>
      </c>
      <c r="E988" s="19" t="s">
        <v>4391</v>
      </c>
    </row>
    <row r="989" spans="1:5" ht="25.5" x14ac:dyDescent="0.25">
      <c r="A989" s="183">
        <v>3825</v>
      </c>
      <c r="B989" s="184" t="s">
        <v>4392</v>
      </c>
      <c r="D989" s="19">
        <v>611620</v>
      </c>
      <c r="E989" s="19" t="s">
        <v>4393</v>
      </c>
    </row>
    <row r="990" spans="1:5" ht="25.5" x14ac:dyDescent="0.25">
      <c r="A990" s="183">
        <v>3825</v>
      </c>
      <c r="B990" s="184" t="s">
        <v>4394</v>
      </c>
      <c r="D990" s="19">
        <v>611630</v>
      </c>
      <c r="E990" s="19" t="s">
        <v>4395</v>
      </c>
    </row>
    <row r="991" spans="1:5" x14ac:dyDescent="0.25">
      <c r="A991" s="183">
        <v>3826</v>
      </c>
      <c r="B991" s="184" t="s">
        <v>4396</v>
      </c>
      <c r="D991" s="19">
        <v>611691</v>
      </c>
      <c r="E991" s="19" t="s">
        <v>4397</v>
      </c>
    </row>
    <row r="992" spans="1:5" x14ac:dyDescent="0.25">
      <c r="A992" s="183">
        <v>3827</v>
      </c>
      <c r="B992" s="184" t="s">
        <v>4398</v>
      </c>
      <c r="D992" s="19">
        <v>611692</v>
      </c>
      <c r="E992" s="19" t="s">
        <v>4399</v>
      </c>
    </row>
    <row r="993" spans="1:5" x14ac:dyDescent="0.25">
      <c r="A993" s="183">
        <v>3829</v>
      </c>
      <c r="B993" s="184" t="s">
        <v>4400</v>
      </c>
      <c r="D993" s="19">
        <v>611699</v>
      </c>
      <c r="E993" s="19" t="s">
        <v>4401</v>
      </c>
    </row>
    <row r="994" spans="1:5" x14ac:dyDescent="0.25">
      <c r="A994" s="183">
        <v>3829</v>
      </c>
      <c r="B994" s="184" t="s">
        <v>4402</v>
      </c>
      <c r="D994" s="19">
        <v>611710</v>
      </c>
      <c r="E994" s="19" t="s">
        <v>4403</v>
      </c>
    </row>
    <row r="995" spans="1:5" ht="25.5" x14ac:dyDescent="0.25">
      <c r="A995" s="183">
        <v>3829</v>
      </c>
      <c r="B995" s="184" t="s">
        <v>4404</v>
      </c>
      <c r="D995" s="19">
        <v>621111</v>
      </c>
      <c r="E995" s="19" t="s">
        <v>4405</v>
      </c>
    </row>
    <row r="996" spans="1:5" x14ac:dyDescent="0.25">
      <c r="A996" s="183">
        <v>3829</v>
      </c>
      <c r="B996" s="184" t="s">
        <v>4406</v>
      </c>
      <c r="D996" s="19">
        <v>621112</v>
      </c>
      <c r="E996" s="19" t="s">
        <v>4407</v>
      </c>
    </row>
    <row r="997" spans="1:5" x14ac:dyDescent="0.25">
      <c r="A997" s="183">
        <v>3841</v>
      </c>
      <c r="B997" s="184" t="s">
        <v>4408</v>
      </c>
      <c r="D997" s="19">
        <v>621210</v>
      </c>
      <c r="E997" s="19" t="s">
        <v>4409</v>
      </c>
    </row>
    <row r="998" spans="1:5" x14ac:dyDescent="0.25">
      <c r="A998" s="183">
        <v>3841</v>
      </c>
      <c r="B998" s="184" t="s">
        <v>4410</v>
      </c>
      <c r="D998" s="19">
        <v>621310</v>
      </c>
      <c r="E998" s="19" t="s">
        <v>4411</v>
      </c>
    </row>
    <row r="999" spans="1:5" ht="25.5" x14ac:dyDescent="0.25">
      <c r="A999" s="183">
        <v>3841</v>
      </c>
      <c r="B999" s="184" t="s">
        <v>4412</v>
      </c>
      <c r="D999" s="19">
        <v>621320</v>
      </c>
      <c r="E999" s="19" t="s">
        <v>4413</v>
      </c>
    </row>
    <row r="1000" spans="1:5" x14ac:dyDescent="0.25">
      <c r="A1000" s="183">
        <v>3842</v>
      </c>
      <c r="B1000" s="184" t="s">
        <v>4414</v>
      </c>
      <c r="D1000" s="19">
        <v>621330</v>
      </c>
      <c r="E1000" s="19" t="s">
        <v>4415</v>
      </c>
    </row>
    <row r="1001" spans="1:5" x14ac:dyDescent="0.25">
      <c r="A1001" s="183">
        <v>3842</v>
      </c>
      <c r="B1001" s="184" t="s">
        <v>4416</v>
      </c>
      <c r="D1001" s="19">
        <v>621340</v>
      </c>
      <c r="E1001" s="19" t="s">
        <v>4417</v>
      </c>
    </row>
    <row r="1002" spans="1:5" ht="25.5" x14ac:dyDescent="0.25">
      <c r="A1002" s="183">
        <v>3842</v>
      </c>
      <c r="B1002" s="184" t="s">
        <v>4418</v>
      </c>
      <c r="D1002" s="19">
        <v>621391</v>
      </c>
      <c r="E1002" s="19" t="s">
        <v>4419</v>
      </c>
    </row>
    <row r="1003" spans="1:5" x14ac:dyDescent="0.25">
      <c r="A1003" s="183">
        <v>3842</v>
      </c>
      <c r="B1003" s="184" t="s">
        <v>4420</v>
      </c>
      <c r="D1003" s="19">
        <v>621399</v>
      </c>
      <c r="E1003" s="19" t="s">
        <v>4421</v>
      </c>
    </row>
    <row r="1004" spans="1:5" x14ac:dyDescent="0.25">
      <c r="A1004" s="183">
        <v>3843</v>
      </c>
      <c r="B1004" s="184" t="s">
        <v>4422</v>
      </c>
      <c r="D1004" s="19">
        <v>621410</v>
      </c>
      <c r="E1004" s="19" t="s">
        <v>4423</v>
      </c>
    </row>
    <row r="1005" spans="1:5" x14ac:dyDescent="0.25">
      <c r="A1005" s="183">
        <v>3844</v>
      </c>
      <c r="B1005" s="184" t="s">
        <v>4424</v>
      </c>
      <c r="D1005" s="19">
        <v>621420</v>
      </c>
      <c r="E1005" s="19" t="s">
        <v>4425</v>
      </c>
    </row>
    <row r="1006" spans="1:5" x14ac:dyDescent="0.25">
      <c r="A1006" s="183">
        <v>3845</v>
      </c>
      <c r="B1006" s="184" t="s">
        <v>4426</v>
      </c>
      <c r="D1006" s="19">
        <v>621491</v>
      </c>
      <c r="E1006" s="19" t="s">
        <v>4427</v>
      </c>
    </row>
    <row r="1007" spans="1:5" x14ac:dyDescent="0.25">
      <c r="A1007" s="183">
        <v>3845</v>
      </c>
      <c r="B1007" s="184" t="s">
        <v>4428</v>
      </c>
      <c r="D1007" s="19">
        <v>621492</v>
      </c>
      <c r="E1007" s="19" t="s">
        <v>4429</v>
      </c>
    </row>
    <row r="1008" spans="1:5" x14ac:dyDescent="0.25">
      <c r="A1008" s="183">
        <v>3851</v>
      </c>
      <c r="B1008" s="184" t="s">
        <v>4430</v>
      </c>
      <c r="D1008" s="19">
        <v>621493</v>
      </c>
      <c r="E1008" s="19" t="s">
        <v>4431</v>
      </c>
    </row>
    <row r="1009" spans="1:5" x14ac:dyDescent="0.25">
      <c r="A1009" s="183">
        <v>3851</v>
      </c>
      <c r="B1009" s="184" t="s">
        <v>4432</v>
      </c>
      <c r="D1009" s="19">
        <v>621498</v>
      </c>
      <c r="E1009" s="19" t="s">
        <v>4433</v>
      </c>
    </row>
    <row r="1010" spans="1:5" x14ac:dyDescent="0.25">
      <c r="A1010" s="183">
        <v>3861</v>
      </c>
      <c r="B1010" s="184" t="s">
        <v>452</v>
      </c>
      <c r="D1010" s="19">
        <v>621511</v>
      </c>
      <c r="E1010" s="19" t="s">
        <v>4434</v>
      </c>
    </row>
    <row r="1011" spans="1:5" x14ac:dyDescent="0.25">
      <c r="A1011" s="183">
        <v>3861</v>
      </c>
      <c r="B1011" s="184" t="s">
        <v>4435</v>
      </c>
      <c r="D1011" s="19">
        <v>621512</v>
      </c>
      <c r="E1011" s="19" t="s">
        <v>4436</v>
      </c>
    </row>
    <row r="1012" spans="1:5" x14ac:dyDescent="0.25">
      <c r="A1012" s="183">
        <v>3873</v>
      </c>
      <c r="B1012" s="184" t="s">
        <v>4437</v>
      </c>
      <c r="D1012" s="19">
        <v>621610</v>
      </c>
      <c r="E1012" s="19" t="s">
        <v>4438</v>
      </c>
    </row>
    <row r="1013" spans="1:5" x14ac:dyDescent="0.25">
      <c r="A1013" s="183">
        <v>3911</v>
      </c>
      <c r="B1013" s="184" t="s">
        <v>4439</v>
      </c>
      <c r="D1013" s="19">
        <v>621910</v>
      </c>
      <c r="E1013" s="19" t="s">
        <v>4440</v>
      </c>
    </row>
    <row r="1014" spans="1:5" ht="25.5" x14ac:dyDescent="0.25">
      <c r="A1014" s="183">
        <v>3914</v>
      </c>
      <c r="B1014" s="184" t="s">
        <v>4441</v>
      </c>
      <c r="D1014" s="19">
        <v>621991</v>
      </c>
      <c r="E1014" s="19" t="s">
        <v>4442</v>
      </c>
    </row>
    <row r="1015" spans="1:5" x14ac:dyDescent="0.25">
      <c r="A1015" s="183">
        <v>3914</v>
      </c>
      <c r="B1015" s="184" t="s">
        <v>4443</v>
      </c>
      <c r="D1015" s="19">
        <v>621999</v>
      </c>
      <c r="E1015" s="19" t="s">
        <v>4444</v>
      </c>
    </row>
    <row r="1016" spans="1:5" ht="25.5" x14ac:dyDescent="0.25">
      <c r="A1016" s="183">
        <v>3914</v>
      </c>
      <c r="B1016" s="184" t="s">
        <v>4445</v>
      </c>
      <c r="D1016" s="19">
        <v>622110</v>
      </c>
      <c r="E1016" s="19" t="s">
        <v>4446</v>
      </c>
    </row>
    <row r="1017" spans="1:5" x14ac:dyDescent="0.25">
      <c r="A1017" s="183">
        <v>3915</v>
      </c>
      <c r="B1017" s="184" t="s">
        <v>4447</v>
      </c>
      <c r="D1017" s="19">
        <v>622210</v>
      </c>
      <c r="E1017" s="19" t="s">
        <v>4448</v>
      </c>
    </row>
    <row r="1018" spans="1:5" x14ac:dyDescent="0.25">
      <c r="A1018" s="183">
        <v>3915</v>
      </c>
      <c r="B1018" s="184" t="s">
        <v>4449</v>
      </c>
      <c r="D1018" s="19">
        <v>622310</v>
      </c>
      <c r="E1018" s="19" t="s">
        <v>4450</v>
      </c>
    </row>
    <row r="1019" spans="1:5" x14ac:dyDescent="0.25">
      <c r="A1019" s="183">
        <v>3931</v>
      </c>
      <c r="B1019" s="184" t="s">
        <v>4451</v>
      </c>
      <c r="D1019" s="19">
        <v>623110</v>
      </c>
      <c r="E1019" s="19" t="s">
        <v>4452</v>
      </c>
    </row>
    <row r="1020" spans="1:5" x14ac:dyDescent="0.25">
      <c r="A1020" s="183">
        <v>3942</v>
      </c>
      <c r="B1020" s="184" t="s">
        <v>4453</v>
      </c>
      <c r="D1020" s="19">
        <v>623210</v>
      </c>
      <c r="E1020" s="19" t="s">
        <v>4454</v>
      </c>
    </row>
    <row r="1021" spans="1:5" x14ac:dyDescent="0.25">
      <c r="A1021" s="183">
        <v>3944</v>
      </c>
      <c r="B1021" s="184" t="s">
        <v>4455</v>
      </c>
      <c r="D1021" s="19">
        <v>623220</v>
      </c>
      <c r="E1021" s="19" t="s">
        <v>4456</v>
      </c>
    </row>
    <row r="1022" spans="1:5" x14ac:dyDescent="0.25">
      <c r="A1022" s="183">
        <v>3944</v>
      </c>
      <c r="B1022" s="184" t="s">
        <v>4457</v>
      </c>
      <c r="D1022" s="19">
        <v>623311</v>
      </c>
      <c r="E1022" s="19" t="s">
        <v>4458</v>
      </c>
    </row>
    <row r="1023" spans="1:5" x14ac:dyDescent="0.25">
      <c r="A1023" s="183">
        <v>3949</v>
      </c>
      <c r="B1023" s="184" t="s">
        <v>4459</v>
      </c>
      <c r="D1023" s="19">
        <v>623312</v>
      </c>
      <c r="E1023" s="19" t="s">
        <v>4460</v>
      </c>
    </row>
    <row r="1024" spans="1:5" x14ac:dyDescent="0.25">
      <c r="A1024" s="183">
        <v>3951</v>
      </c>
      <c r="B1024" s="184" t="s">
        <v>4461</v>
      </c>
      <c r="D1024" s="19">
        <v>623990</v>
      </c>
      <c r="E1024" s="19" t="s">
        <v>4462</v>
      </c>
    </row>
    <row r="1025" spans="1:5" x14ac:dyDescent="0.25">
      <c r="A1025" s="183">
        <v>3952</v>
      </c>
      <c r="B1025" s="184" t="s">
        <v>4463</v>
      </c>
      <c r="D1025" s="19">
        <v>624110</v>
      </c>
      <c r="E1025" s="19" t="s">
        <v>4464</v>
      </c>
    </row>
    <row r="1026" spans="1:5" x14ac:dyDescent="0.25">
      <c r="A1026" s="183">
        <v>3952</v>
      </c>
      <c r="B1026" s="184" t="s">
        <v>4465</v>
      </c>
      <c r="D1026" s="19">
        <v>624120</v>
      </c>
      <c r="E1026" s="19" t="s">
        <v>4466</v>
      </c>
    </row>
    <row r="1027" spans="1:5" ht="25.5" x14ac:dyDescent="0.25">
      <c r="A1027" s="183">
        <v>3952</v>
      </c>
      <c r="B1027" s="184" t="s">
        <v>4467</v>
      </c>
      <c r="D1027" s="19">
        <v>624190</v>
      </c>
      <c r="E1027" s="19" t="s">
        <v>4468</v>
      </c>
    </row>
    <row r="1028" spans="1:5" x14ac:dyDescent="0.25">
      <c r="A1028" s="183">
        <v>3953</v>
      </c>
      <c r="B1028" s="184" t="s">
        <v>4469</v>
      </c>
      <c r="D1028" s="19">
        <v>624210</v>
      </c>
      <c r="E1028" s="19" t="s">
        <v>4470</v>
      </c>
    </row>
    <row r="1029" spans="1:5" x14ac:dyDescent="0.25">
      <c r="A1029" s="183">
        <v>3955</v>
      </c>
      <c r="B1029" s="184" t="s">
        <v>4471</v>
      </c>
      <c r="D1029" s="19">
        <v>624221</v>
      </c>
      <c r="E1029" s="19" t="s">
        <v>4472</v>
      </c>
    </row>
    <row r="1030" spans="1:5" x14ac:dyDescent="0.25">
      <c r="A1030" s="183">
        <v>3961</v>
      </c>
      <c r="B1030" s="184" t="s">
        <v>4473</v>
      </c>
      <c r="D1030" s="19">
        <v>624229</v>
      </c>
      <c r="E1030" s="19" t="s">
        <v>4474</v>
      </c>
    </row>
    <row r="1031" spans="1:5" x14ac:dyDescent="0.25">
      <c r="A1031" s="183">
        <v>3961</v>
      </c>
      <c r="B1031" s="184" t="s">
        <v>4475</v>
      </c>
      <c r="D1031" s="19">
        <v>624230</v>
      </c>
      <c r="E1031" s="19" t="s">
        <v>4476</v>
      </c>
    </row>
    <row r="1032" spans="1:5" x14ac:dyDescent="0.25">
      <c r="A1032" s="183">
        <v>3965</v>
      </c>
      <c r="B1032" s="184" t="s">
        <v>4477</v>
      </c>
      <c r="D1032" s="19">
        <v>624310</v>
      </c>
      <c r="E1032" s="19" t="s">
        <v>4478</v>
      </c>
    </row>
    <row r="1033" spans="1:5" x14ac:dyDescent="0.25">
      <c r="A1033" s="183">
        <v>3991</v>
      </c>
      <c r="B1033" s="184" t="s">
        <v>4479</v>
      </c>
      <c r="D1033" s="19">
        <v>624410</v>
      </c>
      <c r="E1033" s="19" t="s">
        <v>4480</v>
      </c>
    </row>
    <row r="1034" spans="1:5" x14ac:dyDescent="0.25">
      <c r="A1034" s="183">
        <v>3993</v>
      </c>
      <c r="B1034" s="184" t="s">
        <v>4481</v>
      </c>
      <c r="D1034" s="19">
        <v>711110</v>
      </c>
      <c r="E1034" s="19" t="s">
        <v>4482</v>
      </c>
    </row>
    <row r="1035" spans="1:5" x14ac:dyDescent="0.25">
      <c r="A1035" s="183">
        <v>3993</v>
      </c>
      <c r="B1035" s="184" t="s">
        <v>4483</v>
      </c>
      <c r="D1035" s="19">
        <v>711120</v>
      </c>
      <c r="E1035" s="19" t="s">
        <v>4484</v>
      </c>
    </row>
    <row r="1036" spans="1:5" x14ac:dyDescent="0.25">
      <c r="A1036" s="183">
        <v>3995</v>
      </c>
      <c r="B1036" s="184" t="s">
        <v>4485</v>
      </c>
      <c r="D1036" s="19">
        <v>711130</v>
      </c>
      <c r="E1036" s="19" t="s">
        <v>4486</v>
      </c>
    </row>
    <row r="1037" spans="1:5" x14ac:dyDescent="0.25">
      <c r="A1037" s="183">
        <v>3996</v>
      </c>
      <c r="B1037" s="184" t="s">
        <v>4487</v>
      </c>
      <c r="D1037" s="19">
        <v>711190</v>
      </c>
      <c r="E1037" s="19" t="s">
        <v>4488</v>
      </c>
    </row>
    <row r="1038" spans="1:5" x14ac:dyDescent="0.25">
      <c r="A1038" s="183">
        <v>3999</v>
      </c>
      <c r="B1038" s="184" t="s">
        <v>4489</v>
      </c>
      <c r="D1038" s="19">
        <v>711211</v>
      </c>
      <c r="E1038" s="19" t="s">
        <v>4490</v>
      </c>
    </row>
    <row r="1039" spans="1:5" x14ac:dyDescent="0.25">
      <c r="A1039" s="183">
        <v>3999</v>
      </c>
      <c r="B1039" s="184" t="s">
        <v>4491</v>
      </c>
      <c r="D1039" s="19">
        <v>711212</v>
      </c>
      <c r="E1039" s="19" t="s">
        <v>4492</v>
      </c>
    </row>
    <row r="1040" spans="1:5" x14ac:dyDescent="0.25">
      <c r="A1040" s="183">
        <v>3999</v>
      </c>
      <c r="B1040" s="184" t="s">
        <v>4493</v>
      </c>
      <c r="D1040" s="19">
        <v>711219</v>
      </c>
      <c r="E1040" s="19" t="s">
        <v>4494</v>
      </c>
    </row>
    <row r="1041" spans="1:5" x14ac:dyDescent="0.25">
      <c r="A1041" s="183">
        <v>3999</v>
      </c>
      <c r="B1041" s="184" t="s">
        <v>4495</v>
      </c>
      <c r="D1041" s="19">
        <v>711310</v>
      </c>
      <c r="E1041" s="19" t="s">
        <v>4496</v>
      </c>
    </row>
    <row r="1042" spans="1:5" x14ac:dyDescent="0.25">
      <c r="A1042" s="183">
        <v>3999</v>
      </c>
      <c r="B1042" s="184" t="s">
        <v>4497</v>
      </c>
      <c r="D1042" s="19">
        <v>711320</v>
      </c>
      <c r="E1042" s="19" t="s">
        <v>4498</v>
      </c>
    </row>
    <row r="1043" spans="1:5" x14ac:dyDescent="0.25">
      <c r="A1043" s="183">
        <v>3999</v>
      </c>
      <c r="B1043" s="184" t="s">
        <v>4499</v>
      </c>
      <c r="D1043" s="19">
        <v>711410</v>
      </c>
      <c r="E1043" s="19" t="s">
        <v>4500</v>
      </c>
    </row>
    <row r="1044" spans="1:5" x14ac:dyDescent="0.25">
      <c r="A1044" s="183">
        <v>3999</v>
      </c>
      <c r="B1044" s="184" t="s">
        <v>4501</v>
      </c>
      <c r="D1044" s="19">
        <v>711510</v>
      </c>
      <c r="E1044" s="19" t="s">
        <v>4502</v>
      </c>
    </row>
    <row r="1045" spans="1:5" ht="25.5" x14ac:dyDescent="0.25">
      <c r="A1045" s="183">
        <v>3999</v>
      </c>
      <c r="B1045" s="184" t="s">
        <v>4503</v>
      </c>
      <c r="D1045" s="19">
        <v>712110</v>
      </c>
      <c r="E1045" s="19" t="s">
        <v>4504</v>
      </c>
    </row>
    <row r="1046" spans="1:5" x14ac:dyDescent="0.25">
      <c r="A1046" s="183">
        <v>3999</v>
      </c>
      <c r="B1046" s="184" t="s">
        <v>4505</v>
      </c>
      <c r="D1046" s="19">
        <v>712120</v>
      </c>
      <c r="E1046" s="19" t="s">
        <v>4506</v>
      </c>
    </row>
    <row r="1047" spans="1:5" x14ac:dyDescent="0.25">
      <c r="A1047" s="183">
        <v>3999</v>
      </c>
      <c r="B1047" s="184" t="s">
        <v>4507</v>
      </c>
      <c r="D1047" s="19">
        <v>712130</v>
      </c>
      <c r="E1047" s="19" t="s">
        <v>4508</v>
      </c>
    </row>
    <row r="1048" spans="1:5" x14ac:dyDescent="0.25">
      <c r="A1048" s="183">
        <v>3999</v>
      </c>
      <c r="B1048" s="184" t="s">
        <v>4509</v>
      </c>
      <c r="D1048" s="19">
        <v>712190</v>
      </c>
      <c r="E1048" s="19" t="s">
        <v>4510</v>
      </c>
    </row>
    <row r="1049" spans="1:5" x14ac:dyDescent="0.25">
      <c r="A1049" s="183">
        <v>3999</v>
      </c>
      <c r="B1049" s="184" t="s">
        <v>4511</v>
      </c>
      <c r="D1049" s="19">
        <v>713110</v>
      </c>
      <c r="E1049" s="19" t="s">
        <v>4512</v>
      </c>
    </row>
    <row r="1050" spans="1:5" x14ac:dyDescent="0.25">
      <c r="A1050" s="183">
        <v>3999</v>
      </c>
      <c r="B1050" s="184" t="s">
        <v>4513</v>
      </c>
      <c r="D1050" s="19">
        <v>713120</v>
      </c>
      <c r="E1050" s="19" t="s">
        <v>4514</v>
      </c>
    </row>
    <row r="1051" spans="1:5" ht="25.5" x14ac:dyDescent="0.25">
      <c r="A1051" s="183">
        <v>3999</v>
      </c>
      <c r="B1051" s="184" t="s">
        <v>4515</v>
      </c>
      <c r="D1051" s="19">
        <v>713210</v>
      </c>
      <c r="E1051" s="19" t="s">
        <v>4516</v>
      </c>
    </row>
    <row r="1052" spans="1:5" x14ac:dyDescent="0.25">
      <c r="A1052" s="183">
        <v>4011</v>
      </c>
      <c r="B1052" s="184" t="s">
        <v>4517</v>
      </c>
      <c r="D1052" s="19">
        <v>713290</v>
      </c>
      <c r="E1052" s="19" t="s">
        <v>4518</v>
      </c>
    </row>
    <row r="1053" spans="1:5" x14ac:dyDescent="0.25">
      <c r="A1053" s="183">
        <v>4013</v>
      </c>
      <c r="B1053" s="184" t="s">
        <v>4519</v>
      </c>
      <c r="D1053" s="19">
        <v>713910</v>
      </c>
      <c r="E1053" s="19" t="s">
        <v>4520</v>
      </c>
    </row>
    <row r="1054" spans="1:5" x14ac:dyDescent="0.25">
      <c r="A1054" s="183">
        <v>4013</v>
      </c>
      <c r="B1054" s="184" t="s">
        <v>4521</v>
      </c>
      <c r="D1054" s="19">
        <v>713920</v>
      </c>
      <c r="E1054" s="19" t="s">
        <v>4522</v>
      </c>
    </row>
    <row r="1055" spans="1:5" x14ac:dyDescent="0.25">
      <c r="A1055" s="183">
        <v>4111</v>
      </c>
      <c r="B1055" s="184" t="s">
        <v>4523</v>
      </c>
      <c r="D1055" s="19">
        <v>713930</v>
      </c>
      <c r="E1055" s="19" t="s">
        <v>4524</v>
      </c>
    </row>
    <row r="1056" spans="1:5" x14ac:dyDescent="0.25">
      <c r="A1056" s="183">
        <v>4111</v>
      </c>
      <c r="B1056" s="184" t="s">
        <v>4525</v>
      </c>
      <c r="D1056" s="19">
        <v>713940</v>
      </c>
      <c r="E1056" s="19" t="s">
        <v>4526</v>
      </c>
    </row>
    <row r="1057" spans="1:5" x14ac:dyDescent="0.25">
      <c r="A1057" s="183">
        <v>4111</v>
      </c>
      <c r="B1057" s="184" t="s">
        <v>4527</v>
      </c>
      <c r="D1057" s="19">
        <v>713950</v>
      </c>
      <c r="E1057" s="19" t="s">
        <v>4528</v>
      </c>
    </row>
    <row r="1058" spans="1:5" ht="25.5" x14ac:dyDescent="0.25">
      <c r="A1058" s="183">
        <v>4111</v>
      </c>
      <c r="B1058" s="184" t="s">
        <v>4529</v>
      </c>
      <c r="D1058" s="19">
        <v>713990</v>
      </c>
      <c r="E1058" s="19" t="s">
        <v>4530</v>
      </c>
    </row>
    <row r="1059" spans="1:5" x14ac:dyDescent="0.25">
      <c r="A1059" s="183">
        <v>4111</v>
      </c>
      <c r="B1059" s="184" t="s">
        <v>4531</v>
      </c>
      <c r="D1059" s="19">
        <v>721110</v>
      </c>
      <c r="E1059" s="19" t="s">
        <v>4532</v>
      </c>
    </row>
    <row r="1060" spans="1:5" ht="25.5" x14ac:dyDescent="0.25">
      <c r="A1060" s="183">
        <v>4119</v>
      </c>
      <c r="B1060" s="184" t="s">
        <v>4533</v>
      </c>
      <c r="D1060" s="19">
        <v>721120</v>
      </c>
      <c r="E1060" s="19" t="s">
        <v>4534</v>
      </c>
    </row>
    <row r="1061" spans="1:5" x14ac:dyDescent="0.25">
      <c r="A1061" s="183">
        <v>4119</v>
      </c>
      <c r="B1061" s="184" t="s">
        <v>4535</v>
      </c>
      <c r="D1061" s="19">
        <v>721191</v>
      </c>
      <c r="E1061" s="19" t="s">
        <v>4536</v>
      </c>
    </row>
    <row r="1062" spans="1:5" x14ac:dyDescent="0.25">
      <c r="A1062" s="183">
        <v>4119</v>
      </c>
      <c r="B1062" s="184" t="s">
        <v>4537</v>
      </c>
      <c r="D1062" s="19">
        <v>721199</v>
      </c>
      <c r="E1062" s="19" t="s">
        <v>4538</v>
      </c>
    </row>
    <row r="1063" spans="1:5" ht="25.5" x14ac:dyDescent="0.25">
      <c r="A1063" s="183">
        <v>4119</v>
      </c>
      <c r="B1063" s="184" t="s">
        <v>4539</v>
      </c>
      <c r="D1063" s="19">
        <v>721211</v>
      </c>
      <c r="E1063" s="19" t="s">
        <v>4540</v>
      </c>
    </row>
    <row r="1064" spans="1:5" ht="25.5" x14ac:dyDescent="0.25">
      <c r="A1064" s="183">
        <v>4119</v>
      </c>
      <c r="B1064" s="184" t="s">
        <v>4541</v>
      </c>
      <c r="D1064" s="19">
        <v>721214</v>
      </c>
      <c r="E1064" s="19" t="s">
        <v>4542</v>
      </c>
    </row>
    <row r="1065" spans="1:5" x14ac:dyDescent="0.25">
      <c r="A1065" s="183">
        <v>4119</v>
      </c>
      <c r="B1065" s="184" t="s">
        <v>4543</v>
      </c>
      <c r="D1065" s="19">
        <v>721310</v>
      </c>
      <c r="E1065" s="19" t="s">
        <v>4544</v>
      </c>
    </row>
    <row r="1066" spans="1:5" x14ac:dyDescent="0.25">
      <c r="A1066" s="183">
        <v>4121</v>
      </c>
      <c r="B1066" s="184" t="s">
        <v>4545</v>
      </c>
      <c r="D1066" s="19">
        <v>722310</v>
      </c>
      <c r="E1066" s="19" t="s">
        <v>4546</v>
      </c>
    </row>
    <row r="1067" spans="1:5" x14ac:dyDescent="0.25">
      <c r="A1067" s="183">
        <v>4131</v>
      </c>
      <c r="B1067" s="184" t="s">
        <v>4547</v>
      </c>
      <c r="D1067" s="19">
        <v>722320</v>
      </c>
      <c r="E1067" s="19" t="s">
        <v>4548</v>
      </c>
    </row>
    <row r="1068" spans="1:5" x14ac:dyDescent="0.25">
      <c r="A1068" s="183">
        <v>4141</v>
      </c>
      <c r="B1068" s="184" t="s">
        <v>4549</v>
      </c>
      <c r="D1068" s="19">
        <v>722330</v>
      </c>
      <c r="E1068" s="19" t="s">
        <v>4550</v>
      </c>
    </row>
    <row r="1069" spans="1:5" x14ac:dyDescent="0.25">
      <c r="A1069" s="183">
        <v>4142</v>
      </c>
      <c r="B1069" s="184" t="s">
        <v>4551</v>
      </c>
      <c r="D1069" s="19">
        <v>722410</v>
      </c>
      <c r="E1069" s="19" t="s">
        <v>4552</v>
      </c>
    </row>
    <row r="1070" spans="1:5" x14ac:dyDescent="0.25">
      <c r="A1070" s="183">
        <v>4151</v>
      </c>
      <c r="B1070" s="184" t="s">
        <v>4553</v>
      </c>
      <c r="D1070" s="19">
        <v>722511</v>
      </c>
      <c r="E1070" s="19" t="s">
        <v>4554</v>
      </c>
    </row>
    <row r="1071" spans="1:5" x14ac:dyDescent="0.25">
      <c r="A1071" s="183">
        <v>4173</v>
      </c>
      <c r="B1071" s="184" t="s">
        <v>4555</v>
      </c>
      <c r="D1071" s="19">
        <v>722513</v>
      </c>
      <c r="E1071" s="19" t="s">
        <v>4556</v>
      </c>
    </row>
    <row r="1072" spans="1:5" x14ac:dyDescent="0.25">
      <c r="A1072" s="183">
        <v>4212</v>
      </c>
      <c r="B1072" s="184" t="s">
        <v>4557</v>
      </c>
      <c r="D1072" s="19">
        <v>722514</v>
      </c>
      <c r="E1072" s="19" t="s">
        <v>4558</v>
      </c>
    </row>
    <row r="1073" spans="1:5" x14ac:dyDescent="0.25">
      <c r="A1073" s="183">
        <v>4212</v>
      </c>
      <c r="B1073" s="184" t="s">
        <v>4559</v>
      </c>
      <c r="D1073" s="19">
        <v>722515</v>
      </c>
      <c r="E1073" s="19" t="s">
        <v>4560</v>
      </c>
    </row>
    <row r="1074" spans="1:5" x14ac:dyDescent="0.25">
      <c r="A1074" s="183">
        <v>4212</v>
      </c>
      <c r="B1074" s="184" t="s">
        <v>4561</v>
      </c>
      <c r="D1074" s="19">
        <v>811111</v>
      </c>
      <c r="E1074" s="19" t="s">
        <v>4562</v>
      </c>
    </row>
    <row r="1075" spans="1:5" x14ac:dyDescent="0.25">
      <c r="A1075" s="183">
        <v>4212</v>
      </c>
      <c r="B1075" s="184" t="s">
        <v>4563</v>
      </c>
      <c r="D1075" s="19">
        <v>811112</v>
      </c>
      <c r="E1075" s="19" t="s">
        <v>4564</v>
      </c>
    </row>
    <row r="1076" spans="1:5" x14ac:dyDescent="0.25">
      <c r="A1076" s="183">
        <v>4212</v>
      </c>
      <c r="B1076" s="184" t="s">
        <v>4565</v>
      </c>
      <c r="D1076" s="19">
        <v>811113</v>
      </c>
      <c r="E1076" s="19" t="s">
        <v>4566</v>
      </c>
    </row>
    <row r="1077" spans="1:5" x14ac:dyDescent="0.25">
      <c r="A1077" s="183">
        <v>4212</v>
      </c>
      <c r="B1077" s="184" t="s">
        <v>4567</v>
      </c>
      <c r="D1077" s="19">
        <v>811118</v>
      </c>
      <c r="E1077" s="19" t="s">
        <v>4568</v>
      </c>
    </row>
    <row r="1078" spans="1:5" x14ac:dyDescent="0.25">
      <c r="A1078" s="183">
        <v>4213</v>
      </c>
      <c r="B1078" s="184" t="s">
        <v>382</v>
      </c>
      <c r="D1078" s="19">
        <v>811121</v>
      </c>
      <c r="E1078" s="19" t="s">
        <v>4569</v>
      </c>
    </row>
    <row r="1079" spans="1:5" x14ac:dyDescent="0.25">
      <c r="A1079" s="183">
        <v>4213</v>
      </c>
      <c r="B1079" s="184" t="s">
        <v>4570</v>
      </c>
      <c r="D1079" s="19">
        <v>811122</v>
      </c>
      <c r="E1079" s="19" t="s">
        <v>4571</v>
      </c>
    </row>
    <row r="1080" spans="1:5" x14ac:dyDescent="0.25">
      <c r="A1080" s="183">
        <v>4213</v>
      </c>
      <c r="B1080" s="184" t="s">
        <v>4572</v>
      </c>
      <c r="D1080" s="19">
        <v>811191</v>
      </c>
      <c r="E1080" s="19" t="s">
        <v>4573</v>
      </c>
    </row>
    <row r="1081" spans="1:5" x14ac:dyDescent="0.25">
      <c r="A1081" s="183">
        <v>4213</v>
      </c>
      <c r="B1081" s="184" t="s">
        <v>4574</v>
      </c>
      <c r="D1081" s="19">
        <v>811192</v>
      </c>
      <c r="E1081" s="19" t="s">
        <v>4575</v>
      </c>
    </row>
    <row r="1082" spans="1:5" x14ac:dyDescent="0.25">
      <c r="A1082" s="183">
        <v>4214</v>
      </c>
      <c r="B1082" s="184" t="s">
        <v>4576</v>
      </c>
      <c r="D1082" s="19">
        <v>811198</v>
      </c>
      <c r="E1082" s="19" t="s">
        <v>4577</v>
      </c>
    </row>
    <row r="1083" spans="1:5" x14ac:dyDescent="0.25">
      <c r="A1083" s="183">
        <v>4214</v>
      </c>
      <c r="B1083" s="184" t="s">
        <v>4578</v>
      </c>
      <c r="D1083" s="19">
        <v>811211</v>
      </c>
      <c r="E1083" s="19" t="s">
        <v>4579</v>
      </c>
    </row>
    <row r="1084" spans="1:5" x14ac:dyDescent="0.25">
      <c r="A1084" s="183">
        <v>4214</v>
      </c>
      <c r="B1084" s="184" t="s">
        <v>4580</v>
      </c>
      <c r="D1084" s="19">
        <v>811212</v>
      </c>
      <c r="E1084" s="19" t="s">
        <v>4581</v>
      </c>
    </row>
    <row r="1085" spans="1:5" x14ac:dyDescent="0.25">
      <c r="A1085" s="183">
        <v>4215</v>
      </c>
      <c r="B1085" s="184" t="s">
        <v>4582</v>
      </c>
      <c r="D1085" s="19">
        <v>811213</v>
      </c>
      <c r="E1085" s="19" t="s">
        <v>4583</v>
      </c>
    </row>
    <row r="1086" spans="1:5" x14ac:dyDescent="0.25">
      <c r="A1086" s="183">
        <v>4215</v>
      </c>
      <c r="B1086" s="184" t="s">
        <v>4584</v>
      </c>
      <c r="D1086" s="19">
        <v>811219</v>
      </c>
      <c r="E1086" s="19" t="s">
        <v>4585</v>
      </c>
    </row>
    <row r="1087" spans="1:5" ht="25.5" x14ac:dyDescent="0.25">
      <c r="A1087" s="183">
        <v>4221</v>
      </c>
      <c r="B1087" s="184" t="s">
        <v>3971</v>
      </c>
      <c r="D1087" s="19">
        <v>811310</v>
      </c>
      <c r="E1087" s="19" t="s">
        <v>4586</v>
      </c>
    </row>
    <row r="1088" spans="1:5" x14ac:dyDescent="0.25">
      <c r="A1088" s="183">
        <v>4222</v>
      </c>
      <c r="B1088" s="184" t="s">
        <v>3969</v>
      </c>
      <c r="D1088" s="19">
        <v>811411</v>
      </c>
      <c r="E1088" s="19" t="s">
        <v>4587</v>
      </c>
    </row>
    <row r="1089" spans="1:5" x14ac:dyDescent="0.25">
      <c r="A1089" s="183">
        <v>4225</v>
      </c>
      <c r="B1089" s="184" t="s">
        <v>4588</v>
      </c>
      <c r="D1089" s="19">
        <v>811412</v>
      </c>
      <c r="E1089" s="19" t="s">
        <v>4589</v>
      </c>
    </row>
    <row r="1090" spans="1:5" x14ac:dyDescent="0.25">
      <c r="A1090" s="183">
        <v>4225</v>
      </c>
      <c r="B1090" s="184" t="s">
        <v>4590</v>
      </c>
      <c r="D1090" s="19">
        <v>811420</v>
      </c>
      <c r="E1090" s="19" t="s">
        <v>4591</v>
      </c>
    </row>
    <row r="1091" spans="1:5" x14ac:dyDescent="0.25">
      <c r="A1091" s="183">
        <v>4226</v>
      </c>
      <c r="B1091" s="184" t="s">
        <v>503</v>
      </c>
      <c r="D1091" s="19">
        <v>811430</v>
      </c>
      <c r="E1091" s="19" t="s">
        <v>4592</v>
      </c>
    </row>
    <row r="1092" spans="1:5" x14ac:dyDescent="0.25">
      <c r="A1092" s="183">
        <v>4226</v>
      </c>
      <c r="B1092" s="184" t="s">
        <v>4593</v>
      </c>
      <c r="D1092" s="19">
        <v>811490</v>
      </c>
      <c r="E1092" s="19" t="s">
        <v>4594</v>
      </c>
    </row>
    <row r="1093" spans="1:5" ht="25.5" x14ac:dyDescent="0.25">
      <c r="A1093" s="183">
        <v>4226</v>
      </c>
      <c r="B1093" s="184" t="s">
        <v>4595</v>
      </c>
      <c r="D1093" s="19">
        <v>812111</v>
      </c>
      <c r="E1093" s="19" t="s">
        <v>4596</v>
      </c>
    </row>
    <row r="1094" spans="1:5" x14ac:dyDescent="0.25">
      <c r="A1094" s="183">
        <v>4231</v>
      </c>
      <c r="B1094" s="184" t="s">
        <v>4597</v>
      </c>
      <c r="D1094" s="19">
        <v>812112</v>
      </c>
      <c r="E1094" s="19" t="s">
        <v>4598</v>
      </c>
    </row>
    <row r="1095" spans="1:5" x14ac:dyDescent="0.25">
      <c r="A1095" s="183">
        <v>4311</v>
      </c>
      <c r="B1095" s="184" t="s">
        <v>4599</v>
      </c>
      <c r="D1095" s="19">
        <v>812113</v>
      </c>
      <c r="E1095" s="19" t="s">
        <v>4600</v>
      </c>
    </row>
    <row r="1096" spans="1:5" x14ac:dyDescent="0.25">
      <c r="A1096" s="183">
        <v>4412</v>
      </c>
      <c r="B1096" s="184" t="s">
        <v>4601</v>
      </c>
      <c r="D1096" s="19">
        <v>812191</v>
      </c>
      <c r="E1096" s="19" t="s">
        <v>4602</v>
      </c>
    </row>
    <row r="1097" spans="1:5" x14ac:dyDescent="0.25">
      <c r="A1097" s="183">
        <v>4424</v>
      </c>
      <c r="B1097" s="184" t="s">
        <v>4603</v>
      </c>
      <c r="D1097" s="19">
        <v>812199</v>
      </c>
      <c r="E1097" s="19" t="s">
        <v>4604</v>
      </c>
    </row>
    <row r="1098" spans="1:5" x14ac:dyDescent="0.25">
      <c r="A1098" s="183">
        <v>4432</v>
      </c>
      <c r="B1098" s="184" t="s">
        <v>4605</v>
      </c>
      <c r="D1098" s="19">
        <v>812210</v>
      </c>
      <c r="E1098" s="19" t="s">
        <v>4606</v>
      </c>
    </row>
    <row r="1099" spans="1:5" x14ac:dyDescent="0.25">
      <c r="A1099" s="183">
        <v>4449</v>
      </c>
      <c r="B1099" s="184" t="s">
        <v>4607</v>
      </c>
      <c r="D1099" s="19">
        <v>812220</v>
      </c>
      <c r="E1099" s="19" t="s">
        <v>4608</v>
      </c>
    </row>
    <row r="1100" spans="1:5" x14ac:dyDescent="0.25">
      <c r="A1100" s="183">
        <v>4481</v>
      </c>
      <c r="B1100" s="184" t="s">
        <v>4609</v>
      </c>
      <c r="D1100" s="19">
        <v>812310</v>
      </c>
      <c r="E1100" s="19" t="s">
        <v>4610</v>
      </c>
    </row>
    <row r="1101" spans="1:5" x14ac:dyDescent="0.25">
      <c r="A1101" s="183">
        <v>4481</v>
      </c>
      <c r="B1101" s="184" t="s">
        <v>4611</v>
      </c>
      <c r="D1101" s="19">
        <v>812320</v>
      </c>
      <c r="E1101" s="19" t="s">
        <v>4612</v>
      </c>
    </row>
    <row r="1102" spans="1:5" x14ac:dyDescent="0.25">
      <c r="A1102" s="183">
        <v>4482</v>
      </c>
      <c r="B1102" s="184" t="s">
        <v>4613</v>
      </c>
      <c r="D1102" s="19">
        <v>812331</v>
      </c>
      <c r="E1102" s="19" t="s">
        <v>4614</v>
      </c>
    </row>
    <row r="1103" spans="1:5" x14ac:dyDescent="0.25">
      <c r="A1103" s="183">
        <v>4482</v>
      </c>
      <c r="B1103" s="184" t="s">
        <v>4615</v>
      </c>
      <c r="D1103" s="19">
        <v>812332</v>
      </c>
      <c r="E1103" s="19" t="s">
        <v>4616</v>
      </c>
    </row>
    <row r="1104" spans="1:5" x14ac:dyDescent="0.25">
      <c r="A1104" s="183">
        <v>4489</v>
      </c>
      <c r="B1104" s="184" t="s">
        <v>4617</v>
      </c>
      <c r="D1104" s="19">
        <v>812910</v>
      </c>
      <c r="E1104" s="19" t="s">
        <v>4618</v>
      </c>
    </row>
    <row r="1105" spans="1:5" x14ac:dyDescent="0.25">
      <c r="A1105" s="183">
        <v>4489</v>
      </c>
      <c r="B1105" s="184" t="s">
        <v>4619</v>
      </c>
      <c r="D1105" s="19">
        <v>812921</v>
      </c>
      <c r="E1105" s="19" t="s">
        <v>4620</v>
      </c>
    </row>
    <row r="1106" spans="1:5" x14ac:dyDescent="0.25">
      <c r="A1106" s="183">
        <v>4491</v>
      </c>
      <c r="B1106" s="184" t="s">
        <v>379</v>
      </c>
      <c r="D1106" s="19">
        <v>812922</v>
      </c>
      <c r="E1106" s="19" t="s">
        <v>4621</v>
      </c>
    </row>
    <row r="1107" spans="1:5" x14ac:dyDescent="0.25">
      <c r="A1107" s="183">
        <v>4491</v>
      </c>
      <c r="B1107" s="184" t="s">
        <v>4622</v>
      </c>
      <c r="D1107" s="19">
        <v>812930</v>
      </c>
      <c r="E1107" s="19" t="s">
        <v>4623</v>
      </c>
    </row>
    <row r="1108" spans="1:5" x14ac:dyDescent="0.25">
      <c r="A1108" s="183">
        <v>4492</v>
      </c>
      <c r="B1108" s="184" t="s">
        <v>554</v>
      </c>
      <c r="D1108" s="19">
        <v>812990</v>
      </c>
      <c r="E1108" s="19" t="s">
        <v>4624</v>
      </c>
    </row>
    <row r="1109" spans="1:5" x14ac:dyDescent="0.25">
      <c r="A1109" s="183">
        <v>4493</v>
      </c>
      <c r="B1109" s="184" t="s">
        <v>4524</v>
      </c>
      <c r="D1109" s="19">
        <v>813110</v>
      </c>
      <c r="E1109" s="19" t="s">
        <v>4625</v>
      </c>
    </row>
    <row r="1110" spans="1:5" x14ac:dyDescent="0.25">
      <c r="A1110" s="183">
        <v>4499</v>
      </c>
      <c r="B1110" s="184" t="s">
        <v>4626</v>
      </c>
      <c r="D1110" s="19">
        <v>813211</v>
      </c>
      <c r="E1110" s="19" t="s">
        <v>4627</v>
      </c>
    </row>
    <row r="1111" spans="1:5" x14ac:dyDescent="0.25">
      <c r="A1111" s="183">
        <v>4499</v>
      </c>
      <c r="B1111" s="184" t="s">
        <v>4628</v>
      </c>
      <c r="D1111" s="19">
        <v>813212</v>
      </c>
      <c r="E1111" s="19" t="s">
        <v>4629</v>
      </c>
    </row>
    <row r="1112" spans="1:5" x14ac:dyDescent="0.25">
      <c r="A1112" s="183">
        <v>4499</v>
      </c>
      <c r="B1112" s="184" t="s">
        <v>4630</v>
      </c>
      <c r="D1112" s="19">
        <v>813219</v>
      </c>
      <c r="E1112" s="19" t="s">
        <v>4631</v>
      </c>
    </row>
    <row r="1113" spans="1:5" ht="38.25" x14ac:dyDescent="0.25">
      <c r="A1113" s="183">
        <v>4499</v>
      </c>
      <c r="B1113" s="184" t="s">
        <v>4632</v>
      </c>
      <c r="D1113" s="19">
        <v>813311</v>
      </c>
      <c r="E1113" s="19" t="s">
        <v>4633</v>
      </c>
    </row>
    <row r="1114" spans="1:5" x14ac:dyDescent="0.25">
      <c r="A1114" s="183">
        <v>4499</v>
      </c>
      <c r="B1114" s="184" t="s">
        <v>4634</v>
      </c>
      <c r="D1114" s="19">
        <v>813312</v>
      </c>
      <c r="E1114" s="19" t="s">
        <v>4635</v>
      </c>
    </row>
    <row r="1115" spans="1:5" x14ac:dyDescent="0.25">
      <c r="A1115" s="183">
        <v>4499</v>
      </c>
      <c r="B1115" s="184" t="s">
        <v>4636</v>
      </c>
      <c r="D1115" s="19">
        <v>813319</v>
      </c>
      <c r="E1115" s="19" t="s">
        <v>4637</v>
      </c>
    </row>
    <row r="1116" spans="1:5" x14ac:dyDescent="0.25">
      <c r="A1116" s="183">
        <v>4512</v>
      </c>
      <c r="B1116" s="184" t="s">
        <v>4638</v>
      </c>
      <c r="D1116" s="19">
        <v>813410</v>
      </c>
      <c r="E1116" s="19" t="s">
        <v>4639</v>
      </c>
    </row>
    <row r="1117" spans="1:5" x14ac:dyDescent="0.25">
      <c r="A1117" s="183">
        <v>4512</v>
      </c>
      <c r="B1117" s="184" t="s">
        <v>4640</v>
      </c>
      <c r="D1117" s="19">
        <v>813910</v>
      </c>
      <c r="E1117" s="19" t="s">
        <v>4641</v>
      </c>
    </row>
    <row r="1118" spans="1:5" x14ac:dyDescent="0.25">
      <c r="A1118" s="183">
        <v>4513</v>
      </c>
      <c r="B1118" s="184" t="s">
        <v>4642</v>
      </c>
      <c r="D1118" s="19">
        <v>813920</v>
      </c>
      <c r="E1118" s="19" t="s">
        <v>4643</v>
      </c>
    </row>
    <row r="1119" spans="1:5" x14ac:dyDescent="0.25">
      <c r="A1119" s="183">
        <v>4522</v>
      </c>
      <c r="B1119" s="184" t="s">
        <v>4644</v>
      </c>
      <c r="D1119" s="19">
        <v>813930</v>
      </c>
      <c r="E1119" s="19" t="s">
        <v>4645</v>
      </c>
    </row>
    <row r="1120" spans="1:5" x14ac:dyDescent="0.25">
      <c r="A1120" s="183">
        <v>4522</v>
      </c>
      <c r="B1120" s="184" t="s">
        <v>4646</v>
      </c>
      <c r="D1120" s="19">
        <v>813940</v>
      </c>
      <c r="E1120" s="19" t="s">
        <v>4647</v>
      </c>
    </row>
    <row r="1121" spans="1:5" ht="25.5" x14ac:dyDescent="0.25">
      <c r="A1121" s="183">
        <v>4522</v>
      </c>
      <c r="B1121" s="184" t="s">
        <v>4648</v>
      </c>
      <c r="D1121" s="19">
        <v>813990</v>
      </c>
      <c r="E1121" s="19" t="s">
        <v>4649</v>
      </c>
    </row>
    <row r="1122" spans="1:5" x14ac:dyDescent="0.25">
      <c r="A1122" s="183">
        <v>4522</v>
      </c>
      <c r="B1122" s="184" t="s">
        <v>4650</v>
      </c>
      <c r="D1122" s="19">
        <v>814110</v>
      </c>
      <c r="E1122" s="19" t="s">
        <v>4651</v>
      </c>
    </row>
    <row r="1123" spans="1:5" x14ac:dyDescent="0.25">
      <c r="A1123" s="183">
        <v>4522</v>
      </c>
      <c r="B1123" s="184" t="s">
        <v>4652</v>
      </c>
      <c r="D1123" s="19">
        <v>921110</v>
      </c>
      <c r="E1123" s="19" t="s">
        <v>4653</v>
      </c>
    </row>
    <row r="1124" spans="1:5" x14ac:dyDescent="0.25">
      <c r="A1124" s="183">
        <v>4581</v>
      </c>
      <c r="B1124" s="184" t="s">
        <v>4654</v>
      </c>
      <c r="D1124" s="19">
        <v>921120</v>
      </c>
      <c r="E1124" s="19" t="s">
        <v>4655</v>
      </c>
    </row>
    <row r="1125" spans="1:5" ht="25.5" x14ac:dyDescent="0.25">
      <c r="A1125" s="183">
        <v>4581</v>
      </c>
      <c r="B1125" s="184" t="s">
        <v>4656</v>
      </c>
      <c r="D1125" s="19">
        <v>921130</v>
      </c>
      <c r="E1125" s="19" t="s">
        <v>4657</v>
      </c>
    </row>
    <row r="1126" spans="1:5" x14ac:dyDescent="0.25">
      <c r="A1126" s="183">
        <v>4581</v>
      </c>
      <c r="B1126" s="184" t="s">
        <v>4658</v>
      </c>
      <c r="D1126" s="19">
        <v>921140</v>
      </c>
      <c r="E1126" s="19" t="s">
        <v>4659</v>
      </c>
    </row>
    <row r="1127" spans="1:5" x14ac:dyDescent="0.25">
      <c r="A1127" s="183">
        <v>4581</v>
      </c>
      <c r="B1127" s="184" t="s">
        <v>4660</v>
      </c>
      <c r="D1127" s="19">
        <v>921150</v>
      </c>
      <c r="E1127" s="19" t="s">
        <v>4661</v>
      </c>
    </row>
    <row r="1128" spans="1:5" x14ac:dyDescent="0.25">
      <c r="A1128" s="183">
        <v>4581</v>
      </c>
      <c r="B1128" s="184" t="s">
        <v>4662</v>
      </c>
      <c r="D1128" s="19">
        <v>921190</v>
      </c>
      <c r="E1128" s="19" t="s">
        <v>4663</v>
      </c>
    </row>
    <row r="1129" spans="1:5" x14ac:dyDescent="0.25">
      <c r="A1129" s="183">
        <v>4612</v>
      </c>
      <c r="B1129" s="184" t="s">
        <v>4664</v>
      </c>
      <c r="D1129" s="19">
        <v>922110</v>
      </c>
      <c r="E1129" s="19" t="s">
        <v>4665</v>
      </c>
    </row>
    <row r="1130" spans="1:5" x14ac:dyDescent="0.25">
      <c r="A1130" s="183">
        <v>4613</v>
      </c>
      <c r="B1130" s="184" t="s">
        <v>432</v>
      </c>
      <c r="D1130" s="19">
        <v>922120</v>
      </c>
      <c r="E1130" s="19" t="s">
        <v>4666</v>
      </c>
    </row>
    <row r="1131" spans="1:5" x14ac:dyDescent="0.25">
      <c r="A1131" s="183">
        <v>4619</v>
      </c>
      <c r="B1131" s="184" t="s">
        <v>4667</v>
      </c>
      <c r="D1131" s="19">
        <v>922130</v>
      </c>
      <c r="E1131" s="19" t="s">
        <v>4668</v>
      </c>
    </row>
    <row r="1132" spans="1:5" x14ac:dyDescent="0.25">
      <c r="A1132" s="183">
        <v>4724</v>
      </c>
      <c r="B1132" s="184" t="s">
        <v>4318</v>
      </c>
      <c r="D1132" s="19">
        <v>922140</v>
      </c>
      <c r="E1132" s="19" t="s">
        <v>4669</v>
      </c>
    </row>
    <row r="1133" spans="1:5" x14ac:dyDescent="0.25">
      <c r="A1133" s="183">
        <v>4725</v>
      </c>
      <c r="B1133" s="184" t="s">
        <v>4320</v>
      </c>
      <c r="D1133" s="19">
        <v>922150</v>
      </c>
      <c r="E1133" s="19" t="s">
        <v>4670</v>
      </c>
    </row>
    <row r="1134" spans="1:5" x14ac:dyDescent="0.25">
      <c r="A1134" s="183">
        <v>4729</v>
      </c>
      <c r="B1134" s="184" t="s">
        <v>4671</v>
      </c>
      <c r="D1134" s="19">
        <v>922160</v>
      </c>
      <c r="E1134" s="19" t="s">
        <v>4672</v>
      </c>
    </row>
    <row r="1135" spans="1:5" x14ac:dyDescent="0.25">
      <c r="A1135" s="183">
        <v>4729</v>
      </c>
      <c r="B1135" s="184" t="s">
        <v>4673</v>
      </c>
      <c r="D1135" s="19">
        <v>922190</v>
      </c>
      <c r="E1135" s="19" t="s">
        <v>4674</v>
      </c>
    </row>
    <row r="1136" spans="1:5" ht="25.5" x14ac:dyDescent="0.25">
      <c r="A1136" s="183">
        <v>4731</v>
      </c>
      <c r="B1136" s="184" t="s">
        <v>4675</v>
      </c>
      <c r="D1136" s="19">
        <v>923110</v>
      </c>
      <c r="E1136" s="19" t="s">
        <v>4676</v>
      </c>
    </row>
    <row r="1137" spans="1:5" x14ac:dyDescent="0.25">
      <c r="A1137" s="183">
        <v>4731</v>
      </c>
      <c r="B1137" s="184" t="s">
        <v>4677</v>
      </c>
      <c r="D1137" s="19">
        <v>923120</v>
      </c>
      <c r="E1137" s="19" t="s">
        <v>4678</v>
      </c>
    </row>
    <row r="1138" spans="1:5" ht="38.25" x14ac:dyDescent="0.25">
      <c r="A1138" s="183">
        <v>4741</v>
      </c>
      <c r="B1138" s="184" t="s">
        <v>4679</v>
      </c>
      <c r="D1138" s="19">
        <v>923130</v>
      </c>
      <c r="E1138" s="19" t="s">
        <v>4680</v>
      </c>
    </row>
    <row r="1139" spans="1:5" x14ac:dyDescent="0.25">
      <c r="A1139" s="183">
        <v>4741</v>
      </c>
      <c r="B1139" s="184" t="s">
        <v>4681</v>
      </c>
      <c r="D1139" s="19">
        <v>923140</v>
      </c>
      <c r="E1139" s="19" t="s">
        <v>4682</v>
      </c>
    </row>
    <row r="1140" spans="1:5" x14ac:dyDescent="0.25">
      <c r="A1140" s="183">
        <v>4783</v>
      </c>
      <c r="B1140" s="184" t="s">
        <v>3957</v>
      </c>
      <c r="D1140" s="19">
        <v>924110</v>
      </c>
      <c r="E1140" s="19" t="s">
        <v>4683</v>
      </c>
    </row>
    <row r="1141" spans="1:5" ht="25.5" x14ac:dyDescent="0.25">
      <c r="A1141" s="183">
        <v>4785</v>
      </c>
      <c r="B1141" s="184" t="s">
        <v>4684</v>
      </c>
      <c r="D1141" s="19">
        <v>924120</v>
      </c>
      <c r="E1141" s="19" t="s">
        <v>4685</v>
      </c>
    </row>
    <row r="1142" spans="1:5" ht="25.5" x14ac:dyDescent="0.25">
      <c r="A1142" s="183">
        <v>4785</v>
      </c>
      <c r="B1142" s="184" t="s">
        <v>4686</v>
      </c>
      <c r="D1142" s="19">
        <v>925110</v>
      </c>
      <c r="E1142" s="19" t="s">
        <v>4687</v>
      </c>
    </row>
    <row r="1143" spans="1:5" x14ac:dyDescent="0.25">
      <c r="A1143" s="183">
        <v>4789</v>
      </c>
      <c r="B1143" s="184" t="s">
        <v>4688</v>
      </c>
      <c r="D1143" s="19">
        <v>925120</v>
      </c>
      <c r="E1143" s="19" t="s">
        <v>4689</v>
      </c>
    </row>
    <row r="1144" spans="1:5" ht="25.5" x14ac:dyDescent="0.25">
      <c r="A1144" s="183">
        <v>4789</v>
      </c>
      <c r="B1144" s="184" t="s">
        <v>4690</v>
      </c>
      <c r="D1144" s="19">
        <v>926110</v>
      </c>
      <c r="E1144" s="19" t="s">
        <v>4691</v>
      </c>
    </row>
    <row r="1145" spans="1:5" x14ac:dyDescent="0.25">
      <c r="A1145" s="183">
        <v>4789</v>
      </c>
      <c r="B1145" s="184" t="s">
        <v>4692</v>
      </c>
      <c r="D1145" s="19">
        <v>926120</v>
      </c>
      <c r="E1145" s="19" t="s">
        <v>4693</v>
      </c>
    </row>
    <row r="1146" spans="1:5" ht="25.5" x14ac:dyDescent="0.25">
      <c r="A1146" s="183">
        <v>4789</v>
      </c>
      <c r="B1146" s="184" t="s">
        <v>4694</v>
      </c>
      <c r="D1146" s="19">
        <v>926130</v>
      </c>
      <c r="E1146" s="19" t="s">
        <v>4695</v>
      </c>
    </row>
    <row r="1147" spans="1:5" x14ac:dyDescent="0.25">
      <c r="A1147" s="183">
        <v>4812</v>
      </c>
      <c r="B1147" s="184" t="s">
        <v>4696</v>
      </c>
      <c r="D1147" s="19">
        <v>926140</v>
      </c>
      <c r="E1147" s="19" t="s">
        <v>4697</v>
      </c>
    </row>
    <row r="1148" spans="1:5" x14ac:dyDescent="0.25">
      <c r="A1148" s="183">
        <v>4812</v>
      </c>
      <c r="B1148" s="184" t="s">
        <v>4698</v>
      </c>
      <c r="D1148" s="19">
        <v>926150</v>
      </c>
      <c r="E1148" s="19" t="s">
        <v>4699</v>
      </c>
    </row>
    <row r="1149" spans="1:5" x14ac:dyDescent="0.25">
      <c r="A1149" s="183">
        <v>4812</v>
      </c>
      <c r="B1149" s="184" t="s">
        <v>4700</v>
      </c>
      <c r="D1149" s="19">
        <v>927110</v>
      </c>
      <c r="E1149" s="19" t="s">
        <v>4701</v>
      </c>
    </row>
    <row r="1150" spans="1:5" x14ac:dyDescent="0.25">
      <c r="A1150" s="183">
        <v>4813</v>
      </c>
      <c r="B1150" s="184" t="s">
        <v>4702</v>
      </c>
      <c r="D1150" s="19">
        <v>928110</v>
      </c>
      <c r="E1150" s="19" t="s">
        <v>4703</v>
      </c>
    </row>
    <row r="1151" spans="1:5" x14ac:dyDescent="0.25">
      <c r="A1151" s="183">
        <v>4813</v>
      </c>
      <c r="B1151" s="184" t="s">
        <v>4704</v>
      </c>
      <c r="D1151" s="19">
        <v>928120</v>
      </c>
      <c r="E1151" s="19" t="s">
        <v>4705</v>
      </c>
    </row>
    <row r="1152" spans="1:5" x14ac:dyDescent="0.25">
      <c r="A1152" s="183">
        <v>4822</v>
      </c>
      <c r="B1152" s="184" t="s">
        <v>4706</v>
      </c>
      <c r="D1152" s="19"/>
      <c r="E1152" s="19"/>
    </row>
    <row r="1153" spans="1:2" x14ac:dyDescent="0.25">
      <c r="A1153" s="183">
        <v>4832</v>
      </c>
      <c r="B1153" s="184" t="s">
        <v>4707</v>
      </c>
    </row>
    <row r="1154" spans="1:2" x14ac:dyDescent="0.25">
      <c r="A1154" s="183">
        <v>4832</v>
      </c>
      <c r="B1154" s="184" t="s">
        <v>4708</v>
      </c>
    </row>
    <row r="1155" spans="1:2" x14ac:dyDescent="0.25">
      <c r="A1155" s="183">
        <v>4833</v>
      </c>
      <c r="B1155" s="184" t="s">
        <v>4709</v>
      </c>
    </row>
    <row r="1156" spans="1:2" x14ac:dyDescent="0.25">
      <c r="A1156" s="183">
        <v>4841</v>
      </c>
      <c r="B1156" s="184" t="s">
        <v>4710</v>
      </c>
    </row>
    <row r="1157" spans="1:2" x14ac:dyDescent="0.25">
      <c r="A1157" s="183">
        <v>4841</v>
      </c>
      <c r="B1157" s="184" t="s">
        <v>4711</v>
      </c>
    </row>
    <row r="1158" spans="1:2" x14ac:dyDescent="0.25">
      <c r="A1158" s="183">
        <v>4899</v>
      </c>
      <c r="B1158" s="184" t="s">
        <v>4712</v>
      </c>
    </row>
    <row r="1159" spans="1:2" x14ac:dyDescent="0.25">
      <c r="A1159" s="183">
        <v>4899</v>
      </c>
      <c r="B1159" s="184" t="s">
        <v>4713</v>
      </c>
    </row>
    <row r="1160" spans="1:2" x14ac:dyDescent="0.25">
      <c r="A1160" s="183">
        <v>4899</v>
      </c>
      <c r="B1160" s="184" t="s">
        <v>4714</v>
      </c>
    </row>
    <row r="1161" spans="1:2" ht="25.5" x14ac:dyDescent="0.25">
      <c r="A1161" s="183">
        <v>4899</v>
      </c>
      <c r="B1161" s="184" t="s">
        <v>4715</v>
      </c>
    </row>
    <row r="1162" spans="1:2" x14ac:dyDescent="0.25">
      <c r="A1162" s="183">
        <v>4899</v>
      </c>
      <c r="B1162" s="184" t="s">
        <v>4716</v>
      </c>
    </row>
    <row r="1163" spans="1:2" x14ac:dyDescent="0.25">
      <c r="A1163" s="183">
        <v>4911</v>
      </c>
      <c r="B1163" s="184" t="s">
        <v>4717</v>
      </c>
    </row>
    <row r="1164" spans="1:2" x14ac:dyDescent="0.25">
      <c r="A1164" s="183">
        <v>4911</v>
      </c>
      <c r="B1164" s="184" t="s">
        <v>4718</v>
      </c>
    </row>
    <row r="1165" spans="1:2" x14ac:dyDescent="0.25">
      <c r="A1165" s="183">
        <v>4911</v>
      </c>
      <c r="B1165" s="184" t="s">
        <v>4719</v>
      </c>
    </row>
    <row r="1166" spans="1:2" x14ac:dyDescent="0.25">
      <c r="A1166" s="183">
        <v>4911</v>
      </c>
      <c r="B1166" s="184" t="s">
        <v>4720</v>
      </c>
    </row>
    <row r="1167" spans="1:2" x14ac:dyDescent="0.25">
      <c r="A1167" s="183">
        <v>4911</v>
      </c>
      <c r="B1167" s="184" t="s">
        <v>4721</v>
      </c>
    </row>
    <row r="1168" spans="1:2" x14ac:dyDescent="0.25">
      <c r="A1168" s="183">
        <v>4911</v>
      </c>
      <c r="B1168" s="184" t="s">
        <v>4722</v>
      </c>
    </row>
    <row r="1169" spans="1:2" x14ac:dyDescent="0.25">
      <c r="A1169" s="183">
        <v>4922</v>
      </c>
      <c r="B1169" s="184" t="s">
        <v>4723</v>
      </c>
    </row>
    <row r="1170" spans="1:2" x14ac:dyDescent="0.25">
      <c r="A1170" s="183">
        <v>4923</v>
      </c>
      <c r="B1170" s="184" t="s">
        <v>4724</v>
      </c>
    </row>
    <row r="1171" spans="1:2" x14ac:dyDescent="0.25">
      <c r="A1171" s="183">
        <v>4923</v>
      </c>
      <c r="B1171" s="184" t="s">
        <v>4725</v>
      </c>
    </row>
    <row r="1172" spans="1:2" x14ac:dyDescent="0.25">
      <c r="A1172" s="183">
        <v>4924</v>
      </c>
      <c r="B1172" s="184" t="s">
        <v>2744</v>
      </c>
    </row>
    <row r="1173" spans="1:2" x14ac:dyDescent="0.25">
      <c r="A1173" s="183">
        <v>4925</v>
      </c>
      <c r="B1173" s="184" t="s">
        <v>4726</v>
      </c>
    </row>
    <row r="1174" spans="1:2" x14ac:dyDescent="0.25">
      <c r="A1174" s="183">
        <v>4931</v>
      </c>
      <c r="B1174" s="184" t="s">
        <v>4727</v>
      </c>
    </row>
    <row r="1175" spans="1:2" x14ac:dyDescent="0.25">
      <c r="A1175" s="183">
        <v>4931</v>
      </c>
      <c r="B1175" s="184" t="s">
        <v>4728</v>
      </c>
    </row>
    <row r="1176" spans="1:2" x14ac:dyDescent="0.25">
      <c r="A1176" s="183">
        <v>4931</v>
      </c>
      <c r="B1176" s="184" t="s">
        <v>4729</v>
      </c>
    </row>
    <row r="1177" spans="1:2" x14ac:dyDescent="0.25">
      <c r="A1177" s="183">
        <v>4931</v>
      </c>
      <c r="B1177" s="184" t="s">
        <v>4730</v>
      </c>
    </row>
    <row r="1178" spans="1:2" x14ac:dyDescent="0.25">
      <c r="A1178" s="183">
        <v>4931</v>
      </c>
      <c r="B1178" s="184" t="s">
        <v>4731</v>
      </c>
    </row>
    <row r="1179" spans="1:2" x14ac:dyDescent="0.25">
      <c r="A1179" s="183">
        <v>4931</v>
      </c>
      <c r="B1179" s="184" t="s">
        <v>4732</v>
      </c>
    </row>
    <row r="1180" spans="1:2" x14ac:dyDescent="0.25">
      <c r="A1180" s="183">
        <v>4931</v>
      </c>
      <c r="B1180" s="184" t="s">
        <v>4733</v>
      </c>
    </row>
    <row r="1181" spans="1:2" x14ac:dyDescent="0.25">
      <c r="A1181" s="183">
        <v>4932</v>
      </c>
      <c r="B1181" s="184" t="s">
        <v>4734</v>
      </c>
    </row>
    <row r="1182" spans="1:2" x14ac:dyDescent="0.25">
      <c r="A1182" s="183">
        <v>4939</v>
      </c>
      <c r="B1182" s="184" t="s">
        <v>4735</v>
      </c>
    </row>
    <row r="1183" spans="1:2" x14ac:dyDescent="0.25">
      <c r="A1183" s="183">
        <v>4939</v>
      </c>
      <c r="B1183" s="184" t="s">
        <v>4736</v>
      </c>
    </row>
    <row r="1184" spans="1:2" x14ac:dyDescent="0.25">
      <c r="A1184" s="183">
        <v>4939</v>
      </c>
      <c r="B1184" s="184" t="s">
        <v>4737</v>
      </c>
    </row>
    <row r="1185" spans="1:2" x14ac:dyDescent="0.25">
      <c r="A1185" s="183">
        <v>4939</v>
      </c>
      <c r="B1185" s="184" t="s">
        <v>4738</v>
      </c>
    </row>
    <row r="1186" spans="1:2" x14ac:dyDescent="0.25">
      <c r="A1186" s="183">
        <v>4939</v>
      </c>
      <c r="B1186" s="184" t="s">
        <v>4739</v>
      </c>
    </row>
    <row r="1187" spans="1:2" x14ac:dyDescent="0.25">
      <c r="A1187" s="183">
        <v>4939</v>
      </c>
      <c r="B1187" s="184" t="s">
        <v>4740</v>
      </c>
    </row>
    <row r="1188" spans="1:2" x14ac:dyDescent="0.25">
      <c r="A1188" s="183">
        <v>4939</v>
      </c>
      <c r="B1188" s="184" t="s">
        <v>4741</v>
      </c>
    </row>
    <row r="1189" spans="1:2" x14ac:dyDescent="0.25">
      <c r="A1189" s="183">
        <v>4941</v>
      </c>
      <c r="B1189" s="184" t="s">
        <v>4742</v>
      </c>
    </row>
    <row r="1190" spans="1:2" x14ac:dyDescent="0.25">
      <c r="A1190" s="183">
        <v>4952</v>
      </c>
      <c r="B1190" s="184" t="s">
        <v>332</v>
      </c>
    </row>
    <row r="1191" spans="1:2" x14ac:dyDescent="0.25">
      <c r="A1191" s="183">
        <v>4953</v>
      </c>
      <c r="B1191" s="184" t="s">
        <v>410</v>
      </c>
    </row>
    <row r="1192" spans="1:2" x14ac:dyDescent="0.25">
      <c r="A1192" s="183">
        <v>4953</v>
      </c>
      <c r="B1192" s="184" t="s">
        <v>4743</v>
      </c>
    </row>
    <row r="1193" spans="1:2" x14ac:dyDescent="0.25">
      <c r="A1193" s="183">
        <v>4953</v>
      </c>
      <c r="B1193" s="184" t="s">
        <v>4744</v>
      </c>
    </row>
    <row r="1194" spans="1:2" x14ac:dyDescent="0.25">
      <c r="A1194" s="183">
        <v>4953</v>
      </c>
      <c r="B1194" s="184" t="s">
        <v>4745</v>
      </c>
    </row>
    <row r="1195" spans="1:2" x14ac:dyDescent="0.25">
      <c r="A1195" s="183">
        <v>4953</v>
      </c>
      <c r="B1195" s="184" t="s">
        <v>4746</v>
      </c>
    </row>
    <row r="1196" spans="1:2" x14ac:dyDescent="0.25">
      <c r="A1196" s="183">
        <v>4959</v>
      </c>
      <c r="B1196" s="184" t="s">
        <v>329</v>
      </c>
    </row>
    <row r="1197" spans="1:2" x14ac:dyDescent="0.25">
      <c r="A1197" s="183">
        <v>4959</v>
      </c>
      <c r="B1197" s="184" t="s">
        <v>4747</v>
      </c>
    </row>
    <row r="1198" spans="1:2" x14ac:dyDescent="0.25">
      <c r="A1198" s="183">
        <v>4959</v>
      </c>
      <c r="B1198" s="184" t="s">
        <v>4748</v>
      </c>
    </row>
    <row r="1199" spans="1:2" x14ac:dyDescent="0.25">
      <c r="A1199" s="183">
        <v>4959</v>
      </c>
      <c r="B1199" s="184" t="s">
        <v>4749</v>
      </c>
    </row>
    <row r="1200" spans="1:2" x14ac:dyDescent="0.25">
      <c r="A1200" s="183">
        <v>4959</v>
      </c>
      <c r="B1200" s="184" t="s">
        <v>4750</v>
      </c>
    </row>
    <row r="1201" spans="1:2" ht="25.5" x14ac:dyDescent="0.25">
      <c r="A1201" s="183">
        <v>4959</v>
      </c>
      <c r="B1201" s="184" t="s">
        <v>4751</v>
      </c>
    </row>
    <row r="1202" spans="1:2" x14ac:dyDescent="0.25">
      <c r="A1202" s="183">
        <v>4961</v>
      </c>
      <c r="B1202" s="184" t="s">
        <v>2750</v>
      </c>
    </row>
    <row r="1203" spans="1:2" x14ac:dyDescent="0.25">
      <c r="A1203" s="183">
        <v>4971</v>
      </c>
      <c r="B1203" s="184" t="s">
        <v>4752</v>
      </c>
    </row>
    <row r="1204" spans="1:2" x14ac:dyDescent="0.25">
      <c r="A1204" s="183">
        <v>5012</v>
      </c>
      <c r="B1204" s="184" t="s">
        <v>4753</v>
      </c>
    </row>
    <row r="1205" spans="1:2" x14ac:dyDescent="0.25">
      <c r="A1205" s="183">
        <v>5012</v>
      </c>
      <c r="B1205" s="184" t="s">
        <v>4754</v>
      </c>
    </row>
    <row r="1206" spans="1:2" x14ac:dyDescent="0.25">
      <c r="A1206" s="183">
        <v>5012</v>
      </c>
      <c r="B1206" s="184" t="s">
        <v>4755</v>
      </c>
    </row>
    <row r="1207" spans="1:2" ht="25.5" x14ac:dyDescent="0.25">
      <c r="A1207" s="183">
        <v>5013</v>
      </c>
      <c r="B1207" s="184" t="s">
        <v>4756</v>
      </c>
    </row>
    <row r="1208" spans="1:2" x14ac:dyDescent="0.25">
      <c r="A1208" s="183">
        <v>5013</v>
      </c>
      <c r="B1208" s="184" t="s">
        <v>4757</v>
      </c>
    </row>
    <row r="1209" spans="1:2" x14ac:dyDescent="0.25">
      <c r="A1209" s="183">
        <v>5013</v>
      </c>
      <c r="B1209" s="184" t="s">
        <v>4758</v>
      </c>
    </row>
    <row r="1210" spans="1:2" x14ac:dyDescent="0.25">
      <c r="A1210" s="183">
        <v>5013</v>
      </c>
      <c r="B1210" s="184" t="s">
        <v>4759</v>
      </c>
    </row>
    <row r="1211" spans="1:2" x14ac:dyDescent="0.25">
      <c r="A1211" s="183">
        <v>5014</v>
      </c>
      <c r="B1211" s="184" t="s">
        <v>4760</v>
      </c>
    </row>
    <row r="1212" spans="1:2" x14ac:dyDescent="0.25">
      <c r="A1212" s="183">
        <v>5014</v>
      </c>
      <c r="B1212" s="184" t="s">
        <v>4761</v>
      </c>
    </row>
    <row r="1213" spans="1:2" x14ac:dyDescent="0.25">
      <c r="A1213" s="183">
        <v>5014</v>
      </c>
      <c r="B1213" s="184" t="s">
        <v>4762</v>
      </c>
    </row>
    <row r="1214" spans="1:2" x14ac:dyDescent="0.25">
      <c r="A1214" s="183">
        <v>5014</v>
      </c>
      <c r="B1214" s="184" t="s">
        <v>4763</v>
      </c>
    </row>
    <row r="1215" spans="1:2" x14ac:dyDescent="0.25">
      <c r="A1215" s="183">
        <v>5015</v>
      </c>
      <c r="B1215" s="184" t="s">
        <v>4764</v>
      </c>
    </row>
    <row r="1216" spans="1:2" x14ac:dyDescent="0.25">
      <c r="A1216" s="183">
        <v>5015</v>
      </c>
      <c r="B1216" s="184" t="s">
        <v>4765</v>
      </c>
    </row>
    <row r="1217" spans="1:2" x14ac:dyDescent="0.25">
      <c r="A1217" s="183">
        <v>5015</v>
      </c>
      <c r="B1217" s="184" t="s">
        <v>4766</v>
      </c>
    </row>
    <row r="1218" spans="1:2" x14ac:dyDescent="0.25">
      <c r="A1218" s="183">
        <v>5015</v>
      </c>
      <c r="B1218" s="184" t="s">
        <v>4767</v>
      </c>
    </row>
    <row r="1219" spans="1:2" x14ac:dyDescent="0.25">
      <c r="A1219" s="183">
        <v>5021</v>
      </c>
      <c r="B1219" s="184" t="s">
        <v>4768</v>
      </c>
    </row>
    <row r="1220" spans="1:2" x14ac:dyDescent="0.25">
      <c r="A1220" s="183">
        <v>5021</v>
      </c>
      <c r="B1220" s="184" t="s">
        <v>4769</v>
      </c>
    </row>
    <row r="1221" spans="1:2" x14ac:dyDescent="0.25">
      <c r="A1221" s="183">
        <v>5021</v>
      </c>
      <c r="B1221" s="184" t="s">
        <v>4770</v>
      </c>
    </row>
    <row r="1222" spans="1:2" x14ac:dyDescent="0.25">
      <c r="A1222" s="183">
        <v>5021</v>
      </c>
      <c r="B1222" s="184" t="s">
        <v>4771</v>
      </c>
    </row>
    <row r="1223" spans="1:2" x14ac:dyDescent="0.25">
      <c r="A1223" s="183">
        <v>5023</v>
      </c>
      <c r="B1223" s="184" t="s">
        <v>4772</v>
      </c>
    </row>
    <row r="1224" spans="1:2" x14ac:dyDescent="0.25">
      <c r="A1224" s="183">
        <v>5023</v>
      </c>
      <c r="B1224" s="184" t="s">
        <v>4773</v>
      </c>
    </row>
    <row r="1225" spans="1:2" x14ac:dyDescent="0.25">
      <c r="A1225" s="183">
        <v>5023</v>
      </c>
      <c r="B1225" s="184" t="s">
        <v>4774</v>
      </c>
    </row>
    <row r="1226" spans="1:2" x14ac:dyDescent="0.25">
      <c r="A1226" s="183">
        <v>5023</v>
      </c>
      <c r="B1226" s="184" t="s">
        <v>4775</v>
      </c>
    </row>
    <row r="1227" spans="1:2" x14ac:dyDescent="0.25">
      <c r="A1227" s="183">
        <v>5031</v>
      </c>
      <c r="B1227" s="184" t="s">
        <v>4776</v>
      </c>
    </row>
    <row r="1228" spans="1:2" x14ac:dyDescent="0.25">
      <c r="A1228" s="183">
        <v>5031</v>
      </c>
      <c r="B1228" s="184" t="s">
        <v>4777</v>
      </c>
    </row>
    <row r="1229" spans="1:2" x14ac:dyDescent="0.25">
      <c r="A1229" s="183">
        <v>5031</v>
      </c>
      <c r="B1229" s="184" t="s">
        <v>4778</v>
      </c>
    </row>
    <row r="1230" spans="1:2" x14ac:dyDescent="0.25">
      <c r="A1230" s="183">
        <v>5031</v>
      </c>
      <c r="B1230" s="184" t="s">
        <v>4779</v>
      </c>
    </row>
    <row r="1231" spans="1:2" ht="25.5" x14ac:dyDescent="0.25">
      <c r="A1231" s="183">
        <v>5032</v>
      </c>
      <c r="B1231" s="184" t="s">
        <v>4780</v>
      </c>
    </row>
    <row r="1232" spans="1:2" x14ac:dyDescent="0.25">
      <c r="A1232" s="183">
        <v>5032</v>
      </c>
      <c r="B1232" s="184" t="s">
        <v>4781</v>
      </c>
    </row>
    <row r="1233" spans="1:2" x14ac:dyDescent="0.25">
      <c r="A1233" s="183">
        <v>5032</v>
      </c>
      <c r="B1233" s="184" t="s">
        <v>4782</v>
      </c>
    </row>
    <row r="1234" spans="1:2" ht="25.5" x14ac:dyDescent="0.25">
      <c r="A1234" s="183">
        <v>5032</v>
      </c>
      <c r="B1234" s="184" t="s">
        <v>4783</v>
      </c>
    </row>
    <row r="1235" spans="1:2" ht="25.5" x14ac:dyDescent="0.25">
      <c r="A1235" s="183">
        <v>5033</v>
      </c>
      <c r="B1235" s="184" t="s">
        <v>4784</v>
      </c>
    </row>
    <row r="1236" spans="1:2" x14ac:dyDescent="0.25">
      <c r="A1236" s="183">
        <v>5033</v>
      </c>
      <c r="B1236" s="184" t="s">
        <v>4785</v>
      </c>
    </row>
    <row r="1237" spans="1:2" x14ac:dyDescent="0.25">
      <c r="A1237" s="183">
        <v>5033</v>
      </c>
      <c r="B1237" s="184" t="s">
        <v>4786</v>
      </c>
    </row>
    <row r="1238" spans="1:2" ht="25.5" x14ac:dyDescent="0.25">
      <c r="A1238" s="183">
        <v>5033</v>
      </c>
      <c r="B1238" s="184" t="s">
        <v>4787</v>
      </c>
    </row>
    <row r="1239" spans="1:2" ht="25.5" x14ac:dyDescent="0.25">
      <c r="A1239" s="183">
        <v>5039</v>
      </c>
      <c r="B1239" s="184" t="s">
        <v>4788</v>
      </c>
    </row>
    <row r="1240" spans="1:2" ht="38.25" x14ac:dyDescent="0.25">
      <c r="A1240" s="183">
        <v>5039</v>
      </c>
      <c r="B1240" s="184" t="s">
        <v>4789</v>
      </c>
    </row>
    <row r="1241" spans="1:2" x14ac:dyDescent="0.25">
      <c r="A1241" s="183">
        <v>5039</v>
      </c>
      <c r="B1241" s="184" t="s">
        <v>4790</v>
      </c>
    </row>
    <row r="1242" spans="1:2" x14ac:dyDescent="0.25">
      <c r="A1242" s="183">
        <v>5039</v>
      </c>
      <c r="B1242" s="184" t="s">
        <v>4791</v>
      </c>
    </row>
    <row r="1243" spans="1:2" x14ac:dyDescent="0.25">
      <c r="A1243" s="183">
        <v>5039</v>
      </c>
      <c r="B1243" s="184" t="s">
        <v>4792</v>
      </c>
    </row>
    <row r="1244" spans="1:2" x14ac:dyDescent="0.25">
      <c r="A1244" s="183">
        <v>5043</v>
      </c>
      <c r="B1244" s="184" t="s">
        <v>4793</v>
      </c>
    </row>
    <row r="1245" spans="1:2" x14ac:dyDescent="0.25">
      <c r="A1245" s="183">
        <v>5043</v>
      </c>
      <c r="B1245" s="184" t="s">
        <v>4794</v>
      </c>
    </row>
    <row r="1246" spans="1:2" x14ac:dyDescent="0.25">
      <c r="A1246" s="183">
        <v>5043</v>
      </c>
      <c r="B1246" s="184" t="s">
        <v>4795</v>
      </c>
    </row>
    <row r="1247" spans="1:2" x14ac:dyDescent="0.25">
      <c r="A1247" s="183">
        <v>5044</v>
      </c>
      <c r="B1247" s="184" t="s">
        <v>4796</v>
      </c>
    </row>
    <row r="1248" spans="1:2" x14ac:dyDescent="0.25">
      <c r="A1248" s="183">
        <v>5044</v>
      </c>
      <c r="B1248" s="184" t="s">
        <v>4797</v>
      </c>
    </row>
    <row r="1249" spans="1:2" x14ac:dyDescent="0.25">
      <c r="A1249" s="183">
        <v>5044</v>
      </c>
      <c r="B1249" s="184" t="s">
        <v>4798</v>
      </c>
    </row>
    <row r="1250" spans="1:2" x14ac:dyDescent="0.25">
      <c r="A1250" s="183">
        <v>5044</v>
      </c>
      <c r="B1250" s="184" t="s">
        <v>4799</v>
      </c>
    </row>
    <row r="1251" spans="1:2" ht="25.5" x14ac:dyDescent="0.25">
      <c r="A1251" s="183">
        <v>5045</v>
      </c>
      <c r="B1251" s="184" t="s">
        <v>4800</v>
      </c>
    </row>
    <row r="1252" spans="1:2" ht="25.5" x14ac:dyDescent="0.25">
      <c r="A1252" s="183">
        <v>5045</v>
      </c>
      <c r="B1252" s="184" t="s">
        <v>4801</v>
      </c>
    </row>
    <row r="1253" spans="1:2" x14ac:dyDescent="0.25">
      <c r="A1253" s="183">
        <v>5045</v>
      </c>
      <c r="B1253" s="184" t="s">
        <v>4802</v>
      </c>
    </row>
    <row r="1254" spans="1:2" ht="25.5" x14ac:dyDescent="0.25">
      <c r="A1254" s="183">
        <v>5045</v>
      </c>
      <c r="B1254" s="184" t="s">
        <v>4803</v>
      </c>
    </row>
    <row r="1255" spans="1:2" x14ac:dyDescent="0.25">
      <c r="A1255" s="183">
        <v>5046</v>
      </c>
      <c r="B1255" s="184" t="s">
        <v>4804</v>
      </c>
    </row>
    <row r="1256" spans="1:2" x14ac:dyDescent="0.25">
      <c r="A1256" s="183">
        <v>5046</v>
      </c>
      <c r="B1256" s="184" t="s">
        <v>4805</v>
      </c>
    </row>
    <row r="1257" spans="1:2" x14ac:dyDescent="0.25">
      <c r="A1257" s="183">
        <v>5046</v>
      </c>
      <c r="B1257" s="184" t="s">
        <v>4806</v>
      </c>
    </row>
    <row r="1258" spans="1:2" ht="25.5" x14ac:dyDescent="0.25">
      <c r="A1258" s="183">
        <v>5047</v>
      </c>
      <c r="B1258" s="184" t="s">
        <v>4807</v>
      </c>
    </row>
    <row r="1259" spans="1:2" ht="25.5" x14ac:dyDescent="0.25">
      <c r="A1259" s="183">
        <v>5047</v>
      </c>
      <c r="B1259" s="184" t="s">
        <v>4808</v>
      </c>
    </row>
    <row r="1260" spans="1:2" x14ac:dyDescent="0.25">
      <c r="A1260" s="183">
        <v>5047</v>
      </c>
      <c r="B1260" s="184" t="s">
        <v>4809</v>
      </c>
    </row>
    <row r="1261" spans="1:2" ht="25.5" x14ac:dyDescent="0.25">
      <c r="A1261" s="183">
        <v>5047</v>
      </c>
      <c r="B1261" s="184" t="s">
        <v>4810</v>
      </c>
    </row>
    <row r="1262" spans="1:2" x14ac:dyDescent="0.25">
      <c r="A1262" s="183">
        <v>5048</v>
      </c>
      <c r="B1262" s="184" t="s">
        <v>4811</v>
      </c>
    </row>
    <row r="1263" spans="1:2" x14ac:dyDescent="0.25">
      <c r="A1263" s="183">
        <v>5048</v>
      </c>
      <c r="B1263" s="184" t="s">
        <v>4812</v>
      </c>
    </row>
    <row r="1264" spans="1:2" x14ac:dyDescent="0.25">
      <c r="A1264" s="183">
        <v>5048</v>
      </c>
      <c r="B1264" s="184" t="s">
        <v>4813</v>
      </c>
    </row>
    <row r="1265" spans="1:2" ht="25.5" x14ac:dyDescent="0.25">
      <c r="A1265" s="183">
        <v>5049</v>
      </c>
      <c r="B1265" s="184" t="s">
        <v>4814</v>
      </c>
    </row>
    <row r="1266" spans="1:2" x14ac:dyDescent="0.25">
      <c r="A1266" s="183">
        <v>5049</v>
      </c>
      <c r="B1266" s="184" t="s">
        <v>4815</v>
      </c>
    </row>
    <row r="1267" spans="1:2" x14ac:dyDescent="0.25">
      <c r="A1267" s="183">
        <v>5049</v>
      </c>
      <c r="B1267" s="184" t="s">
        <v>4816</v>
      </c>
    </row>
    <row r="1268" spans="1:2" ht="25.5" x14ac:dyDescent="0.25">
      <c r="A1268" s="183">
        <v>5049</v>
      </c>
      <c r="B1268" s="184" t="s">
        <v>4817</v>
      </c>
    </row>
    <row r="1269" spans="1:2" x14ac:dyDescent="0.25">
      <c r="A1269" s="183">
        <v>5051</v>
      </c>
      <c r="B1269" s="184" t="s">
        <v>4818</v>
      </c>
    </row>
    <row r="1270" spans="1:2" x14ac:dyDescent="0.25">
      <c r="A1270" s="183">
        <v>5051</v>
      </c>
      <c r="B1270" s="184" t="s">
        <v>4819</v>
      </c>
    </row>
    <row r="1271" spans="1:2" x14ac:dyDescent="0.25">
      <c r="A1271" s="183">
        <v>5051</v>
      </c>
      <c r="B1271" s="184" t="s">
        <v>4820</v>
      </c>
    </row>
    <row r="1272" spans="1:2" x14ac:dyDescent="0.25">
      <c r="A1272" s="183">
        <v>5052</v>
      </c>
      <c r="B1272" s="184" t="s">
        <v>4821</v>
      </c>
    </row>
    <row r="1273" spans="1:2" x14ac:dyDescent="0.25">
      <c r="A1273" s="183">
        <v>5052</v>
      </c>
      <c r="B1273" s="184" t="s">
        <v>4822</v>
      </c>
    </row>
    <row r="1274" spans="1:2" x14ac:dyDescent="0.25">
      <c r="A1274" s="183">
        <v>5052</v>
      </c>
      <c r="B1274" s="184" t="s">
        <v>4823</v>
      </c>
    </row>
    <row r="1275" spans="1:2" ht="38.25" x14ac:dyDescent="0.25">
      <c r="A1275" s="183">
        <v>5063</v>
      </c>
      <c r="B1275" s="184" t="s">
        <v>4824</v>
      </c>
    </row>
    <row r="1276" spans="1:2" ht="25.5" x14ac:dyDescent="0.25">
      <c r="A1276" s="183">
        <v>5063</v>
      </c>
      <c r="B1276" s="184" t="s">
        <v>4825</v>
      </c>
    </row>
    <row r="1277" spans="1:2" ht="25.5" x14ac:dyDescent="0.25">
      <c r="A1277" s="183">
        <v>5063</v>
      </c>
      <c r="B1277" s="184" t="s">
        <v>4826</v>
      </c>
    </row>
    <row r="1278" spans="1:2" ht="25.5" x14ac:dyDescent="0.25">
      <c r="A1278" s="183">
        <v>5063</v>
      </c>
      <c r="B1278" s="184" t="s">
        <v>4827</v>
      </c>
    </row>
    <row r="1279" spans="1:2" ht="25.5" x14ac:dyDescent="0.25">
      <c r="A1279" s="183">
        <v>5064</v>
      </c>
      <c r="B1279" s="184" t="s">
        <v>4828</v>
      </c>
    </row>
    <row r="1280" spans="1:2" x14ac:dyDescent="0.25">
      <c r="A1280" s="183">
        <v>5064</v>
      </c>
      <c r="B1280" s="184" t="s">
        <v>4829</v>
      </c>
    </row>
    <row r="1281" spans="1:2" x14ac:dyDescent="0.25">
      <c r="A1281" s="183">
        <v>5064</v>
      </c>
      <c r="B1281" s="184" t="s">
        <v>4830</v>
      </c>
    </row>
    <row r="1282" spans="1:2" x14ac:dyDescent="0.25">
      <c r="A1282" s="183">
        <v>5064</v>
      </c>
      <c r="B1282" s="184" t="s">
        <v>4831</v>
      </c>
    </row>
    <row r="1283" spans="1:2" ht="25.5" x14ac:dyDescent="0.25">
      <c r="A1283" s="183">
        <v>5064</v>
      </c>
      <c r="B1283" s="184" t="s">
        <v>4832</v>
      </c>
    </row>
    <row r="1284" spans="1:2" x14ac:dyDescent="0.25">
      <c r="A1284" s="183">
        <v>5064</v>
      </c>
      <c r="B1284" s="184" t="s">
        <v>4833</v>
      </c>
    </row>
    <row r="1285" spans="1:2" ht="25.5" x14ac:dyDescent="0.25">
      <c r="A1285" s="183">
        <v>5065</v>
      </c>
      <c r="B1285" s="184" t="s">
        <v>4834</v>
      </c>
    </row>
    <row r="1286" spans="1:2" x14ac:dyDescent="0.25">
      <c r="A1286" s="183">
        <v>5065</v>
      </c>
      <c r="B1286" s="184" t="s">
        <v>4835</v>
      </c>
    </row>
    <row r="1287" spans="1:2" x14ac:dyDescent="0.25">
      <c r="A1287" s="183">
        <v>5065</v>
      </c>
      <c r="B1287" s="184" t="s">
        <v>4836</v>
      </c>
    </row>
    <row r="1288" spans="1:2" ht="25.5" x14ac:dyDescent="0.25">
      <c r="A1288" s="183">
        <v>5065</v>
      </c>
      <c r="B1288" s="184" t="s">
        <v>4837</v>
      </c>
    </row>
    <row r="1289" spans="1:2" ht="25.5" x14ac:dyDescent="0.25">
      <c r="A1289" s="183">
        <v>5065</v>
      </c>
      <c r="B1289" s="184" t="s">
        <v>4838</v>
      </c>
    </row>
    <row r="1290" spans="1:2" x14ac:dyDescent="0.25">
      <c r="A1290" s="183">
        <v>5072</v>
      </c>
      <c r="B1290" s="184" t="s">
        <v>4839</v>
      </c>
    </row>
    <row r="1291" spans="1:2" x14ac:dyDescent="0.25">
      <c r="A1291" s="183">
        <v>5072</v>
      </c>
      <c r="B1291" s="184" t="s">
        <v>4840</v>
      </c>
    </row>
    <row r="1292" spans="1:2" x14ac:dyDescent="0.25">
      <c r="A1292" s="183">
        <v>5072</v>
      </c>
      <c r="B1292" s="184" t="s">
        <v>4841</v>
      </c>
    </row>
    <row r="1293" spans="1:2" x14ac:dyDescent="0.25">
      <c r="A1293" s="183">
        <v>5072</v>
      </c>
      <c r="B1293" s="184" t="s">
        <v>4842</v>
      </c>
    </row>
    <row r="1294" spans="1:2" ht="25.5" x14ac:dyDescent="0.25">
      <c r="A1294" s="183">
        <v>5074</v>
      </c>
      <c r="B1294" s="184" t="s">
        <v>4843</v>
      </c>
    </row>
    <row r="1295" spans="1:2" ht="25.5" x14ac:dyDescent="0.25">
      <c r="A1295" s="183">
        <v>5074</v>
      </c>
      <c r="B1295" s="184" t="s">
        <v>4844</v>
      </c>
    </row>
    <row r="1296" spans="1:2" x14ac:dyDescent="0.25">
      <c r="A1296" s="183">
        <v>5074</v>
      </c>
      <c r="B1296" s="184" t="s">
        <v>4845</v>
      </c>
    </row>
    <row r="1297" spans="1:2" ht="25.5" x14ac:dyDescent="0.25">
      <c r="A1297" s="183">
        <v>5074</v>
      </c>
      <c r="B1297" s="184" t="s">
        <v>4846</v>
      </c>
    </row>
    <row r="1298" spans="1:2" x14ac:dyDescent="0.25">
      <c r="A1298" s="183">
        <v>5075</v>
      </c>
      <c r="B1298" s="184" t="s">
        <v>4847</v>
      </c>
    </row>
    <row r="1299" spans="1:2" ht="25.5" x14ac:dyDescent="0.25">
      <c r="A1299" s="183">
        <v>5075</v>
      </c>
      <c r="B1299" s="184" t="s">
        <v>4848</v>
      </c>
    </row>
    <row r="1300" spans="1:2" x14ac:dyDescent="0.25">
      <c r="A1300" s="183">
        <v>5075</v>
      </c>
      <c r="B1300" s="184" t="s">
        <v>4849</v>
      </c>
    </row>
    <row r="1301" spans="1:2" x14ac:dyDescent="0.25">
      <c r="A1301" s="183">
        <v>5078</v>
      </c>
      <c r="B1301" s="184" t="s">
        <v>4850</v>
      </c>
    </row>
    <row r="1302" spans="1:2" x14ac:dyDescent="0.25">
      <c r="A1302" s="183">
        <v>5078</v>
      </c>
      <c r="B1302" s="184" t="s">
        <v>4851</v>
      </c>
    </row>
    <row r="1303" spans="1:2" x14ac:dyDescent="0.25">
      <c r="A1303" s="183">
        <v>5078</v>
      </c>
      <c r="B1303" s="184" t="s">
        <v>4852</v>
      </c>
    </row>
    <row r="1304" spans="1:2" x14ac:dyDescent="0.25">
      <c r="A1304" s="183">
        <v>5082</v>
      </c>
      <c r="B1304" s="184" t="s">
        <v>4853</v>
      </c>
    </row>
    <row r="1305" spans="1:2" ht="25.5" x14ac:dyDescent="0.25">
      <c r="A1305" s="183">
        <v>5082</v>
      </c>
      <c r="B1305" s="184" t="s">
        <v>4854</v>
      </c>
    </row>
    <row r="1306" spans="1:2" x14ac:dyDescent="0.25">
      <c r="A1306" s="183">
        <v>5082</v>
      </c>
      <c r="B1306" s="184" t="s">
        <v>4855</v>
      </c>
    </row>
    <row r="1307" spans="1:2" ht="25.5" x14ac:dyDescent="0.25">
      <c r="A1307" s="183">
        <v>5083</v>
      </c>
      <c r="B1307" s="184" t="s">
        <v>4856</v>
      </c>
    </row>
    <row r="1308" spans="1:2" x14ac:dyDescent="0.25">
      <c r="A1308" s="183">
        <v>5083</v>
      </c>
      <c r="B1308" s="184" t="s">
        <v>4857</v>
      </c>
    </row>
    <row r="1309" spans="1:2" x14ac:dyDescent="0.25">
      <c r="A1309" s="183">
        <v>5083</v>
      </c>
      <c r="B1309" s="184" t="s">
        <v>4858</v>
      </c>
    </row>
    <row r="1310" spans="1:2" x14ac:dyDescent="0.25">
      <c r="A1310" s="183">
        <v>5083</v>
      </c>
      <c r="B1310" s="184" t="s">
        <v>4859</v>
      </c>
    </row>
    <row r="1311" spans="1:2" x14ac:dyDescent="0.25">
      <c r="A1311" s="183">
        <v>5084</v>
      </c>
      <c r="B1311" s="184" t="s">
        <v>4860</v>
      </c>
    </row>
    <row r="1312" spans="1:2" x14ac:dyDescent="0.25">
      <c r="A1312" s="183">
        <v>5084</v>
      </c>
      <c r="B1312" s="184" t="s">
        <v>4861</v>
      </c>
    </row>
    <row r="1313" spans="1:2" x14ac:dyDescent="0.25">
      <c r="A1313" s="183">
        <v>5084</v>
      </c>
      <c r="B1313" s="184" t="s">
        <v>4862</v>
      </c>
    </row>
    <row r="1314" spans="1:2" x14ac:dyDescent="0.25">
      <c r="A1314" s="183">
        <v>5085</v>
      </c>
      <c r="B1314" s="184" t="s">
        <v>4863</v>
      </c>
    </row>
    <row r="1315" spans="1:2" ht="25.5" x14ac:dyDescent="0.25">
      <c r="A1315" s="183">
        <v>5085</v>
      </c>
      <c r="B1315" s="184" t="s">
        <v>4864</v>
      </c>
    </row>
    <row r="1316" spans="1:2" x14ac:dyDescent="0.25">
      <c r="A1316" s="183">
        <v>5085</v>
      </c>
      <c r="B1316" s="184" t="s">
        <v>4865</v>
      </c>
    </row>
    <row r="1317" spans="1:2" x14ac:dyDescent="0.25">
      <c r="A1317" s="183">
        <v>5085</v>
      </c>
      <c r="B1317" s="184" t="s">
        <v>4866</v>
      </c>
    </row>
    <row r="1318" spans="1:2" x14ac:dyDescent="0.25">
      <c r="A1318" s="183">
        <v>5085</v>
      </c>
      <c r="B1318" s="184" t="s">
        <v>4867</v>
      </c>
    </row>
    <row r="1319" spans="1:2" ht="25.5" x14ac:dyDescent="0.25">
      <c r="A1319" s="183">
        <v>5087</v>
      </c>
      <c r="B1319" s="184" t="s">
        <v>4868</v>
      </c>
    </row>
    <row r="1320" spans="1:2" x14ac:dyDescent="0.25">
      <c r="A1320" s="183">
        <v>5087</v>
      </c>
      <c r="B1320" s="184" t="s">
        <v>4869</v>
      </c>
    </row>
    <row r="1321" spans="1:2" x14ac:dyDescent="0.25">
      <c r="A1321" s="183">
        <v>5087</v>
      </c>
      <c r="B1321" s="184" t="s">
        <v>4870</v>
      </c>
    </row>
    <row r="1322" spans="1:2" ht="25.5" x14ac:dyDescent="0.25">
      <c r="A1322" s="183">
        <v>5087</v>
      </c>
      <c r="B1322" s="184" t="s">
        <v>4871</v>
      </c>
    </row>
    <row r="1323" spans="1:2" x14ac:dyDescent="0.25">
      <c r="A1323" s="183">
        <v>5088</v>
      </c>
      <c r="B1323" s="184" t="s">
        <v>4872</v>
      </c>
    </row>
    <row r="1324" spans="1:2" ht="25.5" x14ac:dyDescent="0.25">
      <c r="A1324" s="183">
        <v>5088</v>
      </c>
      <c r="B1324" s="184" t="s">
        <v>4873</v>
      </c>
    </row>
    <row r="1325" spans="1:2" x14ac:dyDescent="0.25">
      <c r="A1325" s="183">
        <v>5088</v>
      </c>
      <c r="B1325" s="184" t="s">
        <v>4874</v>
      </c>
    </row>
    <row r="1326" spans="1:2" ht="25.5" x14ac:dyDescent="0.25">
      <c r="A1326" s="183">
        <v>5091</v>
      </c>
      <c r="B1326" s="184" t="s">
        <v>4875</v>
      </c>
    </row>
    <row r="1327" spans="1:2" x14ac:dyDescent="0.25">
      <c r="A1327" s="183">
        <v>5091</v>
      </c>
      <c r="B1327" s="184" t="s">
        <v>4876</v>
      </c>
    </row>
    <row r="1328" spans="1:2" x14ac:dyDescent="0.25">
      <c r="A1328" s="183">
        <v>5091</v>
      </c>
      <c r="B1328" s="184" t="s">
        <v>4877</v>
      </c>
    </row>
    <row r="1329" spans="1:2" ht="25.5" x14ac:dyDescent="0.25">
      <c r="A1329" s="183">
        <v>5091</v>
      </c>
      <c r="B1329" s="184" t="s">
        <v>4878</v>
      </c>
    </row>
    <row r="1330" spans="1:2" ht="25.5" x14ac:dyDescent="0.25">
      <c r="A1330" s="183">
        <v>5092</v>
      </c>
      <c r="B1330" s="184" t="s">
        <v>4879</v>
      </c>
    </row>
    <row r="1331" spans="1:2" x14ac:dyDescent="0.25">
      <c r="A1331" s="183">
        <v>5092</v>
      </c>
      <c r="B1331" s="184" t="s">
        <v>4880</v>
      </c>
    </row>
    <row r="1332" spans="1:2" x14ac:dyDescent="0.25">
      <c r="A1332" s="183">
        <v>5092</v>
      </c>
      <c r="B1332" s="184" t="s">
        <v>4881</v>
      </c>
    </row>
    <row r="1333" spans="1:2" ht="25.5" x14ac:dyDescent="0.25">
      <c r="A1333" s="183">
        <v>5092</v>
      </c>
      <c r="B1333" s="184" t="s">
        <v>4882</v>
      </c>
    </row>
    <row r="1334" spans="1:2" x14ac:dyDescent="0.25">
      <c r="A1334" s="183">
        <v>5093</v>
      </c>
      <c r="B1334" s="184" t="s">
        <v>4883</v>
      </c>
    </row>
    <row r="1335" spans="1:2" x14ac:dyDescent="0.25">
      <c r="A1335" s="183">
        <v>5093</v>
      </c>
      <c r="B1335" s="184" t="s">
        <v>4884</v>
      </c>
    </row>
    <row r="1336" spans="1:2" x14ac:dyDescent="0.25">
      <c r="A1336" s="183">
        <v>5093</v>
      </c>
      <c r="B1336" s="184" t="s">
        <v>4885</v>
      </c>
    </row>
    <row r="1337" spans="1:2" ht="25.5" x14ac:dyDescent="0.25">
      <c r="A1337" s="183">
        <v>5094</v>
      </c>
      <c r="B1337" s="184" t="s">
        <v>4886</v>
      </c>
    </row>
    <row r="1338" spans="1:2" ht="25.5" x14ac:dyDescent="0.25">
      <c r="A1338" s="183">
        <v>5094</v>
      </c>
      <c r="B1338" s="184" t="s">
        <v>4887</v>
      </c>
    </row>
    <row r="1339" spans="1:2" x14ac:dyDescent="0.25">
      <c r="A1339" s="183">
        <v>5094</v>
      </c>
      <c r="B1339" s="184" t="s">
        <v>4888</v>
      </c>
    </row>
    <row r="1340" spans="1:2" ht="25.5" x14ac:dyDescent="0.25">
      <c r="A1340" s="183">
        <v>5094</v>
      </c>
      <c r="B1340" s="184" t="s">
        <v>4889</v>
      </c>
    </row>
    <row r="1341" spans="1:2" ht="25.5" x14ac:dyDescent="0.25">
      <c r="A1341" s="183">
        <v>5099</v>
      </c>
      <c r="B1341" s="184" t="s">
        <v>4890</v>
      </c>
    </row>
    <row r="1342" spans="1:2" x14ac:dyDescent="0.25">
      <c r="A1342" s="183">
        <v>5099</v>
      </c>
      <c r="B1342" s="184" t="s">
        <v>4891</v>
      </c>
    </row>
    <row r="1343" spans="1:2" x14ac:dyDescent="0.25">
      <c r="A1343" s="183">
        <v>5099</v>
      </c>
      <c r="B1343" s="184" t="s">
        <v>4892</v>
      </c>
    </row>
    <row r="1344" spans="1:2" ht="25.5" x14ac:dyDescent="0.25">
      <c r="A1344" s="183">
        <v>5099</v>
      </c>
      <c r="B1344" s="184" t="s">
        <v>4893</v>
      </c>
    </row>
    <row r="1345" spans="1:2" x14ac:dyDescent="0.25">
      <c r="A1345" s="183">
        <v>5099</v>
      </c>
      <c r="B1345" s="184" t="s">
        <v>4894</v>
      </c>
    </row>
    <row r="1346" spans="1:2" x14ac:dyDescent="0.25">
      <c r="A1346" s="183">
        <v>5099</v>
      </c>
      <c r="B1346" s="184" t="s">
        <v>4895</v>
      </c>
    </row>
    <row r="1347" spans="1:2" x14ac:dyDescent="0.25">
      <c r="A1347" s="183">
        <v>5099</v>
      </c>
      <c r="B1347" s="184" t="s">
        <v>4896</v>
      </c>
    </row>
    <row r="1348" spans="1:2" ht="25.5" x14ac:dyDescent="0.25">
      <c r="A1348" s="183">
        <v>5111</v>
      </c>
      <c r="B1348" s="184" t="s">
        <v>4897</v>
      </c>
    </row>
    <row r="1349" spans="1:2" x14ac:dyDescent="0.25">
      <c r="A1349" s="183">
        <v>5111</v>
      </c>
      <c r="B1349" s="184" t="s">
        <v>4898</v>
      </c>
    </row>
    <row r="1350" spans="1:2" x14ac:dyDescent="0.25">
      <c r="A1350" s="183">
        <v>5111</v>
      </c>
      <c r="B1350" s="184" t="s">
        <v>4899</v>
      </c>
    </row>
    <row r="1351" spans="1:2" x14ac:dyDescent="0.25">
      <c r="A1351" s="183">
        <v>5111</v>
      </c>
      <c r="B1351" s="184" t="s">
        <v>4900</v>
      </c>
    </row>
    <row r="1352" spans="1:2" ht="25.5" x14ac:dyDescent="0.25">
      <c r="A1352" s="183">
        <v>5112</v>
      </c>
      <c r="B1352" s="184" t="s">
        <v>4901</v>
      </c>
    </row>
    <row r="1353" spans="1:2" x14ac:dyDescent="0.25">
      <c r="A1353" s="183">
        <v>5112</v>
      </c>
      <c r="B1353" s="184" t="s">
        <v>4902</v>
      </c>
    </row>
    <row r="1354" spans="1:2" x14ac:dyDescent="0.25">
      <c r="A1354" s="183">
        <v>5112</v>
      </c>
      <c r="B1354" s="184" t="s">
        <v>4903</v>
      </c>
    </row>
    <row r="1355" spans="1:2" x14ac:dyDescent="0.25">
      <c r="A1355" s="183">
        <v>5112</v>
      </c>
      <c r="B1355" s="184" t="s">
        <v>4904</v>
      </c>
    </row>
    <row r="1356" spans="1:2" ht="25.5" x14ac:dyDescent="0.25">
      <c r="A1356" s="183">
        <v>5113</v>
      </c>
      <c r="B1356" s="184" t="s">
        <v>4905</v>
      </c>
    </row>
    <row r="1357" spans="1:2" x14ac:dyDescent="0.25">
      <c r="A1357" s="183">
        <v>5113</v>
      </c>
      <c r="B1357" s="184" t="s">
        <v>4906</v>
      </c>
    </row>
    <row r="1358" spans="1:2" x14ac:dyDescent="0.25">
      <c r="A1358" s="183">
        <v>5113</v>
      </c>
      <c r="B1358" s="184" t="s">
        <v>4907</v>
      </c>
    </row>
    <row r="1359" spans="1:2" ht="25.5" x14ac:dyDescent="0.25">
      <c r="A1359" s="183">
        <v>5113</v>
      </c>
      <c r="B1359" s="184" t="s">
        <v>4908</v>
      </c>
    </row>
    <row r="1360" spans="1:2" ht="25.5" x14ac:dyDescent="0.25">
      <c r="A1360" s="183">
        <v>5122</v>
      </c>
      <c r="B1360" s="184" t="s">
        <v>4909</v>
      </c>
    </row>
    <row r="1361" spans="1:2" x14ac:dyDescent="0.25">
      <c r="A1361" s="183">
        <v>5122</v>
      </c>
      <c r="B1361" s="184" t="s">
        <v>4910</v>
      </c>
    </row>
    <row r="1362" spans="1:2" x14ac:dyDescent="0.25">
      <c r="A1362" s="183">
        <v>5122</v>
      </c>
      <c r="B1362" s="184" t="s">
        <v>4911</v>
      </c>
    </row>
    <row r="1363" spans="1:2" x14ac:dyDescent="0.25">
      <c r="A1363" s="183">
        <v>5122</v>
      </c>
      <c r="B1363" s="184" t="s">
        <v>4912</v>
      </c>
    </row>
    <row r="1364" spans="1:2" x14ac:dyDescent="0.25">
      <c r="A1364" s="183">
        <v>5122</v>
      </c>
      <c r="B1364" s="184" t="s">
        <v>4913</v>
      </c>
    </row>
    <row r="1365" spans="1:2" x14ac:dyDescent="0.25">
      <c r="A1365" s="183">
        <v>5122</v>
      </c>
      <c r="B1365" s="184" t="s">
        <v>4914</v>
      </c>
    </row>
    <row r="1366" spans="1:2" x14ac:dyDescent="0.25">
      <c r="A1366" s="183">
        <v>5131</v>
      </c>
      <c r="B1366" s="184" t="s">
        <v>4915</v>
      </c>
    </row>
    <row r="1367" spans="1:2" x14ac:dyDescent="0.25">
      <c r="A1367" s="183">
        <v>5131</v>
      </c>
      <c r="B1367" s="184" t="s">
        <v>4916</v>
      </c>
    </row>
    <row r="1368" spans="1:2" ht="38.25" x14ac:dyDescent="0.25">
      <c r="A1368" s="183">
        <v>5131</v>
      </c>
      <c r="B1368" s="184" t="s">
        <v>4917</v>
      </c>
    </row>
    <row r="1369" spans="1:2" x14ac:dyDescent="0.25">
      <c r="A1369" s="183">
        <v>5131</v>
      </c>
      <c r="B1369" s="184" t="s">
        <v>4918</v>
      </c>
    </row>
    <row r="1370" spans="1:2" x14ac:dyDescent="0.25">
      <c r="A1370" s="183">
        <v>5131</v>
      </c>
      <c r="B1370" s="184" t="s">
        <v>4919</v>
      </c>
    </row>
    <row r="1371" spans="1:2" ht="25.5" x14ac:dyDescent="0.25">
      <c r="A1371" s="183">
        <v>5131</v>
      </c>
      <c r="B1371" s="184" t="s">
        <v>4920</v>
      </c>
    </row>
    <row r="1372" spans="1:2" x14ac:dyDescent="0.25">
      <c r="A1372" s="183">
        <v>5136</v>
      </c>
      <c r="B1372" s="184" t="s">
        <v>4921</v>
      </c>
    </row>
    <row r="1373" spans="1:2" ht="25.5" x14ac:dyDescent="0.25">
      <c r="A1373" s="183">
        <v>5136</v>
      </c>
      <c r="B1373" s="184" t="s">
        <v>4922</v>
      </c>
    </row>
    <row r="1374" spans="1:2" x14ac:dyDescent="0.25">
      <c r="A1374" s="183">
        <v>5136</v>
      </c>
      <c r="B1374" s="184" t="s">
        <v>4923</v>
      </c>
    </row>
    <row r="1375" spans="1:2" x14ac:dyDescent="0.25">
      <c r="A1375" s="183">
        <v>5136</v>
      </c>
      <c r="B1375" s="184" t="s">
        <v>4924</v>
      </c>
    </row>
    <row r="1376" spans="1:2" ht="25.5" x14ac:dyDescent="0.25">
      <c r="A1376" s="183">
        <v>5136</v>
      </c>
      <c r="B1376" s="184" t="s">
        <v>4925</v>
      </c>
    </row>
    <row r="1377" spans="1:2" x14ac:dyDescent="0.25">
      <c r="A1377" s="183">
        <v>5136</v>
      </c>
      <c r="B1377" s="184" t="s">
        <v>4926</v>
      </c>
    </row>
    <row r="1378" spans="1:2" ht="25.5" x14ac:dyDescent="0.25">
      <c r="A1378" s="183">
        <v>5137</v>
      </c>
      <c r="B1378" s="184" t="s">
        <v>4927</v>
      </c>
    </row>
    <row r="1379" spans="1:2" ht="38.25" x14ac:dyDescent="0.25">
      <c r="A1379" s="183">
        <v>5137</v>
      </c>
      <c r="B1379" s="184" t="s">
        <v>4928</v>
      </c>
    </row>
    <row r="1380" spans="1:2" ht="25.5" x14ac:dyDescent="0.25">
      <c r="A1380" s="183">
        <v>5137</v>
      </c>
      <c r="B1380" s="184" t="s">
        <v>4929</v>
      </c>
    </row>
    <row r="1381" spans="1:2" x14ac:dyDescent="0.25">
      <c r="A1381" s="183">
        <v>5137</v>
      </c>
      <c r="B1381" s="184" t="s">
        <v>4930</v>
      </c>
    </row>
    <row r="1382" spans="1:2" ht="25.5" x14ac:dyDescent="0.25">
      <c r="A1382" s="183">
        <v>5137</v>
      </c>
      <c r="B1382" s="184" t="s">
        <v>4931</v>
      </c>
    </row>
    <row r="1383" spans="1:2" ht="25.5" x14ac:dyDescent="0.25">
      <c r="A1383" s="183">
        <v>5137</v>
      </c>
      <c r="B1383" s="184" t="s">
        <v>4932</v>
      </c>
    </row>
    <row r="1384" spans="1:2" ht="25.5" x14ac:dyDescent="0.25">
      <c r="A1384" s="183">
        <v>5137</v>
      </c>
      <c r="B1384" s="184" t="s">
        <v>4933</v>
      </c>
    </row>
    <row r="1385" spans="1:2" x14ac:dyDescent="0.25">
      <c r="A1385" s="183">
        <v>5139</v>
      </c>
      <c r="B1385" s="184" t="s">
        <v>4934</v>
      </c>
    </row>
    <row r="1386" spans="1:2" x14ac:dyDescent="0.25">
      <c r="A1386" s="183">
        <v>5139</v>
      </c>
      <c r="B1386" s="184" t="s">
        <v>4935</v>
      </c>
    </row>
    <row r="1387" spans="1:2" x14ac:dyDescent="0.25">
      <c r="A1387" s="183">
        <v>5139</v>
      </c>
      <c r="B1387" s="184" t="s">
        <v>4936</v>
      </c>
    </row>
    <row r="1388" spans="1:2" x14ac:dyDescent="0.25">
      <c r="A1388" s="183">
        <v>5139</v>
      </c>
      <c r="B1388" s="184" t="s">
        <v>4937</v>
      </c>
    </row>
    <row r="1389" spans="1:2" ht="25.5" x14ac:dyDescent="0.25">
      <c r="A1389" s="183">
        <v>5141</v>
      </c>
      <c r="B1389" s="184" t="s">
        <v>4938</v>
      </c>
    </row>
    <row r="1390" spans="1:2" x14ac:dyDescent="0.25">
      <c r="A1390" s="183">
        <v>5141</v>
      </c>
      <c r="B1390" s="184" t="s">
        <v>4939</v>
      </c>
    </row>
    <row r="1391" spans="1:2" x14ac:dyDescent="0.25">
      <c r="A1391" s="183">
        <v>5141</v>
      </c>
      <c r="B1391" s="184" t="s">
        <v>4940</v>
      </c>
    </row>
    <row r="1392" spans="1:2" x14ac:dyDescent="0.25">
      <c r="A1392" s="183">
        <v>5141</v>
      </c>
      <c r="B1392" s="184" t="s">
        <v>4941</v>
      </c>
    </row>
    <row r="1393" spans="1:2" ht="25.5" x14ac:dyDescent="0.25">
      <c r="A1393" s="183">
        <v>5142</v>
      </c>
      <c r="B1393" s="184" t="s">
        <v>4942</v>
      </c>
    </row>
    <row r="1394" spans="1:2" x14ac:dyDescent="0.25">
      <c r="A1394" s="183">
        <v>5142</v>
      </c>
      <c r="B1394" s="184" t="s">
        <v>4943</v>
      </c>
    </row>
    <row r="1395" spans="1:2" x14ac:dyDescent="0.25">
      <c r="A1395" s="183">
        <v>5142</v>
      </c>
      <c r="B1395" s="184" t="s">
        <v>4944</v>
      </c>
    </row>
    <row r="1396" spans="1:2" x14ac:dyDescent="0.25">
      <c r="A1396" s="183">
        <v>5142</v>
      </c>
      <c r="B1396" s="184" t="s">
        <v>4945</v>
      </c>
    </row>
    <row r="1397" spans="1:2" ht="25.5" x14ac:dyDescent="0.25">
      <c r="A1397" s="183">
        <v>5143</v>
      </c>
      <c r="B1397" s="184" t="s">
        <v>4946</v>
      </c>
    </row>
    <row r="1398" spans="1:2" x14ac:dyDescent="0.25">
      <c r="A1398" s="183">
        <v>5143</v>
      </c>
      <c r="B1398" s="184" t="s">
        <v>4947</v>
      </c>
    </row>
    <row r="1399" spans="1:2" x14ac:dyDescent="0.25">
      <c r="A1399" s="183">
        <v>5143</v>
      </c>
      <c r="B1399" s="184" t="s">
        <v>4948</v>
      </c>
    </row>
    <row r="1400" spans="1:2" x14ac:dyDescent="0.25">
      <c r="A1400" s="183">
        <v>5143</v>
      </c>
      <c r="B1400" s="184" t="s">
        <v>4949</v>
      </c>
    </row>
    <row r="1401" spans="1:2" ht="25.5" x14ac:dyDescent="0.25">
      <c r="A1401" s="183">
        <v>5144</v>
      </c>
      <c r="B1401" s="184" t="s">
        <v>4950</v>
      </c>
    </row>
    <row r="1402" spans="1:2" x14ac:dyDescent="0.25">
      <c r="A1402" s="183">
        <v>5144</v>
      </c>
      <c r="B1402" s="184" t="s">
        <v>4951</v>
      </c>
    </row>
    <row r="1403" spans="1:2" x14ac:dyDescent="0.25">
      <c r="A1403" s="183">
        <v>5144</v>
      </c>
      <c r="B1403" s="184" t="s">
        <v>4952</v>
      </c>
    </row>
    <row r="1404" spans="1:2" x14ac:dyDescent="0.25">
      <c r="A1404" s="183">
        <v>5144</v>
      </c>
      <c r="B1404" s="184" t="s">
        <v>4953</v>
      </c>
    </row>
    <row r="1405" spans="1:2" x14ac:dyDescent="0.25">
      <c r="A1405" s="183">
        <v>5145</v>
      </c>
      <c r="B1405" s="184" t="s">
        <v>4954</v>
      </c>
    </row>
    <row r="1406" spans="1:2" x14ac:dyDescent="0.25">
      <c r="A1406" s="183">
        <v>5145</v>
      </c>
      <c r="B1406" s="184" t="s">
        <v>4955</v>
      </c>
    </row>
    <row r="1407" spans="1:2" x14ac:dyDescent="0.25">
      <c r="A1407" s="183">
        <v>5145</v>
      </c>
      <c r="B1407" s="184" t="s">
        <v>4956</v>
      </c>
    </row>
    <row r="1408" spans="1:2" x14ac:dyDescent="0.25">
      <c r="A1408" s="183">
        <v>5145</v>
      </c>
      <c r="B1408" s="184" t="s">
        <v>4957</v>
      </c>
    </row>
    <row r="1409" spans="1:2" ht="25.5" x14ac:dyDescent="0.25">
      <c r="A1409" s="183">
        <v>5146</v>
      </c>
      <c r="B1409" s="184" t="s">
        <v>4958</v>
      </c>
    </row>
    <row r="1410" spans="1:2" x14ac:dyDescent="0.25">
      <c r="A1410" s="183">
        <v>5146</v>
      </c>
      <c r="B1410" s="184" t="s">
        <v>4959</v>
      </c>
    </row>
    <row r="1411" spans="1:2" x14ac:dyDescent="0.25">
      <c r="A1411" s="183">
        <v>5146</v>
      </c>
      <c r="B1411" s="184" t="s">
        <v>4960</v>
      </c>
    </row>
    <row r="1412" spans="1:2" x14ac:dyDescent="0.25">
      <c r="A1412" s="183">
        <v>5146</v>
      </c>
      <c r="B1412" s="184" t="s">
        <v>4961</v>
      </c>
    </row>
    <row r="1413" spans="1:2" x14ac:dyDescent="0.25">
      <c r="A1413" s="183">
        <v>5147</v>
      </c>
      <c r="B1413" s="184" t="s">
        <v>4962</v>
      </c>
    </row>
    <row r="1414" spans="1:2" ht="25.5" x14ac:dyDescent="0.25">
      <c r="A1414" s="183">
        <v>5147</v>
      </c>
      <c r="B1414" s="184" t="s">
        <v>4963</v>
      </c>
    </row>
    <row r="1415" spans="1:2" x14ac:dyDescent="0.25">
      <c r="A1415" s="183">
        <v>5147</v>
      </c>
      <c r="B1415" s="184" t="s">
        <v>4964</v>
      </c>
    </row>
    <row r="1416" spans="1:2" x14ac:dyDescent="0.25">
      <c r="A1416" s="183">
        <v>5147</v>
      </c>
      <c r="B1416" s="184" t="s">
        <v>4965</v>
      </c>
    </row>
    <row r="1417" spans="1:2" x14ac:dyDescent="0.25">
      <c r="A1417" s="183">
        <v>5147</v>
      </c>
      <c r="B1417" s="184" t="s">
        <v>4966</v>
      </c>
    </row>
    <row r="1418" spans="1:2" ht="25.5" x14ac:dyDescent="0.25">
      <c r="A1418" s="183">
        <v>5148</v>
      </c>
      <c r="B1418" s="184" t="s">
        <v>4967</v>
      </c>
    </row>
    <row r="1419" spans="1:2" x14ac:dyDescent="0.25">
      <c r="A1419" s="183">
        <v>5148</v>
      </c>
      <c r="B1419" s="184" t="s">
        <v>4968</v>
      </c>
    </row>
    <row r="1420" spans="1:2" x14ac:dyDescent="0.25">
      <c r="A1420" s="183">
        <v>5148</v>
      </c>
      <c r="B1420" s="184" t="s">
        <v>4969</v>
      </c>
    </row>
    <row r="1421" spans="1:2" x14ac:dyDescent="0.25">
      <c r="A1421" s="183">
        <v>5148</v>
      </c>
      <c r="B1421" s="184" t="s">
        <v>4970</v>
      </c>
    </row>
    <row r="1422" spans="1:2" x14ac:dyDescent="0.25">
      <c r="A1422" s="183">
        <v>5149</v>
      </c>
      <c r="B1422" s="184" t="s">
        <v>4971</v>
      </c>
    </row>
    <row r="1423" spans="1:2" ht="38.25" x14ac:dyDescent="0.25">
      <c r="A1423" s="183">
        <v>5149</v>
      </c>
      <c r="B1423" s="184" t="s">
        <v>4972</v>
      </c>
    </row>
    <row r="1424" spans="1:2" x14ac:dyDescent="0.25">
      <c r="A1424" s="183">
        <v>5149</v>
      </c>
      <c r="B1424" s="184" t="s">
        <v>4973</v>
      </c>
    </row>
    <row r="1425" spans="1:2" x14ac:dyDescent="0.25">
      <c r="A1425" s="183">
        <v>5149</v>
      </c>
      <c r="B1425" s="184" t="s">
        <v>4974</v>
      </c>
    </row>
    <row r="1426" spans="1:2" ht="25.5" x14ac:dyDescent="0.25">
      <c r="A1426" s="183">
        <v>5149</v>
      </c>
      <c r="B1426" s="184" t="s">
        <v>4975</v>
      </c>
    </row>
    <row r="1427" spans="1:2" x14ac:dyDescent="0.25">
      <c r="A1427" s="183">
        <v>5149</v>
      </c>
      <c r="B1427" s="184" t="s">
        <v>4976</v>
      </c>
    </row>
    <row r="1428" spans="1:2" ht="25.5" x14ac:dyDescent="0.25">
      <c r="A1428" s="183">
        <v>5153</v>
      </c>
      <c r="B1428" s="184" t="s">
        <v>4977</v>
      </c>
    </row>
    <row r="1429" spans="1:2" x14ac:dyDescent="0.25">
      <c r="A1429" s="183">
        <v>5153</v>
      </c>
      <c r="B1429" s="184" t="s">
        <v>4978</v>
      </c>
    </row>
    <row r="1430" spans="1:2" x14ac:dyDescent="0.25">
      <c r="A1430" s="183">
        <v>5153</v>
      </c>
      <c r="B1430" s="184" t="s">
        <v>4979</v>
      </c>
    </row>
    <row r="1431" spans="1:2" x14ac:dyDescent="0.25">
      <c r="A1431" s="183">
        <v>5153</v>
      </c>
      <c r="B1431" s="184" t="s">
        <v>4980</v>
      </c>
    </row>
    <row r="1432" spans="1:2" x14ac:dyDescent="0.25">
      <c r="A1432" s="183">
        <v>5154</v>
      </c>
      <c r="B1432" s="184" t="s">
        <v>4981</v>
      </c>
    </row>
    <row r="1433" spans="1:2" x14ac:dyDescent="0.25">
      <c r="A1433" s="183">
        <v>5154</v>
      </c>
      <c r="B1433" s="184" t="s">
        <v>4982</v>
      </c>
    </row>
    <row r="1434" spans="1:2" x14ac:dyDescent="0.25">
      <c r="A1434" s="183">
        <v>5154</v>
      </c>
      <c r="B1434" s="184" t="s">
        <v>4983</v>
      </c>
    </row>
    <row r="1435" spans="1:2" ht="25.5" x14ac:dyDescent="0.25">
      <c r="A1435" s="183">
        <v>5159</v>
      </c>
      <c r="B1435" s="184" t="s">
        <v>4984</v>
      </c>
    </row>
    <row r="1436" spans="1:2" x14ac:dyDescent="0.25">
      <c r="A1436" s="183">
        <v>5159</v>
      </c>
      <c r="B1436" s="184" t="s">
        <v>4985</v>
      </c>
    </row>
    <row r="1437" spans="1:2" x14ac:dyDescent="0.25">
      <c r="A1437" s="183">
        <v>5159</v>
      </c>
      <c r="B1437" s="184" t="s">
        <v>4986</v>
      </c>
    </row>
    <row r="1438" spans="1:2" x14ac:dyDescent="0.25">
      <c r="A1438" s="183">
        <v>5159</v>
      </c>
      <c r="B1438" s="184" t="s">
        <v>4987</v>
      </c>
    </row>
    <row r="1439" spans="1:2" ht="25.5" x14ac:dyDescent="0.25">
      <c r="A1439" s="183">
        <v>5162</v>
      </c>
      <c r="B1439" s="184" t="s">
        <v>4988</v>
      </c>
    </row>
    <row r="1440" spans="1:2" x14ac:dyDescent="0.25">
      <c r="A1440" s="183">
        <v>5162</v>
      </c>
      <c r="B1440" s="184" t="s">
        <v>4989</v>
      </c>
    </row>
    <row r="1441" spans="1:2" x14ac:dyDescent="0.25">
      <c r="A1441" s="183">
        <v>5162</v>
      </c>
      <c r="B1441" s="184" t="s">
        <v>4990</v>
      </c>
    </row>
    <row r="1442" spans="1:2" ht="25.5" x14ac:dyDescent="0.25">
      <c r="A1442" s="183">
        <v>5162</v>
      </c>
      <c r="B1442" s="184" t="s">
        <v>4991</v>
      </c>
    </row>
    <row r="1443" spans="1:2" x14ac:dyDescent="0.25">
      <c r="A1443" s="183">
        <v>5169</v>
      </c>
      <c r="B1443" s="184" t="s">
        <v>4992</v>
      </c>
    </row>
    <row r="1444" spans="1:2" x14ac:dyDescent="0.25">
      <c r="A1444" s="183">
        <v>5169</v>
      </c>
      <c r="B1444" s="184" t="s">
        <v>4993</v>
      </c>
    </row>
    <row r="1445" spans="1:2" x14ac:dyDescent="0.25">
      <c r="A1445" s="183">
        <v>5169</v>
      </c>
      <c r="B1445" s="184" t="s">
        <v>4994</v>
      </c>
    </row>
    <row r="1446" spans="1:2" x14ac:dyDescent="0.25">
      <c r="A1446" s="183">
        <v>5171</v>
      </c>
      <c r="B1446" s="184" t="s">
        <v>340</v>
      </c>
    </row>
    <row r="1447" spans="1:2" x14ac:dyDescent="0.25">
      <c r="A1447" s="183">
        <v>5171</v>
      </c>
      <c r="B1447" s="184" t="s">
        <v>4995</v>
      </c>
    </row>
    <row r="1448" spans="1:2" x14ac:dyDescent="0.25">
      <c r="A1448" s="183">
        <v>5171</v>
      </c>
      <c r="B1448" s="184" t="s">
        <v>4996</v>
      </c>
    </row>
    <row r="1449" spans="1:2" ht="25.5" x14ac:dyDescent="0.25">
      <c r="A1449" s="183">
        <v>5172</v>
      </c>
      <c r="B1449" s="184" t="s">
        <v>4997</v>
      </c>
    </row>
    <row r="1450" spans="1:2" ht="25.5" x14ac:dyDescent="0.25">
      <c r="A1450" s="183">
        <v>5172</v>
      </c>
      <c r="B1450" s="184" t="s">
        <v>4998</v>
      </c>
    </row>
    <row r="1451" spans="1:2" ht="25.5" x14ac:dyDescent="0.25">
      <c r="A1451" s="183">
        <v>5172</v>
      </c>
      <c r="B1451" s="184" t="s">
        <v>4999</v>
      </c>
    </row>
    <row r="1452" spans="1:2" x14ac:dyDescent="0.25">
      <c r="A1452" s="183">
        <v>5181</v>
      </c>
      <c r="B1452" s="184" t="s">
        <v>5000</v>
      </c>
    </row>
    <row r="1453" spans="1:2" x14ac:dyDescent="0.25">
      <c r="A1453" s="183">
        <v>5181</v>
      </c>
      <c r="B1453" s="184" t="s">
        <v>5001</v>
      </c>
    </row>
    <row r="1454" spans="1:2" x14ac:dyDescent="0.25">
      <c r="A1454" s="183">
        <v>5181</v>
      </c>
      <c r="B1454" s="184" t="s">
        <v>5002</v>
      </c>
    </row>
    <row r="1455" spans="1:2" x14ac:dyDescent="0.25">
      <c r="A1455" s="183">
        <v>5181</v>
      </c>
      <c r="B1455" s="184" t="s">
        <v>5003</v>
      </c>
    </row>
    <row r="1456" spans="1:2" ht="25.5" x14ac:dyDescent="0.25">
      <c r="A1456" s="183">
        <v>5182</v>
      </c>
      <c r="B1456" s="184" t="s">
        <v>5004</v>
      </c>
    </row>
    <row r="1457" spans="1:2" x14ac:dyDescent="0.25">
      <c r="A1457" s="183">
        <v>5182</v>
      </c>
      <c r="B1457" s="184" t="s">
        <v>5005</v>
      </c>
    </row>
    <row r="1458" spans="1:2" x14ac:dyDescent="0.25">
      <c r="A1458" s="183">
        <v>5182</v>
      </c>
      <c r="B1458" s="184" t="s">
        <v>5006</v>
      </c>
    </row>
    <row r="1459" spans="1:2" ht="25.5" x14ac:dyDescent="0.25">
      <c r="A1459" s="183">
        <v>5182</v>
      </c>
      <c r="B1459" s="184" t="s">
        <v>5007</v>
      </c>
    </row>
    <row r="1460" spans="1:2" ht="25.5" x14ac:dyDescent="0.25">
      <c r="A1460" s="183">
        <v>5191</v>
      </c>
      <c r="B1460" s="184" t="s">
        <v>5008</v>
      </c>
    </row>
    <row r="1461" spans="1:2" x14ac:dyDescent="0.25">
      <c r="A1461" s="183">
        <v>5191</v>
      </c>
      <c r="B1461" s="184" t="s">
        <v>5009</v>
      </c>
    </row>
    <row r="1462" spans="1:2" x14ac:dyDescent="0.25">
      <c r="A1462" s="183">
        <v>5191</v>
      </c>
      <c r="B1462" s="184" t="s">
        <v>5010</v>
      </c>
    </row>
    <row r="1463" spans="1:2" x14ac:dyDescent="0.25">
      <c r="A1463" s="183">
        <v>5191</v>
      </c>
      <c r="B1463" s="184" t="s">
        <v>5011</v>
      </c>
    </row>
    <row r="1464" spans="1:2" ht="25.5" x14ac:dyDescent="0.25">
      <c r="A1464" s="183">
        <v>5192</v>
      </c>
      <c r="B1464" s="184" t="s">
        <v>5012</v>
      </c>
    </row>
    <row r="1465" spans="1:2" x14ac:dyDescent="0.25">
      <c r="A1465" s="183">
        <v>5192</v>
      </c>
      <c r="B1465" s="184" t="s">
        <v>5013</v>
      </c>
    </row>
    <row r="1466" spans="1:2" x14ac:dyDescent="0.25">
      <c r="A1466" s="183">
        <v>5192</v>
      </c>
      <c r="B1466" s="184" t="s">
        <v>5014</v>
      </c>
    </row>
    <row r="1467" spans="1:2" x14ac:dyDescent="0.25">
      <c r="A1467" s="183">
        <v>5192</v>
      </c>
      <c r="B1467" s="184" t="s">
        <v>5015</v>
      </c>
    </row>
    <row r="1468" spans="1:2" ht="25.5" x14ac:dyDescent="0.25">
      <c r="A1468" s="183">
        <v>5193</v>
      </c>
      <c r="B1468" s="184" t="s">
        <v>5016</v>
      </c>
    </row>
    <row r="1469" spans="1:2" x14ac:dyDescent="0.25">
      <c r="A1469" s="183">
        <v>5193</v>
      </c>
      <c r="B1469" s="184" t="s">
        <v>5017</v>
      </c>
    </row>
    <row r="1470" spans="1:2" x14ac:dyDescent="0.25">
      <c r="A1470" s="183">
        <v>5193</v>
      </c>
      <c r="B1470" s="184" t="s">
        <v>5018</v>
      </c>
    </row>
    <row r="1471" spans="1:2" x14ac:dyDescent="0.25">
      <c r="A1471" s="183">
        <v>5193</v>
      </c>
      <c r="B1471" s="184" t="s">
        <v>5019</v>
      </c>
    </row>
    <row r="1472" spans="1:2" ht="25.5" x14ac:dyDescent="0.25">
      <c r="A1472" s="183">
        <v>5194</v>
      </c>
      <c r="B1472" s="184" t="s">
        <v>5020</v>
      </c>
    </row>
    <row r="1473" spans="1:2" x14ac:dyDescent="0.25">
      <c r="A1473" s="183">
        <v>5194</v>
      </c>
      <c r="B1473" s="184" t="s">
        <v>5021</v>
      </c>
    </row>
    <row r="1474" spans="1:2" x14ac:dyDescent="0.25">
      <c r="A1474" s="183">
        <v>5194</v>
      </c>
      <c r="B1474" s="184" t="s">
        <v>5022</v>
      </c>
    </row>
    <row r="1475" spans="1:2" x14ac:dyDescent="0.25">
      <c r="A1475" s="183">
        <v>5194</v>
      </c>
      <c r="B1475" s="184" t="s">
        <v>5023</v>
      </c>
    </row>
    <row r="1476" spans="1:2" x14ac:dyDescent="0.25">
      <c r="A1476" s="183">
        <v>5198</v>
      </c>
      <c r="B1476" s="184" t="s">
        <v>5024</v>
      </c>
    </row>
    <row r="1477" spans="1:2" x14ac:dyDescent="0.25">
      <c r="A1477" s="183">
        <v>5198</v>
      </c>
      <c r="B1477" s="184" t="s">
        <v>5025</v>
      </c>
    </row>
    <row r="1478" spans="1:2" x14ac:dyDescent="0.25">
      <c r="A1478" s="183">
        <v>5198</v>
      </c>
      <c r="B1478" s="184" t="s">
        <v>5026</v>
      </c>
    </row>
    <row r="1479" spans="1:2" x14ac:dyDescent="0.25">
      <c r="A1479" s="183">
        <v>5199</v>
      </c>
      <c r="B1479" s="184" t="s">
        <v>5027</v>
      </c>
    </row>
    <row r="1480" spans="1:2" x14ac:dyDescent="0.25">
      <c r="A1480" s="183">
        <v>5199</v>
      </c>
      <c r="B1480" s="184" t="s">
        <v>5028</v>
      </c>
    </row>
    <row r="1481" spans="1:2" x14ac:dyDescent="0.25">
      <c r="A1481" s="183">
        <v>5199</v>
      </c>
      <c r="B1481" s="184" t="s">
        <v>5029</v>
      </c>
    </row>
    <row r="1482" spans="1:2" ht="38.25" x14ac:dyDescent="0.25">
      <c r="A1482" s="183">
        <v>5199</v>
      </c>
      <c r="B1482" s="184" t="s">
        <v>5030</v>
      </c>
    </row>
    <row r="1483" spans="1:2" x14ac:dyDescent="0.25">
      <c r="A1483" s="183">
        <v>5199</v>
      </c>
      <c r="B1483" s="184" t="s">
        <v>5031</v>
      </c>
    </row>
    <row r="1484" spans="1:2" x14ac:dyDescent="0.25">
      <c r="A1484" s="183">
        <v>5199</v>
      </c>
      <c r="B1484" s="184" t="s">
        <v>5032</v>
      </c>
    </row>
    <row r="1485" spans="1:2" x14ac:dyDescent="0.25">
      <c r="A1485" s="183">
        <v>5199</v>
      </c>
      <c r="B1485" s="184" t="s">
        <v>5033</v>
      </c>
    </row>
    <row r="1486" spans="1:2" x14ac:dyDescent="0.25">
      <c r="A1486" s="183">
        <v>5199</v>
      </c>
      <c r="B1486" s="184" t="s">
        <v>5034</v>
      </c>
    </row>
    <row r="1487" spans="1:2" x14ac:dyDescent="0.25">
      <c r="A1487" s="183">
        <v>5199</v>
      </c>
      <c r="B1487" s="184" t="s">
        <v>5035</v>
      </c>
    </row>
    <row r="1488" spans="1:2" x14ac:dyDescent="0.25">
      <c r="A1488" s="183">
        <v>5199</v>
      </c>
      <c r="B1488" s="184" t="s">
        <v>5036</v>
      </c>
    </row>
    <row r="1489" spans="1:2" x14ac:dyDescent="0.25">
      <c r="A1489" s="183">
        <v>5211</v>
      </c>
      <c r="B1489" s="184" t="s">
        <v>5037</v>
      </c>
    </row>
    <row r="1490" spans="1:2" x14ac:dyDescent="0.25">
      <c r="A1490" s="183">
        <v>5211</v>
      </c>
      <c r="B1490" s="184" t="s">
        <v>5038</v>
      </c>
    </row>
    <row r="1491" spans="1:2" x14ac:dyDescent="0.25">
      <c r="A1491" s="183">
        <v>5231</v>
      </c>
      <c r="B1491" s="184" t="s">
        <v>5039</v>
      </c>
    </row>
    <row r="1492" spans="1:2" x14ac:dyDescent="0.25">
      <c r="A1492" s="183">
        <v>5231</v>
      </c>
      <c r="B1492" s="184" t="s">
        <v>5040</v>
      </c>
    </row>
    <row r="1493" spans="1:2" x14ac:dyDescent="0.25">
      <c r="A1493" s="183">
        <v>5251</v>
      </c>
      <c r="B1493" s="184" t="s">
        <v>3681</v>
      </c>
    </row>
    <row r="1494" spans="1:2" x14ac:dyDescent="0.25">
      <c r="A1494" s="183">
        <v>5261</v>
      </c>
      <c r="B1494" s="184" t="s">
        <v>5041</v>
      </c>
    </row>
    <row r="1495" spans="1:2" x14ac:dyDescent="0.25">
      <c r="A1495" s="183">
        <v>5261</v>
      </c>
      <c r="B1495" s="184" t="s">
        <v>5042</v>
      </c>
    </row>
    <row r="1496" spans="1:2" x14ac:dyDescent="0.25">
      <c r="A1496" s="183">
        <v>5271</v>
      </c>
      <c r="B1496" s="184" t="s">
        <v>5043</v>
      </c>
    </row>
    <row r="1497" spans="1:2" ht="25.5" x14ac:dyDescent="0.25">
      <c r="A1497" s="183">
        <v>5311</v>
      </c>
      <c r="B1497" s="184" t="s">
        <v>5044</v>
      </c>
    </row>
    <row r="1498" spans="1:2" x14ac:dyDescent="0.25">
      <c r="A1498" s="183">
        <v>5311</v>
      </c>
      <c r="B1498" s="184" t="s">
        <v>5045</v>
      </c>
    </row>
    <row r="1499" spans="1:2" x14ac:dyDescent="0.25">
      <c r="A1499" s="183">
        <v>5331</v>
      </c>
      <c r="B1499" s="184" t="s">
        <v>5046</v>
      </c>
    </row>
    <row r="1500" spans="1:2" ht="25.5" x14ac:dyDescent="0.25">
      <c r="A1500" s="183">
        <v>5399</v>
      </c>
      <c r="B1500" s="184" t="s">
        <v>5047</v>
      </c>
    </row>
    <row r="1501" spans="1:2" ht="25.5" x14ac:dyDescent="0.25">
      <c r="A1501" s="183">
        <v>5399</v>
      </c>
      <c r="B1501" s="184" t="s">
        <v>5048</v>
      </c>
    </row>
    <row r="1502" spans="1:2" ht="25.5" x14ac:dyDescent="0.25">
      <c r="A1502" s="183">
        <v>5411</v>
      </c>
      <c r="B1502" s="184" t="s">
        <v>5049</v>
      </c>
    </row>
    <row r="1503" spans="1:2" x14ac:dyDescent="0.25">
      <c r="A1503" s="183">
        <v>5411</v>
      </c>
      <c r="B1503" s="184" t="s">
        <v>5050</v>
      </c>
    </row>
    <row r="1504" spans="1:2" x14ac:dyDescent="0.25">
      <c r="A1504" s="183">
        <v>5411</v>
      </c>
      <c r="B1504" s="184" t="s">
        <v>5051</v>
      </c>
    </row>
    <row r="1505" spans="1:2" x14ac:dyDescent="0.25">
      <c r="A1505" s="183">
        <v>5411</v>
      </c>
      <c r="B1505" s="184" t="s">
        <v>5052</v>
      </c>
    </row>
    <row r="1506" spans="1:2" x14ac:dyDescent="0.25">
      <c r="A1506" s="183">
        <v>5411</v>
      </c>
      <c r="B1506" s="184" t="s">
        <v>5053</v>
      </c>
    </row>
    <row r="1507" spans="1:2" ht="25.5" x14ac:dyDescent="0.25">
      <c r="A1507" s="183">
        <v>5421</v>
      </c>
      <c r="B1507" s="184" t="s">
        <v>5054</v>
      </c>
    </row>
    <row r="1508" spans="1:2" x14ac:dyDescent="0.25">
      <c r="A1508" s="183">
        <v>5421</v>
      </c>
      <c r="B1508" s="184" t="s">
        <v>5055</v>
      </c>
    </row>
    <row r="1509" spans="1:2" x14ac:dyDescent="0.25">
      <c r="A1509" s="183">
        <v>5421</v>
      </c>
      <c r="B1509" s="184" t="s">
        <v>5056</v>
      </c>
    </row>
    <row r="1510" spans="1:2" x14ac:dyDescent="0.25">
      <c r="A1510" s="183">
        <v>5431</v>
      </c>
      <c r="B1510" s="184" t="s">
        <v>5057</v>
      </c>
    </row>
    <row r="1511" spans="1:2" x14ac:dyDescent="0.25">
      <c r="A1511" s="183">
        <v>5431</v>
      </c>
      <c r="B1511" s="184" t="s">
        <v>5058</v>
      </c>
    </row>
    <row r="1512" spans="1:2" x14ac:dyDescent="0.25">
      <c r="A1512" s="183">
        <v>5441</v>
      </c>
      <c r="B1512" s="184" t="s">
        <v>5059</v>
      </c>
    </row>
    <row r="1513" spans="1:2" x14ac:dyDescent="0.25">
      <c r="A1513" s="183">
        <v>5441</v>
      </c>
      <c r="B1513" s="184" t="s">
        <v>5060</v>
      </c>
    </row>
    <row r="1514" spans="1:2" x14ac:dyDescent="0.25">
      <c r="A1514" s="183">
        <v>5441</v>
      </c>
      <c r="B1514" s="184" t="s">
        <v>5061</v>
      </c>
    </row>
    <row r="1515" spans="1:2" x14ac:dyDescent="0.25">
      <c r="A1515" s="183">
        <v>5451</v>
      </c>
      <c r="B1515" s="184" t="s">
        <v>5062</v>
      </c>
    </row>
    <row r="1516" spans="1:2" x14ac:dyDescent="0.25">
      <c r="A1516" s="183">
        <v>5461</v>
      </c>
      <c r="B1516" s="184" t="s">
        <v>5063</v>
      </c>
    </row>
    <row r="1517" spans="1:2" x14ac:dyDescent="0.25">
      <c r="A1517" s="183">
        <v>5461</v>
      </c>
      <c r="B1517" s="184" t="s">
        <v>5064</v>
      </c>
    </row>
    <row r="1518" spans="1:2" x14ac:dyDescent="0.25">
      <c r="A1518" s="183">
        <v>5461</v>
      </c>
      <c r="B1518" s="184" t="s">
        <v>5065</v>
      </c>
    </row>
    <row r="1519" spans="1:2" x14ac:dyDescent="0.25">
      <c r="A1519" s="183">
        <v>5499</v>
      </c>
      <c r="B1519" s="184" t="s">
        <v>5066</v>
      </c>
    </row>
    <row r="1520" spans="1:2" x14ac:dyDescent="0.25">
      <c r="A1520" s="183">
        <v>5499</v>
      </c>
      <c r="B1520" s="184" t="s">
        <v>5067</v>
      </c>
    </row>
    <row r="1521" spans="1:2" x14ac:dyDescent="0.25">
      <c r="A1521" s="183">
        <v>5499</v>
      </c>
      <c r="B1521" s="184" t="s">
        <v>5068</v>
      </c>
    </row>
    <row r="1522" spans="1:2" x14ac:dyDescent="0.25">
      <c r="A1522" s="183">
        <v>5511</v>
      </c>
      <c r="B1522" s="184" t="s">
        <v>5069</v>
      </c>
    </row>
    <row r="1523" spans="1:2" x14ac:dyDescent="0.25">
      <c r="A1523" s="183">
        <v>5521</v>
      </c>
      <c r="B1523" s="184" t="s">
        <v>5070</v>
      </c>
    </row>
    <row r="1524" spans="1:2" x14ac:dyDescent="0.25">
      <c r="A1524" s="183">
        <v>5531</v>
      </c>
      <c r="B1524" s="184" t="s">
        <v>5071</v>
      </c>
    </row>
    <row r="1525" spans="1:2" x14ac:dyDescent="0.25">
      <c r="A1525" s="183">
        <v>5531</v>
      </c>
      <c r="B1525" s="184" t="s">
        <v>5072</v>
      </c>
    </row>
    <row r="1526" spans="1:2" x14ac:dyDescent="0.25">
      <c r="A1526" s="183">
        <v>5531</v>
      </c>
      <c r="B1526" s="184" t="s">
        <v>5073</v>
      </c>
    </row>
    <row r="1527" spans="1:2" x14ac:dyDescent="0.25">
      <c r="A1527" s="183">
        <v>5541</v>
      </c>
      <c r="B1527" s="184" t="s">
        <v>5074</v>
      </c>
    </row>
    <row r="1528" spans="1:2" x14ac:dyDescent="0.25">
      <c r="A1528" s="183">
        <v>5541</v>
      </c>
      <c r="B1528" s="184" t="s">
        <v>5075</v>
      </c>
    </row>
    <row r="1529" spans="1:2" x14ac:dyDescent="0.25">
      <c r="A1529" s="183">
        <v>5551</v>
      </c>
      <c r="B1529" s="184" t="s">
        <v>5076</v>
      </c>
    </row>
    <row r="1530" spans="1:2" x14ac:dyDescent="0.25">
      <c r="A1530" s="183">
        <v>5561</v>
      </c>
      <c r="B1530" s="184" t="s">
        <v>3659</v>
      </c>
    </row>
    <row r="1531" spans="1:2" x14ac:dyDescent="0.25">
      <c r="A1531" s="183">
        <v>5571</v>
      </c>
      <c r="B1531" s="184" t="s">
        <v>5077</v>
      </c>
    </row>
    <row r="1532" spans="1:2" x14ac:dyDescent="0.25">
      <c r="A1532" s="183">
        <v>5599</v>
      </c>
      <c r="B1532" s="184" t="s">
        <v>5078</v>
      </c>
    </row>
    <row r="1533" spans="1:2" x14ac:dyDescent="0.25">
      <c r="A1533" s="183">
        <v>5611</v>
      </c>
      <c r="B1533" s="184" t="s">
        <v>5079</v>
      </c>
    </row>
    <row r="1534" spans="1:2" x14ac:dyDescent="0.25">
      <c r="A1534" s="183">
        <v>5611</v>
      </c>
      <c r="B1534" s="184" t="s">
        <v>5080</v>
      </c>
    </row>
    <row r="1535" spans="1:2" x14ac:dyDescent="0.25">
      <c r="A1535" s="183">
        <v>5621</v>
      </c>
      <c r="B1535" s="184" t="s">
        <v>5081</v>
      </c>
    </row>
    <row r="1536" spans="1:2" x14ac:dyDescent="0.25">
      <c r="A1536" s="183">
        <v>5621</v>
      </c>
      <c r="B1536" s="184" t="s">
        <v>5082</v>
      </c>
    </row>
    <row r="1537" spans="1:2" x14ac:dyDescent="0.25">
      <c r="A1537" s="183">
        <v>5632</v>
      </c>
      <c r="B1537" s="184" t="s">
        <v>5083</v>
      </c>
    </row>
    <row r="1538" spans="1:2" x14ac:dyDescent="0.25">
      <c r="A1538" s="183">
        <v>5632</v>
      </c>
      <c r="B1538" s="184" t="s">
        <v>5084</v>
      </c>
    </row>
    <row r="1539" spans="1:2" x14ac:dyDescent="0.25">
      <c r="A1539" s="183">
        <v>5641</v>
      </c>
      <c r="B1539" s="184" t="s">
        <v>5085</v>
      </c>
    </row>
    <row r="1540" spans="1:2" x14ac:dyDescent="0.25">
      <c r="A1540" s="183">
        <v>5651</v>
      </c>
      <c r="B1540" s="184" t="s">
        <v>3724</v>
      </c>
    </row>
    <row r="1541" spans="1:2" x14ac:dyDescent="0.25">
      <c r="A1541" s="183">
        <v>5661</v>
      </c>
      <c r="B1541" s="184" t="s">
        <v>3730</v>
      </c>
    </row>
    <row r="1542" spans="1:2" x14ac:dyDescent="0.25">
      <c r="A1542" s="183">
        <v>5699</v>
      </c>
      <c r="B1542" s="184" t="s">
        <v>5086</v>
      </c>
    </row>
    <row r="1543" spans="1:2" x14ac:dyDescent="0.25">
      <c r="A1543" s="183">
        <v>5699</v>
      </c>
      <c r="B1543" s="184" t="s">
        <v>5086</v>
      </c>
    </row>
    <row r="1544" spans="1:2" x14ac:dyDescent="0.25">
      <c r="A1544" s="183">
        <v>5699</v>
      </c>
      <c r="B1544" s="184" t="s">
        <v>5087</v>
      </c>
    </row>
    <row r="1545" spans="1:2" x14ac:dyDescent="0.25">
      <c r="A1545" s="183">
        <v>5699</v>
      </c>
      <c r="B1545" s="184" t="s">
        <v>5088</v>
      </c>
    </row>
    <row r="1546" spans="1:2" ht="25.5" x14ac:dyDescent="0.25">
      <c r="A1546" s="183">
        <v>5699</v>
      </c>
      <c r="B1546" s="184" t="s">
        <v>5089</v>
      </c>
    </row>
    <row r="1547" spans="1:2" x14ac:dyDescent="0.25">
      <c r="A1547" s="183">
        <v>5712</v>
      </c>
      <c r="B1547" s="184" t="s">
        <v>5090</v>
      </c>
    </row>
    <row r="1548" spans="1:2" x14ac:dyDescent="0.25">
      <c r="A1548" s="183">
        <v>5712</v>
      </c>
      <c r="B1548" s="184" t="s">
        <v>5091</v>
      </c>
    </row>
    <row r="1549" spans="1:2" x14ac:dyDescent="0.25">
      <c r="A1549" s="183">
        <v>5712</v>
      </c>
      <c r="B1549" s="184" t="s">
        <v>5092</v>
      </c>
    </row>
    <row r="1550" spans="1:2" x14ac:dyDescent="0.25">
      <c r="A1550" s="183">
        <v>5712</v>
      </c>
      <c r="B1550" s="184" t="s">
        <v>5093</v>
      </c>
    </row>
    <row r="1551" spans="1:2" x14ac:dyDescent="0.25">
      <c r="A1551" s="183">
        <v>5713</v>
      </c>
      <c r="B1551" s="184" t="s">
        <v>5094</v>
      </c>
    </row>
    <row r="1552" spans="1:2" x14ac:dyDescent="0.25">
      <c r="A1552" s="183">
        <v>5714</v>
      </c>
      <c r="B1552" s="184" t="s">
        <v>5095</v>
      </c>
    </row>
    <row r="1553" spans="1:2" x14ac:dyDescent="0.25">
      <c r="A1553" s="183">
        <v>5714</v>
      </c>
      <c r="B1553" s="184" t="s">
        <v>5096</v>
      </c>
    </row>
    <row r="1554" spans="1:2" x14ac:dyDescent="0.25">
      <c r="A1554" s="183">
        <v>5714</v>
      </c>
      <c r="B1554" s="184" t="s">
        <v>5097</v>
      </c>
    </row>
    <row r="1555" spans="1:2" x14ac:dyDescent="0.25">
      <c r="A1555" s="183">
        <v>5714</v>
      </c>
      <c r="B1555" s="184" t="s">
        <v>5098</v>
      </c>
    </row>
    <row r="1556" spans="1:2" x14ac:dyDescent="0.25">
      <c r="A1556" s="183">
        <v>5719</v>
      </c>
      <c r="B1556" s="184" t="s">
        <v>5099</v>
      </c>
    </row>
    <row r="1557" spans="1:2" x14ac:dyDescent="0.25">
      <c r="A1557" s="183">
        <v>5719</v>
      </c>
      <c r="B1557" s="184" t="s">
        <v>5100</v>
      </c>
    </row>
    <row r="1558" spans="1:2" ht="25.5" x14ac:dyDescent="0.25">
      <c r="A1558" s="183">
        <v>5719</v>
      </c>
      <c r="B1558" s="184" t="s">
        <v>5101</v>
      </c>
    </row>
    <row r="1559" spans="1:2" x14ac:dyDescent="0.25">
      <c r="A1559" s="183">
        <v>5722</v>
      </c>
      <c r="B1559" s="184" t="s">
        <v>3674</v>
      </c>
    </row>
    <row r="1560" spans="1:2" x14ac:dyDescent="0.25">
      <c r="A1560" s="183">
        <v>5731</v>
      </c>
      <c r="B1560" s="184" t="s">
        <v>5102</v>
      </c>
    </row>
    <row r="1561" spans="1:2" x14ac:dyDescent="0.25">
      <c r="A1561" s="183">
        <v>5731</v>
      </c>
      <c r="B1561" s="184" t="s">
        <v>5103</v>
      </c>
    </row>
    <row r="1562" spans="1:2" x14ac:dyDescent="0.25">
      <c r="A1562" s="183">
        <v>5734</v>
      </c>
      <c r="B1562" s="184" t="s">
        <v>5104</v>
      </c>
    </row>
    <row r="1563" spans="1:2" x14ac:dyDescent="0.25">
      <c r="A1563" s="183">
        <v>5735</v>
      </c>
      <c r="B1563" s="184" t="s">
        <v>5105</v>
      </c>
    </row>
    <row r="1564" spans="1:2" x14ac:dyDescent="0.25">
      <c r="A1564" s="183">
        <v>5736</v>
      </c>
      <c r="B1564" s="184" t="s">
        <v>5106</v>
      </c>
    </row>
    <row r="1565" spans="1:2" x14ac:dyDescent="0.25">
      <c r="A1565" s="183">
        <v>5812</v>
      </c>
      <c r="B1565" s="184" t="s">
        <v>5107</v>
      </c>
    </row>
    <row r="1566" spans="1:2" x14ac:dyDescent="0.25">
      <c r="A1566" s="183">
        <v>5812</v>
      </c>
      <c r="B1566" s="184" t="s">
        <v>5108</v>
      </c>
    </row>
    <row r="1567" spans="1:2" x14ac:dyDescent="0.25">
      <c r="A1567" s="183">
        <v>5812</v>
      </c>
      <c r="B1567" s="184" t="s">
        <v>5109</v>
      </c>
    </row>
    <row r="1568" spans="1:2" x14ac:dyDescent="0.25">
      <c r="A1568" s="183">
        <v>5812</v>
      </c>
      <c r="B1568" s="184" t="s">
        <v>5110</v>
      </c>
    </row>
    <row r="1569" spans="1:2" x14ac:dyDescent="0.25">
      <c r="A1569" s="183">
        <v>5812</v>
      </c>
      <c r="B1569" s="184" t="s">
        <v>5111</v>
      </c>
    </row>
    <row r="1570" spans="1:2" x14ac:dyDescent="0.25">
      <c r="A1570" s="183">
        <v>5812</v>
      </c>
      <c r="B1570" s="184" t="s">
        <v>5112</v>
      </c>
    </row>
    <row r="1571" spans="1:2" x14ac:dyDescent="0.25">
      <c r="A1571" s="183">
        <v>5812</v>
      </c>
      <c r="B1571" s="184" t="s">
        <v>5113</v>
      </c>
    </row>
    <row r="1572" spans="1:2" x14ac:dyDescent="0.25">
      <c r="A1572" s="183">
        <v>5813</v>
      </c>
      <c r="B1572" s="184" t="s">
        <v>4552</v>
      </c>
    </row>
    <row r="1573" spans="1:2" x14ac:dyDescent="0.25">
      <c r="A1573" s="183">
        <v>5912</v>
      </c>
      <c r="B1573" s="184" t="s">
        <v>5114</v>
      </c>
    </row>
    <row r="1574" spans="1:2" x14ac:dyDescent="0.25">
      <c r="A1574" s="183">
        <v>5921</v>
      </c>
      <c r="B1574" s="184" t="s">
        <v>5115</v>
      </c>
    </row>
    <row r="1575" spans="1:2" x14ac:dyDescent="0.25">
      <c r="A1575" s="183">
        <v>5932</v>
      </c>
      <c r="B1575" s="184" t="s">
        <v>5116</v>
      </c>
    </row>
    <row r="1576" spans="1:2" x14ac:dyDescent="0.25">
      <c r="A1576" s="183">
        <v>5932</v>
      </c>
      <c r="B1576" s="184" t="s">
        <v>5117</v>
      </c>
    </row>
    <row r="1577" spans="1:2" x14ac:dyDescent="0.25">
      <c r="A1577" s="183">
        <v>5941</v>
      </c>
      <c r="B1577" s="184" t="s">
        <v>5118</v>
      </c>
    </row>
    <row r="1578" spans="1:2" x14ac:dyDescent="0.25">
      <c r="A1578" s="183">
        <v>5942</v>
      </c>
      <c r="B1578" s="184" t="s">
        <v>3744</v>
      </c>
    </row>
    <row r="1579" spans="1:2" x14ac:dyDescent="0.25">
      <c r="A1579" s="183">
        <v>5943</v>
      </c>
      <c r="B1579" s="184" t="s">
        <v>5119</v>
      </c>
    </row>
    <row r="1580" spans="1:2" x14ac:dyDescent="0.25">
      <c r="A1580" s="183">
        <v>5944</v>
      </c>
      <c r="B1580" s="184" t="s">
        <v>3732</v>
      </c>
    </row>
    <row r="1581" spans="1:2" x14ac:dyDescent="0.25">
      <c r="A1581" s="183">
        <v>5945</v>
      </c>
      <c r="B1581" s="184" t="s">
        <v>3738</v>
      </c>
    </row>
    <row r="1582" spans="1:2" x14ac:dyDescent="0.25">
      <c r="A1582" s="183">
        <v>5946</v>
      </c>
      <c r="B1582" s="184" t="s">
        <v>5120</v>
      </c>
    </row>
    <row r="1583" spans="1:2" x14ac:dyDescent="0.25">
      <c r="A1583" s="183">
        <v>5947</v>
      </c>
      <c r="B1583" s="184" t="s">
        <v>5121</v>
      </c>
    </row>
    <row r="1584" spans="1:2" x14ac:dyDescent="0.25">
      <c r="A1584" s="183">
        <v>5948</v>
      </c>
      <c r="B1584" s="184" t="s">
        <v>3734</v>
      </c>
    </row>
    <row r="1585" spans="1:2" x14ac:dyDescent="0.25">
      <c r="A1585" s="183">
        <v>5949</v>
      </c>
      <c r="B1585" s="184" t="s">
        <v>3740</v>
      </c>
    </row>
    <row r="1586" spans="1:2" x14ac:dyDescent="0.25">
      <c r="A1586" s="183">
        <v>5961</v>
      </c>
      <c r="B1586" s="184" t="s">
        <v>5122</v>
      </c>
    </row>
    <row r="1587" spans="1:2" x14ac:dyDescent="0.25">
      <c r="A1587" s="183">
        <v>5961</v>
      </c>
      <c r="B1587" s="184" t="s">
        <v>5123</v>
      </c>
    </row>
    <row r="1588" spans="1:2" x14ac:dyDescent="0.25">
      <c r="A1588" s="183">
        <v>5961</v>
      </c>
      <c r="B1588" s="184" t="s">
        <v>5124</v>
      </c>
    </row>
    <row r="1589" spans="1:2" x14ac:dyDescent="0.25">
      <c r="A1589" s="183">
        <v>5962</v>
      </c>
      <c r="B1589" s="184" t="s">
        <v>5125</v>
      </c>
    </row>
    <row r="1590" spans="1:2" x14ac:dyDescent="0.25">
      <c r="A1590" s="183">
        <v>5963</v>
      </c>
      <c r="B1590" s="184" t="s">
        <v>5126</v>
      </c>
    </row>
    <row r="1591" spans="1:2" x14ac:dyDescent="0.25">
      <c r="A1591" s="183">
        <v>5963</v>
      </c>
      <c r="B1591" s="184" t="s">
        <v>5127</v>
      </c>
    </row>
    <row r="1592" spans="1:2" x14ac:dyDescent="0.25">
      <c r="A1592" s="183">
        <v>5983</v>
      </c>
      <c r="B1592" s="184" t="s">
        <v>5128</v>
      </c>
    </row>
    <row r="1593" spans="1:2" x14ac:dyDescent="0.25">
      <c r="A1593" s="183">
        <v>5984</v>
      </c>
      <c r="B1593" s="184" t="s">
        <v>5129</v>
      </c>
    </row>
    <row r="1594" spans="1:2" x14ac:dyDescent="0.25">
      <c r="A1594" s="183">
        <v>5989</v>
      </c>
      <c r="B1594" s="184" t="s">
        <v>5130</v>
      </c>
    </row>
    <row r="1595" spans="1:2" x14ac:dyDescent="0.25">
      <c r="A1595" s="183">
        <v>5992</v>
      </c>
      <c r="B1595" s="184" t="s">
        <v>3754</v>
      </c>
    </row>
    <row r="1596" spans="1:2" x14ac:dyDescent="0.25">
      <c r="A1596" s="183">
        <v>5993</v>
      </c>
      <c r="B1596" s="184" t="s">
        <v>5131</v>
      </c>
    </row>
    <row r="1597" spans="1:2" x14ac:dyDescent="0.25">
      <c r="A1597" s="183">
        <v>5994</v>
      </c>
      <c r="B1597" s="184" t="s">
        <v>5132</v>
      </c>
    </row>
    <row r="1598" spans="1:2" x14ac:dyDescent="0.25">
      <c r="A1598" s="183">
        <v>5995</v>
      </c>
      <c r="B1598" s="184" t="s">
        <v>5133</v>
      </c>
    </row>
    <row r="1599" spans="1:2" x14ac:dyDescent="0.25">
      <c r="A1599" s="183">
        <v>5995</v>
      </c>
      <c r="B1599" s="184" t="s">
        <v>5134</v>
      </c>
    </row>
    <row r="1600" spans="1:2" ht="25.5" x14ac:dyDescent="0.25">
      <c r="A1600" s="183">
        <v>5999</v>
      </c>
      <c r="B1600" s="184" t="s">
        <v>5135</v>
      </c>
    </row>
    <row r="1601" spans="1:2" x14ac:dyDescent="0.25">
      <c r="A1601" s="183">
        <v>5999</v>
      </c>
      <c r="B1601" s="184" t="s">
        <v>5136</v>
      </c>
    </row>
    <row r="1602" spans="1:2" x14ac:dyDescent="0.25">
      <c r="A1602" s="183">
        <v>5999</v>
      </c>
      <c r="B1602" s="184" t="s">
        <v>5137</v>
      </c>
    </row>
    <row r="1603" spans="1:2" x14ac:dyDescent="0.25">
      <c r="A1603" s="183">
        <v>5999</v>
      </c>
      <c r="B1603" s="184" t="s">
        <v>5138</v>
      </c>
    </row>
    <row r="1604" spans="1:2" x14ac:dyDescent="0.25">
      <c r="A1604" s="183">
        <v>5999</v>
      </c>
      <c r="B1604" s="184" t="s">
        <v>5139</v>
      </c>
    </row>
    <row r="1605" spans="1:2" x14ac:dyDescent="0.25">
      <c r="A1605" s="183">
        <v>5999</v>
      </c>
      <c r="B1605" s="184" t="s">
        <v>5140</v>
      </c>
    </row>
    <row r="1606" spans="1:2" ht="38.25" x14ac:dyDescent="0.25">
      <c r="A1606" s="183">
        <v>5999</v>
      </c>
      <c r="B1606" s="184" t="s">
        <v>5141</v>
      </c>
    </row>
    <row r="1607" spans="1:2" x14ac:dyDescent="0.25">
      <c r="A1607" s="183">
        <v>6011</v>
      </c>
      <c r="B1607" s="184" t="s">
        <v>5142</v>
      </c>
    </row>
    <row r="1608" spans="1:2" x14ac:dyDescent="0.25">
      <c r="A1608" s="183">
        <v>6019</v>
      </c>
      <c r="B1608" s="184" t="s">
        <v>5143</v>
      </c>
    </row>
    <row r="1609" spans="1:2" x14ac:dyDescent="0.25">
      <c r="A1609" s="183">
        <v>6021</v>
      </c>
      <c r="B1609" s="184" t="s">
        <v>5144</v>
      </c>
    </row>
    <row r="1610" spans="1:2" x14ac:dyDescent="0.25">
      <c r="A1610" s="183">
        <v>6021</v>
      </c>
      <c r="B1610" s="184" t="s">
        <v>5145</v>
      </c>
    </row>
    <row r="1611" spans="1:2" x14ac:dyDescent="0.25">
      <c r="A1611" s="183">
        <v>6022</v>
      </c>
      <c r="B1611" s="184" t="s">
        <v>5146</v>
      </c>
    </row>
    <row r="1612" spans="1:2" x14ac:dyDescent="0.25">
      <c r="A1612" s="183">
        <v>6022</v>
      </c>
      <c r="B1612" s="184" t="s">
        <v>5147</v>
      </c>
    </row>
    <row r="1613" spans="1:2" x14ac:dyDescent="0.25">
      <c r="A1613" s="183">
        <v>6022</v>
      </c>
      <c r="B1613" s="184" t="s">
        <v>5148</v>
      </c>
    </row>
    <row r="1614" spans="1:2" x14ac:dyDescent="0.25">
      <c r="A1614" s="183">
        <v>6029</v>
      </c>
      <c r="B1614" s="184" t="s">
        <v>5149</v>
      </c>
    </row>
    <row r="1615" spans="1:2" x14ac:dyDescent="0.25">
      <c r="A1615" s="183">
        <v>6035</v>
      </c>
      <c r="B1615" s="184" t="s">
        <v>5150</v>
      </c>
    </row>
    <row r="1616" spans="1:2" x14ac:dyDescent="0.25">
      <c r="A1616" s="183">
        <v>6036</v>
      </c>
      <c r="B1616" s="184" t="s">
        <v>5151</v>
      </c>
    </row>
    <row r="1617" spans="1:2" x14ac:dyDescent="0.25">
      <c r="A1617" s="183">
        <v>6061</v>
      </c>
      <c r="B1617" s="184" t="s">
        <v>5152</v>
      </c>
    </row>
    <row r="1618" spans="1:2" x14ac:dyDescent="0.25">
      <c r="A1618" s="183">
        <v>6062</v>
      </c>
      <c r="B1618" s="184" t="s">
        <v>5153</v>
      </c>
    </row>
    <row r="1619" spans="1:2" x14ac:dyDescent="0.25">
      <c r="A1619" s="183">
        <v>6081</v>
      </c>
      <c r="B1619" s="184" t="s">
        <v>5154</v>
      </c>
    </row>
    <row r="1620" spans="1:2" x14ac:dyDescent="0.25">
      <c r="A1620" s="183">
        <v>6081</v>
      </c>
      <c r="B1620" s="184" t="s">
        <v>5155</v>
      </c>
    </row>
    <row r="1621" spans="1:2" x14ac:dyDescent="0.25">
      <c r="A1621" s="183">
        <v>6081</v>
      </c>
      <c r="B1621" s="184" t="s">
        <v>5156</v>
      </c>
    </row>
    <row r="1622" spans="1:2" x14ac:dyDescent="0.25">
      <c r="A1622" s="183">
        <v>6082</v>
      </c>
      <c r="B1622" s="184" t="s">
        <v>5157</v>
      </c>
    </row>
    <row r="1623" spans="1:2" x14ac:dyDescent="0.25">
      <c r="A1623" s="183">
        <v>6082</v>
      </c>
      <c r="B1623" s="184" t="s">
        <v>5158</v>
      </c>
    </row>
    <row r="1624" spans="1:2" x14ac:dyDescent="0.25">
      <c r="A1624" s="183">
        <v>6091</v>
      </c>
      <c r="B1624" s="184" t="s">
        <v>5159</v>
      </c>
    </row>
    <row r="1625" spans="1:2" ht="25.5" x14ac:dyDescent="0.25">
      <c r="A1625" s="183">
        <v>6099</v>
      </c>
      <c r="B1625" s="184" t="s">
        <v>5160</v>
      </c>
    </row>
    <row r="1626" spans="1:2" ht="38.25" x14ac:dyDescent="0.25">
      <c r="A1626" s="183">
        <v>6099</v>
      </c>
      <c r="B1626" s="184" t="s">
        <v>5161</v>
      </c>
    </row>
    <row r="1627" spans="1:2" x14ac:dyDescent="0.25">
      <c r="A1627" s="183">
        <v>6099</v>
      </c>
      <c r="B1627" s="184" t="s">
        <v>5162</v>
      </c>
    </row>
    <row r="1628" spans="1:2" x14ac:dyDescent="0.25">
      <c r="A1628" s="183">
        <v>6099</v>
      </c>
      <c r="B1628" s="184" t="s">
        <v>5163</v>
      </c>
    </row>
    <row r="1629" spans="1:2" x14ac:dyDescent="0.25">
      <c r="A1629" s="183">
        <v>6111</v>
      </c>
      <c r="B1629" s="184" t="s">
        <v>5164</v>
      </c>
    </row>
    <row r="1630" spans="1:2" x14ac:dyDescent="0.25">
      <c r="A1630" s="183">
        <v>6111</v>
      </c>
      <c r="B1630" s="184" t="s">
        <v>5164</v>
      </c>
    </row>
    <row r="1631" spans="1:2" x14ac:dyDescent="0.25">
      <c r="A1631" s="183">
        <v>6111</v>
      </c>
      <c r="B1631" s="184" t="s">
        <v>5165</v>
      </c>
    </row>
    <row r="1632" spans="1:2" ht="25.5" x14ac:dyDescent="0.25">
      <c r="A1632" s="183">
        <v>6111</v>
      </c>
      <c r="B1632" s="184" t="s">
        <v>5166</v>
      </c>
    </row>
    <row r="1633" spans="1:2" x14ac:dyDescent="0.25">
      <c r="A1633" s="183">
        <v>6141</v>
      </c>
      <c r="B1633" s="184" t="s">
        <v>5167</v>
      </c>
    </row>
    <row r="1634" spans="1:2" x14ac:dyDescent="0.25">
      <c r="A1634" s="183">
        <v>6141</v>
      </c>
      <c r="B1634" s="184" t="s">
        <v>5168</v>
      </c>
    </row>
    <row r="1635" spans="1:2" ht="25.5" x14ac:dyDescent="0.25">
      <c r="A1635" s="183">
        <v>6141</v>
      </c>
      <c r="B1635" s="184" t="s">
        <v>5169</v>
      </c>
    </row>
    <row r="1636" spans="1:2" x14ac:dyDescent="0.25">
      <c r="A1636" s="183">
        <v>6141</v>
      </c>
      <c r="B1636" s="184" t="s">
        <v>5170</v>
      </c>
    </row>
    <row r="1637" spans="1:2" x14ac:dyDescent="0.25">
      <c r="A1637" s="183">
        <v>6153</v>
      </c>
      <c r="B1637" s="184" t="s">
        <v>5171</v>
      </c>
    </row>
    <row r="1638" spans="1:2" x14ac:dyDescent="0.25">
      <c r="A1638" s="183">
        <v>6153</v>
      </c>
      <c r="B1638" s="184" t="s">
        <v>5172</v>
      </c>
    </row>
    <row r="1639" spans="1:2" ht="25.5" x14ac:dyDescent="0.25">
      <c r="A1639" s="183">
        <v>6153</v>
      </c>
      <c r="B1639" s="184" t="s">
        <v>5173</v>
      </c>
    </row>
    <row r="1640" spans="1:2" x14ac:dyDescent="0.25">
      <c r="A1640" s="183">
        <v>6153</v>
      </c>
      <c r="B1640" s="184" t="s">
        <v>5174</v>
      </c>
    </row>
    <row r="1641" spans="1:2" ht="38.25" x14ac:dyDescent="0.25">
      <c r="A1641" s="183">
        <v>6153</v>
      </c>
      <c r="B1641" s="184" t="s">
        <v>5175</v>
      </c>
    </row>
    <row r="1642" spans="1:2" x14ac:dyDescent="0.25">
      <c r="A1642" s="183">
        <v>6159</v>
      </c>
      <c r="B1642" s="184" t="s">
        <v>5176</v>
      </c>
    </row>
    <row r="1643" spans="1:2" x14ac:dyDescent="0.25">
      <c r="A1643" s="183">
        <v>6159</v>
      </c>
      <c r="B1643" s="184" t="s">
        <v>5177</v>
      </c>
    </row>
    <row r="1644" spans="1:2" x14ac:dyDescent="0.25">
      <c r="A1644" s="183">
        <v>6159</v>
      </c>
      <c r="B1644" s="184" t="s">
        <v>5178</v>
      </c>
    </row>
    <row r="1645" spans="1:2" x14ac:dyDescent="0.25">
      <c r="A1645" s="183">
        <v>6159</v>
      </c>
      <c r="B1645" s="184" t="s">
        <v>5179</v>
      </c>
    </row>
    <row r="1646" spans="1:2" ht="25.5" x14ac:dyDescent="0.25">
      <c r="A1646" s="183">
        <v>6159</v>
      </c>
      <c r="B1646" s="184" t="s">
        <v>5180</v>
      </c>
    </row>
    <row r="1647" spans="1:2" x14ac:dyDescent="0.25">
      <c r="A1647" s="183">
        <v>6162</v>
      </c>
      <c r="B1647" s="184" t="s">
        <v>5181</v>
      </c>
    </row>
    <row r="1648" spans="1:2" x14ac:dyDescent="0.25">
      <c r="A1648" s="183">
        <v>6162</v>
      </c>
      <c r="B1648" s="184" t="s">
        <v>5182</v>
      </c>
    </row>
    <row r="1649" spans="1:2" x14ac:dyDescent="0.25">
      <c r="A1649" s="183">
        <v>6163</v>
      </c>
      <c r="B1649" s="184" t="s">
        <v>5183</v>
      </c>
    </row>
    <row r="1650" spans="1:2" x14ac:dyDescent="0.25">
      <c r="A1650" s="183">
        <v>6211</v>
      </c>
      <c r="B1650" s="184" t="s">
        <v>5184</v>
      </c>
    </row>
    <row r="1651" spans="1:2" x14ac:dyDescent="0.25">
      <c r="A1651" s="183">
        <v>6211</v>
      </c>
      <c r="B1651" s="184" t="s">
        <v>5185</v>
      </c>
    </row>
    <row r="1652" spans="1:2" ht="25.5" x14ac:dyDescent="0.25">
      <c r="A1652" s="183">
        <v>6211</v>
      </c>
      <c r="B1652" s="184" t="s">
        <v>5186</v>
      </c>
    </row>
    <row r="1653" spans="1:2" x14ac:dyDescent="0.25">
      <c r="A1653" s="183">
        <v>6211</v>
      </c>
      <c r="B1653" s="184" t="s">
        <v>5187</v>
      </c>
    </row>
    <row r="1654" spans="1:2" x14ac:dyDescent="0.25">
      <c r="A1654" s="183">
        <v>6221</v>
      </c>
      <c r="B1654" s="184" t="s">
        <v>5188</v>
      </c>
    </row>
    <row r="1655" spans="1:2" x14ac:dyDescent="0.25">
      <c r="A1655" s="183">
        <v>6221</v>
      </c>
      <c r="B1655" s="184" t="s">
        <v>5189</v>
      </c>
    </row>
    <row r="1656" spans="1:2" x14ac:dyDescent="0.25">
      <c r="A1656" s="183">
        <v>6231</v>
      </c>
      <c r="B1656" s="184" t="s">
        <v>5190</v>
      </c>
    </row>
    <row r="1657" spans="1:2" x14ac:dyDescent="0.25">
      <c r="A1657" s="183">
        <v>6282</v>
      </c>
      <c r="B1657" s="184" t="s">
        <v>5191</v>
      </c>
    </row>
    <row r="1658" spans="1:2" x14ac:dyDescent="0.25">
      <c r="A1658" s="183">
        <v>6282</v>
      </c>
      <c r="B1658" s="184" t="s">
        <v>5192</v>
      </c>
    </row>
    <row r="1659" spans="1:2" x14ac:dyDescent="0.25">
      <c r="A1659" s="183">
        <v>6289</v>
      </c>
      <c r="B1659" s="184" t="s">
        <v>5193</v>
      </c>
    </row>
    <row r="1660" spans="1:2" ht="25.5" x14ac:dyDescent="0.25">
      <c r="A1660" s="183">
        <v>6289</v>
      </c>
      <c r="B1660" s="184" t="s">
        <v>5194</v>
      </c>
    </row>
    <row r="1661" spans="1:2" x14ac:dyDescent="0.25">
      <c r="A1661" s="183">
        <v>6311</v>
      </c>
      <c r="B1661" s="184" t="s">
        <v>5195</v>
      </c>
    </row>
    <row r="1662" spans="1:2" x14ac:dyDescent="0.25">
      <c r="A1662" s="183">
        <v>6311</v>
      </c>
      <c r="B1662" s="184" t="s">
        <v>5196</v>
      </c>
    </row>
    <row r="1663" spans="1:2" x14ac:dyDescent="0.25">
      <c r="A1663" s="183">
        <v>6311</v>
      </c>
      <c r="B1663" s="184" t="s">
        <v>5197</v>
      </c>
    </row>
    <row r="1664" spans="1:2" x14ac:dyDescent="0.25">
      <c r="A1664" s="183">
        <v>6321</v>
      </c>
      <c r="B1664" s="184" t="s">
        <v>5198</v>
      </c>
    </row>
    <row r="1665" spans="1:2" x14ac:dyDescent="0.25">
      <c r="A1665" s="183">
        <v>6321</v>
      </c>
      <c r="B1665" s="184" t="s">
        <v>5199</v>
      </c>
    </row>
    <row r="1666" spans="1:2" x14ac:dyDescent="0.25">
      <c r="A1666" s="183">
        <v>6321</v>
      </c>
      <c r="B1666" s="184" t="s">
        <v>5200</v>
      </c>
    </row>
    <row r="1667" spans="1:2" x14ac:dyDescent="0.25">
      <c r="A1667" s="183">
        <v>6321</v>
      </c>
      <c r="B1667" s="184" t="s">
        <v>5201</v>
      </c>
    </row>
    <row r="1668" spans="1:2" x14ac:dyDescent="0.25">
      <c r="A1668" s="183">
        <v>6324</v>
      </c>
      <c r="B1668" s="184" t="s">
        <v>5202</v>
      </c>
    </row>
    <row r="1669" spans="1:2" x14ac:dyDescent="0.25">
      <c r="A1669" s="183">
        <v>6324</v>
      </c>
      <c r="B1669" s="184" t="s">
        <v>5203</v>
      </c>
    </row>
    <row r="1670" spans="1:2" x14ac:dyDescent="0.25">
      <c r="A1670" s="183">
        <v>6324</v>
      </c>
      <c r="B1670" s="184" t="s">
        <v>5204</v>
      </c>
    </row>
    <row r="1671" spans="1:2" ht="25.5" x14ac:dyDescent="0.25">
      <c r="A1671" s="183">
        <v>6331</v>
      </c>
      <c r="B1671" s="184" t="s">
        <v>5205</v>
      </c>
    </row>
    <row r="1672" spans="1:2" x14ac:dyDescent="0.25">
      <c r="A1672" s="183">
        <v>6331</v>
      </c>
      <c r="B1672" s="184" t="s">
        <v>5206</v>
      </c>
    </row>
    <row r="1673" spans="1:2" x14ac:dyDescent="0.25">
      <c r="A1673" s="183">
        <v>6331</v>
      </c>
      <c r="B1673" s="184" t="s">
        <v>5207</v>
      </c>
    </row>
    <row r="1674" spans="1:2" x14ac:dyDescent="0.25">
      <c r="A1674" s="183">
        <v>6331</v>
      </c>
      <c r="B1674" s="184" t="s">
        <v>5208</v>
      </c>
    </row>
    <row r="1675" spans="1:2" x14ac:dyDescent="0.25">
      <c r="A1675" s="183">
        <v>6351</v>
      </c>
      <c r="B1675" s="184" t="s">
        <v>5209</v>
      </c>
    </row>
    <row r="1676" spans="1:2" x14ac:dyDescent="0.25">
      <c r="A1676" s="183">
        <v>6351</v>
      </c>
      <c r="B1676" s="184" t="s">
        <v>5210</v>
      </c>
    </row>
    <row r="1677" spans="1:2" x14ac:dyDescent="0.25">
      <c r="A1677" s="183">
        <v>6351</v>
      </c>
      <c r="B1677" s="184" t="s">
        <v>5211</v>
      </c>
    </row>
    <row r="1678" spans="1:2" x14ac:dyDescent="0.25">
      <c r="A1678" s="183">
        <v>6361</v>
      </c>
      <c r="B1678" s="184" t="s">
        <v>5212</v>
      </c>
    </row>
    <row r="1679" spans="1:2" x14ac:dyDescent="0.25">
      <c r="A1679" s="183">
        <v>6361</v>
      </c>
      <c r="B1679" s="184" t="s">
        <v>5213</v>
      </c>
    </row>
    <row r="1680" spans="1:2" x14ac:dyDescent="0.25">
      <c r="A1680" s="183">
        <v>6371</v>
      </c>
      <c r="B1680" s="184" t="s">
        <v>5214</v>
      </c>
    </row>
    <row r="1681" spans="1:2" x14ac:dyDescent="0.25">
      <c r="A1681" s="183">
        <v>6371</v>
      </c>
      <c r="B1681" s="184" t="s">
        <v>5215</v>
      </c>
    </row>
    <row r="1682" spans="1:2" x14ac:dyDescent="0.25">
      <c r="A1682" s="183">
        <v>6371</v>
      </c>
      <c r="B1682" s="184" t="s">
        <v>5216</v>
      </c>
    </row>
    <row r="1683" spans="1:2" x14ac:dyDescent="0.25">
      <c r="A1683" s="183">
        <v>6371</v>
      </c>
      <c r="B1683" s="184" t="s">
        <v>5217</v>
      </c>
    </row>
    <row r="1684" spans="1:2" x14ac:dyDescent="0.25">
      <c r="A1684" s="183">
        <v>6371</v>
      </c>
      <c r="B1684" s="184" t="s">
        <v>5218</v>
      </c>
    </row>
    <row r="1685" spans="1:2" x14ac:dyDescent="0.25">
      <c r="A1685" s="183">
        <v>6399</v>
      </c>
      <c r="B1685" s="184" t="s">
        <v>5219</v>
      </c>
    </row>
    <row r="1686" spans="1:2" x14ac:dyDescent="0.25">
      <c r="A1686" s="183">
        <v>6411</v>
      </c>
      <c r="B1686" s="184" t="s">
        <v>5220</v>
      </c>
    </row>
    <row r="1687" spans="1:2" x14ac:dyDescent="0.25">
      <c r="A1687" s="183">
        <v>6411</v>
      </c>
      <c r="B1687" s="184" t="s">
        <v>5221</v>
      </c>
    </row>
    <row r="1688" spans="1:2" x14ac:dyDescent="0.25">
      <c r="A1688" s="183">
        <v>6411</v>
      </c>
      <c r="B1688" s="184" t="s">
        <v>5222</v>
      </c>
    </row>
    <row r="1689" spans="1:2" ht="25.5" x14ac:dyDescent="0.25">
      <c r="A1689" s="183">
        <v>6411</v>
      </c>
      <c r="B1689" s="184" t="s">
        <v>5223</v>
      </c>
    </row>
    <row r="1690" spans="1:2" x14ac:dyDescent="0.25">
      <c r="A1690" s="183">
        <v>6512</v>
      </c>
      <c r="B1690" s="184" t="s">
        <v>5224</v>
      </c>
    </row>
    <row r="1691" spans="1:2" x14ac:dyDescent="0.25">
      <c r="A1691" s="183">
        <v>6512</v>
      </c>
      <c r="B1691" s="184" t="s">
        <v>5225</v>
      </c>
    </row>
    <row r="1692" spans="1:2" x14ac:dyDescent="0.25">
      <c r="A1692" s="183">
        <v>6513</v>
      </c>
      <c r="B1692" s="184" t="s">
        <v>5226</v>
      </c>
    </row>
    <row r="1693" spans="1:2" x14ac:dyDescent="0.25">
      <c r="A1693" s="183">
        <v>6514</v>
      </c>
      <c r="B1693" s="184" t="s">
        <v>5227</v>
      </c>
    </row>
    <row r="1694" spans="1:2" x14ac:dyDescent="0.25">
      <c r="A1694" s="183">
        <v>6515</v>
      </c>
      <c r="B1694" s="184" t="s">
        <v>5228</v>
      </c>
    </row>
    <row r="1695" spans="1:2" x14ac:dyDescent="0.25">
      <c r="A1695" s="183">
        <v>6517</v>
      </c>
      <c r="B1695" s="184" t="s">
        <v>5229</v>
      </c>
    </row>
    <row r="1696" spans="1:2" x14ac:dyDescent="0.25">
      <c r="A1696" s="183">
        <v>6519</v>
      </c>
      <c r="B1696" s="184" t="s">
        <v>5230</v>
      </c>
    </row>
    <row r="1697" spans="1:2" x14ac:dyDescent="0.25">
      <c r="A1697" s="183">
        <v>6531</v>
      </c>
      <c r="B1697" s="184" t="s">
        <v>5231</v>
      </c>
    </row>
    <row r="1698" spans="1:2" x14ac:dyDescent="0.25">
      <c r="A1698" s="183">
        <v>6531</v>
      </c>
      <c r="B1698" s="184" t="s">
        <v>5232</v>
      </c>
    </row>
    <row r="1699" spans="1:2" x14ac:dyDescent="0.25">
      <c r="A1699" s="183">
        <v>6531</v>
      </c>
      <c r="B1699" s="184" t="s">
        <v>5233</v>
      </c>
    </row>
    <row r="1700" spans="1:2" x14ac:dyDescent="0.25">
      <c r="A1700" s="183">
        <v>6531</v>
      </c>
      <c r="B1700" s="184" t="s">
        <v>5234</v>
      </c>
    </row>
    <row r="1701" spans="1:2" x14ac:dyDescent="0.25">
      <c r="A1701" s="183">
        <v>6531</v>
      </c>
      <c r="B1701" s="184" t="s">
        <v>5235</v>
      </c>
    </row>
    <row r="1702" spans="1:2" ht="25.5" x14ac:dyDescent="0.25">
      <c r="A1702" s="183">
        <v>6531</v>
      </c>
      <c r="B1702" s="184" t="s">
        <v>5236</v>
      </c>
    </row>
    <row r="1703" spans="1:2" x14ac:dyDescent="0.25">
      <c r="A1703" s="183">
        <v>6531</v>
      </c>
      <c r="B1703" s="184" t="s">
        <v>5237</v>
      </c>
    </row>
    <row r="1704" spans="1:2" x14ac:dyDescent="0.25">
      <c r="A1704" s="183">
        <v>6531</v>
      </c>
      <c r="B1704" s="184" t="s">
        <v>5238</v>
      </c>
    </row>
    <row r="1705" spans="1:2" x14ac:dyDescent="0.25">
      <c r="A1705" s="183">
        <v>6541</v>
      </c>
      <c r="B1705" s="184" t="s">
        <v>5239</v>
      </c>
    </row>
    <row r="1706" spans="1:2" x14ac:dyDescent="0.25">
      <c r="A1706" s="183">
        <v>6552</v>
      </c>
      <c r="B1706" s="184" t="s">
        <v>5240</v>
      </c>
    </row>
    <row r="1707" spans="1:2" x14ac:dyDescent="0.25">
      <c r="A1707" s="183">
        <v>6553</v>
      </c>
      <c r="B1707" s="184" t="s">
        <v>5241</v>
      </c>
    </row>
    <row r="1708" spans="1:2" x14ac:dyDescent="0.25">
      <c r="A1708" s="183">
        <v>6712</v>
      </c>
      <c r="B1708" s="184" t="s">
        <v>4280</v>
      </c>
    </row>
    <row r="1709" spans="1:2" x14ac:dyDescent="0.25">
      <c r="A1709" s="183">
        <v>6719</v>
      </c>
      <c r="B1709" s="184" t="s">
        <v>5242</v>
      </c>
    </row>
    <row r="1710" spans="1:2" x14ac:dyDescent="0.25">
      <c r="A1710" s="183">
        <v>6722</v>
      </c>
      <c r="B1710" s="184" t="s">
        <v>5243</v>
      </c>
    </row>
    <row r="1711" spans="1:2" ht="25.5" x14ac:dyDescent="0.25">
      <c r="A1711" s="183">
        <v>6726</v>
      </c>
      <c r="B1711" s="184" t="s">
        <v>5244</v>
      </c>
    </row>
    <row r="1712" spans="1:2" x14ac:dyDescent="0.25">
      <c r="A1712" s="183">
        <v>6732</v>
      </c>
      <c r="B1712" s="184" t="s">
        <v>5245</v>
      </c>
    </row>
    <row r="1713" spans="1:2" x14ac:dyDescent="0.25">
      <c r="A1713" s="183">
        <v>6733</v>
      </c>
      <c r="B1713" s="184" t="s">
        <v>5246</v>
      </c>
    </row>
    <row r="1714" spans="1:2" x14ac:dyDescent="0.25">
      <c r="A1714" s="183">
        <v>6733</v>
      </c>
      <c r="B1714" s="184" t="s">
        <v>5247</v>
      </c>
    </row>
    <row r="1715" spans="1:2" x14ac:dyDescent="0.25">
      <c r="A1715" s="183">
        <v>6733</v>
      </c>
      <c r="B1715" s="184" t="s">
        <v>5248</v>
      </c>
    </row>
    <row r="1716" spans="1:2" ht="25.5" x14ac:dyDescent="0.25">
      <c r="A1716" s="183">
        <v>6733</v>
      </c>
      <c r="B1716" s="184" t="s">
        <v>5249</v>
      </c>
    </row>
    <row r="1717" spans="1:2" x14ac:dyDescent="0.25">
      <c r="A1717" s="183">
        <v>6792</v>
      </c>
      <c r="B1717" s="184" t="s">
        <v>5250</v>
      </c>
    </row>
    <row r="1718" spans="1:2" x14ac:dyDescent="0.25">
      <c r="A1718" s="183">
        <v>6792</v>
      </c>
      <c r="B1718" s="184" t="s">
        <v>5251</v>
      </c>
    </row>
    <row r="1719" spans="1:2" x14ac:dyDescent="0.25">
      <c r="A1719" s="183">
        <v>6794</v>
      </c>
      <c r="B1719" s="184" t="s">
        <v>5252</v>
      </c>
    </row>
    <row r="1720" spans="1:2" x14ac:dyDescent="0.25">
      <c r="A1720" s="183">
        <v>6798</v>
      </c>
      <c r="B1720" s="184" t="s">
        <v>5253</v>
      </c>
    </row>
    <row r="1721" spans="1:2" x14ac:dyDescent="0.25">
      <c r="A1721" s="183">
        <v>6799</v>
      </c>
      <c r="B1721" s="184" t="s">
        <v>5254</v>
      </c>
    </row>
    <row r="1722" spans="1:2" x14ac:dyDescent="0.25">
      <c r="A1722" s="183">
        <v>6799</v>
      </c>
      <c r="B1722" s="184" t="s">
        <v>5255</v>
      </c>
    </row>
    <row r="1723" spans="1:2" x14ac:dyDescent="0.25">
      <c r="A1723" s="183">
        <v>6799</v>
      </c>
      <c r="B1723" s="184" t="s">
        <v>5256</v>
      </c>
    </row>
    <row r="1724" spans="1:2" x14ac:dyDescent="0.25">
      <c r="A1724" s="183">
        <v>7011</v>
      </c>
      <c r="B1724" s="184" t="s">
        <v>419</v>
      </c>
    </row>
    <row r="1725" spans="1:2" x14ac:dyDescent="0.25">
      <c r="A1725" s="183">
        <v>7011</v>
      </c>
      <c r="B1725" s="184" t="s">
        <v>5257</v>
      </c>
    </row>
    <row r="1726" spans="1:2" x14ac:dyDescent="0.25">
      <c r="A1726" s="183">
        <v>7011</v>
      </c>
      <c r="B1726" s="184" t="s">
        <v>5258</v>
      </c>
    </row>
    <row r="1727" spans="1:2" x14ac:dyDescent="0.25">
      <c r="A1727" s="183">
        <v>7011</v>
      </c>
      <c r="B1727" s="184" t="s">
        <v>5259</v>
      </c>
    </row>
    <row r="1728" spans="1:2" x14ac:dyDescent="0.25">
      <c r="A1728" s="183">
        <v>7021</v>
      </c>
      <c r="B1728" s="184" t="s">
        <v>5260</v>
      </c>
    </row>
    <row r="1729" spans="1:2" x14ac:dyDescent="0.25">
      <c r="A1729" s="183">
        <v>7032</v>
      </c>
      <c r="B1729" s="184" t="s">
        <v>5261</v>
      </c>
    </row>
    <row r="1730" spans="1:2" x14ac:dyDescent="0.25">
      <c r="A1730" s="183">
        <v>7033</v>
      </c>
      <c r="B1730" s="184" t="s">
        <v>5262</v>
      </c>
    </row>
    <row r="1731" spans="1:2" x14ac:dyDescent="0.25">
      <c r="A1731" s="183">
        <v>7041</v>
      </c>
      <c r="B1731" s="184" t="s">
        <v>5263</v>
      </c>
    </row>
    <row r="1732" spans="1:2" x14ac:dyDescent="0.25">
      <c r="A1732" s="183">
        <v>7041</v>
      </c>
      <c r="B1732" s="184" t="s">
        <v>5264</v>
      </c>
    </row>
    <row r="1733" spans="1:2" x14ac:dyDescent="0.25">
      <c r="A1733" s="183">
        <v>7211</v>
      </c>
      <c r="B1733" s="184" t="s">
        <v>5265</v>
      </c>
    </row>
    <row r="1734" spans="1:2" x14ac:dyDescent="0.25">
      <c r="A1734" s="183">
        <v>7212</v>
      </c>
      <c r="B1734" s="184" t="s">
        <v>5266</v>
      </c>
    </row>
    <row r="1735" spans="1:2" x14ac:dyDescent="0.25">
      <c r="A1735" s="183">
        <v>7213</v>
      </c>
      <c r="B1735" s="184" t="s">
        <v>4614</v>
      </c>
    </row>
    <row r="1736" spans="1:2" x14ac:dyDescent="0.25">
      <c r="A1736" s="183">
        <v>7215</v>
      </c>
      <c r="B1736" s="184" t="s">
        <v>5267</v>
      </c>
    </row>
    <row r="1737" spans="1:2" x14ac:dyDescent="0.25">
      <c r="A1737" s="183">
        <v>7216</v>
      </c>
      <c r="B1737" s="184" t="s">
        <v>359</v>
      </c>
    </row>
    <row r="1738" spans="1:2" x14ac:dyDescent="0.25">
      <c r="A1738" s="183">
        <v>7217</v>
      </c>
      <c r="B1738" s="184" t="s">
        <v>5268</v>
      </c>
    </row>
    <row r="1739" spans="1:2" x14ac:dyDescent="0.25">
      <c r="A1739" s="183">
        <v>7218</v>
      </c>
      <c r="B1739" s="184" t="s">
        <v>4616</v>
      </c>
    </row>
    <row r="1740" spans="1:2" x14ac:dyDescent="0.25">
      <c r="A1740" s="183">
        <v>7219</v>
      </c>
      <c r="B1740" s="184" t="s">
        <v>5269</v>
      </c>
    </row>
    <row r="1741" spans="1:2" x14ac:dyDescent="0.25">
      <c r="A1741" s="183">
        <v>7219</v>
      </c>
      <c r="B1741" s="184" t="s">
        <v>5270</v>
      </c>
    </row>
    <row r="1742" spans="1:2" x14ac:dyDescent="0.25">
      <c r="A1742" s="183">
        <v>7219</v>
      </c>
      <c r="B1742" s="184" t="s">
        <v>5271</v>
      </c>
    </row>
    <row r="1743" spans="1:2" x14ac:dyDescent="0.25">
      <c r="A1743" s="183">
        <v>7221</v>
      </c>
      <c r="B1743" s="184" t="s">
        <v>5272</v>
      </c>
    </row>
    <row r="1744" spans="1:2" x14ac:dyDescent="0.25">
      <c r="A1744" s="183">
        <v>7231</v>
      </c>
      <c r="B1744" s="184" t="s">
        <v>5273</v>
      </c>
    </row>
    <row r="1745" spans="1:2" x14ac:dyDescent="0.25">
      <c r="A1745" s="183">
        <v>7231</v>
      </c>
      <c r="B1745" s="184" t="s">
        <v>5274</v>
      </c>
    </row>
    <row r="1746" spans="1:2" x14ac:dyDescent="0.25">
      <c r="A1746" s="183">
        <v>7231</v>
      </c>
      <c r="B1746" s="184" t="s">
        <v>5275</v>
      </c>
    </row>
    <row r="1747" spans="1:2" x14ac:dyDescent="0.25">
      <c r="A1747" s="183">
        <v>7241</v>
      </c>
      <c r="B1747" s="184" t="s">
        <v>5276</v>
      </c>
    </row>
    <row r="1748" spans="1:2" x14ac:dyDescent="0.25">
      <c r="A1748" s="183">
        <v>7241</v>
      </c>
      <c r="B1748" s="184" t="s">
        <v>5277</v>
      </c>
    </row>
    <row r="1749" spans="1:2" x14ac:dyDescent="0.25">
      <c r="A1749" s="183">
        <v>7251</v>
      </c>
      <c r="B1749" s="184" t="s">
        <v>5278</v>
      </c>
    </row>
    <row r="1750" spans="1:2" x14ac:dyDescent="0.25">
      <c r="A1750" s="183">
        <v>7251</v>
      </c>
      <c r="B1750" s="184" t="s">
        <v>5279</v>
      </c>
    </row>
    <row r="1751" spans="1:2" x14ac:dyDescent="0.25">
      <c r="A1751" s="183">
        <v>7251</v>
      </c>
      <c r="B1751" s="184" t="s">
        <v>5280</v>
      </c>
    </row>
    <row r="1752" spans="1:2" x14ac:dyDescent="0.25">
      <c r="A1752" s="183">
        <v>7261</v>
      </c>
      <c r="B1752" s="184" t="s">
        <v>5281</v>
      </c>
    </row>
    <row r="1753" spans="1:2" x14ac:dyDescent="0.25">
      <c r="A1753" s="183">
        <v>7261</v>
      </c>
      <c r="B1753" s="184" t="s">
        <v>5282</v>
      </c>
    </row>
    <row r="1754" spans="1:2" x14ac:dyDescent="0.25">
      <c r="A1754" s="183">
        <v>7291</v>
      </c>
      <c r="B1754" s="184" t="s">
        <v>5283</v>
      </c>
    </row>
    <row r="1755" spans="1:2" x14ac:dyDescent="0.25">
      <c r="A1755" s="183">
        <v>7299</v>
      </c>
      <c r="B1755" s="184" t="s">
        <v>5284</v>
      </c>
    </row>
    <row r="1756" spans="1:2" x14ac:dyDescent="0.25">
      <c r="A1756" s="183">
        <v>7299</v>
      </c>
      <c r="B1756" s="184" t="s">
        <v>5285</v>
      </c>
    </row>
    <row r="1757" spans="1:2" x14ac:dyDescent="0.25">
      <c r="A1757" s="183">
        <v>7299</v>
      </c>
      <c r="B1757" s="184" t="s">
        <v>5286</v>
      </c>
    </row>
    <row r="1758" spans="1:2" x14ac:dyDescent="0.25">
      <c r="A1758" s="183">
        <v>7299</v>
      </c>
      <c r="B1758" s="184" t="s">
        <v>5287</v>
      </c>
    </row>
    <row r="1759" spans="1:2" x14ac:dyDescent="0.25">
      <c r="A1759" s="183">
        <v>7299</v>
      </c>
      <c r="B1759" s="184" t="s">
        <v>5288</v>
      </c>
    </row>
    <row r="1760" spans="1:2" x14ac:dyDescent="0.25">
      <c r="A1760" s="183">
        <v>7299</v>
      </c>
      <c r="B1760" s="184" t="s">
        <v>5289</v>
      </c>
    </row>
    <row r="1761" spans="1:2" x14ac:dyDescent="0.25">
      <c r="A1761" s="183">
        <v>7299</v>
      </c>
      <c r="B1761" s="184" t="s">
        <v>5290</v>
      </c>
    </row>
    <row r="1762" spans="1:2" ht="38.25" x14ac:dyDescent="0.25">
      <c r="A1762" s="183">
        <v>7299</v>
      </c>
      <c r="B1762" s="184" t="s">
        <v>5291</v>
      </c>
    </row>
    <row r="1763" spans="1:2" x14ac:dyDescent="0.25">
      <c r="A1763" s="183">
        <v>7311</v>
      </c>
      <c r="B1763" s="184" t="s">
        <v>4252</v>
      </c>
    </row>
    <row r="1764" spans="1:2" x14ac:dyDescent="0.25">
      <c r="A1764" s="183">
        <v>7312</v>
      </c>
      <c r="B1764" s="184" t="s">
        <v>5292</v>
      </c>
    </row>
    <row r="1765" spans="1:2" x14ac:dyDescent="0.25">
      <c r="A1765" s="183">
        <v>7313</v>
      </c>
      <c r="B1765" s="184" t="s">
        <v>5293</v>
      </c>
    </row>
    <row r="1766" spans="1:2" ht="25.5" x14ac:dyDescent="0.25">
      <c r="A1766" s="183">
        <v>7319</v>
      </c>
      <c r="B1766" s="184" t="s">
        <v>5294</v>
      </c>
    </row>
    <row r="1767" spans="1:2" x14ac:dyDescent="0.25">
      <c r="A1767" s="183">
        <v>7319</v>
      </c>
      <c r="B1767" s="184" t="s">
        <v>5295</v>
      </c>
    </row>
    <row r="1768" spans="1:2" ht="25.5" x14ac:dyDescent="0.25">
      <c r="A1768" s="183">
        <v>7319</v>
      </c>
      <c r="B1768" s="184" t="s">
        <v>5296</v>
      </c>
    </row>
    <row r="1769" spans="1:2" x14ac:dyDescent="0.25">
      <c r="A1769" s="183">
        <v>7319</v>
      </c>
      <c r="B1769" s="184" t="s">
        <v>5297</v>
      </c>
    </row>
    <row r="1770" spans="1:2" x14ac:dyDescent="0.25">
      <c r="A1770" s="183">
        <v>7319</v>
      </c>
      <c r="B1770" s="61" t="s">
        <v>5298</v>
      </c>
    </row>
    <row r="1771" spans="1:2" x14ac:dyDescent="0.25">
      <c r="A1771" s="183">
        <v>7322</v>
      </c>
      <c r="B1771" s="184" t="s">
        <v>5299</v>
      </c>
    </row>
    <row r="1772" spans="1:2" x14ac:dyDescent="0.25">
      <c r="A1772" s="183">
        <v>7323</v>
      </c>
      <c r="B1772" s="184" t="s">
        <v>5300</v>
      </c>
    </row>
    <row r="1773" spans="1:2" x14ac:dyDescent="0.25">
      <c r="A1773" s="183">
        <v>7331</v>
      </c>
      <c r="B1773" s="184" t="s">
        <v>5301</v>
      </c>
    </row>
    <row r="1774" spans="1:2" x14ac:dyDescent="0.25">
      <c r="A1774" s="183">
        <v>7331</v>
      </c>
      <c r="B1774" s="184" t="s">
        <v>5302</v>
      </c>
    </row>
    <row r="1775" spans="1:2" x14ac:dyDescent="0.25">
      <c r="A1775" s="183">
        <v>7334</v>
      </c>
      <c r="B1775" s="184" t="s">
        <v>5303</v>
      </c>
    </row>
    <row r="1776" spans="1:2" x14ac:dyDescent="0.25">
      <c r="A1776" s="183">
        <v>7334</v>
      </c>
      <c r="B1776" s="184" t="s">
        <v>5304</v>
      </c>
    </row>
    <row r="1777" spans="1:2" ht="25.5" x14ac:dyDescent="0.25">
      <c r="A1777" s="183">
        <v>7335</v>
      </c>
      <c r="B1777" s="184" t="s">
        <v>5305</v>
      </c>
    </row>
    <row r="1778" spans="1:2" ht="25.5" x14ac:dyDescent="0.25">
      <c r="A1778" s="183">
        <v>7335</v>
      </c>
      <c r="B1778" s="184" t="s">
        <v>5306</v>
      </c>
    </row>
    <row r="1779" spans="1:2" x14ac:dyDescent="0.25">
      <c r="A1779" s="183">
        <v>7336</v>
      </c>
      <c r="B1779" s="184" t="s">
        <v>5307</v>
      </c>
    </row>
    <row r="1780" spans="1:2" x14ac:dyDescent="0.25">
      <c r="A1780" s="183">
        <v>7338</v>
      </c>
      <c r="B1780" s="184" t="s">
        <v>5308</v>
      </c>
    </row>
    <row r="1781" spans="1:2" x14ac:dyDescent="0.25">
      <c r="A1781" s="183">
        <v>7338</v>
      </c>
      <c r="B1781" s="184" t="s">
        <v>5309</v>
      </c>
    </row>
    <row r="1782" spans="1:2" x14ac:dyDescent="0.25">
      <c r="A1782" s="183">
        <v>7342</v>
      </c>
      <c r="B1782" s="184" t="s">
        <v>5310</v>
      </c>
    </row>
    <row r="1783" spans="1:2" x14ac:dyDescent="0.25">
      <c r="A1783" s="183">
        <v>7342</v>
      </c>
      <c r="B1783" s="184" t="s">
        <v>5311</v>
      </c>
    </row>
    <row r="1784" spans="1:2" x14ac:dyDescent="0.25">
      <c r="A1784" s="183">
        <v>7349</v>
      </c>
      <c r="B1784" s="184" t="s">
        <v>5312</v>
      </c>
    </row>
    <row r="1785" spans="1:2" ht="25.5" x14ac:dyDescent="0.25">
      <c r="A1785" s="183">
        <v>7349</v>
      </c>
      <c r="B1785" s="184" t="s">
        <v>5313</v>
      </c>
    </row>
    <row r="1786" spans="1:2" ht="25.5" x14ac:dyDescent="0.25">
      <c r="A1786" s="183">
        <v>7352</v>
      </c>
      <c r="B1786" s="184" t="s">
        <v>5314</v>
      </c>
    </row>
    <row r="1787" spans="1:2" ht="25.5" x14ac:dyDescent="0.25">
      <c r="A1787" s="183">
        <v>7352</v>
      </c>
      <c r="B1787" s="184" t="s">
        <v>5315</v>
      </c>
    </row>
    <row r="1788" spans="1:2" ht="25.5" x14ac:dyDescent="0.25">
      <c r="A1788" s="183">
        <v>7353</v>
      </c>
      <c r="B1788" s="184" t="s">
        <v>5316</v>
      </c>
    </row>
    <row r="1789" spans="1:2" x14ac:dyDescent="0.25">
      <c r="A1789" s="185">
        <v>7353</v>
      </c>
      <c r="B1789" s="184" t="s">
        <v>5317</v>
      </c>
    </row>
    <row r="1790" spans="1:2" ht="25.5" x14ac:dyDescent="0.25">
      <c r="A1790" s="183">
        <v>7353</v>
      </c>
      <c r="B1790" s="184" t="s">
        <v>5318</v>
      </c>
    </row>
    <row r="1791" spans="1:2" ht="25.5" x14ac:dyDescent="0.25">
      <c r="A1791" s="183">
        <v>7359</v>
      </c>
      <c r="B1791" s="184" t="s">
        <v>5319</v>
      </c>
    </row>
    <row r="1792" spans="1:2" ht="51" x14ac:dyDescent="0.25">
      <c r="A1792" s="183">
        <v>7359</v>
      </c>
      <c r="B1792" s="184" t="s">
        <v>5320</v>
      </c>
    </row>
    <row r="1793" spans="1:2" ht="25.5" x14ac:dyDescent="0.25">
      <c r="A1793" s="183">
        <v>7359</v>
      </c>
      <c r="B1793" s="184" t="s">
        <v>5321</v>
      </c>
    </row>
    <row r="1794" spans="1:2" x14ac:dyDescent="0.25">
      <c r="A1794" s="183">
        <v>7359</v>
      </c>
      <c r="B1794" s="184" t="s">
        <v>5322</v>
      </c>
    </row>
    <row r="1795" spans="1:2" x14ac:dyDescent="0.25">
      <c r="A1795" s="183">
        <v>7359</v>
      </c>
      <c r="B1795" s="184" t="s">
        <v>5323</v>
      </c>
    </row>
    <row r="1796" spans="1:2" x14ac:dyDescent="0.25">
      <c r="A1796" s="183">
        <v>7359</v>
      </c>
      <c r="B1796" s="184" t="s">
        <v>5324</v>
      </c>
    </row>
    <row r="1797" spans="1:2" x14ac:dyDescent="0.25">
      <c r="A1797" s="183">
        <v>7359</v>
      </c>
      <c r="B1797" s="184" t="s">
        <v>5325</v>
      </c>
    </row>
    <row r="1798" spans="1:2" x14ac:dyDescent="0.25">
      <c r="A1798" s="183">
        <v>7359</v>
      </c>
      <c r="B1798" s="184" t="s">
        <v>5326</v>
      </c>
    </row>
    <row r="1799" spans="1:2" x14ac:dyDescent="0.25">
      <c r="A1799" s="183">
        <v>7361</v>
      </c>
      <c r="B1799" s="184" t="s">
        <v>5327</v>
      </c>
    </row>
    <row r="1800" spans="1:2" x14ac:dyDescent="0.25">
      <c r="A1800" s="183">
        <v>7361</v>
      </c>
      <c r="B1800" s="184" t="s">
        <v>5328</v>
      </c>
    </row>
    <row r="1801" spans="1:2" x14ac:dyDescent="0.25">
      <c r="A1801" s="183">
        <v>7363</v>
      </c>
      <c r="B1801" s="184" t="s">
        <v>5329</v>
      </c>
    </row>
    <row r="1802" spans="1:2" x14ac:dyDescent="0.25">
      <c r="A1802" s="183">
        <v>7363</v>
      </c>
      <c r="B1802" s="184" t="s">
        <v>5330</v>
      </c>
    </row>
    <row r="1803" spans="1:2" x14ac:dyDescent="0.25">
      <c r="A1803" s="183">
        <v>7371</v>
      </c>
      <c r="B1803" s="184" t="s">
        <v>5331</v>
      </c>
    </row>
    <row r="1804" spans="1:2" x14ac:dyDescent="0.25">
      <c r="A1804" s="183">
        <v>7372</v>
      </c>
      <c r="B1804" s="184" t="s">
        <v>5332</v>
      </c>
    </row>
    <row r="1805" spans="1:2" x14ac:dyDescent="0.25">
      <c r="A1805" s="183">
        <v>7372</v>
      </c>
      <c r="B1805" s="184" t="s">
        <v>5333</v>
      </c>
    </row>
    <row r="1806" spans="1:2" x14ac:dyDescent="0.25">
      <c r="A1806" s="183">
        <v>7373</v>
      </c>
      <c r="B1806" s="184" t="s">
        <v>5334</v>
      </c>
    </row>
    <row r="1807" spans="1:2" x14ac:dyDescent="0.25">
      <c r="A1807" s="183">
        <v>7374</v>
      </c>
      <c r="B1807" s="184" t="s">
        <v>5335</v>
      </c>
    </row>
    <row r="1808" spans="1:2" x14ac:dyDescent="0.25">
      <c r="A1808" s="183">
        <v>7375</v>
      </c>
      <c r="B1808" s="184" t="s">
        <v>5336</v>
      </c>
    </row>
    <row r="1809" spans="1:2" x14ac:dyDescent="0.25">
      <c r="A1809" s="183">
        <v>7376</v>
      </c>
      <c r="B1809" s="184" t="s">
        <v>4226</v>
      </c>
    </row>
    <row r="1810" spans="1:2" x14ac:dyDescent="0.25">
      <c r="A1810" s="183">
        <v>7377</v>
      </c>
      <c r="B1810" s="184" t="s">
        <v>5337</v>
      </c>
    </row>
    <row r="1811" spans="1:2" ht="25.5" x14ac:dyDescent="0.25">
      <c r="A1811" s="183">
        <v>7378</v>
      </c>
      <c r="B1811" s="184" t="s">
        <v>5338</v>
      </c>
    </row>
    <row r="1812" spans="1:2" ht="25.5" x14ac:dyDescent="0.25">
      <c r="A1812" s="183">
        <v>7378</v>
      </c>
      <c r="B1812" s="184" t="s">
        <v>5339</v>
      </c>
    </row>
    <row r="1813" spans="1:2" x14ac:dyDescent="0.25">
      <c r="A1813" s="183">
        <v>7379</v>
      </c>
      <c r="B1813" s="184" t="s">
        <v>5340</v>
      </c>
    </row>
    <row r="1814" spans="1:2" x14ac:dyDescent="0.25">
      <c r="A1814" s="183">
        <v>7379</v>
      </c>
      <c r="B1814" s="184" t="s">
        <v>5341</v>
      </c>
    </row>
    <row r="1815" spans="1:2" ht="25.5" x14ac:dyDescent="0.25">
      <c r="A1815" s="183">
        <v>7379</v>
      </c>
      <c r="B1815" s="184" t="s">
        <v>5342</v>
      </c>
    </row>
    <row r="1816" spans="1:2" x14ac:dyDescent="0.25">
      <c r="A1816" s="183">
        <v>7381</v>
      </c>
      <c r="B1816" s="184" t="s">
        <v>5343</v>
      </c>
    </row>
    <row r="1817" spans="1:2" x14ac:dyDescent="0.25">
      <c r="A1817" s="183">
        <v>7381</v>
      </c>
      <c r="B1817" s="184" t="s">
        <v>5344</v>
      </c>
    </row>
    <row r="1818" spans="1:2" x14ac:dyDescent="0.25">
      <c r="A1818" s="183">
        <v>7381</v>
      </c>
      <c r="B1818" s="184" t="s">
        <v>5345</v>
      </c>
    </row>
    <row r="1819" spans="1:2" x14ac:dyDescent="0.25">
      <c r="A1819" s="183">
        <v>7382</v>
      </c>
      <c r="B1819" s="184" t="s">
        <v>5346</v>
      </c>
    </row>
    <row r="1820" spans="1:2" x14ac:dyDescent="0.25">
      <c r="A1820" s="183">
        <v>7383</v>
      </c>
      <c r="B1820" s="184" t="s">
        <v>5347</v>
      </c>
    </row>
    <row r="1821" spans="1:2" x14ac:dyDescent="0.25">
      <c r="A1821" s="183">
        <v>7383</v>
      </c>
      <c r="B1821" s="184" t="s">
        <v>5348</v>
      </c>
    </row>
    <row r="1822" spans="1:2" x14ac:dyDescent="0.25">
      <c r="A1822" s="183">
        <v>7384</v>
      </c>
      <c r="B1822" s="184" t="s">
        <v>5349</v>
      </c>
    </row>
    <row r="1823" spans="1:2" x14ac:dyDescent="0.25">
      <c r="A1823" s="183">
        <v>7384</v>
      </c>
      <c r="B1823" s="184" t="s">
        <v>5350</v>
      </c>
    </row>
    <row r="1824" spans="1:2" x14ac:dyDescent="0.25">
      <c r="A1824" s="183">
        <v>7389</v>
      </c>
      <c r="B1824" s="184" t="s">
        <v>5351</v>
      </c>
    </row>
    <row r="1825" spans="1:2" ht="25.5" x14ac:dyDescent="0.25">
      <c r="A1825" s="183">
        <v>7389</v>
      </c>
      <c r="B1825" s="184" t="s">
        <v>5352</v>
      </c>
    </row>
    <row r="1826" spans="1:2" x14ac:dyDescent="0.25">
      <c r="A1826" s="183">
        <v>7389</v>
      </c>
      <c r="B1826" s="184" t="s">
        <v>5353</v>
      </c>
    </row>
    <row r="1827" spans="1:2" x14ac:dyDescent="0.25">
      <c r="A1827" s="183">
        <v>7389</v>
      </c>
      <c r="B1827" s="184" t="s">
        <v>5354</v>
      </c>
    </row>
    <row r="1828" spans="1:2" x14ac:dyDescent="0.25">
      <c r="A1828" s="183">
        <v>7389</v>
      </c>
      <c r="B1828" s="184" t="s">
        <v>5355</v>
      </c>
    </row>
    <row r="1829" spans="1:2" x14ac:dyDescent="0.25">
      <c r="A1829" s="183">
        <v>7389</v>
      </c>
      <c r="B1829" s="184" t="s">
        <v>5356</v>
      </c>
    </row>
    <row r="1830" spans="1:2" x14ac:dyDescent="0.25">
      <c r="A1830" s="183">
        <v>7389</v>
      </c>
      <c r="B1830" s="184" t="s">
        <v>5357</v>
      </c>
    </row>
    <row r="1831" spans="1:2" x14ac:dyDescent="0.25">
      <c r="A1831" s="183">
        <v>7389</v>
      </c>
      <c r="B1831" s="184" t="s">
        <v>5358</v>
      </c>
    </row>
    <row r="1832" spans="1:2" x14ac:dyDescent="0.25">
      <c r="A1832" s="183">
        <v>7389</v>
      </c>
      <c r="B1832" s="184" t="s">
        <v>5359</v>
      </c>
    </row>
    <row r="1833" spans="1:2" x14ac:dyDescent="0.25">
      <c r="A1833" s="183">
        <v>7389</v>
      </c>
      <c r="B1833" s="184" t="s">
        <v>5360</v>
      </c>
    </row>
    <row r="1834" spans="1:2" x14ac:dyDescent="0.25">
      <c r="A1834" s="183">
        <v>7389</v>
      </c>
      <c r="B1834" s="184" t="s">
        <v>5361</v>
      </c>
    </row>
    <row r="1835" spans="1:2" x14ac:dyDescent="0.25">
      <c r="A1835" s="183">
        <v>7389</v>
      </c>
      <c r="B1835" s="184" t="s">
        <v>5362</v>
      </c>
    </row>
    <row r="1836" spans="1:2" x14ac:dyDescent="0.25">
      <c r="A1836" s="183">
        <v>7389</v>
      </c>
      <c r="B1836" s="184" t="s">
        <v>5363</v>
      </c>
    </row>
    <row r="1837" spans="1:2" x14ac:dyDescent="0.25">
      <c r="A1837" s="183">
        <v>7389</v>
      </c>
      <c r="B1837" s="184" t="s">
        <v>5364</v>
      </c>
    </row>
    <row r="1838" spans="1:2" x14ac:dyDescent="0.25">
      <c r="A1838" s="183">
        <v>7389</v>
      </c>
      <c r="B1838" s="184" t="s">
        <v>5365</v>
      </c>
    </row>
    <row r="1839" spans="1:2" x14ac:dyDescent="0.25">
      <c r="A1839" s="183">
        <v>7389</v>
      </c>
      <c r="B1839" s="184" t="s">
        <v>5366</v>
      </c>
    </row>
    <row r="1840" spans="1:2" x14ac:dyDescent="0.25">
      <c r="A1840" s="183">
        <v>7389</v>
      </c>
      <c r="B1840" s="184" t="s">
        <v>5367</v>
      </c>
    </row>
    <row r="1841" spans="1:2" x14ac:dyDescent="0.25">
      <c r="A1841" s="183">
        <v>7389</v>
      </c>
      <c r="B1841" s="184" t="s">
        <v>5368</v>
      </c>
    </row>
    <row r="1842" spans="1:2" x14ac:dyDescent="0.25">
      <c r="A1842" s="183">
        <v>7389</v>
      </c>
      <c r="B1842" s="184" t="s">
        <v>5369</v>
      </c>
    </row>
    <row r="1843" spans="1:2" x14ac:dyDescent="0.25">
      <c r="A1843" s="183">
        <v>7389</v>
      </c>
      <c r="B1843" s="184" t="s">
        <v>5370</v>
      </c>
    </row>
    <row r="1844" spans="1:2" ht="25.5" x14ac:dyDescent="0.25">
      <c r="A1844" s="183">
        <v>7389</v>
      </c>
      <c r="B1844" s="184" t="s">
        <v>5371</v>
      </c>
    </row>
    <row r="1845" spans="1:2" x14ac:dyDescent="0.25">
      <c r="A1845" s="183">
        <v>7389</v>
      </c>
      <c r="B1845" s="184" t="s">
        <v>5372</v>
      </c>
    </row>
    <row r="1846" spans="1:2" ht="25.5" x14ac:dyDescent="0.25">
      <c r="A1846" s="183">
        <v>7389</v>
      </c>
      <c r="B1846" s="184" t="s">
        <v>5373</v>
      </c>
    </row>
    <row r="1847" spans="1:2" x14ac:dyDescent="0.25">
      <c r="A1847" s="183">
        <v>7389</v>
      </c>
      <c r="B1847" s="184" t="s">
        <v>5374</v>
      </c>
    </row>
    <row r="1848" spans="1:2" x14ac:dyDescent="0.25">
      <c r="A1848" s="183">
        <v>7389</v>
      </c>
      <c r="B1848" s="184" t="s">
        <v>5375</v>
      </c>
    </row>
    <row r="1849" spans="1:2" x14ac:dyDescent="0.25">
      <c r="A1849" s="183">
        <v>7389</v>
      </c>
      <c r="B1849" s="184" t="s">
        <v>5376</v>
      </c>
    </row>
    <row r="1850" spans="1:2" x14ac:dyDescent="0.25">
      <c r="A1850" s="183">
        <v>7389</v>
      </c>
      <c r="B1850" s="184" t="s">
        <v>5377</v>
      </c>
    </row>
    <row r="1851" spans="1:2" ht="25.5" x14ac:dyDescent="0.25">
      <c r="A1851" s="183">
        <v>7389</v>
      </c>
      <c r="B1851" s="184" t="s">
        <v>5378</v>
      </c>
    </row>
    <row r="1852" spans="1:2" x14ac:dyDescent="0.25">
      <c r="A1852" s="183">
        <v>7389</v>
      </c>
      <c r="B1852" s="184" t="s">
        <v>5379</v>
      </c>
    </row>
    <row r="1853" spans="1:2" x14ac:dyDescent="0.25">
      <c r="A1853" s="183">
        <v>7389</v>
      </c>
      <c r="B1853" s="184" t="s">
        <v>5380</v>
      </c>
    </row>
    <row r="1854" spans="1:2" ht="25.5" x14ac:dyDescent="0.25">
      <c r="A1854" s="183">
        <v>7389</v>
      </c>
      <c r="B1854" s="184" t="s">
        <v>5381</v>
      </c>
    </row>
    <row r="1855" spans="1:2" x14ac:dyDescent="0.25">
      <c r="A1855" s="183">
        <v>7389</v>
      </c>
      <c r="B1855" s="184" t="s">
        <v>5382</v>
      </c>
    </row>
    <row r="1856" spans="1:2" ht="25.5" x14ac:dyDescent="0.25">
      <c r="A1856" s="183">
        <v>7389</v>
      </c>
      <c r="B1856" s="184" t="s">
        <v>5383</v>
      </c>
    </row>
    <row r="1857" spans="1:2" x14ac:dyDescent="0.25">
      <c r="A1857" s="183">
        <v>7389</v>
      </c>
      <c r="B1857" s="184" t="s">
        <v>5384</v>
      </c>
    </row>
    <row r="1858" spans="1:2" x14ac:dyDescent="0.25">
      <c r="A1858" s="183">
        <v>7389</v>
      </c>
      <c r="B1858" s="184" t="s">
        <v>5385</v>
      </c>
    </row>
    <row r="1859" spans="1:2" x14ac:dyDescent="0.25">
      <c r="A1859" s="183">
        <v>7389</v>
      </c>
      <c r="B1859" s="184" t="s">
        <v>5386</v>
      </c>
    </row>
    <row r="1860" spans="1:2" ht="25.5" x14ac:dyDescent="0.25">
      <c r="A1860" s="183">
        <v>7389</v>
      </c>
      <c r="B1860" s="184" t="s">
        <v>5387</v>
      </c>
    </row>
    <row r="1861" spans="1:2" ht="25.5" x14ac:dyDescent="0.25">
      <c r="A1861" s="183">
        <v>7389</v>
      </c>
      <c r="B1861" s="184" t="s">
        <v>5388</v>
      </c>
    </row>
    <row r="1862" spans="1:2" ht="25.5" x14ac:dyDescent="0.25">
      <c r="A1862" s="183">
        <v>7389</v>
      </c>
      <c r="B1862" s="184" t="s">
        <v>5389</v>
      </c>
    </row>
    <row r="1863" spans="1:2" x14ac:dyDescent="0.25">
      <c r="A1863" s="183">
        <v>7389</v>
      </c>
      <c r="B1863" s="184" t="s">
        <v>5390</v>
      </c>
    </row>
    <row r="1864" spans="1:2" x14ac:dyDescent="0.25">
      <c r="A1864" s="183">
        <v>7389</v>
      </c>
      <c r="B1864" s="184" t="s">
        <v>5391</v>
      </c>
    </row>
    <row r="1865" spans="1:2" x14ac:dyDescent="0.25">
      <c r="A1865" s="183">
        <v>7389</v>
      </c>
      <c r="B1865" s="184" t="s">
        <v>5392</v>
      </c>
    </row>
    <row r="1866" spans="1:2" x14ac:dyDescent="0.25">
      <c r="A1866" s="183">
        <v>7513</v>
      </c>
      <c r="B1866" s="184" t="s">
        <v>5393</v>
      </c>
    </row>
    <row r="1867" spans="1:2" x14ac:dyDescent="0.25">
      <c r="A1867" s="183">
        <v>7514</v>
      </c>
      <c r="B1867" s="184" t="s">
        <v>4153</v>
      </c>
    </row>
    <row r="1868" spans="1:2" x14ac:dyDescent="0.25">
      <c r="A1868" s="183">
        <v>7515</v>
      </c>
      <c r="B1868" s="184" t="s">
        <v>4155</v>
      </c>
    </row>
    <row r="1869" spans="1:2" x14ac:dyDescent="0.25">
      <c r="A1869" s="183">
        <v>7519</v>
      </c>
      <c r="B1869" s="184" t="s">
        <v>5394</v>
      </c>
    </row>
    <row r="1870" spans="1:2" x14ac:dyDescent="0.25">
      <c r="A1870" s="183">
        <v>7521</v>
      </c>
      <c r="B1870" s="184" t="s">
        <v>5395</v>
      </c>
    </row>
    <row r="1871" spans="1:2" x14ac:dyDescent="0.25">
      <c r="A1871" s="183">
        <v>7532</v>
      </c>
      <c r="B1871" s="184" t="s">
        <v>5396</v>
      </c>
    </row>
    <row r="1872" spans="1:2" x14ac:dyDescent="0.25">
      <c r="A1872" s="183">
        <v>7533</v>
      </c>
      <c r="B1872" s="184" t="s">
        <v>5397</v>
      </c>
    </row>
    <row r="1873" spans="1:2" x14ac:dyDescent="0.25">
      <c r="A1873" s="183">
        <v>7534</v>
      </c>
      <c r="B1873" s="184" t="s">
        <v>5398</v>
      </c>
    </row>
    <row r="1874" spans="1:2" x14ac:dyDescent="0.25">
      <c r="A1874" s="183">
        <v>7534</v>
      </c>
      <c r="B1874" s="184" t="s">
        <v>5399</v>
      </c>
    </row>
    <row r="1875" spans="1:2" x14ac:dyDescent="0.25">
      <c r="A1875" s="183">
        <v>7536</v>
      </c>
      <c r="B1875" s="184" t="s">
        <v>4571</v>
      </c>
    </row>
    <row r="1876" spans="1:2" x14ac:dyDescent="0.25">
      <c r="A1876" s="183">
        <v>7537</v>
      </c>
      <c r="B1876" s="184" t="s">
        <v>5400</v>
      </c>
    </row>
    <row r="1877" spans="1:2" x14ac:dyDescent="0.25">
      <c r="A1877" s="183">
        <v>7538</v>
      </c>
      <c r="B1877" s="184" t="s">
        <v>5401</v>
      </c>
    </row>
    <row r="1878" spans="1:2" x14ac:dyDescent="0.25">
      <c r="A1878" s="183">
        <v>7539</v>
      </c>
      <c r="B1878" s="184" t="s">
        <v>5402</v>
      </c>
    </row>
    <row r="1879" spans="1:2" x14ac:dyDescent="0.25">
      <c r="A1879" s="183">
        <v>7539</v>
      </c>
      <c r="B1879" s="184" t="s">
        <v>5403</v>
      </c>
    </row>
    <row r="1880" spans="1:2" x14ac:dyDescent="0.25">
      <c r="A1880" s="183">
        <v>7542</v>
      </c>
      <c r="B1880" s="184" t="s">
        <v>5404</v>
      </c>
    </row>
    <row r="1881" spans="1:2" x14ac:dyDescent="0.25">
      <c r="A1881" s="183">
        <v>7549</v>
      </c>
      <c r="B1881" s="184" t="s">
        <v>5405</v>
      </c>
    </row>
    <row r="1882" spans="1:2" x14ac:dyDescent="0.25">
      <c r="A1882" s="183">
        <v>7549</v>
      </c>
      <c r="B1882" s="184" t="s">
        <v>5406</v>
      </c>
    </row>
    <row r="1883" spans="1:2" x14ac:dyDescent="0.25">
      <c r="A1883" s="183">
        <v>7549</v>
      </c>
      <c r="B1883" s="184" t="s">
        <v>5407</v>
      </c>
    </row>
    <row r="1884" spans="1:2" ht="25.5" x14ac:dyDescent="0.25">
      <c r="A1884" s="183">
        <v>7549</v>
      </c>
      <c r="B1884" s="184" t="s">
        <v>5408</v>
      </c>
    </row>
    <row r="1885" spans="1:2" ht="25.5" x14ac:dyDescent="0.25">
      <c r="A1885" s="185">
        <v>7622</v>
      </c>
      <c r="B1885" s="184" t="s">
        <v>5409</v>
      </c>
    </row>
    <row r="1886" spans="1:2" ht="25.5" x14ac:dyDescent="0.25">
      <c r="A1886" s="183">
        <v>7622</v>
      </c>
      <c r="B1886" s="184" t="s">
        <v>5410</v>
      </c>
    </row>
    <row r="1887" spans="1:2" x14ac:dyDescent="0.25">
      <c r="A1887" s="183">
        <v>7622</v>
      </c>
      <c r="B1887" s="184" t="s">
        <v>5411</v>
      </c>
    </row>
    <row r="1888" spans="1:2" x14ac:dyDescent="0.25">
      <c r="A1888" s="183">
        <v>7622</v>
      </c>
      <c r="B1888" s="184" t="s">
        <v>5412</v>
      </c>
    </row>
    <row r="1889" spans="1:2" ht="25.5" x14ac:dyDescent="0.25">
      <c r="A1889" s="183">
        <v>7623</v>
      </c>
      <c r="B1889" s="184" t="s">
        <v>5413</v>
      </c>
    </row>
    <row r="1890" spans="1:2" ht="25.5" x14ac:dyDescent="0.25">
      <c r="A1890" s="183">
        <v>7623</v>
      </c>
      <c r="B1890" s="184" t="s">
        <v>5414</v>
      </c>
    </row>
    <row r="1891" spans="1:2" ht="25.5" x14ac:dyDescent="0.25">
      <c r="A1891" s="183">
        <v>7623</v>
      </c>
      <c r="B1891" s="184" t="s">
        <v>5415</v>
      </c>
    </row>
    <row r="1892" spans="1:2" ht="25.5" x14ac:dyDescent="0.25">
      <c r="A1892" s="183">
        <v>7629</v>
      </c>
      <c r="B1892" s="184" t="s">
        <v>5416</v>
      </c>
    </row>
    <row r="1893" spans="1:2" ht="25.5" x14ac:dyDescent="0.25">
      <c r="A1893" s="183">
        <v>7629</v>
      </c>
      <c r="B1893" s="184" t="s">
        <v>5417</v>
      </c>
    </row>
    <row r="1894" spans="1:2" x14ac:dyDescent="0.25">
      <c r="A1894" s="183">
        <v>7629</v>
      </c>
      <c r="B1894" s="184" t="s">
        <v>5418</v>
      </c>
    </row>
    <row r="1895" spans="1:2" x14ac:dyDescent="0.25">
      <c r="A1895" s="183">
        <v>7629</v>
      </c>
      <c r="B1895" s="184" t="s">
        <v>5419</v>
      </c>
    </row>
    <row r="1896" spans="1:2" ht="25.5" x14ac:dyDescent="0.25">
      <c r="A1896" s="183">
        <v>7629</v>
      </c>
      <c r="B1896" s="184" t="s">
        <v>5420</v>
      </c>
    </row>
    <row r="1897" spans="1:2" ht="25.5" x14ac:dyDescent="0.25">
      <c r="A1897" s="183">
        <v>7629</v>
      </c>
      <c r="B1897" s="184" t="s">
        <v>5421</v>
      </c>
    </row>
    <row r="1898" spans="1:2" ht="25.5" x14ac:dyDescent="0.25">
      <c r="A1898" s="183">
        <v>7631</v>
      </c>
      <c r="B1898" s="184" t="s">
        <v>5422</v>
      </c>
    </row>
    <row r="1899" spans="1:2" x14ac:dyDescent="0.25">
      <c r="A1899" s="183">
        <v>7631</v>
      </c>
      <c r="B1899" s="184" t="s">
        <v>5423</v>
      </c>
    </row>
    <row r="1900" spans="1:2" x14ac:dyDescent="0.25">
      <c r="A1900" s="183">
        <v>7641</v>
      </c>
      <c r="B1900" s="184" t="s">
        <v>4591</v>
      </c>
    </row>
    <row r="1901" spans="1:2" x14ac:dyDescent="0.25">
      <c r="A1901" s="183">
        <v>7692</v>
      </c>
      <c r="B1901" s="184" t="s">
        <v>5424</v>
      </c>
    </row>
    <row r="1902" spans="1:2" x14ac:dyDescent="0.25">
      <c r="A1902" s="183">
        <v>7694</v>
      </c>
      <c r="B1902" s="184" t="s">
        <v>5425</v>
      </c>
    </row>
    <row r="1903" spans="1:2" x14ac:dyDescent="0.25">
      <c r="A1903" s="183">
        <v>7694</v>
      </c>
      <c r="B1903" s="184" t="s">
        <v>5426</v>
      </c>
    </row>
    <row r="1904" spans="1:2" x14ac:dyDescent="0.25">
      <c r="A1904" s="183">
        <v>7699</v>
      </c>
      <c r="B1904" s="184" t="s">
        <v>5427</v>
      </c>
    </row>
    <row r="1905" spans="1:2" x14ac:dyDescent="0.25">
      <c r="A1905" s="185">
        <v>7699</v>
      </c>
      <c r="B1905" s="184" t="s">
        <v>5428</v>
      </c>
    </row>
    <row r="1906" spans="1:2" x14ac:dyDescent="0.25">
      <c r="A1906" s="183">
        <v>7699</v>
      </c>
      <c r="B1906" s="184" t="s">
        <v>5429</v>
      </c>
    </row>
    <row r="1907" spans="1:2" ht="25.5" x14ac:dyDescent="0.25">
      <c r="A1907" s="183">
        <v>7699</v>
      </c>
      <c r="B1907" s="184" t="s">
        <v>5430</v>
      </c>
    </row>
    <row r="1908" spans="1:2" ht="25.5" x14ac:dyDescent="0.25">
      <c r="A1908" s="183">
        <v>7699</v>
      </c>
      <c r="B1908" s="184" t="s">
        <v>5431</v>
      </c>
    </row>
    <row r="1909" spans="1:2" ht="25.5" x14ac:dyDescent="0.25">
      <c r="A1909" s="183">
        <v>7699</v>
      </c>
      <c r="B1909" s="184" t="s">
        <v>5432</v>
      </c>
    </row>
    <row r="1910" spans="1:2" x14ac:dyDescent="0.25">
      <c r="A1910" s="183">
        <v>7699</v>
      </c>
      <c r="B1910" s="184" t="s">
        <v>5433</v>
      </c>
    </row>
    <row r="1911" spans="1:2" x14ac:dyDescent="0.25">
      <c r="A1911" s="183">
        <v>7699</v>
      </c>
      <c r="B1911" s="184" t="s">
        <v>5434</v>
      </c>
    </row>
    <row r="1912" spans="1:2" x14ac:dyDescent="0.25">
      <c r="A1912" s="183">
        <v>7699</v>
      </c>
      <c r="B1912" s="184" t="s">
        <v>5435</v>
      </c>
    </row>
    <row r="1913" spans="1:2" x14ac:dyDescent="0.25">
      <c r="A1913" s="183">
        <v>7699</v>
      </c>
      <c r="B1913" s="184" t="s">
        <v>5436</v>
      </c>
    </row>
    <row r="1914" spans="1:2" x14ac:dyDescent="0.25">
      <c r="A1914" s="183">
        <v>7699</v>
      </c>
      <c r="B1914" s="184" t="s">
        <v>5437</v>
      </c>
    </row>
    <row r="1915" spans="1:2" ht="25.5" x14ac:dyDescent="0.25">
      <c r="A1915" s="183">
        <v>7699</v>
      </c>
      <c r="B1915" s="184" t="s">
        <v>5438</v>
      </c>
    </row>
    <row r="1916" spans="1:2" x14ac:dyDescent="0.25">
      <c r="A1916" s="183">
        <v>7699</v>
      </c>
      <c r="B1916" s="184" t="s">
        <v>5439</v>
      </c>
    </row>
    <row r="1917" spans="1:2" ht="25.5" x14ac:dyDescent="0.25">
      <c r="A1917" s="183">
        <v>7699</v>
      </c>
      <c r="B1917" s="184" t="s">
        <v>5440</v>
      </c>
    </row>
    <row r="1918" spans="1:2" ht="25.5" x14ac:dyDescent="0.25">
      <c r="A1918" s="183">
        <v>7699</v>
      </c>
      <c r="B1918" s="184" t="s">
        <v>5441</v>
      </c>
    </row>
    <row r="1919" spans="1:2" ht="25.5" x14ac:dyDescent="0.25">
      <c r="A1919" s="183">
        <v>7699</v>
      </c>
      <c r="B1919" s="184" t="s">
        <v>5442</v>
      </c>
    </row>
    <row r="1920" spans="1:2" ht="25.5" x14ac:dyDescent="0.25">
      <c r="A1920" s="183">
        <v>7699</v>
      </c>
      <c r="B1920" s="184" t="s">
        <v>5443</v>
      </c>
    </row>
    <row r="1921" spans="1:2" ht="25.5" x14ac:dyDescent="0.25">
      <c r="A1921" s="183">
        <v>7699</v>
      </c>
      <c r="B1921" s="184" t="s">
        <v>5444</v>
      </c>
    </row>
    <row r="1922" spans="1:2" ht="25.5" x14ac:dyDescent="0.25">
      <c r="A1922" s="183">
        <v>7699</v>
      </c>
      <c r="B1922" s="184" t="s">
        <v>5445</v>
      </c>
    </row>
    <row r="1923" spans="1:2" ht="25.5" x14ac:dyDescent="0.25">
      <c r="A1923" s="183">
        <v>7699</v>
      </c>
      <c r="B1923" s="184" t="s">
        <v>5446</v>
      </c>
    </row>
    <row r="1924" spans="1:2" x14ac:dyDescent="0.25">
      <c r="A1924" s="183">
        <v>7812</v>
      </c>
      <c r="B1924" s="184" t="s">
        <v>5447</v>
      </c>
    </row>
    <row r="1925" spans="1:2" x14ac:dyDescent="0.25">
      <c r="A1925" s="183">
        <v>7819</v>
      </c>
      <c r="B1925" s="184" t="s">
        <v>5448</v>
      </c>
    </row>
    <row r="1926" spans="1:2" x14ac:dyDescent="0.25">
      <c r="A1926" s="183">
        <v>7819</v>
      </c>
      <c r="B1926" s="184" t="s">
        <v>5449</v>
      </c>
    </row>
    <row r="1927" spans="1:2" ht="51" x14ac:dyDescent="0.25">
      <c r="A1927" s="183">
        <v>7819</v>
      </c>
      <c r="B1927" s="184" t="s">
        <v>5450</v>
      </c>
    </row>
    <row r="1928" spans="1:2" x14ac:dyDescent="0.25">
      <c r="A1928" s="183">
        <v>7819</v>
      </c>
      <c r="B1928" s="184" t="s">
        <v>5451</v>
      </c>
    </row>
    <row r="1929" spans="1:2" x14ac:dyDescent="0.25">
      <c r="A1929" s="183">
        <v>7819</v>
      </c>
      <c r="B1929" s="184" t="s">
        <v>5452</v>
      </c>
    </row>
    <row r="1930" spans="1:2" x14ac:dyDescent="0.25">
      <c r="A1930" s="183">
        <v>7819</v>
      </c>
      <c r="B1930" s="184" t="s">
        <v>5453</v>
      </c>
    </row>
    <row r="1931" spans="1:2" x14ac:dyDescent="0.25">
      <c r="A1931" s="183">
        <v>7819</v>
      </c>
      <c r="B1931" s="184" t="s">
        <v>5454</v>
      </c>
    </row>
    <row r="1932" spans="1:2" x14ac:dyDescent="0.25">
      <c r="A1932" s="183">
        <v>7819</v>
      </c>
      <c r="B1932" s="184" t="s">
        <v>5455</v>
      </c>
    </row>
    <row r="1933" spans="1:2" ht="25.5" x14ac:dyDescent="0.25">
      <c r="A1933" s="183">
        <v>7819</v>
      </c>
      <c r="B1933" s="184" t="s">
        <v>5456</v>
      </c>
    </row>
    <row r="1934" spans="1:2" x14ac:dyDescent="0.25">
      <c r="A1934" s="183">
        <v>7822</v>
      </c>
      <c r="B1934" s="184" t="s">
        <v>5457</v>
      </c>
    </row>
    <row r="1935" spans="1:2" x14ac:dyDescent="0.25">
      <c r="A1935" s="183">
        <v>7822</v>
      </c>
      <c r="B1935" s="184" t="s">
        <v>5458</v>
      </c>
    </row>
    <row r="1936" spans="1:2" x14ac:dyDescent="0.25">
      <c r="A1936" s="183">
        <v>7829</v>
      </c>
      <c r="B1936" s="184" t="s">
        <v>5459</v>
      </c>
    </row>
    <row r="1937" spans="1:2" ht="25.5" x14ac:dyDescent="0.25">
      <c r="A1937" s="183">
        <v>7829</v>
      </c>
      <c r="B1937" s="184" t="s">
        <v>5460</v>
      </c>
    </row>
    <row r="1938" spans="1:2" x14ac:dyDescent="0.25">
      <c r="A1938" s="183">
        <v>7829</v>
      </c>
      <c r="B1938" s="184" t="s">
        <v>5461</v>
      </c>
    </row>
    <row r="1939" spans="1:2" x14ac:dyDescent="0.25">
      <c r="A1939" s="183">
        <v>7832</v>
      </c>
      <c r="B1939" s="184" t="s">
        <v>5462</v>
      </c>
    </row>
    <row r="1940" spans="1:2" x14ac:dyDescent="0.25">
      <c r="A1940" s="183">
        <v>7833</v>
      </c>
      <c r="B1940" s="184" t="s">
        <v>3993</v>
      </c>
    </row>
    <row r="1941" spans="1:2" x14ac:dyDescent="0.25">
      <c r="A1941" s="183">
        <v>7841</v>
      </c>
      <c r="B1941" s="184" t="s">
        <v>5463</v>
      </c>
    </row>
    <row r="1942" spans="1:2" ht="25.5" x14ac:dyDescent="0.25">
      <c r="A1942" s="183">
        <v>7911</v>
      </c>
      <c r="B1942" s="184" t="s">
        <v>5464</v>
      </c>
    </row>
    <row r="1943" spans="1:2" x14ac:dyDescent="0.25">
      <c r="A1943" s="183">
        <v>7911</v>
      </c>
      <c r="B1943" s="184" t="s">
        <v>5465</v>
      </c>
    </row>
    <row r="1944" spans="1:2" ht="25.5" x14ac:dyDescent="0.25">
      <c r="A1944" s="183">
        <v>7922</v>
      </c>
      <c r="B1944" s="184" t="s">
        <v>5466</v>
      </c>
    </row>
    <row r="1945" spans="1:2" ht="25.5" x14ac:dyDescent="0.25">
      <c r="A1945" s="183">
        <v>7922</v>
      </c>
      <c r="B1945" s="184" t="s">
        <v>5467</v>
      </c>
    </row>
    <row r="1946" spans="1:2" ht="25.5" x14ac:dyDescent="0.25">
      <c r="A1946" s="183">
        <v>7922</v>
      </c>
      <c r="B1946" s="184" t="s">
        <v>5468</v>
      </c>
    </row>
    <row r="1947" spans="1:2" ht="25.5" x14ac:dyDescent="0.25">
      <c r="A1947" s="183">
        <v>7922</v>
      </c>
      <c r="B1947" s="184" t="s">
        <v>5469</v>
      </c>
    </row>
    <row r="1948" spans="1:2" ht="25.5" x14ac:dyDescent="0.25">
      <c r="A1948" s="183">
        <v>7922</v>
      </c>
      <c r="B1948" s="184" t="s">
        <v>5470</v>
      </c>
    </row>
    <row r="1949" spans="1:2" ht="25.5" x14ac:dyDescent="0.25">
      <c r="A1949" s="183">
        <v>7922</v>
      </c>
      <c r="B1949" s="184" t="s">
        <v>5471</v>
      </c>
    </row>
    <row r="1950" spans="1:2" ht="25.5" x14ac:dyDescent="0.25">
      <c r="A1950" s="183">
        <v>7922</v>
      </c>
      <c r="B1950" s="184" t="s">
        <v>5472</v>
      </c>
    </row>
    <row r="1951" spans="1:2" ht="25.5" x14ac:dyDescent="0.25">
      <c r="A1951" s="183">
        <v>7922</v>
      </c>
      <c r="B1951" s="184" t="s">
        <v>5473</v>
      </c>
    </row>
    <row r="1952" spans="1:2" ht="25.5" x14ac:dyDescent="0.25">
      <c r="A1952" s="183">
        <v>7922</v>
      </c>
      <c r="B1952" s="184" t="s">
        <v>5474</v>
      </c>
    </row>
    <row r="1953" spans="1:2" ht="25.5" x14ac:dyDescent="0.25">
      <c r="A1953" s="183">
        <v>7922</v>
      </c>
      <c r="B1953" s="184" t="s">
        <v>5475</v>
      </c>
    </row>
    <row r="1954" spans="1:2" ht="25.5" x14ac:dyDescent="0.25">
      <c r="A1954" s="183">
        <v>7929</v>
      </c>
      <c r="B1954" s="184" t="s">
        <v>5476</v>
      </c>
    </row>
    <row r="1955" spans="1:2" ht="25.5" x14ac:dyDescent="0.25">
      <c r="A1955" s="183">
        <v>7929</v>
      </c>
      <c r="B1955" s="184" t="s">
        <v>5477</v>
      </c>
    </row>
    <row r="1956" spans="1:2" ht="25.5" x14ac:dyDescent="0.25">
      <c r="A1956" s="183">
        <v>7929</v>
      </c>
      <c r="B1956" s="184" t="s">
        <v>5478</v>
      </c>
    </row>
    <row r="1957" spans="1:2" x14ac:dyDescent="0.25">
      <c r="A1957" s="183">
        <v>7933</v>
      </c>
      <c r="B1957" s="184" t="s">
        <v>4528</v>
      </c>
    </row>
    <row r="1958" spans="1:2" x14ac:dyDescent="0.25">
      <c r="A1958" s="183">
        <v>7941</v>
      </c>
      <c r="B1958" s="184" t="s">
        <v>5479</v>
      </c>
    </row>
    <row r="1959" spans="1:2" ht="25.5" x14ac:dyDescent="0.25">
      <c r="A1959" s="183">
        <v>7941</v>
      </c>
      <c r="B1959" s="184" t="s">
        <v>5480</v>
      </c>
    </row>
    <row r="1960" spans="1:2" x14ac:dyDescent="0.25">
      <c r="A1960" s="183">
        <v>7941</v>
      </c>
      <c r="B1960" s="184" t="s">
        <v>5481</v>
      </c>
    </row>
    <row r="1961" spans="1:2" x14ac:dyDescent="0.25">
      <c r="A1961" s="183">
        <v>7941</v>
      </c>
      <c r="B1961" s="184" t="s">
        <v>5482</v>
      </c>
    </row>
    <row r="1962" spans="1:2" x14ac:dyDescent="0.25">
      <c r="A1962" s="183">
        <v>7948</v>
      </c>
      <c r="B1962" s="184" t="s">
        <v>5483</v>
      </c>
    </row>
    <row r="1963" spans="1:2" x14ac:dyDescent="0.25">
      <c r="A1963" s="183">
        <v>7948</v>
      </c>
      <c r="B1963" s="184" t="s">
        <v>5484</v>
      </c>
    </row>
    <row r="1964" spans="1:2" x14ac:dyDescent="0.25">
      <c r="A1964" s="183">
        <v>7991</v>
      </c>
      <c r="B1964" s="184" t="s">
        <v>5485</v>
      </c>
    </row>
    <row r="1965" spans="1:2" x14ac:dyDescent="0.25">
      <c r="A1965" s="183">
        <v>7992</v>
      </c>
      <c r="B1965" s="184" t="s">
        <v>5486</v>
      </c>
    </row>
    <row r="1966" spans="1:2" x14ac:dyDescent="0.25">
      <c r="A1966" s="183">
        <v>7993</v>
      </c>
      <c r="B1966" s="184" t="s">
        <v>5487</v>
      </c>
    </row>
    <row r="1967" spans="1:2" x14ac:dyDescent="0.25">
      <c r="A1967" s="183">
        <v>7993</v>
      </c>
      <c r="B1967" s="184" t="s">
        <v>5488</v>
      </c>
    </row>
    <row r="1968" spans="1:2" x14ac:dyDescent="0.25">
      <c r="A1968" s="183">
        <v>7993</v>
      </c>
      <c r="B1968" s="184" t="s">
        <v>5489</v>
      </c>
    </row>
    <row r="1969" spans="1:2" x14ac:dyDescent="0.25">
      <c r="A1969" s="183">
        <v>7996</v>
      </c>
      <c r="B1969" s="184" t="s">
        <v>613</v>
      </c>
    </row>
    <row r="1970" spans="1:2" ht="25.5" x14ac:dyDescent="0.25">
      <c r="A1970" s="183">
        <v>7997</v>
      </c>
      <c r="B1970" s="184" t="s">
        <v>5490</v>
      </c>
    </row>
    <row r="1971" spans="1:2" x14ac:dyDescent="0.25">
      <c r="A1971" s="183">
        <v>7997</v>
      </c>
      <c r="B1971" s="184" t="s">
        <v>5491</v>
      </c>
    </row>
    <row r="1972" spans="1:2" x14ac:dyDescent="0.25">
      <c r="A1972" s="183">
        <v>7997</v>
      </c>
      <c r="B1972" s="184" t="s">
        <v>5492</v>
      </c>
    </row>
    <row r="1973" spans="1:2" x14ac:dyDescent="0.25">
      <c r="A1973" s="183">
        <v>7997</v>
      </c>
      <c r="B1973" s="184" t="s">
        <v>5493</v>
      </c>
    </row>
    <row r="1974" spans="1:2" x14ac:dyDescent="0.25">
      <c r="A1974" s="183">
        <v>7997</v>
      </c>
      <c r="B1974" s="184" t="s">
        <v>5494</v>
      </c>
    </row>
    <row r="1975" spans="1:2" x14ac:dyDescent="0.25">
      <c r="A1975" s="183">
        <v>7999</v>
      </c>
      <c r="B1975" s="184" t="s">
        <v>5495</v>
      </c>
    </row>
    <row r="1976" spans="1:2" x14ac:dyDescent="0.25">
      <c r="A1976" s="183">
        <v>7999</v>
      </c>
      <c r="B1976" s="184" t="s">
        <v>5496</v>
      </c>
    </row>
    <row r="1977" spans="1:2" x14ac:dyDescent="0.25">
      <c r="A1977" s="183">
        <v>7999</v>
      </c>
      <c r="B1977" s="184" t="s">
        <v>5497</v>
      </c>
    </row>
    <row r="1978" spans="1:2" ht="25.5" x14ac:dyDescent="0.25">
      <c r="A1978" s="183">
        <v>7999</v>
      </c>
      <c r="B1978" s="184" t="s">
        <v>5498</v>
      </c>
    </row>
    <row r="1979" spans="1:2" x14ac:dyDescent="0.25">
      <c r="A1979" s="183">
        <v>7999</v>
      </c>
      <c r="B1979" s="184" t="s">
        <v>5499</v>
      </c>
    </row>
    <row r="1980" spans="1:2" ht="38.25" x14ac:dyDescent="0.25">
      <c r="A1980" s="183">
        <v>7999</v>
      </c>
      <c r="B1980" s="184" t="s">
        <v>5500</v>
      </c>
    </row>
    <row r="1981" spans="1:2" ht="25.5" x14ac:dyDescent="0.25">
      <c r="A1981" s="183">
        <v>7999</v>
      </c>
      <c r="B1981" s="184" t="s">
        <v>5501</v>
      </c>
    </row>
    <row r="1982" spans="1:2" x14ac:dyDescent="0.25">
      <c r="A1982" s="183">
        <v>7999</v>
      </c>
      <c r="B1982" s="184" t="s">
        <v>5502</v>
      </c>
    </row>
    <row r="1983" spans="1:2" x14ac:dyDescent="0.25">
      <c r="A1983" s="183">
        <v>7999</v>
      </c>
      <c r="B1983" s="184" t="s">
        <v>5503</v>
      </c>
    </row>
    <row r="1984" spans="1:2" ht="25.5" x14ac:dyDescent="0.25">
      <c r="A1984" s="183">
        <v>7999</v>
      </c>
      <c r="B1984" s="184" t="s">
        <v>5504</v>
      </c>
    </row>
    <row r="1985" spans="1:2" ht="25.5" x14ac:dyDescent="0.25">
      <c r="A1985" s="183">
        <v>7999</v>
      </c>
      <c r="B1985" s="184" t="s">
        <v>5505</v>
      </c>
    </row>
    <row r="1986" spans="1:2" x14ac:dyDescent="0.25">
      <c r="A1986" s="183">
        <v>7999</v>
      </c>
      <c r="B1986" s="184" t="s">
        <v>5506</v>
      </c>
    </row>
    <row r="1987" spans="1:2" x14ac:dyDescent="0.25">
      <c r="A1987" s="183">
        <v>7999</v>
      </c>
      <c r="B1987" s="184" t="s">
        <v>5507</v>
      </c>
    </row>
    <row r="1988" spans="1:2" ht="25.5" x14ac:dyDescent="0.25">
      <c r="A1988" s="183">
        <v>7999</v>
      </c>
      <c r="B1988" s="184" t="s">
        <v>5508</v>
      </c>
    </row>
    <row r="1989" spans="1:2" x14ac:dyDescent="0.25">
      <c r="A1989" s="183">
        <v>7999</v>
      </c>
      <c r="B1989" s="184" t="s">
        <v>5509</v>
      </c>
    </row>
    <row r="1990" spans="1:2" ht="25.5" x14ac:dyDescent="0.25">
      <c r="A1990" s="183">
        <v>7999</v>
      </c>
      <c r="B1990" s="184" t="s">
        <v>5510</v>
      </c>
    </row>
    <row r="1991" spans="1:2" ht="76.5" x14ac:dyDescent="0.25">
      <c r="A1991" s="183">
        <v>7999</v>
      </c>
      <c r="B1991" s="184" t="s">
        <v>5511</v>
      </c>
    </row>
    <row r="1992" spans="1:2" x14ac:dyDescent="0.25">
      <c r="A1992" s="183">
        <v>7999</v>
      </c>
      <c r="B1992" s="184" t="s">
        <v>5512</v>
      </c>
    </row>
    <row r="1993" spans="1:2" ht="25.5" x14ac:dyDescent="0.25">
      <c r="A1993" s="183">
        <v>8011</v>
      </c>
      <c r="B1993" s="184" t="s">
        <v>5513</v>
      </c>
    </row>
    <row r="1994" spans="1:2" x14ac:dyDescent="0.25">
      <c r="A1994" s="183">
        <v>8011</v>
      </c>
      <c r="B1994" s="184" t="s">
        <v>5514</v>
      </c>
    </row>
    <row r="1995" spans="1:2" x14ac:dyDescent="0.25">
      <c r="A1995" s="183">
        <v>8011</v>
      </c>
      <c r="B1995" s="184" t="s">
        <v>5515</v>
      </c>
    </row>
    <row r="1996" spans="1:2" x14ac:dyDescent="0.25">
      <c r="A1996" s="183">
        <v>8011</v>
      </c>
      <c r="B1996" s="184" t="s">
        <v>5516</v>
      </c>
    </row>
    <row r="1997" spans="1:2" x14ac:dyDescent="0.25">
      <c r="A1997" s="183">
        <v>8021</v>
      </c>
      <c r="B1997" s="184" t="s">
        <v>5517</v>
      </c>
    </row>
    <row r="1998" spans="1:2" x14ac:dyDescent="0.25">
      <c r="A1998" s="183">
        <v>8031</v>
      </c>
      <c r="B1998" s="184" t="s">
        <v>5518</v>
      </c>
    </row>
    <row r="1999" spans="1:2" x14ac:dyDescent="0.25">
      <c r="A1999" s="183">
        <v>8031</v>
      </c>
      <c r="B1999" s="184" t="s">
        <v>5519</v>
      </c>
    </row>
    <row r="2000" spans="1:2" x14ac:dyDescent="0.25">
      <c r="A2000" s="183">
        <v>8041</v>
      </c>
      <c r="B2000" s="184" t="s">
        <v>5520</v>
      </c>
    </row>
    <row r="2001" spans="1:2" x14ac:dyDescent="0.25">
      <c r="A2001" s="183">
        <v>8042</v>
      </c>
      <c r="B2001" s="184" t="s">
        <v>5521</v>
      </c>
    </row>
    <row r="2002" spans="1:2" x14ac:dyDescent="0.25">
      <c r="A2002" s="183">
        <v>8043</v>
      </c>
      <c r="B2002" s="184" t="s">
        <v>5522</v>
      </c>
    </row>
    <row r="2003" spans="1:2" x14ac:dyDescent="0.25">
      <c r="A2003" s="183">
        <v>8049</v>
      </c>
      <c r="B2003" s="184" t="s">
        <v>5523</v>
      </c>
    </row>
    <row r="2004" spans="1:2" ht="25.5" x14ac:dyDescent="0.25">
      <c r="A2004" s="183">
        <v>8049</v>
      </c>
      <c r="B2004" s="184" t="s">
        <v>5524</v>
      </c>
    </row>
    <row r="2005" spans="1:2" ht="25.5" x14ac:dyDescent="0.25">
      <c r="A2005" s="183">
        <v>8049</v>
      </c>
      <c r="B2005" s="184" t="s">
        <v>5525</v>
      </c>
    </row>
    <row r="2006" spans="1:2" ht="25.5" x14ac:dyDescent="0.25">
      <c r="A2006" s="183">
        <v>8051</v>
      </c>
      <c r="B2006" s="184" t="s">
        <v>5526</v>
      </c>
    </row>
    <row r="2007" spans="1:2" x14ac:dyDescent="0.25">
      <c r="A2007" s="183">
        <v>8051</v>
      </c>
      <c r="B2007" s="184" t="s">
        <v>5527</v>
      </c>
    </row>
    <row r="2008" spans="1:2" x14ac:dyDescent="0.25">
      <c r="A2008" s="183">
        <v>8051</v>
      </c>
      <c r="B2008" s="184" t="s">
        <v>5528</v>
      </c>
    </row>
    <row r="2009" spans="1:2" ht="25.5" x14ac:dyDescent="0.25">
      <c r="A2009" s="183">
        <v>8052</v>
      </c>
      <c r="B2009" s="184" t="s">
        <v>5529</v>
      </c>
    </row>
    <row r="2010" spans="1:2" x14ac:dyDescent="0.25">
      <c r="A2010" s="183">
        <v>8052</v>
      </c>
      <c r="B2010" s="184" t="s">
        <v>5530</v>
      </c>
    </row>
    <row r="2011" spans="1:2" x14ac:dyDescent="0.25">
      <c r="A2011" s="183">
        <v>8052</v>
      </c>
      <c r="B2011" s="184" t="s">
        <v>5531</v>
      </c>
    </row>
    <row r="2012" spans="1:2" ht="38.25" x14ac:dyDescent="0.25">
      <c r="A2012" s="183">
        <v>8059</v>
      </c>
      <c r="B2012" s="184" t="s">
        <v>5532</v>
      </c>
    </row>
    <row r="2013" spans="1:2" x14ac:dyDescent="0.25">
      <c r="A2013" s="183">
        <v>8059</v>
      </c>
      <c r="B2013" s="184" t="s">
        <v>5533</v>
      </c>
    </row>
    <row r="2014" spans="1:2" x14ac:dyDescent="0.25">
      <c r="A2014" s="183">
        <v>8059</v>
      </c>
      <c r="B2014" s="184" t="s">
        <v>5534</v>
      </c>
    </row>
    <row r="2015" spans="1:2" x14ac:dyDescent="0.25">
      <c r="A2015" s="183">
        <v>8062</v>
      </c>
      <c r="B2015" s="184" t="s">
        <v>4446</v>
      </c>
    </row>
    <row r="2016" spans="1:2" x14ac:dyDescent="0.25">
      <c r="A2016" s="183">
        <v>8063</v>
      </c>
      <c r="B2016" s="184" t="s">
        <v>5535</v>
      </c>
    </row>
    <row r="2017" spans="1:2" x14ac:dyDescent="0.25">
      <c r="A2017" s="183">
        <v>8069</v>
      </c>
      <c r="B2017" s="184" t="s">
        <v>5536</v>
      </c>
    </row>
    <row r="2018" spans="1:2" x14ac:dyDescent="0.25">
      <c r="A2018" s="183">
        <v>8069</v>
      </c>
      <c r="B2018" s="184" t="s">
        <v>5537</v>
      </c>
    </row>
    <row r="2019" spans="1:2" x14ac:dyDescent="0.25">
      <c r="A2019" s="183">
        <v>8069</v>
      </c>
      <c r="B2019" s="184" t="s">
        <v>5538</v>
      </c>
    </row>
    <row r="2020" spans="1:2" x14ac:dyDescent="0.25">
      <c r="A2020" s="183">
        <v>8071</v>
      </c>
      <c r="B2020" s="184" t="s">
        <v>5539</v>
      </c>
    </row>
    <row r="2021" spans="1:2" x14ac:dyDescent="0.25">
      <c r="A2021" s="183">
        <v>8071</v>
      </c>
      <c r="B2021" s="184" t="s">
        <v>5540</v>
      </c>
    </row>
    <row r="2022" spans="1:2" x14ac:dyDescent="0.25">
      <c r="A2022" s="183">
        <v>8072</v>
      </c>
      <c r="B2022" s="184" t="s">
        <v>3496</v>
      </c>
    </row>
    <row r="2023" spans="1:2" x14ac:dyDescent="0.25">
      <c r="A2023" s="183">
        <v>8082</v>
      </c>
      <c r="B2023" s="184" t="s">
        <v>4438</v>
      </c>
    </row>
    <row r="2024" spans="1:2" x14ac:dyDescent="0.25">
      <c r="A2024" s="183">
        <v>8092</v>
      </c>
      <c r="B2024" s="184" t="s">
        <v>4429</v>
      </c>
    </row>
    <row r="2025" spans="1:2" x14ac:dyDescent="0.25">
      <c r="A2025" s="183">
        <v>8093</v>
      </c>
      <c r="B2025" s="184" t="s">
        <v>5541</v>
      </c>
    </row>
    <row r="2026" spans="1:2" x14ac:dyDescent="0.25">
      <c r="A2026" s="183">
        <v>8093</v>
      </c>
      <c r="B2026" s="184" t="s">
        <v>5542</v>
      </c>
    </row>
    <row r="2027" spans="1:2" x14ac:dyDescent="0.25">
      <c r="A2027" s="183">
        <v>8093</v>
      </c>
      <c r="B2027" s="184" t="s">
        <v>5543</v>
      </c>
    </row>
    <row r="2028" spans="1:2" ht="25.5" x14ac:dyDescent="0.25">
      <c r="A2028" s="183">
        <v>8093</v>
      </c>
      <c r="B2028" s="184" t="s">
        <v>5544</v>
      </c>
    </row>
    <row r="2029" spans="1:2" x14ac:dyDescent="0.25">
      <c r="A2029" s="183">
        <v>8099</v>
      </c>
      <c r="B2029" s="184" t="s">
        <v>5545</v>
      </c>
    </row>
    <row r="2030" spans="1:2" x14ac:dyDescent="0.25">
      <c r="A2030" s="183">
        <v>8099</v>
      </c>
      <c r="B2030" s="184" t="s">
        <v>5546</v>
      </c>
    </row>
    <row r="2031" spans="1:2" x14ac:dyDescent="0.25">
      <c r="A2031" s="183">
        <v>8099</v>
      </c>
      <c r="B2031" s="184" t="s">
        <v>5547</v>
      </c>
    </row>
    <row r="2032" spans="1:2" x14ac:dyDescent="0.25">
      <c r="A2032" s="183">
        <v>8099</v>
      </c>
      <c r="B2032" s="184" t="s">
        <v>5548</v>
      </c>
    </row>
    <row r="2033" spans="1:2" ht="25.5" x14ac:dyDescent="0.25">
      <c r="A2033" s="183">
        <v>8099</v>
      </c>
      <c r="B2033" s="184" t="s">
        <v>5549</v>
      </c>
    </row>
    <row r="2034" spans="1:2" x14ac:dyDescent="0.25">
      <c r="A2034" s="183">
        <v>8111</v>
      </c>
      <c r="B2034" s="184" t="s">
        <v>5550</v>
      </c>
    </row>
    <row r="2035" spans="1:2" x14ac:dyDescent="0.25">
      <c r="A2035" s="183">
        <v>8211</v>
      </c>
      <c r="B2035" s="184" t="s">
        <v>4371</v>
      </c>
    </row>
    <row r="2036" spans="1:2" x14ac:dyDescent="0.25">
      <c r="A2036" s="183">
        <v>8221</v>
      </c>
      <c r="B2036" s="184" t="s">
        <v>4375</v>
      </c>
    </row>
    <row r="2037" spans="1:2" x14ac:dyDescent="0.25">
      <c r="A2037" s="183">
        <v>8222</v>
      </c>
      <c r="B2037" s="184" t="s">
        <v>5551</v>
      </c>
    </row>
    <row r="2038" spans="1:2" x14ac:dyDescent="0.25">
      <c r="A2038" s="183">
        <v>8231</v>
      </c>
      <c r="B2038" s="184" t="s">
        <v>5552</v>
      </c>
    </row>
    <row r="2039" spans="1:2" x14ac:dyDescent="0.25">
      <c r="A2039" s="183">
        <v>8243</v>
      </c>
      <c r="B2039" s="184" t="s">
        <v>5553</v>
      </c>
    </row>
    <row r="2040" spans="1:2" x14ac:dyDescent="0.25">
      <c r="A2040" s="183">
        <v>8243</v>
      </c>
      <c r="B2040" s="184" t="s">
        <v>5554</v>
      </c>
    </row>
    <row r="2041" spans="1:2" x14ac:dyDescent="0.25">
      <c r="A2041" s="183">
        <v>8244</v>
      </c>
      <c r="B2041" s="184" t="s">
        <v>4377</v>
      </c>
    </row>
    <row r="2042" spans="1:2" x14ac:dyDescent="0.25">
      <c r="A2042" s="183">
        <v>8249</v>
      </c>
      <c r="B2042" s="184" t="s">
        <v>5555</v>
      </c>
    </row>
    <row r="2043" spans="1:2" x14ac:dyDescent="0.25">
      <c r="A2043" s="183">
        <v>8249</v>
      </c>
      <c r="B2043" s="184" t="s">
        <v>5556</v>
      </c>
    </row>
    <row r="2044" spans="1:2" x14ac:dyDescent="0.25">
      <c r="A2044" s="183">
        <v>8249</v>
      </c>
      <c r="B2044" s="184" t="s">
        <v>5557</v>
      </c>
    </row>
    <row r="2045" spans="1:2" x14ac:dyDescent="0.25">
      <c r="A2045" s="183">
        <v>8299</v>
      </c>
      <c r="B2045" s="184" t="s">
        <v>5558</v>
      </c>
    </row>
    <row r="2046" spans="1:2" x14ac:dyDescent="0.25">
      <c r="A2046" s="183">
        <v>8299</v>
      </c>
      <c r="B2046" s="184" t="s">
        <v>5559</v>
      </c>
    </row>
    <row r="2047" spans="1:2" x14ac:dyDescent="0.25">
      <c r="A2047" s="183">
        <v>8299</v>
      </c>
      <c r="B2047" s="184" t="s">
        <v>5560</v>
      </c>
    </row>
    <row r="2048" spans="1:2" x14ac:dyDescent="0.25">
      <c r="A2048" s="183">
        <v>8299</v>
      </c>
      <c r="B2048" s="184" t="s">
        <v>5561</v>
      </c>
    </row>
    <row r="2049" spans="1:2" x14ac:dyDescent="0.25">
      <c r="A2049" s="183">
        <v>8299</v>
      </c>
      <c r="B2049" s="184" t="s">
        <v>5562</v>
      </c>
    </row>
    <row r="2050" spans="1:2" x14ac:dyDescent="0.25">
      <c r="A2050" s="183">
        <v>8299</v>
      </c>
      <c r="B2050" s="184" t="s">
        <v>5563</v>
      </c>
    </row>
    <row r="2051" spans="1:2" x14ac:dyDescent="0.25">
      <c r="A2051" s="183">
        <v>8299</v>
      </c>
      <c r="B2051" s="184" t="s">
        <v>5564</v>
      </c>
    </row>
    <row r="2052" spans="1:2" x14ac:dyDescent="0.25">
      <c r="A2052" s="183">
        <v>8299</v>
      </c>
      <c r="B2052" s="184" t="s">
        <v>5565</v>
      </c>
    </row>
    <row r="2053" spans="1:2" ht="38.25" x14ac:dyDescent="0.25">
      <c r="A2053" s="183">
        <v>8299</v>
      </c>
      <c r="B2053" s="184" t="s">
        <v>5566</v>
      </c>
    </row>
    <row r="2054" spans="1:2" x14ac:dyDescent="0.25">
      <c r="A2054" s="183">
        <v>8299</v>
      </c>
      <c r="B2054" s="184" t="s">
        <v>5567</v>
      </c>
    </row>
    <row r="2055" spans="1:2" x14ac:dyDescent="0.25">
      <c r="A2055" s="183">
        <v>8322</v>
      </c>
      <c r="B2055" s="184" t="s">
        <v>5568</v>
      </c>
    </row>
    <row r="2056" spans="1:2" x14ac:dyDescent="0.25">
      <c r="A2056" s="183">
        <v>8322</v>
      </c>
      <c r="B2056" s="184" t="s">
        <v>5569</v>
      </c>
    </row>
    <row r="2057" spans="1:2" ht="38.25" x14ac:dyDescent="0.25">
      <c r="A2057" s="183">
        <v>8322</v>
      </c>
      <c r="B2057" s="184" t="s">
        <v>5570</v>
      </c>
    </row>
    <row r="2058" spans="1:2" x14ac:dyDescent="0.25">
      <c r="A2058" s="183">
        <v>8322</v>
      </c>
      <c r="B2058" s="184" t="s">
        <v>5571</v>
      </c>
    </row>
    <row r="2059" spans="1:2" x14ac:dyDescent="0.25">
      <c r="A2059" s="183">
        <v>8322</v>
      </c>
      <c r="B2059" s="184" t="s">
        <v>5572</v>
      </c>
    </row>
    <row r="2060" spans="1:2" x14ac:dyDescent="0.25">
      <c r="A2060" s="183">
        <v>8322</v>
      </c>
      <c r="B2060" s="184" t="s">
        <v>5573</v>
      </c>
    </row>
    <row r="2061" spans="1:2" x14ac:dyDescent="0.25">
      <c r="A2061" s="183">
        <v>8322</v>
      </c>
      <c r="B2061" s="184" t="s">
        <v>5574</v>
      </c>
    </row>
    <row r="2062" spans="1:2" x14ac:dyDescent="0.25">
      <c r="A2062" s="183">
        <v>8322</v>
      </c>
      <c r="B2062" s="184" t="s">
        <v>5575</v>
      </c>
    </row>
    <row r="2063" spans="1:2" x14ac:dyDescent="0.25">
      <c r="A2063" s="183">
        <v>8331</v>
      </c>
      <c r="B2063" s="184" t="s">
        <v>5576</v>
      </c>
    </row>
    <row r="2064" spans="1:2" x14ac:dyDescent="0.25">
      <c r="A2064" s="183">
        <v>8351</v>
      </c>
      <c r="B2064" s="184" t="s">
        <v>4480</v>
      </c>
    </row>
    <row r="2065" spans="1:2" x14ac:dyDescent="0.25">
      <c r="A2065" s="183">
        <v>8361</v>
      </c>
      <c r="B2065" s="184" t="s">
        <v>5577</v>
      </c>
    </row>
    <row r="2066" spans="1:2" x14ac:dyDescent="0.25">
      <c r="A2066" s="183">
        <v>8361</v>
      </c>
      <c r="B2066" s="184" t="s">
        <v>5578</v>
      </c>
    </row>
    <row r="2067" spans="1:2" x14ac:dyDescent="0.25">
      <c r="A2067" s="183">
        <v>8361</v>
      </c>
      <c r="B2067" s="184" t="s">
        <v>5579</v>
      </c>
    </row>
    <row r="2068" spans="1:2" ht="25.5" x14ac:dyDescent="0.25">
      <c r="A2068" s="183">
        <v>8361</v>
      </c>
      <c r="B2068" s="184" t="s">
        <v>5580</v>
      </c>
    </row>
    <row r="2069" spans="1:2" x14ac:dyDescent="0.25">
      <c r="A2069" s="183">
        <v>8399</v>
      </c>
      <c r="B2069" s="184" t="s">
        <v>5581</v>
      </c>
    </row>
    <row r="2070" spans="1:2" x14ac:dyDescent="0.25">
      <c r="A2070" s="183">
        <v>8399</v>
      </c>
      <c r="B2070" s="184" t="s">
        <v>5582</v>
      </c>
    </row>
    <row r="2071" spans="1:2" x14ac:dyDescent="0.25">
      <c r="A2071" s="183">
        <v>8399</v>
      </c>
      <c r="B2071" s="184" t="s">
        <v>5583</v>
      </c>
    </row>
    <row r="2072" spans="1:2" x14ac:dyDescent="0.25">
      <c r="A2072" s="183">
        <v>8399</v>
      </c>
      <c r="B2072" s="184" t="s">
        <v>5584</v>
      </c>
    </row>
    <row r="2073" spans="1:2" ht="25.5" x14ac:dyDescent="0.25">
      <c r="A2073" s="183">
        <v>8399</v>
      </c>
      <c r="B2073" s="184" t="s">
        <v>5585</v>
      </c>
    </row>
    <row r="2074" spans="1:2" x14ac:dyDescent="0.25">
      <c r="A2074" s="183">
        <v>8412</v>
      </c>
      <c r="B2074" s="184" t="s">
        <v>5586</v>
      </c>
    </row>
    <row r="2075" spans="1:2" x14ac:dyDescent="0.25">
      <c r="A2075" s="183">
        <v>8412</v>
      </c>
      <c r="B2075" s="184" t="s">
        <v>5587</v>
      </c>
    </row>
    <row r="2076" spans="1:2" x14ac:dyDescent="0.25">
      <c r="A2076" s="183">
        <v>8422</v>
      </c>
      <c r="B2076" s="184" t="s">
        <v>5588</v>
      </c>
    </row>
    <row r="2077" spans="1:2" x14ac:dyDescent="0.25">
      <c r="A2077" s="183">
        <v>8422</v>
      </c>
      <c r="B2077" s="184" t="s">
        <v>5589</v>
      </c>
    </row>
    <row r="2078" spans="1:2" x14ac:dyDescent="0.25">
      <c r="A2078" s="183">
        <v>8611</v>
      </c>
      <c r="B2078" s="184" t="s">
        <v>4641</v>
      </c>
    </row>
    <row r="2079" spans="1:2" x14ac:dyDescent="0.25">
      <c r="A2079" s="183">
        <v>8621</v>
      </c>
      <c r="B2079" s="184" t="s">
        <v>5590</v>
      </c>
    </row>
    <row r="2080" spans="1:2" x14ac:dyDescent="0.25">
      <c r="A2080" s="183">
        <v>8631</v>
      </c>
      <c r="B2080" s="184" t="s">
        <v>4645</v>
      </c>
    </row>
    <row r="2081" spans="1:2" ht="25.5" x14ac:dyDescent="0.25">
      <c r="A2081" s="183">
        <v>8641</v>
      </c>
      <c r="B2081" s="184" t="s">
        <v>5591</v>
      </c>
    </row>
    <row r="2082" spans="1:2" ht="38.25" x14ac:dyDescent="0.25">
      <c r="A2082" s="183">
        <v>8641</v>
      </c>
      <c r="B2082" s="184" t="s">
        <v>5592</v>
      </c>
    </row>
    <row r="2083" spans="1:2" x14ac:dyDescent="0.25">
      <c r="A2083" s="183">
        <v>8641</v>
      </c>
      <c r="B2083" s="184" t="s">
        <v>5593</v>
      </c>
    </row>
    <row r="2084" spans="1:2" x14ac:dyDescent="0.25">
      <c r="A2084" s="183">
        <v>8641</v>
      </c>
      <c r="B2084" s="184" t="s">
        <v>5594</v>
      </c>
    </row>
    <row r="2085" spans="1:2" x14ac:dyDescent="0.25">
      <c r="A2085" s="183">
        <v>8651</v>
      </c>
      <c r="B2085" s="184" t="s">
        <v>4647</v>
      </c>
    </row>
    <row r="2086" spans="1:2" x14ac:dyDescent="0.25">
      <c r="A2086" s="183">
        <v>8661</v>
      </c>
      <c r="B2086" s="184" t="s">
        <v>4625</v>
      </c>
    </row>
    <row r="2087" spans="1:2" x14ac:dyDescent="0.25">
      <c r="A2087" s="183">
        <v>8699</v>
      </c>
      <c r="B2087" s="184" t="s">
        <v>5595</v>
      </c>
    </row>
    <row r="2088" spans="1:2" x14ac:dyDescent="0.25">
      <c r="A2088" s="183">
        <v>8699</v>
      </c>
      <c r="B2088" s="184" t="s">
        <v>5596</v>
      </c>
    </row>
    <row r="2089" spans="1:2" ht="25.5" x14ac:dyDescent="0.25">
      <c r="A2089" s="183">
        <v>8699</v>
      </c>
      <c r="B2089" s="184" t="s">
        <v>5597</v>
      </c>
    </row>
    <row r="2090" spans="1:2" x14ac:dyDescent="0.25">
      <c r="A2090" s="183">
        <v>8699</v>
      </c>
      <c r="B2090" s="184" t="s">
        <v>5598</v>
      </c>
    </row>
    <row r="2091" spans="1:2" x14ac:dyDescent="0.25">
      <c r="A2091" s="183">
        <v>8699</v>
      </c>
      <c r="B2091" s="184" t="s">
        <v>5599</v>
      </c>
    </row>
    <row r="2092" spans="1:2" x14ac:dyDescent="0.25">
      <c r="A2092" s="183">
        <v>8711</v>
      </c>
      <c r="B2092" s="184" t="s">
        <v>4202</v>
      </c>
    </row>
    <row r="2093" spans="1:2" x14ac:dyDescent="0.25">
      <c r="A2093" s="183">
        <v>8712</v>
      </c>
      <c r="B2093" s="184" t="s">
        <v>4198</v>
      </c>
    </row>
    <row r="2094" spans="1:2" x14ac:dyDescent="0.25">
      <c r="A2094" s="183">
        <v>8713</v>
      </c>
      <c r="B2094" s="184" t="s">
        <v>5600</v>
      </c>
    </row>
    <row r="2095" spans="1:2" x14ac:dyDescent="0.25">
      <c r="A2095" s="183">
        <v>8713</v>
      </c>
      <c r="B2095" s="184" t="s">
        <v>5601</v>
      </c>
    </row>
    <row r="2096" spans="1:2" x14ac:dyDescent="0.25">
      <c r="A2096" s="183">
        <v>8721</v>
      </c>
      <c r="B2096" s="184" t="s">
        <v>5602</v>
      </c>
    </row>
    <row r="2097" spans="1:2" x14ac:dyDescent="0.25">
      <c r="A2097" s="183">
        <v>8721</v>
      </c>
      <c r="B2097" s="184" t="s">
        <v>5603</v>
      </c>
    </row>
    <row r="2098" spans="1:2" x14ac:dyDescent="0.25">
      <c r="A2098" s="183">
        <v>8721</v>
      </c>
      <c r="B2098" s="184" t="s">
        <v>5604</v>
      </c>
    </row>
    <row r="2099" spans="1:2" x14ac:dyDescent="0.25">
      <c r="A2099" s="183">
        <v>8731</v>
      </c>
      <c r="B2099" s="184" t="s">
        <v>5605</v>
      </c>
    </row>
    <row r="2100" spans="1:2" ht="25.5" x14ac:dyDescent="0.25">
      <c r="A2100" s="183">
        <v>8732</v>
      </c>
      <c r="B2100" s="184" t="s">
        <v>5606</v>
      </c>
    </row>
    <row r="2101" spans="1:2" ht="25.5" x14ac:dyDescent="0.25">
      <c r="A2101" s="183">
        <v>8732</v>
      </c>
      <c r="B2101" s="184" t="s">
        <v>5607</v>
      </c>
    </row>
    <row r="2102" spans="1:2" x14ac:dyDescent="0.25">
      <c r="A2102" s="183">
        <v>8733</v>
      </c>
      <c r="B2102" s="184" t="s">
        <v>5608</v>
      </c>
    </row>
    <row r="2103" spans="1:2" x14ac:dyDescent="0.25">
      <c r="A2103" s="183">
        <v>8733</v>
      </c>
      <c r="B2103" s="184" t="s">
        <v>5609</v>
      </c>
    </row>
    <row r="2104" spans="1:2" x14ac:dyDescent="0.25">
      <c r="A2104" s="183">
        <v>8734</v>
      </c>
      <c r="B2104" s="184" t="s">
        <v>496</v>
      </c>
    </row>
    <row r="2105" spans="1:2" x14ac:dyDescent="0.25">
      <c r="A2105" s="183">
        <v>8734</v>
      </c>
      <c r="B2105" s="184" t="s">
        <v>5610</v>
      </c>
    </row>
    <row r="2106" spans="1:2" x14ac:dyDescent="0.25">
      <c r="A2106" s="183">
        <v>8741</v>
      </c>
      <c r="B2106" s="184" t="s">
        <v>5611</v>
      </c>
    </row>
    <row r="2107" spans="1:2" x14ac:dyDescent="0.25">
      <c r="A2107" s="185">
        <v>8741</v>
      </c>
      <c r="B2107" s="184" t="s">
        <v>5612</v>
      </c>
    </row>
    <row r="2108" spans="1:2" x14ac:dyDescent="0.25">
      <c r="A2108" s="185">
        <v>8741</v>
      </c>
      <c r="B2108" s="184" t="s">
        <v>5613</v>
      </c>
    </row>
    <row r="2109" spans="1:2" x14ac:dyDescent="0.25">
      <c r="A2109" s="185">
        <v>8741</v>
      </c>
      <c r="B2109" s="184" t="s">
        <v>5614</v>
      </c>
    </row>
    <row r="2110" spans="1:2" x14ac:dyDescent="0.25">
      <c r="A2110" s="185">
        <v>8741</v>
      </c>
      <c r="B2110" s="184" t="s">
        <v>5615</v>
      </c>
    </row>
    <row r="2111" spans="1:2" ht="25.5" x14ac:dyDescent="0.25">
      <c r="A2111" s="185">
        <v>8741</v>
      </c>
      <c r="B2111" s="184" t="s">
        <v>5616</v>
      </c>
    </row>
    <row r="2112" spans="1:2" ht="25.5" x14ac:dyDescent="0.25">
      <c r="A2112" s="185">
        <v>8741</v>
      </c>
      <c r="B2112" s="184" t="s">
        <v>5617</v>
      </c>
    </row>
    <row r="2113" spans="1:2" ht="25.5" x14ac:dyDescent="0.25">
      <c r="A2113" s="185">
        <v>8741</v>
      </c>
      <c r="B2113" s="184" t="s">
        <v>5618</v>
      </c>
    </row>
    <row r="2114" spans="1:2" x14ac:dyDescent="0.25">
      <c r="A2114" s="185">
        <v>8741</v>
      </c>
      <c r="B2114" s="184" t="s">
        <v>5619</v>
      </c>
    </row>
    <row r="2115" spans="1:2" ht="25.5" x14ac:dyDescent="0.25">
      <c r="A2115" s="185">
        <v>8741</v>
      </c>
      <c r="B2115" s="184" t="s">
        <v>5620</v>
      </c>
    </row>
    <row r="2116" spans="1:2" x14ac:dyDescent="0.25">
      <c r="A2116" s="183">
        <v>8741</v>
      </c>
      <c r="B2116" s="184" t="s">
        <v>5621</v>
      </c>
    </row>
    <row r="2117" spans="1:2" ht="25.5" x14ac:dyDescent="0.25">
      <c r="A2117" s="183">
        <v>8742</v>
      </c>
      <c r="B2117" s="184" t="s">
        <v>5622</v>
      </c>
    </row>
    <row r="2118" spans="1:2" x14ac:dyDescent="0.25">
      <c r="A2118" s="183">
        <v>8742</v>
      </c>
      <c r="B2118" s="184" t="s">
        <v>5623</v>
      </c>
    </row>
    <row r="2119" spans="1:2" x14ac:dyDescent="0.25">
      <c r="A2119" s="183">
        <v>8742</v>
      </c>
      <c r="B2119" s="184" t="s">
        <v>5624</v>
      </c>
    </row>
    <row r="2120" spans="1:2" ht="25.5" x14ac:dyDescent="0.25">
      <c r="A2120" s="183">
        <v>8742</v>
      </c>
      <c r="B2120" s="184" t="s">
        <v>5625</v>
      </c>
    </row>
    <row r="2121" spans="1:2" x14ac:dyDescent="0.25">
      <c r="A2121" s="183">
        <v>8743</v>
      </c>
      <c r="B2121" s="184" t="s">
        <v>5626</v>
      </c>
    </row>
    <row r="2122" spans="1:2" x14ac:dyDescent="0.25">
      <c r="A2122" s="183">
        <v>8744</v>
      </c>
      <c r="B2122" s="184" t="s">
        <v>5627</v>
      </c>
    </row>
    <row r="2123" spans="1:2" x14ac:dyDescent="0.25">
      <c r="A2123" s="183">
        <v>8748</v>
      </c>
      <c r="B2123" s="184" t="s">
        <v>5628</v>
      </c>
    </row>
    <row r="2124" spans="1:2" x14ac:dyDescent="0.25">
      <c r="A2124" s="183">
        <v>8748</v>
      </c>
      <c r="B2124" s="184" t="s">
        <v>5629</v>
      </c>
    </row>
    <row r="2125" spans="1:2" ht="38.25" x14ac:dyDescent="0.25">
      <c r="A2125" s="183">
        <v>8748</v>
      </c>
      <c r="B2125" s="184" t="s">
        <v>5630</v>
      </c>
    </row>
    <row r="2126" spans="1:2" x14ac:dyDescent="0.25">
      <c r="A2126" s="183">
        <v>8748</v>
      </c>
      <c r="B2126" s="184" t="s">
        <v>5631</v>
      </c>
    </row>
    <row r="2127" spans="1:2" ht="25.5" x14ac:dyDescent="0.25">
      <c r="A2127" s="183">
        <v>8748</v>
      </c>
      <c r="B2127" s="184" t="s">
        <v>5632</v>
      </c>
    </row>
    <row r="2128" spans="1:2" x14ac:dyDescent="0.25">
      <c r="A2128" s="183">
        <v>8811</v>
      </c>
      <c r="B2128" s="184" t="s">
        <v>4651</v>
      </c>
    </row>
    <row r="2129" spans="1:2" x14ac:dyDescent="0.25">
      <c r="A2129" s="183">
        <v>8999</v>
      </c>
      <c r="B2129" s="184" t="s">
        <v>5633</v>
      </c>
    </row>
    <row r="2130" spans="1:2" x14ac:dyDescent="0.25">
      <c r="A2130" s="183">
        <v>8999</v>
      </c>
      <c r="B2130" s="184" t="s">
        <v>5634</v>
      </c>
    </row>
    <row r="2131" spans="1:2" ht="25.5" x14ac:dyDescent="0.25">
      <c r="A2131" s="183">
        <v>8999</v>
      </c>
      <c r="B2131" s="184" t="s">
        <v>5635</v>
      </c>
    </row>
    <row r="2132" spans="1:2" x14ac:dyDescent="0.25">
      <c r="A2132" s="183">
        <v>8999</v>
      </c>
      <c r="B2132" s="184" t="s">
        <v>5636</v>
      </c>
    </row>
    <row r="2133" spans="1:2" x14ac:dyDescent="0.25">
      <c r="A2133" s="183">
        <v>8999</v>
      </c>
      <c r="B2133" s="184" t="s">
        <v>5637</v>
      </c>
    </row>
    <row r="2134" spans="1:2" x14ac:dyDescent="0.25">
      <c r="A2134" s="183">
        <v>8999</v>
      </c>
      <c r="B2134" s="184" t="s">
        <v>5638</v>
      </c>
    </row>
    <row r="2135" spans="1:2" x14ac:dyDescent="0.25">
      <c r="A2135" s="183">
        <v>8999</v>
      </c>
      <c r="B2135" s="184" t="s">
        <v>5639</v>
      </c>
    </row>
    <row r="2136" spans="1:2" x14ac:dyDescent="0.25">
      <c r="A2136" s="183">
        <v>8999</v>
      </c>
      <c r="B2136" s="184" t="s">
        <v>5640</v>
      </c>
    </row>
    <row r="2137" spans="1:2" x14ac:dyDescent="0.25">
      <c r="A2137" s="183">
        <v>8999</v>
      </c>
      <c r="B2137" s="184" t="s">
        <v>5641</v>
      </c>
    </row>
    <row r="2138" spans="1:2" x14ac:dyDescent="0.25">
      <c r="A2138" s="183">
        <v>9111</v>
      </c>
      <c r="B2138" s="184" t="s">
        <v>4653</v>
      </c>
    </row>
    <row r="2139" spans="1:2" x14ac:dyDescent="0.25">
      <c r="A2139" s="183">
        <v>9121</v>
      </c>
      <c r="B2139" s="184" t="s">
        <v>4655</v>
      </c>
    </row>
    <row r="2140" spans="1:2" x14ac:dyDescent="0.25">
      <c r="A2140" s="183">
        <v>9131</v>
      </c>
      <c r="B2140" s="184" t="s">
        <v>5642</v>
      </c>
    </row>
    <row r="2141" spans="1:2" x14ac:dyDescent="0.25">
      <c r="A2141" s="183">
        <v>9199</v>
      </c>
      <c r="B2141" s="184" t="s">
        <v>5643</v>
      </c>
    </row>
    <row r="2142" spans="1:2" x14ac:dyDescent="0.25">
      <c r="A2142" s="183">
        <v>9211</v>
      </c>
      <c r="B2142" s="184" t="s">
        <v>4665</v>
      </c>
    </row>
    <row r="2143" spans="1:2" x14ac:dyDescent="0.25">
      <c r="A2143" s="183">
        <v>9221</v>
      </c>
      <c r="B2143" s="184" t="s">
        <v>4666</v>
      </c>
    </row>
    <row r="2144" spans="1:2" x14ac:dyDescent="0.25">
      <c r="A2144" s="183">
        <v>9222</v>
      </c>
      <c r="B2144" s="184" t="s">
        <v>4668</v>
      </c>
    </row>
    <row r="2145" spans="1:2" x14ac:dyDescent="0.25">
      <c r="A2145" s="183">
        <v>9223</v>
      </c>
      <c r="B2145" s="184" t="s">
        <v>4669</v>
      </c>
    </row>
    <row r="2146" spans="1:2" x14ac:dyDescent="0.25">
      <c r="A2146" s="183">
        <v>9224</v>
      </c>
      <c r="B2146" s="184" t="s">
        <v>4672</v>
      </c>
    </row>
    <row r="2147" spans="1:2" x14ac:dyDescent="0.25">
      <c r="A2147" s="183">
        <v>9229</v>
      </c>
      <c r="B2147" s="184" t="s">
        <v>5644</v>
      </c>
    </row>
    <row r="2148" spans="1:2" x14ac:dyDescent="0.25">
      <c r="A2148" s="183">
        <v>9311</v>
      </c>
      <c r="B2148" s="184" t="s">
        <v>5645</v>
      </c>
    </row>
    <row r="2149" spans="1:2" x14ac:dyDescent="0.25">
      <c r="A2149" s="183">
        <v>9411</v>
      </c>
      <c r="B2149" s="184" t="s">
        <v>5646</v>
      </c>
    </row>
    <row r="2150" spans="1:2" x14ac:dyDescent="0.25">
      <c r="A2150" s="183">
        <v>9431</v>
      </c>
      <c r="B2150" s="184" t="s">
        <v>4678</v>
      </c>
    </row>
    <row r="2151" spans="1:2" x14ac:dyDescent="0.25">
      <c r="A2151" s="183">
        <v>9441</v>
      </c>
      <c r="B2151" s="184" t="s">
        <v>5647</v>
      </c>
    </row>
    <row r="2152" spans="1:2" x14ac:dyDescent="0.25">
      <c r="A2152" s="183">
        <v>9451</v>
      </c>
      <c r="B2152" s="184" t="s">
        <v>5648</v>
      </c>
    </row>
    <row r="2153" spans="1:2" x14ac:dyDescent="0.25">
      <c r="A2153" s="183">
        <v>9511</v>
      </c>
      <c r="B2153" s="184" t="s">
        <v>386</v>
      </c>
    </row>
    <row r="2154" spans="1:2" x14ac:dyDescent="0.25">
      <c r="A2154" s="183">
        <v>9512</v>
      </c>
      <c r="B2154" s="184" t="s">
        <v>670</v>
      </c>
    </row>
    <row r="2155" spans="1:2" x14ac:dyDescent="0.25">
      <c r="A2155" s="183">
        <v>9531</v>
      </c>
      <c r="B2155" s="184" t="s">
        <v>4687</v>
      </c>
    </row>
    <row r="2156" spans="1:2" x14ac:dyDescent="0.25">
      <c r="A2156" s="183">
        <v>9532</v>
      </c>
      <c r="B2156" s="184" t="s">
        <v>4689</v>
      </c>
    </row>
    <row r="2157" spans="1:2" x14ac:dyDescent="0.25">
      <c r="A2157" s="183">
        <v>9611</v>
      </c>
      <c r="B2157" s="184" t="s">
        <v>4691</v>
      </c>
    </row>
    <row r="2158" spans="1:2" x14ac:dyDescent="0.25">
      <c r="A2158" s="183">
        <v>9621</v>
      </c>
      <c r="B2158" s="184" t="s">
        <v>5649</v>
      </c>
    </row>
    <row r="2159" spans="1:2" x14ac:dyDescent="0.25">
      <c r="A2159" s="183">
        <v>9621</v>
      </c>
      <c r="B2159" s="184" t="s">
        <v>5650</v>
      </c>
    </row>
    <row r="2160" spans="1:2" x14ac:dyDescent="0.25">
      <c r="A2160" s="183">
        <v>9631</v>
      </c>
      <c r="B2160" s="184" t="s">
        <v>4695</v>
      </c>
    </row>
    <row r="2161" spans="1:2" x14ac:dyDescent="0.25">
      <c r="A2161" s="183">
        <v>9641</v>
      </c>
      <c r="B2161" s="184" t="s">
        <v>4697</v>
      </c>
    </row>
    <row r="2162" spans="1:2" x14ac:dyDescent="0.25">
      <c r="A2162" s="183">
        <v>9651</v>
      </c>
      <c r="B2162" s="184" t="s">
        <v>4699</v>
      </c>
    </row>
    <row r="2163" spans="1:2" x14ac:dyDescent="0.25">
      <c r="A2163" s="183">
        <v>9661</v>
      </c>
      <c r="B2163" s="184" t="s">
        <v>4701</v>
      </c>
    </row>
    <row r="2164" spans="1:2" x14ac:dyDescent="0.25">
      <c r="A2164" s="183">
        <v>9711</v>
      </c>
      <c r="B2164" s="184" t="s">
        <v>4703</v>
      </c>
    </row>
    <row r="2165" spans="1:2" x14ac:dyDescent="0.25">
      <c r="A2165" s="183">
        <v>9721</v>
      </c>
      <c r="B2165" s="184" t="s">
        <v>4705</v>
      </c>
    </row>
    <row r="2166" spans="1:2" x14ac:dyDescent="0.25">
      <c r="A2166" s="183">
        <v>9999</v>
      </c>
      <c r="B2166" s="184" t="s">
        <v>475</v>
      </c>
    </row>
  </sheetData>
  <sheetProtection sheet="1" objects="1" scenarios="1" formatCells="0" formatColumns="0" formatRows="0"/>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9BFF5-7B55-4B06-8142-D6EE0C27BB57}">
  <sheetPr>
    <tabColor rgb="FF00B050"/>
  </sheetPr>
  <dimension ref="A1:I29"/>
  <sheetViews>
    <sheetView workbookViewId="0"/>
  </sheetViews>
  <sheetFormatPr defaultRowHeight="15" x14ac:dyDescent="0.25"/>
  <cols>
    <col min="1" max="1" width="16.5703125" bestFit="1" customWidth="1"/>
    <col min="2" max="2" width="63.85546875" customWidth="1"/>
    <col min="3" max="3" width="64.42578125" style="25" customWidth="1"/>
    <col min="4" max="4" width="31.42578125" customWidth="1"/>
    <col min="5" max="5" width="27.42578125" customWidth="1"/>
    <col min="6" max="6" width="28.5703125" style="25" customWidth="1"/>
    <col min="7" max="7" width="18.42578125" customWidth="1"/>
    <col min="9" max="9" width="60.42578125" hidden="1" customWidth="1"/>
  </cols>
  <sheetData>
    <row r="1" spans="1:9" x14ac:dyDescent="0.25">
      <c r="A1" s="54"/>
    </row>
    <row r="2" spans="1:9" s="27" customFormat="1" x14ac:dyDescent="0.25">
      <c r="A2" s="31" t="s">
        <v>5651</v>
      </c>
      <c r="B2" s="32" t="s">
        <v>5652</v>
      </c>
      <c r="C2" s="33" t="s">
        <v>5653</v>
      </c>
      <c r="D2" s="32" t="s">
        <v>5654</v>
      </c>
      <c r="E2" s="32" t="s">
        <v>238</v>
      </c>
      <c r="F2" s="34" t="s">
        <v>5655</v>
      </c>
      <c r="G2" s="56" t="s">
        <v>5656</v>
      </c>
    </row>
    <row r="3" spans="1:9" x14ac:dyDescent="0.25">
      <c r="A3" s="35" t="s">
        <v>251</v>
      </c>
      <c r="B3" s="36" t="s">
        <v>5657</v>
      </c>
      <c r="C3" s="37" t="s">
        <v>5657</v>
      </c>
      <c r="D3" s="37" t="s">
        <v>5657</v>
      </c>
      <c r="E3" s="37" t="s">
        <v>251</v>
      </c>
      <c r="F3" s="38" t="s">
        <v>1463</v>
      </c>
    </row>
    <row r="4" spans="1:9" x14ac:dyDescent="0.25">
      <c r="A4" s="39" t="s">
        <v>251</v>
      </c>
      <c r="B4" s="28" t="s">
        <v>5658</v>
      </c>
      <c r="C4" s="40" t="s">
        <v>5658</v>
      </c>
      <c r="D4" s="40" t="s">
        <v>5658</v>
      </c>
      <c r="E4" s="40" t="s">
        <v>252</v>
      </c>
      <c r="F4" s="41" t="s">
        <v>5659</v>
      </c>
    </row>
    <row r="5" spans="1:9" ht="30" x14ac:dyDescent="0.25">
      <c r="A5" s="39" t="s">
        <v>251</v>
      </c>
      <c r="B5" s="28" t="s">
        <v>27</v>
      </c>
      <c r="C5" s="40" t="s">
        <v>5660</v>
      </c>
      <c r="D5" s="40" t="s">
        <v>5661</v>
      </c>
      <c r="E5" s="42" t="s">
        <v>253</v>
      </c>
      <c r="F5" s="43" t="s">
        <v>5662</v>
      </c>
    </row>
    <row r="6" spans="1:9" ht="45" x14ac:dyDescent="0.25">
      <c r="A6" s="39" t="s">
        <v>251</v>
      </c>
      <c r="B6" s="40" t="s">
        <v>5663</v>
      </c>
      <c r="C6" s="40" t="s">
        <v>5664</v>
      </c>
      <c r="D6" s="40" t="s">
        <v>5665</v>
      </c>
      <c r="E6" s="40" t="s">
        <v>254</v>
      </c>
      <c r="F6" s="43" t="s">
        <v>5666</v>
      </c>
    </row>
    <row r="7" spans="1:9" ht="45" x14ac:dyDescent="0.25">
      <c r="A7" s="450" t="s">
        <v>251</v>
      </c>
      <c r="B7" s="443" t="s">
        <v>5663</v>
      </c>
      <c r="C7" s="443" t="s">
        <v>5667</v>
      </c>
      <c r="D7" s="44" t="s">
        <v>5668</v>
      </c>
      <c r="E7" s="40" t="s">
        <v>254</v>
      </c>
      <c r="F7" s="43" t="s">
        <v>5669</v>
      </c>
      <c r="I7" t="s">
        <v>5670</v>
      </c>
    </row>
    <row r="8" spans="1:9" ht="30" x14ac:dyDescent="0.25">
      <c r="A8" s="451"/>
      <c r="B8" s="445"/>
      <c r="C8" s="445"/>
      <c r="D8" s="44" t="s">
        <v>5671</v>
      </c>
      <c r="E8" s="44" t="s">
        <v>5671</v>
      </c>
      <c r="F8" s="43" t="s">
        <v>5672</v>
      </c>
      <c r="I8" t="s">
        <v>5673</v>
      </c>
    </row>
    <row r="9" spans="1:9" ht="30" x14ac:dyDescent="0.25">
      <c r="A9" s="39" t="s">
        <v>251</v>
      </c>
      <c r="B9" s="28" t="s">
        <v>5674</v>
      </c>
      <c r="C9" s="40" t="s">
        <v>5674</v>
      </c>
      <c r="D9" s="40" t="s">
        <v>5674</v>
      </c>
      <c r="E9" s="40" t="s">
        <v>5675</v>
      </c>
      <c r="F9" s="41" t="s">
        <v>1463</v>
      </c>
    </row>
    <row r="10" spans="1:9" ht="90" x14ac:dyDescent="0.25">
      <c r="A10" s="39" t="s">
        <v>5676</v>
      </c>
      <c r="B10" s="28" t="s">
        <v>5676</v>
      </c>
      <c r="C10" s="40" t="s">
        <v>5676</v>
      </c>
      <c r="D10" s="40" t="s">
        <v>5676</v>
      </c>
      <c r="E10" s="40" t="s">
        <v>5677</v>
      </c>
      <c r="F10" s="41" t="s">
        <v>1463</v>
      </c>
    </row>
    <row r="11" spans="1:9" ht="30" x14ac:dyDescent="0.25">
      <c r="A11" s="450" t="s">
        <v>5678</v>
      </c>
      <c r="B11" s="452" t="s">
        <v>5679</v>
      </c>
      <c r="C11" s="443" t="s">
        <v>5679</v>
      </c>
      <c r="D11" s="40" t="s">
        <v>5680</v>
      </c>
      <c r="E11" s="40" t="s">
        <v>2504</v>
      </c>
      <c r="F11" s="41" t="s">
        <v>5681</v>
      </c>
      <c r="I11" t="s">
        <v>5682</v>
      </c>
    </row>
    <row r="12" spans="1:9" ht="30" x14ac:dyDescent="0.25">
      <c r="A12" s="451"/>
      <c r="B12" s="453"/>
      <c r="C12" s="445"/>
      <c r="D12" s="40" t="s">
        <v>5683</v>
      </c>
      <c r="E12" s="40" t="s">
        <v>256</v>
      </c>
      <c r="F12" s="43" t="s">
        <v>5684</v>
      </c>
    </row>
    <row r="13" spans="1:9" x14ac:dyDescent="0.25">
      <c r="A13" s="39" t="s">
        <v>5678</v>
      </c>
      <c r="B13" s="28" t="s">
        <v>5685</v>
      </c>
      <c r="C13" s="40" t="s">
        <v>5686</v>
      </c>
      <c r="D13" s="40" t="s">
        <v>5687</v>
      </c>
      <c r="E13" s="40" t="s">
        <v>5688</v>
      </c>
      <c r="F13" s="41"/>
      <c r="I13" t="s">
        <v>5689</v>
      </c>
    </row>
    <row r="14" spans="1:9" ht="45" x14ac:dyDescent="0.25">
      <c r="A14" s="39" t="s">
        <v>5678</v>
      </c>
      <c r="B14" s="28" t="s">
        <v>5690</v>
      </c>
      <c r="C14" s="40" t="s">
        <v>5691</v>
      </c>
      <c r="D14" s="40" t="s">
        <v>5692</v>
      </c>
      <c r="E14" s="40" t="s">
        <v>5693</v>
      </c>
      <c r="F14" s="43" t="s">
        <v>5694</v>
      </c>
    </row>
    <row r="15" spans="1:9" ht="30" x14ac:dyDescent="0.25">
      <c r="A15" s="39" t="s">
        <v>5678</v>
      </c>
      <c r="B15" s="28" t="s">
        <v>5695</v>
      </c>
      <c r="C15" s="40" t="s">
        <v>5696</v>
      </c>
      <c r="D15" s="40"/>
      <c r="E15" s="40" t="s">
        <v>5697</v>
      </c>
      <c r="F15" s="43"/>
      <c r="I15" t="s">
        <v>5698</v>
      </c>
    </row>
    <row r="16" spans="1:9" ht="60" x14ac:dyDescent="0.25">
      <c r="A16" s="450" t="s">
        <v>5678</v>
      </c>
      <c r="B16" s="452" t="s">
        <v>5699</v>
      </c>
      <c r="C16" s="443" t="s">
        <v>5700</v>
      </c>
      <c r="D16" s="443" t="s">
        <v>5701</v>
      </c>
      <c r="E16" s="40" t="s">
        <v>5702</v>
      </c>
      <c r="F16" s="446" t="s">
        <v>5703</v>
      </c>
      <c r="I16" s="449" t="s">
        <v>5704</v>
      </c>
    </row>
    <row r="17" spans="1:9" ht="45" x14ac:dyDescent="0.25">
      <c r="A17" s="454"/>
      <c r="B17" s="455"/>
      <c r="C17" s="444"/>
      <c r="D17" s="444"/>
      <c r="E17" s="40" t="s">
        <v>259</v>
      </c>
      <c r="F17" s="447"/>
      <c r="I17" s="449"/>
    </row>
    <row r="18" spans="1:9" x14ac:dyDescent="0.25">
      <c r="A18" s="451"/>
      <c r="B18" s="453"/>
      <c r="C18" s="445"/>
      <c r="D18" s="445"/>
      <c r="E18" s="40" t="s">
        <v>2510</v>
      </c>
      <c r="F18" s="448"/>
      <c r="I18" s="449"/>
    </row>
    <row r="19" spans="1:9" x14ac:dyDescent="0.25">
      <c r="A19" s="450" t="s">
        <v>5705</v>
      </c>
      <c r="B19" s="452" t="s">
        <v>5706</v>
      </c>
      <c r="C19" s="443" t="s">
        <v>5707</v>
      </c>
      <c r="D19" s="40" t="s">
        <v>5708</v>
      </c>
      <c r="E19" s="40" t="s">
        <v>5708</v>
      </c>
      <c r="F19" s="43" t="s">
        <v>5709</v>
      </c>
      <c r="I19" t="s">
        <v>5710</v>
      </c>
    </row>
    <row r="20" spans="1:9" x14ac:dyDescent="0.25">
      <c r="A20" s="454"/>
      <c r="B20" s="455"/>
      <c r="C20" s="444"/>
      <c r="D20" s="40" t="s">
        <v>5711</v>
      </c>
      <c r="E20" s="40" t="s">
        <v>5711</v>
      </c>
      <c r="F20" s="43" t="s">
        <v>5712</v>
      </c>
      <c r="I20" t="s">
        <v>5713</v>
      </c>
    </row>
    <row r="21" spans="1:9" ht="30" x14ac:dyDescent="0.25">
      <c r="A21" s="451"/>
      <c r="B21" s="453"/>
      <c r="C21" s="445"/>
      <c r="D21" s="40" t="s">
        <v>5714</v>
      </c>
      <c r="E21" s="40" t="s">
        <v>5715</v>
      </c>
      <c r="F21" s="43"/>
    </row>
    <row r="22" spans="1:9" ht="30" x14ac:dyDescent="0.25">
      <c r="A22" s="39" t="s">
        <v>5705</v>
      </c>
      <c r="B22" s="28" t="s">
        <v>5716</v>
      </c>
      <c r="C22" s="40" t="s">
        <v>5716</v>
      </c>
      <c r="D22" s="45" t="s">
        <v>5717</v>
      </c>
      <c r="E22" s="46" t="s">
        <v>260</v>
      </c>
      <c r="F22" s="41" t="s">
        <v>5718</v>
      </c>
    </row>
    <row r="23" spans="1:9" ht="30" x14ac:dyDescent="0.25">
      <c r="A23" s="39" t="s">
        <v>5705</v>
      </c>
      <c r="B23" s="28" t="s">
        <v>5719</v>
      </c>
      <c r="C23" s="40" t="s">
        <v>5720</v>
      </c>
      <c r="D23" s="40" t="s">
        <v>5721</v>
      </c>
      <c r="E23" s="40" t="s">
        <v>5722</v>
      </c>
      <c r="F23" s="41" t="s">
        <v>5723</v>
      </c>
    </row>
    <row r="24" spans="1:9" x14ac:dyDescent="0.25">
      <c r="A24" s="39" t="s">
        <v>5705</v>
      </c>
      <c r="B24" s="28" t="s">
        <v>5719</v>
      </c>
      <c r="C24" s="40" t="s">
        <v>2514</v>
      </c>
      <c r="D24" s="40" t="s">
        <v>5724</v>
      </c>
      <c r="E24" s="40" t="s">
        <v>5725</v>
      </c>
      <c r="F24" s="41"/>
    </row>
    <row r="25" spans="1:9" x14ac:dyDescent="0.25">
      <c r="A25" s="39" t="s">
        <v>5726</v>
      </c>
      <c r="B25" s="28" t="s">
        <v>5706</v>
      </c>
      <c r="C25" s="40" t="s">
        <v>5706</v>
      </c>
      <c r="D25" s="47" t="s">
        <v>5727</v>
      </c>
      <c r="E25" s="47" t="s">
        <v>5727</v>
      </c>
      <c r="F25" s="48" t="s">
        <v>5727</v>
      </c>
    </row>
    <row r="26" spans="1:9" ht="30" x14ac:dyDescent="0.25">
      <c r="A26" s="49" t="s">
        <v>5728</v>
      </c>
      <c r="B26" s="50" t="s">
        <v>5728</v>
      </c>
      <c r="C26" s="51" t="s">
        <v>5728</v>
      </c>
      <c r="D26" s="51" t="s">
        <v>5728</v>
      </c>
      <c r="E26" s="51" t="s">
        <v>5675</v>
      </c>
      <c r="F26" s="52" t="s">
        <v>1463</v>
      </c>
    </row>
    <row r="28" spans="1:9" x14ac:dyDescent="0.25">
      <c r="A28" s="53" t="s">
        <v>5729</v>
      </c>
    </row>
    <row r="29" spans="1:9" x14ac:dyDescent="0.25">
      <c r="A29" t="s">
        <v>5730</v>
      </c>
    </row>
  </sheetData>
  <mergeCells count="15">
    <mergeCell ref="A19:A21"/>
    <mergeCell ref="B19:B21"/>
    <mergeCell ref="C19:C21"/>
    <mergeCell ref="A16:A18"/>
    <mergeCell ref="B16:B18"/>
    <mergeCell ref="C16:C18"/>
    <mergeCell ref="D16:D18"/>
    <mergeCell ref="F16:F18"/>
    <mergeCell ref="I16:I18"/>
    <mergeCell ref="A7:A8"/>
    <mergeCell ref="B7:B8"/>
    <mergeCell ref="C7:C8"/>
    <mergeCell ref="A11:A12"/>
    <mergeCell ref="B11:B12"/>
    <mergeCell ref="C11:C1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737C5-34DD-4A9E-8807-A002AEC5C48C}">
  <dimension ref="A1:D2169"/>
  <sheetViews>
    <sheetView workbookViewId="0"/>
  </sheetViews>
  <sheetFormatPr defaultRowHeight="15" x14ac:dyDescent="0.25"/>
  <cols>
    <col min="1" max="1" width="5.5703125" customWidth="1"/>
    <col min="2" max="2" width="82.42578125" customWidth="1"/>
    <col min="3" max="3" width="7.5703125" customWidth="1"/>
    <col min="4" max="4" width="52.140625" customWidth="1"/>
  </cols>
  <sheetData>
    <row r="1" spans="1:4" ht="25.5" x14ac:dyDescent="0.25">
      <c r="A1" s="1" t="s">
        <v>2542</v>
      </c>
      <c r="B1" s="2" t="s">
        <v>5731</v>
      </c>
      <c r="C1" s="2" t="s">
        <v>5732</v>
      </c>
      <c r="D1" s="2" t="s">
        <v>5733</v>
      </c>
    </row>
    <row r="2" spans="1:4" x14ac:dyDescent="0.25">
      <c r="A2" s="3">
        <v>111</v>
      </c>
      <c r="B2" s="4" t="s">
        <v>2546</v>
      </c>
      <c r="C2" s="5">
        <v>111140</v>
      </c>
      <c r="D2" s="4" t="s">
        <v>2553</v>
      </c>
    </row>
    <row r="3" spans="1:4" x14ac:dyDescent="0.25">
      <c r="A3" s="3">
        <v>112</v>
      </c>
      <c r="B3" s="4" t="s">
        <v>2548</v>
      </c>
      <c r="C3" s="5">
        <v>111160</v>
      </c>
      <c r="D3" s="4" t="s">
        <v>2557</v>
      </c>
    </row>
    <row r="4" spans="1:4" x14ac:dyDescent="0.25">
      <c r="A4" s="3">
        <v>115</v>
      </c>
      <c r="B4" s="4" t="s">
        <v>2550</v>
      </c>
      <c r="C4" s="5">
        <v>111150</v>
      </c>
      <c r="D4" s="4" t="s">
        <v>2555</v>
      </c>
    </row>
    <row r="5" spans="1:4" x14ac:dyDescent="0.25">
      <c r="A5" s="3">
        <v>116</v>
      </c>
      <c r="B5" s="4" t="s">
        <v>2552</v>
      </c>
      <c r="C5" s="5">
        <v>111110</v>
      </c>
      <c r="D5" s="4" t="s">
        <v>5734</v>
      </c>
    </row>
    <row r="6" spans="1:4" x14ac:dyDescent="0.25">
      <c r="A6" s="3">
        <v>119</v>
      </c>
      <c r="B6" s="4" t="s">
        <v>2554</v>
      </c>
      <c r="C6" s="5">
        <v>111120</v>
      </c>
      <c r="D6" s="4" t="s">
        <v>2549</v>
      </c>
    </row>
    <row r="7" spans="1:4" x14ac:dyDescent="0.25">
      <c r="A7" s="3">
        <v>119</v>
      </c>
      <c r="B7" s="4" t="s">
        <v>2556</v>
      </c>
      <c r="C7" s="5">
        <v>111130</v>
      </c>
      <c r="D7" s="4" t="s">
        <v>2551</v>
      </c>
    </row>
    <row r="8" spans="1:4" x14ac:dyDescent="0.25">
      <c r="A8" s="3">
        <v>119</v>
      </c>
      <c r="B8" s="4" t="s">
        <v>2558</v>
      </c>
      <c r="C8" s="5">
        <v>111150</v>
      </c>
      <c r="D8" s="4" t="s">
        <v>2555</v>
      </c>
    </row>
    <row r="9" spans="1:4" x14ac:dyDescent="0.25">
      <c r="A9" s="3">
        <v>119</v>
      </c>
      <c r="B9" s="4" t="s">
        <v>2560</v>
      </c>
      <c r="C9" s="5">
        <v>111191</v>
      </c>
      <c r="D9" s="4" t="s">
        <v>2559</v>
      </c>
    </row>
    <row r="10" spans="1:4" ht="25.5" x14ac:dyDescent="0.25">
      <c r="A10" s="3">
        <v>119</v>
      </c>
      <c r="B10" s="4" t="s">
        <v>2562</v>
      </c>
      <c r="C10" s="5">
        <v>111199</v>
      </c>
      <c r="D10" s="4" t="s">
        <v>2561</v>
      </c>
    </row>
    <row r="11" spans="1:4" x14ac:dyDescent="0.25">
      <c r="A11" s="3">
        <v>131</v>
      </c>
      <c r="B11" s="4" t="s">
        <v>2564</v>
      </c>
      <c r="C11" s="5">
        <v>111920</v>
      </c>
      <c r="D11" s="4" t="s">
        <v>2595</v>
      </c>
    </row>
    <row r="12" spans="1:4" x14ac:dyDescent="0.25">
      <c r="A12" s="3">
        <v>132</v>
      </c>
      <c r="B12" s="4" t="s">
        <v>2566</v>
      </c>
      <c r="C12" s="5">
        <v>111910</v>
      </c>
      <c r="D12" s="4" t="s">
        <v>2593</v>
      </c>
    </row>
    <row r="13" spans="1:4" x14ac:dyDescent="0.25">
      <c r="A13" s="3">
        <v>133</v>
      </c>
      <c r="B13" s="4" t="s">
        <v>2568</v>
      </c>
      <c r="C13" s="5">
        <v>111930</v>
      </c>
      <c r="D13" s="4" t="s">
        <v>2597</v>
      </c>
    </row>
    <row r="14" spans="1:4" x14ac:dyDescent="0.25">
      <c r="A14" s="3">
        <v>133</v>
      </c>
      <c r="B14" s="4" t="s">
        <v>2570</v>
      </c>
      <c r="C14" s="5">
        <v>111991</v>
      </c>
      <c r="D14" s="4" t="s">
        <v>2601</v>
      </c>
    </row>
    <row r="15" spans="1:4" x14ac:dyDescent="0.25">
      <c r="A15" s="3">
        <v>134</v>
      </c>
      <c r="B15" s="4" t="s">
        <v>2572</v>
      </c>
      <c r="C15" s="5">
        <v>111211</v>
      </c>
      <c r="D15" s="4" t="s">
        <v>2563</v>
      </c>
    </row>
    <row r="16" spans="1:4" x14ac:dyDescent="0.25">
      <c r="A16" s="3">
        <v>139</v>
      </c>
      <c r="B16" s="4" t="s">
        <v>2574</v>
      </c>
      <c r="C16" s="5">
        <v>111199</v>
      </c>
      <c r="D16" s="4" t="s">
        <v>2561</v>
      </c>
    </row>
    <row r="17" spans="1:4" x14ac:dyDescent="0.25">
      <c r="A17" s="3">
        <v>139</v>
      </c>
      <c r="B17" s="4" t="s">
        <v>2576</v>
      </c>
      <c r="C17" s="5">
        <v>111219</v>
      </c>
      <c r="D17" s="4" t="s">
        <v>2565</v>
      </c>
    </row>
    <row r="18" spans="1:4" x14ac:dyDescent="0.25">
      <c r="A18" s="3">
        <v>139</v>
      </c>
      <c r="B18" s="4" t="s">
        <v>2578</v>
      </c>
      <c r="C18" s="5">
        <v>111940</v>
      </c>
      <c r="D18" s="4" t="s">
        <v>2599</v>
      </c>
    </row>
    <row r="19" spans="1:4" x14ac:dyDescent="0.25">
      <c r="A19" s="3">
        <v>139</v>
      </c>
      <c r="B19" s="4" t="s">
        <v>2580</v>
      </c>
      <c r="C19" s="5">
        <v>111992</v>
      </c>
      <c r="D19" s="4" t="s">
        <v>2603</v>
      </c>
    </row>
    <row r="20" spans="1:4" ht="25.5" x14ac:dyDescent="0.25">
      <c r="A20" s="3">
        <v>139</v>
      </c>
      <c r="B20" s="4" t="s">
        <v>2582</v>
      </c>
      <c r="C20" s="5">
        <v>111998</v>
      </c>
      <c r="D20" s="4" t="s">
        <v>2605</v>
      </c>
    </row>
    <row r="21" spans="1:4" x14ac:dyDescent="0.25">
      <c r="A21" s="3">
        <v>161</v>
      </c>
      <c r="B21" s="4" t="s">
        <v>2584</v>
      </c>
      <c r="C21" s="5">
        <v>111219</v>
      </c>
      <c r="D21" s="4" t="s">
        <v>2565</v>
      </c>
    </row>
    <row r="22" spans="1:4" x14ac:dyDescent="0.25">
      <c r="A22" s="3">
        <v>171</v>
      </c>
      <c r="B22" s="4" t="s">
        <v>2586</v>
      </c>
      <c r="C22" s="5">
        <v>111333</v>
      </c>
      <c r="D22" s="4" t="s">
        <v>2575</v>
      </c>
    </row>
    <row r="23" spans="1:4" x14ac:dyDescent="0.25">
      <c r="A23" s="3">
        <v>171</v>
      </c>
      <c r="B23" s="4" t="s">
        <v>2588</v>
      </c>
      <c r="C23" s="5">
        <v>111334</v>
      </c>
      <c r="D23" s="4" t="s">
        <v>2577</v>
      </c>
    </row>
    <row r="24" spans="1:4" x14ac:dyDescent="0.25">
      <c r="A24" s="3">
        <v>172</v>
      </c>
      <c r="B24" s="4" t="s">
        <v>2590</v>
      </c>
      <c r="C24" s="5">
        <v>111332</v>
      </c>
      <c r="D24" s="4" t="s">
        <v>2573</v>
      </c>
    </row>
    <row r="25" spans="1:4" x14ac:dyDescent="0.25">
      <c r="A25" s="3">
        <v>173</v>
      </c>
      <c r="B25" s="4" t="s">
        <v>2592</v>
      </c>
      <c r="C25" s="5">
        <v>111335</v>
      </c>
      <c r="D25" s="4" t="s">
        <v>2579</v>
      </c>
    </row>
    <row r="26" spans="1:4" x14ac:dyDescent="0.25">
      <c r="A26" s="3">
        <v>174</v>
      </c>
      <c r="B26" s="4" t="s">
        <v>2594</v>
      </c>
      <c r="C26" s="5">
        <v>111310</v>
      </c>
      <c r="D26" s="4" t="s">
        <v>2567</v>
      </c>
    </row>
    <row r="27" spans="1:4" x14ac:dyDescent="0.25">
      <c r="A27" s="3">
        <v>174</v>
      </c>
      <c r="B27" s="4" t="s">
        <v>2596</v>
      </c>
      <c r="C27" s="5">
        <v>111320</v>
      </c>
      <c r="D27" s="4" t="s">
        <v>5735</v>
      </c>
    </row>
    <row r="28" spans="1:4" x14ac:dyDescent="0.25">
      <c r="A28" s="3">
        <v>175</v>
      </c>
      <c r="B28" s="4" t="s">
        <v>2598</v>
      </c>
      <c r="C28" s="5">
        <v>111331</v>
      </c>
      <c r="D28" s="4" t="s">
        <v>2571</v>
      </c>
    </row>
    <row r="29" spans="1:4" x14ac:dyDescent="0.25">
      <c r="A29" s="3">
        <v>175</v>
      </c>
      <c r="B29" s="4" t="s">
        <v>2600</v>
      </c>
      <c r="C29" s="5">
        <v>111339</v>
      </c>
      <c r="D29" s="4" t="s">
        <v>2583</v>
      </c>
    </row>
    <row r="30" spans="1:4" x14ac:dyDescent="0.25">
      <c r="A30" s="3">
        <v>179</v>
      </c>
      <c r="B30" s="4" t="s">
        <v>2602</v>
      </c>
      <c r="C30" s="5">
        <v>111336</v>
      </c>
      <c r="D30" s="4" t="s">
        <v>2581</v>
      </c>
    </row>
    <row r="31" spans="1:4" x14ac:dyDescent="0.25">
      <c r="A31" s="3">
        <v>179</v>
      </c>
      <c r="B31" s="4" t="s">
        <v>2604</v>
      </c>
      <c r="C31" s="5">
        <v>111339</v>
      </c>
      <c r="D31" s="4" t="s">
        <v>2583</v>
      </c>
    </row>
    <row r="32" spans="1:4" x14ac:dyDescent="0.25">
      <c r="A32" s="3">
        <v>181</v>
      </c>
      <c r="B32" s="4" t="s">
        <v>2606</v>
      </c>
      <c r="C32" s="5">
        <v>111421</v>
      </c>
      <c r="D32" s="4" t="s">
        <v>2589</v>
      </c>
    </row>
    <row r="33" spans="1:4" x14ac:dyDescent="0.25">
      <c r="A33" s="3">
        <v>181</v>
      </c>
      <c r="B33" s="4" t="s">
        <v>2608</v>
      </c>
      <c r="C33" s="5">
        <v>111422</v>
      </c>
      <c r="D33" s="4" t="s">
        <v>2591</v>
      </c>
    </row>
    <row r="34" spans="1:4" x14ac:dyDescent="0.25">
      <c r="A34" s="3">
        <v>182</v>
      </c>
      <c r="B34" s="4" t="s">
        <v>2610</v>
      </c>
      <c r="C34" s="5">
        <v>111411</v>
      </c>
      <c r="D34" s="4" t="s">
        <v>2585</v>
      </c>
    </row>
    <row r="35" spans="1:4" x14ac:dyDescent="0.25">
      <c r="A35" s="3">
        <v>182</v>
      </c>
      <c r="B35" s="4" t="s">
        <v>2612</v>
      </c>
      <c r="C35" s="5">
        <v>111419</v>
      </c>
      <c r="D35" s="4" t="s">
        <v>2587</v>
      </c>
    </row>
    <row r="36" spans="1:4" x14ac:dyDescent="0.25">
      <c r="A36" s="3">
        <v>191</v>
      </c>
      <c r="B36" s="4" t="s">
        <v>2614</v>
      </c>
      <c r="C36" s="5">
        <v>111998</v>
      </c>
      <c r="D36" s="4" t="s">
        <v>2605</v>
      </c>
    </row>
    <row r="37" spans="1:4" x14ac:dyDescent="0.25">
      <c r="A37" s="3">
        <v>211</v>
      </c>
      <c r="B37" s="4" t="s">
        <v>2616</v>
      </c>
      <c r="C37" s="5">
        <v>112112</v>
      </c>
      <c r="D37" s="4" t="s">
        <v>2609</v>
      </c>
    </row>
    <row r="38" spans="1:4" x14ac:dyDescent="0.25">
      <c r="A38" s="3">
        <v>212</v>
      </c>
      <c r="B38" s="4" t="s">
        <v>2618</v>
      </c>
      <c r="C38" s="5">
        <v>112111</v>
      </c>
      <c r="D38" s="4" t="s">
        <v>2607</v>
      </c>
    </row>
    <row r="39" spans="1:4" x14ac:dyDescent="0.25">
      <c r="A39" s="3">
        <v>213</v>
      </c>
      <c r="B39" s="4" t="s">
        <v>2620</v>
      </c>
      <c r="C39" s="5">
        <v>112210</v>
      </c>
      <c r="D39" s="4" t="s">
        <v>2615</v>
      </c>
    </row>
    <row r="40" spans="1:4" x14ac:dyDescent="0.25">
      <c r="A40" s="3">
        <v>214</v>
      </c>
      <c r="B40" s="4" t="s">
        <v>2622</v>
      </c>
      <c r="C40" s="5">
        <v>112410</v>
      </c>
      <c r="D40" s="4" t="s">
        <v>2627</v>
      </c>
    </row>
    <row r="41" spans="1:4" x14ac:dyDescent="0.25">
      <c r="A41" s="3">
        <v>214</v>
      </c>
      <c r="B41" s="4" t="s">
        <v>2624</v>
      </c>
      <c r="C41" s="5">
        <v>112420</v>
      </c>
      <c r="D41" s="4" t="s">
        <v>2629</v>
      </c>
    </row>
    <row r="42" spans="1:4" x14ac:dyDescent="0.25">
      <c r="A42" s="3">
        <v>219</v>
      </c>
      <c r="B42" s="4" t="s">
        <v>2626</v>
      </c>
      <c r="C42" s="5">
        <v>112990</v>
      </c>
      <c r="D42" s="4" t="s">
        <v>2642</v>
      </c>
    </row>
    <row r="43" spans="1:4" x14ac:dyDescent="0.25">
      <c r="A43" s="3">
        <v>241</v>
      </c>
      <c r="B43" s="4" t="s">
        <v>2628</v>
      </c>
      <c r="C43" s="5">
        <v>112111</v>
      </c>
      <c r="D43" s="4" t="s">
        <v>2607</v>
      </c>
    </row>
    <row r="44" spans="1:4" x14ac:dyDescent="0.25">
      <c r="A44" s="3">
        <v>241</v>
      </c>
      <c r="B44" s="4" t="s">
        <v>2630</v>
      </c>
      <c r="C44" s="5">
        <v>112120</v>
      </c>
      <c r="D44" s="4" t="s">
        <v>2611</v>
      </c>
    </row>
    <row r="45" spans="1:4" x14ac:dyDescent="0.25">
      <c r="A45" s="3">
        <v>251</v>
      </c>
      <c r="B45" s="4" t="s">
        <v>2632</v>
      </c>
      <c r="C45" s="5">
        <v>112320</v>
      </c>
      <c r="D45" s="4" t="s">
        <v>2619</v>
      </c>
    </row>
    <row r="46" spans="1:4" x14ac:dyDescent="0.25">
      <c r="A46" s="3">
        <v>252</v>
      </c>
      <c r="B46" s="4" t="s">
        <v>2634</v>
      </c>
      <c r="C46" s="5">
        <v>112310</v>
      </c>
      <c r="D46" s="4" t="s">
        <v>2617</v>
      </c>
    </row>
    <row r="47" spans="1:4" x14ac:dyDescent="0.25">
      <c r="A47" s="3">
        <v>253</v>
      </c>
      <c r="B47" s="4" t="s">
        <v>2636</v>
      </c>
      <c r="C47" s="5">
        <v>112330</v>
      </c>
      <c r="D47" s="4" t="s">
        <v>2621</v>
      </c>
    </row>
    <row r="48" spans="1:4" x14ac:dyDescent="0.25">
      <c r="A48" s="3">
        <v>254</v>
      </c>
      <c r="B48" s="4" t="s">
        <v>2623</v>
      </c>
      <c r="C48" s="5">
        <v>112340</v>
      </c>
      <c r="D48" s="4" t="s">
        <v>2623</v>
      </c>
    </row>
    <row r="49" spans="1:4" x14ac:dyDescent="0.25">
      <c r="A49" s="3">
        <v>259</v>
      </c>
      <c r="B49" s="4" t="s">
        <v>2639</v>
      </c>
      <c r="C49" s="5">
        <v>112390</v>
      </c>
      <c r="D49" s="4" t="s">
        <v>2625</v>
      </c>
    </row>
    <row r="50" spans="1:4" x14ac:dyDescent="0.25">
      <c r="A50" s="3">
        <v>271</v>
      </c>
      <c r="B50" s="4" t="s">
        <v>2641</v>
      </c>
      <c r="C50" s="5">
        <v>112930</v>
      </c>
      <c r="D50" s="4" t="s">
        <v>2640</v>
      </c>
    </row>
    <row r="51" spans="1:4" x14ac:dyDescent="0.25">
      <c r="A51" s="3">
        <v>272</v>
      </c>
      <c r="B51" s="4" t="s">
        <v>2643</v>
      </c>
      <c r="C51" s="5">
        <v>112920</v>
      </c>
      <c r="D51" s="4" t="s">
        <v>5736</v>
      </c>
    </row>
    <row r="52" spans="1:4" x14ac:dyDescent="0.25">
      <c r="A52" s="3">
        <v>273</v>
      </c>
      <c r="B52" s="4" t="s">
        <v>2645</v>
      </c>
      <c r="C52" s="5">
        <v>112511</v>
      </c>
      <c r="D52" s="4" t="s">
        <v>2631</v>
      </c>
    </row>
    <row r="53" spans="1:4" x14ac:dyDescent="0.25">
      <c r="A53" s="3">
        <v>273</v>
      </c>
      <c r="B53" s="4" t="s">
        <v>2647</v>
      </c>
      <c r="C53" s="5">
        <v>112512</v>
      </c>
      <c r="D53" s="4" t="s">
        <v>2633</v>
      </c>
    </row>
    <row r="54" spans="1:4" x14ac:dyDescent="0.25">
      <c r="A54" s="3">
        <v>273</v>
      </c>
      <c r="B54" s="4" t="s">
        <v>2649</v>
      </c>
      <c r="C54" s="5">
        <v>112519</v>
      </c>
      <c r="D54" s="4" t="s">
        <v>5737</v>
      </c>
    </row>
    <row r="55" spans="1:4" x14ac:dyDescent="0.25">
      <c r="A55" s="3">
        <v>279</v>
      </c>
      <c r="B55" s="4" t="s">
        <v>2651</v>
      </c>
      <c r="C55" s="5">
        <v>112519</v>
      </c>
      <c r="D55" s="4" t="s">
        <v>5737</v>
      </c>
    </row>
    <row r="56" spans="1:4" x14ac:dyDescent="0.25">
      <c r="A56" s="3">
        <v>279</v>
      </c>
      <c r="B56" s="4" t="s">
        <v>2653</v>
      </c>
      <c r="C56" s="5">
        <v>112910</v>
      </c>
      <c r="D56" s="4" t="s">
        <v>2637</v>
      </c>
    </row>
    <row r="57" spans="1:4" x14ac:dyDescent="0.25">
      <c r="A57" s="3">
        <v>279</v>
      </c>
      <c r="B57" s="4" t="s">
        <v>2655</v>
      </c>
      <c r="C57" s="5">
        <v>112990</v>
      </c>
      <c r="D57" s="4" t="s">
        <v>2642</v>
      </c>
    </row>
    <row r="58" spans="1:4" x14ac:dyDescent="0.25">
      <c r="A58" s="3">
        <v>291</v>
      </c>
      <c r="B58" s="4" t="s">
        <v>2657</v>
      </c>
      <c r="C58" s="5">
        <v>112990</v>
      </c>
      <c r="D58" s="4" t="s">
        <v>2642</v>
      </c>
    </row>
    <row r="59" spans="1:4" x14ac:dyDescent="0.25">
      <c r="A59" s="3">
        <v>711</v>
      </c>
      <c r="B59" s="4" t="s">
        <v>2659</v>
      </c>
      <c r="C59" s="5">
        <v>115112</v>
      </c>
      <c r="D59" s="4" t="s">
        <v>2660</v>
      </c>
    </row>
    <row r="60" spans="1:4" x14ac:dyDescent="0.25">
      <c r="A60" s="3">
        <v>721</v>
      </c>
      <c r="B60" s="4" t="s">
        <v>2661</v>
      </c>
      <c r="C60" s="5">
        <v>115112</v>
      </c>
      <c r="D60" s="4" t="s">
        <v>2660</v>
      </c>
    </row>
    <row r="61" spans="1:4" x14ac:dyDescent="0.25">
      <c r="A61" s="3">
        <v>722</v>
      </c>
      <c r="B61" s="4" t="s">
        <v>2662</v>
      </c>
      <c r="C61" s="5">
        <v>115113</v>
      </c>
      <c r="D61" s="4" t="s">
        <v>2662</v>
      </c>
    </row>
    <row r="62" spans="1:4" x14ac:dyDescent="0.25">
      <c r="A62" s="3">
        <v>723</v>
      </c>
      <c r="B62" s="4" t="s">
        <v>2664</v>
      </c>
      <c r="C62" s="5">
        <v>115114</v>
      </c>
      <c r="D62" s="4" t="s">
        <v>2663</v>
      </c>
    </row>
    <row r="63" spans="1:4" x14ac:dyDescent="0.25">
      <c r="A63" s="3">
        <v>723</v>
      </c>
      <c r="B63" s="4" t="s">
        <v>2666</v>
      </c>
      <c r="C63" s="5">
        <v>311119</v>
      </c>
      <c r="D63" s="4" t="s">
        <v>2814</v>
      </c>
    </row>
    <row r="64" spans="1:4" x14ac:dyDescent="0.25">
      <c r="A64" s="3">
        <v>724</v>
      </c>
      <c r="B64" s="4" t="s">
        <v>2658</v>
      </c>
      <c r="C64" s="5">
        <v>115111</v>
      </c>
      <c r="D64" s="4" t="s">
        <v>2658</v>
      </c>
    </row>
    <row r="65" spans="1:4" x14ac:dyDescent="0.25">
      <c r="A65" s="3">
        <v>741</v>
      </c>
      <c r="B65" s="4" t="s">
        <v>2669</v>
      </c>
      <c r="C65" s="5">
        <v>541940</v>
      </c>
      <c r="D65" s="4" t="s">
        <v>4276</v>
      </c>
    </row>
    <row r="66" spans="1:4" x14ac:dyDescent="0.25">
      <c r="A66" s="3">
        <v>742</v>
      </c>
      <c r="B66" s="4" t="s">
        <v>2671</v>
      </c>
      <c r="C66" s="5">
        <v>541940</v>
      </c>
      <c r="D66" s="4" t="s">
        <v>4276</v>
      </c>
    </row>
    <row r="67" spans="1:4" x14ac:dyDescent="0.25">
      <c r="A67" s="3">
        <v>751</v>
      </c>
      <c r="B67" s="4" t="s">
        <v>2673</v>
      </c>
      <c r="C67" s="5">
        <v>115210</v>
      </c>
      <c r="D67" s="4" t="s">
        <v>2668</v>
      </c>
    </row>
    <row r="68" spans="1:4" x14ac:dyDescent="0.25">
      <c r="A68" s="3">
        <v>751</v>
      </c>
      <c r="B68" s="4" t="s">
        <v>2675</v>
      </c>
      <c r="C68" s="5">
        <v>311611</v>
      </c>
      <c r="D68" s="4" t="s">
        <v>2859</v>
      </c>
    </row>
    <row r="69" spans="1:4" ht="25.5" x14ac:dyDescent="0.25">
      <c r="A69" s="3">
        <v>752</v>
      </c>
      <c r="B69" s="4" t="s">
        <v>2677</v>
      </c>
      <c r="C69" s="5">
        <v>115210</v>
      </c>
      <c r="D69" s="4" t="s">
        <v>2668</v>
      </c>
    </row>
    <row r="70" spans="1:4" x14ac:dyDescent="0.25">
      <c r="A70" s="3">
        <v>752</v>
      </c>
      <c r="B70" s="4" t="s">
        <v>2679</v>
      </c>
      <c r="C70" s="5">
        <v>812910</v>
      </c>
      <c r="D70" s="4" t="s">
        <v>4618</v>
      </c>
    </row>
    <row r="71" spans="1:4" x14ac:dyDescent="0.25">
      <c r="A71" s="3">
        <v>761</v>
      </c>
      <c r="B71" s="4" t="s">
        <v>2665</v>
      </c>
      <c r="C71" s="5">
        <v>115115</v>
      </c>
      <c r="D71" s="4" t="s">
        <v>2665</v>
      </c>
    </row>
    <row r="72" spans="1:4" x14ac:dyDescent="0.25">
      <c r="A72" s="3">
        <v>762</v>
      </c>
      <c r="B72" s="4" t="s">
        <v>2667</v>
      </c>
      <c r="C72" s="5">
        <v>115116</v>
      </c>
      <c r="D72" s="4" t="s">
        <v>2667</v>
      </c>
    </row>
    <row r="73" spans="1:4" x14ac:dyDescent="0.25">
      <c r="A73" s="3">
        <v>781</v>
      </c>
      <c r="B73" s="4" t="s">
        <v>2683</v>
      </c>
      <c r="C73" s="5">
        <v>541320</v>
      </c>
      <c r="D73" s="4" t="s">
        <v>4200</v>
      </c>
    </row>
    <row r="74" spans="1:4" x14ac:dyDescent="0.25">
      <c r="A74" s="3">
        <v>781</v>
      </c>
      <c r="B74" s="4" t="s">
        <v>2685</v>
      </c>
      <c r="C74" s="5">
        <v>541690</v>
      </c>
      <c r="D74" s="4" t="s">
        <v>4242</v>
      </c>
    </row>
    <row r="75" spans="1:4" x14ac:dyDescent="0.25">
      <c r="A75" s="3">
        <v>782</v>
      </c>
      <c r="B75" s="4" t="s">
        <v>2687</v>
      </c>
      <c r="C75" s="5">
        <v>561730</v>
      </c>
      <c r="D75" s="4" t="s">
        <v>4339</v>
      </c>
    </row>
    <row r="76" spans="1:4" x14ac:dyDescent="0.25">
      <c r="A76" s="3">
        <v>783</v>
      </c>
      <c r="B76" s="4" t="s">
        <v>2689</v>
      </c>
      <c r="C76" s="5">
        <v>561730</v>
      </c>
      <c r="D76" s="4" t="s">
        <v>4339</v>
      </c>
    </row>
    <row r="77" spans="1:4" x14ac:dyDescent="0.25">
      <c r="A77" s="3">
        <v>811</v>
      </c>
      <c r="B77" s="4" t="s">
        <v>2691</v>
      </c>
      <c r="C77" s="5">
        <v>111421</v>
      </c>
      <c r="D77" s="4" t="s">
        <v>2589</v>
      </c>
    </row>
    <row r="78" spans="1:4" x14ac:dyDescent="0.25">
      <c r="A78" s="3">
        <v>811</v>
      </c>
      <c r="B78" s="4" t="s">
        <v>2693</v>
      </c>
      <c r="C78" s="5">
        <v>113110</v>
      </c>
      <c r="D78" s="4" t="s">
        <v>2644</v>
      </c>
    </row>
    <row r="79" spans="1:4" x14ac:dyDescent="0.25">
      <c r="A79" s="3">
        <v>831</v>
      </c>
      <c r="B79" s="4" t="s">
        <v>2695</v>
      </c>
      <c r="C79" s="5">
        <v>111998</v>
      </c>
      <c r="D79" s="4" t="s">
        <v>2605</v>
      </c>
    </row>
    <row r="80" spans="1:4" ht="25.5" x14ac:dyDescent="0.25">
      <c r="A80" s="3">
        <v>831</v>
      </c>
      <c r="B80" s="4" t="s">
        <v>2697</v>
      </c>
      <c r="C80" s="5">
        <v>113210</v>
      </c>
      <c r="D80" s="4" t="s">
        <v>2646</v>
      </c>
    </row>
    <row r="81" spans="1:4" x14ac:dyDescent="0.25">
      <c r="A81" s="3">
        <v>851</v>
      </c>
      <c r="B81" s="4" t="s">
        <v>2699</v>
      </c>
      <c r="C81" s="5">
        <v>115310</v>
      </c>
      <c r="D81" s="4" t="s">
        <v>2670</v>
      </c>
    </row>
    <row r="82" spans="1:4" x14ac:dyDescent="0.25">
      <c r="A82" s="3">
        <v>912</v>
      </c>
      <c r="B82" s="4" t="s">
        <v>2701</v>
      </c>
      <c r="C82" s="5">
        <v>114111</v>
      </c>
      <c r="D82" s="4" t="s">
        <v>2650</v>
      </c>
    </row>
    <row r="83" spans="1:4" x14ac:dyDescent="0.25">
      <c r="A83" s="3">
        <v>913</v>
      </c>
      <c r="B83" s="4" t="s">
        <v>2703</v>
      </c>
      <c r="C83" s="5">
        <v>114112</v>
      </c>
      <c r="D83" s="4" t="s">
        <v>2652</v>
      </c>
    </row>
    <row r="84" spans="1:4" x14ac:dyDescent="0.25">
      <c r="A84" s="3">
        <v>919</v>
      </c>
      <c r="B84" s="4" t="s">
        <v>2705</v>
      </c>
      <c r="C84" s="5">
        <v>111998</v>
      </c>
      <c r="D84" s="4" t="s">
        <v>2605</v>
      </c>
    </row>
    <row r="85" spans="1:4" x14ac:dyDescent="0.25">
      <c r="A85" s="3">
        <v>919</v>
      </c>
      <c r="B85" s="4" t="s">
        <v>2707</v>
      </c>
      <c r="C85" s="5">
        <v>112512</v>
      </c>
      <c r="D85" s="4" t="s">
        <v>2633</v>
      </c>
    </row>
    <row r="86" spans="1:4" x14ac:dyDescent="0.25">
      <c r="A86" s="3">
        <v>919</v>
      </c>
      <c r="B86" s="4" t="s">
        <v>2709</v>
      </c>
      <c r="C86" s="5">
        <v>114112</v>
      </c>
      <c r="D86" s="4" t="s">
        <v>2652</v>
      </c>
    </row>
    <row r="87" spans="1:4" ht="25.5" x14ac:dyDescent="0.25">
      <c r="A87" s="3">
        <v>919</v>
      </c>
      <c r="B87" s="4" t="s">
        <v>2711</v>
      </c>
      <c r="C87" s="5">
        <v>114119</v>
      </c>
      <c r="D87" s="4" t="s">
        <v>2654</v>
      </c>
    </row>
    <row r="88" spans="1:4" x14ac:dyDescent="0.25">
      <c r="A88" s="3">
        <v>921</v>
      </c>
      <c r="B88" s="4" t="s">
        <v>458</v>
      </c>
      <c r="C88" s="5">
        <v>112511</v>
      </c>
      <c r="D88" s="4" t="s">
        <v>2631</v>
      </c>
    </row>
    <row r="89" spans="1:4" x14ac:dyDescent="0.25">
      <c r="A89" s="3">
        <v>921</v>
      </c>
      <c r="B89" s="4" t="s">
        <v>2714</v>
      </c>
      <c r="C89" s="5">
        <v>112512</v>
      </c>
      <c r="D89" s="4" t="s">
        <v>2633</v>
      </c>
    </row>
    <row r="90" spans="1:4" x14ac:dyDescent="0.25">
      <c r="A90" s="3">
        <v>971</v>
      </c>
      <c r="B90" s="4" t="s">
        <v>2716</v>
      </c>
      <c r="C90" s="5">
        <v>114210</v>
      </c>
      <c r="D90" s="4" t="s">
        <v>2656</v>
      </c>
    </row>
    <row r="91" spans="1:4" x14ac:dyDescent="0.25">
      <c r="A91" s="3">
        <v>1011</v>
      </c>
      <c r="B91" s="4" t="s">
        <v>2718</v>
      </c>
      <c r="C91" s="5">
        <v>212210</v>
      </c>
      <c r="D91" s="4" t="s">
        <v>2682</v>
      </c>
    </row>
    <row r="92" spans="1:4" x14ac:dyDescent="0.25">
      <c r="A92" s="3">
        <v>1021</v>
      </c>
      <c r="B92" s="4" t="s">
        <v>2720</v>
      </c>
      <c r="C92" s="5">
        <v>212234</v>
      </c>
      <c r="D92" s="4" t="s">
        <v>5738</v>
      </c>
    </row>
    <row r="93" spans="1:4" x14ac:dyDescent="0.25">
      <c r="A93" s="3">
        <v>1031</v>
      </c>
      <c r="B93" s="4" t="s">
        <v>2722</v>
      </c>
      <c r="C93" s="5">
        <v>212231</v>
      </c>
      <c r="D93" s="4" t="s">
        <v>5739</v>
      </c>
    </row>
    <row r="94" spans="1:4" x14ac:dyDescent="0.25">
      <c r="A94" s="3">
        <v>1041</v>
      </c>
      <c r="B94" s="4" t="s">
        <v>550</v>
      </c>
      <c r="C94" s="5">
        <v>212221</v>
      </c>
      <c r="D94" s="4" t="s">
        <v>2684</v>
      </c>
    </row>
    <row r="95" spans="1:4" x14ac:dyDescent="0.25">
      <c r="A95" s="3">
        <v>1044</v>
      </c>
      <c r="B95" s="4" t="s">
        <v>2725</v>
      </c>
      <c r="C95" s="5">
        <v>212222</v>
      </c>
      <c r="D95" s="4" t="s">
        <v>2686</v>
      </c>
    </row>
    <row r="96" spans="1:4" x14ac:dyDescent="0.25">
      <c r="A96" s="3">
        <v>1061</v>
      </c>
      <c r="B96" s="4" t="s">
        <v>2727</v>
      </c>
      <c r="C96" s="5">
        <v>212234</v>
      </c>
      <c r="D96" s="4" t="s">
        <v>5738</v>
      </c>
    </row>
    <row r="97" spans="1:4" x14ac:dyDescent="0.25">
      <c r="A97" s="3">
        <v>1061</v>
      </c>
      <c r="B97" s="4" t="s">
        <v>2729</v>
      </c>
      <c r="C97" s="5">
        <v>212299</v>
      </c>
      <c r="D97" s="4" t="s">
        <v>2692</v>
      </c>
    </row>
    <row r="98" spans="1:4" ht="25.5" x14ac:dyDescent="0.25">
      <c r="A98" s="3">
        <v>1081</v>
      </c>
      <c r="B98" s="4" t="s">
        <v>2731</v>
      </c>
      <c r="C98" s="5">
        <v>213114</v>
      </c>
      <c r="D98" s="4" t="s">
        <v>2723</v>
      </c>
    </row>
    <row r="99" spans="1:4" x14ac:dyDescent="0.25">
      <c r="A99" s="6">
        <v>1081</v>
      </c>
      <c r="B99" s="4" t="s">
        <v>2733</v>
      </c>
      <c r="C99" s="7">
        <v>238910</v>
      </c>
      <c r="D99" s="8" t="s">
        <v>2808</v>
      </c>
    </row>
    <row r="100" spans="1:4" x14ac:dyDescent="0.25">
      <c r="A100" s="3">
        <v>1081</v>
      </c>
      <c r="B100" s="4" t="s">
        <v>2735</v>
      </c>
      <c r="C100" s="5">
        <v>541360</v>
      </c>
      <c r="D100" s="4" t="s">
        <v>4208</v>
      </c>
    </row>
    <row r="101" spans="1:4" x14ac:dyDescent="0.25">
      <c r="A101" s="3">
        <v>1094</v>
      </c>
      <c r="B101" s="4" t="s">
        <v>2737</v>
      </c>
      <c r="C101" s="5">
        <v>212291</v>
      </c>
      <c r="D101" s="4" t="s">
        <v>2690</v>
      </c>
    </row>
    <row r="102" spans="1:4" x14ac:dyDescent="0.25">
      <c r="A102" s="3">
        <v>1099</v>
      </c>
      <c r="B102" s="4" t="s">
        <v>2739</v>
      </c>
      <c r="C102" s="5">
        <v>212299</v>
      </c>
      <c r="D102" s="4" t="s">
        <v>2692</v>
      </c>
    </row>
    <row r="103" spans="1:4" x14ac:dyDescent="0.25">
      <c r="A103" s="3">
        <v>1221</v>
      </c>
      <c r="B103" s="4" t="s">
        <v>2676</v>
      </c>
      <c r="C103" s="5">
        <v>212111</v>
      </c>
      <c r="D103" s="4" t="s">
        <v>2676</v>
      </c>
    </row>
    <row r="104" spans="1:4" x14ac:dyDescent="0.25">
      <c r="A104" s="3">
        <v>1222</v>
      </c>
      <c r="B104" s="4" t="s">
        <v>2678</v>
      </c>
      <c r="C104" s="5">
        <v>212112</v>
      </c>
      <c r="D104" s="4" t="s">
        <v>2678</v>
      </c>
    </row>
    <row r="105" spans="1:4" x14ac:dyDescent="0.25">
      <c r="A105" s="3">
        <v>1231</v>
      </c>
      <c r="B105" s="4" t="s">
        <v>2743</v>
      </c>
      <c r="C105" s="5">
        <v>212113</v>
      </c>
      <c r="D105" s="4" t="s">
        <v>2743</v>
      </c>
    </row>
    <row r="106" spans="1:4" ht="25.5" x14ac:dyDescent="0.25">
      <c r="A106" s="3">
        <v>1241</v>
      </c>
      <c r="B106" s="4" t="s">
        <v>2745</v>
      </c>
      <c r="C106" s="5">
        <v>213113</v>
      </c>
      <c r="D106" s="4" t="s">
        <v>2721</v>
      </c>
    </row>
    <row r="107" spans="1:4" x14ac:dyDescent="0.25">
      <c r="A107" s="6">
        <v>1241</v>
      </c>
      <c r="B107" s="4" t="s">
        <v>2747</v>
      </c>
      <c r="C107" s="7">
        <v>238910</v>
      </c>
      <c r="D107" s="8" t="s">
        <v>2808</v>
      </c>
    </row>
    <row r="108" spans="1:4" x14ac:dyDescent="0.25">
      <c r="A108" s="3">
        <v>1311</v>
      </c>
      <c r="B108" s="4" t="s">
        <v>2749</v>
      </c>
      <c r="C108" s="5">
        <v>211111</v>
      </c>
      <c r="D108" s="4" t="s">
        <v>5740</v>
      </c>
    </row>
    <row r="109" spans="1:4" x14ac:dyDescent="0.25">
      <c r="A109" s="3">
        <v>1321</v>
      </c>
      <c r="B109" s="4" t="s">
        <v>2751</v>
      </c>
      <c r="C109" s="5">
        <v>211112</v>
      </c>
      <c r="D109" s="4" t="s">
        <v>5741</v>
      </c>
    </row>
    <row r="110" spans="1:4" x14ac:dyDescent="0.25">
      <c r="A110" s="3">
        <v>1381</v>
      </c>
      <c r="B110" s="4" t="s">
        <v>2717</v>
      </c>
      <c r="C110" s="5">
        <v>213111</v>
      </c>
      <c r="D110" s="4" t="s">
        <v>2717</v>
      </c>
    </row>
    <row r="111" spans="1:4" x14ac:dyDescent="0.25">
      <c r="A111" s="3">
        <v>1382</v>
      </c>
      <c r="B111" s="4" t="s">
        <v>2754</v>
      </c>
      <c r="C111" s="5">
        <v>213112</v>
      </c>
      <c r="D111" s="4" t="s">
        <v>2719</v>
      </c>
    </row>
    <row r="112" spans="1:4" x14ac:dyDescent="0.25">
      <c r="A112" s="3">
        <v>1382</v>
      </c>
      <c r="B112" s="4" t="s">
        <v>2756</v>
      </c>
      <c r="C112" s="5">
        <v>541360</v>
      </c>
      <c r="D112" s="4" t="s">
        <v>4208</v>
      </c>
    </row>
    <row r="113" spans="1:4" ht="25.5" x14ac:dyDescent="0.25">
      <c r="A113" s="3">
        <v>1389</v>
      </c>
      <c r="B113" s="4" t="s">
        <v>2758</v>
      </c>
      <c r="C113" s="5">
        <v>213112</v>
      </c>
      <c r="D113" s="4" t="s">
        <v>2719</v>
      </c>
    </row>
    <row r="114" spans="1:4" x14ac:dyDescent="0.25">
      <c r="A114" s="6">
        <v>1389</v>
      </c>
      <c r="B114" s="4" t="s">
        <v>2760</v>
      </c>
      <c r="C114" s="7">
        <v>237120</v>
      </c>
      <c r="D114" s="8" t="s">
        <v>2765</v>
      </c>
    </row>
    <row r="115" spans="1:4" ht="25.5" x14ac:dyDescent="0.25">
      <c r="A115" s="6">
        <v>1389</v>
      </c>
      <c r="B115" s="4" t="s">
        <v>2762</v>
      </c>
      <c r="C115" s="7">
        <v>238910</v>
      </c>
      <c r="D115" s="8" t="s">
        <v>2808</v>
      </c>
    </row>
    <row r="116" spans="1:4" x14ac:dyDescent="0.25">
      <c r="A116" s="3">
        <v>1411</v>
      </c>
      <c r="B116" s="4" t="s">
        <v>2764</v>
      </c>
      <c r="C116" s="5">
        <v>212311</v>
      </c>
      <c r="D116" s="4" t="s">
        <v>2694</v>
      </c>
    </row>
    <row r="117" spans="1:4" x14ac:dyDescent="0.25">
      <c r="A117" s="3">
        <v>1422</v>
      </c>
      <c r="B117" s="4" t="s">
        <v>2766</v>
      </c>
      <c r="C117" s="5">
        <v>212312</v>
      </c>
      <c r="D117" s="4" t="s">
        <v>2696</v>
      </c>
    </row>
    <row r="118" spans="1:4" x14ac:dyDescent="0.25">
      <c r="A118" s="3">
        <v>1423</v>
      </c>
      <c r="B118" s="4" t="s">
        <v>2768</v>
      </c>
      <c r="C118" s="5">
        <v>212313</v>
      </c>
      <c r="D118" s="4" t="s">
        <v>2698</v>
      </c>
    </row>
    <row r="119" spans="1:4" x14ac:dyDescent="0.25">
      <c r="A119" s="3">
        <v>1429</v>
      </c>
      <c r="B119" s="4" t="s">
        <v>2770</v>
      </c>
      <c r="C119" s="5">
        <v>212319</v>
      </c>
      <c r="D119" s="4" t="s">
        <v>2700</v>
      </c>
    </row>
    <row r="120" spans="1:4" x14ac:dyDescent="0.25">
      <c r="A120" s="3">
        <v>1442</v>
      </c>
      <c r="B120" s="4" t="s">
        <v>2772</v>
      </c>
      <c r="C120" s="5">
        <v>212321</v>
      </c>
      <c r="D120" s="4" t="s">
        <v>2702</v>
      </c>
    </row>
    <row r="121" spans="1:4" x14ac:dyDescent="0.25">
      <c r="A121" s="3">
        <v>1446</v>
      </c>
      <c r="B121" s="4" t="s">
        <v>2774</v>
      </c>
      <c r="C121" s="5">
        <v>212322</v>
      </c>
      <c r="D121" s="4" t="s">
        <v>2704</v>
      </c>
    </row>
    <row r="122" spans="1:4" x14ac:dyDescent="0.25">
      <c r="A122" s="3">
        <v>1455</v>
      </c>
      <c r="B122" s="4" t="s">
        <v>2776</v>
      </c>
      <c r="C122" s="5">
        <v>212324</v>
      </c>
      <c r="D122" s="4" t="s">
        <v>2706</v>
      </c>
    </row>
    <row r="123" spans="1:4" x14ac:dyDescent="0.25">
      <c r="A123" s="3">
        <v>1459</v>
      </c>
      <c r="B123" s="4" t="s">
        <v>2778</v>
      </c>
      <c r="C123" s="5">
        <v>212325</v>
      </c>
      <c r="D123" s="4" t="s">
        <v>2708</v>
      </c>
    </row>
    <row r="124" spans="1:4" x14ac:dyDescent="0.25">
      <c r="A124" s="3">
        <v>1474</v>
      </c>
      <c r="B124" s="4" t="s">
        <v>2780</v>
      </c>
      <c r="C124" s="5">
        <v>212391</v>
      </c>
      <c r="D124" s="4" t="s">
        <v>2710</v>
      </c>
    </row>
    <row r="125" spans="1:4" x14ac:dyDescent="0.25">
      <c r="A125" s="3">
        <v>1475</v>
      </c>
      <c r="B125" s="4" t="s">
        <v>2782</v>
      </c>
      <c r="C125" s="5">
        <v>212392</v>
      </c>
      <c r="D125" s="4" t="s">
        <v>2712</v>
      </c>
    </row>
    <row r="126" spans="1:4" x14ac:dyDescent="0.25">
      <c r="A126" s="3">
        <v>1479</v>
      </c>
      <c r="B126" s="4" t="s">
        <v>2784</v>
      </c>
      <c r="C126" s="5">
        <v>212393</v>
      </c>
      <c r="D126" s="4" t="s">
        <v>2713</v>
      </c>
    </row>
    <row r="127" spans="1:4" ht="25.5" x14ac:dyDescent="0.25">
      <c r="A127" s="3">
        <v>1481</v>
      </c>
      <c r="B127" s="4" t="s">
        <v>2786</v>
      </c>
      <c r="C127" s="5">
        <v>213115</v>
      </c>
      <c r="D127" s="4" t="s">
        <v>5742</v>
      </c>
    </row>
    <row r="128" spans="1:4" ht="25.5" x14ac:dyDescent="0.25">
      <c r="A128" s="6">
        <v>1481</v>
      </c>
      <c r="B128" s="4" t="s">
        <v>2788</v>
      </c>
      <c r="C128" s="7">
        <v>238910</v>
      </c>
      <c r="D128" s="8" t="s">
        <v>2808</v>
      </c>
    </row>
    <row r="129" spans="1:4" x14ac:dyDescent="0.25">
      <c r="A129" s="3">
        <v>1481</v>
      </c>
      <c r="B129" s="4" t="s">
        <v>2790</v>
      </c>
      <c r="C129" s="5">
        <v>541360</v>
      </c>
      <c r="D129" s="4" t="s">
        <v>4208</v>
      </c>
    </row>
    <row r="130" spans="1:4" ht="25.5" x14ac:dyDescent="0.25">
      <c r="A130" s="3">
        <v>1499</v>
      </c>
      <c r="B130" s="4" t="s">
        <v>2792</v>
      </c>
      <c r="C130" s="5">
        <v>212319</v>
      </c>
      <c r="D130" s="4" t="s">
        <v>2700</v>
      </c>
    </row>
    <row r="131" spans="1:4" ht="25.5" x14ac:dyDescent="0.25">
      <c r="A131" s="3">
        <v>1499</v>
      </c>
      <c r="B131" s="4" t="s">
        <v>2794</v>
      </c>
      <c r="C131" s="5">
        <v>212399</v>
      </c>
      <c r="D131" s="4" t="s">
        <v>2715</v>
      </c>
    </row>
    <row r="132" spans="1:4" ht="25.5" x14ac:dyDescent="0.25">
      <c r="A132" s="3">
        <v>1521</v>
      </c>
      <c r="B132" s="4" t="s">
        <v>2796</v>
      </c>
      <c r="C132" s="5">
        <v>236115</v>
      </c>
      <c r="D132" s="4" t="s">
        <v>5743</v>
      </c>
    </row>
    <row r="133" spans="1:4" x14ac:dyDescent="0.25">
      <c r="A133" s="6">
        <v>1521</v>
      </c>
      <c r="B133" s="4" t="s">
        <v>2798</v>
      </c>
      <c r="C133" s="7">
        <v>236118</v>
      </c>
      <c r="D133" s="8" t="s">
        <v>2757</v>
      </c>
    </row>
    <row r="134" spans="1:4" ht="38.25" x14ac:dyDescent="0.25">
      <c r="A134" s="6">
        <v>1522</v>
      </c>
      <c r="B134" s="4" t="s">
        <v>507</v>
      </c>
      <c r="C134" s="7">
        <v>236116</v>
      </c>
      <c r="D134" s="8" t="s">
        <v>5744</v>
      </c>
    </row>
    <row r="135" spans="1:4" x14ac:dyDescent="0.25">
      <c r="A135" s="6">
        <v>1522</v>
      </c>
      <c r="B135" s="4" t="s">
        <v>2801</v>
      </c>
      <c r="C135" s="7">
        <v>236118</v>
      </c>
      <c r="D135" s="8" t="s">
        <v>2757</v>
      </c>
    </row>
    <row r="136" spans="1:4" ht="25.5" x14ac:dyDescent="0.25">
      <c r="A136" s="6">
        <v>1522</v>
      </c>
      <c r="B136" s="4" t="s">
        <v>2803</v>
      </c>
      <c r="C136" s="7">
        <v>236220</v>
      </c>
      <c r="D136" s="8" t="s">
        <v>2761</v>
      </c>
    </row>
    <row r="137" spans="1:4" x14ac:dyDescent="0.25">
      <c r="A137" s="6">
        <v>1531</v>
      </c>
      <c r="B137" s="4" t="s">
        <v>2805</v>
      </c>
      <c r="C137" s="7">
        <v>236117</v>
      </c>
      <c r="D137" s="8" t="s">
        <v>5745</v>
      </c>
    </row>
    <row r="138" spans="1:4" x14ac:dyDescent="0.25">
      <c r="A138" s="6">
        <v>1531</v>
      </c>
      <c r="B138" s="4" t="s">
        <v>2807</v>
      </c>
      <c r="C138" s="7">
        <v>236118</v>
      </c>
      <c r="D138" s="8" t="s">
        <v>2757</v>
      </c>
    </row>
    <row r="139" spans="1:4" ht="25.5" x14ac:dyDescent="0.25">
      <c r="A139" s="6">
        <v>1531</v>
      </c>
      <c r="B139" s="4" t="s">
        <v>2809</v>
      </c>
      <c r="C139" s="7">
        <v>236210</v>
      </c>
      <c r="D139" s="8" t="s">
        <v>2759</v>
      </c>
    </row>
    <row r="140" spans="1:4" ht="25.5" x14ac:dyDescent="0.25">
      <c r="A140" s="6">
        <v>1531</v>
      </c>
      <c r="B140" s="4" t="s">
        <v>2811</v>
      </c>
      <c r="C140" s="7">
        <v>236220</v>
      </c>
      <c r="D140" s="8" t="s">
        <v>2761</v>
      </c>
    </row>
    <row r="141" spans="1:4" ht="25.5" x14ac:dyDescent="0.25">
      <c r="A141" s="6">
        <v>1541</v>
      </c>
      <c r="B141" s="4" t="s">
        <v>2813</v>
      </c>
      <c r="C141" s="7">
        <v>236210</v>
      </c>
      <c r="D141" s="8" t="s">
        <v>2759</v>
      </c>
    </row>
    <row r="142" spans="1:4" ht="25.5" x14ac:dyDescent="0.25">
      <c r="A142" s="6">
        <v>1541</v>
      </c>
      <c r="B142" s="4" t="s">
        <v>2815</v>
      </c>
      <c r="C142" s="7">
        <v>236220</v>
      </c>
      <c r="D142" s="8" t="s">
        <v>2761</v>
      </c>
    </row>
    <row r="143" spans="1:4" x14ac:dyDescent="0.25">
      <c r="A143" s="6">
        <v>1542</v>
      </c>
      <c r="B143" s="4" t="s">
        <v>2817</v>
      </c>
      <c r="C143" s="7">
        <v>236220</v>
      </c>
      <c r="D143" s="8" t="s">
        <v>2761</v>
      </c>
    </row>
    <row r="144" spans="1:4" x14ac:dyDescent="0.25">
      <c r="A144" s="6">
        <v>1611</v>
      </c>
      <c r="B144" s="4" t="s">
        <v>2819</v>
      </c>
      <c r="C144" s="7">
        <v>237310</v>
      </c>
      <c r="D144" s="8" t="s">
        <v>2771</v>
      </c>
    </row>
    <row r="145" spans="1:4" x14ac:dyDescent="0.25">
      <c r="A145" s="6">
        <v>1622</v>
      </c>
      <c r="B145" s="4" t="s">
        <v>2821</v>
      </c>
      <c r="C145" s="7">
        <v>237310</v>
      </c>
      <c r="D145" s="8" t="s">
        <v>2771</v>
      </c>
    </row>
    <row r="146" spans="1:4" x14ac:dyDescent="0.25">
      <c r="A146" s="6">
        <v>1622</v>
      </c>
      <c r="B146" s="4" t="s">
        <v>2823</v>
      </c>
      <c r="C146" s="7">
        <v>237990</v>
      </c>
      <c r="D146" s="8" t="s">
        <v>2773</v>
      </c>
    </row>
    <row r="147" spans="1:4" ht="25.5" x14ac:dyDescent="0.25">
      <c r="A147" s="6">
        <v>1623</v>
      </c>
      <c r="B147" s="4" t="s">
        <v>2825</v>
      </c>
      <c r="C147" s="7">
        <v>237110</v>
      </c>
      <c r="D147" s="8" t="s">
        <v>2763</v>
      </c>
    </row>
    <row r="148" spans="1:4" ht="25.5" x14ac:dyDescent="0.25">
      <c r="A148" s="6">
        <v>1623</v>
      </c>
      <c r="B148" s="4" t="s">
        <v>2827</v>
      </c>
      <c r="C148" s="7">
        <v>237120</v>
      </c>
      <c r="D148" s="8" t="s">
        <v>2765</v>
      </c>
    </row>
    <row r="149" spans="1:4" ht="25.5" x14ac:dyDescent="0.25">
      <c r="A149" s="6">
        <v>1623</v>
      </c>
      <c r="B149" s="4" t="s">
        <v>2829</v>
      </c>
      <c r="C149" s="7">
        <v>237130</v>
      </c>
      <c r="D149" s="8" t="s">
        <v>2767</v>
      </c>
    </row>
    <row r="150" spans="1:4" ht="25.5" x14ac:dyDescent="0.25">
      <c r="A150" s="6">
        <v>1629</v>
      </c>
      <c r="B150" s="4" t="s">
        <v>455</v>
      </c>
      <c r="C150" s="7">
        <v>236210</v>
      </c>
      <c r="D150" s="8" t="s">
        <v>2759</v>
      </c>
    </row>
    <row r="151" spans="1:4" ht="25.5" x14ac:dyDescent="0.25">
      <c r="A151" s="6">
        <v>1629</v>
      </c>
      <c r="B151" s="4" t="s">
        <v>2832</v>
      </c>
      <c r="C151" s="7">
        <v>237110</v>
      </c>
      <c r="D151" s="8" t="s">
        <v>2763</v>
      </c>
    </row>
    <row r="152" spans="1:4" x14ac:dyDescent="0.25">
      <c r="A152" s="6">
        <v>1629</v>
      </c>
      <c r="B152" s="4" t="s">
        <v>2834</v>
      </c>
      <c r="C152" s="7">
        <v>237120</v>
      </c>
      <c r="D152" s="8" t="s">
        <v>2765</v>
      </c>
    </row>
    <row r="153" spans="1:4" ht="25.5" x14ac:dyDescent="0.25">
      <c r="A153" s="6">
        <v>1629</v>
      </c>
      <c r="B153" s="4" t="s">
        <v>2836</v>
      </c>
      <c r="C153" s="7">
        <v>237130</v>
      </c>
      <c r="D153" s="8" t="s">
        <v>2767</v>
      </c>
    </row>
    <row r="154" spans="1:4" ht="51" x14ac:dyDescent="0.25">
      <c r="A154" s="6">
        <v>1629</v>
      </c>
      <c r="B154" s="4" t="s">
        <v>2838</v>
      </c>
      <c r="C154" s="7">
        <v>237990</v>
      </c>
      <c r="D154" s="8" t="s">
        <v>2773</v>
      </c>
    </row>
    <row r="155" spans="1:4" x14ac:dyDescent="0.25">
      <c r="A155" s="6">
        <v>1629</v>
      </c>
      <c r="B155" s="4" t="s">
        <v>2840</v>
      </c>
      <c r="C155" s="7">
        <v>238910</v>
      </c>
      <c r="D155" s="8" t="s">
        <v>2808</v>
      </c>
    </row>
    <row r="156" spans="1:4" x14ac:dyDescent="0.25">
      <c r="A156" s="6">
        <v>1711</v>
      </c>
      <c r="B156" s="4" t="s">
        <v>2842</v>
      </c>
      <c r="C156" s="7">
        <v>238210</v>
      </c>
      <c r="D156" s="8" t="s">
        <v>5746</v>
      </c>
    </row>
    <row r="157" spans="1:4" ht="25.5" x14ac:dyDescent="0.25">
      <c r="A157" s="6">
        <v>1711</v>
      </c>
      <c r="B157" s="4" t="s">
        <v>2844</v>
      </c>
      <c r="C157" s="7">
        <v>238220</v>
      </c>
      <c r="D157" s="8" t="s">
        <v>2793</v>
      </c>
    </row>
    <row r="158" spans="1:4" ht="25.5" x14ac:dyDescent="0.25">
      <c r="A158" s="6">
        <v>1711</v>
      </c>
      <c r="B158" s="4" t="s">
        <v>2846</v>
      </c>
      <c r="C158" s="7">
        <v>238910</v>
      </c>
      <c r="D158" s="8" t="s">
        <v>2808</v>
      </c>
    </row>
    <row r="159" spans="1:4" x14ac:dyDescent="0.25">
      <c r="A159" s="6">
        <v>1721</v>
      </c>
      <c r="B159" s="4" t="s">
        <v>2848</v>
      </c>
      <c r="C159" s="7">
        <v>237310</v>
      </c>
      <c r="D159" s="8" t="s">
        <v>2771</v>
      </c>
    </row>
    <row r="160" spans="1:4" x14ac:dyDescent="0.25">
      <c r="A160" s="6">
        <v>1721</v>
      </c>
      <c r="B160" s="4" t="s">
        <v>2850</v>
      </c>
      <c r="C160" s="7">
        <v>238320</v>
      </c>
      <c r="D160" s="8" t="s">
        <v>5747</v>
      </c>
    </row>
    <row r="161" spans="1:4" x14ac:dyDescent="0.25">
      <c r="A161" s="6">
        <v>1731</v>
      </c>
      <c r="B161" s="4" t="s">
        <v>2852</v>
      </c>
      <c r="C161" s="7">
        <v>238210</v>
      </c>
      <c r="D161" s="8" t="s">
        <v>5746</v>
      </c>
    </row>
    <row r="162" spans="1:4" x14ac:dyDescent="0.25">
      <c r="A162" s="6">
        <v>1741</v>
      </c>
      <c r="B162" s="4" t="s">
        <v>2854</v>
      </c>
      <c r="C162" s="7">
        <v>238140</v>
      </c>
      <c r="D162" s="8" t="s">
        <v>2781</v>
      </c>
    </row>
    <row r="163" spans="1:4" x14ac:dyDescent="0.25">
      <c r="A163" s="6">
        <v>1742</v>
      </c>
      <c r="B163" s="4" t="s">
        <v>2856</v>
      </c>
      <c r="C163" s="7">
        <v>238310</v>
      </c>
      <c r="D163" s="8" t="s">
        <v>2797</v>
      </c>
    </row>
    <row r="164" spans="1:4" x14ac:dyDescent="0.25">
      <c r="A164" s="6">
        <v>1743</v>
      </c>
      <c r="B164" s="4" t="s">
        <v>2858</v>
      </c>
      <c r="C164" s="7">
        <v>238310</v>
      </c>
      <c r="D164" s="8" t="s">
        <v>2797</v>
      </c>
    </row>
    <row r="165" spans="1:4" x14ac:dyDescent="0.25">
      <c r="A165" s="6">
        <v>1743</v>
      </c>
      <c r="B165" s="4" t="s">
        <v>2860</v>
      </c>
      <c r="C165" s="7">
        <v>238340</v>
      </c>
      <c r="D165" s="8" t="s">
        <v>2802</v>
      </c>
    </row>
    <row r="166" spans="1:4" x14ac:dyDescent="0.25">
      <c r="A166" s="6">
        <v>1751</v>
      </c>
      <c r="B166" s="4" t="s">
        <v>2862</v>
      </c>
      <c r="C166" s="7">
        <v>238130</v>
      </c>
      <c r="D166" s="8" t="s">
        <v>2779</v>
      </c>
    </row>
    <row r="167" spans="1:4" x14ac:dyDescent="0.25">
      <c r="A167" s="6">
        <v>1751</v>
      </c>
      <c r="B167" s="4" t="s">
        <v>2864</v>
      </c>
      <c r="C167" s="7">
        <v>238350</v>
      </c>
      <c r="D167" s="8" t="s">
        <v>2804</v>
      </c>
    </row>
    <row r="168" spans="1:4" x14ac:dyDescent="0.25">
      <c r="A168" s="6">
        <v>1752</v>
      </c>
      <c r="B168" s="4" t="s">
        <v>2866</v>
      </c>
      <c r="C168" s="7">
        <v>238330</v>
      </c>
      <c r="D168" s="8" t="s">
        <v>2800</v>
      </c>
    </row>
    <row r="169" spans="1:4" x14ac:dyDescent="0.25">
      <c r="A169" s="6">
        <v>1761</v>
      </c>
      <c r="B169" s="4" t="s">
        <v>2868</v>
      </c>
      <c r="C169" s="7">
        <v>238160</v>
      </c>
      <c r="D169" s="8" t="s">
        <v>2785</v>
      </c>
    </row>
    <row r="170" spans="1:4" x14ac:dyDescent="0.25">
      <c r="A170" s="6">
        <v>1761</v>
      </c>
      <c r="B170" s="4" t="s">
        <v>2870</v>
      </c>
      <c r="C170" s="7">
        <v>238170</v>
      </c>
      <c r="D170" s="8" t="s">
        <v>2787</v>
      </c>
    </row>
    <row r="171" spans="1:4" x14ac:dyDescent="0.25">
      <c r="A171" s="6">
        <v>1761</v>
      </c>
      <c r="B171" s="4" t="s">
        <v>2872</v>
      </c>
      <c r="C171" s="7">
        <v>238390</v>
      </c>
      <c r="D171" s="8" t="s">
        <v>2806</v>
      </c>
    </row>
    <row r="172" spans="1:4" x14ac:dyDescent="0.25">
      <c r="A172" s="6">
        <v>1771</v>
      </c>
      <c r="B172" s="4" t="s">
        <v>2874</v>
      </c>
      <c r="C172" s="7">
        <v>238110</v>
      </c>
      <c r="D172" s="8" t="s">
        <v>2775</v>
      </c>
    </row>
    <row r="173" spans="1:4" x14ac:dyDescent="0.25">
      <c r="A173" s="6">
        <v>1771</v>
      </c>
      <c r="B173" s="4" t="s">
        <v>2876</v>
      </c>
      <c r="C173" s="7">
        <v>238140</v>
      </c>
      <c r="D173" s="8" t="s">
        <v>2781</v>
      </c>
    </row>
    <row r="174" spans="1:4" x14ac:dyDescent="0.25">
      <c r="A174" s="6">
        <v>1771</v>
      </c>
      <c r="B174" s="4" t="s">
        <v>2878</v>
      </c>
      <c r="C174" s="7">
        <v>238990</v>
      </c>
      <c r="D174" s="8" t="s">
        <v>2810</v>
      </c>
    </row>
    <row r="175" spans="1:4" x14ac:dyDescent="0.25">
      <c r="A175" s="6">
        <v>1781</v>
      </c>
      <c r="B175" s="4" t="s">
        <v>2880</v>
      </c>
      <c r="C175" s="7">
        <v>237110</v>
      </c>
      <c r="D175" s="8" t="s">
        <v>2763</v>
      </c>
    </row>
    <row r="176" spans="1:4" x14ac:dyDescent="0.25">
      <c r="A176" s="6">
        <v>1791</v>
      </c>
      <c r="B176" s="4" t="s">
        <v>2882</v>
      </c>
      <c r="C176" s="7">
        <v>238120</v>
      </c>
      <c r="D176" s="8" t="s">
        <v>2777</v>
      </c>
    </row>
    <row r="177" spans="1:4" ht="25.5" x14ac:dyDescent="0.25">
      <c r="A177" s="6">
        <v>1791</v>
      </c>
      <c r="B177" s="4" t="s">
        <v>2884</v>
      </c>
      <c r="C177" s="7">
        <v>238190</v>
      </c>
      <c r="D177" s="8" t="s">
        <v>2789</v>
      </c>
    </row>
    <row r="178" spans="1:4" x14ac:dyDescent="0.25">
      <c r="A178" s="6">
        <v>1791</v>
      </c>
      <c r="B178" s="4" t="s">
        <v>2886</v>
      </c>
      <c r="C178" s="7">
        <v>238220</v>
      </c>
      <c r="D178" s="8" t="s">
        <v>2793</v>
      </c>
    </row>
    <row r="179" spans="1:4" x14ac:dyDescent="0.25">
      <c r="A179" s="6">
        <v>1793</v>
      </c>
      <c r="B179" s="4" t="s">
        <v>2888</v>
      </c>
      <c r="C179" s="7">
        <v>238150</v>
      </c>
      <c r="D179" s="8" t="s">
        <v>2783</v>
      </c>
    </row>
    <row r="180" spans="1:4" x14ac:dyDescent="0.25">
      <c r="A180" s="6">
        <v>1794</v>
      </c>
      <c r="B180" s="4" t="s">
        <v>296</v>
      </c>
      <c r="C180" s="7">
        <v>238910</v>
      </c>
      <c r="D180" s="8" t="s">
        <v>2808</v>
      </c>
    </row>
    <row r="181" spans="1:4" x14ac:dyDescent="0.25">
      <c r="A181" s="6">
        <v>1795</v>
      </c>
      <c r="B181" s="4" t="s">
        <v>2891</v>
      </c>
      <c r="C181" s="7">
        <v>238910</v>
      </c>
      <c r="D181" s="8" t="s">
        <v>2808</v>
      </c>
    </row>
    <row r="182" spans="1:4" ht="25.5" x14ac:dyDescent="0.25">
      <c r="A182" s="6">
        <v>1796</v>
      </c>
      <c r="B182" s="4" t="s">
        <v>2893</v>
      </c>
      <c r="C182" s="7">
        <v>238220</v>
      </c>
      <c r="D182" s="8" t="s">
        <v>2793</v>
      </c>
    </row>
    <row r="183" spans="1:4" ht="25.5" x14ac:dyDescent="0.25">
      <c r="A183" s="6">
        <v>1796</v>
      </c>
      <c r="B183" s="4" t="s">
        <v>2895</v>
      </c>
      <c r="C183" s="7">
        <v>238290</v>
      </c>
      <c r="D183" s="8" t="s">
        <v>2795</v>
      </c>
    </row>
    <row r="184" spans="1:4" x14ac:dyDescent="0.25">
      <c r="A184" s="6">
        <v>1799</v>
      </c>
      <c r="B184" s="4" t="s">
        <v>653</v>
      </c>
      <c r="C184" s="7">
        <v>236220</v>
      </c>
      <c r="D184" s="8" t="s">
        <v>2761</v>
      </c>
    </row>
    <row r="185" spans="1:4" x14ac:dyDescent="0.25">
      <c r="A185" s="6">
        <v>1799</v>
      </c>
      <c r="B185" s="4" t="s">
        <v>2898</v>
      </c>
      <c r="C185" s="7">
        <v>237990</v>
      </c>
      <c r="D185" s="8" t="s">
        <v>2773</v>
      </c>
    </row>
    <row r="186" spans="1:4" x14ac:dyDescent="0.25">
      <c r="A186" s="6">
        <v>1799</v>
      </c>
      <c r="B186" s="4" t="s">
        <v>2900</v>
      </c>
      <c r="C186" s="7">
        <v>238150</v>
      </c>
      <c r="D186" s="8" t="s">
        <v>2783</v>
      </c>
    </row>
    <row r="187" spans="1:4" ht="25.5" x14ac:dyDescent="0.25">
      <c r="A187" s="6">
        <v>1799</v>
      </c>
      <c r="B187" s="4" t="s">
        <v>2902</v>
      </c>
      <c r="C187" s="7">
        <v>238190</v>
      </c>
      <c r="D187" s="8" t="s">
        <v>2789</v>
      </c>
    </row>
    <row r="188" spans="1:4" ht="38.25" x14ac:dyDescent="0.25">
      <c r="A188" s="6">
        <v>1799</v>
      </c>
      <c r="B188" s="4" t="s">
        <v>2904</v>
      </c>
      <c r="C188" s="7">
        <v>238290</v>
      </c>
      <c r="D188" s="8" t="s">
        <v>2795</v>
      </c>
    </row>
    <row r="189" spans="1:4" x14ac:dyDescent="0.25">
      <c r="A189" s="6">
        <v>1799</v>
      </c>
      <c r="B189" s="4" t="s">
        <v>2906</v>
      </c>
      <c r="C189" s="7">
        <v>238320</v>
      </c>
      <c r="D189" s="8" t="s">
        <v>5747</v>
      </c>
    </row>
    <row r="190" spans="1:4" x14ac:dyDescent="0.25">
      <c r="A190" s="6">
        <v>1799</v>
      </c>
      <c r="B190" s="4" t="s">
        <v>2908</v>
      </c>
      <c r="C190" s="7">
        <v>238350</v>
      </c>
      <c r="D190" s="8" t="s">
        <v>2804</v>
      </c>
    </row>
    <row r="191" spans="1:4" ht="38.25" x14ac:dyDescent="0.25">
      <c r="A191" s="6">
        <v>1799</v>
      </c>
      <c r="B191" s="4" t="s">
        <v>2910</v>
      </c>
      <c r="C191" s="7">
        <v>238390</v>
      </c>
      <c r="D191" s="8" t="s">
        <v>2806</v>
      </c>
    </row>
    <row r="192" spans="1:4" ht="25.5" x14ac:dyDescent="0.25">
      <c r="A192" s="6">
        <v>1799</v>
      </c>
      <c r="B192" s="4" t="s">
        <v>2912</v>
      </c>
      <c r="C192" s="7">
        <v>238910</v>
      </c>
      <c r="D192" s="8" t="s">
        <v>2808</v>
      </c>
    </row>
    <row r="193" spans="1:4" ht="63.75" x14ac:dyDescent="0.25">
      <c r="A193" s="6">
        <v>1799</v>
      </c>
      <c r="B193" s="4" t="s">
        <v>2914</v>
      </c>
      <c r="C193" s="7">
        <v>238990</v>
      </c>
      <c r="D193" s="8" t="s">
        <v>2810</v>
      </c>
    </row>
    <row r="194" spans="1:4" ht="25.5" x14ac:dyDescent="0.25">
      <c r="A194" s="3">
        <v>1799</v>
      </c>
      <c r="B194" s="4" t="s">
        <v>2916</v>
      </c>
      <c r="C194" s="5">
        <v>561790</v>
      </c>
      <c r="D194" s="4" t="s">
        <v>4343</v>
      </c>
    </row>
    <row r="195" spans="1:4" x14ac:dyDescent="0.25">
      <c r="A195" s="3">
        <v>1799</v>
      </c>
      <c r="B195" s="4" t="s">
        <v>2918</v>
      </c>
      <c r="C195" s="5">
        <v>562910</v>
      </c>
      <c r="D195" s="4" t="s">
        <v>4363</v>
      </c>
    </row>
    <row r="196" spans="1:4" x14ac:dyDescent="0.25">
      <c r="A196" s="3">
        <v>2011</v>
      </c>
      <c r="B196" s="4" t="s">
        <v>2920</v>
      </c>
      <c r="C196" s="5">
        <v>311611</v>
      </c>
      <c r="D196" s="4" t="s">
        <v>2859</v>
      </c>
    </row>
    <row r="197" spans="1:4" x14ac:dyDescent="0.25">
      <c r="A197" s="3">
        <v>2013</v>
      </c>
      <c r="B197" s="4" t="s">
        <v>2922</v>
      </c>
      <c r="C197" s="5">
        <v>311612</v>
      </c>
      <c r="D197" s="4" t="s">
        <v>5748</v>
      </c>
    </row>
    <row r="198" spans="1:4" x14ac:dyDescent="0.25">
      <c r="A198" s="3">
        <v>2013</v>
      </c>
      <c r="B198" s="4" t="s">
        <v>2924</v>
      </c>
      <c r="C198" s="5">
        <v>311613</v>
      </c>
      <c r="D198" s="4" t="s">
        <v>2863</v>
      </c>
    </row>
    <row r="199" spans="1:4" x14ac:dyDescent="0.25">
      <c r="A199" s="3">
        <v>2015</v>
      </c>
      <c r="B199" s="4" t="s">
        <v>2926</v>
      </c>
      <c r="C199" s="5">
        <v>311615</v>
      </c>
      <c r="D199" s="4" t="s">
        <v>2865</v>
      </c>
    </row>
    <row r="200" spans="1:4" x14ac:dyDescent="0.25">
      <c r="A200" s="3">
        <v>2015</v>
      </c>
      <c r="B200" s="4" t="s">
        <v>2928</v>
      </c>
      <c r="C200" s="5">
        <v>311999</v>
      </c>
      <c r="D200" s="4" t="s">
        <v>2894</v>
      </c>
    </row>
    <row r="201" spans="1:4" x14ac:dyDescent="0.25">
      <c r="A201" s="3">
        <v>2021</v>
      </c>
      <c r="B201" s="4" t="s">
        <v>2930</v>
      </c>
      <c r="C201" s="5">
        <v>311512</v>
      </c>
      <c r="D201" s="4" t="s">
        <v>2851</v>
      </c>
    </row>
    <row r="202" spans="1:4" x14ac:dyDescent="0.25">
      <c r="A202" s="3">
        <v>2022</v>
      </c>
      <c r="B202" s="4" t="s">
        <v>2932</v>
      </c>
      <c r="C202" s="5">
        <v>311513</v>
      </c>
      <c r="D202" s="4" t="s">
        <v>2853</v>
      </c>
    </row>
    <row r="203" spans="1:4" x14ac:dyDescent="0.25">
      <c r="A203" s="3">
        <v>2023</v>
      </c>
      <c r="B203" s="4" t="s">
        <v>2934</v>
      </c>
      <c r="C203" s="5">
        <v>311511</v>
      </c>
      <c r="D203" s="4" t="s">
        <v>2849</v>
      </c>
    </row>
    <row r="204" spans="1:4" ht="25.5" x14ac:dyDescent="0.25">
      <c r="A204" s="3">
        <v>2023</v>
      </c>
      <c r="B204" s="4" t="s">
        <v>2936</v>
      </c>
      <c r="C204" s="5">
        <v>311514</v>
      </c>
      <c r="D204" s="4" t="s">
        <v>2855</v>
      </c>
    </row>
    <row r="205" spans="1:4" x14ac:dyDescent="0.25">
      <c r="A205" s="3">
        <v>2024</v>
      </c>
      <c r="B205" s="4" t="s">
        <v>2938</v>
      </c>
      <c r="C205" s="5">
        <v>311520</v>
      </c>
      <c r="D205" s="4" t="s">
        <v>2857</v>
      </c>
    </row>
    <row r="206" spans="1:4" x14ac:dyDescent="0.25">
      <c r="A206" s="3">
        <v>2026</v>
      </c>
      <c r="B206" s="4" t="s">
        <v>2940</v>
      </c>
      <c r="C206" s="5">
        <v>311511</v>
      </c>
      <c r="D206" s="4" t="s">
        <v>2849</v>
      </c>
    </row>
    <row r="207" spans="1:4" ht="25.5" x14ac:dyDescent="0.25">
      <c r="A207" s="3">
        <v>2026</v>
      </c>
      <c r="B207" s="4" t="s">
        <v>2942</v>
      </c>
      <c r="C207" s="5">
        <v>311514</v>
      </c>
      <c r="D207" s="4" t="s">
        <v>2855</v>
      </c>
    </row>
    <row r="208" spans="1:4" x14ac:dyDescent="0.25">
      <c r="A208" s="3">
        <v>2032</v>
      </c>
      <c r="B208" s="4" t="s">
        <v>2944</v>
      </c>
      <c r="C208" s="5">
        <v>311422</v>
      </c>
      <c r="D208" s="4" t="s">
        <v>2845</v>
      </c>
    </row>
    <row r="209" spans="1:4" x14ac:dyDescent="0.25">
      <c r="A209" s="3">
        <v>2032</v>
      </c>
      <c r="B209" s="4" t="s">
        <v>2946</v>
      </c>
      <c r="C209" s="5">
        <v>311999</v>
      </c>
      <c r="D209" s="4" t="s">
        <v>2894</v>
      </c>
    </row>
    <row r="210" spans="1:4" x14ac:dyDescent="0.25">
      <c r="A210" s="3">
        <v>2033</v>
      </c>
      <c r="B210" s="4" t="s">
        <v>2948</v>
      </c>
      <c r="C210" s="5">
        <v>311421</v>
      </c>
      <c r="D210" s="4" t="s">
        <v>2843</v>
      </c>
    </row>
    <row r="211" spans="1:4" x14ac:dyDescent="0.25">
      <c r="A211" s="3">
        <v>2034</v>
      </c>
      <c r="B211" s="4" t="s">
        <v>2950</v>
      </c>
      <c r="C211" s="5">
        <v>311211</v>
      </c>
      <c r="D211" s="4" t="s">
        <v>2816</v>
      </c>
    </row>
    <row r="212" spans="1:4" ht="25.5" x14ac:dyDescent="0.25">
      <c r="A212" s="3">
        <v>2034</v>
      </c>
      <c r="B212" s="4" t="s">
        <v>2952</v>
      </c>
      <c r="C212" s="5">
        <v>311423</v>
      </c>
      <c r="D212" s="4" t="s">
        <v>2847</v>
      </c>
    </row>
    <row r="213" spans="1:4" ht="25.5" x14ac:dyDescent="0.25">
      <c r="A213" s="3">
        <v>2034</v>
      </c>
      <c r="B213" s="4" t="s">
        <v>2954</v>
      </c>
      <c r="C213" s="5">
        <v>311999</v>
      </c>
      <c r="D213" s="4" t="s">
        <v>2894</v>
      </c>
    </row>
    <row r="214" spans="1:4" ht="25.5" x14ac:dyDescent="0.25">
      <c r="A214" s="3">
        <v>2035</v>
      </c>
      <c r="B214" s="4" t="s">
        <v>2956</v>
      </c>
      <c r="C214" s="5">
        <v>311421</v>
      </c>
      <c r="D214" s="4" t="s">
        <v>2843</v>
      </c>
    </row>
    <row r="215" spans="1:4" ht="25.5" x14ac:dyDescent="0.25">
      <c r="A215" s="3">
        <v>2035</v>
      </c>
      <c r="B215" s="4" t="s">
        <v>2958</v>
      </c>
      <c r="C215" s="5">
        <v>311941</v>
      </c>
      <c r="D215" s="4" t="s">
        <v>2889</v>
      </c>
    </row>
    <row r="216" spans="1:4" x14ac:dyDescent="0.25">
      <c r="A216" s="3">
        <v>2037</v>
      </c>
      <c r="B216" s="4" t="s">
        <v>2960</v>
      </c>
      <c r="C216" s="5">
        <v>311411</v>
      </c>
      <c r="D216" s="4" t="s">
        <v>2839</v>
      </c>
    </row>
    <row r="217" spans="1:4" x14ac:dyDescent="0.25">
      <c r="A217" s="3">
        <v>2038</v>
      </c>
      <c r="B217" s="4" t="s">
        <v>2962</v>
      </c>
      <c r="C217" s="5">
        <v>311412</v>
      </c>
      <c r="D217" s="4" t="s">
        <v>2841</v>
      </c>
    </row>
    <row r="218" spans="1:4" x14ac:dyDescent="0.25">
      <c r="A218" s="3">
        <v>2041</v>
      </c>
      <c r="B218" s="4" t="s">
        <v>2964</v>
      </c>
      <c r="C218" s="5">
        <v>311211</v>
      </c>
      <c r="D218" s="4" t="s">
        <v>2816</v>
      </c>
    </row>
    <row r="219" spans="1:4" ht="25.5" x14ac:dyDescent="0.25">
      <c r="A219" s="3">
        <v>2043</v>
      </c>
      <c r="B219" s="4" t="s">
        <v>2966</v>
      </c>
      <c r="C219" s="5">
        <v>311230</v>
      </c>
      <c r="D219" s="4" t="s">
        <v>2828</v>
      </c>
    </row>
    <row r="220" spans="1:4" x14ac:dyDescent="0.25">
      <c r="A220" s="3">
        <v>2043</v>
      </c>
      <c r="B220" s="4" t="s">
        <v>2968</v>
      </c>
      <c r="C220" s="5">
        <v>311920</v>
      </c>
      <c r="D220" s="4" t="s">
        <v>2885</v>
      </c>
    </row>
    <row r="221" spans="1:4" x14ac:dyDescent="0.25">
      <c r="A221" s="3">
        <v>2044</v>
      </c>
      <c r="B221" s="4" t="s">
        <v>2818</v>
      </c>
      <c r="C221" s="5">
        <v>311212</v>
      </c>
      <c r="D221" s="4" t="s">
        <v>2818</v>
      </c>
    </row>
    <row r="222" spans="1:4" x14ac:dyDescent="0.25">
      <c r="A222" s="3">
        <v>2045</v>
      </c>
      <c r="B222" s="4" t="s">
        <v>2971</v>
      </c>
      <c r="C222" s="5">
        <v>311822</v>
      </c>
      <c r="D222" s="4" t="s">
        <v>5749</v>
      </c>
    </row>
    <row r="223" spans="1:4" x14ac:dyDescent="0.25">
      <c r="A223" s="3">
        <v>2046</v>
      </c>
      <c r="B223" s="4" t="s">
        <v>2973</v>
      </c>
      <c r="C223" s="5">
        <v>311221</v>
      </c>
      <c r="D223" s="4" t="s">
        <v>2822</v>
      </c>
    </row>
    <row r="224" spans="1:4" x14ac:dyDescent="0.25">
      <c r="A224" s="3">
        <v>2046</v>
      </c>
      <c r="B224" s="4" t="s">
        <v>2975</v>
      </c>
      <c r="C224" s="5">
        <v>311225</v>
      </c>
      <c r="D224" s="4" t="s">
        <v>2826</v>
      </c>
    </row>
    <row r="225" spans="1:4" x14ac:dyDescent="0.25">
      <c r="A225" s="3">
        <v>2047</v>
      </c>
      <c r="B225" s="4" t="s">
        <v>2977</v>
      </c>
      <c r="C225" s="5">
        <v>311111</v>
      </c>
      <c r="D225" s="4" t="s">
        <v>2812</v>
      </c>
    </row>
    <row r="226" spans="1:4" ht="25.5" x14ac:dyDescent="0.25">
      <c r="A226" s="3">
        <v>2048</v>
      </c>
      <c r="B226" s="4" t="s">
        <v>2979</v>
      </c>
      <c r="C226" s="5">
        <v>311119</v>
      </c>
      <c r="D226" s="4" t="s">
        <v>2814</v>
      </c>
    </row>
    <row r="227" spans="1:4" ht="25.5" x14ac:dyDescent="0.25">
      <c r="A227" s="3">
        <v>2048</v>
      </c>
      <c r="B227" s="4" t="s">
        <v>2981</v>
      </c>
      <c r="C227" s="5">
        <v>311611</v>
      </c>
      <c r="D227" s="4" t="s">
        <v>2859</v>
      </c>
    </row>
    <row r="228" spans="1:4" x14ac:dyDescent="0.25">
      <c r="A228" s="3">
        <v>2051</v>
      </c>
      <c r="B228" s="4" t="s">
        <v>2983</v>
      </c>
      <c r="C228" s="5">
        <v>311812</v>
      </c>
      <c r="D228" s="4" t="s">
        <v>2871</v>
      </c>
    </row>
    <row r="229" spans="1:4" x14ac:dyDescent="0.25">
      <c r="A229" s="3">
        <v>2052</v>
      </c>
      <c r="B229" s="4" t="s">
        <v>2985</v>
      </c>
      <c r="C229" s="5">
        <v>311812</v>
      </c>
      <c r="D229" s="4" t="s">
        <v>2871</v>
      </c>
    </row>
    <row r="230" spans="1:4" x14ac:dyDescent="0.25">
      <c r="A230" s="3">
        <v>2052</v>
      </c>
      <c r="B230" s="4" t="s">
        <v>2987</v>
      </c>
      <c r="C230" s="5">
        <v>311821</v>
      </c>
      <c r="D230" s="4" t="s">
        <v>2875</v>
      </c>
    </row>
    <row r="231" spans="1:4" x14ac:dyDescent="0.25">
      <c r="A231" s="3">
        <v>2052</v>
      </c>
      <c r="B231" s="4" t="s">
        <v>2989</v>
      </c>
      <c r="C231" s="5">
        <v>311919</v>
      </c>
      <c r="D231" s="4" t="s">
        <v>2883</v>
      </c>
    </row>
    <row r="232" spans="1:4" x14ac:dyDescent="0.25">
      <c r="A232" s="3">
        <v>2053</v>
      </c>
      <c r="B232" s="4" t="s">
        <v>2991</v>
      </c>
      <c r="C232" s="5">
        <v>311813</v>
      </c>
      <c r="D232" s="4" t="s">
        <v>2873</v>
      </c>
    </row>
    <row r="233" spans="1:4" x14ac:dyDescent="0.25">
      <c r="A233" s="3">
        <v>2061</v>
      </c>
      <c r="B233" s="4" t="s">
        <v>2993</v>
      </c>
      <c r="C233" s="5">
        <v>311311</v>
      </c>
      <c r="D233" s="4" t="s">
        <v>5750</v>
      </c>
    </row>
    <row r="234" spans="1:4" x14ac:dyDescent="0.25">
      <c r="A234" s="3">
        <v>2062</v>
      </c>
      <c r="B234" s="4" t="s">
        <v>2995</v>
      </c>
      <c r="C234" s="5">
        <v>311312</v>
      </c>
      <c r="D234" s="4" t="s">
        <v>2995</v>
      </c>
    </row>
    <row r="235" spans="1:4" x14ac:dyDescent="0.25">
      <c r="A235" s="3">
        <v>2063</v>
      </c>
      <c r="B235" s="4" t="s">
        <v>2997</v>
      </c>
      <c r="C235" s="5">
        <v>311313</v>
      </c>
      <c r="D235" s="4" t="s">
        <v>2830</v>
      </c>
    </row>
    <row r="236" spans="1:4" x14ac:dyDescent="0.25">
      <c r="A236" s="3">
        <v>2064</v>
      </c>
      <c r="B236" s="4" t="s">
        <v>2999</v>
      </c>
      <c r="C236" s="5">
        <v>311330</v>
      </c>
      <c r="D236" s="4" t="s">
        <v>5751</v>
      </c>
    </row>
    <row r="237" spans="1:4" x14ac:dyDescent="0.25">
      <c r="A237" s="3">
        <v>2064</v>
      </c>
      <c r="B237" s="4" t="s">
        <v>3001</v>
      </c>
      <c r="C237" s="5">
        <v>311340</v>
      </c>
      <c r="D237" s="4" t="s">
        <v>2833</v>
      </c>
    </row>
    <row r="238" spans="1:4" ht="25.5" x14ac:dyDescent="0.25">
      <c r="A238" s="3">
        <v>2066</v>
      </c>
      <c r="B238" s="4" t="s">
        <v>3003</v>
      </c>
      <c r="C238" s="5">
        <v>311320</v>
      </c>
      <c r="D238" s="4" t="s">
        <v>5752</v>
      </c>
    </row>
    <row r="239" spans="1:4" x14ac:dyDescent="0.25">
      <c r="A239" s="3">
        <v>2066</v>
      </c>
      <c r="B239" s="4" t="s">
        <v>3005</v>
      </c>
      <c r="C239" s="5">
        <v>311330</v>
      </c>
      <c r="D239" s="4" t="s">
        <v>5751</v>
      </c>
    </row>
    <row r="240" spans="1:4" x14ac:dyDescent="0.25">
      <c r="A240" s="3">
        <v>2067</v>
      </c>
      <c r="B240" s="4" t="s">
        <v>3007</v>
      </c>
      <c r="C240" s="5">
        <v>311340</v>
      </c>
      <c r="D240" s="4" t="s">
        <v>2833</v>
      </c>
    </row>
    <row r="241" spans="1:4" x14ac:dyDescent="0.25">
      <c r="A241" s="3">
        <v>2068</v>
      </c>
      <c r="B241" s="4" t="s">
        <v>3009</v>
      </c>
      <c r="C241" s="5">
        <v>311911</v>
      </c>
      <c r="D241" s="4" t="s">
        <v>2881</v>
      </c>
    </row>
    <row r="242" spans="1:4" x14ac:dyDescent="0.25">
      <c r="A242" s="3">
        <v>2074</v>
      </c>
      <c r="B242" s="4" t="s">
        <v>3011</v>
      </c>
      <c r="C242" s="5">
        <v>311223</v>
      </c>
      <c r="D242" s="4" t="s">
        <v>5753</v>
      </c>
    </row>
    <row r="243" spans="1:4" x14ac:dyDescent="0.25">
      <c r="A243" s="3">
        <v>2074</v>
      </c>
      <c r="B243" s="4" t="s">
        <v>3012</v>
      </c>
      <c r="C243" s="5">
        <v>311225</v>
      </c>
      <c r="D243" s="4" t="s">
        <v>2826</v>
      </c>
    </row>
    <row r="244" spans="1:4" x14ac:dyDescent="0.25">
      <c r="A244" s="3">
        <v>2075</v>
      </c>
      <c r="B244" s="4" t="s">
        <v>3014</v>
      </c>
      <c r="C244" s="5">
        <v>311222</v>
      </c>
      <c r="D244" s="4" t="s">
        <v>5754</v>
      </c>
    </row>
    <row r="245" spans="1:4" x14ac:dyDescent="0.25">
      <c r="A245" s="3">
        <v>2075</v>
      </c>
      <c r="B245" s="4" t="s">
        <v>3016</v>
      </c>
      <c r="C245" s="5">
        <v>311225</v>
      </c>
      <c r="D245" s="4" t="s">
        <v>2826</v>
      </c>
    </row>
    <row r="246" spans="1:4" x14ac:dyDescent="0.25">
      <c r="A246" s="3">
        <v>2076</v>
      </c>
      <c r="B246" s="4" t="s">
        <v>3018</v>
      </c>
      <c r="C246" s="5">
        <v>311223</v>
      </c>
      <c r="D246" s="4" t="s">
        <v>5753</v>
      </c>
    </row>
    <row r="247" spans="1:4" ht="25.5" x14ac:dyDescent="0.25">
      <c r="A247" s="3">
        <v>2076</v>
      </c>
      <c r="B247" s="4" t="s">
        <v>3020</v>
      </c>
      <c r="C247" s="5">
        <v>311225</v>
      </c>
      <c r="D247" s="4" t="s">
        <v>2826</v>
      </c>
    </row>
    <row r="248" spans="1:4" x14ac:dyDescent="0.25">
      <c r="A248" s="3">
        <v>2077</v>
      </c>
      <c r="B248" s="4" t="s">
        <v>3021</v>
      </c>
      <c r="C248" s="5">
        <v>311613</v>
      </c>
      <c r="D248" s="4" t="s">
        <v>2863</v>
      </c>
    </row>
    <row r="249" spans="1:4" x14ac:dyDescent="0.25">
      <c r="A249" s="3">
        <v>2077</v>
      </c>
      <c r="B249" s="4" t="s">
        <v>3023</v>
      </c>
      <c r="C249" s="5">
        <v>311711</v>
      </c>
      <c r="D249" s="4" t="s">
        <v>5755</v>
      </c>
    </row>
    <row r="250" spans="1:4" x14ac:dyDescent="0.25">
      <c r="A250" s="3">
        <v>2077</v>
      </c>
      <c r="B250" s="4" t="s">
        <v>3025</v>
      </c>
      <c r="C250" s="5">
        <v>311712</v>
      </c>
      <c r="D250" s="4" t="s">
        <v>5756</v>
      </c>
    </row>
    <row r="251" spans="1:4" ht="25.5" x14ac:dyDescent="0.25">
      <c r="A251" s="3">
        <v>2079</v>
      </c>
      <c r="B251" s="4" t="s">
        <v>3026</v>
      </c>
      <c r="C251" s="5">
        <v>311222</v>
      </c>
      <c r="D251" s="4" t="s">
        <v>5754</v>
      </c>
    </row>
    <row r="252" spans="1:4" ht="38.25" x14ac:dyDescent="0.25">
      <c r="A252" s="3">
        <v>2079</v>
      </c>
      <c r="B252" s="4" t="s">
        <v>3028</v>
      </c>
      <c r="C252" s="5">
        <v>311223</v>
      </c>
      <c r="D252" s="4" t="s">
        <v>5753</v>
      </c>
    </row>
    <row r="253" spans="1:4" ht="38.25" x14ac:dyDescent="0.25">
      <c r="A253" s="3">
        <v>2079</v>
      </c>
      <c r="B253" s="4" t="s">
        <v>3030</v>
      </c>
      <c r="C253" s="5">
        <v>311225</v>
      </c>
      <c r="D253" s="4" t="s">
        <v>2826</v>
      </c>
    </row>
    <row r="254" spans="1:4" x14ac:dyDescent="0.25">
      <c r="A254" s="3">
        <v>2082</v>
      </c>
      <c r="B254" s="4" t="s">
        <v>3031</v>
      </c>
      <c r="C254" s="5">
        <v>311942</v>
      </c>
      <c r="D254" s="4" t="s">
        <v>2890</v>
      </c>
    </row>
    <row r="255" spans="1:4" x14ac:dyDescent="0.25">
      <c r="A255" s="3">
        <v>2082</v>
      </c>
      <c r="B255" s="4" t="s">
        <v>3032</v>
      </c>
      <c r="C255" s="5">
        <v>312120</v>
      </c>
      <c r="D255" s="4" t="s">
        <v>2901</v>
      </c>
    </row>
    <row r="256" spans="1:4" x14ac:dyDescent="0.25">
      <c r="A256" s="3">
        <v>2083</v>
      </c>
      <c r="B256" s="4" t="s">
        <v>3034</v>
      </c>
      <c r="C256" s="5">
        <v>311213</v>
      </c>
      <c r="D256" s="4" t="s">
        <v>2820</v>
      </c>
    </row>
    <row r="257" spans="1:4" x14ac:dyDescent="0.25">
      <c r="A257" s="3">
        <v>2084</v>
      </c>
      <c r="B257" s="4" t="s">
        <v>3036</v>
      </c>
      <c r="C257" s="5">
        <v>312130</v>
      </c>
      <c r="D257" s="4" t="s">
        <v>2903</v>
      </c>
    </row>
    <row r="258" spans="1:4" x14ac:dyDescent="0.25">
      <c r="A258" s="3">
        <v>2085</v>
      </c>
      <c r="B258" s="4" t="s">
        <v>3038</v>
      </c>
      <c r="C258" s="5">
        <v>312130</v>
      </c>
      <c r="D258" s="4" t="s">
        <v>2903</v>
      </c>
    </row>
    <row r="259" spans="1:4" x14ac:dyDescent="0.25">
      <c r="A259" s="3">
        <v>2085</v>
      </c>
      <c r="B259" s="4" t="s">
        <v>3040</v>
      </c>
      <c r="C259" s="5">
        <v>312140</v>
      </c>
      <c r="D259" s="4" t="s">
        <v>2905</v>
      </c>
    </row>
    <row r="260" spans="1:4" x14ac:dyDescent="0.25">
      <c r="A260" s="3">
        <v>2086</v>
      </c>
      <c r="B260" s="4" t="s">
        <v>3042</v>
      </c>
      <c r="C260" s="5">
        <v>312111</v>
      </c>
      <c r="D260" s="4" t="s">
        <v>2896</v>
      </c>
    </row>
    <row r="261" spans="1:4" x14ac:dyDescent="0.25">
      <c r="A261" s="3">
        <v>2086</v>
      </c>
      <c r="B261" s="4" t="s">
        <v>3044</v>
      </c>
      <c r="C261" s="5">
        <v>312112</v>
      </c>
      <c r="D261" s="4" t="s">
        <v>2897</v>
      </c>
    </row>
    <row r="262" spans="1:4" x14ac:dyDescent="0.25">
      <c r="A262" s="3">
        <v>2087</v>
      </c>
      <c r="B262" s="4" t="s">
        <v>3045</v>
      </c>
      <c r="C262" s="5">
        <v>311920</v>
      </c>
      <c r="D262" s="4" t="s">
        <v>2885</v>
      </c>
    </row>
    <row r="263" spans="1:4" ht="25.5" x14ac:dyDescent="0.25">
      <c r="A263" s="3">
        <v>2087</v>
      </c>
      <c r="B263" s="4" t="s">
        <v>3047</v>
      </c>
      <c r="C263" s="5">
        <v>311930</v>
      </c>
      <c r="D263" s="4" t="s">
        <v>2887</v>
      </c>
    </row>
    <row r="264" spans="1:4" x14ac:dyDescent="0.25">
      <c r="A264" s="3">
        <v>2087</v>
      </c>
      <c r="B264" s="4" t="s">
        <v>3049</v>
      </c>
      <c r="C264" s="5">
        <v>311942</v>
      </c>
      <c r="D264" s="4" t="s">
        <v>2890</v>
      </c>
    </row>
    <row r="265" spans="1:4" x14ac:dyDescent="0.25">
      <c r="A265" s="3">
        <v>2087</v>
      </c>
      <c r="B265" s="4" t="s">
        <v>3051</v>
      </c>
      <c r="C265" s="5">
        <v>311999</v>
      </c>
      <c r="D265" s="4" t="s">
        <v>2894</v>
      </c>
    </row>
    <row r="266" spans="1:4" x14ac:dyDescent="0.25">
      <c r="A266" s="3">
        <v>2091</v>
      </c>
      <c r="B266" s="4" t="s">
        <v>3053</v>
      </c>
      <c r="C266" s="5">
        <v>311711</v>
      </c>
      <c r="D266" s="4" t="s">
        <v>5755</v>
      </c>
    </row>
    <row r="267" spans="1:4" x14ac:dyDescent="0.25">
      <c r="A267" s="3">
        <v>2092</v>
      </c>
      <c r="B267" s="4" t="s">
        <v>3054</v>
      </c>
      <c r="C267" s="5">
        <v>311712</v>
      </c>
      <c r="D267" s="4" t="s">
        <v>5756</v>
      </c>
    </row>
    <row r="268" spans="1:4" x14ac:dyDescent="0.25">
      <c r="A268" s="3">
        <v>2095</v>
      </c>
      <c r="B268" s="4" t="s">
        <v>3056</v>
      </c>
      <c r="C268" s="5">
        <v>311920</v>
      </c>
      <c r="D268" s="4" t="s">
        <v>2885</v>
      </c>
    </row>
    <row r="269" spans="1:4" x14ac:dyDescent="0.25">
      <c r="A269" s="3">
        <v>2096</v>
      </c>
      <c r="B269" s="4" t="s">
        <v>3058</v>
      </c>
      <c r="C269" s="5">
        <v>311919</v>
      </c>
      <c r="D269" s="4" t="s">
        <v>2883</v>
      </c>
    </row>
    <row r="270" spans="1:4" x14ac:dyDescent="0.25">
      <c r="A270" s="3">
        <v>2097</v>
      </c>
      <c r="B270" s="4" t="s">
        <v>3060</v>
      </c>
      <c r="C270" s="5">
        <v>312113</v>
      </c>
      <c r="D270" s="4" t="s">
        <v>2899</v>
      </c>
    </row>
    <row r="271" spans="1:4" x14ac:dyDescent="0.25">
      <c r="A271" s="3">
        <v>2098</v>
      </c>
      <c r="B271" s="4" t="s">
        <v>3062</v>
      </c>
      <c r="C271" s="5">
        <v>311823</v>
      </c>
      <c r="D271" s="4" t="s">
        <v>5757</v>
      </c>
    </row>
    <row r="272" spans="1:4" x14ac:dyDescent="0.25">
      <c r="A272" s="3">
        <v>2099</v>
      </c>
      <c r="B272" s="4" t="s">
        <v>3064</v>
      </c>
      <c r="C272" s="5">
        <v>111998</v>
      </c>
      <c r="D272" s="4" t="s">
        <v>2605</v>
      </c>
    </row>
    <row r="273" spans="1:4" ht="25.5" x14ac:dyDescent="0.25">
      <c r="A273" s="3">
        <v>2099</v>
      </c>
      <c r="B273" s="4" t="s">
        <v>3066</v>
      </c>
      <c r="C273" s="5">
        <v>311212</v>
      </c>
      <c r="D273" s="4" t="s">
        <v>2818</v>
      </c>
    </row>
    <row r="274" spans="1:4" x14ac:dyDescent="0.25">
      <c r="A274" s="3">
        <v>2099</v>
      </c>
      <c r="B274" s="4" t="s">
        <v>3068</v>
      </c>
      <c r="C274" s="5">
        <v>311340</v>
      </c>
      <c r="D274" s="4" t="s">
        <v>2833</v>
      </c>
    </row>
    <row r="275" spans="1:4" ht="25.5" x14ac:dyDescent="0.25">
      <c r="A275" s="3">
        <v>2099</v>
      </c>
      <c r="B275" s="4" t="s">
        <v>3070</v>
      </c>
      <c r="C275" s="5">
        <v>311423</v>
      </c>
      <c r="D275" s="4" t="s">
        <v>2847</v>
      </c>
    </row>
    <row r="276" spans="1:4" x14ac:dyDescent="0.25">
      <c r="A276" s="3">
        <v>2099</v>
      </c>
      <c r="B276" s="4" t="s">
        <v>3072</v>
      </c>
      <c r="C276" s="5">
        <v>311823</v>
      </c>
      <c r="D276" s="4" t="s">
        <v>5757</v>
      </c>
    </row>
    <row r="277" spans="1:4" x14ac:dyDescent="0.25">
      <c r="A277" s="3">
        <v>2099</v>
      </c>
      <c r="B277" s="4" t="s">
        <v>3074</v>
      </c>
      <c r="C277" s="5">
        <v>311830</v>
      </c>
      <c r="D277" s="4" t="s">
        <v>5758</v>
      </c>
    </row>
    <row r="278" spans="1:4" x14ac:dyDescent="0.25">
      <c r="A278" s="3">
        <v>2099</v>
      </c>
      <c r="B278" s="4" t="s">
        <v>3076</v>
      </c>
      <c r="C278" s="5">
        <v>311911</v>
      </c>
      <c r="D278" s="4" t="s">
        <v>2881</v>
      </c>
    </row>
    <row r="279" spans="1:4" x14ac:dyDescent="0.25">
      <c r="A279" s="3">
        <v>2099</v>
      </c>
      <c r="B279" s="4" t="s">
        <v>3078</v>
      </c>
      <c r="C279" s="5">
        <v>311920</v>
      </c>
      <c r="D279" s="4" t="s">
        <v>2885</v>
      </c>
    </row>
    <row r="280" spans="1:4" ht="25.5" x14ac:dyDescent="0.25">
      <c r="A280" s="3">
        <v>2099</v>
      </c>
      <c r="B280" s="4" t="s">
        <v>3080</v>
      </c>
      <c r="C280" s="5">
        <v>311941</v>
      </c>
      <c r="D280" s="4" t="s">
        <v>2889</v>
      </c>
    </row>
    <row r="281" spans="1:4" x14ac:dyDescent="0.25">
      <c r="A281" s="3">
        <v>2099</v>
      </c>
      <c r="B281" s="4" t="s">
        <v>3082</v>
      </c>
      <c r="C281" s="5">
        <v>311942</v>
      </c>
      <c r="D281" s="4" t="s">
        <v>2890</v>
      </c>
    </row>
    <row r="282" spans="1:4" x14ac:dyDescent="0.25">
      <c r="A282" s="3">
        <v>2099</v>
      </c>
      <c r="B282" s="4" t="s">
        <v>3084</v>
      </c>
      <c r="C282" s="5">
        <v>311991</v>
      </c>
      <c r="D282" s="4" t="s">
        <v>2892</v>
      </c>
    </row>
    <row r="283" spans="1:4" ht="51" x14ac:dyDescent="0.25">
      <c r="A283" s="3">
        <v>2099</v>
      </c>
      <c r="B283" s="4" t="s">
        <v>3086</v>
      </c>
      <c r="C283" s="5">
        <v>311999</v>
      </c>
      <c r="D283" s="4" t="s">
        <v>2894</v>
      </c>
    </row>
    <row r="284" spans="1:4" x14ac:dyDescent="0.25">
      <c r="A284" s="3">
        <v>2111</v>
      </c>
      <c r="B284" s="4" t="s">
        <v>3088</v>
      </c>
      <c r="C284" s="5">
        <v>312221</v>
      </c>
      <c r="D284" s="4" t="s">
        <v>5759</v>
      </c>
    </row>
    <row r="285" spans="1:4" x14ac:dyDescent="0.25">
      <c r="A285" s="3">
        <v>2121</v>
      </c>
      <c r="B285" s="4" t="s">
        <v>3090</v>
      </c>
      <c r="C285" s="5">
        <v>312229</v>
      </c>
      <c r="D285" s="4" t="s">
        <v>5760</v>
      </c>
    </row>
    <row r="286" spans="1:4" x14ac:dyDescent="0.25">
      <c r="A286" s="3">
        <v>2131</v>
      </c>
      <c r="B286" s="4" t="s">
        <v>3092</v>
      </c>
      <c r="C286" s="5">
        <v>312229</v>
      </c>
      <c r="D286" s="4" t="s">
        <v>5760</v>
      </c>
    </row>
    <row r="287" spans="1:4" x14ac:dyDescent="0.25">
      <c r="A287" s="3">
        <v>2141</v>
      </c>
      <c r="B287" s="4" t="s">
        <v>3094</v>
      </c>
      <c r="C287" s="5">
        <v>312210</v>
      </c>
      <c r="D287" s="4" t="s">
        <v>5761</v>
      </c>
    </row>
    <row r="288" spans="1:4" x14ac:dyDescent="0.25">
      <c r="A288" s="3">
        <v>2141</v>
      </c>
      <c r="B288" s="4" t="s">
        <v>3096</v>
      </c>
      <c r="C288" s="5">
        <v>312229</v>
      </c>
      <c r="D288" s="4" t="s">
        <v>5760</v>
      </c>
    </row>
    <row r="289" spans="1:4" x14ac:dyDescent="0.25">
      <c r="A289" s="3">
        <v>2211</v>
      </c>
      <c r="B289" s="4" t="s">
        <v>3098</v>
      </c>
      <c r="C289" s="5">
        <v>313210</v>
      </c>
      <c r="D289" s="4" t="s">
        <v>2911</v>
      </c>
    </row>
    <row r="290" spans="1:4" x14ac:dyDescent="0.25">
      <c r="A290" s="3">
        <v>2221</v>
      </c>
      <c r="B290" s="4" t="s">
        <v>3100</v>
      </c>
      <c r="C290" s="5">
        <v>313210</v>
      </c>
      <c r="D290" s="4" t="s">
        <v>2911</v>
      </c>
    </row>
    <row r="291" spans="1:4" ht="25.5" x14ac:dyDescent="0.25">
      <c r="A291" s="3">
        <v>2231</v>
      </c>
      <c r="B291" s="4" t="s">
        <v>3102</v>
      </c>
      <c r="C291" s="5">
        <v>313210</v>
      </c>
      <c r="D291" s="4" t="s">
        <v>2911</v>
      </c>
    </row>
    <row r="292" spans="1:4" x14ac:dyDescent="0.25">
      <c r="A292" s="3">
        <v>2231</v>
      </c>
      <c r="B292" s="4" t="s">
        <v>3104</v>
      </c>
      <c r="C292" s="5">
        <v>313311</v>
      </c>
      <c r="D292" s="4" t="s">
        <v>5762</v>
      </c>
    </row>
    <row r="293" spans="1:4" ht="25.5" x14ac:dyDescent="0.25">
      <c r="A293" s="3">
        <v>2231</v>
      </c>
      <c r="B293" s="4" t="s">
        <v>3106</v>
      </c>
      <c r="C293" s="5">
        <v>313312</v>
      </c>
      <c r="D293" s="4" t="s">
        <v>5763</v>
      </c>
    </row>
    <row r="294" spans="1:4" x14ac:dyDescent="0.25">
      <c r="A294" s="3">
        <v>2241</v>
      </c>
      <c r="B294" s="4" t="s">
        <v>3108</v>
      </c>
      <c r="C294" s="5">
        <v>313221</v>
      </c>
      <c r="D294" s="4" t="s">
        <v>5764</v>
      </c>
    </row>
    <row r="295" spans="1:4" ht="25.5" x14ac:dyDescent="0.25">
      <c r="A295" s="3">
        <v>2251</v>
      </c>
      <c r="B295" s="4" t="s">
        <v>3110</v>
      </c>
      <c r="C295" s="5">
        <v>313312</v>
      </c>
      <c r="D295" s="4" t="s">
        <v>5763</v>
      </c>
    </row>
    <row r="296" spans="1:4" ht="25.5" x14ac:dyDescent="0.25">
      <c r="A296" s="3">
        <v>2251</v>
      </c>
      <c r="B296" s="4" t="s">
        <v>3112</v>
      </c>
      <c r="C296" s="5">
        <v>315111</v>
      </c>
      <c r="D296" s="4" t="s">
        <v>5765</v>
      </c>
    </row>
    <row r="297" spans="1:4" ht="25.5" x14ac:dyDescent="0.25">
      <c r="A297" s="3">
        <v>2252</v>
      </c>
      <c r="B297" s="4" t="s">
        <v>3114</v>
      </c>
      <c r="C297" s="5">
        <v>313312</v>
      </c>
      <c r="D297" s="4" t="s">
        <v>5763</v>
      </c>
    </row>
    <row r="298" spans="1:4" x14ac:dyDescent="0.25">
      <c r="A298" s="3">
        <v>2252</v>
      </c>
      <c r="B298" s="4" t="s">
        <v>3116</v>
      </c>
      <c r="C298" s="5">
        <v>315111</v>
      </c>
      <c r="D298" s="4" t="s">
        <v>5765</v>
      </c>
    </row>
    <row r="299" spans="1:4" ht="25.5" x14ac:dyDescent="0.25">
      <c r="A299" s="3">
        <v>2252</v>
      </c>
      <c r="B299" s="4" t="s">
        <v>3118</v>
      </c>
      <c r="C299" s="5">
        <v>315119</v>
      </c>
      <c r="D299" s="4" t="s">
        <v>5766</v>
      </c>
    </row>
    <row r="300" spans="1:4" ht="25.5" x14ac:dyDescent="0.25">
      <c r="A300" s="3">
        <v>2253</v>
      </c>
      <c r="B300" s="4" t="s">
        <v>3119</v>
      </c>
      <c r="C300" s="5">
        <v>313312</v>
      </c>
      <c r="D300" s="4" t="s">
        <v>5763</v>
      </c>
    </row>
    <row r="301" spans="1:4" ht="25.5" x14ac:dyDescent="0.25">
      <c r="A301" s="3">
        <v>2253</v>
      </c>
      <c r="B301" s="4" t="s">
        <v>3121</v>
      </c>
      <c r="C301" s="5">
        <v>315191</v>
      </c>
      <c r="D301" s="4" t="s">
        <v>5767</v>
      </c>
    </row>
    <row r="302" spans="1:4" x14ac:dyDescent="0.25">
      <c r="A302" s="3">
        <v>2253</v>
      </c>
      <c r="B302" s="4" t="s">
        <v>3123</v>
      </c>
      <c r="C302" s="5">
        <v>315192</v>
      </c>
      <c r="D302" s="4" t="s">
        <v>5768</v>
      </c>
    </row>
    <row r="303" spans="1:4" ht="25.5" x14ac:dyDescent="0.25">
      <c r="A303" s="3">
        <v>2254</v>
      </c>
      <c r="B303" s="4" t="s">
        <v>3125</v>
      </c>
      <c r="C303" s="5">
        <v>313312</v>
      </c>
      <c r="D303" s="4" t="s">
        <v>5763</v>
      </c>
    </row>
    <row r="304" spans="1:4" ht="25.5" x14ac:dyDescent="0.25">
      <c r="A304" s="3">
        <v>2254</v>
      </c>
      <c r="B304" s="4" t="s">
        <v>3127</v>
      </c>
      <c r="C304" s="5">
        <v>315192</v>
      </c>
      <c r="D304" s="4" t="s">
        <v>5768</v>
      </c>
    </row>
    <row r="305" spans="1:4" x14ac:dyDescent="0.25">
      <c r="A305" s="3">
        <v>2257</v>
      </c>
      <c r="B305" s="4" t="s">
        <v>3129</v>
      </c>
      <c r="C305" s="5">
        <v>313241</v>
      </c>
      <c r="D305" s="4" t="s">
        <v>5769</v>
      </c>
    </row>
    <row r="306" spans="1:4" ht="25.5" x14ac:dyDescent="0.25">
      <c r="A306" s="3">
        <v>2257</v>
      </c>
      <c r="B306" s="4" t="s">
        <v>3131</v>
      </c>
      <c r="C306" s="5">
        <v>313312</v>
      </c>
      <c r="D306" s="4" t="s">
        <v>5763</v>
      </c>
    </row>
    <row r="307" spans="1:4" ht="25.5" x14ac:dyDescent="0.25">
      <c r="A307" s="3">
        <v>2258</v>
      </c>
      <c r="B307" s="4" t="s">
        <v>3133</v>
      </c>
      <c r="C307" s="5">
        <v>313249</v>
      </c>
      <c r="D307" s="4" t="s">
        <v>5770</v>
      </c>
    </row>
    <row r="308" spans="1:4" ht="25.5" x14ac:dyDescent="0.25">
      <c r="A308" s="3">
        <v>2258</v>
      </c>
      <c r="B308" s="4" t="s">
        <v>3135</v>
      </c>
      <c r="C308" s="5">
        <v>313312</v>
      </c>
      <c r="D308" s="4" t="s">
        <v>5763</v>
      </c>
    </row>
    <row r="309" spans="1:4" ht="25.5" x14ac:dyDescent="0.25">
      <c r="A309" s="3">
        <v>2259</v>
      </c>
      <c r="B309" s="4" t="s">
        <v>3137</v>
      </c>
      <c r="C309" s="5">
        <v>313241</v>
      </c>
      <c r="D309" s="4" t="s">
        <v>5769</v>
      </c>
    </row>
    <row r="310" spans="1:4" ht="25.5" x14ac:dyDescent="0.25">
      <c r="A310" s="3">
        <v>2259</v>
      </c>
      <c r="B310" s="4" t="s">
        <v>3139</v>
      </c>
      <c r="C310" s="5">
        <v>313249</v>
      </c>
      <c r="D310" s="4" t="s">
        <v>5770</v>
      </c>
    </row>
    <row r="311" spans="1:4" ht="25.5" x14ac:dyDescent="0.25">
      <c r="A311" s="3">
        <v>2259</v>
      </c>
      <c r="B311" s="4" t="s">
        <v>3141</v>
      </c>
      <c r="C311" s="5">
        <v>313312</v>
      </c>
      <c r="D311" s="4" t="s">
        <v>5763</v>
      </c>
    </row>
    <row r="312" spans="1:4" x14ac:dyDescent="0.25">
      <c r="A312" s="3">
        <v>2259</v>
      </c>
      <c r="B312" s="4" t="s">
        <v>3143</v>
      </c>
      <c r="C312" s="5">
        <v>315191</v>
      </c>
      <c r="D312" s="4" t="s">
        <v>5767</v>
      </c>
    </row>
    <row r="313" spans="1:4" x14ac:dyDescent="0.25">
      <c r="A313" s="3">
        <v>2259</v>
      </c>
      <c r="B313" s="4" t="s">
        <v>3145</v>
      </c>
      <c r="C313" s="5">
        <v>315192</v>
      </c>
      <c r="D313" s="4" t="s">
        <v>5768</v>
      </c>
    </row>
    <row r="314" spans="1:4" x14ac:dyDescent="0.25">
      <c r="A314" s="3">
        <v>2261</v>
      </c>
      <c r="B314" s="4" t="s">
        <v>3147</v>
      </c>
      <c r="C314" s="5">
        <v>313311</v>
      </c>
      <c r="D314" s="4" t="s">
        <v>5762</v>
      </c>
    </row>
    <row r="315" spans="1:4" x14ac:dyDescent="0.25">
      <c r="A315" s="3">
        <v>2262</v>
      </c>
      <c r="B315" s="4" t="s">
        <v>3149</v>
      </c>
      <c r="C315" s="5">
        <v>313311</v>
      </c>
      <c r="D315" s="4" t="s">
        <v>5762</v>
      </c>
    </row>
    <row r="316" spans="1:4" x14ac:dyDescent="0.25">
      <c r="A316" s="3">
        <v>2269</v>
      </c>
      <c r="B316" s="4" t="s">
        <v>3151</v>
      </c>
      <c r="C316" s="5">
        <v>313311</v>
      </c>
      <c r="D316" s="4" t="s">
        <v>5762</v>
      </c>
    </row>
    <row r="317" spans="1:4" ht="25.5" x14ac:dyDescent="0.25">
      <c r="A317" s="3">
        <v>2269</v>
      </c>
      <c r="B317" s="4" t="s">
        <v>3153</v>
      </c>
      <c r="C317" s="5">
        <v>313312</v>
      </c>
      <c r="D317" s="4" t="s">
        <v>5763</v>
      </c>
    </row>
    <row r="318" spans="1:4" x14ac:dyDescent="0.25">
      <c r="A318" s="3">
        <v>2273</v>
      </c>
      <c r="B318" s="4" t="s">
        <v>3155</v>
      </c>
      <c r="C318" s="5">
        <v>314110</v>
      </c>
      <c r="D318" s="4" t="s">
        <v>2923</v>
      </c>
    </row>
    <row r="319" spans="1:4" x14ac:dyDescent="0.25">
      <c r="A319" s="3">
        <v>2281</v>
      </c>
      <c r="B319" s="4" t="s">
        <v>3157</v>
      </c>
      <c r="C319" s="5">
        <v>313111</v>
      </c>
      <c r="D319" s="4" t="s">
        <v>3157</v>
      </c>
    </row>
    <row r="320" spans="1:4" x14ac:dyDescent="0.25">
      <c r="A320" s="3">
        <v>2282</v>
      </c>
      <c r="B320" s="4" t="s">
        <v>3159</v>
      </c>
      <c r="C320" s="5">
        <v>313112</v>
      </c>
      <c r="D320" s="4" t="s">
        <v>5771</v>
      </c>
    </row>
    <row r="321" spans="1:4" x14ac:dyDescent="0.25">
      <c r="A321" s="3">
        <v>2284</v>
      </c>
      <c r="B321" s="4" t="s">
        <v>3161</v>
      </c>
      <c r="C321" s="5">
        <v>313113</v>
      </c>
      <c r="D321" s="4" t="s">
        <v>5772</v>
      </c>
    </row>
    <row r="322" spans="1:4" ht="25.5" x14ac:dyDescent="0.25">
      <c r="A322" s="3">
        <v>2284</v>
      </c>
      <c r="B322" s="4" t="s">
        <v>3163</v>
      </c>
      <c r="C322" s="5">
        <v>313312</v>
      </c>
      <c r="D322" s="4" t="s">
        <v>5763</v>
      </c>
    </row>
    <row r="323" spans="1:4" x14ac:dyDescent="0.25">
      <c r="A323" s="3">
        <v>2295</v>
      </c>
      <c r="B323" s="4" t="s">
        <v>3165</v>
      </c>
      <c r="C323" s="5">
        <v>313320</v>
      </c>
      <c r="D323" s="4" t="s">
        <v>2921</v>
      </c>
    </row>
    <row r="324" spans="1:4" x14ac:dyDescent="0.25">
      <c r="A324" s="3">
        <v>2296</v>
      </c>
      <c r="B324" s="4" t="s">
        <v>3167</v>
      </c>
      <c r="C324" s="5">
        <v>314992</v>
      </c>
      <c r="D324" s="4" t="s">
        <v>5773</v>
      </c>
    </row>
    <row r="325" spans="1:4" x14ac:dyDescent="0.25">
      <c r="A325" s="3">
        <v>2297</v>
      </c>
      <c r="B325" s="4" t="s">
        <v>3169</v>
      </c>
      <c r="C325" s="5">
        <v>313230</v>
      </c>
      <c r="D325" s="4" t="s">
        <v>2915</v>
      </c>
    </row>
    <row r="326" spans="1:4" x14ac:dyDescent="0.25">
      <c r="A326" s="3">
        <v>2298</v>
      </c>
      <c r="B326" s="4" t="s">
        <v>3171</v>
      </c>
      <c r="C326" s="5">
        <v>313111</v>
      </c>
      <c r="D326" s="4" t="s">
        <v>3157</v>
      </c>
    </row>
    <row r="327" spans="1:4" x14ac:dyDescent="0.25">
      <c r="A327" s="3">
        <v>2298</v>
      </c>
      <c r="B327" s="4" t="s">
        <v>3173</v>
      </c>
      <c r="C327" s="5">
        <v>314991</v>
      </c>
      <c r="D327" s="4" t="s">
        <v>5774</v>
      </c>
    </row>
    <row r="328" spans="1:4" x14ac:dyDescent="0.25">
      <c r="A328" s="3">
        <v>2299</v>
      </c>
      <c r="B328" s="4" t="s">
        <v>3175</v>
      </c>
      <c r="C328" s="5">
        <v>313111</v>
      </c>
      <c r="D328" s="4" t="s">
        <v>3157</v>
      </c>
    </row>
    <row r="329" spans="1:4" x14ac:dyDescent="0.25">
      <c r="A329" s="3">
        <v>2299</v>
      </c>
      <c r="B329" s="4" t="s">
        <v>3177</v>
      </c>
      <c r="C329" s="5">
        <v>313111</v>
      </c>
      <c r="D329" s="4" t="s">
        <v>3157</v>
      </c>
    </row>
    <row r="330" spans="1:4" x14ac:dyDescent="0.25">
      <c r="A330" s="3">
        <v>2299</v>
      </c>
      <c r="B330" s="4" t="s">
        <v>3179</v>
      </c>
      <c r="C330" s="5">
        <v>313113</v>
      </c>
      <c r="D330" s="4" t="s">
        <v>5772</v>
      </c>
    </row>
    <row r="331" spans="1:4" x14ac:dyDescent="0.25">
      <c r="A331" s="3">
        <v>2299</v>
      </c>
      <c r="B331" s="4" t="s">
        <v>3181</v>
      </c>
      <c r="C331" s="5">
        <v>313210</v>
      </c>
      <c r="D331" s="4" t="s">
        <v>2911</v>
      </c>
    </row>
    <row r="332" spans="1:4" x14ac:dyDescent="0.25">
      <c r="A332" s="3">
        <v>2299</v>
      </c>
      <c r="B332" s="4" t="s">
        <v>3183</v>
      </c>
      <c r="C332" s="5">
        <v>313221</v>
      </c>
      <c r="D332" s="4" t="s">
        <v>5764</v>
      </c>
    </row>
    <row r="333" spans="1:4" x14ac:dyDescent="0.25">
      <c r="A333" s="3">
        <v>2299</v>
      </c>
      <c r="B333" s="4" t="s">
        <v>3185</v>
      </c>
      <c r="C333" s="5">
        <v>313230</v>
      </c>
      <c r="D333" s="4" t="s">
        <v>2915</v>
      </c>
    </row>
    <row r="334" spans="1:4" ht="25.5" x14ac:dyDescent="0.25">
      <c r="A334" s="3">
        <v>2299</v>
      </c>
      <c r="B334" s="4" t="s">
        <v>3187</v>
      </c>
      <c r="C334" s="5">
        <v>313312</v>
      </c>
      <c r="D334" s="4" t="s">
        <v>5763</v>
      </c>
    </row>
    <row r="335" spans="1:4" x14ac:dyDescent="0.25">
      <c r="A335" s="3">
        <v>2299</v>
      </c>
      <c r="B335" s="4" t="s">
        <v>3189</v>
      </c>
      <c r="C335" s="5">
        <v>314999</v>
      </c>
      <c r="D335" s="4" t="s">
        <v>2931</v>
      </c>
    </row>
    <row r="336" spans="1:4" x14ac:dyDescent="0.25">
      <c r="A336" s="3">
        <v>2311</v>
      </c>
      <c r="B336" s="4" t="s">
        <v>3191</v>
      </c>
      <c r="C336" s="5">
        <v>315211</v>
      </c>
      <c r="D336" s="4" t="s">
        <v>5775</v>
      </c>
    </row>
    <row r="337" spans="1:4" ht="25.5" x14ac:dyDescent="0.25">
      <c r="A337" s="3">
        <v>2311</v>
      </c>
      <c r="B337" s="4" t="s">
        <v>3193</v>
      </c>
      <c r="C337" s="5">
        <v>315222</v>
      </c>
      <c r="D337" s="4" t="s">
        <v>5776</v>
      </c>
    </row>
    <row r="338" spans="1:4" x14ac:dyDescent="0.25">
      <c r="A338" s="3">
        <v>2321</v>
      </c>
      <c r="B338" s="4" t="s">
        <v>3195</v>
      </c>
      <c r="C338" s="5">
        <v>315211</v>
      </c>
      <c r="D338" s="4" t="s">
        <v>5777</v>
      </c>
    </row>
    <row r="339" spans="1:4" ht="25.5" x14ac:dyDescent="0.25">
      <c r="A339" s="3">
        <v>2321</v>
      </c>
      <c r="B339" s="4" t="s">
        <v>3197</v>
      </c>
      <c r="C339" s="5">
        <v>315223</v>
      </c>
      <c r="D339" s="4" t="s">
        <v>5778</v>
      </c>
    </row>
    <row r="340" spans="1:4" x14ac:dyDescent="0.25">
      <c r="A340" s="3">
        <v>2322</v>
      </c>
      <c r="B340" s="4" t="s">
        <v>3199</v>
      </c>
      <c r="C340" s="5">
        <v>315211</v>
      </c>
      <c r="D340" s="4" t="s">
        <v>5777</v>
      </c>
    </row>
    <row r="341" spans="1:4" ht="25.5" x14ac:dyDescent="0.25">
      <c r="A341" s="3">
        <v>2322</v>
      </c>
      <c r="B341" s="4" t="s">
        <v>3201</v>
      </c>
      <c r="C341" s="5">
        <v>315221</v>
      </c>
      <c r="D341" s="4" t="s">
        <v>5779</v>
      </c>
    </row>
    <row r="342" spans="1:4" x14ac:dyDescent="0.25">
      <c r="A342" s="3">
        <v>2323</v>
      </c>
      <c r="B342" s="4" t="s">
        <v>3203</v>
      </c>
      <c r="C342" s="5">
        <v>315211</v>
      </c>
      <c r="D342" s="4" t="s">
        <v>5777</v>
      </c>
    </row>
    <row r="343" spans="1:4" x14ac:dyDescent="0.25">
      <c r="A343" s="3">
        <v>2323</v>
      </c>
      <c r="B343" s="4" t="s">
        <v>3205</v>
      </c>
      <c r="C343" s="5">
        <v>315993</v>
      </c>
      <c r="D343" s="4" t="s">
        <v>5780</v>
      </c>
    </row>
    <row r="344" spans="1:4" x14ac:dyDescent="0.25">
      <c r="A344" s="3">
        <v>2325</v>
      </c>
      <c r="B344" s="4" t="s">
        <v>3207</v>
      </c>
      <c r="C344" s="5">
        <v>315211</v>
      </c>
      <c r="D344" s="4" t="s">
        <v>5777</v>
      </c>
    </row>
    <row r="345" spans="1:4" ht="25.5" x14ac:dyDescent="0.25">
      <c r="A345" s="3">
        <v>2325</v>
      </c>
      <c r="B345" s="4" t="s">
        <v>3209</v>
      </c>
      <c r="C345" s="5">
        <v>315224</v>
      </c>
      <c r="D345" s="4" t="s">
        <v>5781</v>
      </c>
    </row>
    <row r="346" spans="1:4" x14ac:dyDescent="0.25">
      <c r="A346" s="3">
        <v>2326</v>
      </c>
      <c r="B346" s="4" t="s">
        <v>3211</v>
      </c>
      <c r="C346" s="5">
        <v>315211</v>
      </c>
      <c r="D346" s="4" t="s">
        <v>5777</v>
      </c>
    </row>
    <row r="347" spans="1:4" x14ac:dyDescent="0.25">
      <c r="A347" s="3">
        <v>2326</v>
      </c>
      <c r="B347" s="4" t="s">
        <v>3213</v>
      </c>
      <c r="C347" s="5">
        <v>315225</v>
      </c>
      <c r="D347" s="4" t="s">
        <v>5782</v>
      </c>
    </row>
    <row r="348" spans="1:4" x14ac:dyDescent="0.25">
      <c r="A348" s="3">
        <v>2329</v>
      </c>
      <c r="B348" s="4" t="s">
        <v>3215</v>
      </c>
      <c r="C348" s="5">
        <v>315211</v>
      </c>
      <c r="D348" s="4" t="s">
        <v>5777</v>
      </c>
    </row>
    <row r="349" spans="1:4" ht="25.5" x14ac:dyDescent="0.25">
      <c r="A349" s="3">
        <v>2329</v>
      </c>
      <c r="B349" s="4" t="s">
        <v>3217</v>
      </c>
      <c r="C349" s="5">
        <v>315228</v>
      </c>
      <c r="D349" s="4" t="s">
        <v>5783</v>
      </c>
    </row>
    <row r="350" spans="1:4" x14ac:dyDescent="0.25">
      <c r="A350" s="3">
        <v>2329</v>
      </c>
      <c r="B350" s="4" t="s">
        <v>3219</v>
      </c>
      <c r="C350" s="5">
        <v>315299</v>
      </c>
      <c r="D350" s="4" t="s">
        <v>5784</v>
      </c>
    </row>
    <row r="351" spans="1:4" ht="25.5" x14ac:dyDescent="0.25">
      <c r="A351" s="3">
        <v>2331</v>
      </c>
      <c r="B351" s="4" t="s">
        <v>3221</v>
      </c>
      <c r="C351" s="5">
        <v>315212</v>
      </c>
      <c r="D351" s="4" t="s">
        <v>5785</v>
      </c>
    </row>
    <row r="352" spans="1:4" ht="25.5" x14ac:dyDescent="0.25">
      <c r="A352" s="3">
        <v>2331</v>
      </c>
      <c r="B352" s="4" t="s">
        <v>3223</v>
      </c>
      <c r="C352" s="5">
        <v>315232</v>
      </c>
      <c r="D352" s="4" t="s">
        <v>5786</v>
      </c>
    </row>
    <row r="353" spans="1:4" ht="25.5" x14ac:dyDescent="0.25">
      <c r="A353" s="3">
        <v>2335</v>
      </c>
      <c r="B353" s="4" t="s">
        <v>3225</v>
      </c>
      <c r="C353" s="5">
        <v>315212</v>
      </c>
      <c r="D353" s="4" t="s">
        <v>5787</v>
      </c>
    </row>
    <row r="354" spans="1:4" x14ac:dyDescent="0.25">
      <c r="A354" s="3">
        <v>2335</v>
      </c>
      <c r="B354" s="4" t="s">
        <v>3227</v>
      </c>
      <c r="C354" s="5">
        <v>315233</v>
      </c>
      <c r="D354" s="4" t="s">
        <v>5788</v>
      </c>
    </row>
    <row r="355" spans="1:4" ht="25.5" x14ac:dyDescent="0.25">
      <c r="A355" s="3">
        <v>2337</v>
      </c>
      <c r="B355" s="4" t="s">
        <v>3229</v>
      </c>
      <c r="C355" s="5">
        <v>315212</v>
      </c>
      <c r="D355" s="4" t="s">
        <v>5787</v>
      </c>
    </row>
    <row r="356" spans="1:4" ht="25.5" x14ac:dyDescent="0.25">
      <c r="A356" s="3">
        <v>2337</v>
      </c>
      <c r="B356" s="4" t="s">
        <v>3231</v>
      </c>
      <c r="C356" s="5">
        <v>315234</v>
      </c>
      <c r="D356" s="4" t="s">
        <v>5789</v>
      </c>
    </row>
    <row r="357" spans="1:4" ht="25.5" x14ac:dyDescent="0.25">
      <c r="A357" s="3">
        <v>2339</v>
      </c>
      <c r="B357" s="4" t="s">
        <v>3233</v>
      </c>
      <c r="C357" s="5">
        <v>315212</v>
      </c>
      <c r="D357" s="4" t="s">
        <v>5787</v>
      </c>
    </row>
    <row r="358" spans="1:4" ht="25.5" x14ac:dyDescent="0.25">
      <c r="A358" s="3">
        <v>2339</v>
      </c>
      <c r="B358" s="4" t="s">
        <v>3235</v>
      </c>
      <c r="C358" s="5">
        <v>315239</v>
      </c>
      <c r="D358" s="4" t="s">
        <v>5790</v>
      </c>
    </row>
    <row r="359" spans="1:4" x14ac:dyDescent="0.25">
      <c r="A359" s="3">
        <v>2339</v>
      </c>
      <c r="B359" s="4" t="s">
        <v>3237</v>
      </c>
      <c r="C359" s="5">
        <v>315299</v>
      </c>
      <c r="D359" s="4" t="s">
        <v>5784</v>
      </c>
    </row>
    <row r="360" spans="1:4" ht="25.5" x14ac:dyDescent="0.25">
      <c r="A360" s="3">
        <v>2339</v>
      </c>
      <c r="B360" s="4" t="s">
        <v>3239</v>
      </c>
      <c r="C360" s="5">
        <v>315999</v>
      </c>
      <c r="D360" s="4" t="s">
        <v>5791</v>
      </c>
    </row>
    <row r="361" spans="1:4" x14ac:dyDescent="0.25">
      <c r="A361" s="3">
        <v>2341</v>
      </c>
      <c r="B361" s="4" t="s">
        <v>3241</v>
      </c>
      <c r="C361" s="5">
        <v>315211</v>
      </c>
      <c r="D361" s="4" t="s">
        <v>5777</v>
      </c>
    </row>
    <row r="362" spans="1:4" ht="25.5" x14ac:dyDescent="0.25">
      <c r="A362" s="3">
        <v>2341</v>
      </c>
      <c r="B362" s="4" t="s">
        <v>3243</v>
      </c>
      <c r="C362" s="5">
        <v>315212</v>
      </c>
      <c r="D362" s="4" t="s">
        <v>5787</v>
      </c>
    </row>
    <row r="363" spans="1:4" ht="25.5" x14ac:dyDescent="0.25">
      <c r="A363" s="3">
        <v>2341</v>
      </c>
      <c r="B363" s="4" t="s">
        <v>3245</v>
      </c>
      <c r="C363" s="5">
        <v>315221</v>
      </c>
      <c r="D363" s="4" t="s">
        <v>5792</v>
      </c>
    </row>
    <row r="364" spans="1:4" ht="25.5" x14ac:dyDescent="0.25">
      <c r="A364" s="3">
        <v>2341</v>
      </c>
      <c r="B364" s="4" t="s">
        <v>3247</v>
      </c>
      <c r="C364" s="5">
        <v>315231</v>
      </c>
      <c r="D364" s="4" t="s">
        <v>5793</v>
      </c>
    </row>
    <row r="365" spans="1:4" ht="25.5" x14ac:dyDescent="0.25">
      <c r="A365" s="3">
        <v>2341</v>
      </c>
      <c r="B365" s="4" t="s">
        <v>3249</v>
      </c>
      <c r="C365" s="5">
        <v>315291</v>
      </c>
      <c r="D365" s="4" t="s">
        <v>5794</v>
      </c>
    </row>
    <row r="366" spans="1:4" ht="25.5" x14ac:dyDescent="0.25">
      <c r="A366" s="3">
        <v>2342</v>
      </c>
      <c r="B366" s="4" t="s">
        <v>3251</v>
      </c>
      <c r="C366" s="5">
        <v>315212</v>
      </c>
      <c r="D366" s="4" t="s">
        <v>5787</v>
      </c>
    </row>
    <row r="367" spans="1:4" ht="25.5" x14ac:dyDescent="0.25">
      <c r="A367" s="3">
        <v>2342</v>
      </c>
      <c r="B367" s="4" t="s">
        <v>3253</v>
      </c>
      <c r="C367" s="5">
        <v>315231</v>
      </c>
      <c r="D367" s="4" t="s">
        <v>5793</v>
      </c>
    </row>
    <row r="368" spans="1:4" x14ac:dyDescent="0.25">
      <c r="A368" s="3">
        <v>2353</v>
      </c>
      <c r="B368" s="4" t="s">
        <v>3255</v>
      </c>
      <c r="C368" s="5">
        <v>315211</v>
      </c>
      <c r="D368" s="4" t="s">
        <v>5777</v>
      </c>
    </row>
    <row r="369" spans="1:4" ht="25.5" x14ac:dyDescent="0.25">
      <c r="A369" s="3">
        <v>2353</v>
      </c>
      <c r="B369" s="4" t="s">
        <v>3257</v>
      </c>
      <c r="C369" s="5">
        <v>315212</v>
      </c>
      <c r="D369" s="4" t="s">
        <v>5785</v>
      </c>
    </row>
    <row r="370" spans="1:4" x14ac:dyDescent="0.25">
      <c r="A370" s="3">
        <v>2353</v>
      </c>
      <c r="B370" s="4" t="s">
        <v>3259</v>
      </c>
      <c r="C370" s="5">
        <v>315991</v>
      </c>
      <c r="D370" s="4" t="s">
        <v>5795</v>
      </c>
    </row>
    <row r="371" spans="1:4" x14ac:dyDescent="0.25">
      <c r="A371" s="3">
        <v>2361</v>
      </c>
      <c r="B371" s="4" t="s">
        <v>3261</v>
      </c>
      <c r="C371" s="5">
        <v>315211</v>
      </c>
      <c r="D371" s="4" t="s">
        <v>5777</v>
      </c>
    </row>
    <row r="372" spans="1:4" ht="25.5" x14ac:dyDescent="0.25">
      <c r="A372" s="3">
        <v>2361</v>
      </c>
      <c r="B372" s="4" t="s">
        <v>3263</v>
      </c>
      <c r="C372" s="5">
        <v>315212</v>
      </c>
      <c r="D372" s="4" t="s">
        <v>5787</v>
      </c>
    </row>
    <row r="373" spans="1:4" ht="25.5" x14ac:dyDescent="0.25">
      <c r="A373" s="3">
        <v>2361</v>
      </c>
      <c r="B373" s="4" t="s">
        <v>3265</v>
      </c>
      <c r="C373" s="5">
        <v>315223</v>
      </c>
      <c r="D373" s="4" t="s">
        <v>5778</v>
      </c>
    </row>
    <row r="374" spans="1:4" ht="25.5" x14ac:dyDescent="0.25">
      <c r="A374" s="3">
        <v>2361</v>
      </c>
      <c r="B374" s="4" t="s">
        <v>3267</v>
      </c>
      <c r="C374" s="5">
        <v>315232</v>
      </c>
      <c r="D374" s="4" t="s">
        <v>5786</v>
      </c>
    </row>
    <row r="375" spans="1:4" x14ac:dyDescent="0.25">
      <c r="A375" s="3">
        <v>2361</v>
      </c>
      <c r="B375" s="4" t="s">
        <v>3269</v>
      </c>
      <c r="C375" s="5">
        <v>315233</v>
      </c>
      <c r="D375" s="4" t="s">
        <v>5788</v>
      </c>
    </row>
    <row r="376" spans="1:4" x14ac:dyDescent="0.25">
      <c r="A376" s="3">
        <v>2361</v>
      </c>
      <c r="B376" s="4" t="s">
        <v>3271</v>
      </c>
      <c r="C376" s="5">
        <v>315291</v>
      </c>
      <c r="D376" s="4" t="s">
        <v>5794</v>
      </c>
    </row>
    <row r="377" spans="1:4" x14ac:dyDescent="0.25">
      <c r="A377" s="3">
        <v>2369</v>
      </c>
      <c r="B377" s="4" t="s">
        <v>3273</v>
      </c>
      <c r="C377" s="5">
        <v>315211</v>
      </c>
      <c r="D377" s="4" t="s">
        <v>5777</v>
      </c>
    </row>
    <row r="378" spans="1:4" ht="25.5" x14ac:dyDescent="0.25">
      <c r="A378" s="3">
        <v>2369</v>
      </c>
      <c r="B378" s="4" t="s">
        <v>3275</v>
      </c>
      <c r="C378" s="5">
        <v>315212</v>
      </c>
      <c r="D378" s="4" t="s">
        <v>5787</v>
      </c>
    </row>
    <row r="379" spans="1:4" ht="25.5" x14ac:dyDescent="0.25">
      <c r="A379" s="3">
        <v>2369</v>
      </c>
      <c r="B379" s="4" t="s">
        <v>3277</v>
      </c>
      <c r="C379" s="5">
        <v>315221</v>
      </c>
      <c r="D379" s="4" t="s">
        <v>5792</v>
      </c>
    </row>
    <row r="380" spans="1:4" ht="25.5" x14ac:dyDescent="0.25">
      <c r="A380" s="3">
        <v>2369</v>
      </c>
      <c r="B380" s="4" t="s">
        <v>3279</v>
      </c>
      <c r="C380" s="5">
        <v>315222</v>
      </c>
      <c r="D380" s="4" t="s">
        <v>5796</v>
      </c>
    </row>
    <row r="381" spans="1:4" ht="25.5" x14ac:dyDescent="0.25">
      <c r="A381" s="3">
        <v>2369</v>
      </c>
      <c r="B381" s="4" t="s">
        <v>3281</v>
      </c>
      <c r="C381" s="5">
        <v>315224</v>
      </c>
      <c r="D381" s="4" t="s">
        <v>5781</v>
      </c>
    </row>
    <row r="382" spans="1:4" ht="25.5" x14ac:dyDescent="0.25">
      <c r="A382" s="3">
        <v>2369</v>
      </c>
      <c r="B382" s="4" t="s">
        <v>3283</v>
      </c>
      <c r="C382" s="5">
        <v>315228</v>
      </c>
      <c r="D382" s="4" t="s">
        <v>5783</v>
      </c>
    </row>
    <row r="383" spans="1:4" ht="25.5" x14ac:dyDescent="0.25">
      <c r="A383" s="3">
        <v>2369</v>
      </c>
      <c r="B383" s="4" t="s">
        <v>3285</v>
      </c>
      <c r="C383" s="5">
        <v>315231</v>
      </c>
      <c r="D383" s="4" t="s">
        <v>5793</v>
      </c>
    </row>
    <row r="384" spans="1:4" ht="25.5" x14ac:dyDescent="0.25">
      <c r="A384" s="3">
        <v>2369</v>
      </c>
      <c r="B384" s="4" t="s">
        <v>3287</v>
      </c>
      <c r="C384" s="5">
        <v>315234</v>
      </c>
      <c r="D384" s="4" t="s">
        <v>5789</v>
      </c>
    </row>
    <row r="385" spans="1:4" ht="25.5" x14ac:dyDescent="0.25">
      <c r="A385" s="3">
        <v>2369</v>
      </c>
      <c r="B385" s="4" t="s">
        <v>3289</v>
      </c>
      <c r="C385" s="5">
        <v>315239</v>
      </c>
      <c r="D385" s="4" t="s">
        <v>5790</v>
      </c>
    </row>
    <row r="386" spans="1:4" x14ac:dyDescent="0.25">
      <c r="A386" s="3">
        <v>2369</v>
      </c>
      <c r="B386" s="4" t="s">
        <v>3291</v>
      </c>
      <c r="C386" s="5">
        <v>315291</v>
      </c>
      <c r="D386" s="4" t="s">
        <v>5794</v>
      </c>
    </row>
    <row r="387" spans="1:4" x14ac:dyDescent="0.25">
      <c r="A387" s="3">
        <v>2371</v>
      </c>
      <c r="B387" s="4" t="s">
        <v>3293</v>
      </c>
      <c r="C387" s="5">
        <v>315211</v>
      </c>
      <c r="D387" s="4" t="s">
        <v>5777</v>
      </c>
    </row>
    <row r="388" spans="1:4" ht="25.5" x14ac:dyDescent="0.25">
      <c r="A388" s="3">
        <v>2371</v>
      </c>
      <c r="B388" s="4" t="s">
        <v>3295</v>
      </c>
      <c r="C388" s="5">
        <v>315212</v>
      </c>
      <c r="D388" s="4" t="s">
        <v>5785</v>
      </c>
    </row>
    <row r="389" spans="1:4" x14ac:dyDescent="0.25">
      <c r="A389" s="3">
        <v>2371</v>
      </c>
      <c r="B389" s="4" t="s">
        <v>3297</v>
      </c>
      <c r="C389" s="5">
        <v>315292</v>
      </c>
      <c r="D389" s="4" t="s">
        <v>5797</v>
      </c>
    </row>
    <row r="390" spans="1:4" x14ac:dyDescent="0.25">
      <c r="A390" s="3">
        <v>2381</v>
      </c>
      <c r="B390" s="4" t="s">
        <v>3299</v>
      </c>
      <c r="C390" s="5">
        <v>315211</v>
      </c>
      <c r="D390" s="4" t="s">
        <v>5777</v>
      </c>
    </row>
    <row r="391" spans="1:4" ht="25.5" x14ac:dyDescent="0.25">
      <c r="A391" s="3">
        <v>2381</v>
      </c>
      <c r="B391" s="4" t="s">
        <v>3301</v>
      </c>
      <c r="C391" s="5">
        <v>315212</v>
      </c>
      <c r="D391" s="4" t="s">
        <v>5785</v>
      </c>
    </row>
    <row r="392" spans="1:4" x14ac:dyDescent="0.25">
      <c r="A392" s="3">
        <v>2381</v>
      </c>
      <c r="B392" s="4" t="s">
        <v>3303</v>
      </c>
      <c r="C392" s="5">
        <v>315992</v>
      </c>
      <c r="D392" s="4" t="s">
        <v>5798</v>
      </c>
    </row>
    <row r="393" spans="1:4" x14ac:dyDescent="0.25">
      <c r="A393" s="3">
        <v>2384</v>
      </c>
      <c r="B393" s="4" t="s">
        <v>3305</v>
      </c>
      <c r="C393" s="5">
        <v>315211</v>
      </c>
      <c r="D393" s="4" t="s">
        <v>5777</v>
      </c>
    </row>
    <row r="394" spans="1:4" ht="25.5" x14ac:dyDescent="0.25">
      <c r="A394" s="3">
        <v>2384</v>
      </c>
      <c r="B394" s="4" t="s">
        <v>3307</v>
      </c>
      <c r="C394" s="5">
        <v>315212</v>
      </c>
      <c r="D394" s="4" t="s">
        <v>5787</v>
      </c>
    </row>
    <row r="395" spans="1:4" ht="25.5" x14ac:dyDescent="0.25">
      <c r="A395" s="3">
        <v>2384</v>
      </c>
      <c r="B395" s="4" t="s">
        <v>3309</v>
      </c>
      <c r="C395" s="5">
        <v>315221</v>
      </c>
      <c r="D395" s="4" t="s">
        <v>5792</v>
      </c>
    </row>
    <row r="396" spans="1:4" ht="25.5" x14ac:dyDescent="0.25">
      <c r="A396" s="3">
        <v>2384</v>
      </c>
      <c r="B396" s="4" t="s">
        <v>3311</v>
      </c>
      <c r="C396" s="5">
        <v>315231</v>
      </c>
      <c r="D396" s="4" t="s">
        <v>5793</v>
      </c>
    </row>
    <row r="397" spans="1:4" x14ac:dyDescent="0.25">
      <c r="A397" s="3">
        <v>2385</v>
      </c>
      <c r="B397" s="4" t="s">
        <v>3313</v>
      </c>
      <c r="C397" s="5">
        <v>315211</v>
      </c>
      <c r="D397" s="4" t="s">
        <v>5777</v>
      </c>
    </row>
    <row r="398" spans="1:4" ht="25.5" x14ac:dyDescent="0.25">
      <c r="A398" s="3">
        <v>2385</v>
      </c>
      <c r="B398" s="4" t="s">
        <v>3315</v>
      </c>
      <c r="C398" s="5">
        <v>315212</v>
      </c>
      <c r="D398" s="4" t="s">
        <v>5787</v>
      </c>
    </row>
    <row r="399" spans="1:4" ht="25.5" x14ac:dyDescent="0.25">
      <c r="A399" s="3">
        <v>2385</v>
      </c>
      <c r="B399" s="4" t="s">
        <v>3317</v>
      </c>
      <c r="C399" s="5">
        <v>315222</v>
      </c>
      <c r="D399" s="4" t="s">
        <v>5796</v>
      </c>
    </row>
    <row r="400" spans="1:4" ht="25.5" x14ac:dyDescent="0.25">
      <c r="A400" s="3">
        <v>2385</v>
      </c>
      <c r="B400" s="4" t="s">
        <v>3319</v>
      </c>
      <c r="C400" s="5">
        <v>315228</v>
      </c>
      <c r="D400" s="4" t="s">
        <v>5783</v>
      </c>
    </row>
    <row r="401" spans="1:4" ht="25.5" x14ac:dyDescent="0.25">
      <c r="A401" s="3">
        <v>2385</v>
      </c>
      <c r="B401" s="4" t="s">
        <v>3321</v>
      </c>
      <c r="C401" s="5">
        <v>315234</v>
      </c>
      <c r="D401" s="4" t="s">
        <v>5789</v>
      </c>
    </row>
    <row r="402" spans="1:4" ht="25.5" x14ac:dyDescent="0.25">
      <c r="A402" s="3">
        <v>2385</v>
      </c>
      <c r="B402" s="4" t="s">
        <v>3323</v>
      </c>
      <c r="C402" s="5">
        <v>315239</v>
      </c>
      <c r="D402" s="4" t="s">
        <v>5790</v>
      </c>
    </row>
    <row r="403" spans="1:4" ht="25.5" x14ac:dyDescent="0.25">
      <c r="A403" s="3">
        <v>2385</v>
      </c>
      <c r="B403" s="4" t="s">
        <v>3325</v>
      </c>
      <c r="C403" s="5">
        <v>315291</v>
      </c>
      <c r="D403" s="4" t="s">
        <v>5794</v>
      </c>
    </row>
    <row r="404" spans="1:4" ht="25.5" x14ac:dyDescent="0.25">
      <c r="A404" s="3">
        <v>2385</v>
      </c>
      <c r="B404" s="4" t="s">
        <v>3327</v>
      </c>
      <c r="C404" s="5">
        <v>315299</v>
      </c>
      <c r="D404" s="4" t="s">
        <v>5784</v>
      </c>
    </row>
    <row r="405" spans="1:4" ht="25.5" x14ac:dyDescent="0.25">
      <c r="A405" s="3">
        <v>2385</v>
      </c>
      <c r="B405" s="4" t="s">
        <v>3329</v>
      </c>
      <c r="C405" s="5">
        <v>315999</v>
      </c>
      <c r="D405" s="4" t="s">
        <v>5791</v>
      </c>
    </row>
    <row r="406" spans="1:4" x14ac:dyDescent="0.25">
      <c r="A406" s="3">
        <v>2386</v>
      </c>
      <c r="B406" s="4" t="s">
        <v>3331</v>
      </c>
      <c r="C406" s="5">
        <v>315211</v>
      </c>
      <c r="D406" s="4" t="s">
        <v>5777</v>
      </c>
    </row>
    <row r="407" spans="1:4" ht="25.5" x14ac:dyDescent="0.25">
      <c r="A407" s="3">
        <v>2386</v>
      </c>
      <c r="B407" s="4" t="s">
        <v>3333</v>
      </c>
      <c r="C407" s="5">
        <v>315212</v>
      </c>
      <c r="D407" s="4" t="s">
        <v>5785</v>
      </c>
    </row>
    <row r="408" spans="1:4" x14ac:dyDescent="0.25">
      <c r="A408" s="3">
        <v>2386</v>
      </c>
      <c r="B408" s="4" t="s">
        <v>3335</v>
      </c>
      <c r="C408" s="5">
        <v>315292</v>
      </c>
      <c r="D408" s="4" t="s">
        <v>5797</v>
      </c>
    </row>
    <row r="409" spans="1:4" x14ac:dyDescent="0.25">
      <c r="A409" s="3">
        <v>2387</v>
      </c>
      <c r="B409" s="4" t="s">
        <v>3337</v>
      </c>
      <c r="C409" s="5">
        <v>315211</v>
      </c>
      <c r="D409" s="4" t="s">
        <v>5777</v>
      </c>
    </row>
    <row r="410" spans="1:4" ht="25.5" x14ac:dyDescent="0.25">
      <c r="A410" s="3">
        <v>2387</v>
      </c>
      <c r="B410" s="4" t="s">
        <v>3339</v>
      </c>
      <c r="C410" s="5">
        <v>315212</v>
      </c>
      <c r="D410" s="4" t="s">
        <v>5785</v>
      </c>
    </row>
    <row r="411" spans="1:4" ht="25.5" x14ac:dyDescent="0.25">
      <c r="A411" s="3">
        <v>2387</v>
      </c>
      <c r="B411" s="4" t="s">
        <v>3341</v>
      </c>
      <c r="C411" s="5">
        <v>315999</v>
      </c>
      <c r="D411" s="4" t="s">
        <v>5791</v>
      </c>
    </row>
    <row r="412" spans="1:4" x14ac:dyDescent="0.25">
      <c r="A412" s="3">
        <v>2389</v>
      </c>
      <c r="B412" s="4" t="s">
        <v>3343</v>
      </c>
      <c r="C412" s="5">
        <v>315211</v>
      </c>
      <c r="D412" s="4" t="s">
        <v>5777</v>
      </c>
    </row>
    <row r="413" spans="1:4" ht="25.5" x14ac:dyDescent="0.25">
      <c r="A413" s="3">
        <v>2389</v>
      </c>
      <c r="B413" s="4" t="s">
        <v>3345</v>
      </c>
      <c r="C413" s="5">
        <v>315212</v>
      </c>
      <c r="D413" s="4" t="s">
        <v>5787</v>
      </c>
    </row>
    <row r="414" spans="1:4" ht="25.5" x14ac:dyDescent="0.25">
      <c r="A414" s="3">
        <v>2389</v>
      </c>
      <c r="B414" s="4" t="s">
        <v>3347</v>
      </c>
      <c r="C414" s="5">
        <v>315231</v>
      </c>
      <c r="D414" s="4" t="s">
        <v>5793</v>
      </c>
    </row>
    <row r="415" spans="1:4" ht="25.5" x14ac:dyDescent="0.25">
      <c r="A415" s="3">
        <v>2389</v>
      </c>
      <c r="B415" s="4" t="s">
        <v>3349</v>
      </c>
      <c r="C415" s="5">
        <v>315299</v>
      </c>
      <c r="D415" s="4" t="s">
        <v>5784</v>
      </c>
    </row>
    <row r="416" spans="1:4" ht="25.5" x14ac:dyDescent="0.25">
      <c r="A416" s="3">
        <v>2389</v>
      </c>
      <c r="B416" s="4" t="s">
        <v>3351</v>
      </c>
      <c r="C416" s="5">
        <v>315999</v>
      </c>
      <c r="D416" s="4" t="s">
        <v>5791</v>
      </c>
    </row>
    <row r="417" spans="1:4" x14ac:dyDescent="0.25">
      <c r="A417" s="3">
        <v>2391</v>
      </c>
      <c r="B417" s="4" t="s">
        <v>3353</v>
      </c>
      <c r="C417" s="5">
        <v>314121</v>
      </c>
      <c r="D417" s="4" t="s">
        <v>5799</v>
      </c>
    </row>
    <row r="418" spans="1:4" x14ac:dyDescent="0.25">
      <c r="A418" s="3">
        <v>2392</v>
      </c>
      <c r="B418" s="4" t="s">
        <v>3355</v>
      </c>
      <c r="C418" s="5">
        <v>314129</v>
      </c>
      <c r="D418" s="4" t="s">
        <v>5800</v>
      </c>
    </row>
    <row r="419" spans="1:4" x14ac:dyDescent="0.25">
      <c r="A419" s="3">
        <v>2392</v>
      </c>
      <c r="B419" s="4" t="s">
        <v>3357</v>
      </c>
      <c r="C419" s="5">
        <v>314911</v>
      </c>
      <c r="D419" s="4" t="s">
        <v>5801</v>
      </c>
    </row>
    <row r="420" spans="1:4" x14ac:dyDescent="0.25">
      <c r="A420" s="3">
        <v>2392</v>
      </c>
      <c r="B420" s="4" t="s">
        <v>3359</v>
      </c>
      <c r="C420" s="5">
        <v>314999</v>
      </c>
      <c r="D420" s="4" t="s">
        <v>2931</v>
      </c>
    </row>
    <row r="421" spans="1:4" x14ac:dyDescent="0.25">
      <c r="A421" s="3">
        <v>2392</v>
      </c>
      <c r="B421" s="4" t="s">
        <v>3361</v>
      </c>
      <c r="C421" s="5">
        <v>339994</v>
      </c>
      <c r="D421" s="4" t="s">
        <v>3514</v>
      </c>
    </row>
    <row r="422" spans="1:4" x14ac:dyDescent="0.25">
      <c r="A422" s="3">
        <v>2393</v>
      </c>
      <c r="B422" s="4" t="s">
        <v>3363</v>
      </c>
      <c r="C422" s="5">
        <v>314911</v>
      </c>
      <c r="D422" s="4" t="s">
        <v>5801</v>
      </c>
    </row>
    <row r="423" spans="1:4" x14ac:dyDescent="0.25">
      <c r="A423" s="3">
        <v>2394</v>
      </c>
      <c r="B423" s="4" t="s">
        <v>3365</v>
      </c>
      <c r="C423" s="5">
        <v>314912</v>
      </c>
      <c r="D423" s="4" t="s">
        <v>5802</v>
      </c>
    </row>
    <row r="424" spans="1:4" ht="25.5" x14ac:dyDescent="0.25">
      <c r="A424" s="3">
        <v>2395</v>
      </c>
      <c r="B424" s="4" t="s">
        <v>3367</v>
      </c>
      <c r="C424" s="5">
        <v>314999</v>
      </c>
      <c r="D424" s="4" t="s">
        <v>2931</v>
      </c>
    </row>
    <row r="425" spans="1:4" ht="25.5" x14ac:dyDescent="0.25">
      <c r="A425" s="3">
        <v>2395</v>
      </c>
      <c r="B425" s="4" t="s">
        <v>3369</v>
      </c>
      <c r="C425" s="5">
        <v>315211</v>
      </c>
      <c r="D425" s="4" t="s">
        <v>5777</v>
      </c>
    </row>
    <row r="426" spans="1:4" ht="25.5" x14ac:dyDescent="0.25">
      <c r="A426" s="3">
        <v>2395</v>
      </c>
      <c r="B426" s="4" t="s">
        <v>3371</v>
      </c>
      <c r="C426" s="5">
        <v>315212</v>
      </c>
      <c r="D426" s="4" t="s">
        <v>5787</v>
      </c>
    </row>
    <row r="427" spans="1:4" ht="38.25" x14ac:dyDescent="0.25">
      <c r="A427" s="3">
        <v>2396</v>
      </c>
      <c r="B427" s="4" t="s">
        <v>3373</v>
      </c>
      <c r="C427" s="5">
        <v>314999</v>
      </c>
      <c r="D427" s="4" t="s">
        <v>2931</v>
      </c>
    </row>
    <row r="428" spans="1:4" x14ac:dyDescent="0.25">
      <c r="A428" s="3">
        <v>2396</v>
      </c>
      <c r="B428" s="4" t="s">
        <v>3375</v>
      </c>
      <c r="C428" s="5">
        <v>315211</v>
      </c>
      <c r="D428" s="4" t="s">
        <v>5777</v>
      </c>
    </row>
    <row r="429" spans="1:4" ht="25.5" x14ac:dyDescent="0.25">
      <c r="A429" s="3">
        <v>2396</v>
      </c>
      <c r="B429" s="4" t="s">
        <v>3377</v>
      </c>
      <c r="C429" s="5">
        <v>315212</v>
      </c>
      <c r="D429" s="4" t="s">
        <v>5787</v>
      </c>
    </row>
    <row r="430" spans="1:4" ht="25.5" x14ac:dyDescent="0.25">
      <c r="A430" s="3">
        <v>2396</v>
      </c>
      <c r="B430" s="4" t="s">
        <v>3379</v>
      </c>
      <c r="C430" s="5">
        <v>315999</v>
      </c>
      <c r="D430" s="4" t="s">
        <v>5791</v>
      </c>
    </row>
    <row r="431" spans="1:4" ht="25.5" x14ac:dyDescent="0.25">
      <c r="A431" s="3">
        <v>2396</v>
      </c>
      <c r="B431" s="4" t="s">
        <v>3381</v>
      </c>
      <c r="C431" s="5">
        <v>323113</v>
      </c>
      <c r="D431" s="4" t="s">
        <v>3006</v>
      </c>
    </row>
    <row r="432" spans="1:4" ht="25.5" x14ac:dyDescent="0.25">
      <c r="A432" s="3">
        <v>2396</v>
      </c>
      <c r="B432" s="4" t="s">
        <v>3383</v>
      </c>
      <c r="C432" s="5">
        <v>336360</v>
      </c>
      <c r="D432" s="4" t="s">
        <v>3435</v>
      </c>
    </row>
    <row r="433" spans="1:4" x14ac:dyDescent="0.25">
      <c r="A433" s="3">
        <v>2397</v>
      </c>
      <c r="B433" s="4" t="s">
        <v>3385</v>
      </c>
      <c r="C433" s="5">
        <v>313222</v>
      </c>
      <c r="D433" s="4" t="s">
        <v>5803</v>
      </c>
    </row>
    <row r="434" spans="1:4" ht="25.5" x14ac:dyDescent="0.25">
      <c r="A434" s="3">
        <v>2399</v>
      </c>
      <c r="B434" s="4" t="s">
        <v>3387</v>
      </c>
      <c r="C434" s="5">
        <v>314999</v>
      </c>
      <c r="D434" s="4" t="s">
        <v>2931</v>
      </c>
    </row>
    <row r="435" spans="1:4" x14ac:dyDescent="0.25">
      <c r="A435" s="3">
        <v>2399</v>
      </c>
      <c r="B435" s="4" t="s">
        <v>3389</v>
      </c>
      <c r="C435" s="5">
        <v>315211</v>
      </c>
      <c r="D435" s="4" t="s">
        <v>5777</v>
      </c>
    </row>
    <row r="436" spans="1:4" ht="25.5" x14ac:dyDescent="0.25">
      <c r="A436" s="3">
        <v>2399</v>
      </c>
      <c r="B436" s="4" t="s">
        <v>3391</v>
      </c>
      <c r="C436" s="5">
        <v>315212</v>
      </c>
      <c r="D436" s="4" t="s">
        <v>5785</v>
      </c>
    </row>
    <row r="437" spans="1:4" ht="25.5" x14ac:dyDescent="0.25">
      <c r="A437" s="3">
        <v>2399</v>
      </c>
      <c r="B437" s="4" t="s">
        <v>3393</v>
      </c>
      <c r="C437" s="5">
        <v>315999</v>
      </c>
      <c r="D437" s="4" t="s">
        <v>5791</v>
      </c>
    </row>
    <row r="438" spans="1:4" x14ac:dyDescent="0.25">
      <c r="A438" s="3">
        <v>2399</v>
      </c>
      <c r="B438" s="4" t="s">
        <v>3395</v>
      </c>
      <c r="C438" s="5">
        <v>336360</v>
      </c>
      <c r="D438" s="4" t="s">
        <v>3435</v>
      </c>
    </row>
    <row r="439" spans="1:4" x14ac:dyDescent="0.25">
      <c r="A439" s="3">
        <v>2411</v>
      </c>
      <c r="B439" s="4" t="s">
        <v>2648</v>
      </c>
      <c r="C439" s="5">
        <v>113310</v>
      </c>
      <c r="D439" s="4" t="s">
        <v>2648</v>
      </c>
    </row>
    <row r="440" spans="1:4" x14ac:dyDescent="0.25">
      <c r="A440" s="3">
        <v>2421</v>
      </c>
      <c r="B440" s="4" t="s">
        <v>3398</v>
      </c>
      <c r="C440" s="5">
        <v>321113</v>
      </c>
      <c r="D440" s="4" t="s">
        <v>2955</v>
      </c>
    </row>
    <row r="441" spans="1:4" ht="25.5" x14ac:dyDescent="0.25">
      <c r="A441" s="3">
        <v>2421</v>
      </c>
      <c r="B441" s="4" t="s">
        <v>3400</v>
      </c>
      <c r="C441" s="5">
        <v>321912</v>
      </c>
      <c r="D441" s="4" t="s">
        <v>2970</v>
      </c>
    </row>
    <row r="442" spans="1:4" x14ac:dyDescent="0.25">
      <c r="A442" s="3">
        <v>2421</v>
      </c>
      <c r="B442" s="4" t="s">
        <v>3402</v>
      </c>
      <c r="C442" s="5">
        <v>321918</v>
      </c>
      <c r="D442" s="4" t="s">
        <v>5804</v>
      </c>
    </row>
    <row r="443" spans="1:4" x14ac:dyDescent="0.25">
      <c r="A443" s="3">
        <v>2421</v>
      </c>
      <c r="B443" s="4" t="s">
        <v>3404</v>
      </c>
      <c r="C443" s="5">
        <v>321920</v>
      </c>
      <c r="D443" s="4" t="s">
        <v>2974</v>
      </c>
    </row>
    <row r="444" spans="1:4" x14ac:dyDescent="0.25">
      <c r="A444" s="3">
        <v>2421</v>
      </c>
      <c r="B444" s="4" t="s">
        <v>3406</v>
      </c>
      <c r="C444" s="5">
        <v>321999</v>
      </c>
      <c r="D444" s="4" t="s">
        <v>2980</v>
      </c>
    </row>
    <row r="445" spans="1:4" x14ac:dyDescent="0.25">
      <c r="A445" s="3">
        <v>2426</v>
      </c>
      <c r="B445" s="4" t="s">
        <v>3408</v>
      </c>
      <c r="C445" s="5">
        <v>321113</v>
      </c>
      <c r="D445" s="4" t="s">
        <v>2955</v>
      </c>
    </row>
    <row r="446" spans="1:4" ht="25.5" x14ac:dyDescent="0.25">
      <c r="A446" s="3">
        <v>2426</v>
      </c>
      <c r="B446" s="4" t="s">
        <v>3410</v>
      </c>
      <c r="C446" s="5">
        <v>321912</v>
      </c>
      <c r="D446" s="4" t="s">
        <v>2970</v>
      </c>
    </row>
    <row r="447" spans="1:4" x14ac:dyDescent="0.25">
      <c r="A447" s="3">
        <v>2426</v>
      </c>
      <c r="B447" s="4" t="s">
        <v>3412</v>
      </c>
      <c r="C447" s="5">
        <v>321918</v>
      </c>
      <c r="D447" s="4" t="s">
        <v>5804</v>
      </c>
    </row>
    <row r="448" spans="1:4" x14ac:dyDescent="0.25">
      <c r="A448" s="3">
        <v>2426</v>
      </c>
      <c r="B448" s="4" t="s">
        <v>3414</v>
      </c>
      <c r="C448" s="5">
        <v>337215</v>
      </c>
      <c r="D448" s="4" t="s">
        <v>3482</v>
      </c>
    </row>
    <row r="449" spans="1:4" x14ac:dyDescent="0.25">
      <c r="A449" s="3">
        <v>2429</v>
      </c>
      <c r="B449" s="4" t="s">
        <v>3416</v>
      </c>
      <c r="C449" s="5">
        <v>321113</v>
      </c>
      <c r="D449" s="4" t="s">
        <v>2955</v>
      </c>
    </row>
    <row r="450" spans="1:4" x14ac:dyDescent="0.25">
      <c r="A450" s="3">
        <v>2429</v>
      </c>
      <c r="B450" s="4" t="s">
        <v>3418</v>
      </c>
      <c r="C450" s="5">
        <v>321920</v>
      </c>
      <c r="D450" s="4" t="s">
        <v>2974</v>
      </c>
    </row>
    <row r="451" spans="1:4" x14ac:dyDescent="0.25">
      <c r="A451" s="3">
        <v>2429</v>
      </c>
      <c r="B451" s="4" t="s">
        <v>3420</v>
      </c>
      <c r="C451" s="5">
        <v>321999</v>
      </c>
      <c r="D451" s="4" t="s">
        <v>2980</v>
      </c>
    </row>
    <row r="452" spans="1:4" x14ac:dyDescent="0.25">
      <c r="A452" s="3">
        <v>2431</v>
      </c>
      <c r="B452" s="4" t="s">
        <v>3422</v>
      </c>
      <c r="C452" s="5">
        <v>321911</v>
      </c>
      <c r="D452" s="4" t="s">
        <v>2969</v>
      </c>
    </row>
    <row r="453" spans="1:4" x14ac:dyDescent="0.25">
      <c r="A453" s="3">
        <v>2431</v>
      </c>
      <c r="B453" s="4" t="s">
        <v>3424</v>
      </c>
      <c r="C453" s="5">
        <v>321918</v>
      </c>
      <c r="D453" s="4" t="s">
        <v>5804</v>
      </c>
    </row>
    <row r="454" spans="1:4" x14ac:dyDescent="0.25">
      <c r="A454" s="3">
        <v>2434</v>
      </c>
      <c r="B454" s="4" t="s">
        <v>3426</v>
      </c>
      <c r="C454" s="5">
        <v>337110</v>
      </c>
      <c r="D454" s="4" t="s">
        <v>3464</v>
      </c>
    </row>
    <row r="455" spans="1:4" x14ac:dyDescent="0.25">
      <c r="A455" s="3">
        <v>2435</v>
      </c>
      <c r="B455" s="4" t="s">
        <v>3428</v>
      </c>
      <c r="C455" s="5">
        <v>321211</v>
      </c>
      <c r="D455" s="4" t="s">
        <v>2959</v>
      </c>
    </row>
    <row r="456" spans="1:4" x14ac:dyDescent="0.25">
      <c r="A456" s="3">
        <v>2436</v>
      </c>
      <c r="B456" s="4" t="s">
        <v>3430</v>
      </c>
      <c r="C456" s="5">
        <v>321212</v>
      </c>
      <c r="D456" s="4" t="s">
        <v>2961</v>
      </c>
    </row>
    <row r="457" spans="1:4" x14ac:dyDescent="0.25">
      <c r="A457" s="3">
        <v>2439</v>
      </c>
      <c r="B457" s="4" t="s">
        <v>3432</v>
      </c>
      <c r="C457" s="5">
        <v>321213</v>
      </c>
      <c r="D457" s="4" t="s">
        <v>2963</v>
      </c>
    </row>
    <row r="458" spans="1:4" x14ac:dyDescent="0.25">
      <c r="A458" s="3">
        <v>2439</v>
      </c>
      <c r="B458" s="4" t="s">
        <v>3434</v>
      </c>
      <c r="C458" s="5">
        <v>321214</v>
      </c>
      <c r="D458" s="4" t="s">
        <v>2965</v>
      </c>
    </row>
    <row r="459" spans="1:4" x14ac:dyDescent="0.25">
      <c r="A459" s="3">
        <v>2441</v>
      </c>
      <c r="B459" s="4" t="s">
        <v>3436</v>
      </c>
      <c r="C459" s="5">
        <v>321920</v>
      </c>
      <c r="D459" s="4" t="s">
        <v>2974</v>
      </c>
    </row>
    <row r="460" spans="1:4" x14ac:dyDescent="0.25">
      <c r="A460" s="3">
        <v>2448</v>
      </c>
      <c r="B460" s="4" t="s">
        <v>3438</v>
      </c>
      <c r="C460" s="5">
        <v>321920</v>
      </c>
      <c r="D460" s="4" t="s">
        <v>2974</v>
      </c>
    </row>
    <row r="461" spans="1:4" x14ac:dyDescent="0.25">
      <c r="A461" s="3">
        <v>2449</v>
      </c>
      <c r="B461" s="4" t="s">
        <v>3440</v>
      </c>
      <c r="C461" s="5">
        <v>321920</v>
      </c>
      <c r="D461" s="4" t="s">
        <v>2974</v>
      </c>
    </row>
    <row r="462" spans="1:4" x14ac:dyDescent="0.25">
      <c r="A462" s="3">
        <v>2451</v>
      </c>
      <c r="B462" s="4" t="s">
        <v>3442</v>
      </c>
      <c r="C462" s="5">
        <v>321991</v>
      </c>
      <c r="D462" s="4" t="s">
        <v>2976</v>
      </c>
    </row>
    <row r="463" spans="1:4" x14ac:dyDescent="0.25">
      <c r="A463" s="3">
        <v>2452</v>
      </c>
      <c r="B463" s="4" t="s">
        <v>3444</v>
      </c>
      <c r="C463" s="5">
        <v>321992</v>
      </c>
      <c r="D463" s="4" t="s">
        <v>2978</v>
      </c>
    </row>
    <row r="464" spans="1:4" x14ac:dyDescent="0.25">
      <c r="A464" s="3">
        <v>2491</v>
      </c>
      <c r="B464" s="4" t="s">
        <v>3446</v>
      </c>
      <c r="C464" s="5">
        <v>321114</v>
      </c>
      <c r="D464" s="4" t="s">
        <v>2957</v>
      </c>
    </row>
    <row r="465" spans="1:4" x14ac:dyDescent="0.25">
      <c r="A465" s="3">
        <v>2493</v>
      </c>
      <c r="B465" s="4" t="s">
        <v>3448</v>
      </c>
      <c r="C465" s="5">
        <v>321219</v>
      </c>
      <c r="D465" s="4" t="s">
        <v>2967</v>
      </c>
    </row>
    <row r="466" spans="1:4" x14ac:dyDescent="0.25">
      <c r="A466" s="3">
        <v>2499</v>
      </c>
      <c r="B466" s="4" t="s">
        <v>3450</v>
      </c>
      <c r="C466" s="5">
        <v>321920</v>
      </c>
      <c r="D466" s="4" t="s">
        <v>2974</v>
      </c>
    </row>
    <row r="467" spans="1:4" ht="25.5" x14ac:dyDescent="0.25">
      <c r="A467" s="3">
        <v>2499</v>
      </c>
      <c r="B467" s="4" t="s">
        <v>3452</v>
      </c>
      <c r="C467" s="5">
        <v>321999</v>
      </c>
      <c r="D467" s="4" t="s">
        <v>2980</v>
      </c>
    </row>
    <row r="468" spans="1:4" ht="38.25" x14ac:dyDescent="0.25">
      <c r="A468" s="3">
        <v>2499</v>
      </c>
      <c r="B468" s="4" t="s">
        <v>3454</v>
      </c>
      <c r="C468" s="5">
        <v>333415</v>
      </c>
      <c r="D468" s="4" t="s">
        <v>3280</v>
      </c>
    </row>
    <row r="469" spans="1:4" ht="25.5" x14ac:dyDescent="0.25">
      <c r="A469" s="3">
        <v>2499</v>
      </c>
      <c r="B469" s="4" t="s">
        <v>3455</v>
      </c>
      <c r="C469" s="5">
        <v>337125</v>
      </c>
      <c r="D469" s="4" t="s">
        <v>3472</v>
      </c>
    </row>
    <row r="470" spans="1:4" x14ac:dyDescent="0.25">
      <c r="A470" s="3">
        <v>2499</v>
      </c>
      <c r="B470" s="4" t="s">
        <v>3457</v>
      </c>
      <c r="C470" s="5">
        <v>339113</v>
      </c>
      <c r="D470" s="4" t="s">
        <v>3490</v>
      </c>
    </row>
    <row r="471" spans="1:4" x14ac:dyDescent="0.25">
      <c r="A471" s="3">
        <v>2499</v>
      </c>
      <c r="B471" s="4" t="s">
        <v>3459</v>
      </c>
      <c r="C471" s="5">
        <v>339999</v>
      </c>
      <c r="D471" s="4" t="s">
        <v>3518</v>
      </c>
    </row>
    <row r="472" spans="1:4" x14ac:dyDescent="0.25">
      <c r="A472" s="3">
        <v>2511</v>
      </c>
      <c r="B472" s="4" t="s">
        <v>3461</v>
      </c>
      <c r="C472" s="5">
        <v>337122</v>
      </c>
      <c r="D472" s="4" t="s">
        <v>3468</v>
      </c>
    </row>
    <row r="473" spans="1:4" x14ac:dyDescent="0.25">
      <c r="A473" s="3">
        <v>2511</v>
      </c>
      <c r="B473" s="4" t="s">
        <v>3463</v>
      </c>
      <c r="C473" s="5">
        <v>337215</v>
      </c>
      <c r="D473" s="4" t="s">
        <v>3482</v>
      </c>
    </row>
    <row r="474" spans="1:4" x14ac:dyDescent="0.25">
      <c r="A474" s="3">
        <v>2512</v>
      </c>
      <c r="B474" s="4" t="s">
        <v>3465</v>
      </c>
      <c r="C474" s="5">
        <v>337121</v>
      </c>
      <c r="D474" s="4" t="s">
        <v>3466</v>
      </c>
    </row>
    <row r="475" spans="1:4" x14ac:dyDescent="0.25">
      <c r="A475" s="3">
        <v>2514</v>
      </c>
      <c r="B475" s="4" t="s">
        <v>3467</v>
      </c>
      <c r="C475" s="5">
        <v>337121</v>
      </c>
      <c r="D475" s="4" t="s">
        <v>3466</v>
      </c>
    </row>
    <row r="476" spans="1:4" x14ac:dyDescent="0.25">
      <c r="A476" s="3">
        <v>2514</v>
      </c>
      <c r="B476" s="4" t="s">
        <v>3469</v>
      </c>
      <c r="C476" s="5">
        <v>337124</v>
      </c>
      <c r="D476" s="4" t="s">
        <v>3470</v>
      </c>
    </row>
    <row r="477" spans="1:4" x14ac:dyDescent="0.25">
      <c r="A477" s="3">
        <v>2514</v>
      </c>
      <c r="B477" s="4" t="s">
        <v>3471</v>
      </c>
      <c r="C477" s="5">
        <v>337215</v>
      </c>
      <c r="D477" s="4" t="s">
        <v>3482</v>
      </c>
    </row>
    <row r="478" spans="1:4" x14ac:dyDescent="0.25">
      <c r="A478" s="3">
        <v>2515</v>
      </c>
      <c r="B478" s="4" t="s">
        <v>3473</v>
      </c>
      <c r="C478" s="5">
        <v>337121</v>
      </c>
      <c r="D478" s="4" t="s">
        <v>3466</v>
      </c>
    </row>
    <row r="479" spans="1:4" x14ac:dyDescent="0.25">
      <c r="A479" s="3">
        <v>2515</v>
      </c>
      <c r="B479" s="4" t="s">
        <v>3475</v>
      </c>
      <c r="C479" s="5">
        <v>337910</v>
      </c>
      <c r="D479" s="4" t="s">
        <v>3484</v>
      </c>
    </row>
    <row r="480" spans="1:4" ht="25.5" x14ac:dyDescent="0.25">
      <c r="A480" s="3">
        <v>2517</v>
      </c>
      <c r="B480" s="4" t="s">
        <v>3477</v>
      </c>
      <c r="C480" s="5">
        <v>337129</v>
      </c>
      <c r="D480" s="4" t="s">
        <v>5805</v>
      </c>
    </row>
    <row r="481" spans="1:4" ht="25.5" x14ac:dyDescent="0.25">
      <c r="A481" s="3">
        <v>2519</v>
      </c>
      <c r="B481" s="4" t="s">
        <v>3479</v>
      </c>
      <c r="C481" s="5">
        <v>337125</v>
      </c>
      <c r="D481" s="4" t="s">
        <v>3472</v>
      </c>
    </row>
    <row r="482" spans="1:4" x14ac:dyDescent="0.25">
      <c r="A482" s="3">
        <v>2521</v>
      </c>
      <c r="B482" s="4" t="s">
        <v>3481</v>
      </c>
      <c r="C482" s="5">
        <v>337211</v>
      </c>
      <c r="D482" s="4" t="s">
        <v>5806</v>
      </c>
    </row>
    <row r="483" spans="1:4" x14ac:dyDescent="0.25">
      <c r="A483" s="3">
        <v>2522</v>
      </c>
      <c r="B483" s="4" t="s">
        <v>3483</v>
      </c>
      <c r="C483" s="5">
        <v>337214</v>
      </c>
      <c r="D483" s="4" t="s">
        <v>3480</v>
      </c>
    </row>
    <row r="484" spans="1:4" x14ac:dyDescent="0.25">
      <c r="A484" s="3">
        <v>2531</v>
      </c>
      <c r="B484" s="4" t="s">
        <v>3485</v>
      </c>
      <c r="C484" s="5">
        <v>336360</v>
      </c>
      <c r="D484" s="4" t="s">
        <v>3435</v>
      </c>
    </row>
    <row r="485" spans="1:4" x14ac:dyDescent="0.25">
      <c r="A485" s="3">
        <v>2531</v>
      </c>
      <c r="B485" s="4" t="s">
        <v>3487</v>
      </c>
      <c r="C485" s="5">
        <v>337127</v>
      </c>
      <c r="D485" s="4" t="s">
        <v>3474</v>
      </c>
    </row>
    <row r="486" spans="1:4" x14ac:dyDescent="0.25">
      <c r="A486" s="3">
        <v>2531</v>
      </c>
      <c r="B486" s="4" t="s">
        <v>3489</v>
      </c>
      <c r="C486" s="5">
        <v>339942</v>
      </c>
      <c r="D486" s="4" t="s">
        <v>5807</v>
      </c>
    </row>
    <row r="487" spans="1:4" x14ac:dyDescent="0.25">
      <c r="A487" s="3">
        <v>2541</v>
      </c>
      <c r="B487" s="4" t="s">
        <v>3491</v>
      </c>
      <c r="C487" s="5">
        <v>337110</v>
      </c>
      <c r="D487" s="4" t="s">
        <v>3464</v>
      </c>
    </row>
    <row r="488" spans="1:4" ht="25.5" x14ac:dyDescent="0.25">
      <c r="A488" s="3">
        <v>2541</v>
      </c>
      <c r="B488" s="4" t="s">
        <v>3493</v>
      </c>
      <c r="C488" s="5">
        <v>337127</v>
      </c>
      <c r="D488" s="4" t="s">
        <v>3474</v>
      </c>
    </row>
    <row r="489" spans="1:4" ht="25.5" x14ac:dyDescent="0.25">
      <c r="A489" s="3">
        <v>2541</v>
      </c>
      <c r="B489" s="4" t="s">
        <v>3495</v>
      </c>
      <c r="C489" s="5">
        <v>337212</v>
      </c>
      <c r="D489" s="4" t="s">
        <v>3478</v>
      </c>
    </row>
    <row r="490" spans="1:4" ht="25.5" x14ac:dyDescent="0.25">
      <c r="A490" s="3">
        <v>2541</v>
      </c>
      <c r="B490" s="4" t="s">
        <v>3497</v>
      </c>
      <c r="C490" s="5">
        <v>337215</v>
      </c>
      <c r="D490" s="4" t="s">
        <v>3482</v>
      </c>
    </row>
    <row r="491" spans="1:4" ht="25.5" x14ac:dyDescent="0.25">
      <c r="A491" s="3">
        <v>2542</v>
      </c>
      <c r="B491" s="4" t="s">
        <v>3499</v>
      </c>
      <c r="C491" s="5">
        <v>337127</v>
      </c>
      <c r="D491" s="4" t="s">
        <v>3474</v>
      </c>
    </row>
    <row r="492" spans="1:4" ht="25.5" x14ac:dyDescent="0.25">
      <c r="A492" s="3">
        <v>2542</v>
      </c>
      <c r="B492" s="4" t="s">
        <v>3501</v>
      </c>
      <c r="C492" s="5">
        <v>337215</v>
      </c>
      <c r="D492" s="4" t="s">
        <v>3482</v>
      </c>
    </row>
    <row r="493" spans="1:4" x14ac:dyDescent="0.25">
      <c r="A493" s="3">
        <v>2591</v>
      </c>
      <c r="B493" s="4" t="s">
        <v>3503</v>
      </c>
      <c r="C493" s="5">
        <v>337920</v>
      </c>
      <c r="D493" s="4" t="s">
        <v>3486</v>
      </c>
    </row>
    <row r="494" spans="1:4" x14ac:dyDescent="0.25">
      <c r="A494" s="3">
        <v>2599</v>
      </c>
      <c r="B494" s="4" t="s">
        <v>3505</v>
      </c>
      <c r="C494" s="5">
        <v>337127</v>
      </c>
      <c r="D494" s="4" t="s">
        <v>3474</v>
      </c>
    </row>
    <row r="495" spans="1:4" x14ac:dyDescent="0.25">
      <c r="A495" s="3">
        <v>2599</v>
      </c>
      <c r="B495" s="4" t="s">
        <v>3507</v>
      </c>
      <c r="C495" s="5">
        <v>339111</v>
      </c>
      <c r="D495" s="4" t="s">
        <v>5808</v>
      </c>
    </row>
    <row r="496" spans="1:4" x14ac:dyDescent="0.25">
      <c r="A496" s="3">
        <v>2611</v>
      </c>
      <c r="B496" s="4" t="s">
        <v>3509</v>
      </c>
      <c r="C496" s="5">
        <v>322110</v>
      </c>
      <c r="D496" s="4" t="s">
        <v>2982</v>
      </c>
    </row>
    <row r="497" spans="1:4" x14ac:dyDescent="0.25">
      <c r="A497" s="3">
        <v>2611</v>
      </c>
      <c r="B497" s="4" t="s">
        <v>3511</v>
      </c>
      <c r="C497" s="5">
        <v>322121</v>
      </c>
      <c r="D497" s="4" t="s">
        <v>2984</v>
      </c>
    </row>
    <row r="498" spans="1:4" x14ac:dyDescent="0.25">
      <c r="A498" s="3">
        <v>2611</v>
      </c>
      <c r="B498" s="4" t="s">
        <v>3513</v>
      </c>
      <c r="C498" s="5">
        <v>322122</v>
      </c>
      <c r="D498" s="4" t="s">
        <v>2986</v>
      </c>
    </row>
    <row r="499" spans="1:4" x14ac:dyDescent="0.25">
      <c r="A499" s="3">
        <v>2611</v>
      </c>
      <c r="B499" s="4" t="s">
        <v>3515</v>
      </c>
      <c r="C499" s="5">
        <v>322130</v>
      </c>
      <c r="D499" s="4" t="s">
        <v>2988</v>
      </c>
    </row>
    <row r="500" spans="1:4" x14ac:dyDescent="0.25">
      <c r="A500" s="3">
        <v>2621</v>
      </c>
      <c r="B500" s="4" t="s">
        <v>3517</v>
      </c>
      <c r="C500" s="5">
        <v>322121</v>
      </c>
      <c r="D500" s="4" t="s">
        <v>2984</v>
      </c>
    </row>
    <row r="501" spans="1:4" x14ac:dyDescent="0.25">
      <c r="A501" s="3">
        <v>2621</v>
      </c>
      <c r="B501" s="4" t="s">
        <v>3519</v>
      </c>
      <c r="C501" s="5">
        <v>322122</v>
      </c>
      <c r="D501" s="4" t="s">
        <v>2986</v>
      </c>
    </row>
    <row r="502" spans="1:4" x14ac:dyDescent="0.25">
      <c r="A502" s="3">
        <v>2631</v>
      </c>
      <c r="B502" s="4" t="s">
        <v>2988</v>
      </c>
      <c r="C502" s="5">
        <v>322130</v>
      </c>
      <c r="D502" s="4" t="s">
        <v>2988</v>
      </c>
    </row>
    <row r="503" spans="1:4" x14ac:dyDescent="0.25">
      <c r="A503" s="3">
        <v>2652</v>
      </c>
      <c r="B503" s="4" t="s">
        <v>3522</v>
      </c>
      <c r="C503" s="5">
        <v>322213</v>
      </c>
      <c r="D503" s="4" t="s">
        <v>5809</v>
      </c>
    </row>
    <row r="504" spans="1:4" x14ac:dyDescent="0.25">
      <c r="A504" s="3">
        <v>2653</v>
      </c>
      <c r="B504" s="4" t="s">
        <v>3524</v>
      </c>
      <c r="C504" s="5">
        <v>322211</v>
      </c>
      <c r="D504" s="4" t="s">
        <v>2990</v>
      </c>
    </row>
    <row r="505" spans="1:4" x14ac:dyDescent="0.25">
      <c r="A505" s="3">
        <v>2655</v>
      </c>
      <c r="B505" s="4" t="s">
        <v>3526</v>
      </c>
      <c r="C505" s="5">
        <v>322214</v>
      </c>
      <c r="D505" s="4" t="s">
        <v>5810</v>
      </c>
    </row>
    <row r="506" spans="1:4" x14ac:dyDescent="0.25">
      <c r="A506" s="3">
        <v>2656</v>
      </c>
      <c r="B506" s="4" t="s">
        <v>3528</v>
      </c>
      <c r="C506" s="5">
        <v>322215</v>
      </c>
      <c r="D506" s="4" t="s">
        <v>5811</v>
      </c>
    </row>
    <row r="507" spans="1:4" ht="25.5" x14ac:dyDescent="0.25">
      <c r="A507" s="3">
        <v>2657</v>
      </c>
      <c r="B507" s="4" t="s">
        <v>3530</v>
      </c>
      <c r="C507" s="5">
        <v>322212</v>
      </c>
      <c r="D507" s="4" t="s">
        <v>2992</v>
      </c>
    </row>
    <row r="508" spans="1:4" ht="25.5" x14ac:dyDescent="0.25">
      <c r="A508" s="3">
        <v>2671</v>
      </c>
      <c r="B508" s="4" t="s">
        <v>3532</v>
      </c>
      <c r="C508" s="5">
        <v>322221</v>
      </c>
      <c r="D508" s="4" t="s">
        <v>5812</v>
      </c>
    </row>
    <row r="509" spans="1:4" ht="25.5" x14ac:dyDescent="0.25">
      <c r="A509" s="3">
        <v>2671</v>
      </c>
      <c r="B509" s="4" t="s">
        <v>3534</v>
      </c>
      <c r="C509" s="5">
        <v>326112</v>
      </c>
      <c r="D509" s="4" t="s">
        <v>3077</v>
      </c>
    </row>
    <row r="510" spans="1:4" x14ac:dyDescent="0.25">
      <c r="A510" s="3">
        <v>2672</v>
      </c>
      <c r="B510" s="4" t="s">
        <v>3536</v>
      </c>
      <c r="C510" s="5">
        <v>322222</v>
      </c>
      <c r="D510" s="4" t="s">
        <v>5813</v>
      </c>
    </row>
    <row r="511" spans="1:4" x14ac:dyDescent="0.25">
      <c r="A511" s="3">
        <v>2673</v>
      </c>
      <c r="B511" s="4" t="s">
        <v>3538</v>
      </c>
      <c r="C511" s="5">
        <v>322223</v>
      </c>
      <c r="D511" s="4" t="s">
        <v>5814</v>
      </c>
    </row>
    <row r="512" spans="1:4" x14ac:dyDescent="0.25">
      <c r="A512" s="3">
        <v>2673</v>
      </c>
      <c r="B512" s="4" t="s">
        <v>3540</v>
      </c>
      <c r="C512" s="5">
        <v>326111</v>
      </c>
      <c r="D512" s="4" t="s">
        <v>5815</v>
      </c>
    </row>
    <row r="513" spans="1:4" x14ac:dyDescent="0.25">
      <c r="A513" s="3">
        <v>2674</v>
      </c>
      <c r="B513" s="4" t="s">
        <v>3542</v>
      </c>
      <c r="C513" s="5">
        <v>322224</v>
      </c>
      <c r="D513" s="4" t="s">
        <v>5816</v>
      </c>
    </row>
    <row r="514" spans="1:4" ht="25.5" x14ac:dyDescent="0.25">
      <c r="A514" s="3">
        <v>2675</v>
      </c>
      <c r="B514" s="4" t="s">
        <v>3544</v>
      </c>
      <c r="C514" s="5">
        <v>322226</v>
      </c>
      <c r="D514" s="4" t="s">
        <v>5817</v>
      </c>
    </row>
    <row r="515" spans="1:4" ht="25.5" x14ac:dyDescent="0.25">
      <c r="A515" s="3">
        <v>2675</v>
      </c>
      <c r="B515" s="4" t="s">
        <v>3546</v>
      </c>
      <c r="C515" s="5">
        <v>322231</v>
      </c>
      <c r="D515" s="4" t="s">
        <v>5818</v>
      </c>
    </row>
    <row r="516" spans="1:4" ht="25.5" x14ac:dyDescent="0.25">
      <c r="A516" s="3">
        <v>2675</v>
      </c>
      <c r="B516" s="4" t="s">
        <v>3548</v>
      </c>
      <c r="C516" s="5">
        <v>322299</v>
      </c>
      <c r="D516" s="4" t="s">
        <v>3002</v>
      </c>
    </row>
    <row r="517" spans="1:4" x14ac:dyDescent="0.25">
      <c r="A517" s="3">
        <v>2676</v>
      </c>
      <c r="B517" s="4" t="s">
        <v>3550</v>
      </c>
      <c r="C517" s="5">
        <v>322291</v>
      </c>
      <c r="D517" s="4" t="s">
        <v>3000</v>
      </c>
    </row>
    <row r="518" spans="1:4" x14ac:dyDescent="0.25">
      <c r="A518" s="3">
        <v>2677</v>
      </c>
      <c r="B518" s="4" t="s">
        <v>3552</v>
      </c>
      <c r="C518" s="5">
        <v>322232</v>
      </c>
      <c r="D518" s="4" t="s">
        <v>5819</v>
      </c>
    </row>
    <row r="519" spans="1:4" x14ac:dyDescent="0.25">
      <c r="A519" s="3">
        <v>2678</v>
      </c>
      <c r="B519" s="4" t="s">
        <v>3554</v>
      </c>
      <c r="C519" s="5">
        <v>322233</v>
      </c>
      <c r="D519" s="4" t="s">
        <v>5820</v>
      </c>
    </row>
    <row r="520" spans="1:4" x14ac:dyDescent="0.25">
      <c r="A520" s="3">
        <v>2679</v>
      </c>
      <c r="B520" s="4" t="s">
        <v>3556</v>
      </c>
      <c r="C520" s="5">
        <v>322211</v>
      </c>
      <c r="D520" s="4" t="s">
        <v>2990</v>
      </c>
    </row>
    <row r="521" spans="1:4" x14ac:dyDescent="0.25">
      <c r="A521" s="3">
        <v>2679</v>
      </c>
      <c r="B521" s="4" t="s">
        <v>3558</v>
      </c>
      <c r="C521" s="5">
        <v>322222</v>
      </c>
      <c r="D521" s="4" t="s">
        <v>5813</v>
      </c>
    </row>
    <row r="522" spans="1:4" ht="25.5" x14ac:dyDescent="0.25">
      <c r="A522" s="3">
        <v>2679</v>
      </c>
      <c r="B522" s="4" t="s">
        <v>3560</v>
      </c>
      <c r="C522" s="5">
        <v>322231</v>
      </c>
      <c r="D522" s="4" t="s">
        <v>5818</v>
      </c>
    </row>
    <row r="523" spans="1:4" ht="25.5" x14ac:dyDescent="0.25">
      <c r="A523" s="3">
        <v>2679</v>
      </c>
      <c r="B523" s="4" t="s">
        <v>3562</v>
      </c>
      <c r="C523" s="5">
        <v>322299</v>
      </c>
      <c r="D523" s="4" t="s">
        <v>3002</v>
      </c>
    </row>
    <row r="524" spans="1:4" x14ac:dyDescent="0.25">
      <c r="A524" s="3">
        <v>2711</v>
      </c>
      <c r="B524" s="4" t="s">
        <v>3564</v>
      </c>
      <c r="C524" s="5">
        <v>511110</v>
      </c>
      <c r="D524" s="4" t="s">
        <v>3975</v>
      </c>
    </row>
    <row r="525" spans="1:4" x14ac:dyDescent="0.25">
      <c r="A525" s="3">
        <v>2711</v>
      </c>
      <c r="B525" s="4" t="s">
        <v>3566</v>
      </c>
      <c r="C525" s="5">
        <v>516110</v>
      </c>
      <c r="D525" s="4" t="s">
        <v>5821</v>
      </c>
    </row>
    <row r="526" spans="1:4" x14ac:dyDescent="0.25">
      <c r="A526" s="3">
        <v>2721</v>
      </c>
      <c r="B526" s="4" t="s">
        <v>3568</v>
      </c>
      <c r="C526" s="5">
        <v>511120</v>
      </c>
      <c r="D526" s="4" t="s">
        <v>3977</v>
      </c>
    </row>
    <row r="527" spans="1:4" x14ac:dyDescent="0.25">
      <c r="A527" s="3">
        <v>2721</v>
      </c>
      <c r="B527" s="4" t="s">
        <v>3570</v>
      </c>
      <c r="C527" s="5">
        <v>516110</v>
      </c>
      <c r="D527" s="4" t="s">
        <v>5821</v>
      </c>
    </row>
    <row r="528" spans="1:4" ht="25.5" x14ac:dyDescent="0.25">
      <c r="A528" s="3">
        <v>2731</v>
      </c>
      <c r="B528" s="4" t="s">
        <v>3572</v>
      </c>
      <c r="C528" s="5">
        <v>511130</v>
      </c>
      <c r="D528" s="4" t="s">
        <v>5822</v>
      </c>
    </row>
    <row r="529" spans="1:4" x14ac:dyDescent="0.25">
      <c r="A529" s="3">
        <v>2731</v>
      </c>
      <c r="B529" s="4" t="s">
        <v>3574</v>
      </c>
      <c r="C529" s="5">
        <v>512230</v>
      </c>
      <c r="D529" s="4" t="s">
        <v>3999</v>
      </c>
    </row>
    <row r="530" spans="1:4" x14ac:dyDescent="0.25">
      <c r="A530" s="3">
        <v>2731</v>
      </c>
      <c r="B530" s="4" t="s">
        <v>3576</v>
      </c>
      <c r="C530" s="5">
        <v>516110</v>
      </c>
      <c r="D530" s="4" t="s">
        <v>5821</v>
      </c>
    </row>
    <row r="531" spans="1:4" x14ac:dyDescent="0.25">
      <c r="A531" s="3">
        <v>2732</v>
      </c>
      <c r="B531" s="4" t="s">
        <v>3578</v>
      </c>
      <c r="C531" s="5">
        <v>323117</v>
      </c>
      <c r="D531" s="4" t="s">
        <v>3578</v>
      </c>
    </row>
    <row r="532" spans="1:4" ht="25.5" x14ac:dyDescent="0.25">
      <c r="A532" s="3">
        <v>2741</v>
      </c>
      <c r="B532" s="4" t="s">
        <v>3580</v>
      </c>
      <c r="C532" s="5">
        <v>511120</v>
      </c>
      <c r="D532" s="4" t="s">
        <v>3977</v>
      </c>
    </row>
    <row r="533" spans="1:4" ht="25.5" x14ac:dyDescent="0.25">
      <c r="A533" s="3">
        <v>2741</v>
      </c>
      <c r="B533" s="4" t="s">
        <v>3582</v>
      </c>
      <c r="C533" s="5">
        <v>511130</v>
      </c>
      <c r="D533" s="4" t="s">
        <v>5822</v>
      </c>
    </row>
    <row r="534" spans="1:4" x14ac:dyDescent="0.25">
      <c r="A534" s="3">
        <v>2741</v>
      </c>
      <c r="B534" s="4" t="s">
        <v>3584</v>
      </c>
      <c r="C534" s="5">
        <v>511140</v>
      </c>
      <c r="D534" s="4" t="s">
        <v>3980</v>
      </c>
    </row>
    <row r="535" spans="1:4" ht="38.25" x14ac:dyDescent="0.25">
      <c r="A535" s="3">
        <v>2741</v>
      </c>
      <c r="B535" s="4" t="s">
        <v>3586</v>
      </c>
      <c r="C535" s="5">
        <v>511199</v>
      </c>
      <c r="D535" s="4" t="s">
        <v>3984</v>
      </c>
    </row>
    <row r="536" spans="1:4" x14ac:dyDescent="0.25">
      <c r="A536" s="3">
        <v>2741</v>
      </c>
      <c r="B536" s="4" t="s">
        <v>3588</v>
      </c>
      <c r="C536" s="5">
        <v>512230</v>
      </c>
      <c r="D536" s="4" t="s">
        <v>3999</v>
      </c>
    </row>
    <row r="537" spans="1:4" x14ac:dyDescent="0.25">
      <c r="A537" s="3">
        <v>2741</v>
      </c>
      <c r="B537" s="4" t="s">
        <v>3590</v>
      </c>
      <c r="C537" s="5">
        <v>516110</v>
      </c>
      <c r="D537" s="4" t="s">
        <v>5821</v>
      </c>
    </row>
    <row r="538" spans="1:4" x14ac:dyDescent="0.25">
      <c r="A538" s="3">
        <v>2752</v>
      </c>
      <c r="B538" s="4" t="s">
        <v>3592</v>
      </c>
      <c r="C538" s="5">
        <v>323110</v>
      </c>
      <c r="D538" s="4" t="s">
        <v>5823</v>
      </c>
    </row>
    <row r="539" spans="1:4" x14ac:dyDescent="0.25">
      <c r="A539" s="3">
        <v>2752</v>
      </c>
      <c r="B539" s="4" t="s">
        <v>3594</v>
      </c>
      <c r="C539" s="5">
        <v>323114</v>
      </c>
      <c r="D539" s="4" t="s">
        <v>5824</v>
      </c>
    </row>
    <row r="540" spans="1:4" x14ac:dyDescent="0.25">
      <c r="A540" s="3">
        <v>2754</v>
      </c>
      <c r="B540" s="4" t="s">
        <v>3596</v>
      </c>
      <c r="C540" s="5">
        <v>323111</v>
      </c>
      <c r="D540" s="4" t="s">
        <v>5825</v>
      </c>
    </row>
    <row r="541" spans="1:4" x14ac:dyDescent="0.25">
      <c r="A541" s="3">
        <v>2759</v>
      </c>
      <c r="B541" s="4" t="s">
        <v>3598</v>
      </c>
      <c r="C541" s="5">
        <v>323112</v>
      </c>
      <c r="D541" s="4" t="s">
        <v>5826</v>
      </c>
    </row>
    <row r="542" spans="1:4" x14ac:dyDescent="0.25">
      <c r="A542" s="3">
        <v>2759</v>
      </c>
      <c r="B542" s="4" t="s">
        <v>3600</v>
      </c>
      <c r="C542" s="5">
        <v>323113</v>
      </c>
      <c r="D542" s="4" t="s">
        <v>3006</v>
      </c>
    </row>
    <row r="543" spans="1:4" x14ac:dyDescent="0.25">
      <c r="A543" s="3">
        <v>2759</v>
      </c>
      <c r="B543" s="4" t="s">
        <v>3602</v>
      </c>
      <c r="C543" s="5">
        <v>323114</v>
      </c>
      <c r="D543" s="4" t="s">
        <v>5824</v>
      </c>
    </row>
    <row r="544" spans="1:4" x14ac:dyDescent="0.25">
      <c r="A544" s="3">
        <v>2759</v>
      </c>
      <c r="B544" s="4" t="s">
        <v>3604</v>
      </c>
      <c r="C544" s="5">
        <v>323115</v>
      </c>
      <c r="D544" s="4" t="s">
        <v>5827</v>
      </c>
    </row>
    <row r="545" spans="1:4" ht="25.5" x14ac:dyDescent="0.25">
      <c r="A545" s="3">
        <v>2759</v>
      </c>
      <c r="B545" s="4" t="s">
        <v>3606</v>
      </c>
      <c r="C545" s="5">
        <v>323119</v>
      </c>
      <c r="D545" s="4" t="s">
        <v>5828</v>
      </c>
    </row>
    <row r="546" spans="1:4" x14ac:dyDescent="0.25">
      <c r="A546" s="3">
        <v>2761</v>
      </c>
      <c r="B546" s="4" t="s">
        <v>3608</v>
      </c>
      <c r="C546" s="5">
        <v>323116</v>
      </c>
      <c r="D546" s="4" t="s">
        <v>5829</v>
      </c>
    </row>
    <row r="547" spans="1:4" x14ac:dyDescent="0.25">
      <c r="A547" s="3">
        <v>2771</v>
      </c>
      <c r="B547" s="4" t="s">
        <v>3610</v>
      </c>
      <c r="C547" s="5">
        <v>323110</v>
      </c>
      <c r="D547" s="4" t="s">
        <v>5823</v>
      </c>
    </row>
    <row r="548" spans="1:4" x14ac:dyDescent="0.25">
      <c r="A548" s="3">
        <v>2771</v>
      </c>
      <c r="B548" s="4" t="s">
        <v>3612</v>
      </c>
      <c r="C548" s="5">
        <v>323111</v>
      </c>
      <c r="D548" s="4" t="s">
        <v>5825</v>
      </c>
    </row>
    <row r="549" spans="1:4" x14ac:dyDescent="0.25">
      <c r="A549" s="3">
        <v>2771</v>
      </c>
      <c r="B549" s="4" t="s">
        <v>3614</v>
      </c>
      <c r="C549" s="5">
        <v>323112</v>
      </c>
      <c r="D549" s="4" t="s">
        <v>5826</v>
      </c>
    </row>
    <row r="550" spans="1:4" x14ac:dyDescent="0.25">
      <c r="A550" s="3">
        <v>2771</v>
      </c>
      <c r="B550" s="4" t="s">
        <v>3616</v>
      </c>
      <c r="C550" s="5">
        <v>323113</v>
      </c>
      <c r="D550" s="4" t="s">
        <v>3006</v>
      </c>
    </row>
    <row r="551" spans="1:4" x14ac:dyDescent="0.25">
      <c r="A551" s="3">
        <v>2771</v>
      </c>
      <c r="B551" s="4" t="s">
        <v>3618</v>
      </c>
      <c r="C551" s="5">
        <v>323119</v>
      </c>
      <c r="D551" s="4" t="s">
        <v>5828</v>
      </c>
    </row>
    <row r="552" spans="1:4" x14ac:dyDescent="0.25">
      <c r="A552" s="3">
        <v>2771</v>
      </c>
      <c r="B552" s="4" t="s">
        <v>3620</v>
      </c>
      <c r="C552" s="5">
        <v>511191</v>
      </c>
      <c r="D552" s="4" t="s">
        <v>3982</v>
      </c>
    </row>
    <row r="553" spans="1:4" x14ac:dyDescent="0.25">
      <c r="A553" s="3">
        <v>2771</v>
      </c>
      <c r="B553" s="4" t="s">
        <v>3622</v>
      </c>
      <c r="C553" s="5">
        <v>516110</v>
      </c>
      <c r="D553" s="4" t="s">
        <v>5821</v>
      </c>
    </row>
    <row r="554" spans="1:4" x14ac:dyDescent="0.25">
      <c r="A554" s="3">
        <v>2782</v>
      </c>
      <c r="B554" s="4" t="s">
        <v>3624</v>
      </c>
      <c r="C554" s="5">
        <v>323116</v>
      </c>
      <c r="D554" s="4" t="s">
        <v>5829</v>
      </c>
    </row>
    <row r="555" spans="1:4" x14ac:dyDescent="0.25">
      <c r="A555" s="3">
        <v>2782</v>
      </c>
      <c r="B555" s="4" t="s">
        <v>3626</v>
      </c>
      <c r="C555" s="5">
        <v>323118</v>
      </c>
      <c r="D555" s="4" t="s">
        <v>5830</v>
      </c>
    </row>
    <row r="556" spans="1:4" x14ac:dyDescent="0.25">
      <c r="A556" s="3">
        <v>2789</v>
      </c>
      <c r="B556" s="4" t="s">
        <v>3628</v>
      </c>
      <c r="C556" s="5">
        <v>323121</v>
      </c>
      <c r="D556" s="4" t="s">
        <v>5831</v>
      </c>
    </row>
    <row r="557" spans="1:4" x14ac:dyDescent="0.25">
      <c r="A557" s="3">
        <v>2791</v>
      </c>
      <c r="B557" s="4" t="s">
        <v>3630</v>
      </c>
      <c r="C557" s="5">
        <v>323122</v>
      </c>
      <c r="D557" s="4" t="s">
        <v>5832</v>
      </c>
    </row>
    <row r="558" spans="1:4" x14ac:dyDescent="0.25">
      <c r="A558" s="3">
        <v>2796</v>
      </c>
      <c r="B558" s="4" t="s">
        <v>3632</v>
      </c>
      <c r="C558" s="5">
        <v>323122</v>
      </c>
      <c r="D558" s="4" t="s">
        <v>5832</v>
      </c>
    </row>
    <row r="559" spans="1:4" x14ac:dyDescent="0.25">
      <c r="A559" s="3">
        <v>2812</v>
      </c>
      <c r="B559" s="4" t="s">
        <v>580</v>
      </c>
      <c r="C559" s="5">
        <v>325181</v>
      </c>
      <c r="D559" s="4" t="s">
        <v>5833</v>
      </c>
    </row>
    <row r="560" spans="1:4" x14ac:dyDescent="0.25">
      <c r="A560" s="3">
        <v>2813</v>
      </c>
      <c r="B560" s="4" t="s">
        <v>3634</v>
      </c>
      <c r="C560" s="5">
        <v>325120</v>
      </c>
      <c r="D560" s="4" t="s">
        <v>3022</v>
      </c>
    </row>
    <row r="561" spans="1:4" x14ac:dyDescent="0.25">
      <c r="A561" s="3">
        <v>2816</v>
      </c>
      <c r="B561" s="4" t="s">
        <v>3636</v>
      </c>
      <c r="C561" s="5">
        <v>325131</v>
      </c>
      <c r="D561" s="4" t="s">
        <v>5834</v>
      </c>
    </row>
    <row r="562" spans="1:4" x14ac:dyDescent="0.25">
      <c r="A562" s="3">
        <v>2816</v>
      </c>
      <c r="B562" s="4" t="s">
        <v>3638</v>
      </c>
      <c r="C562" s="5">
        <v>325182</v>
      </c>
      <c r="D562" s="4" t="s">
        <v>5835</v>
      </c>
    </row>
    <row r="563" spans="1:4" x14ac:dyDescent="0.25">
      <c r="A563" s="3">
        <v>2819</v>
      </c>
      <c r="B563" s="4" t="s">
        <v>522</v>
      </c>
      <c r="C563" s="5">
        <v>211112</v>
      </c>
      <c r="D563" s="4" t="s">
        <v>5741</v>
      </c>
    </row>
    <row r="564" spans="1:4" x14ac:dyDescent="0.25">
      <c r="A564" s="3">
        <v>2819</v>
      </c>
      <c r="B564" s="4" t="s">
        <v>3641</v>
      </c>
      <c r="C564" s="5">
        <v>325131</v>
      </c>
      <c r="D564" s="4" t="s">
        <v>5834</v>
      </c>
    </row>
    <row r="565" spans="1:4" ht="25.5" x14ac:dyDescent="0.25">
      <c r="A565" s="3">
        <v>2819</v>
      </c>
      <c r="B565" s="4" t="s">
        <v>3643</v>
      </c>
      <c r="C565" s="5">
        <v>325188</v>
      </c>
      <c r="D565" s="4" t="s">
        <v>5836</v>
      </c>
    </row>
    <row r="566" spans="1:4" ht="25.5" x14ac:dyDescent="0.25">
      <c r="A566" s="3">
        <v>2819</v>
      </c>
      <c r="B566" s="4" t="s">
        <v>3645</v>
      </c>
      <c r="C566" s="5">
        <v>325998</v>
      </c>
      <c r="D566" s="4" t="s">
        <v>3073</v>
      </c>
    </row>
    <row r="567" spans="1:4" x14ac:dyDescent="0.25">
      <c r="A567" s="3">
        <v>2819</v>
      </c>
      <c r="B567" s="4" t="s">
        <v>3647</v>
      </c>
      <c r="C567" s="5">
        <v>331311</v>
      </c>
      <c r="D567" s="4" t="s">
        <v>5837</v>
      </c>
    </row>
    <row r="568" spans="1:4" x14ac:dyDescent="0.25">
      <c r="A568" s="3">
        <v>2821</v>
      </c>
      <c r="B568" s="4" t="s">
        <v>316</v>
      </c>
      <c r="C568" s="5">
        <v>325211</v>
      </c>
      <c r="D568" s="4" t="s">
        <v>54</v>
      </c>
    </row>
    <row r="569" spans="1:4" x14ac:dyDescent="0.25">
      <c r="A569" s="3">
        <v>2822</v>
      </c>
      <c r="B569" s="4" t="s">
        <v>390</v>
      </c>
      <c r="C569" s="5">
        <v>325212</v>
      </c>
      <c r="D569" s="4" t="s">
        <v>3033</v>
      </c>
    </row>
    <row r="570" spans="1:4" x14ac:dyDescent="0.25">
      <c r="A570" s="3">
        <v>2823</v>
      </c>
      <c r="B570" s="4" t="s">
        <v>3651</v>
      </c>
      <c r="C570" s="5">
        <v>325221</v>
      </c>
      <c r="D570" s="4" t="s">
        <v>5838</v>
      </c>
    </row>
    <row r="571" spans="1:4" x14ac:dyDescent="0.25">
      <c r="A571" s="3">
        <v>2824</v>
      </c>
      <c r="B571" s="4" t="s">
        <v>3653</v>
      </c>
      <c r="C571" s="5">
        <v>325222</v>
      </c>
      <c r="D571" s="4" t="s">
        <v>5839</v>
      </c>
    </row>
    <row r="572" spans="1:4" x14ac:dyDescent="0.25">
      <c r="A572" s="3">
        <v>2833</v>
      </c>
      <c r="B572" s="4" t="s">
        <v>444</v>
      </c>
      <c r="C572" s="5">
        <v>325411</v>
      </c>
      <c r="D572" s="4" t="s">
        <v>3046</v>
      </c>
    </row>
    <row r="573" spans="1:4" x14ac:dyDescent="0.25">
      <c r="A573" s="3">
        <v>2834</v>
      </c>
      <c r="B573" s="4" t="s">
        <v>3656</v>
      </c>
      <c r="C573" s="5">
        <v>325412</v>
      </c>
      <c r="D573" s="4" t="s">
        <v>5840</v>
      </c>
    </row>
    <row r="574" spans="1:4" x14ac:dyDescent="0.25">
      <c r="A574" s="3">
        <v>2835</v>
      </c>
      <c r="B574" s="4" t="s">
        <v>3658</v>
      </c>
      <c r="C574" s="5">
        <v>325412</v>
      </c>
      <c r="D574" s="4" t="s">
        <v>5840</v>
      </c>
    </row>
    <row r="575" spans="1:4" x14ac:dyDescent="0.25">
      <c r="A575" s="3">
        <v>2835</v>
      </c>
      <c r="B575" s="4" t="s">
        <v>3660</v>
      </c>
      <c r="C575" s="5">
        <v>325413</v>
      </c>
      <c r="D575" s="4" t="s">
        <v>3050</v>
      </c>
    </row>
    <row r="576" spans="1:4" x14ac:dyDescent="0.25">
      <c r="A576" s="3">
        <v>2836</v>
      </c>
      <c r="B576" s="4" t="s">
        <v>3662</v>
      </c>
      <c r="C576" s="5">
        <v>325414</v>
      </c>
      <c r="D576" s="4" t="s">
        <v>3052</v>
      </c>
    </row>
    <row r="577" spans="1:4" x14ac:dyDescent="0.25">
      <c r="A577" s="3">
        <v>2841</v>
      </c>
      <c r="B577" s="4" t="s">
        <v>545</v>
      </c>
      <c r="C577" s="5">
        <v>325611</v>
      </c>
      <c r="D577" s="4" t="s">
        <v>5841</v>
      </c>
    </row>
    <row r="578" spans="1:4" x14ac:dyDescent="0.25">
      <c r="A578" s="3">
        <v>2842</v>
      </c>
      <c r="B578" s="4" t="s">
        <v>3665</v>
      </c>
      <c r="C578" s="5">
        <v>325612</v>
      </c>
      <c r="D578" s="4" t="s">
        <v>3059</v>
      </c>
    </row>
    <row r="579" spans="1:4" x14ac:dyDescent="0.25">
      <c r="A579" s="3">
        <v>2843</v>
      </c>
      <c r="B579" s="4" t="s">
        <v>632</v>
      </c>
      <c r="C579" s="5">
        <v>325613</v>
      </c>
      <c r="D579" s="4" t="s">
        <v>5842</v>
      </c>
    </row>
    <row r="580" spans="1:4" x14ac:dyDescent="0.25">
      <c r="A580" s="3">
        <v>2844</v>
      </c>
      <c r="B580" s="4" t="s">
        <v>3668</v>
      </c>
      <c r="C580" s="5">
        <v>325611</v>
      </c>
      <c r="D580" s="4" t="s">
        <v>5841</v>
      </c>
    </row>
    <row r="581" spans="1:4" ht="25.5" x14ac:dyDescent="0.25">
      <c r="A581" s="3">
        <v>2844</v>
      </c>
      <c r="B581" s="4" t="s">
        <v>3670</v>
      </c>
      <c r="C581" s="5">
        <v>325620</v>
      </c>
      <c r="D581" s="4" t="s">
        <v>3063</v>
      </c>
    </row>
    <row r="582" spans="1:4" x14ac:dyDescent="0.25">
      <c r="A582" s="3">
        <v>2851</v>
      </c>
      <c r="B582" s="4" t="s">
        <v>598</v>
      </c>
      <c r="C582" s="5">
        <v>325510</v>
      </c>
      <c r="D582" s="4" t="s">
        <v>697</v>
      </c>
    </row>
    <row r="583" spans="1:4" x14ac:dyDescent="0.25">
      <c r="A583" s="3">
        <v>2861</v>
      </c>
      <c r="B583" s="4" t="s">
        <v>3673</v>
      </c>
      <c r="C583" s="5">
        <v>325191</v>
      </c>
      <c r="D583" s="4" t="s">
        <v>5843</v>
      </c>
    </row>
    <row r="584" spans="1:4" x14ac:dyDescent="0.25">
      <c r="A584" s="3">
        <v>2865</v>
      </c>
      <c r="B584" s="4" t="s">
        <v>3675</v>
      </c>
      <c r="C584" s="5">
        <v>325110</v>
      </c>
      <c r="D584" s="4" t="s">
        <v>36</v>
      </c>
    </row>
    <row r="585" spans="1:4" ht="25.5" x14ac:dyDescent="0.25">
      <c r="A585" s="3">
        <v>2865</v>
      </c>
      <c r="B585" s="4" t="s">
        <v>3677</v>
      </c>
      <c r="C585" s="5">
        <v>325132</v>
      </c>
      <c r="D585" s="4" t="s">
        <v>5844</v>
      </c>
    </row>
    <row r="586" spans="1:4" ht="25.5" x14ac:dyDescent="0.25">
      <c r="A586" s="3">
        <v>2865</v>
      </c>
      <c r="B586" s="4" t="s">
        <v>3679</v>
      </c>
      <c r="C586" s="5">
        <v>325192</v>
      </c>
      <c r="D586" s="4" t="s">
        <v>5845</v>
      </c>
    </row>
    <row r="587" spans="1:4" x14ac:dyDescent="0.25">
      <c r="A587" s="3">
        <v>2869</v>
      </c>
      <c r="B587" s="4" t="s">
        <v>312</v>
      </c>
      <c r="C587" s="5">
        <v>325110</v>
      </c>
      <c r="D587" s="4" t="s">
        <v>36</v>
      </c>
    </row>
    <row r="588" spans="1:4" x14ac:dyDescent="0.25">
      <c r="A588" s="3">
        <v>2869</v>
      </c>
      <c r="B588" s="4" t="s">
        <v>3682</v>
      </c>
      <c r="C588" s="5">
        <v>325120</v>
      </c>
      <c r="D588" s="4" t="s">
        <v>3022</v>
      </c>
    </row>
    <row r="589" spans="1:4" x14ac:dyDescent="0.25">
      <c r="A589" s="3">
        <v>2869</v>
      </c>
      <c r="B589" s="4" t="s">
        <v>3684</v>
      </c>
      <c r="C589" s="5">
        <v>325188</v>
      </c>
      <c r="D589" s="4" t="s">
        <v>5836</v>
      </c>
    </row>
    <row r="590" spans="1:4" ht="25.5" x14ac:dyDescent="0.25">
      <c r="A590" s="3">
        <v>2869</v>
      </c>
      <c r="B590" s="4" t="s">
        <v>3686</v>
      </c>
      <c r="C590" s="5">
        <v>325192</v>
      </c>
      <c r="D590" s="4" t="s">
        <v>5845</v>
      </c>
    </row>
    <row r="591" spans="1:4" x14ac:dyDescent="0.25">
      <c r="A591" s="3">
        <v>2869</v>
      </c>
      <c r="B591" s="4" t="s">
        <v>3688</v>
      </c>
      <c r="C591" s="5">
        <v>325193</v>
      </c>
      <c r="D591" s="4" t="s">
        <v>3027</v>
      </c>
    </row>
    <row r="592" spans="1:4" ht="38.25" x14ac:dyDescent="0.25">
      <c r="A592" s="3">
        <v>2869</v>
      </c>
      <c r="B592" s="4" t="s">
        <v>3690</v>
      </c>
      <c r="C592" s="5">
        <v>325199</v>
      </c>
      <c r="D592" s="4" t="s">
        <v>28</v>
      </c>
    </row>
    <row r="593" spans="1:4" ht="25.5" x14ac:dyDescent="0.25">
      <c r="A593" s="3">
        <v>2869</v>
      </c>
      <c r="B593" s="4" t="s">
        <v>3692</v>
      </c>
      <c r="C593" s="5">
        <v>325998</v>
      </c>
      <c r="D593" s="4" t="s">
        <v>3073</v>
      </c>
    </row>
    <row r="594" spans="1:4" x14ac:dyDescent="0.25">
      <c r="A594" s="3">
        <v>2873</v>
      </c>
      <c r="B594" s="4" t="s">
        <v>3694</v>
      </c>
      <c r="C594" s="5">
        <v>325311</v>
      </c>
      <c r="D594" s="4" t="s">
        <v>3037</v>
      </c>
    </row>
    <row r="595" spans="1:4" x14ac:dyDescent="0.25">
      <c r="A595" s="3">
        <v>2874</v>
      </c>
      <c r="B595" s="4" t="s">
        <v>3696</v>
      </c>
      <c r="C595" s="5">
        <v>325312</v>
      </c>
      <c r="D595" s="4" t="s">
        <v>3039</v>
      </c>
    </row>
    <row r="596" spans="1:4" x14ac:dyDescent="0.25">
      <c r="A596" s="3">
        <v>2875</v>
      </c>
      <c r="B596" s="4" t="s">
        <v>3698</v>
      </c>
      <c r="C596" s="5">
        <v>325314</v>
      </c>
      <c r="D596" s="4" t="s">
        <v>5846</v>
      </c>
    </row>
    <row r="597" spans="1:4" x14ac:dyDescent="0.25">
      <c r="A597" s="3">
        <v>2879</v>
      </c>
      <c r="B597" s="4" t="s">
        <v>354</v>
      </c>
      <c r="C597" s="5">
        <v>325320</v>
      </c>
      <c r="D597" s="4" t="s">
        <v>2406</v>
      </c>
    </row>
    <row r="598" spans="1:4" x14ac:dyDescent="0.25">
      <c r="A598" s="3">
        <v>2891</v>
      </c>
      <c r="B598" s="4" t="s">
        <v>3701</v>
      </c>
      <c r="C598" s="5">
        <v>325520</v>
      </c>
      <c r="D598" s="4" t="s">
        <v>3055</v>
      </c>
    </row>
    <row r="599" spans="1:4" x14ac:dyDescent="0.25">
      <c r="A599" s="3">
        <v>2892</v>
      </c>
      <c r="B599" s="4" t="s">
        <v>3703</v>
      </c>
      <c r="C599" s="5">
        <v>325920</v>
      </c>
      <c r="D599" s="4" t="s">
        <v>3067</v>
      </c>
    </row>
    <row r="600" spans="1:4" x14ac:dyDescent="0.25">
      <c r="A600" s="3">
        <v>2893</v>
      </c>
      <c r="B600" s="4" t="s">
        <v>3705</v>
      </c>
      <c r="C600" s="5">
        <v>325910</v>
      </c>
      <c r="D600" s="4" t="s">
        <v>3065</v>
      </c>
    </row>
    <row r="601" spans="1:4" x14ac:dyDescent="0.25">
      <c r="A601" s="3">
        <v>2895</v>
      </c>
      <c r="B601" s="4" t="s">
        <v>3707</v>
      </c>
      <c r="C601" s="5">
        <v>325182</v>
      </c>
      <c r="D601" s="4" t="s">
        <v>5835</v>
      </c>
    </row>
    <row r="602" spans="1:4" x14ac:dyDescent="0.25">
      <c r="A602" s="3">
        <v>2899</v>
      </c>
      <c r="B602" s="4" t="s">
        <v>305</v>
      </c>
      <c r="C602" s="5">
        <v>311942</v>
      </c>
      <c r="D602" s="4" t="s">
        <v>2890</v>
      </c>
    </row>
    <row r="603" spans="1:4" x14ac:dyDescent="0.25">
      <c r="A603" s="3">
        <v>2899</v>
      </c>
      <c r="B603" s="4" t="s">
        <v>3710</v>
      </c>
      <c r="C603" s="5">
        <v>325199</v>
      </c>
      <c r="D603" s="4" t="s">
        <v>28</v>
      </c>
    </row>
    <row r="604" spans="1:4" x14ac:dyDescent="0.25">
      <c r="A604" s="3">
        <v>2899</v>
      </c>
      <c r="B604" s="4" t="s">
        <v>3712</v>
      </c>
      <c r="C604" s="5">
        <v>325510</v>
      </c>
      <c r="D604" s="4" t="s">
        <v>697</v>
      </c>
    </row>
    <row r="605" spans="1:4" ht="25.5" x14ac:dyDescent="0.25">
      <c r="A605" s="3">
        <v>2899</v>
      </c>
      <c r="B605" s="4" t="s">
        <v>3714</v>
      </c>
      <c r="C605" s="5">
        <v>325998</v>
      </c>
      <c r="D605" s="4" t="s">
        <v>3073</v>
      </c>
    </row>
    <row r="606" spans="1:4" x14ac:dyDescent="0.25">
      <c r="A606" s="3">
        <v>2911</v>
      </c>
      <c r="B606" s="4" t="s">
        <v>606</v>
      </c>
      <c r="C606" s="5">
        <v>324110</v>
      </c>
      <c r="D606" s="4" t="s">
        <v>2407</v>
      </c>
    </row>
    <row r="607" spans="1:4" x14ac:dyDescent="0.25">
      <c r="A607" s="3">
        <v>2951</v>
      </c>
      <c r="B607" s="4" t="s">
        <v>3717</v>
      </c>
      <c r="C607" s="5">
        <v>324121</v>
      </c>
      <c r="D607" s="4" t="s">
        <v>3013</v>
      </c>
    </row>
    <row r="608" spans="1:4" x14ac:dyDescent="0.25">
      <c r="A608" s="3">
        <v>2952</v>
      </c>
      <c r="B608" s="4" t="s">
        <v>3719</v>
      </c>
      <c r="C608" s="5">
        <v>324122</v>
      </c>
      <c r="D608" s="4" t="s">
        <v>3015</v>
      </c>
    </row>
    <row r="609" spans="1:4" x14ac:dyDescent="0.25">
      <c r="A609" s="3">
        <v>2992</v>
      </c>
      <c r="B609" s="4" t="s">
        <v>3721</v>
      </c>
      <c r="C609" s="5">
        <v>324191</v>
      </c>
      <c r="D609" s="4" t="s">
        <v>3017</v>
      </c>
    </row>
    <row r="610" spans="1:4" x14ac:dyDescent="0.25">
      <c r="A610" s="3">
        <v>2999</v>
      </c>
      <c r="B610" s="4" t="s">
        <v>3723</v>
      </c>
      <c r="C610" s="5">
        <v>324199</v>
      </c>
      <c r="D610" s="4" t="s">
        <v>3019</v>
      </c>
    </row>
    <row r="611" spans="1:4" x14ac:dyDescent="0.25">
      <c r="A611" s="3">
        <v>3011</v>
      </c>
      <c r="B611" s="4" t="s">
        <v>3725</v>
      </c>
      <c r="C611" s="5">
        <v>326211</v>
      </c>
      <c r="D611" s="4" t="s">
        <v>3097</v>
      </c>
    </row>
    <row r="612" spans="1:4" x14ac:dyDescent="0.25">
      <c r="A612" s="3">
        <v>3021</v>
      </c>
      <c r="B612" s="4" t="s">
        <v>3727</v>
      </c>
      <c r="C612" s="5">
        <v>316211</v>
      </c>
      <c r="D612" s="4" t="s">
        <v>5847</v>
      </c>
    </row>
    <row r="613" spans="1:4" x14ac:dyDescent="0.25">
      <c r="A613" s="3">
        <v>3052</v>
      </c>
      <c r="B613" s="4" t="s">
        <v>3729</v>
      </c>
      <c r="C613" s="5">
        <v>326220</v>
      </c>
      <c r="D613" s="4" t="s">
        <v>3101</v>
      </c>
    </row>
    <row r="614" spans="1:4" x14ac:dyDescent="0.25">
      <c r="A614" s="3">
        <v>3053</v>
      </c>
      <c r="B614" s="4" t="s">
        <v>3731</v>
      </c>
      <c r="C614" s="5">
        <v>339991</v>
      </c>
      <c r="D614" s="4" t="s">
        <v>3508</v>
      </c>
    </row>
    <row r="615" spans="1:4" x14ac:dyDescent="0.25">
      <c r="A615" s="3">
        <v>3061</v>
      </c>
      <c r="B615" s="4" t="s">
        <v>3733</v>
      </c>
      <c r="C615" s="5">
        <v>326291</v>
      </c>
      <c r="D615" s="4" t="s">
        <v>3103</v>
      </c>
    </row>
    <row r="616" spans="1:4" x14ac:dyDescent="0.25">
      <c r="A616" s="3">
        <v>3069</v>
      </c>
      <c r="B616" s="4" t="s">
        <v>3735</v>
      </c>
      <c r="C616" s="5">
        <v>313320</v>
      </c>
      <c r="D616" s="4" t="s">
        <v>2921</v>
      </c>
    </row>
    <row r="617" spans="1:4" x14ac:dyDescent="0.25">
      <c r="A617" s="3">
        <v>3069</v>
      </c>
      <c r="B617" s="4" t="s">
        <v>3737</v>
      </c>
      <c r="C617" s="5">
        <v>314911</v>
      </c>
      <c r="D617" s="4" t="s">
        <v>5801</v>
      </c>
    </row>
    <row r="618" spans="1:4" x14ac:dyDescent="0.25">
      <c r="A618" s="3">
        <v>3069</v>
      </c>
      <c r="B618" s="4" t="s">
        <v>3739</v>
      </c>
      <c r="C618" s="5">
        <v>315299</v>
      </c>
      <c r="D618" s="4" t="s">
        <v>5784</v>
      </c>
    </row>
    <row r="619" spans="1:4" ht="25.5" x14ac:dyDescent="0.25">
      <c r="A619" s="3">
        <v>3069</v>
      </c>
      <c r="B619" s="4" t="s">
        <v>3741</v>
      </c>
      <c r="C619" s="5">
        <v>315999</v>
      </c>
      <c r="D619" s="4" t="s">
        <v>5791</v>
      </c>
    </row>
    <row r="620" spans="1:4" x14ac:dyDescent="0.25">
      <c r="A620" s="3">
        <v>3069</v>
      </c>
      <c r="B620" s="4" t="s">
        <v>3743</v>
      </c>
      <c r="C620" s="5">
        <v>326192</v>
      </c>
      <c r="D620" s="4" t="s">
        <v>5848</v>
      </c>
    </row>
    <row r="621" spans="1:4" ht="38.25" x14ac:dyDescent="0.25">
      <c r="A621" s="3">
        <v>3069</v>
      </c>
      <c r="B621" s="4" t="s">
        <v>3745</v>
      </c>
      <c r="C621" s="5">
        <v>326299</v>
      </c>
      <c r="D621" s="4" t="s">
        <v>3105</v>
      </c>
    </row>
    <row r="622" spans="1:4" x14ac:dyDescent="0.25">
      <c r="A622" s="3">
        <v>3069</v>
      </c>
      <c r="B622" s="4" t="s">
        <v>3747</v>
      </c>
      <c r="C622" s="5">
        <v>339113</v>
      </c>
      <c r="D622" s="4" t="s">
        <v>5849</v>
      </c>
    </row>
    <row r="623" spans="1:4" x14ac:dyDescent="0.25">
      <c r="A623" s="3">
        <v>3069</v>
      </c>
      <c r="B623" s="4" t="s">
        <v>3749</v>
      </c>
      <c r="C623" s="5">
        <v>339920</v>
      </c>
      <c r="D623" s="4" t="s">
        <v>3500</v>
      </c>
    </row>
    <row r="624" spans="1:4" x14ac:dyDescent="0.25">
      <c r="A624" s="3">
        <v>3069</v>
      </c>
      <c r="B624" s="4" t="s">
        <v>3751</v>
      </c>
      <c r="C624" s="5">
        <v>339932</v>
      </c>
      <c r="D624" s="4" t="s">
        <v>5850</v>
      </c>
    </row>
    <row r="625" spans="1:4" ht="25.5" x14ac:dyDescent="0.25">
      <c r="A625" s="3">
        <v>3081</v>
      </c>
      <c r="B625" s="4" t="s">
        <v>3753</v>
      </c>
      <c r="C625" s="5">
        <v>326113</v>
      </c>
      <c r="D625" s="4" t="s">
        <v>3079</v>
      </c>
    </row>
    <row r="626" spans="1:4" x14ac:dyDescent="0.25">
      <c r="A626" s="3">
        <v>3082</v>
      </c>
      <c r="B626" s="4" t="s">
        <v>3755</v>
      </c>
      <c r="C626" s="5">
        <v>326121</v>
      </c>
      <c r="D626" s="4" t="s">
        <v>3081</v>
      </c>
    </row>
    <row r="627" spans="1:4" ht="25.5" x14ac:dyDescent="0.25">
      <c r="A627" s="3">
        <v>3083</v>
      </c>
      <c r="B627" s="4" t="s">
        <v>3757</v>
      </c>
      <c r="C627" s="5">
        <v>326130</v>
      </c>
      <c r="D627" s="4" t="s">
        <v>3085</v>
      </c>
    </row>
    <row r="628" spans="1:4" x14ac:dyDescent="0.25">
      <c r="A628" s="3">
        <v>3084</v>
      </c>
      <c r="B628" s="4" t="s">
        <v>3759</v>
      </c>
      <c r="C628" s="5">
        <v>326122</v>
      </c>
      <c r="D628" s="4" t="s">
        <v>3083</v>
      </c>
    </row>
    <row r="629" spans="1:4" x14ac:dyDescent="0.25">
      <c r="A629" s="3">
        <v>3085</v>
      </c>
      <c r="B629" s="4" t="s">
        <v>3761</v>
      </c>
      <c r="C629" s="5">
        <v>326160</v>
      </c>
      <c r="D629" s="4" t="s">
        <v>3091</v>
      </c>
    </row>
    <row r="630" spans="1:4" x14ac:dyDescent="0.25">
      <c r="A630" s="3">
        <v>3086</v>
      </c>
      <c r="B630" s="4" t="s">
        <v>3763</v>
      </c>
      <c r="C630" s="5">
        <v>326140</v>
      </c>
      <c r="D630" s="4" t="s">
        <v>3087</v>
      </c>
    </row>
    <row r="631" spans="1:4" ht="25.5" x14ac:dyDescent="0.25">
      <c r="A631" s="3">
        <v>3086</v>
      </c>
      <c r="B631" s="4" t="s">
        <v>3765</v>
      </c>
      <c r="C631" s="5">
        <v>326150</v>
      </c>
      <c r="D631" s="4" t="s">
        <v>3089</v>
      </c>
    </row>
    <row r="632" spans="1:4" x14ac:dyDescent="0.25">
      <c r="A632" s="3">
        <v>3087</v>
      </c>
      <c r="B632" s="4" t="s">
        <v>3767</v>
      </c>
      <c r="C632" s="5">
        <v>325991</v>
      </c>
      <c r="D632" s="4" t="s">
        <v>5851</v>
      </c>
    </row>
    <row r="633" spans="1:4" x14ac:dyDescent="0.25">
      <c r="A633" s="3">
        <v>3088</v>
      </c>
      <c r="B633" s="4" t="s">
        <v>3769</v>
      </c>
      <c r="C633" s="5">
        <v>326191</v>
      </c>
      <c r="D633" s="4" t="s">
        <v>3093</v>
      </c>
    </row>
    <row r="634" spans="1:4" x14ac:dyDescent="0.25">
      <c r="A634" s="3">
        <v>3089</v>
      </c>
      <c r="B634" s="4" t="s">
        <v>3771</v>
      </c>
      <c r="C634" s="5">
        <v>326121</v>
      </c>
      <c r="D634" s="4" t="s">
        <v>3081</v>
      </c>
    </row>
    <row r="635" spans="1:4" x14ac:dyDescent="0.25">
      <c r="A635" s="3">
        <v>3089</v>
      </c>
      <c r="B635" s="4" t="s">
        <v>3773</v>
      </c>
      <c r="C635" s="5">
        <v>326122</v>
      </c>
      <c r="D635" s="4" t="s">
        <v>3083</v>
      </c>
    </row>
    <row r="636" spans="1:4" ht="25.5" x14ac:dyDescent="0.25">
      <c r="A636" s="3">
        <v>3089</v>
      </c>
      <c r="B636" s="4" t="s">
        <v>3775</v>
      </c>
      <c r="C636" s="5">
        <v>326199</v>
      </c>
      <c r="D636" s="4" t="s">
        <v>3095</v>
      </c>
    </row>
    <row r="637" spans="1:4" x14ac:dyDescent="0.25">
      <c r="A637" s="3">
        <v>3089</v>
      </c>
      <c r="B637" s="4" t="s">
        <v>3777</v>
      </c>
      <c r="C637" s="5">
        <v>337215</v>
      </c>
      <c r="D637" s="4" t="s">
        <v>3482</v>
      </c>
    </row>
    <row r="638" spans="1:4" x14ac:dyDescent="0.25">
      <c r="A638" s="3">
        <v>3089</v>
      </c>
      <c r="B638" s="4" t="s">
        <v>3778</v>
      </c>
      <c r="C638" s="5">
        <v>339113</v>
      </c>
      <c r="D638" s="4" t="s">
        <v>3490</v>
      </c>
    </row>
    <row r="639" spans="1:4" x14ac:dyDescent="0.25">
      <c r="A639" s="3">
        <v>3111</v>
      </c>
      <c r="B639" s="4" t="s">
        <v>3779</v>
      </c>
      <c r="C639" s="5">
        <v>316110</v>
      </c>
      <c r="D639" s="4" t="s">
        <v>2947</v>
      </c>
    </row>
    <row r="640" spans="1:4" x14ac:dyDescent="0.25">
      <c r="A640" s="3">
        <v>3131</v>
      </c>
      <c r="B640" s="4" t="s">
        <v>3780</v>
      </c>
      <c r="C640" s="5">
        <v>316999</v>
      </c>
      <c r="D640" s="4" t="s">
        <v>5852</v>
      </c>
    </row>
    <row r="641" spans="1:4" x14ac:dyDescent="0.25">
      <c r="A641" s="3">
        <v>3131</v>
      </c>
      <c r="B641" s="4" t="s">
        <v>3781</v>
      </c>
      <c r="C641" s="5">
        <v>321999</v>
      </c>
      <c r="D641" s="4" t="s">
        <v>2980</v>
      </c>
    </row>
    <row r="642" spans="1:4" x14ac:dyDescent="0.25">
      <c r="A642" s="3">
        <v>3131</v>
      </c>
      <c r="B642" s="4" t="s">
        <v>3782</v>
      </c>
      <c r="C642" s="5">
        <v>339993</v>
      </c>
      <c r="D642" s="4" t="s">
        <v>3512</v>
      </c>
    </row>
    <row r="643" spans="1:4" x14ac:dyDescent="0.25">
      <c r="A643" s="3">
        <v>3142</v>
      </c>
      <c r="B643" s="4" t="s">
        <v>3783</v>
      </c>
      <c r="C643" s="5">
        <v>316212</v>
      </c>
      <c r="D643" s="4" t="s">
        <v>5853</v>
      </c>
    </row>
    <row r="644" spans="1:4" x14ac:dyDescent="0.25">
      <c r="A644" s="3">
        <v>3143</v>
      </c>
      <c r="B644" s="4" t="s">
        <v>3784</v>
      </c>
      <c r="C644" s="5">
        <v>316213</v>
      </c>
      <c r="D644" s="4" t="s">
        <v>5854</v>
      </c>
    </row>
    <row r="645" spans="1:4" x14ac:dyDescent="0.25">
      <c r="A645" s="3">
        <v>3144</v>
      </c>
      <c r="B645" s="4" t="s">
        <v>3785</v>
      </c>
      <c r="C645" s="5">
        <v>316214</v>
      </c>
      <c r="D645" s="4" t="s">
        <v>5855</v>
      </c>
    </row>
    <row r="646" spans="1:4" x14ac:dyDescent="0.25">
      <c r="A646" s="3">
        <v>3149</v>
      </c>
      <c r="B646" s="4" t="s">
        <v>3786</v>
      </c>
      <c r="C646" s="5">
        <v>316219</v>
      </c>
      <c r="D646" s="4" t="s">
        <v>5856</v>
      </c>
    </row>
    <row r="647" spans="1:4" x14ac:dyDescent="0.25">
      <c r="A647" s="3">
        <v>3151</v>
      </c>
      <c r="B647" s="4" t="s">
        <v>3787</v>
      </c>
      <c r="C647" s="5">
        <v>315211</v>
      </c>
      <c r="D647" s="4" t="s">
        <v>5777</v>
      </c>
    </row>
    <row r="648" spans="1:4" ht="25.5" x14ac:dyDescent="0.25">
      <c r="A648" s="3">
        <v>3151</v>
      </c>
      <c r="B648" s="4" t="s">
        <v>3788</v>
      </c>
      <c r="C648" s="5">
        <v>315212</v>
      </c>
      <c r="D648" s="4" t="s">
        <v>5785</v>
      </c>
    </row>
    <row r="649" spans="1:4" x14ac:dyDescent="0.25">
      <c r="A649" s="3">
        <v>3151</v>
      </c>
      <c r="B649" s="4" t="s">
        <v>3789</v>
      </c>
      <c r="C649" s="5">
        <v>315992</v>
      </c>
      <c r="D649" s="4" t="s">
        <v>5798</v>
      </c>
    </row>
    <row r="650" spans="1:4" x14ac:dyDescent="0.25">
      <c r="A650" s="3">
        <v>3161</v>
      </c>
      <c r="B650" s="4" t="s">
        <v>3790</v>
      </c>
      <c r="C650" s="5">
        <v>316991</v>
      </c>
      <c r="D650" s="4" t="s">
        <v>5857</v>
      </c>
    </row>
    <row r="651" spans="1:4" x14ac:dyDescent="0.25">
      <c r="A651" s="3">
        <v>3171</v>
      </c>
      <c r="B651" s="4" t="s">
        <v>3791</v>
      </c>
      <c r="C651" s="5">
        <v>316992</v>
      </c>
      <c r="D651" s="4" t="s">
        <v>2951</v>
      </c>
    </row>
    <row r="652" spans="1:4" ht="25.5" x14ac:dyDescent="0.25">
      <c r="A652" s="3">
        <v>3172</v>
      </c>
      <c r="B652" s="4" t="s">
        <v>3792</v>
      </c>
      <c r="C652" s="5">
        <v>316993</v>
      </c>
      <c r="D652" s="4" t="s">
        <v>5858</v>
      </c>
    </row>
    <row r="653" spans="1:4" ht="25.5" x14ac:dyDescent="0.25">
      <c r="A653" s="3">
        <v>3172</v>
      </c>
      <c r="B653" s="4" t="s">
        <v>3793</v>
      </c>
      <c r="C653" s="5">
        <v>339914</v>
      </c>
      <c r="D653" s="4" t="s">
        <v>5859</v>
      </c>
    </row>
    <row r="654" spans="1:4" x14ac:dyDescent="0.25">
      <c r="A654" s="3">
        <v>3199</v>
      </c>
      <c r="B654" s="4" t="s">
        <v>3794</v>
      </c>
      <c r="C654" s="5">
        <v>316999</v>
      </c>
      <c r="D654" s="4" t="s">
        <v>5852</v>
      </c>
    </row>
    <row r="655" spans="1:4" x14ac:dyDescent="0.25">
      <c r="A655" s="3">
        <v>3211</v>
      </c>
      <c r="B655" s="4" t="s">
        <v>3795</v>
      </c>
      <c r="C655" s="5">
        <v>327211</v>
      </c>
      <c r="D655" s="4" t="s">
        <v>3111</v>
      </c>
    </row>
    <row r="656" spans="1:4" x14ac:dyDescent="0.25">
      <c r="A656" s="3">
        <v>3221</v>
      </c>
      <c r="B656" s="4" t="s">
        <v>3796</v>
      </c>
      <c r="C656" s="5">
        <v>327213</v>
      </c>
      <c r="D656" s="4" t="s">
        <v>3115</v>
      </c>
    </row>
    <row r="657" spans="1:4" ht="25.5" x14ac:dyDescent="0.25">
      <c r="A657" s="3">
        <v>3229</v>
      </c>
      <c r="B657" s="4" t="s">
        <v>3797</v>
      </c>
      <c r="C657" s="5">
        <v>327212</v>
      </c>
      <c r="D657" s="4" t="s">
        <v>3113</v>
      </c>
    </row>
    <row r="658" spans="1:4" x14ac:dyDescent="0.25">
      <c r="A658" s="3">
        <v>3231</v>
      </c>
      <c r="B658" s="4" t="s">
        <v>3798</v>
      </c>
      <c r="C658" s="5">
        <v>327215</v>
      </c>
      <c r="D658" s="4" t="s">
        <v>3117</v>
      </c>
    </row>
    <row r="659" spans="1:4" x14ac:dyDescent="0.25">
      <c r="A659" s="3">
        <v>3241</v>
      </c>
      <c r="B659" s="4" t="s">
        <v>3799</v>
      </c>
      <c r="C659" s="5">
        <v>327310</v>
      </c>
      <c r="D659" s="4" t="s">
        <v>693</v>
      </c>
    </row>
    <row r="660" spans="1:4" x14ac:dyDescent="0.25">
      <c r="A660" s="3">
        <v>3251</v>
      </c>
      <c r="B660" s="4" t="s">
        <v>3800</v>
      </c>
      <c r="C660" s="5">
        <v>327121</v>
      </c>
      <c r="D660" s="4" t="s">
        <v>5860</v>
      </c>
    </row>
    <row r="661" spans="1:4" x14ac:dyDescent="0.25">
      <c r="A661" s="3">
        <v>3251</v>
      </c>
      <c r="B661" s="4" t="s">
        <v>3801</v>
      </c>
      <c r="C661" s="5">
        <v>327331</v>
      </c>
      <c r="D661" s="4" t="s">
        <v>3122</v>
      </c>
    </row>
    <row r="662" spans="1:4" x14ac:dyDescent="0.25">
      <c r="A662" s="3">
        <v>3253</v>
      </c>
      <c r="B662" s="4" t="s">
        <v>3802</v>
      </c>
      <c r="C662" s="5">
        <v>327122</v>
      </c>
      <c r="D662" s="4" t="s">
        <v>5861</v>
      </c>
    </row>
    <row r="663" spans="1:4" x14ac:dyDescent="0.25">
      <c r="A663" s="3">
        <v>3255</v>
      </c>
      <c r="B663" s="4" t="s">
        <v>3803</v>
      </c>
      <c r="C663" s="5">
        <v>327124</v>
      </c>
      <c r="D663" s="4" t="s">
        <v>5862</v>
      </c>
    </row>
    <row r="664" spans="1:4" x14ac:dyDescent="0.25">
      <c r="A664" s="3">
        <v>3259</v>
      </c>
      <c r="B664" s="4" t="s">
        <v>3804</v>
      </c>
      <c r="C664" s="5">
        <v>327123</v>
      </c>
      <c r="D664" s="4" t="s">
        <v>5863</v>
      </c>
    </row>
    <row r="665" spans="1:4" ht="25.5" x14ac:dyDescent="0.25">
      <c r="A665" s="3">
        <v>3261</v>
      </c>
      <c r="B665" s="4" t="s">
        <v>3805</v>
      </c>
      <c r="C665" s="5">
        <v>327111</v>
      </c>
      <c r="D665" s="4" t="s">
        <v>5864</v>
      </c>
    </row>
    <row r="666" spans="1:4" ht="25.5" x14ac:dyDescent="0.25">
      <c r="A666" s="3">
        <v>3262</v>
      </c>
      <c r="B666" s="4" t="s">
        <v>3806</v>
      </c>
      <c r="C666" s="5">
        <v>327112</v>
      </c>
      <c r="D666" s="4" t="s">
        <v>5865</v>
      </c>
    </row>
    <row r="667" spans="1:4" ht="25.5" x14ac:dyDescent="0.25">
      <c r="A667" s="3">
        <v>3263</v>
      </c>
      <c r="B667" s="4" t="s">
        <v>3807</v>
      </c>
      <c r="C667" s="5">
        <v>327112</v>
      </c>
      <c r="D667" s="4" t="s">
        <v>5865</v>
      </c>
    </row>
    <row r="668" spans="1:4" x14ac:dyDescent="0.25">
      <c r="A668" s="3">
        <v>3264</v>
      </c>
      <c r="B668" s="4" t="s">
        <v>3808</v>
      </c>
      <c r="C668" s="5">
        <v>327113</v>
      </c>
      <c r="D668" s="4" t="s">
        <v>5866</v>
      </c>
    </row>
    <row r="669" spans="1:4" ht="25.5" x14ac:dyDescent="0.25">
      <c r="A669" s="3">
        <v>3269</v>
      </c>
      <c r="B669" s="4" t="s">
        <v>3809</v>
      </c>
      <c r="C669" s="5">
        <v>327112</v>
      </c>
      <c r="D669" s="4" t="s">
        <v>5865</v>
      </c>
    </row>
    <row r="670" spans="1:4" x14ac:dyDescent="0.25">
      <c r="A670" s="3">
        <v>3271</v>
      </c>
      <c r="B670" s="4" t="s">
        <v>3810</v>
      </c>
      <c r="C670" s="5">
        <v>327331</v>
      </c>
      <c r="D670" s="4" t="s">
        <v>3122</v>
      </c>
    </row>
    <row r="671" spans="1:4" x14ac:dyDescent="0.25">
      <c r="A671" s="3">
        <v>3272</v>
      </c>
      <c r="B671" s="4" t="s">
        <v>3811</v>
      </c>
      <c r="C671" s="5">
        <v>327332</v>
      </c>
      <c r="D671" s="4" t="s">
        <v>3124</v>
      </c>
    </row>
    <row r="672" spans="1:4" ht="25.5" x14ac:dyDescent="0.25">
      <c r="A672" s="3">
        <v>3272</v>
      </c>
      <c r="B672" s="4" t="s">
        <v>3812</v>
      </c>
      <c r="C672" s="5">
        <v>327390</v>
      </c>
      <c r="D672" s="4" t="s">
        <v>3126</v>
      </c>
    </row>
    <row r="673" spans="1:4" ht="25.5" x14ac:dyDescent="0.25">
      <c r="A673" s="3">
        <v>3272</v>
      </c>
      <c r="B673" s="4" t="s">
        <v>3813</v>
      </c>
      <c r="C673" s="5">
        <v>327999</v>
      </c>
      <c r="D673" s="4" t="s">
        <v>3140</v>
      </c>
    </row>
    <row r="674" spans="1:4" x14ac:dyDescent="0.25">
      <c r="A674" s="3">
        <v>3273</v>
      </c>
      <c r="B674" s="4" t="s">
        <v>3814</v>
      </c>
      <c r="C674" s="5">
        <v>327320</v>
      </c>
      <c r="D674" s="4" t="s">
        <v>3120</v>
      </c>
    </row>
    <row r="675" spans="1:4" x14ac:dyDescent="0.25">
      <c r="A675" s="3">
        <v>3274</v>
      </c>
      <c r="B675" s="4" t="s">
        <v>3815</v>
      </c>
      <c r="C675" s="5">
        <v>327410</v>
      </c>
      <c r="D675" s="4" t="s">
        <v>3128</v>
      </c>
    </row>
    <row r="676" spans="1:4" x14ac:dyDescent="0.25">
      <c r="A676" s="3">
        <v>3275</v>
      </c>
      <c r="B676" s="4" t="s">
        <v>3816</v>
      </c>
      <c r="C676" s="5">
        <v>327420</v>
      </c>
      <c r="D676" s="4" t="s">
        <v>3130</v>
      </c>
    </row>
    <row r="677" spans="1:4" x14ac:dyDescent="0.25">
      <c r="A677" s="3">
        <v>3281</v>
      </c>
      <c r="B677" s="4" t="s">
        <v>3817</v>
      </c>
      <c r="C677" s="5">
        <v>327991</v>
      </c>
      <c r="D677" s="4" t="s">
        <v>3134</v>
      </c>
    </row>
    <row r="678" spans="1:4" x14ac:dyDescent="0.25">
      <c r="A678" s="3">
        <v>3291</v>
      </c>
      <c r="B678" s="4" t="s">
        <v>3818</v>
      </c>
      <c r="C678" s="5">
        <v>327910</v>
      </c>
      <c r="D678" s="4" t="s">
        <v>3132</v>
      </c>
    </row>
    <row r="679" spans="1:4" ht="25.5" x14ac:dyDescent="0.25">
      <c r="A679" s="3">
        <v>3291</v>
      </c>
      <c r="B679" s="4" t="s">
        <v>3820</v>
      </c>
      <c r="C679" s="5">
        <v>332999</v>
      </c>
      <c r="D679" s="4" t="s">
        <v>3248</v>
      </c>
    </row>
    <row r="680" spans="1:4" ht="25.5" x14ac:dyDescent="0.25">
      <c r="A680" s="3">
        <v>3292</v>
      </c>
      <c r="B680" s="4" t="s">
        <v>3822</v>
      </c>
      <c r="C680" s="5">
        <v>327999</v>
      </c>
      <c r="D680" s="4" t="s">
        <v>3140</v>
      </c>
    </row>
    <row r="681" spans="1:4" x14ac:dyDescent="0.25">
      <c r="A681" s="3">
        <v>3292</v>
      </c>
      <c r="B681" s="4" t="s">
        <v>3824</v>
      </c>
      <c r="C681" s="5">
        <v>336340</v>
      </c>
      <c r="D681" s="4" t="s">
        <v>3431</v>
      </c>
    </row>
    <row r="682" spans="1:4" ht="25.5" x14ac:dyDescent="0.25">
      <c r="A682" s="3">
        <v>3292</v>
      </c>
      <c r="B682" s="4" t="s">
        <v>3825</v>
      </c>
      <c r="C682" s="5">
        <v>336350</v>
      </c>
      <c r="D682" s="4" t="s">
        <v>3433</v>
      </c>
    </row>
    <row r="683" spans="1:4" ht="25.5" x14ac:dyDescent="0.25">
      <c r="A683" s="3">
        <v>3295</v>
      </c>
      <c r="B683" s="4" t="s">
        <v>3826</v>
      </c>
      <c r="C683" s="5">
        <v>212324</v>
      </c>
      <c r="D683" s="4" t="s">
        <v>2706</v>
      </c>
    </row>
    <row r="684" spans="1:4" ht="25.5" x14ac:dyDescent="0.25">
      <c r="A684" s="3">
        <v>3295</v>
      </c>
      <c r="B684" s="4" t="s">
        <v>3827</v>
      </c>
      <c r="C684" s="5">
        <v>212325</v>
      </c>
      <c r="D684" s="4" t="s">
        <v>2708</v>
      </c>
    </row>
    <row r="685" spans="1:4" ht="25.5" x14ac:dyDescent="0.25">
      <c r="A685" s="3">
        <v>3295</v>
      </c>
      <c r="B685" s="4" t="s">
        <v>3828</v>
      </c>
      <c r="C685" s="5">
        <v>212393</v>
      </c>
      <c r="D685" s="4" t="s">
        <v>2713</v>
      </c>
    </row>
    <row r="686" spans="1:4" ht="25.5" x14ac:dyDescent="0.25">
      <c r="A686" s="3">
        <v>3295</v>
      </c>
      <c r="B686" s="4" t="s">
        <v>3829</v>
      </c>
      <c r="C686" s="5">
        <v>212399</v>
      </c>
      <c r="D686" s="4" t="s">
        <v>2715</v>
      </c>
    </row>
    <row r="687" spans="1:4" ht="25.5" x14ac:dyDescent="0.25">
      <c r="A687" s="3">
        <v>3295</v>
      </c>
      <c r="B687" s="4" t="s">
        <v>3830</v>
      </c>
      <c r="C687" s="5">
        <v>327992</v>
      </c>
      <c r="D687" s="4" t="s">
        <v>3136</v>
      </c>
    </row>
    <row r="688" spans="1:4" x14ac:dyDescent="0.25">
      <c r="A688" s="3">
        <v>3296</v>
      </c>
      <c r="B688" s="4" t="s">
        <v>3831</v>
      </c>
      <c r="C688" s="5">
        <v>327993</v>
      </c>
      <c r="D688" s="4" t="s">
        <v>3138</v>
      </c>
    </row>
    <row r="689" spans="1:4" x14ac:dyDescent="0.25">
      <c r="A689" s="3">
        <v>3297</v>
      </c>
      <c r="B689" s="4" t="s">
        <v>3832</v>
      </c>
      <c r="C689" s="5">
        <v>327125</v>
      </c>
      <c r="D689" s="4" t="s">
        <v>5867</v>
      </c>
    </row>
    <row r="690" spans="1:4" ht="25.5" x14ac:dyDescent="0.25">
      <c r="A690" s="3">
        <v>3299</v>
      </c>
      <c r="B690" s="4" t="s">
        <v>3833</v>
      </c>
      <c r="C690" s="5">
        <v>327112</v>
      </c>
      <c r="D690" s="4" t="s">
        <v>5865</v>
      </c>
    </row>
    <row r="691" spans="1:4" ht="25.5" x14ac:dyDescent="0.25">
      <c r="A691" s="3">
        <v>3299</v>
      </c>
      <c r="B691" s="4" t="s">
        <v>3834</v>
      </c>
      <c r="C691" s="5">
        <v>327420</v>
      </c>
      <c r="D691" s="4" t="s">
        <v>3130</v>
      </c>
    </row>
    <row r="692" spans="1:4" ht="25.5" x14ac:dyDescent="0.25">
      <c r="A692" s="3">
        <v>3299</v>
      </c>
      <c r="B692" s="4" t="s">
        <v>3835</v>
      </c>
      <c r="C692" s="5">
        <v>327999</v>
      </c>
      <c r="D692" s="4" t="s">
        <v>3140</v>
      </c>
    </row>
    <row r="693" spans="1:4" x14ac:dyDescent="0.25">
      <c r="A693" s="3">
        <v>3312</v>
      </c>
      <c r="B693" s="4" t="s">
        <v>3836</v>
      </c>
      <c r="C693" s="5">
        <v>324199</v>
      </c>
      <c r="D693" s="4" t="s">
        <v>3019</v>
      </c>
    </row>
    <row r="694" spans="1:4" ht="25.5" x14ac:dyDescent="0.25">
      <c r="A694" s="3">
        <v>3312</v>
      </c>
      <c r="B694" s="4" t="s">
        <v>3837</v>
      </c>
      <c r="C694" s="5">
        <v>331111</v>
      </c>
      <c r="D694" s="4" t="s">
        <v>5868</v>
      </c>
    </row>
    <row r="695" spans="1:4" ht="25.5" x14ac:dyDescent="0.25">
      <c r="A695" s="3">
        <v>3312</v>
      </c>
      <c r="B695" s="4" t="s">
        <v>3838</v>
      </c>
      <c r="C695" s="5">
        <v>331221</v>
      </c>
      <c r="D695" s="4" t="s">
        <v>3146</v>
      </c>
    </row>
    <row r="696" spans="1:4" x14ac:dyDescent="0.25">
      <c r="A696" s="3">
        <v>3313</v>
      </c>
      <c r="B696" s="4" t="s">
        <v>3839</v>
      </c>
      <c r="C696" s="5">
        <v>331112</v>
      </c>
      <c r="D696" s="4" t="s">
        <v>5869</v>
      </c>
    </row>
    <row r="697" spans="1:4" x14ac:dyDescent="0.25">
      <c r="A697" s="3">
        <v>3315</v>
      </c>
      <c r="B697" s="4" t="s">
        <v>3840</v>
      </c>
      <c r="C697" s="5">
        <v>331222</v>
      </c>
      <c r="D697" s="4" t="s">
        <v>3148</v>
      </c>
    </row>
    <row r="698" spans="1:4" ht="25.5" x14ac:dyDescent="0.25">
      <c r="A698" s="3">
        <v>3315</v>
      </c>
      <c r="B698" s="4" t="s">
        <v>3841</v>
      </c>
      <c r="C698" s="5">
        <v>332618</v>
      </c>
      <c r="D698" s="4" t="s">
        <v>3216</v>
      </c>
    </row>
    <row r="699" spans="1:4" x14ac:dyDescent="0.25">
      <c r="A699" s="3">
        <v>3316</v>
      </c>
      <c r="B699" s="4" t="s">
        <v>3842</v>
      </c>
      <c r="C699" s="5">
        <v>331221</v>
      </c>
      <c r="D699" s="4" t="s">
        <v>3146</v>
      </c>
    </row>
    <row r="700" spans="1:4" ht="25.5" x14ac:dyDescent="0.25">
      <c r="A700" s="3">
        <v>3317</v>
      </c>
      <c r="B700" s="4" t="s">
        <v>3843</v>
      </c>
      <c r="C700" s="5">
        <v>331210</v>
      </c>
      <c r="D700" s="4" t="s">
        <v>5870</v>
      </c>
    </row>
    <row r="701" spans="1:4" x14ac:dyDescent="0.25">
      <c r="A701" s="3">
        <v>3321</v>
      </c>
      <c r="B701" s="4" t="s">
        <v>3844</v>
      </c>
      <c r="C701" s="5">
        <v>331511</v>
      </c>
      <c r="D701" s="4" t="s">
        <v>3166</v>
      </c>
    </row>
    <row r="702" spans="1:4" x14ac:dyDescent="0.25">
      <c r="A702" s="3">
        <v>3322</v>
      </c>
      <c r="B702" s="4" t="s">
        <v>3845</v>
      </c>
      <c r="C702" s="5">
        <v>331511</v>
      </c>
      <c r="D702" s="4" t="s">
        <v>3166</v>
      </c>
    </row>
    <row r="703" spans="1:4" x14ac:dyDescent="0.25">
      <c r="A703" s="3">
        <v>3324</v>
      </c>
      <c r="B703" s="4" t="s">
        <v>3168</v>
      </c>
      <c r="C703" s="5">
        <v>331512</v>
      </c>
      <c r="D703" s="4" t="s">
        <v>3168</v>
      </c>
    </row>
    <row r="704" spans="1:4" x14ac:dyDescent="0.25">
      <c r="A704" s="3">
        <v>3325</v>
      </c>
      <c r="B704" s="4" t="s">
        <v>3846</v>
      </c>
      <c r="C704" s="5">
        <v>331513</v>
      </c>
      <c r="D704" s="4" t="s">
        <v>3170</v>
      </c>
    </row>
    <row r="705" spans="1:4" x14ac:dyDescent="0.25">
      <c r="A705" s="3">
        <v>3331</v>
      </c>
      <c r="B705" s="4" t="s">
        <v>3847</v>
      </c>
      <c r="C705" s="5">
        <v>331411</v>
      </c>
      <c r="D705" s="4" t="s">
        <v>3847</v>
      </c>
    </row>
    <row r="706" spans="1:4" x14ac:dyDescent="0.25">
      <c r="A706" s="3">
        <v>3334</v>
      </c>
      <c r="B706" s="4" t="s">
        <v>3848</v>
      </c>
      <c r="C706" s="5">
        <v>331312</v>
      </c>
      <c r="D706" s="4" t="s">
        <v>5871</v>
      </c>
    </row>
    <row r="707" spans="1:4" ht="25.5" x14ac:dyDescent="0.25">
      <c r="A707" s="3">
        <v>3339</v>
      </c>
      <c r="B707" s="4" t="s">
        <v>3849</v>
      </c>
      <c r="C707" s="5">
        <v>331419</v>
      </c>
      <c r="D707" s="4" t="s">
        <v>5872</v>
      </c>
    </row>
    <row r="708" spans="1:4" x14ac:dyDescent="0.25">
      <c r="A708" s="3">
        <v>3341</v>
      </c>
      <c r="B708" s="4" t="s">
        <v>3850</v>
      </c>
      <c r="C708" s="5">
        <v>331314</v>
      </c>
      <c r="D708" s="4" t="s">
        <v>3152</v>
      </c>
    </row>
    <row r="709" spans="1:4" x14ac:dyDescent="0.25">
      <c r="A709" s="3">
        <v>3341</v>
      </c>
      <c r="B709" s="4" t="s">
        <v>3851</v>
      </c>
      <c r="C709" s="5">
        <v>331423</v>
      </c>
      <c r="D709" s="4" t="s">
        <v>5873</v>
      </c>
    </row>
    <row r="710" spans="1:4" ht="25.5" x14ac:dyDescent="0.25">
      <c r="A710" s="3">
        <v>3341</v>
      </c>
      <c r="B710" s="4" t="s">
        <v>3852</v>
      </c>
      <c r="C710" s="5">
        <v>331492</v>
      </c>
      <c r="D710" s="4" t="s">
        <v>3164</v>
      </c>
    </row>
    <row r="711" spans="1:4" x14ac:dyDescent="0.25">
      <c r="A711" s="3">
        <v>3351</v>
      </c>
      <c r="B711" s="4" t="s">
        <v>3853</v>
      </c>
      <c r="C711" s="5">
        <v>331421</v>
      </c>
      <c r="D711" s="4" t="s">
        <v>5874</v>
      </c>
    </row>
    <row r="712" spans="1:4" x14ac:dyDescent="0.25">
      <c r="A712" s="3">
        <v>3353</v>
      </c>
      <c r="B712" s="4" t="s">
        <v>3854</v>
      </c>
      <c r="C712" s="5">
        <v>331315</v>
      </c>
      <c r="D712" s="4" t="s">
        <v>3154</v>
      </c>
    </row>
    <row r="713" spans="1:4" x14ac:dyDescent="0.25">
      <c r="A713" s="3">
        <v>3354</v>
      </c>
      <c r="B713" s="4" t="s">
        <v>3855</v>
      </c>
      <c r="C713" s="5">
        <v>331316</v>
      </c>
      <c r="D713" s="4" t="s">
        <v>5875</v>
      </c>
    </row>
    <row r="714" spans="1:4" x14ac:dyDescent="0.25">
      <c r="A714" s="3">
        <v>3355</v>
      </c>
      <c r="B714" s="4" t="s">
        <v>3856</v>
      </c>
      <c r="C714" s="5">
        <v>331319</v>
      </c>
      <c r="D714" s="4" t="s">
        <v>5876</v>
      </c>
    </row>
    <row r="715" spans="1:4" ht="25.5" x14ac:dyDescent="0.25">
      <c r="A715" s="3">
        <v>3356</v>
      </c>
      <c r="B715" s="4" t="s">
        <v>3857</v>
      </c>
      <c r="C715" s="5">
        <v>331491</v>
      </c>
      <c r="D715" s="4" t="s">
        <v>3162</v>
      </c>
    </row>
    <row r="716" spans="1:4" x14ac:dyDescent="0.25">
      <c r="A716" s="3">
        <v>3357</v>
      </c>
      <c r="B716" s="4" t="s">
        <v>3858</v>
      </c>
      <c r="C716" s="5">
        <v>331319</v>
      </c>
      <c r="D716" s="4" t="s">
        <v>5876</v>
      </c>
    </row>
    <row r="717" spans="1:4" x14ac:dyDescent="0.25">
      <c r="A717" s="3">
        <v>3357</v>
      </c>
      <c r="B717" s="4" t="s">
        <v>3859</v>
      </c>
      <c r="C717" s="5">
        <v>331422</v>
      </c>
      <c r="D717" s="4" t="s">
        <v>5877</v>
      </c>
    </row>
    <row r="718" spans="1:4" ht="25.5" x14ac:dyDescent="0.25">
      <c r="A718" s="3">
        <v>3357</v>
      </c>
      <c r="B718" s="4" t="s">
        <v>3860</v>
      </c>
      <c r="C718" s="5">
        <v>331491</v>
      </c>
      <c r="D718" s="4" t="s">
        <v>3162</v>
      </c>
    </row>
    <row r="719" spans="1:4" x14ac:dyDescent="0.25">
      <c r="A719" s="3">
        <v>3357</v>
      </c>
      <c r="B719" s="4" t="s">
        <v>3861</v>
      </c>
      <c r="C719" s="5">
        <v>335921</v>
      </c>
      <c r="D719" s="4" t="s">
        <v>3399</v>
      </c>
    </row>
    <row r="720" spans="1:4" ht="25.5" x14ac:dyDescent="0.25">
      <c r="A720" s="3">
        <v>3357</v>
      </c>
      <c r="B720" s="4" t="s">
        <v>3863</v>
      </c>
      <c r="C720" s="5">
        <v>335929</v>
      </c>
      <c r="D720" s="4" t="s">
        <v>3401</v>
      </c>
    </row>
    <row r="721" spans="1:4" x14ac:dyDescent="0.25">
      <c r="A721" s="3">
        <v>3363</v>
      </c>
      <c r="B721" s="4" t="s">
        <v>3865</v>
      </c>
      <c r="C721" s="5">
        <v>331521</v>
      </c>
      <c r="D721" s="4" t="s">
        <v>5878</v>
      </c>
    </row>
    <row r="722" spans="1:4" x14ac:dyDescent="0.25">
      <c r="A722" s="3">
        <v>3364</v>
      </c>
      <c r="B722" s="4" t="s">
        <v>3867</v>
      </c>
      <c r="C722" s="5">
        <v>331522</v>
      </c>
      <c r="D722" s="4" t="s">
        <v>5879</v>
      </c>
    </row>
    <row r="723" spans="1:4" x14ac:dyDescent="0.25">
      <c r="A723" s="3">
        <v>3365</v>
      </c>
      <c r="B723" s="4" t="s">
        <v>3869</v>
      </c>
      <c r="C723" s="5">
        <v>331524</v>
      </c>
      <c r="D723" s="4" t="s">
        <v>3174</v>
      </c>
    </row>
    <row r="724" spans="1:4" x14ac:dyDescent="0.25">
      <c r="A724" s="3">
        <v>3366</v>
      </c>
      <c r="B724" s="4" t="s">
        <v>3871</v>
      </c>
      <c r="C724" s="5">
        <v>331525</v>
      </c>
      <c r="D724" s="4" t="s">
        <v>5880</v>
      </c>
    </row>
    <row r="725" spans="1:4" x14ac:dyDescent="0.25">
      <c r="A725" s="3">
        <v>3369</v>
      </c>
      <c r="B725" s="4" t="s">
        <v>3873</v>
      </c>
      <c r="C725" s="5">
        <v>331528</v>
      </c>
      <c r="D725" s="4" t="s">
        <v>5881</v>
      </c>
    </row>
    <row r="726" spans="1:4" x14ac:dyDescent="0.25">
      <c r="A726" s="3">
        <v>3398</v>
      </c>
      <c r="B726" s="4" t="s">
        <v>3224</v>
      </c>
      <c r="C726" s="5">
        <v>332811</v>
      </c>
      <c r="D726" s="4" t="s">
        <v>3224</v>
      </c>
    </row>
    <row r="727" spans="1:4" x14ac:dyDescent="0.25">
      <c r="A727" s="3">
        <v>3399</v>
      </c>
      <c r="B727" s="4" t="s">
        <v>3876</v>
      </c>
      <c r="C727" s="5">
        <v>331111</v>
      </c>
      <c r="D727" s="4" t="s">
        <v>5868</v>
      </c>
    </row>
    <row r="728" spans="1:4" x14ac:dyDescent="0.25">
      <c r="A728" s="3">
        <v>3399</v>
      </c>
      <c r="B728" s="4" t="s">
        <v>3878</v>
      </c>
      <c r="C728" s="5">
        <v>331221</v>
      </c>
      <c r="D728" s="4" t="s">
        <v>3146</v>
      </c>
    </row>
    <row r="729" spans="1:4" x14ac:dyDescent="0.25">
      <c r="A729" s="3">
        <v>3399</v>
      </c>
      <c r="B729" s="4" t="s">
        <v>3880</v>
      </c>
      <c r="C729" s="5">
        <v>331314</v>
      </c>
      <c r="D729" s="4" t="s">
        <v>3152</v>
      </c>
    </row>
    <row r="730" spans="1:4" x14ac:dyDescent="0.25">
      <c r="A730" s="3">
        <v>3399</v>
      </c>
      <c r="B730" s="4" t="s">
        <v>3882</v>
      </c>
      <c r="C730" s="5">
        <v>331423</v>
      </c>
      <c r="D730" s="4" t="s">
        <v>5873</v>
      </c>
    </row>
    <row r="731" spans="1:4" ht="25.5" x14ac:dyDescent="0.25">
      <c r="A731" s="3">
        <v>3399</v>
      </c>
      <c r="B731" s="4" t="s">
        <v>3884</v>
      </c>
      <c r="C731" s="5">
        <v>331492</v>
      </c>
      <c r="D731" s="4" t="s">
        <v>3164</v>
      </c>
    </row>
    <row r="732" spans="1:4" ht="25.5" x14ac:dyDescent="0.25">
      <c r="A732" s="3">
        <v>3399</v>
      </c>
      <c r="B732" s="4" t="s">
        <v>3886</v>
      </c>
      <c r="C732" s="5">
        <v>332618</v>
      </c>
      <c r="D732" s="4" t="s">
        <v>3216</v>
      </c>
    </row>
    <row r="733" spans="1:4" x14ac:dyDescent="0.25">
      <c r="A733" s="3">
        <v>3399</v>
      </c>
      <c r="B733" s="4" t="s">
        <v>3888</v>
      </c>
      <c r="C733" s="5">
        <v>332813</v>
      </c>
      <c r="D733" s="4" t="s">
        <v>5882</v>
      </c>
    </row>
    <row r="734" spans="1:4" x14ac:dyDescent="0.25">
      <c r="A734" s="3">
        <v>3411</v>
      </c>
      <c r="B734" s="4" t="s">
        <v>3890</v>
      </c>
      <c r="C734" s="5">
        <v>332431</v>
      </c>
      <c r="D734" s="4" t="s">
        <v>3208</v>
      </c>
    </row>
    <row r="735" spans="1:4" x14ac:dyDescent="0.25">
      <c r="A735" s="3">
        <v>3412</v>
      </c>
      <c r="B735" s="4" t="s">
        <v>3892</v>
      </c>
      <c r="C735" s="5">
        <v>332439</v>
      </c>
      <c r="D735" s="4" t="s">
        <v>3210</v>
      </c>
    </row>
    <row r="736" spans="1:4" x14ac:dyDescent="0.25">
      <c r="A736" s="3">
        <v>3421</v>
      </c>
      <c r="B736" s="4" t="s">
        <v>3894</v>
      </c>
      <c r="C736" s="5">
        <v>332211</v>
      </c>
      <c r="D736" s="4" t="s">
        <v>5883</v>
      </c>
    </row>
    <row r="737" spans="1:4" x14ac:dyDescent="0.25">
      <c r="A737" s="3">
        <v>3421</v>
      </c>
      <c r="B737" s="4" t="s">
        <v>3896</v>
      </c>
      <c r="C737" s="5">
        <v>332212</v>
      </c>
      <c r="D737" s="4" t="s">
        <v>5884</v>
      </c>
    </row>
    <row r="738" spans="1:4" x14ac:dyDescent="0.25">
      <c r="A738" s="3">
        <v>3423</v>
      </c>
      <c r="B738" s="4" t="s">
        <v>3898</v>
      </c>
      <c r="C738" s="5">
        <v>332212</v>
      </c>
      <c r="D738" s="4" t="s">
        <v>5884</v>
      </c>
    </row>
    <row r="739" spans="1:4" x14ac:dyDescent="0.25">
      <c r="A739" s="3">
        <v>3425</v>
      </c>
      <c r="B739" s="4" t="s">
        <v>3900</v>
      </c>
      <c r="C739" s="5">
        <v>332213</v>
      </c>
      <c r="D739" s="4" t="s">
        <v>5885</v>
      </c>
    </row>
    <row r="740" spans="1:4" x14ac:dyDescent="0.25">
      <c r="A740" s="3">
        <v>3429</v>
      </c>
      <c r="B740" s="4" t="s">
        <v>3902</v>
      </c>
      <c r="C740" s="5">
        <v>332439</v>
      </c>
      <c r="D740" s="4" t="s">
        <v>3210</v>
      </c>
    </row>
    <row r="741" spans="1:4" ht="51" x14ac:dyDescent="0.25">
      <c r="A741" s="3">
        <v>3429</v>
      </c>
      <c r="B741" s="4" t="s">
        <v>3904</v>
      </c>
      <c r="C741" s="5">
        <v>332510</v>
      </c>
      <c r="D741" s="4" t="s">
        <v>3212</v>
      </c>
    </row>
    <row r="742" spans="1:4" x14ac:dyDescent="0.25">
      <c r="A742" s="3">
        <v>3429</v>
      </c>
      <c r="B742" s="4" t="s">
        <v>3906</v>
      </c>
      <c r="C742" s="5">
        <v>332722</v>
      </c>
      <c r="D742" s="4" t="s">
        <v>3222</v>
      </c>
    </row>
    <row r="743" spans="1:4" x14ac:dyDescent="0.25">
      <c r="A743" s="3">
        <v>3429</v>
      </c>
      <c r="B743" s="4" t="s">
        <v>3908</v>
      </c>
      <c r="C743" s="5">
        <v>332919</v>
      </c>
      <c r="D743" s="4" t="s">
        <v>3236</v>
      </c>
    </row>
    <row r="744" spans="1:4" ht="25.5" x14ac:dyDescent="0.25">
      <c r="A744" s="3">
        <v>3429</v>
      </c>
      <c r="B744" s="4" t="s">
        <v>3910</v>
      </c>
      <c r="C744" s="5">
        <v>332999</v>
      </c>
      <c r="D744" s="4" t="s">
        <v>3248</v>
      </c>
    </row>
    <row r="745" spans="1:4" ht="25.5" x14ac:dyDescent="0.25">
      <c r="A745" s="3">
        <v>3429</v>
      </c>
      <c r="B745" s="4" t="s">
        <v>3912</v>
      </c>
      <c r="C745" s="5">
        <v>333923</v>
      </c>
      <c r="D745" s="4" t="s">
        <v>3308</v>
      </c>
    </row>
    <row r="746" spans="1:4" x14ac:dyDescent="0.25">
      <c r="A746" s="3">
        <v>3429</v>
      </c>
      <c r="B746" s="4" t="s">
        <v>3914</v>
      </c>
      <c r="C746" s="5">
        <v>334518</v>
      </c>
      <c r="D746" s="4" t="s">
        <v>5886</v>
      </c>
    </row>
    <row r="747" spans="1:4" x14ac:dyDescent="0.25">
      <c r="A747" s="3">
        <v>3429</v>
      </c>
      <c r="B747" s="4" t="s">
        <v>3916</v>
      </c>
      <c r="C747" s="5">
        <v>336399</v>
      </c>
      <c r="D747" s="4" t="s">
        <v>5887</v>
      </c>
    </row>
    <row r="748" spans="1:4" x14ac:dyDescent="0.25">
      <c r="A748" s="3">
        <v>3429</v>
      </c>
      <c r="B748" s="4" t="s">
        <v>3918</v>
      </c>
      <c r="C748" s="5">
        <v>337215</v>
      </c>
      <c r="D748" s="4" t="s">
        <v>3482</v>
      </c>
    </row>
    <row r="749" spans="1:4" x14ac:dyDescent="0.25">
      <c r="A749" s="3">
        <v>3431</v>
      </c>
      <c r="B749" s="4" t="s">
        <v>3920</v>
      </c>
      <c r="C749" s="5">
        <v>332998</v>
      </c>
      <c r="D749" s="4" t="s">
        <v>5888</v>
      </c>
    </row>
    <row r="750" spans="1:4" ht="25.5" x14ac:dyDescent="0.25">
      <c r="A750" s="3">
        <v>3432</v>
      </c>
      <c r="B750" s="4" t="s">
        <v>3922</v>
      </c>
      <c r="C750" s="5">
        <v>332913</v>
      </c>
      <c r="D750" s="4" t="s">
        <v>5889</v>
      </c>
    </row>
    <row r="751" spans="1:4" x14ac:dyDescent="0.25">
      <c r="A751" s="3">
        <v>3432</v>
      </c>
      <c r="B751" s="4" t="s">
        <v>3924</v>
      </c>
      <c r="C751" s="5">
        <v>332919</v>
      </c>
      <c r="D751" s="4" t="s">
        <v>3236</v>
      </c>
    </row>
    <row r="752" spans="1:4" ht="25.5" x14ac:dyDescent="0.25">
      <c r="A752" s="3">
        <v>3432</v>
      </c>
      <c r="B752" s="4" t="s">
        <v>3926</v>
      </c>
      <c r="C752" s="5">
        <v>332999</v>
      </c>
      <c r="D752" s="4" t="s">
        <v>3248</v>
      </c>
    </row>
    <row r="753" spans="1:4" ht="25.5" x14ac:dyDescent="0.25">
      <c r="A753" s="3">
        <v>3433</v>
      </c>
      <c r="B753" s="4" t="s">
        <v>3928</v>
      </c>
      <c r="C753" s="5">
        <v>333414</v>
      </c>
      <c r="D753" s="4" t="s">
        <v>3278</v>
      </c>
    </row>
    <row r="754" spans="1:4" x14ac:dyDescent="0.25">
      <c r="A754" s="3">
        <v>3441</v>
      </c>
      <c r="B754" s="4" t="s">
        <v>3930</v>
      </c>
      <c r="C754" s="5">
        <v>332312</v>
      </c>
      <c r="D754" s="4" t="s">
        <v>3194</v>
      </c>
    </row>
    <row r="755" spans="1:4" x14ac:dyDescent="0.25">
      <c r="A755" s="3">
        <v>3442</v>
      </c>
      <c r="B755" s="4" t="s">
        <v>3932</v>
      </c>
      <c r="C755" s="5">
        <v>332321</v>
      </c>
      <c r="D755" s="4" t="s">
        <v>5890</v>
      </c>
    </row>
    <row r="756" spans="1:4" x14ac:dyDescent="0.25">
      <c r="A756" s="3">
        <v>3443</v>
      </c>
      <c r="B756" s="4" t="s">
        <v>3934</v>
      </c>
      <c r="C756" s="5">
        <v>332313</v>
      </c>
      <c r="D756" s="4" t="s">
        <v>3196</v>
      </c>
    </row>
    <row r="757" spans="1:4" x14ac:dyDescent="0.25">
      <c r="A757" s="3">
        <v>3443</v>
      </c>
      <c r="B757" s="4" t="s">
        <v>3936</v>
      </c>
      <c r="C757" s="5">
        <v>332410</v>
      </c>
      <c r="D757" s="4" t="s">
        <v>3204</v>
      </c>
    </row>
    <row r="758" spans="1:4" x14ac:dyDescent="0.25">
      <c r="A758" s="3">
        <v>3443</v>
      </c>
      <c r="B758" s="4" t="s">
        <v>3938</v>
      </c>
      <c r="C758" s="5">
        <v>332420</v>
      </c>
      <c r="D758" s="4" t="s">
        <v>5891</v>
      </c>
    </row>
    <row r="759" spans="1:4" ht="38.25" x14ac:dyDescent="0.25">
      <c r="A759" s="3">
        <v>3443</v>
      </c>
      <c r="B759" s="4" t="s">
        <v>3940</v>
      </c>
      <c r="C759" s="5">
        <v>333415</v>
      </c>
      <c r="D759" s="4" t="s">
        <v>3280</v>
      </c>
    </row>
    <row r="760" spans="1:4" x14ac:dyDescent="0.25">
      <c r="A760" s="3">
        <v>3444</v>
      </c>
      <c r="B760" s="4" t="s">
        <v>3942</v>
      </c>
      <c r="C760" s="5">
        <v>332321</v>
      </c>
      <c r="D760" s="4" t="s">
        <v>5890</v>
      </c>
    </row>
    <row r="761" spans="1:4" ht="25.5" x14ac:dyDescent="0.25">
      <c r="A761" s="3">
        <v>3444</v>
      </c>
      <c r="B761" s="4" t="s">
        <v>3944</v>
      </c>
      <c r="C761" s="5">
        <v>332322</v>
      </c>
      <c r="D761" s="4" t="s">
        <v>3200</v>
      </c>
    </row>
    <row r="762" spans="1:4" x14ac:dyDescent="0.25">
      <c r="A762" s="3">
        <v>3444</v>
      </c>
      <c r="B762" s="4" t="s">
        <v>3946</v>
      </c>
      <c r="C762" s="5">
        <v>332439</v>
      </c>
      <c r="D762" s="4" t="s">
        <v>3210</v>
      </c>
    </row>
    <row r="763" spans="1:4" ht="38.25" x14ac:dyDescent="0.25">
      <c r="A763" s="3">
        <v>3444</v>
      </c>
      <c r="B763" s="4" t="s">
        <v>3948</v>
      </c>
      <c r="C763" s="5">
        <v>333415</v>
      </c>
      <c r="D763" s="4" t="s">
        <v>3280</v>
      </c>
    </row>
    <row r="764" spans="1:4" x14ac:dyDescent="0.25">
      <c r="A764" s="3">
        <v>3446</v>
      </c>
      <c r="B764" s="4" t="s">
        <v>3950</v>
      </c>
      <c r="C764" s="5">
        <v>332323</v>
      </c>
      <c r="D764" s="4" t="s">
        <v>3202</v>
      </c>
    </row>
    <row r="765" spans="1:4" x14ac:dyDescent="0.25">
      <c r="A765" s="3">
        <v>3448</v>
      </c>
      <c r="B765" s="4" t="s">
        <v>3952</v>
      </c>
      <c r="C765" s="5">
        <v>332311</v>
      </c>
      <c r="D765" s="4" t="s">
        <v>5892</v>
      </c>
    </row>
    <row r="766" spans="1:4" x14ac:dyDescent="0.25">
      <c r="A766" s="3">
        <v>3449</v>
      </c>
      <c r="B766" s="4" t="s">
        <v>3954</v>
      </c>
      <c r="C766" s="5">
        <v>332114</v>
      </c>
      <c r="D766" s="4" t="s">
        <v>3182</v>
      </c>
    </row>
    <row r="767" spans="1:4" x14ac:dyDescent="0.25">
      <c r="A767" s="3">
        <v>3449</v>
      </c>
      <c r="B767" s="4" t="s">
        <v>3956</v>
      </c>
      <c r="C767" s="5">
        <v>332312</v>
      </c>
      <c r="D767" s="4" t="s">
        <v>3194</v>
      </c>
    </row>
    <row r="768" spans="1:4" x14ac:dyDescent="0.25">
      <c r="A768" s="3">
        <v>3449</v>
      </c>
      <c r="B768" s="4" t="s">
        <v>3958</v>
      </c>
      <c r="C768" s="5">
        <v>332323</v>
      </c>
      <c r="D768" s="4" t="s">
        <v>3202</v>
      </c>
    </row>
    <row r="769" spans="1:4" x14ac:dyDescent="0.25">
      <c r="A769" s="3">
        <v>3451</v>
      </c>
      <c r="B769" s="4" t="s">
        <v>3960</v>
      </c>
      <c r="C769" s="5">
        <v>332721</v>
      </c>
      <c r="D769" s="4" t="s">
        <v>3220</v>
      </c>
    </row>
    <row r="770" spans="1:4" x14ac:dyDescent="0.25">
      <c r="A770" s="3">
        <v>3452</v>
      </c>
      <c r="B770" s="4" t="s">
        <v>3962</v>
      </c>
      <c r="C770" s="5">
        <v>332722</v>
      </c>
      <c r="D770" s="4" t="s">
        <v>3222</v>
      </c>
    </row>
    <row r="771" spans="1:4" x14ac:dyDescent="0.25">
      <c r="A771" s="3">
        <v>3462</v>
      </c>
      <c r="B771" s="4" t="s">
        <v>3964</v>
      </c>
      <c r="C771" s="5">
        <v>332111</v>
      </c>
      <c r="D771" s="4" t="s">
        <v>3178</v>
      </c>
    </row>
    <row r="772" spans="1:4" x14ac:dyDescent="0.25">
      <c r="A772" s="3">
        <v>3463</v>
      </c>
      <c r="B772" s="4" t="s">
        <v>3966</v>
      </c>
      <c r="C772" s="5">
        <v>332112</v>
      </c>
      <c r="D772" s="4" t="s">
        <v>3180</v>
      </c>
    </row>
    <row r="773" spans="1:4" x14ac:dyDescent="0.25">
      <c r="A773" s="3">
        <v>3465</v>
      </c>
      <c r="B773" s="4" t="s">
        <v>3968</v>
      </c>
      <c r="C773" s="5">
        <v>336370</v>
      </c>
      <c r="D773" s="4" t="s">
        <v>3437</v>
      </c>
    </row>
    <row r="774" spans="1:4" x14ac:dyDescent="0.25">
      <c r="A774" s="3">
        <v>3466</v>
      </c>
      <c r="B774" s="4" t="s">
        <v>3970</v>
      </c>
      <c r="C774" s="5">
        <v>332115</v>
      </c>
      <c r="D774" s="4" t="s">
        <v>5893</v>
      </c>
    </row>
    <row r="775" spans="1:4" ht="25.5" x14ac:dyDescent="0.25">
      <c r="A775" s="3">
        <v>3469</v>
      </c>
      <c r="B775" s="4" t="s">
        <v>3972</v>
      </c>
      <c r="C775" s="5">
        <v>332116</v>
      </c>
      <c r="D775" s="4" t="s">
        <v>5894</v>
      </c>
    </row>
    <row r="776" spans="1:4" x14ac:dyDescent="0.25">
      <c r="A776" s="3">
        <v>3469</v>
      </c>
      <c r="B776" s="4" t="s">
        <v>3974</v>
      </c>
      <c r="C776" s="5">
        <v>332214</v>
      </c>
      <c r="D776" s="4" t="s">
        <v>5895</v>
      </c>
    </row>
    <row r="777" spans="1:4" x14ac:dyDescent="0.25">
      <c r="A777" s="3">
        <v>3469</v>
      </c>
      <c r="B777" s="4" t="s">
        <v>3976</v>
      </c>
      <c r="C777" s="5">
        <v>332439</v>
      </c>
      <c r="D777" s="4" t="s">
        <v>3210</v>
      </c>
    </row>
    <row r="778" spans="1:4" x14ac:dyDescent="0.25">
      <c r="A778" s="3">
        <v>3471</v>
      </c>
      <c r="B778" s="4" t="s">
        <v>3228</v>
      </c>
      <c r="C778" s="5">
        <v>332813</v>
      </c>
      <c r="D778" s="4" t="s">
        <v>5882</v>
      </c>
    </row>
    <row r="779" spans="1:4" ht="25.5" x14ac:dyDescent="0.25">
      <c r="A779" s="3">
        <v>3479</v>
      </c>
      <c r="B779" s="4" t="s">
        <v>3979</v>
      </c>
      <c r="C779" s="5">
        <v>332812</v>
      </c>
      <c r="D779" s="4" t="s">
        <v>3226</v>
      </c>
    </row>
    <row r="780" spans="1:4" x14ac:dyDescent="0.25">
      <c r="A780" s="3">
        <v>3479</v>
      </c>
      <c r="B780" s="4" t="s">
        <v>3981</v>
      </c>
      <c r="C780" s="5">
        <v>339911</v>
      </c>
      <c r="D780" s="4" t="s">
        <v>5896</v>
      </c>
    </row>
    <row r="781" spans="1:4" x14ac:dyDescent="0.25">
      <c r="A781" s="3">
        <v>3479</v>
      </c>
      <c r="B781" s="4" t="s">
        <v>3983</v>
      </c>
      <c r="C781" s="5">
        <v>339912</v>
      </c>
      <c r="D781" s="4" t="s">
        <v>5897</v>
      </c>
    </row>
    <row r="782" spans="1:4" x14ac:dyDescent="0.25">
      <c r="A782" s="3">
        <v>3479</v>
      </c>
      <c r="B782" s="4" t="s">
        <v>3985</v>
      </c>
      <c r="C782" s="5">
        <v>339914</v>
      </c>
      <c r="D782" s="4" t="s">
        <v>5859</v>
      </c>
    </row>
    <row r="783" spans="1:4" x14ac:dyDescent="0.25">
      <c r="A783" s="3">
        <v>3482</v>
      </c>
      <c r="B783" s="4" t="s">
        <v>3987</v>
      </c>
      <c r="C783" s="5">
        <v>332992</v>
      </c>
      <c r="D783" s="4" t="s">
        <v>3240</v>
      </c>
    </row>
    <row r="784" spans="1:4" x14ac:dyDescent="0.25">
      <c r="A784" s="3">
        <v>3483</v>
      </c>
      <c r="B784" s="4" t="s">
        <v>3989</v>
      </c>
      <c r="C784" s="5">
        <v>332993</v>
      </c>
      <c r="D784" s="4" t="s">
        <v>3242</v>
      </c>
    </row>
    <row r="785" spans="1:4" x14ac:dyDescent="0.25">
      <c r="A785" s="3">
        <v>3484</v>
      </c>
      <c r="B785" s="4" t="s">
        <v>3991</v>
      </c>
      <c r="C785" s="5">
        <v>332994</v>
      </c>
      <c r="D785" s="4" t="s">
        <v>5898</v>
      </c>
    </row>
    <row r="786" spans="1:4" x14ac:dyDescent="0.25">
      <c r="A786" s="3">
        <v>3489</v>
      </c>
      <c r="B786" s="4" t="s">
        <v>493</v>
      </c>
      <c r="C786" s="5">
        <v>332995</v>
      </c>
      <c r="D786" s="4" t="s">
        <v>5899</v>
      </c>
    </row>
    <row r="787" spans="1:4" x14ac:dyDescent="0.25">
      <c r="A787" s="3">
        <v>3491</v>
      </c>
      <c r="B787" s="4" t="s">
        <v>3994</v>
      </c>
      <c r="C787" s="5">
        <v>332911</v>
      </c>
      <c r="D787" s="4" t="s">
        <v>3230</v>
      </c>
    </row>
    <row r="788" spans="1:4" x14ac:dyDescent="0.25">
      <c r="A788" s="3">
        <v>3492</v>
      </c>
      <c r="B788" s="4" t="s">
        <v>3996</v>
      </c>
      <c r="C788" s="5">
        <v>332912</v>
      </c>
      <c r="D788" s="4" t="s">
        <v>3232</v>
      </c>
    </row>
    <row r="789" spans="1:4" x14ac:dyDescent="0.25">
      <c r="A789" s="3">
        <v>3493</v>
      </c>
      <c r="B789" s="4" t="s">
        <v>3998</v>
      </c>
      <c r="C789" s="5">
        <v>332611</v>
      </c>
      <c r="D789" s="4" t="s">
        <v>5900</v>
      </c>
    </row>
    <row r="790" spans="1:4" x14ac:dyDescent="0.25">
      <c r="A790" s="3">
        <v>3494</v>
      </c>
      <c r="B790" s="4" t="s">
        <v>4000</v>
      </c>
      <c r="C790" s="5">
        <v>332919</v>
      </c>
      <c r="D790" s="4" t="s">
        <v>3236</v>
      </c>
    </row>
    <row r="791" spans="1:4" ht="25.5" x14ac:dyDescent="0.25">
      <c r="A791" s="3">
        <v>3494</v>
      </c>
      <c r="B791" s="4" t="s">
        <v>4002</v>
      </c>
      <c r="C791" s="5">
        <v>332999</v>
      </c>
      <c r="D791" s="4" t="s">
        <v>3248</v>
      </c>
    </row>
    <row r="792" spans="1:4" x14ac:dyDescent="0.25">
      <c r="A792" s="3">
        <v>3495</v>
      </c>
      <c r="B792" s="4" t="s">
        <v>4004</v>
      </c>
      <c r="C792" s="5">
        <v>332612</v>
      </c>
      <c r="D792" s="4" t="s">
        <v>5901</v>
      </c>
    </row>
    <row r="793" spans="1:4" x14ac:dyDescent="0.25">
      <c r="A793" s="3">
        <v>3495</v>
      </c>
      <c r="B793" s="4" t="s">
        <v>4006</v>
      </c>
      <c r="C793" s="5">
        <v>334518</v>
      </c>
      <c r="D793" s="4" t="s">
        <v>5886</v>
      </c>
    </row>
    <row r="794" spans="1:4" x14ac:dyDescent="0.25">
      <c r="A794" s="3">
        <v>3496</v>
      </c>
      <c r="B794" s="4" t="s">
        <v>4008</v>
      </c>
      <c r="C794" s="5">
        <v>332214</v>
      </c>
      <c r="D794" s="4" t="s">
        <v>5895</v>
      </c>
    </row>
    <row r="795" spans="1:4" x14ac:dyDescent="0.25">
      <c r="A795" s="3">
        <v>3496</v>
      </c>
      <c r="B795" s="4" t="s">
        <v>4010</v>
      </c>
      <c r="C795" s="5">
        <v>332618</v>
      </c>
      <c r="D795" s="4" t="s">
        <v>3216</v>
      </c>
    </row>
    <row r="796" spans="1:4" ht="25.5" x14ac:dyDescent="0.25">
      <c r="A796" s="3">
        <v>3496</v>
      </c>
      <c r="B796" s="4" t="s">
        <v>4012</v>
      </c>
      <c r="C796" s="5">
        <v>333924</v>
      </c>
      <c r="D796" s="4" t="s">
        <v>3310</v>
      </c>
    </row>
    <row r="797" spans="1:4" ht="25.5" x14ac:dyDescent="0.25">
      <c r="A797" s="3">
        <v>3497</v>
      </c>
      <c r="B797" s="4" t="s">
        <v>4014</v>
      </c>
      <c r="C797" s="5">
        <v>322225</v>
      </c>
      <c r="D797" s="4" t="s">
        <v>5902</v>
      </c>
    </row>
    <row r="798" spans="1:4" ht="25.5" x14ac:dyDescent="0.25">
      <c r="A798" s="3">
        <v>3497</v>
      </c>
      <c r="B798" s="4" t="s">
        <v>4016</v>
      </c>
      <c r="C798" s="5">
        <v>332999</v>
      </c>
      <c r="D798" s="4" t="s">
        <v>3248</v>
      </c>
    </row>
    <row r="799" spans="1:4" x14ac:dyDescent="0.25">
      <c r="A799" s="3">
        <v>3498</v>
      </c>
      <c r="B799" s="4" t="s">
        <v>4018</v>
      </c>
      <c r="C799" s="5">
        <v>332996</v>
      </c>
      <c r="D799" s="4" t="s">
        <v>3246</v>
      </c>
    </row>
    <row r="800" spans="1:4" x14ac:dyDescent="0.25">
      <c r="A800" s="3">
        <v>3499</v>
      </c>
      <c r="B800" s="4" t="s">
        <v>4020</v>
      </c>
      <c r="C800" s="5">
        <v>332117</v>
      </c>
      <c r="D800" s="4" t="s">
        <v>3184</v>
      </c>
    </row>
    <row r="801" spans="1:4" x14ac:dyDescent="0.25">
      <c r="A801" s="3">
        <v>3499</v>
      </c>
      <c r="B801" s="4" t="s">
        <v>4022</v>
      </c>
      <c r="C801" s="5">
        <v>332439</v>
      </c>
      <c r="D801" s="4" t="s">
        <v>3210</v>
      </c>
    </row>
    <row r="802" spans="1:4" x14ac:dyDescent="0.25">
      <c r="A802" s="3">
        <v>3499</v>
      </c>
      <c r="B802" s="4" t="s">
        <v>4024</v>
      </c>
      <c r="C802" s="5">
        <v>332510</v>
      </c>
      <c r="D802" s="4" t="s">
        <v>3212</v>
      </c>
    </row>
    <row r="803" spans="1:4" x14ac:dyDescent="0.25">
      <c r="A803" s="3">
        <v>3499</v>
      </c>
      <c r="B803" s="4" t="s">
        <v>4026</v>
      </c>
      <c r="C803" s="5">
        <v>332919</v>
      </c>
      <c r="D803" s="4" t="s">
        <v>3236</v>
      </c>
    </row>
    <row r="804" spans="1:4" ht="25.5" x14ac:dyDescent="0.25">
      <c r="A804" s="3">
        <v>3499</v>
      </c>
      <c r="B804" s="4" t="s">
        <v>4028</v>
      </c>
      <c r="C804" s="5">
        <v>332999</v>
      </c>
      <c r="D804" s="4" t="s">
        <v>3248</v>
      </c>
    </row>
    <row r="805" spans="1:4" x14ac:dyDescent="0.25">
      <c r="A805" s="3">
        <v>3499</v>
      </c>
      <c r="B805" s="4" t="s">
        <v>4030</v>
      </c>
      <c r="C805" s="5">
        <v>336360</v>
      </c>
      <c r="D805" s="4" t="s">
        <v>3435</v>
      </c>
    </row>
    <row r="806" spans="1:4" x14ac:dyDescent="0.25">
      <c r="A806" s="3">
        <v>3499</v>
      </c>
      <c r="B806" s="4" t="s">
        <v>4032</v>
      </c>
      <c r="C806" s="5">
        <v>337215</v>
      </c>
      <c r="D806" s="4" t="s">
        <v>3482</v>
      </c>
    </row>
    <row r="807" spans="1:4" x14ac:dyDescent="0.25">
      <c r="A807" s="3">
        <v>3511</v>
      </c>
      <c r="B807" s="4" t="s">
        <v>4034</v>
      </c>
      <c r="C807" s="5">
        <v>333611</v>
      </c>
      <c r="D807" s="4" t="s">
        <v>3292</v>
      </c>
    </row>
    <row r="808" spans="1:4" x14ac:dyDescent="0.25">
      <c r="A808" s="3">
        <v>3519</v>
      </c>
      <c r="B808" s="4" t="s">
        <v>4036</v>
      </c>
      <c r="C808" s="5">
        <v>333618</v>
      </c>
      <c r="D808" s="4" t="s">
        <v>3298</v>
      </c>
    </row>
    <row r="809" spans="1:4" x14ac:dyDescent="0.25">
      <c r="A809" s="3">
        <v>3519</v>
      </c>
      <c r="B809" s="4" t="s">
        <v>4038</v>
      </c>
      <c r="C809" s="5">
        <v>336399</v>
      </c>
      <c r="D809" s="4" t="s">
        <v>5887</v>
      </c>
    </row>
    <row r="810" spans="1:4" x14ac:dyDescent="0.25">
      <c r="A810" s="3">
        <v>3523</v>
      </c>
      <c r="B810" s="4" t="s">
        <v>4040</v>
      </c>
      <c r="C810" s="5">
        <v>332212</v>
      </c>
      <c r="D810" s="4" t="s">
        <v>5884</v>
      </c>
    </row>
    <row r="811" spans="1:4" x14ac:dyDescent="0.25">
      <c r="A811" s="3">
        <v>3523</v>
      </c>
      <c r="B811" s="4" t="s">
        <v>4042</v>
      </c>
      <c r="C811" s="5">
        <v>332323</v>
      </c>
      <c r="D811" s="4" t="s">
        <v>3202</v>
      </c>
    </row>
    <row r="812" spans="1:4" ht="25.5" x14ac:dyDescent="0.25">
      <c r="A812" s="3">
        <v>3523</v>
      </c>
      <c r="B812" s="4" t="s">
        <v>4044</v>
      </c>
      <c r="C812" s="5">
        <v>333111</v>
      </c>
      <c r="D812" s="4" t="s">
        <v>3250</v>
      </c>
    </row>
    <row r="813" spans="1:4" x14ac:dyDescent="0.25">
      <c r="A813" s="3">
        <v>3523</v>
      </c>
      <c r="B813" s="4" t="s">
        <v>4046</v>
      </c>
      <c r="C813" s="5">
        <v>333922</v>
      </c>
      <c r="D813" s="4" t="s">
        <v>3306</v>
      </c>
    </row>
    <row r="814" spans="1:4" x14ac:dyDescent="0.25">
      <c r="A814" s="3">
        <v>3524</v>
      </c>
      <c r="B814" s="4" t="s">
        <v>4048</v>
      </c>
      <c r="C814" s="5">
        <v>332212</v>
      </c>
      <c r="D814" s="4" t="s">
        <v>5884</v>
      </c>
    </row>
    <row r="815" spans="1:4" ht="25.5" x14ac:dyDescent="0.25">
      <c r="A815" s="3">
        <v>3524</v>
      </c>
      <c r="B815" s="4" t="s">
        <v>4050</v>
      </c>
      <c r="C815" s="5">
        <v>333112</v>
      </c>
      <c r="D815" s="4" t="s">
        <v>3252</v>
      </c>
    </row>
    <row r="816" spans="1:4" ht="25.5" x14ac:dyDescent="0.25">
      <c r="A816" s="3">
        <v>3531</v>
      </c>
      <c r="B816" s="4" t="s">
        <v>4052</v>
      </c>
      <c r="C816" s="5">
        <v>333120</v>
      </c>
      <c r="D816" s="4" t="s">
        <v>3254</v>
      </c>
    </row>
    <row r="817" spans="1:4" ht="25.5" x14ac:dyDescent="0.25">
      <c r="A817" s="3">
        <v>3531</v>
      </c>
      <c r="B817" s="4" t="s">
        <v>4054</v>
      </c>
      <c r="C817" s="5">
        <v>333923</v>
      </c>
      <c r="D817" s="4" t="s">
        <v>3308</v>
      </c>
    </row>
    <row r="818" spans="1:4" x14ac:dyDescent="0.25">
      <c r="A818" s="3">
        <v>3531</v>
      </c>
      <c r="B818" s="4" t="s">
        <v>4056</v>
      </c>
      <c r="C818" s="5">
        <v>336510</v>
      </c>
      <c r="D818" s="4" t="s">
        <v>3453</v>
      </c>
    </row>
    <row r="819" spans="1:4" x14ac:dyDescent="0.25">
      <c r="A819" s="3">
        <v>3532</v>
      </c>
      <c r="B819" s="4" t="s">
        <v>627</v>
      </c>
      <c r="C819" s="5">
        <v>333131</v>
      </c>
      <c r="D819" s="4" t="s">
        <v>3256</v>
      </c>
    </row>
    <row r="820" spans="1:4" x14ac:dyDescent="0.25">
      <c r="A820" s="3">
        <v>3533</v>
      </c>
      <c r="B820" s="4" t="s">
        <v>4059</v>
      </c>
      <c r="C820" s="5">
        <v>333132</v>
      </c>
      <c r="D820" s="4" t="s">
        <v>3258</v>
      </c>
    </row>
    <row r="821" spans="1:4" x14ac:dyDescent="0.25">
      <c r="A821" s="3">
        <v>3534</v>
      </c>
      <c r="B821" s="4" t="s">
        <v>4061</v>
      </c>
      <c r="C821" s="5">
        <v>333921</v>
      </c>
      <c r="D821" s="4" t="s">
        <v>3304</v>
      </c>
    </row>
    <row r="822" spans="1:4" x14ac:dyDescent="0.25">
      <c r="A822" s="3">
        <v>3535</v>
      </c>
      <c r="B822" s="4" t="s">
        <v>4063</v>
      </c>
      <c r="C822" s="5">
        <v>333922</v>
      </c>
      <c r="D822" s="4" t="s">
        <v>3306</v>
      </c>
    </row>
    <row r="823" spans="1:4" ht="25.5" x14ac:dyDescent="0.25">
      <c r="A823" s="3">
        <v>3536</v>
      </c>
      <c r="B823" s="4" t="s">
        <v>4065</v>
      </c>
      <c r="C823" s="5">
        <v>333923</v>
      </c>
      <c r="D823" s="4" t="s">
        <v>3308</v>
      </c>
    </row>
    <row r="824" spans="1:4" x14ac:dyDescent="0.25">
      <c r="A824" s="3">
        <v>3537</v>
      </c>
      <c r="B824" s="4" t="s">
        <v>4067</v>
      </c>
      <c r="C824" s="5">
        <v>332439</v>
      </c>
      <c r="D824" s="4" t="s">
        <v>3210</v>
      </c>
    </row>
    <row r="825" spans="1:4" ht="25.5" x14ac:dyDescent="0.25">
      <c r="A825" s="3">
        <v>3537</v>
      </c>
      <c r="B825" s="4" t="s">
        <v>4069</v>
      </c>
      <c r="C825" s="5">
        <v>332999</v>
      </c>
      <c r="D825" s="4" t="s">
        <v>3248</v>
      </c>
    </row>
    <row r="826" spans="1:4" ht="25.5" x14ac:dyDescent="0.25">
      <c r="A826" s="3">
        <v>3537</v>
      </c>
      <c r="B826" s="4" t="s">
        <v>4071</v>
      </c>
      <c r="C826" s="5">
        <v>333924</v>
      </c>
      <c r="D826" s="4" t="s">
        <v>3310</v>
      </c>
    </row>
    <row r="827" spans="1:4" x14ac:dyDescent="0.25">
      <c r="A827" s="3">
        <v>3541</v>
      </c>
      <c r="B827" s="4" t="s">
        <v>4073</v>
      </c>
      <c r="C827" s="5">
        <v>333512</v>
      </c>
      <c r="D827" s="4" t="s">
        <v>5903</v>
      </c>
    </row>
    <row r="828" spans="1:4" x14ac:dyDescent="0.25">
      <c r="A828" s="3">
        <v>3542</v>
      </c>
      <c r="B828" s="4" t="s">
        <v>4075</v>
      </c>
      <c r="C828" s="5">
        <v>333513</v>
      </c>
      <c r="D828" s="4" t="s">
        <v>5904</v>
      </c>
    </row>
    <row r="829" spans="1:4" x14ac:dyDescent="0.25">
      <c r="A829" s="3">
        <v>3543</v>
      </c>
      <c r="B829" s="4" t="s">
        <v>4077</v>
      </c>
      <c r="C829" s="5">
        <v>332997</v>
      </c>
      <c r="D829" s="4" t="s">
        <v>5905</v>
      </c>
    </row>
    <row r="830" spans="1:4" x14ac:dyDescent="0.25">
      <c r="A830" s="3">
        <v>3544</v>
      </c>
      <c r="B830" s="4" t="s">
        <v>4079</v>
      </c>
      <c r="C830" s="5">
        <v>333511</v>
      </c>
      <c r="D830" s="4" t="s">
        <v>3282</v>
      </c>
    </row>
    <row r="831" spans="1:4" ht="25.5" x14ac:dyDescent="0.25">
      <c r="A831" s="3">
        <v>3544</v>
      </c>
      <c r="B831" s="4" t="s">
        <v>4081</v>
      </c>
      <c r="C831" s="5">
        <v>333514</v>
      </c>
      <c r="D831" s="4" t="s">
        <v>3284</v>
      </c>
    </row>
    <row r="832" spans="1:4" ht="25.5" x14ac:dyDescent="0.25">
      <c r="A832" s="3">
        <v>3545</v>
      </c>
      <c r="B832" s="4" t="s">
        <v>4083</v>
      </c>
      <c r="C832" s="5">
        <v>332212</v>
      </c>
      <c r="D832" s="4" t="s">
        <v>5884</v>
      </c>
    </row>
    <row r="833" spans="1:4" ht="25.5" x14ac:dyDescent="0.25">
      <c r="A833" s="3">
        <v>3545</v>
      </c>
      <c r="B833" s="4" t="s">
        <v>4085</v>
      </c>
      <c r="C833" s="5">
        <v>333515</v>
      </c>
      <c r="D833" s="4" t="s">
        <v>3286</v>
      </c>
    </row>
    <row r="834" spans="1:4" x14ac:dyDescent="0.25">
      <c r="A834" s="3">
        <v>3546</v>
      </c>
      <c r="B834" s="4" t="s">
        <v>4087</v>
      </c>
      <c r="C834" s="5">
        <v>333991</v>
      </c>
      <c r="D834" s="4" t="s">
        <v>5906</v>
      </c>
    </row>
    <row r="835" spans="1:4" x14ac:dyDescent="0.25">
      <c r="A835" s="3">
        <v>3547</v>
      </c>
      <c r="B835" s="4" t="s">
        <v>4089</v>
      </c>
      <c r="C835" s="5">
        <v>333516</v>
      </c>
      <c r="D835" s="4" t="s">
        <v>5907</v>
      </c>
    </row>
    <row r="836" spans="1:4" x14ac:dyDescent="0.25">
      <c r="A836" s="3">
        <v>3548</v>
      </c>
      <c r="B836" s="4" t="s">
        <v>4091</v>
      </c>
      <c r="C836" s="5">
        <v>333992</v>
      </c>
      <c r="D836" s="4" t="s">
        <v>3314</v>
      </c>
    </row>
    <row r="837" spans="1:4" ht="25.5" x14ac:dyDescent="0.25">
      <c r="A837" s="3">
        <v>3548</v>
      </c>
      <c r="B837" s="4" t="s">
        <v>4093</v>
      </c>
      <c r="C837" s="5">
        <v>335311</v>
      </c>
      <c r="D837" s="4" t="s">
        <v>3388</v>
      </c>
    </row>
    <row r="838" spans="1:4" x14ac:dyDescent="0.25">
      <c r="A838" s="3">
        <v>3549</v>
      </c>
      <c r="B838" s="4" t="s">
        <v>4095</v>
      </c>
      <c r="C838" s="5">
        <v>333518</v>
      </c>
      <c r="D838" s="4" t="s">
        <v>5908</v>
      </c>
    </row>
    <row r="839" spans="1:4" x14ac:dyDescent="0.25">
      <c r="A839" s="3">
        <v>3552</v>
      </c>
      <c r="B839" s="4" t="s">
        <v>655</v>
      </c>
      <c r="C839" s="5">
        <v>333292</v>
      </c>
      <c r="D839" s="4" t="s">
        <v>5909</v>
      </c>
    </row>
    <row r="840" spans="1:4" x14ac:dyDescent="0.25">
      <c r="A840" s="3">
        <v>3553</v>
      </c>
      <c r="B840" s="4" t="s">
        <v>4098</v>
      </c>
      <c r="C840" s="5">
        <v>333210</v>
      </c>
      <c r="D840" s="4" t="s">
        <v>5910</v>
      </c>
    </row>
    <row r="841" spans="1:4" x14ac:dyDescent="0.25">
      <c r="A841" s="3">
        <v>3554</v>
      </c>
      <c r="B841" s="4" t="s">
        <v>4100</v>
      </c>
      <c r="C841" s="5">
        <v>333291</v>
      </c>
      <c r="D841" s="4" t="s">
        <v>5911</v>
      </c>
    </row>
    <row r="842" spans="1:4" x14ac:dyDescent="0.25">
      <c r="A842" s="3">
        <v>3555</v>
      </c>
      <c r="B842" s="4" t="s">
        <v>4102</v>
      </c>
      <c r="C842" s="5">
        <v>333293</v>
      </c>
      <c r="D842" s="4" t="s">
        <v>3266</v>
      </c>
    </row>
    <row r="843" spans="1:4" x14ac:dyDescent="0.25">
      <c r="A843" s="3">
        <v>3556</v>
      </c>
      <c r="B843" s="4" t="s">
        <v>4104</v>
      </c>
      <c r="C843" s="5">
        <v>333294</v>
      </c>
      <c r="D843" s="4" t="s">
        <v>3260</v>
      </c>
    </row>
    <row r="844" spans="1:4" x14ac:dyDescent="0.25">
      <c r="A844" s="3">
        <v>3559</v>
      </c>
      <c r="B844" s="4" t="s">
        <v>4106</v>
      </c>
      <c r="C844" s="5">
        <v>332410</v>
      </c>
      <c r="D844" s="4" t="s">
        <v>3204</v>
      </c>
    </row>
    <row r="845" spans="1:4" x14ac:dyDescent="0.25">
      <c r="A845" s="3">
        <v>3559</v>
      </c>
      <c r="B845" s="4" t="s">
        <v>4108</v>
      </c>
      <c r="C845" s="5">
        <v>333111</v>
      </c>
      <c r="D845" s="4" t="s">
        <v>3250</v>
      </c>
    </row>
    <row r="846" spans="1:4" x14ac:dyDescent="0.25">
      <c r="A846" s="3">
        <v>3559</v>
      </c>
      <c r="B846" s="4" t="s">
        <v>4110</v>
      </c>
      <c r="C846" s="5">
        <v>333220</v>
      </c>
      <c r="D846" s="4" t="s">
        <v>5912</v>
      </c>
    </row>
    <row r="847" spans="1:4" x14ac:dyDescent="0.25">
      <c r="A847" s="3">
        <v>3559</v>
      </c>
      <c r="B847" s="4" t="s">
        <v>4112</v>
      </c>
      <c r="C847" s="5">
        <v>333295</v>
      </c>
      <c r="D847" s="4" t="s">
        <v>3262</v>
      </c>
    </row>
    <row r="848" spans="1:4" ht="25.5" x14ac:dyDescent="0.25">
      <c r="A848" s="3">
        <v>3559</v>
      </c>
      <c r="B848" s="4" t="s">
        <v>4114</v>
      </c>
      <c r="C848" s="5">
        <v>333298</v>
      </c>
      <c r="D848" s="4" t="s">
        <v>5913</v>
      </c>
    </row>
    <row r="849" spans="1:4" ht="25.5" x14ac:dyDescent="0.25">
      <c r="A849" s="3">
        <v>3559</v>
      </c>
      <c r="B849" s="4" t="s">
        <v>4116</v>
      </c>
      <c r="C849" s="5">
        <v>333319</v>
      </c>
      <c r="D849" s="4" t="s">
        <v>3274</v>
      </c>
    </row>
    <row r="850" spans="1:4" x14ac:dyDescent="0.25">
      <c r="A850" s="3">
        <v>3561</v>
      </c>
      <c r="B850" s="4" t="s">
        <v>4118</v>
      </c>
      <c r="C850" s="5">
        <v>333911</v>
      </c>
      <c r="D850" s="4" t="s">
        <v>5914</v>
      </c>
    </row>
    <row r="851" spans="1:4" x14ac:dyDescent="0.25">
      <c r="A851" s="3">
        <v>3562</v>
      </c>
      <c r="B851" s="4" t="s">
        <v>4120</v>
      </c>
      <c r="C851" s="5">
        <v>332991</v>
      </c>
      <c r="D851" s="4" t="s">
        <v>3238</v>
      </c>
    </row>
    <row r="852" spans="1:4" x14ac:dyDescent="0.25">
      <c r="A852" s="3">
        <v>3563</v>
      </c>
      <c r="B852" s="4" t="s">
        <v>4122</v>
      </c>
      <c r="C852" s="5">
        <v>333912</v>
      </c>
      <c r="D852" s="4" t="s">
        <v>5915</v>
      </c>
    </row>
    <row r="853" spans="1:4" ht="25.5" x14ac:dyDescent="0.25">
      <c r="A853" s="3">
        <v>3564</v>
      </c>
      <c r="B853" s="4" t="s">
        <v>4124</v>
      </c>
      <c r="C853" s="5">
        <v>333411</v>
      </c>
      <c r="D853" s="4" t="s">
        <v>5916</v>
      </c>
    </row>
    <row r="854" spans="1:4" x14ac:dyDescent="0.25">
      <c r="A854" s="3">
        <v>3564</v>
      </c>
      <c r="B854" s="4" t="s">
        <v>4126</v>
      </c>
      <c r="C854" s="5">
        <v>333412</v>
      </c>
      <c r="D854" s="4" t="s">
        <v>5917</v>
      </c>
    </row>
    <row r="855" spans="1:4" x14ac:dyDescent="0.25">
      <c r="A855" s="3">
        <v>3565</v>
      </c>
      <c r="B855" s="4" t="s">
        <v>4128</v>
      </c>
      <c r="C855" s="5">
        <v>333993</v>
      </c>
      <c r="D855" s="4" t="s">
        <v>3316</v>
      </c>
    </row>
    <row r="856" spans="1:4" ht="25.5" x14ac:dyDescent="0.25">
      <c r="A856" s="3">
        <v>3566</v>
      </c>
      <c r="B856" s="4" t="s">
        <v>4130</v>
      </c>
      <c r="C856" s="5">
        <v>333612</v>
      </c>
      <c r="D856" s="4" t="s">
        <v>3294</v>
      </c>
    </row>
    <row r="857" spans="1:4" x14ac:dyDescent="0.25">
      <c r="A857" s="3">
        <v>3567</v>
      </c>
      <c r="B857" s="4" t="s">
        <v>4132</v>
      </c>
      <c r="C857" s="5">
        <v>333994</v>
      </c>
      <c r="D857" s="4" t="s">
        <v>3318</v>
      </c>
    </row>
    <row r="858" spans="1:4" x14ac:dyDescent="0.25">
      <c r="A858" s="3">
        <v>3568</v>
      </c>
      <c r="B858" s="4" t="s">
        <v>4134</v>
      </c>
      <c r="C858" s="5">
        <v>333613</v>
      </c>
      <c r="D858" s="4" t="s">
        <v>3296</v>
      </c>
    </row>
    <row r="859" spans="1:4" x14ac:dyDescent="0.25">
      <c r="A859" s="3">
        <v>3569</v>
      </c>
      <c r="B859" s="4" t="s">
        <v>4136</v>
      </c>
      <c r="C859" s="5">
        <v>314999</v>
      </c>
      <c r="D859" s="4" t="s">
        <v>2931</v>
      </c>
    </row>
    <row r="860" spans="1:4" ht="25.5" x14ac:dyDescent="0.25">
      <c r="A860" s="3">
        <v>3569</v>
      </c>
      <c r="B860" s="4" t="s">
        <v>4138</v>
      </c>
      <c r="C860" s="5">
        <v>333414</v>
      </c>
      <c r="D860" s="4" t="s">
        <v>3278</v>
      </c>
    </row>
    <row r="861" spans="1:4" ht="25.5" x14ac:dyDescent="0.25">
      <c r="A861" s="3">
        <v>3569</v>
      </c>
      <c r="B861" s="4" t="s">
        <v>4140</v>
      </c>
      <c r="C861" s="5">
        <v>333999</v>
      </c>
      <c r="D861" s="4" t="s">
        <v>5918</v>
      </c>
    </row>
    <row r="862" spans="1:4" x14ac:dyDescent="0.25">
      <c r="A862" s="3">
        <v>3571</v>
      </c>
      <c r="B862" s="4" t="s">
        <v>4142</v>
      </c>
      <c r="C862" s="5">
        <v>334111</v>
      </c>
      <c r="D862" s="4" t="s">
        <v>3328</v>
      </c>
    </row>
    <row r="863" spans="1:4" x14ac:dyDescent="0.25">
      <c r="A863" s="3">
        <v>3572</v>
      </c>
      <c r="B863" s="4" t="s">
        <v>4144</v>
      </c>
      <c r="C863" s="5">
        <v>334112</v>
      </c>
      <c r="D863" s="4" t="s">
        <v>3330</v>
      </c>
    </row>
    <row r="864" spans="1:4" x14ac:dyDescent="0.25">
      <c r="A864" s="3">
        <v>3575</v>
      </c>
      <c r="B864" s="4" t="s">
        <v>4146</v>
      </c>
      <c r="C864" s="5">
        <v>334113</v>
      </c>
      <c r="D864" s="4" t="s">
        <v>5919</v>
      </c>
    </row>
    <row r="865" spans="1:4" ht="25.5" x14ac:dyDescent="0.25">
      <c r="A865" s="3">
        <v>3577</v>
      </c>
      <c r="B865" s="4" t="s">
        <v>4148</v>
      </c>
      <c r="C865" s="5">
        <v>334119</v>
      </c>
      <c r="D865" s="4" t="s">
        <v>5920</v>
      </c>
    </row>
    <row r="866" spans="1:4" ht="25.5" x14ac:dyDescent="0.25">
      <c r="A866" s="3">
        <v>3577</v>
      </c>
      <c r="B866" s="4" t="s">
        <v>4150</v>
      </c>
      <c r="C866" s="5">
        <v>334418</v>
      </c>
      <c r="D866" s="4" t="s">
        <v>3350</v>
      </c>
    </row>
    <row r="867" spans="1:4" x14ac:dyDescent="0.25">
      <c r="A867" s="3">
        <v>3577</v>
      </c>
      <c r="B867" s="4" t="s">
        <v>4152</v>
      </c>
      <c r="C867" s="5">
        <v>334613</v>
      </c>
      <c r="D867" s="4" t="s">
        <v>5921</v>
      </c>
    </row>
    <row r="868" spans="1:4" ht="25.5" x14ac:dyDescent="0.25">
      <c r="A868" s="3">
        <v>3578</v>
      </c>
      <c r="B868" s="4" t="s">
        <v>4154</v>
      </c>
      <c r="C868" s="5">
        <v>333311</v>
      </c>
      <c r="D868" s="4" t="s">
        <v>5922</v>
      </c>
    </row>
    <row r="869" spans="1:4" ht="25.5" x14ac:dyDescent="0.25">
      <c r="A869" s="3">
        <v>3578</v>
      </c>
      <c r="B869" s="4" t="s">
        <v>4156</v>
      </c>
      <c r="C869" s="5">
        <v>333313</v>
      </c>
      <c r="D869" s="4" t="s">
        <v>5923</v>
      </c>
    </row>
    <row r="870" spans="1:4" ht="25.5" x14ac:dyDescent="0.25">
      <c r="A870" s="3">
        <v>3578</v>
      </c>
      <c r="B870" s="4" t="s">
        <v>4158</v>
      </c>
      <c r="C870" s="5">
        <v>334119</v>
      </c>
      <c r="D870" s="4" t="s">
        <v>5920</v>
      </c>
    </row>
    <row r="871" spans="1:4" ht="25.5" x14ac:dyDescent="0.25">
      <c r="A871" s="3">
        <v>3579</v>
      </c>
      <c r="B871" s="4" t="s">
        <v>4160</v>
      </c>
      <c r="C871" s="5">
        <v>333313</v>
      </c>
      <c r="D871" s="4" t="s">
        <v>5923</v>
      </c>
    </row>
    <row r="872" spans="1:4" x14ac:dyDescent="0.25">
      <c r="A872" s="3">
        <v>3579</v>
      </c>
      <c r="B872" s="4" t="s">
        <v>4162</v>
      </c>
      <c r="C872" s="5">
        <v>334518</v>
      </c>
      <c r="D872" s="4" t="s">
        <v>5886</v>
      </c>
    </row>
    <row r="873" spans="1:4" x14ac:dyDescent="0.25">
      <c r="A873" s="3">
        <v>3579</v>
      </c>
      <c r="B873" s="4" t="s">
        <v>4164</v>
      </c>
      <c r="C873" s="5">
        <v>339942</v>
      </c>
      <c r="D873" s="4" t="s">
        <v>5807</v>
      </c>
    </row>
    <row r="874" spans="1:4" x14ac:dyDescent="0.25">
      <c r="A874" s="3">
        <v>3581</v>
      </c>
      <c r="B874" s="4" t="s">
        <v>4166</v>
      </c>
      <c r="C874" s="5">
        <v>333311</v>
      </c>
      <c r="D874" s="4" t="s">
        <v>5922</v>
      </c>
    </row>
    <row r="875" spans="1:4" ht="25.5" x14ac:dyDescent="0.25">
      <c r="A875" s="3">
        <v>3582</v>
      </c>
      <c r="B875" s="4" t="s">
        <v>4168</v>
      </c>
      <c r="C875" s="5">
        <v>333312</v>
      </c>
      <c r="D875" s="4" t="s">
        <v>5924</v>
      </c>
    </row>
    <row r="876" spans="1:4" ht="38.25" x14ac:dyDescent="0.25">
      <c r="A876" s="3">
        <v>3585</v>
      </c>
      <c r="B876" s="4" t="s">
        <v>300</v>
      </c>
      <c r="C876" s="5">
        <v>333415</v>
      </c>
      <c r="D876" s="4" t="s">
        <v>3280</v>
      </c>
    </row>
    <row r="877" spans="1:4" ht="25.5" x14ac:dyDescent="0.25">
      <c r="A877" s="3">
        <v>3585</v>
      </c>
      <c r="B877" s="4" t="s">
        <v>4171</v>
      </c>
      <c r="C877" s="5">
        <v>336391</v>
      </c>
      <c r="D877" s="4" t="s">
        <v>5925</v>
      </c>
    </row>
    <row r="878" spans="1:4" x14ac:dyDescent="0.25">
      <c r="A878" s="3">
        <v>3586</v>
      </c>
      <c r="B878" s="4" t="s">
        <v>4173</v>
      </c>
      <c r="C878" s="5">
        <v>333913</v>
      </c>
      <c r="D878" s="4" t="s">
        <v>5926</v>
      </c>
    </row>
    <row r="879" spans="1:4" ht="25.5" x14ac:dyDescent="0.25">
      <c r="A879" s="3">
        <v>3589</v>
      </c>
      <c r="B879" s="4" t="s">
        <v>4175</v>
      </c>
      <c r="C879" s="5">
        <v>333319</v>
      </c>
      <c r="D879" s="4" t="s">
        <v>3274</v>
      </c>
    </row>
    <row r="880" spans="1:4" x14ac:dyDescent="0.25">
      <c r="A880" s="3">
        <v>3592</v>
      </c>
      <c r="B880" s="4" t="s">
        <v>4177</v>
      </c>
      <c r="C880" s="5">
        <v>336311</v>
      </c>
      <c r="D880" s="4" t="s">
        <v>5927</v>
      </c>
    </row>
    <row r="881" spans="1:4" x14ac:dyDescent="0.25">
      <c r="A881" s="3">
        <v>3593</v>
      </c>
      <c r="B881" s="4" t="s">
        <v>4179</v>
      </c>
      <c r="C881" s="5">
        <v>333995</v>
      </c>
      <c r="D881" s="4" t="s">
        <v>3320</v>
      </c>
    </row>
    <row r="882" spans="1:4" x14ac:dyDescent="0.25">
      <c r="A882" s="3">
        <v>3594</v>
      </c>
      <c r="B882" s="4" t="s">
        <v>4181</v>
      </c>
      <c r="C882" s="5">
        <v>333996</v>
      </c>
      <c r="D882" s="4" t="s">
        <v>3322</v>
      </c>
    </row>
    <row r="883" spans="1:4" x14ac:dyDescent="0.25">
      <c r="A883" s="3">
        <v>3596</v>
      </c>
      <c r="B883" s="4" t="s">
        <v>4183</v>
      </c>
      <c r="C883" s="5">
        <v>333997</v>
      </c>
      <c r="D883" s="4" t="s">
        <v>5928</v>
      </c>
    </row>
    <row r="884" spans="1:4" x14ac:dyDescent="0.25">
      <c r="A884" s="3">
        <v>3599</v>
      </c>
      <c r="B884" s="4" t="s">
        <v>4185</v>
      </c>
      <c r="C884" s="5">
        <v>332710</v>
      </c>
      <c r="D884" s="4" t="s">
        <v>3218</v>
      </c>
    </row>
    <row r="885" spans="1:4" x14ac:dyDescent="0.25">
      <c r="A885" s="3">
        <v>3599</v>
      </c>
      <c r="B885" s="4" t="s">
        <v>4187</v>
      </c>
      <c r="C885" s="5">
        <v>332813</v>
      </c>
      <c r="D885" s="4" t="s">
        <v>5882</v>
      </c>
    </row>
    <row r="886" spans="1:4" ht="25.5" x14ac:dyDescent="0.25">
      <c r="A886" s="3">
        <v>3599</v>
      </c>
      <c r="B886" s="4" t="s">
        <v>4189</v>
      </c>
      <c r="C886" s="5">
        <v>332999</v>
      </c>
      <c r="D886" s="4" t="s">
        <v>3248</v>
      </c>
    </row>
    <row r="887" spans="1:4" ht="25.5" x14ac:dyDescent="0.25">
      <c r="A887" s="3">
        <v>3599</v>
      </c>
      <c r="B887" s="4" t="s">
        <v>4191</v>
      </c>
      <c r="C887" s="5">
        <v>333319</v>
      </c>
      <c r="D887" s="4" t="s">
        <v>3274</v>
      </c>
    </row>
    <row r="888" spans="1:4" ht="25.5" x14ac:dyDescent="0.25">
      <c r="A888" s="3">
        <v>3599</v>
      </c>
      <c r="B888" s="4" t="s">
        <v>4193</v>
      </c>
      <c r="C888" s="5">
        <v>333999</v>
      </c>
      <c r="D888" s="4" t="s">
        <v>5918</v>
      </c>
    </row>
    <row r="889" spans="1:4" x14ac:dyDescent="0.25">
      <c r="A889" s="3">
        <v>3599</v>
      </c>
      <c r="B889" s="4" t="s">
        <v>4195</v>
      </c>
      <c r="C889" s="5">
        <v>334519</v>
      </c>
      <c r="D889" s="4" t="s">
        <v>3370</v>
      </c>
    </row>
    <row r="890" spans="1:4" ht="25.5" x14ac:dyDescent="0.25">
      <c r="A890" s="3">
        <v>3599</v>
      </c>
      <c r="B890" s="4" t="s">
        <v>4197</v>
      </c>
      <c r="C890" s="5">
        <v>336399</v>
      </c>
      <c r="D890" s="4" t="s">
        <v>5887</v>
      </c>
    </row>
    <row r="891" spans="1:4" ht="25.5" x14ac:dyDescent="0.25">
      <c r="A891" s="3">
        <v>3612</v>
      </c>
      <c r="B891" s="4" t="s">
        <v>4199</v>
      </c>
      <c r="C891" s="5">
        <v>335311</v>
      </c>
      <c r="D891" s="4" t="s">
        <v>3388</v>
      </c>
    </row>
    <row r="892" spans="1:4" x14ac:dyDescent="0.25">
      <c r="A892" s="3">
        <v>3613</v>
      </c>
      <c r="B892" s="4" t="s">
        <v>4201</v>
      </c>
      <c r="C892" s="5">
        <v>335313</v>
      </c>
      <c r="D892" s="4" t="s">
        <v>3392</v>
      </c>
    </row>
    <row r="893" spans="1:4" x14ac:dyDescent="0.25">
      <c r="A893" s="3">
        <v>3621</v>
      </c>
      <c r="B893" s="4" t="s">
        <v>4203</v>
      </c>
      <c r="C893" s="5">
        <v>335312</v>
      </c>
      <c r="D893" s="4" t="s">
        <v>3390</v>
      </c>
    </row>
    <row r="894" spans="1:4" x14ac:dyDescent="0.25">
      <c r="A894" s="3">
        <v>3624</v>
      </c>
      <c r="B894" s="4" t="s">
        <v>4205</v>
      </c>
      <c r="C894" s="5">
        <v>335991</v>
      </c>
      <c r="D894" s="4" t="s">
        <v>3407</v>
      </c>
    </row>
    <row r="895" spans="1:4" x14ac:dyDescent="0.25">
      <c r="A895" s="3">
        <v>3625</v>
      </c>
      <c r="B895" s="4" t="s">
        <v>4207</v>
      </c>
      <c r="C895" s="5">
        <v>335314</v>
      </c>
      <c r="D895" s="4" t="s">
        <v>3394</v>
      </c>
    </row>
    <row r="896" spans="1:4" ht="25.5" x14ac:dyDescent="0.25">
      <c r="A896" s="3">
        <v>3629</v>
      </c>
      <c r="B896" s="4" t="s">
        <v>4209</v>
      </c>
      <c r="C896" s="5">
        <v>335999</v>
      </c>
      <c r="D896" s="4" t="s">
        <v>3409</v>
      </c>
    </row>
    <row r="897" spans="1:4" x14ac:dyDescent="0.25">
      <c r="A897" s="3">
        <v>3631</v>
      </c>
      <c r="B897" s="4" t="s">
        <v>4211</v>
      </c>
      <c r="C897" s="5">
        <v>335221</v>
      </c>
      <c r="D897" s="4" t="s">
        <v>5929</v>
      </c>
    </row>
    <row r="898" spans="1:4" x14ac:dyDescent="0.25">
      <c r="A898" s="3">
        <v>3632</v>
      </c>
      <c r="B898" s="4" t="s">
        <v>4213</v>
      </c>
      <c r="C898" s="5">
        <v>335222</v>
      </c>
      <c r="D898" s="4" t="s">
        <v>5930</v>
      </c>
    </row>
    <row r="899" spans="1:4" x14ac:dyDescent="0.25">
      <c r="A899" s="3">
        <v>3633</v>
      </c>
      <c r="B899" s="4" t="s">
        <v>4215</v>
      </c>
      <c r="C899" s="5">
        <v>335224</v>
      </c>
      <c r="D899" s="4" t="s">
        <v>5931</v>
      </c>
    </row>
    <row r="900" spans="1:4" ht="25.5" x14ac:dyDescent="0.25">
      <c r="A900" s="3">
        <v>3634</v>
      </c>
      <c r="B900" s="4" t="s">
        <v>4217</v>
      </c>
      <c r="C900" s="5">
        <v>333414</v>
      </c>
      <c r="D900" s="4" t="s">
        <v>3278</v>
      </c>
    </row>
    <row r="901" spans="1:4" ht="25.5" x14ac:dyDescent="0.25">
      <c r="A901" s="3">
        <v>3634</v>
      </c>
      <c r="B901" s="4" t="s">
        <v>4219</v>
      </c>
      <c r="C901" s="5">
        <v>335211</v>
      </c>
      <c r="D901" s="4" t="s">
        <v>5932</v>
      </c>
    </row>
    <row r="902" spans="1:4" x14ac:dyDescent="0.25">
      <c r="A902" s="3">
        <v>3634</v>
      </c>
      <c r="B902" s="4" t="s">
        <v>4221</v>
      </c>
      <c r="C902" s="5">
        <v>339999</v>
      </c>
      <c r="D902" s="4" t="s">
        <v>3518</v>
      </c>
    </row>
    <row r="903" spans="1:4" x14ac:dyDescent="0.25">
      <c r="A903" s="3">
        <v>3635</v>
      </c>
      <c r="B903" s="4" t="s">
        <v>4223</v>
      </c>
      <c r="C903" s="5">
        <v>335212</v>
      </c>
      <c r="D903" s="4" t="s">
        <v>5933</v>
      </c>
    </row>
    <row r="904" spans="1:4" x14ac:dyDescent="0.25">
      <c r="A904" s="3">
        <v>3639</v>
      </c>
      <c r="B904" s="4" t="s">
        <v>4225</v>
      </c>
      <c r="C904" s="5">
        <v>333298</v>
      </c>
      <c r="D904" s="4" t="s">
        <v>5913</v>
      </c>
    </row>
    <row r="905" spans="1:4" x14ac:dyDescent="0.25">
      <c r="A905" s="3">
        <v>3639</v>
      </c>
      <c r="B905" s="4" t="s">
        <v>4227</v>
      </c>
      <c r="C905" s="5">
        <v>335212</v>
      </c>
      <c r="D905" s="4" t="s">
        <v>5933</v>
      </c>
    </row>
    <row r="906" spans="1:4" ht="25.5" x14ac:dyDescent="0.25">
      <c r="A906" s="3">
        <v>3639</v>
      </c>
      <c r="B906" s="4" t="s">
        <v>4229</v>
      </c>
      <c r="C906" s="5">
        <v>335228</v>
      </c>
      <c r="D906" s="4" t="s">
        <v>5934</v>
      </c>
    </row>
    <row r="907" spans="1:4" x14ac:dyDescent="0.25">
      <c r="A907" s="3">
        <v>3641</v>
      </c>
      <c r="B907" s="4" t="s">
        <v>4231</v>
      </c>
      <c r="C907" s="5">
        <v>335110</v>
      </c>
      <c r="D907" s="4" t="s">
        <v>3376</v>
      </c>
    </row>
    <row r="908" spans="1:4" x14ac:dyDescent="0.25">
      <c r="A908" s="3">
        <v>3643</v>
      </c>
      <c r="B908" s="4" t="s">
        <v>4233</v>
      </c>
      <c r="C908" s="5">
        <v>335931</v>
      </c>
      <c r="D908" s="4" t="s">
        <v>3403</v>
      </c>
    </row>
    <row r="909" spans="1:4" x14ac:dyDescent="0.25">
      <c r="A909" s="3">
        <v>3644</v>
      </c>
      <c r="B909" s="4" t="s">
        <v>4235</v>
      </c>
      <c r="C909" s="5">
        <v>332212</v>
      </c>
      <c r="D909" s="4" t="s">
        <v>5884</v>
      </c>
    </row>
    <row r="910" spans="1:4" x14ac:dyDescent="0.25">
      <c r="A910" s="3">
        <v>3644</v>
      </c>
      <c r="B910" s="4" t="s">
        <v>4237</v>
      </c>
      <c r="C910" s="5">
        <v>335932</v>
      </c>
      <c r="D910" s="4" t="s">
        <v>3405</v>
      </c>
    </row>
    <row r="911" spans="1:4" x14ac:dyDescent="0.25">
      <c r="A911" s="3">
        <v>3645</v>
      </c>
      <c r="B911" s="4" t="s">
        <v>4239</v>
      </c>
      <c r="C911" s="5">
        <v>335121</v>
      </c>
      <c r="D911" s="4" t="s">
        <v>5935</v>
      </c>
    </row>
    <row r="912" spans="1:4" ht="25.5" x14ac:dyDescent="0.25">
      <c r="A912" s="3">
        <v>3646</v>
      </c>
      <c r="B912" s="4" t="s">
        <v>4241</v>
      </c>
      <c r="C912" s="5">
        <v>335122</v>
      </c>
      <c r="D912" s="4" t="s">
        <v>3380</v>
      </c>
    </row>
    <row r="913" spans="1:4" x14ac:dyDescent="0.25">
      <c r="A913" s="3">
        <v>3647</v>
      </c>
      <c r="B913" s="4" t="s">
        <v>4243</v>
      </c>
      <c r="C913" s="5">
        <v>336321</v>
      </c>
      <c r="D913" s="4" t="s">
        <v>5936</v>
      </c>
    </row>
    <row r="914" spans="1:4" x14ac:dyDescent="0.25">
      <c r="A914" s="3">
        <v>3648</v>
      </c>
      <c r="B914" s="4" t="s">
        <v>4245</v>
      </c>
      <c r="C914" s="5">
        <v>335129</v>
      </c>
      <c r="D914" s="4" t="s">
        <v>3382</v>
      </c>
    </row>
    <row r="915" spans="1:4" x14ac:dyDescent="0.25">
      <c r="A915" s="3">
        <v>3651</v>
      </c>
      <c r="B915" s="4" t="s">
        <v>4247</v>
      </c>
      <c r="C915" s="5">
        <v>334310</v>
      </c>
      <c r="D915" s="4" t="s">
        <v>3340</v>
      </c>
    </row>
    <row r="916" spans="1:4" ht="25.5" x14ac:dyDescent="0.25">
      <c r="A916" s="3">
        <v>3652</v>
      </c>
      <c r="B916" s="4" t="s">
        <v>4249</v>
      </c>
      <c r="C916" s="5">
        <v>334612</v>
      </c>
      <c r="D916" s="4" t="s">
        <v>5937</v>
      </c>
    </row>
    <row r="917" spans="1:4" ht="25.5" x14ac:dyDescent="0.25">
      <c r="A917" s="3">
        <v>3652</v>
      </c>
      <c r="B917" s="4" t="s">
        <v>4251</v>
      </c>
      <c r="C917" s="5">
        <v>512220</v>
      </c>
      <c r="D917" s="4" t="s">
        <v>5938</v>
      </c>
    </row>
    <row r="918" spans="1:4" x14ac:dyDescent="0.25">
      <c r="A918" s="3">
        <v>3661</v>
      </c>
      <c r="B918" s="4" t="s">
        <v>4253</v>
      </c>
      <c r="C918" s="5">
        <v>334210</v>
      </c>
      <c r="D918" s="4" t="s">
        <v>3334</v>
      </c>
    </row>
    <row r="919" spans="1:4" ht="25.5" x14ac:dyDescent="0.25">
      <c r="A919" s="3">
        <v>3661</v>
      </c>
      <c r="B919" s="4" t="s">
        <v>4255</v>
      </c>
      <c r="C919" s="5">
        <v>334418</v>
      </c>
      <c r="D919" s="4" t="s">
        <v>3350</v>
      </c>
    </row>
    <row r="920" spans="1:4" ht="25.5" x14ac:dyDescent="0.25">
      <c r="A920" s="3">
        <v>3663</v>
      </c>
      <c r="B920" s="4" t="s">
        <v>4257</v>
      </c>
      <c r="C920" s="5">
        <v>334220</v>
      </c>
      <c r="D920" s="4" t="s">
        <v>3336</v>
      </c>
    </row>
    <row r="921" spans="1:4" x14ac:dyDescent="0.25">
      <c r="A921" s="3">
        <v>3669</v>
      </c>
      <c r="B921" s="4" t="s">
        <v>4259</v>
      </c>
      <c r="C921" s="5">
        <v>334290</v>
      </c>
      <c r="D921" s="4" t="s">
        <v>3338</v>
      </c>
    </row>
    <row r="922" spans="1:4" x14ac:dyDescent="0.25">
      <c r="A922" s="3">
        <v>3671</v>
      </c>
      <c r="B922" s="4" t="s">
        <v>4261</v>
      </c>
      <c r="C922" s="5">
        <v>334411</v>
      </c>
      <c r="D922" s="4" t="s">
        <v>5939</v>
      </c>
    </row>
    <row r="923" spans="1:4" x14ac:dyDescent="0.25">
      <c r="A923" s="3">
        <v>3672</v>
      </c>
      <c r="B923" s="4" t="s">
        <v>4263</v>
      </c>
      <c r="C923" s="5">
        <v>334412</v>
      </c>
      <c r="D923" s="4" t="s">
        <v>3342</v>
      </c>
    </row>
    <row r="924" spans="1:4" x14ac:dyDescent="0.25">
      <c r="A924" s="3">
        <v>3674</v>
      </c>
      <c r="B924" s="4" t="s">
        <v>4265</v>
      </c>
      <c r="C924" s="5">
        <v>334413</v>
      </c>
      <c r="D924" s="4" t="s">
        <v>3344</v>
      </c>
    </row>
    <row r="925" spans="1:4" x14ac:dyDescent="0.25">
      <c r="A925" s="3">
        <v>3675</v>
      </c>
      <c r="B925" s="4" t="s">
        <v>4267</v>
      </c>
      <c r="C925" s="5">
        <v>334414</v>
      </c>
      <c r="D925" s="4" t="s">
        <v>5940</v>
      </c>
    </row>
    <row r="926" spans="1:4" x14ac:dyDescent="0.25">
      <c r="A926" s="3">
        <v>3676</v>
      </c>
      <c r="B926" s="4" t="s">
        <v>4269</v>
      </c>
      <c r="C926" s="5">
        <v>334415</v>
      </c>
      <c r="D926" s="4" t="s">
        <v>5941</v>
      </c>
    </row>
    <row r="927" spans="1:4" ht="25.5" x14ac:dyDescent="0.25">
      <c r="A927" s="3">
        <v>3677</v>
      </c>
      <c r="B927" s="4" t="s">
        <v>4271</v>
      </c>
      <c r="C927" s="5">
        <v>334416</v>
      </c>
      <c r="D927" s="4" t="s">
        <v>5942</v>
      </c>
    </row>
    <row r="928" spans="1:4" x14ac:dyDescent="0.25">
      <c r="A928" s="3">
        <v>3678</v>
      </c>
      <c r="B928" s="4" t="s">
        <v>4273</v>
      </c>
      <c r="C928" s="5">
        <v>334417</v>
      </c>
      <c r="D928" s="4" t="s">
        <v>3348</v>
      </c>
    </row>
    <row r="929" spans="1:4" ht="25.5" x14ac:dyDescent="0.25">
      <c r="A929" s="3">
        <v>3679</v>
      </c>
      <c r="B929" s="4" t="s">
        <v>4275</v>
      </c>
      <c r="C929" s="5">
        <v>334220</v>
      </c>
      <c r="D929" s="4" t="s">
        <v>3336</v>
      </c>
    </row>
    <row r="930" spans="1:4" x14ac:dyDescent="0.25">
      <c r="A930" s="3">
        <v>3679</v>
      </c>
      <c r="B930" s="4" t="s">
        <v>4277</v>
      </c>
      <c r="C930" s="5">
        <v>334310</v>
      </c>
      <c r="D930" s="4" t="s">
        <v>3340</v>
      </c>
    </row>
    <row r="931" spans="1:4" ht="25.5" x14ac:dyDescent="0.25">
      <c r="A931" s="3">
        <v>3679</v>
      </c>
      <c r="B931" s="4" t="s">
        <v>4279</v>
      </c>
      <c r="C931" s="5">
        <v>334418</v>
      </c>
      <c r="D931" s="4" t="s">
        <v>3350</v>
      </c>
    </row>
    <row r="932" spans="1:4" x14ac:dyDescent="0.25">
      <c r="A932" s="3">
        <v>3679</v>
      </c>
      <c r="B932" s="4" t="s">
        <v>4281</v>
      </c>
      <c r="C932" s="5">
        <v>334419</v>
      </c>
      <c r="D932" s="4" t="s">
        <v>3352</v>
      </c>
    </row>
    <row r="933" spans="1:4" x14ac:dyDescent="0.25">
      <c r="A933" s="3">
        <v>3691</v>
      </c>
      <c r="B933" s="4" t="s">
        <v>4283</v>
      </c>
      <c r="C933" s="5">
        <v>335911</v>
      </c>
      <c r="D933" s="4" t="s">
        <v>3396</v>
      </c>
    </row>
    <row r="934" spans="1:4" x14ac:dyDescent="0.25">
      <c r="A934" s="3">
        <v>3692</v>
      </c>
      <c r="B934" s="4" t="s">
        <v>4285</v>
      </c>
      <c r="C934" s="5">
        <v>335912</v>
      </c>
      <c r="D934" s="4" t="s">
        <v>3397</v>
      </c>
    </row>
    <row r="935" spans="1:4" ht="25.5" x14ac:dyDescent="0.25">
      <c r="A935" s="3">
        <v>3694</v>
      </c>
      <c r="B935" s="4" t="s">
        <v>4287</v>
      </c>
      <c r="C935" s="5">
        <v>336322</v>
      </c>
      <c r="D935" s="4" t="s">
        <v>5943</v>
      </c>
    </row>
    <row r="936" spans="1:4" x14ac:dyDescent="0.25">
      <c r="A936" s="3">
        <v>3695</v>
      </c>
      <c r="B936" s="4" t="s">
        <v>4289</v>
      </c>
      <c r="C936" s="5">
        <v>334613</v>
      </c>
      <c r="D936" s="4" t="s">
        <v>5921</v>
      </c>
    </row>
    <row r="937" spans="1:4" ht="25.5" x14ac:dyDescent="0.25">
      <c r="A937" s="3">
        <v>3699</v>
      </c>
      <c r="B937" s="4" t="s">
        <v>4291</v>
      </c>
      <c r="C937" s="5">
        <v>333319</v>
      </c>
      <c r="D937" s="4" t="s">
        <v>3274</v>
      </c>
    </row>
    <row r="938" spans="1:4" x14ac:dyDescent="0.25">
      <c r="A938" s="3">
        <v>3699</v>
      </c>
      <c r="B938" s="4" t="s">
        <v>4293</v>
      </c>
      <c r="C938" s="5">
        <v>333618</v>
      </c>
      <c r="D938" s="4" t="s">
        <v>3298</v>
      </c>
    </row>
    <row r="939" spans="1:4" x14ac:dyDescent="0.25">
      <c r="A939" s="3">
        <v>3699</v>
      </c>
      <c r="B939" s="4" t="s">
        <v>4295</v>
      </c>
      <c r="C939" s="5">
        <v>333992</v>
      </c>
      <c r="D939" s="4" t="s">
        <v>3314</v>
      </c>
    </row>
    <row r="940" spans="1:4" ht="25.5" x14ac:dyDescent="0.25">
      <c r="A940" s="3">
        <v>3699</v>
      </c>
      <c r="B940" s="4" t="s">
        <v>4297</v>
      </c>
      <c r="C940" s="5">
        <v>335129</v>
      </c>
      <c r="D940" s="4" t="s">
        <v>3382</v>
      </c>
    </row>
    <row r="941" spans="1:4" ht="25.5" x14ac:dyDescent="0.25">
      <c r="A941" s="3">
        <v>3699</v>
      </c>
      <c r="B941" s="4" t="s">
        <v>4299</v>
      </c>
      <c r="C941" s="5">
        <v>335999</v>
      </c>
      <c r="D941" s="4" t="s">
        <v>3409</v>
      </c>
    </row>
    <row r="942" spans="1:4" x14ac:dyDescent="0.25">
      <c r="A942" s="3">
        <v>3711</v>
      </c>
      <c r="B942" s="4" t="s">
        <v>4301</v>
      </c>
      <c r="C942" s="5">
        <v>336111</v>
      </c>
      <c r="D942" s="4" t="s">
        <v>3411</v>
      </c>
    </row>
    <row r="943" spans="1:4" x14ac:dyDescent="0.25">
      <c r="A943" s="3">
        <v>3711</v>
      </c>
      <c r="B943" s="4" t="s">
        <v>4303</v>
      </c>
      <c r="C943" s="5">
        <v>336112</v>
      </c>
      <c r="D943" s="4" t="s">
        <v>5944</v>
      </c>
    </row>
    <row r="944" spans="1:4" x14ac:dyDescent="0.25">
      <c r="A944" s="3">
        <v>3711</v>
      </c>
      <c r="B944" s="4" t="s">
        <v>4305</v>
      </c>
      <c r="C944" s="5">
        <v>336120</v>
      </c>
      <c r="D944" s="4" t="s">
        <v>3415</v>
      </c>
    </row>
    <row r="945" spans="1:4" x14ac:dyDescent="0.25">
      <c r="A945" s="3">
        <v>3711</v>
      </c>
      <c r="B945" s="4" t="s">
        <v>4307</v>
      </c>
      <c r="C945" s="5">
        <v>336211</v>
      </c>
      <c r="D945" s="4" t="s">
        <v>3417</v>
      </c>
    </row>
    <row r="946" spans="1:4" ht="25.5" x14ac:dyDescent="0.25">
      <c r="A946" s="3">
        <v>3711</v>
      </c>
      <c r="B946" s="4" t="s">
        <v>4309</v>
      </c>
      <c r="C946" s="5">
        <v>336992</v>
      </c>
      <c r="D946" s="4" t="s">
        <v>3460</v>
      </c>
    </row>
    <row r="947" spans="1:4" x14ac:dyDescent="0.25">
      <c r="A947" s="3">
        <v>3713</v>
      </c>
      <c r="B947" s="4" t="s">
        <v>4311</v>
      </c>
      <c r="C947" s="5">
        <v>336211</v>
      </c>
      <c r="D947" s="4" t="s">
        <v>3417</v>
      </c>
    </row>
    <row r="948" spans="1:4" x14ac:dyDescent="0.25">
      <c r="A948" s="3">
        <v>3714</v>
      </c>
      <c r="B948" s="4" t="s">
        <v>4313</v>
      </c>
      <c r="C948" s="5">
        <v>336211</v>
      </c>
      <c r="D948" s="4" t="s">
        <v>3417</v>
      </c>
    </row>
    <row r="949" spans="1:4" x14ac:dyDescent="0.25">
      <c r="A949" s="3">
        <v>3714</v>
      </c>
      <c r="B949" s="4" t="s">
        <v>4315</v>
      </c>
      <c r="C949" s="5">
        <v>336312</v>
      </c>
      <c r="D949" s="4" t="s">
        <v>5945</v>
      </c>
    </row>
    <row r="950" spans="1:4" ht="51" x14ac:dyDescent="0.25">
      <c r="A950" s="3">
        <v>3714</v>
      </c>
      <c r="B950" s="4" t="s">
        <v>4317</v>
      </c>
      <c r="C950" s="5">
        <v>336322</v>
      </c>
      <c r="D950" s="4" t="s">
        <v>5943</v>
      </c>
    </row>
    <row r="951" spans="1:4" ht="25.5" x14ac:dyDescent="0.25">
      <c r="A951" s="3">
        <v>3714</v>
      </c>
      <c r="B951" s="4" t="s">
        <v>4319</v>
      </c>
      <c r="C951" s="5">
        <v>336330</v>
      </c>
      <c r="D951" s="4" t="s">
        <v>3429</v>
      </c>
    </row>
    <row r="952" spans="1:4" x14ac:dyDescent="0.25">
      <c r="A952" s="3">
        <v>3714</v>
      </c>
      <c r="B952" s="4" t="s">
        <v>4321</v>
      </c>
      <c r="C952" s="5">
        <v>336340</v>
      </c>
      <c r="D952" s="4" t="s">
        <v>3431</v>
      </c>
    </row>
    <row r="953" spans="1:4" ht="25.5" x14ac:dyDescent="0.25">
      <c r="A953" s="3">
        <v>3714</v>
      </c>
      <c r="B953" s="4" t="s">
        <v>4323</v>
      </c>
      <c r="C953" s="5">
        <v>336350</v>
      </c>
      <c r="D953" s="4" t="s">
        <v>3433</v>
      </c>
    </row>
    <row r="954" spans="1:4" ht="51" x14ac:dyDescent="0.25">
      <c r="A954" s="3">
        <v>3714</v>
      </c>
      <c r="B954" s="4" t="s">
        <v>4325</v>
      </c>
      <c r="C954" s="5">
        <v>336399</v>
      </c>
      <c r="D954" s="4" t="s">
        <v>5887</v>
      </c>
    </row>
    <row r="955" spans="1:4" x14ac:dyDescent="0.25">
      <c r="A955" s="3">
        <v>3715</v>
      </c>
      <c r="B955" s="4" t="s">
        <v>4327</v>
      </c>
      <c r="C955" s="5">
        <v>336212</v>
      </c>
      <c r="D955" s="4" t="s">
        <v>3419</v>
      </c>
    </row>
    <row r="956" spans="1:4" x14ac:dyDescent="0.25">
      <c r="A956" s="3">
        <v>3716</v>
      </c>
      <c r="B956" s="4" t="s">
        <v>4329</v>
      </c>
      <c r="C956" s="5">
        <v>336213</v>
      </c>
      <c r="D956" s="4" t="s">
        <v>3421</v>
      </c>
    </row>
    <row r="957" spans="1:4" x14ac:dyDescent="0.25">
      <c r="A957" s="3">
        <v>3721</v>
      </c>
      <c r="B957" s="4" t="s">
        <v>4331</v>
      </c>
      <c r="C957" s="5">
        <v>336411</v>
      </c>
      <c r="D957" s="4" t="s">
        <v>3441</v>
      </c>
    </row>
    <row r="958" spans="1:4" ht="25.5" x14ac:dyDescent="0.25">
      <c r="A958" s="3">
        <v>3721</v>
      </c>
      <c r="B958" s="4" t="s">
        <v>4333</v>
      </c>
      <c r="C958" s="5">
        <v>541710</v>
      </c>
      <c r="D958" s="4" t="s">
        <v>5946</v>
      </c>
    </row>
    <row r="959" spans="1:4" x14ac:dyDescent="0.25">
      <c r="A959" s="3">
        <v>3724</v>
      </c>
      <c r="B959" s="4" t="s">
        <v>488</v>
      </c>
      <c r="C959" s="5">
        <v>336412</v>
      </c>
      <c r="D959" s="4" t="s">
        <v>3443</v>
      </c>
    </row>
    <row r="960" spans="1:4" ht="25.5" x14ac:dyDescent="0.25">
      <c r="A960" s="3">
        <v>3724</v>
      </c>
      <c r="B960" s="4" t="s">
        <v>4336</v>
      </c>
      <c r="C960" s="5">
        <v>541710</v>
      </c>
      <c r="D960" s="4" t="s">
        <v>5946</v>
      </c>
    </row>
    <row r="961" spans="1:4" x14ac:dyDescent="0.25">
      <c r="A961" s="3">
        <v>3728</v>
      </c>
      <c r="B961" s="4" t="s">
        <v>4338</v>
      </c>
      <c r="C961" s="5">
        <v>332912</v>
      </c>
      <c r="D961" s="4" t="s">
        <v>3232</v>
      </c>
    </row>
    <row r="962" spans="1:4" x14ac:dyDescent="0.25">
      <c r="A962" s="3">
        <v>3728</v>
      </c>
      <c r="B962" s="4" t="s">
        <v>4340</v>
      </c>
      <c r="C962" s="5">
        <v>336411</v>
      </c>
      <c r="D962" s="4" t="s">
        <v>3441</v>
      </c>
    </row>
    <row r="963" spans="1:4" ht="25.5" x14ac:dyDescent="0.25">
      <c r="A963" s="3">
        <v>3728</v>
      </c>
      <c r="B963" s="4" t="s">
        <v>4342</v>
      </c>
      <c r="C963" s="5">
        <v>336413</v>
      </c>
      <c r="D963" s="4" t="s">
        <v>5947</v>
      </c>
    </row>
    <row r="964" spans="1:4" ht="25.5" x14ac:dyDescent="0.25">
      <c r="A964" s="3">
        <v>3728</v>
      </c>
      <c r="B964" s="4" t="s">
        <v>4344</v>
      </c>
      <c r="C964" s="5">
        <v>541710</v>
      </c>
      <c r="D964" s="4" t="s">
        <v>5946</v>
      </c>
    </row>
    <row r="965" spans="1:4" x14ac:dyDescent="0.25">
      <c r="A965" s="3">
        <v>3731</v>
      </c>
      <c r="B965" s="4" t="s">
        <v>4346</v>
      </c>
      <c r="C965" s="5">
        <v>336611</v>
      </c>
      <c r="D965" s="4" t="s">
        <v>640</v>
      </c>
    </row>
    <row r="966" spans="1:4" x14ac:dyDescent="0.25">
      <c r="A966" s="3">
        <v>3731</v>
      </c>
      <c r="B966" s="4" t="s">
        <v>4348</v>
      </c>
      <c r="C966" s="5">
        <v>488390</v>
      </c>
      <c r="D966" s="4" t="s">
        <v>3949</v>
      </c>
    </row>
    <row r="967" spans="1:4" x14ac:dyDescent="0.25">
      <c r="A967" s="3">
        <v>3732</v>
      </c>
      <c r="B967" s="4" t="s">
        <v>4350</v>
      </c>
      <c r="C967" s="5">
        <v>336612</v>
      </c>
      <c r="D967" s="4" t="s">
        <v>5948</v>
      </c>
    </row>
    <row r="968" spans="1:4" ht="25.5" x14ac:dyDescent="0.25">
      <c r="A968" s="3">
        <v>3732</v>
      </c>
      <c r="B968" s="4" t="s">
        <v>4352</v>
      </c>
      <c r="C968" s="5">
        <v>811490</v>
      </c>
      <c r="D968" s="4" t="s">
        <v>4594</v>
      </c>
    </row>
    <row r="969" spans="1:4" x14ac:dyDescent="0.25">
      <c r="A969" s="3">
        <v>3743</v>
      </c>
      <c r="B969" s="4" t="s">
        <v>4354</v>
      </c>
      <c r="C969" s="5">
        <v>333911</v>
      </c>
      <c r="D969" s="4" t="s">
        <v>5914</v>
      </c>
    </row>
    <row r="970" spans="1:4" x14ac:dyDescent="0.25">
      <c r="A970" s="3">
        <v>3743</v>
      </c>
      <c r="B970" s="4" t="s">
        <v>4356</v>
      </c>
      <c r="C970" s="5">
        <v>336510</v>
      </c>
      <c r="D970" s="4" t="s">
        <v>3453</v>
      </c>
    </row>
    <row r="971" spans="1:4" x14ac:dyDescent="0.25">
      <c r="A971" s="3">
        <v>3751</v>
      </c>
      <c r="B971" s="4" t="s">
        <v>4357</v>
      </c>
      <c r="C971" s="5">
        <v>336991</v>
      </c>
      <c r="D971" s="4" t="s">
        <v>3458</v>
      </c>
    </row>
    <row r="972" spans="1:4" ht="25.5" x14ac:dyDescent="0.25">
      <c r="A972" s="3">
        <v>3761</v>
      </c>
      <c r="B972" s="4" t="s">
        <v>4359</v>
      </c>
      <c r="C972" s="5">
        <v>336414</v>
      </c>
      <c r="D972" s="4" t="s">
        <v>3447</v>
      </c>
    </row>
    <row r="973" spans="1:4" ht="25.5" x14ac:dyDescent="0.25">
      <c r="A973" s="3">
        <v>3761</v>
      </c>
      <c r="B973" s="4" t="s">
        <v>4360</v>
      </c>
      <c r="C973" s="5">
        <v>541710</v>
      </c>
      <c r="D973" s="4" t="s">
        <v>5946</v>
      </c>
    </row>
    <row r="974" spans="1:4" ht="25.5" x14ac:dyDescent="0.25">
      <c r="A974" s="3">
        <v>3764</v>
      </c>
      <c r="B974" s="4" t="s">
        <v>4362</v>
      </c>
      <c r="C974" s="5">
        <v>336415</v>
      </c>
      <c r="D974" s="4" t="s">
        <v>3449</v>
      </c>
    </row>
    <row r="975" spans="1:4" ht="25.5" x14ac:dyDescent="0.25">
      <c r="A975" s="3">
        <v>3764</v>
      </c>
      <c r="B975" s="4" t="s">
        <v>4364</v>
      </c>
      <c r="C975" s="5">
        <v>541710</v>
      </c>
      <c r="D975" s="4" t="s">
        <v>5946</v>
      </c>
    </row>
    <row r="976" spans="1:4" ht="25.5" x14ac:dyDescent="0.25">
      <c r="A976" s="3">
        <v>3769</v>
      </c>
      <c r="B976" s="4" t="s">
        <v>4366</v>
      </c>
      <c r="C976" s="5">
        <v>336419</v>
      </c>
      <c r="D976" s="4" t="s">
        <v>3451</v>
      </c>
    </row>
    <row r="977" spans="1:4" ht="25.5" x14ac:dyDescent="0.25">
      <c r="A977" s="3">
        <v>3769</v>
      </c>
      <c r="B977" s="4" t="s">
        <v>4368</v>
      </c>
      <c r="C977" s="5">
        <v>541710</v>
      </c>
      <c r="D977" s="4" t="s">
        <v>5946</v>
      </c>
    </row>
    <row r="978" spans="1:4" x14ac:dyDescent="0.25">
      <c r="A978" s="3">
        <v>3792</v>
      </c>
      <c r="B978" s="4" t="s">
        <v>4370</v>
      </c>
      <c r="C978" s="5">
        <v>336214</v>
      </c>
      <c r="D978" s="4" t="s">
        <v>3423</v>
      </c>
    </row>
    <row r="979" spans="1:4" ht="25.5" x14ac:dyDescent="0.25">
      <c r="A979" s="3">
        <v>3795</v>
      </c>
      <c r="B979" s="4" t="s">
        <v>4372</v>
      </c>
      <c r="C979" s="5">
        <v>336992</v>
      </c>
      <c r="D979" s="4" t="s">
        <v>3460</v>
      </c>
    </row>
    <row r="980" spans="1:4" ht="25.5" x14ac:dyDescent="0.25">
      <c r="A980" s="3">
        <v>3799</v>
      </c>
      <c r="B980" s="4" t="s">
        <v>4374</v>
      </c>
      <c r="C980" s="5">
        <v>333924</v>
      </c>
      <c r="D980" s="4" t="s">
        <v>3310</v>
      </c>
    </row>
    <row r="981" spans="1:4" x14ac:dyDescent="0.25">
      <c r="A981" s="3">
        <v>3799</v>
      </c>
      <c r="B981" s="4" t="s">
        <v>4376</v>
      </c>
      <c r="C981" s="5">
        <v>336214</v>
      </c>
      <c r="D981" s="4" t="s">
        <v>3423</v>
      </c>
    </row>
    <row r="982" spans="1:4" x14ac:dyDescent="0.25">
      <c r="A982" s="3">
        <v>3799</v>
      </c>
      <c r="B982" s="4" t="s">
        <v>4378</v>
      </c>
      <c r="C982" s="5">
        <v>336399</v>
      </c>
      <c r="D982" s="4" t="s">
        <v>5887</v>
      </c>
    </row>
    <row r="983" spans="1:4" ht="25.5" x14ac:dyDescent="0.25">
      <c r="A983" s="3">
        <v>3799</v>
      </c>
      <c r="B983" s="4" t="s">
        <v>4380</v>
      </c>
      <c r="C983" s="5">
        <v>336999</v>
      </c>
      <c r="D983" s="4" t="s">
        <v>3462</v>
      </c>
    </row>
    <row r="984" spans="1:4" ht="25.5" x14ac:dyDescent="0.25">
      <c r="A984" s="3">
        <v>3812</v>
      </c>
      <c r="B984" s="4" t="s">
        <v>4382</v>
      </c>
      <c r="C984" s="5">
        <v>334511</v>
      </c>
      <c r="D984" s="4" t="s">
        <v>5949</v>
      </c>
    </row>
    <row r="985" spans="1:4" x14ac:dyDescent="0.25">
      <c r="A985" s="3">
        <v>3821</v>
      </c>
      <c r="B985" s="4" t="s">
        <v>4384</v>
      </c>
      <c r="C985" s="5">
        <v>339111</v>
      </c>
      <c r="D985" s="4" t="s">
        <v>5808</v>
      </c>
    </row>
    <row r="986" spans="1:4" ht="25.5" x14ac:dyDescent="0.25">
      <c r="A986" s="3">
        <v>3822</v>
      </c>
      <c r="B986" s="4" t="s">
        <v>4386</v>
      </c>
      <c r="C986" s="5">
        <v>334512</v>
      </c>
      <c r="D986" s="4" t="s">
        <v>3358</v>
      </c>
    </row>
    <row r="987" spans="1:4" ht="38.25" x14ac:dyDescent="0.25">
      <c r="A987" s="3">
        <v>3823</v>
      </c>
      <c r="B987" s="4" t="s">
        <v>4388</v>
      </c>
      <c r="C987" s="5">
        <v>334513</v>
      </c>
      <c r="D987" s="4" t="s">
        <v>3360</v>
      </c>
    </row>
    <row r="988" spans="1:4" x14ac:dyDescent="0.25">
      <c r="A988" s="3">
        <v>3824</v>
      </c>
      <c r="B988" s="4" t="s">
        <v>4390</v>
      </c>
      <c r="C988" s="5">
        <v>334514</v>
      </c>
      <c r="D988" s="4" t="s">
        <v>3362</v>
      </c>
    </row>
    <row r="989" spans="1:4" ht="25.5" x14ac:dyDescent="0.25">
      <c r="A989" s="3">
        <v>3825</v>
      </c>
      <c r="B989" s="4" t="s">
        <v>4392</v>
      </c>
      <c r="C989" s="5">
        <v>334514</v>
      </c>
      <c r="D989" s="4" t="s">
        <v>3362</v>
      </c>
    </row>
    <row r="990" spans="1:4" ht="25.5" x14ac:dyDescent="0.25">
      <c r="A990" s="3">
        <v>3825</v>
      </c>
      <c r="B990" s="4" t="s">
        <v>4394</v>
      </c>
      <c r="C990" s="5">
        <v>334515</v>
      </c>
      <c r="D990" s="4" t="s">
        <v>3364</v>
      </c>
    </row>
    <row r="991" spans="1:4" x14ac:dyDescent="0.25">
      <c r="A991" s="3">
        <v>3826</v>
      </c>
      <c r="B991" s="4" t="s">
        <v>4396</v>
      </c>
      <c r="C991" s="5">
        <v>334516</v>
      </c>
      <c r="D991" s="4" t="s">
        <v>3366</v>
      </c>
    </row>
    <row r="992" spans="1:4" x14ac:dyDescent="0.25">
      <c r="A992" s="3">
        <v>3827</v>
      </c>
      <c r="B992" s="4" t="s">
        <v>4398</v>
      </c>
      <c r="C992" s="5">
        <v>333314</v>
      </c>
      <c r="D992" s="4" t="s">
        <v>3270</v>
      </c>
    </row>
    <row r="993" spans="1:4" x14ac:dyDescent="0.25">
      <c r="A993" s="3">
        <v>3829</v>
      </c>
      <c r="B993" s="4" t="s">
        <v>4400</v>
      </c>
      <c r="C993" s="5">
        <v>334514</v>
      </c>
      <c r="D993" s="4" t="s">
        <v>3362</v>
      </c>
    </row>
    <row r="994" spans="1:4" x14ac:dyDescent="0.25">
      <c r="A994" s="3">
        <v>3829</v>
      </c>
      <c r="B994" s="4" t="s">
        <v>4402</v>
      </c>
      <c r="C994" s="5">
        <v>334518</v>
      </c>
      <c r="D994" s="4" t="s">
        <v>5886</v>
      </c>
    </row>
    <row r="995" spans="1:4" ht="25.5" x14ac:dyDescent="0.25">
      <c r="A995" s="3">
        <v>3829</v>
      </c>
      <c r="B995" s="4" t="s">
        <v>4404</v>
      </c>
      <c r="C995" s="5">
        <v>334519</v>
      </c>
      <c r="D995" s="4" t="s">
        <v>3370</v>
      </c>
    </row>
    <row r="996" spans="1:4" x14ac:dyDescent="0.25">
      <c r="A996" s="3">
        <v>3829</v>
      </c>
      <c r="B996" s="4" t="s">
        <v>4406</v>
      </c>
      <c r="C996" s="5">
        <v>339112</v>
      </c>
      <c r="D996" s="4" t="s">
        <v>3488</v>
      </c>
    </row>
    <row r="997" spans="1:4" x14ac:dyDescent="0.25">
      <c r="A997" s="3">
        <v>3841</v>
      </c>
      <c r="B997" s="4" t="s">
        <v>4408</v>
      </c>
      <c r="C997" s="5">
        <v>332994</v>
      </c>
      <c r="D997" s="4" t="s">
        <v>5898</v>
      </c>
    </row>
    <row r="998" spans="1:4" x14ac:dyDescent="0.25">
      <c r="A998" s="3">
        <v>3841</v>
      </c>
      <c r="B998" s="4" t="s">
        <v>4410</v>
      </c>
      <c r="C998" s="5">
        <v>339111</v>
      </c>
      <c r="D998" s="4" t="s">
        <v>5808</v>
      </c>
    </row>
    <row r="999" spans="1:4" ht="25.5" x14ac:dyDescent="0.25">
      <c r="A999" s="3">
        <v>3841</v>
      </c>
      <c r="B999" s="4" t="s">
        <v>4412</v>
      </c>
      <c r="C999" s="5">
        <v>339112</v>
      </c>
      <c r="D999" s="4" t="s">
        <v>3488</v>
      </c>
    </row>
    <row r="1000" spans="1:4" x14ac:dyDescent="0.25">
      <c r="A1000" s="3">
        <v>3842</v>
      </c>
      <c r="B1000" s="4" t="s">
        <v>4414</v>
      </c>
      <c r="C1000" s="5">
        <v>322291</v>
      </c>
      <c r="D1000" s="4" t="s">
        <v>3000</v>
      </c>
    </row>
    <row r="1001" spans="1:4" ht="25.5" x14ac:dyDescent="0.25">
      <c r="A1001" s="3">
        <v>3842</v>
      </c>
      <c r="B1001" s="4" t="s">
        <v>4416</v>
      </c>
      <c r="C1001" s="5">
        <v>334510</v>
      </c>
      <c r="D1001" s="4" t="s">
        <v>3354</v>
      </c>
    </row>
    <row r="1002" spans="1:4" ht="25.5" x14ac:dyDescent="0.25">
      <c r="A1002" s="3">
        <v>3842</v>
      </c>
      <c r="B1002" s="4" t="s">
        <v>4418</v>
      </c>
      <c r="C1002" s="5">
        <v>339113</v>
      </c>
      <c r="D1002" s="4" t="s">
        <v>3490</v>
      </c>
    </row>
    <row r="1003" spans="1:4" x14ac:dyDescent="0.25">
      <c r="A1003" s="3">
        <v>3842</v>
      </c>
      <c r="B1003" s="4" t="s">
        <v>4420</v>
      </c>
      <c r="C1003" s="5">
        <v>339999</v>
      </c>
      <c r="D1003" s="4" t="s">
        <v>3518</v>
      </c>
    </row>
    <row r="1004" spans="1:4" x14ac:dyDescent="0.25">
      <c r="A1004" s="3">
        <v>3843</v>
      </c>
      <c r="B1004" s="4" t="s">
        <v>4422</v>
      </c>
      <c r="C1004" s="5">
        <v>339114</v>
      </c>
      <c r="D1004" s="4" t="s">
        <v>3492</v>
      </c>
    </row>
    <row r="1005" spans="1:4" x14ac:dyDescent="0.25">
      <c r="A1005" s="3">
        <v>3844</v>
      </c>
      <c r="B1005" s="4" t="s">
        <v>4424</v>
      </c>
      <c r="C1005" s="5">
        <v>334517</v>
      </c>
      <c r="D1005" s="4" t="s">
        <v>3368</v>
      </c>
    </row>
    <row r="1006" spans="1:4" ht="25.5" x14ac:dyDescent="0.25">
      <c r="A1006" s="3">
        <v>3845</v>
      </c>
      <c r="B1006" s="4" t="s">
        <v>4426</v>
      </c>
      <c r="C1006" s="5">
        <v>334510</v>
      </c>
      <c r="D1006" s="4" t="s">
        <v>3354</v>
      </c>
    </row>
    <row r="1007" spans="1:4" x14ac:dyDescent="0.25">
      <c r="A1007" s="3">
        <v>3845</v>
      </c>
      <c r="B1007" s="4" t="s">
        <v>4428</v>
      </c>
      <c r="C1007" s="5">
        <v>334517</v>
      </c>
      <c r="D1007" s="4" t="s">
        <v>3368</v>
      </c>
    </row>
    <row r="1008" spans="1:4" x14ac:dyDescent="0.25">
      <c r="A1008" s="3">
        <v>3851</v>
      </c>
      <c r="B1008" s="4" t="s">
        <v>4430</v>
      </c>
      <c r="C1008" s="5">
        <v>339113</v>
      </c>
      <c r="D1008" s="4" t="s">
        <v>3490</v>
      </c>
    </row>
    <row r="1009" spans="1:4" x14ac:dyDescent="0.25">
      <c r="A1009" s="3">
        <v>3851</v>
      </c>
      <c r="B1009" s="4" t="s">
        <v>4432</v>
      </c>
      <c r="C1009" s="5">
        <v>339115</v>
      </c>
      <c r="D1009" s="4" t="s">
        <v>3494</v>
      </c>
    </row>
    <row r="1010" spans="1:4" ht="25.5" x14ac:dyDescent="0.25">
      <c r="A1010" s="3">
        <v>3861</v>
      </c>
      <c r="B1010" s="4" t="s">
        <v>452</v>
      </c>
      <c r="C1010" s="5">
        <v>325992</v>
      </c>
      <c r="D1010" s="4" t="s">
        <v>3071</v>
      </c>
    </row>
    <row r="1011" spans="1:4" x14ac:dyDescent="0.25">
      <c r="A1011" s="3">
        <v>3861</v>
      </c>
      <c r="B1011" s="4" t="s">
        <v>4435</v>
      </c>
      <c r="C1011" s="5">
        <v>333315</v>
      </c>
      <c r="D1011" s="4" t="s">
        <v>3272</v>
      </c>
    </row>
    <row r="1012" spans="1:4" x14ac:dyDescent="0.25">
      <c r="A1012" s="3">
        <v>3873</v>
      </c>
      <c r="B1012" s="4" t="s">
        <v>4437</v>
      </c>
      <c r="C1012" s="5">
        <v>334518</v>
      </c>
      <c r="D1012" s="4" t="s">
        <v>5886</v>
      </c>
    </row>
    <row r="1013" spans="1:4" x14ac:dyDescent="0.25">
      <c r="A1013" s="3">
        <v>3911</v>
      </c>
      <c r="B1013" s="4" t="s">
        <v>4439</v>
      </c>
      <c r="C1013" s="5">
        <v>339911</v>
      </c>
      <c r="D1013" s="4" t="s">
        <v>5896</v>
      </c>
    </row>
    <row r="1014" spans="1:4" ht="25.5" x14ac:dyDescent="0.25">
      <c r="A1014" s="3">
        <v>3914</v>
      </c>
      <c r="B1014" s="4" t="s">
        <v>4441</v>
      </c>
      <c r="C1014" s="5">
        <v>332211</v>
      </c>
      <c r="D1014" s="4" t="s">
        <v>5883</v>
      </c>
    </row>
    <row r="1015" spans="1:4" ht="25.5" x14ac:dyDescent="0.25">
      <c r="A1015" s="3">
        <v>3914</v>
      </c>
      <c r="B1015" s="4" t="s">
        <v>4443</v>
      </c>
      <c r="C1015" s="5">
        <v>332999</v>
      </c>
      <c r="D1015" s="4" t="s">
        <v>3248</v>
      </c>
    </row>
    <row r="1016" spans="1:4" ht="25.5" x14ac:dyDescent="0.25">
      <c r="A1016" s="3">
        <v>3914</v>
      </c>
      <c r="B1016" s="4" t="s">
        <v>4445</v>
      </c>
      <c r="C1016" s="5">
        <v>339912</v>
      </c>
      <c r="D1016" s="4" t="s">
        <v>5897</v>
      </c>
    </row>
    <row r="1017" spans="1:4" x14ac:dyDescent="0.25">
      <c r="A1017" s="3">
        <v>3915</v>
      </c>
      <c r="B1017" s="4" t="s">
        <v>4447</v>
      </c>
      <c r="C1017" s="5">
        <v>334518</v>
      </c>
      <c r="D1017" s="4" t="s">
        <v>5886</v>
      </c>
    </row>
    <row r="1018" spans="1:4" x14ac:dyDescent="0.25">
      <c r="A1018" s="3">
        <v>3915</v>
      </c>
      <c r="B1018" s="4" t="s">
        <v>4449</v>
      </c>
      <c r="C1018" s="5">
        <v>339913</v>
      </c>
      <c r="D1018" s="4" t="s">
        <v>5950</v>
      </c>
    </row>
    <row r="1019" spans="1:4" x14ac:dyDescent="0.25">
      <c r="A1019" s="3">
        <v>3931</v>
      </c>
      <c r="B1019" s="4" t="s">
        <v>4451</v>
      </c>
      <c r="C1019" s="5">
        <v>339992</v>
      </c>
      <c r="D1019" s="4" t="s">
        <v>3510</v>
      </c>
    </row>
    <row r="1020" spans="1:4" x14ac:dyDescent="0.25">
      <c r="A1020" s="3">
        <v>3942</v>
      </c>
      <c r="B1020" s="4" t="s">
        <v>4453</v>
      </c>
      <c r="C1020" s="5">
        <v>339931</v>
      </c>
      <c r="D1020" s="4" t="s">
        <v>5951</v>
      </c>
    </row>
    <row r="1021" spans="1:4" x14ac:dyDescent="0.25">
      <c r="A1021" s="3">
        <v>3944</v>
      </c>
      <c r="B1021" s="4" t="s">
        <v>4455</v>
      </c>
      <c r="C1021" s="5">
        <v>336991</v>
      </c>
      <c r="D1021" s="4" t="s">
        <v>3458</v>
      </c>
    </row>
    <row r="1022" spans="1:4" x14ac:dyDescent="0.25">
      <c r="A1022" s="3">
        <v>3944</v>
      </c>
      <c r="B1022" s="4" t="s">
        <v>4457</v>
      </c>
      <c r="C1022" s="5">
        <v>339932</v>
      </c>
      <c r="D1022" s="4" t="s">
        <v>5850</v>
      </c>
    </row>
    <row r="1023" spans="1:4" x14ac:dyDescent="0.25">
      <c r="A1023" s="3">
        <v>3949</v>
      </c>
      <c r="B1023" s="4" t="s">
        <v>4459</v>
      </c>
      <c r="C1023" s="5">
        <v>339920</v>
      </c>
      <c r="D1023" s="4" t="s">
        <v>3500</v>
      </c>
    </row>
    <row r="1024" spans="1:4" x14ac:dyDescent="0.25">
      <c r="A1024" s="3">
        <v>3951</v>
      </c>
      <c r="B1024" s="4" t="s">
        <v>4461</v>
      </c>
      <c r="C1024" s="5">
        <v>339941</v>
      </c>
      <c r="D1024" s="4" t="s">
        <v>5952</v>
      </c>
    </row>
    <row r="1025" spans="1:4" ht="25.5" x14ac:dyDescent="0.25">
      <c r="A1025" s="3">
        <v>3952</v>
      </c>
      <c r="B1025" s="4" t="s">
        <v>4463</v>
      </c>
      <c r="C1025" s="5">
        <v>325998</v>
      </c>
      <c r="D1025" s="4" t="s">
        <v>3073</v>
      </c>
    </row>
    <row r="1026" spans="1:4" x14ac:dyDescent="0.25">
      <c r="A1026" s="3">
        <v>3952</v>
      </c>
      <c r="B1026" s="4" t="s">
        <v>4465</v>
      </c>
      <c r="C1026" s="5">
        <v>337127</v>
      </c>
      <c r="D1026" s="4" t="s">
        <v>3474</v>
      </c>
    </row>
    <row r="1027" spans="1:4" ht="25.5" x14ac:dyDescent="0.25">
      <c r="A1027" s="3">
        <v>3952</v>
      </c>
      <c r="B1027" s="4" t="s">
        <v>4467</v>
      </c>
      <c r="C1027" s="5">
        <v>339942</v>
      </c>
      <c r="D1027" s="4" t="s">
        <v>5807</v>
      </c>
    </row>
    <row r="1028" spans="1:4" x14ac:dyDescent="0.25">
      <c r="A1028" s="3">
        <v>3953</v>
      </c>
      <c r="B1028" s="4" t="s">
        <v>4469</v>
      </c>
      <c r="C1028" s="5">
        <v>339943</v>
      </c>
      <c r="D1028" s="4" t="s">
        <v>5953</v>
      </c>
    </row>
    <row r="1029" spans="1:4" x14ac:dyDescent="0.25">
      <c r="A1029" s="3">
        <v>3955</v>
      </c>
      <c r="B1029" s="4" t="s">
        <v>4471</v>
      </c>
      <c r="C1029" s="5">
        <v>339944</v>
      </c>
      <c r="D1029" s="4" t="s">
        <v>5954</v>
      </c>
    </row>
    <row r="1030" spans="1:4" x14ac:dyDescent="0.25">
      <c r="A1030" s="3">
        <v>3961</v>
      </c>
      <c r="B1030" s="4" t="s">
        <v>4473</v>
      </c>
      <c r="C1030" s="5">
        <v>339914</v>
      </c>
      <c r="D1030" s="4" t="s">
        <v>5859</v>
      </c>
    </row>
    <row r="1031" spans="1:4" x14ac:dyDescent="0.25">
      <c r="A1031" s="3">
        <v>3961</v>
      </c>
      <c r="B1031" s="4" t="s">
        <v>4475</v>
      </c>
      <c r="C1031" s="5">
        <v>339993</v>
      </c>
      <c r="D1031" s="4" t="s">
        <v>3512</v>
      </c>
    </row>
    <row r="1032" spans="1:4" x14ac:dyDescent="0.25">
      <c r="A1032" s="3">
        <v>3965</v>
      </c>
      <c r="B1032" s="4" t="s">
        <v>4477</v>
      </c>
      <c r="C1032" s="5">
        <v>339993</v>
      </c>
      <c r="D1032" s="4" t="s">
        <v>3512</v>
      </c>
    </row>
    <row r="1033" spans="1:4" x14ac:dyDescent="0.25">
      <c r="A1033" s="3">
        <v>3991</v>
      </c>
      <c r="B1033" s="4" t="s">
        <v>4479</v>
      </c>
      <c r="C1033" s="5">
        <v>339994</v>
      </c>
      <c r="D1033" s="4" t="s">
        <v>3514</v>
      </c>
    </row>
    <row r="1034" spans="1:4" x14ac:dyDescent="0.25">
      <c r="A1034" s="3">
        <v>3993</v>
      </c>
      <c r="B1034" s="4" t="s">
        <v>4481</v>
      </c>
      <c r="C1034" s="5">
        <v>323113</v>
      </c>
      <c r="D1034" s="4" t="s">
        <v>3006</v>
      </c>
    </row>
    <row r="1035" spans="1:4" x14ac:dyDescent="0.25">
      <c r="A1035" s="3">
        <v>3993</v>
      </c>
      <c r="B1035" s="4" t="s">
        <v>4483</v>
      </c>
      <c r="C1035" s="5">
        <v>339950</v>
      </c>
      <c r="D1035" s="4" t="s">
        <v>3506</v>
      </c>
    </row>
    <row r="1036" spans="1:4" x14ac:dyDescent="0.25">
      <c r="A1036" s="3">
        <v>3995</v>
      </c>
      <c r="B1036" s="4" t="s">
        <v>4485</v>
      </c>
      <c r="C1036" s="5">
        <v>339995</v>
      </c>
      <c r="D1036" s="4" t="s">
        <v>3516</v>
      </c>
    </row>
    <row r="1037" spans="1:4" x14ac:dyDescent="0.25">
      <c r="A1037" s="3">
        <v>3996</v>
      </c>
      <c r="B1037" s="4" t="s">
        <v>4487</v>
      </c>
      <c r="C1037" s="5">
        <v>326192</v>
      </c>
      <c r="D1037" s="4" t="s">
        <v>5848</v>
      </c>
    </row>
    <row r="1038" spans="1:4" x14ac:dyDescent="0.25">
      <c r="A1038" s="3">
        <v>3999</v>
      </c>
      <c r="B1038" s="4" t="s">
        <v>4489</v>
      </c>
      <c r="C1038" s="5">
        <v>316110</v>
      </c>
      <c r="D1038" s="4" t="s">
        <v>2947</v>
      </c>
    </row>
    <row r="1039" spans="1:4" x14ac:dyDescent="0.25">
      <c r="A1039" s="3">
        <v>3999</v>
      </c>
      <c r="B1039" s="4" t="s">
        <v>4491</v>
      </c>
      <c r="C1039" s="5">
        <v>321999</v>
      </c>
      <c r="D1039" s="4" t="s">
        <v>2980</v>
      </c>
    </row>
    <row r="1040" spans="1:4" ht="25.5" x14ac:dyDescent="0.25">
      <c r="A1040" s="3">
        <v>3999</v>
      </c>
      <c r="B1040" s="4" t="s">
        <v>4493</v>
      </c>
      <c r="C1040" s="5">
        <v>325998</v>
      </c>
      <c r="D1040" s="4" t="s">
        <v>3073</v>
      </c>
    </row>
    <row r="1041" spans="1:4" x14ac:dyDescent="0.25">
      <c r="A1041" s="3">
        <v>3999</v>
      </c>
      <c r="B1041" s="4" t="s">
        <v>4495</v>
      </c>
      <c r="C1041" s="5">
        <v>326199</v>
      </c>
      <c r="D1041" s="4" t="s">
        <v>3095</v>
      </c>
    </row>
    <row r="1042" spans="1:4" x14ac:dyDescent="0.25">
      <c r="A1042" s="3">
        <v>3999</v>
      </c>
      <c r="B1042" s="4" t="s">
        <v>4497</v>
      </c>
      <c r="C1042" s="5">
        <v>332211</v>
      </c>
      <c r="D1042" s="4" t="s">
        <v>5883</v>
      </c>
    </row>
    <row r="1043" spans="1:4" x14ac:dyDescent="0.25">
      <c r="A1043" s="3">
        <v>3999</v>
      </c>
      <c r="B1043" s="4" t="s">
        <v>4499</v>
      </c>
      <c r="C1043" s="5">
        <v>332212</v>
      </c>
      <c r="D1043" s="4" t="s">
        <v>5884</v>
      </c>
    </row>
    <row r="1044" spans="1:4" ht="25.5" x14ac:dyDescent="0.25">
      <c r="A1044" s="3">
        <v>3999</v>
      </c>
      <c r="B1044" s="4" t="s">
        <v>4501</v>
      </c>
      <c r="C1044" s="5">
        <v>332812</v>
      </c>
      <c r="D1044" s="4" t="s">
        <v>3226</v>
      </c>
    </row>
    <row r="1045" spans="1:4" ht="25.5" x14ac:dyDescent="0.25">
      <c r="A1045" s="3">
        <v>3999</v>
      </c>
      <c r="B1045" s="4" t="s">
        <v>4503</v>
      </c>
      <c r="C1045" s="5">
        <v>332999</v>
      </c>
      <c r="D1045" s="4" t="s">
        <v>3248</v>
      </c>
    </row>
    <row r="1046" spans="1:4" ht="25.5" x14ac:dyDescent="0.25">
      <c r="A1046" s="3">
        <v>3999</v>
      </c>
      <c r="B1046" s="4" t="s">
        <v>4505</v>
      </c>
      <c r="C1046" s="5">
        <v>333319</v>
      </c>
      <c r="D1046" s="4" t="s">
        <v>3274</v>
      </c>
    </row>
    <row r="1047" spans="1:4" x14ac:dyDescent="0.25">
      <c r="A1047" s="3">
        <v>3999</v>
      </c>
      <c r="B1047" s="4" t="s">
        <v>4507</v>
      </c>
      <c r="C1047" s="5">
        <v>335121</v>
      </c>
      <c r="D1047" s="4" t="s">
        <v>5935</v>
      </c>
    </row>
    <row r="1048" spans="1:4" x14ac:dyDescent="0.25">
      <c r="A1048" s="3">
        <v>3999</v>
      </c>
      <c r="B1048" s="4" t="s">
        <v>4509</v>
      </c>
      <c r="C1048" s="5">
        <v>335211</v>
      </c>
      <c r="D1048" s="4" t="s">
        <v>5932</v>
      </c>
    </row>
    <row r="1049" spans="1:4" x14ac:dyDescent="0.25">
      <c r="A1049" s="3">
        <v>3999</v>
      </c>
      <c r="B1049" s="4" t="s">
        <v>4511</v>
      </c>
      <c r="C1049" s="5">
        <v>337127</v>
      </c>
      <c r="D1049" s="4" t="s">
        <v>3474</v>
      </c>
    </row>
    <row r="1050" spans="1:4" x14ac:dyDescent="0.25">
      <c r="A1050" s="3">
        <v>3999</v>
      </c>
      <c r="B1050" s="4" t="s">
        <v>4513</v>
      </c>
      <c r="C1050" s="5">
        <v>339932</v>
      </c>
      <c r="D1050" s="4" t="s">
        <v>5850</v>
      </c>
    </row>
    <row r="1051" spans="1:4" ht="25.5" x14ac:dyDescent="0.25">
      <c r="A1051" s="3">
        <v>3999</v>
      </c>
      <c r="B1051" s="4" t="s">
        <v>4515</v>
      </c>
      <c r="C1051" s="5">
        <v>339999</v>
      </c>
      <c r="D1051" s="4" t="s">
        <v>3518</v>
      </c>
    </row>
    <row r="1052" spans="1:4" x14ac:dyDescent="0.25">
      <c r="A1052" s="3">
        <v>4011</v>
      </c>
      <c r="B1052" s="4" t="s">
        <v>4517</v>
      </c>
      <c r="C1052" s="5">
        <v>482111</v>
      </c>
      <c r="D1052" s="4" t="s">
        <v>3872</v>
      </c>
    </row>
    <row r="1053" spans="1:4" x14ac:dyDescent="0.25">
      <c r="A1053" s="3">
        <v>4013</v>
      </c>
      <c r="B1053" s="4" t="s">
        <v>4519</v>
      </c>
      <c r="C1053" s="5">
        <v>482112</v>
      </c>
      <c r="D1053" s="4" t="s">
        <v>3874</v>
      </c>
    </row>
    <row r="1054" spans="1:4" x14ac:dyDescent="0.25">
      <c r="A1054" s="3">
        <v>4013</v>
      </c>
      <c r="B1054" s="4" t="s">
        <v>4521</v>
      </c>
      <c r="C1054" s="5">
        <v>488210</v>
      </c>
      <c r="D1054" s="4" t="s">
        <v>3941</v>
      </c>
    </row>
    <row r="1055" spans="1:4" x14ac:dyDescent="0.25">
      <c r="A1055" s="3">
        <v>4111</v>
      </c>
      <c r="B1055" s="4" t="s">
        <v>4523</v>
      </c>
      <c r="C1055" s="5">
        <v>485111</v>
      </c>
      <c r="D1055" s="4" t="s">
        <v>3899</v>
      </c>
    </row>
    <row r="1056" spans="1:4" x14ac:dyDescent="0.25">
      <c r="A1056" s="3">
        <v>4111</v>
      </c>
      <c r="B1056" s="4" t="s">
        <v>4525</v>
      </c>
      <c r="C1056" s="5">
        <v>485112</v>
      </c>
      <c r="D1056" s="4" t="s">
        <v>3901</v>
      </c>
    </row>
    <row r="1057" spans="1:4" x14ac:dyDescent="0.25">
      <c r="A1057" s="3">
        <v>4111</v>
      </c>
      <c r="B1057" s="4" t="s">
        <v>4527</v>
      </c>
      <c r="C1057" s="5">
        <v>485113</v>
      </c>
      <c r="D1057" s="4" t="s">
        <v>3903</v>
      </c>
    </row>
    <row r="1058" spans="1:4" ht="25.5" x14ac:dyDescent="0.25">
      <c r="A1058" s="3">
        <v>4111</v>
      </c>
      <c r="B1058" s="4" t="s">
        <v>4529</v>
      </c>
      <c r="C1058" s="5">
        <v>485119</v>
      </c>
      <c r="D1058" s="4" t="s">
        <v>3905</v>
      </c>
    </row>
    <row r="1059" spans="1:4" x14ac:dyDescent="0.25">
      <c r="A1059" s="3">
        <v>4111</v>
      </c>
      <c r="B1059" s="4" t="s">
        <v>4531</v>
      </c>
      <c r="C1059" s="5">
        <v>485999</v>
      </c>
      <c r="D1059" s="4" t="s">
        <v>3919</v>
      </c>
    </row>
    <row r="1060" spans="1:4" ht="25.5" x14ac:dyDescent="0.25">
      <c r="A1060" s="3">
        <v>4119</v>
      </c>
      <c r="B1060" s="4" t="s">
        <v>4533</v>
      </c>
      <c r="C1060" s="5">
        <v>485320</v>
      </c>
      <c r="D1060" s="4" t="s">
        <v>3911</v>
      </c>
    </row>
    <row r="1061" spans="1:4" x14ac:dyDescent="0.25">
      <c r="A1061" s="3">
        <v>4119</v>
      </c>
      <c r="B1061" s="4" t="s">
        <v>4535</v>
      </c>
      <c r="C1061" s="5">
        <v>485410</v>
      </c>
      <c r="D1061" s="4" t="s">
        <v>3913</v>
      </c>
    </row>
    <row r="1062" spans="1:4" x14ac:dyDescent="0.25">
      <c r="A1062" s="3">
        <v>4119</v>
      </c>
      <c r="B1062" s="4" t="s">
        <v>4537</v>
      </c>
      <c r="C1062" s="5">
        <v>485991</v>
      </c>
      <c r="D1062" s="4" t="s">
        <v>3917</v>
      </c>
    </row>
    <row r="1063" spans="1:4" ht="25.5" x14ac:dyDescent="0.25">
      <c r="A1063" s="3">
        <v>4119</v>
      </c>
      <c r="B1063" s="4" t="s">
        <v>4539</v>
      </c>
      <c r="C1063" s="5">
        <v>485999</v>
      </c>
      <c r="D1063" s="4" t="s">
        <v>3919</v>
      </c>
    </row>
    <row r="1064" spans="1:4" ht="25.5" x14ac:dyDescent="0.25">
      <c r="A1064" s="3">
        <v>4119</v>
      </c>
      <c r="B1064" s="4" t="s">
        <v>4541</v>
      </c>
      <c r="C1064" s="5">
        <v>487110</v>
      </c>
      <c r="D1064" s="4" t="s">
        <v>3929</v>
      </c>
    </row>
    <row r="1065" spans="1:4" x14ac:dyDescent="0.25">
      <c r="A1065" s="3">
        <v>4119</v>
      </c>
      <c r="B1065" s="4" t="s">
        <v>4543</v>
      </c>
      <c r="C1065" s="5">
        <v>621910</v>
      </c>
      <c r="D1065" s="4" t="s">
        <v>4440</v>
      </c>
    </row>
    <row r="1066" spans="1:4" x14ac:dyDescent="0.25">
      <c r="A1066" s="3">
        <v>4121</v>
      </c>
      <c r="B1066" s="4" t="s">
        <v>4545</v>
      </c>
      <c r="C1066" s="5">
        <v>485310</v>
      </c>
      <c r="D1066" s="4" t="s">
        <v>3909</v>
      </c>
    </row>
    <row r="1067" spans="1:4" x14ac:dyDescent="0.25">
      <c r="A1067" s="3">
        <v>4131</v>
      </c>
      <c r="B1067" s="4" t="s">
        <v>4547</v>
      </c>
      <c r="C1067" s="5">
        <v>485210</v>
      </c>
      <c r="D1067" s="4" t="s">
        <v>3907</v>
      </c>
    </row>
    <row r="1068" spans="1:4" x14ac:dyDescent="0.25">
      <c r="A1068" s="3">
        <v>4141</v>
      </c>
      <c r="B1068" s="4" t="s">
        <v>4549</v>
      </c>
      <c r="C1068" s="5">
        <v>485510</v>
      </c>
      <c r="D1068" s="4" t="s">
        <v>3915</v>
      </c>
    </row>
    <row r="1069" spans="1:4" x14ac:dyDescent="0.25">
      <c r="A1069" s="3">
        <v>4142</v>
      </c>
      <c r="B1069" s="4" t="s">
        <v>4551</v>
      </c>
      <c r="C1069" s="5">
        <v>485510</v>
      </c>
      <c r="D1069" s="4" t="s">
        <v>3915</v>
      </c>
    </row>
    <row r="1070" spans="1:4" x14ac:dyDescent="0.25">
      <c r="A1070" s="3">
        <v>4151</v>
      </c>
      <c r="B1070" s="4" t="s">
        <v>4553</v>
      </c>
      <c r="C1070" s="5">
        <v>485410</v>
      </c>
      <c r="D1070" s="4" t="s">
        <v>3913</v>
      </c>
    </row>
    <row r="1071" spans="1:4" x14ac:dyDescent="0.25">
      <c r="A1071" s="3">
        <v>4173</v>
      </c>
      <c r="B1071" s="4" t="s">
        <v>4555</v>
      </c>
      <c r="C1071" s="5">
        <v>488490</v>
      </c>
      <c r="D1071" s="4" t="s">
        <v>3953</v>
      </c>
    </row>
    <row r="1072" spans="1:4" x14ac:dyDescent="0.25">
      <c r="A1072" s="3">
        <v>4212</v>
      </c>
      <c r="B1072" s="4" t="s">
        <v>4557</v>
      </c>
      <c r="C1072" s="5">
        <v>484110</v>
      </c>
      <c r="D1072" s="4" t="s">
        <v>3887</v>
      </c>
    </row>
    <row r="1073" spans="1:4" x14ac:dyDescent="0.25">
      <c r="A1073" s="3">
        <v>4212</v>
      </c>
      <c r="B1073" s="4" t="s">
        <v>4559</v>
      </c>
      <c r="C1073" s="5">
        <v>484210</v>
      </c>
      <c r="D1073" s="4" t="s">
        <v>3893</v>
      </c>
    </row>
    <row r="1074" spans="1:4" x14ac:dyDescent="0.25">
      <c r="A1074" s="3">
        <v>4212</v>
      </c>
      <c r="B1074" s="4" t="s">
        <v>4561</v>
      </c>
      <c r="C1074" s="5">
        <v>484220</v>
      </c>
      <c r="D1074" s="4" t="s">
        <v>3895</v>
      </c>
    </row>
    <row r="1075" spans="1:4" x14ac:dyDescent="0.25">
      <c r="A1075" s="3">
        <v>4212</v>
      </c>
      <c r="B1075" s="4" t="s">
        <v>4563</v>
      </c>
      <c r="C1075" s="5">
        <v>562111</v>
      </c>
      <c r="D1075" s="4" t="s">
        <v>4351</v>
      </c>
    </row>
    <row r="1076" spans="1:4" x14ac:dyDescent="0.25">
      <c r="A1076" s="3">
        <v>4212</v>
      </c>
      <c r="B1076" s="4" t="s">
        <v>4565</v>
      </c>
      <c r="C1076" s="5">
        <v>562112</v>
      </c>
      <c r="D1076" s="4" t="s">
        <v>4353</v>
      </c>
    </row>
    <row r="1077" spans="1:4" x14ac:dyDescent="0.25">
      <c r="A1077" s="3">
        <v>4212</v>
      </c>
      <c r="B1077" s="4" t="s">
        <v>4567</v>
      </c>
      <c r="C1077" s="5">
        <v>562119</v>
      </c>
      <c r="D1077" s="4" t="s">
        <v>4355</v>
      </c>
    </row>
    <row r="1078" spans="1:4" x14ac:dyDescent="0.25">
      <c r="A1078" s="3">
        <v>4213</v>
      </c>
      <c r="B1078" s="4" t="s">
        <v>382</v>
      </c>
      <c r="C1078" s="5">
        <v>484121</v>
      </c>
      <c r="D1078" s="4" t="s">
        <v>3889</v>
      </c>
    </row>
    <row r="1079" spans="1:4" ht="25.5" x14ac:dyDescent="0.25">
      <c r="A1079" s="3">
        <v>4213</v>
      </c>
      <c r="B1079" s="4" t="s">
        <v>4570</v>
      </c>
      <c r="C1079" s="5">
        <v>484122</v>
      </c>
      <c r="D1079" s="4" t="s">
        <v>3891</v>
      </c>
    </row>
    <row r="1080" spans="1:4" x14ac:dyDescent="0.25">
      <c r="A1080" s="3">
        <v>4213</v>
      </c>
      <c r="B1080" s="4" t="s">
        <v>4572</v>
      </c>
      <c r="C1080" s="5">
        <v>484210</v>
      </c>
      <c r="D1080" s="4" t="s">
        <v>3893</v>
      </c>
    </row>
    <row r="1081" spans="1:4" ht="25.5" x14ac:dyDescent="0.25">
      <c r="A1081" s="3">
        <v>4213</v>
      </c>
      <c r="B1081" s="4" t="s">
        <v>4574</v>
      </c>
      <c r="C1081" s="5">
        <v>484230</v>
      </c>
      <c r="D1081" s="4" t="s">
        <v>3897</v>
      </c>
    </row>
    <row r="1082" spans="1:4" x14ac:dyDescent="0.25">
      <c r="A1082" s="3">
        <v>4214</v>
      </c>
      <c r="B1082" s="4" t="s">
        <v>4576</v>
      </c>
      <c r="C1082" s="5">
        <v>484110</v>
      </c>
      <c r="D1082" s="4" t="s">
        <v>3887</v>
      </c>
    </row>
    <row r="1083" spans="1:4" x14ac:dyDescent="0.25">
      <c r="A1083" s="3">
        <v>4214</v>
      </c>
      <c r="B1083" s="4" t="s">
        <v>4578</v>
      </c>
      <c r="C1083" s="5">
        <v>484210</v>
      </c>
      <c r="D1083" s="4" t="s">
        <v>3893</v>
      </c>
    </row>
    <row r="1084" spans="1:4" x14ac:dyDescent="0.25">
      <c r="A1084" s="3">
        <v>4214</v>
      </c>
      <c r="B1084" s="4" t="s">
        <v>4580</v>
      </c>
      <c r="C1084" s="5">
        <v>484220</v>
      </c>
      <c r="D1084" s="4" t="s">
        <v>3895</v>
      </c>
    </row>
    <row r="1085" spans="1:4" x14ac:dyDescent="0.25">
      <c r="A1085" s="3">
        <v>4215</v>
      </c>
      <c r="B1085" s="4" t="s">
        <v>4582</v>
      </c>
      <c r="C1085" s="5">
        <v>492110</v>
      </c>
      <c r="D1085" s="4" t="s">
        <v>5955</v>
      </c>
    </row>
    <row r="1086" spans="1:4" x14ac:dyDescent="0.25">
      <c r="A1086" s="3">
        <v>4215</v>
      </c>
      <c r="B1086" s="4" t="s">
        <v>4584</v>
      </c>
      <c r="C1086" s="5">
        <v>492210</v>
      </c>
      <c r="D1086" s="4" t="s">
        <v>3965</v>
      </c>
    </row>
    <row r="1087" spans="1:4" x14ac:dyDescent="0.25">
      <c r="A1087" s="3">
        <v>4221</v>
      </c>
      <c r="B1087" s="4" t="s">
        <v>3971</v>
      </c>
      <c r="C1087" s="5">
        <v>493130</v>
      </c>
      <c r="D1087" s="4" t="s">
        <v>3971</v>
      </c>
    </row>
    <row r="1088" spans="1:4" x14ac:dyDescent="0.25">
      <c r="A1088" s="3">
        <v>4222</v>
      </c>
      <c r="B1088" s="4" t="s">
        <v>3969</v>
      </c>
      <c r="C1088" s="5">
        <v>493120</v>
      </c>
      <c r="D1088" s="4" t="s">
        <v>3969</v>
      </c>
    </row>
    <row r="1089" spans="1:4" x14ac:dyDescent="0.25">
      <c r="A1089" s="3">
        <v>4225</v>
      </c>
      <c r="B1089" s="4" t="s">
        <v>4588</v>
      </c>
      <c r="C1089" s="5">
        <v>493110</v>
      </c>
      <c r="D1089" s="4" t="s">
        <v>5956</v>
      </c>
    </row>
    <row r="1090" spans="1:4" x14ac:dyDescent="0.25">
      <c r="A1090" s="3">
        <v>4225</v>
      </c>
      <c r="B1090" s="4" t="s">
        <v>4590</v>
      </c>
      <c r="C1090" s="5">
        <v>531130</v>
      </c>
      <c r="D1090" s="4" t="s">
        <v>4139</v>
      </c>
    </row>
    <row r="1091" spans="1:4" x14ac:dyDescent="0.25">
      <c r="A1091" s="3">
        <v>4226</v>
      </c>
      <c r="B1091" s="4" t="s">
        <v>503</v>
      </c>
      <c r="C1091" s="5">
        <v>493110</v>
      </c>
      <c r="D1091" s="4" t="s">
        <v>5956</v>
      </c>
    </row>
    <row r="1092" spans="1:4" x14ac:dyDescent="0.25">
      <c r="A1092" s="3">
        <v>4226</v>
      </c>
      <c r="B1092" s="4" t="s">
        <v>4593</v>
      </c>
      <c r="C1092" s="5">
        <v>493120</v>
      </c>
      <c r="D1092" s="4" t="s">
        <v>3969</v>
      </c>
    </row>
    <row r="1093" spans="1:4" ht="25.5" x14ac:dyDescent="0.25">
      <c r="A1093" s="3">
        <v>4226</v>
      </c>
      <c r="B1093" s="4" t="s">
        <v>4595</v>
      </c>
      <c r="C1093" s="5">
        <v>493190</v>
      </c>
      <c r="D1093" s="4" t="s">
        <v>3973</v>
      </c>
    </row>
    <row r="1094" spans="1:4" x14ac:dyDescent="0.25">
      <c r="A1094" s="3">
        <v>4231</v>
      </c>
      <c r="B1094" s="4" t="s">
        <v>4597</v>
      </c>
      <c r="C1094" s="5">
        <v>488490</v>
      </c>
      <c r="D1094" s="4" t="s">
        <v>3953</v>
      </c>
    </row>
    <row r="1095" spans="1:4" x14ac:dyDescent="0.25">
      <c r="A1095" s="3">
        <v>4311</v>
      </c>
      <c r="B1095" s="4" t="s">
        <v>4599</v>
      </c>
      <c r="C1095" s="5">
        <v>491110</v>
      </c>
      <c r="D1095" s="4" t="s">
        <v>3961</v>
      </c>
    </row>
    <row r="1096" spans="1:4" x14ac:dyDescent="0.25">
      <c r="A1096" s="3">
        <v>4412</v>
      </c>
      <c r="B1096" s="4" t="s">
        <v>4601</v>
      </c>
      <c r="C1096" s="5">
        <v>483111</v>
      </c>
      <c r="D1096" s="4" t="s">
        <v>3875</v>
      </c>
    </row>
    <row r="1097" spans="1:4" x14ac:dyDescent="0.25">
      <c r="A1097" s="3">
        <v>4424</v>
      </c>
      <c r="B1097" s="4" t="s">
        <v>4603</v>
      </c>
      <c r="C1097" s="5">
        <v>483113</v>
      </c>
      <c r="D1097" s="4" t="s">
        <v>3879</v>
      </c>
    </row>
    <row r="1098" spans="1:4" x14ac:dyDescent="0.25">
      <c r="A1098" s="3">
        <v>4432</v>
      </c>
      <c r="B1098" s="4" t="s">
        <v>4605</v>
      </c>
      <c r="C1098" s="5">
        <v>483113</v>
      </c>
      <c r="D1098" s="4" t="s">
        <v>3879</v>
      </c>
    </row>
    <row r="1099" spans="1:4" x14ac:dyDescent="0.25">
      <c r="A1099" s="3">
        <v>4449</v>
      </c>
      <c r="B1099" s="4" t="s">
        <v>4607</v>
      </c>
      <c r="C1099" s="5">
        <v>483211</v>
      </c>
      <c r="D1099" s="4" t="s">
        <v>3883</v>
      </c>
    </row>
    <row r="1100" spans="1:4" x14ac:dyDescent="0.25">
      <c r="A1100" s="3">
        <v>4481</v>
      </c>
      <c r="B1100" s="4" t="s">
        <v>4609</v>
      </c>
      <c r="C1100" s="5">
        <v>483112</v>
      </c>
      <c r="D1100" s="4" t="s">
        <v>3877</v>
      </c>
    </row>
    <row r="1101" spans="1:4" x14ac:dyDescent="0.25">
      <c r="A1101" s="3">
        <v>4481</v>
      </c>
      <c r="B1101" s="4" t="s">
        <v>4611</v>
      </c>
      <c r="C1101" s="5">
        <v>483114</v>
      </c>
      <c r="D1101" s="4" t="s">
        <v>3881</v>
      </c>
    </row>
    <row r="1102" spans="1:4" x14ac:dyDescent="0.25">
      <c r="A1102" s="3">
        <v>4482</v>
      </c>
      <c r="B1102" s="4" t="s">
        <v>4613</v>
      </c>
      <c r="C1102" s="5">
        <v>483114</v>
      </c>
      <c r="D1102" s="4" t="s">
        <v>3881</v>
      </c>
    </row>
    <row r="1103" spans="1:4" x14ac:dyDescent="0.25">
      <c r="A1103" s="3">
        <v>4482</v>
      </c>
      <c r="B1103" s="4" t="s">
        <v>4615</v>
      </c>
      <c r="C1103" s="5">
        <v>483212</v>
      </c>
      <c r="D1103" s="4" t="s">
        <v>3885</v>
      </c>
    </row>
    <row r="1104" spans="1:4" x14ac:dyDescent="0.25">
      <c r="A1104" s="3">
        <v>4489</v>
      </c>
      <c r="B1104" s="4" t="s">
        <v>4617</v>
      </c>
      <c r="C1104" s="5">
        <v>483212</v>
      </c>
      <c r="D1104" s="4" t="s">
        <v>3885</v>
      </c>
    </row>
    <row r="1105" spans="1:4" x14ac:dyDescent="0.25">
      <c r="A1105" s="3">
        <v>4489</v>
      </c>
      <c r="B1105" s="4" t="s">
        <v>4619</v>
      </c>
      <c r="C1105" s="5">
        <v>487210</v>
      </c>
      <c r="D1105" s="4" t="s">
        <v>3931</v>
      </c>
    </row>
    <row r="1106" spans="1:4" x14ac:dyDescent="0.25">
      <c r="A1106" s="3">
        <v>4491</v>
      </c>
      <c r="B1106" s="4" t="s">
        <v>379</v>
      </c>
      <c r="C1106" s="5">
        <v>488310</v>
      </c>
      <c r="D1106" s="4" t="s">
        <v>3943</v>
      </c>
    </row>
    <row r="1107" spans="1:4" x14ac:dyDescent="0.25">
      <c r="A1107" s="3">
        <v>4491</v>
      </c>
      <c r="B1107" s="4" t="s">
        <v>4622</v>
      </c>
      <c r="C1107" s="5">
        <v>488320</v>
      </c>
      <c r="D1107" s="4" t="s">
        <v>3945</v>
      </c>
    </row>
    <row r="1108" spans="1:4" x14ac:dyDescent="0.25">
      <c r="A1108" s="3">
        <v>4492</v>
      </c>
      <c r="B1108" s="4" t="s">
        <v>554</v>
      </c>
      <c r="C1108" s="5">
        <v>488330</v>
      </c>
      <c r="D1108" s="4" t="s">
        <v>3947</v>
      </c>
    </row>
    <row r="1109" spans="1:4" x14ac:dyDescent="0.25">
      <c r="A1109" s="3">
        <v>4493</v>
      </c>
      <c r="B1109" s="4" t="s">
        <v>4524</v>
      </c>
      <c r="C1109" s="5">
        <v>713930</v>
      </c>
      <c r="D1109" s="4" t="s">
        <v>4524</v>
      </c>
    </row>
    <row r="1110" spans="1:4" x14ac:dyDescent="0.25">
      <c r="A1110" s="3">
        <v>4499</v>
      </c>
      <c r="B1110" s="4" t="s">
        <v>4626</v>
      </c>
      <c r="C1110" s="5">
        <v>483211</v>
      </c>
      <c r="D1110" s="4" t="s">
        <v>3883</v>
      </c>
    </row>
    <row r="1111" spans="1:4" x14ac:dyDescent="0.25">
      <c r="A1111" s="3">
        <v>4499</v>
      </c>
      <c r="B1111" s="4" t="s">
        <v>4628</v>
      </c>
      <c r="C1111" s="5">
        <v>488310</v>
      </c>
      <c r="D1111" s="4" t="s">
        <v>3943</v>
      </c>
    </row>
    <row r="1112" spans="1:4" x14ac:dyDescent="0.25">
      <c r="A1112" s="3">
        <v>4499</v>
      </c>
      <c r="B1112" s="4" t="s">
        <v>4630</v>
      </c>
      <c r="C1112" s="5">
        <v>488330</v>
      </c>
      <c r="D1112" s="4" t="s">
        <v>3947</v>
      </c>
    </row>
    <row r="1113" spans="1:4" ht="38.25" x14ac:dyDescent="0.25">
      <c r="A1113" s="3">
        <v>4499</v>
      </c>
      <c r="B1113" s="4" t="s">
        <v>4632</v>
      </c>
      <c r="C1113" s="5">
        <v>488390</v>
      </c>
      <c r="D1113" s="4" t="s">
        <v>3949</v>
      </c>
    </row>
    <row r="1114" spans="1:4" ht="25.5" x14ac:dyDescent="0.25">
      <c r="A1114" s="3">
        <v>4499</v>
      </c>
      <c r="B1114" s="4" t="s">
        <v>4634</v>
      </c>
      <c r="C1114" s="5">
        <v>532411</v>
      </c>
      <c r="D1114" s="4" t="s">
        <v>4172</v>
      </c>
    </row>
    <row r="1115" spans="1:4" x14ac:dyDescent="0.25">
      <c r="A1115" s="3">
        <v>4499</v>
      </c>
      <c r="B1115" s="4" t="s">
        <v>4636</v>
      </c>
      <c r="C1115" s="5">
        <v>541990</v>
      </c>
      <c r="D1115" s="4" t="s">
        <v>4278</v>
      </c>
    </row>
    <row r="1116" spans="1:4" x14ac:dyDescent="0.25">
      <c r="A1116" s="3">
        <v>4512</v>
      </c>
      <c r="B1116" s="4" t="s">
        <v>4638</v>
      </c>
      <c r="C1116" s="5">
        <v>481111</v>
      </c>
      <c r="D1116" s="4" t="s">
        <v>3862</v>
      </c>
    </row>
    <row r="1117" spans="1:4" x14ac:dyDescent="0.25">
      <c r="A1117" s="3">
        <v>4512</v>
      </c>
      <c r="B1117" s="4" t="s">
        <v>4640</v>
      </c>
      <c r="C1117" s="5">
        <v>481112</v>
      </c>
      <c r="D1117" s="4" t="s">
        <v>3864</v>
      </c>
    </row>
    <row r="1118" spans="1:4" x14ac:dyDescent="0.25">
      <c r="A1118" s="3">
        <v>4513</v>
      </c>
      <c r="B1118" s="4" t="s">
        <v>4642</v>
      </c>
      <c r="C1118" s="5">
        <v>492110</v>
      </c>
      <c r="D1118" s="4" t="s">
        <v>5955</v>
      </c>
    </row>
    <row r="1119" spans="1:4" x14ac:dyDescent="0.25">
      <c r="A1119" s="3">
        <v>4522</v>
      </c>
      <c r="B1119" s="4" t="s">
        <v>4644</v>
      </c>
      <c r="C1119" s="5">
        <v>481211</v>
      </c>
      <c r="D1119" s="4" t="s">
        <v>3866</v>
      </c>
    </row>
    <row r="1120" spans="1:4" x14ac:dyDescent="0.25">
      <c r="A1120" s="3">
        <v>4522</v>
      </c>
      <c r="B1120" s="4" t="s">
        <v>4646</v>
      </c>
      <c r="C1120" s="5">
        <v>481212</v>
      </c>
      <c r="D1120" s="4" t="s">
        <v>3868</v>
      </c>
    </row>
    <row r="1121" spans="1:4" ht="25.5" x14ac:dyDescent="0.25">
      <c r="A1121" s="3">
        <v>4522</v>
      </c>
      <c r="B1121" s="4" t="s">
        <v>4648</v>
      </c>
      <c r="C1121" s="5">
        <v>481219</v>
      </c>
      <c r="D1121" s="4" t="s">
        <v>3870</v>
      </c>
    </row>
    <row r="1122" spans="1:4" x14ac:dyDescent="0.25">
      <c r="A1122" s="3">
        <v>4522</v>
      </c>
      <c r="B1122" s="4" t="s">
        <v>4650</v>
      </c>
      <c r="C1122" s="5">
        <v>487990</v>
      </c>
      <c r="D1122" s="4" t="s">
        <v>3933</v>
      </c>
    </row>
    <row r="1123" spans="1:4" x14ac:dyDescent="0.25">
      <c r="A1123" s="3">
        <v>4522</v>
      </c>
      <c r="B1123" s="4" t="s">
        <v>4652</v>
      </c>
      <c r="C1123" s="5">
        <v>621910</v>
      </c>
      <c r="D1123" s="4" t="s">
        <v>4440</v>
      </c>
    </row>
    <row r="1124" spans="1:4" x14ac:dyDescent="0.25">
      <c r="A1124" s="3">
        <v>4581</v>
      </c>
      <c r="B1124" s="4" t="s">
        <v>4654</v>
      </c>
      <c r="C1124" s="5">
        <v>488111</v>
      </c>
      <c r="D1124" s="4" t="s">
        <v>3935</v>
      </c>
    </row>
    <row r="1125" spans="1:4" ht="25.5" x14ac:dyDescent="0.25">
      <c r="A1125" s="3">
        <v>4581</v>
      </c>
      <c r="B1125" s="4" t="s">
        <v>4656</v>
      </c>
      <c r="C1125" s="5">
        <v>488119</v>
      </c>
      <c r="D1125" s="4" t="s">
        <v>3937</v>
      </c>
    </row>
    <row r="1126" spans="1:4" x14ac:dyDescent="0.25">
      <c r="A1126" s="3">
        <v>4581</v>
      </c>
      <c r="B1126" s="4" t="s">
        <v>4658</v>
      </c>
      <c r="C1126" s="5">
        <v>488190</v>
      </c>
      <c r="D1126" s="4" t="s">
        <v>3939</v>
      </c>
    </row>
    <row r="1127" spans="1:4" x14ac:dyDescent="0.25">
      <c r="A1127" s="3">
        <v>4581</v>
      </c>
      <c r="B1127" s="4" t="s">
        <v>4660</v>
      </c>
      <c r="C1127" s="5">
        <v>561720</v>
      </c>
      <c r="D1127" s="4" t="s">
        <v>4337</v>
      </c>
    </row>
    <row r="1128" spans="1:4" x14ac:dyDescent="0.25">
      <c r="A1128" s="3">
        <v>4581</v>
      </c>
      <c r="B1128" s="4" t="s">
        <v>4662</v>
      </c>
      <c r="C1128" s="5">
        <v>811420</v>
      </c>
      <c r="D1128" s="4" t="s">
        <v>4591</v>
      </c>
    </row>
    <row r="1129" spans="1:4" x14ac:dyDescent="0.25">
      <c r="A1129" s="3">
        <v>4612</v>
      </c>
      <c r="B1129" s="4" t="s">
        <v>4664</v>
      </c>
      <c r="C1129" s="5">
        <v>486110</v>
      </c>
      <c r="D1129" s="4" t="s">
        <v>3921</v>
      </c>
    </row>
    <row r="1130" spans="1:4" x14ac:dyDescent="0.25">
      <c r="A1130" s="3">
        <v>4613</v>
      </c>
      <c r="B1130" s="4" t="s">
        <v>432</v>
      </c>
      <c r="C1130" s="5">
        <v>486910</v>
      </c>
      <c r="D1130" s="4" t="s">
        <v>3925</v>
      </c>
    </row>
    <row r="1131" spans="1:4" x14ac:dyDescent="0.25">
      <c r="A1131" s="3">
        <v>4619</v>
      </c>
      <c r="B1131" s="4" t="s">
        <v>4667</v>
      </c>
      <c r="C1131" s="5">
        <v>486990</v>
      </c>
      <c r="D1131" s="4" t="s">
        <v>3927</v>
      </c>
    </row>
    <row r="1132" spans="1:4" x14ac:dyDescent="0.25">
      <c r="A1132" s="3">
        <v>4724</v>
      </c>
      <c r="B1132" s="4" t="s">
        <v>4318</v>
      </c>
      <c r="C1132" s="5">
        <v>561510</v>
      </c>
      <c r="D1132" s="4" t="s">
        <v>4318</v>
      </c>
    </row>
    <row r="1133" spans="1:4" x14ac:dyDescent="0.25">
      <c r="A1133" s="3">
        <v>4725</v>
      </c>
      <c r="B1133" s="4" t="s">
        <v>4320</v>
      </c>
      <c r="C1133" s="5">
        <v>561520</v>
      </c>
      <c r="D1133" s="4" t="s">
        <v>4320</v>
      </c>
    </row>
    <row r="1134" spans="1:4" x14ac:dyDescent="0.25">
      <c r="A1134" s="3">
        <v>4729</v>
      </c>
      <c r="B1134" s="4" t="s">
        <v>4671</v>
      </c>
      <c r="C1134" s="5">
        <v>488999</v>
      </c>
      <c r="D1134" s="4" t="s">
        <v>3959</v>
      </c>
    </row>
    <row r="1135" spans="1:4" x14ac:dyDescent="0.25">
      <c r="A1135" s="3">
        <v>4729</v>
      </c>
      <c r="B1135" s="4" t="s">
        <v>4673</v>
      </c>
      <c r="C1135" s="5">
        <v>561599</v>
      </c>
      <c r="D1135" s="4" t="s">
        <v>4324</v>
      </c>
    </row>
    <row r="1136" spans="1:4" ht="25.5" x14ac:dyDescent="0.25">
      <c r="A1136" s="3">
        <v>4731</v>
      </c>
      <c r="B1136" s="4" t="s">
        <v>4675</v>
      </c>
      <c r="C1136" s="5">
        <v>488510</v>
      </c>
      <c r="D1136" s="4" t="s">
        <v>3955</v>
      </c>
    </row>
    <row r="1137" spans="1:4" ht="25.5" x14ac:dyDescent="0.25">
      <c r="A1137" s="3">
        <v>4731</v>
      </c>
      <c r="B1137" s="4" t="s">
        <v>4677</v>
      </c>
      <c r="C1137" s="5">
        <v>541614</v>
      </c>
      <c r="D1137" s="4" t="s">
        <v>4236</v>
      </c>
    </row>
    <row r="1138" spans="1:4" ht="38.25" x14ac:dyDescent="0.25">
      <c r="A1138" s="3">
        <v>4741</v>
      </c>
      <c r="B1138" s="4" t="s">
        <v>4679</v>
      </c>
      <c r="C1138" s="5">
        <v>488210</v>
      </c>
      <c r="D1138" s="4" t="s">
        <v>3941</v>
      </c>
    </row>
    <row r="1139" spans="1:4" ht="25.5" x14ac:dyDescent="0.25">
      <c r="A1139" s="3">
        <v>4741</v>
      </c>
      <c r="B1139" s="4" t="s">
        <v>4681</v>
      </c>
      <c r="C1139" s="5">
        <v>532411</v>
      </c>
      <c r="D1139" s="4" t="s">
        <v>4172</v>
      </c>
    </row>
    <row r="1140" spans="1:4" x14ac:dyDescent="0.25">
      <c r="A1140" s="3">
        <v>4783</v>
      </c>
      <c r="B1140" s="4" t="s">
        <v>3957</v>
      </c>
      <c r="C1140" s="5">
        <v>488991</v>
      </c>
      <c r="D1140" s="4" t="s">
        <v>3957</v>
      </c>
    </row>
    <row r="1141" spans="1:4" ht="25.5" x14ac:dyDescent="0.25">
      <c r="A1141" s="3">
        <v>4785</v>
      </c>
      <c r="B1141" s="4" t="s">
        <v>4684</v>
      </c>
      <c r="C1141" s="5">
        <v>488390</v>
      </c>
      <c r="D1141" s="4" t="s">
        <v>3949</v>
      </c>
    </row>
    <row r="1142" spans="1:4" ht="25.5" x14ac:dyDescent="0.25">
      <c r="A1142" s="3">
        <v>4785</v>
      </c>
      <c r="B1142" s="4" t="s">
        <v>4686</v>
      </c>
      <c r="C1142" s="5">
        <v>488490</v>
      </c>
      <c r="D1142" s="4" t="s">
        <v>3953</v>
      </c>
    </row>
    <row r="1143" spans="1:4" x14ac:dyDescent="0.25">
      <c r="A1143" s="3">
        <v>4789</v>
      </c>
      <c r="B1143" s="4" t="s">
        <v>4688</v>
      </c>
      <c r="C1143" s="5">
        <v>487110</v>
      </c>
      <c r="D1143" s="4" t="s">
        <v>3929</v>
      </c>
    </row>
    <row r="1144" spans="1:4" ht="25.5" x14ac:dyDescent="0.25">
      <c r="A1144" s="3">
        <v>4789</v>
      </c>
      <c r="B1144" s="4" t="s">
        <v>4690</v>
      </c>
      <c r="C1144" s="5">
        <v>488210</v>
      </c>
      <c r="D1144" s="4" t="s">
        <v>3941</v>
      </c>
    </row>
    <row r="1145" spans="1:4" x14ac:dyDescent="0.25">
      <c r="A1145" s="3">
        <v>4789</v>
      </c>
      <c r="B1145" s="4" t="s">
        <v>4692</v>
      </c>
      <c r="C1145" s="5">
        <v>488999</v>
      </c>
      <c r="D1145" s="4" t="s">
        <v>3959</v>
      </c>
    </row>
    <row r="1146" spans="1:4" x14ac:dyDescent="0.25">
      <c r="A1146" s="3">
        <v>4789</v>
      </c>
      <c r="B1146" s="4" t="s">
        <v>4694</v>
      </c>
      <c r="C1146" s="5">
        <v>722310</v>
      </c>
      <c r="D1146" s="4" t="s">
        <v>4546</v>
      </c>
    </row>
    <row r="1147" spans="1:4" x14ac:dyDescent="0.25">
      <c r="A1147" s="3">
        <v>4812</v>
      </c>
      <c r="B1147" s="4" t="s">
        <v>4696</v>
      </c>
      <c r="C1147" s="5">
        <v>517211</v>
      </c>
      <c r="D1147" s="4" t="s">
        <v>5957</v>
      </c>
    </row>
    <row r="1148" spans="1:4" x14ac:dyDescent="0.25">
      <c r="A1148" s="3">
        <v>4812</v>
      </c>
      <c r="B1148" s="4" t="s">
        <v>4698</v>
      </c>
      <c r="C1148" s="5">
        <v>517212</v>
      </c>
      <c r="D1148" s="4" t="s">
        <v>5958</v>
      </c>
    </row>
    <row r="1149" spans="1:4" x14ac:dyDescent="0.25">
      <c r="A1149" s="3">
        <v>4812</v>
      </c>
      <c r="B1149" s="4" t="s">
        <v>4700</v>
      </c>
      <c r="C1149" s="5">
        <v>517310</v>
      </c>
      <c r="D1149" s="4" t="s">
        <v>5959</v>
      </c>
    </row>
    <row r="1150" spans="1:4" x14ac:dyDescent="0.25">
      <c r="A1150" s="3">
        <v>4813</v>
      </c>
      <c r="B1150" s="4" t="s">
        <v>4702</v>
      </c>
      <c r="C1150" s="5">
        <v>517110</v>
      </c>
      <c r="D1150" s="4" t="s">
        <v>4017</v>
      </c>
    </row>
    <row r="1151" spans="1:4" x14ac:dyDescent="0.25">
      <c r="A1151" s="3">
        <v>4813</v>
      </c>
      <c r="B1151" s="4" t="s">
        <v>4704</v>
      </c>
      <c r="C1151" s="5">
        <v>517310</v>
      </c>
      <c r="D1151" s="4" t="s">
        <v>5959</v>
      </c>
    </row>
    <row r="1152" spans="1:4" x14ac:dyDescent="0.25">
      <c r="A1152" s="3">
        <v>4822</v>
      </c>
      <c r="B1152" s="4" t="s">
        <v>4706</v>
      </c>
      <c r="C1152" s="5">
        <v>517110</v>
      </c>
      <c r="D1152" s="4" t="s">
        <v>4017</v>
      </c>
    </row>
    <row r="1153" spans="1:4" x14ac:dyDescent="0.25">
      <c r="A1153" s="3">
        <v>4832</v>
      </c>
      <c r="B1153" s="4" t="s">
        <v>4707</v>
      </c>
      <c r="C1153" s="5">
        <v>515111</v>
      </c>
      <c r="D1153" s="4" t="s">
        <v>4007</v>
      </c>
    </row>
    <row r="1154" spans="1:4" x14ac:dyDescent="0.25">
      <c r="A1154" s="3">
        <v>4832</v>
      </c>
      <c r="B1154" s="4" t="s">
        <v>4708</v>
      </c>
      <c r="C1154" s="5">
        <v>515112</v>
      </c>
      <c r="D1154" s="4" t="s">
        <v>4009</v>
      </c>
    </row>
    <row r="1155" spans="1:4" x14ac:dyDescent="0.25">
      <c r="A1155" s="3">
        <v>4833</v>
      </c>
      <c r="B1155" s="4" t="s">
        <v>4709</v>
      </c>
      <c r="C1155" s="5">
        <v>515120</v>
      </c>
      <c r="D1155" s="4" t="s">
        <v>5960</v>
      </c>
    </row>
    <row r="1156" spans="1:4" x14ac:dyDescent="0.25">
      <c r="A1156" s="3">
        <v>4841</v>
      </c>
      <c r="B1156" s="4" t="s">
        <v>4710</v>
      </c>
      <c r="C1156" s="5">
        <v>515210</v>
      </c>
      <c r="D1156" s="4" t="s">
        <v>4015</v>
      </c>
    </row>
    <row r="1157" spans="1:4" x14ac:dyDescent="0.25">
      <c r="A1157" s="3">
        <v>4841</v>
      </c>
      <c r="B1157" s="4" t="s">
        <v>4711</v>
      </c>
      <c r="C1157" s="5">
        <v>517510</v>
      </c>
      <c r="D1157" s="4" t="s">
        <v>5961</v>
      </c>
    </row>
    <row r="1158" spans="1:4" x14ac:dyDescent="0.25">
      <c r="A1158" s="3">
        <v>4899</v>
      </c>
      <c r="B1158" s="4" t="s">
        <v>4712</v>
      </c>
      <c r="C1158" s="5">
        <v>485310</v>
      </c>
      <c r="D1158" s="4" t="s">
        <v>3909</v>
      </c>
    </row>
    <row r="1159" spans="1:4" x14ac:dyDescent="0.25">
      <c r="A1159" s="3">
        <v>4899</v>
      </c>
      <c r="B1159" s="4" t="s">
        <v>4713</v>
      </c>
      <c r="C1159" s="5">
        <v>517212</v>
      </c>
      <c r="D1159" s="4" t="s">
        <v>5958</v>
      </c>
    </row>
    <row r="1160" spans="1:4" x14ac:dyDescent="0.25">
      <c r="A1160" s="3">
        <v>4899</v>
      </c>
      <c r="B1160" s="4" t="s">
        <v>4714</v>
      </c>
      <c r="C1160" s="5">
        <v>517410</v>
      </c>
      <c r="D1160" s="4" t="s">
        <v>4023</v>
      </c>
    </row>
    <row r="1161" spans="1:4" ht="25.5" x14ac:dyDescent="0.25">
      <c r="A1161" s="3">
        <v>4899</v>
      </c>
      <c r="B1161" s="4" t="s">
        <v>4715</v>
      </c>
      <c r="C1161" s="5">
        <v>517910</v>
      </c>
      <c r="D1161" s="4" t="s">
        <v>5962</v>
      </c>
    </row>
    <row r="1162" spans="1:4" x14ac:dyDescent="0.25">
      <c r="A1162" s="3">
        <v>4899</v>
      </c>
      <c r="B1162" s="4" t="s">
        <v>4716</v>
      </c>
      <c r="C1162" s="5">
        <v>812990</v>
      </c>
      <c r="D1162" s="4" t="s">
        <v>4624</v>
      </c>
    </row>
    <row r="1163" spans="1:4" x14ac:dyDescent="0.25">
      <c r="A1163" s="3">
        <v>4911</v>
      </c>
      <c r="B1163" s="4" t="s">
        <v>4717</v>
      </c>
      <c r="C1163" s="5">
        <v>221111</v>
      </c>
      <c r="D1163" s="4" t="s">
        <v>2726</v>
      </c>
    </row>
    <row r="1164" spans="1:4" x14ac:dyDescent="0.25">
      <c r="A1164" s="3">
        <v>4911</v>
      </c>
      <c r="B1164" s="4" t="s">
        <v>4718</v>
      </c>
      <c r="C1164" s="5">
        <v>221112</v>
      </c>
      <c r="D1164" s="4" t="s">
        <v>2728</v>
      </c>
    </row>
    <row r="1165" spans="1:4" x14ac:dyDescent="0.25">
      <c r="A1165" s="3">
        <v>4911</v>
      </c>
      <c r="B1165" s="4" t="s">
        <v>4719</v>
      </c>
      <c r="C1165" s="5">
        <v>221113</v>
      </c>
      <c r="D1165" s="4" t="s">
        <v>2730</v>
      </c>
    </row>
    <row r="1166" spans="1:4" x14ac:dyDescent="0.25">
      <c r="A1166" s="3">
        <v>4911</v>
      </c>
      <c r="B1166" s="4" t="s">
        <v>4720</v>
      </c>
      <c r="C1166" s="5">
        <v>221119</v>
      </c>
      <c r="D1166" s="4" t="s">
        <v>2740</v>
      </c>
    </row>
    <row r="1167" spans="1:4" x14ac:dyDescent="0.25">
      <c r="A1167" s="3">
        <v>4911</v>
      </c>
      <c r="B1167" s="4" t="s">
        <v>4721</v>
      </c>
      <c r="C1167" s="5">
        <v>221121</v>
      </c>
      <c r="D1167" s="4" t="s">
        <v>2741</v>
      </c>
    </row>
    <row r="1168" spans="1:4" x14ac:dyDescent="0.25">
      <c r="A1168" s="3">
        <v>4911</v>
      </c>
      <c r="B1168" s="4" t="s">
        <v>4722</v>
      </c>
      <c r="C1168" s="5">
        <v>221122</v>
      </c>
      <c r="D1168" s="4" t="s">
        <v>2742</v>
      </c>
    </row>
    <row r="1169" spans="1:4" x14ac:dyDescent="0.25">
      <c r="A1169" s="3">
        <v>4922</v>
      </c>
      <c r="B1169" s="4" t="s">
        <v>4723</v>
      </c>
      <c r="C1169" s="5">
        <v>486210</v>
      </c>
      <c r="D1169" s="4" t="s">
        <v>3923</v>
      </c>
    </row>
    <row r="1170" spans="1:4" x14ac:dyDescent="0.25">
      <c r="A1170" s="3">
        <v>4923</v>
      </c>
      <c r="B1170" s="4" t="s">
        <v>4724</v>
      </c>
      <c r="C1170" s="5">
        <v>221210</v>
      </c>
      <c r="D1170" s="4" t="s">
        <v>2744</v>
      </c>
    </row>
    <row r="1171" spans="1:4" x14ac:dyDescent="0.25">
      <c r="A1171" s="3">
        <v>4923</v>
      </c>
      <c r="B1171" s="4" t="s">
        <v>4725</v>
      </c>
      <c r="C1171" s="5">
        <v>486210</v>
      </c>
      <c r="D1171" s="4" t="s">
        <v>3923</v>
      </c>
    </row>
    <row r="1172" spans="1:4" x14ac:dyDescent="0.25">
      <c r="A1172" s="3">
        <v>4924</v>
      </c>
      <c r="B1172" s="4" t="s">
        <v>2744</v>
      </c>
      <c r="C1172" s="5">
        <v>221210</v>
      </c>
      <c r="D1172" s="4" t="s">
        <v>2744</v>
      </c>
    </row>
    <row r="1173" spans="1:4" x14ac:dyDescent="0.25">
      <c r="A1173" s="3">
        <v>4925</v>
      </c>
      <c r="B1173" s="4" t="s">
        <v>4726</v>
      </c>
      <c r="C1173" s="5">
        <v>221210</v>
      </c>
      <c r="D1173" s="4" t="s">
        <v>2744</v>
      </c>
    </row>
    <row r="1174" spans="1:4" x14ac:dyDescent="0.25">
      <c r="A1174" s="3">
        <v>4931</v>
      </c>
      <c r="B1174" s="4" t="s">
        <v>4727</v>
      </c>
      <c r="C1174" s="5">
        <v>221111</v>
      </c>
      <c r="D1174" s="4" t="s">
        <v>2726</v>
      </c>
    </row>
    <row r="1175" spans="1:4" x14ac:dyDescent="0.25">
      <c r="A1175" s="3">
        <v>4931</v>
      </c>
      <c r="B1175" s="4" t="s">
        <v>4728</v>
      </c>
      <c r="C1175" s="5">
        <v>221112</v>
      </c>
      <c r="D1175" s="4" t="s">
        <v>2728</v>
      </c>
    </row>
    <row r="1176" spans="1:4" x14ac:dyDescent="0.25">
      <c r="A1176" s="3">
        <v>4931</v>
      </c>
      <c r="B1176" s="4" t="s">
        <v>4729</v>
      </c>
      <c r="C1176" s="5">
        <v>221113</v>
      </c>
      <c r="D1176" s="4" t="s">
        <v>2730</v>
      </c>
    </row>
    <row r="1177" spans="1:4" x14ac:dyDescent="0.25">
      <c r="A1177" s="3">
        <v>4931</v>
      </c>
      <c r="B1177" s="4" t="s">
        <v>4730</v>
      </c>
      <c r="C1177" s="5">
        <v>221119</v>
      </c>
      <c r="D1177" s="4" t="s">
        <v>2740</v>
      </c>
    </row>
    <row r="1178" spans="1:4" x14ac:dyDescent="0.25">
      <c r="A1178" s="3">
        <v>4931</v>
      </c>
      <c r="B1178" s="4" t="s">
        <v>4731</v>
      </c>
      <c r="C1178" s="5">
        <v>221121</v>
      </c>
      <c r="D1178" s="4" t="s">
        <v>2741</v>
      </c>
    </row>
    <row r="1179" spans="1:4" x14ac:dyDescent="0.25">
      <c r="A1179" s="3">
        <v>4931</v>
      </c>
      <c r="B1179" s="4" t="s">
        <v>4732</v>
      </c>
      <c r="C1179" s="5">
        <v>221122</v>
      </c>
      <c r="D1179" s="4" t="s">
        <v>2742</v>
      </c>
    </row>
    <row r="1180" spans="1:4" x14ac:dyDescent="0.25">
      <c r="A1180" s="3">
        <v>4931</v>
      </c>
      <c r="B1180" s="4" t="s">
        <v>4733</v>
      </c>
      <c r="C1180" s="5">
        <v>221210</v>
      </c>
      <c r="D1180" s="4" t="s">
        <v>2744</v>
      </c>
    </row>
    <row r="1181" spans="1:4" x14ac:dyDescent="0.25">
      <c r="A1181" s="3">
        <v>4932</v>
      </c>
      <c r="B1181" s="4" t="s">
        <v>4734</v>
      </c>
      <c r="C1181" s="5">
        <v>221210</v>
      </c>
      <c r="D1181" s="4" t="s">
        <v>2744</v>
      </c>
    </row>
    <row r="1182" spans="1:4" x14ac:dyDescent="0.25">
      <c r="A1182" s="3">
        <v>4939</v>
      </c>
      <c r="B1182" s="4" t="s">
        <v>4735</v>
      </c>
      <c r="C1182" s="5">
        <v>221111</v>
      </c>
      <c r="D1182" s="4" t="s">
        <v>2726</v>
      </c>
    </row>
    <row r="1183" spans="1:4" x14ac:dyDescent="0.25">
      <c r="A1183" s="3">
        <v>4939</v>
      </c>
      <c r="B1183" s="4" t="s">
        <v>4736</v>
      </c>
      <c r="C1183" s="5">
        <v>221112</v>
      </c>
      <c r="D1183" s="4" t="s">
        <v>2728</v>
      </c>
    </row>
    <row r="1184" spans="1:4" x14ac:dyDescent="0.25">
      <c r="A1184" s="3">
        <v>4939</v>
      </c>
      <c r="B1184" s="4" t="s">
        <v>4737</v>
      </c>
      <c r="C1184" s="5">
        <v>221113</v>
      </c>
      <c r="D1184" s="4" t="s">
        <v>2730</v>
      </c>
    </row>
    <row r="1185" spans="1:4" x14ac:dyDescent="0.25">
      <c r="A1185" s="3">
        <v>4939</v>
      </c>
      <c r="B1185" s="4" t="s">
        <v>4738</v>
      </c>
      <c r="C1185" s="5">
        <v>221119</v>
      </c>
      <c r="D1185" s="4" t="s">
        <v>2740</v>
      </c>
    </row>
    <row r="1186" spans="1:4" x14ac:dyDescent="0.25">
      <c r="A1186" s="3">
        <v>4939</v>
      </c>
      <c r="B1186" s="4" t="s">
        <v>4739</v>
      </c>
      <c r="C1186" s="5">
        <v>221121</v>
      </c>
      <c r="D1186" s="4" t="s">
        <v>2741</v>
      </c>
    </row>
    <row r="1187" spans="1:4" x14ac:dyDescent="0.25">
      <c r="A1187" s="3">
        <v>4939</v>
      </c>
      <c r="B1187" s="4" t="s">
        <v>4740</v>
      </c>
      <c r="C1187" s="5">
        <v>221122</v>
      </c>
      <c r="D1187" s="4" t="s">
        <v>2742</v>
      </c>
    </row>
    <row r="1188" spans="1:4" x14ac:dyDescent="0.25">
      <c r="A1188" s="3">
        <v>4939</v>
      </c>
      <c r="B1188" s="4" t="s">
        <v>4741</v>
      </c>
      <c r="C1188" s="5">
        <v>221210</v>
      </c>
      <c r="D1188" s="4" t="s">
        <v>2744</v>
      </c>
    </row>
    <row r="1189" spans="1:4" x14ac:dyDescent="0.25">
      <c r="A1189" s="3">
        <v>4941</v>
      </c>
      <c r="B1189" s="4" t="s">
        <v>4742</v>
      </c>
      <c r="C1189" s="5">
        <v>221310</v>
      </c>
      <c r="D1189" s="4" t="s">
        <v>2746</v>
      </c>
    </row>
    <row r="1190" spans="1:4" x14ac:dyDescent="0.25">
      <c r="A1190" s="3">
        <v>4952</v>
      </c>
      <c r="B1190" s="4" t="s">
        <v>332</v>
      </c>
      <c r="C1190" s="5">
        <v>221320</v>
      </c>
      <c r="D1190" s="4" t="s">
        <v>2748</v>
      </c>
    </row>
    <row r="1191" spans="1:4" x14ac:dyDescent="0.25">
      <c r="A1191" s="3">
        <v>4953</v>
      </c>
      <c r="B1191" s="4" t="s">
        <v>410</v>
      </c>
      <c r="C1191" s="5">
        <v>562211</v>
      </c>
      <c r="D1191" s="4" t="s">
        <v>2409</v>
      </c>
    </row>
    <row r="1192" spans="1:4" x14ac:dyDescent="0.25">
      <c r="A1192" s="3">
        <v>4953</v>
      </c>
      <c r="B1192" s="4" t="s">
        <v>4743</v>
      </c>
      <c r="C1192" s="5">
        <v>562212</v>
      </c>
      <c r="D1192" s="4" t="s">
        <v>4358</v>
      </c>
    </row>
    <row r="1193" spans="1:4" x14ac:dyDescent="0.25">
      <c r="A1193" s="3">
        <v>4953</v>
      </c>
      <c r="B1193" s="4" t="s">
        <v>4744</v>
      </c>
      <c r="C1193" s="5">
        <v>562213</v>
      </c>
      <c r="D1193" s="4" t="s">
        <v>2416</v>
      </c>
    </row>
    <row r="1194" spans="1:4" x14ac:dyDescent="0.25">
      <c r="A1194" s="3">
        <v>4953</v>
      </c>
      <c r="B1194" s="4" t="s">
        <v>4745</v>
      </c>
      <c r="C1194" s="5">
        <v>562219</v>
      </c>
      <c r="D1194" s="4" t="s">
        <v>4361</v>
      </c>
    </row>
    <row r="1195" spans="1:4" x14ac:dyDescent="0.25">
      <c r="A1195" s="3">
        <v>4953</v>
      </c>
      <c r="B1195" s="4" t="s">
        <v>4746</v>
      </c>
      <c r="C1195" s="5">
        <v>562920</v>
      </c>
      <c r="D1195" s="4" t="s">
        <v>4365</v>
      </c>
    </row>
    <row r="1196" spans="1:4" x14ac:dyDescent="0.25">
      <c r="A1196" s="3">
        <v>4959</v>
      </c>
      <c r="B1196" s="4" t="s">
        <v>329</v>
      </c>
      <c r="C1196" s="5">
        <v>488119</v>
      </c>
      <c r="D1196" s="4" t="s">
        <v>3937</v>
      </c>
    </row>
    <row r="1197" spans="1:4" x14ac:dyDescent="0.25">
      <c r="A1197" s="3">
        <v>4959</v>
      </c>
      <c r="B1197" s="4" t="s">
        <v>4747</v>
      </c>
      <c r="C1197" s="5">
        <v>488490</v>
      </c>
      <c r="D1197" s="4" t="s">
        <v>3953</v>
      </c>
    </row>
    <row r="1198" spans="1:4" x14ac:dyDescent="0.25">
      <c r="A1198" s="3">
        <v>4959</v>
      </c>
      <c r="B1198" s="4" t="s">
        <v>4748</v>
      </c>
      <c r="C1198" s="5">
        <v>561710</v>
      </c>
      <c r="D1198" s="4" t="s">
        <v>4335</v>
      </c>
    </row>
    <row r="1199" spans="1:4" x14ac:dyDescent="0.25">
      <c r="A1199" s="3">
        <v>4959</v>
      </c>
      <c r="B1199" s="4" t="s">
        <v>4749</v>
      </c>
      <c r="C1199" s="5">
        <v>561790</v>
      </c>
      <c r="D1199" s="4" t="s">
        <v>4343</v>
      </c>
    </row>
    <row r="1200" spans="1:4" x14ac:dyDescent="0.25">
      <c r="A1200" s="3">
        <v>4959</v>
      </c>
      <c r="B1200" s="4" t="s">
        <v>4750</v>
      </c>
      <c r="C1200" s="5">
        <v>562910</v>
      </c>
      <c r="D1200" s="4" t="s">
        <v>4363</v>
      </c>
    </row>
    <row r="1201" spans="1:4" ht="25.5" x14ac:dyDescent="0.25">
      <c r="A1201" s="3">
        <v>4959</v>
      </c>
      <c r="B1201" s="4" t="s">
        <v>4751</v>
      </c>
      <c r="C1201" s="5">
        <v>562998</v>
      </c>
      <c r="D1201" s="4" t="s">
        <v>4369</v>
      </c>
    </row>
    <row r="1202" spans="1:4" x14ac:dyDescent="0.25">
      <c r="A1202" s="3">
        <v>4961</v>
      </c>
      <c r="B1202" s="4" t="s">
        <v>2750</v>
      </c>
      <c r="C1202" s="5">
        <v>221330</v>
      </c>
      <c r="D1202" s="4" t="s">
        <v>2750</v>
      </c>
    </row>
    <row r="1203" spans="1:4" x14ac:dyDescent="0.25">
      <c r="A1203" s="3">
        <v>4971</v>
      </c>
      <c r="B1203" s="4" t="s">
        <v>4752</v>
      </c>
      <c r="C1203" s="5">
        <v>221310</v>
      </c>
      <c r="D1203" s="4" t="s">
        <v>2746</v>
      </c>
    </row>
    <row r="1204" spans="1:4" x14ac:dyDescent="0.25">
      <c r="A1204" s="3">
        <v>5012</v>
      </c>
      <c r="B1204" s="4" t="s">
        <v>4753</v>
      </c>
      <c r="C1204" s="5">
        <v>423110</v>
      </c>
      <c r="D1204" s="4" t="s">
        <v>3520</v>
      </c>
    </row>
    <row r="1205" spans="1:4" x14ac:dyDescent="0.25">
      <c r="A1205" s="3">
        <v>5012</v>
      </c>
      <c r="B1205" s="4" t="s">
        <v>4754</v>
      </c>
      <c r="C1205" s="5">
        <v>425110</v>
      </c>
      <c r="D1205" s="4" t="s">
        <v>3652</v>
      </c>
    </row>
    <row r="1206" spans="1:4" x14ac:dyDescent="0.25">
      <c r="A1206" s="3">
        <v>5012</v>
      </c>
      <c r="B1206" s="4" t="s">
        <v>4755</v>
      </c>
      <c r="C1206" s="5">
        <v>425120</v>
      </c>
      <c r="D1206" s="4" t="s">
        <v>3654</v>
      </c>
    </row>
    <row r="1207" spans="1:4" ht="25.5" x14ac:dyDescent="0.25">
      <c r="A1207" s="3">
        <v>5013</v>
      </c>
      <c r="B1207" s="4" t="s">
        <v>4756</v>
      </c>
      <c r="C1207" s="5">
        <v>423120</v>
      </c>
      <c r="D1207" s="4" t="s">
        <v>3521</v>
      </c>
    </row>
    <row r="1208" spans="1:4" x14ac:dyDescent="0.25">
      <c r="A1208" s="3">
        <v>5013</v>
      </c>
      <c r="B1208" s="4" t="s">
        <v>4757</v>
      </c>
      <c r="C1208" s="5">
        <v>425110</v>
      </c>
      <c r="D1208" s="4" t="s">
        <v>3652</v>
      </c>
    </row>
    <row r="1209" spans="1:4" x14ac:dyDescent="0.25">
      <c r="A1209" s="3">
        <v>5013</v>
      </c>
      <c r="B1209" s="4" t="s">
        <v>4758</v>
      </c>
      <c r="C1209" s="5">
        <v>425120</v>
      </c>
      <c r="D1209" s="4" t="s">
        <v>3654</v>
      </c>
    </row>
    <row r="1210" spans="1:4" x14ac:dyDescent="0.25">
      <c r="A1210" s="3">
        <v>5013</v>
      </c>
      <c r="B1210" s="4" t="s">
        <v>4759</v>
      </c>
      <c r="C1210" s="5">
        <v>441310</v>
      </c>
      <c r="D1210" s="4" t="s">
        <v>3664</v>
      </c>
    </row>
    <row r="1211" spans="1:4" x14ac:dyDescent="0.25">
      <c r="A1211" s="3">
        <v>5014</v>
      </c>
      <c r="B1211" s="4" t="s">
        <v>4760</v>
      </c>
      <c r="C1211" s="5">
        <v>423130</v>
      </c>
      <c r="D1211" s="4" t="s">
        <v>3523</v>
      </c>
    </row>
    <row r="1212" spans="1:4" x14ac:dyDescent="0.25">
      <c r="A1212" s="3">
        <v>5014</v>
      </c>
      <c r="B1212" s="4" t="s">
        <v>4761</v>
      </c>
      <c r="C1212" s="5">
        <v>425110</v>
      </c>
      <c r="D1212" s="4" t="s">
        <v>3652</v>
      </c>
    </row>
    <row r="1213" spans="1:4" x14ac:dyDescent="0.25">
      <c r="A1213" s="3">
        <v>5014</v>
      </c>
      <c r="B1213" s="4" t="s">
        <v>4762</v>
      </c>
      <c r="C1213" s="5">
        <v>425120</v>
      </c>
      <c r="D1213" s="4" t="s">
        <v>3654</v>
      </c>
    </row>
    <row r="1214" spans="1:4" x14ac:dyDescent="0.25">
      <c r="A1214" s="3">
        <v>5014</v>
      </c>
      <c r="B1214" s="4" t="s">
        <v>4763</v>
      </c>
      <c r="C1214" s="5">
        <v>441320</v>
      </c>
      <c r="D1214" s="4" t="s">
        <v>3666</v>
      </c>
    </row>
    <row r="1215" spans="1:4" x14ac:dyDescent="0.25">
      <c r="A1215" s="3">
        <v>5015</v>
      </c>
      <c r="B1215" s="4" t="s">
        <v>4764</v>
      </c>
      <c r="C1215" s="5">
        <v>423140</v>
      </c>
      <c r="D1215" s="4" t="s">
        <v>3525</v>
      </c>
    </row>
    <row r="1216" spans="1:4" x14ac:dyDescent="0.25">
      <c r="A1216" s="3">
        <v>5015</v>
      </c>
      <c r="B1216" s="4" t="s">
        <v>4765</v>
      </c>
      <c r="C1216" s="5">
        <v>425110</v>
      </c>
      <c r="D1216" s="4" t="s">
        <v>3652</v>
      </c>
    </row>
    <row r="1217" spans="1:4" x14ac:dyDescent="0.25">
      <c r="A1217" s="3">
        <v>5015</v>
      </c>
      <c r="B1217" s="4" t="s">
        <v>4766</v>
      </c>
      <c r="C1217" s="5">
        <v>425120</v>
      </c>
      <c r="D1217" s="4" t="s">
        <v>3654</v>
      </c>
    </row>
    <row r="1218" spans="1:4" x14ac:dyDescent="0.25">
      <c r="A1218" s="3">
        <v>5015</v>
      </c>
      <c r="B1218" s="4" t="s">
        <v>4767</v>
      </c>
      <c r="C1218" s="5">
        <v>441310</v>
      </c>
      <c r="D1218" s="4" t="s">
        <v>3664</v>
      </c>
    </row>
    <row r="1219" spans="1:4" x14ac:dyDescent="0.25">
      <c r="A1219" s="3">
        <v>5021</v>
      </c>
      <c r="B1219" s="4" t="s">
        <v>4768</v>
      </c>
      <c r="C1219" s="5">
        <v>423210</v>
      </c>
      <c r="D1219" s="4" t="s">
        <v>3527</v>
      </c>
    </row>
    <row r="1220" spans="1:4" x14ac:dyDescent="0.25">
      <c r="A1220" s="3">
        <v>5021</v>
      </c>
      <c r="B1220" s="4" t="s">
        <v>4769</v>
      </c>
      <c r="C1220" s="5">
        <v>425110</v>
      </c>
      <c r="D1220" s="4" t="s">
        <v>3652</v>
      </c>
    </row>
    <row r="1221" spans="1:4" x14ac:dyDescent="0.25">
      <c r="A1221" s="3">
        <v>5021</v>
      </c>
      <c r="B1221" s="4" t="s">
        <v>4770</v>
      </c>
      <c r="C1221" s="5">
        <v>425120</v>
      </c>
      <c r="D1221" s="4" t="s">
        <v>3654</v>
      </c>
    </row>
    <row r="1222" spans="1:4" x14ac:dyDescent="0.25">
      <c r="A1222" s="3">
        <v>5021</v>
      </c>
      <c r="B1222" s="4" t="s">
        <v>4771</v>
      </c>
      <c r="C1222" s="5">
        <v>442110</v>
      </c>
      <c r="D1222" s="4" t="s">
        <v>3667</v>
      </c>
    </row>
    <row r="1223" spans="1:4" x14ac:dyDescent="0.25">
      <c r="A1223" s="3">
        <v>5023</v>
      </c>
      <c r="B1223" s="4" t="s">
        <v>4772</v>
      </c>
      <c r="C1223" s="5">
        <v>423220</v>
      </c>
      <c r="D1223" s="4" t="s">
        <v>3529</v>
      </c>
    </row>
    <row r="1224" spans="1:4" x14ac:dyDescent="0.25">
      <c r="A1224" s="3">
        <v>5023</v>
      </c>
      <c r="B1224" s="4" t="s">
        <v>4773</v>
      </c>
      <c r="C1224" s="5">
        <v>425110</v>
      </c>
      <c r="D1224" s="4" t="s">
        <v>3652</v>
      </c>
    </row>
    <row r="1225" spans="1:4" x14ac:dyDescent="0.25">
      <c r="A1225" s="3">
        <v>5023</v>
      </c>
      <c r="B1225" s="4" t="s">
        <v>4774</v>
      </c>
      <c r="C1225" s="5">
        <v>425120</v>
      </c>
      <c r="D1225" s="4" t="s">
        <v>3654</v>
      </c>
    </row>
    <row r="1226" spans="1:4" x14ac:dyDescent="0.25">
      <c r="A1226" s="3">
        <v>5023</v>
      </c>
      <c r="B1226" s="4" t="s">
        <v>4775</v>
      </c>
      <c r="C1226" s="5">
        <v>442210</v>
      </c>
      <c r="D1226" s="4" t="s">
        <v>3669</v>
      </c>
    </row>
    <row r="1227" spans="1:4" ht="25.5" x14ac:dyDescent="0.25">
      <c r="A1227" s="3">
        <v>5031</v>
      </c>
      <c r="B1227" s="4" t="s">
        <v>4776</v>
      </c>
      <c r="C1227" s="5">
        <v>423310</v>
      </c>
      <c r="D1227" s="4" t="s">
        <v>3531</v>
      </c>
    </row>
    <row r="1228" spans="1:4" x14ac:dyDescent="0.25">
      <c r="A1228" s="3">
        <v>5031</v>
      </c>
      <c r="B1228" s="4" t="s">
        <v>4777</v>
      </c>
      <c r="C1228" s="5">
        <v>425110</v>
      </c>
      <c r="D1228" s="4" t="s">
        <v>3652</v>
      </c>
    </row>
    <row r="1229" spans="1:4" x14ac:dyDescent="0.25">
      <c r="A1229" s="3">
        <v>5031</v>
      </c>
      <c r="B1229" s="4" t="s">
        <v>4778</v>
      </c>
      <c r="C1229" s="5">
        <v>425120</v>
      </c>
      <c r="D1229" s="4" t="s">
        <v>3654</v>
      </c>
    </row>
    <row r="1230" spans="1:4" x14ac:dyDescent="0.25">
      <c r="A1230" s="3">
        <v>5031</v>
      </c>
      <c r="B1230" s="4" t="s">
        <v>4779</v>
      </c>
      <c r="C1230" s="5">
        <v>444110</v>
      </c>
      <c r="D1230" s="4" t="s">
        <v>3678</v>
      </c>
    </row>
    <row r="1231" spans="1:4" ht="25.5" x14ac:dyDescent="0.25">
      <c r="A1231" s="3">
        <v>5032</v>
      </c>
      <c r="B1231" s="4" t="s">
        <v>4780</v>
      </c>
      <c r="C1231" s="5">
        <v>423320</v>
      </c>
      <c r="D1231" s="4" t="s">
        <v>3533</v>
      </c>
    </row>
    <row r="1232" spans="1:4" x14ac:dyDescent="0.25">
      <c r="A1232" s="3">
        <v>5032</v>
      </c>
      <c r="B1232" s="4" t="s">
        <v>4781</v>
      </c>
      <c r="C1232" s="5">
        <v>425110</v>
      </c>
      <c r="D1232" s="4" t="s">
        <v>3652</v>
      </c>
    </row>
    <row r="1233" spans="1:4" x14ac:dyDescent="0.25">
      <c r="A1233" s="3">
        <v>5032</v>
      </c>
      <c r="B1233" s="4" t="s">
        <v>4782</v>
      </c>
      <c r="C1233" s="5">
        <v>425120</v>
      </c>
      <c r="D1233" s="4" t="s">
        <v>3654</v>
      </c>
    </row>
    <row r="1234" spans="1:4" ht="25.5" x14ac:dyDescent="0.25">
      <c r="A1234" s="3">
        <v>5032</v>
      </c>
      <c r="B1234" s="4" t="s">
        <v>4783</v>
      </c>
      <c r="C1234" s="5">
        <v>444190</v>
      </c>
      <c r="D1234" s="4" t="s">
        <v>3683</v>
      </c>
    </row>
    <row r="1235" spans="1:4" ht="25.5" x14ac:dyDescent="0.25">
      <c r="A1235" s="3">
        <v>5033</v>
      </c>
      <c r="B1235" s="4" t="s">
        <v>4784</v>
      </c>
      <c r="C1235" s="5">
        <v>423330</v>
      </c>
      <c r="D1235" s="4" t="s">
        <v>3535</v>
      </c>
    </row>
    <row r="1236" spans="1:4" x14ac:dyDescent="0.25">
      <c r="A1236" s="3">
        <v>5033</v>
      </c>
      <c r="B1236" s="4" t="s">
        <v>4785</v>
      </c>
      <c r="C1236" s="5">
        <v>425110</v>
      </c>
      <c r="D1236" s="4" t="s">
        <v>3652</v>
      </c>
    </row>
    <row r="1237" spans="1:4" x14ac:dyDescent="0.25">
      <c r="A1237" s="3">
        <v>5033</v>
      </c>
      <c r="B1237" s="4" t="s">
        <v>4786</v>
      </c>
      <c r="C1237" s="5">
        <v>425120</v>
      </c>
      <c r="D1237" s="4" t="s">
        <v>3654</v>
      </c>
    </row>
    <row r="1238" spans="1:4" ht="25.5" x14ac:dyDescent="0.25">
      <c r="A1238" s="3">
        <v>5033</v>
      </c>
      <c r="B1238" s="4" t="s">
        <v>4787</v>
      </c>
      <c r="C1238" s="5">
        <v>444190</v>
      </c>
      <c r="D1238" s="4" t="s">
        <v>3683</v>
      </c>
    </row>
    <row r="1239" spans="1:4" ht="25.5" x14ac:dyDescent="0.25">
      <c r="A1239" s="3">
        <v>5039</v>
      </c>
      <c r="B1239" s="4" t="s">
        <v>4788</v>
      </c>
      <c r="C1239" s="5">
        <v>423310</v>
      </c>
      <c r="D1239" s="4" t="s">
        <v>3531</v>
      </c>
    </row>
    <row r="1240" spans="1:4" ht="38.25" x14ac:dyDescent="0.25">
      <c r="A1240" s="3">
        <v>5039</v>
      </c>
      <c r="B1240" s="4" t="s">
        <v>4789</v>
      </c>
      <c r="C1240" s="5">
        <v>423390</v>
      </c>
      <c r="D1240" s="4" t="s">
        <v>3537</v>
      </c>
    </row>
    <row r="1241" spans="1:4" x14ac:dyDescent="0.25">
      <c r="A1241" s="3">
        <v>5039</v>
      </c>
      <c r="B1241" s="4" t="s">
        <v>4790</v>
      </c>
      <c r="C1241" s="5">
        <v>425110</v>
      </c>
      <c r="D1241" s="4" t="s">
        <v>3652</v>
      </c>
    </row>
    <row r="1242" spans="1:4" x14ac:dyDescent="0.25">
      <c r="A1242" s="3">
        <v>5039</v>
      </c>
      <c r="B1242" s="4" t="s">
        <v>4791</v>
      </c>
      <c r="C1242" s="5">
        <v>425120</v>
      </c>
      <c r="D1242" s="4" t="s">
        <v>3654</v>
      </c>
    </row>
    <row r="1243" spans="1:4" x14ac:dyDescent="0.25">
      <c r="A1243" s="3">
        <v>5039</v>
      </c>
      <c r="B1243" s="4" t="s">
        <v>4792</v>
      </c>
      <c r="C1243" s="5">
        <v>444190</v>
      </c>
      <c r="D1243" s="4" t="s">
        <v>3683</v>
      </c>
    </row>
    <row r="1244" spans="1:4" ht="25.5" x14ac:dyDescent="0.25">
      <c r="A1244" s="3">
        <v>5043</v>
      </c>
      <c r="B1244" s="4" t="s">
        <v>4793</v>
      </c>
      <c r="C1244" s="5">
        <v>423410</v>
      </c>
      <c r="D1244" s="4" t="s">
        <v>3539</v>
      </c>
    </row>
    <row r="1245" spans="1:4" x14ac:dyDescent="0.25">
      <c r="A1245" s="3">
        <v>5043</v>
      </c>
      <c r="B1245" s="4" t="s">
        <v>4794</v>
      </c>
      <c r="C1245" s="5">
        <v>425110</v>
      </c>
      <c r="D1245" s="4" t="s">
        <v>3652</v>
      </c>
    </row>
    <row r="1246" spans="1:4" x14ac:dyDescent="0.25">
      <c r="A1246" s="3">
        <v>5043</v>
      </c>
      <c r="B1246" s="4" t="s">
        <v>4795</v>
      </c>
      <c r="C1246" s="5">
        <v>425120</v>
      </c>
      <c r="D1246" s="4" t="s">
        <v>3654</v>
      </c>
    </row>
    <row r="1247" spans="1:4" x14ac:dyDescent="0.25">
      <c r="A1247" s="3">
        <v>5044</v>
      </c>
      <c r="B1247" s="4" t="s">
        <v>4796</v>
      </c>
      <c r="C1247" s="5">
        <v>423420</v>
      </c>
      <c r="D1247" s="4" t="s">
        <v>3541</v>
      </c>
    </row>
    <row r="1248" spans="1:4" x14ac:dyDescent="0.25">
      <c r="A1248" s="3">
        <v>5044</v>
      </c>
      <c r="B1248" s="4" t="s">
        <v>4797</v>
      </c>
      <c r="C1248" s="5">
        <v>425110</v>
      </c>
      <c r="D1248" s="4" t="s">
        <v>3652</v>
      </c>
    </row>
    <row r="1249" spans="1:4" x14ac:dyDescent="0.25">
      <c r="A1249" s="3">
        <v>5044</v>
      </c>
      <c r="B1249" s="4" t="s">
        <v>4798</v>
      </c>
      <c r="C1249" s="5">
        <v>425120</v>
      </c>
      <c r="D1249" s="4" t="s">
        <v>3654</v>
      </c>
    </row>
    <row r="1250" spans="1:4" x14ac:dyDescent="0.25">
      <c r="A1250" s="3">
        <v>5044</v>
      </c>
      <c r="B1250" s="4" t="s">
        <v>4799</v>
      </c>
      <c r="C1250" s="5">
        <v>453210</v>
      </c>
      <c r="D1250" s="4" t="s">
        <v>5963</v>
      </c>
    </row>
    <row r="1251" spans="1:4" ht="25.5" x14ac:dyDescent="0.25">
      <c r="A1251" s="3">
        <v>5045</v>
      </c>
      <c r="B1251" s="4" t="s">
        <v>4800</v>
      </c>
      <c r="C1251" s="5">
        <v>423430</v>
      </c>
      <c r="D1251" s="4" t="s">
        <v>3543</v>
      </c>
    </row>
    <row r="1252" spans="1:4" ht="25.5" x14ac:dyDescent="0.25">
      <c r="A1252" s="3">
        <v>5045</v>
      </c>
      <c r="B1252" s="4" t="s">
        <v>4801</v>
      </c>
      <c r="C1252" s="5">
        <v>425110</v>
      </c>
      <c r="D1252" s="4" t="s">
        <v>3652</v>
      </c>
    </row>
    <row r="1253" spans="1:4" x14ac:dyDescent="0.25">
      <c r="A1253" s="3">
        <v>5045</v>
      </c>
      <c r="B1253" s="4" t="s">
        <v>4802</v>
      </c>
      <c r="C1253" s="5">
        <v>425120</v>
      </c>
      <c r="D1253" s="4" t="s">
        <v>3654</v>
      </c>
    </row>
    <row r="1254" spans="1:4" ht="25.5" x14ac:dyDescent="0.25">
      <c r="A1254" s="3">
        <v>5045</v>
      </c>
      <c r="B1254" s="4" t="s">
        <v>4803</v>
      </c>
      <c r="C1254" s="5">
        <v>443120</v>
      </c>
      <c r="D1254" s="4" t="s">
        <v>5964</v>
      </c>
    </row>
    <row r="1255" spans="1:4" x14ac:dyDescent="0.25">
      <c r="A1255" s="3">
        <v>5046</v>
      </c>
      <c r="B1255" s="4" t="s">
        <v>4804</v>
      </c>
      <c r="C1255" s="5">
        <v>423440</v>
      </c>
      <c r="D1255" s="4" t="s">
        <v>3545</v>
      </c>
    </row>
    <row r="1256" spans="1:4" x14ac:dyDescent="0.25">
      <c r="A1256" s="3">
        <v>5046</v>
      </c>
      <c r="B1256" s="4" t="s">
        <v>4805</v>
      </c>
      <c r="C1256" s="5">
        <v>425110</v>
      </c>
      <c r="D1256" s="4" t="s">
        <v>3652</v>
      </c>
    </row>
    <row r="1257" spans="1:4" x14ac:dyDescent="0.25">
      <c r="A1257" s="3">
        <v>5046</v>
      </c>
      <c r="B1257" s="4" t="s">
        <v>4806</v>
      </c>
      <c r="C1257" s="5">
        <v>425120</v>
      </c>
      <c r="D1257" s="4" t="s">
        <v>3654</v>
      </c>
    </row>
    <row r="1258" spans="1:4" ht="25.5" x14ac:dyDescent="0.25">
      <c r="A1258" s="3">
        <v>5047</v>
      </c>
      <c r="B1258" s="4" t="s">
        <v>4807</v>
      </c>
      <c r="C1258" s="5">
        <v>423450</v>
      </c>
      <c r="D1258" s="4" t="s">
        <v>3547</v>
      </c>
    </row>
    <row r="1259" spans="1:4" ht="25.5" x14ac:dyDescent="0.25">
      <c r="A1259" s="3">
        <v>5047</v>
      </c>
      <c r="B1259" s="4" t="s">
        <v>4808</v>
      </c>
      <c r="C1259" s="5">
        <v>425110</v>
      </c>
      <c r="D1259" s="4" t="s">
        <v>3652</v>
      </c>
    </row>
    <row r="1260" spans="1:4" x14ac:dyDescent="0.25">
      <c r="A1260" s="3">
        <v>5047</v>
      </c>
      <c r="B1260" s="4" t="s">
        <v>4809</v>
      </c>
      <c r="C1260" s="5">
        <v>425120</v>
      </c>
      <c r="D1260" s="4" t="s">
        <v>3654</v>
      </c>
    </row>
    <row r="1261" spans="1:4" ht="25.5" x14ac:dyDescent="0.25">
      <c r="A1261" s="3">
        <v>5047</v>
      </c>
      <c r="B1261" s="4" t="s">
        <v>4810</v>
      </c>
      <c r="C1261" s="5">
        <v>446199</v>
      </c>
      <c r="D1261" s="4" t="s">
        <v>5965</v>
      </c>
    </row>
    <row r="1262" spans="1:4" x14ac:dyDescent="0.25">
      <c r="A1262" s="3">
        <v>5048</v>
      </c>
      <c r="B1262" s="4" t="s">
        <v>4811</v>
      </c>
      <c r="C1262" s="5">
        <v>423460</v>
      </c>
      <c r="D1262" s="4" t="s">
        <v>3549</v>
      </c>
    </row>
    <row r="1263" spans="1:4" x14ac:dyDescent="0.25">
      <c r="A1263" s="3">
        <v>5048</v>
      </c>
      <c r="B1263" s="4" t="s">
        <v>4812</v>
      </c>
      <c r="C1263" s="5">
        <v>425110</v>
      </c>
      <c r="D1263" s="4" t="s">
        <v>3652</v>
      </c>
    </row>
    <row r="1264" spans="1:4" x14ac:dyDescent="0.25">
      <c r="A1264" s="3">
        <v>5048</v>
      </c>
      <c r="B1264" s="4" t="s">
        <v>4813</v>
      </c>
      <c r="C1264" s="5">
        <v>425120</v>
      </c>
      <c r="D1264" s="4" t="s">
        <v>3654</v>
      </c>
    </row>
    <row r="1265" spans="1:4" ht="25.5" x14ac:dyDescent="0.25">
      <c r="A1265" s="3">
        <v>5049</v>
      </c>
      <c r="B1265" s="4" t="s">
        <v>4814</v>
      </c>
      <c r="C1265" s="5">
        <v>423490</v>
      </c>
      <c r="D1265" s="4" t="s">
        <v>3551</v>
      </c>
    </row>
    <row r="1266" spans="1:4" x14ac:dyDescent="0.25">
      <c r="A1266" s="3">
        <v>5049</v>
      </c>
      <c r="B1266" s="4" t="s">
        <v>4815</v>
      </c>
      <c r="C1266" s="5">
        <v>425110</v>
      </c>
      <c r="D1266" s="4" t="s">
        <v>3652</v>
      </c>
    </row>
    <row r="1267" spans="1:4" x14ac:dyDescent="0.25">
      <c r="A1267" s="3">
        <v>5049</v>
      </c>
      <c r="B1267" s="4" t="s">
        <v>4816</v>
      </c>
      <c r="C1267" s="5">
        <v>425120</v>
      </c>
      <c r="D1267" s="4" t="s">
        <v>3654</v>
      </c>
    </row>
    <row r="1268" spans="1:4" ht="25.5" x14ac:dyDescent="0.25">
      <c r="A1268" s="3">
        <v>5049</v>
      </c>
      <c r="B1268" s="4" t="s">
        <v>4817</v>
      </c>
      <c r="C1268" s="5">
        <v>453210</v>
      </c>
      <c r="D1268" s="4" t="s">
        <v>3756</v>
      </c>
    </row>
    <row r="1269" spans="1:4" ht="25.5" x14ac:dyDescent="0.25">
      <c r="A1269" s="3">
        <v>5051</v>
      </c>
      <c r="B1269" s="4" t="s">
        <v>4818</v>
      </c>
      <c r="C1269" s="5">
        <v>423510</v>
      </c>
      <c r="D1269" s="4" t="s">
        <v>3553</v>
      </c>
    </row>
    <row r="1270" spans="1:4" x14ac:dyDescent="0.25">
      <c r="A1270" s="3">
        <v>5051</v>
      </c>
      <c r="B1270" s="4" t="s">
        <v>4819</v>
      </c>
      <c r="C1270" s="5">
        <v>425110</v>
      </c>
      <c r="D1270" s="4" t="s">
        <v>3652</v>
      </c>
    </row>
    <row r="1271" spans="1:4" x14ac:dyDescent="0.25">
      <c r="A1271" s="3">
        <v>5051</v>
      </c>
      <c r="B1271" s="4" t="s">
        <v>4820</v>
      </c>
      <c r="C1271" s="5">
        <v>425120</v>
      </c>
      <c r="D1271" s="4" t="s">
        <v>3654</v>
      </c>
    </row>
    <row r="1272" spans="1:4" x14ac:dyDescent="0.25">
      <c r="A1272" s="3">
        <v>5052</v>
      </c>
      <c r="B1272" s="4" t="s">
        <v>4821</v>
      </c>
      <c r="C1272" s="5">
        <v>423520</v>
      </c>
      <c r="D1272" s="4" t="s">
        <v>3555</v>
      </c>
    </row>
    <row r="1273" spans="1:4" x14ac:dyDescent="0.25">
      <c r="A1273" s="3">
        <v>5052</v>
      </c>
      <c r="B1273" s="4" t="s">
        <v>4822</v>
      </c>
      <c r="C1273" s="5">
        <v>425110</v>
      </c>
      <c r="D1273" s="4" t="s">
        <v>3652</v>
      </c>
    </row>
    <row r="1274" spans="1:4" x14ac:dyDescent="0.25">
      <c r="A1274" s="3">
        <v>5052</v>
      </c>
      <c r="B1274" s="4" t="s">
        <v>4823</v>
      </c>
      <c r="C1274" s="5">
        <v>425120</v>
      </c>
      <c r="D1274" s="4" t="s">
        <v>3654</v>
      </c>
    </row>
    <row r="1275" spans="1:4" ht="38.25" x14ac:dyDescent="0.25">
      <c r="A1275" s="3">
        <v>5063</v>
      </c>
      <c r="B1275" s="4" t="s">
        <v>4824</v>
      </c>
      <c r="C1275" s="5">
        <v>423610</v>
      </c>
      <c r="D1275" s="4" t="s">
        <v>3557</v>
      </c>
    </row>
    <row r="1276" spans="1:4" ht="25.5" x14ac:dyDescent="0.25">
      <c r="A1276" s="3">
        <v>5063</v>
      </c>
      <c r="B1276" s="4" t="s">
        <v>4825</v>
      </c>
      <c r="C1276" s="5">
        <v>425110</v>
      </c>
      <c r="D1276" s="4" t="s">
        <v>3652</v>
      </c>
    </row>
    <row r="1277" spans="1:4" ht="25.5" x14ac:dyDescent="0.25">
      <c r="A1277" s="3">
        <v>5063</v>
      </c>
      <c r="B1277" s="4" t="s">
        <v>4826</v>
      </c>
      <c r="C1277" s="5">
        <v>425120</v>
      </c>
      <c r="D1277" s="4" t="s">
        <v>3654</v>
      </c>
    </row>
    <row r="1278" spans="1:4" ht="25.5" x14ac:dyDescent="0.25">
      <c r="A1278" s="3">
        <v>5063</v>
      </c>
      <c r="B1278" s="4" t="s">
        <v>4827</v>
      </c>
      <c r="C1278" s="5">
        <v>444190</v>
      </c>
      <c r="D1278" s="4" t="s">
        <v>3683</v>
      </c>
    </row>
    <row r="1279" spans="1:4" ht="25.5" x14ac:dyDescent="0.25">
      <c r="A1279" s="3">
        <v>5064</v>
      </c>
      <c r="B1279" s="4" t="s">
        <v>4828</v>
      </c>
      <c r="C1279" s="5">
        <v>423620</v>
      </c>
      <c r="D1279" s="4" t="s">
        <v>5966</v>
      </c>
    </row>
    <row r="1280" spans="1:4" x14ac:dyDescent="0.25">
      <c r="A1280" s="3">
        <v>5064</v>
      </c>
      <c r="B1280" s="4" t="s">
        <v>4829</v>
      </c>
      <c r="C1280" s="5">
        <v>425110</v>
      </c>
      <c r="D1280" s="4" t="s">
        <v>3652</v>
      </c>
    </row>
    <row r="1281" spans="1:4" x14ac:dyDescent="0.25">
      <c r="A1281" s="3">
        <v>5064</v>
      </c>
      <c r="B1281" s="4" t="s">
        <v>4830</v>
      </c>
      <c r="C1281" s="5">
        <v>425120</v>
      </c>
      <c r="D1281" s="4" t="s">
        <v>3654</v>
      </c>
    </row>
    <row r="1282" spans="1:4" x14ac:dyDescent="0.25">
      <c r="A1282" s="3">
        <v>5064</v>
      </c>
      <c r="B1282" s="4" t="s">
        <v>4831</v>
      </c>
      <c r="C1282" s="5">
        <v>443111</v>
      </c>
      <c r="D1282" s="4" t="s">
        <v>3674</v>
      </c>
    </row>
    <row r="1283" spans="1:4" ht="25.5" x14ac:dyDescent="0.25">
      <c r="A1283" s="3">
        <v>5064</v>
      </c>
      <c r="B1283" s="4" t="s">
        <v>4832</v>
      </c>
      <c r="C1283" s="5">
        <v>443112</v>
      </c>
      <c r="D1283" s="4" t="s">
        <v>5967</v>
      </c>
    </row>
    <row r="1284" spans="1:4" x14ac:dyDescent="0.25">
      <c r="A1284" s="3">
        <v>5064</v>
      </c>
      <c r="B1284" s="4" t="s">
        <v>4833</v>
      </c>
      <c r="C1284" s="5">
        <v>444190</v>
      </c>
      <c r="D1284" s="4" t="s">
        <v>3683</v>
      </c>
    </row>
    <row r="1285" spans="1:4" ht="25.5" x14ac:dyDescent="0.25">
      <c r="A1285" s="3">
        <v>5065</v>
      </c>
      <c r="B1285" s="4" t="s">
        <v>4834</v>
      </c>
      <c r="C1285" s="5">
        <v>423690</v>
      </c>
      <c r="D1285" s="4" t="s">
        <v>3561</v>
      </c>
    </row>
    <row r="1286" spans="1:4" x14ac:dyDescent="0.25">
      <c r="A1286" s="3">
        <v>5065</v>
      </c>
      <c r="B1286" s="4" t="s">
        <v>4835</v>
      </c>
      <c r="C1286" s="5">
        <v>425110</v>
      </c>
      <c r="D1286" s="4" t="s">
        <v>3652</v>
      </c>
    </row>
    <row r="1287" spans="1:4" x14ac:dyDescent="0.25">
      <c r="A1287" s="3">
        <v>5065</v>
      </c>
      <c r="B1287" s="4" t="s">
        <v>4836</v>
      </c>
      <c r="C1287" s="5">
        <v>425120</v>
      </c>
      <c r="D1287" s="4" t="s">
        <v>3654</v>
      </c>
    </row>
    <row r="1288" spans="1:4" ht="25.5" x14ac:dyDescent="0.25">
      <c r="A1288" s="3">
        <v>5065</v>
      </c>
      <c r="B1288" s="4" t="s">
        <v>4837</v>
      </c>
      <c r="C1288" s="5">
        <v>443112</v>
      </c>
      <c r="D1288" s="4" t="s">
        <v>5967</v>
      </c>
    </row>
    <row r="1289" spans="1:4" ht="25.5" x14ac:dyDescent="0.25">
      <c r="A1289" s="3">
        <v>5065</v>
      </c>
      <c r="B1289" s="4" t="s">
        <v>4838</v>
      </c>
      <c r="C1289" s="5">
        <v>443120</v>
      </c>
      <c r="D1289" s="4" t="s">
        <v>5964</v>
      </c>
    </row>
    <row r="1290" spans="1:4" x14ac:dyDescent="0.25">
      <c r="A1290" s="3">
        <v>5072</v>
      </c>
      <c r="B1290" s="4" t="s">
        <v>4839</v>
      </c>
      <c r="C1290" s="5">
        <v>423710</v>
      </c>
      <c r="D1290" s="4" t="s">
        <v>3563</v>
      </c>
    </row>
    <row r="1291" spans="1:4" x14ac:dyDescent="0.25">
      <c r="A1291" s="3">
        <v>5072</v>
      </c>
      <c r="B1291" s="4" t="s">
        <v>4840</v>
      </c>
      <c r="C1291" s="5">
        <v>425110</v>
      </c>
      <c r="D1291" s="4" t="s">
        <v>3652</v>
      </c>
    </row>
    <row r="1292" spans="1:4" x14ac:dyDescent="0.25">
      <c r="A1292" s="3">
        <v>5072</v>
      </c>
      <c r="B1292" s="4" t="s">
        <v>4841</v>
      </c>
      <c r="C1292" s="5">
        <v>425120</v>
      </c>
      <c r="D1292" s="4" t="s">
        <v>3654</v>
      </c>
    </row>
    <row r="1293" spans="1:4" x14ac:dyDescent="0.25">
      <c r="A1293" s="3">
        <v>5072</v>
      </c>
      <c r="B1293" s="4" t="s">
        <v>4842</v>
      </c>
      <c r="C1293" s="5">
        <v>444130</v>
      </c>
      <c r="D1293" s="4" t="s">
        <v>3681</v>
      </c>
    </row>
    <row r="1294" spans="1:4" ht="25.5" x14ac:dyDescent="0.25">
      <c r="A1294" s="3">
        <v>5074</v>
      </c>
      <c r="B1294" s="4" t="s">
        <v>4843</v>
      </c>
      <c r="C1294" s="5">
        <v>423720</v>
      </c>
      <c r="D1294" s="4" t="s">
        <v>5968</v>
      </c>
    </row>
    <row r="1295" spans="1:4" ht="25.5" x14ac:dyDescent="0.25">
      <c r="A1295" s="3">
        <v>5074</v>
      </c>
      <c r="B1295" s="4" t="s">
        <v>4844</v>
      </c>
      <c r="C1295" s="5">
        <v>425110</v>
      </c>
      <c r="D1295" s="4" t="s">
        <v>3652</v>
      </c>
    </row>
    <row r="1296" spans="1:4" x14ac:dyDescent="0.25">
      <c r="A1296" s="3">
        <v>5074</v>
      </c>
      <c r="B1296" s="4" t="s">
        <v>4845</v>
      </c>
      <c r="C1296" s="5">
        <v>425120</v>
      </c>
      <c r="D1296" s="4" t="s">
        <v>3654</v>
      </c>
    </row>
    <row r="1297" spans="1:4" ht="25.5" x14ac:dyDescent="0.25">
      <c r="A1297" s="3">
        <v>5074</v>
      </c>
      <c r="B1297" s="4" t="s">
        <v>4846</v>
      </c>
      <c r="C1297" s="5">
        <v>444190</v>
      </c>
      <c r="D1297" s="4" t="s">
        <v>3683</v>
      </c>
    </row>
    <row r="1298" spans="1:4" ht="25.5" x14ac:dyDescent="0.25">
      <c r="A1298" s="3">
        <v>5075</v>
      </c>
      <c r="B1298" s="4" t="s">
        <v>4847</v>
      </c>
      <c r="C1298" s="5">
        <v>423730</v>
      </c>
      <c r="D1298" s="4" t="s">
        <v>3567</v>
      </c>
    </row>
    <row r="1299" spans="1:4" ht="25.5" x14ac:dyDescent="0.25">
      <c r="A1299" s="3">
        <v>5075</v>
      </c>
      <c r="B1299" s="4" t="s">
        <v>4848</v>
      </c>
      <c r="C1299" s="5">
        <v>425110</v>
      </c>
      <c r="D1299" s="4" t="s">
        <v>3652</v>
      </c>
    </row>
    <row r="1300" spans="1:4" x14ac:dyDescent="0.25">
      <c r="A1300" s="3">
        <v>5075</v>
      </c>
      <c r="B1300" s="4" t="s">
        <v>4849</v>
      </c>
      <c r="C1300" s="5">
        <v>425120</v>
      </c>
      <c r="D1300" s="4" t="s">
        <v>3654</v>
      </c>
    </row>
    <row r="1301" spans="1:4" ht="25.5" x14ac:dyDescent="0.25">
      <c r="A1301" s="3">
        <v>5078</v>
      </c>
      <c r="B1301" s="4" t="s">
        <v>4850</v>
      </c>
      <c r="C1301" s="5">
        <v>423740</v>
      </c>
      <c r="D1301" s="4" t="s">
        <v>3569</v>
      </c>
    </row>
    <row r="1302" spans="1:4" x14ac:dyDescent="0.25">
      <c r="A1302" s="3">
        <v>5078</v>
      </c>
      <c r="B1302" s="4" t="s">
        <v>4851</v>
      </c>
      <c r="C1302" s="5">
        <v>425110</v>
      </c>
      <c r="D1302" s="4" t="s">
        <v>3652</v>
      </c>
    </row>
    <row r="1303" spans="1:4" x14ac:dyDescent="0.25">
      <c r="A1303" s="3">
        <v>5078</v>
      </c>
      <c r="B1303" s="4" t="s">
        <v>4852</v>
      </c>
      <c r="C1303" s="5">
        <v>425120</v>
      </c>
      <c r="D1303" s="4" t="s">
        <v>3654</v>
      </c>
    </row>
    <row r="1304" spans="1:4" ht="25.5" x14ac:dyDescent="0.25">
      <c r="A1304" s="3">
        <v>5082</v>
      </c>
      <c r="B1304" s="4" t="s">
        <v>4853</v>
      </c>
      <c r="C1304" s="5">
        <v>423810</v>
      </c>
      <c r="D1304" s="4" t="s">
        <v>3571</v>
      </c>
    </row>
    <row r="1305" spans="1:4" ht="25.5" x14ac:dyDescent="0.25">
      <c r="A1305" s="3">
        <v>5082</v>
      </c>
      <c r="B1305" s="4" t="s">
        <v>4854</v>
      </c>
      <c r="C1305" s="5">
        <v>425110</v>
      </c>
      <c r="D1305" s="4" t="s">
        <v>3652</v>
      </c>
    </row>
    <row r="1306" spans="1:4" x14ac:dyDescent="0.25">
      <c r="A1306" s="3">
        <v>5082</v>
      </c>
      <c r="B1306" s="4" t="s">
        <v>4855</v>
      </c>
      <c r="C1306" s="5">
        <v>425120</v>
      </c>
      <c r="D1306" s="4" t="s">
        <v>3654</v>
      </c>
    </row>
    <row r="1307" spans="1:4" ht="25.5" x14ac:dyDescent="0.25">
      <c r="A1307" s="3">
        <v>5083</v>
      </c>
      <c r="B1307" s="4" t="s">
        <v>4856</v>
      </c>
      <c r="C1307" s="5">
        <v>423820</v>
      </c>
      <c r="D1307" s="4" t="s">
        <v>3573</v>
      </c>
    </row>
    <row r="1308" spans="1:4" x14ac:dyDescent="0.25">
      <c r="A1308" s="3">
        <v>5083</v>
      </c>
      <c r="B1308" s="4" t="s">
        <v>4857</v>
      </c>
      <c r="C1308" s="5">
        <v>425110</v>
      </c>
      <c r="D1308" s="4" t="s">
        <v>3652</v>
      </c>
    </row>
    <row r="1309" spans="1:4" x14ac:dyDescent="0.25">
      <c r="A1309" s="3">
        <v>5083</v>
      </c>
      <c r="B1309" s="4" t="s">
        <v>4858</v>
      </c>
      <c r="C1309" s="5">
        <v>425120</v>
      </c>
      <c r="D1309" s="4" t="s">
        <v>3654</v>
      </c>
    </row>
    <row r="1310" spans="1:4" x14ac:dyDescent="0.25">
      <c r="A1310" s="3">
        <v>5083</v>
      </c>
      <c r="B1310" s="4" t="s">
        <v>4859</v>
      </c>
      <c r="C1310" s="5">
        <v>444210</v>
      </c>
      <c r="D1310" s="4" t="s">
        <v>3685</v>
      </c>
    </row>
    <row r="1311" spans="1:4" x14ac:dyDescent="0.25">
      <c r="A1311" s="3">
        <v>5084</v>
      </c>
      <c r="B1311" s="4" t="s">
        <v>4860</v>
      </c>
      <c r="C1311" s="5">
        <v>423830</v>
      </c>
      <c r="D1311" s="4" t="s">
        <v>3575</v>
      </c>
    </row>
    <row r="1312" spans="1:4" x14ac:dyDescent="0.25">
      <c r="A1312" s="3">
        <v>5084</v>
      </c>
      <c r="B1312" s="4" t="s">
        <v>4861</v>
      </c>
      <c r="C1312" s="5">
        <v>425110</v>
      </c>
      <c r="D1312" s="4" t="s">
        <v>3652</v>
      </c>
    </row>
    <row r="1313" spans="1:4" x14ac:dyDescent="0.25">
      <c r="A1313" s="3">
        <v>5084</v>
      </c>
      <c r="B1313" s="4" t="s">
        <v>4862</v>
      </c>
      <c r="C1313" s="5">
        <v>425120</v>
      </c>
      <c r="D1313" s="4" t="s">
        <v>3654</v>
      </c>
    </row>
    <row r="1314" spans="1:4" x14ac:dyDescent="0.25">
      <c r="A1314" s="3">
        <v>5085</v>
      </c>
      <c r="B1314" s="4" t="s">
        <v>4863</v>
      </c>
      <c r="C1314" s="5">
        <v>423830</v>
      </c>
      <c r="D1314" s="4" t="s">
        <v>3575</v>
      </c>
    </row>
    <row r="1315" spans="1:4" ht="25.5" x14ac:dyDescent="0.25">
      <c r="A1315" s="3">
        <v>5085</v>
      </c>
      <c r="B1315" s="4" t="s">
        <v>4864</v>
      </c>
      <c r="C1315" s="5">
        <v>423840</v>
      </c>
      <c r="D1315" s="4" t="s">
        <v>3577</v>
      </c>
    </row>
    <row r="1316" spans="1:4" x14ac:dyDescent="0.25">
      <c r="A1316" s="3">
        <v>5085</v>
      </c>
      <c r="B1316" s="4" t="s">
        <v>4865</v>
      </c>
      <c r="C1316" s="5">
        <v>425110</v>
      </c>
      <c r="D1316" s="4" t="s">
        <v>3652</v>
      </c>
    </row>
    <row r="1317" spans="1:4" x14ac:dyDescent="0.25">
      <c r="A1317" s="3">
        <v>5085</v>
      </c>
      <c r="B1317" s="4" t="s">
        <v>4866</v>
      </c>
      <c r="C1317" s="5">
        <v>425120</v>
      </c>
      <c r="D1317" s="4" t="s">
        <v>3654</v>
      </c>
    </row>
    <row r="1318" spans="1:4" ht="25.5" x14ac:dyDescent="0.25">
      <c r="A1318" s="3">
        <v>5085</v>
      </c>
      <c r="B1318" s="4" t="s">
        <v>4867</v>
      </c>
      <c r="C1318" s="5">
        <v>453998</v>
      </c>
      <c r="D1318" s="4" t="s">
        <v>5969</v>
      </c>
    </row>
    <row r="1319" spans="1:4" ht="25.5" x14ac:dyDescent="0.25">
      <c r="A1319" s="3">
        <v>5087</v>
      </c>
      <c r="B1319" s="4" t="s">
        <v>4868</v>
      </c>
      <c r="C1319" s="5">
        <v>423850</v>
      </c>
      <c r="D1319" s="4" t="s">
        <v>3579</v>
      </c>
    </row>
    <row r="1320" spans="1:4" x14ac:dyDescent="0.25">
      <c r="A1320" s="3">
        <v>5087</v>
      </c>
      <c r="B1320" s="4" t="s">
        <v>4869</v>
      </c>
      <c r="C1320" s="5">
        <v>425110</v>
      </c>
      <c r="D1320" s="4" t="s">
        <v>3652</v>
      </c>
    </row>
    <row r="1321" spans="1:4" x14ac:dyDescent="0.25">
      <c r="A1321" s="3">
        <v>5087</v>
      </c>
      <c r="B1321" s="4" t="s">
        <v>4870</v>
      </c>
      <c r="C1321" s="5">
        <v>425120</v>
      </c>
      <c r="D1321" s="4" t="s">
        <v>3654</v>
      </c>
    </row>
    <row r="1322" spans="1:4" ht="25.5" x14ac:dyDescent="0.25">
      <c r="A1322" s="3">
        <v>5087</v>
      </c>
      <c r="B1322" s="4" t="s">
        <v>4871</v>
      </c>
      <c r="C1322" s="5">
        <v>446120</v>
      </c>
      <c r="D1322" s="4" t="s">
        <v>3708</v>
      </c>
    </row>
    <row r="1323" spans="1:4" ht="25.5" x14ac:dyDescent="0.25">
      <c r="A1323" s="3">
        <v>5088</v>
      </c>
      <c r="B1323" s="4" t="s">
        <v>4872</v>
      </c>
      <c r="C1323" s="5">
        <v>423860</v>
      </c>
      <c r="D1323" s="4" t="s">
        <v>3581</v>
      </c>
    </row>
    <row r="1324" spans="1:4" ht="25.5" x14ac:dyDescent="0.25">
      <c r="A1324" s="3">
        <v>5088</v>
      </c>
      <c r="B1324" s="4" t="s">
        <v>4873</v>
      </c>
      <c r="C1324" s="5">
        <v>425110</v>
      </c>
      <c r="D1324" s="4" t="s">
        <v>3652</v>
      </c>
    </row>
    <row r="1325" spans="1:4" x14ac:dyDescent="0.25">
      <c r="A1325" s="3">
        <v>5088</v>
      </c>
      <c r="B1325" s="4" t="s">
        <v>4874</v>
      </c>
      <c r="C1325" s="5">
        <v>425120</v>
      </c>
      <c r="D1325" s="4" t="s">
        <v>3654</v>
      </c>
    </row>
    <row r="1326" spans="1:4" ht="25.5" x14ac:dyDescent="0.25">
      <c r="A1326" s="3">
        <v>5091</v>
      </c>
      <c r="B1326" s="4" t="s">
        <v>4875</v>
      </c>
      <c r="C1326" s="5">
        <v>423910</v>
      </c>
      <c r="D1326" s="4" t="s">
        <v>3583</v>
      </c>
    </row>
    <row r="1327" spans="1:4" x14ac:dyDescent="0.25">
      <c r="A1327" s="3">
        <v>5091</v>
      </c>
      <c r="B1327" s="4" t="s">
        <v>4876</v>
      </c>
      <c r="C1327" s="5">
        <v>425110</v>
      </c>
      <c r="D1327" s="4" t="s">
        <v>3652</v>
      </c>
    </row>
    <row r="1328" spans="1:4" x14ac:dyDescent="0.25">
      <c r="A1328" s="3">
        <v>5091</v>
      </c>
      <c r="B1328" s="4" t="s">
        <v>4877</v>
      </c>
      <c r="C1328" s="5">
        <v>425120</v>
      </c>
      <c r="D1328" s="4" t="s">
        <v>3654</v>
      </c>
    </row>
    <row r="1329" spans="1:4" ht="25.5" x14ac:dyDescent="0.25">
      <c r="A1329" s="3">
        <v>5091</v>
      </c>
      <c r="B1329" s="4" t="s">
        <v>4878</v>
      </c>
      <c r="C1329" s="5">
        <v>451110</v>
      </c>
      <c r="D1329" s="4" t="s">
        <v>3736</v>
      </c>
    </row>
    <row r="1330" spans="1:4" ht="25.5" x14ac:dyDescent="0.25">
      <c r="A1330" s="3">
        <v>5092</v>
      </c>
      <c r="B1330" s="4" t="s">
        <v>4879</v>
      </c>
      <c r="C1330" s="5">
        <v>423920</v>
      </c>
      <c r="D1330" s="4" t="s">
        <v>3585</v>
      </c>
    </row>
    <row r="1331" spans="1:4" x14ac:dyDescent="0.25">
      <c r="A1331" s="3">
        <v>5092</v>
      </c>
      <c r="B1331" s="4" t="s">
        <v>4880</v>
      </c>
      <c r="C1331" s="5">
        <v>425110</v>
      </c>
      <c r="D1331" s="4" t="s">
        <v>3652</v>
      </c>
    </row>
    <row r="1332" spans="1:4" x14ac:dyDescent="0.25">
      <c r="A1332" s="3">
        <v>5092</v>
      </c>
      <c r="B1332" s="4" t="s">
        <v>4881</v>
      </c>
      <c r="C1332" s="5">
        <v>425120</v>
      </c>
      <c r="D1332" s="4" t="s">
        <v>3654</v>
      </c>
    </row>
    <row r="1333" spans="1:4" ht="25.5" x14ac:dyDescent="0.25">
      <c r="A1333" s="3">
        <v>5092</v>
      </c>
      <c r="B1333" s="4" t="s">
        <v>4882</v>
      </c>
      <c r="C1333" s="5">
        <v>451120</v>
      </c>
      <c r="D1333" s="4" t="s">
        <v>3738</v>
      </c>
    </row>
    <row r="1334" spans="1:4" x14ac:dyDescent="0.25">
      <c r="A1334" s="3">
        <v>5093</v>
      </c>
      <c r="B1334" s="4" t="s">
        <v>4883</v>
      </c>
      <c r="C1334" s="5">
        <v>423930</v>
      </c>
      <c r="D1334" s="4" t="s">
        <v>3587</v>
      </c>
    </row>
    <row r="1335" spans="1:4" x14ac:dyDescent="0.25">
      <c r="A1335" s="3">
        <v>5093</v>
      </c>
      <c r="B1335" s="4" t="s">
        <v>4884</v>
      </c>
      <c r="C1335" s="5">
        <v>425110</v>
      </c>
      <c r="D1335" s="4" t="s">
        <v>3652</v>
      </c>
    </row>
    <row r="1336" spans="1:4" x14ac:dyDescent="0.25">
      <c r="A1336" s="3">
        <v>5093</v>
      </c>
      <c r="B1336" s="4" t="s">
        <v>4885</v>
      </c>
      <c r="C1336" s="5">
        <v>425120</v>
      </c>
      <c r="D1336" s="4" t="s">
        <v>3654</v>
      </c>
    </row>
    <row r="1337" spans="1:4" ht="25.5" x14ac:dyDescent="0.25">
      <c r="A1337" s="3">
        <v>5094</v>
      </c>
      <c r="B1337" s="4" t="s">
        <v>4886</v>
      </c>
      <c r="C1337" s="5">
        <v>423940</v>
      </c>
      <c r="D1337" s="4" t="s">
        <v>3589</v>
      </c>
    </row>
    <row r="1338" spans="1:4" ht="25.5" x14ac:dyDescent="0.25">
      <c r="A1338" s="3">
        <v>5094</v>
      </c>
      <c r="B1338" s="4" t="s">
        <v>4887</v>
      </c>
      <c r="C1338" s="5">
        <v>425110</v>
      </c>
      <c r="D1338" s="4" t="s">
        <v>3652</v>
      </c>
    </row>
    <row r="1339" spans="1:4" x14ac:dyDescent="0.25">
      <c r="A1339" s="3">
        <v>5094</v>
      </c>
      <c r="B1339" s="4" t="s">
        <v>4888</v>
      </c>
      <c r="C1339" s="5">
        <v>425120</v>
      </c>
      <c r="D1339" s="4" t="s">
        <v>3654</v>
      </c>
    </row>
    <row r="1340" spans="1:4" ht="25.5" x14ac:dyDescent="0.25">
      <c r="A1340" s="3">
        <v>5094</v>
      </c>
      <c r="B1340" s="4" t="s">
        <v>4889</v>
      </c>
      <c r="C1340" s="5">
        <v>448310</v>
      </c>
      <c r="D1340" s="4" t="s">
        <v>3732</v>
      </c>
    </row>
    <row r="1341" spans="1:4" ht="25.5" x14ac:dyDescent="0.25">
      <c r="A1341" s="3">
        <v>5099</v>
      </c>
      <c r="B1341" s="4" t="s">
        <v>4890</v>
      </c>
      <c r="C1341" s="5">
        <v>423990</v>
      </c>
      <c r="D1341" s="4" t="s">
        <v>3591</v>
      </c>
    </row>
    <row r="1342" spans="1:4" x14ac:dyDescent="0.25">
      <c r="A1342" s="3">
        <v>5099</v>
      </c>
      <c r="B1342" s="4" t="s">
        <v>4891</v>
      </c>
      <c r="C1342" s="5">
        <v>425110</v>
      </c>
      <c r="D1342" s="4" t="s">
        <v>3652</v>
      </c>
    </row>
    <row r="1343" spans="1:4" x14ac:dyDescent="0.25">
      <c r="A1343" s="3">
        <v>5099</v>
      </c>
      <c r="B1343" s="4" t="s">
        <v>4892</v>
      </c>
      <c r="C1343" s="5">
        <v>425120</v>
      </c>
      <c r="D1343" s="4" t="s">
        <v>3654</v>
      </c>
    </row>
    <row r="1344" spans="1:4" ht="25.5" x14ac:dyDescent="0.25">
      <c r="A1344" s="3">
        <v>5099</v>
      </c>
      <c r="B1344" s="4" t="s">
        <v>4893</v>
      </c>
      <c r="C1344" s="5">
        <v>444190</v>
      </c>
      <c r="D1344" s="4" t="s">
        <v>3683</v>
      </c>
    </row>
    <row r="1345" spans="1:4" x14ac:dyDescent="0.25">
      <c r="A1345" s="3">
        <v>5099</v>
      </c>
      <c r="B1345" s="4" t="s">
        <v>4894</v>
      </c>
      <c r="C1345" s="5">
        <v>451110</v>
      </c>
      <c r="D1345" s="4" t="s">
        <v>3736</v>
      </c>
    </row>
    <row r="1346" spans="1:4" x14ac:dyDescent="0.25">
      <c r="A1346" s="3">
        <v>5099</v>
      </c>
      <c r="B1346" s="4" t="s">
        <v>4895</v>
      </c>
      <c r="C1346" s="5">
        <v>451120</v>
      </c>
      <c r="D1346" s="4" t="s">
        <v>3738</v>
      </c>
    </row>
    <row r="1347" spans="1:4" x14ac:dyDescent="0.25">
      <c r="A1347" s="3">
        <v>5099</v>
      </c>
      <c r="B1347" s="4" t="s">
        <v>4896</v>
      </c>
      <c r="C1347" s="5">
        <v>451220</v>
      </c>
      <c r="D1347" s="4" t="s">
        <v>5970</v>
      </c>
    </row>
    <row r="1348" spans="1:4" ht="25.5" x14ac:dyDescent="0.25">
      <c r="A1348" s="3">
        <v>5111</v>
      </c>
      <c r="B1348" s="4" t="s">
        <v>4897</v>
      </c>
      <c r="C1348" s="5">
        <v>424110</v>
      </c>
      <c r="D1348" s="4" t="s">
        <v>3593</v>
      </c>
    </row>
    <row r="1349" spans="1:4" x14ac:dyDescent="0.25">
      <c r="A1349" s="3">
        <v>5111</v>
      </c>
      <c r="B1349" s="4" t="s">
        <v>4898</v>
      </c>
      <c r="C1349" s="5">
        <v>425110</v>
      </c>
      <c r="D1349" s="4" t="s">
        <v>3652</v>
      </c>
    </row>
    <row r="1350" spans="1:4" x14ac:dyDescent="0.25">
      <c r="A1350" s="3">
        <v>5111</v>
      </c>
      <c r="B1350" s="4" t="s">
        <v>4899</v>
      </c>
      <c r="C1350" s="5">
        <v>425120</v>
      </c>
      <c r="D1350" s="4" t="s">
        <v>3654</v>
      </c>
    </row>
    <row r="1351" spans="1:4" x14ac:dyDescent="0.25">
      <c r="A1351" s="3">
        <v>5111</v>
      </c>
      <c r="B1351" s="4" t="s">
        <v>4900</v>
      </c>
      <c r="C1351" s="5">
        <v>453210</v>
      </c>
      <c r="D1351" s="4" t="s">
        <v>5963</v>
      </c>
    </row>
    <row r="1352" spans="1:4" ht="25.5" x14ac:dyDescent="0.25">
      <c r="A1352" s="3">
        <v>5112</v>
      </c>
      <c r="B1352" s="4" t="s">
        <v>4901</v>
      </c>
      <c r="C1352" s="5">
        <v>424120</v>
      </c>
      <c r="D1352" s="4" t="s">
        <v>3595</v>
      </c>
    </row>
    <row r="1353" spans="1:4" x14ac:dyDescent="0.25">
      <c r="A1353" s="3">
        <v>5112</v>
      </c>
      <c r="B1353" s="4" t="s">
        <v>4902</v>
      </c>
      <c r="C1353" s="5">
        <v>425110</v>
      </c>
      <c r="D1353" s="4" t="s">
        <v>3652</v>
      </c>
    </row>
    <row r="1354" spans="1:4" x14ac:dyDescent="0.25">
      <c r="A1354" s="3">
        <v>5112</v>
      </c>
      <c r="B1354" s="4" t="s">
        <v>4903</v>
      </c>
      <c r="C1354" s="5">
        <v>425120</v>
      </c>
      <c r="D1354" s="4" t="s">
        <v>3654</v>
      </c>
    </row>
    <row r="1355" spans="1:4" x14ac:dyDescent="0.25">
      <c r="A1355" s="3">
        <v>5112</v>
      </c>
      <c r="B1355" s="4" t="s">
        <v>4904</v>
      </c>
      <c r="C1355" s="5">
        <v>453210</v>
      </c>
      <c r="D1355" s="4" t="s">
        <v>3756</v>
      </c>
    </row>
    <row r="1356" spans="1:4" ht="25.5" x14ac:dyDescent="0.25">
      <c r="A1356" s="3">
        <v>5113</v>
      </c>
      <c r="B1356" s="4" t="s">
        <v>4905</v>
      </c>
      <c r="C1356" s="5">
        <v>424130</v>
      </c>
      <c r="D1356" s="4" t="s">
        <v>3597</v>
      </c>
    </row>
    <row r="1357" spans="1:4" x14ac:dyDescent="0.25">
      <c r="A1357" s="3">
        <v>5113</v>
      </c>
      <c r="B1357" s="4" t="s">
        <v>4906</v>
      </c>
      <c r="C1357" s="5">
        <v>425110</v>
      </c>
      <c r="D1357" s="4" t="s">
        <v>3652</v>
      </c>
    </row>
    <row r="1358" spans="1:4" x14ac:dyDescent="0.25">
      <c r="A1358" s="3">
        <v>5113</v>
      </c>
      <c r="B1358" s="4" t="s">
        <v>4907</v>
      </c>
      <c r="C1358" s="5">
        <v>425120</v>
      </c>
      <c r="D1358" s="4" t="s">
        <v>3654</v>
      </c>
    </row>
    <row r="1359" spans="1:4" ht="25.5" x14ac:dyDescent="0.25">
      <c r="A1359" s="3">
        <v>5113</v>
      </c>
      <c r="B1359" s="4" t="s">
        <v>4908</v>
      </c>
      <c r="C1359" s="5">
        <v>453998</v>
      </c>
      <c r="D1359" s="4" t="s">
        <v>5969</v>
      </c>
    </row>
    <row r="1360" spans="1:4" ht="25.5" x14ac:dyDescent="0.25">
      <c r="A1360" s="3">
        <v>5122</v>
      </c>
      <c r="B1360" s="4" t="s">
        <v>4909</v>
      </c>
      <c r="C1360" s="5">
        <v>424210</v>
      </c>
      <c r="D1360" s="4" t="s">
        <v>5971</v>
      </c>
    </row>
    <row r="1361" spans="1:4" x14ac:dyDescent="0.25">
      <c r="A1361" s="3">
        <v>5122</v>
      </c>
      <c r="B1361" s="4" t="s">
        <v>4910</v>
      </c>
      <c r="C1361" s="5">
        <v>425110</v>
      </c>
      <c r="D1361" s="4" t="s">
        <v>3652</v>
      </c>
    </row>
    <row r="1362" spans="1:4" x14ac:dyDescent="0.25">
      <c r="A1362" s="3">
        <v>5122</v>
      </c>
      <c r="B1362" s="4" t="s">
        <v>4911</v>
      </c>
      <c r="C1362" s="5">
        <v>425120</v>
      </c>
      <c r="D1362" s="4" t="s">
        <v>3654</v>
      </c>
    </row>
    <row r="1363" spans="1:4" x14ac:dyDescent="0.25">
      <c r="A1363" s="3">
        <v>5122</v>
      </c>
      <c r="B1363" s="4" t="s">
        <v>4912</v>
      </c>
      <c r="C1363" s="5">
        <v>446110</v>
      </c>
      <c r="D1363" s="4" t="s">
        <v>3706</v>
      </c>
    </row>
    <row r="1364" spans="1:4" x14ac:dyDescent="0.25">
      <c r="A1364" s="3">
        <v>5122</v>
      </c>
      <c r="B1364" s="4" t="s">
        <v>4913</v>
      </c>
      <c r="C1364" s="5">
        <v>446120</v>
      </c>
      <c r="D1364" s="4" t="s">
        <v>3708</v>
      </c>
    </row>
    <row r="1365" spans="1:4" x14ac:dyDescent="0.25">
      <c r="A1365" s="3">
        <v>5122</v>
      </c>
      <c r="B1365" s="4" t="s">
        <v>4914</v>
      </c>
      <c r="C1365" s="5">
        <v>446191</v>
      </c>
      <c r="D1365" s="4" t="s">
        <v>3711</v>
      </c>
    </row>
    <row r="1366" spans="1:4" x14ac:dyDescent="0.25">
      <c r="A1366" s="3">
        <v>5131</v>
      </c>
      <c r="B1366" s="4" t="s">
        <v>4915</v>
      </c>
      <c r="C1366" s="5">
        <v>313311</v>
      </c>
      <c r="D1366" s="4" t="s">
        <v>5762</v>
      </c>
    </row>
    <row r="1367" spans="1:4" ht="25.5" x14ac:dyDescent="0.25">
      <c r="A1367" s="3">
        <v>5131</v>
      </c>
      <c r="B1367" s="4" t="s">
        <v>4916</v>
      </c>
      <c r="C1367" s="5">
        <v>313312</v>
      </c>
      <c r="D1367" s="4" t="s">
        <v>5763</v>
      </c>
    </row>
    <row r="1368" spans="1:4" ht="38.25" x14ac:dyDescent="0.25">
      <c r="A1368" s="3">
        <v>5131</v>
      </c>
      <c r="B1368" s="4" t="s">
        <v>4917</v>
      </c>
      <c r="C1368" s="5">
        <v>424310</v>
      </c>
      <c r="D1368" s="4" t="s">
        <v>3601</v>
      </c>
    </row>
    <row r="1369" spans="1:4" x14ac:dyDescent="0.25">
      <c r="A1369" s="3">
        <v>5131</v>
      </c>
      <c r="B1369" s="4" t="s">
        <v>4918</v>
      </c>
      <c r="C1369" s="5">
        <v>425110</v>
      </c>
      <c r="D1369" s="4" t="s">
        <v>3652</v>
      </c>
    </row>
    <row r="1370" spans="1:4" x14ac:dyDescent="0.25">
      <c r="A1370" s="3">
        <v>5131</v>
      </c>
      <c r="B1370" s="4" t="s">
        <v>4919</v>
      </c>
      <c r="C1370" s="5">
        <v>425120</v>
      </c>
      <c r="D1370" s="4" t="s">
        <v>3654</v>
      </c>
    </row>
    <row r="1371" spans="1:4" ht="25.5" x14ac:dyDescent="0.25">
      <c r="A1371" s="3">
        <v>5131</v>
      </c>
      <c r="B1371" s="4" t="s">
        <v>4920</v>
      </c>
      <c r="C1371" s="5">
        <v>451130</v>
      </c>
      <c r="D1371" s="4" t="s">
        <v>3740</v>
      </c>
    </row>
    <row r="1372" spans="1:4" ht="25.5" x14ac:dyDescent="0.25">
      <c r="A1372" s="3">
        <v>5136</v>
      </c>
      <c r="B1372" s="4" t="s">
        <v>4921</v>
      </c>
      <c r="C1372" s="5">
        <v>423910</v>
      </c>
      <c r="D1372" s="4" t="s">
        <v>3583</v>
      </c>
    </row>
    <row r="1373" spans="1:4" ht="25.5" x14ac:dyDescent="0.25">
      <c r="A1373" s="3">
        <v>5136</v>
      </c>
      <c r="B1373" s="4" t="s">
        <v>4922</v>
      </c>
      <c r="C1373" s="5">
        <v>424320</v>
      </c>
      <c r="D1373" s="4" t="s">
        <v>5972</v>
      </c>
    </row>
    <row r="1374" spans="1:4" x14ac:dyDescent="0.25">
      <c r="A1374" s="3">
        <v>5136</v>
      </c>
      <c r="B1374" s="4" t="s">
        <v>4923</v>
      </c>
      <c r="C1374" s="5">
        <v>425110</v>
      </c>
      <c r="D1374" s="4" t="s">
        <v>3652</v>
      </c>
    </row>
    <row r="1375" spans="1:4" x14ac:dyDescent="0.25">
      <c r="A1375" s="3">
        <v>5136</v>
      </c>
      <c r="B1375" s="4" t="s">
        <v>4924</v>
      </c>
      <c r="C1375" s="5">
        <v>425120</v>
      </c>
      <c r="D1375" s="4" t="s">
        <v>3654</v>
      </c>
    </row>
    <row r="1376" spans="1:4" ht="25.5" x14ac:dyDescent="0.25">
      <c r="A1376" s="3">
        <v>5136</v>
      </c>
      <c r="B1376" s="4" t="s">
        <v>4925</v>
      </c>
      <c r="C1376" s="5">
        <v>448110</v>
      </c>
      <c r="D1376" s="4" t="s">
        <v>3718</v>
      </c>
    </row>
    <row r="1377" spans="1:4" x14ac:dyDescent="0.25">
      <c r="A1377" s="3">
        <v>5136</v>
      </c>
      <c r="B1377" s="4" t="s">
        <v>4926</v>
      </c>
      <c r="C1377" s="5">
        <v>448190</v>
      </c>
      <c r="D1377" s="4" t="s">
        <v>3728</v>
      </c>
    </row>
    <row r="1378" spans="1:4" ht="25.5" x14ac:dyDescent="0.25">
      <c r="A1378" s="3">
        <v>5137</v>
      </c>
      <c r="B1378" s="4" t="s">
        <v>4927</v>
      </c>
      <c r="C1378" s="5">
        <v>423910</v>
      </c>
      <c r="D1378" s="4" t="s">
        <v>3583</v>
      </c>
    </row>
    <row r="1379" spans="1:4" ht="38.25" x14ac:dyDescent="0.25">
      <c r="A1379" s="3">
        <v>5137</v>
      </c>
      <c r="B1379" s="4" t="s">
        <v>4928</v>
      </c>
      <c r="C1379" s="5">
        <v>424330</v>
      </c>
      <c r="D1379" s="4" t="s">
        <v>5973</v>
      </c>
    </row>
    <row r="1380" spans="1:4" ht="25.5" x14ac:dyDescent="0.25">
      <c r="A1380" s="3">
        <v>5137</v>
      </c>
      <c r="B1380" s="4" t="s">
        <v>4929</v>
      </c>
      <c r="C1380" s="5">
        <v>425110</v>
      </c>
      <c r="D1380" s="4" t="s">
        <v>3652</v>
      </c>
    </row>
    <row r="1381" spans="1:4" x14ac:dyDescent="0.25">
      <c r="A1381" s="3">
        <v>5137</v>
      </c>
      <c r="B1381" s="4" t="s">
        <v>4930</v>
      </c>
      <c r="C1381" s="5">
        <v>425120</v>
      </c>
      <c r="D1381" s="4" t="s">
        <v>3654</v>
      </c>
    </row>
    <row r="1382" spans="1:4" ht="25.5" x14ac:dyDescent="0.25">
      <c r="A1382" s="3">
        <v>5137</v>
      </c>
      <c r="B1382" s="4" t="s">
        <v>4931</v>
      </c>
      <c r="C1382" s="5">
        <v>448120</v>
      </c>
      <c r="D1382" s="4" t="s">
        <v>3720</v>
      </c>
    </row>
    <row r="1383" spans="1:4" ht="25.5" x14ac:dyDescent="0.25">
      <c r="A1383" s="3">
        <v>5137</v>
      </c>
      <c r="B1383" s="4" t="s">
        <v>4932</v>
      </c>
      <c r="C1383" s="5">
        <v>448130</v>
      </c>
      <c r="D1383" s="4" t="s">
        <v>3722</v>
      </c>
    </row>
    <row r="1384" spans="1:4" ht="25.5" x14ac:dyDescent="0.25">
      <c r="A1384" s="3">
        <v>5137</v>
      </c>
      <c r="B1384" s="4" t="s">
        <v>4933</v>
      </c>
      <c r="C1384" s="5">
        <v>448190</v>
      </c>
      <c r="D1384" s="4" t="s">
        <v>3728</v>
      </c>
    </row>
    <row r="1385" spans="1:4" x14ac:dyDescent="0.25">
      <c r="A1385" s="3">
        <v>5139</v>
      </c>
      <c r="B1385" s="4" t="s">
        <v>4934</v>
      </c>
      <c r="C1385" s="5">
        <v>424340</v>
      </c>
      <c r="D1385" s="4" t="s">
        <v>3607</v>
      </c>
    </row>
    <row r="1386" spans="1:4" x14ac:dyDescent="0.25">
      <c r="A1386" s="3">
        <v>5139</v>
      </c>
      <c r="B1386" s="4" t="s">
        <v>4935</v>
      </c>
      <c r="C1386" s="5">
        <v>425110</v>
      </c>
      <c r="D1386" s="4" t="s">
        <v>3652</v>
      </c>
    </row>
    <row r="1387" spans="1:4" x14ac:dyDescent="0.25">
      <c r="A1387" s="3">
        <v>5139</v>
      </c>
      <c r="B1387" s="4" t="s">
        <v>4936</v>
      </c>
      <c r="C1387" s="5">
        <v>425120</v>
      </c>
      <c r="D1387" s="4" t="s">
        <v>3654</v>
      </c>
    </row>
    <row r="1388" spans="1:4" x14ac:dyDescent="0.25">
      <c r="A1388" s="3">
        <v>5139</v>
      </c>
      <c r="B1388" s="4" t="s">
        <v>4937</v>
      </c>
      <c r="C1388" s="5">
        <v>448210</v>
      </c>
      <c r="D1388" s="4" t="s">
        <v>3730</v>
      </c>
    </row>
    <row r="1389" spans="1:4" ht="25.5" x14ac:dyDescent="0.25">
      <c r="A1389" s="3">
        <v>5141</v>
      </c>
      <c r="B1389" s="4" t="s">
        <v>4938</v>
      </c>
      <c r="C1389" s="5">
        <v>424410</v>
      </c>
      <c r="D1389" s="4" t="s">
        <v>3609</v>
      </c>
    </row>
    <row r="1390" spans="1:4" x14ac:dyDescent="0.25">
      <c r="A1390" s="3">
        <v>5141</v>
      </c>
      <c r="B1390" s="4" t="s">
        <v>4939</v>
      </c>
      <c r="C1390" s="5">
        <v>425110</v>
      </c>
      <c r="D1390" s="4" t="s">
        <v>3652</v>
      </c>
    </row>
    <row r="1391" spans="1:4" x14ac:dyDescent="0.25">
      <c r="A1391" s="3">
        <v>5141</v>
      </c>
      <c r="B1391" s="4" t="s">
        <v>4940</v>
      </c>
      <c r="C1391" s="5">
        <v>425120</v>
      </c>
      <c r="D1391" s="4" t="s">
        <v>3654</v>
      </c>
    </row>
    <row r="1392" spans="1:4" ht="25.5" x14ac:dyDescent="0.25">
      <c r="A1392" s="3">
        <v>5141</v>
      </c>
      <c r="B1392" s="4" t="s">
        <v>4941</v>
      </c>
      <c r="C1392" s="5">
        <v>445110</v>
      </c>
      <c r="D1392" s="4" t="s">
        <v>3689</v>
      </c>
    </row>
    <row r="1393" spans="1:4" ht="25.5" x14ac:dyDescent="0.25">
      <c r="A1393" s="3">
        <v>5142</v>
      </c>
      <c r="B1393" s="4" t="s">
        <v>4942</v>
      </c>
      <c r="C1393" s="5">
        <v>424420</v>
      </c>
      <c r="D1393" s="4" t="s">
        <v>3611</v>
      </c>
    </row>
    <row r="1394" spans="1:4" x14ac:dyDescent="0.25">
      <c r="A1394" s="3">
        <v>5142</v>
      </c>
      <c r="B1394" s="4" t="s">
        <v>4943</v>
      </c>
      <c r="C1394" s="5">
        <v>425110</v>
      </c>
      <c r="D1394" s="4" t="s">
        <v>3652</v>
      </c>
    </row>
    <row r="1395" spans="1:4" x14ac:dyDescent="0.25">
      <c r="A1395" s="3">
        <v>5142</v>
      </c>
      <c r="B1395" s="4" t="s">
        <v>4944</v>
      </c>
      <c r="C1395" s="5">
        <v>425120</v>
      </c>
      <c r="D1395" s="4" t="s">
        <v>3654</v>
      </c>
    </row>
    <row r="1396" spans="1:4" x14ac:dyDescent="0.25">
      <c r="A1396" s="3">
        <v>5142</v>
      </c>
      <c r="B1396" s="4" t="s">
        <v>4945</v>
      </c>
      <c r="C1396" s="5">
        <v>454390</v>
      </c>
      <c r="D1396" s="4" t="s">
        <v>3823</v>
      </c>
    </row>
    <row r="1397" spans="1:4" ht="25.5" x14ac:dyDescent="0.25">
      <c r="A1397" s="3">
        <v>5143</v>
      </c>
      <c r="B1397" s="4" t="s">
        <v>4946</v>
      </c>
      <c r="C1397" s="5">
        <v>424430</v>
      </c>
      <c r="D1397" s="4" t="s">
        <v>3613</v>
      </c>
    </row>
    <row r="1398" spans="1:4" x14ac:dyDescent="0.25">
      <c r="A1398" s="3">
        <v>5143</v>
      </c>
      <c r="B1398" s="4" t="s">
        <v>4947</v>
      </c>
      <c r="C1398" s="5">
        <v>425110</v>
      </c>
      <c r="D1398" s="4" t="s">
        <v>3652</v>
      </c>
    </row>
    <row r="1399" spans="1:4" x14ac:dyDescent="0.25">
      <c r="A1399" s="3">
        <v>5143</v>
      </c>
      <c r="B1399" s="4" t="s">
        <v>4948</v>
      </c>
      <c r="C1399" s="5">
        <v>425120</v>
      </c>
      <c r="D1399" s="4" t="s">
        <v>3654</v>
      </c>
    </row>
    <row r="1400" spans="1:4" x14ac:dyDescent="0.25">
      <c r="A1400" s="3">
        <v>5143</v>
      </c>
      <c r="B1400" s="4" t="s">
        <v>4949</v>
      </c>
      <c r="C1400" s="5">
        <v>445299</v>
      </c>
      <c r="D1400" s="4" t="s">
        <v>3702</v>
      </c>
    </row>
    <row r="1401" spans="1:4" ht="25.5" x14ac:dyDescent="0.25">
      <c r="A1401" s="3">
        <v>5144</v>
      </c>
      <c r="B1401" s="4" t="s">
        <v>4950</v>
      </c>
      <c r="C1401" s="5">
        <v>424440</v>
      </c>
      <c r="D1401" s="4" t="s">
        <v>3615</v>
      </c>
    </row>
    <row r="1402" spans="1:4" x14ac:dyDescent="0.25">
      <c r="A1402" s="3">
        <v>5144</v>
      </c>
      <c r="B1402" s="4" t="s">
        <v>4951</v>
      </c>
      <c r="C1402" s="5">
        <v>425110</v>
      </c>
      <c r="D1402" s="4" t="s">
        <v>3652</v>
      </c>
    </row>
    <row r="1403" spans="1:4" x14ac:dyDescent="0.25">
      <c r="A1403" s="3">
        <v>5144</v>
      </c>
      <c r="B1403" s="4" t="s">
        <v>4952</v>
      </c>
      <c r="C1403" s="5">
        <v>425120</v>
      </c>
      <c r="D1403" s="4" t="s">
        <v>3654</v>
      </c>
    </row>
    <row r="1404" spans="1:4" x14ac:dyDescent="0.25">
      <c r="A1404" s="3">
        <v>5144</v>
      </c>
      <c r="B1404" s="4" t="s">
        <v>4953</v>
      </c>
      <c r="C1404" s="5">
        <v>445210</v>
      </c>
      <c r="D1404" s="4" t="s">
        <v>3693</v>
      </c>
    </row>
    <row r="1405" spans="1:4" x14ac:dyDescent="0.25">
      <c r="A1405" s="3">
        <v>5145</v>
      </c>
      <c r="B1405" s="4" t="s">
        <v>4954</v>
      </c>
      <c r="C1405" s="5">
        <v>424450</v>
      </c>
      <c r="D1405" s="4" t="s">
        <v>3617</v>
      </c>
    </row>
    <row r="1406" spans="1:4" x14ac:dyDescent="0.25">
      <c r="A1406" s="3">
        <v>5145</v>
      </c>
      <c r="B1406" s="4" t="s">
        <v>4955</v>
      </c>
      <c r="C1406" s="5">
        <v>425110</v>
      </c>
      <c r="D1406" s="4" t="s">
        <v>3652</v>
      </c>
    </row>
    <row r="1407" spans="1:4" x14ac:dyDescent="0.25">
      <c r="A1407" s="3">
        <v>5145</v>
      </c>
      <c r="B1407" s="4" t="s">
        <v>4956</v>
      </c>
      <c r="C1407" s="5">
        <v>425120</v>
      </c>
      <c r="D1407" s="4" t="s">
        <v>3654</v>
      </c>
    </row>
    <row r="1408" spans="1:4" x14ac:dyDescent="0.25">
      <c r="A1408" s="3">
        <v>5145</v>
      </c>
      <c r="B1408" s="4" t="s">
        <v>4957</v>
      </c>
      <c r="C1408" s="5">
        <v>445292</v>
      </c>
      <c r="D1408" s="4" t="s">
        <v>3700</v>
      </c>
    </row>
    <row r="1409" spans="1:4" ht="25.5" x14ac:dyDescent="0.25">
      <c r="A1409" s="3">
        <v>5146</v>
      </c>
      <c r="B1409" s="4" t="s">
        <v>4958</v>
      </c>
      <c r="C1409" s="5">
        <v>424460</v>
      </c>
      <c r="D1409" s="4" t="s">
        <v>3619</v>
      </c>
    </row>
    <row r="1410" spans="1:4" x14ac:dyDescent="0.25">
      <c r="A1410" s="3">
        <v>5146</v>
      </c>
      <c r="B1410" s="4" t="s">
        <v>4959</v>
      </c>
      <c r="C1410" s="5">
        <v>425110</v>
      </c>
      <c r="D1410" s="4" t="s">
        <v>3652</v>
      </c>
    </row>
    <row r="1411" spans="1:4" x14ac:dyDescent="0.25">
      <c r="A1411" s="3">
        <v>5146</v>
      </c>
      <c r="B1411" s="4" t="s">
        <v>4960</v>
      </c>
      <c r="C1411" s="5">
        <v>425120</v>
      </c>
      <c r="D1411" s="4" t="s">
        <v>3654</v>
      </c>
    </row>
    <row r="1412" spans="1:4" x14ac:dyDescent="0.25">
      <c r="A1412" s="3">
        <v>5146</v>
      </c>
      <c r="B1412" s="4" t="s">
        <v>4961</v>
      </c>
      <c r="C1412" s="5">
        <v>445220</v>
      </c>
      <c r="D1412" s="4" t="s">
        <v>3695</v>
      </c>
    </row>
    <row r="1413" spans="1:4" x14ac:dyDescent="0.25">
      <c r="A1413" s="3">
        <v>5147</v>
      </c>
      <c r="B1413" s="4" t="s">
        <v>4962</v>
      </c>
      <c r="C1413" s="5">
        <v>311612</v>
      </c>
      <c r="D1413" s="4" t="s">
        <v>5748</v>
      </c>
    </row>
    <row r="1414" spans="1:4" ht="25.5" x14ac:dyDescent="0.25">
      <c r="A1414" s="3">
        <v>5147</v>
      </c>
      <c r="B1414" s="4" t="s">
        <v>4963</v>
      </c>
      <c r="C1414" s="5">
        <v>424470</v>
      </c>
      <c r="D1414" s="4" t="s">
        <v>3621</v>
      </c>
    </row>
    <row r="1415" spans="1:4" x14ac:dyDescent="0.25">
      <c r="A1415" s="3">
        <v>5147</v>
      </c>
      <c r="B1415" s="4" t="s">
        <v>4964</v>
      </c>
      <c r="C1415" s="5">
        <v>425110</v>
      </c>
      <c r="D1415" s="4" t="s">
        <v>3652</v>
      </c>
    </row>
    <row r="1416" spans="1:4" x14ac:dyDescent="0.25">
      <c r="A1416" s="3">
        <v>5147</v>
      </c>
      <c r="B1416" s="4" t="s">
        <v>4965</v>
      </c>
      <c r="C1416" s="5">
        <v>425120</v>
      </c>
      <c r="D1416" s="4" t="s">
        <v>3654</v>
      </c>
    </row>
    <row r="1417" spans="1:4" x14ac:dyDescent="0.25">
      <c r="A1417" s="3">
        <v>5147</v>
      </c>
      <c r="B1417" s="4" t="s">
        <v>4966</v>
      </c>
      <c r="C1417" s="5">
        <v>445210</v>
      </c>
      <c r="D1417" s="4" t="s">
        <v>3693</v>
      </c>
    </row>
    <row r="1418" spans="1:4" ht="25.5" x14ac:dyDescent="0.25">
      <c r="A1418" s="3">
        <v>5148</v>
      </c>
      <c r="B1418" s="4" t="s">
        <v>4967</v>
      </c>
      <c r="C1418" s="5">
        <v>424480</v>
      </c>
      <c r="D1418" s="4" t="s">
        <v>3623</v>
      </c>
    </row>
    <row r="1419" spans="1:4" x14ac:dyDescent="0.25">
      <c r="A1419" s="3">
        <v>5148</v>
      </c>
      <c r="B1419" s="4" t="s">
        <v>4968</v>
      </c>
      <c r="C1419" s="5">
        <v>425110</v>
      </c>
      <c r="D1419" s="4" t="s">
        <v>3652</v>
      </c>
    </row>
    <row r="1420" spans="1:4" x14ac:dyDescent="0.25">
      <c r="A1420" s="3">
        <v>5148</v>
      </c>
      <c r="B1420" s="4" t="s">
        <v>4969</v>
      </c>
      <c r="C1420" s="5">
        <v>425120</v>
      </c>
      <c r="D1420" s="4" t="s">
        <v>3654</v>
      </c>
    </row>
    <row r="1421" spans="1:4" x14ac:dyDescent="0.25">
      <c r="A1421" s="3">
        <v>5148</v>
      </c>
      <c r="B1421" s="4" t="s">
        <v>4970</v>
      </c>
      <c r="C1421" s="5">
        <v>445230</v>
      </c>
      <c r="D1421" s="4" t="s">
        <v>3697</v>
      </c>
    </row>
    <row r="1422" spans="1:4" x14ac:dyDescent="0.25">
      <c r="A1422" s="3">
        <v>5149</v>
      </c>
      <c r="B1422" s="4" t="s">
        <v>4971</v>
      </c>
      <c r="C1422" s="5">
        <v>312112</v>
      </c>
      <c r="D1422" s="4" t="s">
        <v>2897</v>
      </c>
    </row>
    <row r="1423" spans="1:4" ht="38.25" x14ac:dyDescent="0.25">
      <c r="A1423" s="3">
        <v>5149</v>
      </c>
      <c r="B1423" s="4" t="s">
        <v>4972</v>
      </c>
      <c r="C1423" s="5">
        <v>424490</v>
      </c>
      <c r="D1423" s="4" t="s">
        <v>3625</v>
      </c>
    </row>
    <row r="1424" spans="1:4" x14ac:dyDescent="0.25">
      <c r="A1424" s="3">
        <v>5149</v>
      </c>
      <c r="B1424" s="4" t="s">
        <v>4973</v>
      </c>
      <c r="C1424" s="5">
        <v>425110</v>
      </c>
      <c r="D1424" s="4" t="s">
        <v>3652</v>
      </c>
    </row>
    <row r="1425" spans="1:4" x14ac:dyDescent="0.25">
      <c r="A1425" s="3">
        <v>5149</v>
      </c>
      <c r="B1425" s="4" t="s">
        <v>4974</v>
      </c>
      <c r="C1425" s="5">
        <v>425120</v>
      </c>
      <c r="D1425" s="4" t="s">
        <v>3654</v>
      </c>
    </row>
    <row r="1426" spans="1:4" ht="25.5" x14ac:dyDescent="0.25">
      <c r="A1426" s="3">
        <v>5149</v>
      </c>
      <c r="B1426" s="4" t="s">
        <v>4975</v>
      </c>
      <c r="C1426" s="5">
        <v>445299</v>
      </c>
      <c r="D1426" s="4" t="s">
        <v>3702</v>
      </c>
    </row>
    <row r="1427" spans="1:4" x14ac:dyDescent="0.25">
      <c r="A1427" s="3">
        <v>5149</v>
      </c>
      <c r="B1427" s="4" t="s">
        <v>4976</v>
      </c>
      <c r="C1427" s="5">
        <v>453910</v>
      </c>
      <c r="D1427" s="4" t="s">
        <v>3762</v>
      </c>
    </row>
    <row r="1428" spans="1:4" ht="25.5" x14ac:dyDescent="0.25">
      <c r="A1428" s="3">
        <v>5153</v>
      </c>
      <c r="B1428" s="4" t="s">
        <v>4977</v>
      </c>
      <c r="C1428" s="5">
        <v>424510</v>
      </c>
      <c r="D1428" s="4" t="s">
        <v>3627</v>
      </c>
    </row>
    <row r="1429" spans="1:4" x14ac:dyDescent="0.25">
      <c r="A1429" s="3">
        <v>5153</v>
      </c>
      <c r="B1429" s="4" t="s">
        <v>4978</v>
      </c>
      <c r="C1429" s="5">
        <v>425110</v>
      </c>
      <c r="D1429" s="4" t="s">
        <v>3652</v>
      </c>
    </row>
    <row r="1430" spans="1:4" x14ac:dyDescent="0.25">
      <c r="A1430" s="3">
        <v>5153</v>
      </c>
      <c r="B1430" s="4" t="s">
        <v>4979</v>
      </c>
      <c r="C1430" s="5">
        <v>425120</v>
      </c>
      <c r="D1430" s="4" t="s">
        <v>3654</v>
      </c>
    </row>
    <row r="1431" spans="1:4" x14ac:dyDescent="0.25">
      <c r="A1431" s="3">
        <v>5153</v>
      </c>
      <c r="B1431" s="4" t="s">
        <v>4980</v>
      </c>
      <c r="C1431" s="5">
        <v>444220</v>
      </c>
      <c r="D1431" s="4" t="s">
        <v>5974</v>
      </c>
    </row>
    <row r="1432" spans="1:4" x14ac:dyDescent="0.25">
      <c r="A1432" s="3">
        <v>5154</v>
      </c>
      <c r="B1432" s="4" t="s">
        <v>4981</v>
      </c>
      <c r="C1432" s="5">
        <v>424520</v>
      </c>
      <c r="D1432" s="4" t="s">
        <v>3629</v>
      </c>
    </row>
    <row r="1433" spans="1:4" x14ac:dyDescent="0.25">
      <c r="A1433" s="3">
        <v>5154</v>
      </c>
      <c r="B1433" s="4" t="s">
        <v>4982</v>
      </c>
      <c r="C1433" s="5">
        <v>425110</v>
      </c>
      <c r="D1433" s="4" t="s">
        <v>3652</v>
      </c>
    </row>
    <row r="1434" spans="1:4" x14ac:dyDescent="0.25">
      <c r="A1434" s="3">
        <v>5154</v>
      </c>
      <c r="B1434" s="4" t="s">
        <v>4983</v>
      </c>
      <c r="C1434" s="5">
        <v>425120</v>
      </c>
      <c r="D1434" s="4" t="s">
        <v>3654</v>
      </c>
    </row>
    <row r="1435" spans="1:4" ht="25.5" x14ac:dyDescent="0.25">
      <c r="A1435" s="3">
        <v>5159</v>
      </c>
      <c r="B1435" s="4" t="s">
        <v>4984</v>
      </c>
      <c r="C1435" s="5">
        <v>424590</v>
      </c>
      <c r="D1435" s="4" t="s">
        <v>3631</v>
      </c>
    </row>
    <row r="1436" spans="1:4" x14ac:dyDescent="0.25">
      <c r="A1436" s="3">
        <v>5159</v>
      </c>
      <c r="B1436" s="4" t="s">
        <v>4985</v>
      </c>
      <c r="C1436" s="5">
        <v>425110</v>
      </c>
      <c r="D1436" s="4" t="s">
        <v>3652</v>
      </c>
    </row>
    <row r="1437" spans="1:4" x14ac:dyDescent="0.25">
      <c r="A1437" s="3">
        <v>5159</v>
      </c>
      <c r="B1437" s="4" t="s">
        <v>4986</v>
      </c>
      <c r="C1437" s="5">
        <v>425120</v>
      </c>
      <c r="D1437" s="4" t="s">
        <v>3654</v>
      </c>
    </row>
    <row r="1438" spans="1:4" x14ac:dyDescent="0.25">
      <c r="A1438" s="3">
        <v>5159</v>
      </c>
      <c r="B1438" s="4" t="s">
        <v>4987</v>
      </c>
      <c r="C1438" s="5">
        <v>444220</v>
      </c>
      <c r="D1438" s="4" t="s">
        <v>5974</v>
      </c>
    </row>
    <row r="1439" spans="1:4" ht="25.5" x14ac:dyDescent="0.25">
      <c r="A1439" s="3">
        <v>5162</v>
      </c>
      <c r="B1439" s="4" t="s">
        <v>4988</v>
      </c>
      <c r="C1439" s="5">
        <v>424610</v>
      </c>
      <c r="D1439" s="4" t="s">
        <v>3633</v>
      </c>
    </row>
    <row r="1440" spans="1:4" x14ac:dyDescent="0.25">
      <c r="A1440" s="3">
        <v>5162</v>
      </c>
      <c r="B1440" s="4" t="s">
        <v>4989</v>
      </c>
      <c r="C1440" s="5">
        <v>425110</v>
      </c>
      <c r="D1440" s="4" t="s">
        <v>3652</v>
      </c>
    </row>
    <row r="1441" spans="1:4" x14ac:dyDescent="0.25">
      <c r="A1441" s="3">
        <v>5162</v>
      </c>
      <c r="B1441" s="4" t="s">
        <v>4990</v>
      </c>
      <c r="C1441" s="5">
        <v>425120</v>
      </c>
      <c r="D1441" s="4" t="s">
        <v>3654</v>
      </c>
    </row>
    <row r="1442" spans="1:4" ht="25.5" x14ac:dyDescent="0.25">
      <c r="A1442" s="3">
        <v>5162</v>
      </c>
      <c r="B1442" s="4" t="s">
        <v>4991</v>
      </c>
      <c r="C1442" s="5">
        <v>453998</v>
      </c>
      <c r="D1442" s="4" t="s">
        <v>5969</v>
      </c>
    </row>
    <row r="1443" spans="1:4" x14ac:dyDescent="0.25">
      <c r="A1443" s="3">
        <v>5169</v>
      </c>
      <c r="B1443" s="4" t="s">
        <v>4992</v>
      </c>
      <c r="C1443" s="5">
        <v>424690</v>
      </c>
      <c r="D1443" s="4" t="s">
        <v>678</v>
      </c>
    </row>
    <row r="1444" spans="1:4" x14ac:dyDescent="0.25">
      <c r="A1444" s="3">
        <v>5169</v>
      </c>
      <c r="B1444" s="4" t="s">
        <v>4993</v>
      </c>
      <c r="C1444" s="5">
        <v>425110</v>
      </c>
      <c r="D1444" s="4" t="s">
        <v>3652</v>
      </c>
    </row>
    <row r="1445" spans="1:4" x14ac:dyDescent="0.25">
      <c r="A1445" s="3">
        <v>5169</v>
      </c>
      <c r="B1445" s="4" t="s">
        <v>4994</v>
      </c>
      <c r="C1445" s="5">
        <v>425120</v>
      </c>
      <c r="D1445" s="4" t="s">
        <v>3654</v>
      </c>
    </row>
    <row r="1446" spans="1:4" x14ac:dyDescent="0.25">
      <c r="A1446" s="3">
        <v>5171</v>
      </c>
      <c r="B1446" s="4" t="s">
        <v>340</v>
      </c>
      <c r="C1446" s="5">
        <v>424710</v>
      </c>
      <c r="D1446" s="4" t="s">
        <v>3635</v>
      </c>
    </row>
    <row r="1447" spans="1:4" x14ac:dyDescent="0.25">
      <c r="A1447" s="3">
        <v>5171</v>
      </c>
      <c r="B1447" s="4" t="s">
        <v>4995</v>
      </c>
      <c r="C1447" s="5">
        <v>454311</v>
      </c>
      <c r="D1447" s="4" t="s">
        <v>5975</v>
      </c>
    </row>
    <row r="1448" spans="1:4" x14ac:dyDescent="0.25">
      <c r="A1448" s="3">
        <v>5171</v>
      </c>
      <c r="B1448" s="4" t="s">
        <v>4996</v>
      </c>
      <c r="C1448" s="5">
        <v>454312</v>
      </c>
      <c r="D1448" s="4" t="s">
        <v>5129</v>
      </c>
    </row>
    <row r="1449" spans="1:4" ht="25.5" x14ac:dyDescent="0.25">
      <c r="A1449" s="3">
        <v>5172</v>
      </c>
      <c r="B1449" s="4" t="s">
        <v>4997</v>
      </c>
      <c r="C1449" s="5">
        <v>424720</v>
      </c>
      <c r="D1449" s="4" t="s">
        <v>3637</v>
      </c>
    </row>
    <row r="1450" spans="1:4" ht="25.5" x14ac:dyDescent="0.25">
      <c r="A1450" s="3">
        <v>5172</v>
      </c>
      <c r="B1450" s="4" t="s">
        <v>4998</v>
      </c>
      <c r="C1450" s="5">
        <v>425110</v>
      </c>
      <c r="D1450" s="4" t="s">
        <v>3652</v>
      </c>
    </row>
    <row r="1451" spans="1:4" ht="25.5" x14ac:dyDescent="0.25">
      <c r="A1451" s="3">
        <v>5172</v>
      </c>
      <c r="B1451" s="4" t="s">
        <v>4999</v>
      </c>
      <c r="C1451" s="5">
        <v>425120</v>
      </c>
      <c r="D1451" s="4" t="s">
        <v>3654</v>
      </c>
    </row>
    <row r="1452" spans="1:4" x14ac:dyDescent="0.25">
      <c r="A1452" s="3">
        <v>5181</v>
      </c>
      <c r="B1452" s="4" t="s">
        <v>5000</v>
      </c>
      <c r="C1452" s="5">
        <v>424810</v>
      </c>
      <c r="D1452" s="4" t="s">
        <v>3639</v>
      </c>
    </row>
    <row r="1453" spans="1:4" x14ac:dyDescent="0.25">
      <c r="A1453" s="3">
        <v>5181</v>
      </c>
      <c r="B1453" s="4" t="s">
        <v>5001</v>
      </c>
      <c r="C1453" s="5">
        <v>425110</v>
      </c>
      <c r="D1453" s="4" t="s">
        <v>3652</v>
      </c>
    </row>
    <row r="1454" spans="1:4" x14ac:dyDescent="0.25">
      <c r="A1454" s="3">
        <v>5181</v>
      </c>
      <c r="B1454" s="4" t="s">
        <v>5002</v>
      </c>
      <c r="C1454" s="5">
        <v>425120</v>
      </c>
      <c r="D1454" s="4" t="s">
        <v>3654</v>
      </c>
    </row>
    <row r="1455" spans="1:4" x14ac:dyDescent="0.25">
      <c r="A1455" s="3">
        <v>5181</v>
      </c>
      <c r="B1455" s="4" t="s">
        <v>5003</v>
      </c>
      <c r="C1455" s="5">
        <v>445310</v>
      </c>
      <c r="D1455" s="4" t="s">
        <v>3704</v>
      </c>
    </row>
    <row r="1456" spans="1:4" ht="25.5" x14ac:dyDescent="0.25">
      <c r="A1456" s="3">
        <v>5182</v>
      </c>
      <c r="B1456" s="4" t="s">
        <v>5004</v>
      </c>
      <c r="C1456" s="5">
        <v>424820</v>
      </c>
      <c r="D1456" s="4" t="s">
        <v>3640</v>
      </c>
    </row>
    <row r="1457" spans="1:4" x14ac:dyDescent="0.25">
      <c r="A1457" s="3">
        <v>5182</v>
      </c>
      <c r="B1457" s="4" t="s">
        <v>5005</v>
      </c>
      <c r="C1457" s="5">
        <v>425110</v>
      </c>
      <c r="D1457" s="4" t="s">
        <v>3652</v>
      </c>
    </row>
    <row r="1458" spans="1:4" x14ac:dyDescent="0.25">
      <c r="A1458" s="3">
        <v>5182</v>
      </c>
      <c r="B1458" s="4" t="s">
        <v>5006</v>
      </c>
      <c r="C1458" s="5">
        <v>425120</v>
      </c>
      <c r="D1458" s="4" t="s">
        <v>3654</v>
      </c>
    </row>
    <row r="1459" spans="1:4" ht="25.5" x14ac:dyDescent="0.25">
      <c r="A1459" s="3">
        <v>5182</v>
      </c>
      <c r="B1459" s="4" t="s">
        <v>5007</v>
      </c>
      <c r="C1459" s="5">
        <v>445310</v>
      </c>
      <c r="D1459" s="4" t="s">
        <v>3704</v>
      </c>
    </row>
    <row r="1460" spans="1:4" ht="25.5" x14ac:dyDescent="0.25">
      <c r="A1460" s="3">
        <v>5191</v>
      </c>
      <c r="B1460" s="4" t="s">
        <v>5008</v>
      </c>
      <c r="C1460" s="5">
        <v>424910</v>
      </c>
      <c r="D1460" s="4" t="s">
        <v>3642</v>
      </c>
    </row>
    <row r="1461" spans="1:4" x14ac:dyDescent="0.25">
      <c r="A1461" s="3">
        <v>5191</v>
      </c>
      <c r="B1461" s="4" t="s">
        <v>5009</v>
      </c>
      <c r="C1461" s="5">
        <v>425110</v>
      </c>
      <c r="D1461" s="4" t="s">
        <v>3652</v>
      </c>
    </row>
    <row r="1462" spans="1:4" x14ac:dyDescent="0.25">
      <c r="A1462" s="3">
        <v>5191</v>
      </c>
      <c r="B1462" s="4" t="s">
        <v>5010</v>
      </c>
      <c r="C1462" s="5">
        <v>425120</v>
      </c>
      <c r="D1462" s="4" t="s">
        <v>3654</v>
      </c>
    </row>
    <row r="1463" spans="1:4" x14ac:dyDescent="0.25">
      <c r="A1463" s="3">
        <v>5191</v>
      </c>
      <c r="B1463" s="4" t="s">
        <v>5011</v>
      </c>
      <c r="C1463" s="5">
        <v>444220</v>
      </c>
      <c r="D1463" s="4" t="s">
        <v>5974</v>
      </c>
    </row>
    <row r="1464" spans="1:4" ht="25.5" x14ac:dyDescent="0.25">
      <c r="A1464" s="3">
        <v>5192</v>
      </c>
      <c r="B1464" s="4" t="s">
        <v>5012</v>
      </c>
      <c r="C1464" s="5">
        <v>424920</v>
      </c>
      <c r="D1464" s="4" t="s">
        <v>3644</v>
      </c>
    </row>
    <row r="1465" spans="1:4" x14ac:dyDescent="0.25">
      <c r="A1465" s="3">
        <v>5192</v>
      </c>
      <c r="B1465" s="4" t="s">
        <v>5013</v>
      </c>
      <c r="C1465" s="5">
        <v>425110</v>
      </c>
      <c r="D1465" s="4" t="s">
        <v>3652</v>
      </c>
    </row>
    <row r="1466" spans="1:4" x14ac:dyDescent="0.25">
      <c r="A1466" s="3">
        <v>5192</v>
      </c>
      <c r="B1466" s="4" t="s">
        <v>5014</v>
      </c>
      <c r="C1466" s="5">
        <v>425120</v>
      </c>
      <c r="D1466" s="4" t="s">
        <v>3654</v>
      </c>
    </row>
    <row r="1467" spans="1:4" x14ac:dyDescent="0.25">
      <c r="A1467" s="3">
        <v>5192</v>
      </c>
      <c r="B1467" s="4" t="s">
        <v>5015</v>
      </c>
      <c r="C1467" s="5">
        <v>451211</v>
      </c>
      <c r="D1467" s="4" t="s">
        <v>3744</v>
      </c>
    </row>
    <row r="1468" spans="1:4" ht="25.5" x14ac:dyDescent="0.25">
      <c r="A1468" s="3">
        <v>5193</v>
      </c>
      <c r="B1468" s="4" t="s">
        <v>5016</v>
      </c>
      <c r="C1468" s="5">
        <v>424930</v>
      </c>
      <c r="D1468" s="4" t="s">
        <v>5976</v>
      </c>
    </row>
    <row r="1469" spans="1:4" x14ac:dyDescent="0.25">
      <c r="A1469" s="3">
        <v>5193</v>
      </c>
      <c r="B1469" s="4" t="s">
        <v>5017</v>
      </c>
      <c r="C1469" s="5">
        <v>425110</v>
      </c>
      <c r="D1469" s="4" t="s">
        <v>3652</v>
      </c>
    </row>
    <row r="1470" spans="1:4" x14ac:dyDescent="0.25">
      <c r="A1470" s="3">
        <v>5193</v>
      </c>
      <c r="B1470" s="4" t="s">
        <v>5018</v>
      </c>
      <c r="C1470" s="5">
        <v>425120</v>
      </c>
      <c r="D1470" s="4" t="s">
        <v>3654</v>
      </c>
    </row>
    <row r="1471" spans="1:4" x14ac:dyDescent="0.25">
      <c r="A1471" s="3">
        <v>5193</v>
      </c>
      <c r="B1471" s="4" t="s">
        <v>5019</v>
      </c>
      <c r="C1471" s="5">
        <v>444220</v>
      </c>
      <c r="D1471" s="4" t="s">
        <v>5974</v>
      </c>
    </row>
    <row r="1472" spans="1:4" ht="25.5" x14ac:dyDescent="0.25">
      <c r="A1472" s="3">
        <v>5194</v>
      </c>
      <c r="B1472" s="4" t="s">
        <v>5020</v>
      </c>
      <c r="C1472" s="5">
        <v>424940</v>
      </c>
      <c r="D1472" s="4" t="s">
        <v>3648</v>
      </c>
    </row>
    <row r="1473" spans="1:4" x14ac:dyDescent="0.25">
      <c r="A1473" s="3">
        <v>5194</v>
      </c>
      <c r="B1473" s="4" t="s">
        <v>5021</v>
      </c>
      <c r="C1473" s="5">
        <v>425110</v>
      </c>
      <c r="D1473" s="4" t="s">
        <v>3652</v>
      </c>
    </row>
    <row r="1474" spans="1:4" x14ac:dyDescent="0.25">
      <c r="A1474" s="3">
        <v>5194</v>
      </c>
      <c r="B1474" s="4" t="s">
        <v>5022</v>
      </c>
      <c r="C1474" s="5">
        <v>425120</v>
      </c>
      <c r="D1474" s="4" t="s">
        <v>3654</v>
      </c>
    </row>
    <row r="1475" spans="1:4" x14ac:dyDescent="0.25">
      <c r="A1475" s="3">
        <v>5194</v>
      </c>
      <c r="B1475" s="4" t="s">
        <v>5023</v>
      </c>
      <c r="C1475" s="5">
        <v>453991</v>
      </c>
      <c r="D1475" s="4" t="s">
        <v>3768</v>
      </c>
    </row>
    <row r="1476" spans="1:4" x14ac:dyDescent="0.25">
      <c r="A1476" s="3">
        <v>5198</v>
      </c>
      <c r="B1476" s="4" t="s">
        <v>5024</v>
      </c>
      <c r="C1476" s="5">
        <v>424950</v>
      </c>
      <c r="D1476" s="4" t="s">
        <v>3649</v>
      </c>
    </row>
    <row r="1477" spans="1:4" x14ac:dyDescent="0.25">
      <c r="A1477" s="3">
        <v>5198</v>
      </c>
      <c r="B1477" s="4" t="s">
        <v>5025</v>
      </c>
      <c r="C1477" s="5">
        <v>425110</v>
      </c>
      <c r="D1477" s="4" t="s">
        <v>3652</v>
      </c>
    </row>
    <row r="1478" spans="1:4" x14ac:dyDescent="0.25">
      <c r="A1478" s="3">
        <v>5198</v>
      </c>
      <c r="B1478" s="4" t="s">
        <v>5026</v>
      </c>
      <c r="C1478" s="5">
        <v>425120</v>
      </c>
      <c r="D1478" s="4" t="s">
        <v>3654</v>
      </c>
    </row>
    <row r="1479" spans="1:4" ht="25.5" x14ac:dyDescent="0.25">
      <c r="A1479" s="3">
        <v>5199</v>
      </c>
      <c r="B1479" s="4" t="s">
        <v>5027</v>
      </c>
      <c r="C1479" s="5">
        <v>424310</v>
      </c>
      <c r="D1479" s="4" t="s">
        <v>3601</v>
      </c>
    </row>
    <row r="1480" spans="1:4" x14ac:dyDescent="0.25">
      <c r="A1480" s="3">
        <v>5199</v>
      </c>
      <c r="B1480" s="4" t="s">
        <v>5028</v>
      </c>
      <c r="C1480" s="5">
        <v>424340</v>
      </c>
      <c r="D1480" s="4" t="s">
        <v>3607</v>
      </c>
    </row>
    <row r="1481" spans="1:4" ht="25.5" x14ac:dyDescent="0.25">
      <c r="A1481" s="3">
        <v>5199</v>
      </c>
      <c r="B1481" s="4" t="s">
        <v>5029</v>
      </c>
      <c r="C1481" s="5">
        <v>424610</v>
      </c>
      <c r="D1481" s="4" t="s">
        <v>3633</v>
      </c>
    </row>
    <row r="1482" spans="1:4" ht="38.25" x14ac:dyDescent="0.25">
      <c r="A1482" s="3">
        <v>5199</v>
      </c>
      <c r="B1482" s="4" t="s">
        <v>5030</v>
      </c>
      <c r="C1482" s="5">
        <v>424990</v>
      </c>
      <c r="D1482" s="4" t="s">
        <v>3650</v>
      </c>
    </row>
    <row r="1483" spans="1:4" x14ac:dyDescent="0.25">
      <c r="A1483" s="3">
        <v>5199</v>
      </c>
      <c r="B1483" s="4" t="s">
        <v>5031</v>
      </c>
      <c r="C1483" s="5">
        <v>425110</v>
      </c>
      <c r="D1483" s="4" t="s">
        <v>3652</v>
      </c>
    </row>
    <row r="1484" spans="1:4" x14ac:dyDescent="0.25">
      <c r="A1484" s="3">
        <v>5199</v>
      </c>
      <c r="B1484" s="4" t="s">
        <v>5032</v>
      </c>
      <c r="C1484" s="5">
        <v>425120</v>
      </c>
      <c r="D1484" s="4" t="s">
        <v>3654</v>
      </c>
    </row>
    <row r="1485" spans="1:4" x14ac:dyDescent="0.25">
      <c r="A1485" s="3">
        <v>5199</v>
      </c>
      <c r="B1485" s="4" t="s">
        <v>5033</v>
      </c>
      <c r="C1485" s="5">
        <v>453220</v>
      </c>
      <c r="D1485" s="4" t="s">
        <v>3758</v>
      </c>
    </row>
    <row r="1486" spans="1:4" x14ac:dyDescent="0.25">
      <c r="A1486" s="3">
        <v>5199</v>
      </c>
      <c r="B1486" s="4" t="s">
        <v>5034</v>
      </c>
      <c r="C1486" s="5">
        <v>453910</v>
      </c>
      <c r="D1486" s="4" t="s">
        <v>3762</v>
      </c>
    </row>
    <row r="1487" spans="1:4" x14ac:dyDescent="0.25">
      <c r="A1487" s="3">
        <v>5199</v>
      </c>
      <c r="B1487" s="4" t="s">
        <v>5035</v>
      </c>
      <c r="C1487" s="5">
        <v>453991</v>
      </c>
      <c r="D1487" s="4" t="s">
        <v>3768</v>
      </c>
    </row>
    <row r="1488" spans="1:4" x14ac:dyDescent="0.25">
      <c r="A1488" s="3">
        <v>5199</v>
      </c>
      <c r="B1488" s="4" t="s">
        <v>5036</v>
      </c>
      <c r="C1488" s="5">
        <v>541890</v>
      </c>
      <c r="D1488" s="4" t="s">
        <v>4266</v>
      </c>
    </row>
    <row r="1489" spans="1:4" x14ac:dyDescent="0.25">
      <c r="A1489" s="3">
        <v>5211</v>
      </c>
      <c r="B1489" s="4" t="s">
        <v>5037</v>
      </c>
      <c r="C1489" s="5">
        <v>444110</v>
      </c>
      <c r="D1489" s="4" t="s">
        <v>3678</v>
      </c>
    </row>
    <row r="1490" spans="1:4" x14ac:dyDescent="0.25">
      <c r="A1490" s="3">
        <v>5211</v>
      </c>
      <c r="B1490" s="4" t="s">
        <v>5038</v>
      </c>
      <c r="C1490" s="5">
        <v>444190</v>
      </c>
      <c r="D1490" s="4" t="s">
        <v>3683</v>
      </c>
    </row>
    <row r="1491" spans="1:4" x14ac:dyDescent="0.25">
      <c r="A1491" s="3">
        <v>5231</v>
      </c>
      <c r="B1491" s="4" t="s">
        <v>5039</v>
      </c>
      <c r="C1491" s="5">
        <v>444120</v>
      </c>
      <c r="D1491" s="4" t="s">
        <v>3680</v>
      </c>
    </row>
    <row r="1492" spans="1:4" x14ac:dyDescent="0.25">
      <c r="A1492" s="3">
        <v>5231</v>
      </c>
      <c r="B1492" s="4" t="s">
        <v>5040</v>
      </c>
      <c r="C1492" s="5">
        <v>444190</v>
      </c>
      <c r="D1492" s="4" t="s">
        <v>3683</v>
      </c>
    </row>
    <row r="1493" spans="1:4" x14ac:dyDescent="0.25">
      <c r="A1493" s="3">
        <v>5251</v>
      </c>
      <c r="B1493" s="4" t="s">
        <v>3681</v>
      </c>
      <c r="C1493" s="5">
        <v>444130</v>
      </c>
      <c r="D1493" s="4" t="s">
        <v>3681</v>
      </c>
    </row>
    <row r="1494" spans="1:4" x14ac:dyDescent="0.25">
      <c r="A1494" s="3">
        <v>5261</v>
      </c>
      <c r="B1494" s="4" t="s">
        <v>5041</v>
      </c>
      <c r="C1494" s="5">
        <v>444210</v>
      </c>
      <c r="D1494" s="4" t="s">
        <v>3685</v>
      </c>
    </row>
    <row r="1495" spans="1:4" x14ac:dyDescent="0.25">
      <c r="A1495" s="3">
        <v>5261</v>
      </c>
      <c r="B1495" s="4" t="s">
        <v>5042</v>
      </c>
      <c r="C1495" s="5">
        <v>444220</v>
      </c>
      <c r="D1495" s="4" t="s">
        <v>5974</v>
      </c>
    </row>
    <row r="1496" spans="1:4" x14ac:dyDescent="0.25">
      <c r="A1496" s="3">
        <v>5271</v>
      </c>
      <c r="B1496" s="4" t="s">
        <v>5043</v>
      </c>
      <c r="C1496" s="5">
        <v>453930</v>
      </c>
      <c r="D1496" s="4" t="s">
        <v>3766</v>
      </c>
    </row>
    <row r="1497" spans="1:4" ht="25.5" x14ac:dyDescent="0.25">
      <c r="A1497" s="3">
        <v>5311</v>
      </c>
      <c r="B1497" s="4" t="s">
        <v>5044</v>
      </c>
      <c r="C1497" s="5">
        <v>452111</v>
      </c>
      <c r="D1497" s="4" t="s">
        <v>5977</v>
      </c>
    </row>
    <row r="1498" spans="1:4" x14ac:dyDescent="0.25">
      <c r="A1498" s="3">
        <v>5311</v>
      </c>
      <c r="B1498" s="4" t="s">
        <v>5045</v>
      </c>
      <c r="C1498" s="5">
        <v>452112</v>
      </c>
      <c r="D1498" s="4" t="s">
        <v>5978</v>
      </c>
    </row>
    <row r="1499" spans="1:4" x14ac:dyDescent="0.25">
      <c r="A1499" s="3">
        <v>5331</v>
      </c>
      <c r="B1499" s="4" t="s">
        <v>5046</v>
      </c>
      <c r="C1499" s="5">
        <v>452990</v>
      </c>
      <c r="D1499" s="4" t="s">
        <v>3752</v>
      </c>
    </row>
    <row r="1500" spans="1:4" ht="25.5" x14ac:dyDescent="0.25">
      <c r="A1500" s="3">
        <v>5399</v>
      </c>
      <c r="B1500" s="4" t="s">
        <v>5047</v>
      </c>
      <c r="C1500" s="5">
        <v>452910</v>
      </c>
      <c r="D1500" s="4" t="s">
        <v>3750</v>
      </c>
    </row>
    <row r="1501" spans="1:4" ht="25.5" x14ac:dyDescent="0.25">
      <c r="A1501" s="3">
        <v>5399</v>
      </c>
      <c r="B1501" s="4" t="s">
        <v>5048</v>
      </c>
      <c r="C1501" s="5">
        <v>452990</v>
      </c>
      <c r="D1501" s="4" t="s">
        <v>3752</v>
      </c>
    </row>
    <row r="1502" spans="1:4" ht="25.5" x14ac:dyDescent="0.25">
      <c r="A1502" s="3">
        <v>5411</v>
      </c>
      <c r="B1502" s="4" t="s">
        <v>5049</v>
      </c>
      <c r="C1502" s="5">
        <v>445110</v>
      </c>
      <c r="D1502" s="4" t="s">
        <v>3689</v>
      </c>
    </row>
    <row r="1503" spans="1:4" x14ac:dyDescent="0.25">
      <c r="A1503" s="3">
        <v>5411</v>
      </c>
      <c r="B1503" s="4" t="s">
        <v>5050</v>
      </c>
      <c r="C1503" s="5">
        <v>445120</v>
      </c>
      <c r="D1503" s="4" t="s">
        <v>3691</v>
      </c>
    </row>
    <row r="1504" spans="1:4" x14ac:dyDescent="0.25">
      <c r="A1504" s="3">
        <v>5411</v>
      </c>
      <c r="B1504" s="4" t="s">
        <v>5051</v>
      </c>
      <c r="C1504" s="5">
        <v>447110</v>
      </c>
      <c r="D1504" s="4" t="s">
        <v>3715</v>
      </c>
    </row>
    <row r="1505" spans="1:4" x14ac:dyDescent="0.25">
      <c r="A1505" s="3">
        <v>5411</v>
      </c>
      <c r="B1505" s="4" t="s">
        <v>5052</v>
      </c>
      <c r="C1505" s="5">
        <v>452910</v>
      </c>
      <c r="D1505" s="4" t="s">
        <v>3750</v>
      </c>
    </row>
    <row r="1506" spans="1:4" x14ac:dyDescent="0.25">
      <c r="A1506" s="3">
        <v>5411</v>
      </c>
      <c r="B1506" s="4" t="s">
        <v>5053</v>
      </c>
      <c r="C1506" s="5">
        <v>454390</v>
      </c>
      <c r="D1506" s="4" t="s">
        <v>3823</v>
      </c>
    </row>
    <row r="1507" spans="1:4" ht="25.5" x14ac:dyDescent="0.25">
      <c r="A1507" s="3">
        <v>5421</v>
      </c>
      <c r="B1507" s="4" t="s">
        <v>5054</v>
      </c>
      <c r="C1507" s="5">
        <v>445210</v>
      </c>
      <c r="D1507" s="4" t="s">
        <v>3693</v>
      </c>
    </row>
    <row r="1508" spans="1:4" x14ac:dyDescent="0.25">
      <c r="A1508" s="3">
        <v>5421</v>
      </c>
      <c r="B1508" s="4" t="s">
        <v>5055</v>
      </c>
      <c r="C1508" s="5">
        <v>445220</v>
      </c>
      <c r="D1508" s="4" t="s">
        <v>3695</v>
      </c>
    </row>
    <row r="1509" spans="1:4" x14ac:dyDescent="0.25">
      <c r="A1509" s="3">
        <v>5421</v>
      </c>
      <c r="B1509" s="4" t="s">
        <v>5056</v>
      </c>
      <c r="C1509" s="5">
        <v>454390</v>
      </c>
      <c r="D1509" s="4" t="s">
        <v>3823</v>
      </c>
    </row>
    <row r="1510" spans="1:4" x14ac:dyDescent="0.25">
      <c r="A1510" s="3">
        <v>5431</v>
      </c>
      <c r="B1510" s="4" t="s">
        <v>5057</v>
      </c>
      <c r="C1510" s="5">
        <v>445230</v>
      </c>
      <c r="D1510" s="4" t="s">
        <v>3697</v>
      </c>
    </row>
    <row r="1511" spans="1:4" x14ac:dyDescent="0.25">
      <c r="A1511" s="3">
        <v>5431</v>
      </c>
      <c r="B1511" s="4" t="s">
        <v>5058</v>
      </c>
      <c r="C1511" s="5">
        <v>454390</v>
      </c>
      <c r="D1511" s="4" t="s">
        <v>3823</v>
      </c>
    </row>
    <row r="1512" spans="1:4" x14ac:dyDescent="0.25">
      <c r="A1512" s="3">
        <v>5441</v>
      </c>
      <c r="B1512" s="4" t="s">
        <v>5059</v>
      </c>
      <c r="C1512" s="5">
        <v>311330</v>
      </c>
      <c r="D1512" s="4" t="s">
        <v>5751</v>
      </c>
    </row>
    <row r="1513" spans="1:4" x14ac:dyDescent="0.25">
      <c r="A1513" s="3">
        <v>5441</v>
      </c>
      <c r="B1513" s="4" t="s">
        <v>5060</v>
      </c>
      <c r="C1513" s="5">
        <v>311340</v>
      </c>
      <c r="D1513" s="4" t="s">
        <v>2833</v>
      </c>
    </row>
    <row r="1514" spans="1:4" x14ac:dyDescent="0.25">
      <c r="A1514" s="3">
        <v>5441</v>
      </c>
      <c r="B1514" s="4" t="s">
        <v>5061</v>
      </c>
      <c r="C1514" s="5">
        <v>445292</v>
      </c>
      <c r="D1514" s="4" t="s">
        <v>5979</v>
      </c>
    </row>
    <row r="1515" spans="1:4" x14ac:dyDescent="0.25">
      <c r="A1515" s="3">
        <v>5451</v>
      </c>
      <c r="B1515" s="4" t="s">
        <v>5062</v>
      </c>
      <c r="C1515" s="5">
        <v>445299</v>
      </c>
      <c r="D1515" s="4" t="s">
        <v>3702</v>
      </c>
    </row>
    <row r="1516" spans="1:4" x14ac:dyDescent="0.25">
      <c r="A1516" s="3">
        <v>5461</v>
      </c>
      <c r="B1516" s="4" t="s">
        <v>5063</v>
      </c>
      <c r="C1516" s="5">
        <v>311811</v>
      </c>
      <c r="D1516" s="4" t="s">
        <v>2869</v>
      </c>
    </row>
    <row r="1517" spans="1:4" x14ac:dyDescent="0.25">
      <c r="A1517" s="3">
        <v>5461</v>
      </c>
      <c r="B1517" s="4" t="s">
        <v>5064</v>
      </c>
      <c r="C1517" s="5">
        <v>445291</v>
      </c>
      <c r="D1517" s="4" t="s">
        <v>3699</v>
      </c>
    </row>
    <row r="1518" spans="1:4" x14ac:dyDescent="0.25">
      <c r="A1518" s="3">
        <v>5461</v>
      </c>
      <c r="B1518" s="4" t="s">
        <v>5065</v>
      </c>
      <c r="C1518" s="5">
        <v>722213</v>
      </c>
      <c r="D1518" s="4" t="s">
        <v>4560</v>
      </c>
    </row>
    <row r="1519" spans="1:4" x14ac:dyDescent="0.25">
      <c r="A1519" s="3">
        <v>5499</v>
      </c>
      <c r="B1519" s="4" t="s">
        <v>5066</v>
      </c>
      <c r="C1519" s="5">
        <v>445210</v>
      </c>
      <c r="D1519" s="4" t="s">
        <v>3693</v>
      </c>
    </row>
    <row r="1520" spans="1:4" x14ac:dyDescent="0.25">
      <c r="A1520" s="3">
        <v>5499</v>
      </c>
      <c r="B1520" s="4" t="s">
        <v>5067</v>
      </c>
      <c r="C1520" s="5">
        <v>445299</v>
      </c>
      <c r="D1520" s="4" t="s">
        <v>3702</v>
      </c>
    </row>
    <row r="1521" spans="1:4" x14ac:dyDescent="0.25">
      <c r="A1521" s="3">
        <v>5499</v>
      </c>
      <c r="B1521" s="4" t="s">
        <v>5068</v>
      </c>
      <c r="C1521" s="5">
        <v>446191</v>
      </c>
      <c r="D1521" s="4" t="s">
        <v>3711</v>
      </c>
    </row>
    <row r="1522" spans="1:4" x14ac:dyDescent="0.25">
      <c r="A1522" s="3">
        <v>5511</v>
      </c>
      <c r="B1522" s="4" t="s">
        <v>5069</v>
      </c>
      <c r="C1522" s="5">
        <v>441110</v>
      </c>
      <c r="D1522" s="4" t="s">
        <v>3655</v>
      </c>
    </row>
    <row r="1523" spans="1:4" x14ac:dyDescent="0.25">
      <c r="A1523" s="3">
        <v>5521</v>
      </c>
      <c r="B1523" s="4" t="s">
        <v>5070</v>
      </c>
      <c r="C1523" s="5">
        <v>441120</v>
      </c>
      <c r="D1523" s="4" t="s">
        <v>3657</v>
      </c>
    </row>
    <row r="1524" spans="1:4" x14ac:dyDescent="0.25">
      <c r="A1524" s="3">
        <v>5531</v>
      </c>
      <c r="B1524" s="4" t="s">
        <v>5071</v>
      </c>
      <c r="C1524" s="5">
        <v>441310</v>
      </c>
      <c r="D1524" s="4" t="s">
        <v>3664</v>
      </c>
    </row>
    <row r="1525" spans="1:4" x14ac:dyDescent="0.25">
      <c r="A1525" s="3">
        <v>5531</v>
      </c>
      <c r="B1525" s="4" t="s">
        <v>5072</v>
      </c>
      <c r="C1525" s="5">
        <v>441320</v>
      </c>
      <c r="D1525" s="4" t="s">
        <v>3666</v>
      </c>
    </row>
    <row r="1526" spans="1:4" x14ac:dyDescent="0.25">
      <c r="A1526" s="3">
        <v>5531</v>
      </c>
      <c r="B1526" s="4" t="s">
        <v>5073</v>
      </c>
      <c r="C1526" s="5">
        <v>452990</v>
      </c>
      <c r="D1526" s="4" t="s">
        <v>3752</v>
      </c>
    </row>
    <row r="1527" spans="1:4" x14ac:dyDescent="0.25">
      <c r="A1527" s="3">
        <v>5541</v>
      </c>
      <c r="B1527" s="4" t="s">
        <v>5074</v>
      </c>
      <c r="C1527" s="5">
        <v>447110</v>
      </c>
      <c r="D1527" s="4" t="s">
        <v>3715</v>
      </c>
    </row>
    <row r="1528" spans="1:4" x14ac:dyDescent="0.25">
      <c r="A1528" s="3">
        <v>5541</v>
      </c>
      <c r="B1528" s="4" t="s">
        <v>5075</v>
      </c>
      <c r="C1528" s="5">
        <v>447190</v>
      </c>
      <c r="D1528" s="4" t="s">
        <v>3716</v>
      </c>
    </row>
    <row r="1529" spans="1:4" x14ac:dyDescent="0.25">
      <c r="A1529" s="3">
        <v>5551</v>
      </c>
      <c r="B1529" s="4" t="s">
        <v>5076</v>
      </c>
      <c r="C1529" s="5">
        <v>441222</v>
      </c>
      <c r="D1529" s="4" t="s">
        <v>3661</v>
      </c>
    </row>
    <row r="1530" spans="1:4" x14ac:dyDescent="0.25">
      <c r="A1530" s="3">
        <v>5561</v>
      </c>
      <c r="B1530" s="4" t="s">
        <v>3659</v>
      </c>
      <c r="C1530" s="5">
        <v>441210</v>
      </c>
      <c r="D1530" s="4" t="s">
        <v>3659</v>
      </c>
    </row>
    <row r="1531" spans="1:4" x14ac:dyDescent="0.25">
      <c r="A1531" s="3">
        <v>5571</v>
      </c>
      <c r="B1531" s="4" t="s">
        <v>5077</v>
      </c>
      <c r="C1531" s="5">
        <v>441221</v>
      </c>
      <c r="D1531" s="4" t="s">
        <v>5077</v>
      </c>
    </row>
    <row r="1532" spans="1:4" x14ac:dyDescent="0.25">
      <c r="A1532" s="3">
        <v>5599</v>
      </c>
      <c r="B1532" s="4" t="s">
        <v>5078</v>
      </c>
      <c r="C1532" s="5">
        <v>441229</v>
      </c>
      <c r="D1532" s="4" t="s">
        <v>5980</v>
      </c>
    </row>
    <row r="1533" spans="1:4" x14ac:dyDescent="0.25">
      <c r="A1533" s="3">
        <v>5611</v>
      </c>
      <c r="B1533" s="4" t="s">
        <v>5079</v>
      </c>
      <c r="C1533" s="5">
        <v>448110</v>
      </c>
      <c r="D1533" s="4" t="s">
        <v>3718</v>
      </c>
    </row>
    <row r="1534" spans="1:4" x14ac:dyDescent="0.25">
      <c r="A1534" s="3">
        <v>5611</v>
      </c>
      <c r="B1534" s="4" t="s">
        <v>5080</v>
      </c>
      <c r="C1534" s="5">
        <v>448150</v>
      </c>
      <c r="D1534" s="4" t="s">
        <v>3726</v>
      </c>
    </row>
    <row r="1535" spans="1:4" x14ac:dyDescent="0.25">
      <c r="A1535" s="3">
        <v>5621</v>
      </c>
      <c r="B1535" s="4" t="s">
        <v>5081</v>
      </c>
      <c r="C1535" s="5">
        <v>448120</v>
      </c>
      <c r="D1535" s="4" t="s">
        <v>3720</v>
      </c>
    </row>
    <row r="1536" spans="1:4" x14ac:dyDescent="0.25">
      <c r="A1536" s="3">
        <v>5621</v>
      </c>
      <c r="B1536" s="4" t="s">
        <v>5082</v>
      </c>
      <c r="C1536" s="5">
        <v>448190</v>
      </c>
      <c r="D1536" s="4" t="s">
        <v>5981</v>
      </c>
    </row>
    <row r="1537" spans="1:4" x14ac:dyDescent="0.25">
      <c r="A1537" s="3">
        <v>5632</v>
      </c>
      <c r="B1537" s="4" t="s">
        <v>5083</v>
      </c>
      <c r="C1537" s="5">
        <v>448150</v>
      </c>
      <c r="D1537" s="4" t="s">
        <v>3726</v>
      </c>
    </row>
    <row r="1538" spans="1:4" x14ac:dyDescent="0.25">
      <c r="A1538" s="3">
        <v>5632</v>
      </c>
      <c r="B1538" s="4" t="s">
        <v>5084</v>
      </c>
      <c r="C1538" s="5">
        <v>448190</v>
      </c>
      <c r="D1538" s="4" t="s">
        <v>5981</v>
      </c>
    </row>
    <row r="1539" spans="1:4" x14ac:dyDescent="0.25">
      <c r="A1539" s="3">
        <v>5641</v>
      </c>
      <c r="B1539" s="4" t="s">
        <v>5085</v>
      </c>
      <c r="C1539" s="5">
        <v>448130</v>
      </c>
      <c r="D1539" s="4" t="s">
        <v>3722</v>
      </c>
    </row>
    <row r="1540" spans="1:4" x14ac:dyDescent="0.25">
      <c r="A1540" s="3">
        <v>5651</v>
      </c>
      <c r="B1540" s="4" t="s">
        <v>3724</v>
      </c>
      <c r="C1540" s="5">
        <v>448140</v>
      </c>
      <c r="D1540" s="4" t="s">
        <v>3724</v>
      </c>
    </row>
    <row r="1541" spans="1:4" x14ac:dyDescent="0.25">
      <c r="A1541" s="3">
        <v>5661</v>
      </c>
      <c r="B1541" s="4" t="s">
        <v>3730</v>
      </c>
      <c r="C1541" s="5">
        <v>448210</v>
      </c>
      <c r="D1541" s="4" t="s">
        <v>3730</v>
      </c>
    </row>
    <row r="1542" spans="1:4" ht="25.5" x14ac:dyDescent="0.25">
      <c r="A1542" s="3">
        <v>5699</v>
      </c>
      <c r="B1542" s="4" t="s">
        <v>5086</v>
      </c>
      <c r="C1542" s="5">
        <v>315222</v>
      </c>
      <c r="D1542" s="4" t="s">
        <v>5796</v>
      </c>
    </row>
    <row r="1543" spans="1:4" ht="25.5" x14ac:dyDescent="0.25">
      <c r="A1543" s="3">
        <v>5699</v>
      </c>
      <c r="B1543" s="4" t="s">
        <v>5086</v>
      </c>
      <c r="C1543" s="5">
        <v>315223</v>
      </c>
      <c r="D1543" s="4" t="s">
        <v>5778</v>
      </c>
    </row>
    <row r="1544" spans="1:4" x14ac:dyDescent="0.25">
      <c r="A1544" s="3">
        <v>5699</v>
      </c>
      <c r="B1544" s="4" t="s">
        <v>5087</v>
      </c>
      <c r="C1544" s="5">
        <v>315233</v>
      </c>
      <c r="D1544" s="4" t="s">
        <v>5788</v>
      </c>
    </row>
    <row r="1545" spans="1:4" x14ac:dyDescent="0.25">
      <c r="A1545" s="3">
        <v>5699</v>
      </c>
      <c r="B1545" s="4" t="s">
        <v>5088</v>
      </c>
      <c r="C1545" s="5">
        <v>448150</v>
      </c>
      <c r="D1545" s="4" t="s">
        <v>3726</v>
      </c>
    </row>
    <row r="1546" spans="1:4" ht="25.5" x14ac:dyDescent="0.25">
      <c r="A1546" s="3">
        <v>5699</v>
      </c>
      <c r="B1546" s="4" t="s">
        <v>5089</v>
      </c>
      <c r="C1546" s="5">
        <v>448190</v>
      </c>
      <c r="D1546" s="4" t="s">
        <v>5981</v>
      </c>
    </row>
    <row r="1547" spans="1:4" x14ac:dyDescent="0.25">
      <c r="A1547" s="3">
        <v>5712</v>
      </c>
      <c r="B1547" s="4" t="s">
        <v>5090</v>
      </c>
      <c r="C1547" s="5">
        <v>337110</v>
      </c>
      <c r="D1547" s="4" t="s">
        <v>3464</v>
      </c>
    </row>
    <row r="1548" spans="1:4" x14ac:dyDescent="0.25">
      <c r="A1548" s="3">
        <v>5712</v>
      </c>
      <c r="B1548" s="4" t="s">
        <v>5091</v>
      </c>
      <c r="C1548" s="5">
        <v>337121</v>
      </c>
      <c r="D1548" s="4" t="s">
        <v>3466</v>
      </c>
    </row>
    <row r="1549" spans="1:4" x14ac:dyDescent="0.25">
      <c r="A1549" s="3">
        <v>5712</v>
      </c>
      <c r="B1549" s="4" t="s">
        <v>5092</v>
      </c>
      <c r="C1549" s="5">
        <v>337122</v>
      </c>
      <c r="D1549" s="4" t="s">
        <v>3468</v>
      </c>
    </row>
    <row r="1550" spans="1:4" x14ac:dyDescent="0.25">
      <c r="A1550" s="3">
        <v>5712</v>
      </c>
      <c r="B1550" s="4" t="s">
        <v>5093</v>
      </c>
      <c r="C1550" s="5">
        <v>442110</v>
      </c>
      <c r="D1550" s="4" t="s">
        <v>3667</v>
      </c>
    </row>
    <row r="1551" spans="1:4" x14ac:dyDescent="0.25">
      <c r="A1551" s="3">
        <v>5713</v>
      </c>
      <c r="B1551" s="4" t="s">
        <v>5094</v>
      </c>
      <c r="C1551" s="5">
        <v>442210</v>
      </c>
      <c r="D1551" s="4" t="s">
        <v>3669</v>
      </c>
    </row>
    <row r="1552" spans="1:4" x14ac:dyDescent="0.25">
      <c r="A1552" s="3">
        <v>5714</v>
      </c>
      <c r="B1552" s="4" t="s">
        <v>5095</v>
      </c>
      <c r="C1552" s="5">
        <v>314121</v>
      </c>
      <c r="D1552" s="4" t="s">
        <v>5799</v>
      </c>
    </row>
    <row r="1553" spans="1:4" x14ac:dyDescent="0.25">
      <c r="A1553" s="3">
        <v>5714</v>
      </c>
      <c r="B1553" s="4" t="s">
        <v>5096</v>
      </c>
      <c r="C1553" s="5">
        <v>314129</v>
      </c>
      <c r="D1553" s="4" t="s">
        <v>5800</v>
      </c>
    </row>
    <row r="1554" spans="1:4" x14ac:dyDescent="0.25">
      <c r="A1554" s="3">
        <v>5714</v>
      </c>
      <c r="B1554" s="4" t="s">
        <v>5097</v>
      </c>
      <c r="C1554" s="5">
        <v>442291</v>
      </c>
      <c r="D1554" s="4" t="s">
        <v>3671</v>
      </c>
    </row>
    <row r="1555" spans="1:4" x14ac:dyDescent="0.25">
      <c r="A1555" s="3">
        <v>5714</v>
      </c>
      <c r="B1555" s="4" t="s">
        <v>5098</v>
      </c>
      <c r="C1555" s="5">
        <v>451130</v>
      </c>
      <c r="D1555" s="4" t="s">
        <v>3740</v>
      </c>
    </row>
    <row r="1556" spans="1:4" ht="25.5" x14ac:dyDescent="0.25">
      <c r="A1556" s="3">
        <v>5719</v>
      </c>
      <c r="B1556" s="4" t="s">
        <v>5099</v>
      </c>
      <c r="C1556" s="5">
        <v>327112</v>
      </c>
      <c r="D1556" s="4" t="s">
        <v>5865</v>
      </c>
    </row>
    <row r="1557" spans="1:4" x14ac:dyDescent="0.25">
      <c r="A1557" s="3">
        <v>5719</v>
      </c>
      <c r="B1557" s="4" t="s">
        <v>5100</v>
      </c>
      <c r="C1557" s="5">
        <v>442291</v>
      </c>
      <c r="D1557" s="4" t="s">
        <v>3671</v>
      </c>
    </row>
    <row r="1558" spans="1:4" ht="25.5" x14ac:dyDescent="0.25">
      <c r="A1558" s="3">
        <v>5719</v>
      </c>
      <c r="B1558" s="4" t="s">
        <v>5101</v>
      </c>
      <c r="C1558" s="5">
        <v>442299</v>
      </c>
      <c r="D1558" s="4" t="s">
        <v>3672</v>
      </c>
    </row>
    <row r="1559" spans="1:4" x14ac:dyDescent="0.25">
      <c r="A1559" s="3">
        <v>5722</v>
      </c>
      <c r="B1559" s="4" t="s">
        <v>3674</v>
      </c>
      <c r="C1559" s="5">
        <v>443111</v>
      </c>
      <c r="D1559" s="4" t="s">
        <v>3674</v>
      </c>
    </row>
    <row r="1560" spans="1:4" x14ac:dyDescent="0.25">
      <c r="A1560" s="3">
        <v>5731</v>
      </c>
      <c r="B1560" s="4" t="s">
        <v>5102</v>
      </c>
      <c r="C1560" s="5">
        <v>441310</v>
      </c>
      <c r="D1560" s="4" t="s">
        <v>3664</v>
      </c>
    </row>
    <row r="1561" spans="1:4" x14ac:dyDescent="0.25">
      <c r="A1561" s="3">
        <v>5731</v>
      </c>
      <c r="B1561" s="4" t="s">
        <v>5103</v>
      </c>
      <c r="C1561" s="5">
        <v>443112</v>
      </c>
      <c r="D1561" s="4" t="s">
        <v>5967</v>
      </c>
    </row>
    <row r="1562" spans="1:4" x14ac:dyDescent="0.25">
      <c r="A1562" s="3">
        <v>5734</v>
      </c>
      <c r="B1562" s="4" t="s">
        <v>5104</v>
      </c>
      <c r="C1562" s="5">
        <v>443120</v>
      </c>
      <c r="D1562" s="4" t="s">
        <v>5964</v>
      </c>
    </row>
    <row r="1563" spans="1:4" x14ac:dyDescent="0.25">
      <c r="A1563" s="3">
        <v>5735</v>
      </c>
      <c r="B1563" s="4" t="s">
        <v>5105</v>
      </c>
      <c r="C1563" s="5">
        <v>451220</v>
      </c>
      <c r="D1563" s="4" t="s">
        <v>5970</v>
      </c>
    </row>
    <row r="1564" spans="1:4" x14ac:dyDescent="0.25">
      <c r="A1564" s="3">
        <v>5736</v>
      </c>
      <c r="B1564" s="4" t="s">
        <v>5106</v>
      </c>
      <c r="C1564" s="5">
        <v>451140</v>
      </c>
      <c r="D1564" s="4" t="s">
        <v>3742</v>
      </c>
    </row>
    <row r="1565" spans="1:4" x14ac:dyDescent="0.25">
      <c r="A1565" s="3">
        <v>5812</v>
      </c>
      <c r="B1565" s="4" t="s">
        <v>5107</v>
      </c>
      <c r="C1565" s="5">
        <v>711110</v>
      </c>
      <c r="D1565" s="4" t="s">
        <v>4482</v>
      </c>
    </row>
    <row r="1566" spans="1:4" x14ac:dyDescent="0.25">
      <c r="A1566" s="3">
        <v>5812</v>
      </c>
      <c r="B1566" s="4" t="s">
        <v>5108</v>
      </c>
      <c r="C1566" s="5">
        <v>722110</v>
      </c>
      <c r="D1566" s="4" t="s">
        <v>4554</v>
      </c>
    </row>
    <row r="1567" spans="1:4" x14ac:dyDescent="0.25">
      <c r="A1567" s="3">
        <v>5812</v>
      </c>
      <c r="B1567" s="4" t="s">
        <v>5109</v>
      </c>
      <c r="C1567" s="5">
        <v>722211</v>
      </c>
      <c r="D1567" s="4" t="s">
        <v>4556</v>
      </c>
    </row>
    <row r="1568" spans="1:4" x14ac:dyDescent="0.25">
      <c r="A1568" s="3">
        <v>5812</v>
      </c>
      <c r="B1568" s="4" t="s">
        <v>5110</v>
      </c>
      <c r="C1568" s="5">
        <v>722212</v>
      </c>
      <c r="D1568" s="4" t="s">
        <v>5982</v>
      </c>
    </row>
    <row r="1569" spans="1:4" x14ac:dyDescent="0.25">
      <c r="A1569" s="3">
        <v>5812</v>
      </c>
      <c r="B1569" s="4" t="s">
        <v>5111</v>
      </c>
      <c r="C1569" s="5">
        <v>722213</v>
      </c>
      <c r="D1569" s="4" t="s">
        <v>4560</v>
      </c>
    </row>
    <row r="1570" spans="1:4" x14ac:dyDescent="0.25">
      <c r="A1570" s="3">
        <v>5812</v>
      </c>
      <c r="B1570" s="4" t="s">
        <v>5112</v>
      </c>
      <c r="C1570" s="5">
        <v>722310</v>
      </c>
      <c r="D1570" s="4" t="s">
        <v>4546</v>
      </c>
    </row>
    <row r="1571" spans="1:4" x14ac:dyDescent="0.25">
      <c r="A1571" s="3">
        <v>5812</v>
      </c>
      <c r="B1571" s="4" t="s">
        <v>5113</v>
      </c>
      <c r="C1571" s="5">
        <v>722320</v>
      </c>
      <c r="D1571" s="4" t="s">
        <v>4548</v>
      </c>
    </row>
    <row r="1572" spans="1:4" x14ac:dyDescent="0.25">
      <c r="A1572" s="3">
        <v>5813</v>
      </c>
      <c r="B1572" s="4" t="s">
        <v>4552</v>
      </c>
      <c r="C1572" s="5">
        <v>722410</v>
      </c>
      <c r="D1572" s="4" t="s">
        <v>4552</v>
      </c>
    </row>
    <row r="1573" spans="1:4" x14ac:dyDescent="0.25">
      <c r="A1573" s="3">
        <v>5912</v>
      </c>
      <c r="B1573" s="4" t="s">
        <v>5114</v>
      </c>
      <c r="C1573" s="5">
        <v>446110</v>
      </c>
      <c r="D1573" s="4" t="s">
        <v>3706</v>
      </c>
    </row>
    <row r="1574" spans="1:4" x14ac:dyDescent="0.25">
      <c r="A1574" s="3">
        <v>5921</v>
      </c>
      <c r="B1574" s="4" t="s">
        <v>5115</v>
      </c>
      <c r="C1574" s="5">
        <v>445310</v>
      </c>
      <c r="D1574" s="4" t="s">
        <v>3704</v>
      </c>
    </row>
    <row r="1575" spans="1:4" x14ac:dyDescent="0.25">
      <c r="A1575" s="3">
        <v>5932</v>
      </c>
      <c r="B1575" s="4" t="s">
        <v>5116</v>
      </c>
      <c r="C1575" s="5">
        <v>453310</v>
      </c>
      <c r="D1575" s="4" t="s">
        <v>3760</v>
      </c>
    </row>
    <row r="1576" spans="1:4" x14ac:dyDescent="0.25">
      <c r="A1576" s="3">
        <v>5932</v>
      </c>
      <c r="B1576" s="4" t="s">
        <v>5117</v>
      </c>
      <c r="C1576" s="5">
        <v>522298</v>
      </c>
      <c r="D1576" s="4" t="s">
        <v>4076</v>
      </c>
    </row>
    <row r="1577" spans="1:4" x14ac:dyDescent="0.25">
      <c r="A1577" s="3">
        <v>5941</v>
      </c>
      <c r="B1577" s="4" t="s">
        <v>5118</v>
      </c>
      <c r="C1577" s="5">
        <v>451110</v>
      </c>
      <c r="D1577" s="4" t="s">
        <v>3736</v>
      </c>
    </row>
    <row r="1578" spans="1:4" x14ac:dyDescent="0.25">
      <c r="A1578" s="3">
        <v>5942</v>
      </c>
      <c r="B1578" s="4" t="s">
        <v>3744</v>
      </c>
      <c r="C1578" s="5">
        <v>451211</v>
      </c>
      <c r="D1578" s="4" t="s">
        <v>3744</v>
      </c>
    </row>
    <row r="1579" spans="1:4" x14ac:dyDescent="0.25">
      <c r="A1579" s="3">
        <v>5943</v>
      </c>
      <c r="B1579" s="4" t="s">
        <v>5119</v>
      </c>
      <c r="C1579" s="5">
        <v>453210</v>
      </c>
      <c r="D1579" s="4" t="s">
        <v>3756</v>
      </c>
    </row>
    <row r="1580" spans="1:4" x14ac:dyDescent="0.25">
      <c r="A1580" s="3">
        <v>5944</v>
      </c>
      <c r="B1580" s="4" t="s">
        <v>3732</v>
      </c>
      <c r="C1580" s="5">
        <v>448310</v>
      </c>
      <c r="D1580" s="4" t="s">
        <v>3732</v>
      </c>
    </row>
    <row r="1581" spans="1:4" x14ac:dyDescent="0.25">
      <c r="A1581" s="3">
        <v>5945</v>
      </c>
      <c r="B1581" s="4" t="s">
        <v>3738</v>
      </c>
      <c r="C1581" s="5">
        <v>451120</v>
      </c>
      <c r="D1581" s="4" t="s">
        <v>3738</v>
      </c>
    </row>
    <row r="1582" spans="1:4" x14ac:dyDescent="0.25">
      <c r="A1582" s="3">
        <v>5946</v>
      </c>
      <c r="B1582" s="4" t="s">
        <v>5120</v>
      </c>
      <c r="C1582" s="5">
        <v>443130</v>
      </c>
      <c r="D1582" s="4" t="s">
        <v>5983</v>
      </c>
    </row>
    <row r="1583" spans="1:4" x14ac:dyDescent="0.25">
      <c r="A1583" s="3">
        <v>5947</v>
      </c>
      <c r="B1583" s="4" t="s">
        <v>5121</v>
      </c>
      <c r="C1583" s="5">
        <v>453220</v>
      </c>
      <c r="D1583" s="4" t="s">
        <v>3758</v>
      </c>
    </row>
    <row r="1584" spans="1:4" x14ac:dyDescent="0.25">
      <c r="A1584" s="3">
        <v>5948</v>
      </c>
      <c r="B1584" s="4" t="s">
        <v>3734</v>
      </c>
      <c r="C1584" s="5">
        <v>448320</v>
      </c>
      <c r="D1584" s="4" t="s">
        <v>3734</v>
      </c>
    </row>
    <row r="1585" spans="1:4" x14ac:dyDescent="0.25">
      <c r="A1585" s="3">
        <v>5949</v>
      </c>
      <c r="B1585" s="4" t="s">
        <v>3740</v>
      </c>
      <c r="C1585" s="5">
        <v>451130</v>
      </c>
      <c r="D1585" s="4" t="s">
        <v>3740</v>
      </c>
    </row>
    <row r="1586" spans="1:4" x14ac:dyDescent="0.25">
      <c r="A1586" s="3">
        <v>5961</v>
      </c>
      <c r="B1586" s="4" t="s">
        <v>5122</v>
      </c>
      <c r="C1586" s="5">
        <v>454111</v>
      </c>
      <c r="D1586" s="4" t="s">
        <v>5984</v>
      </c>
    </row>
    <row r="1587" spans="1:4" x14ac:dyDescent="0.25">
      <c r="A1587" s="3">
        <v>5961</v>
      </c>
      <c r="B1587" s="4" t="s">
        <v>5123</v>
      </c>
      <c r="C1587" s="5">
        <v>454112</v>
      </c>
      <c r="D1587" s="4" t="s">
        <v>5985</v>
      </c>
    </row>
    <row r="1588" spans="1:4" x14ac:dyDescent="0.25">
      <c r="A1588" s="3">
        <v>5961</v>
      </c>
      <c r="B1588" s="4" t="s">
        <v>5124</v>
      </c>
      <c r="C1588" s="5">
        <v>454113</v>
      </c>
      <c r="D1588" s="4" t="s">
        <v>5986</v>
      </c>
    </row>
    <row r="1589" spans="1:4" x14ac:dyDescent="0.25">
      <c r="A1589" s="3">
        <v>5962</v>
      </c>
      <c r="B1589" s="4" t="s">
        <v>5125</v>
      </c>
      <c r="C1589" s="5">
        <v>454210</v>
      </c>
      <c r="D1589" s="4" t="s">
        <v>3819</v>
      </c>
    </row>
    <row r="1590" spans="1:4" x14ac:dyDescent="0.25">
      <c r="A1590" s="3">
        <v>5963</v>
      </c>
      <c r="B1590" s="4" t="s">
        <v>5126</v>
      </c>
      <c r="C1590" s="5">
        <v>454390</v>
      </c>
      <c r="D1590" s="4" t="s">
        <v>3823</v>
      </c>
    </row>
    <row r="1591" spans="1:4" x14ac:dyDescent="0.25">
      <c r="A1591" s="3">
        <v>5963</v>
      </c>
      <c r="B1591" s="4" t="s">
        <v>5127</v>
      </c>
      <c r="C1591" s="5">
        <v>722330</v>
      </c>
      <c r="D1591" s="4" t="s">
        <v>4550</v>
      </c>
    </row>
    <row r="1592" spans="1:4" x14ac:dyDescent="0.25">
      <c r="A1592" s="3">
        <v>5983</v>
      </c>
      <c r="B1592" s="4" t="s">
        <v>5128</v>
      </c>
      <c r="C1592" s="5">
        <v>454311</v>
      </c>
      <c r="D1592" s="4" t="s">
        <v>5975</v>
      </c>
    </row>
    <row r="1593" spans="1:4" x14ac:dyDescent="0.25">
      <c r="A1593" s="3">
        <v>5984</v>
      </c>
      <c r="B1593" s="4" t="s">
        <v>5129</v>
      </c>
      <c r="C1593" s="5">
        <v>454312</v>
      </c>
      <c r="D1593" s="4" t="s">
        <v>5129</v>
      </c>
    </row>
    <row r="1594" spans="1:4" x14ac:dyDescent="0.25">
      <c r="A1594" s="3">
        <v>5989</v>
      </c>
      <c r="B1594" s="4" t="s">
        <v>5130</v>
      </c>
      <c r="C1594" s="5">
        <v>454319</v>
      </c>
      <c r="D1594" s="4" t="s">
        <v>5987</v>
      </c>
    </row>
    <row r="1595" spans="1:4" x14ac:dyDescent="0.25">
      <c r="A1595" s="3">
        <v>5992</v>
      </c>
      <c r="B1595" s="4" t="s">
        <v>3754</v>
      </c>
      <c r="C1595" s="5">
        <v>453110</v>
      </c>
      <c r="D1595" s="4" t="s">
        <v>3754</v>
      </c>
    </row>
    <row r="1596" spans="1:4" x14ac:dyDescent="0.25">
      <c r="A1596" s="3">
        <v>5993</v>
      </c>
      <c r="B1596" s="4" t="s">
        <v>5131</v>
      </c>
      <c r="C1596" s="5">
        <v>453991</v>
      </c>
      <c r="D1596" s="4" t="s">
        <v>3768</v>
      </c>
    </row>
    <row r="1597" spans="1:4" x14ac:dyDescent="0.25">
      <c r="A1597" s="3">
        <v>5994</v>
      </c>
      <c r="B1597" s="4" t="s">
        <v>5132</v>
      </c>
      <c r="C1597" s="5">
        <v>451212</v>
      </c>
      <c r="D1597" s="4" t="s">
        <v>3746</v>
      </c>
    </row>
    <row r="1598" spans="1:4" x14ac:dyDescent="0.25">
      <c r="A1598" s="3">
        <v>5995</v>
      </c>
      <c r="B1598" s="4" t="s">
        <v>5133</v>
      </c>
      <c r="C1598" s="5">
        <v>339115</v>
      </c>
      <c r="D1598" s="4" t="s">
        <v>3494</v>
      </c>
    </row>
    <row r="1599" spans="1:4" x14ac:dyDescent="0.25">
      <c r="A1599" s="3">
        <v>5995</v>
      </c>
      <c r="B1599" s="4" t="s">
        <v>5134</v>
      </c>
      <c r="C1599" s="5">
        <v>446130</v>
      </c>
      <c r="D1599" s="4" t="s">
        <v>3709</v>
      </c>
    </row>
    <row r="1600" spans="1:4" ht="25.5" x14ac:dyDescent="0.25">
      <c r="A1600" s="3">
        <v>5999</v>
      </c>
      <c r="B1600" s="4" t="s">
        <v>5135</v>
      </c>
      <c r="C1600" s="5">
        <v>339113</v>
      </c>
      <c r="D1600" s="4" t="s">
        <v>3490</v>
      </c>
    </row>
    <row r="1601" spans="1:4" x14ac:dyDescent="0.25">
      <c r="A1601" s="3">
        <v>5999</v>
      </c>
      <c r="B1601" s="4" t="s">
        <v>5136</v>
      </c>
      <c r="C1601" s="5">
        <v>443112</v>
      </c>
      <c r="D1601" s="4" t="s">
        <v>5967</v>
      </c>
    </row>
    <row r="1602" spans="1:4" x14ac:dyDescent="0.25">
      <c r="A1602" s="3">
        <v>5999</v>
      </c>
      <c r="B1602" s="4" t="s">
        <v>5137</v>
      </c>
      <c r="C1602" s="5">
        <v>446120</v>
      </c>
      <c r="D1602" s="4" t="s">
        <v>3708</v>
      </c>
    </row>
    <row r="1603" spans="1:4" x14ac:dyDescent="0.25">
      <c r="A1603" s="3">
        <v>5999</v>
      </c>
      <c r="B1603" s="4" t="s">
        <v>5138</v>
      </c>
      <c r="C1603" s="5">
        <v>446199</v>
      </c>
      <c r="D1603" s="4" t="s">
        <v>5965</v>
      </c>
    </row>
    <row r="1604" spans="1:4" x14ac:dyDescent="0.25">
      <c r="A1604" s="3">
        <v>5999</v>
      </c>
      <c r="B1604" s="4" t="s">
        <v>5139</v>
      </c>
      <c r="C1604" s="5">
        <v>453910</v>
      </c>
      <c r="D1604" s="4" t="s">
        <v>3762</v>
      </c>
    </row>
    <row r="1605" spans="1:4" x14ac:dyDescent="0.25">
      <c r="A1605" s="3">
        <v>5999</v>
      </c>
      <c r="B1605" s="4" t="s">
        <v>5140</v>
      </c>
      <c r="C1605" s="5">
        <v>453920</v>
      </c>
      <c r="D1605" s="4" t="s">
        <v>3764</v>
      </c>
    </row>
    <row r="1606" spans="1:4" ht="38.25" x14ac:dyDescent="0.25">
      <c r="A1606" s="3">
        <v>5999</v>
      </c>
      <c r="B1606" s="4" t="s">
        <v>5141</v>
      </c>
      <c r="C1606" s="5">
        <v>453998</v>
      </c>
      <c r="D1606" s="4" t="s">
        <v>5969</v>
      </c>
    </row>
    <row r="1607" spans="1:4" x14ac:dyDescent="0.25">
      <c r="A1607" s="3">
        <v>6011</v>
      </c>
      <c r="B1607" s="4" t="s">
        <v>5142</v>
      </c>
      <c r="C1607" s="5">
        <v>521110</v>
      </c>
      <c r="D1607" s="4" t="s">
        <v>5988</v>
      </c>
    </row>
    <row r="1608" spans="1:4" x14ac:dyDescent="0.25">
      <c r="A1608" s="3">
        <v>6019</v>
      </c>
      <c r="B1608" s="4" t="s">
        <v>5143</v>
      </c>
      <c r="C1608" s="5">
        <v>522298</v>
      </c>
      <c r="D1608" s="4" t="s">
        <v>4076</v>
      </c>
    </row>
    <row r="1609" spans="1:4" x14ac:dyDescent="0.25">
      <c r="A1609" s="3">
        <v>6021</v>
      </c>
      <c r="B1609" s="4" t="s">
        <v>5144</v>
      </c>
      <c r="C1609" s="5">
        <v>522110</v>
      </c>
      <c r="D1609" s="4" t="s">
        <v>4057</v>
      </c>
    </row>
    <row r="1610" spans="1:4" x14ac:dyDescent="0.25">
      <c r="A1610" s="3">
        <v>6021</v>
      </c>
      <c r="B1610" s="4" t="s">
        <v>5145</v>
      </c>
      <c r="C1610" s="5">
        <v>522210</v>
      </c>
      <c r="D1610" s="4" t="s">
        <v>4064</v>
      </c>
    </row>
    <row r="1611" spans="1:4" x14ac:dyDescent="0.25">
      <c r="A1611" s="3">
        <v>6022</v>
      </c>
      <c r="B1611" s="4" t="s">
        <v>5146</v>
      </c>
      <c r="C1611" s="5">
        <v>522110</v>
      </c>
      <c r="D1611" s="4" t="s">
        <v>4057</v>
      </c>
    </row>
    <row r="1612" spans="1:4" x14ac:dyDescent="0.25">
      <c r="A1612" s="3">
        <v>6022</v>
      </c>
      <c r="B1612" s="4" t="s">
        <v>5147</v>
      </c>
      <c r="C1612" s="5">
        <v>522190</v>
      </c>
      <c r="D1612" s="4" t="s">
        <v>4062</v>
      </c>
    </row>
    <row r="1613" spans="1:4" x14ac:dyDescent="0.25">
      <c r="A1613" s="3">
        <v>6022</v>
      </c>
      <c r="B1613" s="4" t="s">
        <v>5148</v>
      </c>
      <c r="C1613" s="5">
        <v>522210</v>
      </c>
      <c r="D1613" s="4" t="s">
        <v>4064</v>
      </c>
    </row>
    <row r="1614" spans="1:4" x14ac:dyDescent="0.25">
      <c r="A1614" s="3">
        <v>6029</v>
      </c>
      <c r="B1614" s="4" t="s">
        <v>5149</v>
      </c>
      <c r="C1614" s="5">
        <v>522110</v>
      </c>
      <c r="D1614" s="4" t="s">
        <v>4057</v>
      </c>
    </row>
    <row r="1615" spans="1:4" x14ac:dyDescent="0.25">
      <c r="A1615" s="3">
        <v>6035</v>
      </c>
      <c r="B1615" s="4" t="s">
        <v>5150</v>
      </c>
      <c r="C1615" s="5">
        <v>522120</v>
      </c>
      <c r="D1615" s="4" t="s">
        <v>4058</v>
      </c>
    </row>
    <row r="1616" spans="1:4" x14ac:dyDescent="0.25">
      <c r="A1616" s="3">
        <v>6036</v>
      </c>
      <c r="B1616" s="4" t="s">
        <v>5151</v>
      </c>
      <c r="C1616" s="5">
        <v>522120</v>
      </c>
      <c r="D1616" s="4" t="s">
        <v>4058</v>
      </c>
    </row>
    <row r="1617" spans="1:4" x14ac:dyDescent="0.25">
      <c r="A1617" s="3">
        <v>6061</v>
      </c>
      <c r="B1617" s="4" t="s">
        <v>5152</v>
      </c>
      <c r="C1617" s="5">
        <v>522130</v>
      </c>
      <c r="D1617" s="4" t="s">
        <v>4060</v>
      </c>
    </row>
    <row r="1618" spans="1:4" x14ac:dyDescent="0.25">
      <c r="A1618" s="3">
        <v>6062</v>
      </c>
      <c r="B1618" s="4" t="s">
        <v>5153</v>
      </c>
      <c r="C1618" s="5">
        <v>522130</v>
      </c>
      <c r="D1618" s="4" t="s">
        <v>4060</v>
      </c>
    </row>
    <row r="1619" spans="1:4" x14ac:dyDescent="0.25">
      <c r="A1619" s="3">
        <v>6081</v>
      </c>
      <c r="B1619" s="4" t="s">
        <v>5154</v>
      </c>
      <c r="C1619" s="5">
        <v>522110</v>
      </c>
      <c r="D1619" s="4" t="s">
        <v>4057</v>
      </c>
    </row>
    <row r="1620" spans="1:4" x14ac:dyDescent="0.25">
      <c r="A1620" s="3">
        <v>6081</v>
      </c>
      <c r="B1620" s="4" t="s">
        <v>5155</v>
      </c>
      <c r="C1620" s="5">
        <v>522293</v>
      </c>
      <c r="D1620" s="4" t="s">
        <v>4072</v>
      </c>
    </row>
    <row r="1621" spans="1:4" x14ac:dyDescent="0.25">
      <c r="A1621" s="3">
        <v>6081</v>
      </c>
      <c r="B1621" s="4" t="s">
        <v>5156</v>
      </c>
      <c r="C1621" s="5">
        <v>522298</v>
      </c>
      <c r="D1621" s="4" t="s">
        <v>4076</v>
      </c>
    </row>
    <row r="1622" spans="1:4" x14ac:dyDescent="0.25">
      <c r="A1622" s="3">
        <v>6082</v>
      </c>
      <c r="B1622" s="4" t="s">
        <v>5157</v>
      </c>
      <c r="C1622" s="5">
        <v>522293</v>
      </c>
      <c r="D1622" s="4" t="s">
        <v>4072</v>
      </c>
    </row>
    <row r="1623" spans="1:4" x14ac:dyDescent="0.25">
      <c r="A1623" s="3">
        <v>6082</v>
      </c>
      <c r="B1623" s="4" t="s">
        <v>5158</v>
      </c>
      <c r="C1623" s="5">
        <v>522298</v>
      </c>
      <c r="D1623" s="4" t="s">
        <v>4076</v>
      </c>
    </row>
    <row r="1624" spans="1:4" x14ac:dyDescent="0.25">
      <c r="A1624" s="3">
        <v>6091</v>
      </c>
      <c r="B1624" s="4" t="s">
        <v>5159</v>
      </c>
      <c r="C1624" s="5">
        <v>523991</v>
      </c>
      <c r="D1624" s="4" t="s">
        <v>4099</v>
      </c>
    </row>
    <row r="1625" spans="1:4" ht="25.5" x14ac:dyDescent="0.25">
      <c r="A1625" s="3">
        <v>6099</v>
      </c>
      <c r="B1625" s="4" t="s">
        <v>5160</v>
      </c>
      <c r="C1625" s="5">
        <v>522320</v>
      </c>
      <c r="D1625" s="4" t="s">
        <v>4080</v>
      </c>
    </row>
    <row r="1626" spans="1:4" ht="38.25" x14ac:dyDescent="0.25">
      <c r="A1626" s="3">
        <v>6099</v>
      </c>
      <c r="B1626" s="4" t="s">
        <v>5161</v>
      </c>
      <c r="C1626" s="5">
        <v>522390</v>
      </c>
      <c r="D1626" s="4" t="s">
        <v>4082</v>
      </c>
    </row>
    <row r="1627" spans="1:4" x14ac:dyDescent="0.25">
      <c r="A1627" s="3">
        <v>6099</v>
      </c>
      <c r="B1627" s="4" t="s">
        <v>5162</v>
      </c>
      <c r="C1627" s="5">
        <v>523130</v>
      </c>
      <c r="D1627" s="4" t="s">
        <v>4088</v>
      </c>
    </row>
    <row r="1628" spans="1:4" x14ac:dyDescent="0.25">
      <c r="A1628" s="3">
        <v>6099</v>
      </c>
      <c r="B1628" s="4" t="s">
        <v>5163</v>
      </c>
      <c r="C1628" s="5">
        <v>523991</v>
      </c>
      <c r="D1628" s="4" t="s">
        <v>4099</v>
      </c>
    </row>
    <row r="1629" spans="1:4" x14ac:dyDescent="0.25">
      <c r="A1629" s="3">
        <v>6111</v>
      </c>
      <c r="B1629" s="4" t="s">
        <v>5164</v>
      </c>
      <c r="C1629" s="5">
        <v>522292</v>
      </c>
      <c r="D1629" s="4" t="s">
        <v>4070</v>
      </c>
    </row>
    <row r="1630" spans="1:4" x14ac:dyDescent="0.25">
      <c r="A1630" s="3">
        <v>6111</v>
      </c>
      <c r="B1630" s="4" t="s">
        <v>5164</v>
      </c>
      <c r="C1630" s="5">
        <v>522293</v>
      </c>
      <c r="D1630" s="4" t="s">
        <v>4072</v>
      </c>
    </row>
    <row r="1631" spans="1:4" x14ac:dyDescent="0.25">
      <c r="A1631" s="3">
        <v>6111</v>
      </c>
      <c r="B1631" s="4" t="s">
        <v>5165</v>
      </c>
      <c r="C1631" s="5">
        <v>522294</v>
      </c>
      <c r="D1631" s="4" t="s">
        <v>4074</v>
      </c>
    </row>
    <row r="1632" spans="1:4" ht="25.5" x14ac:dyDescent="0.25">
      <c r="A1632" s="3">
        <v>6111</v>
      </c>
      <c r="B1632" s="4" t="s">
        <v>5166</v>
      </c>
      <c r="C1632" s="5">
        <v>522298</v>
      </c>
      <c r="D1632" s="4" t="s">
        <v>4076</v>
      </c>
    </row>
    <row r="1633" spans="1:4" x14ac:dyDescent="0.25">
      <c r="A1633" s="3">
        <v>6141</v>
      </c>
      <c r="B1633" s="4" t="s">
        <v>5167</v>
      </c>
      <c r="C1633" s="5">
        <v>522210</v>
      </c>
      <c r="D1633" s="4" t="s">
        <v>4064</v>
      </c>
    </row>
    <row r="1634" spans="1:4" x14ac:dyDescent="0.25">
      <c r="A1634" s="3">
        <v>6141</v>
      </c>
      <c r="B1634" s="4" t="s">
        <v>5168</v>
      </c>
      <c r="C1634" s="5">
        <v>522220</v>
      </c>
      <c r="D1634" s="4" t="s">
        <v>4066</v>
      </c>
    </row>
    <row r="1635" spans="1:4" ht="25.5" x14ac:dyDescent="0.25">
      <c r="A1635" s="3">
        <v>6141</v>
      </c>
      <c r="B1635" s="4" t="s">
        <v>5169</v>
      </c>
      <c r="C1635" s="5">
        <v>522291</v>
      </c>
      <c r="D1635" s="4" t="s">
        <v>4068</v>
      </c>
    </row>
    <row r="1636" spans="1:4" x14ac:dyDescent="0.25">
      <c r="A1636" s="3">
        <v>6141</v>
      </c>
      <c r="B1636" s="4" t="s">
        <v>5170</v>
      </c>
      <c r="C1636" s="5">
        <v>522298</v>
      </c>
      <c r="D1636" s="4" t="s">
        <v>4076</v>
      </c>
    </row>
    <row r="1637" spans="1:4" x14ac:dyDescent="0.25">
      <c r="A1637" s="3">
        <v>6153</v>
      </c>
      <c r="B1637" s="4" t="s">
        <v>5171</v>
      </c>
      <c r="C1637" s="5">
        <v>522210</v>
      </c>
      <c r="D1637" s="4" t="s">
        <v>4064</v>
      </c>
    </row>
    <row r="1638" spans="1:4" x14ac:dyDescent="0.25">
      <c r="A1638" s="3">
        <v>6153</v>
      </c>
      <c r="B1638" s="4" t="s">
        <v>5172</v>
      </c>
      <c r="C1638" s="5">
        <v>522220</v>
      </c>
      <c r="D1638" s="4" t="s">
        <v>4066</v>
      </c>
    </row>
    <row r="1639" spans="1:4" ht="25.5" x14ac:dyDescent="0.25">
      <c r="A1639" s="3">
        <v>6153</v>
      </c>
      <c r="B1639" s="4" t="s">
        <v>5173</v>
      </c>
      <c r="C1639" s="5">
        <v>522298</v>
      </c>
      <c r="D1639" s="4" t="s">
        <v>4076</v>
      </c>
    </row>
    <row r="1640" spans="1:4" ht="25.5" x14ac:dyDescent="0.25">
      <c r="A1640" s="3">
        <v>6153</v>
      </c>
      <c r="B1640" s="4" t="s">
        <v>5174</v>
      </c>
      <c r="C1640" s="5">
        <v>522320</v>
      </c>
      <c r="D1640" s="4" t="s">
        <v>4080</v>
      </c>
    </row>
    <row r="1641" spans="1:4" ht="38.25" x14ac:dyDescent="0.25">
      <c r="A1641" s="3">
        <v>6153</v>
      </c>
      <c r="B1641" s="4" t="s">
        <v>5175</v>
      </c>
      <c r="C1641" s="5">
        <v>523910</v>
      </c>
      <c r="D1641" s="4" t="s">
        <v>4094</v>
      </c>
    </row>
    <row r="1642" spans="1:4" x14ac:dyDescent="0.25">
      <c r="A1642" s="3">
        <v>6159</v>
      </c>
      <c r="B1642" s="4" t="s">
        <v>5176</v>
      </c>
      <c r="C1642" s="5">
        <v>522220</v>
      </c>
      <c r="D1642" s="4" t="s">
        <v>4066</v>
      </c>
    </row>
    <row r="1643" spans="1:4" x14ac:dyDescent="0.25">
      <c r="A1643" s="3">
        <v>6159</v>
      </c>
      <c r="B1643" s="4" t="s">
        <v>5177</v>
      </c>
      <c r="C1643" s="5">
        <v>522292</v>
      </c>
      <c r="D1643" s="4" t="s">
        <v>4070</v>
      </c>
    </row>
    <row r="1644" spans="1:4" x14ac:dyDescent="0.25">
      <c r="A1644" s="3">
        <v>6159</v>
      </c>
      <c r="B1644" s="4" t="s">
        <v>5178</v>
      </c>
      <c r="C1644" s="5">
        <v>522293</v>
      </c>
      <c r="D1644" s="4" t="s">
        <v>4072</v>
      </c>
    </row>
    <row r="1645" spans="1:4" x14ac:dyDescent="0.25">
      <c r="A1645" s="3">
        <v>6159</v>
      </c>
      <c r="B1645" s="4" t="s">
        <v>5179</v>
      </c>
      <c r="C1645" s="5">
        <v>522294</v>
      </c>
      <c r="D1645" s="4" t="s">
        <v>4074</v>
      </c>
    </row>
    <row r="1646" spans="1:4" ht="25.5" x14ac:dyDescent="0.25">
      <c r="A1646" s="3">
        <v>6159</v>
      </c>
      <c r="B1646" s="4" t="s">
        <v>5180</v>
      </c>
      <c r="C1646" s="5">
        <v>522298</v>
      </c>
      <c r="D1646" s="4" t="s">
        <v>4076</v>
      </c>
    </row>
    <row r="1647" spans="1:4" x14ac:dyDescent="0.25">
      <c r="A1647" s="3">
        <v>6162</v>
      </c>
      <c r="B1647" s="4" t="s">
        <v>5181</v>
      </c>
      <c r="C1647" s="5">
        <v>522292</v>
      </c>
      <c r="D1647" s="4" t="s">
        <v>4070</v>
      </c>
    </row>
    <row r="1648" spans="1:4" x14ac:dyDescent="0.25">
      <c r="A1648" s="3">
        <v>6162</v>
      </c>
      <c r="B1648" s="4" t="s">
        <v>5182</v>
      </c>
      <c r="C1648" s="5">
        <v>522390</v>
      </c>
      <c r="D1648" s="4" t="s">
        <v>4082</v>
      </c>
    </row>
    <row r="1649" spans="1:4" x14ac:dyDescent="0.25">
      <c r="A1649" s="3">
        <v>6163</v>
      </c>
      <c r="B1649" s="4" t="s">
        <v>5183</v>
      </c>
      <c r="C1649" s="5">
        <v>522310</v>
      </c>
      <c r="D1649" s="4" t="s">
        <v>4078</v>
      </c>
    </row>
    <row r="1650" spans="1:4" x14ac:dyDescent="0.25">
      <c r="A1650" s="3">
        <v>6211</v>
      </c>
      <c r="B1650" s="4" t="s">
        <v>5184</v>
      </c>
      <c r="C1650" s="5">
        <v>523110</v>
      </c>
      <c r="D1650" s="4" t="s">
        <v>4084</v>
      </c>
    </row>
    <row r="1651" spans="1:4" x14ac:dyDescent="0.25">
      <c r="A1651" s="3">
        <v>6211</v>
      </c>
      <c r="B1651" s="4" t="s">
        <v>5185</v>
      </c>
      <c r="C1651" s="5">
        <v>523120</v>
      </c>
      <c r="D1651" s="4" t="s">
        <v>4086</v>
      </c>
    </row>
    <row r="1652" spans="1:4" ht="25.5" x14ac:dyDescent="0.25">
      <c r="A1652" s="3">
        <v>6211</v>
      </c>
      <c r="B1652" s="4" t="s">
        <v>5186</v>
      </c>
      <c r="C1652" s="5">
        <v>523910</v>
      </c>
      <c r="D1652" s="4" t="s">
        <v>4094</v>
      </c>
    </row>
    <row r="1653" spans="1:4" x14ac:dyDescent="0.25">
      <c r="A1653" s="3">
        <v>6211</v>
      </c>
      <c r="B1653" s="4" t="s">
        <v>5187</v>
      </c>
      <c r="C1653" s="5">
        <v>523999</v>
      </c>
      <c r="D1653" s="4" t="s">
        <v>4101</v>
      </c>
    </row>
    <row r="1654" spans="1:4" x14ac:dyDescent="0.25">
      <c r="A1654" s="3">
        <v>6221</v>
      </c>
      <c r="B1654" s="4" t="s">
        <v>5188</v>
      </c>
      <c r="C1654" s="5">
        <v>523130</v>
      </c>
      <c r="D1654" s="4" t="s">
        <v>4088</v>
      </c>
    </row>
    <row r="1655" spans="1:4" x14ac:dyDescent="0.25">
      <c r="A1655" s="3">
        <v>6221</v>
      </c>
      <c r="B1655" s="4" t="s">
        <v>5189</v>
      </c>
      <c r="C1655" s="5">
        <v>523140</v>
      </c>
      <c r="D1655" s="4" t="s">
        <v>4090</v>
      </c>
    </row>
    <row r="1656" spans="1:4" x14ac:dyDescent="0.25">
      <c r="A1656" s="3">
        <v>6231</v>
      </c>
      <c r="B1656" s="4" t="s">
        <v>5190</v>
      </c>
      <c r="C1656" s="5">
        <v>523210</v>
      </c>
      <c r="D1656" s="4" t="s">
        <v>4092</v>
      </c>
    </row>
    <row r="1657" spans="1:4" x14ac:dyDescent="0.25">
      <c r="A1657" s="3">
        <v>6282</v>
      </c>
      <c r="B1657" s="4" t="s">
        <v>5191</v>
      </c>
      <c r="C1657" s="5">
        <v>523920</v>
      </c>
      <c r="D1657" s="4" t="s">
        <v>4096</v>
      </c>
    </row>
    <row r="1658" spans="1:4" x14ac:dyDescent="0.25">
      <c r="A1658" s="3">
        <v>6282</v>
      </c>
      <c r="B1658" s="4" t="s">
        <v>5192</v>
      </c>
      <c r="C1658" s="5">
        <v>523930</v>
      </c>
      <c r="D1658" s="4" t="s">
        <v>4097</v>
      </c>
    </row>
    <row r="1659" spans="1:4" x14ac:dyDescent="0.25">
      <c r="A1659" s="3">
        <v>6289</v>
      </c>
      <c r="B1659" s="4" t="s">
        <v>5193</v>
      </c>
      <c r="C1659" s="5">
        <v>523991</v>
      </c>
      <c r="D1659" s="4" t="s">
        <v>4099</v>
      </c>
    </row>
    <row r="1660" spans="1:4" ht="25.5" x14ac:dyDescent="0.25">
      <c r="A1660" s="3">
        <v>6289</v>
      </c>
      <c r="B1660" s="4" t="s">
        <v>5194</v>
      </c>
      <c r="C1660" s="5">
        <v>523999</v>
      </c>
      <c r="D1660" s="4" t="s">
        <v>4101</v>
      </c>
    </row>
    <row r="1661" spans="1:4" x14ac:dyDescent="0.25">
      <c r="A1661" s="3">
        <v>6311</v>
      </c>
      <c r="B1661" s="4" t="s">
        <v>5195</v>
      </c>
      <c r="C1661" s="5">
        <v>524113</v>
      </c>
      <c r="D1661" s="4" t="s">
        <v>4103</v>
      </c>
    </row>
    <row r="1662" spans="1:4" ht="25.5" x14ac:dyDescent="0.25">
      <c r="A1662" s="3">
        <v>6311</v>
      </c>
      <c r="B1662" s="4" t="s">
        <v>5196</v>
      </c>
      <c r="C1662" s="5">
        <v>524128</v>
      </c>
      <c r="D1662" s="4" t="s">
        <v>4111</v>
      </c>
    </row>
    <row r="1663" spans="1:4" x14ac:dyDescent="0.25">
      <c r="A1663" s="3">
        <v>6311</v>
      </c>
      <c r="B1663" s="4" t="s">
        <v>5197</v>
      </c>
      <c r="C1663" s="5">
        <v>524130</v>
      </c>
      <c r="D1663" s="4" t="s">
        <v>4113</v>
      </c>
    </row>
    <row r="1664" spans="1:4" x14ac:dyDescent="0.25">
      <c r="A1664" s="3">
        <v>6321</v>
      </c>
      <c r="B1664" s="4" t="s">
        <v>5198</v>
      </c>
      <c r="C1664" s="5">
        <v>524113</v>
      </c>
      <c r="D1664" s="4" t="s">
        <v>4103</v>
      </c>
    </row>
    <row r="1665" spans="1:4" x14ac:dyDescent="0.25">
      <c r="A1665" s="3">
        <v>6321</v>
      </c>
      <c r="B1665" s="4" t="s">
        <v>5199</v>
      </c>
      <c r="C1665" s="5">
        <v>524114</v>
      </c>
      <c r="D1665" s="4" t="s">
        <v>4105</v>
      </c>
    </row>
    <row r="1666" spans="1:4" x14ac:dyDescent="0.25">
      <c r="A1666" s="3">
        <v>6321</v>
      </c>
      <c r="B1666" s="4" t="s">
        <v>5200</v>
      </c>
      <c r="C1666" s="5">
        <v>524130</v>
      </c>
      <c r="D1666" s="4" t="s">
        <v>4113</v>
      </c>
    </row>
    <row r="1667" spans="1:4" x14ac:dyDescent="0.25">
      <c r="A1667" s="3">
        <v>6321</v>
      </c>
      <c r="B1667" s="4" t="s">
        <v>5201</v>
      </c>
      <c r="C1667" s="5">
        <v>525190</v>
      </c>
      <c r="D1667" s="4" t="s">
        <v>4127</v>
      </c>
    </row>
    <row r="1668" spans="1:4" x14ac:dyDescent="0.25">
      <c r="A1668" s="3">
        <v>6324</v>
      </c>
      <c r="B1668" s="4" t="s">
        <v>5202</v>
      </c>
      <c r="C1668" s="5">
        <v>524114</v>
      </c>
      <c r="D1668" s="4" t="s">
        <v>4105</v>
      </c>
    </row>
    <row r="1669" spans="1:4" x14ac:dyDescent="0.25">
      <c r="A1669" s="3">
        <v>6324</v>
      </c>
      <c r="B1669" s="4" t="s">
        <v>5203</v>
      </c>
      <c r="C1669" s="5">
        <v>524130</v>
      </c>
      <c r="D1669" s="4" t="s">
        <v>4113</v>
      </c>
    </row>
    <row r="1670" spans="1:4" x14ac:dyDescent="0.25">
      <c r="A1670" s="3">
        <v>6324</v>
      </c>
      <c r="B1670" s="4" t="s">
        <v>5204</v>
      </c>
      <c r="C1670" s="5">
        <v>525190</v>
      </c>
      <c r="D1670" s="4" t="s">
        <v>4127</v>
      </c>
    </row>
    <row r="1671" spans="1:4" ht="25.5" x14ac:dyDescent="0.25">
      <c r="A1671" s="3">
        <v>6331</v>
      </c>
      <c r="B1671" s="4" t="s">
        <v>5205</v>
      </c>
      <c r="C1671" s="5">
        <v>524126</v>
      </c>
      <c r="D1671" s="4" t="s">
        <v>4107</v>
      </c>
    </row>
    <row r="1672" spans="1:4" ht="25.5" x14ac:dyDescent="0.25">
      <c r="A1672" s="3">
        <v>6331</v>
      </c>
      <c r="B1672" s="4" t="s">
        <v>5206</v>
      </c>
      <c r="C1672" s="5">
        <v>524128</v>
      </c>
      <c r="D1672" s="4" t="s">
        <v>4111</v>
      </c>
    </row>
    <row r="1673" spans="1:4" x14ac:dyDescent="0.25">
      <c r="A1673" s="3">
        <v>6331</v>
      </c>
      <c r="B1673" s="4" t="s">
        <v>5207</v>
      </c>
      <c r="C1673" s="5">
        <v>524130</v>
      </c>
      <c r="D1673" s="4" t="s">
        <v>4113</v>
      </c>
    </row>
    <row r="1674" spans="1:4" x14ac:dyDescent="0.25">
      <c r="A1674" s="3">
        <v>6331</v>
      </c>
      <c r="B1674" s="4" t="s">
        <v>5208</v>
      </c>
      <c r="C1674" s="5">
        <v>525190</v>
      </c>
      <c r="D1674" s="4" t="s">
        <v>4127</v>
      </c>
    </row>
    <row r="1675" spans="1:4" x14ac:dyDescent="0.25">
      <c r="A1675" s="3">
        <v>6351</v>
      </c>
      <c r="B1675" s="4" t="s">
        <v>5209</v>
      </c>
      <c r="C1675" s="5">
        <v>524126</v>
      </c>
      <c r="D1675" s="4" t="s">
        <v>4107</v>
      </c>
    </row>
    <row r="1676" spans="1:4" ht="25.5" x14ac:dyDescent="0.25">
      <c r="A1676" s="3">
        <v>6351</v>
      </c>
      <c r="B1676" s="4" t="s">
        <v>5210</v>
      </c>
      <c r="C1676" s="5">
        <v>524128</v>
      </c>
      <c r="D1676" s="4" t="s">
        <v>4111</v>
      </c>
    </row>
    <row r="1677" spans="1:4" x14ac:dyDescent="0.25">
      <c r="A1677" s="3">
        <v>6351</v>
      </c>
      <c r="B1677" s="4" t="s">
        <v>5211</v>
      </c>
      <c r="C1677" s="5">
        <v>524130</v>
      </c>
      <c r="D1677" s="4" t="s">
        <v>4113</v>
      </c>
    </row>
    <row r="1678" spans="1:4" x14ac:dyDescent="0.25">
      <c r="A1678" s="3">
        <v>6361</v>
      </c>
      <c r="B1678" s="4" t="s">
        <v>5212</v>
      </c>
      <c r="C1678" s="5">
        <v>524127</v>
      </c>
      <c r="D1678" s="4" t="s">
        <v>4109</v>
      </c>
    </row>
    <row r="1679" spans="1:4" x14ac:dyDescent="0.25">
      <c r="A1679" s="3">
        <v>6361</v>
      </c>
      <c r="B1679" s="4" t="s">
        <v>5213</v>
      </c>
      <c r="C1679" s="5">
        <v>524130</v>
      </c>
      <c r="D1679" s="4" t="s">
        <v>4113</v>
      </c>
    </row>
    <row r="1680" spans="1:4" x14ac:dyDescent="0.25">
      <c r="A1680" s="3">
        <v>6371</v>
      </c>
      <c r="B1680" s="4" t="s">
        <v>5214</v>
      </c>
      <c r="C1680" s="5">
        <v>523920</v>
      </c>
      <c r="D1680" s="4" t="s">
        <v>4096</v>
      </c>
    </row>
    <row r="1681" spans="1:4" x14ac:dyDescent="0.25">
      <c r="A1681" s="3">
        <v>6371</v>
      </c>
      <c r="B1681" s="4" t="s">
        <v>5215</v>
      </c>
      <c r="C1681" s="5">
        <v>524292</v>
      </c>
      <c r="D1681" s="4" t="s">
        <v>4119</v>
      </c>
    </row>
    <row r="1682" spans="1:4" x14ac:dyDescent="0.25">
      <c r="A1682" s="3">
        <v>6371</v>
      </c>
      <c r="B1682" s="4" t="s">
        <v>5216</v>
      </c>
      <c r="C1682" s="5">
        <v>525110</v>
      </c>
      <c r="D1682" s="4" t="s">
        <v>4123</v>
      </c>
    </row>
    <row r="1683" spans="1:4" x14ac:dyDescent="0.25">
      <c r="A1683" s="3">
        <v>6371</v>
      </c>
      <c r="B1683" s="4" t="s">
        <v>5217</v>
      </c>
      <c r="C1683" s="5">
        <v>525120</v>
      </c>
      <c r="D1683" s="4" t="s">
        <v>4125</v>
      </c>
    </row>
    <row r="1684" spans="1:4" x14ac:dyDescent="0.25">
      <c r="A1684" s="3">
        <v>6371</v>
      </c>
      <c r="B1684" s="4" t="s">
        <v>5218</v>
      </c>
      <c r="C1684" s="5">
        <v>525990</v>
      </c>
      <c r="D1684" s="4" t="s">
        <v>4133</v>
      </c>
    </row>
    <row r="1685" spans="1:4" ht="25.5" x14ac:dyDescent="0.25">
      <c r="A1685" s="3">
        <v>6399</v>
      </c>
      <c r="B1685" s="4" t="s">
        <v>5219</v>
      </c>
      <c r="C1685" s="5">
        <v>524128</v>
      </c>
      <c r="D1685" s="4" t="s">
        <v>4111</v>
      </c>
    </row>
    <row r="1686" spans="1:4" x14ac:dyDescent="0.25">
      <c r="A1686" s="3">
        <v>6411</v>
      </c>
      <c r="B1686" s="4" t="s">
        <v>5220</v>
      </c>
      <c r="C1686" s="5">
        <v>524210</v>
      </c>
      <c r="D1686" s="4" t="s">
        <v>4115</v>
      </c>
    </row>
    <row r="1687" spans="1:4" x14ac:dyDescent="0.25">
      <c r="A1687" s="3">
        <v>6411</v>
      </c>
      <c r="B1687" s="4" t="s">
        <v>5221</v>
      </c>
      <c r="C1687" s="5">
        <v>524291</v>
      </c>
      <c r="D1687" s="4" t="s">
        <v>4117</v>
      </c>
    </row>
    <row r="1688" spans="1:4" x14ac:dyDescent="0.25">
      <c r="A1688" s="3">
        <v>6411</v>
      </c>
      <c r="B1688" s="4" t="s">
        <v>5222</v>
      </c>
      <c r="C1688" s="5">
        <v>524292</v>
      </c>
      <c r="D1688" s="4" t="s">
        <v>4119</v>
      </c>
    </row>
    <row r="1689" spans="1:4" ht="25.5" x14ac:dyDescent="0.25">
      <c r="A1689" s="3">
        <v>6411</v>
      </c>
      <c r="B1689" s="4" t="s">
        <v>5223</v>
      </c>
      <c r="C1689" s="5">
        <v>524298</v>
      </c>
      <c r="D1689" s="4" t="s">
        <v>4121</v>
      </c>
    </row>
    <row r="1690" spans="1:4" ht="25.5" x14ac:dyDescent="0.25">
      <c r="A1690" s="3">
        <v>6512</v>
      </c>
      <c r="B1690" s="4" t="s">
        <v>5224</v>
      </c>
      <c r="C1690" s="5">
        <v>531120</v>
      </c>
      <c r="D1690" s="4" t="s">
        <v>5989</v>
      </c>
    </row>
    <row r="1691" spans="1:4" ht="25.5" x14ac:dyDescent="0.25">
      <c r="A1691" s="3">
        <v>6512</v>
      </c>
      <c r="B1691" s="4" t="s">
        <v>5225</v>
      </c>
      <c r="C1691" s="5">
        <v>711310</v>
      </c>
      <c r="D1691" s="4" t="s">
        <v>4496</v>
      </c>
    </row>
    <row r="1692" spans="1:4" x14ac:dyDescent="0.25">
      <c r="A1692" s="3">
        <v>6513</v>
      </c>
      <c r="B1692" s="4" t="s">
        <v>5226</v>
      </c>
      <c r="C1692" s="5">
        <v>531110</v>
      </c>
      <c r="D1692" s="4" t="s">
        <v>4135</v>
      </c>
    </row>
    <row r="1693" spans="1:4" x14ac:dyDescent="0.25">
      <c r="A1693" s="3">
        <v>6514</v>
      </c>
      <c r="B1693" s="4" t="s">
        <v>5227</v>
      </c>
      <c r="C1693" s="5">
        <v>531110</v>
      </c>
      <c r="D1693" s="4" t="s">
        <v>4135</v>
      </c>
    </row>
    <row r="1694" spans="1:4" x14ac:dyDescent="0.25">
      <c r="A1694" s="3">
        <v>6515</v>
      </c>
      <c r="B1694" s="4" t="s">
        <v>5228</v>
      </c>
      <c r="C1694" s="5">
        <v>531190</v>
      </c>
      <c r="D1694" s="4" t="s">
        <v>4141</v>
      </c>
    </row>
    <row r="1695" spans="1:4" x14ac:dyDescent="0.25">
      <c r="A1695" s="3">
        <v>6517</v>
      </c>
      <c r="B1695" s="4" t="s">
        <v>5229</v>
      </c>
      <c r="C1695" s="5">
        <v>531190</v>
      </c>
      <c r="D1695" s="4" t="s">
        <v>4141</v>
      </c>
    </row>
    <row r="1696" spans="1:4" x14ac:dyDescent="0.25">
      <c r="A1696" s="3">
        <v>6519</v>
      </c>
      <c r="B1696" s="4" t="s">
        <v>5230</v>
      </c>
      <c r="C1696" s="5">
        <v>531190</v>
      </c>
      <c r="D1696" s="4" t="s">
        <v>4141</v>
      </c>
    </row>
    <row r="1697" spans="1:4" x14ac:dyDescent="0.25">
      <c r="A1697" s="3">
        <v>6531</v>
      </c>
      <c r="B1697" s="4" t="s">
        <v>5231</v>
      </c>
      <c r="C1697" s="5">
        <v>531110</v>
      </c>
      <c r="D1697" s="4" t="s">
        <v>4135</v>
      </c>
    </row>
    <row r="1698" spans="1:4" x14ac:dyDescent="0.25">
      <c r="A1698" s="3">
        <v>6531</v>
      </c>
      <c r="B1698" s="4" t="s">
        <v>5232</v>
      </c>
      <c r="C1698" s="5">
        <v>531210</v>
      </c>
      <c r="D1698" s="4" t="s">
        <v>4143</v>
      </c>
    </row>
    <row r="1699" spans="1:4" x14ac:dyDescent="0.25">
      <c r="A1699" s="3">
        <v>6531</v>
      </c>
      <c r="B1699" s="4" t="s">
        <v>5233</v>
      </c>
      <c r="C1699" s="5">
        <v>531311</v>
      </c>
      <c r="D1699" s="4" t="s">
        <v>4145</v>
      </c>
    </row>
    <row r="1700" spans="1:4" x14ac:dyDescent="0.25">
      <c r="A1700" s="3">
        <v>6531</v>
      </c>
      <c r="B1700" s="4" t="s">
        <v>5234</v>
      </c>
      <c r="C1700" s="5">
        <v>531312</v>
      </c>
      <c r="D1700" s="4" t="s">
        <v>4147</v>
      </c>
    </row>
    <row r="1701" spans="1:4" x14ac:dyDescent="0.25">
      <c r="A1701" s="3">
        <v>6531</v>
      </c>
      <c r="B1701" s="4" t="s">
        <v>5235</v>
      </c>
      <c r="C1701" s="5">
        <v>531320</v>
      </c>
      <c r="D1701" s="4" t="s">
        <v>4149</v>
      </c>
    </row>
    <row r="1702" spans="1:4" ht="25.5" x14ac:dyDescent="0.25">
      <c r="A1702" s="3">
        <v>6531</v>
      </c>
      <c r="B1702" s="4" t="s">
        <v>5236</v>
      </c>
      <c r="C1702" s="5">
        <v>531390</v>
      </c>
      <c r="D1702" s="4" t="s">
        <v>4151</v>
      </c>
    </row>
    <row r="1703" spans="1:4" x14ac:dyDescent="0.25">
      <c r="A1703" s="3">
        <v>6531</v>
      </c>
      <c r="B1703" s="4" t="s">
        <v>5237</v>
      </c>
      <c r="C1703" s="5">
        <v>812220</v>
      </c>
      <c r="D1703" s="4" t="s">
        <v>4608</v>
      </c>
    </row>
    <row r="1704" spans="1:4" ht="25.5" x14ac:dyDescent="0.25">
      <c r="A1704" s="3">
        <v>6531</v>
      </c>
      <c r="B1704" s="4" t="s">
        <v>5238</v>
      </c>
      <c r="C1704" s="5">
        <v>813990</v>
      </c>
      <c r="D1704" s="4" t="s">
        <v>4649</v>
      </c>
    </row>
    <row r="1705" spans="1:4" x14ac:dyDescent="0.25">
      <c r="A1705" s="3">
        <v>6541</v>
      </c>
      <c r="B1705" s="4" t="s">
        <v>5239</v>
      </c>
      <c r="C1705" s="5">
        <v>541191</v>
      </c>
      <c r="D1705" s="4" t="s">
        <v>4186</v>
      </c>
    </row>
    <row r="1706" spans="1:4" x14ac:dyDescent="0.25">
      <c r="A1706" s="3">
        <v>6552</v>
      </c>
      <c r="B1706" s="4" t="s">
        <v>5240</v>
      </c>
      <c r="C1706" s="7">
        <v>237210</v>
      </c>
      <c r="D1706" s="8" t="s">
        <v>2769</v>
      </c>
    </row>
    <row r="1707" spans="1:4" x14ac:dyDescent="0.25">
      <c r="A1707" s="3">
        <v>6553</v>
      </c>
      <c r="B1707" s="4" t="s">
        <v>5241</v>
      </c>
      <c r="C1707" s="5">
        <v>812220</v>
      </c>
      <c r="D1707" s="4" t="s">
        <v>4608</v>
      </c>
    </row>
    <row r="1708" spans="1:4" x14ac:dyDescent="0.25">
      <c r="A1708" s="3">
        <v>6712</v>
      </c>
      <c r="B1708" s="4" t="s">
        <v>4280</v>
      </c>
      <c r="C1708" s="5">
        <v>551111</v>
      </c>
      <c r="D1708" s="4" t="s">
        <v>5990</v>
      </c>
    </row>
    <row r="1709" spans="1:4" x14ac:dyDescent="0.25">
      <c r="A1709" s="3">
        <v>6719</v>
      </c>
      <c r="B1709" s="4" t="s">
        <v>5242</v>
      </c>
      <c r="C1709" s="5">
        <v>551112</v>
      </c>
      <c r="D1709" s="4" t="s">
        <v>5991</v>
      </c>
    </row>
    <row r="1710" spans="1:4" x14ac:dyDescent="0.25">
      <c r="A1710" s="3">
        <v>6722</v>
      </c>
      <c r="B1710" s="4" t="s">
        <v>5243</v>
      </c>
      <c r="C1710" s="5">
        <v>525910</v>
      </c>
      <c r="D1710" s="4" t="s">
        <v>4129</v>
      </c>
    </row>
    <row r="1711" spans="1:4" ht="25.5" x14ac:dyDescent="0.25">
      <c r="A1711" s="3">
        <v>6726</v>
      </c>
      <c r="B1711" s="4" t="s">
        <v>5244</v>
      </c>
      <c r="C1711" s="5">
        <v>525990</v>
      </c>
      <c r="D1711" s="4" t="s">
        <v>4133</v>
      </c>
    </row>
    <row r="1712" spans="1:4" x14ac:dyDescent="0.25">
      <c r="A1712" s="3">
        <v>6732</v>
      </c>
      <c r="B1712" s="4" t="s">
        <v>5245</v>
      </c>
      <c r="C1712" s="5">
        <v>813211</v>
      </c>
      <c r="D1712" s="4" t="s">
        <v>4627</v>
      </c>
    </row>
    <row r="1713" spans="1:4" x14ac:dyDescent="0.25">
      <c r="A1713" s="3">
        <v>6733</v>
      </c>
      <c r="B1713" s="4" t="s">
        <v>5246</v>
      </c>
      <c r="C1713" s="5">
        <v>523920</v>
      </c>
      <c r="D1713" s="4" t="s">
        <v>4096</v>
      </c>
    </row>
    <row r="1714" spans="1:4" x14ac:dyDescent="0.25">
      <c r="A1714" s="3">
        <v>6733</v>
      </c>
      <c r="B1714" s="4" t="s">
        <v>5247</v>
      </c>
      <c r="C1714" s="5">
        <v>523991</v>
      </c>
      <c r="D1714" s="4" t="s">
        <v>4099</v>
      </c>
    </row>
    <row r="1715" spans="1:4" x14ac:dyDescent="0.25">
      <c r="A1715" s="3">
        <v>6733</v>
      </c>
      <c r="B1715" s="4" t="s">
        <v>5248</v>
      </c>
      <c r="C1715" s="5">
        <v>525190</v>
      </c>
      <c r="D1715" s="4" t="s">
        <v>4127</v>
      </c>
    </row>
    <row r="1716" spans="1:4" ht="25.5" x14ac:dyDescent="0.25">
      <c r="A1716" s="3">
        <v>6733</v>
      </c>
      <c r="B1716" s="4" t="s">
        <v>5249</v>
      </c>
      <c r="C1716" s="5">
        <v>525920</v>
      </c>
      <c r="D1716" s="4" t="s">
        <v>4131</v>
      </c>
    </row>
    <row r="1717" spans="1:4" x14ac:dyDescent="0.25">
      <c r="A1717" s="3">
        <v>6792</v>
      </c>
      <c r="B1717" s="4" t="s">
        <v>5250</v>
      </c>
      <c r="C1717" s="5">
        <v>523910</v>
      </c>
      <c r="D1717" s="4" t="s">
        <v>4094</v>
      </c>
    </row>
    <row r="1718" spans="1:4" ht="25.5" x14ac:dyDescent="0.25">
      <c r="A1718" s="3">
        <v>6792</v>
      </c>
      <c r="B1718" s="4" t="s">
        <v>5251</v>
      </c>
      <c r="C1718" s="5">
        <v>533110</v>
      </c>
      <c r="D1718" s="4" t="s">
        <v>5992</v>
      </c>
    </row>
    <row r="1719" spans="1:4" ht="25.5" x14ac:dyDescent="0.25">
      <c r="A1719" s="3">
        <v>6794</v>
      </c>
      <c r="B1719" s="4" t="s">
        <v>5252</v>
      </c>
      <c r="C1719" s="5">
        <v>533110</v>
      </c>
      <c r="D1719" s="4" t="s">
        <v>4180</v>
      </c>
    </row>
    <row r="1720" spans="1:4" x14ac:dyDescent="0.25">
      <c r="A1720" s="3">
        <v>6798</v>
      </c>
      <c r="B1720" s="4" t="s">
        <v>5253</v>
      </c>
      <c r="C1720" s="5">
        <v>525930</v>
      </c>
      <c r="D1720" s="4" t="s">
        <v>5253</v>
      </c>
    </row>
    <row r="1721" spans="1:4" x14ac:dyDescent="0.25">
      <c r="A1721" s="3">
        <v>6799</v>
      </c>
      <c r="B1721" s="4" t="s">
        <v>5254</v>
      </c>
      <c r="C1721" s="5">
        <v>523130</v>
      </c>
      <c r="D1721" s="4" t="s">
        <v>4088</v>
      </c>
    </row>
    <row r="1722" spans="1:4" x14ac:dyDescent="0.25">
      <c r="A1722" s="3">
        <v>6799</v>
      </c>
      <c r="B1722" s="4" t="s">
        <v>5255</v>
      </c>
      <c r="C1722" s="5">
        <v>523910</v>
      </c>
      <c r="D1722" s="4" t="s">
        <v>4094</v>
      </c>
    </row>
    <row r="1723" spans="1:4" x14ac:dyDescent="0.25">
      <c r="A1723" s="3">
        <v>6799</v>
      </c>
      <c r="B1723" s="4" t="s">
        <v>5256</v>
      </c>
      <c r="C1723" s="5">
        <v>523920</v>
      </c>
      <c r="D1723" s="4" t="s">
        <v>4096</v>
      </c>
    </row>
    <row r="1724" spans="1:4" x14ac:dyDescent="0.25">
      <c r="A1724" s="3">
        <v>7011</v>
      </c>
      <c r="B1724" s="4" t="s">
        <v>419</v>
      </c>
      <c r="C1724" s="5">
        <v>721110</v>
      </c>
      <c r="D1724" s="4" t="s">
        <v>4532</v>
      </c>
    </row>
    <row r="1725" spans="1:4" x14ac:dyDescent="0.25">
      <c r="A1725" s="3">
        <v>7011</v>
      </c>
      <c r="B1725" s="4" t="s">
        <v>5257</v>
      </c>
      <c r="C1725" s="5">
        <v>721120</v>
      </c>
      <c r="D1725" s="4" t="s">
        <v>4534</v>
      </c>
    </row>
    <row r="1726" spans="1:4" x14ac:dyDescent="0.25">
      <c r="A1726" s="3">
        <v>7011</v>
      </c>
      <c r="B1726" s="4" t="s">
        <v>5258</v>
      </c>
      <c r="C1726" s="5">
        <v>721191</v>
      </c>
      <c r="D1726" s="4" t="s">
        <v>4536</v>
      </c>
    </row>
    <row r="1727" spans="1:4" x14ac:dyDescent="0.25">
      <c r="A1727" s="3">
        <v>7011</v>
      </c>
      <c r="B1727" s="4" t="s">
        <v>5259</v>
      </c>
      <c r="C1727" s="5">
        <v>721199</v>
      </c>
      <c r="D1727" s="4" t="s">
        <v>4538</v>
      </c>
    </row>
    <row r="1728" spans="1:4" x14ac:dyDescent="0.25">
      <c r="A1728" s="3">
        <v>7021</v>
      </c>
      <c r="B1728" s="4" t="s">
        <v>5260</v>
      </c>
      <c r="C1728" s="5">
        <v>721310</v>
      </c>
      <c r="D1728" s="4" t="s">
        <v>5260</v>
      </c>
    </row>
    <row r="1729" spans="1:4" x14ac:dyDescent="0.25">
      <c r="A1729" s="3">
        <v>7032</v>
      </c>
      <c r="B1729" s="4" t="s">
        <v>5261</v>
      </c>
      <c r="C1729" s="5">
        <v>721214</v>
      </c>
      <c r="D1729" s="4" t="s">
        <v>4542</v>
      </c>
    </row>
    <row r="1730" spans="1:4" x14ac:dyDescent="0.25">
      <c r="A1730" s="3">
        <v>7033</v>
      </c>
      <c r="B1730" s="4" t="s">
        <v>5262</v>
      </c>
      <c r="C1730" s="5">
        <v>721211</v>
      </c>
      <c r="D1730" s="4" t="s">
        <v>4540</v>
      </c>
    </row>
    <row r="1731" spans="1:4" x14ac:dyDescent="0.25">
      <c r="A1731" s="3">
        <v>7041</v>
      </c>
      <c r="B1731" s="4" t="s">
        <v>5263</v>
      </c>
      <c r="C1731" s="5">
        <v>721110</v>
      </c>
      <c r="D1731" s="4" t="s">
        <v>4532</v>
      </c>
    </row>
    <row r="1732" spans="1:4" x14ac:dyDescent="0.25">
      <c r="A1732" s="3">
        <v>7041</v>
      </c>
      <c r="B1732" s="4" t="s">
        <v>5264</v>
      </c>
      <c r="C1732" s="5">
        <v>721310</v>
      </c>
      <c r="D1732" s="4" t="s">
        <v>5260</v>
      </c>
    </row>
    <row r="1733" spans="1:4" x14ac:dyDescent="0.25">
      <c r="A1733" s="3">
        <v>7211</v>
      </c>
      <c r="B1733" s="4" t="s">
        <v>5265</v>
      </c>
      <c r="C1733" s="5">
        <v>812320</v>
      </c>
      <c r="D1733" s="4" t="s">
        <v>4612</v>
      </c>
    </row>
    <row r="1734" spans="1:4" x14ac:dyDescent="0.25">
      <c r="A1734" s="3">
        <v>7212</v>
      </c>
      <c r="B1734" s="4" t="s">
        <v>5266</v>
      </c>
      <c r="C1734" s="5">
        <v>812320</v>
      </c>
      <c r="D1734" s="4" t="s">
        <v>4612</v>
      </c>
    </row>
    <row r="1735" spans="1:4" x14ac:dyDescent="0.25">
      <c r="A1735" s="3">
        <v>7213</v>
      </c>
      <c r="B1735" s="4" t="s">
        <v>4614</v>
      </c>
      <c r="C1735" s="5">
        <v>812331</v>
      </c>
      <c r="D1735" s="4" t="s">
        <v>4614</v>
      </c>
    </row>
    <row r="1736" spans="1:4" x14ac:dyDescent="0.25">
      <c r="A1736" s="3">
        <v>7215</v>
      </c>
      <c r="B1736" s="4" t="s">
        <v>5267</v>
      </c>
      <c r="C1736" s="5">
        <v>812310</v>
      </c>
      <c r="D1736" s="4" t="s">
        <v>4610</v>
      </c>
    </row>
    <row r="1737" spans="1:4" x14ac:dyDescent="0.25">
      <c r="A1737" s="3">
        <v>7216</v>
      </c>
      <c r="B1737" s="4" t="s">
        <v>359</v>
      </c>
      <c r="C1737" s="5">
        <v>812320</v>
      </c>
      <c r="D1737" s="4" t="s">
        <v>4612</v>
      </c>
    </row>
    <row r="1738" spans="1:4" x14ac:dyDescent="0.25">
      <c r="A1738" s="3">
        <v>7217</v>
      </c>
      <c r="B1738" s="4" t="s">
        <v>5268</v>
      </c>
      <c r="C1738" s="5">
        <v>561740</v>
      </c>
      <c r="D1738" s="4" t="s">
        <v>4341</v>
      </c>
    </row>
    <row r="1739" spans="1:4" x14ac:dyDescent="0.25">
      <c r="A1739" s="3">
        <v>7218</v>
      </c>
      <c r="B1739" s="4" t="s">
        <v>4616</v>
      </c>
      <c r="C1739" s="5">
        <v>812332</v>
      </c>
      <c r="D1739" s="4" t="s">
        <v>4616</v>
      </c>
    </row>
    <row r="1740" spans="1:4" ht="25.5" x14ac:dyDescent="0.25">
      <c r="A1740" s="3">
        <v>7219</v>
      </c>
      <c r="B1740" s="4" t="s">
        <v>5269</v>
      </c>
      <c r="C1740" s="5">
        <v>811490</v>
      </c>
      <c r="D1740" s="4" t="s">
        <v>4594</v>
      </c>
    </row>
    <row r="1741" spans="1:4" x14ac:dyDescent="0.25">
      <c r="A1741" s="3">
        <v>7219</v>
      </c>
      <c r="B1741" s="4" t="s">
        <v>5270</v>
      </c>
      <c r="C1741" s="5">
        <v>812320</v>
      </c>
      <c r="D1741" s="4" t="s">
        <v>4612</v>
      </c>
    </row>
    <row r="1742" spans="1:4" x14ac:dyDescent="0.25">
      <c r="A1742" s="3">
        <v>7219</v>
      </c>
      <c r="B1742" s="4" t="s">
        <v>5271</v>
      </c>
      <c r="C1742" s="5">
        <v>812331</v>
      </c>
      <c r="D1742" s="4" t="s">
        <v>4614</v>
      </c>
    </row>
    <row r="1743" spans="1:4" x14ac:dyDescent="0.25">
      <c r="A1743" s="3">
        <v>7221</v>
      </c>
      <c r="B1743" s="4" t="s">
        <v>5272</v>
      </c>
      <c r="C1743" s="5">
        <v>541921</v>
      </c>
      <c r="D1743" s="4" t="s">
        <v>4270</v>
      </c>
    </row>
    <row r="1744" spans="1:4" x14ac:dyDescent="0.25">
      <c r="A1744" s="3">
        <v>7231</v>
      </c>
      <c r="B1744" s="4" t="s">
        <v>5273</v>
      </c>
      <c r="C1744" s="5">
        <v>611511</v>
      </c>
      <c r="D1744" s="4" t="s">
        <v>4383</v>
      </c>
    </row>
    <row r="1745" spans="1:4" x14ac:dyDescent="0.25">
      <c r="A1745" s="3">
        <v>7231</v>
      </c>
      <c r="B1745" s="4" t="s">
        <v>5274</v>
      </c>
      <c r="C1745" s="5">
        <v>812112</v>
      </c>
      <c r="D1745" s="4" t="s">
        <v>4598</v>
      </c>
    </row>
    <row r="1746" spans="1:4" x14ac:dyDescent="0.25">
      <c r="A1746" s="3">
        <v>7231</v>
      </c>
      <c r="B1746" s="4" t="s">
        <v>5275</v>
      </c>
      <c r="C1746" s="5">
        <v>812113</v>
      </c>
      <c r="D1746" s="4" t="s">
        <v>4600</v>
      </c>
    </row>
    <row r="1747" spans="1:4" x14ac:dyDescent="0.25">
      <c r="A1747" s="3">
        <v>7241</v>
      </c>
      <c r="B1747" s="4" t="s">
        <v>5276</v>
      </c>
      <c r="C1747" s="5">
        <v>611511</v>
      </c>
      <c r="D1747" s="4" t="s">
        <v>4383</v>
      </c>
    </row>
    <row r="1748" spans="1:4" x14ac:dyDescent="0.25">
      <c r="A1748" s="3">
        <v>7241</v>
      </c>
      <c r="B1748" s="4" t="s">
        <v>5277</v>
      </c>
      <c r="C1748" s="5">
        <v>812111</v>
      </c>
      <c r="D1748" s="4" t="s">
        <v>4596</v>
      </c>
    </row>
    <row r="1749" spans="1:4" x14ac:dyDescent="0.25">
      <c r="A1749" s="3">
        <v>7251</v>
      </c>
      <c r="B1749" s="4" t="s">
        <v>5278</v>
      </c>
      <c r="C1749" s="5">
        <v>811430</v>
      </c>
      <c r="D1749" s="4" t="s">
        <v>4592</v>
      </c>
    </row>
    <row r="1750" spans="1:4" x14ac:dyDescent="0.25">
      <c r="A1750" s="3">
        <v>7251</v>
      </c>
      <c r="B1750" s="4" t="s">
        <v>5279</v>
      </c>
      <c r="C1750" s="5">
        <v>812320</v>
      </c>
      <c r="D1750" s="4" t="s">
        <v>4612</v>
      </c>
    </row>
    <row r="1751" spans="1:4" x14ac:dyDescent="0.25">
      <c r="A1751" s="3">
        <v>7251</v>
      </c>
      <c r="B1751" s="4" t="s">
        <v>5280</v>
      </c>
      <c r="C1751" s="5">
        <v>812990</v>
      </c>
      <c r="D1751" s="4" t="s">
        <v>4624</v>
      </c>
    </row>
    <row r="1752" spans="1:4" x14ac:dyDescent="0.25">
      <c r="A1752" s="3">
        <v>7261</v>
      </c>
      <c r="B1752" s="4" t="s">
        <v>5281</v>
      </c>
      <c r="C1752" s="5">
        <v>812210</v>
      </c>
      <c r="D1752" s="4" t="s">
        <v>4606</v>
      </c>
    </row>
    <row r="1753" spans="1:4" x14ac:dyDescent="0.25">
      <c r="A1753" s="3">
        <v>7261</v>
      </c>
      <c r="B1753" s="4" t="s">
        <v>5282</v>
      </c>
      <c r="C1753" s="5">
        <v>812220</v>
      </c>
      <c r="D1753" s="4" t="s">
        <v>4608</v>
      </c>
    </row>
    <row r="1754" spans="1:4" x14ac:dyDescent="0.25">
      <c r="A1754" s="3">
        <v>7291</v>
      </c>
      <c r="B1754" s="4" t="s">
        <v>5283</v>
      </c>
      <c r="C1754" s="5">
        <v>541213</v>
      </c>
      <c r="D1754" s="4" t="s">
        <v>4192</v>
      </c>
    </row>
    <row r="1755" spans="1:4" x14ac:dyDescent="0.25">
      <c r="A1755" s="3">
        <v>7299</v>
      </c>
      <c r="B1755" s="4" t="s">
        <v>5284</v>
      </c>
      <c r="C1755" s="5">
        <v>532220</v>
      </c>
      <c r="D1755" s="4" t="s">
        <v>4161</v>
      </c>
    </row>
    <row r="1756" spans="1:4" x14ac:dyDescent="0.25">
      <c r="A1756" s="3">
        <v>7299</v>
      </c>
      <c r="B1756" s="4" t="s">
        <v>5285</v>
      </c>
      <c r="C1756" s="5">
        <v>541990</v>
      </c>
      <c r="D1756" s="4" t="s">
        <v>4278</v>
      </c>
    </row>
    <row r="1757" spans="1:4" x14ac:dyDescent="0.25">
      <c r="A1757" s="3">
        <v>7299</v>
      </c>
      <c r="B1757" s="4" t="s">
        <v>5286</v>
      </c>
      <c r="C1757" s="5">
        <v>561310</v>
      </c>
      <c r="D1757" s="4" t="s">
        <v>4290</v>
      </c>
    </row>
    <row r="1758" spans="1:4" x14ac:dyDescent="0.25">
      <c r="A1758" s="3">
        <v>7299</v>
      </c>
      <c r="B1758" s="4" t="s">
        <v>5287</v>
      </c>
      <c r="C1758" s="5">
        <v>561990</v>
      </c>
      <c r="D1758" s="4" t="s">
        <v>4349</v>
      </c>
    </row>
    <row r="1759" spans="1:4" x14ac:dyDescent="0.25">
      <c r="A1759" s="3">
        <v>7299</v>
      </c>
      <c r="B1759" s="4" t="s">
        <v>5288</v>
      </c>
      <c r="C1759" s="5">
        <v>812191</v>
      </c>
      <c r="D1759" s="4" t="s">
        <v>5993</v>
      </c>
    </row>
    <row r="1760" spans="1:4" x14ac:dyDescent="0.25">
      <c r="A1760" s="3">
        <v>7299</v>
      </c>
      <c r="B1760" s="4" t="s">
        <v>5289</v>
      </c>
      <c r="C1760" s="5">
        <v>812199</v>
      </c>
      <c r="D1760" s="4" t="s">
        <v>4604</v>
      </c>
    </row>
    <row r="1761" spans="1:4" x14ac:dyDescent="0.25">
      <c r="A1761" s="3">
        <v>7299</v>
      </c>
      <c r="B1761" s="4" t="s">
        <v>5290</v>
      </c>
      <c r="C1761" s="5">
        <v>812930</v>
      </c>
      <c r="D1761" s="4" t="s">
        <v>4623</v>
      </c>
    </row>
    <row r="1762" spans="1:4" ht="38.25" x14ac:dyDescent="0.25">
      <c r="A1762" s="3">
        <v>7299</v>
      </c>
      <c r="B1762" s="4" t="s">
        <v>5291</v>
      </c>
      <c r="C1762" s="5">
        <v>812990</v>
      </c>
      <c r="D1762" s="4" t="s">
        <v>4624</v>
      </c>
    </row>
    <row r="1763" spans="1:4" x14ac:dyDescent="0.25">
      <c r="A1763" s="3">
        <v>7311</v>
      </c>
      <c r="B1763" s="4" t="s">
        <v>4252</v>
      </c>
      <c r="C1763" s="5">
        <v>541810</v>
      </c>
      <c r="D1763" s="4" t="s">
        <v>4252</v>
      </c>
    </row>
    <row r="1764" spans="1:4" x14ac:dyDescent="0.25">
      <c r="A1764" s="3">
        <v>7312</v>
      </c>
      <c r="B1764" s="4" t="s">
        <v>5292</v>
      </c>
      <c r="C1764" s="5">
        <v>541850</v>
      </c>
      <c r="D1764" s="4" t="s">
        <v>5994</v>
      </c>
    </row>
    <row r="1765" spans="1:4" x14ac:dyDescent="0.25">
      <c r="A1765" s="3">
        <v>7313</v>
      </c>
      <c r="B1765" s="4" t="s">
        <v>5293</v>
      </c>
      <c r="C1765" s="5">
        <v>541840</v>
      </c>
      <c r="D1765" s="4" t="s">
        <v>4258</v>
      </c>
    </row>
    <row r="1766" spans="1:4" ht="25.5" x14ac:dyDescent="0.25">
      <c r="A1766" s="3">
        <v>7319</v>
      </c>
      <c r="B1766" s="4" t="s">
        <v>5294</v>
      </c>
      <c r="C1766" s="5">
        <v>481219</v>
      </c>
      <c r="D1766" s="4" t="s">
        <v>3870</v>
      </c>
    </row>
    <row r="1767" spans="1:4" x14ac:dyDescent="0.25">
      <c r="A1767" s="3">
        <v>7319</v>
      </c>
      <c r="B1767" s="4" t="s">
        <v>5295</v>
      </c>
      <c r="C1767" s="5">
        <v>541830</v>
      </c>
      <c r="D1767" s="4" t="s">
        <v>4256</v>
      </c>
    </row>
    <row r="1768" spans="1:4" ht="25.5" x14ac:dyDescent="0.25">
      <c r="A1768" s="3">
        <v>7319</v>
      </c>
      <c r="B1768" s="4" t="s">
        <v>5296</v>
      </c>
      <c r="C1768" s="5">
        <v>541850</v>
      </c>
      <c r="D1768" s="4" t="s">
        <v>5994</v>
      </c>
    </row>
    <row r="1769" spans="1:4" x14ac:dyDescent="0.25">
      <c r="A1769" s="3">
        <v>7319</v>
      </c>
      <c r="B1769" s="4" t="s">
        <v>5297</v>
      </c>
      <c r="C1769" s="5">
        <v>541870</v>
      </c>
      <c r="D1769" s="4" t="s">
        <v>4264</v>
      </c>
    </row>
    <row r="1770" spans="1:4" x14ac:dyDescent="0.25">
      <c r="A1770" s="3">
        <v>7319</v>
      </c>
      <c r="B1770" s="9" t="s">
        <v>5298</v>
      </c>
      <c r="C1770" s="10" t="s">
        <v>5995</v>
      </c>
      <c r="D1770" s="9" t="s">
        <v>4266</v>
      </c>
    </row>
    <row r="1771" spans="1:4" x14ac:dyDescent="0.25">
      <c r="A1771" s="3">
        <v>7322</v>
      </c>
      <c r="B1771" s="4" t="s">
        <v>5299</v>
      </c>
      <c r="C1771" s="5">
        <v>561440</v>
      </c>
      <c r="D1771" s="4" t="s">
        <v>4308</v>
      </c>
    </row>
    <row r="1772" spans="1:4" x14ac:dyDescent="0.25">
      <c r="A1772" s="3">
        <v>7323</v>
      </c>
      <c r="B1772" s="4" t="s">
        <v>5300</v>
      </c>
      <c r="C1772" s="5">
        <v>561450</v>
      </c>
      <c r="D1772" s="4" t="s">
        <v>5996</v>
      </c>
    </row>
    <row r="1773" spans="1:4" x14ac:dyDescent="0.25">
      <c r="A1773" s="3">
        <v>7331</v>
      </c>
      <c r="B1773" s="4" t="s">
        <v>5301</v>
      </c>
      <c r="C1773" s="5">
        <v>511140</v>
      </c>
      <c r="D1773" s="4" t="s">
        <v>3980</v>
      </c>
    </row>
    <row r="1774" spans="1:4" x14ac:dyDescent="0.25">
      <c r="A1774" s="3">
        <v>7331</v>
      </c>
      <c r="B1774" s="4" t="s">
        <v>5302</v>
      </c>
      <c r="C1774" s="5">
        <v>541860</v>
      </c>
      <c r="D1774" s="4" t="s">
        <v>4262</v>
      </c>
    </row>
    <row r="1775" spans="1:4" x14ac:dyDescent="0.25">
      <c r="A1775" s="3">
        <v>7334</v>
      </c>
      <c r="B1775" s="4" t="s">
        <v>5303</v>
      </c>
      <c r="C1775" s="5">
        <v>323114</v>
      </c>
      <c r="D1775" s="4" t="s">
        <v>5824</v>
      </c>
    </row>
    <row r="1776" spans="1:4" x14ac:dyDescent="0.25">
      <c r="A1776" s="3">
        <v>7334</v>
      </c>
      <c r="B1776" s="4" t="s">
        <v>5304</v>
      </c>
      <c r="C1776" s="5">
        <v>561439</v>
      </c>
      <c r="D1776" s="4" t="s">
        <v>4306</v>
      </c>
    </row>
    <row r="1777" spans="1:4" ht="25.5" x14ac:dyDescent="0.25">
      <c r="A1777" s="3">
        <v>7335</v>
      </c>
      <c r="B1777" s="4" t="s">
        <v>5305</v>
      </c>
      <c r="C1777" s="5">
        <v>481219</v>
      </c>
      <c r="D1777" s="4" t="s">
        <v>3870</v>
      </c>
    </row>
    <row r="1778" spans="1:4" ht="25.5" x14ac:dyDescent="0.25">
      <c r="A1778" s="3">
        <v>7335</v>
      </c>
      <c r="B1778" s="4" t="s">
        <v>5306</v>
      </c>
      <c r="C1778" s="5">
        <v>541922</v>
      </c>
      <c r="D1778" s="4" t="s">
        <v>4272</v>
      </c>
    </row>
    <row r="1779" spans="1:4" x14ac:dyDescent="0.25">
      <c r="A1779" s="3">
        <v>7336</v>
      </c>
      <c r="B1779" s="4" t="s">
        <v>5307</v>
      </c>
      <c r="C1779" s="5">
        <v>541430</v>
      </c>
      <c r="D1779" s="4" t="s">
        <v>4218</v>
      </c>
    </row>
    <row r="1780" spans="1:4" x14ac:dyDescent="0.25">
      <c r="A1780" s="3">
        <v>7338</v>
      </c>
      <c r="B1780" s="4" t="s">
        <v>5308</v>
      </c>
      <c r="C1780" s="5">
        <v>561410</v>
      </c>
      <c r="D1780" s="4" t="s">
        <v>4298</v>
      </c>
    </row>
    <row r="1781" spans="1:4" x14ac:dyDescent="0.25">
      <c r="A1781" s="3">
        <v>7338</v>
      </c>
      <c r="B1781" s="4" t="s">
        <v>5309</v>
      </c>
      <c r="C1781" s="5">
        <v>561492</v>
      </c>
      <c r="D1781" s="4" t="s">
        <v>4314</v>
      </c>
    </row>
    <row r="1782" spans="1:4" x14ac:dyDescent="0.25">
      <c r="A1782" s="3">
        <v>7342</v>
      </c>
      <c r="B1782" s="4" t="s">
        <v>5310</v>
      </c>
      <c r="C1782" s="5">
        <v>561710</v>
      </c>
      <c r="D1782" s="4" t="s">
        <v>4335</v>
      </c>
    </row>
    <row r="1783" spans="1:4" x14ac:dyDescent="0.25">
      <c r="A1783" s="3">
        <v>7342</v>
      </c>
      <c r="B1783" s="4" t="s">
        <v>5311</v>
      </c>
      <c r="C1783" s="5">
        <v>561720</v>
      </c>
      <c r="D1783" s="4" t="s">
        <v>4337</v>
      </c>
    </row>
    <row r="1784" spans="1:4" x14ac:dyDescent="0.25">
      <c r="A1784" s="3">
        <v>7349</v>
      </c>
      <c r="B1784" s="4" t="s">
        <v>5312</v>
      </c>
      <c r="C1784" s="5">
        <v>561720</v>
      </c>
      <c r="D1784" s="4" t="s">
        <v>4337</v>
      </c>
    </row>
    <row r="1785" spans="1:4" ht="25.5" x14ac:dyDescent="0.25">
      <c r="A1785" s="3">
        <v>7349</v>
      </c>
      <c r="B1785" s="4" t="s">
        <v>5313</v>
      </c>
      <c r="C1785" s="5">
        <v>561790</v>
      </c>
      <c r="D1785" s="4" t="s">
        <v>4343</v>
      </c>
    </row>
    <row r="1786" spans="1:4" ht="25.5" x14ac:dyDescent="0.25">
      <c r="A1786" s="3">
        <v>7352</v>
      </c>
      <c r="B1786" s="4" t="s">
        <v>5314</v>
      </c>
      <c r="C1786" s="5">
        <v>532291</v>
      </c>
      <c r="D1786" s="4" t="s">
        <v>4165</v>
      </c>
    </row>
    <row r="1787" spans="1:4" ht="25.5" x14ac:dyDescent="0.25">
      <c r="A1787" s="3">
        <v>7352</v>
      </c>
      <c r="B1787" s="4" t="s">
        <v>5315</v>
      </c>
      <c r="C1787" s="5">
        <v>532490</v>
      </c>
      <c r="D1787" s="4" t="s">
        <v>4178</v>
      </c>
    </row>
    <row r="1788" spans="1:4" ht="25.5" x14ac:dyDescent="0.25">
      <c r="A1788" s="3">
        <v>7353</v>
      </c>
      <c r="B1788" s="4" t="s">
        <v>5316</v>
      </c>
      <c r="C1788" s="5">
        <v>238910</v>
      </c>
      <c r="D1788" s="4" t="s">
        <v>2808</v>
      </c>
    </row>
    <row r="1789" spans="1:4" x14ac:dyDescent="0.25">
      <c r="A1789" s="6">
        <v>7353</v>
      </c>
      <c r="B1789" s="4" t="s">
        <v>5317</v>
      </c>
      <c r="C1789" s="7">
        <v>238990</v>
      </c>
      <c r="D1789" s="8" t="s">
        <v>2810</v>
      </c>
    </row>
    <row r="1790" spans="1:4" ht="25.5" x14ac:dyDescent="0.25">
      <c r="A1790" s="3">
        <v>7353</v>
      </c>
      <c r="B1790" s="4" t="s">
        <v>5318</v>
      </c>
      <c r="C1790" s="5">
        <v>532412</v>
      </c>
      <c r="D1790" s="4" t="s">
        <v>4174</v>
      </c>
    </row>
    <row r="1791" spans="1:4" ht="25.5" x14ac:dyDescent="0.25">
      <c r="A1791" s="3">
        <v>7359</v>
      </c>
      <c r="B1791" s="4" t="s">
        <v>5319</v>
      </c>
      <c r="C1791" s="5">
        <v>532210</v>
      </c>
      <c r="D1791" s="4" t="s">
        <v>4159</v>
      </c>
    </row>
    <row r="1792" spans="1:4" ht="51" x14ac:dyDescent="0.25">
      <c r="A1792" s="3">
        <v>7359</v>
      </c>
      <c r="B1792" s="4" t="s">
        <v>5320</v>
      </c>
      <c r="C1792" s="5">
        <v>532299</v>
      </c>
      <c r="D1792" s="4" t="s">
        <v>4169</v>
      </c>
    </row>
    <row r="1793" spans="1:4" ht="25.5" x14ac:dyDescent="0.25">
      <c r="A1793" s="3">
        <v>7359</v>
      </c>
      <c r="B1793" s="4" t="s">
        <v>5321</v>
      </c>
      <c r="C1793" s="5">
        <v>532310</v>
      </c>
      <c r="D1793" s="4" t="s">
        <v>4170</v>
      </c>
    </row>
    <row r="1794" spans="1:4" ht="25.5" x14ac:dyDescent="0.25">
      <c r="A1794" s="3">
        <v>7359</v>
      </c>
      <c r="B1794" s="4" t="s">
        <v>5322</v>
      </c>
      <c r="C1794" s="5">
        <v>532411</v>
      </c>
      <c r="D1794" s="4" t="s">
        <v>4172</v>
      </c>
    </row>
    <row r="1795" spans="1:4" ht="25.5" x14ac:dyDescent="0.25">
      <c r="A1795" s="3">
        <v>7359</v>
      </c>
      <c r="B1795" s="4" t="s">
        <v>5323</v>
      </c>
      <c r="C1795" s="5">
        <v>532412</v>
      </c>
      <c r="D1795" s="4" t="s">
        <v>4174</v>
      </c>
    </row>
    <row r="1796" spans="1:4" x14ac:dyDescent="0.25">
      <c r="A1796" s="3">
        <v>7359</v>
      </c>
      <c r="B1796" s="4" t="s">
        <v>5324</v>
      </c>
      <c r="C1796" s="5">
        <v>532420</v>
      </c>
      <c r="D1796" s="4" t="s">
        <v>4176</v>
      </c>
    </row>
    <row r="1797" spans="1:4" ht="25.5" x14ac:dyDescent="0.25">
      <c r="A1797" s="3">
        <v>7359</v>
      </c>
      <c r="B1797" s="4" t="s">
        <v>5325</v>
      </c>
      <c r="C1797" s="5">
        <v>532490</v>
      </c>
      <c r="D1797" s="4" t="s">
        <v>4178</v>
      </c>
    </row>
    <row r="1798" spans="1:4" x14ac:dyDescent="0.25">
      <c r="A1798" s="3">
        <v>7359</v>
      </c>
      <c r="B1798" s="4" t="s">
        <v>5326</v>
      </c>
      <c r="C1798" s="5">
        <v>562991</v>
      </c>
      <c r="D1798" s="4" t="s">
        <v>4367</v>
      </c>
    </row>
    <row r="1799" spans="1:4" ht="25.5" x14ac:dyDescent="0.25">
      <c r="A1799" s="3">
        <v>7361</v>
      </c>
      <c r="B1799" s="4" t="s">
        <v>5327</v>
      </c>
      <c r="C1799" s="5">
        <v>541612</v>
      </c>
      <c r="D1799" s="4" t="s">
        <v>5997</v>
      </c>
    </row>
    <row r="1800" spans="1:4" x14ac:dyDescent="0.25">
      <c r="A1800" s="3">
        <v>7361</v>
      </c>
      <c r="B1800" s="4" t="s">
        <v>5328</v>
      </c>
      <c r="C1800" s="5">
        <v>561310</v>
      </c>
      <c r="D1800" s="4" t="s">
        <v>4290</v>
      </c>
    </row>
    <row r="1801" spans="1:4" x14ac:dyDescent="0.25">
      <c r="A1801" s="3">
        <v>7363</v>
      </c>
      <c r="B1801" s="4" t="s">
        <v>5329</v>
      </c>
      <c r="C1801" s="5">
        <v>561320</v>
      </c>
      <c r="D1801" s="4" t="s">
        <v>4294</v>
      </c>
    </row>
    <row r="1802" spans="1:4" x14ac:dyDescent="0.25">
      <c r="A1802" s="3">
        <v>7363</v>
      </c>
      <c r="B1802" s="4" t="s">
        <v>5330</v>
      </c>
      <c r="C1802" s="5">
        <v>561330</v>
      </c>
      <c r="D1802" s="4" t="s">
        <v>4296</v>
      </c>
    </row>
    <row r="1803" spans="1:4" x14ac:dyDescent="0.25">
      <c r="A1803" s="3">
        <v>7371</v>
      </c>
      <c r="B1803" s="4" t="s">
        <v>5331</v>
      </c>
      <c r="C1803" s="5">
        <v>541511</v>
      </c>
      <c r="D1803" s="4" t="s">
        <v>4222</v>
      </c>
    </row>
    <row r="1804" spans="1:4" x14ac:dyDescent="0.25">
      <c r="A1804" s="3">
        <v>7372</v>
      </c>
      <c r="B1804" s="4" t="s">
        <v>5332</v>
      </c>
      <c r="C1804" s="5">
        <v>334611</v>
      </c>
      <c r="D1804" s="4" t="s">
        <v>5998</v>
      </c>
    </row>
    <row r="1805" spans="1:4" x14ac:dyDescent="0.25">
      <c r="A1805" s="3">
        <v>7372</v>
      </c>
      <c r="B1805" s="4" t="s">
        <v>5333</v>
      </c>
      <c r="C1805" s="5">
        <v>511210</v>
      </c>
      <c r="D1805" s="4" t="s">
        <v>5999</v>
      </c>
    </row>
    <row r="1806" spans="1:4" x14ac:dyDescent="0.25">
      <c r="A1806" s="3">
        <v>7373</v>
      </c>
      <c r="B1806" s="4" t="s">
        <v>5334</v>
      </c>
      <c r="C1806" s="5">
        <v>541512</v>
      </c>
      <c r="D1806" s="4" t="s">
        <v>4224</v>
      </c>
    </row>
    <row r="1807" spans="1:4" x14ac:dyDescent="0.25">
      <c r="A1807" s="3">
        <v>7374</v>
      </c>
      <c r="B1807" s="4" t="s">
        <v>5335</v>
      </c>
      <c r="C1807" s="5">
        <v>518210</v>
      </c>
      <c r="D1807" s="4" t="s">
        <v>6000</v>
      </c>
    </row>
    <row r="1808" spans="1:4" x14ac:dyDescent="0.25">
      <c r="A1808" s="3">
        <v>7375</v>
      </c>
      <c r="B1808" s="4" t="s">
        <v>5336</v>
      </c>
      <c r="C1808" s="5">
        <v>518111</v>
      </c>
      <c r="D1808" s="4" t="s">
        <v>6001</v>
      </c>
    </row>
    <row r="1809" spans="1:4" x14ac:dyDescent="0.25">
      <c r="A1809" s="3">
        <v>7376</v>
      </c>
      <c r="B1809" s="4" t="s">
        <v>4226</v>
      </c>
      <c r="C1809" s="5">
        <v>541513</v>
      </c>
      <c r="D1809" s="4" t="s">
        <v>4226</v>
      </c>
    </row>
    <row r="1810" spans="1:4" x14ac:dyDescent="0.25">
      <c r="A1810" s="3">
        <v>7377</v>
      </c>
      <c r="B1810" s="4" t="s">
        <v>5337</v>
      </c>
      <c r="C1810" s="5">
        <v>532420</v>
      </c>
      <c r="D1810" s="4" t="s">
        <v>4176</v>
      </c>
    </row>
    <row r="1811" spans="1:4" ht="25.5" x14ac:dyDescent="0.25">
      <c r="A1811" s="3">
        <v>7378</v>
      </c>
      <c r="B1811" s="4" t="s">
        <v>5338</v>
      </c>
      <c r="C1811" s="5">
        <v>443120</v>
      </c>
      <c r="D1811" s="4" t="s">
        <v>5964</v>
      </c>
    </row>
    <row r="1812" spans="1:4" ht="25.5" x14ac:dyDescent="0.25">
      <c r="A1812" s="3">
        <v>7378</v>
      </c>
      <c r="B1812" s="4" t="s">
        <v>5339</v>
      </c>
      <c r="C1812" s="5">
        <v>811212</v>
      </c>
      <c r="D1812" s="4" t="s">
        <v>4581</v>
      </c>
    </row>
    <row r="1813" spans="1:4" x14ac:dyDescent="0.25">
      <c r="A1813" s="3">
        <v>7379</v>
      </c>
      <c r="B1813" s="4" t="s">
        <v>5340</v>
      </c>
      <c r="C1813" s="5">
        <v>518210</v>
      </c>
      <c r="D1813" s="4" t="s">
        <v>4031</v>
      </c>
    </row>
    <row r="1814" spans="1:4" x14ac:dyDescent="0.25">
      <c r="A1814" s="3">
        <v>7379</v>
      </c>
      <c r="B1814" s="4" t="s">
        <v>5341</v>
      </c>
      <c r="C1814" s="5">
        <v>541512</v>
      </c>
      <c r="D1814" s="4" t="s">
        <v>4224</v>
      </c>
    </row>
    <row r="1815" spans="1:4" ht="25.5" x14ac:dyDescent="0.25">
      <c r="A1815" s="3">
        <v>7379</v>
      </c>
      <c r="B1815" s="4" t="s">
        <v>5342</v>
      </c>
      <c r="C1815" s="5">
        <v>541519</v>
      </c>
      <c r="D1815" s="4" t="s">
        <v>4228</v>
      </c>
    </row>
    <row r="1816" spans="1:4" x14ac:dyDescent="0.25">
      <c r="A1816" s="3">
        <v>7381</v>
      </c>
      <c r="B1816" s="4" t="s">
        <v>5343</v>
      </c>
      <c r="C1816" s="5">
        <v>561611</v>
      </c>
      <c r="D1816" s="4" t="s">
        <v>4326</v>
      </c>
    </row>
    <row r="1817" spans="1:4" x14ac:dyDescent="0.25">
      <c r="A1817" s="3">
        <v>7381</v>
      </c>
      <c r="B1817" s="4" t="s">
        <v>5344</v>
      </c>
      <c r="C1817" s="5">
        <v>561612</v>
      </c>
      <c r="D1817" s="4" t="s">
        <v>4328</v>
      </c>
    </row>
    <row r="1818" spans="1:4" x14ac:dyDescent="0.25">
      <c r="A1818" s="3">
        <v>7381</v>
      </c>
      <c r="B1818" s="4" t="s">
        <v>5345</v>
      </c>
      <c r="C1818" s="5">
        <v>561613</v>
      </c>
      <c r="D1818" s="4" t="s">
        <v>4330</v>
      </c>
    </row>
    <row r="1819" spans="1:4" x14ac:dyDescent="0.25">
      <c r="A1819" s="3">
        <v>7382</v>
      </c>
      <c r="B1819" s="4" t="s">
        <v>5346</v>
      </c>
      <c r="C1819" s="5">
        <v>561621</v>
      </c>
      <c r="D1819" s="4" t="s">
        <v>4332</v>
      </c>
    </row>
    <row r="1820" spans="1:4" x14ac:dyDescent="0.25">
      <c r="A1820" s="3">
        <v>7383</v>
      </c>
      <c r="B1820" s="4" t="s">
        <v>5347</v>
      </c>
      <c r="C1820" s="5">
        <v>519110</v>
      </c>
      <c r="D1820" s="4" t="s">
        <v>4033</v>
      </c>
    </row>
    <row r="1821" spans="1:4" x14ac:dyDescent="0.25">
      <c r="A1821" s="3">
        <v>7383</v>
      </c>
      <c r="B1821" s="4" t="s">
        <v>5348</v>
      </c>
      <c r="C1821" s="5">
        <v>711510</v>
      </c>
      <c r="D1821" s="4" t="s">
        <v>4502</v>
      </c>
    </row>
    <row r="1822" spans="1:4" x14ac:dyDescent="0.25">
      <c r="A1822" s="3">
        <v>7384</v>
      </c>
      <c r="B1822" s="4" t="s">
        <v>5349</v>
      </c>
      <c r="C1822" s="5">
        <v>812921</v>
      </c>
      <c r="D1822" s="4" t="s">
        <v>4620</v>
      </c>
    </row>
    <row r="1823" spans="1:4" x14ac:dyDescent="0.25">
      <c r="A1823" s="3">
        <v>7384</v>
      </c>
      <c r="B1823" s="4" t="s">
        <v>5350</v>
      </c>
      <c r="C1823" s="5">
        <v>812922</v>
      </c>
      <c r="D1823" s="4" t="s">
        <v>4621</v>
      </c>
    </row>
    <row r="1824" spans="1:4" x14ac:dyDescent="0.25">
      <c r="A1824" s="3">
        <v>7389</v>
      </c>
      <c r="B1824" s="4" t="s">
        <v>5351</v>
      </c>
      <c r="C1824" s="5">
        <v>312229</v>
      </c>
      <c r="D1824" s="4" t="s">
        <v>5760</v>
      </c>
    </row>
    <row r="1825" spans="1:4" ht="25.5" x14ac:dyDescent="0.25">
      <c r="A1825" s="3">
        <v>7389</v>
      </c>
      <c r="B1825" s="4" t="s">
        <v>5352</v>
      </c>
      <c r="C1825" s="5">
        <v>313311</v>
      </c>
      <c r="D1825" s="4" t="s">
        <v>5762</v>
      </c>
    </row>
    <row r="1826" spans="1:4" x14ac:dyDescent="0.25">
      <c r="A1826" s="3">
        <v>7389</v>
      </c>
      <c r="B1826" s="4" t="s">
        <v>5353</v>
      </c>
      <c r="C1826" s="5">
        <v>314999</v>
      </c>
      <c r="D1826" s="4" t="s">
        <v>2931</v>
      </c>
    </row>
    <row r="1827" spans="1:4" ht="25.5" x14ac:dyDescent="0.25">
      <c r="A1827" s="3">
        <v>7389</v>
      </c>
      <c r="B1827" s="4" t="s">
        <v>5354</v>
      </c>
      <c r="C1827" s="5">
        <v>325998</v>
      </c>
      <c r="D1827" s="4" t="s">
        <v>3073</v>
      </c>
    </row>
    <row r="1828" spans="1:4" x14ac:dyDescent="0.25">
      <c r="A1828" s="3">
        <v>7389</v>
      </c>
      <c r="B1828" s="4" t="s">
        <v>5355</v>
      </c>
      <c r="C1828" s="5">
        <v>425120</v>
      </c>
      <c r="D1828" s="4" t="s">
        <v>3654</v>
      </c>
    </row>
    <row r="1829" spans="1:4" x14ac:dyDescent="0.25">
      <c r="A1829" s="3">
        <v>7389</v>
      </c>
      <c r="B1829" s="4" t="s">
        <v>5356</v>
      </c>
      <c r="C1829" s="5">
        <v>488490</v>
      </c>
      <c r="D1829" s="4" t="s">
        <v>3953</v>
      </c>
    </row>
    <row r="1830" spans="1:4" x14ac:dyDescent="0.25">
      <c r="A1830" s="3">
        <v>7389</v>
      </c>
      <c r="B1830" s="4" t="s">
        <v>5357</v>
      </c>
      <c r="C1830" s="5">
        <v>491110</v>
      </c>
      <c r="D1830" s="4" t="s">
        <v>3961</v>
      </c>
    </row>
    <row r="1831" spans="1:4" x14ac:dyDescent="0.25">
      <c r="A1831" s="3">
        <v>7389</v>
      </c>
      <c r="B1831" s="4" t="s">
        <v>5358</v>
      </c>
      <c r="C1831" s="5">
        <v>512240</v>
      </c>
      <c r="D1831" s="4" t="s">
        <v>4001</v>
      </c>
    </row>
    <row r="1832" spans="1:4" x14ac:dyDescent="0.25">
      <c r="A1832" s="3">
        <v>7389</v>
      </c>
      <c r="B1832" s="4" t="s">
        <v>5359</v>
      </c>
      <c r="C1832" s="5">
        <v>512290</v>
      </c>
      <c r="D1832" s="4" t="s">
        <v>4005</v>
      </c>
    </row>
    <row r="1833" spans="1:4" x14ac:dyDescent="0.25">
      <c r="A1833" s="3">
        <v>7389</v>
      </c>
      <c r="B1833" s="4" t="s">
        <v>5360</v>
      </c>
      <c r="C1833" s="5">
        <v>518210</v>
      </c>
      <c r="D1833" s="4" t="s">
        <v>4031</v>
      </c>
    </row>
    <row r="1834" spans="1:4" x14ac:dyDescent="0.25">
      <c r="A1834" s="3">
        <v>7389</v>
      </c>
      <c r="B1834" s="4" t="s">
        <v>5361</v>
      </c>
      <c r="C1834" s="5">
        <v>519190</v>
      </c>
      <c r="D1834" s="4" t="s">
        <v>4053</v>
      </c>
    </row>
    <row r="1835" spans="1:4" ht="25.5" x14ac:dyDescent="0.25">
      <c r="A1835" s="3">
        <v>7389</v>
      </c>
      <c r="B1835" s="4" t="s">
        <v>5362</v>
      </c>
      <c r="C1835" s="5">
        <v>522320</v>
      </c>
      <c r="D1835" s="4" t="s">
        <v>4080</v>
      </c>
    </row>
    <row r="1836" spans="1:4" x14ac:dyDescent="0.25">
      <c r="A1836" s="3">
        <v>7389</v>
      </c>
      <c r="B1836" s="4" t="s">
        <v>5363</v>
      </c>
      <c r="C1836" s="5">
        <v>541199</v>
      </c>
      <c r="D1836" s="4" t="s">
        <v>4188</v>
      </c>
    </row>
    <row r="1837" spans="1:4" x14ac:dyDescent="0.25">
      <c r="A1837" s="3">
        <v>7389</v>
      </c>
      <c r="B1837" s="4" t="s">
        <v>5364</v>
      </c>
      <c r="C1837" s="5">
        <v>541340</v>
      </c>
      <c r="D1837" s="4" t="s">
        <v>4204</v>
      </c>
    </row>
    <row r="1838" spans="1:4" x14ac:dyDescent="0.25">
      <c r="A1838" s="3">
        <v>7389</v>
      </c>
      <c r="B1838" s="4" t="s">
        <v>5365</v>
      </c>
      <c r="C1838" s="5">
        <v>541350</v>
      </c>
      <c r="D1838" s="4" t="s">
        <v>6002</v>
      </c>
    </row>
    <row r="1839" spans="1:4" x14ac:dyDescent="0.25">
      <c r="A1839" s="3">
        <v>7389</v>
      </c>
      <c r="B1839" s="4" t="s">
        <v>5366</v>
      </c>
      <c r="C1839" s="5">
        <v>541370</v>
      </c>
      <c r="D1839" s="4" t="s">
        <v>4210</v>
      </c>
    </row>
    <row r="1840" spans="1:4" x14ac:dyDescent="0.25">
      <c r="A1840" s="3">
        <v>7389</v>
      </c>
      <c r="B1840" s="4" t="s">
        <v>5367</v>
      </c>
      <c r="C1840" s="5">
        <v>541410</v>
      </c>
      <c r="D1840" s="4" t="s">
        <v>4214</v>
      </c>
    </row>
    <row r="1841" spans="1:4" x14ac:dyDescent="0.25">
      <c r="A1841" s="3">
        <v>7389</v>
      </c>
      <c r="B1841" s="4" t="s">
        <v>5368</v>
      </c>
      <c r="C1841" s="5">
        <v>541420</v>
      </c>
      <c r="D1841" s="4" t="s">
        <v>4216</v>
      </c>
    </row>
    <row r="1842" spans="1:4" x14ac:dyDescent="0.25">
      <c r="A1842" s="3">
        <v>7389</v>
      </c>
      <c r="B1842" s="4" t="s">
        <v>5369</v>
      </c>
      <c r="C1842" s="5">
        <v>541490</v>
      </c>
      <c r="D1842" s="4" t="s">
        <v>4220</v>
      </c>
    </row>
    <row r="1843" spans="1:4" x14ac:dyDescent="0.25">
      <c r="A1843" s="3">
        <v>7389</v>
      </c>
      <c r="B1843" s="4" t="s">
        <v>5370</v>
      </c>
      <c r="C1843" s="5">
        <v>541870</v>
      </c>
      <c r="D1843" s="4" t="s">
        <v>4264</v>
      </c>
    </row>
    <row r="1844" spans="1:4" ht="25.5" x14ac:dyDescent="0.25">
      <c r="A1844" s="3">
        <v>7389</v>
      </c>
      <c r="B1844" s="4" t="s">
        <v>5371</v>
      </c>
      <c r="C1844" s="5">
        <v>541890</v>
      </c>
      <c r="D1844" s="4" t="s">
        <v>4266</v>
      </c>
    </row>
    <row r="1845" spans="1:4" x14ac:dyDescent="0.25">
      <c r="A1845" s="3">
        <v>7389</v>
      </c>
      <c r="B1845" s="4" t="s">
        <v>5372</v>
      </c>
      <c r="C1845" s="5">
        <v>541930</v>
      </c>
      <c r="D1845" s="4" t="s">
        <v>4274</v>
      </c>
    </row>
    <row r="1846" spans="1:4" ht="25.5" x14ac:dyDescent="0.25">
      <c r="A1846" s="3">
        <v>7389</v>
      </c>
      <c r="B1846" s="4" t="s">
        <v>5373</v>
      </c>
      <c r="C1846" s="5">
        <v>541990</v>
      </c>
      <c r="D1846" s="4" t="s">
        <v>4278</v>
      </c>
    </row>
    <row r="1847" spans="1:4" x14ac:dyDescent="0.25">
      <c r="A1847" s="3">
        <v>7389</v>
      </c>
      <c r="B1847" s="4" t="s">
        <v>5374</v>
      </c>
      <c r="C1847" s="5">
        <v>561410</v>
      </c>
      <c r="D1847" s="4" t="s">
        <v>4298</v>
      </c>
    </row>
    <row r="1848" spans="1:4" x14ac:dyDescent="0.25">
      <c r="A1848" s="3">
        <v>7389</v>
      </c>
      <c r="B1848" s="4" t="s">
        <v>5375</v>
      </c>
      <c r="C1848" s="5">
        <v>561421</v>
      </c>
      <c r="D1848" s="4" t="s">
        <v>4300</v>
      </c>
    </row>
    <row r="1849" spans="1:4" x14ac:dyDescent="0.25">
      <c r="A1849" s="3">
        <v>7389</v>
      </c>
      <c r="B1849" s="4" t="s">
        <v>5376</v>
      </c>
      <c r="C1849" s="5">
        <v>561422</v>
      </c>
      <c r="D1849" s="4" t="s">
        <v>6003</v>
      </c>
    </row>
    <row r="1850" spans="1:4" x14ac:dyDescent="0.25">
      <c r="A1850" s="3">
        <v>7389</v>
      </c>
      <c r="B1850" s="4" t="s">
        <v>5377</v>
      </c>
      <c r="C1850" s="5">
        <v>561431</v>
      </c>
      <c r="D1850" s="4" t="s">
        <v>4304</v>
      </c>
    </row>
    <row r="1851" spans="1:4" ht="25.5" x14ac:dyDescent="0.25">
      <c r="A1851" s="3">
        <v>7389</v>
      </c>
      <c r="B1851" s="4" t="s">
        <v>5378</v>
      </c>
      <c r="C1851" s="5">
        <v>561439</v>
      </c>
      <c r="D1851" s="4" t="s">
        <v>4306</v>
      </c>
    </row>
    <row r="1852" spans="1:4" x14ac:dyDescent="0.25">
      <c r="A1852" s="3">
        <v>7389</v>
      </c>
      <c r="B1852" s="4" t="s">
        <v>5379</v>
      </c>
      <c r="C1852" s="5">
        <v>561440</v>
      </c>
      <c r="D1852" s="4" t="s">
        <v>4308</v>
      </c>
    </row>
    <row r="1853" spans="1:4" x14ac:dyDescent="0.25">
      <c r="A1853" s="3">
        <v>7389</v>
      </c>
      <c r="B1853" s="4" t="s">
        <v>5380</v>
      </c>
      <c r="C1853" s="5">
        <v>561491</v>
      </c>
      <c r="D1853" s="4" t="s">
        <v>4312</v>
      </c>
    </row>
    <row r="1854" spans="1:4" ht="25.5" x14ac:dyDescent="0.25">
      <c r="A1854" s="3">
        <v>7389</v>
      </c>
      <c r="B1854" s="4" t="s">
        <v>5381</v>
      </c>
      <c r="C1854" s="5">
        <v>561499</v>
      </c>
      <c r="D1854" s="4" t="s">
        <v>4316</v>
      </c>
    </row>
    <row r="1855" spans="1:4" x14ac:dyDescent="0.25">
      <c r="A1855" s="3">
        <v>7389</v>
      </c>
      <c r="B1855" s="4" t="s">
        <v>5382</v>
      </c>
      <c r="C1855" s="5">
        <v>561591</v>
      </c>
      <c r="D1855" s="4" t="s">
        <v>4322</v>
      </c>
    </row>
    <row r="1856" spans="1:4" ht="25.5" x14ac:dyDescent="0.25">
      <c r="A1856" s="3">
        <v>7389</v>
      </c>
      <c r="B1856" s="4" t="s">
        <v>5383</v>
      </c>
      <c r="C1856" s="5">
        <v>561599</v>
      </c>
      <c r="D1856" s="4" t="s">
        <v>4324</v>
      </c>
    </row>
    <row r="1857" spans="1:4" x14ac:dyDescent="0.25">
      <c r="A1857" s="3">
        <v>7389</v>
      </c>
      <c r="B1857" s="4" t="s">
        <v>5384</v>
      </c>
      <c r="C1857" s="5">
        <v>561790</v>
      </c>
      <c r="D1857" s="4" t="s">
        <v>4343</v>
      </c>
    </row>
    <row r="1858" spans="1:4" x14ac:dyDescent="0.25">
      <c r="A1858" s="3">
        <v>7389</v>
      </c>
      <c r="B1858" s="4" t="s">
        <v>5385</v>
      </c>
      <c r="C1858" s="5">
        <v>561910</v>
      </c>
      <c r="D1858" s="4" t="s">
        <v>4345</v>
      </c>
    </row>
    <row r="1859" spans="1:4" x14ac:dyDescent="0.25">
      <c r="A1859" s="3">
        <v>7389</v>
      </c>
      <c r="B1859" s="4" t="s">
        <v>5386</v>
      </c>
      <c r="C1859" s="5">
        <v>561920</v>
      </c>
      <c r="D1859" s="4" t="s">
        <v>4347</v>
      </c>
    </row>
    <row r="1860" spans="1:4" ht="25.5" x14ac:dyDescent="0.25">
      <c r="A1860" s="3">
        <v>7389</v>
      </c>
      <c r="B1860" s="4" t="s">
        <v>5387</v>
      </c>
      <c r="C1860" s="5">
        <v>561990</v>
      </c>
      <c r="D1860" s="4" t="s">
        <v>4349</v>
      </c>
    </row>
    <row r="1861" spans="1:4" ht="25.5" x14ac:dyDescent="0.25">
      <c r="A1861" s="3">
        <v>7389</v>
      </c>
      <c r="B1861" s="4" t="s">
        <v>5388</v>
      </c>
      <c r="C1861" s="5">
        <v>711310</v>
      </c>
      <c r="D1861" s="4" t="s">
        <v>4496</v>
      </c>
    </row>
    <row r="1862" spans="1:4" ht="25.5" x14ac:dyDescent="0.25">
      <c r="A1862" s="3">
        <v>7389</v>
      </c>
      <c r="B1862" s="4" t="s">
        <v>5389</v>
      </c>
      <c r="C1862" s="5">
        <v>711320</v>
      </c>
      <c r="D1862" s="4" t="s">
        <v>4498</v>
      </c>
    </row>
    <row r="1863" spans="1:4" ht="25.5" x14ac:dyDescent="0.25">
      <c r="A1863" s="3">
        <v>7389</v>
      </c>
      <c r="B1863" s="4" t="s">
        <v>5390</v>
      </c>
      <c r="C1863" s="5">
        <v>711410</v>
      </c>
      <c r="D1863" s="4" t="s">
        <v>6004</v>
      </c>
    </row>
    <row r="1864" spans="1:4" x14ac:dyDescent="0.25">
      <c r="A1864" s="3">
        <v>7389</v>
      </c>
      <c r="B1864" s="4" t="s">
        <v>5391</v>
      </c>
      <c r="C1864" s="5">
        <v>812320</v>
      </c>
      <c r="D1864" s="4" t="s">
        <v>4612</v>
      </c>
    </row>
    <row r="1865" spans="1:4" x14ac:dyDescent="0.25">
      <c r="A1865" s="3">
        <v>7389</v>
      </c>
      <c r="B1865" s="4" t="s">
        <v>5392</v>
      </c>
      <c r="C1865" s="5">
        <v>812990</v>
      </c>
      <c r="D1865" s="4" t="s">
        <v>4624</v>
      </c>
    </row>
    <row r="1866" spans="1:4" ht="25.5" x14ac:dyDescent="0.25">
      <c r="A1866" s="3">
        <v>7513</v>
      </c>
      <c r="B1866" s="4" t="s">
        <v>5393</v>
      </c>
      <c r="C1866" s="5">
        <v>532120</v>
      </c>
      <c r="D1866" s="4" t="s">
        <v>4157</v>
      </c>
    </row>
    <row r="1867" spans="1:4" x14ac:dyDescent="0.25">
      <c r="A1867" s="3">
        <v>7514</v>
      </c>
      <c r="B1867" s="4" t="s">
        <v>4153</v>
      </c>
      <c r="C1867" s="5">
        <v>532111</v>
      </c>
      <c r="D1867" s="4" t="s">
        <v>4153</v>
      </c>
    </row>
    <row r="1868" spans="1:4" x14ac:dyDescent="0.25">
      <c r="A1868" s="3">
        <v>7515</v>
      </c>
      <c r="B1868" s="4" t="s">
        <v>4155</v>
      </c>
      <c r="C1868" s="5">
        <v>532112</v>
      </c>
      <c r="D1868" s="4" t="s">
        <v>6005</v>
      </c>
    </row>
    <row r="1869" spans="1:4" ht="25.5" x14ac:dyDescent="0.25">
      <c r="A1869" s="3">
        <v>7519</v>
      </c>
      <c r="B1869" s="4" t="s">
        <v>5394</v>
      </c>
      <c r="C1869" s="5">
        <v>532120</v>
      </c>
      <c r="D1869" s="4" t="s">
        <v>4157</v>
      </c>
    </row>
    <row r="1870" spans="1:4" x14ac:dyDescent="0.25">
      <c r="A1870" s="3">
        <v>7521</v>
      </c>
      <c r="B1870" s="4" t="s">
        <v>5395</v>
      </c>
      <c r="C1870" s="5">
        <v>812930</v>
      </c>
      <c r="D1870" s="4" t="s">
        <v>4623</v>
      </c>
    </row>
    <row r="1871" spans="1:4" ht="25.5" x14ac:dyDescent="0.25">
      <c r="A1871" s="3">
        <v>7532</v>
      </c>
      <c r="B1871" s="4" t="s">
        <v>5396</v>
      </c>
      <c r="C1871" s="5">
        <v>811121</v>
      </c>
      <c r="D1871" s="4" t="s">
        <v>6006</v>
      </c>
    </row>
    <row r="1872" spans="1:4" x14ac:dyDescent="0.25">
      <c r="A1872" s="3">
        <v>7533</v>
      </c>
      <c r="B1872" s="4" t="s">
        <v>5397</v>
      </c>
      <c r="C1872" s="5">
        <v>811112</v>
      </c>
      <c r="D1872" s="4" t="s">
        <v>4564</v>
      </c>
    </row>
    <row r="1873" spans="1:4" x14ac:dyDescent="0.25">
      <c r="A1873" s="3">
        <v>7534</v>
      </c>
      <c r="B1873" s="4" t="s">
        <v>5398</v>
      </c>
      <c r="C1873" s="5">
        <v>326212</v>
      </c>
      <c r="D1873" s="4" t="s">
        <v>3099</v>
      </c>
    </row>
    <row r="1874" spans="1:4" x14ac:dyDescent="0.25">
      <c r="A1874" s="3">
        <v>7534</v>
      </c>
      <c r="B1874" s="4" t="s">
        <v>5399</v>
      </c>
      <c r="C1874" s="5">
        <v>811198</v>
      </c>
      <c r="D1874" s="4" t="s">
        <v>4577</v>
      </c>
    </row>
    <row r="1875" spans="1:4" x14ac:dyDescent="0.25">
      <c r="A1875" s="3">
        <v>7536</v>
      </c>
      <c r="B1875" s="4" t="s">
        <v>4571</v>
      </c>
      <c r="C1875" s="5">
        <v>811122</v>
      </c>
      <c r="D1875" s="4" t="s">
        <v>4571</v>
      </c>
    </row>
    <row r="1876" spans="1:4" x14ac:dyDescent="0.25">
      <c r="A1876" s="3">
        <v>7537</v>
      </c>
      <c r="B1876" s="4" t="s">
        <v>5400</v>
      </c>
      <c r="C1876" s="5">
        <v>811113</v>
      </c>
      <c r="D1876" s="4" t="s">
        <v>4566</v>
      </c>
    </row>
    <row r="1877" spans="1:4" x14ac:dyDescent="0.25">
      <c r="A1877" s="3">
        <v>7538</v>
      </c>
      <c r="B1877" s="4" t="s">
        <v>5401</v>
      </c>
      <c r="C1877" s="5">
        <v>811111</v>
      </c>
      <c r="D1877" s="4" t="s">
        <v>4562</v>
      </c>
    </row>
    <row r="1878" spans="1:4" ht="25.5" x14ac:dyDescent="0.25">
      <c r="A1878" s="3">
        <v>7539</v>
      </c>
      <c r="B1878" s="4" t="s">
        <v>5402</v>
      </c>
      <c r="C1878" s="5">
        <v>811118</v>
      </c>
      <c r="D1878" s="4" t="s">
        <v>4568</v>
      </c>
    </row>
    <row r="1879" spans="1:4" x14ac:dyDescent="0.25">
      <c r="A1879" s="3">
        <v>7539</v>
      </c>
      <c r="B1879" s="4" t="s">
        <v>5403</v>
      </c>
      <c r="C1879" s="5">
        <v>811198</v>
      </c>
      <c r="D1879" s="4" t="s">
        <v>4577</v>
      </c>
    </row>
    <row r="1880" spans="1:4" x14ac:dyDescent="0.25">
      <c r="A1880" s="3">
        <v>7542</v>
      </c>
      <c r="B1880" s="4" t="s">
        <v>5404</v>
      </c>
      <c r="C1880" s="5">
        <v>811192</v>
      </c>
      <c r="D1880" s="4" t="s">
        <v>4575</v>
      </c>
    </row>
    <row r="1881" spans="1:4" x14ac:dyDescent="0.25">
      <c r="A1881" s="3">
        <v>7549</v>
      </c>
      <c r="B1881" s="4" t="s">
        <v>5405</v>
      </c>
      <c r="C1881" s="5">
        <v>488410</v>
      </c>
      <c r="D1881" s="4" t="s">
        <v>3951</v>
      </c>
    </row>
    <row r="1882" spans="1:4" x14ac:dyDescent="0.25">
      <c r="A1882" s="3">
        <v>7549</v>
      </c>
      <c r="B1882" s="4" t="s">
        <v>5406</v>
      </c>
      <c r="C1882" s="5">
        <v>811122</v>
      </c>
      <c r="D1882" s="4" t="s">
        <v>4571</v>
      </c>
    </row>
    <row r="1883" spans="1:4" x14ac:dyDescent="0.25">
      <c r="A1883" s="3">
        <v>7549</v>
      </c>
      <c r="B1883" s="4" t="s">
        <v>5407</v>
      </c>
      <c r="C1883" s="5">
        <v>811191</v>
      </c>
      <c r="D1883" s="4" t="s">
        <v>4573</v>
      </c>
    </row>
    <row r="1884" spans="1:4" ht="25.5" x14ac:dyDescent="0.25">
      <c r="A1884" s="3">
        <v>7549</v>
      </c>
      <c r="B1884" s="4" t="s">
        <v>5408</v>
      </c>
      <c r="C1884" s="5">
        <v>811198</v>
      </c>
      <c r="D1884" s="4" t="s">
        <v>4577</v>
      </c>
    </row>
    <row r="1885" spans="1:4" ht="25.5" x14ac:dyDescent="0.25">
      <c r="A1885" s="6">
        <v>7622</v>
      </c>
      <c r="B1885" s="4" t="s">
        <v>5409</v>
      </c>
      <c r="C1885" s="7">
        <v>238290</v>
      </c>
      <c r="D1885" s="8" t="s">
        <v>2795</v>
      </c>
    </row>
    <row r="1886" spans="1:4" ht="25.5" x14ac:dyDescent="0.25">
      <c r="A1886" s="3">
        <v>7622</v>
      </c>
      <c r="B1886" s="4" t="s">
        <v>5410</v>
      </c>
      <c r="C1886" s="5">
        <v>443112</v>
      </c>
      <c r="D1886" s="4" t="s">
        <v>5967</v>
      </c>
    </row>
    <row r="1887" spans="1:4" x14ac:dyDescent="0.25">
      <c r="A1887" s="3">
        <v>7622</v>
      </c>
      <c r="B1887" s="4" t="s">
        <v>5411</v>
      </c>
      <c r="C1887" s="5">
        <v>811211</v>
      </c>
      <c r="D1887" s="4" t="s">
        <v>4579</v>
      </c>
    </row>
    <row r="1888" spans="1:4" x14ac:dyDescent="0.25">
      <c r="A1888" s="3">
        <v>7622</v>
      </c>
      <c r="B1888" s="4" t="s">
        <v>5412</v>
      </c>
      <c r="C1888" s="5">
        <v>811213</v>
      </c>
      <c r="D1888" s="4" t="s">
        <v>4583</v>
      </c>
    </row>
    <row r="1889" spans="1:4" ht="25.5" x14ac:dyDescent="0.25">
      <c r="A1889" s="3">
        <v>7623</v>
      </c>
      <c r="B1889" s="4" t="s">
        <v>5413</v>
      </c>
      <c r="C1889" s="5">
        <v>443111</v>
      </c>
      <c r="D1889" s="4" t="s">
        <v>3674</v>
      </c>
    </row>
    <row r="1890" spans="1:4" ht="25.5" x14ac:dyDescent="0.25">
      <c r="A1890" s="3">
        <v>7623</v>
      </c>
      <c r="B1890" s="4" t="s">
        <v>5414</v>
      </c>
      <c r="C1890" s="5">
        <v>811310</v>
      </c>
      <c r="D1890" s="4" t="s">
        <v>4586</v>
      </c>
    </row>
    <row r="1891" spans="1:4" ht="25.5" x14ac:dyDescent="0.25">
      <c r="A1891" s="3">
        <v>7623</v>
      </c>
      <c r="B1891" s="4" t="s">
        <v>5415</v>
      </c>
      <c r="C1891" s="5">
        <v>811412</v>
      </c>
      <c r="D1891" s="4" t="s">
        <v>4589</v>
      </c>
    </row>
    <row r="1892" spans="1:4" ht="25.5" x14ac:dyDescent="0.25">
      <c r="A1892" s="3">
        <v>7629</v>
      </c>
      <c r="B1892" s="4" t="s">
        <v>5416</v>
      </c>
      <c r="C1892" s="5">
        <v>443111</v>
      </c>
      <c r="D1892" s="4" t="s">
        <v>3674</v>
      </c>
    </row>
    <row r="1893" spans="1:4" ht="25.5" x14ac:dyDescent="0.25">
      <c r="A1893" s="3">
        <v>7629</v>
      </c>
      <c r="B1893" s="4" t="s">
        <v>5417</v>
      </c>
      <c r="C1893" s="5">
        <v>811211</v>
      </c>
      <c r="D1893" s="4" t="s">
        <v>4579</v>
      </c>
    </row>
    <row r="1894" spans="1:4" x14ac:dyDescent="0.25">
      <c r="A1894" s="3">
        <v>7629</v>
      </c>
      <c r="B1894" s="4" t="s">
        <v>5418</v>
      </c>
      <c r="C1894" s="5">
        <v>811212</v>
      </c>
      <c r="D1894" s="4" t="s">
        <v>4581</v>
      </c>
    </row>
    <row r="1895" spans="1:4" x14ac:dyDescent="0.25">
      <c r="A1895" s="3">
        <v>7629</v>
      </c>
      <c r="B1895" s="4" t="s">
        <v>5419</v>
      </c>
      <c r="C1895" s="5">
        <v>811213</v>
      </c>
      <c r="D1895" s="4" t="s">
        <v>4583</v>
      </c>
    </row>
    <row r="1896" spans="1:4" ht="25.5" x14ac:dyDescent="0.25">
      <c r="A1896" s="3">
        <v>7629</v>
      </c>
      <c r="B1896" s="4" t="s">
        <v>5420</v>
      </c>
      <c r="C1896" s="5">
        <v>811219</v>
      </c>
      <c r="D1896" s="4" t="s">
        <v>4585</v>
      </c>
    </row>
    <row r="1897" spans="1:4" ht="25.5" x14ac:dyDescent="0.25">
      <c r="A1897" s="3">
        <v>7629</v>
      </c>
      <c r="B1897" s="4" t="s">
        <v>5421</v>
      </c>
      <c r="C1897" s="5">
        <v>811412</v>
      </c>
      <c r="D1897" s="4" t="s">
        <v>4589</v>
      </c>
    </row>
    <row r="1898" spans="1:4" ht="25.5" x14ac:dyDescent="0.25">
      <c r="A1898" s="3">
        <v>7631</v>
      </c>
      <c r="B1898" s="4" t="s">
        <v>5422</v>
      </c>
      <c r="C1898" s="5">
        <v>448310</v>
      </c>
      <c r="D1898" s="4" t="s">
        <v>3732</v>
      </c>
    </row>
    <row r="1899" spans="1:4" ht="25.5" x14ac:dyDescent="0.25">
      <c r="A1899" s="3">
        <v>7631</v>
      </c>
      <c r="B1899" s="4" t="s">
        <v>5423</v>
      </c>
      <c r="C1899" s="5">
        <v>811490</v>
      </c>
      <c r="D1899" s="4" t="s">
        <v>4594</v>
      </c>
    </row>
    <row r="1900" spans="1:4" x14ac:dyDescent="0.25">
      <c r="A1900" s="3">
        <v>7641</v>
      </c>
      <c r="B1900" s="4" t="s">
        <v>4591</v>
      </c>
      <c r="C1900" s="5">
        <v>811420</v>
      </c>
      <c r="D1900" s="4" t="s">
        <v>4591</v>
      </c>
    </row>
    <row r="1901" spans="1:4" ht="25.5" x14ac:dyDescent="0.25">
      <c r="A1901" s="3">
        <v>7692</v>
      </c>
      <c r="B1901" s="4" t="s">
        <v>5424</v>
      </c>
      <c r="C1901" s="5">
        <v>811310</v>
      </c>
      <c r="D1901" s="4" t="s">
        <v>4586</v>
      </c>
    </row>
    <row r="1902" spans="1:4" x14ac:dyDescent="0.25">
      <c r="A1902" s="3">
        <v>7694</v>
      </c>
      <c r="B1902" s="4" t="s">
        <v>5425</v>
      </c>
      <c r="C1902" s="5">
        <v>335312</v>
      </c>
      <c r="D1902" s="4" t="s">
        <v>3390</v>
      </c>
    </row>
    <row r="1903" spans="1:4" ht="25.5" x14ac:dyDescent="0.25">
      <c r="A1903" s="3">
        <v>7694</v>
      </c>
      <c r="B1903" s="4" t="s">
        <v>5426</v>
      </c>
      <c r="C1903" s="5">
        <v>811310</v>
      </c>
      <c r="D1903" s="4" t="s">
        <v>4586</v>
      </c>
    </row>
    <row r="1904" spans="1:4" x14ac:dyDescent="0.25">
      <c r="A1904" s="3">
        <v>7699</v>
      </c>
      <c r="B1904" s="4" t="s">
        <v>5427</v>
      </c>
      <c r="C1904" s="5">
        <v>115210</v>
      </c>
      <c r="D1904" s="4" t="s">
        <v>2668</v>
      </c>
    </row>
    <row r="1905" spans="1:4" x14ac:dyDescent="0.25">
      <c r="A1905" s="6">
        <v>7699</v>
      </c>
      <c r="B1905" s="4" t="s">
        <v>5428</v>
      </c>
      <c r="C1905" s="7">
        <v>238220</v>
      </c>
      <c r="D1905" s="8" t="s">
        <v>2793</v>
      </c>
    </row>
    <row r="1906" spans="1:4" x14ac:dyDescent="0.25">
      <c r="A1906" s="3">
        <v>7699</v>
      </c>
      <c r="B1906" s="4" t="s">
        <v>5429</v>
      </c>
      <c r="C1906" s="5">
        <v>442299</v>
      </c>
      <c r="D1906" s="4" t="s">
        <v>3672</v>
      </c>
    </row>
    <row r="1907" spans="1:4" ht="25.5" x14ac:dyDescent="0.25">
      <c r="A1907" s="3">
        <v>7699</v>
      </c>
      <c r="B1907" s="4" t="s">
        <v>5430</v>
      </c>
      <c r="C1907" s="5">
        <v>444130</v>
      </c>
      <c r="D1907" s="4" t="s">
        <v>3681</v>
      </c>
    </row>
    <row r="1908" spans="1:4" ht="25.5" x14ac:dyDescent="0.25">
      <c r="A1908" s="3">
        <v>7699</v>
      </c>
      <c r="B1908" s="4" t="s">
        <v>5431</v>
      </c>
      <c r="C1908" s="5">
        <v>444210</v>
      </c>
      <c r="D1908" s="4" t="s">
        <v>3685</v>
      </c>
    </row>
    <row r="1909" spans="1:4" ht="25.5" x14ac:dyDescent="0.25">
      <c r="A1909" s="3">
        <v>7699</v>
      </c>
      <c r="B1909" s="4" t="s">
        <v>5432</v>
      </c>
      <c r="C1909" s="5">
        <v>451110</v>
      </c>
      <c r="D1909" s="4" t="s">
        <v>3736</v>
      </c>
    </row>
    <row r="1910" spans="1:4" x14ac:dyDescent="0.25">
      <c r="A1910" s="3">
        <v>7699</v>
      </c>
      <c r="B1910" s="4" t="s">
        <v>5433</v>
      </c>
      <c r="C1910" s="5">
        <v>488390</v>
      </c>
      <c r="D1910" s="4" t="s">
        <v>3949</v>
      </c>
    </row>
    <row r="1911" spans="1:4" x14ac:dyDescent="0.25">
      <c r="A1911" s="3">
        <v>7699</v>
      </c>
      <c r="B1911" s="4" t="s">
        <v>5434</v>
      </c>
      <c r="C1911" s="5">
        <v>561622</v>
      </c>
      <c r="D1911" s="4" t="s">
        <v>4334</v>
      </c>
    </row>
    <row r="1912" spans="1:4" x14ac:dyDescent="0.25">
      <c r="A1912" s="3">
        <v>7699</v>
      </c>
      <c r="B1912" s="4" t="s">
        <v>5435</v>
      </c>
      <c r="C1912" s="5">
        <v>561790</v>
      </c>
      <c r="D1912" s="4" t="s">
        <v>4343</v>
      </c>
    </row>
    <row r="1913" spans="1:4" x14ac:dyDescent="0.25">
      <c r="A1913" s="3">
        <v>7699</v>
      </c>
      <c r="B1913" s="4" t="s">
        <v>5436</v>
      </c>
      <c r="C1913" s="5">
        <v>562991</v>
      </c>
      <c r="D1913" s="4" t="s">
        <v>4367</v>
      </c>
    </row>
    <row r="1914" spans="1:4" x14ac:dyDescent="0.25">
      <c r="A1914" s="3">
        <v>7699</v>
      </c>
      <c r="B1914" s="4" t="s">
        <v>5437</v>
      </c>
      <c r="C1914" s="5">
        <v>562998</v>
      </c>
      <c r="D1914" s="4" t="s">
        <v>4369</v>
      </c>
    </row>
    <row r="1915" spans="1:4" ht="25.5" x14ac:dyDescent="0.25">
      <c r="A1915" s="3">
        <v>7699</v>
      </c>
      <c r="B1915" s="4" t="s">
        <v>5438</v>
      </c>
      <c r="C1915" s="5">
        <v>711510</v>
      </c>
      <c r="D1915" s="4" t="s">
        <v>4502</v>
      </c>
    </row>
    <row r="1916" spans="1:4" x14ac:dyDescent="0.25">
      <c r="A1916" s="3">
        <v>7699</v>
      </c>
      <c r="B1916" s="4" t="s">
        <v>5439</v>
      </c>
      <c r="C1916" s="5">
        <v>811211</v>
      </c>
      <c r="D1916" s="4" t="s">
        <v>4579</v>
      </c>
    </row>
    <row r="1917" spans="1:4" ht="25.5" x14ac:dyDescent="0.25">
      <c r="A1917" s="3">
        <v>7699</v>
      </c>
      <c r="B1917" s="4" t="s">
        <v>5440</v>
      </c>
      <c r="C1917" s="5">
        <v>811212</v>
      </c>
      <c r="D1917" s="4" t="s">
        <v>4581</v>
      </c>
    </row>
    <row r="1918" spans="1:4" ht="25.5" x14ac:dyDescent="0.25">
      <c r="A1918" s="3">
        <v>7699</v>
      </c>
      <c r="B1918" s="4" t="s">
        <v>5441</v>
      </c>
      <c r="C1918" s="5">
        <v>811219</v>
      </c>
      <c r="D1918" s="4" t="s">
        <v>4585</v>
      </c>
    </row>
    <row r="1919" spans="1:4" ht="25.5" x14ac:dyDescent="0.25">
      <c r="A1919" s="3">
        <v>7699</v>
      </c>
      <c r="B1919" s="4" t="s">
        <v>5442</v>
      </c>
      <c r="C1919" s="5">
        <v>811310</v>
      </c>
      <c r="D1919" s="4" t="s">
        <v>4586</v>
      </c>
    </row>
    <row r="1920" spans="1:4" ht="25.5" x14ac:dyDescent="0.25">
      <c r="A1920" s="3">
        <v>7699</v>
      </c>
      <c r="B1920" s="4" t="s">
        <v>5443</v>
      </c>
      <c r="C1920" s="5">
        <v>811411</v>
      </c>
      <c r="D1920" s="4" t="s">
        <v>4587</v>
      </c>
    </row>
    <row r="1921" spans="1:4" ht="25.5" x14ac:dyDescent="0.25">
      <c r="A1921" s="3">
        <v>7699</v>
      </c>
      <c r="B1921" s="4" t="s">
        <v>5444</v>
      </c>
      <c r="C1921" s="5">
        <v>811412</v>
      </c>
      <c r="D1921" s="4" t="s">
        <v>4589</v>
      </c>
    </row>
    <row r="1922" spans="1:4" ht="25.5" x14ac:dyDescent="0.25">
      <c r="A1922" s="3">
        <v>7699</v>
      </c>
      <c r="B1922" s="4" t="s">
        <v>5445</v>
      </c>
      <c r="C1922" s="5">
        <v>811430</v>
      </c>
      <c r="D1922" s="4" t="s">
        <v>4592</v>
      </c>
    </row>
    <row r="1923" spans="1:4" ht="25.5" x14ac:dyDescent="0.25">
      <c r="A1923" s="3">
        <v>7699</v>
      </c>
      <c r="B1923" s="4" t="s">
        <v>5446</v>
      </c>
      <c r="C1923" s="5">
        <v>811490</v>
      </c>
      <c r="D1923" s="4" t="s">
        <v>4594</v>
      </c>
    </row>
    <row r="1924" spans="1:4" x14ac:dyDescent="0.25">
      <c r="A1924" s="3">
        <v>7812</v>
      </c>
      <c r="B1924" s="4" t="s">
        <v>5447</v>
      </c>
      <c r="C1924" s="5">
        <v>512110</v>
      </c>
      <c r="D1924" s="4" t="s">
        <v>3988</v>
      </c>
    </row>
    <row r="1925" spans="1:4" ht="25.5" x14ac:dyDescent="0.25">
      <c r="A1925" s="3">
        <v>7819</v>
      </c>
      <c r="B1925" s="4" t="s">
        <v>5448</v>
      </c>
      <c r="C1925" s="5">
        <v>334612</v>
      </c>
      <c r="D1925" s="4" t="s">
        <v>5937</v>
      </c>
    </row>
    <row r="1926" spans="1:4" x14ac:dyDescent="0.25">
      <c r="A1926" s="3">
        <v>7819</v>
      </c>
      <c r="B1926" s="4" t="s">
        <v>5449</v>
      </c>
      <c r="C1926" s="5">
        <v>512191</v>
      </c>
      <c r="D1926" s="4" t="s">
        <v>6007</v>
      </c>
    </row>
    <row r="1927" spans="1:4" ht="51" x14ac:dyDescent="0.25">
      <c r="A1927" s="3">
        <v>7819</v>
      </c>
      <c r="B1927" s="4" t="s">
        <v>5450</v>
      </c>
      <c r="C1927" s="5">
        <v>512199</v>
      </c>
      <c r="D1927" s="4" t="s">
        <v>6008</v>
      </c>
    </row>
    <row r="1928" spans="1:4" x14ac:dyDescent="0.25">
      <c r="A1928" s="3">
        <v>7819</v>
      </c>
      <c r="B1928" s="4" t="s">
        <v>5451</v>
      </c>
      <c r="C1928" s="5">
        <v>532220</v>
      </c>
      <c r="D1928" s="4" t="s">
        <v>4161</v>
      </c>
    </row>
    <row r="1929" spans="1:4" ht="25.5" x14ac:dyDescent="0.25">
      <c r="A1929" s="3">
        <v>7819</v>
      </c>
      <c r="B1929" s="4" t="s">
        <v>5452</v>
      </c>
      <c r="C1929" s="5">
        <v>532490</v>
      </c>
      <c r="D1929" s="4" t="s">
        <v>4178</v>
      </c>
    </row>
    <row r="1930" spans="1:4" x14ac:dyDescent="0.25">
      <c r="A1930" s="3">
        <v>7819</v>
      </c>
      <c r="B1930" s="4" t="s">
        <v>5453</v>
      </c>
      <c r="C1930" s="5">
        <v>541214</v>
      </c>
      <c r="D1930" s="4" t="s">
        <v>4194</v>
      </c>
    </row>
    <row r="1931" spans="1:4" x14ac:dyDescent="0.25">
      <c r="A1931" s="3">
        <v>7819</v>
      </c>
      <c r="B1931" s="4" t="s">
        <v>5454</v>
      </c>
      <c r="C1931" s="5">
        <v>541690</v>
      </c>
      <c r="D1931" s="4" t="s">
        <v>4242</v>
      </c>
    </row>
    <row r="1932" spans="1:4" x14ac:dyDescent="0.25">
      <c r="A1932" s="3">
        <v>7819</v>
      </c>
      <c r="B1932" s="4" t="s">
        <v>5455</v>
      </c>
      <c r="C1932" s="5">
        <v>561310</v>
      </c>
      <c r="D1932" s="4" t="s">
        <v>4290</v>
      </c>
    </row>
    <row r="1933" spans="1:4" ht="25.5" x14ac:dyDescent="0.25">
      <c r="A1933" s="3">
        <v>7819</v>
      </c>
      <c r="B1933" s="4" t="s">
        <v>5456</v>
      </c>
      <c r="C1933" s="5">
        <v>711510</v>
      </c>
      <c r="D1933" s="4" t="s">
        <v>4502</v>
      </c>
    </row>
    <row r="1934" spans="1:4" x14ac:dyDescent="0.25">
      <c r="A1934" s="3">
        <v>7822</v>
      </c>
      <c r="B1934" s="4" t="s">
        <v>5457</v>
      </c>
      <c r="C1934" s="5">
        <v>423990</v>
      </c>
      <c r="D1934" s="4" t="s">
        <v>3591</v>
      </c>
    </row>
    <row r="1935" spans="1:4" x14ac:dyDescent="0.25">
      <c r="A1935" s="3">
        <v>7822</v>
      </c>
      <c r="B1935" s="4" t="s">
        <v>5458</v>
      </c>
      <c r="C1935" s="5">
        <v>512120</v>
      </c>
      <c r="D1935" s="4" t="s">
        <v>3990</v>
      </c>
    </row>
    <row r="1936" spans="1:4" x14ac:dyDescent="0.25">
      <c r="A1936" s="3">
        <v>7829</v>
      </c>
      <c r="B1936" s="4" t="s">
        <v>5459</v>
      </c>
      <c r="C1936" s="5">
        <v>512120</v>
      </c>
      <c r="D1936" s="4" t="s">
        <v>3990</v>
      </c>
    </row>
    <row r="1937" spans="1:4" ht="25.5" x14ac:dyDescent="0.25">
      <c r="A1937" s="3">
        <v>7829</v>
      </c>
      <c r="B1937" s="4" t="s">
        <v>5460</v>
      </c>
      <c r="C1937" s="5">
        <v>512199</v>
      </c>
      <c r="D1937" s="4" t="s">
        <v>6008</v>
      </c>
    </row>
    <row r="1938" spans="1:4" x14ac:dyDescent="0.25">
      <c r="A1938" s="3">
        <v>7829</v>
      </c>
      <c r="B1938" s="4" t="s">
        <v>5461</v>
      </c>
      <c r="C1938" s="5">
        <v>519120</v>
      </c>
      <c r="D1938" s="4" t="s">
        <v>4035</v>
      </c>
    </row>
    <row r="1939" spans="1:4" x14ac:dyDescent="0.25">
      <c r="A1939" s="3">
        <v>7832</v>
      </c>
      <c r="B1939" s="4" t="s">
        <v>5462</v>
      </c>
      <c r="C1939" s="5">
        <v>512131</v>
      </c>
      <c r="D1939" s="4" t="s">
        <v>3992</v>
      </c>
    </row>
    <row r="1940" spans="1:4" x14ac:dyDescent="0.25">
      <c r="A1940" s="3">
        <v>7833</v>
      </c>
      <c r="B1940" s="4" t="s">
        <v>3993</v>
      </c>
      <c r="C1940" s="5">
        <v>512132</v>
      </c>
      <c r="D1940" s="4" t="s">
        <v>3993</v>
      </c>
    </row>
    <row r="1941" spans="1:4" x14ac:dyDescent="0.25">
      <c r="A1941" s="3">
        <v>7841</v>
      </c>
      <c r="B1941" s="4" t="s">
        <v>5463</v>
      </c>
      <c r="C1941" s="5">
        <v>532230</v>
      </c>
      <c r="D1941" s="4" t="s">
        <v>4163</v>
      </c>
    </row>
    <row r="1942" spans="1:4" ht="25.5" x14ac:dyDescent="0.25">
      <c r="A1942" s="3">
        <v>7911</v>
      </c>
      <c r="B1942" s="4" t="s">
        <v>5464</v>
      </c>
      <c r="C1942" s="5">
        <v>611610</v>
      </c>
      <c r="D1942" s="4" t="s">
        <v>4391</v>
      </c>
    </row>
    <row r="1943" spans="1:4" x14ac:dyDescent="0.25">
      <c r="A1943" s="3">
        <v>7911</v>
      </c>
      <c r="B1943" s="4" t="s">
        <v>5465</v>
      </c>
      <c r="C1943" s="5">
        <v>713990</v>
      </c>
      <c r="D1943" s="4" t="s">
        <v>4530</v>
      </c>
    </row>
    <row r="1944" spans="1:4" ht="25.5" x14ac:dyDescent="0.25">
      <c r="A1944" s="3">
        <v>7922</v>
      </c>
      <c r="B1944" s="4" t="s">
        <v>5466</v>
      </c>
      <c r="C1944" s="5">
        <v>512290</v>
      </c>
      <c r="D1944" s="4" t="s">
        <v>4005</v>
      </c>
    </row>
    <row r="1945" spans="1:4" ht="25.5" x14ac:dyDescent="0.25">
      <c r="A1945" s="3">
        <v>7922</v>
      </c>
      <c r="B1945" s="4" t="s">
        <v>5467</v>
      </c>
      <c r="C1945" s="5">
        <v>532490</v>
      </c>
      <c r="D1945" s="4" t="s">
        <v>4178</v>
      </c>
    </row>
    <row r="1946" spans="1:4" ht="25.5" x14ac:dyDescent="0.25">
      <c r="A1946" s="3">
        <v>7922</v>
      </c>
      <c r="B1946" s="4" t="s">
        <v>5468</v>
      </c>
      <c r="C1946" s="5">
        <v>561310</v>
      </c>
      <c r="D1946" s="4" t="s">
        <v>4290</v>
      </c>
    </row>
    <row r="1947" spans="1:4" ht="25.5" x14ac:dyDescent="0.25">
      <c r="A1947" s="3">
        <v>7922</v>
      </c>
      <c r="B1947" s="4" t="s">
        <v>5469</v>
      </c>
      <c r="C1947" s="5">
        <v>561599</v>
      </c>
      <c r="D1947" s="4" t="s">
        <v>4324</v>
      </c>
    </row>
    <row r="1948" spans="1:4" ht="25.5" x14ac:dyDescent="0.25">
      <c r="A1948" s="3">
        <v>7922</v>
      </c>
      <c r="B1948" s="4" t="s">
        <v>5470</v>
      </c>
      <c r="C1948" s="5">
        <v>711110</v>
      </c>
      <c r="D1948" s="4" t="s">
        <v>4482</v>
      </c>
    </row>
    <row r="1949" spans="1:4" ht="25.5" x14ac:dyDescent="0.25">
      <c r="A1949" s="3">
        <v>7922</v>
      </c>
      <c r="B1949" s="4" t="s">
        <v>5471</v>
      </c>
      <c r="C1949" s="5">
        <v>711120</v>
      </c>
      <c r="D1949" s="4" t="s">
        <v>4484</v>
      </c>
    </row>
    <row r="1950" spans="1:4" ht="25.5" x14ac:dyDescent="0.25">
      <c r="A1950" s="3">
        <v>7922</v>
      </c>
      <c r="B1950" s="4" t="s">
        <v>5472</v>
      </c>
      <c r="C1950" s="5">
        <v>711310</v>
      </c>
      <c r="D1950" s="4" t="s">
        <v>4496</v>
      </c>
    </row>
    <row r="1951" spans="1:4" ht="25.5" x14ac:dyDescent="0.25">
      <c r="A1951" s="3">
        <v>7922</v>
      </c>
      <c r="B1951" s="4" t="s">
        <v>5473</v>
      </c>
      <c r="C1951" s="5">
        <v>711320</v>
      </c>
      <c r="D1951" s="4" t="s">
        <v>4498</v>
      </c>
    </row>
    <row r="1952" spans="1:4" ht="25.5" x14ac:dyDescent="0.25">
      <c r="A1952" s="3">
        <v>7922</v>
      </c>
      <c r="B1952" s="4" t="s">
        <v>5474</v>
      </c>
      <c r="C1952" s="5">
        <v>711410</v>
      </c>
      <c r="D1952" s="4" t="s">
        <v>6004</v>
      </c>
    </row>
    <row r="1953" spans="1:4" ht="25.5" x14ac:dyDescent="0.25">
      <c r="A1953" s="3">
        <v>7922</v>
      </c>
      <c r="B1953" s="4" t="s">
        <v>5475</v>
      </c>
      <c r="C1953" s="5">
        <v>711510</v>
      </c>
      <c r="D1953" s="4" t="s">
        <v>4502</v>
      </c>
    </row>
    <row r="1954" spans="1:4" ht="25.5" x14ac:dyDescent="0.25">
      <c r="A1954" s="3">
        <v>7929</v>
      </c>
      <c r="B1954" s="4" t="s">
        <v>5476</v>
      </c>
      <c r="C1954" s="5">
        <v>711130</v>
      </c>
      <c r="D1954" s="4" t="s">
        <v>4486</v>
      </c>
    </row>
    <row r="1955" spans="1:4" ht="25.5" x14ac:dyDescent="0.25">
      <c r="A1955" s="3">
        <v>7929</v>
      </c>
      <c r="B1955" s="4" t="s">
        <v>5477</v>
      </c>
      <c r="C1955" s="5">
        <v>711190</v>
      </c>
      <c r="D1955" s="4" t="s">
        <v>4488</v>
      </c>
    </row>
    <row r="1956" spans="1:4" ht="25.5" x14ac:dyDescent="0.25">
      <c r="A1956" s="3">
        <v>7929</v>
      </c>
      <c r="B1956" s="4" t="s">
        <v>5478</v>
      </c>
      <c r="C1956" s="5">
        <v>711510</v>
      </c>
      <c r="D1956" s="4" t="s">
        <v>4502</v>
      </c>
    </row>
    <row r="1957" spans="1:4" x14ac:dyDescent="0.25">
      <c r="A1957" s="3">
        <v>7933</v>
      </c>
      <c r="B1957" s="4" t="s">
        <v>4528</v>
      </c>
      <c r="C1957" s="5">
        <v>713950</v>
      </c>
      <c r="D1957" s="4" t="s">
        <v>4528</v>
      </c>
    </row>
    <row r="1958" spans="1:4" x14ac:dyDescent="0.25">
      <c r="A1958" s="3">
        <v>7941</v>
      </c>
      <c r="B1958" s="4" t="s">
        <v>5479</v>
      </c>
      <c r="C1958" s="5">
        <v>711211</v>
      </c>
      <c r="D1958" s="4" t="s">
        <v>4490</v>
      </c>
    </row>
    <row r="1959" spans="1:4" ht="25.5" x14ac:dyDescent="0.25">
      <c r="A1959" s="3">
        <v>7941</v>
      </c>
      <c r="B1959" s="4" t="s">
        <v>5480</v>
      </c>
      <c r="C1959" s="5">
        <v>711310</v>
      </c>
      <c r="D1959" s="4" t="s">
        <v>4496</v>
      </c>
    </row>
    <row r="1960" spans="1:4" ht="25.5" x14ac:dyDescent="0.25">
      <c r="A1960" s="3">
        <v>7941</v>
      </c>
      <c r="B1960" s="4" t="s">
        <v>5481</v>
      </c>
      <c r="C1960" s="5">
        <v>711320</v>
      </c>
      <c r="D1960" s="4" t="s">
        <v>4498</v>
      </c>
    </row>
    <row r="1961" spans="1:4" ht="25.5" x14ac:dyDescent="0.25">
      <c r="A1961" s="3">
        <v>7941</v>
      </c>
      <c r="B1961" s="4" t="s">
        <v>5482</v>
      </c>
      <c r="C1961" s="5">
        <v>711410</v>
      </c>
      <c r="D1961" s="4" t="s">
        <v>6004</v>
      </c>
    </row>
    <row r="1962" spans="1:4" x14ac:dyDescent="0.25">
      <c r="A1962" s="3">
        <v>7948</v>
      </c>
      <c r="B1962" s="4" t="s">
        <v>5483</v>
      </c>
      <c r="C1962" s="5">
        <v>711212</v>
      </c>
      <c r="D1962" s="4" t="s">
        <v>4492</v>
      </c>
    </row>
    <row r="1963" spans="1:4" x14ac:dyDescent="0.25">
      <c r="A1963" s="3">
        <v>7948</v>
      </c>
      <c r="B1963" s="4" t="s">
        <v>5484</v>
      </c>
      <c r="C1963" s="5">
        <v>711219</v>
      </c>
      <c r="D1963" s="4" t="s">
        <v>4494</v>
      </c>
    </row>
    <row r="1964" spans="1:4" x14ac:dyDescent="0.25">
      <c r="A1964" s="3">
        <v>7991</v>
      </c>
      <c r="B1964" s="4" t="s">
        <v>5485</v>
      </c>
      <c r="C1964" s="5">
        <v>713940</v>
      </c>
      <c r="D1964" s="4" t="s">
        <v>4526</v>
      </c>
    </row>
    <row r="1965" spans="1:4" x14ac:dyDescent="0.25">
      <c r="A1965" s="3">
        <v>7992</v>
      </c>
      <c r="B1965" s="4" t="s">
        <v>5486</v>
      </c>
      <c r="C1965" s="5">
        <v>713910</v>
      </c>
      <c r="D1965" s="4" t="s">
        <v>4520</v>
      </c>
    </row>
    <row r="1966" spans="1:4" x14ac:dyDescent="0.25">
      <c r="A1966" s="3">
        <v>7993</v>
      </c>
      <c r="B1966" s="4" t="s">
        <v>5487</v>
      </c>
      <c r="C1966" s="5">
        <v>713120</v>
      </c>
      <c r="D1966" s="4" t="s">
        <v>4514</v>
      </c>
    </row>
    <row r="1967" spans="1:4" x14ac:dyDescent="0.25">
      <c r="A1967" s="3">
        <v>7993</v>
      </c>
      <c r="B1967" s="4" t="s">
        <v>5488</v>
      </c>
      <c r="C1967" s="5">
        <v>713290</v>
      </c>
      <c r="D1967" s="4" t="s">
        <v>4518</v>
      </c>
    </row>
    <row r="1968" spans="1:4" x14ac:dyDescent="0.25">
      <c r="A1968" s="3">
        <v>7993</v>
      </c>
      <c r="B1968" s="4" t="s">
        <v>5489</v>
      </c>
      <c r="C1968" s="5">
        <v>713990</v>
      </c>
      <c r="D1968" s="4" t="s">
        <v>4530</v>
      </c>
    </row>
    <row r="1969" spans="1:4" x14ac:dyDescent="0.25">
      <c r="A1969" s="3">
        <v>7996</v>
      </c>
      <c r="B1969" s="4" t="s">
        <v>613</v>
      </c>
      <c r="C1969" s="5">
        <v>713110</v>
      </c>
      <c r="D1969" s="4" t="s">
        <v>4512</v>
      </c>
    </row>
    <row r="1970" spans="1:4" ht="25.5" x14ac:dyDescent="0.25">
      <c r="A1970" s="3">
        <v>7997</v>
      </c>
      <c r="B1970" s="4" t="s">
        <v>5490</v>
      </c>
      <c r="C1970" s="5">
        <v>481219</v>
      </c>
      <c r="D1970" s="4" t="s">
        <v>3870</v>
      </c>
    </row>
    <row r="1971" spans="1:4" x14ac:dyDescent="0.25">
      <c r="A1971" s="3">
        <v>7997</v>
      </c>
      <c r="B1971" s="4" t="s">
        <v>5491</v>
      </c>
      <c r="C1971" s="5">
        <v>488119</v>
      </c>
      <c r="D1971" s="4" t="s">
        <v>3937</v>
      </c>
    </row>
    <row r="1972" spans="1:4" x14ac:dyDescent="0.25">
      <c r="A1972" s="3">
        <v>7997</v>
      </c>
      <c r="B1972" s="4" t="s">
        <v>5492</v>
      </c>
      <c r="C1972" s="5">
        <v>713910</v>
      </c>
      <c r="D1972" s="4" t="s">
        <v>4520</v>
      </c>
    </row>
    <row r="1973" spans="1:4" x14ac:dyDescent="0.25">
      <c r="A1973" s="3">
        <v>7997</v>
      </c>
      <c r="B1973" s="4" t="s">
        <v>5493</v>
      </c>
      <c r="C1973" s="5">
        <v>713940</v>
      </c>
      <c r="D1973" s="4" t="s">
        <v>4526</v>
      </c>
    </row>
    <row r="1974" spans="1:4" x14ac:dyDescent="0.25">
      <c r="A1974" s="3">
        <v>7997</v>
      </c>
      <c r="B1974" s="4" t="s">
        <v>5494</v>
      </c>
      <c r="C1974" s="5">
        <v>713990</v>
      </c>
      <c r="D1974" s="4" t="s">
        <v>4530</v>
      </c>
    </row>
    <row r="1975" spans="1:4" x14ac:dyDescent="0.25">
      <c r="A1975" s="3">
        <v>7999</v>
      </c>
      <c r="B1975" s="4" t="s">
        <v>5495</v>
      </c>
      <c r="C1975" s="5">
        <v>487110</v>
      </c>
      <c r="D1975" s="4" t="s">
        <v>3929</v>
      </c>
    </row>
    <row r="1976" spans="1:4" x14ac:dyDescent="0.25">
      <c r="A1976" s="3">
        <v>7999</v>
      </c>
      <c r="B1976" s="4" t="s">
        <v>5496</v>
      </c>
      <c r="C1976" s="5">
        <v>487210</v>
      </c>
      <c r="D1976" s="4" t="s">
        <v>3931</v>
      </c>
    </row>
    <row r="1977" spans="1:4" x14ac:dyDescent="0.25">
      <c r="A1977" s="3">
        <v>7999</v>
      </c>
      <c r="B1977" s="4" t="s">
        <v>5497</v>
      </c>
      <c r="C1977" s="5">
        <v>487990</v>
      </c>
      <c r="D1977" s="4" t="s">
        <v>3933</v>
      </c>
    </row>
    <row r="1978" spans="1:4" ht="25.5" x14ac:dyDescent="0.25">
      <c r="A1978" s="3">
        <v>7999</v>
      </c>
      <c r="B1978" s="4" t="s">
        <v>5498</v>
      </c>
      <c r="C1978" s="5">
        <v>532292</v>
      </c>
      <c r="D1978" s="4" t="s">
        <v>4167</v>
      </c>
    </row>
    <row r="1979" spans="1:4" x14ac:dyDescent="0.25">
      <c r="A1979" s="3">
        <v>7999</v>
      </c>
      <c r="B1979" s="4" t="s">
        <v>5499</v>
      </c>
      <c r="C1979" s="5">
        <v>561599</v>
      </c>
      <c r="D1979" s="4" t="s">
        <v>4324</v>
      </c>
    </row>
    <row r="1980" spans="1:4" ht="38.25" x14ac:dyDescent="0.25">
      <c r="A1980" s="3">
        <v>7999</v>
      </c>
      <c r="B1980" s="4" t="s">
        <v>5500</v>
      </c>
      <c r="C1980" s="5">
        <v>611620</v>
      </c>
      <c r="D1980" s="4" t="s">
        <v>4393</v>
      </c>
    </row>
    <row r="1981" spans="1:4" ht="25.5" x14ac:dyDescent="0.25">
      <c r="A1981" s="3">
        <v>7999</v>
      </c>
      <c r="B1981" s="4" t="s">
        <v>5501</v>
      </c>
      <c r="C1981" s="5">
        <v>611699</v>
      </c>
      <c r="D1981" s="4" t="s">
        <v>4401</v>
      </c>
    </row>
    <row r="1982" spans="1:4" x14ac:dyDescent="0.25">
      <c r="A1982" s="3">
        <v>7999</v>
      </c>
      <c r="B1982" s="4" t="s">
        <v>5502</v>
      </c>
      <c r="C1982" s="5">
        <v>711190</v>
      </c>
      <c r="D1982" s="4" t="s">
        <v>4488</v>
      </c>
    </row>
    <row r="1983" spans="1:4" x14ac:dyDescent="0.25">
      <c r="A1983" s="3">
        <v>7999</v>
      </c>
      <c r="B1983" s="4" t="s">
        <v>5503</v>
      </c>
      <c r="C1983" s="5">
        <v>711219</v>
      </c>
      <c r="D1983" s="4" t="s">
        <v>4494</v>
      </c>
    </row>
    <row r="1984" spans="1:4" ht="25.5" x14ac:dyDescent="0.25">
      <c r="A1984" s="3">
        <v>7999</v>
      </c>
      <c r="B1984" s="4" t="s">
        <v>5504</v>
      </c>
      <c r="C1984" s="5">
        <v>711310</v>
      </c>
      <c r="D1984" s="4" t="s">
        <v>4496</v>
      </c>
    </row>
    <row r="1985" spans="1:4" ht="25.5" x14ac:dyDescent="0.25">
      <c r="A1985" s="3">
        <v>7999</v>
      </c>
      <c r="B1985" s="4" t="s">
        <v>5505</v>
      </c>
      <c r="C1985" s="5">
        <v>711320</v>
      </c>
      <c r="D1985" s="4" t="s">
        <v>4498</v>
      </c>
    </row>
    <row r="1986" spans="1:4" x14ac:dyDescent="0.25">
      <c r="A1986" s="3">
        <v>7999</v>
      </c>
      <c r="B1986" s="4" t="s">
        <v>5506</v>
      </c>
      <c r="C1986" s="5">
        <v>712190</v>
      </c>
      <c r="D1986" s="4" t="s">
        <v>4510</v>
      </c>
    </row>
    <row r="1987" spans="1:4" x14ac:dyDescent="0.25">
      <c r="A1987" s="3">
        <v>7999</v>
      </c>
      <c r="B1987" s="4" t="s">
        <v>5507</v>
      </c>
      <c r="C1987" s="5">
        <v>713210</v>
      </c>
      <c r="D1987" s="4" t="s">
        <v>4516</v>
      </c>
    </row>
    <row r="1988" spans="1:4" ht="25.5" x14ac:dyDescent="0.25">
      <c r="A1988" s="3">
        <v>7999</v>
      </c>
      <c r="B1988" s="4" t="s">
        <v>5508</v>
      </c>
      <c r="C1988" s="5">
        <v>713290</v>
      </c>
      <c r="D1988" s="4" t="s">
        <v>4518</v>
      </c>
    </row>
    <row r="1989" spans="1:4" x14ac:dyDescent="0.25">
      <c r="A1989" s="3">
        <v>7999</v>
      </c>
      <c r="B1989" s="4" t="s">
        <v>5509</v>
      </c>
      <c r="C1989" s="5">
        <v>713920</v>
      </c>
      <c r="D1989" s="4" t="s">
        <v>4522</v>
      </c>
    </row>
    <row r="1990" spans="1:4" ht="25.5" x14ac:dyDescent="0.25">
      <c r="A1990" s="3">
        <v>7999</v>
      </c>
      <c r="B1990" s="4" t="s">
        <v>5510</v>
      </c>
      <c r="C1990" s="5">
        <v>713940</v>
      </c>
      <c r="D1990" s="4" t="s">
        <v>4526</v>
      </c>
    </row>
    <row r="1991" spans="1:4" ht="76.5" x14ac:dyDescent="0.25">
      <c r="A1991" s="3">
        <v>7999</v>
      </c>
      <c r="B1991" s="4" t="s">
        <v>5511</v>
      </c>
      <c r="C1991" s="5">
        <v>713990</v>
      </c>
      <c r="D1991" s="4" t="s">
        <v>4530</v>
      </c>
    </row>
    <row r="1992" spans="1:4" x14ac:dyDescent="0.25">
      <c r="A1992" s="3">
        <v>7999</v>
      </c>
      <c r="B1992" s="4" t="s">
        <v>5512</v>
      </c>
      <c r="C1992" s="5">
        <v>812990</v>
      </c>
      <c r="D1992" s="4" t="s">
        <v>4624</v>
      </c>
    </row>
    <row r="1993" spans="1:4" ht="25.5" x14ac:dyDescent="0.25">
      <c r="A1993" s="3">
        <v>8011</v>
      </c>
      <c r="B1993" s="4" t="s">
        <v>5513</v>
      </c>
      <c r="C1993" s="5">
        <v>621111</v>
      </c>
      <c r="D1993" s="4" t="s">
        <v>4405</v>
      </c>
    </row>
    <row r="1994" spans="1:4" x14ac:dyDescent="0.25">
      <c r="A1994" s="3">
        <v>8011</v>
      </c>
      <c r="B1994" s="4" t="s">
        <v>5514</v>
      </c>
      <c r="C1994" s="5">
        <v>621112</v>
      </c>
      <c r="D1994" s="4" t="s">
        <v>4407</v>
      </c>
    </row>
    <row r="1995" spans="1:4" x14ac:dyDescent="0.25">
      <c r="A1995" s="3">
        <v>8011</v>
      </c>
      <c r="B1995" s="4" t="s">
        <v>5515</v>
      </c>
      <c r="C1995" s="5">
        <v>621491</v>
      </c>
      <c r="D1995" s="4" t="s">
        <v>4427</v>
      </c>
    </row>
    <row r="1996" spans="1:4" x14ac:dyDescent="0.25">
      <c r="A1996" s="3">
        <v>8011</v>
      </c>
      <c r="B1996" s="4" t="s">
        <v>5516</v>
      </c>
      <c r="C1996" s="5">
        <v>621493</v>
      </c>
      <c r="D1996" s="4" t="s">
        <v>4431</v>
      </c>
    </row>
    <row r="1997" spans="1:4" x14ac:dyDescent="0.25">
      <c r="A1997" s="3">
        <v>8021</v>
      </c>
      <c r="B1997" s="4" t="s">
        <v>5517</v>
      </c>
      <c r="C1997" s="5">
        <v>621210</v>
      </c>
      <c r="D1997" s="4" t="s">
        <v>4409</v>
      </c>
    </row>
    <row r="1998" spans="1:4" x14ac:dyDescent="0.25">
      <c r="A1998" s="3">
        <v>8031</v>
      </c>
      <c r="B1998" s="4" t="s">
        <v>5518</v>
      </c>
      <c r="C1998" s="5">
        <v>621111</v>
      </c>
      <c r="D1998" s="4" t="s">
        <v>4405</v>
      </c>
    </row>
    <row r="1999" spans="1:4" x14ac:dyDescent="0.25">
      <c r="A1999" s="3">
        <v>8031</v>
      </c>
      <c r="B1999" s="4" t="s">
        <v>5519</v>
      </c>
      <c r="C1999" s="5">
        <v>621112</v>
      </c>
      <c r="D1999" s="4" t="s">
        <v>4407</v>
      </c>
    </row>
    <row r="2000" spans="1:4" x14ac:dyDescent="0.25">
      <c r="A2000" s="3">
        <v>8041</v>
      </c>
      <c r="B2000" s="4" t="s">
        <v>5520</v>
      </c>
      <c r="C2000" s="5">
        <v>621310</v>
      </c>
      <c r="D2000" s="4" t="s">
        <v>4411</v>
      </c>
    </row>
    <row r="2001" spans="1:4" x14ac:dyDescent="0.25">
      <c r="A2001" s="3">
        <v>8042</v>
      </c>
      <c r="B2001" s="4" t="s">
        <v>5521</v>
      </c>
      <c r="C2001" s="5">
        <v>621320</v>
      </c>
      <c r="D2001" s="4" t="s">
        <v>4413</v>
      </c>
    </row>
    <row r="2002" spans="1:4" x14ac:dyDescent="0.25">
      <c r="A2002" s="3">
        <v>8043</v>
      </c>
      <c r="B2002" s="4" t="s">
        <v>5522</v>
      </c>
      <c r="C2002" s="5">
        <v>621391</v>
      </c>
      <c r="D2002" s="4" t="s">
        <v>4419</v>
      </c>
    </row>
    <row r="2003" spans="1:4" x14ac:dyDescent="0.25">
      <c r="A2003" s="3">
        <v>8049</v>
      </c>
      <c r="B2003" s="4" t="s">
        <v>5523</v>
      </c>
      <c r="C2003" s="5">
        <v>621330</v>
      </c>
      <c r="D2003" s="4" t="s">
        <v>4415</v>
      </c>
    </row>
    <row r="2004" spans="1:4" ht="25.5" x14ac:dyDescent="0.25">
      <c r="A2004" s="3">
        <v>8049</v>
      </c>
      <c r="B2004" s="4" t="s">
        <v>5524</v>
      </c>
      <c r="C2004" s="5">
        <v>621340</v>
      </c>
      <c r="D2004" s="4" t="s">
        <v>6009</v>
      </c>
    </row>
    <row r="2005" spans="1:4" ht="25.5" x14ac:dyDescent="0.25">
      <c r="A2005" s="3">
        <v>8049</v>
      </c>
      <c r="B2005" s="4" t="s">
        <v>5525</v>
      </c>
      <c r="C2005" s="5">
        <v>621399</v>
      </c>
      <c r="D2005" s="4" t="s">
        <v>4421</v>
      </c>
    </row>
    <row r="2006" spans="1:4" ht="25.5" x14ac:dyDescent="0.25">
      <c r="A2006" s="3">
        <v>8051</v>
      </c>
      <c r="B2006" s="4" t="s">
        <v>5526</v>
      </c>
      <c r="C2006" s="5">
        <v>623110</v>
      </c>
      <c r="D2006" s="4" t="s">
        <v>6010</v>
      </c>
    </row>
    <row r="2007" spans="1:4" x14ac:dyDescent="0.25">
      <c r="A2007" s="3">
        <v>8051</v>
      </c>
      <c r="B2007" s="4" t="s">
        <v>5527</v>
      </c>
      <c r="C2007" s="5">
        <v>623210</v>
      </c>
      <c r="D2007" s="4" t="s">
        <v>6011</v>
      </c>
    </row>
    <row r="2008" spans="1:4" x14ac:dyDescent="0.25">
      <c r="A2008" s="3">
        <v>8051</v>
      </c>
      <c r="B2008" s="4" t="s">
        <v>5528</v>
      </c>
      <c r="C2008" s="5">
        <v>623311</v>
      </c>
      <c r="D2008" s="4" t="s">
        <v>6012</v>
      </c>
    </row>
    <row r="2009" spans="1:4" ht="25.5" x14ac:dyDescent="0.25">
      <c r="A2009" s="3">
        <v>8052</v>
      </c>
      <c r="B2009" s="4" t="s">
        <v>5529</v>
      </c>
      <c r="C2009" s="5">
        <v>623110</v>
      </c>
      <c r="D2009" s="4" t="s">
        <v>6010</v>
      </c>
    </row>
    <row r="2010" spans="1:4" x14ac:dyDescent="0.25">
      <c r="A2010" s="3">
        <v>8052</v>
      </c>
      <c r="B2010" s="4" t="s">
        <v>5530</v>
      </c>
      <c r="C2010" s="5">
        <v>623210</v>
      </c>
      <c r="D2010" s="4" t="s">
        <v>6011</v>
      </c>
    </row>
    <row r="2011" spans="1:4" x14ac:dyDescent="0.25">
      <c r="A2011" s="3">
        <v>8052</v>
      </c>
      <c r="B2011" s="4" t="s">
        <v>5531</v>
      </c>
      <c r="C2011" s="5">
        <v>623311</v>
      </c>
      <c r="D2011" s="4" t="s">
        <v>6012</v>
      </c>
    </row>
    <row r="2012" spans="1:4" ht="38.25" x14ac:dyDescent="0.25">
      <c r="A2012" s="3">
        <v>8059</v>
      </c>
      <c r="B2012" s="4" t="s">
        <v>5532</v>
      </c>
      <c r="C2012" s="5">
        <v>623110</v>
      </c>
      <c r="D2012" s="4" t="s">
        <v>6010</v>
      </c>
    </row>
    <row r="2013" spans="1:4" x14ac:dyDescent="0.25">
      <c r="A2013" s="3">
        <v>8059</v>
      </c>
      <c r="B2013" s="4" t="s">
        <v>5533</v>
      </c>
      <c r="C2013" s="5">
        <v>623210</v>
      </c>
      <c r="D2013" s="4" t="s">
        <v>6011</v>
      </c>
    </row>
    <row r="2014" spans="1:4" x14ac:dyDescent="0.25">
      <c r="A2014" s="3">
        <v>8059</v>
      </c>
      <c r="B2014" s="4" t="s">
        <v>5534</v>
      </c>
      <c r="C2014" s="5">
        <v>623311</v>
      </c>
      <c r="D2014" s="4" t="s">
        <v>6012</v>
      </c>
    </row>
    <row r="2015" spans="1:4" x14ac:dyDescent="0.25">
      <c r="A2015" s="3">
        <v>8062</v>
      </c>
      <c r="B2015" s="4" t="s">
        <v>4446</v>
      </c>
      <c r="C2015" s="5">
        <v>622110</v>
      </c>
      <c r="D2015" s="4" t="s">
        <v>4446</v>
      </c>
    </row>
    <row r="2016" spans="1:4" x14ac:dyDescent="0.25">
      <c r="A2016" s="3">
        <v>8063</v>
      </c>
      <c r="B2016" s="4" t="s">
        <v>5535</v>
      </c>
      <c r="C2016" s="5">
        <v>622210</v>
      </c>
      <c r="D2016" s="4" t="s">
        <v>4448</v>
      </c>
    </row>
    <row r="2017" spans="1:4" x14ac:dyDescent="0.25">
      <c r="A2017" s="3">
        <v>8069</v>
      </c>
      <c r="B2017" s="4" t="s">
        <v>5536</v>
      </c>
      <c r="C2017" s="5">
        <v>622110</v>
      </c>
      <c r="D2017" s="4" t="s">
        <v>4446</v>
      </c>
    </row>
    <row r="2018" spans="1:4" x14ac:dyDescent="0.25">
      <c r="A2018" s="3">
        <v>8069</v>
      </c>
      <c r="B2018" s="4" t="s">
        <v>5537</v>
      </c>
      <c r="C2018" s="5">
        <v>622210</v>
      </c>
      <c r="D2018" s="4" t="s">
        <v>4448</v>
      </c>
    </row>
    <row r="2019" spans="1:4" ht="25.5" x14ac:dyDescent="0.25">
      <c r="A2019" s="3">
        <v>8069</v>
      </c>
      <c r="B2019" s="4" t="s">
        <v>5538</v>
      </c>
      <c r="C2019" s="5">
        <v>622310</v>
      </c>
      <c r="D2019" s="4" t="s">
        <v>4450</v>
      </c>
    </row>
    <row r="2020" spans="1:4" x14ac:dyDescent="0.25">
      <c r="A2020" s="3">
        <v>8071</v>
      </c>
      <c r="B2020" s="4" t="s">
        <v>5539</v>
      </c>
      <c r="C2020" s="5">
        <v>621511</v>
      </c>
      <c r="D2020" s="4" t="s">
        <v>4434</v>
      </c>
    </row>
    <row r="2021" spans="1:4" x14ac:dyDescent="0.25">
      <c r="A2021" s="3">
        <v>8071</v>
      </c>
      <c r="B2021" s="4" t="s">
        <v>5540</v>
      </c>
      <c r="C2021" s="5">
        <v>621512</v>
      </c>
      <c r="D2021" s="4" t="s">
        <v>4436</v>
      </c>
    </row>
    <row r="2022" spans="1:4" x14ac:dyDescent="0.25">
      <c r="A2022" s="3">
        <v>8072</v>
      </c>
      <c r="B2022" s="4" t="s">
        <v>3496</v>
      </c>
      <c r="C2022" s="5">
        <v>339116</v>
      </c>
      <c r="D2022" s="4" t="s">
        <v>3496</v>
      </c>
    </row>
    <row r="2023" spans="1:4" x14ac:dyDescent="0.25">
      <c r="A2023" s="3">
        <v>8082</v>
      </c>
      <c r="B2023" s="4" t="s">
        <v>4438</v>
      </c>
      <c r="C2023" s="5">
        <v>621610</v>
      </c>
      <c r="D2023" s="4" t="s">
        <v>4438</v>
      </c>
    </row>
    <row r="2024" spans="1:4" x14ac:dyDescent="0.25">
      <c r="A2024" s="3">
        <v>8092</v>
      </c>
      <c r="B2024" s="4" t="s">
        <v>4429</v>
      </c>
      <c r="C2024" s="5">
        <v>621492</v>
      </c>
      <c r="D2024" s="4" t="s">
        <v>4429</v>
      </c>
    </row>
    <row r="2025" spans="1:4" x14ac:dyDescent="0.25">
      <c r="A2025" s="3">
        <v>8093</v>
      </c>
      <c r="B2025" s="4" t="s">
        <v>5541</v>
      </c>
      <c r="C2025" s="5">
        <v>621399</v>
      </c>
      <c r="D2025" s="4" t="s">
        <v>4421</v>
      </c>
    </row>
    <row r="2026" spans="1:4" x14ac:dyDescent="0.25">
      <c r="A2026" s="3">
        <v>8093</v>
      </c>
      <c r="B2026" s="4" t="s">
        <v>5542</v>
      </c>
      <c r="C2026" s="5">
        <v>621410</v>
      </c>
      <c r="D2026" s="4" t="s">
        <v>4423</v>
      </c>
    </row>
    <row r="2027" spans="1:4" x14ac:dyDescent="0.25">
      <c r="A2027" s="3">
        <v>8093</v>
      </c>
      <c r="B2027" s="4" t="s">
        <v>5543</v>
      </c>
      <c r="C2027" s="5">
        <v>621420</v>
      </c>
      <c r="D2027" s="4" t="s">
        <v>4425</v>
      </c>
    </row>
    <row r="2028" spans="1:4" ht="25.5" x14ac:dyDescent="0.25">
      <c r="A2028" s="3">
        <v>8093</v>
      </c>
      <c r="B2028" s="4" t="s">
        <v>5544</v>
      </c>
      <c r="C2028" s="5">
        <v>621498</v>
      </c>
      <c r="D2028" s="4" t="s">
        <v>4433</v>
      </c>
    </row>
    <row r="2029" spans="1:4" x14ac:dyDescent="0.25">
      <c r="A2029" s="3">
        <v>8099</v>
      </c>
      <c r="B2029" s="4" t="s">
        <v>5545</v>
      </c>
      <c r="C2029" s="5">
        <v>541430</v>
      </c>
      <c r="D2029" s="4" t="s">
        <v>4218</v>
      </c>
    </row>
    <row r="2030" spans="1:4" x14ac:dyDescent="0.25">
      <c r="A2030" s="3">
        <v>8099</v>
      </c>
      <c r="B2030" s="4" t="s">
        <v>5546</v>
      </c>
      <c r="C2030" s="5">
        <v>541922</v>
      </c>
      <c r="D2030" s="4" t="s">
        <v>4272</v>
      </c>
    </row>
    <row r="2031" spans="1:4" x14ac:dyDescent="0.25">
      <c r="A2031" s="3">
        <v>8099</v>
      </c>
      <c r="B2031" s="4" t="s">
        <v>5547</v>
      </c>
      <c r="C2031" s="5">
        <v>621410</v>
      </c>
      <c r="D2031" s="4" t="s">
        <v>4423</v>
      </c>
    </row>
    <row r="2032" spans="1:4" x14ac:dyDescent="0.25">
      <c r="A2032" s="3">
        <v>8099</v>
      </c>
      <c r="B2032" s="4" t="s">
        <v>5548</v>
      </c>
      <c r="C2032" s="5">
        <v>621991</v>
      </c>
      <c r="D2032" s="4" t="s">
        <v>4442</v>
      </c>
    </row>
    <row r="2033" spans="1:4" ht="25.5" x14ac:dyDescent="0.25">
      <c r="A2033" s="3">
        <v>8099</v>
      </c>
      <c r="B2033" s="4" t="s">
        <v>5549</v>
      </c>
      <c r="C2033" s="5">
        <v>621999</v>
      </c>
      <c r="D2033" s="4" t="s">
        <v>4444</v>
      </c>
    </row>
    <row r="2034" spans="1:4" x14ac:dyDescent="0.25">
      <c r="A2034" s="3">
        <v>8111</v>
      </c>
      <c r="B2034" s="4" t="s">
        <v>5550</v>
      </c>
      <c r="C2034" s="5">
        <v>541110</v>
      </c>
      <c r="D2034" s="4" t="s">
        <v>6013</v>
      </c>
    </row>
    <row r="2035" spans="1:4" x14ac:dyDescent="0.25">
      <c r="A2035" s="3">
        <v>8211</v>
      </c>
      <c r="B2035" s="4" t="s">
        <v>4371</v>
      </c>
      <c r="C2035" s="5">
        <v>611110</v>
      </c>
      <c r="D2035" s="4" t="s">
        <v>4371</v>
      </c>
    </row>
    <row r="2036" spans="1:4" x14ac:dyDescent="0.25">
      <c r="A2036" s="3">
        <v>8221</v>
      </c>
      <c r="B2036" s="4" t="s">
        <v>4375</v>
      </c>
      <c r="C2036" s="5">
        <v>611310</v>
      </c>
      <c r="D2036" s="4" t="s">
        <v>4375</v>
      </c>
    </row>
    <row r="2037" spans="1:4" x14ac:dyDescent="0.25">
      <c r="A2037" s="3">
        <v>8222</v>
      </c>
      <c r="B2037" s="4" t="s">
        <v>5551</v>
      </c>
      <c r="C2037" s="5">
        <v>611210</v>
      </c>
      <c r="D2037" s="4" t="s">
        <v>4373</v>
      </c>
    </row>
    <row r="2038" spans="1:4" x14ac:dyDescent="0.25">
      <c r="A2038" s="3">
        <v>8231</v>
      </c>
      <c r="B2038" s="4" t="s">
        <v>5552</v>
      </c>
      <c r="C2038" s="5">
        <v>519120</v>
      </c>
      <c r="D2038" s="4" t="s">
        <v>4035</v>
      </c>
    </row>
    <row r="2039" spans="1:4" x14ac:dyDescent="0.25">
      <c r="A2039" s="3">
        <v>8243</v>
      </c>
      <c r="B2039" s="4" t="s">
        <v>5553</v>
      </c>
      <c r="C2039" s="5">
        <v>611420</v>
      </c>
      <c r="D2039" s="4" t="s">
        <v>6014</v>
      </c>
    </row>
    <row r="2040" spans="1:4" x14ac:dyDescent="0.25">
      <c r="A2040" s="3">
        <v>8243</v>
      </c>
      <c r="B2040" s="4" t="s">
        <v>5554</v>
      </c>
      <c r="C2040" s="5">
        <v>611519</v>
      </c>
      <c r="D2040" s="4" t="s">
        <v>4389</v>
      </c>
    </row>
    <row r="2041" spans="1:4" x14ac:dyDescent="0.25">
      <c r="A2041" s="3">
        <v>8244</v>
      </c>
      <c r="B2041" s="4" t="s">
        <v>4377</v>
      </c>
      <c r="C2041" s="5">
        <v>611410</v>
      </c>
      <c r="D2041" s="4" t="s">
        <v>4377</v>
      </c>
    </row>
    <row r="2042" spans="1:4" x14ac:dyDescent="0.25">
      <c r="A2042" s="3">
        <v>8249</v>
      </c>
      <c r="B2042" s="4" t="s">
        <v>5555</v>
      </c>
      <c r="C2042" s="5">
        <v>611512</v>
      </c>
      <c r="D2042" s="4" t="s">
        <v>4385</v>
      </c>
    </row>
    <row r="2043" spans="1:4" x14ac:dyDescent="0.25">
      <c r="A2043" s="3">
        <v>8249</v>
      </c>
      <c r="B2043" s="4" t="s">
        <v>5556</v>
      </c>
      <c r="C2043" s="5">
        <v>611513</v>
      </c>
      <c r="D2043" s="4" t="s">
        <v>4387</v>
      </c>
    </row>
    <row r="2044" spans="1:4" x14ac:dyDescent="0.25">
      <c r="A2044" s="3">
        <v>8249</v>
      </c>
      <c r="B2044" s="4" t="s">
        <v>5557</v>
      </c>
      <c r="C2044" s="5">
        <v>611519</v>
      </c>
      <c r="D2044" s="4" t="s">
        <v>4389</v>
      </c>
    </row>
    <row r="2045" spans="1:4" x14ac:dyDescent="0.25">
      <c r="A2045" s="3">
        <v>8299</v>
      </c>
      <c r="B2045" s="4" t="s">
        <v>5558</v>
      </c>
      <c r="C2045" s="5">
        <v>611430</v>
      </c>
      <c r="D2045" s="4" t="s">
        <v>4381</v>
      </c>
    </row>
    <row r="2046" spans="1:4" x14ac:dyDescent="0.25">
      <c r="A2046" s="3">
        <v>8299</v>
      </c>
      <c r="B2046" s="4" t="s">
        <v>5559</v>
      </c>
      <c r="C2046" s="5">
        <v>611512</v>
      </c>
      <c r="D2046" s="4" t="s">
        <v>4385</v>
      </c>
    </row>
    <row r="2047" spans="1:4" x14ac:dyDescent="0.25">
      <c r="A2047" s="3">
        <v>8299</v>
      </c>
      <c r="B2047" s="4" t="s">
        <v>5560</v>
      </c>
      <c r="C2047" s="5">
        <v>611519</v>
      </c>
      <c r="D2047" s="4" t="s">
        <v>4389</v>
      </c>
    </row>
    <row r="2048" spans="1:4" x14ac:dyDescent="0.25">
      <c r="A2048" s="3">
        <v>8299</v>
      </c>
      <c r="B2048" s="4" t="s">
        <v>5561</v>
      </c>
      <c r="C2048" s="5">
        <v>611610</v>
      </c>
      <c r="D2048" s="4" t="s">
        <v>4391</v>
      </c>
    </row>
    <row r="2049" spans="1:4" x14ac:dyDescent="0.25">
      <c r="A2049" s="3">
        <v>8299</v>
      </c>
      <c r="B2049" s="4" t="s">
        <v>5562</v>
      </c>
      <c r="C2049" s="5">
        <v>611620</v>
      </c>
      <c r="D2049" s="4" t="s">
        <v>4393</v>
      </c>
    </row>
    <row r="2050" spans="1:4" x14ac:dyDescent="0.25">
      <c r="A2050" s="3">
        <v>8299</v>
      </c>
      <c r="B2050" s="4" t="s">
        <v>5563</v>
      </c>
      <c r="C2050" s="5">
        <v>611630</v>
      </c>
      <c r="D2050" s="4" t="s">
        <v>4395</v>
      </c>
    </row>
    <row r="2051" spans="1:4" x14ac:dyDescent="0.25">
      <c r="A2051" s="3">
        <v>8299</v>
      </c>
      <c r="B2051" s="4" t="s">
        <v>5564</v>
      </c>
      <c r="C2051" s="5">
        <v>611691</v>
      </c>
      <c r="D2051" s="4" t="s">
        <v>4397</v>
      </c>
    </row>
    <row r="2052" spans="1:4" x14ac:dyDescent="0.25">
      <c r="A2052" s="3">
        <v>8299</v>
      </c>
      <c r="B2052" s="4" t="s">
        <v>5565</v>
      </c>
      <c r="C2052" s="5">
        <v>611692</v>
      </c>
      <c r="D2052" s="4" t="s">
        <v>4399</v>
      </c>
    </row>
    <row r="2053" spans="1:4" ht="38.25" x14ac:dyDescent="0.25">
      <c r="A2053" s="3">
        <v>8299</v>
      </c>
      <c r="B2053" s="4" t="s">
        <v>5566</v>
      </c>
      <c r="C2053" s="5">
        <v>611699</v>
      </c>
      <c r="D2053" s="4" t="s">
        <v>4401</v>
      </c>
    </row>
    <row r="2054" spans="1:4" x14ac:dyDescent="0.25">
      <c r="A2054" s="3">
        <v>8299</v>
      </c>
      <c r="B2054" s="4" t="s">
        <v>5567</v>
      </c>
      <c r="C2054" s="5">
        <v>611710</v>
      </c>
      <c r="D2054" s="4" t="s">
        <v>4403</v>
      </c>
    </row>
    <row r="2055" spans="1:4" x14ac:dyDescent="0.25">
      <c r="A2055" s="3">
        <v>8322</v>
      </c>
      <c r="B2055" s="4" t="s">
        <v>5568</v>
      </c>
      <c r="C2055" s="5">
        <v>624110</v>
      </c>
      <c r="D2055" s="4" t="s">
        <v>4464</v>
      </c>
    </row>
    <row r="2056" spans="1:4" x14ac:dyDescent="0.25">
      <c r="A2056" s="3">
        <v>8322</v>
      </c>
      <c r="B2056" s="4" t="s">
        <v>5569</v>
      </c>
      <c r="C2056" s="5">
        <v>624120</v>
      </c>
      <c r="D2056" s="4" t="s">
        <v>4466</v>
      </c>
    </row>
    <row r="2057" spans="1:4" ht="38.25" x14ac:dyDescent="0.25">
      <c r="A2057" s="3">
        <v>8322</v>
      </c>
      <c r="B2057" s="4" t="s">
        <v>5570</v>
      </c>
      <c r="C2057" s="5">
        <v>624190</v>
      </c>
      <c r="D2057" s="4" t="s">
        <v>4468</v>
      </c>
    </row>
    <row r="2058" spans="1:4" x14ac:dyDescent="0.25">
      <c r="A2058" s="3">
        <v>8322</v>
      </c>
      <c r="B2058" s="4" t="s">
        <v>5571</v>
      </c>
      <c r="C2058" s="5">
        <v>624210</v>
      </c>
      <c r="D2058" s="4" t="s">
        <v>4470</v>
      </c>
    </row>
    <row r="2059" spans="1:4" x14ac:dyDescent="0.25">
      <c r="A2059" s="3">
        <v>8322</v>
      </c>
      <c r="B2059" s="4" t="s">
        <v>5572</v>
      </c>
      <c r="C2059" s="5">
        <v>624221</v>
      </c>
      <c r="D2059" s="4" t="s">
        <v>4472</v>
      </c>
    </row>
    <row r="2060" spans="1:4" x14ac:dyDescent="0.25">
      <c r="A2060" s="3">
        <v>8322</v>
      </c>
      <c r="B2060" s="4" t="s">
        <v>5573</v>
      </c>
      <c r="C2060" s="5">
        <v>624229</v>
      </c>
      <c r="D2060" s="4" t="s">
        <v>4474</v>
      </c>
    </row>
    <row r="2061" spans="1:4" x14ac:dyDescent="0.25">
      <c r="A2061" s="3">
        <v>8322</v>
      </c>
      <c r="B2061" s="4" t="s">
        <v>5574</v>
      </c>
      <c r="C2061" s="5">
        <v>624230</v>
      </c>
      <c r="D2061" s="4" t="s">
        <v>4476</v>
      </c>
    </row>
    <row r="2062" spans="1:4" x14ac:dyDescent="0.25">
      <c r="A2062" s="3">
        <v>8322</v>
      </c>
      <c r="B2062" s="4" t="s">
        <v>5575</v>
      </c>
      <c r="C2062" s="5">
        <v>922150</v>
      </c>
      <c r="D2062" s="4" t="s">
        <v>4670</v>
      </c>
    </row>
    <row r="2063" spans="1:4" x14ac:dyDescent="0.25">
      <c r="A2063" s="3">
        <v>8331</v>
      </c>
      <c r="B2063" s="4" t="s">
        <v>5576</v>
      </c>
      <c r="C2063" s="5">
        <v>624310</v>
      </c>
      <c r="D2063" s="4" t="s">
        <v>4478</v>
      </c>
    </row>
    <row r="2064" spans="1:4" x14ac:dyDescent="0.25">
      <c r="A2064" s="3">
        <v>8351</v>
      </c>
      <c r="B2064" s="4" t="s">
        <v>4480</v>
      </c>
      <c r="C2064" s="5">
        <v>624410</v>
      </c>
      <c r="D2064" s="4" t="s">
        <v>4480</v>
      </c>
    </row>
    <row r="2065" spans="1:4" x14ac:dyDescent="0.25">
      <c r="A2065" s="3">
        <v>8361</v>
      </c>
      <c r="B2065" s="4" t="s">
        <v>5577</v>
      </c>
      <c r="C2065" s="5">
        <v>623210</v>
      </c>
      <c r="D2065" s="4" t="s">
        <v>6011</v>
      </c>
    </row>
    <row r="2066" spans="1:4" x14ac:dyDescent="0.25">
      <c r="A2066" s="3">
        <v>8361</v>
      </c>
      <c r="B2066" s="4" t="s">
        <v>5578</v>
      </c>
      <c r="C2066" s="5">
        <v>623220</v>
      </c>
      <c r="D2066" s="4" t="s">
        <v>4456</v>
      </c>
    </row>
    <row r="2067" spans="1:4" x14ac:dyDescent="0.25">
      <c r="A2067" s="3">
        <v>8361</v>
      </c>
      <c r="B2067" s="4" t="s">
        <v>5579</v>
      </c>
      <c r="C2067" s="5">
        <v>623312</v>
      </c>
      <c r="D2067" s="4" t="s">
        <v>6015</v>
      </c>
    </row>
    <row r="2068" spans="1:4" ht="25.5" x14ac:dyDescent="0.25">
      <c r="A2068" s="3">
        <v>8361</v>
      </c>
      <c r="B2068" s="4" t="s">
        <v>5580</v>
      </c>
      <c r="C2068" s="5">
        <v>623990</v>
      </c>
      <c r="D2068" s="4" t="s">
        <v>4462</v>
      </c>
    </row>
    <row r="2069" spans="1:4" x14ac:dyDescent="0.25">
      <c r="A2069" s="3">
        <v>8399</v>
      </c>
      <c r="B2069" s="4" t="s">
        <v>5581</v>
      </c>
      <c r="C2069" s="5">
        <v>813212</v>
      </c>
      <c r="D2069" s="4" t="s">
        <v>4629</v>
      </c>
    </row>
    <row r="2070" spans="1:4" x14ac:dyDescent="0.25">
      <c r="A2070" s="3">
        <v>8399</v>
      </c>
      <c r="B2070" s="4" t="s">
        <v>5582</v>
      </c>
      <c r="C2070" s="5">
        <v>813219</v>
      </c>
      <c r="D2070" s="4" t="s">
        <v>4631</v>
      </c>
    </row>
    <row r="2071" spans="1:4" x14ac:dyDescent="0.25">
      <c r="A2071" s="3">
        <v>8399</v>
      </c>
      <c r="B2071" s="4" t="s">
        <v>5583</v>
      </c>
      <c r="C2071" s="5">
        <v>813311</v>
      </c>
      <c r="D2071" s="4" t="s">
        <v>4633</v>
      </c>
    </row>
    <row r="2072" spans="1:4" x14ac:dyDescent="0.25">
      <c r="A2072" s="3">
        <v>8399</v>
      </c>
      <c r="B2072" s="4" t="s">
        <v>5584</v>
      </c>
      <c r="C2072" s="5">
        <v>813312</v>
      </c>
      <c r="D2072" s="4" t="s">
        <v>4635</v>
      </c>
    </row>
    <row r="2073" spans="1:4" ht="25.5" x14ac:dyDescent="0.25">
      <c r="A2073" s="3">
        <v>8399</v>
      </c>
      <c r="B2073" s="4" t="s">
        <v>5585</v>
      </c>
      <c r="C2073" s="5">
        <v>813319</v>
      </c>
      <c r="D2073" s="4" t="s">
        <v>4637</v>
      </c>
    </row>
    <row r="2074" spans="1:4" x14ac:dyDescent="0.25">
      <c r="A2074" s="3">
        <v>8412</v>
      </c>
      <c r="B2074" s="4" t="s">
        <v>5586</v>
      </c>
      <c r="C2074" s="5">
        <v>712110</v>
      </c>
      <c r="D2074" s="4" t="s">
        <v>4504</v>
      </c>
    </row>
    <row r="2075" spans="1:4" x14ac:dyDescent="0.25">
      <c r="A2075" s="3">
        <v>8412</v>
      </c>
      <c r="B2075" s="4" t="s">
        <v>5587</v>
      </c>
      <c r="C2075" s="5">
        <v>712120</v>
      </c>
      <c r="D2075" s="4" t="s">
        <v>4506</v>
      </c>
    </row>
    <row r="2076" spans="1:4" x14ac:dyDescent="0.25">
      <c r="A2076" s="3">
        <v>8422</v>
      </c>
      <c r="B2076" s="4" t="s">
        <v>5588</v>
      </c>
      <c r="C2076" s="5">
        <v>712130</v>
      </c>
      <c r="D2076" s="4" t="s">
        <v>4508</v>
      </c>
    </row>
    <row r="2077" spans="1:4" x14ac:dyDescent="0.25">
      <c r="A2077" s="3">
        <v>8422</v>
      </c>
      <c r="B2077" s="4" t="s">
        <v>5589</v>
      </c>
      <c r="C2077" s="5">
        <v>712190</v>
      </c>
      <c r="D2077" s="4" t="s">
        <v>4510</v>
      </c>
    </row>
    <row r="2078" spans="1:4" x14ac:dyDescent="0.25">
      <c r="A2078" s="3">
        <v>8611</v>
      </c>
      <c r="B2078" s="4" t="s">
        <v>4641</v>
      </c>
      <c r="C2078" s="5">
        <v>813910</v>
      </c>
      <c r="D2078" s="4" t="s">
        <v>4641</v>
      </c>
    </row>
    <row r="2079" spans="1:4" x14ac:dyDescent="0.25">
      <c r="A2079" s="3">
        <v>8621</v>
      </c>
      <c r="B2079" s="4" t="s">
        <v>5590</v>
      </c>
      <c r="C2079" s="5">
        <v>813920</v>
      </c>
      <c r="D2079" s="4" t="s">
        <v>4643</v>
      </c>
    </row>
    <row r="2080" spans="1:4" x14ac:dyDescent="0.25">
      <c r="A2080" s="3">
        <v>8631</v>
      </c>
      <c r="B2080" s="4" t="s">
        <v>4645</v>
      </c>
      <c r="C2080" s="5">
        <v>813930</v>
      </c>
      <c r="D2080" s="4" t="s">
        <v>4645</v>
      </c>
    </row>
    <row r="2081" spans="1:4" ht="25.5" x14ac:dyDescent="0.25">
      <c r="A2081" s="3">
        <v>8641</v>
      </c>
      <c r="B2081" s="4" t="s">
        <v>5591</v>
      </c>
      <c r="C2081" s="5">
        <v>813319</v>
      </c>
      <c r="D2081" s="4" t="s">
        <v>4637</v>
      </c>
    </row>
    <row r="2082" spans="1:4" ht="38.25" x14ac:dyDescent="0.25">
      <c r="A2082" s="3">
        <v>8641</v>
      </c>
      <c r="B2082" s="4" t="s">
        <v>5592</v>
      </c>
      <c r="C2082" s="5">
        <v>813410</v>
      </c>
      <c r="D2082" s="4" t="s">
        <v>4639</v>
      </c>
    </row>
    <row r="2083" spans="1:4" ht="25.5" x14ac:dyDescent="0.25">
      <c r="A2083" s="3">
        <v>8641</v>
      </c>
      <c r="B2083" s="4" t="s">
        <v>5593</v>
      </c>
      <c r="C2083" s="5">
        <v>813990</v>
      </c>
      <c r="D2083" s="4" t="s">
        <v>4649</v>
      </c>
    </row>
    <row r="2084" spans="1:4" x14ac:dyDescent="0.25">
      <c r="A2084" s="3">
        <v>8641</v>
      </c>
      <c r="B2084" s="4" t="s">
        <v>5594</v>
      </c>
      <c r="C2084" s="5">
        <v>921150</v>
      </c>
      <c r="D2084" s="4" t="s">
        <v>4661</v>
      </c>
    </row>
    <row r="2085" spans="1:4" x14ac:dyDescent="0.25">
      <c r="A2085" s="3">
        <v>8651</v>
      </c>
      <c r="B2085" s="4" t="s">
        <v>4647</v>
      </c>
      <c r="C2085" s="5">
        <v>813940</v>
      </c>
      <c r="D2085" s="4" t="s">
        <v>4647</v>
      </c>
    </row>
    <row r="2086" spans="1:4" x14ac:dyDescent="0.25">
      <c r="A2086" s="3">
        <v>8661</v>
      </c>
      <c r="B2086" s="4" t="s">
        <v>4625</v>
      </c>
      <c r="C2086" s="5">
        <v>813110</v>
      </c>
      <c r="D2086" s="4" t="s">
        <v>4625</v>
      </c>
    </row>
    <row r="2087" spans="1:4" x14ac:dyDescent="0.25">
      <c r="A2087" s="3">
        <v>8699</v>
      </c>
      <c r="B2087" s="4" t="s">
        <v>5595</v>
      </c>
      <c r="C2087" s="5">
        <v>561599</v>
      </c>
      <c r="D2087" s="4" t="s">
        <v>4324</v>
      </c>
    </row>
    <row r="2088" spans="1:4" x14ac:dyDescent="0.25">
      <c r="A2088" s="3">
        <v>8699</v>
      </c>
      <c r="B2088" s="4" t="s">
        <v>5596</v>
      </c>
      <c r="C2088" s="5">
        <v>813312</v>
      </c>
      <c r="D2088" s="4" t="s">
        <v>4635</v>
      </c>
    </row>
    <row r="2089" spans="1:4" ht="25.5" x14ac:dyDescent="0.25">
      <c r="A2089" s="3">
        <v>8699</v>
      </c>
      <c r="B2089" s="4" t="s">
        <v>5597</v>
      </c>
      <c r="C2089" s="5">
        <v>813410</v>
      </c>
      <c r="D2089" s="4" t="s">
        <v>4639</v>
      </c>
    </row>
    <row r="2090" spans="1:4" x14ac:dyDescent="0.25">
      <c r="A2090" s="3">
        <v>8699</v>
      </c>
      <c r="B2090" s="4" t="s">
        <v>5598</v>
      </c>
      <c r="C2090" s="5">
        <v>813910</v>
      </c>
      <c r="D2090" s="4" t="s">
        <v>4641</v>
      </c>
    </row>
    <row r="2091" spans="1:4" ht="25.5" x14ac:dyDescent="0.25">
      <c r="A2091" s="3">
        <v>8699</v>
      </c>
      <c r="B2091" s="4" t="s">
        <v>5599</v>
      </c>
      <c r="C2091" s="5">
        <v>813990</v>
      </c>
      <c r="D2091" s="4" t="s">
        <v>4649</v>
      </c>
    </row>
    <row r="2092" spans="1:4" x14ac:dyDescent="0.25">
      <c r="A2092" s="3">
        <v>8711</v>
      </c>
      <c r="B2092" s="4" t="s">
        <v>4202</v>
      </c>
      <c r="C2092" s="5">
        <v>541330</v>
      </c>
      <c r="D2092" s="4" t="s">
        <v>4202</v>
      </c>
    </row>
    <row r="2093" spans="1:4" x14ac:dyDescent="0.25">
      <c r="A2093" s="3">
        <v>8712</v>
      </c>
      <c r="B2093" s="4" t="s">
        <v>4198</v>
      </c>
      <c r="C2093" s="5">
        <v>541310</v>
      </c>
      <c r="D2093" s="4" t="s">
        <v>6016</v>
      </c>
    </row>
    <row r="2094" spans="1:4" x14ac:dyDescent="0.25">
      <c r="A2094" s="3">
        <v>8713</v>
      </c>
      <c r="B2094" s="4" t="s">
        <v>5600</v>
      </c>
      <c r="C2094" s="5">
        <v>541360</v>
      </c>
      <c r="D2094" s="4" t="s">
        <v>4208</v>
      </c>
    </row>
    <row r="2095" spans="1:4" x14ac:dyDescent="0.25">
      <c r="A2095" s="3">
        <v>8713</v>
      </c>
      <c r="B2095" s="4" t="s">
        <v>5601</v>
      </c>
      <c r="C2095" s="5">
        <v>541370</v>
      </c>
      <c r="D2095" s="4" t="s">
        <v>4210</v>
      </c>
    </row>
    <row r="2096" spans="1:4" x14ac:dyDescent="0.25">
      <c r="A2096" s="3">
        <v>8721</v>
      </c>
      <c r="B2096" s="4" t="s">
        <v>5602</v>
      </c>
      <c r="C2096" s="5">
        <v>541211</v>
      </c>
      <c r="D2096" s="4" t="s">
        <v>4190</v>
      </c>
    </row>
    <row r="2097" spans="1:4" x14ac:dyDescent="0.25">
      <c r="A2097" s="3">
        <v>8721</v>
      </c>
      <c r="B2097" s="4" t="s">
        <v>5603</v>
      </c>
      <c r="C2097" s="5">
        <v>541214</v>
      </c>
      <c r="D2097" s="4" t="s">
        <v>4194</v>
      </c>
    </row>
    <row r="2098" spans="1:4" x14ac:dyDescent="0.25">
      <c r="A2098" s="3">
        <v>8721</v>
      </c>
      <c r="B2098" s="4" t="s">
        <v>5604</v>
      </c>
      <c r="C2098" s="5">
        <v>541219</v>
      </c>
      <c r="D2098" s="4" t="s">
        <v>4196</v>
      </c>
    </row>
    <row r="2099" spans="1:4" ht="25.5" x14ac:dyDescent="0.25">
      <c r="A2099" s="3">
        <v>8731</v>
      </c>
      <c r="B2099" s="4" t="s">
        <v>5605</v>
      </c>
      <c r="C2099" s="5">
        <v>541710</v>
      </c>
      <c r="D2099" s="4" t="s">
        <v>5946</v>
      </c>
    </row>
    <row r="2100" spans="1:4" ht="25.5" x14ac:dyDescent="0.25">
      <c r="A2100" s="3">
        <v>8732</v>
      </c>
      <c r="B2100" s="4" t="s">
        <v>5606</v>
      </c>
      <c r="C2100" s="5">
        <v>541720</v>
      </c>
      <c r="D2100" s="4" t="s">
        <v>4250</v>
      </c>
    </row>
    <row r="2101" spans="1:4" ht="25.5" x14ac:dyDescent="0.25">
      <c r="A2101" s="3">
        <v>8732</v>
      </c>
      <c r="B2101" s="4" t="s">
        <v>5607</v>
      </c>
      <c r="C2101" s="5">
        <v>541910</v>
      </c>
      <c r="D2101" s="4" t="s">
        <v>4268</v>
      </c>
    </row>
    <row r="2102" spans="1:4" ht="25.5" x14ac:dyDescent="0.25">
      <c r="A2102" s="3">
        <v>8733</v>
      </c>
      <c r="B2102" s="4" t="s">
        <v>5608</v>
      </c>
      <c r="C2102" s="5">
        <v>541710</v>
      </c>
      <c r="D2102" s="4" t="s">
        <v>5946</v>
      </c>
    </row>
    <row r="2103" spans="1:4" ht="25.5" x14ac:dyDescent="0.25">
      <c r="A2103" s="3">
        <v>8733</v>
      </c>
      <c r="B2103" s="4" t="s">
        <v>5609</v>
      </c>
      <c r="C2103" s="5">
        <v>541720</v>
      </c>
      <c r="D2103" s="4" t="s">
        <v>4250</v>
      </c>
    </row>
    <row r="2104" spans="1:4" x14ac:dyDescent="0.25">
      <c r="A2104" s="3">
        <v>8734</v>
      </c>
      <c r="B2104" s="4" t="s">
        <v>496</v>
      </c>
      <c r="C2104" s="5">
        <v>541380</v>
      </c>
      <c r="D2104" s="4" t="s">
        <v>4212</v>
      </c>
    </row>
    <row r="2105" spans="1:4" x14ac:dyDescent="0.25">
      <c r="A2105" s="3">
        <v>8734</v>
      </c>
      <c r="B2105" s="4" t="s">
        <v>5610</v>
      </c>
      <c r="C2105" s="5">
        <v>541940</v>
      </c>
      <c r="D2105" s="4" t="s">
        <v>4276</v>
      </c>
    </row>
    <row r="2106" spans="1:4" ht="25.5" x14ac:dyDescent="0.25">
      <c r="A2106" s="3">
        <v>8741</v>
      </c>
      <c r="B2106" s="4" t="s">
        <v>5611</v>
      </c>
      <c r="C2106" s="5">
        <v>236115</v>
      </c>
      <c r="D2106" s="4" t="s">
        <v>5743</v>
      </c>
    </row>
    <row r="2107" spans="1:4" ht="25.5" x14ac:dyDescent="0.25">
      <c r="A2107" s="6">
        <v>8741</v>
      </c>
      <c r="B2107" s="4" t="s">
        <v>5612</v>
      </c>
      <c r="C2107" s="7">
        <v>236116</v>
      </c>
      <c r="D2107" s="8" t="s">
        <v>5744</v>
      </c>
    </row>
    <row r="2108" spans="1:4" x14ac:dyDescent="0.25">
      <c r="A2108" s="6">
        <v>8741</v>
      </c>
      <c r="B2108" s="4" t="s">
        <v>5613</v>
      </c>
      <c r="C2108" s="7">
        <v>236118</v>
      </c>
      <c r="D2108" s="8" t="s">
        <v>2757</v>
      </c>
    </row>
    <row r="2109" spans="1:4" x14ac:dyDescent="0.25">
      <c r="A2109" s="6">
        <v>8741</v>
      </c>
      <c r="B2109" s="4" t="s">
        <v>5614</v>
      </c>
      <c r="C2109" s="7">
        <v>236210</v>
      </c>
      <c r="D2109" s="8" t="s">
        <v>2759</v>
      </c>
    </row>
    <row r="2110" spans="1:4" x14ac:dyDescent="0.25">
      <c r="A2110" s="6">
        <v>8741</v>
      </c>
      <c r="B2110" s="4" t="s">
        <v>5615</v>
      </c>
      <c r="C2110" s="7">
        <v>236220</v>
      </c>
      <c r="D2110" s="8" t="s">
        <v>2761</v>
      </c>
    </row>
    <row r="2111" spans="1:4" ht="25.5" x14ac:dyDescent="0.25">
      <c r="A2111" s="6">
        <v>8741</v>
      </c>
      <c r="B2111" s="4" t="s">
        <v>5616</v>
      </c>
      <c r="C2111" s="7">
        <v>237110</v>
      </c>
      <c r="D2111" s="8" t="s">
        <v>2763</v>
      </c>
    </row>
    <row r="2112" spans="1:4" ht="25.5" x14ac:dyDescent="0.25">
      <c r="A2112" s="6">
        <v>8741</v>
      </c>
      <c r="B2112" s="4" t="s">
        <v>5617</v>
      </c>
      <c r="C2112" s="7">
        <v>237120</v>
      </c>
      <c r="D2112" s="8" t="s">
        <v>2765</v>
      </c>
    </row>
    <row r="2113" spans="1:4" ht="25.5" x14ac:dyDescent="0.25">
      <c r="A2113" s="6">
        <v>8741</v>
      </c>
      <c r="B2113" s="4" t="s">
        <v>5618</v>
      </c>
      <c r="C2113" s="7">
        <v>237130</v>
      </c>
      <c r="D2113" s="8" t="s">
        <v>2767</v>
      </c>
    </row>
    <row r="2114" spans="1:4" x14ac:dyDescent="0.25">
      <c r="A2114" s="6">
        <v>8741</v>
      </c>
      <c r="B2114" s="4" t="s">
        <v>5619</v>
      </c>
      <c r="C2114" s="7">
        <v>237310</v>
      </c>
      <c r="D2114" s="8" t="s">
        <v>2771</v>
      </c>
    </row>
    <row r="2115" spans="1:4" ht="25.5" x14ac:dyDescent="0.25">
      <c r="A2115" s="6">
        <v>8741</v>
      </c>
      <c r="B2115" s="4" t="s">
        <v>5620</v>
      </c>
      <c r="C2115" s="7">
        <v>237990</v>
      </c>
      <c r="D2115" s="8" t="s">
        <v>2773</v>
      </c>
    </row>
    <row r="2116" spans="1:4" x14ac:dyDescent="0.25">
      <c r="A2116" s="3">
        <v>8741</v>
      </c>
      <c r="B2116" s="4" t="s">
        <v>5621</v>
      </c>
      <c r="C2116" s="5">
        <v>561110</v>
      </c>
      <c r="D2116" s="4" t="s">
        <v>4286</v>
      </c>
    </row>
    <row r="2117" spans="1:4" ht="25.5" x14ac:dyDescent="0.25">
      <c r="A2117" s="3">
        <v>8742</v>
      </c>
      <c r="B2117" s="4" t="s">
        <v>5622</v>
      </c>
      <c r="C2117" s="5">
        <v>541611</v>
      </c>
      <c r="D2117" s="4" t="s">
        <v>6017</v>
      </c>
    </row>
    <row r="2118" spans="1:4" ht="25.5" x14ac:dyDescent="0.25">
      <c r="A2118" s="3">
        <v>8742</v>
      </c>
      <c r="B2118" s="4" t="s">
        <v>5623</v>
      </c>
      <c r="C2118" s="5">
        <v>541612</v>
      </c>
      <c r="D2118" s="4" t="s">
        <v>5997</v>
      </c>
    </row>
    <row r="2119" spans="1:4" x14ac:dyDescent="0.25">
      <c r="A2119" s="3">
        <v>8742</v>
      </c>
      <c r="B2119" s="4" t="s">
        <v>5624</v>
      </c>
      <c r="C2119" s="5">
        <v>541613</v>
      </c>
      <c r="D2119" s="4" t="s">
        <v>4234</v>
      </c>
    </row>
    <row r="2120" spans="1:4" ht="25.5" x14ac:dyDescent="0.25">
      <c r="A2120" s="3">
        <v>8742</v>
      </c>
      <c r="B2120" s="4" t="s">
        <v>5625</v>
      </c>
      <c r="C2120" s="5">
        <v>541614</v>
      </c>
      <c r="D2120" s="4" t="s">
        <v>4236</v>
      </c>
    </row>
    <row r="2121" spans="1:4" x14ac:dyDescent="0.25">
      <c r="A2121" s="3">
        <v>8743</v>
      </c>
      <c r="B2121" s="4" t="s">
        <v>5626</v>
      </c>
      <c r="C2121" s="5">
        <v>541820</v>
      </c>
      <c r="D2121" s="4" t="s">
        <v>4254</v>
      </c>
    </row>
    <row r="2122" spans="1:4" x14ac:dyDescent="0.25">
      <c r="A2122" s="3">
        <v>8744</v>
      </c>
      <c r="B2122" s="4" t="s">
        <v>5627</v>
      </c>
      <c r="C2122" s="5">
        <v>561210</v>
      </c>
      <c r="D2122" s="4" t="s">
        <v>4288</v>
      </c>
    </row>
    <row r="2123" spans="1:4" x14ac:dyDescent="0.25">
      <c r="A2123" s="3">
        <v>8748</v>
      </c>
      <c r="B2123" s="4" t="s">
        <v>5628</v>
      </c>
      <c r="C2123" s="5">
        <v>541320</v>
      </c>
      <c r="D2123" s="4" t="s">
        <v>4200</v>
      </c>
    </row>
    <row r="2124" spans="1:4" x14ac:dyDescent="0.25">
      <c r="A2124" s="3">
        <v>8748</v>
      </c>
      <c r="B2124" s="4" t="s">
        <v>5629</v>
      </c>
      <c r="C2124" s="5">
        <v>541330</v>
      </c>
      <c r="D2124" s="4" t="s">
        <v>4202</v>
      </c>
    </row>
    <row r="2125" spans="1:4" ht="38.25" x14ac:dyDescent="0.25">
      <c r="A2125" s="3">
        <v>8748</v>
      </c>
      <c r="B2125" s="4" t="s">
        <v>5630</v>
      </c>
      <c r="C2125" s="5">
        <v>541618</v>
      </c>
      <c r="D2125" s="4" t="s">
        <v>4238</v>
      </c>
    </row>
    <row r="2126" spans="1:4" x14ac:dyDescent="0.25">
      <c r="A2126" s="3">
        <v>8748</v>
      </c>
      <c r="B2126" s="4" t="s">
        <v>5631</v>
      </c>
      <c r="C2126" s="5">
        <v>541690</v>
      </c>
      <c r="D2126" s="4" t="s">
        <v>4242</v>
      </c>
    </row>
    <row r="2127" spans="1:4" ht="25.5" x14ac:dyDescent="0.25">
      <c r="A2127" s="3">
        <v>8748</v>
      </c>
      <c r="B2127" s="4" t="s">
        <v>5632</v>
      </c>
      <c r="C2127" s="5">
        <v>611710</v>
      </c>
      <c r="D2127" s="4" t="s">
        <v>4403</v>
      </c>
    </row>
    <row r="2128" spans="1:4" x14ac:dyDescent="0.25">
      <c r="A2128" s="3">
        <v>8811</v>
      </c>
      <c r="B2128" s="4" t="s">
        <v>4651</v>
      </c>
      <c r="C2128" s="5">
        <v>814110</v>
      </c>
      <c r="D2128" s="4" t="s">
        <v>4651</v>
      </c>
    </row>
    <row r="2129" spans="1:4" x14ac:dyDescent="0.25">
      <c r="A2129" s="3">
        <v>8999</v>
      </c>
      <c r="B2129" s="4" t="s">
        <v>5633</v>
      </c>
      <c r="C2129" s="5">
        <v>512210</v>
      </c>
      <c r="D2129" s="4" t="s">
        <v>6018</v>
      </c>
    </row>
    <row r="2130" spans="1:4" x14ac:dyDescent="0.25">
      <c r="A2130" s="3">
        <v>8999</v>
      </c>
      <c r="B2130" s="4" t="s">
        <v>5634</v>
      </c>
      <c r="C2130" s="5">
        <v>512230</v>
      </c>
      <c r="D2130" s="4" t="s">
        <v>3999</v>
      </c>
    </row>
    <row r="2131" spans="1:4" ht="25.5" x14ac:dyDescent="0.25">
      <c r="A2131" s="3">
        <v>8999</v>
      </c>
      <c r="B2131" s="4" t="s">
        <v>5635</v>
      </c>
      <c r="C2131" s="5">
        <v>516110</v>
      </c>
      <c r="D2131" s="4" t="s">
        <v>5821</v>
      </c>
    </row>
    <row r="2132" spans="1:4" x14ac:dyDescent="0.25">
      <c r="A2132" s="3">
        <v>8999</v>
      </c>
      <c r="B2132" s="4" t="s">
        <v>5636</v>
      </c>
      <c r="C2132" s="5">
        <v>518112</v>
      </c>
      <c r="D2132" s="4" t="s">
        <v>6019</v>
      </c>
    </row>
    <row r="2133" spans="1:4" ht="25.5" x14ac:dyDescent="0.25">
      <c r="A2133" s="3">
        <v>8999</v>
      </c>
      <c r="B2133" s="4" t="s">
        <v>5637</v>
      </c>
      <c r="C2133" s="5">
        <v>541612</v>
      </c>
      <c r="D2133" s="4" t="s">
        <v>5997</v>
      </c>
    </row>
    <row r="2134" spans="1:4" x14ac:dyDescent="0.25">
      <c r="A2134" s="3">
        <v>8999</v>
      </c>
      <c r="B2134" s="4" t="s">
        <v>5638</v>
      </c>
      <c r="C2134" s="5">
        <v>541620</v>
      </c>
      <c r="D2134" s="4" t="s">
        <v>4240</v>
      </c>
    </row>
    <row r="2135" spans="1:4" x14ac:dyDescent="0.25">
      <c r="A2135" s="3">
        <v>8999</v>
      </c>
      <c r="B2135" s="4" t="s">
        <v>5639</v>
      </c>
      <c r="C2135" s="5">
        <v>541690</v>
      </c>
      <c r="D2135" s="4" t="s">
        <v>4242</v>
      </c>
    </row>
    <row r="2136" spans="1:4" x14ac:dyDescent="0.25">
      <c r="A2136" s="3">
        <v>8999</v>
      </c>
      <c r="B2136" s="4" t="s">
        <v>5640</v>
      </c>
      <c r="C2136" s="5">
        <v>541990</v>
      </c>
      <c r="D2136" s="4" t="s">
        <v>4278</v>
      </c>
    </row>
    <row r="2137" spans="1:4" x14ac:dyDescent="0.25">
      <c r="A2137" s="3">
        <v>8999</v>
      </c>
      <c r="B2137" s="4" t="s">
        <v>5641</v>
      </c>
      <c r="C2137" s="5">
        <v>711510</v>
      </c>
      <c r="D2137" s="4" t="s">
        <v>4502</v>
      </c>
    </row>
    <row r="2138" spans="1:4" x14ac:dyDescent="0.25">
      <c r="A2138" s="3">
        <v>9111</v>
      </c>
      <c r="B2138" s="4" t="s">
        <v>4653</v>
      </c>
      <c r="C2138" s="5">
        <v>921110</v>
      </c>
      <c r="D2138" s="4" t="s">
        <v>4653</v>
      </c>
    </row>
    <row r="2139" spans="1:4" x14ac:dyDescent="0.25">
      <c r="A2139" s="3">
        <v>9121</v>
      </c>
      <c r="B2139" s="4" t="s">
        <v>4655</v>
      </c>
      <c r="C2139" s="5">
        <v>921120</v>
      </c>
      <c r="D2139" s="4" t="s">
        <v>4655</v>
      </c>
    </row>
    <row r="2140" spans="1:4" x14ac:dyDescent="0.25">
      <c r="A2140" s="3">
        <v>9131</v>
      </c>
      <c r="B2140" s="4" t="s">
        <v>5642</v>
      </c>
      <c r="C2140" s="5">
        <v>921140</v>
      </c>
      <c r="D2140" s="4" t="s">
        <v>6020</v>
      </c>
    </row>
    <row r="2141" spans="1:4" x14ac:dyDescent="0.25">
      <c r="A2141" s="3">
        <v>9199</v>
      </c>
      <c r="B2141" s="4" t="s">
        <v>5643</v>
      </c>
      <c r="C2141" s="5">
        <v>921190</v>
      </c>
      <c r="D2141" s="4" t="s">
        <v>4663</v>
      </c>
    </row>
    <row r="2142" spans="1:4" x14ac:dyDescent="0.25">
      <c r="A2142" s="3">
        <v>9211</v>
      </c>
      <c r="B2142" s="4" t="s">
        <v>4665</v>
      </c>
      <c r="C2142" s="5">
        <v>922110</v>
      </c>
      <c r="D2142" s="4" t="s">
        <v>4665</v>
      </c>
    </row>
    <row r="2143" spans="1:4" x14ac:dyDescent="0.25">
      <c r="A2143" s="3">
        <v>9221</v>
      </c>
      <c r="B2143" s="4" t="s">
        <v>4666</v>
      </c>
      <c r="C2143" s="5">
        <v>922120</v>
      </c>
      <c r="D2143" s="4" t="s">
        <v>4666</v>
      </c>
    </row>
    <row r="2144" spans="1:4" x14ac:dyDescent="0.25">
      <c r="A2144" s="3">
        <v>9222</v>
      </c>
      <c r="B2144" s="4" t="s">
        <v>4668</v>
      </c>
      <c r="C2144" s="5">
        <v>922130</v>
      </c>
      <c r="D2144" s="4" t="s">
        <v>4668</v>
      </c>
    </row>
    <row r="2145" spans="1:4" x14ac:dyDescent="0.25">
      <c r="A2145" s="3">
        <v>9223</v>
      </c>
      <c r="B2145" s="4" t="s">
        <v>4669</v>
      </c>
      <c r="C2145" s="5">
        <v>922140</v>
      </c>
      <c r="D2145" s="4" t="s">
        <v>4669</v>
      </c>
    </row>
    <row r="2146" spans="1:4" x14ac:dyDescent="0.25">
      <c r="A2146" s="3">
        <v>9224</v>
      </c>
      <c r="B2146" s="4" t="s">
        <v>4672</v>
      </c>
      <c r="C2146" s="5">
        <v>922160</v>
      </c>
      <c r="D2146" s="4" t="s">
        <v>4672</v>
      </c>
    </row>
    <row r="2147" spans="1:4" x14ac:dyDescent="0.25">
      <c r="A2147" s="3">
        <v>9229</v>
      </c>
      <c r="B2147" s="4" t="s">
        <v>5644</v>
      </c>
      <c r="C2147" s="5">
        <v>922190</v>
      </c>
      <c r="D2147" s="4" t="s">
        <v>6021</v>
      </c>
    </row>
    <row r="2148" spans="1:4" x14ac:dyDescent="0.25">
      <c r="A2148" s="3">
        <v>9311</v>
      </c>
      <c r="B2148" s="4" t="s">
        <v>5645</v>
      </c>
      <c r="C2148" s="5">
        <v>921130</v>
      </c>
      <c r="D2148" s="4" t="s">
        <v>4657</v>
      </c>
    </row>
    <row r="2149" spans="1:4" x14ac:dyDescent="0.25">
      <c r="A2149" s="3">
        <v>9411</v>
      </c>
      <c r="B2149" s="4" t="s">
        <v>5646</v>
      </c>
      <c r="C2149" s="5">
        <v>923110</v>
      </c>
      <c r="D2149" s="4" t="s">
        <v>4676</v>
      </c>
    </row>
    <row r="2150" spans="1:4" x14ac:dyDescent="0.25">
      <c r="A2150" s="3">
        <v>9431</v>
      </c>
      <c r="B2150" s="4" t="s">
        <v>4678</v>
      </c>
      <c r="C2150" s="5">
        <v>923120</v>
      </c>
      <c r="D2150" s="4" t="s">
        <v>4678</v>
      </c>
    </row>
    <row r="2151" spans="1:4" ht="25.5" x14ac:dyDescent="0.25">
      <c r="A2151" s="3">
        <v>9441</v>
      </c>
      <c r="B2151" s="4" t="s">
        <v>5647</v>
      </c>
      <c r="C2151" s="5">
        <v>923130</v>
      </c>
      <c r="D2151" s="4" t="s">
        <v>6022</v>
      </c>
    </row>
    <row r="2152" spans="1:4" x14ac:dyDescent="0.25">
      <c r="A2152" s="3">
        <v>9451</v>
      </c>
      <c r="B2152" s="4" t="s">
        <v>5648</v>
      </c>
      <c r="C2152" s="5">
        <v>923140</v>
      </c>
      <c r="D2152" s="4" t="s">
        <v>6023</v>
      </c>
    </row>
    <row r="2153" spans="1:4" ht="25.5" x14ac:dyDescent="0.25">
      <c r="A2153" s="3">
        <v>9511</v>
      </c>
      <c r="B2153" s="4" t="s">
        <v>386</v>
      </c>
      <c r="C2153" s="5">
        <v>924110</v>
      </c>
      <c r="D2153" s="4" t="s">
        <v>4683</v>
      </c>
    </row>
    <row r="2154" spans="1:4" x14ac:dyDescent="0.25">
      <c r="A2154" s="3">
        <v>9512</v>
      </c>
      <c r="B2154" s="4" t="s">
        <v>670</v>
      </c>
      <c r="C2154" s="5">
        <v>924120</v>
      </c>
      <c r="D2154" s="4" t="s">
        <v>4685</v>
      </c>
    </row>
    <row r="2155" spans="1:4" x14ac:dyDescent="0.25">
      <c r="A2155" s="3">
        <v>9531</v>
      </c>
      <c r="B2155" s="4" t="s">
        <v>4687</v>
      </c>
      <c r="C2155" s="5">
        <v>925110</v>
      </c>
      <c r="D2155" s="4" t="s">
        <v>4687</v>
      </c>
    </row>
    <row r="2156" spans="1:4" ht="25.5" x14ac:dyDescent="0.25">
      <c r="A2156" s="3">
        <v>9532</v>
      </c>
      <c r="B2156" s="4" t="s">
        <v>4689</v>
      </c>
      <c r="C2156" s="5">
        <v>925120</v>
      </c>
      <c r="D2156" s="4" t="s">
        <v>4689</v>
      </c>
    </row>
    <row r="2157" spans="1:4" x14ac:dyDescent="0.25">
      <c r="A2157" s="3">
        <v>9611</v>
      </c>
      <c r="B2157" s="4" t="s">
        <v>4691</v>
      </c>
      <c r="C2157" s="5">
        <v>926110</v>
      </c>
      <c r="D2157" s="4" t="s">
        <v>4691</v>
      </c>
    </row>
    <row r="2158" spans="1:4" x14ac:dyDescent="0.25">
      <c r="A2158" s="3">
        <v>9621</v>
      </c>
      <c r="B2158" s="4" t="s">
        <v>5649</v>
      </c>
      <c r="C2158" s="5">
        <v>488111</v>
      </c>
      <c r="D2158" s="4" t="s">
        <v>3935</v>
      </c>
    </row>
    <row r="2159" spans="1:4" x14ac:dyDescent="0.25">
      <c r="A2159" s="3">
        <v>9621</v>
      </c>
      <c r="B2159" s="4" t="s">
        <v>5650</v>
      </c>
      <c r="C2159" s="5">
        <v>926120</v>
      </c>
      <c r="D2159" s="4" t="s">
        <v>4693</v>
      </c>
    </row>
    <row r="2160" spans="1:4" ht="25.5" x14ac:dyDescent="0.25">
      <c r="A2160" s="3">
        <v>9631</v>
      </c>
      <c r="B2160" s="4" t="s">
        <v>4695</v>
      </c>
      <c r="C2160" s="5">
        <v>926130</v>
      </c>
      <c r="D2160" s="4" t="s">
        <v>4695</v>
      </c>
    </row>
    <row r="2161" spans="1:4" x14ac:dyDescent="0.25">
      <c r="A2161" s="3">
        <v>9641</v>
      </c>
      <c r="B2161" s="4" t="s">
        <v>4697</v>
      </c>
      <c r="C2161" s="5">
        <v>926140</v>
      </c>
      <c r="D2161" s="4" t="s">
        <v>4697</v>
      </c>
    </row>
    <row r="2162" spans="1:4" ht="25.5" x14ac:dyDescent="0.25">
      <c r="A2162" s="3">
        <v>9651</v>
      </c>
      <c r="B2162" s="4" t="s">
        <v>4699</v>
      </c>
      <c r="C2162" s="5">
        <v>926150</v>
      </c>
      <c r="D2162" s="4" t="s">
        <v>4699</v>
      </c>
    </row>
    <row r="2163" spans="1:4" x14ac:dyDescent="0.25">
      <c r="A2163" s="3">
        <v>9661</v>
      </c>
      <c r="B2163" s="4" t="s">
        <v>4701</v>
      </c>
      <c r="C2163" s="5">
        <v>927110</v>
      </c>
      <c r="D2163" s="4" t="s">
        <v>4701</v>
      </c>
    </row>
    <row r="2164" spans="1:4" x14ac:dyDescent="0.25">
      <c r="A2164" s="3">
        <v>9711</v>
      </c>
      <c r="B2164" s="4" t="s">
        <v>4703</v>
      </c>
      <c r="C2164" s="5">
        <v>928110</v>
      </c>
      <c r="D2164" s="4" t="s">
        <v>4703</v>
      </c>
    </row>
    <row r="2165" spans="1:4" x14ac:dyDescent="0.25">
      <c r="A2165" s="3">
        <v>9721</v>
      </c>
      <c r="B2165" s="4" t="s">
        <v>4705</v>
      </c>
      <c r="C2165" s="5">
        <v>928120</v>
      </c>
      <c r="D2165" s="4" t="s">
        <v>4705</v>
      </c>
    </row>
    <row r="2166" spans="1:4" x14ac:dyDescent="0.25">
      <c r="A2166" s="3">
        <v>9999</v>
      </c>
      <c r="B2166" s="4" t="s">
        <v>475</v>
      </c>
      <c r="C2166" s="5"/>
      <c r="D2166" s="4"/>
    </row>
    <row r="2167" spans="1:4" x14ac:dyDescent="0.25">
      <c r="A2167" s="11" t="s">
        <v>6024</v>
      </c>
      <c r="B2167" s="4" t="s">
        <v>6025</v>
      </c>
      <c r="C2167" s="5">
        <v>551114</v>
      </c>
      <c r="D2167" s="4" t="s">
        <v>4284</v>
      </c>
    </row>
    <row r="2168" spans="1:4" x14ac:dyDescent="0.25">
      <c r="A2168" s="3"/>
      <c r="B2168" s="4" t="s">
        <v>6026</v>
      </c>
      <c r="C2168" s="5">
        <v>112130</v>
      </c>
      <c r="D2168" s="4" t="s">
        <v>6027</v>
      </c>
    </row>
    <row r="2169" spans="1:4" x14ac:dyDescent="0.25">
      <c r="A2169" s="3"/>
      <c r="B2169" s="4" t="s">
        <v>6026</v>
      </c>
      <c r="C2169" s="5">
        <v>541120</v>
      </c>
      <c r="D2169" s="4" t="s">
        <v>4184</v>
      </c>
    </row>
  </sheetData>
  <autoFilter ref="A1:D2169" xr:uid="{04B3D45B-AD50-4B92-B9E5-83D22BEFDAA9}"/>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7E150-7DBA-4A44-A3C5-22EC01ED151B}">
  <dimension ref="A1:D1203"/>
  <sheetViews>
    <sheetView workbookViewId="0"/>
  </sheetViews>
  <sheetFormatPr defaultRowHeight="15" x14ac:dyDescent="0.25"/>
  <cols>
    <col min="1" max="1" width="8.42578125" customWidth="1"/>
    <col min="2" max="2" width="35.5703125" customWidth="1"/>
    <col min="3" max="3" width="8.85546875" customWidth="1"/>
    <col min="4" max="4" width="35.42578125" customWidth="1"/>
  </cols>
  <sheetData>
    <row r="1" spans="1:4" ht="18" x14ac:dyDescent="0.25">
      <c r="A1" s="12" t="s">
        <v>6028</v>
      </c>
      <c r="B1" s="13"/>
      <c r="C1" s="13"/>
      <c r="D1" s="14"/>
    </row>
    <row r="2" spans="1:4" ht="15" customHeight="1" x14ac:dyDescent="0.25">
      <c r="A2" s="15" t="s">
        <v>6029</v>
      </c>
      <c r="B2" s="15"/>
      <c r="C2" s="15"/>
      <c r="D2" s="15"/>
    </row>
    <row r="3" spans="1:4" ht="51.75" x14ac:dyDescent="0.25">
      <c r="A3" s="16" t="s">
        <v>6030</v>
      </c>
      <c r="B3" s="17" t="s">
        <v>6031</v>
      </c>
      <c r="C3" s="18" t="s">
        <v>6032</v>
      </c>
      <c r="D3" s="16" t="s">
        <v>6033</v>
      </c>
    </row>
    <row r="4" spans="1:4" x14ac:dyDescent="0.25">
      <c r="A4" s="19">
        <v>111110</v>
      </c>
      <c r="B4" s="19" t="s">
        <v>2547</v>
      </c>
      <c r="C4" s="19">
        <v>111110</v>
      </c>
      <c r="D4" s="19" t="s">
        <v>2547</v>
      </c>
    </row>
    <row r="5" spans="1:4" x14ac:dyDescent="0.25">
      <c r="A5" s="19">
        <v>111120</v>
      </c>
      <c r="B5" s="19" t="s">
        <v>2549</v>
      </c>
      <c r="C5" s="19">
        <v>111120</v>
      </c>
      <c r="D5" s="19" t="s">
        <v>2549</v>
      </c>
    </row>
    <row r="6" spans="1:4" x14ac:dyDescent="0.25">
      <c r="A6" s="19">
        <v>111130</v>
      </c>
      <c r="B6" s="19" t="s">
        <v>2551</v>
      </c>
      <c r="C6" s="19">
        <v>111130</v>
      </c>
      <c r="D6" s="19" t="s">
        <v>2551</v>
      </c>
    </row>
    <row r="7" spans="1:4" x14ac:dyDescent="0.25">
      <c r="A7" s="19">
        <v>111140</v>
      </c>
      <c r="B7" s="19" t="s">
        <v>2553</v>
      </c>
      <c r="C7" s="19">
        <v>111140</v>
      </c>
      <c r="D7" s="19" t="s">
        <v>2553</v>
      </c>
    </row>
    <row r="8" spans="1:4" x14ac:dyDescent="0.25">
      <c r="A8" s="19">
        <v>111150</v>
      </c>
      <c r="B8" s="19" t="s">
        <v>2555</v>
      </c>
      <c r="C8" s="19">
        <v>111150</v>
      </c>
      <c r="D8" s="19" t="s">
        <v>2555</v>
      </c>
    </row>
    <row r="9" spans="1:4" x14ac:dyDescent="0.25">
      <c r="A9" s="19">
        <v>111160</v>
      </c>
      <c r="B9" s="19" t="s">
        <v>2557</v>
      </c>
      <c r="C9" s="19">
        <v>111160</v>
      </c>
      <c r="D9" s="19" t="s">
        <v>2557</v>
      </c>
    </row>
    <row r="10" spans="1:4" x14ac:dyDescent="0.25">
      <c r="A10" s="19">
        <v>111191</v>
      </c>
      <c r="B10" s="19" t="s">
        <v>2559</v>
      </c>
      <c r="C10" s="19">
        <v>111191</v>
      </c>
      <c r="D10" s="19" t="s">
        <v>2559</v>
      </c>
    </row>
    <row r="11" spans="1:4" x14ac:dyDescent="0.25">
      <c r="A11" s="19">
        <v>111199</v>
      </c>
      <c r="B11" s="19" t="s">
        <v>2561</v>
      </c>
      <c r="C11" s="19">
        <v>111199</v>
      </c>
      <c r="D11" s="19" t="s">
        <v>2561</v>
      </c>
    </row>
    <row r="12" spans="1:4" x14ac:dyDescent="0.25">
      <c r="A12" s="19">
        <v>111211</v>
      </c>
      <c r="B12" s="19" t="s">
        <v>2563</v>
      </c>
      <c r="C12" s="20">
        <v>111211</v>
      </c>
      <c r="D12" s="19" t="s">
        <v>2563</v>
      </c>
    </row>
    <row r="13" spans="1:4" ht="38.25" x14ac:dyDescent="0.25">
      <c r="A13" s="21">
        <v>111219</v>
      </c>
      <c r="B13" s="19" t="s">
        <v>6034</v>
      </c>
      <c r="C13" s="20">
        <v>111211</v>
      </c>
      <c r="D13" s="19" t="s">
        <v>2563</v>
      </c>
    </row>
    <row r="14" spans="1:4" ht="38.25" x14ac:dyDescent="0.25">
      <c r="A14" s="21">
        <v>111219</v>
      </c>
      <c r="B14" s="19" t="s">
        <v>6035</v>
      </c>
      <c r="C14" s="19">
        <v>111219</v>
      </c>
      <c r="D14" s="19" t="s">
        <v>2565</v>
      </c>
    </row>
    <row r="15" spans="1:4" x14ac:dyDescent="0.25">
      <c r="A15" s="19">
        <v>111310</v>
      </c>
      <c r="B15" s="19" t="s">
        <v>2567</v>
      </c>
      <c r="C15" s="19">
        <v>111310</v>
      </c>
      <c r="D15" s="19" t="s">
        <v>2567</v>
      </c>
    </row>
    <row r="16" spans="1:4" x14ac:dyDescent="0.25">
      <c r="A16" s="19">
        <v>111320</v>
      </c>
      <c r="B16" s="19" t="s">
        <v>2569</v>
      </c>
      <c r="C16" s="19">
        <v>111320</v>
      </c>
      <c r="D16" s="19" t="s">
        <v>2569</v>
      </c>
    </row>
    <row r="17" spans="1:4" x14ac:dyDescent="0.25">
      <c r="A17" s="19">
        <v>111331</v>
      </c>
      <c r="B17" s="19" t="s">
        <v>2571</v>
      </c>
      <c r="C17" s="19">
        <v>111331</v>
      </c>
      <c r="D17" s="19" t="s">
        <v>2571</v>
      </c>
    </row>
    <row r="18" spans="1:4" x14ac:dyDescent="0.25">
      <c r="A18" s="19">
        <v>111332</v>
      </c>
      <c r="B18" s="19" t="s">
        <v>2573</v>
      </c>
      <c r="C18" s="19">
        <v>111332</v>
      </c>
      <c r="D18" s="19" t="s">
        <v>2573</v>
      </c>
    </row>
    <row r="19" spans="1:4" x14ac:dyDescent="0.25">
      <c r="A19" s="19">
        <v>111333</v>
      </c>
      <c r="B19" s="19" t="s">
        <v>2575</v>
      </c>
      <c r="C19" s="19">
        <v>111333</v>
      </c>
      <c r="D19" s="19" t="s">
        <v>2575</v>
      </c>
    </row>
    <row r="20" spans="1:4" x14ac:dyDescent="0.25">
      <c r="A20" s="19">
        <v>111334</v>
      </c>
      <c r="B20" s="19" t="s">
        <v>2577</v>
      </c>
      <c r="C20" s="19">
        <v>111334</v>
      </c>
      <c r="D20" s="19" t="s">
        <v>2577</v>
      </c>
    </row>
    <row r="21" spans="1:4" x14ac:dyDescent="0.25">
      <c r="A21" s="19">
        <v>111335</v>
      </c>
      <c r="B21" s="19" t="s">
        <v>2579</v>
      </c>
      <c r="C21" s="19">
        <v>111335</v>
      </c>
      <c r="D21" s="19" t="s">
        <v>2579</v>
      </c>
    </row>
    <row r="22" spans="1:4" x14ac:dyDescent="0.25">
      <c r="A22" s="19">
        <v>111336</v>
      </c>
      <c r="B22" s="19" t="s">
        <v>2581</v>
      </c>
      <c r="C22" s="19">
        <v>111336</v>
      </c>
      <c r="D22" s="19" t="s">
        <v>2581</v>
      </c>
    </row>
    <row r="23" spans="1:4" x14ac:dyDescent="0.25">
      <c r="A23" s="19">
        <v>111339</v>
      </c>
      <c r="B23" s="19" t="s">
        <v>2583</v>
      </c>
      <c r="C23" s="19">
        <v>111339</v>
      </c>
      <c r="D23" s="19" t="s">
        <v>2583</v>
      </c>
    </row>
    <row r="24" spans="1:4" x14ac:dyDescent="0.25">
      <c r="A24" s="19">
        <v>111411</v>
      </c>
      <c r="B24" s="19" t="s">
        <v>2585</v>
      </c>
      <c r="C24" s="19">
        <v>111411</v>
      </c>
      <c r="D24" s="19" t="s">
        <v>2585</v>
      </c>
    </row>
    <row r="25" spans="1:4" x14ac:dyDescent="0.25">
      <c r="A25" s="19">
        <v>111419</v>
      </c>
      <c r="B25" s="19" t="s">
        <v>2587</v>
      </c>
      <c r="C25" s="19">
        <v>111419</v>
      </c>
      <c r="D25" s="19" t="s">
        <v>2587</v>
      </c>
    </row>
    <row r="26" spans="1:4" x14ac:dyDescent="0.25">
      <c r="A26" s="19">
        <v>111421</v>
      </c>
      <c r="B26" s="19" t="s">
        <v>2589</v>
      </c>
      <c r="C26" s="19">
        <v>111421</v>
      </c>
      <c r="D26" s="19" t="s">
        <v>2589</v>
      </c>
    </row>
    <row r="27" spans="1:4" x14ac:dyDescent="0.25">
      <c r="A27" s="19">
        <v>111422</v>
      </c>
      <c r="B27" s="19" t="s">
        <v>2591</v>
      </c>
      <c r="C27" s="19">
        <v>111422</v>
      </c>
      <c r="D27" s="19" t="s">
        <v>2591</v>
      </c>
    </row>
    <row r="28" spans="1:4" x14ac:dyDescent="0.25">
      <c r="A28" s="19">
        <v>111910</v>
      </c>
      <c r="B28" s="19" t="s">
        <v>2593</v>
      </c>
      <c r="C28" s="19">
        <v>111910</v>
      </c>
      <c r="D28" s="19" t="s">
        <v>2593</v>
      </c>
    </row>
    <row r="29" spans="1:4" x14ac:dyDescent="0.25">
      <c r="A29" s="19">
        <v>111920</v>
      </c>
      <c r="B29" s="19" t="s">
        <v>2595</v>
      </c>
      <c r="C29" s="19">
        <v>111920</v>
      </c>
      <c r="D29" s="19" t="s">
        <v>2595</v>
      </c>
    </row>
    <row r="30" spans="1:4" x14ac:dyDescent="0.25">
      <c r="A30" s="19">
        <v>111930</v>
      </c>
      <c r="B30" s="19" t="s">
        <v>2597</v>
      </c>
      <c r="C30" s="19">
        <v>111930</v>
      </c>
      <c r="D30" s="19" t="s">
        <v>2597</v>
      </c>
    </row>
    <row r="31" spans="1:4" x14ac:dyDescent="0.25">
      <c r="A31" s="19">
        <v>111940</v>
      </c>
      <c r="B31" s="19" t="s">
        <v>2599</v>
      </c>
      <c r="C31" s="19">
        <v>111940</v>
      </c>
      <c r="D31" s="19" t="s">
        <v>2599</v>
      </c>
    </row>
    <row r="32" spans="1:4" x14ac:dyDescent="0.25">
      <c r="A32" s="19">
        <v>111991</v>
      </c>
      <c r="B32" s="19" t="s">
        <v>2601</v>
      </c>
      <c r="C32" s="19">
        <v>111991</v>
      </c>
      <c r="D32" s="19" t="s">
        <v>2601</v>
      </c>
    </row>
    <row r="33" spans="1:4" x14ac:dyDescent="0.25">
      <c r="A33" s="19">
        <v>111992</v>
      </c>
      <c r="B33" s="19" t="s">
        <v>2603</v>
      </c>
      <c r="C33" s="19">
        <v>111992</v>
      </c>
      <c r="D33" s="19" t="s">
        <v>2603</v>
      </c>
    </row>
    <row r="34" spans="1:4" ht="38.25" x14ac:dyDescent="0.25">
      <c r="A34" s="21">
        <v>111998</v>
      </c>
      <c r="B34" s="19" t="s">
        <v>6036</v>
      </c>
      <c r="C34" s="19">
        <v>111998</v>
      </c>
      <c r="D34" s="19" t="s">
        <v>2605</v>
      </c>
    </row>
    <row r="35" spans="1:4" ht="38.25" x14ac:dyDescent="0.25">
      <c r="A35" s="21">
        <v>111998</v>
      </c>
      <c r="B35" s="19" t="s">
        <v>6037</v>
      </c>
      <c r="C35" s="20">
        <v>112519</v>
      </c>
      <c r="D35" s="19" t="s">
        <v>2635</v>
      </c>
    </row>
    <row r="36" spans="1:4" x14ac:dyDescent="0.25">
      <c r="A36" s="19">
        <v>112111</v>
      </c>
      <c r="B36" s="19" t="s">
        <v>2607</v>
      </c>
      <c r="C36" s="19">
        <v>112111</v>
      </c>
      <c r="D36" s="19" t="s">
        <v>2607</v>
      </c>
    </row>
    <row r="37" spans="1:4" x14ac:dyDescent="0.25">
      <c r="A37" s="19">
        <v>112112</v>
      </c>
      <c r="B37" s="19" t="s">
        <v>2609</v>
      </c>
      <c r="C37" s="19">
        <v>112112</v>
      </c>
      <c r="D37" s="19" t="s">
        <v>2609</v>
      </c>
    </row>
    <row r="38" spans="1:4" x14ac:dyDescent="0.25">
      <c r="A38" s="19">
        <v>112120</v>
      </c>
      <c r="B38" s="19" t="s">
        <v>2611</v>
      </c>
      <c r="C38" s="19">
        <v>112120</v>
      </c>
      <c r="D38" s="19" t="s">
        <v>2611</v>
      </c>
    </row>
    <row r="39" spans="1:4" ht="25.5" x14ac:dyDescent="0.25">
      <c r="A39" s="19">
        <v>112130</v>
      </c>
      <c r="B39" s="19" t="s">
        <v>2613</v>
      </c>
      <c r="C39" s="19">
        <v>112130</v>
      </c>
      <c r="D39" s="19" t="s">
        <v>2613</v>
      </c>
    </row>
    <row r="40" spans="1:4" x14ac:dyDescent="0.25">
      <c r="A40" s="19">
        <v>112210</v>
      </c>
      <c r="B40" s="19" t="s">
        <v>2615</v>
      </c>
      <c r="C40" s="19">
        <v>112210</v>
      </c>
      <c r="D40" s="19" t="s">
        <v>2615</v>
      </c>
    </row>
    <row r="41" spans="1:4" x14ac:dyDescent="0.25">
      <c r="A41" s="19">
        <v>112310</v>
      </c>
      <c r="B41" s="19" t="s">
        <v>2617</v>
      </c>
      <c r="C41" s="19">
        <v>112310</v>
      </c>
      <c r="D41" s="19" t="s">
        <v>2617</v>
      </c>
    </row>
    <row r="42" spans="1:4" ht="25.5" x14ac:dyDescent="0.25">
      <c r="A42" s="19">
        <v>112320</v>
      </c>
      <c r="B42" s="19" t="s">
        <v>2619</v>
      </c>
      <c r="C42" s="19">
        <v>112320</v>
      </c>
      <c r="D42" s="19" t="s">
        <v>2619</v>
      </c>
    </row>
    <row r="43" spans="1:4" x14ac:dyDescent="0.25">
      <c r="A43" s="19">
        <v>112330</v>
      </c>
      <c r="B43" s="19" t="s">
        <v>2621</v>
      </c>
      <c r="C43" s="19">
        <v>112330</v>
      </c>
      <c r="D43" s="19" t="s">
        <v>2621</v>
      </c>
    </row>
    <row r="44" spans="1:4" x14ac:dyDescent="0.25">
      <c r="A44" s="19">
        <v>112340</v>
      </c>
      <c r="B44" s="19" t="s">
        <v>2623</v>
      </c>
      <c r="C44" s="19">
        <v>112340</v>
      </c>
      <c r="D44" s="19" t="s">
        <v>2623</v>
      </c>
    </row>
    <row r="45" spans="1:4" x14ac:dyDescent="0.25">
      <c r="A45" s="19">
        <v>112390</v>
      </c>
      <c r="B45" s="19" t="s">
        <v>2625</v>
      </c>
      <c r="C45" s="19">
        <v>112390</v>
      </c>
      <c r="D45" s="19" t="s">
        <v>2625</v>
      </c>
    </row>
    <row r="46" spans="1:4" x14ac:dyDescent="0.25">
      <c r="A46" s="19">
        <v>112410</v>
      </c>
      <c r="B46" s="19" t="s">
        <v>2627</v>
      </c>
      <c r="C46" s="19">
        <v>112410</v>
      </c>
      <c r="D46" s="19" t="s">
        <v>2627</v>
      </c>
    </row>
    <row r="47" spans="1:4" x14ac:dyDescent="0.25">
      <c r="A47" s="19">
        <v>112420</v>
      </c>
      <c r="B47" s="19" t="s">
        <v>2629</v>
      </c>
      <c r="C47" s="19">
        <v>112420</v>
      </c>
      <c r="D47" s="19" t="s">
        <v>2629</v>
      </c>
    </row>
    <row r="48" spans="1:4" x14ac:dyDescent="0.25">
      <c r="A48" s="19">
        <v>112511</v>
      </c>
      <c r="B48" s="19" t="s">
        <v>2631</v>
      </c>
      <c r="C48" s="19">
        <v>112511</v>
      </c>
      <c r="D48" s="19" t="s">
        <v>2631</v>
      </c>
    </row>
    <row r="49" spans="1:4" x14ac:dyDescent="0.25">
      <c r="A49" s="19">
        <v>112512</v>
      </c>
      <c r="B49" s="19" t="s">
        <v>2633</v>
      </c>
      <c r="C49" s="19">
        <v>112512</v>
      </c>
      <c r="D49" s="19" t="s">
        <v>2633</v>
      </c>
    </row>
    <row r="50" spans="1:4" ht="25.5" x14ac:dyDescent="0.25">
      <c r="A50" s="19">
        <v>112519</v>
      </c>
      <c r="B50" s="19" t="s">
        <v>6038</v>
      </c>
      <c r="C50" s="20">
        <v>112519</v>
      </c>
      <c r="D50" s="19" t="s">
        <v>2635</v>
      </c>
    </row>
    <row r="51" spans="1:4" x14ac:dyDescent="0.25">
      <c r="A51" s="19">
        <v>112910</v>
      </c>
      <c r="B51" s="19" t="s">
        <v>2637</v>
      </c>
      <c r="C51" s="19">
        <v>112910</v>
      </c>
      <c r="D51" s="19" t="s">
        <v>2637</v>
      </c>
    </row>
    <row r="52" spans="1:4" x14ac:dyDescent="0.25">
      <c r="A52" s="19">
        <v>112920</v>
      </c>
      <c r="B52" s="19" t="s">
        <v>2638</v>
      </c>
      <c r="C52" s="19">
        <v>112920</v>
      </c>
      <c r="D52" s="19" t="s">
        <v>2638</v>
      </c>
    </row>
    <row r="53" spans="1:4" ht="25.5" x14ac:dyDescent="0.25">
      <c r="A53" s="19">
        <v>112930</v>
      </c>
      <c r="B53" s="19" t="s">
        <v>2640</v>
      </c>
      <c r="C53" s="19">
        <v>112930</v>
      </c>
      <c r="D53" s="19" t="s">
        <v>2640</v>
      </c>
    </row>
    <row r="54" spans="1:4" x14ac:dyDescent="0.25">
      <c r="A54" s="19">
        <v>112990</v>
      </c>
      <c r="B54" s="19" t="s">
        <v>2642</v>
      </c>
      <c r="C54" s="19">
        <v>112990</v>
      </c>
      <c r="D54" s="19" t="s">
        <v>2642</v>
      </c>
    </row>
    <row r="55" spans="1:4" x14ac:dyDescent="0.25">
      <c r="A55" s="19">
        <v>113110</v>
      </c>
      <c r="B55" s="19" t="s">
        <v>2644</v>
      </c>
      <c r="C55" s="19">
        <v>113110</v>
      </c>
      <c r="D55" s="19" t="s">
        <v>2644</v>
      </c>
    </row>
    <row r="56" spans="1:4" ht="25.5" x14ac:dyDescent="0.25">
      <c r="A56" s="19">
        <v>113210</v>
      </c>
      <c r="B56" s="19" t="s">
        <v>2646</v>
      </c>
      <c r="C56" s="19">
        <v>113210</v>
      </c>
      <c r="D56" s="19" t="s">
        <v>2646</v>
      </c>
    </row>
    <row r="57" spans="1:4" x14ac:dyDescent="0.25">
      <c r="A57" s="19">
        <v>113310</v>
      </c>
      <c r="B57" s="19" t="s">
        <v>2648</v>
      </c>
      <c r="C57" s="19">
        <v>113310</v>
      </c>
      <c r="D57" s="19" t="s">
        <v>2648</v>
      </c>
    </row>
    <row r="58" spans="1:4" x14ac:dyDescent="0.25">
      <c r="A58" s="19">
        <v>114111</v>
      </c>
      <c r="B58" s="19" t="s">
        <v>2650</v>
      </c>
      <c r="C58" s="19">
        <v>114111</v>
      </c>
      <c r="D58" s="19" t="s">
        <v>2650</v>
      </c>
    </row>
    <row r="59" spans="1:4" x14ac:dyDescent="0.25">
      <c r="A59" s="19">
        <v>114112</v>
      </c>
      <c r="B59" s="19" t="s">
        <v>2652</v>
      </c>
      <c r="C59" s="19">
        <v>114112</v>
      </c>
      <c r="D59" s="19" t="s">
        <v>2652</v>
      </c>
    </row>
    <row r="60" spans="1:4" x14ac:dyDescent="0.25">
      <c r="A60" s="19">
        <v>114119</v>
      </c>
      <c r="B60" s="19" t="s">
        <v>2654</v>
      </c>
      <c r="C60" s="19">
        <v>114119</v>
      </c>
      <c r="D60" s="19" t="s">
        <v>2654</v>
      </c>
    </row>
    <row r="61" spans="1:4" x14ac:dyDescent="0.25">
      <c r="A61" s="19">
        <v>114210</v>
      </c>
      <c r="B61" s="19" t="s">
        <v>2656</v>
      </c>
      <c r="C61" s="19">
        <v>114210</v>
      </c>
      <c r="D61" s="19" t="s">
        <v>2656</v>
      </c>
    </row>
    <row r="62" spans="1:4" x14ac:dyDescent="0.25">
      <c r="A62" s="19">
        <v>115111</v>
      </c>
      <c r="B62" s="19" t="s">
        <v>2658</v>
      </c>
      <c r="C62" s="19">
        <v>115111</v>
      </c>
      <c r="D62" s="19" t="s">
        <v>2658</v>
      </c>
    </row>
    <row r="63" spans="1:4" ht="25.5" x14ac:dyDescent="0.25">
      <c r="A63" s="19">
        <v>115112</v>
      </c>
      <c r="B63" s="19" t="s">
        <v>2660</v>
      </c>
      <c r="C63" s="19">
        <v>115112</v>
      </c>
      <c r="D63" s="19" t="s">
        <v>2660</v>
      </c>
    </row>
    <row r="64" spans="1:4" x14ac:dyDescent="0.25">
      <c r="A64" s="19">
        <v>115113</v>
      </c>
      <c r="B64" s="19" t="s">
        <v>2662</v>
      </c>
      <c r="C64" s="19">
        <v>115113</v>
      </c>
      <c r="D64" s="19" t="s">
        <v>2662</v>
      </c>
    </row>
    <row r="65" spans="1:4" ht="25.5" x14ac:dyDescent="0.25">
      <c r="A65" s="19">
        <v>115114</v>
      </c>
      <c r="B65" s="19" t="s">
        <v>2663</v>
      </c>
      <c r="C65" s="19">
        <v>115114</v>
      </c>
      <c r="D65" s="19" t="s">
        <v>2663</v>
      </c>
    </row>
    <row r="66" spans="1:4" ht="25.5" x14ac:dyDescent="0.25">
      <c r="A66" s="19">
        <v>115115</v>
      </c>
      <c r="B66" s="19" t="s">
        <v>2665</v>
      </c>
      <c r="C66" s="19">
        <v>115115</v>
      </c>
      <c r="D66" s="19" t="s">
        <v>2665</v>
      </c>
    </row>
    <row r="67" spans="1:4" x14ac:dyDescent="0.25">
      <c r="A67" s="19">
        <v>115116</v>
      </c>
      <c r="B67" s="19" t="s">
        <v>2667</v>
      </c>
      <c r="C67" s="19">
        <v>115116</v>
      </c>
      <c r="D67" s="19" t="s">
        <v>2667</v>
      </c>
    </row>
    <row r="68" spans="1:4" x14ac:dyDescent="0.25">
      <c r="A68" s="19">
        <v>115210</v>
      </c>
      <c r="B68" s="19" t="s">
        <v>2668</v>
      </c>
      <c r="C68" s="19">
        <v>115210</v>
      </c>
      <c r="D68" s="19" t="s">
        <v>2668</v>
      </c>
    </row>
    <row r="69" spans="1:4" x14ac:dyDescent="0.25">
      <c r="A69" s="19">
        <v>115310</v>
      </c>
      <c r="B69" s="19" t="s">
        <v>2670</v>
      </c>
      <c r="C69" s="19">
        <v>115310</v>
      </c>
      <c r="D69" s="19" t="s">
        <v>2670</v>
      </c>
    </row>
    <row r="70" spans="1:4" ht="25.5" x14ac:dyDescent="0.25">
      <c r="A70" s="19">
        <v>211111</v>
      </c>
      <c r="B70" s="19" t="s">
        <v>5740</v>
      </c>
      <c r="C70" s="19">
        <v>211111</v>
      </c>
      <c r="D70" s="19" t="s">
        <v>5740</v>
      </c>
    </row>
    <row r="71" spans="1:4" x14ac:dyDescent="0.25">
      <c r="A71" s="19">
        <v>211112</v>
      </c>
      <c r="B71" s="19" t="s">
        <v>5741</v>
      </c>
      <c r="C71" s="19">
        <v>211112</v>
      </c>
      <c r="D71" s="19" t="s">
        <v>5741</v>
      </c>
    </row>
    <row r="72" spans="1:4" ht="25.5" x14ac:dyDescent="0.25">
      <c r="A72" s="19">
        <v>212111</v>
      </c>
      <c r="B72" s="19" t="s">
        <v>2676</v>
      </c>
      <c r="C72" s="19">
        <v>212111</v>
      </c>
      <c r="D72" s="19" t="s">
        <v>2676</v>
      </c>
    </row>
    <row r="73" spans="1:4" x14ac:dyDescent="0.25">
      <c r="A73" s="19">
        <v>212112</v>
      </c>
      <c r="B73" s="19" t="s">
        <v>2678</v>
      </c>
      <c r="C73" s="19">
        <v>212112</v>
      </c>
      <c r="D73" s="19" t="s">
        <v>2678</v>
      </c>
    </row>
    <row r="74" spans="1:4" x14ac:dyDescent="0.25">
      <c r="A74" s="19">
        <v>212113</v>
      </c>
      <c r="B74" s="19" t="s">
        <v>2743</v>
      </c>
      <c r="C74" s="19">
        <v>212113</v>
      </c>
      <c r="D74" s="19" t="s">
        <v>2743</v>
      </c>
    </row>
    <row r="75" spans="1:4" x14ac:dyDescent="0.25">
      <c r="A75" s="19">
        <v>212210</v>
      </c>
      <c r="B75" s="19" t="s">
        <v>2682</v>
      </c>
      <c r="C75" s="19">
        <v>212210</v>
      </c>
      <c r="D75" s="19" t="s">
        <v>2682</v>
      </c>
    </row>
    <row r="76" spans="1:4" x14ac:dyDescent="0.25">
      <c r="A76" s="19">
        <v>212221</v>
      </c>
      <c r="B76" s="19" t="s">
        <v>2684</v>
      </c>
      <c r="C76" s="19">
        <v>212221</v>
      </c>
      <c r="D76" s="19" t="s">
        <v>2684</v>
      </c>
    </row>
    <row r="77" spans="1:4" x14ac:dyDescent="0.25">
      <c r="A77" s="19">
        <v>212222</v>
      </c>
      <c r="B77" s="19" t="s">
        <v>2686</v>
      </c>
      <c r="C77" s="19">
        <v>212222</v>
      </c>
      <c r="D77" s="19" t="s">
        <v>2686</v>
      </c>
    </row>
    <row r="78" spans="1:4" x14ac:dyDescent="0.25">
      <c r="A78" s="19">
        <v>212231</v>
      </c>
      <c r="B78" s="19" t="s">
        <v>5739</v>
      </c>
      <c r="C78" s="19">
        <v>212231</v>
      </c>
      <c r="D78" s="19" t="s">
        <v>5739</v>
      </c>
    </row>
    <row r="79" spans="1:4" x14ac:dyDescent="0.25">
      <c r="A79" s="19">
        <v>212234</v>
      </c>
      <c r="B79" s="19" t="s">
        <v>5738</v>
      </c>
      <c r="C79" s="19">
        <v>212234</v>
      </c>
      <c r="D79" s="19" t="s">
        <v>5738</v>
      </c>
    </row>
    <row r="80" spans="1:4" x14ac:dyDescent="0.25">
      <c r="A80" s="19">
        <v>212291</v>
      </c>
      <c r="B80" s="19" t="s">
        <v>2690</v>
      </c>
      <c r="C80" s="19">
        <v>212291</v>
      </c>
      <c r="D80" s="19" t="s">
        <v>2690</v>
      </c>
    </row>
    <row r="81" spans="1:4" x14ac:dyDescent="0.25">
      <c r="A81" s="19">
        <v>212299</v>
      </c>
      <c r="B81" s="19" t="s">
        <v>2692</v>
      </c>
      <c r="C81" s="19">
        <v>212299</v>
      </c>
      <c r="D81" s="19" t="s">
        <v>2692</v>
      </c>
    </row>
    <row r="82" spans="1:4" x14ac:dyDescent="0.25">
      <c r="A82" s="19">
        <v>212311</v>
      </c>
      <c r="B82" s="19" t="s">
        <v>2694</v>
      </c>
      <c r="C82" s="19">
        <v>212311</v>
      </c>
      <c r="D82" s="19" t="s">
        <v>2694</v>
      </c>
    </row>
    <row r="83" spans="1:4" ht="25.5" x14ac:dyDescent="0.25">
      <c r="A83" s="19">
        <v>212312</v>
      </c>
      <c r="B83" s="19" t="s">
        <v>2696</v>
      </c>
      <c r="C83" s="19">
        <v>212312</v>
      </c>
      <c r="D83" s="19" t="s">
        <v>2696</v>
      </c>
    </row>
    <row r="84" spans="1:4" ht="25.5" x14ac:dyDescent="0.25">
      <c r="A84" s="19">
        <v>212313</v>
      </c>
      <c r="B84" s="19" t="s">
        <v>2698</v>
      </c>
      <c r="C84" s="19">
        <v>212313</v>
      </c>
      <c r="D84" s="19" t="s">
        <v>2698</v>
      </c>
    </row>
    <row r="85" spans="1:4" ht="25.5" x14ac:dyDescent="0.25">
      <c r="A85" s="19">
        <v>212319</v>
      </c>
      <c r="B85" s="19" t="s">
        <v>2700</v>
      </c>
      <c r="C85" s="19">
        <v>212319</v>
      </c>
      <c r="D85" s="19" t="s">
        <v>2700</v>
      </c>
    </row>
    <row r="86" spans="1:4" x14ac:dyDescent="0.25">
      <c r="A86" s="19">
        <v>212321</v>
      </c>
      <c r="B86" s="19" t="s">
        <v>2702</v>
      </c>
      <c r="C86" s="19">
        <v>212321</v>
      </c>
      <c r="D86" s="19" t="s">
        <v>2702</v>
      </c>
    </row>
    <row r="87" spans="1:4" x14ac:dyDescent="0.25">
      <c r="A87" s="19">
        <v>212322</v>
      </c>
      <c r="B87" s="19" t="s">
        <v>2704</v>
      </c>
      <c r="C87" s="19">
        <v>212322</v>
      </c>
      <c r="D87" s="19" t="s">
        <v>2704</v>
      </c>
    </row>
    <row r="88" spans="1:4" x14ac:dyDescent="0.25">
      <c r="A88" s="19">
        <v>212324</v>
      </c>
      <c r="B88" s="19" t="s">
        <v>2706</v>
      </c>
      <c r="C88" s="19">
        <v>212324</v>
      </c>
      <c r="D88" s="19" t="s">
        <v>2706</v>
      </c>
    </row>
    <row r="89" spans="1:4" ht="25.5" x14ac:dyDescent="0.25">
      <c r="A89" s="19">
        <v>212325</v>
      </c>
      <c r="B89" s="19" t="s">
        <v>2708</v>
      </c>
      <c r="C89" s="19">
        <v>212325</v>
      </c>
      <c r="D89" s="19" t="s">
        <v>2708</v>
      </c>
    </row>
    <row r="90" spans="1:4" ht="25.5" x14ac:dyDescent="0.25">
      <c r="A90" s="19">
        <v>212391</v>
      </c>
      <c r="B90" s="19" t="s">
        <v>2710</v>
      </c>
      <c r="C90" s="19">
        <v>212391</v>
      </c>
      <c r="D90" s="19" t="s">
        <v>2710</v>
      </c>
    </row>
    <row r="91" spans="1:4" x14ac:dyDescent="0.25">
      <c r="A91" s="19">
        <v>212392</v>
      </c>
      <c r="B91" s="19" t="s">
        <v>2712</v>
      </c>
      <c r="C91" s="19">
        <v>212392</v>
      </c>
      <c r="D91" s="19" t="s">
        <v>2712</v>
      </c>
    </row>
    <row r="92" spans="1:4" ht="25.5" x14ac:dyDescent="0.25">
      <c r="A92" s="19">
        <v>212393</v>
      </c>
      <c r="B92" s="19" t="s">
        <v>2713</v>
      </c>
      <c r="C92" s="19">
        <v>212393</v>
      </c>
      <c r="D92" s="19" t="s">
        <v>2713</v>
      </c>
    </row>
    <row r="93" spans="1:4" x14ac:dyDescent="0.25">
      <c r="A93" s="19">
        <v>212399</v>
      </c>
      <c r="B93" s="19" t="s">
        <v>2715</v>
      </c>
      <c r="C93" s="19">
        <v>212399</v>
      </c>
      <c r="D93" s="19" t="s">
        <v>2715</v>
      </c>
    </row>
    <row r="94" spans="1:4" x14ac:dyDescent="0.25">
      <c r="A94" s="19">
        <v>213111</v>
      </c>
      <c r="B94" s="19" t="s">
        <v>2717</v>
      </c>
      <c r="C94" s="19">
        <v>213111</v>
      </c>
      <c r="D94" s="19" t="s">
        <v>2717</v>
      </c>
    </row>
    <row r="95" spans="1:4" ht="25.5" x14ac:dyDescent="0.25">
      <c r="A95" s="19">
        <v>213112</v>
      </c>
      <c r="B95" s="19" t="s">
        <v>2719</v>
      </c>
      <c r="C95" s="19">
        <v>213112</v>
      </c>
      <c r="D95" s="19" t="s">
        <v>2719</v>
      </c>
    </row>
    <row r="96" spans="1:4" x14ac:dyDescent="0.25">
      <c r="A96" s="19">
        <v>213113</v>
      </c>
      <c r="B96" s="19" t="s">
        <v>2721</v>
      </c>
      <c r="C96" s="19">
        <v>213113</v>
      </c>
      <c r="D96" s="19" t="s">
        <v>2721</v>
      </c>
    </row>
    <row r="97" spans="1:4" x14ac:dyDescent="0.25">
      <c r="A97" s="19">
        <v>213114</v>
      </c>
      <c r="B97" s="19" t="s">
        <v>2723</v>
      </c>
      <c r="C97" s="19">
        <v>213114</v>
      </c>
      <c r="D97" s="19" t="s">
        <v>2723</v>
      </c>
    </row>
    <row r="98" spans="1:4" ht="25.5" x14ac:dyDescent="0.25">
      <c r="A98" s="19">
        <v>213115</v>
      </c>
      <c r="B98" s="19" t="s">
        <v>5742</v>
      </c>
      <c r="C98" s="19">
        <v>213115</v>
      </c>
      <c r="D98" s="19" t="s">
        <v>5742</v>
      </c>
    </row>
    <row r="99" spans="1:4" x14ac:dyDescent="0.25">
      <c r="A99" s="19">
        <v>221111</v>
      </c>
      <c r="B99" s="19" t="s">
        <v>2726</v>
      </c>
      <c r="C99" s="19">
        <v>221111</v>
      </c>
      <c r="D99" s="19" t="s">
        <v>2726</v>
      </c>
    </row>
    <row r="100" spans="1:4" x14ac:dyDescent="0.25">
      <c r="A100" s="19">
        <v>221112</v>
      </c>
      <c r="B100" s="19" t="s">
        <v>2728</v>
      </c>
      <c r="C100" s="19">
        <v>221112</v>
      </c>
      <c r="D100" s="19" t="s">
        <v>2728</v>
      </c>
    </row>
    <row r="101" spans="1:4" x14ac:dyDescent="0.25">
      <c r="A101" s="19">
        <v>221113</v>
      </c>
      <c r="B101" s="19" t="s">
        <v>2730</v>
      </c>
      <c r="C101" s="19">
        <v>221113</v>
      </c>
      <c r="D101" s="19" t="s">
        <v>2730</v>
      </c>
    </row>
    <row r="102" spans="1:4" x14ac:dyDescent="0.25">
      <c r="A102" s="19">
        <v>221119</v>
      </c>
      <c r="B102" s="19" t="s">
        <v>2740</v>
      </c>
      <c r="C102" s="19">
        <v>221119</v>
      </c>
      <c r="D102" s="19" t="s">
        <v>2740</v>
      </c>
    </row>
    <row r="103" spans="1:4" ht="25.5" x14ac:dyDescent="0.25">
      <c r="A103" s="19">
        <v>221121</v>
      </c>
      <c r="B103" s="19" t="s">
        <v>2741</v>
      </c>
      <c r="C103" s="19">
        <v>221121</v>
      </c>
      <c r="D103" s="19" t="s">
        <v>2741</v>
      </c>
    </row>
    <row r="104" spans="1:4" x14ac:dyDescent="0.25">
      <c r="A104" s="19">
        <v>221122</v>
      </c>
      <c r="B104" s="19" t="s">
        <v>2742</v>
      </c>
      <c r="C104" s="19">
        <v>221122</v>
      </c>
      <c r="D104" s="19" t="s">
        <v>2742</v>
      </c>
    </row>
    <row r="105" spans="1:4" x14ac:dyDescent="0.25">
      <c r="A105" s="19">
        <v>221210</v>
      </c>
      <c r="B105" s="19" t="s">
        <v>2744</v>
      </c>
      <c r="C105" s="19">
        <v>221210</v>
      </c>
      <c r="D105" s="19" t="s">
        <v>2744</v>
      </c>
    </row>
    <row r="106" spans="1:4" x14ac:dyDescent="0.25">
      <c r="A106" s="19">
        <v>221310</v>
      </c>
      <c r="B106" s="19" t="s">
        <v>2746</v>
      </c>
      <c r="C106" s="19">
        <v>221310</v>
      </c>
      <c r="D106" s="19" t="s">
        <v>2746</v>
      </c>
    </row>
    <row r="107" spans="1:4" x14ac:dyDescent="0.25">
      <c r="A107" s="19">
        <v>221320</v>
      </c>
      <c r="B107" s="19" t="s">
        <v>2748</v>
      </c>
      <c r="C107" s="19">
        <v>221320</v>
      </c>
      <c r="D107" s="19" t="s">
        <v>2748</v>
      </c>
    </row>
    <row r="108" spans="1:4" x14ac:dyDescent="0.25">
      <c r="A108" s="19">
        <v>221330</v>
      </c>
      <c r="B108" s="19" t="s">
        <v>2750</v>
      </c>
      <c r="C108" s="19">
        <v>221330</v>
      </c>
      <c r="D108" s="19" t="s">
        <v>2750</v>
      </c>
    </row>
    <row r="109" spans="1:4" ht="25.5" x14ac:dyDescent="0.25">
      <c r="A109" s="19">
        <v>236115</v>
      </c>
      <c r="B109" s="19" t="s">
        <v>5743</v>
      </c>
      <c r="C109" s="19">
        <v>236115</v>
      </c>
      <c r="D109" s="19" t="s">
        <v>5743</v>
      </c>
    </row>
    <row r="110" spans="1:4" ht="25.5" x14ac:dyDescent="0.25">
      <c r="A110" s="19">
        <v>236116</v>
      </c>
      <c r="B110" s="19" t="s">
        <v>5744</v>
      </c>
      <c r="C110" s="19">
        <v>236116</v>
      </c>
      <c r="D110" s="19" t="s">
        <v>5744</v>
      </c>
    </row>
    <row r="111" spans="1:4" x14ac:dyDescent="0.25">
      <c r="A111" s="19">
        <v>236117</v>
      </c>
      <c r="B111" s="19" t="s">
        <v>5745</v>
      </c>
      <c r="C111" s="19">
        <v>236117</v>
      </c>
      <c r="D111" s="19" t="s">
        <v>5745</v>
      </c>
    </row>
    <row r="112" spans="1:4" x14ac:dyDescent="0.25">
      <c r="A112" s="19">
        <v>236118</v>
      </c>
      <c r="B112" s="19" t="s">
        <v>2757</v>
      </c>
      <c r="C112" s="19">
        <v>236118</v>
      </c>
      <c r="D112" s="19" t="s">
        <v>2757</v>
      </c>
    </row>
    <row r="113" spans="1:4" x14ac:dyDescent="0.25">
      <c r="A113" s="19">
        <v>236210</v>
      </c>
      <c r="B113" s="19" t="s">
        <v>2759</v>
      </c>
      <c r="C113" s="19">
        <v>236210</v>
      </c>
      <c r="D113" s="19" t="s">
        <v>2759</v>
      </c>
    </row>
    <row r="114" spans="1:4" ht="25.5" x14ac:dyDescent="0.25">
      <c r="A114" s="19">
        <v>236220</v>
      </c>
      <c r="B114" s="19" t="s">
        <v>2761</v>
      </c>
      <c r="C114" s="19">
        <v>236220</v>
      </c>
      <c r="D114" s="19" t="s">
        <v>2761</v>
      </c>
    </row>
    <row r="115" spans="1:4" ht="25.5" x14ac:dyDescent="0.25">
      <c r="A115" s="19">
        <v>237110</v>
      </c>
      <c r="B115" s="19" t="s">
        <v>2763</v>
      </c>
      <c r="C115" s="19">
        <v>237110</v>
      </c>
      <c r="D115" s="19" t="s">
        <v>2763</v>
      </c>
    </row>
    <row r="116" spans="1:4" ht="25.5" x14ac:dyDescent="0.25">
      <c r="A116" s="19">
        <v>237120</v>
      </c>
      <c r="B116" s="19" t="s">
        <v>2765</v>
      </c>
      <c r="C116" s="19">
        <v>237120</v>
      </c>
      <c r="D116" s="19" t="s">
        <v>2765</v>
      </c>
    </row>
    <row r="117" spans="1:4" ht="25.5" x14ac:dyDescent="0.25">
      <c r="A117" s="19">
        <v>237130</v>
      </c>
      <c r="B117" s="19" t="s">
        <v>2767</v>
      </c>
      <c r="C117" s="19">
        <v>237130</v>
      </c>
      <c r="D117" s="19" t="s">
        <v>2767</v>
      </c>
    </row>
    <row r="118" spans="1:4" x14ac:dyDescent="0.25">
      <c r="A118" s="19">
        <v>237210</v>
      </c>
      <c r="B118" s="19" t="s">
        <v>2769</v>
      </c>
      <c r="C118" s="19">
        <v>237210</v>
      </c>
      <c r="D118" s="19" t="s">
        <v>2769</v>
      </c>
    </row>
    <row r="119" spans="1:4" ht="25.5" x14ac:dyDescent="0.25">
      <c r="A119" s="19">
        <v>237310</v>
      </c>
      <c r="B119" s="19" t="s">
        <v>2771</v>
      </c>
      <c r="C119" s="19">
        <v>237310</v>
      </c>
      <c r="D119" s="19" t="s">
        <v>2771</v>
      </c>
    </row>
    <row r="120" spans="1:4" ht="25.5" x14ac:dyDescent="0.25">
      <c r="A120" s="19">
        <v>237990</v>
      </c>
      <c r="B120" s="19" t="s">
        <v>2773</v>
      </c>
      <c r="C120" s="19">
        <v>237990</v>
      </c>
      <c r="D120" s="19" t="s">
        <v>2773</v>
      </c>
    </row>
    <row r="121" spans="1:4" ht="25.5" x14ac:dyDescent="0.25">
      <c r="A121" s="19">
        <v>238110</v>
      </c>
      <c r="B121" s="19" t="s">
        <v>2775</v>
      </c>
      <c r="C121" s="19">
        <v>238110</v>
      </c>
      <c r="D121" s="19" t="s">
        <v>2775</v>
      </c>
    </row>
    <row r="122" spans="1:4" ht="25.5" x14ac:dyDescent="0.25">
      <c r="A122" s="19">
        <v>238120</v>
      </c>
      <c r="B122" s="19" t="s">
        <v>2777</v>
      </c>
      <c r="C122" s="19">
        <v>238120</v>
      </c>
      <c r="D122" s="19" t="s">
        <v>2777</v>
      </c>
    </row>
    <row r="123" spans="1:4" x14ac:dyDescent="0.25">
      <c r="A123" s="19">
        <v>238130</v>
      </c>
      <c r="B123" s="19" t="s">
        <v>2779</v>
      </c>
      <c r="C123" s="19">
        <v>238130</v>
      </c>
      <c r="D123" s="19" t="s">
        <v>2779</v>
      </c>
    </row>
    <row r="124" spans="1:4" x14ac:dyDescent="0.25">
      <c r="A124" s="19">
        <v>238140</v>
      </c>
      <c r="B124" s="19" t="s">
        <v>2781</v>
      </c>
      <c r="C124" s="19">
        <v>238140</v>
      </c>
      <c r="D124" s="19" t="s">
        <v>2781</v>
      </c>
    </row>
    <row r="125" spans="1:4" x14ac:dyDescent="0.25">
      <c r="A125" s="19">
        <v>238150</v>
      </c>
      <c r="B125" s="19" t="s">
        <v>2783</v>
      </c>
      <c r="C125" s="19">
        <v>238150</v>
      </c>
      <c r="D125" s="19" t="s">
        <v>2783</v>
      </c>
    </row>
    <row r="126" spans="1:4" x14ac:dyDescent="0.25">
      <c r="A126" s="19">
        <v>238160</v>
      </c>
      <c r="B126" s="19" t="s">
        <v>2785</v>
      </c>
      <c r="C126" s="19">
        <v>238160</v>
      </c>
      <c r="D126" s="19" t="s">
        <v>2785</v>
      </c>
    </row>
    <row r="127" spans="1:4" x14ac:dyDescent="0.25">
      <c r="A127" s="19">
        <v>238170</v>
      </c>
      <c r="B127" s="19" t="s">
        <v>2787</v>
      </c>
      <c r="C127" s="19">
        <v>238170</v>
      </c>
      <c r="D127" s="19" t="s">
        <v>2787</v>
      </c>
    </row>
    <row r="128" spans="1:4" ht="25.5" x14ac:dyDescent="0.25">
      <c r="A128" s="19">
        <v>238190</v>
      </c>
      <c r="B128" s="19" t="s">
        <v>2789</v>
      </c>
      <c r="C128" s="19">
        <v>238190</v>
      </c>
      <c r="D128" s="19" t="s">
        <v>2789</v>
      </c>
    </row>
    <row r="129" spans="1:4" ht="25.5" x14ac:dyDescent="0.25">
      <c r="A129" s="19">
        <v>238210</v>
      </c>
      <c r="B129" s="19" t="s">
        <v>5746</v>
      </c>
      <c r="C129" s="19">
        <v>238210</v>
      </c>
      <c r="D129" s="19" t="s">
        <v>2791</v>
      </c>
    </row>
    <row r="130" spans="1:4" ht="25.5" x14ac:dyDescent="0.25">
      <c r="A130" s="19">
        <v>238220</v>
      </c>
      <c r="B130" s="19" t="s">
        <v>2793</v>
      </c>
      <c r="C130" s="19">
        <v>238220</v>
      </c>
      <c r="D130" s="19" t="s">
        <v>2793</v>
      </c>
    </row>
    <row r="131" spans="1:4" x14ac:dyDescent="0.25">
      <c r="A131" s="19">
        <v>238290</v>
      </c>
      <c r="B131" s="19" t="s">
        <v>2795</v>
      </c>
      <c r="C131" s="19">
        <v>238290</v>
      </c>
      <c r="D131" s="19" t="s">
        <v>2795</v>
      </c>
    </row>
    <row r="132" spans="1:4" x14ac:dyDescent="0.25">
      <c r="A132" s="19">
        <v>238310</v>
      </c>
      <c r="B132" s="19" t="s">
        <v>2797</v>
      </c>
      <c r="C132" s="19">
        <v>238310</v>
      </c>
      <c r="D132" s="19" t="s">
        <v>2797</v>
      </c>
    </row>
    <row r="133" spans="1:4" x14ac:dyDescent="0.25">
      <c r="A133" s="19">
        <v>238320</v>
      </c>
      <c r="B133" s="19" t="s">
        <v>2799</v>
      </c>
      <c r="C133" s="19">
        <v>238320</v>
      </c>
      <c r="D133" s="19" t="s">
        <v>2799</v>
      </c>
    </row>
    <row r="134" spans="1:4" x14ac:dyDescent="0.25">
      <c r="A134" s="19">
        <v>238330</v>
      </c>
      <c r="B134" s="19" t="s">
        <v>2800</v>
      </c>
      <c r="C134" s="19">
        <v>238330</v>
      </c>
      <c r="D134" s="19" t="s">
        <v>2800</v>
      </c>
    </row>
    <row r="135" spans="1:4" x14ac:dyDescent="0.25">
      <c r="A135" s="19">
        <v>238340</v>
      </c>
      <c r="B135" s="19" t="s">
        <v>2802</v>
      </c>
      <c r="C135" s="19">
        <v>238340</v>
      </c>
      <c r="D135" s="19" t="s">
        <v>2802</v>
      </c>
    </row>
    <row r="136" spans="1:4" x14ac:dyDescent="0.25">
      <c r="A136" s="19">
        <v>238350</v>
      </c>
      <c r="B136" s="19" t="s">
        <v>2804</v>
      </c>
      <c r="C136" s="19">
        <v>238350</v>
      </c>
      <c r="D136" s="19" t="s">
        <v>2804</v>
      </c>
    </row>
    <row r="137" spans="1:4" x14ac:dyDescent="0.25">
      <c r="A137" s="19">
        <v>238390</v>
      </c>
      <c r="B137" s="19" t="s">
        <v>2806</v>
      </c>
      <c r="C137" s="19">
        <v>238390</v>
      </c>
      <c r="D137" s="19" t="s">
        <v>2806</v>
      </c>
    </row>
    <row r="138" spans="1:4" x14ac:dyDescent="0.25">
      <c r="A138" s="19">
        <v>238910</v>
      </c>
      <c r="B138" s="19" t="s">
        <v>2808</v>
      </c>
      <c r="C138" s="19">
        <v>238910</v>
      </c>
      <c r="D138" s="19" t="s">
        <v>2808</v>
      </c>
    </row>
    <row r="139" spans="1:4" x14ac:dyDescent="0.25">
      <c r="A139" s="19">
        <v>238990</v>
      </c>
      <c r="B139" s="19" t="s">
        <v>2810</v>
      </c>
      <c r="C139" s="19">
        <v>238990</v>
      </c>
      <c r="D139" s="19" t="s">
        <v>2810</v>
      </c>
    </row>
    <row r="140" spans="1:4" x14ac:dyDescent="0.25">
      <c r="A140" s="19">
        <v>311111</v>
      </c>
      <c r="B140" s="19" t="s">
        <v>2812</v>
      </c>
      <c r="C140" s="19">
        <v>311111</v>
      </c>
      <c r="D140" s="19" t="s">
        <v>2812</v>
      </c>
    </row>
    <row r="141" spans="1:4" x14ac:dyDescent="0.25">
      <c r="A141" s="19">
        <v>311119</v>
      </c>
      <c r="B141" s="19" t="s">
        <v>2814</v>
      </c>
      <c r="C141" s="19">
        <v>311119</v>
      </c>
      <c r="D141" s="19" t="s">
        <v>2814</v>
      </c>
    </row>
    <row r="142" spans="1:4" x14ac:dyDescent="0.25">
      <c r="A142" s="19">
        <v>311211</v>
      </c>
      <c r="B142" s="19" t="s">
        <v>2816</v>
      </c>
      <c r="C142" s="19">
        <v>311211</v>
      </c>
      <c r="D142" s="19" t="s">
        <v>2816</v>
      </c>
    </row>
    <row r="143" spans="1:4" x14ac:dyDescent="0.25">
      <c r="A143" s="19">
        <v>311212</v>
      </c>
      <c r="B143" s="19" t="s">
        <v>2818</v>
      </c>
      <c r="C143" s="19">
        <v>311212</v>
      </c>
      <c r="D143" s="19" t="s">
        <v>2818</v>
      </c>
    </row>
    <row r="144" spans="1:4" x14ac:dyDescent="0.25">
      <c r="A144" s="19">
        <v>311213</v>
      </c>
      <c r="B144" s="19" t="s">
        <v>2820</v>
      </c>
      <c r="C144" s="19">
        <v>311213</v>
      </c>
      <c r="D144" s="19" t="s">
        <v>2820</v>
      </c>
    </row>
    <row r="145" spans="1:4" x14ac:dyDescent="0.25">
      <c r="A145" s="19">
        <v>311221</v>
      </c>
      <c r="B145" s="19" t="s">
        <v>2822</v>
      </c>
      <c r="C145" s="19">
        <v>311221</v>
      </c>
      <c r="D145" s="19" t="s">
        <v>2822</v>
      </c>
    </row>
    <row r="146" spans="1:4" x14ac:dyDescent="0.25">
      <c r="A146" s="19">
        <v>311222</v>
      </c>
      <c r="B146" s="19" t="s">
        <v>5754</v>
      </c>
      <c r="C146" s="19">
        <v>311222</v>
      </c>
      <c r="D146" s="19" t="s">
        <v>5754</v>
      </c>
    </row>
    <row r="147" spans="1:4" x14ac:dyDescent="0.25">
      <c r="A147" s="19">
        <v>311223</v>
      </c>
      <c r="B147" s="19" t="s">
        <v>5753</v>
      </c>
      <c r="C147" s="19">
        <v>311223</v>
      </c>
      <c r="D147" s="19" t="s">
        <v>5753</v>
      </c>
    </row>
    <row r="148" spans="1:4" x14ac:dyDescent="0.25">
      <c r="A148" s="19">
        <v>311225</v>
      </c>
      <c r="B148" s="19" t="s">
        <v>2826</v>
      </c>
      <c r="C148" s="19">
        <v>311225</v>
      </c>
      <c r="D148" s="19" t="s">
        <v>2826</v>
      </c>
    </row>
    <row r="149" spans="1:4" x14ac:dyDescent="0.25">
      <c r="A149" s="19">
        <v>311230</v>
      </c>
      <c r="B149" s="19" t="s">
        <v>2828</v>
      </c>
      <c r="C149" s="19">
        <v>311230</v>
      </c>
      <c r="D149" s="19" t="s">
        <v>2828</v>
      </c>
    </row>
    <row r="150" spans="1:4" x14ac:dyDescent="0.25">
      <c r="A150" s="19">
        <v>311311</v>
      </c>
      <c r="B150" s="19" t="s">
        <v>5750</v>
      </c>
      <c r="C150" s="19">
        <v>311311</v>
      </c>
      <c r="D150" s="19" t="s">
        <v>5750</v>
      </c>
    </row>
    <row r="151" spans="1:4" x14ac:dyDescent="0.25">
      <c r="A151" s="19">
        <v>311312</v>
      </c>
      <c r="B151" s="19" t="s">
        <v>2995</v>
      </c>
      <c r="C151" s="19">
        <v>311312</v>
      </c>
      <c r="D151" s="19" t="s">
        <v>2995</v>
      </c>
    </row>
    <row r="152" spans="1:4" x14ac:dyDescent="0.25">
      <c r="A152" s="19">
        <v>311313</v>
      </c>
      <c r="B152" s="19" t="s">
        <v>2830</v>
      </c>
      <c r="C152" s="19">
        <v>311313</v>
      </c>
      <c r="D152" s="19" t="s">
        <v>2830</v>
      </c>
    </row>
    <row r="153" spans="1:4" ht="25.5" x14ac:dyDescent="0.25">
      <c r="A153" s="19">
        <v>311320</v>
      </c>
      <c r="B153" s="19" t="s">
        <v>2835</v>
      </c>
      <c r="C153" s="19">
        <v>311320</v>
      </c>
      <c r="D153" s="19" t="s">
        <v>2835</v>
      </c>
    </row>
    <row r="154" spans="1:4" ht="25.5" x14ac:dyDescent="0.25">
      <c r="A154" s="19">
        <v>311330</v>
      </c>
      <c r="B154" s="19" t="s">
        <v>2837</v>
      </c>
      <c r="C154" s="19">
        <v>311330</v>
      </c>
      <c r="D154" s="19" t="s">
        <v>2837</v>
      </c>
    </row>
    <row r="155" spans="1:4" ht="25.5" x14ac:dyDescent="0.25">
      <c r="A155" s="19">
        <v>311340</v>
      </c>
      <c r="B155" s="19" t="s">
        <v>2833</v>
      </c>
      <c r="C155" s="19">
        <v>311340</v>
      </c>
      <c r="D155" s="19" t="s">
        <v>2833</v>
      </c>
    </row>
    <row r="156" spans="1:4" ht="25.5" x14ac:dyDescent="0.25">
      <c r="A156" s="19">
        <v>311411</v>
      </c>
      <c r="B156" s="19" t="s">
        <v>2839</v>
      </c>
      <c r="C156" s="19">
        <v>311411</v>
      </c>
      <c r="D156" s="19" t="s">
        <v>2839</v>
      </c>
    </row>
    <row r="157" spans="1:4" x14ac:dyDescent="0.25">
      <c r="A157" s="19">
        <v>311412</v>
      </c>
      <c r="B157" s="19" t="s">
        <v>2841</v>
      </c>
      <c r="C157" s="19">
        <v>311412</v>
      </c>
      <c r="D157" s="19" t="s">
        <v>2841</v>
      </c>
    </row>
    <row r="158" spans="1:4" x14ac:dyDescent="0.25">
      <c r="A158" s="19">
        <v>311421</v>
      </c>
      <c r="B158" s="19" t="s">
        <v>2843</v>
      </c>
      <c r="C158" s="19">
        <v>311421</v>
      </c>
      <c r="D158" s="19" t="s">
        <v>2843</v>
      </c>
    </row>
    <row r="159" spans="1:4" x14ac:dyDescent="0.25">
      <c r="A159" s="19">
        <v>311422</v>
      </c>
      <c r="B159" s="19" t="s">
        <v>2845</v>
      </c>
      <c r="C159" s="19">
        <v>311422</v>
      </c>
      <c r="D159" s="19" t="s">
        <v>2845</v>
      </c>
    </row>
    <row r="160" spans="1:4" ht="25.5" x14ac:dyDescent="0.25">
      <c r="A160" s="19">
        <v>311423</v>
      </c>
      <c r="B160" s="19" t="s">
        <v>2847</v>
      </c>
      <c r="C160" s="19">
        <v>311423</v>
      </c>
      <c r="D160" s="19" t="s">
        <v>2847</v>
      </c>
    </row>
    <row r="161" spans="1:4" x14ac:dyDescent="0.25">
      <c r="A161" s="19">
        <v>311511</v>
      </c>
      <c r="B161" s="19" t="s">
        <v>2849</v>
      </c>
      <c r="C161" s="19">
        <v>311511</v>
      </c>
      <c r="D161" s="19" t="s">
        <v>2849</v>
      </c>
    </row>
    <row r="162" spans="1:4" x14ac:dyDescent="0.25">
      <c r="A162" s="19">
        <v>311512</v>
      </c>
      <c r="B162" s="19" t="s">
        <v>2851</v>
      </c>
      <c r="C162" s="19">
        <v>311512</v>
      </c>
      <c r="D162" s="19" t="s">
        <v>2851</v>
      </c>
    </row>
    <row r="163" spans="1:4" x14ac:dyDescent="0.25">
      <c r="A163" s="19">
        <v>311513</v>
      </c>
      <c r="B163" s="19" t="s">
        <v>2853</v>
      </c>
      <c r="C163" s="19">
        <v>311513</v>
      </c>
      <c r="D163" s="19" t="s">
        <v>2853</v>
      </c>
    </row>
    <row r="164" spans="1:4" ht="25.5" x14ac:dyDescent="0.25">
      <c r="A164" s="19">
        <v>311514</v>
      </c>
      <c r="B164" s="19" t="s">
        <v>2855</v>
      </c>
      <c r="C164" s="19">
        <v>311514</v>
      </c>
      <c r="D164" s="19" t="s">
        <v>2855</v>
      </c>
    </row>
    <row r="165" spans="1:4" ht="25.5" x14ac:dyDescent="0.25">
      <c r="A165" s="19">
        <v>311520</v>
      </c>
      <c r="B165" s="19" t="s">
        <v>2857</v>
      </c>
      <c r="C165" s="19">
        <v>311520</v>
      </c>
      <c r="D165" s="19" t="s">
        <v>2857</v>
      </c>
    </row>
    <row r="166" spans="1:4" x14ac:dyDescent="0.25">
      <c r="A166" s="19">
        <v>311611</v>
      </c>
      <c r="B166" s="19" t="s">
        <v>2859</v>
      </c>
      <c r="C166" s="19">
        <v>311611</v>
      </c>
      <c r="D166" s="19" t="s">
        <v>2859</v>
      </c>
    </row>
    <row r="167" spans="1:4" x14ac:dyDescent="0.25">
      <c r="A167" s="19">
        <v>311612</v>
      </c>
      <c r="B167" s="19" t="s">
        <v>2861</v>
      </c>
      <c r="C167" s="19">
        <v>311612</v>
      </c>
      <c r="D167" s="19" t="s">
        <v>2861</v>
      </c>
    </row>
    <row r="168" spans="1:4" ht="25.5" x14ac:dyDescent="0.25">
      <c r="A168" s="19">
        <v>311613</v>
      </c>
      <c r="B168" s="19" t="s">
        <v>2863</v>
      </c>
      <c r="C168" s="19">
        <v>311613</v>
      </c>
      <c r="D168" s="19" t="s">
        <v>2863</v>
      </c>
    </row>
    <row r="169" spans="1:4" x14ac:dyDescent="0.25">
      <c r="A169" s="19">
        <v>311615</v>
      </c>
      <c r="B169" s="19" t="s">
        <v>2865</v>
      </c>
      <c r="C169" s="19">
        <v>311615</v>
      </c>
      <c r="D169" s="19" t="s">
        <v>2865</v>
      </c>
    </row>
    <row r="170" spans="1:4" x14ac:dyDescent="0.25">
      <c r="A170" s="19">
        <v>311711</v>
      </c>
      <c r="B170" s="19" t="s">
        <v>5755</v>
      </c>
      <c r="C170" s="19">
        <v>311711</v>
      </c>
      <c r="D170" s="19" t="s">
        <v>5755</v>
      </c>
    </row>
    <row r="171" spans="1:4" x14ac:dyDescent="0.25">
      <c r="A171" s="19">
        <v>311712</v>
      </c>
      <c r="B171" s="19" t="s">
        <v>5756</v>
      </c>
      <c r="C171" s="19">
        <v>311712</v>
      </c>
      <c r="D171" s="19" t="s">
        <v>5756</v>
      </c>
    </row>
    <row r="172" spans="1:4" x14ac:dyDescent="0.25">
      <c r="A172" s="19">
        <v>311811</v>
      </c>
      <c r="B172" s="19" t="s">
        <v>2869</v>
      </c>
      <c r="C172" s="19">
        <v>311811</v>
      </c>
      <c r="D172" s="19" t="s">
        <v>2869</v>
      </c>
    </row>
    <row r="173" spans="1:4" x14ac:dyDescent="0.25">
      <c r="A173" s="19">
        <v>311812</v>
      </c>
      <c r="B173" s="19" t="s">
        <v>2871</v>
      </c>
      <c r="C173" s="19">
        <v>311812</v>
      </c>
      <c r="D173" s="19" t="s">
        <v>2871</v>
      </c>
    </row>
    <row r="174" spans="1:4" ht="25.5" x14ac:dyDescent="0.25">
      <c r="A174" s="19">
        <v>311813</v>
      </c>
      <c r="B174" s="19" t="s">
        <v>2873</v>
      </c>
      <c r="C174" s="19">
        <v>311813</v>
      </c>
      <c r="D174" s="19" t="s">
        <v>2873</v>
      </c>
    </row>
    <row r="175" spans="1:4" x14ac:dyDescent="0.25">
      <c r="A175" s="19">
        <v>311821</v>
      </c>
      <c r="B175" s="19" t="s">
        <v>2875</v>
      </c>
      <c r="C175" s="19">
        <v>311821</v>
      </c>
      <c r="D175" s="19" t="s">
        <v>2875</v>
      </c>
    </row>
    <row r="176" spans="1:4" ht="25.5" x14ac:dyDescent="0.25">
      <c r="A176" s="19">
        <v>311822</v>
      </c>
      <c r="B176" s="19" t="s">
        <v>5749</v>
      </c>
      <c r="C176" s="19">
        <v>311822</v>
      </c>
      <c r="D176" s="19" t="s">
        <v>5749</v>
      </c>
    </row>
    <row r="177" spans="1:4" x14ac:dyDescent="0.25">
      <c r="A177" s="19">
        <v>311823</v>
      </c>
      <c r="B177" s="19" t="s">
        <v>6039</v>
      </c>
      <c r="C177" s="19">
        <v>311823</v>
      </c>
      <c r="D177" s="19" t="s">
        <v>6039</v>
      </c>
    </row>
    <row r="178" spans="1:4" x14ac:dyDescent="0.25">
      <c r="A178" s="19">
        <v>311830</v>
      </c>
      <c r="B178" s="19" t="s">
        <v>2879</v>
      </c>
      <c r="C178" s="19">
        <v>311830</v>
      </c>
      <c r="D178" s="19" t="s">
        <v>2879</v>
      </c>
    </row>
    <row r="179" spans="1:4" ht="25.5" x14ac:dyDescent="0.25">
      <c r="A179" s="19">
        <v>311911</v>
      </c>
      <c r="B179" s="19" t="s">
        <v>2881</v>
      </c>
      <c r="C179" s="19">
        <v>311911</v>
      </c>
      <c r="D179" s="19" t="s">
        <v>2881</v>
      </c>
    </row>
    <row r="180" spans="1:4" x14ac:dyDescent="0.25">
      <c r="A180" s="19">
        <v>311919</v>
      </c>
      <c r="B180" s="19" t="s">
        <v>2883</v>
      </c>
      <c r="C180" s="19">
        <v>311919</v>
      </c>
      <c r="D180" s="19" t="s">
        <v>2883</v>
      </c>
    </row>
    <row r="181" spans="1:4" x14ac:dyDescent="0.25">
      <c r="A181" s="19">
        <v>311920</v>
      </c>
      <c r="B181" s="19" t="s">
        <v>2885</v>
      </c>
      <c r="C181" s="19">
        <v>311920</v>
      </c>
      <c r="D181" s="19" t="s">
        <v>2885</v>
      </c>
    </row>
    <row r="182" spans="1:4" ht="25.5" x14ac:dyDescent="0.25">
      <c r="A182" s="19">
        <v>311930</v>
      </c>
      <c r="B182" s="19" t="s">
        <v>2887</v>
      </c>
      <c r="C182" s="19">
        <v>311930</v>
      </c>
      <c r="D182" s="19" t="s">
        <v>2887</v>
      </c>
    </row>
    <row r="183" spans="1:4" ht="25.5" x14ac:dyDescent="0.25">
      <c r="A183" s="19">
        <v>311941</v>
      </c>
      <c r="B183" s="19" t="s">
        <v>2889</v>
      </c>
      <c r="C183" s="19">
        <v>311941</v>
      </c>
      <c r="D183" s="19" t="s">
        <v>2889</v>
      </c>
    </row>
    <row r="184" spans="1:4" x14ac:dyDescent="0.25">
      <c r="A184" s="19">
        <v>311942</v>
      </c>
      <c r="B184" s="19" t="s">
        <v>2890</v>
      </c>
      <c r="C184" s="19">
        <v>311942</v>
      </c>
      <c r="D184" s="19" t="s">
        <v>2890</v>
      </c>
    </row>
    <row r="185" spans="1:4" x14ac:dyDescent="0.25">
      <c r="A185" s="19">
        <v>311991</v>
      </c>
      <c r="B185" s="19" t="s">
        <v>2892</v>
      </c>
      <c r="C185" s="19">
        <v>311991</v>
      </c>
      <c r="D185" s="19" t="s">
        <v>2892</v>
      </c>
    </row>
    <row r="186" spans="1:4" ht="25.5" x14ac:dyDescent="0.25">
      <c r="A186" s="19">
        <v>311999</v>
      </c>
      <c r="B186" s="19" t="s">
        <v>2894</v>
      </c>
      <c r="C186" s="19">
        <v>311999</v>
      </c>
      <c r="D186" s="19" t="s">
        <v>2894</v>
      </c>
    </row>
    <row r="187" spans="1:4" x14ac:dyDescent="0.25">
      <c r="A187" s="19">
        <v>312111</v>
      </c>
      <c r="B187" s="19" t="s">
        <v>2896</v>
      </c>
      <c r="C187" s="19">
        <v>312111</v>
      </c>
      <c r="D187" s="19" t="s">
        <v>2896</v>
      </c>
    </row>
    <row r="188" spans="1:4" x14ac:dyDescent="0.25">
      <c r="A188" s="19">
        <v>312112</v>
      </c>
      <c r="B188" s="19" t="s">
        <v>2897</v>
      </c>
      <c r="C188" s="19">
        <v>312112</v>
      </c>
      <c r="D188" s="19" t="s">
        <v>2897</v>
      </c>
    </row>
    <row r="189" spans="1:4" x14ac:dyDescent="0.25">
      <c r="A189" s="19">
        <v>312113</v>
      </c>
      <c r="B189" s="19" t="s">
        <v>2899</v>
      </c>
      <c r="C189" s="19">
        <v>312113</v>
      </c>
      <c r="D189" s="19" t="s">
        <v>2899</v>
      </c>
    </row>
    <row r="190" spans="1:4" x14ac:dyDescent="0.25">
      <c r="A190" s="19">
        <v>312120</v>
      </c>
      <c r="B190" s="19" t="s">
        <v>2901</v>
      </c>
      <c r="C190" s="19">
        <v>312120</v>
      </c>
      <c r="D190" s="19" t="s">
        <v>2901</v>
      </c>
    </row>
    <row r="191" spans="1:4" x14ac:dyDescent="0.25">
      <c r="A191" s="19">
        <v>312130</v>
      </c>
      <c r="B191" s="19" t="s">
        <v>2903</v>
      </c>
      <c r="C191" s="19">
        <v>312130</v>
      </c>
      <c r="D191" s="19" t="s">
        <v>2903</v>
      </c>
    </row>
    <row r="192" spans="1:4" x14ac:dyDescent="0.25">
      <c r="A192" s="19">
        <v>312140</v>
      </c>
      <c r="B192" s="19" t="s">
        <v>2905</v>
      </c>
      <c r="C192" s="19">
        <v>312140</v>
      </c>
      <c r="D192" s="19" t="s">
        <v>2905</v>
      </c>
    </row>
    <row r="193" spans="1:4" x14ac:dyDescent="0.25">
      <c r="A193" s="19">
        <v>312210</v>
      </c>
      <c r="B193" s="19" t="s">
        <v>5761</v>
      </c>
      <c r="C193" s="19">
        <v>312210</v>
      </c>
      <c r="D193" s="19" t="s">
        <v>5761</v>
      </c>
    </row>
    <row r="194" spans="1:4" x14ac:dyDescent="0.25">
      <c r="A194" s="19">
        <v>312221</v>
      </c>
      <c r="B194" s="19" t="s">
        <v>5759</v>
      </c>
      <c r="C194" s="19">
        <v>312221</v>
      </c>
      <c r="D194" s="19" t="s">
        <v>5759</v>
      </c>
    </row>
    <row r="195" spans="1:4" x14ac:dyDescent="0.25">
      <c r="A195" s="19">
        <v>312229</v>
      </c>
      <c r="B195" s="19" t="s">
        <v>5760</v>
      </c>
      <c r="C195" s="19">
        <v>312229</v>
      </c>
      <c r="D195" s="19" t="s">
        <v>5760</v>
      </c>
    </row>
    <row r="196" spans="1:4" x14ac:dyDescent="0.25">
      <c r="A196" s="19">
        <v>313111</v>
      </c>
      <c r="B196" s="19" t="s">
        <v>3157</v>
      </c>
      <c r="C196" s="19">
        <v>313111</v>
      </c>
      <c r="D196" s="19" t="s">
        <v>3157</v>
      </c>
    </row>
    <row r="197" spans="1:4" ht="25.5" x14ac:dyDescent="0.25">
      <c r="A197" s="19">
        <v>313112</v>
      </c>
      <c r="B197" s="19" t="s">
        <v>6040</v>
      </c>
      <c r="C197" s="19">
        <v>313112</v>
      </c>
      <c r="D197" s="19" t="s">
        <v>6040</v>
      </c>
    </row>
    <row r="198" spans="1:4" x14ac:dyDescent="0.25">
      <c r="A198" s="19">
        <v>313113</v>
      </c>
      <c r="B198" s="19" t="s">
        <v>5772</v>
      </c>
      <c r="C198" s="19">
        <v>313113</v>
      </c>
      <c r="D198" s="19" t="s">
        <v>5772</v>
      </c>
    </row>
    <row r="199" spans="1:4" x14ac:dyDescent="0.25">
      <c r="A199" s="19">
        <v>313210</v>
      </c>
      <c r="B199" s="19" t="s">
        <v>2911</v>
      </c>
      <c r="C199" s="19">
        <v>313210</v>
      </c>
      <c r="D199" s="19" t="s">
        <v>2911</v>
      </c>
    </row>
    <row r="200" spans="1:4" x14ac:dyDescent="0.25">
      <c r="A200" s="19">
        <v>313221</v>
      </c>
      <c r="B200" s="19" t="s">
        <v>5764</v>
      </c>
      <c r="C200" s="19">
        <v>313221</v>
      </c>
      <c r="D200" s="19" t="s">
        <v>5764</v>
      </c>
    </row>
    <row r="201" spans="1:4" x14ac:dyDescent="0.25">
      <c r="A201" s="19">
        <v>313222</v>
      </c>
      <c r="B201" s="19" t="s">
        <v>5803</v>
      </c>
      <c r="C201" s="19">
        <v>313222</v>
      </c>
      <c r="D201" s="19" t="s">
        <v>5803</v>
      </c>
    </row>
    <row r="202" spans="1:4" x14ac:dyDescent="0.25">
      <c r="A202" s="19">
        <v>313230</v>
      </c>
      <c r="B202" s="19" t="s">
        <v>2915</v>
      </c>
      <c r="C202" s="19">
        <v>313230</v>
      </c>
      <c r="D202" s="19" t="s">
        <v>2915</v>
      </c>
    </row>
    <row r="203" spans="1:4" x14ac:dyDescent="0.25">
      <c r="A203" s="19">
        <v>313241</v>
      </c>
      <c r="B203" s="19" t="s">
        <v>5769</v>
      </c>
      <c r="C203" s="19">
        <v>313241</v>
      </c>
      <c r="D203" s="19" t="s">
        <v>5769</v>
      </c>
    </row>
    <row r="204" spans="1:4" x14ac:dyDescent="0.25">
      <c r="A204" s="19">
        <v>313249</v>
      </c>
      <c r="B204" s="19" t="s">
        <v>5770</v>
      </c>
      <c r="C204" s="19">
        <v>313249</v>
      </c>
      <c r="D204" s="19" t="s">
        <v>5770</v>
      </c>
    </row>
    <row r="205" spans="1:4" x14ac:dyDescent="0.25">
      <c r="A205" s="19">
        <v>313311</v>
      </c>
      <c r="B205" s="19" t="s">
        <v>5762</v>
      </c>
      <c r="C205" s="19">
        <v>313311</v>
      </c>
      <c r="D205" s="19" t="s">
        <v>5762</v>
      </c>
    </row>
    <row r="206" spans="1:4" ht="25.5" x14ac:dyDescent="0.25">
      <c r="A206" s="19">
        <v>313312</v>
      </c>
      <c r="B206" s="19" t="s">
        <v>5763</v>
      </c>
      <c r="C206" s="19">
        <v>313312</v>
      </c>
      <c r="D206" s="19" t="s">
        <v>5763</v>
      </c>
    </row>
    <row r="207" spans="1:4" x14ac:dyDescent="0.25">
      <c r="A207" s="19">
        <v>313320</v>
      </c>
      <c r="B207" s="19" t="s">
        <v>2921</v>
      </c>
      <c r="C207" s="19">
        <v>313320</v>
      </c>
      <c r="D207" s="19" t="s">
        <v>2921</v>
      </c>
    </row>
    <row r="208" spans="1:4" x14ac:dyDescent="0.25">
      <c r="A208" s="19">
        <v>314110</v>
      </c>
      <c r="B208" s="19" t="s">
        <v>2923</v>
      </c>
      <c r="C208" s="19">
        <v>314110</v>
      </c>
      <c r="D208" s="19" t="s">
        <v>2923</v>
      </c>
    </row>
    <row r="209" spans="1:4" x14ac:dyDescent="0.25">
      <c r="A209" s="19">
        <v>314121</v>
      </c>
      <c r="B209" s="19" t="s">
        <v>5799</v>
      </c>
      <c r="C209" s="19">
        <v>314121</v>
      </c>
      <c r="D209" s="19" t="s">
        <v>5799</v>
      </c>
    </row>
    <row r="210" spans="1:4" x14ac:dyDescent="0.25">
      <c r="A210" s="19">
        <v>314129</v>
      </c>
      <c r="B210" s="19" t="s">
        <v>5800</v>
      </c>
      <c r="C210" s="19">
        <v>314129</v>
      </c>
      <c r="D210" s="19" t="s">
        <v>5800</v>
      </c>
    </row>
    <row r="211" spans="1:4" x14ac:dyDescent="0.25">
      <c r="A211" s="19">
        <v>314911</v>
      </c>
      <c r="B211" s="19" t="s">
        <v>5801</v>
      </c>
      <c r="C211" s="19">
        <v>314911</v>
      </c>
      <c r="D211" s="19" t="s">
        <v>5801</v>
      </c>
    </row>
    <row r="212" spans="1:4" x14ac:dyDescent="0.25">
      <c r="A212" s="19">
        <v>314912</v>
      </c>
      <c r="B212" s="19" t="s">
        <v>5802</v>
      </c>
      <c r="C212" s="19">
        <v>314912</v>
      </c>
      <c r="D212" s="19" t="s">
        <v>5802</v>
      </c>
    </row>
    <row r="213" spans="1:4" x14ac:dyDescent="0.25">
      <c r="A213" s="19">
        <v>314991</v>
      </c>
      <c r="B213" s="19" t="s">
        <v>5774</v>
      </c>
      <c r="C213" s="19">
        <v>314991</v>
      </c>
      <c r="D213" s="19" t="s">
        <v>5774</v>
      </c>
    </row>
    <row r="214" spans="1:4" x14ac:dyDescent="0.25">
      <c r="A214" s="19">
        <v>314992</v>
      </c>
      <c r="B214" s="19" t="s">
        <v>5773</v>
      </c>
      <c r="C214" s="19">
        <v>314992</v>
      </c>
      <c r="D214" s="19" t="s">
        <v>5773</v>
      </c>
    </row>
    <row r="215" spans="1:4" ht="25.5" x14ac:dyDescent="0.25">
      <c r="A215" s="19">
        <v>314999</v>
      </c>
      <c r="B215" s="19" t="s">
        <v>2931</v>
      </c>
      <c r="C215" s="20">
        <v>314999</v>
      </c>
      <c r="D215" s="19" t="s">
        <v>2931</v>
      </c>
    </row>
    <row r="216" spans="1:4" x14ac:dyDescent="0.25">
      <c r="A216" s="19">
        <v>315111</v>
      </c>
      <c r="B216" s="19" t="s">
        <v>5765</v>
      </c>
      <c r="C216" s="19">
        <v>315111</v>
      </c>
      <c r="D216" s="19" t="s">
        <v>5765</v>
      </c>
    </row>
    <row r="217" spans="1:4" x14ac:dyDescent="0.25">
      <c r="A217" s="19">
        <v>315119</v>
      </c>
      <c r="B217" s="19" t="s">
        <v>5766</v>
      </c>
      <c r="C217" s="19">
        <v>315119</v>
      </c>
      <c r="D217" s="19" t="s">
        <v>5766</v>
      </c>
    </row>
    <row r="218" spans="1:4" x14ac:dyDescent="0.25">
      <c r="A218" s="19">
        <v>315191</v>
      </c>
      <c r="B218" s="19" t="s">
        <v>5767</v>
      </c>
      <c r="C218" s="19">
        <v>315191</v>
      </c>
      <c r="D218" s="19" t="s">
        <v>5767</v>
      </c>
    </row>
    <row r="219" spans="1:4" x14ac:dyDescent="0.25">
      <c r="A219" s="19">
        <v>315192</v>
      </c>
      <c r="B219" s="19" t="s">
        <v>5768</v>
      </c>
      <c r="C219" s="19">
        <v>315192</v>
      </c>
      <c r="D219" s="19" t="s">
        <v>5768</v>
      </c>
    </row>
    <row r="220" spans="1:4" ht="25.5" x14ac:dyDescent="0.25">
      <c r="A220" s="21">
        <v>315211</v>
      </c>
      <c r="B220" s="19" t="s">
        <v>6041</v>
      </c>
      <c r="C220" s="20">
        <v>314999</v>
      </c>
      <c r="D220" s="19" t="s">
        <v>2931</v>
      </c>
    </row>
    <row r="221" spans="1:4" ht="38.25" x14ac:dyDescent="0.25">
      <c r="A221" s="21">
        <v>315211</v>
      </c>
      <c r="B221" s="19" t="s">
        <v>6042</v>
      </c>
      <c r="C221" s="19">
        <v>315211</v>
      </c>
      <c r="D221" s="19" t="s">
        <v>5777</v>
      </c>
    </row>
    <row r="222" spans="1:4" ht="38.25" x14ac:dyDescent="0.25">
      <c r="A222" s="21">
        <v>315212</v>
      </c>
      <c r="B222" s="19" t="s">
        <v>6043</v>
      </c>
      <c r="C222" s="20">
        <v>314999</v>
      </c>
      <c r="D222" s="19" t="s">
        <v>2931</v>
      </c>
    </row>
    <row r="223" spans="1:4" ht="38.25" x14ac:dyDescent="0.25">
      <c r="A223" s="21">
        <v>315212</v>
      </c>
      <c r="B223" s="19" t="s">
        <v>6044</v>
      </c>
      <c r="C223" s="19">
        <v>315212</v>
      </c>
      <c r="D223" s="19" t="s">
        <v>6045</v>
      </c>
    </row>
    <row r="224" spans="1:4" ht="25.5" x14ac:dyDescent="0.25">
      <c r="A224" s="19">
        <v>315221</v>
      </c>
      <c r="B224" s="19" t="s">
        <v>5792</v>
      </c>
      <c r="C224" s="19">
        <v>315221</v>
      </c>
      <c r="D224" s="19" t="s">
        <v>5792</v>
      </c>
    </row>
    <row r="225" spans="1:4" ht="25.5" x14ac:dyDescent="0.25">
      <c r="A225" s="19">
        <v>315222</v>
      </c>
      <c r="B225" s="19" t="s">
        <v>5796</v>
      </c>
      <c r="C225" s="19">
        <v>315222</v>
      </c>
      <c r="D225" s="19" t="s">
        <v>5796</v>
      </c>
    </row>
    <row r="226" spans="1:4" ht="25.5" x14ac:dyDescent="0.25">
      <c r="A226" s="19">
        <v>315223</v>
      </c>
      <c r="B226" s="19" t="s">
        <v>6046</v>
      </c>
      <c r="C226" s="19">
        <v>315223</v>
      </c>
      <c r="D226" s="19" t="s">
        <v>6046</v>
      </c>
    </row>
    <row r="227" spans="1:4" ht="25.5" x14ac:dyDescent="0.25">
      <c r="A227" s="19">
        <v>315224</v>
      </c>
      <c r="B227" s="19" t="s">
        <v>6047</v>
      </c>
      <c r="C227" s="19">
        <v>315224</v>
      </c>
      <c r="D227" s="19" t="s">
        <v>6047</v>
      </c>
    </row>
    <row r="228" spans="1:4" ht="25.5" x14ac:dyDescent="0.25">
      <c r="A228" s="19">
        <v>315225</v>
      </c>
      <c r="B228" s="19" t="s">
        <v>6048</v>
      </c>
      <c r="C228" s="19">
        <v>315225</v>
      </c>
      <c r="D228" s="19" t="s">
        <v>6048</v>
      </c>
    </row>
    <row r="229" spans="1:4" ht="25.5" x14ac:dyDescent="0.25">
      <c r="A229" s="19">
        <v>315228</v>
      </c>
      <c r="B229" s="19" t="s">
        <v>6049</v>
      </c>
      <c r="C229" s="19">
        <v>315228</v>
      </c>
      <c r="D229" s="19" t="s">
        <v>6049</v>
      </c>
    </row>
    <row r="230" spans="1:4" ht="38.25" x14ac:dyDescent="0.25">
      <c r="A230" s="19">
        <v>315231</v>
      </c>
      <c r="B230" s="19" t="s">
        <v>6050</v>
      </c>
      <c r="C230" s="19">
        <v>315231</v>
      </c>
      <c r="D230" s="19" t="s">
        <v>6050</v>
      </c>
    </row>
    <row r="231" spans="1:4" ht="25.5" x14ac:dyDescent="0.25">
      <c r="A231" s="19">
        <v>315232</v>
      </c>
      <c r="B231" s="19" t="s">
        <v>6051</v>
      </c>
      <c r="C231" s="19">
        <v>315232</v>
      </c>
      <c r="D231" s="19" t="s">
        <v>6051</v>
      </c>
    </row>
    <row r="232" spans="1:4" ht="25.5" x14ac:dyDescent="0.25">
      <c r="A232" s="19">
        <v>315233</v>
      </c>
      <c r="B232" s="19" t="s">
        <v>6052</v>
      </c>
      <c r="C232" s="19">
        <v>315233</v>
      </c>
      <c r="D232" s="19" t="s">
        <v>6052</v>
      </c>
    </row>
    <row r="233" spans="1:4" ht="38.25" x14ac:dyDescent="0.25">
      <c r="A233" s="19">
        <v>315234</v>
      </c>
      <c r="B233" s="19" t="s">
        <v>6053</v>
      </c>
      <c r="C233" s="19">
        <v>315234</v>
      </c>
      <c r="D233" s="19" t="s">
        <v>6053</v>
      </c>
    </row>
    <row r="234" spans="1:4" ht="25.5" x14ac:dyDescent="0.25">
      <c r="A234" s="19">
        <v>315239</v>
      </c>
      <c r="B234" s="19" t="s">
        <v>6054</v>
      </c>
      <c r="C234" s="19">
        <v>315239</v>
      </c>
      <c r="D234" s="19" t="s">
        <v>6054</v>
      </c>
    </row>
    <row r="235" spans="1:4" ht="25.5" x14ac:dyDescent="0.25">
      <c r="A235" s="19">
        <v>315291</v>
      </c>
      <c r="B235" s="19" t="s">
        <v>6055</v>
      </c>
      <c r="C235" s="19">
        <v>315291</v>
      </c>
      <c r="D235" s="19" t="s">
        <v>6055</v>
      </c>
    </row>
    <row r="236" spans="1:4" x14ac:dyDescent="0.25">
      <c r="A236" s="19">
        <v>315292</v>
      </c>
      <c r="B236" s="19" t="s">
        <v>5797</v>
      </c>
      <c r="C236" s="19">
        <v>315292</v>
      </c>
      <c r="D236" s="19" t="s">
        <v>5797</v>
      </c>
    </row>
    <row r="237" spans="1:4" ht="25.5" x14ac:dyDescent="0.25">
      <c r="A237" s="19">
        <v>315299</v>
      </c>
      <c r="B237" s="19" t="s">
        <v>5784</v>
      </c>
      <c r="C237" s="19">
        <v>315299</v>
      </c>
      <c r="D237" s="19" t="s">
        <v>5784</v>
      </c>
    </row>
    <row r="238" spans="1:4" x14ac:dyDescent="0.25">
      <c r="A238" s="19">
        <v>315991</v>
      </c>
      <c r="B238" s="19" t="s">
        <v>5795</v>
      </c>
      <c r="C238" s="19">
        <v>315991</v>
      </c>
      <c r="D238" s="19" t="s">
        <v>5795</v>
      </c>
    </row>
    <row r="239" spans="1:4" x14ac:dyDescent="0.25">
      <c r="A239" s="19">
        <v>315992</v>
      </c>
      <c r="B239" s="19" t="s">
        <v>5798</v>
      </c>
      <c r="C239" s="19">
        <v>315992</v>
      </c>
      <c r="D239" s="19" t="s">
        <v>5798</v>
      </c>
    </row>
    <row r="240" spans="1:4" ht="25.5" x14ac:dyDescent="0.25">
      <c r="A240" s="19">
        <v>315993</v>
      </c>
      <c r="B240" s="19" t="s">
        <v>6056</v>
      </c>
      <c r="C240" s="19">
        <v>315993</v>
      </c>
      <c r="D240" s="19" t="s">
        <v>6056</v>
      </c>
    </row>
    <row r="241" spans="1:4" ht="25.5" x14ac:dyDescent="0.25">
      <c r="A241" s="19">
        <v>315999</v>
      </c>
      <c r="B241" s="19" t="s">
        <v>5791</v>
      </c>
      <c r="C241" s="19">
        <v>315999</v>
      </c>
      <c r="D241" s="19" t="s">
        <v>5791</v>
      </c>
    </row>
    <row r="242" spans="1:4" x14ac:dyDescent="0.25">
      <c r="A242" s="19">
        <v>316110</v>
      </c>
      <c r="B242" s="19" t="s">
        <v>2947</v>
      </c>
      <c r="C242" s="19">
        <v>316110</v>
      </c>
      <c r="D242" s="19" t="s">
        <v>2947</v>
      </c>
    </row>
    <row r="243" spans="1:4" ht="25.5" x14ac:dyDescent="0.25">
      <c r="A243" s="19">
        <v>316211</v>
      </c>
      <c r="B243" s="19" t="s">
        <v>5847</v>
      </c>
      <c r="C243" s="19">
        <v>316211</v>
      </c>
      <c r="D243" s="19" t="s">
        <v>5847</v>
      </c>
    </row>
    <row r="244" spans="1:4" x14ac:dyDescent="0.25">
      <c r="A244" s="19">
        <v>316212</v>
      </c>
      <c r="B244" s="19" t="s">
        <v>5853</v>
      </c>
      <c r="C244" s="19">
        <v>316212</v>
      </c>
      <c r="D244" s="19" t="s">
        <v>5853</v>
      </c>
    </row>
    <row r="245" spans="1:4" ht="25.5" x14ac:dyDescent="0.25">
      <c r="A245" s="19">
        <v>316213</v>
      </c>
      <c r="B245" s="19" t="s">
        <v>6057</v>
      </c>
      <c r="C245" s="19">
        <v>316213</v>
      </c>
      <c r="D245" s="19" t="s">
        <v>6057</v>
      </c>
    </row>
    <row r="246" spans="1:4" ht="25.5" x14ac:dyDescent="0.25">
      <c r="A246" s="19">
        <v>316214</v>
      </c>
      <c r="B246" s="19" t="s">
        <v>6058</v>
      </c>
      <c r="C246" s="19">
        <v>316214</v>
      </c>
      <c r="D246" s="19" t="s">
        <v>6058</v>
      </c>
    </row>
    <row r="247" spans="1:4" x14ac:dyDescent="0.25">
      <c r="A247" s="19">
        <v>316219</v>
      </c>
      <c r="B247" s="19" t="s">
        <v>5856</v>
      </c>
      <c r="C247" s="19">
        <v>316219</v>
      </c>
      <c r="D247" s="19" t="s">
        <v>5856</v>
      </c>
    </row>
    <row r="248" spans="1:4" x14ac:dyDescent="0.25">
      <c r="A248" s="19">
        <v>316991</v>
      </c>
      <c r="B248" s="19" t="s">
        <v>5857</v>
      </c>
      <c r="C248" s="19">
        <v>316991</v>
      </c>
      <c r="D248" s="19" t="s">
        <v>5857</v>
      </c>
    </row>
    <row r="249" spans="1:4" ht="25.5" x14ac:dyDescent="0.25">
      <c r="A249" s="19">
        <v>316992</v>
      </c>
      <c r="B249" s="19" t="s">
        <v>2951</v>
      </c>
      <c r="C249" s="19">
        <v>316992</v>
      </c>
      <c r="D249" s="19" t="s">
        <v>2951</v>
      </c>
    </row>
    <row r="250" spans="1:4" ht="38.25" x14ac:dyDescent="0.25">
      <c r="A250" s="19">
        <v>316993</v>
      </c>
      <c r="B250" s="19" t="s">
        <v>6059</v>
      </c>
      <c r="C250" s="19">
        <v>316993</v>
      </c>
      <c r="D250" s="19" t="s">
        <v>6059</v>
      </c>
    </row>
    <row r="251" spans="1:4" ht="25.5" x14ac:dyDescent="0.25">
      <c r="A251" s="19">
        <v>316999</v>
      </c>
      <c r="B251" s="19" t="s">
        <v>5852</v>
      </c>
      <c r="C251" s="19">
        <v>316999</v>
      </c>
      <c r="D251" s="19" t="s">
        <v>2953</v>
      </c>
    </row>
    <row r="252" spans="1:4" x14ac:dyDescent="0.25">
      <c r="A252" s="19">
        <v>321113</v>
      </c>
      <c r="B252" s="19" t="s">
        <v>2955</v>
      </c>
      <c r="C252" s="19">
        <v>321113</v>
      </c>
      <c r="D252" s="19" t="s">
        <v>2955</v>
      </c>
    </row>
    <row r="253" spans="1:4" x14ac:dyDescent="0.25">
      <c r="A253" s="19">
        <v>321114</v>
      </c>
      <c r="B253" s="19" t="s">
        <v>2957</v>
      </c>
      <c r="C253" s="19">
        <v>321114</v>
      </c>
      <c r="D253" s="19" t="s">
        <v>2957</v>
      </c>
    </row>
    <row r="254" spans="1:4" ht="25.5" x14ac:dyDescent="0.25">
      <c r="A254" s="19">
        <v>321211</v>
      </c>
      <c r="B254" s="19" t="s">
        <v>2959</v>
      </c>
      <c r="C254" s="19">
        <v>321211</v>
      </c>
      <c r="D254" s="19" t="s">
        <v>2959</v>
      </c>
    </row>
    <row r="255" spans="1:4" ht="25.5" x14ac:dyDescent="0.25">
      <c r="A255" s="19">
        <v>321212</v>
      </c>
      <c r="B255" s="19" t="s">
        <v>2961</v>
      </c>
      <c r="C255" s="19">
        <v>321212</v>
      </c>
      <c r="D255" s="19" t="s">
        <v>2961</v>
      </c>
    </row>
    <row r="256" spans="1:4" ht="25.5" x14ac:dyDescent="0.25">
      <c r="A256" s="19">
        <v>321213</v>
      </c>
      <c r="B256" s="19" t="s">
        <v>2963</v>
      </c>
      <c r="C256" s="19">
        <v>321213</v>
      </c>
      <c r="D256" s="19" t="s">
        <v>2963</v>
      </c>
    </row>
    <row r="257" spans="1:4" x14ac:dyDescent="0.25">
      <c r="A257" s="19">
        <v>321214</v>
      </c>
      <c r="B257" s="19" t="s">
        <v>2965</v>
      </c>
      <c r="C257" s="19">
        <v>321214</v>
      </c>
      <c r="D257" s="19" t="s">
        <v>2965</v>
      </c>
    </row>
    <row r="258" spans="1:4" ht="25.5" x14ac:dyDescent="0.25">
      <c r="A258" s="19">
        <v>321219</v>
      </c>
      <c r="B258" s="19" t="s">
        <v>2967</v>
      </c>
      <c r="C258" s="19">
        <v>321219</v>
      </c>
      <c r="D258" s="19" t="s">
        <v>2967</v>
      </c>
    </row>
    <row r="259" spans="1:4" x14ac:dyDescent="0.25">
      <c r="A259" s="19">
        <v>321911</v>
      </c>
      <c r="B259" s="19" t="s">
        <v>2969</v>
      </c>
      <c r="C259" s="19">
        <v>321911</v>
      </c>
      <c r="D259" s="19" t="s">
        <v>2969</v>
      </c>
    </row>
    <row r="260" spans="1:4" ht="25.5" x14ac:dyDescent="0.25">
      <c r="A260" s="19">
        <v>321912</v>
      </c>
      <c r="B260" s="19" t="s">
        <v>2970</v>
      </c>
      <c r="C260" s="19">
        <v>321912</v>
      </c>
      <c r="D260" s="19" t="s">
        <v>2970</v>
      </c>
    </row>
    <row r="261" spans="1:4" x14ac:dyDescent="0.25">
      <c r="A261" s="19">
        <v>321918</v>
      </c>
      <c r="B261" s="19" t="s">
        <v>2972</v>
      </c>
      <c r="C261" s="19">
        <v>321918</v>
      </c>
      <c r="D261" s="19" t="s">
        <v>2972</v>
      </c>
    </row>
    <row r="262" spans="1:4" ht="25.5" x14ac:dyDescent="0.25">
      <c r="A262" s="19">
        <v>321920</v>
      </c>
      <c r="B262" s="19" t="s">
        <v>2974</v>
      </c>
      <c r="C262" s="19">
        <v>321920</v>
      </c>
      <c r="D262" s="19" t="s">
        <v>2974</v>
      </c>
    </row>
    <row r="263" spans="1:4" ht="25.5" x14ac:dyDescent="0.25">
      <c r="A263" s="19">
        <v>321991</v>
      </c>
      <c r="B263" s="19" t="s">
        <v>2976</v>
      </c>
      <c r="C263" s="19">
        <v>321991</v>
      </c>
      <c r="D263" s="19" t="s">
        <v>2976</v>
      </c>
    </row>
    <row r="264" spans="1:4" ht="25.5" x14ac:dyDescent="0.25">
      <c r="A264" s="19">
        <v>321992</v>
      </c>
      <c r="B264" s="19" t="s">
        <v>2978</v>
      </c>
      <c r="C264" s="19">
        <v>321992</v>
      </c>
      <c r="D264" s="19" t="s">
        <v>2978</v>
      </c>
    </row>
    <row r="265" spans="1:4" ht="25.5" x14ac:dyDescent="0.25">
      <c r="A265" s="19">
        <v>321999</v>
      </c>
      <c r="B265" s="19" t="s">
        <v>2980</v>
      </c>
      <c r="C265" s="19">
        <v>321999</v>
      </c>
      <c r="D265" s="19" t="s">
        <v>2980</v>
      </c>
    </row>
    <row r="266" spans="1:4" x14ac:dyDescent="0.25">
      <c r="A266" s="19">
        <v>322110</v>
      </c>
      <c r="B266" s="19" t="s">
        <v>2982</v>
      </c>
      <c r="C266" s="19">
        <v>322110</v>
      </c>
      <c r="D266" s="19" t="s">
        <v>2982</v>
      </c>
    </row>
    <row r="267" spans="1:4" x14ac:dyDescent="0.25">
      <c r="A267" s="19">
        <v>322121</v>
      </c>
      <c r="B267" s="19" t="s">
        <v>2984</v>
      </c>
      <c r="C267" s="19">
        <v>322121</v>
      </c>
      <c r="D267" s="19" t="s">
        <v>2984</v>
      </c>
    </row>
    <row r="268" spans="1:4" x14ac:dyDescent="0.25">
      <c r="A268" s="19">
        <v>322122</v>
      </c>
      <c r="B268" s="19" t="s">
        <v>2986</v>
      </c>
      <c r="C268" s="19">
        <v>322122</v>
      </c>
      <c r="D268" s="19" t="s">
        <v>2986</v>
      </c>
    </row>
    <row r="269" spans="1:4" x14ac:dyDescent="0.25">
      <c r="A269" s="19">
        <v>322130</v>
      </c>
      <c r="B269" s="19" t="s">
        <v>2988</v>
      </c>
      <c r="C269" s="19">
        <v>322130</v>
      </c>
      <c r="D269" s="19" t="s">
        <v>2988</v>
      </c>
    </row>
    <row r="270" spans="1:4" ht="25.5" x14ac:dyDescent="0.25">
      <c r="A270" s="19">
        <v>322211</v>
      </c>
      <c r="B270" s="19" t="s">
        <v>2990</v>
      </c>
      <c r="C270" s="19">
        <v>322211</v>
      </c>
      <c r="D270" s="19" t="s">
        <v>2990</v>
      </c>
    </row>
    <row r="271" spans="1:4" x14ac:dyDescent="0.25">
      <c r="A271" s="19">
        <v>322212</v>
      </c>
      <c r="B271" s="19" t="s">
        <v>2992</v>
      </c>
      <c r="C271" s="19">
        <v>322212</v>
      </c>
      <c r="D271" s="19" t="s">
        <v>2992</v>
      </c>
    </row>
    <row r="272" spans="1:4" x14ac:dyDescent="0.25">
      <c r="A272" s="19">
        <v>322213</v>
      </c>
      <c r="B272" s="19" t="s">
        <v>5809</v>
      </c>
      <c r="C272" s="19">
        <v>322213</v>
      </c>
      <c r="D272" s="19" t="s">
        <v>5809</v>
      </c>
    </row>
    <row r="273" spans="1:4" ht="25.5" x14ac:dyDescent="0.25">
      <c r="A273" s="19">
        <v>322214</v>
      </c>
      <c r="B273" s="19" t="s">
        <v>5810</v>
      </c>
      <c r="C273" s="19">
        <v>322214</v>
      </c>
      <c r="D273" s="19" t="s">
        <v>5810</v>
      </c>
    </row>
    <row r="274" spans="1:4" ht="25.5" x14ac:dyDescent="0.25">
      <c r="A274" s="19">
        <v>322215</v>
      </c>
      <c r="B274" s="19" t="s">
        <v>5811</v>
      </c>
      <c r="C274" s="19">
        <v>322215</v>
      </c>
      <c r="D274" s="19" t="s">
        <v>5811</v>
      </c>
    </row>
    <row r="275" spans="1:4" ht="25.5" x14ac:dyDescent="0.25">
      <c r="A275" s="19">
        <v>322221</v>
      </c>
      <c r="B275" s="19" t="s">
        <v>5812</v>
      </c>
      <c r="C275" s="19">
        <v>322221</v>
      </c>
      <c r="D275" s="19" t="s">
        <v>6060</v>
      </c>
    </row>
    <row r="276" spans="1:4" ht="25.5" x14ac:dyDescent="0.25">
      <c r="A276" s="19">
        <v>322222</v>
      </c>
      <c r="B276" s="19" t="s">
        <v>5813</v>
      </c>
      <c r="C276" s="19">
        <v>322222</v>
      </c>
      <c r="D276" s="19" t="s">
        <v>5813</v>
      </c>
    </row>
    <row r="277" spans="1:4" ht="25.5" x14ac:dyDescent="0.25">
      <c r="A277" s="19">
        <v>322223</v>
      </c>
      <c r="B277" s="19" t="s">
        <v>5814</v>
      </c>
      <c r="C277" s="19">
        <v>322223</v>
      </c>
      <c r="D277" s="19" t="s">
        <v>6061</v>
      </c>
    </row>
    <row r="278" spans="1:4" ht="25.5" x14ac:dyDescent="0.25">
      <c r="A278" s="19">
        <v>322224</v>
      </c>
      <c r="B278" s="19" t="s">
        <v>5816</v>
      </c>
      <c r="C278" s="19">
        <v>322224</v>
      </c>
      <c r="D278" s="19" t="s">
        <v>5816</v>
      </c>
    </row>
    <row r="279" spans="1:4" ht="25.5" x14ac:dyDescent="0.25">
      <c r="A279" s="19">
        <v>322225</v>
      </c>
      <c r="B279" s="19" t="s">
        <v>5902</v>
      </c>
      <c r="C279" s="19">
        <v>322225</v>
      </c>
      <c r="D279" s="19" t="s">
        <v>5902</v>
      </c>
    </row>
    <row r="280" spans="1:4" ht="25.5" x14ac:dyDescent="0.25">
      <c r="A280" s="19">
        <v>322226</v>
      </c>
      <c r="B280" s="19" t="s">
        <v>5817</v>
      </c>
      <c r="C280" s="19">
        <v>322226</v>
      </c>
      <c r="D280" s="19" t="s">
        <v>5817</v>
      </c>
    </row>
    <row r="281" spans="1:4" ht="25.5" x14ac:dyDescent="0.25">
      <c r="A281" s="19">
        <v>322231</v>
      </c>
      <c r="B281" s="19" t="s">
        <v>5818</v>
      </c>
      <c r="C281" s="19">
        <v>322231</v>
      </c>
      <c r="D281" s="19" t="s">
        <v>5818</v>
      </c>
    </row>
    <row r="282" spans="1:4" x14ac:dyDescent="0.25">
      <c r="A282" s="19">
        <v>322232</v>
      </c>
      <c r="B282" s="19" t="s">
        <v>5819</v>
      </c>
      <c r="C282" s="19">
        <v>322232</v>
      </c>
      <c r="D282" s="19" t="s">
        <v>5819</v>
      </c>
    </row>
    <row r="283" spans="1:4" ht="25.5" x14ac:dyDescent="0.25">
      <c r="A283" s="19">
        <v>322233</v>
      </c>
      <c r="B283" s="19" t="s">
        <v>5820</v>
      </c>
      <c r="C283" s="19">
        <v>322233</v>
      </c>
      <c r="D283" s="19" t="s">
        <v>5820</v>
      </c>
    </row>
    <row r="284" spans="1:4" x14ac:dyDescent="0.25">
      <c r="A284" s="19">
        <v>322291</v>
      </c>
      <c r="B284" s="19" t="s">
        <v>3000</v>
      </c>
      <c r="C284" s="19">
        <v>322291</v>
      </c>
      <c r="D284" s="19" t="s">
        <v>3000</v>
      </c>
    </row>
    <row r="285" spans="1:4" ht="25.5" x14ac:dyDescent="0.25">
      <c r="A285" s="19">
        <v>322299</v>
      </c>
      <c r="B285" s="19" t="s">
        <v>3002</v>
      </c>
      <c r="C285" s="19">
        <v>322299</v>
      </c>
      <c r="D285" s="19" t="s">
        <v>3002</v>
      </c>
    </row>
    <row r="286" spans="1:4" x14ac:dyDescent="0.25">
      <c r="A286" s="19">
        <v>323110</v>
      </c>
      <c r="B286" s="19" t="s">
        <v>5823</v>
      </c>
      <c r="C286" s="19">
        <v>323110</v>
      </c>
      <c r="D286" s="19" t="s">
        <v>5823</v>
      </c>
    </row>
    <row r="287" spans="1:4" x14ac:dyDescent="0.25">
      <c r="A287" s="19">
        <v>323111</v>
      </c>
      <c r="B287" s="19" t="s">
        <v>5825</v>
      </c>
      <c r="C287" s="19">
        <v>323111</v>
      </c>
      <c r="D287" s="19" t="s">
        <v>5825</v>
      </c>
    </row>
    <row r="288" spans="1:4" x14ac:dyDescent="0.25">
      <c r="A288" s="19">
        <v>323112</v>
      </c>
      <c r="B288" s="19" t="s">
        <v>5826</v>
      </c>
      <c r="C288" s="19">
        <v>323112</v>
      </c>
      <c r="D288" s="19" t="s">
        <v>5826</v>
      </c>
    </row>
    <row r="289" spans="1:4" x14ac:dyDescent="0.25">
      <c r="A289" s="19">
        <v>323113</v>
      </c>
      <c r="B289" s="19" t="s">
        <v>3006</v>
      </c>
      <c r="C289" s="19">
        <v>323113</v>
      </c>
      <c r="D289" s="19" t="s">
        <v>3006</v>
      </c>
    </row>
    <row r="290" spans="1:4" x14ac:dyDescent="0.25">
      <c r="A290" s="19">
        <v>323114</v>
      </c>
      <c r="B290" s="19" t="s">
        <v>5824</v>
      </c>
      <c r="C290" s="19">
        <v>323114</v>
      </c>
      <c r="D290" s="19" t="s">
        <v>5824</v>
      </c>
    </row>
    <row r="291" spans="1:4" x14ac:dyDescent="0.25">
      <c r="A291" s="19">
        <v>323115</v>
      </c>
      <c r="B291" s="19" t="s">
        <v>5827</v>
      </c>
      <c r="C291" s="19">
        <v>323115</v>
      </c>
      <c r="D291" s="19" t="s">
        <v>5827</v>
      </c>
    </row>
    <row r="292" spans="1:4" x14ac:dyDescent="0.25">
      <c r="A292" s="19">
        <v>323116</v>
      </c>
      <c r="B292" s="19" t="s">
        <v>6062</v>
      </c>
      <c r="C292" s="19">
        <v>323116</v>
      </c>
      <c r="D292" s="19" t="s">
        <v>6062</v>
      </c>
    </row>
    <row r="293" spans="1:4" x14ac:dyDescent="0.25">
      <c r="A293" s="19">
        <v>323117</v>
      </c>
      <c r="B293" s="19" t="s">
        <v>3008</v>
      </c>
      <c r="C293" s="19">
        <v>323117</v>
      </c>
      <c r="D293" s="19" t="s">
        <v>3008</v>
      </c>
    </row>
    <row r="294" spans="1:4" ht="25.5" x14ac:dyDescent="0.25">
      <c r="A294" s="19">
        <v>323118</v>
      </c>
      <c r="B294" s="19" t="s">
        <v>6063</v>
      </c>
      <c r="C294" s="19">
        <v>323118</v>
      </c>
      <c r="D294" s="19" t="s">
        <v>6063</v>
      </c>
    </row>
    <row r="295" spans="1:4" x14ac:dyDescent="0.25">
      <c r="A295" s="19">
        <v>323119</v>
      </c>
      <c r="B295" s="19" t="s">
        <v>6064</v>
      </c>
      <c r="C295" s="19">
        <v>323119</v>
      </c>
      <c r="D295" s="19" t="s">
        <v>6064</v>
      </c>
    </row>
    <row r="296" spans="1:4" x14ac:dyDescent="0.25">
      <c r="A296" s="19">
        <v>323121</v>
      </c>
      <c r="B296" s="19" t="s">
        <v>5831</v>
      </c>
      <c r="C296" s="19">
        <v>323121</v>
      </c>
      <c r="D296" s="19" t="s">
        <v>5831</v>
      </c>
    </row>
    <row r="297" spans="1:4" x14ac:dyDescent="0.25">
      <c r="A297" s="19">
        <v>323122</v>
      </c>
      <c r="B297" s="19" t="s">
        <v>5832</v>
      </c>
      <c r="C297" s="19">
        <v>323122</v>
      </c>
      <c r="D297" s="19" t="s">
        <v>5832</v>
      </c>
    </row>
    <row r="298" spans="1:4" x14ac:dyDescent="0.25">
      <c r="A298" s="19">
        <v>324110</v>
      </c>
      <c r="B298" s="19" t="s">
        <v>2407</v>
      </c>
      <c r="C298" s="19">
        <v>324110</v>
      </c>
      <c r="D298" s="19" t="s">
        <v>2407</v>
      </c>
    </row>
    <row r="299" spans="1:4" ht="25.5" x14ac:dyDescent="0.25">
      <c r="A299" s="19">
        <v>324121</v>
      </c>
      <c r="B299" s="19" t="s">
        <v>3013</v>
      </c>
      <c r="C299" s="19">
        <v>324121</v>
      </c>
      <c r="D299" s="19" t="s">
        <v>3013</v>
      </c>
    </row>
    <row r="300" spans="1:4" ht="25.5" x14ac:dyDescent="0.25">
      <c r="A300" s="19">
        <v>324122</v>
      </c>
      <c r="B300" s="19" t="s">
        <v>3015</v>
      </c>
      <c r="C300" s="19">
        <v>324122</v>
      </c>
      <c r="D300" s="19" t="s">
        <v>3015</v>
      </c>
    </row>
    <row r="301" spans="1:4" ht="25.5" x14ac:dyDescent="0.25">
      <c r="A301" s="19">
        <v>324191</v>
      </c>
      <c r="B301" s="19" t="s">
        <v>3017</v>
      </c>
      <c r="C301" s="19">
        <v>324191</v>
      </c>
      <c r="D301" s="19" t="s">
        <v>3017</v>
      </c>
    </row>
    <row r="302" spans="1:4" ht="25.5" x14ac:dyDescent="0.25">
      <c r="A302" s="19">
        <v>324199</v>
      </c>
      <c r="B302" s="19" t="s">
        <v>3019</v>
      </c>
      <c r="C302" s="19">
        <v>324199</v>
      </c>
      <c r="D302" s="19" t="s">
        <v>3019</v>
      </c>
    </row>
    <row r="303" spans="1:4" x14ac:dyDescent="0.25">
      <c r="A303" s="19">
        <v>325110</v>
      </c>
      <c r="B303" s="19" t="s">
        <v>36</v>
      </c>
      <c r="C303" s="19">
        <v>325110</v>
      </c>
      <c r="D303" s="19" t="s">
        <v>36</v>
      </c>
    </row>
    <row r="304" spans="1:4" x14ac:dyDescent="0.25">
      <c r="A304" s="19">
        <v>325120</v>
      </c>
      <c r="B304" s="19" t="s">
        <v>3022</v>
      </c>
      <c r="C304" s="19">
        <v>325120</v>
      </c>
      <c r="D304" s="19" t="s">
        <v>3022</v>
      </c>
    </row>
    <row r="305" spans="1:4" ht="25.5" x14ac:dyDescent="0.25">
      <c r="A305" s="19">
        <v>325131</v>
      </c>
      <c r="B305" s="19" t="s">
        <v>5834</v>
      </c>
      <c r="C305" s="19">
        <v>325131</v>
      </c>
      <c r="D305" s="19" t="s">
        <v>5834</v>
      </c>
    </row>
    <row r="306" spans="1:4" ht="25.5" x14ac:dyDescent="0.25">
      <c r="A306" s="19">
        <v>325132</v>
      </c>
      <c r="B306" s="19" t="s">
        <v>6065</v>
      </c>
      <c r="C306" s="19">
        <v>325132</v>
      </c>
      <c r="D306" s="19" t="s">
        <v>6065</v>
      </c>
    </row>
    <row r="307" spans="1:4" x14ac:dyDescent="0.25">
      <c r="A307" s="19">
        <v>325181</v>
      </c>
      <c r="B307" s="19" t="s">
        <v>5833</v>
      </c>
      <c r="C307" s="19">
        <v>325181</v>
      </c>
      <c r="D307" s="19" t="s">
        <v>5833</v>
      </c>
    </row>
    <row r="308" spans="1:4" x14ac:dyDescent="0.25">
      <c r="A308" s="19">
        <v>325182</v>
      </c>
      <c r="B308" s="19" t="s">
        <v>5835</v>
      </c>
      <c r="C308" s="19">
        <v>325182</v>
      </c>
      <c r="D308" s="19" t="s">
        <v>5835</v>
      </c>
    </row>
    <row r="309" spans="1:4" ht="25.5" x14ac:dyDescent="0.25">
      <c r="A309" s="19">
        <v>325188</v>
      </c>
      <c r="B309" s="19" t="s">
        <v>5836</v>
      </c>
      <c r="C309" s="19">
        <v>325188</v>
      </c>
      <c r="D309" s="19" t="s">
        <v>5836</v>
      </c>
    </row>
    <row r="310" spans="1:4" x14ac:dyDescent="0.25">
      <c r="A310" s="19">
        <v>325191</v>
      </c>
      <c r="B310" s="19" t="s">
        <v>5843</v>
      </c>
      <c r="C310" s="19">
        <v>325191</v>
      </c>
      <c r="D310" s="19" t="s">
        <v>5843</v>
      </c>
    </row>
    <row r="311" spans="1:4" ht="25.5" x14ac:dyDescent="0.25">
      <c r="A311" s="19">
        <v>325192</v>
      </c>
      <c r="B311" s="19" t="s">
        <v>5845</v>
      </c>
      <c r="C311" s="19">
        <v>325192</v>
      </c>
      <c r="D311" s="19" t="s">
        <v>5845</v>
      </c>
    </row>
    <row r="312" spans="1:4" x14ac:dyDescent="0.25">
      <c r="A312" s="19">
        <v>325193</v>
      </c>
      <c r="B312" s="19" t="s">
        <v>3027</v>
      </c>
      <c r="C312" s="19">
        <v>325193</v>
      </c>
      <c r="D312" s="19" t="s">
        <v>3027</v>
      </c>
    </row>
    <row r="313" spans="1:4" ht="25.5" x14ac:dyDescent="0.25">
      <c r="A313" s="19">
        <v>325199</v>
      </c>
      <c r="B313" s="19" t="s">
        <v>28</v>
      </c>
      <c r="C313" s="19">
        <v>325199</v>
      </c>
      <c r="D313" s="19" t="s">
        <v>28</v>
      </c>
    </row>
    <row r="314" spans="1:4" ht="25.5" x14ac:dyDescent="0.25">
      <c r="A314" s="19">
        <v>325211</v>
      </c>
      <c r="B314" s="19" t="s">
        <v>54</v>
      </c>
      <c r="C314" s="19">
        <v>325211</v>
      </c>
      <c r="D314" s="19" t="s">
        <v>54</v>
      </c>
    </row>
    <row r="315" spans="1:4" x14ac:dyDescent="0.25">
      <c r="A315" s="19">
        <v>325212</v>
      </c>
      <c r="B315" s="19" t="s">
        <v>3033</v>
      </c>
      <c r="C315" s="19">
        <v>325212</v>
      </c>
      <c r="D315" s="19" t="s">
        <v>3033</v>
      </c>
    </row>
    <row r="316" spans="1:4" x14ac:dyDescent="0.25">
      <c r="A316" s="19">
        <v>325221</v>
      </c>
      <c r="B316" s="19" t="s">
        <v>5838</v>
      </c>
      <c r="C316" s="19">
        <v>325221</v>
      </c>
      <c r="D316" s="19" t="s">
        <v>5838</v>
      </c>
    </row>
    <row r="317" spans="1:4" ht="25.5" x14ac:dyDescent="0.25">
      <c r="A317" s="19">
        <v>325222</v>
      </c>
      <c r="B317" s="19" t="s">
        <v>5839</v>
      </c>
      <c r="C317" s="19">
        <v>325222</v>
      </c>
      <c r="D317" s="19" t="s">
        <v>5839</v>
      </c>
    </row>
    <row r="318" spans="1:4" x14ac:dyDescent="0.25">
      <c r="A318" s="19">
        <v>325311</v>
      </c>
      <c r="B318" s="19" t="s">
        <v>3037</v>
      </c>
      <c r="C318" s="19">
        <v>325311</v>
      </c>
      <c r="D318" s="19" t="s">
        <v>3037</v>
      </c>
    </row>
    <row r="319" spans="1:4" x14ac:dyDescent="0.25">
      <c r="A319" s="19">
        <v>325312</v>
      </c>
      <c r="B319" s="19" t="s">
        <v>3039</v>
      </c>
      <c r="C319" s="19">
        <v>325312</v>
      </c>
      <c r="D319" s="19" t="s">
        <v>3039</v>
      </c>
    </row>
    <row r="320" spans="1:4" x14ac:dyDescent="0.25">
      <c r="A320" s="19">
        <v>325314</v>
      </c>
      <c r="B320" s="19" t="s">
        <v>5846</v>
      </c>
      <c r="C320" s="19">
        <v>325314</v>
      </c>
      <c r="D320" s="19" t="s">
        <v>5846</v>
      </c>
    </row>
    <row r="321" spans="1:4" ht="25.5" x14ac:dyDescent="0.25">
      <c r="A321" s="19">
        <v>325320</v>
      </c>
      <c r="B321" s="19" t="s">
        <v>2406</v>
      </c>
      <c r="C321" s="19">
        <v>325320</v>
      </c>
      <c r="D321" s="19" t="s">
        <v>2406</v>
      </c>
    </row>
    <row r="322" spans="1:4" x14ac:dyDescent="0.25">
      <c r="A322" s="19">
        <v>325411</v>
      </c>
      <c r="B322" s="19" t="s">
        <v>3046</v>
      </c>
      <c r="C322" s="19">
        <v>325411</v>
      </c>
      <c r="D322" s="19" t="s">
        <v>3046</v>
      </c>
    </row>
    <row r="323" spans="1:4" ht="25.5" x14ac:dyDescent="0.25">
      <c r="A323" s="19">
        <v>325412</v>
      </c>
      <c r="B323" s="19" t="s">
        <v>3048</v>
      </c>
      <c r="C323" s="19">
        <v>325412</v>
      </c>
      <c r="D323" s="19" t="s">
        <v>3048</v>
      </c>
    </row>
    <row r="324" spans="1:4" ht="25.5" x14ac:dyDescent="0.25">
      <c r="A324" s="19">
        <v>325413</v>
      </c>
      <c r="B324" s="19" t="s">
        <v>3050</v>
      </c>
      <c r="C324" s="19">
        <v>325413</v>
      </c>
      <c r="D324" s="19" t="s">
        <v>3050</v>
      </c>
    </row>
    <row r="325" spans="1:4" ht="25.5" x14ac:dyDescent="0.25">
      <c r="A325" s="19">
        <v>325414</v>
      </c>
      <c r="B325" s="19" t="s">
        <v>3052</v>
      </c>
      <c r="C325" s="19">
        <v>325414</v>
      </c>
      <c r="D325" s="19" t="s">
        <v>3052</v>
      </c>
    </row>
    <row r="326" spans="1:4" x14ac:dyDescent="0.25">
      <c r="A326" s="19">
        <v>325510</v>
      </c>
      <c r="B326" s="19" t="s">
        <v>697</v>
      </c>
      <c r="C326" s="19">
        <v>325510</v>
      </c>
      <c r="D326" s="19" t="s">
        <v>697</v>
      </c>
    </row>
    <row r="327" spans="1:4" x14ac:dyDescent="0.25">
      <c r="A327" s="19">
        <v>325520</v>
      </c>
      <c r="B327" s="19" t="s">
        <v>3055</v>
      </c>
      <c r="C327" s="19">
        <v>325520</v>
      </c>
      <c r="D327" s="19" t="s">
        <v>3055</v>
      </c>
    </row>
    <row r="328" spans="1:4" ht="25.5" x14ac:dyDescent="0.25">
      <c r="A328" s="19">
        <v>325611</v>
      </c>
      <c r="B328" s="19" t="s">
        <v>3057</v>
      </c>
      <c r="C328" s="19">
        <v>325611</v>
      </c>
      <c r="D328" s="19" t="s">
        <v>3057</v>
      </c>
    </row>
    <row r="329" spans="1:4" ht="25.5" x14ac:dyDescent="0.25">
      <c r="A329" s="19">
        <v>325612</v>
      </c>
      <c r="B329" s="19" t="s">
        <v>3059</v>
      </c>
      <c r="C329" s="19">
        <v>325612</v>
      </c>
      <c r="D329" s="19" t="s">
        <v>3059</v>
      </c>
    </row>
    <row r="330" spans="1:4" x14ac:dyDescent="0.25">
      <c r="A330" s="19">
        <v>325613</v>
      </c>
      <c r="B330" s="19" t="s">
        <v>3061</v>
      </c>
      <c r="C330" s="19">
        <v>325613</v>
      </c>
      <c r="D330" s="19" t="s">
        <v>3061</v>
      </c>
    </row>
    <row r="331" spans="1:4" x14ac:dyDescent="0.25">
      <c r="A331" s="19">
        <v>325620</v>
      </c>
      <c r="B331" s="19" t="s">
        <v>3063</v>
      </c>
      <c r="C331" s="19">
        <v>325620</v>
      </c>
      <c r="D331" s="19" t="s">
        <v>3063</v>
      </c>
    </row>
    <row r="332" spans="1:4" x14ac:dyDescent="0.25">
      <c r="A332" s="19">
        <v>325910</v>
      </c>
      <c r="B332" s="19" t="s">
        <v>3065</v>
      </c>
      <c r="C332" s="19">
        <v>325910</v>
      </c>
      <c r="D332" s="19" t="s">
        <v>3065</v>
      </c>
    </row>
    <row r="333" spans="1:4" x14ac:dyDescent="0.25">
      <c r="A333" s="19">
        <v>325920</v>
      </c>
      <c r="B333" s="19" t="s">
        <v>3067</v>
      </c>
      <c r="C333" s="19">
        <v>325920</v>
      </c>
      <c r="D333" s="19" t="s">
        <v>3067</v>
      </c>
    </row>
    <row r="334" spans="1:4" ht="25.5" x14ac:dyDescent="0.25">
      <c r="A334" s="19">
        <v>325991</v>
      </c>
      <c r="B334" s="19" t="s">
        <v>3069</v>
      </c>
      <c r="C334" s="19">
        <v>325991</v>
      </c>
      <c r="D334" s="19" t="s">
        <v>3069</v>
      </c>
    </row>
    <row r="335" spans="1:4" ht="25.5" x14ac:dyDescent="0.25">
      <c r="A335" s="19">
        <v>325992</v>
      </c>
      <c r="B335" s="19" t="s">
        <v>3071</v>
      </c>
      <c r="C335" s="19">
        <v>325992</v>
      </c>
      <c r="D335" s="19" t="s">
        <v>3071</v>
      </c>
    </row>
    <row r="336" spans="1:4" ht="25.5" x14ac:dyDescent="0.25">
      <c r="A336" s="19">
        <v>325998</v>
      </c>
      <c r="B336" s="19" t="s">
        <v>3073</v>
      </c>
      <c r="C336" s="19">
        <v>325998</v>
      </c>
      <c r="D336" s="19" t="s">
        <v>3073</v>
      </c>
    </row>
    <row r="337" spans="1:4" x14ac:dyDescent="0.25">
      <c r="A337" s="19">
        <v>326111</v>
      </c>
      <c r="B337" s="19" t="s">
        <v>5815</v>
      </c>
      <c r="C337" s="19">
        <v>326111</v>
      </c>
      <c r="D337" s="19" t="s">
        <v>3075</v>
      </c>
    </row>
    <row r="338" spans="1:4" ht="25.5" x14ac:dyDescent="0.25">
      <c r="A338" s="19">
        <v>326112</v>
      </c>
      <c r="B338" s="19" t="s">
        <v>3077</v>
      </c>
      <c r="C338" s="19">
        <v>326112</v>
      </c>
      <c r="D338" s="19" t="s">
        <v>3077</v>
      </c>
    </row>
    <row r="339" spans="1:4" ht="25.5" x14ac:dyDescent="0.25">
      <c r="A339" s="19">
        <v>326113</v>
      </c>
      <c r="B339" s="19" t="s">
        <v>3079</v>
      </c>
      <c r="C339" s="19">
        <v>326113</v>
      </c>
      <c r="D339" s="19" t="s">
        <v>3079</v>
      </c>
    </row>
    <row r="340" spans="1:4" ht="25.5" x14ac:dyDescent="0.25">
      <c r="A340" s="19">
        <v>326121</v>
      </c>
      <c r="B340" s="19" t="s">
        <v>3081</v>
      </c>
      <c r="C340" s="19">
        <v>326121</v>
      </c>
      <c r="D340" s="19" t="s">
        <v>3081</v>
      </c>
    </row>
    <row r="341" spans="1:4" ht="25.5" x14ac:dyDescent="0.25">
      <c r="A341" s="19">
        <v>326122</v>
      </c>
      <c r="B341" s="19" t="s">
        <v>3083</v>
      </c>
      <c r="C341" s="19">
        <v>326122</v>
      </c>
      <c r="D341" s="19" t="s">
        <v>3083</v>
      </c>
    </row>
    <row r="342" spans="1:4" ht="25.5" x14ac:dyDescent="0.25">
      <c r="A342" s="19">
        <v>326130</v>
      </c>
      <c r="B342" s="19" t="s">
        <v>3085</v>
      </c>
      <c r="C342" s="19">
        <v>326130</v>
      </c>
      <c r="D342" s="19" t="s">
        <v>3085</v>
      </c>
    </row>
    <row r="343" spans="1:4" ht="25.5" x14ac:dyDescent="0.25">
      <c r="A343" s="19">
        <v>326140</v>
      </c>
      <c r="B343" s="19" t="s">
        <v>3087</v>
      </c>
      <c r="C343" s="19">
        <v>326140</v>
      </c>
      <c r="D343" s="19" t="s">
        <v>3087</v>
      </c>
    </row>
    <row r="344" spans="1:4" ht="25.5" x14ac:dyDescent="0.25">
      <c r="A344" s="19">
        <v>326150</v>
      </c>
      <c r="B344" s="19" t="s">
        <v>3089</v>
      </c>
      <c r="C344" s="19">
        <v>326150</v>
      </c>
      <c r="D344" s="19" t="s">
        <v>3089</v>
      </c>
    </row>
    <row r="345" spans="1:4" x14ac:dyDescent="0.25">
      <c r="A345" s="19">
        <v>326160</v>
      </c>
      <c r="B345" s="19" t="s">
        <v>3091</v>
      </c>
      <c r="C345" s="19">
        <v>326160</v>
      </c>
      <c r="D345" s="19" t="s">
        <v>3091</v>
      </c>
    </row>
    <row r="346" spans="1:4" x14ac:dyDescent="0.25">
      <c r="A346" s="19">
        <v>326191</v>
      </c>
      <c r="B346" s="19" t="s">
        <v>3093</v>
      </c>
      <c r="C346" s="19">
        <v>326191</v>
      </c>
      <c r="D346" s="19" t="s">
        <v>3093</v>
      </c>
    </row>
    <row r="347" spans="1:4" x14ac:dyDescent="0.25">
      <c r="A347" s="19">
        <v>326192</v>
      </c>
      <c r="B347" s="19" t="s">
        <v>5848</v>
      </c>
      <c r="C347" s="19">
        <v>326192</v>
      </c>
      <c r="D347" s="19" t="s">
        <v>5848</v>
      </c>
    </row>
    <row r="348" spans="1:4" ht="25.5" x14ac:dyDescent="0.25">
      <c r="A348" s="21">
        <v>326199</v>
      </c>
      <c r="B348" s="19" t="s">
        <v>6066</v>
      </c>
      <c r="C348" s="19">
        <v>326199</v>
      </c>
      <c r="D348" s="19" t="s">
        <v>3095</v>
      </c>
    </row>
    <row r="349" spans="1:4" ht="25.5" x14ac:dyDescent="0.25">
      <c r="A349" s="21">
        <v>326199</v>
      </c>
      <c r="B349" s="19" t="s">
        <v>6067</v>
      </c>
      <c r="C349" s="20">
        <v>336612</v>
      </c>
      <c r="D349" s="19" t="s">
        <v>3456</v>
      </c>
    </row>
    <row r="350" spans="1:4" x14ac:dyDescent="0.25">
      <c r="A350" s="19">
        <v>326211</v>
      </c>
      <c r="B350" s="19" t="s">
        <v>3097</v>
      </c>
      <c r="C350" s="19">
        <v>326211</v>
      </c>
      <c r="D350" s="19" t="s">
        <v>3097</v>
      </c>
    </row>
    <row r="351" spans="1:4" x14ac:dyDescent="0.25">
      <c r="A351" s="19">
        <v>326212</v>
      </c>
      <c r="B351" s="19" t="s">
        <v>3099</v>
      </c>
      <c r="C351" s="19">
        <v>326212</v>
      </c>
      <c r="D351" s="19" t="s">
        <v>3099</v>
      </c>
    </row>
    <row r="352" spans="1:4" ht="25.5" x14ac:dyDescent="0.25">
      <c r="A352" s="19">
        <v>326220</v>
      </c>
      <c r="B352" s="19" t="s">
        <v>3101</v>
      </c>
      <c r="C352" s="19">
        <v>326220</v>
      </c>
      <c r="D352" s="19" t="s">
        <v>3101</v>
      </c>
    </row>
    <row r="353" spans="1:4" ht="38.25" x14ac:dyDescent="0.25">
      <c r="A353" s="21">
        <v>326291</v>
      </c>
      <c r="B353" s="19" t="s">
        <v>6068</v>
      </c>
      <c r="C353" s="19">
        <v>326291</v>
      </c>
      <c r="D353" s="19" t="s">
        <v>3103</v>
      </c>
    </row>
    <row r="354" spans="1:4" ht="38.25" x14ac:dyDescent="0.25">
      <c r="A354" s="21">
        <v>326291</v>
      </c>
      <c r="B354" s="19" t="s">
        <v>6069</v>
      </c>
      <c r="C354" s="20">
        <v>326299</v>
      </c>
      <c r="D354" s="19" t="s">
        <v>3105</v>
      </c>
    </row>
    <row r="355" spans="1:4" ht="25.5" x14ac:dyDescent="0.25">
      <c r="A355" s="21">
        <v>326299</v>
      </c>
      <c r="B355" s="19" t="s">
        <v>6070</v>
      </c>
      <c r="C355" s="20">
        <v>326299</v>
      </c>
      <c r="D355" s="19" t="s">
        <v>3105</v>
      </c>
    </row>
    <row r="356" spans="1:4" ht="25.5" x14ac:dyDescent="0.25">
      <c r="A356" s="21">
        <v>326299</v>
      </c>
      <c r="B356" s="19" t="s">
        <v>6071</v>
      </c>
      <c r="C356" s="20">
        <v>336612</v>
      </c>
      <c r="D356" s="19" t="s">
        <v>3456</v>
      </c>
    </row>
    <row r="357" spans="1:4" ht="38.25" x14ac:dyDescent="0.25">
      <c r="A357" s="19">
        <v>327111</v>
      </c>
      <c r="B357" s="19" t="s">
        <v>5864</v>
      </c>
      <c r="C357" s="19">
        <v>327111</v>
      </c>
      <c r="D357" s="19" t="s">
        <v>5864</v>
      </c>
    </row>
    <row r="358" spans="1:4" ht="25.5" x14ac:dyDescent="0.25">
      <c r="A358" s="19">
        <v>327112</v>
      </c>
      <c r="B358" s="19" t="s">
        <v>5865</v>
      </c>
      <c r="C358" s="19">
        <v>327112</v>
      </c>
      <c r="D358" s="19" t="s">
        <v>5865</v>
      </c>
    </row>
    <row r="359" spans="1:4" ht="25.5" x14ac:dyDescent="0.25">
      <c r="A359" s="19">
        <v>327113</v>
      </c>
      <c r="B359" s="19" t="s">
        <v>5866</v>
      </c>
      <c r="C359" s="19">
        <v>327113</v>
      </c>
      <c r="D359" s="19" t="s">
        <v>5866</v>
      </c>
    </row>
    <row r="360" spans="1:4" ht="25.5" x14ac:dyDescent="0.25">
      <c r="A360" s="19">
        <v>327121</v>
      </c>
      <c r="B360" s="19" t="s">
        <v>5860</v>
      </c>
      <c r="C360" s="19">
        <v>327121</v>
      </c>
      <c r="D360" s="19" t="s">
        <v>5860</v>
      </c>
    </row>
    <row r="361" spans="1:4" ht="25.5" x14ac:dyDescent="0.25">
      <c r="A361" s="19">
        <v>327122</v>
      </c>
      <c r="B361" s="19" t="s">
        <v>5861</v>
      </c>
      <c r="C361" s="19">
        <v>327122</v>
      </c>
      <c r="D361" s="19" t="s">
        <v>5861</v>
      </c>
    </row>
    <row r="362" spans="1:4" ht="25.5" x14ac:dyDescent="0.25">
      <c r="A362" s="19">
        <v>327123</v>
      </c>
      <c r="B362" s="19" t="s">
        <v>5863</v>
      </c>
      <c r="C362" s="19">
        <v>327123</v>
      </c>
      <c r="D362" s="19" t="s">
        <v>5863</v>
      </c>
    </row>
    <row r="363" spans="1:4" x14ac:dyDescent="0.25">
      <c r="A363" s="19">
        <v>327124</v>
      </c>
      <c r="B363" s="19" t="s">
        <v>5862</v>
      </c>
      <c r="C363" s="19">
        <v>327124</v>
      </c>
      <c r="D363" s="19" t="s">
        <v>5862</v>
      </c>
    </row>
    <row r="364" spans="1:4" x14ac:dyDescent="0.25">
      <c r="A364" s="19">
        <v>327125</v>
      </c>
      <c r="B364" s="19" t="s">
        <v>5867</v>
      </c>
      <c r="C364" s="19">
        <v>327125</v>
      </c>
      <c r="D364" s="19" t="s">
        <v>5867</v>
      </c>
    </row>
    <row r="365" spans="1:4" x14ac:dyDescent="0.25">
      <c r="A365" s="19">
        <v>327211</v>
      </c>
      <c r="B365" s="19" t="s">
        <v>3111</v>
      </c>
      <c r="C365" s="19">
        <v>327211</v>
      </c>
      <c r="D365" s="19" t="s">
        <v>3111</v>
      </c>
    </row>
    <row r="366" spans="1:4" ht="25.5" x14ac:dyDescent="0.25">
      <c r="A366" s="19">
        <v>327212</v>
      </c>
      <c r="B366" s="19" t="s">
        <v>3113</v>
      </c>
      <c r="C366" s="19">
        <v>327212</v>
      </c>
      <c r="D366" s="19" t="s">
        <v>3113</v>
      </c>
    </row>
    <row r="367" spans="1:4" x14ac:dyDescent="0.25">
      <c r="A367" s="19">
        <v>327213</v>
      </c>
      <c r="B367" s="19" t="s">
        <v>3115</v>
      </c>
      <c r="C367" s="19">
        <v>327213</v>
      </c>
      <c r="D367" s="19" t="s">
        <v>3115</v>
      </c>
    </row>
    <row r="368" spans="1:4" ht="25.5" x14ac:dyDescent="0.25">
      <c r="A368" s="19">
        <v>327215</v>
      </c>
      <c r="B368" s="19" t="s">
        <v>3117</v>
      </c>
      <c r="C368" s="19">
        <v>327215</v>
      </c>
      <c r="D368" s="19" t="s">
        <v>3117</v>
      </c>
    </row>
    <row r="369" spans="1:4" x14ac:dyDescent="0.25">
      <c r="A369" s="19">
        <v>327310</v>
      </c>
      <c r="B369" s="19" t="s">
        <v>693</v>
      </c>
      <c r="C369" s="19">
        <v>327310</v>
      </c>
      <c r="D369" s="19" t="s">
        <v>693</v>
      </c>
    </row>
    <row r="370" spans="1:4" x14ac:dyDescent="0.25">
      <c r="A370" s="19">
        <v>327320</v>
      </c>
      <c r="B370" s="19" t="s">
        <v>3120</v>
      </c>
      <c r="C370" s="19">
        <v>327320</v>
      </c>
      <c r="D370" s="19" t="s">
        <v>3120</v>
      </c>
    </row>
    <row r="371" spans="1:4" x14ac:dyDescent="0.25">
      <c r="A371" s="19">
        <v>327331</v>
      </c>
      <c r="B371" s="19" t="s">
        <v>3122</v>
      </c>
      <c r="C371" s="19">
        <v>327331</v>
      </c>
      <c r="D371" s="19" t="s">
        <v>3122</v>
      </c>
    </row>
    <row r="372" spans="1:4" x14ac:dyDescent="0.25">
      <c r="A372" s="19">
        <v>327332</v>
      </c>
      <c r="B372" s="19" t="s">
        <v>3124</v>
      </c>
      <c r="C372" s="19">
        <v>327332</v>
      </c>
      <c r="D372" s="19" t="s">
        <v>3124</v>
      </c>
    </row>
    <row r="373" spans="1:4" x14ac:dyDescent="0.25">
      <c r="A373" s="19">
        <v>327390</v>
      </c>
      <c r="B373" s="19" t="s">
        <v>3126</v>
      </c>
      <c r="C373" s="19">
        <v>327390</v>
      </c>
      <c r="D373" s="19" t="s">
        <v>3126</v>
      </c>
    </row>
    <row r="374" spans="1:4" x14ac:dyDescent="0.25">
      <c r="A374" s="19">
        <v>327410</v>
      </c>
      <c r="B374" s="19" t="s">
        <v>3128</v>
      </c>
      <c r="C374" s="19">
        <v>327410</v>
      </c>
      <c r="D374" s="19" t="s">
        <v>3128</v>
      </c>
    </row>
    <row r="375" spans="1:4" x14ac:dyDescent="0.25">
      <c r="A375" s="19">
        <v>327420</v>
      </c>
      <c r="B375" s="19" t="s">
        <v>3130</v>
      </c>
      <c r="C375" s="19">
        <v>327420</v>
      </c>
      <c r="D375" s="19" t="s">
        <v>3130</v>
      </c>
    </row>
    <row r="376" spans="1:4" x14ac:dyDescent="0.25">
      <c r="A376" s="19">
        <v>327910</v>
      </c>
      <c r="B376" s="19" t="s">
        <v>3132</v>
      </c>
      <c r="C376" s="19">
        <v>327910</v>
      </c>
      <c r="D376" s="19" t="s">
        <v>3132</v>
      </c>
    </row>
    <row r="377" spans="1:4" ht="25.5" x14ac:dyDescent="0.25">
      <c r="A377" s="19">
        <v>327991</v>
      </c>
      <c r="B377" s="19" t="s">
        <v>3134</v>
      </c>
      <c r="C377" s="19">
        <v>327991</v>
      </c>
      <c r="D377" s="19" t="s">
        <v>3134</v>
      </c>
    </row>
    <row r="378" spans="1:4" ht="25.5" x14ac:dyDescent="0.25">
      <c r="A378" s="19">
        <v>327992</v>
      </c>
      <c r="B378" s="19" t="s">
        <v>3136</v>
      </c>
      <c r="C378" s="19">
        <v>327992</v>
      </c>
      <c r="D378" s="19" t="s">
        <v>3136</v>
      </c>
    </row>
    <row r="379" spans="1:4" x14ac:dyDescent="0.25">
      <c r="A379" s="19">
        <v>327993</v>
      </c>
      <c r="B379" s="19" t="s">
        <v>3138</v>
      </c>
      <c r="C379" s="19">
        <v>327993</v>
      </c>
      <c r="D379" s="19" t="s">
        <v>3138</v>
      </c>
    </row>
    <row r="380" spans="1:4" ht="25.5" x14ac:dyDescent="0.25">
      <c r="A380" s="19">
        <v>327999</v>
      </c>
      <c r="B380" s="19" t="s">
        <v>3140</v>
      </c>
      <c r="C380" s="19">
        <v>327999</v>
      </c>
      <c r="D380" s="19" t="s">
        <v>3140</v>
      </c>
    </row>
    <row r="381" spans="1:4" x14ac:dyDescent="0.25">
      <c r="A381" s="19">
        <v>331111</v>
      </c>
      <c r="B381" s="19" t="s">
        <v>5868</v>
      </c>
      <c r="C381" s="19">
        <v>331111</v>
      </c>
      <c r="D381" s="19" t="s">
        <v>5868</v>
      </c>
    </row>
    <row r="382" spans="1:4" ht="25.5" x14ac:dyDescent="0.25">
      <c r="A382" s="19">
        <v>331112</v>
      </c>
      <c r="B382" s="19" t="s">
        <v>5869</v>
      </c>
      <c r="C382" s="19">
        <v>331112</v>
      </c>
      <c r="D382" s="19" t="s">
        <v>5869</v>
      </c>
    </row>
    <row r="383" spans="1:4" ht="25.5" x14ac:dyDescent="0.25">
      <c r="A383" s="19">
        <v>331210</v>
      </c>
      <c r="B383" s="19" t="s">
        <v>3144</v>
      </c>
      <c r="C383" s="19">
        <v>331210</v>
      </c>
      <c r="D383" s="19" t="s">
        <v>3144</v>
      </c>
    </row>
    <row r="384" spans="1:4" x14ac:dyDescent="0.25">
      <c r="A384" s="19">
        <v>331221</v>
      </c>
      <c r="B384" s="19" t="s">
        <v>3146</v>
      </c>
      <c r="C384" s="19">
        <v>331221</v>
      </c>
      <c r="D384" s="19" t="s">
        <v>3146</v>
      </c>
    </row>
    <row r="385" spans="1:4" x14ac:dyDescent="0.25">
      <c r="A385" s="19">
        <v>331222</v>
      </c>
      <c r="B385" s="19" t="s">
        <v>3148</v>
      </c>
      <c r="C385" s="19">
        <v>331222</v>
      </c>
      <c r="D385" s="19" t="s">
        <v>3148</v>
      </c>
    </row>
    <row r="386" spans="1:4" x14ac:dyDescent="0.25">
      <c r="A386" s="19">
        <v>331311</v>
      </c>
      <c r="B386" s="19" t="s">
        <v>5837</v>
      </c>
      <c r="C386" s="19">
        <v>331311</v>
      </c>
      <c r="D386" s="19" t="s">
        <v>5837</v>
      </c>
    </row>
    <row r="387" spans="1:4" x14ac:dyDescent="0.25">
      <c r="A387" s="19">
        <v>331312</v>
      </c>
      <c r="B387" s="19" t="s">
        <v>5871</v>
      </c>
      <c r="C387" s="19">
        <v>331312</v>
      </c>
      <c r="D387" s="19" t="s">
        <v>5871</v>
      </c>
    </row>
    <row r="388" spans="1:4" ht="25.5" x14ac:dyDescent="0.25">
      <c r="A388" s="19">
        <v>331314</v>
      </c>
      <c r="B388" s="19" t="s">
        <v>3152</v>
      </c>
      <c r="C388" s="19">
        <v>331314</v>
      </c>
      <c r="D388" s="19" t="s">
        <v>3152</v>
      </c>
    </row>
    <row r="389" spans="1:4" ht="25.5" x14ac:dyDescent="0.25">
      <c r="A389" s="19">
        <v>331315</v>
      </c>
      <c r="B389" s="19" t="s">
        <v>3154</v>
      </c>
      <c r="C389" s="19">
        <v>331315</v>
      </c>
      <c r="D389" s="19" t="s">
        <v>3154</v>
      </c>
    </row>
    <row r="390" spans="1:4" ht="25.5" x14ac:dyDescent="0.25">
      <c r="A390" s="19">
        <v>331316</v>
      </c>
      <c r="B390" s="19" t="s">
        <v>5875</v>
      </c>
      <c r="C390" s="19">
        <v>331316</v>
      </c>
      <c r="D390" s="19" t="s">
        <v>5875</v>
      </c>
    </row>
    <row r="391" spans="1:4" x14ac:dyDescent="0.25">
      <c r="A391" s="19">
        <v>331319</v>
      </c>
      <c r="B391" s="19" t="s">
        <v>5876</v>
      </c>
      <c r="C391" s="19">
        <v>331319</v>
      </c>
      <c r="D391" s="19" t="s">
        <v>5876</v>
      </c>
    </row>
    <row r="392" spans="1:4" x14ac:dyDescent="0.25">
      <c r="A392" s="19">
        <v>331411</v>
      </c>
      <c r="B392" s="19" t="s">
        <v>3847</v>
      </c>
      <c r="C392" s="19">
        <v>331411</v>
      </c>
      <c r="D392" s="19" t="s">
        <v>3847</v>
      </c>
    </row>
    <row r="393" spans="1:4" ht="38.25" x14ac:dyDescent="0.25">
      <c r="A393" s="19">
        <v>331419</v>
      </c>
      <c r="B393" s="19" t="s">
        <v>5872</v>
      </c>
      <c r="C393" s="19">
        <v>331419</v>
      </c>
      <c r="D393" s="19" t="s">
        <v>5872</v>
      </c>
    </row>
    <row r="394" spans="1:4" x14ac:dyDescent="0.25">
      <c r="A394" s="19">
        <v>331421</v>
      </c>
      <c r="B394" s="19" t="s">
        <v>5874</v>
      </c>
      <c r="C394" s="19">
        <v>331421</v>
      </c>
      <c r="D394" s="19" t="s">
        <v>5874</v>
      </c>
    </row>
    <row r="395" spans="1:4" ht="25.5" x14ac:dyDescent="0.25">
      <c r="A395" s="19">
        <v>331422</v>
      </c>
      <c r="B395" s="19" t="s">
        <v>5877</v>
      </c>
      <c r="C395" s="19">
        <v>331422</v>
      </c>
      <c r="D395" s="19" t="s">
        <v>5877</v>
      </c>
    </row>
    <row r="396" spans="1:4" ht="25.5" x14ac:dyDescent="0.25">
      <c r="A396" s="19">
        <v>331423</v>
      </c>
      <c r="B396" s="19" t="s">
        <v>5873</v>
      </c>
      <c r="C396" s="19">
        <v>331423</v>
      </c>
      <c r="D396" s="19" t="s">
        <v>5873</v>
      </c>
    </row>
    <row r="397" spans="1:4" ht="38.25" x14ac:dyDescent="0.25">
      <c r="A397" s="19">
        <v>331491</v>
      </c>
      <c r="B397" s="19" t="s">
        <v>3162</v>
      </c>
      <c r="C397" s="19">
        <v>331491</v>
      </c>
      <c r="D397" s="19" t="s">
        <v>3162</v>
      </c>
    </row>
    <row r="398" spans="1:4" ht="38.25" x14ac:dyDescent="0.25">
      <c r="A398" s="19">
        <v>331492</v>
      </c>
      <c r="B398" s="19" t="s">
        <v>3164</v>
      </c>
      <c r="C398" s="19">
        <v>331492</v>
      </c>
      <c r="D398" s="19" t="s">
        <v>3164</v>
      </c>
    </row>
    <row r="399" spans="1:4" x14ac:dyDescent="0.25">
      <c r="A399" s="19">
        <v>331511</v>
      </c>
      <c r="B399" s="19" t="s">
        <v>3166</v>
      </c>
      <c r="C399" s="19">
        <v>331511</v>
      </c>
      <c r="D399" s="19" t="s">
        <v>3166</v>
      </c>
    </row>
    <row r="400" spans="1:4" x14ac:dyDescent="0.25">
      <c r="A400" s="19">
        <v>331512</v>
      </c>
      <c r="B400" s="19" t="s">
        <v>3168</v>
      </c>
      <c r="C400" s="19">
        <v>331512</v>
      </c>
      <c r="D400" s="19" t="s">
        <v>3168</v>
      </c>
    </row>
    <row r="401" spans="1:4" x14ac:dyDescent="0.25">
      <c r="A401" s="19">
        <v>331513</v>
      </c>
      <c r="B401" s="19" t="s">
        <v>3170</v>
      </c>
      <c r="C401" s="19">
        <v>331513</v>
      </c>
      <c r="D401" s="19" t="s">
        <v>3170</v>
      </c>
    </row>
    <row r="402" spans="1:4" x14ac:dyDescent="0.25">
      <c r="A402" s="19">
        <v>331521</v>
      </c>
      <c r="B402" s="19" t="s">
        <v>5878</v>
      </c>
      <c r="C402" s="19">
        <v>331521</v>
      </c>
      <c r="D402" s="19" t="s">
        <v>5878</v>
      </c>
    </row>
    <row r="403" spans="1:4" ht="25.5" x14ac:dyDescent="0.25">
      <c r="A403" s="19">
        <v>331522</v>
      </c>
      <c r="B403" s="19" t="s">
        <v>5879</v>
      </c>
      <c r="C403" s="19">
        <v>331522</v>
      </c>
      <c r="D403" s="19" t="s">
        <v>5879</v>
      </c>
    </row>
    <row r="404" spans="1:4" ht="25.5" x14ac:dyDescent="0.25">
      <c r="A404" s="19">
        <v>331524</v>
      </c>
      <c r="B404" s="19" t="s">
        <v>3174</v>
      </c>
      <c r="C404" s="19">
        <v>331524</v>
      </c>
      <c r="D404" s="19" t="s">
        <v>3174</v>
      </c>
    </row>
    <row r="405" spans="1:4" x14ac:dyDescent="0.25">
      <c r="A405" s="19">
        <v>331525</v>
      </c>
      <c r="B405" s="19" t="s">
        <v>5880</v>
      </c>
      <c r="C405" s="19">
        <v>331525</v>
      </c>
      <c r="D405" s="19" t="s">
        <v>5880</v>
      </c>
    </row>
    <row r="406" spans="1:4" ht="25.5" x14ac:dyDescent="0.25">
      <c r="A406" s="19">
        <v>331528</v>
      </c>
      <c r="B406" s="19" t="s">
        <v>5881</v>
      </c>
      <c r="C406" s="19">
        <v>331528</v>
      </c>
      <c r="D406" s="19" t="s">
        <v>5881</v>
      </c>
    </row>
    <row r="407" spans="1:4" x14ac:dyDescent="0.25">
      <c r="A407" s="19">
        <v>332111</v>
      </c>
      <c r="B407" s="19" t="s">
        <v>3178</v>
      </c>
      <c r="C407" s="19">
        <v>332111</v>
      </c>
      <c r="D407" s="19" t="s">
        <v>3178</v>
      </c>
    </row>
    <row r="408" spans="1:4" x14ac:dyDescent="0.25">
      <c r="A408" s="19">
        <v>332112</v>
      </c>
      <c r="B408" s="19" t="s">
        <v>3180</v>
      </c>
      <c r="C408" s="19">
        <v>332112</v>
      </c>
      <c r="D408" s="19" t="s">
        <v>3180</v>
      </c>
    </row>
    <row r="409" spans="1:4" x14ac:dyDescent="0.25">
      <c r="A409" s="19">
        <v>332114</v>
      </c>
      <c r="B409" s="19" t="s">
        <v>3182</v>
      </c>
      <c r="C409" s="19">
        <v>332114</v>
      </c>
      <c r="D409" s="19" t="s">
        <v>3182</v>
      </c>
    </row>
    <row r="410" spans="1:4" x14ac:dyDescent="0.25">
      <c r="A410" s="19">
        <v>332115</v>
      </c>
      <c r="B410" s="19" t="s">
        <v>5893</v>
      </c>
      <c r="C410" s="19">
        <v>332115</v>
      </c>
      <c r="D410" s="19" t="s">
        <v>5893</v>
      </c>
    </row>
    <row r="411" spans="1:4" x14ac:dyDescent="0.25">
      <c r="A411" s="19">
        <v>332116</v>
      </c>
      <c r="B411" s="19" t="s">
        <v>5894</v>
      </c>
      <c r="C411" s="19">
        <v>332116</v>
      </c>
      <c r="D411" s="19" t="s">
        <v>5894</v>
      </c>
    </row>
    <row r="412" spans="1:4" x14ac:dyDescent="0.25">
      <c r="A412" s="19">
        <v>332117</v>
      </c>
      <c r="B412" s="19" t="s">
        <v>3184</v>
      </c>
      <c r="C412" s="19">
        <v>332117</v>
      </c>
      <c r="D412" s="19" t="s">
        <v>3184</v>
      </c>
    </row>
    <row r="413" spans="1:4" ht="25.5" x14ac:dyDescent="0.25">
      <c r="A413" s="19">
        <v>332211</v>
      </c>
      <c r="B413" s="19" t="s">
        <v>5883</v>
      </c>
      <c r="C413" s="19">
        <v>332211</v>
      </c>
      <c r="D413" s="19" t="s">
        <v>5883</v>
      </c>
    </row>
    <row r="414" spans="1:4" x14ac:dyDescent="0.25">
      <c r="A414" s="19">
        <v>332212</v>
      </c>
      <c r="B414" s="19" t="s">
        <v>5884</v>
      </c>
      <c r="C414" s="19">
        <v>332212</v>
      </c>
      <c r="D414" s="19" t="s">
        <v>5884</v>
      </c>
    </row>
    <row r="415" spans="1:4" x14ac:dyDescent="0.25">
      <c r="A415" s="19">
        <v>332213</v>
      </c>
      <c r="B415" s="19" t="s">
        <v>5885</v>
      </c>
      <c r="C415" s="19">
        <v>332213</v>
      </c>
      <c r="D415" s="19" t="s">
        <v>5885</v>
      </c>
    </row>
    <row r="416" spans="1:4" ht="25.5" x14ac:dyDescent="0.25">
      <c r="A416" s="19">
        <v>332214</v>
      </c>
      <c r="B416" s="19" t="s">
        <v>5895</v>
      </c>
      <c r="C416" s="19">
        <v>332214</v>
      </c>
      <c r="D416" s="19" t="s">
        <v>5895</v>
      </c>
    </row>
    <row r="417" spans="1:4" ht="25.5" x14ac:dyDescent="0.25">
      <c r="A417" s="19">
        <v>332311</v>
      </c>
      <c r="B417" s="19" t="s">
        <v>3192</v>
      </c>
      <c r="C417" s="19">
        <v>332311</v>
      </c>
      <c r="D417" s="19" t="s">
        <v>3192</v>
      </c>
    </row>
    <row r="418" spans="1:4" ht="25.5" x14ac:dyDescent="0.25">
      <c r="A418" s="19">
        <v>332312</v>
      </c>
      <c r="B418" s="19" t="s">
        <v>3194</v>
      </c>
      <c r="C418" s="19">
        <v>332312</v>
      </c>
      <c r="D418" s="19" t="s">
        <v>3194</v>
      </c>
    </row>
    <row r="419" spans="1:4" x14ac:dyDescent="0.25">
      <c r="A419" s="19">
        <v>332313</v>
      </c>
      <c r="B419" s="19" t="s">
        <v>3196</v>
      </c>
      <c r="C419" s="19">
        <v>332313</v>
      </c>
      <c r="D419" s="19" t="s">
        <v>3196</v>
      </c>
    </row>
    <row r="420" spans="1:4" x14ac:dyDescent="0.25">
      <c r="A420" s="19">
        <v>332321</v>
      </c>
      <c r="B420" s="19" t="s">
        <v>3198</v>
      </c>
      <c r="C420" s="19">
        <v>332321</v>
      </c>
      <c r="D420" s="19" t="s">
        <v>3198</v>
      </c>
    </row>
    <row r="421" spans="1:4" x14ac:dyDescent="0.25">
      <c r="A421" s="19">
        <v>332322</v>
      </c>
      <c r="B421" s="19" t="s">
        <v>3200</v>
      </c>
      <c r="C421" s="19">
        <v>332322</v>
      </c>
      <c r="D421" s="19" t="s">
        <v>3200</v>
      </c>
    </row>
    <row r="422" spans="1:4" ht="25.5" x14ac:dyDescent="0.25">
      <c r="A422" s="19">
        <v>332323</v>
      </c>
      <c r="B422" s="19" t="s">
        <v>3202</v>
      </c>
      <c r="C422" s="19">
        <v>332323</v>
      </c>
      <c r="D422" s="19" t="s">
        <v>3202</v>
      </c>
    </row>
    <row r="423" spans="1:4" ht="25.5" x14ac:dyDescent="0.25">
      <c r="A423" s="19">
        <v>332410</v>
      </c>
      <c r="B423" s="19" t="s">
        <v>3204</v>
      </c>
      <c r="C423" s="19">
        <v>332410</v>
      </c>
      <c r="D423" s="19" t="s">
        <v>3204</v>
      </c>
    </row>
    <row r="424" spans="1:4" ht="25.5" x14ac:dyDescent="0.25">
      <c r="A424" s="19">
        <v>332420</v>
      </c>
      <c r="B424" s="19" t="s">
        <v>3206</v>
      </c>
      <c r="C424" s="19">
        <v>332420</v>
      </c>
      <c r="D424" s="19" t="s">
        <v>3206</v>
      </c>
    </row>
    <row r="425" spans="1:4" x14ac:dyDescent="0.25">
      <c r="A425" s="19">
        <v>332431</v>
      </c>
      <c r="B425" s="19" t="s">
        <v>3208</v>
      </c>
      <c r="C425" s="19">
        <v>332431</v>
      </c>
      <c r="D425" s="19" t="s">
        <v>3208</v>
      </c>
    </row>
    <row r="426" spans="1:4" x14ac:dyDescent="0.25">
      <c r="A426" s="19">
        <v>332439</v>
      </c>
      <c r="B426" s="19" t="s">
        <v>3210</v>
      </c>
      <c r="C426" s="19">
        <v>332439</v>
      </c>
      <c r="D426" s="19" t="s">
        <v>3210</v>
      </c>
    </row>
    <row r="427" spans="1:4" x14ac:dyDescent="0.25">
      <c r="A427" s="19">
        <v>332510</v>
      </c>
      <c r="B427" s="19" t="s">
        <v>3212</v>
      </c>
      <c r="C427" s="19">
        <v>332510</v>
      </c>
      <c r="D427" s="19" t="s">
        <v>3212</v>
      </c>
    </row>
    <row r="428" spans="1:4" x14ac:dyDescent="0.25">
      <c r="A428" s="19">
        <v>332611</v>
      </c>
      <c r="B428" s="19" t="s">
        <v>5900</v>
      </c>
      <c r="C428" s="19">
        <v>332611</v>
      </c>
      <c r="D428" s="19" t="s">
        <v>5900</v>
      </c>
    </row>
    <row r="429" spans="1:4" x14ac:dyDescent="0.25">
      <c r="A429" s="19">
        <v>332612</v>
      </c>
      <c r="B429" s="19" t="s">
        <v>5901</v>
      </c>
      <c r="C429" s="19">
        <v>332612</v>
      </c>
      <c r="D429" s="19" t="s">
        <v>5901</v>
      </c>
    </row>
    <row r="430" spans="1:4" ht="25.5" x14ac:dyDescent="0.25">
      <c r="A430" s="19">
        <v>332618</v>
      </c>
      <c r="B430" s="19" t="s">
        <v>3216</v>
      </c>
      <c r="C430" s="19">
        <v>332618</v>
      </c>
      <c r="D430" s="19" t="s">
        <v>3216</v>
      </c>
    </row>
    <row r="431" spans="1:4" x14ac:dyDescent="0.25">
      <c r="A431" s="19">
        <v>332710</v>
      </c>
      <c r="B431" s="19" t="s">
        <v>3218</v>
      </c>
      <c r="C431" s="19">
        <v>332710</v>
      </c>
      <c r="D431" s="19" t="s">
        <v>3218</v>
      </c>
    </row>
    <row r="432" spans="1:4" x14ac:dyDescent="0.25">
      <c r="A432" s="19">
        <v>332721</v>
      </c>
      <c r="B432" s="19" t="s">
        <v>3220</v>
      </c>
      <c r="C432" s="19">
        <v>332721</v>
      </c>
      <c r="D432" s="19" t="s">
        <v>3220</v>
      </c>
    </row>
    <row r="433" spans="1:4" ht="25.5" x14ac:dyDescent="0.25">
      <c r="A433" s="19">
        <v>332722</v>
      </c>
      <c r="B433" s="19" t="s">
        <v>3222</v>
      </c>
      <c r="C433" s="19">
        <v>332722</v>
      </c>
      <c r="D433" s="19" t="s">
        <v>3222</v>
      </c>
    </row>
    <row r="434" spans="1:4" x14ac:dyDescent="0.25">
      <c r="A434" s="19">
        <v>332811</v>
      </c>
      <c r="B434" s="19" t="s">
        <v>3224</v>
      </c>
      <c r="C434" s="19">
        <v>332811</v>
      </c>
      <c r="D434" s="19" t="s">
        <v>3224</v>
      </c>
    </row>
    <row r="435" spans="1:4" ht="38.25" x14ac:dyDescent="0.25">
      <c r="A435" s="19">
        <v>332812</v>
      </c>
      <c r="B435" s="19" t="s">
        <v>3226</v>
      </c>
      <c r="C435" s="19">
        <v>332812</v>
      </c>
      <c r="D435" s="19" t="s">
        <v>3226</v>
      </c>
    </row>
    <row r="436" spans="1:4" ht="25.5" x14ac:dyDescent="0.25">
      <c r="A436" s="19">
        <v>332813</v>
      </c>
      <c r="B436" s="19" t="s">
        <v>3228</v>
      </c>
      <c r="C436" s="19">
        <v>332813</v>
      </c>
      <c r="D436" s="19" t="s">
        <v>3228</v>
      </c>
    </row>
    <row r="437" spans="1:4" x14ac:dyDescent="0.25">
      <c r="A437" s="19">
        <v>332911</v>
      </c>
      <c r="B437" s="19" t="s">
        <v>3230</v>
      </c>
      <c r="C437" s="19">
        <v>332911</v>
      </c>
      <c r="D437" s="19" t="s">
        <v>3230</v>
      </c>
    </row>
    <row r="438" spans="1:4" ht="25.5" x14ac:dyDescent="0.25">
      <c r="A438" s="19">
        <v>332912</v>
      </c>
      <c r="B438" s="19" t="s">
        <v>3232</v>
      </c>
      <c r="C438" s="19">
        <v>332912</v>
      </c>
      <c r="D438" s="19" t="s">
        <v>3232</v>
      </c>
    </row>
    <row r="439" spans="1:4" ht="25.5" x14ac:dyDescent="0.25">
      <c r="A439" s="19">
        <v>332913</v>
      </c>
      <c r="B439" s="19" t="s">
        <v>3234</v>
      </c>
      <c r="C439" s="19">
        <v>332913</v>
      </c>
      <c r="D439" s="19" t="s">
        <v>3234</v>
      </c>
    </row>
    <row r="440" spans="1:4" ht="25.5" x14ac:dyDescent="0.25">
      <c r="A440" s="19">
        <v>332919</v>
      </c>
      <c r="B440" s="19" t="s">
        <v>3236</v>
      </c>
      <c r="C440" s="19">
        <v>332919</v>
      </c>
      <c r="D440" s="19" t="s">
        <v>3236</v>
      </c>
    </row>
    <row r="441" spans="1:4" x14ac:dyDescent="0.25">
      <c r="A441" s="19">
        <v>332991</v>
      </c>
      <c r="B441" s="19" t="s">
        <v>3238</v>
      </c>
      <c r="C441" s="19">
        <v>332991</v>
      </c>
      <c r="D441" s="19" t="s">
        <v>3238</v>
      </c>
    </row>
    <row r="442" spans="1:4" x14ac:dyDescent="0.25">
      <c r="A442" s="19">
        <v>332992</v>
      </c>
      <c r="B442" s="19" t="s">
        <v>3240</v>
      </c>
      <c r="C442" s="19">
        <v>332992</v>
      </c>
      <c r="D442" s="19" t="s">
        <v>3240</v>
      </c>
    </row>
    <row r="443" spans="1:4" ht="25.5" x14ac:dyDescent="0.25">
      <c r="A443" s="19">
        <v>332993</v>
      </c>
      <c r="B443" s="19" t="s">
        <v>3242</v>
      </c>
      <c r="C443" s="19">
        <v>332993</v>
      </c>
      <c r="D443" s="19" t="s">
        <v>3242</v>
      </c>
    </row>
    <row r="444" spans="1:4" x14ac:dyDescent="0.25">
      <c r="A444" s="19">
        <v>332994</v>
      </c>
      <c r="B444" s="19" t="s">
        <v>5898</v>
      </c>
      <c r="C444" s="19">
        <v>332994</v>
      </c>
      <c r="D444" s="19" t="s">
        <v>5898</v>
      </c>
    </row>
    <row r="445" spans="1:4" ht="25.5" x14ac:dyDescent="0.25">
      <c r="A445" s="19">
        <v>332995</v>
      </c>
      <c r="B445" s="19" t="s">
        <v>5899</v>
      </c>
      <c r="C445" s="19">
        <v>332995</v>
      </c>
      <c r="D445" s="19" t="s">
        <v>5899</v>
      </c>
    </row>
    <row r="446" spans="1:4" ht="25.5" x14ac:dyDescent="0.25">
      <c r="A446" s="19">
        <v>332996</v>
      </c>
      <c r="B446" s="19" t="s">
        <v>3246</v>
      </c>
      <c r="C446" s="19">
        <v>332996</v>
      </c>
      <c r="D446" s="19" t="s">
        <v>3246</v>
      </c>
    </row>
    <row r="447" spans="1:4" x14ac:dyDescent="0.25">
      <c r="A447" s="19">
        <v>332997</v>
      </c>
      <c r="B447" s="19" t="s">
        <v>5905</v>
      </c>
      <c r="C447" s="19">
        <v>332997</v>
      </c>
      <c r="D447" s="19" t="s">
        <v>5905</v>
      </c>
    </row>
    <row r="448" spans="1:4" ht="25.5" x14ac:dyDescent="0.25">
      <c r="A448" s="19">
        <v>332998</v>
      </c>
      <c r="B448" s="19" t="s">
        <v>5888</v>
      </c>
      <c r="C448" s="19">
        <v>332998</v>
      </c>
      <c r="D448" s="19" t="s">
        <v>5888</v>
      </c>
    </row>
    <row r="449" spans="1:4" ht="25.5" x14ac:dyDescent="0.25">
      <c r="A449" s="19">
        <v>332999</v>
      </c>
      <c r="B449" s="19" t="s">
        <v>3248</v>
      </c>
      <c r="C449" s="19">
        <v>332999</v>
      </c>
      <c r="D449" s="19" t="s">
        <v>3248</v>
      </c>
    </row>
    <row r="450" spans="1:4" ht="25.5" x14ac:dyDescent="0.25">
      <c r="A450" s="19">
        <v>333111</v>
      </c>
      <c r="B450" s="19" t="s">
        <v>3250</v>
      </c>
      <c r="C450" s="19">
        <v>333111</v>
      </c>
      <c r="D450" s="19" t="s">
        <v>3250</v>
      </c>
    </row>
    <row r="451" spans="1:4" ht="38.25" x14ac:dyDescent="0.25">
      <c r="A451" s="19">
        <v>333112</v>
      </c>
      <c r="B451" s="19" t="s">
        <v>3252</v>
      </c>
      <c r="C451" s="19">
        <v>333112</v>
      </c>
      <c r="D451" s="19" t="s">
        <v>3252</v>
      </c>
    </row>
    <row r="452" spans="1:4" x14ac:dyDescent="0.25">
      <c r="A452" s="19">
        <v>333120</v>
      </c>
      <c r="B452" s="19" t="s">
        <v>3254</v>
      </c>
      <c r="C452" s="19">
        <v>333120</v>
      </c>
      <c r="D452" s="19" t="s">
        <v>3254</v>
      </c>
    </row>
    <row r="453" spans="1:4" ht="25.5" x14ac:dyDescent="0.25">
      <c r="A453" s="19">
        <v>333131</v>
      </c>
      <c r="B453" s="19" t="s">
        <v>3256</v>
      </c>
      <c r="C453" s="19">
        <v>333131</v>
      </c>
      <c r="D453" s="19" t="s">
        <v>3256</v>
      </c>
    </row>
    <row r="454" spans="1:4" ht="25.5" x14ac:dyDescent="0.25">
      <c r="A454" s="19">
        <v>333132</v>
      </c>
      <c r="B454" s="19" t="s">
        <v>3258</v>
      </c>
      <c r="C454" s="19">
        <v>333132</v>
      </c>
      <c r="D454" s="19" t="s">
        <v>3258</v>
      </c>
    </row>
    <row r="455" spans="1:4" ht="25.5" x14ac:dyDescent="0.25">
      <c r="A455" s="19">
        <v>333210</v>
      </c>
      <c r="B455" s="19" t="s">
        <v>5910</v>
      </c>
      <c r="C455" s="19">
        <v>333210</v>
      </c>
      <c r="D455" s="19" t="s">
        <v>5910</v>
      </c>
    </row>
    <row r="456" spans="1:4" ht="25.5" x14ac:dyDescent="0.25">
      <c r="A456" s="19">
        <v>333220</v>
      </c>
      <c r="B456" s="19" t="s">
        <v>5912</v>
      </c>
      <c r="C456" s="19">
        <v>333220</v>
      </c>
      <c r="D456" s="19" t="s">
        <v>5912</v>
      </c>
    </row>
    <row r="457" spans="1:4" x14ac:dyDescent="0.25">
      <c r="A457" s="19">
        <v>333291</v>
      </c>
      <c r="B457" s="19" t="s">
        <v>5911</v>
      </c>
      <c r="C457" s="19">
        <v>333291</v>
      </c>
      <c r="D457" s="19" t="s">
        <v>5911</v>
      </c>
    </row>
    <row r="458" spans="1:4" x14ac:dyDescent="0.25">
      <c r="A458" s="19">
        <v>333292</v>
      </c>
      <c r="B458" s="19" t="s">
        <v>5909</v>
      </c>
      <c r="C458" s="19">
        <v>333292</v>
      </c>
      <c r="D458" s="19" t="s">
        <v>5909</v>
      </c>
    </row>
    <row r="459" spans="1:4" ht="25.5" x14ac:dyDescent="0.25">
      <c r="A459" s="19">
        <v>333293</v>
      </c>
      <c r="B459" s="19" t="s">
        <v>3266</v>
      </c>
      <c r="C459" s="19">
        <v>333293</v>
      </c>
      <c r="D459" s="19" t="s">
        <v>3266</v>
      </c>
    </row>
    <row r="460" spans="1:4" x14ac:dyDescent="0.25">
      <c r="A460" s="19">
        <v>333294</v>
      </c>
      <c r="B460" s="19" t="s">
        <v>3260</v>
      </c>
      <c r="C460" s="19">
        <v>333294</v>
      </c>
      <c r="D460" s="19" t="s">
        <v>3260</v>
      </c>
    </row>
    <row r="461" spans="1:4" ht="25.5" x14ac:dyDescent="0.25">
      <c r="A461" s="19">
        <v>333295</v>
      </c>
      <c r="B461" s="19" t="s">
        <v>3262</v>
      </c>
      <c r="C461" s="19">
        <v>333295</v>
      </c>
      <c r="D461" s="19" t="s">
        <v>3262</v>
      </c>
    </row>
    <row r="462" spans="1:4" ht="25.5" x14ac:dyDescent="0.25">
      <c r="A462" s="19">
        <v>333298</v>
      </c>
      <c r="B462" s="19" t="s">
        <v>5913</v>
      </c>
      <c r="C462" s="20">
        <v>333298</v>
      </c>
      <c r="D462" s="19" t="s">
        <v>5913</v>
      </c>
    </row>
    <row r="463" spans="1:4" ht="25.5" x14ac:dyDescent="0.25">
      <c r="A463" s="19">
        <v>333311</v>
      </c>
      <c r="B463" s="19" t="s">
        <v>5922</v>
      </c>
      <c r="C463" s="19">
        <v>333311</v>
      </c>
      <c r="D463" s="19" t="s">
        <v>5922</v>
      </c>
    </row>
    <row r="464" spans="1:4" ht="25.5" x14ac:dyDescent="0.25">
      <c r="A464" s="19">
        <v>333312</v>
      </c>
      <c r="B464" s="19" t="s">
        <v>5924</v>
      </c>
      <c r="C464" s="19">
        <v>333312</v>
      </c>
      <c r="D464" s="19" t="s">
        <v>5924</v>
      </c>
    </row>
    <row r="465" spans="1:4" x14ac:dyDescent="0.25">
      <c r="A465" s="19">
        <v>333313</v>
      </c>
      <c r="B465" s="19" t="s">
        <v>5923</v>
      </c>
      <c r="C465" s="19">
        <v>333313</v>
      </c>
      <c r="D465" s="19" t="s">
        <v>5923</v>
      </c>
    </row>
    <row r="466" spans="1:4" ht="25.5" x14ac:dyDescent="0.25">
      <c r="A466" s="19">
        <v>333314</v>
      </c>
      <c r="B466" s="19" t="s">
        <v>3270</v>
      </c>
      <c r="C466" s="19">
        <v>333314</v>
      </c>
      <c r="D466" s="19" t="s">
        <v>3270</v>
      </c>
    </row>
    <row r="467" spans="1:4" ht="25.5" x14ac:dyDescent="0.25">
      <c r="A467" s="19">
        <v>333315</v>
      </c>
      <c r="B467" s="19" t="s">
        <v>3272</v>
      </c>
      <c r="C467" s="19">
        <v>333315</v>
      </c>
      <c r="D467" s="19" t="s">
        <v>3272</v>
      </c>
    </row>
    <row r="468" spans="1:4" ht="25.5" x14ac:dyDescent="0.25">
      <c r="A468" s="19">
        <v>333319</v>
      </c>
      <c r="B468" s="19" t="s">
        <v>3274</v>
      </c>
      <c r="C468" s="19">
        <v>333319</v>
      </c>
      <c r="D468" s="19" t="s">
        <v>3274</v>
      </c>
    </row>
    <row r="469" spans="1:4" x14ac:dyDescent="0.25">
      <c r="A469" s="19">
        <v>333411</v>
      </c>
      <c r="B469" s="19" t="s">
        <v>5916</v>
      </c>
      <c r="C469" s="19">
        <v>333411</v>
      </c>
      <c r="D469" s="19" t="s">
        <v>5916</v>
      </c>
    </row>
    <row r="470" spans="1:4" ht="25.5" x14ac:dyDescent="0.25">
      <c r="A470" s="19">
        <v>333412</v>
      </c>
      <c r="B470" s="19" t="s">
        <v>5917</v>
      </c>
      <c r="C470" s="19">
        <v>333412</v>
      </c>
      <c r="D470" s="19" t="s">
        <v>5917</v>
      </c>
    </row>
    <row r="471" spans="1:4" ht="25.5" x14ac:dyDescent="0.25">
      <c r="A471" s="19">
        <v>333414</v>
      </c>
      <c r="B471" s="19" t="s">
        <v>3278</v>
      </c>
      <c r="C471" s="19">
        <v>333414</v>
      </c>
      <c r="D471" s="19" t="s">
        <v>3278</v>
      </c>
    </row>
    <row r="472" spans="1:4" ht="51" x14ac:dyDescent="0.25">
      <c r="A472" s="19">
        <v>333415</v>
      </c>
      <c r="B472" s="19" t="s">
        <v>3280</v>
      </c>
      <c r="C472" s="20">
        <v>333415</v>
      </c>
      <c r="D472" s="19" t="s">
        <v>3280</v>
      </c>
    </row>
    <row r="473" spans="1:4" x14ac:dyDescent="0.25">
      <c r="A473" s="19">
        <v>333511</v>
      </c>
      <c r="B473" s="19" t="s">
        <v>3282</v>
      </c>
      <c r="C473" s="19">
        <v>333511</v>
      </c>
      <c r="D473" s="19" t="s">
        <v>3282</v>
      </c>
    </row>
    <row r="474" spans="1:4" ht="25.5" x14ac:dyDescent="0.25">
      <c r="A474" s="19">
        <v>333512</v>
      </c>
      <c r="B474" s="19" t="s">
        <v>5903</v>
      </c>
      <c r="C474" s="19">
        <v>333512</v>
      </c>
      <c r="D474" s="19" t="s">
        <v>5903</v>
      </c>
    </row>
    <row r="475" spans="1:4" ht="25.5" x14ac:dyDescent="0.25">
      <c r="A475" s="19">
        <v>333513</v>
      </c>
      <c r="B475" s="19" t="s">
        <v>5904</v>
      </c>
      <c r="C475" s="19">
        <v>333513</v>
      </c>
      <c r="D475" s="19" t="s">
        <v>5904</v>
      </c>
    </row>
    <row r="476" spans="1:4" ht="25.5" x14ac:dyDescent="0.25">
      <c r="A476" s="19">
        <v>333514</v>
      </c>
      <c r="B476" s="19" t="s">
        <v>3284</v>
      </c>
      <c r="C476" s="19">
        <v>333514</v>
      </c>
      <c r="D476" s="19" t="s">
        <v>3284</v>
      </c>
    </row>
    <row r="477" spans="1:4" ht="25.5" x14ac:dyDescent="0.25">
      <c r="A477" s="19">
        <v>333515</v>
      </c>
      <c r="B477" s="19" t="s">
        <v>3286</v>
      </c>
      <c r="C477" s="19">
        <v>333515</v>
      </c>
      <c r="D477" s="19" t="s">
        <v>3286</v>
      </c>
    </row>
    <row r="478" spans="1:4" ht="25.5" x14ac:dyDescent="0.25">
      <c r="A478" s="19">
        <v>333516</v>
      </c>
      <c r="B478" s="19" t="s">
        <v>5907</v>
      </c>
      <c r="C478" s="19">
        <v>333516</v>
      </c>
      <c r="D478" s="19" t="s">
        <v>5907</v>
      </c>
    </row>
    <row r="479" spans="1:4" ht="25.5" x14ac:dyDescent="0.25">
      <c r="A479" s="19">
        <v>333518</v>
      </c>
      <c r="B479" s="19" t="s">
        <v>5908</v>
      </c>
      <c r="C479" s="19">
        <v>333518</v>
      </c>
      <c r="D479" s="19" t="s">
        <v>5908</v>
      </c>
    </row>
    <row r="480" spans="1:4" ht="25.5" x14ac:dyDescent="0.25">
      <c r="A480" s="19">
        <v>333611</v>
      </c>
      <c r="B480" s="19" t="s">
        <v>3292</v>
      </c>
      <c r="C480" s="19">
        <v>333611</v>
      </c>
      <c r="D480" s="19" t="s">
        <v>3292</v>
      </c>
    </row>
    <row r="481" spans="1:4" ht="25.5" x14ac:dyDescent="0.25">
      <c r="A481" s="19">
        <v>333612</v>
      </c>
      <c r="B481" s="19" t="s">
        <v>3294</v>
      </c>
      <c r="C481" s="19">
        <v>333612</v>
      </c>
      <c r="D481" s="19" t="s">
        <v>3294</v>
      </c>
    </row>
    <row r="482" spans="1:4" ht="25.5" x14ac:dyDescent="0.25">
      <c r="A482" s="19">
        <v>333613</v>
      </c>
      <c r="B482" s="19" t="s">
        <v>3296</v>
      </c>
      <c r="C482" s="19">
        <v>333613</v>
      </c>
      <c r="D482" s="19" t="s">
        <v>3296</v>
      </c>
    </row>
    <row r="483" spans="1:4" x14ac:dyDescent="0.25">
      <c r="A483" s="19">
        <v>333618</v>
      </c>
      <c r="B483" s="19" t="s">
        <v>3298</v>
      </c>
      <c r="C483" s="19">
        <v>333618</v>
      </c>
      <c r="D483" s="19" t="s">
        <v>3298</v>
      </c>
    </row>
    <row r="484" spans="1:4" ht="25.5" x14ac:dyDescent="0.25">
      <c r="A484" s="19">
        <v>333911</v>
      </c>
      <c r="B484" s="19" t="s">
        <v>5914</v>
      </c>
      <c r="C484" s="19">
        <v>333911</v>
      </c>
      <c r="D484" s="19" t="s">
        <v>5914</v>
      </c>
    </row>
    <row r="485" spans="1:4" x14ac:dyDescent="0.25">
      <c r="A485" s="19">
        <v>333912</v>
      </c>
      <c r="B485" s="19" t="s">
        <v>3300</v>
      </c>
      <c r="C485" s="19">
        <v>333912</v>
      </c>
      <c r="D485" s="19" t="s">
        <v>3300</v>
      </c>
    </row>
    <row r="486" spans="1:4" ht="25.5" x14ac:dyDescent="0.25">
      <c r="A486" s="19">
        <v>333913</v>
      </c>
      <c r="B486" s="19" t="s">
        <v>5926</v>
      </c>
      <c r="C486" s="19">
        <v>333913</v>
      </c>
      <c r="D486" s="19" t="s">
        <v>5926</v>
      </c>
    </row>
    <row r="487" spans="1:4" ht="25.5" x14ac:dyDescent="0.25">
      <c r="A487" s="19">
        <v>333921</v>
      </c>
      <c r="B487" s="19" t="s">
        <v>3304</v>
      </c>
      <c r="C487" s="19">
        <v>333921</v>
      </c>
      <c r="D487" s="19" t="s">
        <v>3304</v>
      </c>
    </row>
    <row r="488" spans="1:4" ht="25.5" x14ac:dyDescent="0.25">
      <c r="A488" s="19">
        <v>333922</v>
      </c>
      <c r="B488" s="19" t="s">
        <v>3306</v>
      </c>
      <c r="C488" s="19">
        <v>333922</v>
      </c>
      <c r="D488" s="19" t="s">
        <v>3306</v>
      </c>
    </row>
    <row r="489" spans="1:4" ht="25.5" x14ac:dyDescent="0.25">
      <c r="A489" s="19">
        <v>333923</v>
      </c>
      <c r="B489" s="19" t="s">
        <v>3308</v>
      </c>
      <c r="C489" s="19">
        <v>333923</v>
      </c>
      <c r="D489" s="19" t="s">
        <v>3308</v>
      </c>
    </row>
    <row r="490" spans="1:4" ht="25.5" x14ac:dyDescent="0.25">
      <c r="A490" s="19">
        <v>333924</v>
      </c>
      <c r="B490" s="19" t="s">
        <v>3310</v>
      </c>
      <c r="C490" s="19">
        <v>333924</v>
      </c>
      <c r="D490" s="19" t="s">
        <v>3310</v>
      </c>
    </row>
    <row r="491" spans="1:4" x14ac:dyDescent="0.25">
      <c r="A491" s="19">
        <v>333991</v>
      </c>
      <c r="B491" s="19" t="s">
        <v>3312</v>
      </c>
      <c r="C491" s="19">
        <v>333991</v>
      </c>
      <c r="D491" s="19" t="s">
        <v>3312</v>
      </c>
    </row>
    <row r="492" spans="1:4" ht="25.5" x14ac:dyDescent="0.25">
      <c r="A492" s="19">
        <v>333992</v>
      </c>
      <c r="B492" s="19" t="s">
        <v>3314</v>
      </c>
      <c r="C492" s="19">
        <v>333992</v>
      </c>
      <c r="D492" s="19" t="s">
        <v>3314</v>
      </c>
    </row>
    <row r="493" spans="1:4" x14ac:dyDescent="0.25">
      <c r="A493" s="19">
        <v>333993</v>
      </c>
      <c r="B493" s="19" t="s">
        <v>3316</v>
      </c>
      <c r="C493" s="19">
        <v>333993</v>
      </c>
      <c r="D493" s="19" t="s">
        <v>3316</v>
      </c>
    </row>
    <row r="494" spans="1:4" ht="25.5" x14ac:dyDescent="0.25">
      <c r="A494" s="19">
        <v>333994</v>
      </c>
      <c r="B494" s="19" t="s">
        <v>3318</v>
      </c>
      <c r="C494" s="20">
        <v>333994</v>
      </c>
      <c r="D494" s="19" t="s">
        <v>3318</v>
      </c>
    </row>
    <row r="495" spans="1:4" ht="25.5" x14ac:dyDescent="0.25">
      <c r="A495" s="19">
        <v>333995</v>
      </c>
      <c r="B495" s="19" t="s">
        <v>3320</v>
      </c>
      <c r="C495" s="19">
        <v>333995</v>
      </c>
      <c r="D495" s="19" t="s">
        <v>3320</v>
      </c>
    </row>
    <row r="496" spans="1:4" ht="25.5" x14ac:dyDescent="0.25">
      <c r="A496" s="19">
        <v>333996</v>
      </c>
      <c r="B496" s="19" t="s">
        <v>3322</v>
      </c>
      <c r="C496" s="19">
        <v>333996</v>
      </c>
      <c r="D496" s="19" t="s">
        <v>3322</v>
      </c>
    </row>
    <row r="497" spans="1:4" ht="25.5" x14ac:dyDescent="0.25">
      <c r="A497" s="19">
        <v>333997</v>
      </c>
      <c r="B497" s="19" t="s">
        <v>5928</v>
      </c>
      <c r="C497" s="20">
        <v>333997</v>
      </c>
      <c r="D497" s="19" t="s">
        <v>3324</v>
      </c>
    </row>
    <row r="498" spans="1:4" ht="25.5" x14ac:dyDescent="0.25">
      <c r="A498" s="19">
        <v>333999</v>
      </c>
      <c r="B498" s="19" t="s">
        <v>3326</v>
      </c>
      <c r="C498" s="20">
        <v>333999</v>
      </c>
      <c r="D498" s="19" t="s">
        <v>3326</v>
      </c>
    </row>
    <row r="499" spans="1:4" x14ac:dyDescent="0.25">
      <c r="A499" s="19">
        <v>334111</v>
      </c>
      <c r="B499" s="19" t="s">
        <v>3328</v>
      </c>
      <c r="C499" s="19">
        <v>334111</v>
      </c>
      <c r="D499" s="19" t="s">
        <v>3328</v>
      </c>
    </row>
    <row r="500" spans="1:4" x14ac:dyDescent="0.25">
      <c r="A500" s="19">
        <v>334112</v>
      </c>
      <c r="B500" s="19" t="s">
        <v>3330</v>
      </c>
      <c r="C500" s="19">
        <v>334112</v>
      </c>
      <c r="D500" s="19" t="s">
        <v>3330</v>
      </c>
    </row>
    <row r="501" spans="1:4" x14ac:dyDescent="0.25">
      <c r="A501" s="19">
        <v>334113</v>
      </c>
      <c r="B501" s="19" t="s">
        <v>5919</v>
      </c>
      <c r="C501" s="19">
        <v>334113</v>
      </c>
      <c r="D501" s="19" t="s">
        <v>5919</v>
      </c>
    </row>
    <row r="502" spans="1:4" ht="25.5" x14ac:dyDescent="0.25">
      <c r="A502" s="19">
        <v>334119</v>
      </c>
      <c r="B502" s="19" t="s">
        <v>5920</v>
      </c>
      <c r="C502" s="19">
        <v>334119</v>
      </c>
      <c r="D502" s="19" t="s">
        <v>5920</v>
      </c>
    </row>
    <row r="503" spans="1:4" x14ac:dyDescent="0.25">
      <c r="A503" s="19">
        <v>334210</v>
      </c>
      <c r="B503" s="19" t="s">
        <v>3334</v>
      </c>
      <c r="C503" s="19">
        <v>334210</v>
      </c>
      <c r="D503" s="19" t="s">
        <v>3334</v>
      </c>
    </row>
    <row r="504" spans="1:4" ht="51" x14ac:dyDescent="0.25">
      <c r="A504" s="21">
        <v>334220</v>
      </c>
      <c r="B504" s="19" t="s">
        <v>6072</v>
      </c>
      <c r="C504" s="19">
        <v>334220</v>
      </c>
      <c r="D504" s="19" t="s">
        <v>3336</v>
      </c>
    </row>
    <row r="505" spans="1:4" ht="51" x14ac:dyDescent="0.25">
      <c r="A505" s="21">
        <v>334220</v>
      </c>
      <c r="B505" s="19" t="s">
        <v>6073</v>
      </c>
      <c r="C505" s="20">
        <v>334515</v>
      </c>
      <c r="D505" s="19" t="s">
        <v>3364</v>
      </c>
    </row>
    <row r="506" spans="1:4" ht="25.5" x14ac:dyDescent="0.25">
      <c r="A506" s="19">
        <v>334290</v>
      </c>
      <c r="B506" s="19" t="s">
        <v>3338</v>
      </c>
      <c r="C506" s="19">
        <v>334290</v>
      </c>
      <c r="D506" s="19" t="s">
        <v>3338</v>
      </c>
    </row>
    <row r="507" spans="1:4" ht="25.5" x14ac:dyDescent="0.25">
      <c r="A507" s="19">
        <v>334310</v>
      </c>
      <c r="B507" s="19" t="s">
        <v>3340</v>
      </c>
      <c r="C507" s="19">
        <v>334310</v>
      </c>
      <c r="D507" s="19" t="s">
        <v>3340</v>
      </c>
    </row>
    <row r="508" spans="1:4" x14ac:dyDescent="0.25">
      <c r="A508" s="19">
        <v>334411</v>
      </c>
      <c r="B508" s="19" t="s">
        <v>5939</v>
      </c>
      <c r="C508" s="19">
        <v>334411</v>
      </c>
      <c r="D508" s="19" t="s">
        <v>5939</v>
      </c>
    </row>
    <row r="509" spans="1:4" ht="25.5" x14ac:dyDescent="0.25">
      <c r="A509" s="19">
        <v>334412</v>
      </c>
      <c r="B509" s="19" t="s">
        <v>3342</v>
      </c>
      <c r="C509" s="19">
        <v>334412</v>
      </c>
      <c r="D509" s="19" t="s">
        <v>3342</v>
      </c>
    </row>
    <row r="510" spans="1:4" ht="25.5" x14ac:dyDescent="0.25">
      <c r="A510" s="19">
        <v>334413</v>
      </c>
      <c r="B510" s="19" t="s">
        <v>3344</v>
      </c>
      <c r="C510" s="19">
        <v>334413</v>
      </c>
      <c r="D510" s="19" t="s">
        <v>3344</v>
      </c>
    </row>
    <row r="511" spans="1:4" x14ac:dyDescent="0.25">
      <c r="A511" s="19">
        <v>334414</v>
      </c>
      <c r="B511" s="19" t="s">
        <v>5940</v>
      </c>
      <c r="C511" s="19">
        <v>334414</v>
      </c>
      <c r="D511" s="19" t="s">
        <v>5940</v>
      </c>
    </row>
    <row r="512" spans="1:4" x14ac:dyDescent="0.25">
      <c r="A512" s="19">
        <v>334415</v>
      </c>
      <c r="B512" s="19" t="s">
        <v>5941</v>
      </c>
      <c r="C512" s="19">
        <v>334415</v>
      </c>
      <c r="D512" s="19" t="s">
        <v>5941</v>
      </c>
    </row>
    <row r="513" spans="1:4" ht="25.5" x14ac:dyDescent="0.25">
      <c r="A513" s="19">
        <v>334416</v>
      </c>
      <c r="B513" s="19" t="s">
        <v>5942</v>
      </c>
      <c r="C513" s="19">
        <v>334416</v>
      </c>
      <c r="D513" s="19" t="s">
        <v>5942</v>
      </c>
    </row>
    <row r="514" spans="1:4" x14ac:dyDescent="0.25">
      <c r="A514" s="19">
        <v>334417</v>
      </c>
      <c r="B514" s="19" t="s">
        <v>3348</v>
      </c>
      <c r="C514" s="19">
        <v>334417</v>
      </c>
      <c r="D514" s="19" t="s">
        <v>3348</v>
      </c>
    </row>
    <row r="515" spans="1:4" ht="25.5" x14ac:dyDescent="0.25">
      <c r="A515" s="19">
        <v>334418</v>
      </c>
      <c r="B515" s="19" t="s">
        <v>3350</v>
      </c>
      <c r="C515" s="19">
        <v>334418</v>
      </c>
      <c r="D515" s="19" t="s">
        <v>3350</v>
      </c>
    </row>
    <row r="516" spans="1:4" ht="25.5" x14ac:dyDescent="0.25">
      <c r="A516" s="19">
        <v>334419</v>
      </c>
      <c r="B516" s="19" t="s">
        <v>3352</v>
      </c>
      <c r="C516" s="19">
        <v>334419</v>
      </c>
      <c r="D516" s="19" t="s">
        <v>3352</v>
      </c>
    </row>
    <row r="517" spans="1:4" ht="25.5" x14ac:dyDescent="0.25">
      <c r="A517" s="19">
        <v>334510</v>
      </c>
      <c r="B517" s="19" t="s">
        <v>3354</v>
      </c>
      <c r="C517" s="19">
        <v>334510</v>
      </c>
      <c r="D517" s="19" t="s">
        <v>3354</v>
      </c>
    </row>
    <row r="518" spans="1:4" ht="38.25" x14ac:dyDescent="0.25">
      <c r="A518" s="19">
        <v>334511</v>
      </c>
      <c r="B518" s="19" t="s">
        <v>3356</v>
      </c>
      <c r="C518" s="19">
        <v>334511</v>
      </c>
      <c r="D518" s="19" t="s">
        <v>3356</v>
      </c>
    </row>
    <row r="519" spans="1:4" ht="38.25" x14ac:dyDescent="0.25">
      <c r="A519" s="19">
        <v>334512</v>
      </c>
      <c r="B519" s="19" t="s">
        <v>3358</v>
      </c>
      <c r="C519" s="19">
        <v>334512</v>
      </c>
      <c r="D519" s="19" t="s">
        <v>3358</v>
      </c>
    </row>
    <row r="520" spans="1:4" ht="51" x14ac:dyDescent="0.25">
      <c r="A520" s="19">
        <v>334513</v>
      </c>
      <c r="B520" s="19" t="s">
        <v>3360</v>
      </c>
      <c r="C520" s="19">
        <v>334513</v>
      </c>
      <c r="D520" s="19" t="s">
        <v>3360</v>
      </c>
    </row>
    <row r="521" spans="1:4" ht="25.5" x14ac:dyDescent="0.25">
      <c r="A521" s="19">
        <v>334514</v>
      </c>
      <c r="B521" s="19" t="s">
        <v>3362</v>
      </c>
      <c r="C521" s="19">
        <v>334514</v>
      </c>
      <c r="D521" s="19" t="s">
        <v>3362</v>
      </c>
    </row>
    <row r="522" spans="1:4" ht="38.25" x14ac:dyDescent="0.25">
      <c r="A522" s="19">
        <v>334515</v>
      </c>
      <c r="B522" s="19" t="s">
        <v>3364</v>
      </c>
      <c r="C522" s="20">
        <v>334515</v>
      </c>
      <c r="D522" s="19" t="s">
        <v>3364</v>
      </c>
    </row>
    <row r="523" spans="1:4" ht="25.5" x14ac:dyDescent="0.25">
      <c r="A523" s="19">
        <v>334516</v>
      </c>
      <c r="B523" s="19" t="s">
        <v>3366</v>
      </c>
      <c r="C523" s="19">
        <v>334516</v>
      </c>
      <c r="D523" s="19" t="s">
        <v>3366</v>
      </c>
    </row>
    <row r="524" spans="1:4" x14ac:dyDescent="0.25">
      <c r="A524" s="19">
        <v>334517</v>
      </c>
      <c r="B524" s="19" t="s">
        <v>3368</v>
      </c>
      <c r="C524" s="19">
        <v>334517</v>
      </c>
      <c r="D524" s="19" t="s">
        <v>3368</v>
      </c>
    </row>
    <row r="525" spans="1:4" x14ac:dyDescent="0.25">
      <c r="A525" s="19">
        <v>334518</v>
      </c>
      <c r="B525" s="19" t="s">
        <v>5886</v>
      </c>
      <c r="C525" s="19">
        <v>334518</v>
      </c>
      <c r="D525" s="19" t="s">
        <v>5886</v>
      </c>
    </row>
    <row r="526" spans="1:4" ht="25.5" x14ac:dyDescent="0.25">
      <c r="A526" s="19">
        <v>334519</v>
      </c>
      <c r="B526" s="19" t="s">
        <v>3370</v>
      </c>
      <c r="C526" s="19">
        <v>334519</v>
      </c>
      <c r="D526" s="19" t="s">
        <v>3370</v>
      </c>
    </row>
    <row r="527" spans="1:4" x14ac:dyDescent="0.25">
      <c r="A527" s="19">
        <v>334611</v>
      </c>
      <c r="B527" s="19" t="s">
        <v>5998</v>
      </c>
      <c r="C527" s="19">
        <v>334611</v>
      </c>
      <c r="D527" s="19" t="s">
        <v>5998</v>
      </c>
    </row>
    <row r="528" spans="1:4" ht="38.25" x14ac:dyDescent="0.25">
      <c r="A528" s="19">
        <v>334612</v>
      </c>
      <c r="B528" s="19" t="s">
        <v>5937</v>
      </c>
      <c r="C528" s="19">
        <v>334612</v>
      </c>
      <c r="D528" s="19" t="s">
        <v>5937</v>
      </c>
    </row>
    <row r="529" spans="1:4" ht="25.5" x14ac:dyDescent="0.25">
      <c r="A529" s="19">
        <v>334613</v>
      </c>
      <c r="B529" s="19" t="s">
        <v>5921</v>
      </c>
      <c r="C529" s="19">
        <v>334613</v>
      </c>
      <c r="D529" s="19" t="s">
        <v>5921</v>
      </c>
    </row>
    <row r="530" spans="1:4" ht="25.5" x14ac:dyDescent="0.25">
      <c r="A530" s="19">
        <v>335110</v>
      </c>
      <c r="B530" s="19" t="s">
        <v>3376</v>
      </c>
      <c r="C530" s="19">
        <v>335110</v>
      </c>
      <c r="D530" s="19" t="s">
        <v>3376</v>
      </c>
    </row>
    <row r="531" spans="1:4" ht="25.5" x14ac:dyDescent="0.25">
      <c r="A531" s="19">
        <v>335121</v>
      </c>
      <c r="B531" s="19" t="s">
        <v>3378</v>
      </c>
      <c r="C531" s="19">
        <v>335121</v>
      </c>
      <c r="D531" s="19" t="s">
        <v>3378</v>
      </c>
    </row>
    <row r="532" spans="1:4" ht="25.5" x14ac:dyDescent="0.25">
      <c r="A532" s="19">
        <v>335122</v>
      </c>
      <c r="B532" s="19" t="s">
        <v>3380</v>
      </c>
      <c r="C532" s="19">
        <v>335122</v>
      </c>
      <c r="D532" s="19" t="s">
        <v>3380</v>
      </c>
    </row>
    <row r="533" spans="1:4" x14ac:dyDescent="0.25">
      <c r="A533" s="19">
        <v>335129</v>
      </c>
      <c r="B533" s="19" t="s">
        <v>3382</v>
      </c>
      <c r="C533" s="19">
        <v>335129</v>
      </c>
      <c r="D533" s="19" t="s">
        <v>3382</v>
      </c>
    </row>
    <row r="534" spans="1:4" ht="25.5" x14ac:dyDescent="0.25">
      <c r="A534" s="19">
        <v>335211</v>
      </c>
      <c r="B534" s="19" t="s">
        <v>5932</v>
      </c>
      <c r="C534" s="19">
        <v>335211</v>
      </c>
      <c r="D534" s="19" t="s">
        <v>5932</v>
      </c>
    </row>
    <row r="535" spans="1:4" ht="25.5" x14ac:dyDescent="0.25">
      <c r="A535" s="19">
        <v>335212</v>
      </c>
      <c r="B535" s="19" t="s">
        <v>5933</v>
      </c>
      <c r="C535" s="19">
        <v>335212</v>
      </c>
      <c r="D535" s="19" t="s">
        <v>5933</v>
      </c>
    </row>
    <row r="536" spans="1:4" ht="25.5" x14ac:dyDescent="0.25">
      <c r="A536" s="19">
        <v>335221</v>
      </c>
      <c r="B536" s="19" t="s">
        <v>5929</v>
      </c>
      <c r="C536" s="19">
        <v>335221</v>
      </c>
      <c r="D536" s="19" t="s">
        <v>5929</v>
      </c>
    </row>
    <row r="537" spans="1:4" ht="25.5" x14ac:dyDescent="0.25">
      <c r="A537" s="19">
        <v>335222</v>
      </c>
      <c r="B537" s="19" t="s">
        <v>5930</v>
      </c>
      <c r="C537" s="19">
        <v>335222</v>
      </c>
      <c r="D537" s="19" t="s">
        <v>5930</v>
      </c>
    </row>
    <row r="538" spans="1:4" ht="25.5" x14ac:dyDescent="0.25">
      <c r="A538" s="19">
        <v>335224</v>
      </c>
      <c r="B538" s="19" t="s">
        <v>5931</v>
      </c>
      <c r="C538" s="19">
        <v>335224</v>
      </c>
      <c r="D538" s="19" t="s">
        <v>5931</v>
      </c>
    </row>
    <row r="539" spans="1:4" ht="25.5" x14ac:dyDescent="0.25">
      <c r="A539" s="19">
        <v>335228</v>
      </c>
      <c r="B539" s="19" t="s">
        <v>5934</v>
      </c>
      <c r="C539" s="19">
        <v>335228</v>
      </c>
      <c r="D539" s="19" t="s">
        <v>5934</v>
      </c>
    </row>
    <row r="540" spans="1:4" ht="25.5" x14ac:dyDescent="0.25">
      <c r="A540" s="19">
        <v>335311</v>
      </c>
      <c r="B540" s="19" t="s">
        <v>3388</v>
      </c>
      <c r="C540" s="19">
        <v>335311</v>
      </c>
      <c r="D540" s="19" t="s">
        <v>3388</v>
      </c>
    </row>
    <row r="541" spans="1:4" x14ac:dyDescent="0.25">
      <c r="A541" s="19">
        <v>335312</v>
      </c>
      <c r="B541" s="19" t="s">
        <v>3390</v>
      </c>
      <c r="C541" s="19">
        <v>335312</v>
      </c>
      <c r="D541" s="19" t="s">
        <v>3390</v>
      </c>
    </row>
    <row r="542" spans="1:4" ht="25.5" x14ac:dyDescent="0.25">
      <c r="A542" s="19">
        <v>335313</v>
      </c>
      <c r="B542" s="19" t="s">
        <v>3392</v>
      </c>
      <c r="C542" s="19">
        <v>335313</v>
      </c>
      <c r="D542" s="19" t="s">
        <v>3392</v>
      </c>
    </row>
    <row r="543" spans="1:4" ht="25.5" x14ac:dyDescent="0.25">
      <c r="A543" s="19">
        <v>335314</v>
      </c>
      <c r="B543" s="19" t="s">
        <v>3394</v>
      </c>
      <c r="C543" s="19">
        <v>335314</v>
      </c>
      <c r="D543" s="19" t="s">
        <v>3394</v>
      </c>
    </row>
    <row r="544" spans="1:4" x14ac:dyDescent="0.25">
      <c r="A544" s="19">
        <v>335911</v>
      </c>
      <c r="B544" s="19" t="s">
        <v>3396</v>
      </c>
      <c r="C544" s="19">
        <v>335911</v>
      </c>
      <c r="D544" s="19" t="s">
        <v>3396</v>
      </c>
    </row>
    <row r="545" spans="1:4" x14ac:dyDescent="0.25">
      <c r="A545" s="19">
        <v>335912</v>
      </c>
      <c r="B545" s="19" t="s">
        <v>3397</v>
      </c>
      <c r="C545" s="19">
        <v>335912</v>
      </c>
      <c r="D545" s="19" t="s">
        <v>3397</v>
      </c>
    </row>
    <row r="546" spans="1:4" x14ac:dyDescent="0.25">
      <c r="A546" s="19">
        <v>335921</v>
      </c>
      <c r="B546" s="19" t="s">
        <v>3399</v>
      </c>
      <c r="C546" s="19">
        <v>335921</v>
      </c>
      <c r="D546" s="19" t="s">
        <v>3399</v>
      </c>
    </row>
    <row r="547" spans="1:4" ht="25.5" x14ac:dyDescent="0.25">
      <c r="A547" s="19">
        <v>335929</v>
      </c>
      <c r="B547" s="19" t="s">
        <v>3401</v>
      </c>
      <c r="C547" s="19">
        <v>335929</v>
      </c>
      <c r="D547" s="19" t="s">
        <v>3401</v>
      </c>
    </row>
    <row r="548" spans="1:4" ht="25.5" x14ac:dyDescent="0.25">
      <c r="A548" s="19">
        <v>335931</v>
      </c>
      <c r="B548" s="19" t="s">
        <v>3403</v>
      </c>
      <c r="C548" s="19">
        <v>335931</v>
      </c>
      <c r="D548" s="19" t="s">
        <v>3403</v>
      </c>
    </row>
    <row r="549" spans="1:4" ht="25.5" x14ac:dyDescent="0.25">
      <c r="A549" s="19">
        <v>335932</v>
      </c>
      <c r="B549" s="19" t="s">
        <v>3405</v>
      </c>
      <c r="C549" s="19">
        <v>335932</v>
      </c>
      <c r="D549" s="19" t="s">
        <v>3405</v>
      </c>
    </row>
    <row r="550" spans="1:4" ht="25.5" x14ac:dyDescent="0.25">
      <c r="A550" s="19">
        <v>335991</v>
      </c>
      <c r="B550" s="19" t="s">
        <v>3407</v>
      </c>
      <c r="C550" s="19">
        <v>335991</v>
      </c>
      <c r="D550" s="19" t="s">
        <v>3407</v>
      </c>
    </row>
    <row r="551" spans="1:4" ht="38.25" x14ac:dyDescent="0.25">
      <c r="A551" s="19">
        <v>335999</v>
      </c>
      <c r="B551" s="19" t="s">
        <v>3409</v>
      </c>
      <c r="C551" s="19">
        <v>335999</v>
      </c>
      <c r="D551" s="19" t="s">
        <v>3409</v>
      </c>
    </row>
    <row r="552" spans="1:4" x14ac:dyDescent="0.25">
      <c r="A552" s="19">
        <v>336111</v>
      </c>
      <c r="B552" s="19" t="s">
        <v>3411</v>
      </c>
      <c r="C552" s="19">
        <v>336111</v>
      </c>
      <c r="D552" s="19" t="s">
        <v>3411</v>
      </c>
    </row>
    <row r="553" spans="1:4" ht="25.5" x14ac:dyDescent="0.25">
      <c r="A553" s="19">
        <v>336112</v>
      </c>
      <c r="B553" s="19" t="s">
        <v>3413</v>
      </c>
      <c r="C553" s="19">
        <v>336112</v>
      </c>
      <c r="D553" s="19" t="s">
        <v>3413</v>
      </c>
    </row>
    <row r="554" spans="1:4" x14ac:dyDescent="0.25">
      <c r="A554" s="19">
        <v>336120</v>
      </c>
      <c r="B554" s="19" t="s">
        <v>3415</v>
      </c>
      <c r="C554" s="19">
        <v>336120</v>
      </c>
      <c r="D554" s="19" t="s">
        <v>3415</v>
      </c>
    </row>
    <row r="555" spans="1:4" x14ac:dyDescent="0.25">
      <c r="A555" s="19">
        <v>336211</v>
      </c>
      <c r="B555" s="19" t="s">
        <v>3417</v>
      </c>
      <c r="C555" s="19">
        <v>336211</v>
      </c>
      <c r="D555" s="19" t="s">
        <v>3417</v>
      </c>
    </row>
    <row r="556" spans="1:4" x14ac:dyDescent="0.25">
      <c r="A556" s="19">
        <v>336212</v>
      </c>
      <c r="B556" s="19" t="s">
        <v>3419</v>
      </c>
      <c r="C556" s="19">
        <v>336212</v>
      </c>
      <c r="D556" s="19" t="s">
        <v>3419</v>
      </c>
    </row>
    <row r="557" spans="1:4" x14ac:dyDescent="0.25">
      <c r="A557" s="19">
        <v>336213</v>
      </c>
      <c r="B557" s="19" t="s">
        <v>3421</v>
      </c>
      <c r="C557" s="19">
        <v>336213</v>
      </c>
      <c r="D557" s="19" t="s">
        <v>3421</v>
      </c>
    </row>
    <row r="558" spans="1:4" x14ac:dyDescent="0.25">
      <c r="A558" s="19">
        <v>336214</v>
      </c>
      <c r="B558" s="19" t="s">
        <v>3423</v>
      </c>
      <c r="C558" s="19">
        <v>336214</v>
      </c>
      <c r="D558" s="19" t="s">
        <v>3423</v>
      </c>
    </row>
    <row r="559" spans="1:4" ht="25.5" x14ac:dyDescent="0.25">
      <c r="A559" s="19">
        <v>336311</v>
      </c>
      <c r="B559" s="19" t="s">
        <v>5927</v>
      </c>
      <c r="C559" s="19">
        <v>336311</v>
      </c>
      <c r="D559" s="19" t="s">
        <v>5927</v>
      </c>
    </row>
    <row r="560" spans="1:4" ht="25.5" x14ac:dyDescent="0.25">
      <c r="A560" s="19">
        <v>336312</v>
      </c>
      <c r="B560" s="19" t="s">
        <v>5945</v>
      </c>
      <c r="C560" s="19">
        <v>336312</v>
      </c>
      <c r="D560" s="19" t="s">
        <v>5945</v>
      </c>
    </row>
    <row r="561" spans="1:4" ht="25.5" x14ac:dyDescent="0.25">
      <c r="A561" s="19">
        <v>336321</v>
      </c>
      <c r="B561" s="19" t="s">
        <v>5936</v>
      </c>
      <c r="C561" s="19">
        <v>336321</v>
      </c>
      <c r="D561" s="19" t="s">
        <v>5936</v>
      </c>
    </row>
    <row r="562" spans="1:4" ht="25.5" x14ac:dyDescent="0.25">
      <c r="A562" s="19">
        <v>336322</v>
      </c>
      <c r="B562" s="19" t="s">
        <v>5943</v>
      </c>
      <c r="C562" s="19">
        <v>336322</v>
      </c>
      <c r="D562" s="19" t="s">
        <v>5943</v>
      </c>
    </row>
    <row r="563" spans="1:4" ht="38.25" x14ac:dyDescent="0.25">
      <c r="A563" s="19">
        <v>336330</v>
      </c>
      <c r="B563" s="19" t="s">
        <v>3429</v>
      </c>
      <c r="C563" s="19">
        <v>336330</v>
      </c>
      <c r="D563" s="19" t="s">
        <v>3429</v>
      </c>
    </row>
    <row r="564" spans="1:4" ht="25.5" x14ac:dyDescent="0.25">
      <c r="A564" s="19">
        <v>336340</v>
      </c>
      <c r="B564" s="19" t="s">
        <v>3431</v>
      </c>
      <c r="C564" s="19">
        <v>336340</v>
      </c>
      <c r="D564" s="19" t="s">
        <v>3431</v>
      </c>
    </row>
    <row r="565" spans="1:4" ht="25.5" x14ac:dyDescent="0.25">
      <c r="A565" s="19">
        <v>336350</v>
      </c>
      <c r="B565" s="19" t="s">
        <v>3433</v>
      </c>
      <c r="C565" s="19">
        <v>336350</v>
      </c>
      <c r="D565" s="19" t="s">
        <v>3433</v>
      </c>
    </row>
    <row r="566" spans="1:4" ht="25.5" x14ac:dyDescent="0.25">
      <c r="A566" s="19">
        <v>336360</v>
      </c>
      <c r="B566" s="19" t="s">
        <v>3435</v>
      </c>
      <c r="C566" s="19">
        <v>336360</v>
      </c>
      <c r="D566" s="19" t="s">
        <v>3435</v>
      </c>
    </row>
    <row r="567" spans="1:4" x14ac:dyDescent="0.25">
      <c r="A567" s="19">
        <v>336370</v>
      </c>
      <c r="B567" s="19" t="s">
        <v>3437</v>
      </c>
      <c r="C567" s="19">
        <v>336370</v>
      </c>
      <c r="D567" s="19" t="s">
        <v>3437</v>
      </c>
    </row>
    <row r="568" spans="1:4" ht="25.5" x14ac:dyDescent="0.25">
      <c r="A568" s="19">
        <v>336391</v>
      </c>
      <c r="B568" s="19" t="s">
        <v>5925</v>
      </c>
      <c r="C568" s="19">
        <v>336391</v>
      </c>
      <c r="D568" s="19" t="s">
        <v>5925</v>
      </c>
    </row>
    <row r="569" spans="1:4" ht="25.5" x14ac:dyDescent="0.25">
      <c r="A569" s="19">
        <v>336399</v>
      </c>
      <c r="B569" s="19" t="s">
        <v>5887</v>
      </c>
      <c r="C569" s="19">
        <v>336399</v>
      </c>
      <c r="D569" s="19" t="s">
        <v>5887</v>
      </c>
    </row>
    <row r="570" spans="1:4" x14ac:dyDescent="0.25">
      <c r="A570" s="19">
        <v>336411</v>
      </c>
      <c r="B570" s="19" t="s">
        <v>3441</v>
      </c>
      <c r="C570" s="19">
        <v>336411</v>
      </c>
      <c r="D570" s="19" t="s">
        <v>3441</v>
      </c>
    </row>
    <row r="571" spans="1:4" ht="25.5" x14ac:dyDescent="0.25">
      <c r="A571" s="19">
        <v>336412</v>
      </c>
      <c r="B571" s="19" t="s">
        <v>3443</v>
      </c>
      <c r="C571" s="19">
        <v>336412</v>
      </c>
      <c r="D571" s="19" t="s">
        <v>3443</v>
      </c>
    </row>
    <row r="572" spans="1:4" ht="25.5" x14ac:dyDescent="0.25">
      <c r="A572" s="19">
        <v>336413</v>
      </c>
      <c r="B572" s="19" t="s">
        <v>3445</v>
      </c>
      <c r="C572" s="19">
        <v>336413</v>
      </c>
      <c r="D572" s="19" t="s">
        <v>3445</v>
      </c>
    </row>
    <row r="573" spans="1:4" ht="25.5" x14ac:dyDescent="0.25">
      <c r="A573" s="19">
        <v>336414</v>
      </c>
      <c r="B573" s="19" t="s">
        <v>3447</v>
      </c>
      <c r="C573" s="19">
        <v>336414</v>
      </c>
      <c r="D573" s="19" t="s">
        <v>3447</v>
      </c>
    </row>
    <row r="574" spans="1:4" ht="38.25" x14ac:dyDescent="0.25">
      <c r="A574" s="19">
        <v>336415</v>
      </c>
      <c r="B574" s="19" t="s">
        <v>3449</v>
      </c>
      <c r="C574" s="19">
        <v>336415</v>
      </c>
      <c r="D574" s="19" t="s">
        <v>3449</v>
      </c>
    </row>
    <row r="575" spans="1:4" ht="38.25" x14ac:dyDescent="0.25">
      <c r="A575" s="19">
        <v>336419</v>
      </c>
      <c r="B575" s="19" t="s">
        <v>3451</v>
      </c>
      <c r="C575" s="19">
        <v>336419</v>
      </c>
      <c r="D575" s="19" t="s">
        <v>3451</v>
      </c>
    </row>
    <row r="576" spans="1:4" x14ac:dyDescent="0.25">
      <c r="A576" s="19">
        <v>336510</v>
      </c>
      <c r="B576" s="19" t="s">
        <v>3453</v>
      </c>
      <c r="C576" s="19">
        <v>336510</v>
      </c>
      <c r="D576" s="19" t="s">
        <v>3453</v>
      </c>
    </row>
    <row r="577" spans="1:4" x14ac:dyDescent="0.25">
      <c r="A577" s="19">
        <v>336611</v>
      </c>
      <c r="B577" s="19" t="s">
        <v>640</v>
      </c>
      <c r="C577" s="19">
        <v>336611</v>
      </c>
      <c r="D577" s="19" t="s">
        <v>640</v>
      </c>
    </row>
    <row r="578" spans="1:4" x14ac:dyDescent="0.25">
      <c r="A578" s="19">
        <v>336612</v>
      </c>
      <c r="B578" s="19" t="s">
        <v>3456</v>
      </c>
      <c r="C578" s="20">
        <v>336612</v>
      </c>
      <c r="D578" s="19" t="s">
        <v>3456</v>
      </c>
    </row>
    <row r="579" spans="1:4" ht="25.5" x14ac:dyDescent="0.25">
      <c r="A579" s="19">
        <v>336991</v>
      </c>
      <c r="B579" s="19" t="s">
        <v>3458</v>
      </c>
      <c r="C579" s="19">
        <v>336991</v>
      </c>
      <c r="D579" s="19" t="s">
        <v>3458</v>
      </c>
    </row>
    <row r="580" spans="1:4" ht="25.5" x14ac:dyDescent="0.25">
      <c r="A580" s="19">
        <v>336992</v>
      </c>
      <c r="B580" s="19" t="s">
        <v>3460</v>
      </c>
      <c r="C580" s="19">
        <v>336992</v>
      </c>
      <c r="D580" s="19" t="s">
        <v>3460</v>
      </c>
    </row>
    <row r="581" spans="1:4" ht="25.5" x14ac:dyDescent="0.25">
      <c r="A581" s="19">
        <v>336999</v>
      </c>
      <c r="B581" s="19" t="s">
        <v>3462</v>
      </c>
      <c r="C581" s="19">
        <v>336999</v>
      </c>
      <c r="D581" s="19" t="s">
        <v>3462</v>
      </c>
    </row>
    <row r="582" spans="1:4" ht="25.5" x14ac:dyDescent="0.25">
      <c r="A582" s="19">
        <v>337110</v>
      </c>
      <c r="B582" s="19" t="s">
        <v>3464</v>
      </c>
      <c r="C582" s="19">
        <v>337110</v>
      </c>
      <c r="D582" s="19" t="s">
        <v>3464</v>
      </c>
    </row>
    <row r="583" spans="1:4" ht="25.5" x14ac:dyDescent="0.25">
      <c r="A583" s="19">
        <v>337121</v>
      </c>
      <c r="B583" s="19" t="s">
        <v>3466</v>
      </c>
      <c r="C583" s="19">
        <v>337121</v>
      </c>
      <c r="D583" s="19" t="s">
        <v>3466</v>
      </c>
    </row>
    <row r="584" spans="1:4" ht="25.5" x14ac:dyDescent="0.25">
      <c r="A584" s="19">
        <v>337122</v>
      </c>
      <c r="B584" s="19" t="s">
        <v>3468</v>
      </c>
      <c r="C584" s="19">
        <v>337122</v>
      </c>
      <c r="D584" s="19" t="s">
        <v>3468</v>
      </c>
    </row>
    <row r="585" spans="1:4" ht="25.5" x14ac:dyDescent="0.25">
      <c r="A585" s="19">
        <v>337124</v>
      </c>
      <c r="B585" s="19" t="s">
        <v>3470</v>
      </c>
      <c r="C585" s="19">
        <v>337124</v>
      </c>
      <c r="D585" s="19" t="s">
        <v>3470</v>
      </c>
    </row>
    <row r="586" spans="1:4" ht="25.5" x14ac:dyDescent="0.25">
      <c r="A586" s="19">
        <v>337125</v>
      </c>
      <c r="B586" s="19" t="s">
        <v>3472</v>
      </c>
      <c r="C586" s="19">
        <v>337125</v>
      </c>
      <c r="D586" s="19" t="s">
        <v>3472</v>
      </c>
    </row>
    <row r="587" spans="1:4" x14ac:dyDescent="0.25">
      <c r="A587" s="19">
        <v>337127</v>
      </c>
      <c r="B587" s="19" t="s">
        <v>3474</v>
      </c>
      <c r="C587" s="20">
        <v>337127</v>
      </c>
      <c r="D587" s="19" t="s">
        <v>3474</v>
      </c>
    </row>
    <row r="588" spans="1:4" ht="25.5" x14ac:dyDescent="0.25">
      <c r="A588" s="19">
        <v>337129</v>
      </c>
      <c r="B588" s="19" t="s">
        <v>5805</v>
      </c>
      <c r="C588" s="19">
        <v>337129</v>
      </c>
      <c r="D588" s="19" t="s">
        <v>5805</v>
      </c>
    </row>
    <row r="589" spans="1:4" x14ac:dyDescent="0.25">
      <c r="A589" s="19">
        <v>337211</v>
      </c>
      <c r="B589" s="19" t="s">
        <v>3476</v>
      </c>
      <c r="C589" s="19">
        <v>337211</v>
      </c>
      <c r="D589" s="19" t="s">
        <v>3476</v>
      </c>
    </row>
    <row r="590" spans="1:4" ht="25.5" x14ac:dyDescent="0.25">
      <c r="A590" s="19">
        <v>337212</v>
      </c>
      <c r="B590" s="19" t="s">
        <v>3478</v>
      </c>
      <c r="C590" s="19">
        <v>337212</v>
      </c>
      <c r="D590" s="19" t="s">
        <v>3478</v>
      </c>
    </row>
    <row r="591" spans="1:4" ht="25.5" x14ac:dyDescent="0.25">
      <c r="A591" s="19">
        <v>337214</v>
      </c>
      <c r="B591" s="19" t="s">
        <v>3480</v>
      </c>
      <c r="C591" s="19">
        <v>337214</v>
      </c>
      <c r="D591" s="19" t="s">
        <v>3480</v>
      </c>
    </row>
    <row r="592" spans="1:4" ht="25.5" x14ac:dyDescent="0.25">
      <c r="A592" s="19">
        <v>337215</v>
      </c>
      <c r="B592" s="19" t="s">
        <v>3482</v>
      </c>
      <c r="C592" s="19">
        <v>337215</v>
      </c>
      <c r="D592" s="19" t="s">
        <v>3482</v>
      </c>
    </row>
    <row r="593" spans="1:4" x14ac:dyDescent="0.25">
      <c r="A593" s="19">
        <v>337910</v>
      </c>
      <c r="B593" s="19" t="s">
        <v>3484</v>
      </c>
      <c r="C593" s="19">
        <v>337910</v>
      </c>
      <c r="D593" s="19" t="s">
        <v>3484</v>
      </c>
    </row>
    <row r="594" spans="1:4" x14ac:dyDescent="0.25">
      <c r="A594" s="19">
        <v>337920</v>
      </c>
      <c r="B594" s="19" t="s">
        <v>3486</v>
      </c>
      <c r="C594" s="19">
        <v>337920</v>
      </c>
      <c r="D594" s="19" t="s">
        <v>3486</v>
      </c>
    </row>
    <row r="595" spans="1:4" ht="38.25" x14ac:dyDescent="0.25">
      <c r="A595" s="21">
        <v>339111</v>
      </c>
      <c r="B595" s="19" t="s">
        <v>6074</v>
      </c>
      <c r="C595" s="20">
        <v>333298</v>
      </c>
      <c r="D595" s="19" t="s">
        <v>5913</v>
      </c>
    </row>
    <row r="596" spans="1:4" ht="51" x14ac:dyDescent="0.25">
      <c r="A596" s="21">
        <v>339111</v>
      </c>
      <c r="B596" s="19" t="s">
        <v>6075</v>
      </c>
      <c r="C596" s="20">
        <v>333415</v>
      </c>
      <c r="D596" s="19" t="s">
        <v>3280</v>
      </c>
    </row>
    <row r="597" spans="1:4" ht="38.25" x14ac:dyDescent="0.25">
      <c r="A597" s="21">
        <v>339111</v>
      </c>
      <c r="B597" s="19" t="s">
        <v>6076</v>
      </c>
      <c r="C597" s="20">
        <v>333994</v>
      </c>
      <c r="D597" s="19" t="s">
        <v>3318</v>
      </c>
    </row>
    <row r="598" spans="1:4" ht="38.25" x14ac:dyDescent="0.25">
      <c r="A598" s="21">
        <v>339111</v>
      </c>
      <c r="B598" s="19" t="s">
        <v>6077</v>
      </c>
      <c r="C598" s="20">
        <v>333997</v>
      </c>
      <c r="D598" s="19" t="s">
        <v>3324</v>
      </c>
    </row>
    <row r="599" spans="1:4" ht="25.5" x14ac:dyDescent="0.25">
      <c r="A599" s="21">
        <v>339111</v>
      </c>
      <c r="B599" s="19" t="s">
        <v>6078</v>
      </c>
      <c r="C599" s="20">
        <v>333999</v>
      </c>
      <c r="D599" s="19" t="s">
        <v>3326</v>
      </c>
    </row>
    <row r="600" spans="1:4" ht="38.25" x14ac:dyDescent="0.25">
      <c r="A600" s="21">
        <v>339111</v>
      </c>
      <c r="B600" s="19" t="s">
        <v>6079</v>
      </c>
      <c r="C600" s="20">
        <v>337127</v>
      </c>
      <c r="D600" s="19" t="s">
        <v>3474</v>
      </c>
    </row>
    <row r="601" spans="1:4" ht="63.75" x14ac:dyDescent="0.25">
      <c r="A601" s="21">
        <v>339111</v>
      </c>
      <c r="B601" s="19" t="s">
        <v>6080</v>
      </c>
      <c r="C601" s="20">
        <v>339113</v>
      </c>
      <c r="D601" s="19" t="s">
        <v>3490</v>
      </c>
    </row>
    <row r="602" spans="1:4" ht="25.5" x14ac:dyDescent="0.25">
      <c r="A602" s="19">
        <v>339112</v>
      </c>
      <c r="B602" s="19" t="s">
        <v>3488</v>
      </c>
      <c r="C602" s="19">
        <v>339112</v>
      </c>
      <c r="D602" s="19" t="s">
        <v>3488</v>
      </c>
    </row>
    <row r="603" spans="1:4" ht="25.5" x14ac:dyDescent="0.25">
      <c r="A603" s="19">
        <v>339113</v>
      </c>
      <c r="B603" s="19" t="s">
        <v>3490</v>
      </c>
      <c r="C603" s="20">
        <v>339113</v>
      </c>
      <c r="D603" s="19" t="s">
        <v>3490</v>
      </c>
    </row>
    <row r="604" spans="1:4" ht="25.5" x14ac:dyDescent="0.25">
      <c r="A604" s="19">
        <v>339114</v>
      </c>
      <c r="B604" s="19" t="s">
        <v>3492</v>
      </c>
      <c r="C604" s="19">
        <v>339114</v>
      </c>
      <c r="D604" s="19" t="s">
        <v>3492</v>
      </c>
    </row>
    <row r="605" spans="1:4" x14ac:dyDescent="0.25">
      <c r="A605" s="19">
        <v>339115</v>
      </c>
      <c r="B605" s="19" t="s">
        <v>3494</v>
      </c>
      <c r="C605" s="19">
        <v>339115</v>
      </c>
      <c r="D605" s="19" t="s">
        <v>3494</v>
      </c>
    </row>
    <row r="606" spans="1:4" x14ac:dyDescent="0.25">
      <c r="A606" s="19">
        <v>339116</v>
      </c>
      <c r="B606" s="19" t="s">
        <v>3496</v>
      </c>
      <c r="C606" s="19">
        <v>339116</v>
      </c>
      <c r="D606" s="19" t="s">
        <v>3496</v>
      </c>
    </row>
    <row r="607" spans="1:4" x14ac:dyDescent="0.25">
      <c r="A607" s="19">
        <v>339911</v>
      </c>
      <c r="B607" s="19" t="s">
        <v>5896</v>
      </c>
      <c r="C607" s="19">
        <v>339911</v>
      </c>
      <c r="D607" s="19" t="s">
        <v>5896</v>
      </c>
    </row>
    <row r="608" spans="1:4" ht="25.5" x14ac:dyDescent="0.25">
      <c r="A608" s="19">
        <v>339912</v>
      </c>
      <c r="B608" s="19" t="s">
        <v>6081</v>
      </c>
      <c r="C608" s="19">
        <v>339912</v>
      </c>
      <c r="D608" s="19" t="s">
        <v>6081</v>
      </c>
    </row>
    <row r="609" spans="1:4" ht="25.5" x14ac:dyDescent="0.25">
      <c r="A609" s="19">
        <v>339913</v>
      </c>
      <c r="B609" s="19" t="s">
        <v>5950</v>
      </c>
      <c r="C609" s="19">
        <v>339913</v>
      </c>
      <c r="D609" s="19" t="s">
        <v>5950</v>
      </c>
    </row>
    <row r="610" spans="1:4" ht="25.5" x14ac:dyDescent="0.25">
      <c r="A610" s="19">
        <v>339914</v>
      </c>
      <c r="B610" s="19" t="s">
        <v>5859</v>
      </c>
      <c r="C610" s="19">
        <v>339914</v>
      </c>
      <c r="D610" s="19" t="s">
        <v>5859</v>
      </c>
    </row>
    <row r="611" spans="1:4" ht="25.5" x14ac:dyDescent="0.25">
      <c r="A611" s="19">
        <v>339920</v>
      </c>
      <c r="B611" s="19" t="s">
        <v>3500</v>
      </c>
      <c r="C611" s="19">
        <v>339920</v>
      </c>
      <c r="D611" s="19" t="s">
        <v>3500</v>
      </c>
    </row>
    <row r="612" spans="1:4" x14ac:dyDescent="0.25">
      <c r="A612" s="19">
        <v>339931</v>
      </c>
      <c r="B612" s="19" t="s">
        <v>5951</v>
      </c>
      <c r="C612" s="19">
        <v>339931</v>
      </c>
      <c r="D612" s="19" t="s">
        <v>5951</v>
      </c>
    </row>
    <row r="613" spans="1:4" ht="25.5" x14ac:dyDescent="0.25">
      <c r="A613" s="19">
        <v>339932</v>
      </c>
      <c r="B613" s="19" t="s">
        <v>5850</v>
      </c>
      <c r="C613" s="19">
        <v>339932</v>
      </c>
      <c r="D613" s="19" t="s">
        <v>5850</v>
      </c>
    </row>
    <row r="614" spans="1:4" ht="25.5" x14ac:dyDescent="0.25">
      <c r="A614" s="19">
        <v>339941</v>
      </c>
      <c r="B614" s="19" t="s">
        <v>5952</v>
      </c>
      <c r="C614" s="19">
        <v>339941</v>
      </c>
      <c r="D614" s="19" t="s">
        <v>5952</v>
      </c>
    </row>
    <row r="615" spans="1:4" x14ac:dyDescent="0.25">
      <c r="A615" s="19">
        <v>339942</v>
      </c>
      <c r="B615" s="19" t="s">
        <v>5807</v>
      </c>
      <c r="C615" s="19">
        <v>339942</v>
      </c>
      <c r="D615" s="19" t="s">
        <v>5807</v>
      </c>
    </row>
    <row r="616" spans="1:4" x14ac:dyDescent="0.25">
      <c r="A616" s="19">
        <v>339943</v>
      </c>
      <c r="B616" s="19" t="s">
        <v>5953</v>
      </c>
      <c r="C616" s="19">
        <v>339943</v>
      </c>
      <c r="D616" s="19" t="s">
        <v>5953</v>
      </c>
    </row>
    <row r="617" spans="1:4" ht="25.5" x14ac:dyDescent="0.25">
      <c r="A617" s="19">
        <v>339944</v>
      </c>
      <c r="B617" s="19" t="s">
        <v>5954</v>
      </c>
      <c r="C617" s="19">
        <v>339944</v>
      </c>
      <c r="D617" s="19" t="s">
        <v>5954</v>
      </c>
    </row>
    <row r="618" spans="1:4" x14ac:dyDescent="0.25">
      <c r="A618" s="19">
        <v>339950</v>
      </c>
      <c r="B618" s="19" t="s">
        <v>3506</v>
      </c>
      <c r="C618" s="19">
        <v>339950</v>
      </c>
      <c r="D618" s="19" t="s">
        <v>3506</v>
      </c>
    </row>
    <row r="619" spans="1:4" ht="25.5" x14ac:dyDescent="0.25">
      <c r="A619" s="19">
        <v>339991</v>
      </c>
      <c r="B619" s="19" t="s">
        <v>3508</v>
      </c>
      <c r="C619" s="19">
        <v>339991</v>
      </c>
      <c r="D619" s="19" t="s">
        <v>3508</v>
      </c>
    </row>
    <row r="620" spans="1:4" x14ac:dyDescent="0.25">
      <c r="A620" s="19">
        <v>339992</v>
      </c>
      <c r="B620" s="19" t="s">
        <v>3510</v>
      </c>
      <c r="C620" s="19">
        <v>339992</v>
      </c>
      <c r="D620" s="19" t="s">
        <v>3510</v>
      </c>
    </row>
    <row r="621" spans="1:4" ht="25.5" x14ac:dyDescent="0.25">
      <c r="A621" s="19">
        <v>339993</v>
      </c>
      <c r="B621" s="19" t="s">
        <v>3512</v>
      </c>
      <c r="C621" s="19">
        <v>339993</v>
      </c>
      <c r="D621" s="19" t="s">
        <v>3512</v>
      </c>
    </row>
    <row r="622" spans="1:4" x14ac:dyDescent="0.25">
      <c r="A622" s="19">
        <v>339994</v>
      </c>
      <c r="B622" s="19" t="s">
        <v>3514</v>
      </c>
      <c r="C622" s="19">
        <v>339994</v>
      </c>
      <c r="D622" s="19" t="s">
        <v>3514</v>
      </c>
    </row>
    <row r="623" spans="1:4" x14ac:dyDescent="0.25">
      <c r="A623" s="19">
        <v>339995</v>
      </c>
      <c r="B623" s="19" t="s">
        <v>3516</v>
      </c>
      <c r="C623" s="19">
        <v>339995</v>
      </c>
      <c r="D623" s="19" t="s">
        <v>3516</v>
      </c>
    </row>
    <row r="624" spans="1:4" x14ac:dyDescent="0.25">
      <c r="A624" s="19">
        <v>339999</v>
      </c>
      <c r="B624" s="19" t="s">
        <v>3518</v>
      </c>
      <c r="C624" s="19">
        <v>339999</v>
      </c>
      <c r="D624" s="19" t="s">
        <v>3518</v>
      </c>
    </row>
    <row r="625" spans="1:4" ht="25.5" x14ac:dyDescent="0.25">
      <c r="A625" s="19">
        <v>423110</v>
      </c>
      <c r="B625" s="19" t="s">
        <v>3520</v>
      </c>
      <c r="C625" s="19">
        <v>423110</v>
      </c>
      <c r="D625" s="19" t="s">
        <v>3520</v>
      </c>
    </row>
    <row r="626" spans="1:4" ht="25.5" x14ac:dyDescent="0.25">
      <c r="A626" s="19">
        <v>423120</v>
      </c>
      <c r="B626" s="19" t="s">
        <v>3521</v>
      </c>
      <c r="C626" s="19">
        <v>423120</v>
      </c>
      <c r="D626" s="19" t="s">
        <v>3521</v>
      </c>
    </row>
    <row r="627" spans="1:4" x14ac:dyDescent="0.25">
      <c r="A627" s="19">
        <v>423130</v>
      </c>
      <c r="B627" s="19" t="s">
        <v>3523</v>
      </c>
      <c r="C627" s="19">
        <v>423130</v>
      </c>
      <c r="D627" s="19" t="s">
        <v>3523</v>
      </c>
    </row>
    <row r="628" spans="1:4" ht="25.5" x14ac:dyDescent="0.25">
      <c r="A628" s="19">
        <v>423140</v>
      </c>
      <c r="B628" s="19" t="s">
        <v>3525</v>
      </c>
      <c r="C628" s="19">
        <v>423140</v>
      </c>
      <c r="D628" s="19" t="s">
        <v>3525</v>
      </c>
    </row>
    <row r="629" spans="1:4" x14ac:dyDescent="0.25">
      <c r="A629" s="19">
        <v>423210</v>
      </c>
      <c r="B629" s="19" t="s">
        <v>3527</v>
      </c>
      <c r="C629" s="19">
        <v>423210</v>
      </c>
      <c r="D629" s="19" t="s">
        <v>3527</v>
      </c>
    </row>
    <row r="630" spans="1:4" x14ac:dyDescent="0.25">
      <c r="A630" s="19">
        <v>423220</v>
      </c>
      <c r="B630" s="19" t="s">
        <v>3529</v>
      </c>
      <c r="C630" s="19">
        <v>423220</v>
      </c>
      <c r="D630" s="19" t="s">
        <v>3529</v>
      </c>
    </row>
    <row r="631" spans="1:4" ht="25.5" x14ac:dyDescent="0.25">
      <c r="A631" s="19">
        <v>423310</v>
      </c>
      <c r="B631" s="19" t="s">
        <v>3531</v>
      </c>
      <c r="C631" s="19">
        <v>423310</v>
      </c>
      <c r="D631" s="19" t="s">
        <v>3531</v>
      </c>
    </row>
    <row r="632" spans="1:4" ht="25.5" x14ac:dyDescent="0.25">
      <c r="A632" s="19">
        <v>423320</v>
      </c>
      <c r="B632" s="19" t="s">
        <v>3533</v>
      </c>
      <c r="C632" s="19">
        <v>423320</v>
      </c>
      <c r="D632" s="19" t="s">
        <v>3533</v>
      </c>
    </row>
    <row r="633" spans="1:4" ht="25.5" x14ac:dyDescent="0.25">
      <c r="A633" s="19">
        <v>423330</v>
      </c>
      <c r="B633" s="19" t="s">
        <v>3535</v>
      </c>
      <c r="C633" s="19">
        <v>423330</v>
      </c>
      <c r="D633" s="19" t="s">
        <v>3535</v>
      </c>
    </row>
    <row r="634" spans="1:4" ht="25.5" x14ac:dyDescent="0.25">
      <c r="A634" s="19">
        <v>423390</v>
      </c>
      <c r="B634" s="19" t="s">
        <v>3537</v>
      </c>
      <c r="C634" s="19">
        <v>423390</v>
      </c>
      <c r="D634" s="19" t="s">
        <v>3537</v>
      </c>
    </row>
    <row r="635" spans="1:4" ht="25.5" x14ac:dyDescent="0.25">
      <c r="A635" s="19">
        <v>423410</v>
      </c>
      <c r="B635" s="19" t="s">
        <v>3539</v>
      </c>
      <c r="C635" s="19">
        <v>423410</v>
      </c>
      <c r="D635" s="19" t="s">
        <v>3539</v>
      </c>
    </row>
    <row r="636" spans="1:4" x14ac:dyDescent="0.25">
      <c r="A636" s="19">
        <v>423420</v>
      </c>
      <c r="B636" s="19" t="s">
        <v>3541</v>
      </c>
      <c r="C636" s="19">
        <v>423420</v>
      </c>
      <c r="D636" s="19" t="s">
        <v>3541</v>
      </c>
    </row>
    <row r="637" spans="1:4" ht="38.25" x14ac:dyDescent="0.25">
      <c r="A637" s="19">
        <v>423430</v>
      </c>
      <c r="B637" s="19" t="s">
        <v>3543</v>
      </c>
      <c r="C637" s="19">
        <v>423430</v>
      </c>
      <c r="D637" s="19" t="s">
        <v>3543</v>
      </c>
    </row>
    <row r="638" spans="1:4" ht="25.5" x14ac:dyDescent="0.25">
      <c r="A638" s="19">
        <v>423440</v>
      </c>
      <c r="B638" s="19" t="s">
        <v>3545</v>
      </c>
      <c r="C638" s="19">
        <v>423440</v>
      </c>
      <c r="D638" s="19" t="s">
        <v>3545</v>
      </c>
    </row>
    <row r="639" spans="1:4" ht="38.25" x14ac:dyDescent="0.25">
      <c r="A639" s="19">
        <v>423450</v>
      </c>
      <c r="B639" s="19" t="s">
        <v>3547</v>
      </c>
      <c r="C639" s="19">
        <v>423450</v>
      </c>
      <c r="D639" s="19" t="s">
        <v>3547</v>
      </c>
    </row>
    <row r="640" spans="1:4" ht="25.5" x14ac:dyDescent="0.25">
      <c r="A640" s="19">
        <v>423460</v>
      </c>
      <c r="B640" s="19" t="s">
        <v>3549</v>
      </c>
      <c r="C640" s="19">
        <v>423460</v>
      </c>
      <c r="D640" s="19" t="s">
        <v>3549</v>
      </c>
    </row>
    <row r="641" spans="1:4" ht="25.5" x14ac:dyDescent="0.25">
      <c r="A641" s="19">
        <v>423490</v>
      </c>
      <c r="B641" s="19" t="s">
        <v>3551</v>
      </c>
      <c r="C641" s="19">
        <v>423490</v>
      </c>
      <c r="D641" s="19" t="s">
        <v>3551</v>
      </c>
    </row>
    <row r="642" spans="1:4" ht="25.5" x14ac:dyDescent="0.25">
      <c r="A642" s="19">
        <v>423510</v>
      </c>
      <c r="B642" s="19" t="s">
        <v>3553</v>
      </c>
      <c r="C642" s="19">
        <v>423510</v>
      </c>
      <c r="D642" s="19" t="s">
        <v>3553</v>
      </c>
    </row>
    <row r="643" spans="1:4" ht="25.5" x14ac:dyDescent="0.25">
      <c r="A643" s="19">
        <v>423520</v>
      </c>
      <c r="B643" s="19" t="s">
        <v>3555</v>
      </c>
      <c r="C643" s="19">
        <v>423520</v>
      </c>
      <c r="D643" s="19" t="s">
        <v>3555</v>
      </c>
    </row>
    <row r="644" spans="1:4" ht="38.25" x14ac:dyDescent="0.25">
      <c r="A644" s="19">
        <v>423610</v>
      </c>
      <c r="B644" s="19" t="s">
        <v>6082</v>
      </c>
      <c r="C644" s="19">
        <v>423610</v>
      </c>
      <c r="D644" s="19" t="s">
        <v>6082</v>
      </c>
    </row>
    <row r="645" spans="1:4" ht="38.25" x14ac:dyDescent="0.25">
      <c r="A645" s="19">
        <v>423620</v>
      </c>
      <c r="B645" s="19" t="s">
        <v>5966</v>
      </c>
      <c r="C645" s="19">
        <v>423620</v>
      </c>
      <c r="D645" s="19" t="s">
        <v>5966</v>
      </c>
    </row>
    <row r="646" spans="1:4" ht="25.5" x14ac:dyDescent="0.25">
      <c r="A646" s="19">
        <v>423690</v>
      </c>
      <c r="B646" s="19" t="s">
        <v>3561</v>
      </c>
      <c r="C646" s="19">
        <v>423690</v>
      </c>
      <c r="D646" s="19" t="s">
        <v>3561</v>
      </c>
    </row>
    <row r="647" spans="1:4" x14ac:dyDescent="0.25">
      <c r="A647" s="19">
        <v>423710</v>
      </c>
      <c r="B647" s="19" t="s">
        <v>3563</v>
      </c>
      <c r="C647" s="19">
        <v>423710</v>
      </c>
      <c r="D647" s="19" t="s">
        <v>3563</v>
      </c>
    </row>
    <row r="648" spans="1:4" ht="38.25" x14ac:dyDescent="0.25">
      <c r="A648" s="19">
        <v>423720</v>
      </c>
      <c r="B648" s="19" t="s">
        <v>3565</v>
      </c>
      <c r="C648" s="19">
        <v>423720</v>
      </c>
      <c r="D648" s="19" t="s">
        <v>3565</v>
      </c>
    </row>
    <row r="649" spans="1:4" ht="38.25" x14ac:dyDescent="0.25">
      <c r="A649" s="19">
        <v>423730</v>
      </c>
      <c r="B649" s="19" t="s">
        <v>3567</v>
      </c>
      <c r="C649" s="19">
        <v>423730</v>
      </c>
      <c r="D649" s="19" t="s">
        <v>3567</v>
      </c>
    </row>
    <row r="650" spans="1:4" ht="25.5" x14ac:dyDescent="0.25">
      <c r="A650" s="19">
        <v>423740</v>
      </c>
      <c r="B650" s="19" t="s">
        <v>3569</v>
      </c>
      <c r="C650" s="19">
        <v>423740</v>
      </c>
      <c r="D650" s="19" t="s">
        <v>3569</v>
      </c>
    </row>
    <row r="651" spans="1:4" ht="38.25" x14ac:dyDescent="0.25">
      <c r="A651" s="19">
        <v>423810</v>
      </c>
      <c r="B651" s="19" t="s">
        <v>3571</v>
      </c>
      <c r="C651" s="19">
        <v>423810</v>
      </c>
      <c r="D651" s="19" t="s">
        <v>3571</v>
      </c>
    </row>
    <row r="652" spans="1:4" ht="25.5" x14ac:dyDescent="0.25">
      <c r="A652" s="19">
        <v>423820</v>
      </c>
      <c r="B652" s="19" t="s">
        <v>3573</v>
      </c>
      <c r="C652" s="19">
        <v>423820</v>
      </c>
      <c r="D652" s="19" t="s">
        <v>3573</v>
      </c>
    </row>
    <row r="653" spans="1:4" ht="25.5" x14ac:dyDescent="0.25">
      <c r="A653" s="19">
        <v>423830</v>
      </c>
      <c r="B653" s="19" t="s">
        <v>3575</v>
      </c>
      <c r="C653" s="19">
        <v>423830</v>
      </c>
      <c r="D653" s="19" t="s">
        <v>3575</v>
      </c>
    </row>
    <row r="654" spans="1:4" ht="25.5" x14ac:dyDescent="0.25">
      <c r="A654" s="19">
        <v>423840</v>
      </c>
      <c r="B654" s="19" t="s">
        <v>3577</v>
      </c>
      <c r="C654" s="19">
        <v>423840</v>
      </c>
      <c r="D654" s="19" t="s">
        <v>3577</v>
      </c>
    </row>
    <row r="655" spans="1:4" ht="25.5" x14ac:dyDescent="0.25">
      <c r="A655" s="19">
        <v>423850</v>
      </c>
      <c r="B655" s="19" t="s">
        <v>3579</v>
      </c>
      <c r="C655" s="19">
        <v>423850</v>
      </c>
      <c r="D655" s="19" t="s">
        <v>3579</v>
      </c>
    </row>
    <row r="656" spans="1:4" ht="38.25" x14ac:dyDescent="0.25">
      <c r="A656" s="19">
        <v>423860</v>
      </c>
      <c r="B656" s="19" t="s">
        <v>3581</v>
      </c>
      <c r="C656" s="19">
        <v>423860</v>
      </c>
      <c r="D656" s="19" t="s">
        <v>3581</v>
      </c>
    </row>
    <row r="657" spans="1:4" ht="25.5" x14ac:dyDescent="0.25">
      <c r="A657" s="19">
        <v>423910</v>
      </c>
      <c r="B657" s="19" t="s">
        <v>3583</v>
      </c>
      <c r="C657" s="19">
        <v>423910</v>
      </c>
      <c r="D657" s="19" t="s">
        <v>3583</v>
      </c>
    </row>
    <row r="658" spans="1:4" ht="25.5" x14ac:dyDescent="0.25">
      <c r="A658" s="19">
        <v>423920</v>
      </c>
      <c r="B658" s="19" t="s">
        <v>3585</v>
      </c>
      <c r="C658" s="19">
        <v>423920</v>
      </c>
      <c r="D658" s="19" t="s">
        <v>3585</v>
      </c>
    </row>
    <row r="659" spans="1:4" ht="25.5" x14ac:dyDescent="0.25">
      <c r="A659" s="19">
        <v>423930</v>
      </c>
      <c r="B659" s="19" t="s">
        <v>3587</v>
      </c>
      <c r="C659" s="19">
        <v>423930</v>
      </c>
      <c r="D659" s="19" t="s">
        <v>3587</v>
      </c>
    </row>
    <row r="660" spans="1:4" ht="25.5" x14ac:dyDescent="0.25">
      <c r="A660" s="19">
        <v>423940</v>
      </c>
      <c r="B660" s="19" t="s">
        <v>3589</v>
      </c>
      <c r="C660" s="19">
        <v>423940</v>
      </c>
      <c r="D660" s="19" t="s">
        <v>3589</v>
      </c>
    </row>
    <row r="661" spans="1:4" ht="25.5" x14ac:dyDescent="0.25">
      <c r="A661" s="19">
        <v>423990</v>
      </c>
      <c r="B661" s="19" t="s">
        <v>3591</v>
      </c>
      <c r="C661" s="19">
        <v>423990</v>
      </c>
      <c r="D661" s="19" t="s">
        <v>3591</v>
      </c>
    </row>
    <row r="662" spans="1:4" ht="25.5" x14ac:dyDescent="0.25">
      <c r="A662" s="19">
        <v>424110</v>
      </c>
      <c r="B662" s="19" t="s">
        <v>3593</v>
      </c>
      <c r="C662" s="19">
        <v>424110</v>
      </c>
      <c r="D662" s="19" t="s">
        <v>3593</v>
      </c>
    </row>
    <row r="663" spans="1:4" ht="25.5" x14ac:dyDescent="0.25">
      <c r="A663" s="19">
        <v>424120</v>
      </c>
      <c r="B663" s="19" t="s">
        <v>3595</v>
      </c>
      <c r="C663" s="19">
        <v>424120</v>
      </c>
      <c r="D663" s="19" t="s">
        <v>3595</v>
      </c>
    </row>
    <row r="664" spans="1:4" ht="25.5" x14ac:dyDescent="0.25">
      <c r="A664" s="19">
        <v>424130</v>
      </c>
      <c r="B664" s="19" t="s">
        <v>3597</v>
      </c>
      <c r="C664" s="19">
        <v>424130</v>
      </c>
      <c r="D664" s="19" t="s">
        <v>3597</v>
      </c>
    </row>
    <row r="665" spans="1:4" ht="25.5" x14ac:dyDescent="0.25">
      <c r="A665" s="19">
        <v>424210</v>
      </c>
      <c r="B665" s="19" t="s">
        <v>3599</v>
      </c>
      <c r="C665" s="19">
        <v>424210</v>
      </c>
      <c r="D665" s="19" t="s">
        <v>3599</v>
      </c>
    </row>
    <row r="666" spans="1:4" ht="25.5" x14ac:dyDescent="0.25">
      <c r="A666" s="19">
        <v>424310</v>
      </c>
      <c r="B666" s="19" t="s">
        <v>3601</v>
      </c>
      <c r="C666" s="19">
        <v>424310</v>
      </c>
      <c r="D666" s="19" t="s">
        <v>3601</v>
      </c>
    </row>
    <row r="667" spans="1:4" ht="25.5" x14ac:dyDescent="0.25">
      <c r="A667" s="19">
        <v>424320</v>
      </c>
      <c r="B667" s="19" t="s">
        <v>3603</v>
      </c>
      <c r="C667" s="19">
        <v>424320</v>
      </c>
      <c r="D667" s="19" t="s">
        <v>3603</v>
      </c>
    </row>
    <row r="668" spans="1:4" ht="38.25" x14ac:dyDescent="0.25">
      <c r="A668" s="19">
        <v>424330</v>
      </c>
      <c r="B668" s="19" t="s">
        <v>3605</v>
      </c>
      <c r="C668" s="19">
        <v>424330</v>
      </c>
      <c r="D668" s="19" t="s">
        <v>3605</v>
      </c>
    </row>
    <row r="669" spans="1:4" x14ac:dyDescent="0.25">
      <c r="A669" s="19">
        <v>424340</v>
      </c>
      <c r="B669" s="19" t="s">
        <v>3607</v>
      </c>
      <c r="C669" s="19">
        <v>424340</v>
      </c>
      <c r="D669" s="19" t="s">
        <v>3607</v>
      </c>
    </row>
    <row r="670" spans="1:4" ht="25.5" x14ac:dyDescent="0.25">
      <c r="A670" s="19">
        <v>424410</v>
      </c>
      <c r="B670" s="19" t="s">
        <v>3609</v>
      </c>
      <c r="C670" s="19">
        <v>424410</v>
      </c>
      <c r="D670" s="19" t="s">
        <v>3609</v>
      </c>
    </row>
    <row r="671" spans="1:4" ht="25.5" x14ac:dyDescent="0.25">
      <c r="A671" s="19">
        <v>424420</v>
      </c>
      <c r="B671" s="19" t="s">
        <v>3611</v>
      </c>
      <c r="C671" s="19">
        <v>424420</v>
      </c>
      <c r="D671" s="19" t="s">
        <v>3611</v>
      </c>
    </row>
    <row r="672" spans="1:4" ht="25.5" x14ac:dyDescent="0.25">
      <c r="A672" s="19">
        <v>424430</v>
      </c>
      <c r="B672" s="19" t="s">
        <v>3613</v>
      </c>
      <c r="C672" s="19">
        <v>424430</v>
      </c>
      <c r="D672" s="19" t="s">
        <v>3613</v>
      </c>
    </row>
    <row r="673" spans="1:4" ht="25.5" x14ac:dyDescent="0.25">
      <c r="A673" s="19">
        <v>424440</v>
      </c>
      <c r="B673" s="19" t="s">
        <v>3615</v>
      </c>
      <c r="C673" s="19">
        <v>424440</v>
      </c>
      <c r="D673" s="19" t="s">
        <v>3615</v>
      </c>
    </row>
    <row r="674" spans="1:4" x14ac:dyDescent="0.25">
      <c r="A674" s="19">
        <v>424450</v>
      </c>
      <c r="B674" s="19" t="s">
        <v>3617</v>
      </c>
      <c r="C674" s="19">
        <v>424450</v>
      </c>
      <c r="D674" s="19" t="s">
        <v>3617</v>
      </c>
    </row>
    <row r="675" spans="1:4" x14ac:dyDescent="0.25">
      <c r="A675" s="19">
        <v>424460</v>
      </c>
      <c r="B675" s="19" t="s">
        <v>3619</v>
      </c>
      <c r="C675" s="19">
        <v>424460</v>
      </c>
      <c r="D675" s="19" t="s">
        <v>3619</v>
      </c>
    </row>
    <row r="676" spans="1:4" ht="25.5" x14ac:dyDescent="0.25">
      <c r="A676" s="19">
        <v>424470</v>
      </c>
      <c r="B676" s="19" t="s">
        <v>3621</v>
      </c>
      <c r="C676" s="19">
        <v>424470</v>
      </c>
      <c r="D676" s="19" t="s">
        <v>3621</v>
      </c>
    </row>
    <row r="677" spans="1:4" ht="25.5" x14ac:dyDescent="0.25">
      <c r="A677" s="19">
        <v>424480</v>
      </c>
      <c r="B677" s="19" t="s">
        <v>3623</v>
      </c>
      <c r="C677" s="19">
        <v>424480</v>
      </c>
      <c r="D677" s="19" t="s">
        <v>3623</v>
      </c>
    </row>
    <row r="678" spans="1:4" ht="25.5" x14ac:dyDescent="0.25">
      <c r="A678" s="19">
        <v>424490</v>
      </c>
      <c r="B678" s="19" t="s">
        <v>3625</v>
      </c>
      <c r="C678" s="19">
        <v>424490</v>
      </c>
      <c r="D678" s="19" t="s">
        <v>3625</v>
      </c>
    </row>
    <row r="679" spans="1:4" ht="25.5" x14ac:dyDescent="0.25">
      <c r="A679" s="19">
        <v>424510</v>
      </c>
      <c r="B679" s="19" t="s">
        <v>3627</v>
      </c>
      <c r="C679" s="19">
        <v>424510</v>
      </c>
      <c r="D679" s="19" t="s">
        <v>3627</v>
      </c>
    </row>
    <row r="680" spans="1:4" x14ac:dyDescent="0.25">
      <c r="A680" s="19">
        <v>424520</v>
      </c>
      <c r="B680" s="19" t="s">
        <v>3629</v>
      </c>
      <c r="C680" s="19">
        <v>424520</v>
      </c>
      <c r="D680" s="19" t="s">
        <v>3629</v>
      </c>
    </row>
    <row r="681" spans="1:4" ht="25.5" x14ac:dyDescent="0.25">
      <c r="A681" s="19">
        <v>424590</v>
      </c>
      <c r="B681" s="19" t="s">
        <v>3631</v>
      </c>
      <c r="C681" s="19">
        <v>424590</v>
      </c>
      <c r="D681" s="19" t="s">
        <v>3631</v>
      </c>
    </row>
    <row r="682" spans="1:4" ht="25.5" x14ac:dyDescent="0.25">
      <c r="A682" s="19">
        <v>424610</v>
      </c>
      <c r="B682" s="19" t="s">
        <v>3633</v>
      </c>
      <c r="C682" s="19">
        <v>424610</v>
      </c>
      <c r="D682" s="19" t="s">
        <v>3633</v>
      </c>
    </row>
    <row r="683" spans="1:4" ht="25.5" x14ac:dyDescent="0.25">
      <c r="A683" s="19">
        <v>424690</v>
      </c>
      <c r="B683" s="19" t="s">
        <v>678</v>
      </c>
      <c r="C683" s="19">
        <v>424690</v>
      </c>
      <c r="D683" s="19" t="s">
        <v>678</v>
      </c>
    </row>
    <row r="684" spans="1:4" x14ac:dyDescent="0.25">
      <c r="A684" s="19">
        <v>424710</v>
      </c>
      <c r="B684" s="19" t="s">
        <v>3635</v>
      </c>
      <c r="C684" s="19">
        <v>424710</v>
      </c>
      <c r="D684" s="19" t="s">
        <v>3635</v>
      </c>
    </row>
    <row r="685" spans="1:4" ht="38.25" x14ac:dyDescent="0.25">
      <c r="A685" s="19">
        <v>424720</v>
      </c>
      <c r="B685" s="19" t="s">
        <v>3637</v>
      </c>
      <c r="C685" s="19">
        <v>424720</v>
      </c>
      <c r="D685" s="19" t="s">
        <v>3637</v>
      </c>
    </row>
    <row r="686" spans="1:4" x14ac:dyDescent="0.25">
      <c r="A686" s="19">
        <v>424810</v>
      </c>
      <c r="B686" s="19" t="s">
        <v>3639</v>
      </c>
      <c r="C686" s="19">
        <v>424810</v>
      </c>
      <c r="D686" s="19" t="s">
        <v>3639</v>
      </c>
    </row>
    <row r="687" spans="1:4" ht="25.5" x14ac:dyDescent="0.25">
      <c r="A687" s="19">
        <v>424820</v>
      </c>
      <c r="B687" s="19" t="s">
        <v>3640</v>
      </c>
      <c r="C687" s="19">
        <v>424820</v>
      </c>
      <c r="D687" s="19" t="s">
        <v>3640</v>
      </c>
    </row>
    <row r="688" spans="1:4" x14ac:dyDescent="0.25">
      <c r="A688" s="19">
        <v>424910</v>
      </c>
      <c r="B688" s="19" t="s">
        <v>3642</v>
      </c>
      <c r="C688" s="19">
        <v>424910</v>
      </c>
      <c r="D688" s="19" t="s">
        <v>3642</v>
      </c>
    </row>
    <row r="689" spans="1:4" ht="25.5" x14ac:dyDescent="0.25">
      <c r="A689" s="19">
        <v>424920</v>
      </c>
      <c r="B689" s="19" t="s">
        <v>3644</v>
      </c>
      <c r="C689" s="19">
        <v>424920</v>
      </c>
      <c r="D689" s="19" t="s">
        <v>3644</v>
      </c>
    </row>
    <row r="690" spans="1:4" ht="25.5" x14ac:dyDescent="0.25">
      <c r="A690" s="19">
        <v>424930</v>
      </c>
      <c r="B690" s="19" t="s">
        <v>3646</v>
      </c>
      <c r="C690" s="19">
        <v>424930</v>
      </c>
      <c r="D690" s="19" t="s">
        <v>3646</v>
      </c>
    </row>
    <row r="691" spans="1:4" ht="25.5" x14ac:dyDescent="0.25">
      <c r="A691" s="19">
        <v>424940</v>
      </c>
      <c r="B691" s="19" t="s">
        <v>3648</v>
      </c>
      <c r="C691" s="19">
        <v>424940</v>
      </c>
      <c r="D691" s="19" t="s">
        <v>3648</v>
      </c>
    </row>
    <row r="692" spans="1:4" ht="25.5" x14ac:dyDescent="0.25">
      <c r="A692" s="19">
        <v>424950</v>
      </c>
      <c r="B692" s="19" t="s">
        <v>3649</v>
      </c>
      <c r="C692" s="19">
        <v>424950</v>
      </c>
      <c r="D692" s="19" t="s">
        <v>3649</v>
      </c>
    </row>
    <row r="693" spans="1:4" ht="25.5" x14ac:dyDescent="0.25">
      <c r="A693" s="19">
        <v>424990</v>
      </c>
      <c r="B693" s="19" t="s">
        <v>3650</v>
      </c>
      <c r="C693" s="19">
        <v>424990</v>
      </c>
      <c r="D693" s="19" t="s">
        <v>3650</v>
      </c>
    </row>
    <row r="694" spans="1:4" ht="25.5" x14ac:dyDescent="0.25">
      <c r="A694" s="19">
        <v>425110</v>
      </c>
      <c r="B694" s="19" t="s">
        <v>3652</v>
      </c>
      <c r="C694" s="19">
        <v>425110</v>
      </c>
      <c r="D694" s="19" t="s">
        <v>3652</v>
      </c>
    </row>
    <row r="695" spans="1:4" x14ac:dyDescent="0.25">
      <c r="A695" s="19">
        <v>425120</v>
      </c>
      <c r="B695" s="19" t="s">
        <v>3654</v>
      </c>
      <c r="C695" s="19">
        <v>425120</v>
      </c>
      <c r="D695" s="19" t="s">
        <v>3654</v>
      </c>
    </row>
    <row r="696" spans="1:4" x14ac:dyDescent="0.25">
      <c r="A696" s="19">
        <v>441110</v>
      </c>
      <c r="B696" s="19" t="s">
        <v>3655</v>
      </c>
      <c r="C696" s="19">
        <v>441110</v>
      </c>
      <c r="D696" s="19" t="s">
        <v>3655</v>
      </c>
    </row>
    <row r="697" spans="1:4" x14ac:dyDescent="0.25">
      <c r="A697" s="19">
        <v>441120</v>
      </c>
      <c r="B697" s="19" t="s">
        <v>3657</v>
      </c>
      <c r="C697" s="19">
        <v>441120</v>
      </c>
      <c r="D697" s="19" t="s">
        <v>3657</v>
      </c>
    </row>
    <row r="698" spans="1:4" x14ac:dyDescent="0.25">
      <c r="A698" s="19">
        <v>441210</v>
      </c>
      <c r="B698" s="19" t="s">
        <v>3659</v>
      </c>
      <c r="C698" s="19">
        <v>441210</v>
      </c>
      <c r="D698" s="19" t="s">
        <v>3659</v>
      </c>
    </row>
    <row r="699" spans="1:4" ht="25.5" x14ac:dyDescent="0.25">
      <c r="A699" s="19">
        <v>441221</v>
      </c>
      <c r="B699" s="19" t="s">
        <v>5077</v>
      </c>
      <c r="C699" s="19">
        <v>441221</v>
      </c>
      <c r="D699" s="19" t="s">
        <v>6083</v>
      </c>
    </row>
    <row r="700" spans="1:4" x14ac:dyDescent="0.25">
      <c r="A700" s="19">
        <v>441222</v>
      </c>
      <c r="B700" s="19" t="s">
        <v>3661</v>
      </c>
      <c r="C700" s="19">
        <v>441222</v>
      </c>
      <c r="D700" s="19" t="s">
        <v>3661</v>
      </c>
    </row>
    <row r="701" spans="1:4" x14ac:dyDescent="0.25">
      <c r="A701" s="19">
        <v>441229</v>
      </c>
      <c r="B701" s="19" t="s">
        <v>5980</v>
      </c>
      <c r="C701" s="19">
        <v>441229</v>
      </c>
      <c r="D701" s="19" t="s">
        <v>5980</v>
      </c>
    </row>
    <row r="702" spans="1:4" ht="25.5" x14ac:dyDescent="0.25">
      <c r="A702" s="19">
        <v>441310</v>
      </c>
      <c r="B702" s="19" t="s">
        <v>3664</v>
      </c>
      <c r="C702" s="19">
        <v>441310</v>
      </c>
      <c r="D702" s="19" t="s">
        <v>3664</v>
      </c>
    </row>
    <row r="703" spans="1:4" x14ac:dyDescent="0.25">
      <c r="A703" s="19">
        <v>441320</v>
      </c>
      <c r="B703" s="19" t="s">
        <v>3666</v>
      </c>
      <c r="C703" s="19">
        <v>441320</v>
      </c>
      <c r="D703" s="19" t="s">
        <v>3666</v>
      </c>
    </row>
    <row r="704" spans="1:4" x14ac:dyDescent="0.25">
      <c r="A704" s="19">
        <v>442110</v>
      </c>
      <c r="B704" s="19" t="s">
        <v>3667</v>
      </c>
      <c r="C704" s="19">
        <v>442110</v>
      </c>
      <c r="D704" s="19" t="s">
        <v>3667</v>
      </c>
    </row>
    <row r="705" spans="1:4" x14ac:dyDescent="0.25">
      <c r="A705" s="19">
        <v>442210</v>
      </c>
      <c r="B705" s="19" t="s">
        <v>3669</v>
      </c>
      <c r="C705" s="19">
        <v>442210</v>
      </c>
      <c r="D705" s="19" t="s">
        <v>3669</v>
      </c>
    </row>
    <row r="706" spans="1:4" x14ac:dyDescent="0.25">
      <c r="A706" s="19">
        <v>442291</v>
      </c>
      <c r="B706" s="19" t="s">
        <v>3671</v>
      </c>
      <c r="C706" s="19">
        <v>442291</v>
      </c>
      <c r="D706" s="19" t="s">
        <v>3671</v>
      </c>
    </row>
    <row r="707" spans="1:4" x14ac:dyDescent="0.25">
      <c r="A707" s="19">
        <v>442299</v>
      </c>
      <c r="B707" s="19" t="s">
        <v>3672</v>
      </c>
      <c r="C707" s="19">
        <v>442299</v>
      </c>
      <c r="D707" s="19" t="s">
        <v>3672</v>
      </c>
    </row>
    <row r="708" spans="1:4" x14ac:dyDescent="0.25">
      <c r="A708" s="19">
        <v>443111</v>
      </c>
      <c r="B708" s="19" t="s">
        <v>3674</v>
      </c>
      <c r="C708" s="19">
        <v>443111</v>
      </c>
      <c r="D708" s="19" t="s">
        <v>3674</v>
      </c>
    </row>
    <row r="709" spans="1:4" ht="25.5" x14ac:dyDescent="0.25">
      <c r="A709" s="19">
        <v>443112</v>
      </c>
      <c r="B709" s="19" t="s">
        <v>5967</v>
      </c>
      <c r="C709" s="19">
        <v>443112</v>
      </c>
      <c r="D709" s="19" t="s">
        <v>5967</v>
      </c>
    </row>
    <row r="710" spans="1:4" x14ac:dyDescent="0.25">
      <c r="A710" s="19">
        <v>443120</v>
      </c>
      <c r="B710" s="19" t="s">
        <v>5964</v>
      </c>
      <c r="C710" s="19">
        <v>443120</v>
      </c>
      <c r="D710" s="19" t="s">
        <v>5964</v>
      </c>
    </row>
    <row r="711" spans="1:4" ht="25.5" x14ac:dyDescent="0.25">
      <c r="A711" s="19">
        <v>443130</v>
      </c>
      <c r="B711" s="19" t="s">
        <v>5983</v>
      </c>
      <c r="C711" s="19">
        <v>443130</v>
      </c>
      <c r="D711" s="19" t="s">
        <v>5983</v>
      </c>
    </row>
    <row r="712" spans="1:4" x14ac:dyDescent="0.25">
      <c r="A712" s="19">
        <v>444110</v>
      </c>
      <c r="B712" s="19" t="s">
        <v>3678</v>
      </c>
      <c r="C712" s="19">
        <v>444110</v>
      </c>
      <c r="D712" s="19" t="s">
        <v>3678</v>
      </c>
    </row>
    <row r="713" spans="1:4" x14ac:dyDescent="0.25">
      <c r="A713" s="19">
        <v>444120</v>
      </c>
      <c r="B713" s="19" t="s">
        <v>3680</v>
      </c>
      <c r="C713" s="19">
        <v>444120</v>
      </c>
      <c r="D713" s="19" t="s">
        <v>3680</v>
      </c>
    </row>
    <row r="714" spans="1:4" x14ac:dyDescent="0.25">
      <c r="A714" s="19">
        <v>444130</v>
      </c>
      <c r="B714" s="19" t="s">
        <v>3681</v>
      </c>
      <c r="C714" s="19">
        <v>444130</v>
      </c>
      <c r="D714" s="19" t="s">
        <v>3681</v>
      </c>
    </row>
    <row r="715" spans="1:4" x14ac:dyDescent="0.25">
      <c r="A715" s="19">
        <v>444190</v>
      </c>
      <c r="B715" s="19" t="s">
        <v>3683</v>
      </c>
      <c r="C715" s="19">
        <v>444190</v>
      </c>
      <c r="D715" s="19" t="s">
        <v>3683</v>
      </c>
    </row>
    <row r="716" spans="1:4" x14ac:dyDescent="0.25">
      <c r="A716" s="19">
        <v>444210</v>
      </c>
      <c r="B716" s="19" t="s">
        <v>3685</v>
      </c>
      <c r="C716" s="19">
        <v>444210</v>
      </c>
      <c r="D716" s="19" t="s">
        <v>3685</v>
      </c>
    </row>
    <row r="717" spans="1:4" ht="25.5" x14ac:dyDescent="0.25">
      <c r="A717" s="19">
        <v>444220</v>
      </c>
      <c r="B717" s="19" t="s">
        <v>3687</v>
      </c>
      <c r="C717" s="19">
        <v>444220</v>
      </c>
      <c r="D717" s="19" t="s">
        <v>3687</v>
      </c>
    </row>
    <row r="718" spans="1:4" ht="25.5" x14ac:dyDescent="0.25">
      <c r="A718" s="19">
        <v>445110</v>
      </c>
      <c r="B718" s="19" t="s">
        <v>3689</v>
      </c>
      <c r="C718" s="19">
        <v>445110</v>
      </c>
      <c r="D718" s="19" t="s">
        <v>3689</v>
      </c>
    </row>
    <row r="719" spans="1:4" x14ac:dyDescent="0.25">
      <c r="A719" s="19">
        <v>445120</v>
      </c>
      <c r="B719" s="19" t="s">
        <v>3691</v>
      </c>
      <c r="C719" s="19">
        <v>445120</v>
      </c>
      <c r="D719" s="19" t="s">
        <v>3691</v>
      </c>
    </row>
    <row r="720" spans="1:4" x14ac:dyDescent="0.25">
      <c r="A720" s="19">
        <v>445210</v>
      </c>
      <c r="B720" s="19" t="s">
        <v>3693</v>
      </c>
      <c r="C720" s="19">
        <v>445210</v>
      </c>
      <c r="D720" s="19" t="s">
        <v>3693</v>
      </c>
    </row>
    <row r="721" spans="1:4" x14ac:dyDescent="0.25">
      <c r="A721" s="19">
        <v>445220</v>
      </c>
      <c r="B721" s="19" t="s">
        <v>3695</v>
      </c>
      <c r="C721" s="19">
        <v>445220</v>
      </c>
      <c r="D721" s="19" t="s">
        <v>3695</v>
      </c>
    </row>
    <row r="722" spans="1:4" x14ac:dyDescent="0.25">
      <c r="A722" s="19">
        <v>445230</v>
      </c>
      <c r="B722" s="19" t="s">
        <v>3697</v>
      </c>
      <c r="C722" s="19">
        <v>445230</v>
      </c>
      <c r="D722" s="19" t="s">
        <v>3697</v>
      </c>
    </row>
    <row r="723" spans="1:4" x14ac:dyDescent="0.25">
      <c r="A723" s="19">
        <v>445291</v>
      </c>
      <c r="B723" s="19" t="s">
        <v>3699</v>
      </c>
      <c r="C723" s="19">
        <v>445291</v>
      </c>
      <c r="D723" s="19" t="s">
        <v>3699</v>
      </c>
    </row>
    <row r="724" spans="1:4" x14ac:dyDescent="0.25">
      <c r="A724" s="19">
        <v>445292</v>
      </c>
      <c r="B724" s="19" t="s">
        <v>3700</v>
      </c>
      <c r="C724" s="19">
        <v>445292</v>
      </c>
      <c r="D724" s="19" t="s">
        <v>3700</v>
      </c>
    </row>
    <row r="725" spans="1:4" x14ac:dyDescent="0.25">
      <c r="A725" s="19">
        <v>445299</v>
      </c>
      <c r="B725" s="19" t="s">
        <v>3702</v>
      </c>
      <c r="C725" s="19">
        <v>445299</v>
      </c>
      <c r="D725" s="19" t="s">
        <v>3702</v>
      </c>
    </row>
    <row r="726" spans="1:4" x14ac:dyDescent="0.25">
      <c r="A726" s="19">
        <v>445310</v>
      </c>
      <c r="B726" s="19" t="s">
        <v>3704</v>
      </c>
      <c r="C726" s="19">
        <v>445310</v>
      </c>
      <c r="D726" s="19" t="s">
        <v>3704</v>
      </c>
    </row>
    <row r="727" spans="1:4" x14ac:dyDescent="0.25">
      <c r="A727" s="19">
        <v>446110</v>
      </c>
      <c r="B727" s="19" t="s">
        <v>3706</v>
      </c>
      <c r="C727" s="19">
        <v>446110</v>
      </c>
      <c r="D727" s="19" t="s">
        <v>3706</v>
      </c>
    </row>
    <row r="728" spans="1:4" ht="25.5" x14ac:dyDescent="0.25">
      <c r="A728" s="19">
        <v>446120</v>
      </c>
      <c r="B728" s="19" t="s">
        <v>3708</v>
      </c>
      <c r="C728" s="19">
        <v>446120</v>
      </c>
      <c r="D728" s="19" t="s">
        <v>3708</v>
      </c>
    </row>
    <row r="729" spans="1:4" x14ac:dyDescent="0.25">
      <c r="A729" s="19">
        <v>446130</v>
      </c>
      <c r="B729" s="19" t="s">
        <v>3709</v>
      </c>
      <c r="C729" s="19">
        <v>446130</v>
      </c>
      <c r="D729" s="19" t="s">
        <v>3709</v>
      </c>
    </row>
    <row r="730" spans="1:4" x14ac:dyDescent="0.25">
      <c r="A730" s="19">
        <v>446191</v>
      </c>
      <c r="B730" s="19" t="s">
        <v>3711</v>
      </c>
      <c r="C730" s="19">
        <v>446191</v>
      </c>
      <c r="D730" s="19" t="s">
        <v>3711</v>
      </c>
    </row>
    <row r="731" spans="1:4" ht="25.5" x14ac:dyDescent="0.25">
      <c r="A731" s="19">
        <v>446199</v>
      </c>
      <c r="B731" s="19" t="s">
        <v>3713</v>
      </c>
      <c r="C731" s="19">
        <v>446199</v>
      </c>
      <c r="D731" s="19" t="s">
        <v>3713</v>
      </c>
    </row>
    <row r="732" spans="1:4" ht="25.5" x14ac:dyDescent="0.25">
      <c r="A732" s="19">
        <v>447110</v>
      </c>
      <c r="B732" s="19" t="s">
        <v>3715</v>
      </c>
      <c r="C732" s="19">
        <v>447110</v>
      </c>
      <c r="D732" s="19" t="s">
        <v>3715</v>
      </c>
    </row>
    <row r="733" spans="1:4" x14ac:dyDescent="0.25">
      <c r="A733" s="19">
        <v>447190</v>
      </c>
      <c r="B733" s="19" t="s">
        <v>3716</v>
      </c>
      <c r="C733" s="19">
        <v>447190</v>
      </c>
      <c r="D733" s="19" t="s">
        <v>3716</v>
      </c>
    </row>
    <row r="734" spans="1:4" x14ac:dyDescent="0.25">
      <c r="A734" s="19">
        <v>448110</v>
      </c>
      <c r="B734" s="19" t="s">
        <v>3718</v>
      </c>
      <c r="C734" s="19">
        <v>448110</v>
      </c>
      <c r="D734" s="19" t="s">
        <v>3718</v>
      </c>
    </row>
    <row r="735" spans="1:4" x14ac:dyDescent="0.25">
      <c r="A735" s="19">
        <v>448120</v>
      </c>
      <c r="B735" s="19" t="s">
        <v>3720</v>
      </c>
      <c r="C735" s="19">
        <v>448120</v>
      </c>
      <c r="D735" s="19" t="s">
        <v>3720</v>
      </c>
    </row>
    <row r="736" spans="1:4" x14ac:dyDescent="0.25">
      <c r="A736" s="19">
        <v>448130</v>
      </c>
      <c r="B736" s="19" t="s">
        <v>3722</v>
      </c>
      <c r="C736" s="19">
        <v>448130</v>
      </c>
      <c r="D736" s="19" t="s">
        <v>3722</v>
      </c>
    </row>
    <row r="737" spans="1:4" x14ac:dyDescent="0.25">
      <c r="A737" s="19">
        <v>448140</v>
      </c>
      <c r="B737" s="19" t="s">
        <v>3724</v>
      </c>
      <c r="C737" s="19">
        <v>448140</v>
      </c>
      <c r="D737" s="19" t="s">
        <v>3724</v>
      </c>
    </row>
    <row r="738" spans="1:4" x14ac:dyDescent="0.25">
      <c r="A738" s="19">
        <v>448150</v>
      </c>
      <c r="B738" s="19" t="s">
        <v>3726</v>
      </c>
      <c r="C738" s="19">
        <v>448150</v>
      </c>
      <c r="D738" s="19" t="s">
        <v>3726</v>
      </c>
    </row>
    <row r="739" spans="1:4" x14ac:dyDescent="0.25">
      <c r="A739" s="19">
        <v>448190</v>
      </c>
      <c r="B739" s="19" t="s">
        <v>3728</v>
      </c>
      <c r="C739" s="19">
        <v>448190</v>
      </c>
      <c r="D739" s="19" t="s">
        <v>3728</v>
      </c>
    </row>
    <row r="740" spans="1:4" x14ac:dyDescent="0.25">
      <c r="A740" s="19">
        <v>448210</v>
      </c>
      <c r="B740" s="19" t="s">
        <v>3730</v>
      </c>
      <c r="C740" s="19">
        <v>448210</v>
      </c>
      <c r="D740" s="19" t="s">
        <v>3730</v>
      </c>
    </row>
    <row r="741" spans="1:4" x14ac:dyDescent="0.25">
      <c r="A741" s="19">
        <v>448310</v>
      </c>
      <c r="B741" s="19" t="s">
        <v>3732</v>
      </c>
      <c r="C741" s="19">
        <v>448310</v>
      </c>
      <c r="D741" s="19" t="s">
        <v>3732</v>
      </c>
    </row>
    <row r="742" spans="1:4" x14ac:dyDescent="0.25">
      <c r="A742" s="19">
        <v>448320</v>
      </c>
      <c r="B742" s="19" t="s">
        <v>3734</v>
      </c>
      <c r="C742" s="19">
        <v>448320</v>
      </c>
      <c r="D742" s="19" t="s">
        <v>3734</v>
      </c>
    </row>
    <row r="743" spans="1:4" x14ac:dyDescent="0.25">
      <c r="A743" s="19">
        <v>451110</v>
      </c>
      <c r="B743" s="19" t="s">
        <v>3736</v>
      </c>
      <c r="C743" s="19">
        <v>451110</v>
      </c>
      <c r="D743" s="19" t="s">
        <v>3736</v>
      </c>
    </row>
    <row r="744" spans="1:4" x14ac:dyDescent="0.25">
      <c r="A744" s="19">
        <v>451120</v>
      </c>
      <c r="B744" s="19" t="s">
        <v>3738</v>
      </c>
      <c r="C744" s="19">
        <v>451120</v>
      </c>
      <c r="D744" s="19" t="s">
        <v>3738</v>
      </c>
    </row>
    <row r="745" spans="1:4" ht="25.5" x14ac:dyDescent="0.25">
      <c r="A745" s="19">
        <v>451130</v>
      </c>
      <c r="B745" s="19" t="s">
        <v>3740</v>
      </c>
      <c r="C745" s="19">
        <v>451130</v>
      </c>
      <c r="D745" s="19" t="s">
        <v>3740</v>
      </c>
    </row>
    <row r="746" spans="1:4" x14ac:dyDescent="0.25">
      <c r="A746" s="19">
        <v>451140</v>
      </c>
      <c r="B746" s="19" t="s">
        <v>3742</v>
      </c>
      <c r="C746" s="19">
        <v>451140</v>
      </c>
      <c r="D746" s="19" t="s">
        <v>3742</v>
      </c>
    </row>
    <row r="747" spans="1:4" x14ac:dyDescent="0.25">
      <c r="A747" s="19">
        <v>451211</v>
      </c>
      <c r="B747" s="19" t="s">
        <v>3744</v>
      </c>
      <c r="C747" s="19">
        <v>451211</v>
      </c>
      <c r="D747" s="19" t="s">
        <v>3744</v>
      </c>
    </row>
    <row r="748" spans="1:4" x14ac:dyDescent="0.25">
      <c r="A748" s="19">
        <v>451212</v>
      </c>
      <c r="B748" s="19" t="s">
        <v>3746</v>
      </c>
      <c r="C748" s="19">
        <v>451212</v>
      </c>
      <c r="D748" s="19" t="s">
        <v>3746</v>
      </c>
    </row>
    <row r="749" spans="1:4" ht="25.5" x14ac:dyDescent="0.25">
      <c r="A749" s="19">
        <v>451220</v>
      </c>
      <c r="B749" s="19" t="s">
        <v>5970</v>
      </c>
      <c r="C749" s="19">
        <v>451220</v>
      </c>
      <c r="D749" s="19" t="s">
        <v>5970</v>
      </c>
    </row>
    <row r="750" spans="1:4" ht="25.5" x14ac:dyDescent="0.25">
      <c r="A750" s="19">
        <v>452111</v>
      </c>
      <c r="B750" s="19" t="s">
        <v>5977</v>
      </c>
      <c r="C750" s="19">
        <v>452111</v>
      </c>
      <c r="D750" s="19" t="s">
        <v>5977</v>
      </c>
    </row>
    <row r="751" spans="1:4" x14ac:dyDescent="0.25">
      <c r="A751" s="19">
        <v>452112</v>
      </c>
      <c r="B751" s="19" t="s">
        <v>5978</v>
      </c>
      <c r="C751" s="19">
        <v>452112</v>
      </c>
      <c r="D751" s="19" t="s">
        <v>5978</v>
      </c>
    </row>
    <row r="752" spans="1:4" x14ac:dyDescent="0.25">
      <c r="A752" s="19">
        <v>452910</v>
      </c>
      <c r="B752" s="19" t="s">
        <v>3750</v>
      </c>
      <c r="C752" s="19">
        <v>452910</v>
      </c>
      <c r="D752" s="19" t="s">
        <v>3750</v>
      </c>
    </row>
    <row r="753" spans="1:4" x14ac:dyDescent="0.25">
      <c r="A753" s="19">
        <v>452990</v>
      </c>
      <c r="B753" s="19" t="s">
        <v>3752</v>
      </c>
      <c r="C753" s="19">
        <v>452990</v>
      </c>
      <c r="D753" s="19" t="s">
        <v>3752</v>
      </c>
    </row>
    <row r="754" spans="1:4" x14ac:dyDescent="0.25">
      <c r="A754" s="19">
        <v>453110</v>
      </c>
      <c r="B754" s="19" t="s">
        <v>3754</v>
      </c>
      <c r="C754" s="19">
        <v>453110</v>
      </c>
      <c r="D754" s="19" t="s">
        <v>3754</v>
      </c>
    </row>
    <row r="755" spans="1:4" x14ac:dyDescent="0.25">
      <c r="A755" s="19">
        <v>453210</v>
      </c>
      <c r="B755" s="19" t="s">
        <v>3756</v>
      </c>
      <c r="C755" s="19">
        <v>453210</v>
      </c>
      <c r="D755" s="19" t="s">
        <v>3756</v>
      </c>
    </row>
    <row r="756" spans="1:4" x14ac:dyDescent="0.25">
      <c r="A756" s="19">
        <v>453220</v>
      </c>
      <c r="B756" s="19" t="s">
        <v>3758</v>
      </c>
      <c r="C756" s="19">
        <v>453220</v>
      </c>
      <c r="D756" s="19" t="s">
        <v>3758</v>
      </c>
    </row>
    <row r="757" spans="1:4" x14ac:dyDescent="0.25">
      <c r="A757" s="19">
        <v>453310</v>
      </c>
      <c r="B757" s="19" t="s">
        <v>3760</v>
      </c>
      <c r="C757" s="19">
        <v>453310</v>
      </c>
      <c r="D757" s="19" t="s">
        <v>3760</v>
      </c>
    </row>
    <row r="758" spans="1:4" x14ac:dyDescent="0.25">
      <c r="A758" s="19">
        <v>453910</v>
      </c>
      <c r="B758" s="19" t="s">
        <v>3762</v>
      </c>
      <c r="C758" s="19">
        <v>453910</v>
      </c>
      <c r="D758" s="19" t="s">
        <v>3762</v>
      </c>
    </row>
    <row r="759" spans="1:4" x14ac:dyDescent="0.25">
      <c r="A759" s="19">
        <v>453920</v>
      </c>
      <c r="B759" s="19" t="s">
        <v>3764</v>
      </c>
      <c r="C759" s="19">
        <v>453920</v>
      </c>
      <c r="D759" s="19" t="s">
        <v>3764</v>
      </c>
    </row>
    <row r="760" spans="1:4" x14ac:dyDescent="0.25">
      <c r="A760" s="19">
        <v>453930</v>
      </c>
      <c r="B760" s="19" t="s">
        <v>3766</v>
      </c>
      <c r="C760" s="19">
        <v>453930</v>
      </c>
      <c r="D760" s="19" t="s">
        <v>3766</v>
      </c>
    </row>
    <row r="761" spans="1:4" x14ac:dyDescent="0.25">
      <c r="A761" s="19">
        <v>453991</v>
      </c>
      <c r="B761" s="19" t="s">
        <v>3768</v>
      </c>
      <c r="C761" s="19">
        <v>453991</v>
      </c>
      <c r="D761" s="19" t="s">
        <v>3768</v>
      </c>
    </row>
    <row r="762" spans="1:4" ht="25.5" x14ac:dyDescent="0.25">
      <c r="A762" s="19">
        <v>453998</v>
      </c>
      <c r="B762" s="19" t="s">
        <v>5969</v>
      </c>
      <c r="C762" s="19">
        <v>453998</v>
      </c>
      <c r="D762" s="19" t="s">
        <v>5969</v>
      </c>
    </row>
    <row r="763" spans="1:4" x14ac:dyDescent="0.25">
      <c r="A763" s="19">
        <v>454111</v>
      </c>
      <c r="B763" s="19" t="s">
        <v>5984</v>
      </c>
      <c r="C763" s="19">
        <v>454111</v>
      </c>
      <c r="D763" s="19" t="s">
        <v>5984</v>
      </c>
    </row>
    <row r="764" spans="1:4" x14ac:dyDescent="0.25">
      <c r="A764" s="19">
        <v>454112</v>
      </c>
      <c r="B764" s="19" t="s">
        <v>5985</v>
      </c>
      <c r="C764" s="19">
        <v>454112</v>
      </c>
      <c r="D764" s="19" t="s">
        <v>5985</v>
      </c>
    </row>
    <row r="765" spans="1:4" x14ac:dyDescent="0.25">
      <c r="A765" s="19">
        <v>454113</v>
      </c>
      <c r="B765" s="19" t="s">
        <v>5986</v>
      </c>
      <c r="C765" s="19">
        <v>454113</v>
      </c>
      <c r="D765" s="19" t="s">
        <v>5986</v>
      </c>
    </row>
    <row r="766" spans="1:4" x14ac:dyDescent="0.25">
      <c r="A766" s="19">
        <v>454210</v>
      </c>
      <c r="B766" s="19" t="s">
        <v>3819</v>
      </c>
      <c r="C766" s="19">
        <v>454210</v>
      </c>
      <c r="D766" s="19" t="s">
        <v>3819</v>
      </c>
    </row>
    <row r="767" spans="1:4" x14ac:dyDescent="0.25">
      <c r="A767" s="19">
        <v>454311</v>
      </c>
      <c r="B767" s="19" t="s">
        <v>5975</v>
      </c>
      <c r="C767" s="19">
        <v>454311</v>
      </c>
      <c r="D767" s="19" t="s">
        <v>5975</v>
      </c>
    </row>
    <row r="768" spans="1:4" ht="25.5" x14ac:dyDescent="0.25">
      <c r="A768" s="19">
        <v>454312</v>
      </c>
      <c r="B768" s="19" t="s">
        <v>5129</v>
      </c>
      <c r="C768" s="19">
        <v>454312</v>
      </c>
      <c r="D768" s="19" t="s">
        <v>5129</v>
      </c>
    </row>
    <row r="769" spans="1:4" x14ac:dyDescent="0.25">
      <c r="A769" s="19">
        <v>454319</v>
      </c>
      <c r="B769" s="19" t="s">
        <v>5987</v>
      </c>
      <c r="C769" s="19">
        <v>454319</v>
      </c>
      <c r="D769" s="19" t="s">
        <v>5987</v>
      </c>
    </row>
    <row r="770" spans="1:4" x14ac:dyDescent="0.25">
      <c r="A770" s="19">
        <v>454390</v>
      </c>
      <c r="B770" s="19" t="s">
        <v>3823</v>
      </c>
      <c r="C770" s="19">
        <v>454390</v>
      </c>
      <c r="D770" s="19" t="s">
        <v>3823</v>
      </c>
    </row>
    <row r="771" spans="1:4" x14ac:dyDescent="0.25">
      <c r="A771" s="19">
        <v>481111</v>
      </c>
      <c r="B771" s="19" t="s">
        <v>3862</v>
      </c>
      <c r="C771" s="19">
        <v>481111</v>
      </c>
      <c r="D771" s="19" t="s">
        <v>3862</v>
      </c>
    </row>
    <row r="772" spans="1:4" x14ac:dyDescent="0.25">
      <c r="A772" s="19">
        <v>481112</v>
      </c>
      <c r="B772" s="19" t="s">
        <v>3864</v>
      </c>
      <c r="C772" s="19">
        <v>481112</v>
      </c>
      <c r="D772" s="19" t="s">
        <v>3864</v>
      </c>
    </row>
    <row r="773" spans="1:4" ht="25.5" x14ac:dyDescent="0.25">
      <c r="A773" s="19">
        <v>481211</v>
      </c>
      <c r="B773" s="19" t="s">
        <v>3866</v>
      </c>
      <c r="C773" s="19">
        <v>481211</v>
      </c>
      <c r="D773" s="19" t="s">
        <v>3866</v>
      </c>
    </row>
    <row r="774" spans="1:4" ht="25.5" x14ac:dyDescent="0.25">
      <c r="A774" s="19">
        <v>481212</v>
      </c>
      <c r="B774" s="19" t="s">
        <v>3868</v>
      </c>
      <c r="C774" s="19">
        <v>481212</v>
      </c>
      <c r="D774" s="19" t="s">
        <v>3868</v>
      </c>
    </row>
    <row r="775" spans="1:4" x14ac:dyDescent="0.25">
      <c r="A775" s="19">
        <v>481219</v>
      </c>
      <c r="B775" s="19" t="s">
        <v>3870</v>
      </c>
      <c r="C775" s="19">
        <v>481219</v>
      </c>
      <c r="D775" s="19" t="s">
        <v>3870</v>
      </c>
    </row>
    <row r="776" spans="1:4" x14ac:dyDescent="0.25">
      <c r="A776" s="19">
        <v>482111</v>
      </c>
      <c r="B776" s="19" t="s">
        <v>3872</v>
      </c>
      <c r="C776" s="19">
        <v>482111</v>
      </c>
      <c r="D776" s="19" t="s">
        <v>3872</v>
      </c>
    </row>
    <row r="777" spans="1:4" x14ac:dyDescent="0.25">
      <c r="A777" s="19">
        <v>482112</v>
      </c>
      <c r="B777" s="19" t="s">
        <v>3874</v>
      </c>
      <c r="C777" s="19">
        <v>482112</v>
      </c>
      <c r="D777" s="19" t="s">
        <v>3874</v>
      </c>
    </row>
    <row r="778" spans="1:4" x14ac:dyDescent="0.25">
      <c r="A778" s="19">
        <v>483111</v>
      </c>
      <c r="B778" s="19" t="s">
        <v>3875</v>
      </c>
      <c r="C778" s="19">
        <v>483111</v>
      </c>
      <c r="D778" s="19" t="s">
        <v>3875</v>
      </c>
    </row>
    <row r="779" spans="1:4" x14ac:dyDescent="0.25">
      <c r="A779" s="19">
        <v>483112</v>
      </c>
      <c r="B779" s="19" t="s">
        <v>3877</v>
      </c>
      <c r="C779" s="19">
        <v>483112</v>
      </c>
      <c r="D779" s="19" t="s">
        <v>3877</v>
      </c>
    </row>
    <row r="780" spans="1:4" ht="25.5" x14ac:dyDescent="0.25">
      <c r="A780" s="19">
        <v>483113</v>
      </c>
      <c r="B780" s="19" t="s">
        <v>3879</v>
      </c>
      <c r="C780" s="19">
        <v>483113</v>
      </c>
      <c r="D780" s="19" t="s">
        <v>3879</v>
      </c>
    </row>
    <row r="781" spans="1:4" ht="25.5" x14ac:dyDescent="0.25">
      <c r="A781" s="19">
        <v>483114</v>
      </c>
      <c r="B781" s="19" t="s">
        <v>3881</v>
      </c>
      <c r="C781" s="19">
        <v>483114</v>
      </c>
      <c r="D781" s="19" t="s">
        <v>3881</v>
      </c>
    </row>
    <row r="782" spans="1:4" x14ac:dyDescent="0.25">
      <c r="A782" s="19">
        <v>483211</v>
      </c>
      <c r="B782" s="19" t="s">
        <v>3883</v>
      </c>
      <c r="C782" s="19">
        <v>483211</v>
      </c>
      <c r="D782" s="19" t="s">
        <v>3883</v>
      </c>
    </row>
    <row r="783" spans="1:4" x14ac:dyDescent="0.25">
      <c r="A783" s="19">
        <v>483212</v>
      </c>
      <c r="B783" s="19" t="s">
        <v>3885</v>
      </c>
      <c r="C783" s="19">
        <v>483212</v>
      </c>
      <c r="D783" s="19" t="s">
        <v>3885</v>
      </c>
    </row>
    <row r="784" spans="1:4" x14ac:dyDescent="0.25">
      <c r="A784" s="19">
        <v>484110</v>
      </c>
      <c r="B784" s="19" t="s">
        <v>3887</v>
      </c>
      <c r="C784" s="19">
        <v>484110</v>
      </c>
      <c r="D784" s="19" t="s">
        <v>3887</v>
      </c>
    </row>
    <row r="785" spans="1:4" ht="25.5" x14ac:dyDescent="0.25">
      <c r="A785" s="19">
        <v>484121</v>
      </c>
      <c r="B785" s="19" t="s">
        <v>3889</v>
      </c>
      <c r="C785" s="19">
        <v>484121</v>
      </c>
      <c r="D785" s="19" t="s">
        <v>3889</v>
      </c>
    </row>
    <row r="786" spans="1:4" ht="25.5" x14ac:dyDescent="0.25">
      <c r="A786" s="19">
        <v>484122</v>
      </c>
      <c r="B786" s="19" t="s">
        <v>3891</v>
      </c>
      <c r="C786" s="19">
        <v>484122</v>
      </c>
      <c r="D786" s="19" t="s">
        <v>3891</v>
      </c>
    </row>
    <row r="787" spans="1:4" ht="25.5" x14ac:dyDescent="0.25">
      <c r="A787" s="19">
        <v>484210</v>
      </c>
      <c r="B787" s="19" t="s">
        <v>3893</v>
      </c>
      <c r="C787" s="19">
        <v>484210</v>
      </c>
      <c r="D787" s="19" t="s">
        <v>3893</v>
      </c>
    </row>
    <row r="788" spans="1:4" ht="25.5" x14ac:dyDescent="0.25">
      <c r="A788" s="19">
        <v>484220</v>
      </c>
      <c r="B788" s="19" t="s">
        <v>3895</v>
      </c>
      <c r="C788" s="19">
        <v>484220</v>
      </c>
      <c r="D788" s="19" t="s">
        <v>3895</v>
      </c>
    </row>
    <row r="789" spans="1:4" ht="25.5" x14ac:dyDescent="0.25">
      <c r="A789" s="19">
        <v>484230</v>
      </c>
      <c r="B789" s="19" t="s">
        <v>3897</v>
      </c>
      <c r="C789" s="19">
        <v>484230</v>
      </c>
      <c r="D789" s="19" t="s">
        <v>3897</v>
      </c>
    </row>
    <row r="790" spans="1:4" x14ac:dyDescent="0.25">
      <c r="A790" s="19">
        <v>485111</v>
      </c>
      <c r="B790" s="19" t="s">
        <v>3899</v>
      </c>
      <c r="C790" s="19">
        <v>485111</v>
      </c>
      <c r="D790" s="19" t="s">
        <v>3899</v>
      </c>
    </row>
    <row r="791" spans="1:4" x14ac:dyDescent="0.25">
      <c r="A791" s="19">
        <v>485112</v>
      </c>
      <c r="B791" s="19" t="s">
        <v>3901</v>
      </c>
      <c r="C791" s="19">
        <v>485112</v>
      </c>
      <c r="D791" s="19" t="s">
        <v>3901</v>
      </c>
    </row>
    <row r="792" spans="1:4" ht="25.5" x14ac:dyDescent="0.25">
      <c r="A792" s="19">
        <v>485113</v>
      </c>
      <c r="B792" s="19" t="s">
        <v>3903</v>
      </c>
      <c r="C792" s="19">
        <v>485113</v>
      </c>
      <c r="D792" s="19" t="s">
        <v>3903</v>
      </c>
    </row>
    <row r="793" spans="1:4" x14ac:dyDescent="0.25">
      <c r="A793" s="19">
        <v>485119</v>
      </c>
      <c r="B793" s="19" t="s">
        <v>3905</v>
      </c>
      <c r="C793" s="19">
        <v>485119</v>
      </c>
      <c r="D793" s="19" t="s">
        <v>3905</v>
      </c>
    </row>
    <row r="794" spans="1:4" x14ac:dyDescent="0.25">
      <c r="A794" s="19">
        <v>485210</v>
      </c>
      <c r="B794" s="19" t="s">
        <v>3907</v>
      </c>
      <c r="C794" s="19">
        <v>485210</v>
      </c>
      <c r="D794" s="19" t="s">
        <v>3907</v>
      </c>
    </row>
    <row r="795" spans="1:4" x14ac:dyDescent="0.25">
      <c r="A795" s="19">
        <v>485310</v>
      </c>
      <c r="B795" s="19" t="s">
        <v>3909</v>
      </c>
      <c r="C795" s="19">
        <v>485310</v>
      </c>
      <c r="D795" s="19" t="s">
        <v>3909</v>
      </c>
    </row>
    <row r="796" spans="1:4" x14ac:dyDescent="0.25">
      <c r="A796" s="19">
        <v>485320</v>
      </c>
      <c r="B796" s="19" t="s">
        <v>3911</v>
      </c>
      <c r="C796" s="19">
        <v>485320</v>
      </c>
      <c r="D796" s="19" t="s">
        <v>3911</v>
      </c>
    </row>
    <row r="797" spans="1:4" ht="25.5" x14ac:dyDescent="0.25">
      <c r="A797" s="19">
        <v>485410</v>
      </c>
      <c r="B797" s="19" t="s">
        <v>3913</v>
      </c>
      <c r="C797" s="19">
        <v>485410</v>
      </c>
      <c r="D797" s="19" t="s">
        <v>3913</v>
      </c>
    </row>
    <row r="798" spans="1:4" x14ac:dyDescent="0.25">
      <c r="A798" s="19">
        <v>485510</v>
      </c>
      <c r="B798" s="19" t="s">
        <v>3915</v>
      </c>
      <c r="C798" s="19">
        <v>485510</v>
      </c>
      <c r="D798" s="19" t="s">
        <v>3915</v>
      </c>
    </row>
    <row r="799" spans="1:4" x14ac:dyDescent="0.25">
      <c r="A799" s="19">
        <v>485991</v>
      </c>
      <c r="B799" s="19" t="s">
        <v>3917</v>
      </c>
      <c r="C799" s="19">
        <v>485991</v>
      </c>
      <c r="D799" s="19" t="s">
        <v>3917</v>
      </c>
    </row>
    <row r="800" spans="1:4" ht="25.5" x14ac:dyDescent="0.25">
      <c r="A800" s="19">
        <v>485999</v>
      </c>
      <c r="B800" s="19" t="s">
        <v>3919</v>
      </c>
      <c r="C800" s="19">
        <v>485999</v>
      </c>
      <c r="D800" s="19" t="s">
        <v>3919</v>
      </c>
    </row>
    <row r="801" spans="1:4" x14ac:dyDescent="0.25">
      <c r="A801" s="19">
        <v>486110</v>
      </c>
      <c r="B801" s="19" t="s">
        <v>3921</v>
      </c>
      <c r="C801" s="19">
        <v>486110</v>
      </c>
      <c r="D801" s="19" t="s">
        <v>3921</v>
      </c>
    </row>
    <row r="802" spans="1:4" x14ac:dyDescent="0.25">
      <c r="A802" s="19">
        <v>486210</v>
      </c>
      <c r="B802" s="19" t="s">
        <v>3923</v>
      </c>
      <c r="C802" s="19">
        <v>486210</v>
      </c>
      <c r="D802" s="19" t="s">
        <v>3923</v>
      </c>
    </row>
    <row r="803" spans="1:4" ht="25.5" x14ac:dyDescent="0.25">
      <c r="A803" s="19">
        <v>486910</v>
      </c>
      <c r="B803" s="19" t="s">
        <v>3925</v>
      </c>
      <c r="C803" s="19">
        <v>486910</v>
      </c>
      <c r="D803" s="19" t="s">
        <v>3925</v>
      </c>
    </row>
    <row r="804" spans="1:4" x14ac:dyDescent="0.25">
      <c r="A804" s="19">
        <v>486990</v>
      </c>
      <c r="B804" s="19" t="s">
        <v>3927</v>
      </c>
      <c r="C804" s="19">
        <v>486990</v>
      </c>
      <c r="D804" s="19" t="s">
        <v>3927</v>
      </c>
    </row>
    <row r="805" spans="1:4" ht="25.5" x14ac:dyDescent="0.25">
      <c r="A805" s="19">
        <v>487110</v>
      </c>
      <c r="B805" s="19" t="s">
        <v>3929</v>
      </c>
      <c r="C805" s="19">
        <v>487110</v>
      </c>
      <c r="D805" s="19" t="s">
        <v>3929</v>
      </c>
    </row>
    <row r="806" spans="1:4" ht="25.5" x14ac:dyDescent="0.25">
      <c r="A806" s="19">
        <v>487210</v>
      </c>
      <c r="B806" s="19" t="s">
        <v>3931</v>
      </c>
      <c r="C806" s="19">
        <v>487210</v>
      </c>
      <c r="D806" s="19" t="s">
        <v>3931</v>
      </c>
    </row>
    <row r="807" spans="1:4" ht="25.5" x14ac:dyDescent="0.25">
      <c r="A807" s="19">
        <v>487990</v>
      </c>
      <c r="B807" s="19" t="s">
        <v>3933</v>
      </c>
      <c r="C807" s="19">
        <v>487990</v>
      </c>
      <c r="D807" s="19" t="s">
        <v>3933</v>
      </c>
    </row>
    <row r="808" spans="1:4" x14ac:dyDescent="0.25">
      <c r="A808" s="19">
        <v>488111</v>
      </c>
      <c r="B808" s="19" t="s">
        <v>3935</v>
      </c>
      <c r="C808" s="19">
        <v>488111</v>
      </c>
      <c r="D808" s="19" t="s">
        <v>3935</v>
      </c>
    </row>
    <row r="809" spans="1:4" x14ac:dyDescent="0.25">
      <c r="A809" s="19">
        <v>488119</v>
      </c>
      <c r="B809" s="19" t="s">
        <v>3937</v>
      </c>
      <c r="C809" s="19">
        <v>488119</v>
      </c>
      <c r="D809" s="19" t="s">
        <v>3937</v>
      </c>
    </row>
    <row r="810" spans="1:4" ht="25.5" x14ac:dyDescent="0.25">
      <c r="A810" s="19">
        <v>488190</v>
      </c>
      <c r="B810" s="19" t="s">
        <v>3939</v>
      </c>
      <c r="C810" s="19">
        <v>488190</v>
      </c>
      <c r="D810" s="19" t="s">
        <v>3939</v>
      </c>
    </row>
    <row r="811" spans="1:4" x14ac:dyDescent="0.25">
      <c r="A811" s="19">
        <v>488210</v>
      </c>
      <c r="B811" s="19" t="s">
        <v>3941</v>
      </c>
      <c r="C811" s="19">
        <v>488210</v>
      </c>
      <c r="D811" s="19" t="s">
        <v>3941</v>
      </c>
    </row>
    <row r="812" spans="1:4" x14ac:dyDescent="0.25">
      <c r="A812" s="19">
        <v>488310</v>
      </c>
      <c r="B812" s="19" t="s">
        <v>3943</v>
      </c>
      <c r="C812" s="19">
        <v>488310</v>
      </c>
      <c r="D812" s="19" t="s">
        <v>3943</v>
      </c>
    </row>
    <row r="813" spans="1:4" x14ac:dyDescent="0.25">
      <c r="A813" s="19">
        <v>488320</v>
      </c>
      <c r="B813" s="19" t="s">
        <v>3945</v>
      </c>
      <c r="C813" s="19">
        <v>488320</v>
      </c>
      <c r="D813" s="19" t="s">
        <v>3945</v>
      </c>
    </row>
    <row r="814" spans="1:4" x14ac:dyDescent="0.25">
      <c r="A814" s="19">
        <v>488330</v>
      </c>
      <c r="B814" s="19" t="s">
        <v>3947</v>
      </c>
      <c r="C814" s="19">
        <v>488330</v>
      </c>
      <c r="D814" s="19" t="s">
        <v>3947</v>
      </c>
    </row>
    <row r="815" spans="1:4" ht="25.5" x14ac:dyDescent="0.25">
      <c r="A815" s="19">
        <v>488390</v>
      </c>
      <c r="B815" s="19" t="s">
        <v>3949</v>
      </c>
      <c r="C815" s="19">
        <v>488390</v>
      </c>
      <c r="D815" s="19" t="s">
        <v>3949</v>
      </c>
    </row>
    <row r="816" spans="1:4" x14ac:dyDescent="0.25">
      <c r="A816" s="19">
        <v>488410</v>
      </c>
      <c r="B816" s="19" t="s">
        <v>3951</v>
      </c>
      <c r="C816" s="19">
        <v>488410</v>
      </c>
      <c r="D816" s="19" t="s">
        <v>3951</v>
      </c>
    </row>
    <row r="817" spans="1:4" ht="25.5" x14ac:dyDescent="0.25">
      <c r="A817" s="19">
        <v>488490</v>
      </c>
      <c r="B817" s="19" t="s">
        <v>3953</v>
      </c>
      <c r="C817" s="19">
        <v>488490</v>
      </c>
      <c r="D817" s="19" t="s">
        <v>3953</v>
      </c>
    </row>
    <row r="818" spans="1:4" x14ac:dyDescent="0.25">
      <c r="A818" s="19">
        <v>488510</v>
      </c>
      <c r="B818" s="19" t="s">
        <v>3955</v>
      </c>
      <c r="C818" s="19">
        <v>488510</v>
      </c>
      <c r="D818" s="19" t="s">
        <v>3955</v>
      </c>
    </row>
    <row r="819" spans="1:4" x14ac:dyDescent="0.25">
      <c r="A819" s="19">
        <v>488991</v>
      </c>
      <c r="B819" s="19" t="s">
        <v>3957</v>
      </c>
      <c r="C819" s="19">
        <v>488991</v>
      </c>
      <c r="D819" s="19" t="s">
        <v>3957</v>
      </c>
    </row>
    <row r="820" spans="1:4" ht="25.5" x14ac:dyDescent="0.25">
      <c r="A820" s="19">
        <v>488999</v>
      </c>
      <c r="B820" s="19" t="s">
        <v>3959</v>
      </c>
      <c r="C820" s="19">
        <v>488999</v>
      </c>
      <c r="D820" s="19" t="s">
        <v>3959</v>
      </c>
    </row>
    <row r="821" spans="1:4" x14ac:dyDescent="0.25">
      <c r="A821" s="19">
        <v>491110</v>
      </c>
      <c r="B821" s="19" t="s">
        <v>3961</v>
      </c>
      <c r="C821" s="19">
        <v>491110</v>
      </c>
      <c r="D821" s="19" t="s">
        <v>3961</v>
      </c>
    </row>
    <row r="822" spans="1:4" x14ac:dyDescent="0.25">
      <c r="A822" s="19">
        <v>492110</v>
      </c>
      <c r="B822" s="19" t="s">
        <v>5955</v>
      </c>
      <c r="C822" s="19">
        <v>492110</v>
      </c>
      <c r="D822" s="19" t="s">
        <v>3963</v>
      </c>
    </row>
    <row r="823" spans="1:4" x14ac:dyDescent="0.25">
      <c r="A823" s="19">
        <v>492210</v>
      </c>
      <c r="B823" s="19" t="s">
        <v>3965</v>
      </c>
      <c r="C823" s="19">
        <v>492210</v>
      </c>
      <c r="D823" s="19" t="s">
        <v>3965</v>
      </c>
    </row>
    <row r="824" spans="1:4" x14ac:dyDescent="0.25">
      <c r="A824" s="19">
        <v>493110</v>
      </c>
      <c r="B824" s="19" t="s">
        <v>3967</v>
      </c>
      <c r="C824" s="19">
        <v>493110</v>
      </c>
      <c r="D824" s="19" t="s">
        <v>3967</v>
      </c>
    </row>
    <row r="825" spans="1:4" x14ac:dyDescent="0.25">
      <c r="A825" s="19">
        <v>493120</v>
      </c>
      <c r="B825" s="19" t="s">
        <v>3969</v>
      </c>
      <c r="C825" s="19">
        <v>493120</v>
      </c>
      <c r="D825" s="19" t="s">
        <v>3969</v>
      </c>
    </row>
    <row r="826" spans="1:4" x14ac:dyDescent="0.25">
      <c r="A826" s="19">
        <v>493130</v>
      </c>
      <c r="B826" s="19" t="s">
        <v>3971</v>
      </c>
      <c r="C826" s="19">
        <v>493130</v>
      </c>
      <c r="D826" s="19" t="s">
        <v>3971</v>
      </c>
    </row>
    <row r="827" spans="1:4" x14ac:dyDescent="0.25">
      <c r="A827" s="19">
        <v>493190</v>
      </c>
      <c r="B827" s="19" t="s">
        <v>3973</v>
      </c>
      <c r="C827" s="19">
        <v>493190</v>
      </c>
      <c r="D827" s="19" t="s">
        <v>3973</v>
      </c>
    </row>
    <row r="828" spans="1:4" x14ac:dyDescent="0.25">
      <c r="A828" s="19">
        <v>511110</v>
      </c>
      <c r="B828" s="19" t="s">
        <v>3975</v>
      </c>
      <c r="C828" s="19">
        <v>511110</v>
      </c>
      <c r="D828" s="19" t="s">
        <v>3975</v>
      </c>
    </row>
    <row r="829" spans="1:4" x14ac:dyDescent="0.25">
      <c r="A829" s="19">
        <v>511120</v>
      </c>
      <c r="B829" s="19" t="s">
        <v>3977</v>
      </c>
      <c r="C829" s="19">
        <v>511120</v>
      </c>
      <c r="D829" s="19" t="s">
        <v>3977</v>
      </c>
    </row>
    <row r="830" spans="1:4" x14ac:dyDescent="0.25">
      <c r="A830" s="19">
        <v>511130</v>
      </c>
      <c r="B830" s="19" t="s">
        <v>3978</v>
      </c>
      <c r="C830" s="19">
        <v>511130</v>
      </c>
      <c r="D830" s="19" t="s">
        <v>3978</v>
      </c>
    </row>
    <row r="831" spans="1:4" x14ac:dyDescent="0.25">
      <c r="A831" s="19">
        <v>511140</v>
      </c>
      <c r="B831" s="19" t="s">
        <v>3980</v>
      </c>
      <c r="C831" s="19">
        <v>511140</v>
      </c>
      <c r="D831" s="19" t="s">
        <v>3980</v>
      </c>
    </row>
    <row r="832" spans="1:4" x14ac:dyDescent="0.25">
      <c r="A832" s="19">
        <v>511191</v>
      </c>
      <c r="B832" s="19" t="s">
        <v>3982</v>
      </c>
      <c r="C832" s="19">
        <v>511191</v>
      </c>
      <c r="D832" s="19" t="s">
        <v>3982</v>
      </c>
    </row>
    <row r="833" spans="1:4" x14ac:dyDescent="0.25">
      <c r="A833" s="19">
        <v>511199</v>
      </c>
      <c r="B833" s="19" t="s">
        <v>3984</v>
      </c>
      <c r="C833" s="19">
        <v>511199</v>
      </c>
      <c r="D833" s="19" t="s">
        <v>3984</v>
      </c>
    </row>
    <row r="834" spans="1:4" x14ac:dyDescent="0.25">
      <c r="A834" s="19">
        <v>511210</v>
      </c>
      <c r="B834" s="19" t="s">
        <v>3986</v>
      </c>
      <c r="C834" s="19">
        <v>511210</v>
      </c>
      <c r="D834" s="19" t="s">
        <v>3986</v>
      </c>
    </row>
    <row r="835" spans="1:4" x14ac:dyDescent="0.25">
      <c r="A835" s="19">
        <v>512110</v>
      </c>
      <c r="B835" s="19" t="s">
        <v>3988</v>
      </c>
      <c r="C835" s="19">
        <v>512110</v>
      </c>
      <c r="D835" s="19" t="s">
        <v>3988</v>
      </c>
    </row>
    <row r="836" spans="1:4" x14ac:dyDescent="0.25">
      <c r="A836" s="19">
        <v>512120</v>
      </c>
      <c r="B836" s="19" t="s">
        <v>3990</v>
      </c>
      <c r="C836" s="19">
        <v>512120</v>
      </c>
      <c r="D836" s="19" t="s">
        <v>3990</v>
      </c>
    </row>
    <row r="837" spans="1:4" ht="25.5" x14ac:dyDescent="0.25">
      <c r="A837" s="19">
        <v>512131</v>
      </c>
      <c r="B837" s="19" t="s">
        <v>3992</v>
      </c>
      <c r="C837" s="19">
        <v>512131</v>
      </c>
      <c r="D837" s="19" t="s">
        <v>3992</v>
      </c>
    </row>
    <row r="838" spans="1:4" x14ac:dyDescent="0.25">
      <c r="A838" s="19">
        <v>512132</v>
      </c>
      <c r="B838" s="19" t="s">
        <v>3993</v>
      </c>
      <c r="C838" s="19">
        <v>512132</v>
      </c>
      <c r="D838" s="19" t="s">
        <v>3993</v>
      </c>
    </row>
    <row r="839" spans="1:4" ht="25.5" x14ac:dyDescent="0.25">
      <c r="A839" s="19">
        <v>512191</v>
      </c>
      <c r="B839" s="19" t="s">
        <v>3995</v>
      </c>
      <c r="C839" s="19">
        <v>512191</v>
      </c>
      <c r="D839" s="19" t="s">
        <v>3995</v>
      </c>
    </row>
    <row r="840" spans="1:4" ht="25.5" x14ac:dyDescent="0.25">
      <c r="A840" s="19">
        <v>512199</v>
      </c>
      <c r="B840" s="19" t="s">
        <v>3997</v>
      </c>
      <c r="C840" s="19">
        <v>512199</v>
      </c>
      <c r="D840" s="19" t="s">
        <v>3997</v>
      </c>
    </row>
    <row r="841" spans="1:4" x14ac:dyDescent="0.25">
      <c r="A841" s="19">
        <v>512210</v>
      </c>
      <c r="B841" s="19" t="s">
        <v>6084</v>
      </c>
      <c r="C841" s="19">
        <v>512210</v>
      </c>
      <c r="D841" s="19" t="s">
        <v>6084</v>
      </c>
    </row>
    <row r="842" spans="1:4" ht="25.5" x14ac:dyDescent="0.25">
      <c r="A842" s="19">
        <v>512220</v>
      </c>
      <c r="B842" s="19" t="s">
        <v>5938</v>
      </c>
      <c r="C842" s="19">
        <v>512220</v>
      </c>
      <c r="D842" s="19" t="s">
        <v>5938</v>
      </c>
    </row>
    <row r="843" spans="1:4" x14ac:dyDescent="0.25">
      <c r="A843" s="19">
        <v>512230</v>
      </c>
      <c r="B843" s="19" t="s">
        <v>3999</v>
      </c>
      <c r="C843" s="19">
        <v>512230</v>
      </c>
      <c r="D843" s="19" t="s">
        <v>3999</v>
      </c>
    </row>
    <row r="844" spans="1:4" x14ac:dyDescent="0.25">
      <c r="A844" s="19">
        <v>512240</v>
      </c>
      <c r="B844" s="19" t="s">
        <v>4001</v>
      </c>
      <c r="C844" s="19">
        <v>512240</v>
      </c>
      <c r="D844" s="19" t="s">
        <v>4001</v>
      </c>
    </row>
    <row r="845" spans="1:4" x14ac:dyDescent="0.25">
      <c r="A845" s="19">
        <v>512290</v>
      </c>
      <c r="B845" s="19" t="s">
        <v>4005</v>
      </c>
      <c r="C845" s="19">
        <v>512290</v>
      </c>
      <c r="D845" s="19" t="s">
        <v>4005</v>
      </c>
    </row>
    <row r="846" spans="1:4" x14ac:dyDescent="0.25">
      <c r="A846" s="19">
        <v>515111</v>
      </c>
      <c r="B846" s="19" t="s">
        <v>4007</v>
      </c>
      <c r="C846" s="19">
        <v>515111</v>
      </c>
      <c r="D846" s="19" t="s">
        <v>4007</v>
      </c>
    </row>
    <row r="847" spans="1:4" x14ac:dyDescent="0.25">
      <c r="A847" s="19">
        <v>515112</v>
      </c>
      <c r="B847" s="19" t="s">
        <v>4009</v>
      </c>
      <c r="C847" s="19">
        <v>515112</v>
      </c>
      <c r="D847" s="19" t="s">
        <v>4009</v>
      </c>
    </row>
    <row r="848" spans="1:4" x14ac:dyDescent="0.25">
      <c r="A848" s="19">
        <v>515120</v>
      </c>
      <c r="B848" s="19" t="s">
        <v>6085</v>
      </c>
      <c r="C848" s="19">
        <v>515120</v>
      </c>
      <c r="D848" s="19" t="s">
        <v>6085</v>
      </c>
    </row>
    <row r="849" spans="1:4" ht="25.5" x14ac:dyDescent="0.25">
      <c r="A849" s="19">
        <v>515210</v>
      </c>
      <c r="B849" s="19" t="s">
        <v>4015</v>
      </c>
      <c r="C849" s="19">
        <v>515210</v>
      </c>
      <c r="D849" s="19" t="s">
        <v>4015</v>
      </c>
    </row>
    <row r="850" spans="1:4" ht="25.5" x14ac:dyDescent="0.25">
      <c r="A850" s="19">
        <v>516110</v>
      </c>
      <c r="B850" s="19" t="s">
        <v>5821</v>
      </c>
      <c r="C850" s="20">
        <v>519130</v>
      </c>
      <c r="D850" s="19" t="s">
        <v>6086</v>
      </c>
    </row>
    <row r="851" spans="1:4" x14ac:dyDescent="0.25">
      <c r="A851" s="19">
        <v>517110</v>
      </c>
      <c r="B851" s="19" t="s">
        <v>4017</v>
      </c>
      <c r="C851" s="20">
        <v>517110</v>
      </c>
      <c r="D851" s="19" t="s">
        <v>4017</v>
      </c>
    </row>
    <row r="852" spans="1:4" ht="25.5" x14ac:dyDescent="0.25">
      <c r="A852" s="19">
        <v>517211</v>
      </c>
      <c r="B852" s="19" t="s">
        <v>5957</v>
      </c>
      <c r="C852" s="20">
        <v>517210</v>
      </c>
      <c r="D852" s="19" t="s">
        <v>6087</v>
      </c>
    </row>
    <row r="853" spans="1:4" ht="25.5" x14ac:dyDescent="0.25">
      <c r="A853" s="19">
        <v>517212</v>
      </c>
      <c r="B853" s="19" t="s">
        <v>5958</v>
      </c>
      <c r="C853" s="20">
        <v>517210</v>
      </c>
      <c r="D853" s="19" t="s">
        <v>6087</v>
      </c>
    </row>
    <row r="854" spans="1:4" x14ac:dyDescent="0.25">
      <c r="A854" s="19">
        <v>517310</v>
      </c>
      <c r="B854" s="19" t="s">
        <v>5959</v>
      </c>
      <c r="C854" s="19">
        <v>517911</v>
      </c>
      <c r="D854" s="19" t="s">
        <v>5959</v>
      </c>
    </row>
    <row r="855" spans="1:4" x14ac:dyDescent="0.25">
      <c r="A855" s="19">
        <v>517410</v>
      </c>
      <c r="B855" s="19" t="s">
        <v>4023</v>
      </c>
      <c r="C855" s="19">
        <v>517410</v>
      </c>
      <c r="D855" s="19" t="s">
        <v>4023</v>
      </c>
    </row>
    <row r="856" spans="1:4" x14ac:dyDescent="0.25">
      <c r="A856" s="19">
        <v>517510</v>
      </c>
      <c r="B856" s="19" t="s">
        <v>5961</v>
      </c>
      <c r="C856" s="20">
        <v>517110</v>
      </c>
      <c r="D856" s="19" t="s">
        <v>4017</v>
      </c>
    </row>
    <row r="857" spans="1:4" x14ac:dyDescent="0.25">
      <c r="A857" s="19">
        <v>517910</v>
      </c>
      <c r="B857" s="19" t="s">
        <v>5962</v>
      </c>
      <c r="C857" s="20">
        <v>517919</v>
      </c>
      <c r="D857" s="19" t="s">
        <v>4029</v>
      </c>
    </row>
    <row r="858" spans="1:4" ht="38.25" x14ac:dyDescent="0.25">
      <c r="A858" s="21">
        <v>518111</v>
      </c>
      <c r="B858" s="19" t="s">
        <v>6088</v>
      </c>
      <c r="C858" s="20">
        <v>517110</v>
      </c>
      <c r="D858" s="19" t="s">
        <v>4017</v>
      </c>
    </row>
    <row r="859" spans="1:4" ht="51" x14ac:dyDescent="0.25">
      <c r="A859" s="21">
        <v>518111</v>
      </c>
      <c r="B859" s="19" t="s">
        <v>6089</v>
      </c>
      <c r="C859" s="20">
        <v>517919</v>
      </c>
      <c r="D859" s="19" t="s">
        <v>4029</v>
      </c>
    </row>
    <row r="860" spans="1:4" ht="25.5" x14ac:dyDescent="0.25">
      <c r="A860" s="19">
        <v>518112</v>
      </c>
      <c r="B860" s="19" t="s">
        <v>6019</v>
      </c>
      <c r="C860" s="20">
        <v>519130</v>
      </c>
      <c r="D860" s="19" t="s">
        <v>6086</v>
      </c>
    </row>
    <row r="861" spans="1:4" ht="25.5" x14ac:dyDescent="0.25">
      <c r="A861" s="19">
        <v>518210</v>
      </c>
      <c r="B861" s="19" t="s">
        <v>4031</v>
      </c>
      <c r="C861" s="19">
        <v>518210</v>
      </c>
      <c r="D861" s="19" t="s">
        <v>4031</v>
      </c>
    </row>
    <row r="862" spans="1:4" x14ac:dyDescent="0.25">
      <c r="A862" s="19">
        <v>519110</v>
      </c>
      <c r="B862" s="19" t="s">
        <v>4033</v>
      </c>
      <c r="C862" s="19">
        <v>519110</v>
      </c>
      <c r="D862" s="19" t="s">
        <v>4033</v>
      </c>
    </row>
    <row r="863" spans="1:4" x14ac:dyDescent="0.25">
      <c r="A863" s="19">
        <v>519120</v>
      </c>
      <c r="B863" s="19" t="s">
        <v>4035</v>
      </c>
      <c r="C863" s="19">
        <v>519120</v>
      </c>
      <c r="D863" s="19" t="s">
        <v>4035</v>
      </c>
    </row>
    <row r="864" spans="1:4" x14ac:dyDescent="0.25">
      <c r="A864" s="19">
        <v>519190</v>
      </c>
      <c r="B864" s="19" t="s">
        <v>4053</v>
      </c>
      <c r="C864" s="19">
        <v>519190</v>
      </c>
      <c r="D864" s="19" t="s">
        <v>4053</v>
      </c>
    </row>
    <row r="865" spans="1:4" x14ac:dyDescent="0.25">
      <c r="A865" s="19">
        <v>521110</v>
      </c>
      <c r="B865" s="19" t="s">
        <v>5988</v>
      </c>
      <c r="C865" s="19">
        <v>521110</v>
      </c>
      <c r="D865" s="19" t="s">
        <v>5988</v>
      </c>
    </row>
    <row r="866" spans="1:4" x14ac:dyDescent="0.25">
      <c r="A866" s="19">
        <v>522110</v>
      </c>
      <c r="B866" s="19" t="s">
        <v>4057</v>
      </c>
      <c r="C866" s="19">
        <v>522110</v>
      </c>
      <c r="D866" s="19" t="s">
        <v>4057</v>
      </c>
    </row>
    <row r="867" spans="1:4" x14ac:dyDescent="0.25">
      <c r="A867" s="19">
        <v>522120</v>
      </c>
      <c r="B867" s="19" t="s">
        <v>4058</v>
      </c>
      <c r="C867" s="19">
        <v>522120</v>
      </c>
      <c r="D867" s="19" t="s">
        <v>4058</v>
      </c>
    </row>
    <row r="868" spans="1:4" x14ac:dyDescent="0.25">
      <c r="A868" s="19">
        <v>522130</v>
      </c>
      <c r="B868" s="19" t="s">
        <v>4060</v>
      </c>
      <c r="C868" s="19">
        <v>522130</v>
      </c>
      <c r="D868" s="19" t="s">
        <v>4060</v>
      </c>
    </row>
    <row r="869" spans="1:4" x14ac:dyDescent="0.25">
      <c r="A869" s="19">
        <v>522190</v>
      </c>
      <c r="B869" s="19" t="s">
        <v>4062</v>
      </c>
      <c r="C869" s="19">
        <v>522190</v>
      </c>
      <c r="D869" s="19" t="s">
        <v>4062</v>
      </c>
    </row>
    <row r="870" spans="1:4" x14ac:dyDescent="0.25">
      <c r="A870" s="19">
        <v>522210</v>
      </c>
      <c r="B870" s="19" t="s">
        <v>4064</v>
      </c>
      <c r="C870" s="19">
        <v>522210</v>
      </c>
      <c r="D870" s="19" t="s">
        <v>4064</v>
      </c>
    </row>
    <row r="871" spans="1:4" x14ac:dyDescent="0.25">
      <c r="A871" s="19">
        <v>522220</v>
      </c>
      <c r="B871" s="19" t="s">
        <v>4066</v>
      </c>
      <c r="C871" s="19">
        <v>522220</v>
      </c>
      <c r="D871" s="19" t="s">
        <v>4066</v>
      </c>
    </row>
    <row r="872" spans="1:4" x14ac:dyDescent="0.25">
      <c r="A872" s="19">
        <v>522291</v>
      </c>
      <c r="B872" s="19" t="s">
        <v>4068</v>
      </c>
      <c r="C872" s="19">
        <v>522291</v>
      </c>
      <c r="D872" s="19" t="s">
        <v>4068</v>
      </c>
    </row>
    <row r="873" spans="1:4" x14ac:dyDescent="0.25">
      <c r="A873" s="19">
        <v>522292</v>
      </c>
      <c r="B873" s="19" t="s">
        <v>4070</v>
      </c>
      <c r="C873" s="19">
        <v>522292</v>
      </c>
      <c r="D873" s="19" t="s">
        <v>4070</v>
      </c>
    </row>
    <row r="874" spans="1:4" x14ac:dyDescent="0.25">
      <c r="A874" s="19">
        <v>522293</v>
      </c>
      <c r="B874" s="19" t="s">
        <v>4072</v>
      </c>
      <c r="C874" s="19">
        <v>522293</v>
      </c>
      <c r="D874" s="19" t="s">
        <v>4072</v>
      </c>
    </row>
    <row r="875" spans="1:4" x14ac:dyDescent="0.25">
      <c r="A875" s="19">
        <v>522294</v>
      </c>
      <c r="B875" s="19" t="s">
        <v>4074</v>
      </c>
      <c r="C875" s="19">
        <v>522294</v>
      </c>
      <c r="D875" s="19" t="s">
        <v>4074</v>
      </c>
    </row>
    <row r="876" spans="1:4" ht="25.5" x14ac:dyDescent="0.25">
      <c r="A876" s="19">
        <v>522298</v>
      </c>
      <c r="B876" s="19" t="s">
        <v>4076</v>
      </c>
      <c r="C876" s="19">
        <v>522298</v>
      </c>
      <c r="D876" s="19" t="s">
        <v>4076</v>
      </c>
    </row>
    <row r="877" spans="1:4" ht="25.5" x14ac:dyDescent="0.25">
      <c r="A877" s="19">
        <v>522310</v>
      </c>
      <c r="B877" s="19" t="s">
        <v>4078</v>
      </c>
      <c r="C877" s="19">
        <v>522310</v>
      </c>
      <c r="D877" s="19" t="s">
        <v>4078</v>
      </c>
    </row>
    <row r="878" spans="1:4" ht="25.5" x14ac:dyDescent="0.25">
      <c r="A878" s="19">
        <v>522320</v>
      </c>
      <c r="B878" s="19" t="s">
        <v>4080</v>
      </c>
      <c r="C878" s="19">
        <v>522320</v>
      </c>
      <c r="D878" s="19" t="s">
        <v>4080</v>
      </c>
    </row>
    <row r="879" spans="1:4" ht="25.5" x14ac:dyDescent="0.25">
      <c r="A879" s="22">
        <v>522390</v>
      </c>
      <c r="B879" s="19" t="s">
        <v>4082</v>
      </c>
      <c r="C879" s="22">
        <v>522390</v>
      </c>
      <c r="D879" s="19" t="s">
        <v>4082</v>
      </c>
    </row>
    <row r="880" spans="1:4" ht="25.5" x14ac:dyDescent="0.25">
      <c r="A880" s="19">
        <v>523110</v>
      </c>
      <c r="B880" s="19" t="s">
        <v>4084</v>
      </c>
      <c r="C880" s="19">
        <v>523110</v>
      </c>
      <c r="D880" s="19" t="s">
        <v>4084</v>
      </c>
    </row>
    <row r="881" spans="1:4" x14ac:dyDescent="0.25">
      <c r="A881" s="19">
        <v>523120</v>
      </c>
      <c r="B881" s="19" t="s">
        <v>4086</v>
      </c>
      <c r="C881" s="19">
        <v>523120</v>
      </c>
      <c r="D881" s="19" t="s">
        <v>4086</v>
      </c>
    </row>
    <row r="882" spans="1:4" x14ac:dyDescent="0.25">
      <c r="A882" s="19">
        <v>523130</v>
      </c>
      <c r="B882" s="19" t="s">
        <v>4088</v>
      </c>
      <c r="C882" s="19">
        <v>523130</v>
      </c>
      <c r="D882" s="19" t="s">
        <v>4088</v>
      </c>
    </row>
    <row r="883" spans="1:4" x14ac:dyDescent="0.25">
      <c r="A883" s="19">
        <v>523140</v>
      </c>
      <c r="B883" s="19" t="s">
        <v>4090</v>
      </c>
      <c r="C883" s="19">
        <v>523140</v>
      </c>
      <c r="D883" s="19" t="s">
        <v>4090</v>
      </c>
    </row>
    <row r="884" spans="1:4" x14ac:dyDescent="0.25">
      <c r="A884" s="19">
        <v>523210</v>
      </c>
      <c r="B884" s="19" t="s">
        <v>4092</v>
      </c>
      <c r="C884" s="19">
        <v>523210</v>
      </c>
      <c r="D884" s="19" t="s">
        <v>4092</v>
      </c>
    </row>
    <row r="885" spans="1:4" x14ac:dyDescent="0.25">
      <c r="A885" s="19">
        <v>523910</v>
      </c>
      <c r="B885" s="19" t="s">
        <v>4094</v>
      </c>
      <c r="C885" s="19">
        <v>523910</v>
      </c>
      <c r="D885" s="19" t="s">
        <v>4094</v>
      </c>
    </row>
    <row r="886" spans="1:4" x14ac:dyDescent="0.25">
      <c r="A886" s="19">
        <v>523920</v>
      </c>
      <c r="B886" s="19" t="s">
        <v>4096</v>
      </c>
      <c r="C886" s="19">
        <v>523920</v>
      </c>
      <c r="D886" s="19" t="s">
        <v>4096</v>
      </c>
    </row>
    <row r="887" spans="1:4" x14ac:dyDescent="0.25">
      <c r="A887" s="19">
        <v>523930</v>
      </c>
      <c r="B887" s="19" t="s">
        <v>4097</v>
      </c>
      <c r="C887" s="19">
        <v>523930</v>
      </c>
      <c r="D887" s="19" t="s">
        <v>4097</v>
      </c>
    </row>
    <row r="888" spans="1:4" x14ac:dyDescent="0.25">
      <c r="A888" s="19">
        <v>523991</v>
      </c>
      <c r="B888" s="19" t="s">
        <v>4099</v>
      </c>
      <c r="C888" s="19">
        <v>523991</v>
      </c>
      <c r="D888" s="19" t="s">
        <v>4099</v>
      </c>
    </row>
    <row r="889" spans="1:4" ht="25.5" x14ac:dyDescent="0.25">
      <c r="A889" s="19">
        <v>523999</v>
      </c>
      <c r="B889" s="19" t="s">
        <v>4101</v>
      </c>
      <c r="C889" s="19">
        <v>523999</v>
      </c>
      <c r="D889" s="19" t="s">
        <v>4101</v>
      </c>
    </row>
    <row r="890" spans="1:4" x14ac:dyDescent="0.25">
      <c r="A890" s="19">
        <v>524113</v>
      </c>
      <c r="B890" s="19" t="s">
        <v>4103</v>
      </c>
      <c r="C890" s="19">
        <v>524113</v>
      </c>
      <c r="D890" s="19" t="s">
        <v>4103</v>
      </c>
    </row>
    <row r="891" spans="1:4" ht="25.5" x14ac:dyDescent="0.25">
      <c r="A891" s="19">
        <v>524114</v>
      </c>
      <c r="B891" s="19" t="s">
        <v>4105</v>
      </c>
      <c r="C891" s="19">
        <v>524114</v>
      </c>
      <c r="D891" s="19" t="s">
        <v>4105</v>
      </c>
    </row>
    <row r="892" spans="1:4" ht="25.5" x14ac:dyDescent="0.25">
      <c r="A892" s="19">
        <v>524126</v>
      </c>
      <c r="B892" s="19" t="s">
        <v>4107</v>
      </c>
      <c r="C892" s="19">
        <v>524126</v>
      </c>
      <c r="D892" s="19" t="s">
        <v>4107</v>
      </c>
    </row>
    <row r="893" spans="1:4" x14ac:dyDescent="0.25">
      <c r="A893" s="19">
        <v>524127</v>
      </c>
      <c r="B893" s="19" t="s">
        <v>4109</v>
      </c>
      <c r="C893" s="19">
        <v>524127</v>
      </c>
      <c r="D893" s="19" t="s">
        <v>4109</v>
      </c>
    </row>
    <row r="894" spans="1:4" ht="25.5" x14ac:dyDescent="0.25">
      <c r="A894" s="19">
        <v>524128</v>
      </c>
      <c r="B894" s="19" t="s">
        <v>4111</v>
      </c>
      <c r="C894" s="19">
        <v>524128</v>
      </c>
      <c r="D894" s="19" t="s">
        <v>4111</v>
      </c>
    </row>
    <row r="895" spans="1:4" x14ac:dyDescent="0.25">
      <c r="A895" s="19">
        <v>524130</v>
      </c>
      <c r="B895" s="19" t="s">
        <v>4113</v>
      </c>
      <c r="C895" s="19">
        <v>524130</v>
      </c>
      <c r="D895" s="19" t="s">
        <v>4113</v>
      </c>
    </row>
    <row r="896" spans="1:4" x14ac:dyDescent="0.25">
      <c r="A896" s="19">
        <v>524210</v>
      </c>
      <c r="B896" s="19" t="s">
        <v>4115</v>
      </c>
      <c r="C896" s="19">
        <v>524210</v>
      </c>
      <c r="D896" s="19" t="s">
        <v>4115</v>
      </c>
    </row>
    <row r="897" spans="1:4" x14ac:dyDescent="0.25">
      <c r="A897" s="19">
        <v>524291</v>
      </c>
      <c r="B897" s="19" t="s">
        <v>4117</v>
      </c>
      <c r="C897" s="19">
        <v>524291</v>
      </c>
      <c r="D897" s="19" t="s">
        <v>4117</v>
      </c>
    </row>
    <row r="898" spans="1:4" ht="25.5" x14ac:dyDescent="0.25">
      <c r="A898" s="19">
        <v>524292</v>
      </c>
      <c r="B898" s="19" t="s">
        <v>4119</v>
      </c>
      <c r="C898" s="19">
        <v>524292</v>
      </c>
      <c r="D898" s="19" t="s">
        <v>4119</v>
      </c>
    </row>
    <row r="899" spans="1:4" x14ac:dyDescent="0.25">
      <c r="A899" s="19">
        <v>524298</v>
      </c>
      <c r="B899" s="19" t="s">
        <v>4121</v>
      </c>
      <c r="C899" s="19">
        <v>524298</v>
      </c>
      <c r="D899" s="19" t="s">
        <v>4121</v>
      </c>
    </row>
    <row r="900" spans="1:4" x14ac:dyDescent="0.25">
      <c r="A900" s="19">
        <v>525110</v>
      </c>
      <c r="B900" s="19" t="s">
        <v>4123</v>
      </c>
      <c r="C900" s="19">
        <v>525110</v>
      </c>
      <c r="D900" s="19" t="s">
        <v>4123</v>
      </c>
    </row>
    <row r="901" spans="1:4" x14ac:dyDescent="0.25">
      <c r="A901" s="19">
        <v>525120</v>
      </c>
      <c r="B901" s="19" t="s">
        <v>4125</v>
      </c>
      <c r="C901" s="19">
        <v>525120</v>
      </c>
      <c r="D901" s="19" t="s">
        <v>4125</v>
      </c>
    </row>
    <row r="902" spans="1:4" x14ac:dyDescent="0.25">
      <c r="A902" s="19">
        <v>525190</v>
      </c>
      <c r="B902" s="19" t="s">
        <v>4127</v>
      </c>
      <c r="C902" s="19">
        <v>525190</v>
      </c>
      <c r="D902" s="19" t="s">
        <v>4127</v>
      </c>
    </row>
    <row r="903" spans="1:4" x14ac:dyDescent="0.25">
      <c r="A903" s="19">
        <v>525910</v>
      </c>
      <c r="B903" s="19" t="s">
        <v>4129</v>
      </c>
      <c r="C903" s="19">
        <v>525910</v>
      </c>
      <c r="D903" s="19" t="s">
        <v>4129</v>
      </c>
    </row>
    <row r="904" spans="1:4" x14ac:dyDescent="0.25">
      <c r="A904" s="19">
        <v>525920</v>
      </c>
      <c r="B904" s="19" t="s">
        <v>4131</v>
      </c>
      <c r="C904" s="19">
        <v>525920</v>
      </c>
      <c r="D904" s="19" t="s">
        <v>4131</v>
      </c>
    </row>
    <row r="905" spans="1:4" ht="38.25" x14ac:dyDescent="0.25">
      <c r="A905" s="21">
        <v>525930</v>
      </c>
      <c r="B905" s="19" t="s">
        <v>6090</v>
      </c>
      <c r="C905" s="20">
        <v>525990</v>
      </c>
      <c r="D905" s="19" t="s">
        <v>4133</v>
      </c>
    </row>
    <row r="906" spans="1:4" ht="38.25" x14ac:dyDescent="0.25">
      <c r="A906" s="21">
        <v>525930</v>
      </c>
      <c r="B906" s="19" t="s">
        <v>6091</v>
      </c>
      <c r="C906" s="20">
        <v>531110</v>
      </c>
      <c r="D906" s="19" t="s">
        <v>4135</v>
      </c>
    </row>
    <row r="907" spans="1:4" ht="38.25" x14ac:dyDescent="0.25">
      <c r="A907" s="21">
        <v>525930</v>
      </c>
      <c r="B907" s="19" t="s">
        <v>6092</v>
      </c>
      <c r="C907" s="20">
        <v>531120</v>
      </c>
      <c r="D907" s="19" t="s">
        <v>4137</v>
      </c>
    </row>
    <row r="908" spans="1:4" ht="38.25" x14ac:dyDescent="0.25">
      <c r="A908" s="21">
        <v>525930</v>
      </c>
      <c r="B908" s="19" t="s">
        <v>6093</v>
      </c>
      <c r="C908" s="20">
        <v>531130</v>
      </c>
      <c r="D908" s="19" t="s">
        <v>4139</v>
      </c>
    </row>
    <row r="909" spans="1:4" ht="38.25" x14ac:dyDescent="0.25">
      <c r="A909" s="21">
        <v>525930</v>
      </c>
      <c r="B909" s="19" t="s">
        <v>6094</v>
      </c>
      <c r="C909" s="20">
        <v>531190</v>
      </c>
      <c r="D909" s="19" t="s">
        <v>4141</v>
      </c>
    </row>
    <row r="910" spans="1:4" x14ac:dyDescent="0.25">
      <c r="A910" s="19">
        <v>525990</v>
      </c>
      <c r="B910" s="19" t="s">
        <v>4133</v>
      </c>
      <c r="C910" s="20">
        <v>525990</v>
      </c>
      <c r="D910" s="19" t="s">
        <v>4133</v>
      </c>
    </row>
    <row r="911" spans="1:4" ht="25.5" x14ac:dyDescent="0.25">
      <c r="A911" s="19">
        <v>531110</v>
      </c>
      <c r="B911" s="19" t="s">
        <v>4135</v>
      </c>
      <c r="C911" s="20">
        <v>531110</v>
      </c>
      <c r="D911" s="19" t="s">
        <v>4135</v>
      </c>
    </row>
    <row r="912" spans="1:4" ht="25.5" x14ac:dyDescent="0.25">
      <c r="A912" s="19">
        <v>531120</v>
      </c>
      <c r="B912" s="19" t="s">
        <v>5989</v>
      </c>
      <c r="C912" s="20">
        <v>531120</v>
      </c>
      <c r="D912" s="19" t="s">
        <v>5989</v>
      </c>
    </row>
    <row r="913" spans="1:4" ht="25.5" x14ac:dyDescent="0.25">
      <c r="A913" s="19">
        <v>531130</v>
      </c>
      <c r="B913" s="19" t="s">
        <v>4139</v>
      </c>
      <c r="C913" s="20">
        <v>531130</v>
      </c>
      <c r="D913" s="19" t="s">
        <v>4139</v>
      </c>
    </row>
    <row r="914" spans="1:4" x14ac:dyDescent="0.25">
      <c r="A914" s="19">
        <v>531190</v>
      </c>
      <c r="B914" s="19" t="s">
        <v>4141</v>
      </c>
      <c r="C914" s="20">
        <v>531190</v>
      </c>
      <c r="D914" s="19" t="s">
        <v>4141</v>
      </c>
    </row>
    <row r="915" spans="1:4" ht="25.5" x14ac:dyDescent="0.25">
      <c r="A915" s="19">
        <v>531210</v>
      </c>
      <c r="B915" s="19" t="s">
        <v>4143</v>
      </c>
      <c r="C915" s="19">
        <v>531210</v>
      </c>
      <c r="D915" s="19" t="s">
        <v>4143</v>
      </c>
    </row>
    <row r="916" spans="1:4" x14ac:dyDescent="0.25">
      <c r="A916" s="19">
        <v>531311</v>
      </c>
      <c r="B916" s="19" t="s">
        <v>4145</v>
      </c>
      <c r="C916" s="19">
        <v>531311</v>
      </c>
      <c r="D916" s="19" t="s">
        <v>4145</v>
      </c>
    </row>
    <row r="917" spans="1:4" x14ac:dyDescent="0.25">
      <c r="A917" s="19">
        <v>531312</v>
      </c>
      <c r="B917" s="19" t="s">
        <v>4147</v>
      </c>
      <c r="C917" s="19">
        <v>531312</v>
      </c>
      <c r="D917" s="19" t="s">
        <v>4147</v>
      </c>
    </row>
    <row r="918" spans="1:4" x14ac:dyDescent="0.25">
      <c r="A918" s="19">
        <v>531320</v>
      </c>
      <c r="B918" s="19" t="s">
        <v>4149</v>
      </c>
      <c r="C918" s="19">
        <v>531320</v>
      </c>
      <c r="D918" s="19" t="s">
        <v>4149</v>
      </c>
    </row>
    <row r="919" spans="1:4" x14ac:dyDescent="0.25">
      <c r="A919" s="19">
        <v>531390</v>
      </c>
      <c r="B919" s="19" t="s">
        <v>4151</v>
      </c>
      <c r="C919" s="19">
        <v>531390</v>
      </c>
      <c r="D919" s="19" t="s">
        <v>4151</v>
      </c>
    </row>
    <row r="920" spans="1:4" x14ac:dyDescent="0.25">
      <c r="A920" s="19">
        <v>532111</v>
      </c>
      <c r="B920" s="19" t="s">
        <v>4153</v>
      </c>
      <c r="C920" s="19">
        <v>532111</v>
      </c>
      <c r="D920" s="19" t="s">
        <v>4153</v>
      </c>
    </row>
    <row r="921" spans="1:4" x14ac:dyDescent="0.25">
      <c r="A921" s="19">
        <v>532112</v>
      </c>
      <c r="B921" s="19" t="s">
        <v>4155</v>
      </c>
      <c r="C921" s="19">
        <v>532112</v>
      </c>
      <c r="D921" s="19" t="s">
        <v>4155</v>
      </c>
    </row>
    <row r="922" spans="1:4" ht="38.25" x14ac:dyDescent="0.25">
      <c r="A922" s="19">
        <v>532120</v>
      </c>
      <c r="B922" s="19" t="s">
        <v>4157</v>
      </c>
      <c r="C922" s="19">
        <v>532120</v>
      </c>
      <c r="D922" s="19" t="s">
        <v>4157</v>
      </c>
    </row>
    <row r="923" spans="1:4" ht="25.5" x14ac:dyDescent="0.25">
      <c r="A923" s="19">
        <v>532210</v>
      </c>
      <c r="B923" s="19" t="s">
        <v>4159</v>
      </c>
      <c r="C923" s="19">
        <v>532210</v>
      </c>
      <c r="D923" s="19" t="s">
        <v>4159</v>
      </c>
    </row>
    <row r="924" spans="1:4" x14ac:dyDescent="0.25">
      <c r="A924" s="19">
        <v>532220</v>
      </c>
      <c r="B924" s="19" t="s">
        <v>4161</v>
      </c>
      <c r="C924" s="19">
        <v>532220</v>
      </c>
      <c r="D924" s="19" t="s">
        <v>4161</v>
      </c>
    </row>
    <row r="925" spans="1:4" x14ac:dyDescent="0.25">
      <c r="A925" s="19">
        <v>532230</v>
      </c>
      <c r="B925" s="19" t="s">
        <v>4163</v>
      </c>
      <c r="C925" s="19">
        <v>532230</v>
      </c>
      <c r="D925" s="19" t="s">
        <v>4163</v>
      </c>
    </row>
    <row r="926" spans="1:4" x14ac:dyDescent="0.25">
      <c r="A926" s="19">
        <v>532291</v>
      </c>
      <c r="B926" s="19" t="s">
        <v>4165</v>
      </c>
      <c r="C926" s="19">
        <v>532291</v>
      </c>
      <c r="D926" s="19" t="s">
        <v>4165</v>
      </c>
    </row>
    <row r="927" spans="1:4" x14ac:dyDescent="0.25">
      <c r="A927" s="19">
        <v>532292</v>
      </c>
      <c r="B927" s="19" t="s">
        <v>4167</v>
      </c>
      <c r="C927" s="19">
        <v>532292</v>
      </c>
      <c r="D927" s="19" t="s">
        <v>4167</v>
      </c>
    </row>
    <row r="928" spans="1:4" x14ac:dyDescent="0.25">
      <c r="A928" s="19">
        <v>532299</v>
      </c>
      <c r="B928" s="19" t="s">
        <v>4169</v>
      </c>
      <c r="C928" s="19">
        <v>532299</v>
      </c>
      <c r="D928" s="19" t="s">
        <v>4169</v>
      </c>
    </row>
    <row r="929" spans="1:4" x14ac:dyDescent="0.25">
      <c r="A929" s="19">
        <v>532310</v>
      </c>
      <c r="B929" s="19" t="s">
        <v>4170</v>
      </c>
      <c r="C929" s="19">
        <v>532310</v>
      </c>
      <c r="D929" s="19" t="s">
        <v>4170</v>
      </c>
    </row>
    <row r="930" spans="1:4" ht="38.25" x14ac:dyDescent="0.25">
      <c r="A930" s="19">
        <v>532411</v>
      </c>
      <c r="B930" s="19" t="s">
        <v>4172</v>
      </c>
      <c r="C930" s="19">
        <v>532411</v>
      </c>
      <c r="D930" s="19" t="s">
        <v>4172</v>
      </c>
    </row>
    <row r="931" spans="1:4" ht="38.25" x14ac:dyDescent="0.25">
      <c r="A931" s="19">
        <v>532412</v>
      </c>
      <c r="B931" s="19" t="s">
        <v>4174</v>
      </c>
      <c r="C931" s="19">
        <v>532412</v>
      </c>
      <c r="D931" s="19" t="s">
        <v>4174</v>
      </c>
    </row>
    <row r="932" spans="1:4" ht="25.5" x14ac:dyDescent="0.25">
      <c r="A932" s="19">
        <v>532420</v>
      </c>
      <c r="B932" s="19" t="s">
        <v>4176</v>
      </c>
      <c r="C932" s="19">
        <v>532420</v>
      </c>
      <c r="D932" s="19" t="s">
        <v>4176</v>
      </c>
    </row>
    <row r="933" spans="1:4" ht="38.25" x14ac:dyDescent="0.25">
      <c r="A933" s="19">
        <v>532490</v>
      </c>
      <c r="B933" s="19" t="s">
        <v>4178</v>
      </c>
      <c r="C933" s="19">
        <v>532490</v>
      </c>
      <c r="D933" s="19" t="s">
        <v>4178</v>
      </c>
    </row>
    <row r="934" spans="1:4" ht="25.5" x14ac:dyDescent="0.25">
      <c r="A934" s="19">
        <v>533110</v>
      </c>
      <c r="B934" s="19" t="s">
        <v>4180</v>
      </c>
      <c r="C934" s="19">
        <v>533110</v>
      </c>
      <c r="D934" s="19" t="s">
        <v>4180</v>
      </c>
    </row>
    <row r="935" spans="1:4" x14ac:dyDescent="0.25">
      <c r="A935" s="19">
        <v>541110</v>
      </c>
      <c r="B935" s="19" t="s">
        <v>4182</v>
      </c>
      <c r="C935" s="19">
        <v>541110</v>
      </c>
      <c r="D935" s="19" t="s">
        <v>4182</v>
      </c>
    </row>
    <row r="936" spans="1:4" x14ac:dyDescent="0.25">
      <c r="A936" s="19">
        <v>541120</v>
      </c>
      <c r="B936" s="19" t="s">
        <v>4184</v>
      </c>
      <c r="C936" s="19">
        <v>541120</v>
      </c>
      <c r="D936" s="19" t="s">
        <v>4184</v>
      </c>
    </row>
    <row r="937" spans="1:4" x14ac:dyDescent="0.25">
      <c r="A937" s="19">
        <v>541191</v>
      </c>
      <c r="B937" s="19" t="s">
        <v>4186</v>
      </c>
      <c r="C937" s="19">
        <v>541191</v>
      </c>
      <c r="D937" s="19" t="s">
        <v>4186</v>
      </c>
    </row>
    <row r="938" spans="1:4" x14ac:dyDescent="0.25">
      <c r="A938" s="19">
        <v>541199</v>
      </c>
      <c r="B938" s="19" t="s">
        <v>4188</v>
      </c>
      <c r="C938" s="19">
        <v>541199</v>
      </c>
      <c r="D938" s="19" t="s">
        <v>4188</v>
      </c>
    </row>
    <row r="939" spans="1:4" x14ac:dyDescent="0.25">
      <c r="A939" s="19">
        <v>541211</v>
      </c>
      <c r="B939" s="19" t="s">
        <v>4190</v>
      </c>
      <c r="C939" s="19">
        <v>541211</v>
      </c>
      <c r="D939" s="19" t="s">
        <v>4190</v>
      </c>
    </row>
    <row r="940" spans="1:4" x14ac:dyDescent="0.25">
      <c r="A940" s="19">
        <v>541213</v>
      </c>
      <c r="B940" s="19" t="s">
        <v>4192</v>
      </c>
      <c r="C940" s="19">
        <v>541213</v>
      </c>
      <c r="D940" s="19" t="s">
        <v>4192</v>
      </c>
    </row>
    <row r="941" spans="1:4" x14ac:dyDescent="0.25">
      <c r="A941" s="19">
        <v>541214</v>
      </c>
      <c r="B941" s="19" t="s">
        <v>4194</v>
      </c>
      <c r="C941" s="19">
        <v>541214</v>
      </c>
      <c r="D941" s="19" t="s">
        <v>4194</v>
      </c>
    </row>
    <row r="942" spans="1:4" x14ac:dyDescent="0.25">
      <c r="A942" s="19">
        <v>541219</v>
      </c>
      <c r="B942" s="19" t="s">
        <v>4196</v>
      </c>
      <c r="C942" s="19">
        <v>541219</v>
      </c>
      <c r="D942" s="19" t="s">
        <v>4196</v>
      </c>
    </row>
    <row r="943" spans="1:4" x14ac:dyDescent="0.25">
      <c r="A943" s="19">
        <v>541310</v>
      </c>
      <c r="B943" s="19" t="s">
        <v>4198</v>
      </c>
      <c r="C943" s="19">
        <v>541310</v>
      </c>
      <c r="D943" s="19" t="s">
        <v>4198</v>
      </c>
    </row>
    <row r="944" spans="1:4" x14ac:dyDescent="0.25">
      <c r="A944" s="19">
        <v>541320</v>
      </c>
      <c r="B944" s="19" t="s">
        <v>4200</v>
      </c>
      <c r="C944" s="19">
        <v>541320</v>
      </c>
      <c r="D944" s="19" t="s">
        <v>4200</v>
      </c>
    </row>
    <row r="945" spans="1:4" x14ac:dyDescent="0.25">
      <c r="A945" s="19">
        <v>541330</v>
      </c>
      <c r="B945" s="19" t="s">
        <v>4202</v>
      </c>
      <c r="C945" s="19">
        <v>541330</v>
      </c>
      <c r="D945" s="19" t="s">
        <v>4202</v>
      </c>
    </row>
    <row r="946" spans="1:4" x14ac:dyDescent="0.25">
      <c r="A946" s="19">
        <v>541340</v>
      </c>
      <c r="B946" s="19" t="s">
        <v>4204</v>
      </c>
      <c r="C946" s="19">
        <v>541340</v>
      </c>
      <c r="D946" s="19" t="s">
        <v>4204</v>
      </c>
    </row>
    <row r="947" spans="1:4" x14ac:dyDescent="0.25">
      <c r="A947" s="19">
        <v>541350</v>
      </c>
      <c r="B947" s="19" t="s">
        <v>4206</v>
      </c>
      <c r="C947" s="19">
        <v>541350</v>
      </c>
      <c r="D947" s="19" t="s">
        <v>4206</v>
      </c>
    </row>
    <row r="948" spans="1:4" ht="25.5" x14ac:dyDescent="0.25">
      <c r="A948" s="19">
        <v>541360</v>
      </c>
      <c r="B948" s="19" t="s">
        <v>4208</v>
      </c>
      <c r="C948" s="19">
        <v>541360</v>
      </c>
      <c r="D948" s="19" t="s">
        <v>4208</v>
      </c>
    </row>
    <row r="949" spans="1:4" ht="25.5" x14ac:dyDescent="0.25">
      <c r="A949" s="19">
        <v>541370</v>
      </c>
      <c r="B949" s="19" t="s">
        <v>4210</v>
      </c>
      <c r="C949" s="19">
        <v>541370</v>
      </c>
      <c r="D949" s="19" t="s">
        <v>4210</v>
      </c>
    </row>
    <row r="950" spans="1:4" x14ac:dyDescent="0.25">
      <c r="A950" s="19">
        <v>541380</v>
      </c>
      <c r="B950" s="19" t="s">
        <v>4212</v>
      </c>
      <c r="C950" s="19">
        <v>541380</v>
      </c>
      <c r="D950" s="19" t="s">
        <v>4212</v>
      </c>
    </row>
    <row r="951" spans="1:4" x14ac:dyDescent="0.25">
      <c r="A951" s="19">
        <v>541410</v>
      </c>
      <c r="B951" s="19" t="s">
        <v>4214</v>
      </c>
      <c r="C951" s="19">
        <v>541410</v>
      </c>
      <c r="D951" s="19" t="s">
        <v>4214</v>
      </c>
    </row>
    <row r="952" spans="1:4" x14ac:dyDescent="0.25">
      <c r="A952" s="19">
        <v>541420</v>
      </c>
      <c r="B952" s="19" t="s">
        <v>4216</v>
      </c>
      <c r="C952" s="19">
        <v>541420</v>
      </c>
      <c r="D952" s="19" t="s">
        <v>4216</v>
      </c>
    </row>
    <row r="953" spans="1:4" x14ac:dyDescent="0.25">
      <c r="A953" s="19">
        <v>541430</v>
      </c>
      <c r="B953" s="19" t="s">
        <v>4218</v>
      </c>
      <c r="C953" s="19">
        <v>541430</v>
      </c>
      <c r="D953" s="19" t="s">
        <v>4218</v>
      </c>
    </row>
    <row r="954" spans="1:4" x14ac:dyDescent="0.25">
      <c r="A954" s="19">
        <v>541490</v>
      </c>
      <c r="B954" s="19" t="s">
        <v>4220</v>
      </c>
      <c r="C954" s="19">
        <v>541490</v>
      </c>
      <c r="D954" s="19" t="s">
        <v>4220</v>
      </c>
    </row>
    <row r="955" spans="1:4" ht="25.5" x14ac:dyDescent="0.25">
      <c r="A955" s="19">
        <v>541511</v>
      </c>
      <c r="B955" s="19" t="s">
        <v>4222</v>
      </c>
      <c r="C955" s="19">
        <v>541511</v>
      </c>
      <c r="D955" s="19" t="s">
        <v>4222</v>
      </c>
    </row>
    <row r="956" spans="1:4" x14ac:dyDescent="0.25">
      <c r="A956" s="19">
        <v>541512</v>
      </c>
      <c r="B956" s="19" t="s">
        <v>4224</v>
      </c>
      <c r="C956" s="19">
        <v>541512</v>
      </c>
      <c r="D956" s="19" t="s">
        <v>4224</v>
      </c>
    </row>
    <row r="957" spans="1:4" ht="25.5" x14ac:dyDescent="0.25">
      <c r="A957" s="19">
        <v>541513</v>
      </c>
      <c r="B957" s="19" t="s">
        <v>4226</v>
      </c>
      <c r="C957" s="19">
        <v>541513</v>
      </c>
      <c r="D957" s="19" t="s">
        <v>4226</v>
      </c>
    </row>
    <row r="958" spans="1:4" x14ac:dyDescent="0.25">
      <c r="A958" s="19">
        <v>541519</v>
      </c>
      <c r="B958" s="19" t="s">
        <v>4228</v>
      </c>
      <c r="C958" s="19">
        <v>541519</v>
      </c>
      <c r="D958" s="19" t="s">
        <v>4228</v>
      </c>
    </row>
    <row r="959" spans="1:4" ht="25.5" x14ac:dyDescent="0.25">
      <c r="A959" s="19">
        <v>541611</v>
      </c>
      <c r="B959" s="19" t="s">
        <v>4230</v>
      </c>
      <c r="C959" s="19">
        <v>541611</v>
      </c>
      <c r="D959" s="19" t="s">
        <v>4230</v>
      </c>
    </row>
    <row r="960" spans="1:4" ht="38.25" x14ac:dyDescent="0.25">
      <c r="A960" s="21">
        <v>541612</v>
      </c>
      <c r="B960" s="19" t="s">
        <v>6095</v>
      </c>
      <c r="C960" s="19">
        <v>541612</v>
      </c>
      <c r="D960" s="19" t="s">
        <v>6096</v>
      </c>
    </row>
    <row r="961" spans="1:4" ht="38.25" x14ac:dyDescent="0.25">
      <c r="A961" s="21">
        <v>541612</v>
      </c>
      <c r="B961" s="19" t="s">
        <v>6097</v>
      </c>
      <c r="C961" s="19">
        <v>561312</v>
      </c>
      <c r="D961" s="19" t="s">
        <v>4292</v>
      </c>
    </row>
    <row r="962" spans="1:4" x14ac:dyDescent="0.25">
      <c r="A962" s="19">
        <v>541613</v>
      </c>
      <c r="B962" s="19" t="s">
        <v>4234</v>
      </c>
      <c r="C962" s="19">
        <v>541613</v>
      </c>
      <c r="D962" s="19" t="s">
        <v>4234</v>
      </c>
    </row>
    <row r="963" spans="1:4" ht="25.5" x14ac:dyDescent="0.25">
      <c r="A963" s="19">
        <v>541614</v>
      </c>
      <c r="B963" s="19" t="s">
        <v>4236</v>
      </c>
      <c r="C963" s="19">
        <v>541614</v>
      </c>
      <c r="D963" s="19" t="s">
        <v>4236</v>
      </c>
    </row>
    <row r="964" spans="1:4" x14ac:dyDescent="0.25">
      <c r="A964" s="19">
        <v>541618</v>
      </c>
      <c r="B964" s="19" t="s">
        <v>4238</v>
      </c>
      <c r="C964" s="19">
        <v>541618</v>
      </c>
      <c r="D964" s="19" t="s">
        <v>4238</v>
      </c>
    </row>
    <row r="965" spans="1:4" x14ac:dyDescent="0.25">
      <c r="A965" s="19">
        <v>541620</v>
      </c>
      <c r="B965" s="19" t="s">
        <v>4240</v>
      </c>
      <c r="C965" s="19">
        <v>541620</v>
      </c>
      <c r="D965" s="19" t="s">
        <v>4240</v>
      </c>
    </row>
    <row r="966" spans="1:4" ht="25.5" x14ac:dyDescent="0.25">
      <c r="A966" s="19">
        <v>541690</v>
      </c>
      <c r="B966" s="19" t="s">
        <v>4242</v>
      </c>
      <c r="C966" s="19">
        <v>541690</v>
      </c>
      <c r="D966" s="19" t="s">
        <v>4242</v>
      </c>
    </row>
    <row r="967" spans="1:4" ht="51" x14ac:dyDescent="0.25">
      <c r="A967" s="21">
        <v>541710</v>
      </c>
      <c r="B967" s="19" t="s">
        <v>6098</v>
      </c>
      <c r="C967" s="19">
        <v>541711</v>
      </c>
      <c r="D967" s="19" t="s">
        <v>6099</v>
      </c>
    </row>
    <row r="968" spans="1:4" ht="51" x14ac:dyDescent="0.25">
      <c r="A968" s="21">
        <v>541710</v>
      </c>
      <c r="B968" s="19" t="s">
        <v>6100</v>
      </c>
      <c r="C968" s="19">
        <v>541712</v>
      </c>
      <c r="D968" s="19" t="s">
        <v>6101</v>
      </c>
    </row>
    <row r="969" spans="1:4" ht="25.5" x14ac:dyDescent="0.25">
      <c r="A969" s="19">
        <v>541720</v>
      </c>
      <c r="B969" s="19" t="s">
        <v>4250</v>
      </c>
      <c r="C969" s="19">
        <v>541720</v>
      </c>
      <c r="D969" s="19" t="s">
        <v>4250</v>
      </c>
    </row>
    <row r="970" spans="1:4" x14ac:dyDescent="0.25">
      <c r="A970" s="19">
        <v>541810</v>
      </c>
      <c r="B970" s="19" t="s">
        <v>4252</v>
      </c>
      <c r="C970" s="19">
        <v>541810</v>
      </c>
      <c r="D970" s="19" t="s">
        <v>4252</v>
      </c>
    </row>
    <row r="971" spans="1:4" x14ac:dyDescent="0.25">
      <c r="A971" s="19">
        <v>541820</v>
      </c>
      <c r="B971" s="19" t="s">
        <v>4254</v>
      </c>
      <c r="C971" s="19">
        <v>541820</v>
      </c>
      <c r="D971" s="19" t="s">
        <v>4254</v>
      </c>
    </row>
    <row r="972" spans="1:4" x14ac:dyDescent="0.25">
      <c r="A972" s="19">
        <v>541830</v>
      </c>
      <c r="B972" s="19" t="s">
        <v>4256</v>
      </c>
      <c r="C972" s="19">
        <v>541830</v>
      </c>
      <c r="D972" s="19" t="s">
        <v>4256</v>
      </c>
    </row>
    <row r="973" spans="1:4" x14ac:dyDescent="0.25">
      <c r="A973" s="19">
        <v>541840</v>
      </c>
      <c r="B973" s="19" t="s">
        <v>4258</v>
      </c>
      <c r="C973" s="19">
        <v>541840</v>
      </c>
      <c r="D973" s="19" t="s">
        <v>4258</v>
      </c>
    </row>
    <row r="974" spans="1:4" x14ac:dyDescent="0.25">
      <c r="A974" s="19">
        <v>541850</v>
      </c>
      <c r="B974" s="19" t="s">
        <v>5994</v>
      </c>
      <c r="C974" s="19">
        <v>541850</v>
      </c>
      <c r="D974" s="19" t="s">
        <v>5994</v>
      </c>
    </row>
    <row r="975" spans="1:4" x14ac:dyDescent="0.25">
      <c r="A975" s="19">
        <v>541860</v>
      </c>
      <c r="B975" s="19" t="s">
        <v>4262</v>
      </c>
      <c r="C975" s="19">
        <v>541860</v>
      </c>
      <c r="D975" s="19" t="s">
        <v>4262</v>
      </c>
    </row>
    <row r="976" spans="1:4" x14ac:dyDescent="0.25">
      <c r="A976" s="19">
        <v>541870</v>
      </c>
      <c r="B976" s="19" t="s">
        <v>4264</v>
      </c>
      <c r="C976" s="19">
        <v>541870</v>
      </c>
      <c r="D976" s="19" t="s">
        <v>4264</v>
      </c>
    </row>
    <row r="977" spans="1:4" x14ac:dyDescent="0.25">
      <c r="A977" s="19">
        <v>541890</v>
      </c>
      <c r="B977" s="19" t="s">
        <v>4266</v>
      </c>
      <c r="C977" s="19">
        <v>541890</v>
      </c>
      <c r="D977" s="19" t="s">
        <v>4266</v>
      </c>
    </row>
    <row r="978" spans="1:4" ht="25.5" x14ac:dyDescent="0.25">
      <c r="A978" s="19">
        <v>541910</v>
      </c>
      <c r="B978" s="19" t="s">
        <v>4268</v>
      </c>
      <c r="C978" s="19">
        <v>541910</v>
      </c>
      <c r="D978" s="19" t="s">
        <v>4268</v>
      </c>
    </row>
    <row r="979" spans="1:4" x14ac:dyDescent="0.25">
      <c r="A979" s="19">
        <v>541921</v>
      </c>
      <c r="B979" s="19" t="s">
        <v>4270</v>
      </c>
      <c r="C979" s="19">
        <v>541921</v>
      </c>
      <c r="D979" s="19" t="s">
        <v>4270</v>
      </c>
    </row>
    <row r="980" spans="1:4" x14ac:dyDescent="0.25">
      <c r="A980" s="19">
        <v>541922</v>
      </c>
      <c r="B980" s="19" t="s">
        <v>4272</v>
      </c>
      <c r="C980" s="19">
        <v>541922</v>
      </c>
      <c r="D980" s="19" t="s">
        <v>4272</v>
      </c>
    </row>
    <row r="981" spans="1:4" x14ac:dyDescent="0.25">
      <c r="A981" s="19">
        <v>541930</v>
      </c>
      <c r="B981" s="19" t="s">
        <v>4274</v>
      </c>
      <c r="C981" s="19">
        <v>541930</v>
      </c>
      <c r="D981" s="19" t="s">
        <v>4274</v>
      </c>
    </row>
    <row r="982" spans="1:4" x14ac:dyDescent="0.25">
      <c r="A982" s="19">
        <v>541940</v>
      </c>
      <c r="B982" s="19" t="s">
        <v>4276</v>
      </c>
      <c r="C982" s="19">
        <v>541940</v>
      </c>
      <c r="D982" s="19" t="s">
        <v>4276</v>
      </c>
    </row>
    <row r="983" spans="1:4" ht="25.5" x14ac:dyDescent="0.25">
      <c r="A983" s="19">
        <v>541990</v>
      </c>
      <c r="B983" s="19" t="s">
        <v>4278</v>
      </c>
      <c r="C983" s="19">
        <v>541990</v>
      </c>
      <c r="D983" s="19" t="s">
        <v>4278</v>
      </c>
    </row>
    <row r="984" spans="1:4" x14ac:dyDescent="0.25">
      <c r="A984" s="19">
        <v>551111</v>
      </c>
      <c r="B984" s="19" t="s">
        <v>4280</v>
      </c>
      <c r="C984" s="19">
        <v>551111</v>
      </c>
      <c r="D984" s="19" t="s">
        <v>4280</v>
      </c>
    </row>
    <row r="985" spans="1:4" x14ac:dyDescent="0.25">
      <c r="A985" s="19">
        <v>551112</v>
      </c>
      <c r="B985" s="19" t="s">
        <v>4282</v>
      </c>
      <c r="C985" s="19">
        <v>551112</v>
      </c>
      <c r="D985" s="19" t="s">
        <v>4282</v>
      </c>
    </row>
    <row r="986" spans="1:4" ht="25.5" x14ac:dyDescent="0.25">
      <c r="A986" s="19">
        <v>551114</v>
      </c>
      <c r="B986" s="19" t="s">
        <v>4284</v>
      </c>
      <c r="C986" s="19">
        <v>551114</v>
      </c>
      <c r="D986" s="19" t="s">
        <v>4284</v>
      </c>
    </row>
    <row r="987" spans="1:4" x14ac:dyDescent="0.25">
      <c r="A987" s="19">
        <v>561110</v>
      </c>
      <c r="B987" s="19" t="s">
        <v>4286</v>
      </c>
      <c r="C987" s="19">
        <v>561110</v>
      </c>
      <c r="D987" s="19" t="s">
        <v>4286</v>
      </c>
    </row>
    <row r="988" spans="1:4" x14ac:dyDescent="0.25">
      <c r="A988" s="19">
        <v>561210</v>
      </c>
      <c r="B988" s="19" t="s">
        <v>4288</v>
      </c>
      <c r="C988" s="19">
        <v>561210</v>
      </c>
      <c r="D988" s="19" t="s">
        <v>4288</v>
      </c>
    </row>
    <row r="989" spans="1:4" x14ac:dyDescent="0.25">
      <c r="A989" s="19">
        <v>561310</v>
      </c>
      <c r="B989" s="19" t="s">
        <v>4290</v>
      </c>
      <c r="C989" s="19">
        <v>561311</v>
      </c>
      <c r="D989" s="19" t="s">
        <v>4290</v>
      </c>
    </row>
    <row r="990" spans="1:4" x14ac:dyDescent="0.25">
      <c r="A990" s="19">
        <v>561320</v>
      </c>
      <c r="B990" s="19" t="s">
        <v>4294</v>
      </c>
      <c r="C990" s="19">
        <v>561320</v>
      </c>
      <c r="D990" s="19" t="s">
        <v>4294</v>
      </c>
    </row>
    <row r="991" spans="1:4" x14ac:dyDescent="0.25">
      <c r="A991" s="19">
        <v>561330</v>
      </c>
      <c r="B991" s="19" t="s">
        <v>4296</v>
      </c>
      <c r="C991" s="19">
        <v>561330</v>
      </c>
      <c r="D991" s="19" t="s">
        <v>4296</v>
      </c>
    </row>
    <row r="992" spans="1:4" x14ac:dyDescent="0.25">
      <c r="A992" s="19">
        <v>561410</v>
      </c>
      <c r="B992" s="19" t="s">
        <v>4298</v>
      </c>
      <c r="C992" s="19">
        <v>561410</v>
      </c>
      <c r="D992" s="19" t="s">
        <v>4298</v>
      </c>
    </row>
    <row r="993" spans="1:4" x14ac:dyDescent="0.25">
      <c r="A993" s="19">
        <v>561421</v>
      </c>
      <c r="B993" s="19" t="s">
        <v>4300</v>
      </c>
      <c r="C993" s="19">
        <v>561421</v>
      </c>
      <c r="D993" s="19" t="s">
        <v>4300</v>
      </c>
    </row>
    <row r="994" spans="1:4" ht="25.5" x14ac:dyDescent="0.25">
      <c r="A994" s="19">
        <v>561422</v>
      </c>
      <c r="B994" s="19" t="s">
        <v>6003</v>
      </c>
      <c r="C994" s="19">
        <v>561422</v>
      </c>
      <c r="D994" s="19" t="s">
        <v>4302</v>
      </c>
    </row>
    <row r="995" spans="1:4" x14ac:dyDescent="0.25">
      <c r="A995" s="19">
        <v>561431</v>
      </c>
      <c r="B995" s="19" t="s">
        <v>4304</v>
      </c>
      <c r="C995" s="19">
        <v>561431</v>
      </c>
      <c r="D995" s="19" t="s">
        <v>4304</v>
      </c>
    </row>
    <row r="996" spans="1:4" ht="25.5" x14ac:dyDescent="0.25">
      <c r="A996" s="19">
        <v>561439</v>
      </c>
      <c r="B996" s="19" t="s">
        <v>4306</v>
      </c>
      <c r="C996" s="19">
        <v>561439</v>
      </c>
      <c r="D996" s="19" t="s">
        <v>4306</v>
      </c>
    </row>
    <row r="997" spans="1:4" x14ac:dyDescent="0.25">
      <c r="A997" s="19">
        <v>561440</v>
      </c>
      <c r="B997" s="19" t="s">
        <v>4308</v>
      </c>
      <c r="C997" s="19">
        <v>561440</v>
      </c>
      <c r="D997" s="19" t="s">
        <v>4308</v>
      </c>
    </row>
    <row r="998" spans="1:4" x14ac:dyDescent="0.25">
      <c r="A998" s="19">
        <v>561450</v>
      </c>
      <c r="B998" s="19" t="s">
        <v>4310</v>
      </c>
      <c r="C998" s="19">
        <v>561450</v>
      </c>
      <c r="D998" s="19" t="s">
        <v>4310</v>
      </c>
    </row>
    <row r="999" spans="1:4" x14ac:dyDescent="0.25">
      <c r="A999" s="19">
        <v>561491</v>
      </c>
      <c r="B999" s="19" t="s">
        <v>4312</v>
      </c>
      <c r="C999" s="19">
        <v>561491</v>
      </c>
      <c r="D999" s="19" t="s">
        <v>4312</v>
      </c>
    </row>
    <row r="1000" spans="1:4" x14ac:dyDescent="0.25">
      <c r="A1000" s="19">
        <v>561492</v>
      </c>
      <c r="B1000" s="19" t="s">
        <v>4314</v>
      </c>
      <c r="C1000" s="19">
        <v>561492</v>
      </c>
      <c r="D1000" s="19" t="s">
        <v>4314</v>
      </c>
    </row>
    <row r="1001" spans="1:4" x14ac:dyDescent="0.25">
      <c r="A1001" s="19">
        <v>561499</v>
      </c>
      <c r="B1001" s="19" t="s">
        <v>4316</v>
      </c>
      <c r="C1001" s="19">
        <v>561499</v>
      </c>
      <c r="D1001" s="19" t="s">
        <v>4316</v>
      </c>
    </row>
    <row r="1002" spans="1:4" x14ac:dyDescent="0.25">
      <c r="A1002" s="19">
        <v>561510</v>
      </c>
      <c r="B1002" s="19" t="s">
        <v>4318</v>
      </c>
      <c r="C1002" s="19">
        <v>561510</v>
      </c>
      <c r="D1002" s="19" t="s">
        <v>4318</v>
      </c>
    </row>
    <row r="1003" spans="1:4" x14ac:dyDescent="0.25">
      <c r="A1003" s="19">
        <v>561520</v>
      </c>
      <c r="B1003" s="19" t="s">
        <v>4320</v>
      </c>
      <c r="C1003" s="19">
        <v>561520</v>
      </c>
      <c r="D1003" s="19" t="s">
        <v>4320</v>
      </c>
    </row>
    <row r="1004" spans="1:4" x14ac:dyDescent="0.25">
      <c r="A1004" s="19">
        <v>561591</v>
      </c>
      <c r="B1004" s="19" t="s">
        <v>4322</v>
      </c>
      <c r="C1004" s="19">
        <v>561591</v>
      </c>
      <c r="D1004" s="19" t="s">
        <v>4322</v>
      </c>
    </row>
    <row r="1005" spans="1:4" ht="25.5" x14ac:dyDescent="0.25">
      <c r="A1005" s="19">
        <v>561599</v>
      </c>
      <c r="B1005" s="19" t="s">
        <v>4324</v>
      </c>
      <c r="C1005" s="19">
        <v>561599</v>
      </c>
      <c r="D1005" s="19" t="s">
        <v>4324</v>
      </c>
    </row>
    <row r="1006" spans="1:4" x14ac:dyDescent="0.25">
      <c r="A1006" s="19">
        <v>561611</v>
      </c>
      <c r="B1006" s="19" t="s">
        <v>4326</v>
      </c>
      <c r="C1006" s="19">
        <v>561611</v>
      </c>
      <c r="D1006" s="19" t="s">
        <v>4326</v>
      </c>
    </row>
    <row r="1007" spans="1:4" x14ac:dyDescent="0.25">
      <c r="A1007" s="19">
        <v>561612</v>
      </c>
      <c r="B1007" s="19" t="s">
        <v>4328</v>
      </c>
      <c r="C1007" s="19">
        <v>561612</v>
      </c>
      <c r="D1007" s="19" t="s">
        <v>4328</v>
      </c>
    </row>
    <row r="1008" spans="1:4" x14ac:dyDescent="0.25">
      <c r="A1008" s="19">
        <v>561613</v>
      </c>
      <c r="B1008" s="19" t="s">
        <v>4330</v>
      </c>
      <c r="C1008" s="19">
        <v>561613</v>
      </c>
      <c r="D1008" s="19" t="s">
        <v>4330</v>
      </c>
    </row>
    <row r="1009" spans="1:4" ht="25.5" x14ac:dyDescent="0.25">
      <c r="A1009" s="19">
        <v>561621</v>
      </c>
      <c r="B1009" s="19" t="s">
        <v>4332</v>
      </c>
      <c r="C1009" s="19">
        <v>561621</v>
      </c>
      <c r="D1009" s="19" t="s">
        <v>4332</v>
      </c>
    </row>
    <row r="1010" spans="1:4" x14ac:dyDescent="0.25">
      <c r="A1010" s="19">
        <v>561622</v>
      </c>
      <c r="B1010" s="19" t="s">
        <v>4334</v>
      </c>
      <c r="C1010" s="19">
        <v>561622</v>
      </c>
      <c r="D1010" s="19" t="s">
        <v>4334</v>
      </c>
    </row>
    <row r="1011" spans="1:4" x14ac:dyDescent="0.25">
      <c r="A1011" s="19">
        <v>561710</v>
      </c>
      <c r="B1011" s="19" t="s">
        <v>4335</v>
      </c>
      <c r="C1011" s="19">
        <v>561710</v>
      </c>
      <c r="D1011" s="19" t="s">
        <v>4335</v>
      </c>
    </row>
    <row r="1012" spans="1:4" x14ac:dyDescent="0.25">
      <c r="A1012" s="19">
        <v>561720</v>
      </c>
      <c r="B1012" s="19" t="s">
        <v>4337</v>
      </c>
      <c r="C1012" s="19">
        <v>561720</v>
      </c>
      <c r="D1012" s="19" t="s">
        <v>4337</v>
      </c>
    </row>
    <row r="1013" spans="1:4" x14ac:dyDescent="0.25">
      <c r="A1013" s="19">
        <v>561730</v>
      </c>
      <c r="B1013" s="19" t="s">
        <v>4339</v>
      </c>
      <c r="C1013" s="19">
        <v>561730</v>
      </c>
      <c r="D1013" s="19" t="s">
        <v>4339</v>
      </c>
    </row>
    <row r="1014" spans="1:4" ht="25.5" x14ac:dyDescent="0.25">
      <c r="A1014" s="19">
        <v>561740</v>
      </c>
      <c r="B1014" s="19" t="s">
        <v>4341</v>
      </c>
      <c r="C1014" s="19">
        <v>561740</v>
      </c>
      <c r="D1014" s="19" t="s">
        <v>4341</v>
      </c>
    </row>
    <row r="1015" spans="1:4" ht="25.5" x14ac:dyDescent="0.25">
      <c r="A1015" s="19">
        <v>561790</v>
      </c>
      <c r="B1015" s="19" t="s">
        <v>4343</v>
      </c>
      <c r="C1015" s="19">
        <v>561790</v>
      </c>
      <c r="D1015" s="19" t="s">
        <v>4343</v>
      </c>
    </row>
    <row r="1016" spans="1:4" x14ac:dyDescent="0.25">
      <c r="A1016" s="19">
        <v>561910</v>
      </c>
      <c r="B1016" s="19" t="s">
        <v>4345</v>
      </c>
      <c r="C1016" s="19">
        <v>561910</v>
      </c>
      <c r="D1016" s="19" t="s">
        <v>4345</v>
      </c>
    </row>
    <row r="1017" spans="1:4" x14ac:dyDescent="0.25">
      <c r="A1017" s="19">
        <v>561920</v>
      </c>
      <c r="B1017" s="19" t="s">
        <v>4347</v>
      </c>
      <c r="C1017" s="19">
        <v>561920</v>
      </c>
      <c r="D1017" s="19" t="s">
        <v>4347</v>
      </c>
    </row>
    <row r="1018" spans="1:4" x14ac:dyDescent="0.25">
      <c r="A1018" s="19">
        <v>561990</v>
      </c>
      <c r="B1018" s="19" t="s">
        <v>4349</v>
      </c>
      <c r="C1018" s="19">
        <v>561990</v>
      </c>
      <c r="D1018" s="19" t="s">
        <v>4349</v>
      </c>
    </row>
    <row r="1019" spans="1:4" x14ac:dyDescent="0.25">
      <c r="A1019" s="19">
        <v>562111</v>
      </c>
      <c r="B1019" s="19" t="s">
        <v>4351</v>
      </c>
      <c r="C1019" s="19">
        <v>562111</v>
      </c>
      <c r="D1019" s="19" t="s">
        <v>4351</v>
      </c>
    </row>
    <row r="1020" spans="1:4" x14ac:dyDescent="0.25">
      <c r="A1020" s="19">
        <v>562112</v>
      </c>
      <c r="B1020" s="19" t="s">
        <v>4353</v>
      </c>
      <c r="C1020" s="19">
        <v>562112</v>
      </c>
      <c r="D1020" s="19" t="s">
        <v>4353</v>
      </c>
    </row>
    <row r="1021" spans="1:4" x14ac:dyDescent="0.25">
      <c r="A1021" s="19">
        <v>562119</v>
      </c>
      <c r="B1021" s="19" t="s">
        <v>4355</v>
      </c>
      <c r="C1021" s="19">
        <v>562119</v>
      </c>
      <c r="D1021" s="19" t="s">
        <v>4355</v>
      </c>
    </row>
    <row r="1022" spans="1:4" ht="25.5" x14ac:dyDescent="0.25">
      <c r="A1022" s="19">
        <v>562211</v>
      </c>
      <c r="B1022" s="19" t="s">
        <v>2409</v>
      </c>
      <c r="C1022" s="19">
        <v>562211</v>
      </c>
      <c r="D1022" s="19" t="s">
        <v>2409</v>
      </c>
    </row>
    <row r="1023" spans="1:4" x14ac:dyDescent="0.25">
      <c r="A1023" s="19">
        <v>562212</v>
      </c>
      <c r="B1023" s="19" t="s">
        <v>4358</v>
      </c>
      <c r="C1023" s="19">
        <v>562212</v>
      </c>
      <c r="D1023" s="19" t="s">
        <v>4358</v>
      </c>
    </row>
    <row r="1024" spans="1:4" ht="25.5" x14ac:dyDescent="0.25">
      <c r="A1024" s="19">
        <v>562213</v>
      </c>
      <c r="B1024" s="19" t="s">
        <v>2416</v>
      </c>
      <c r="C1024" s="19">
        <v>562213</v>
      </c>
      <c r="D1024" s="19" t="s">
        <v>2416</v>
      </c>
    </row>
    <row r="1025" spans="1:4" ht="25.5" x14ac:dyDescent="0.25">
      <c r="A1025" s="19">
        <v>562219</v>
      </c>
      <c r="B1025" s="19" t="s">
        <v>4361</v>
      </c>
      <c r="C1025" s="19">
        <v>562219</v>
      </c>
      <c r="D1025" s="19" t="s">
        <v>4361</v>
      </c>
    </row>
    <row r="1026" spans="1:4" x14ac:dyDescent="0.25">
      <c r="A1026" s="19">
        <v>562910</v>
      </c>
      <c r="B1026" s="19" t="s">
        <v>4363</v>
      </c>
      <c r="C1026" s="19">
        <v>562910</v>
      </c>
      <c r="D1026" s="19" t="s">
        <v>4363</v>
      </c>
    </row>
    <row r="1027" spans="1:4" x14ac:dyDescent="0.25">
      <c r="A1027" s="19">
        <v>562920</v>
      </c>
      <c r="B1027" s="19" t="s">
        <v>4365</v>
      </c>
      <c r="C1027" s="19">
        <v>562920</v>
      </c>
      <c r="D1027" s="19" t="s">
        <v>4365</v>
      </c>
    </row>
    <row r="1028" spans="1:4" x14ac:dyDescent="0.25">
      <c r="A1028" s="19">
        <v>562991</v>
      </c>
      <c r="B1028" s="19" t="s">
        <v>4367</v>
      </c>
      <c r="C1028" s="19">
        <v>562991</v>
      </c>
      <c r="D1028" s="19" t="s">
        <v>4367</v>
      </c>
    </row>
    <row r="1029" spans="1:4" ht="25.5" x14ac:dyDescent="0.25">
      <c r="A1029" s="19">
        <v>562998</v>
      </c>
      <c r="B1029" s="19" t="s">
        <v>4369</v>
      </c>
      <c r="C1029" s="19">
        <v>562998</v>
      </c>
      <c r="D1029" s="19" t="s">
        <v>4369</v>
      </c>
    </row>
    <row r="1030" spans="1:4" x14ac:dyDescent="0.25">
      <c r="A1030" s="19">
        <v>611110</v>
      </c>
      <c r="B1030" s="19" t="s">
        <v>4371</v>
      </c>
      <c r="C1030" s="19">
        <v>611110</v>
      </c>
      <c r="D1030" s="19" t="s">
        <v>4371</v>
      </c>
    </row>
    <row r="1031" spans="1:4" x14ac:dyDescent="0.25">
      <c r="A1031" s="19">
        <v>611210</v>
      </c>
      <c r="B1031" s="19" t="s">
        <v>4373</v>
      </c>
      <c r="C1031" s="19">
        <v>611210</v>
      </c>
      <c r="D1031" s="19" t="s">
        <v>4373</v>
      </c>
    </row>
    <row r="1032" spans="1:4" ht="25.5" x14ac:dyDescent="0.25">
      <c r="A1032" s="19">
        <v>611310</v>
      </c>
      <c r="B1032" s="19" t="s">
        <v>4375</v>
      </c>
      <c r="C1032" s="19">
        <v>611310</v>
      </c>
      <c r="D1032" s="19" t="s">
        <v>4375</v>
      </c>
    </row>
    <row r="1033" spans="1:4" x14ac:dyDescent="0.25">
      <c r="A1033" s="19">
        <v>611410</v>
      </c>
      <c r="B1033" s="19" t="s">
        <v>4377</v>
      </c>
      <c r="C1033" s="19">
        <v>611410</v>
      </c>
      <c r="D1033" s="19" t="s">
        <v>4377</v>
      </c>
    </row>
    <row r="1034" spans="1:4" x14ac:dyDescent="0.25">
      <c r="A1034" s="19">
        <v>611420</v>
      </c>
      <c r="B1034" s="19" t="s">
        <v>4379</v>
      </c>
      <c r="C1034" s="19">
        <v>611420</v>
      </c>
      <c r="D1034" s="19" t="s">
        <v>4379</v>
      </c>
    </row>
    <row r="1035" spans="1:4" ht="25.5" x14ac:dyDescent="0.25">
      <c r="A1035" s="19">
        <v>611430</v>
      </c>
      <c r="B1035" s="19" t="s">
        <v>4381</v>
      </c>
      <c r="C1035" s="19">
        <v>611430</v>
      </c>
      <c r="D1035" s="19" t="s">
        <v>4381</v>
      </c>
    </row>
    <row r="1036" spans="1:4" x14ac:dyDescent="0.25">
      <c r="A1036" s="19">
        <v>611511</v>
      </c>
      <c r="B1036" s="19" t="s">
        <v>4383</v>
      </c>
      <c r="C1036" s="19">
        <v>611511</v>
      </c>
      <c r="D1036" s="19" t="s">
        <v>4383</v>
      </c>
    </row>
    <row r="1037" spans="1:4" x14ac:dyDescent="0.25">
      <c r="A1037" s="19">
        <v>611512</v>
      </c>
      <c r="B1037" s="19" t="s">
        <v>4385</v>
      </c>
      <c r="C1037" s="19">
        <v>611512</v>
      </c>
      <c r="D1037" s="19" t="s">
        <v>4385</v>
      </c>
    </row>
    <row r="1038" spans="1:4" x14ac:dyDescent="0.25">
      <c r="A1038" s="19">
        <v>611513</v>
      </c>
      <c r="B1038" s="19" t="s">
        <v>4387</v>
      </c>
      <c r="C1038" s="19">
        <v>611513</v>
      </c>
      <c r="D1038" s="19" t="s">
        <v>4387</v>
      </c>
    </row>
    <row r="1039" spans="1:4" x14ac:dyDescent="0.25">
      <c r="A1039" s="19">
        <v>611519</v>
      </c>
      <c r="B1039" s="19" t="s">
        <v>4389</v>
      </c>
      <c r="C1039" s="19">
        <v>611519</v>
      </c>
      <c r="D1039" s="19" t="s">
        <v>4389</v>
      </c>
    </row>
    <row r="1040" spans="1:4" x14ac:dyDescent="0.25">
      <c r="A1040" s="19">
        <v>611610</v>
      </c>
      <c r="B1040" s="19" t="s">
        <v>4391</v>
      </c>
      <c r="C1040" s="19">
        <v>611610</v>
      </c>
      <c r="D1040" s="19" t="s">
        <v>4391</v>
      </c>
    </row>
    <row r="1041" spans="1:4" x14ac:dyDescent="0.25">
      <c r="A1041" s="19">
        <v>611620</v>
      </c>
      <c r="B1041" s="19" t="s">
        <v>4393</v>
      </c>
      <c r="C1041" s="19">
        <v>611620</v>
      </c>
      <c r="D1041" s="19" t="s">
        <v>4393</v>
      </c>
    </row>
    <row r="1042" spans="1:4" x14ac:dyDescent="0.25">
      <c r="A1042" s="19">
        <v>611630</v>
      </c>
      <c r="B1042" s="19" t="s">
        <v>4395</v>
      </c>
      <c r="C1042" s="19">
        <v>611630</v>
      </c>
      <c r="D1042" s="19" t="s">
        <v>4395</v>
      </c>
    </row>
    <row r="1043" spans="1:4" x14ac:dyDescent="0.25">
      <c r="A1043" s="19">
        <v>611691</v>
      </c>
      <c r="B1043" s="19" t="s">
        <v>4397</v>
      </c>
      <c r="C1043" s="19">
        <v>611691</v>
      </c>
      <c r="D1043" s="19" t="s">
        <v>4397</v>
      </c>
    </row>
    <row r="1044" spans="1:4" x14ac:dyDescent="0.25">
      <c r="A1044" s="19">
        <v>611692</v>
      </c>
      <c r="B1044" s="19" t="s">
        <v>4399</v>
      </c>
      <c r="C1044" s="19">
        <v>611692</v>
      </c>
      <c r="D1044" s="19" t="s">
        <v>4399</v>
      </c>
    </row>
    <row r="1045" spans="1:4" ht="25.5" x14ac:dyDescent="0.25">
      <c r="A1045" s="19">
        <v>611699</v>
      </c>
      <c r="B1045" s="19" t="s">
        <v>4401</v>
      </c>
      <c r="C1045" s="19">
        <v>611699</v>
      </c>
      <c r="D1045" s="19" t="s">
        <v>4401</v>
      </c>
    </row>
    <row r="1046" spans="1:4" x14ac:dyDescent="0.25">
      <c r="A1046" s="19">
        <v>611710</v>
      </c>
      <c r="B1046" s="19" t="s">
        <v>4403</v>
      </c>
      <c r="C1046" s="19">
        <v>611710</v>
      </c>
      <c r="D1046" s="19" t="s">
        <v>4403</v>
      </c>
    </row>
    <row r="1047" spans="1:4" ht="25.5" x14ac:dyDescent="0.25">
      <c r="A1047" s="19">
        <v>621111</v>
      </c>
      <c r="B1047" s="19" t="s">
        <v>4405</v>
      </c>
      <c r="C1047" s="19">
        <v>621111</v>
      </c>
      <c r="D1047" s="19" t="s">
        <v>4405</v>
      </c>
    </row>
    <row r="1048" spans="1:4" ht="25.5" x14ac:dyDescent="0.25">
      <c r="A1048" s="19">
        <v>621112</v>
      </c>
      <c r="B1048" s="19" t="s">
        <v>4407</v>
      </c>
      <c r="C1048" s="19">
        <v>621112</v>
      </c>
      <c r="D1048" s="19" t="s">
        <v>4407</v>
      </c>
    </row>
    <row r="1049" spans="1:4" x14ac:dyDescent="0.25">
      <c r="A1049" s="19">
        <v>621210</v>
      </c>
      <c r="B1049" s="19" t="s">
        <v>4409</v>
      </c>
      <c r="C1049" s="19">
        <v>621210</v>
      </c>
      <c r="D1049" s="19" t="s">
        <v>4409</v>
      </c>
    </row>
    <row r="1050" spans="1:4" x14ac:dyDescent="0.25">
      <c r="A1050" s="19">
        <v>621310</v>
      </c>
      <c r="B1050" s="19" t="s">
        <v>4411</v>
      </c>
      <c r="C1050" s="19">
        <v>621310</v>
      </c>
      <c r="D1050" s="19" t="s">
        <v>4411</v>
      </c>
    </row>
    <row r="1051" spans="1:4" x14ac:dyDescent="0.25">
      <c r="A1051" s="19">
        <v>621320</v>
      </c>
      <c r="B1051" s="19" t="s">
        <v>4413</v>
      </c>
      <c r="C1051" s="19">
        <v>621320</v>
      </c>
      <c r="D1051" s="19" t="s">
        <v>4413</v>
      </c>
    </row>
    <row r="1052" spans="1:4" ht="25.5" x14ac:dyDescent="0.25">
      <c r="A1052" s="19">
        <v>621330</v>
      </c>
      <c r="B1052" s="19" t="s">
        <v>4415</v>
      </c>
      <c r="C1052" s="19">
        <v>621330</v>
      </c>
      <c r="D1052" s="19" t="s">
        <v>4415</v>
      </c>
    </row>
    <row r="1053" spans="1:4" ht="25.5" x14ac:dyDescent="0.25">
      <c r="A1053" s="19">
        <v>621340</v>
      </c>
      <c r="B1053" s="19" t="s">
        <v>4417</v>
      </c>
      <c r="C1053" s="19">
        <v>621340</v>
      </c>
      <c r="D1053" s="19" t="s">
        <v>4417</v>
      </c>
    </row>
    <row r="1054" spans="1:4" x14ac:dyDescent="0.25">
      <c r="A1054" s="19">
        <v>621391</v>
      </c>
      <c r="B1054" s="19" t="s">
        <v>4419</v>
      </c>
      <c r="C1054" s="19">
        <v>621391</v>
      </c>
      <c r="D1054" s="19" t="s">
        <v>4419</v>
      </c>
    </row>
    <row r="1055" spans="1:4" ht="25.5" x14ac:dyDescent="0.25">
      <c r="A1055" s="19">
        <v>621399</v>
      </c>
      <c r="B1055" s="19" t="s">
        <v>4421</v>
      </c>
      <c r="C1055" s="19">
        <v>621399</v>
      </c>
      <c r="D1055" s="19" t="s">
        <v>4421</v>
      </c>
    </row>
    <row r="1056" spans="1:4" x14ac:dyDescent="0.25">
      <c r="A1056" s="19">
        <v>621410</v>
      </c>
      <c r="B1056" s="19" t="s">
        <v>4423</v>
      </c>
      <c r="C1056" s="19">
        <v>621410</v>
      </c>
      <c r="D1056" s="19" t="s">
        <v>4423</v>
      </c>
    </row>
    <row r="1057" spans="1:4" ht="25.5" x14ac:dyDescent="0.25">
      <c r="A1057" s="19">
        <v>621420</v>
      </c>
      <c r="B1057" s="19" t="s">
        <v>4425</v>
      </c>
      <c r="C1057" s="19">
        <v>621420</v>
      </c>
      <c r="D1057" s="19" t="s">
        <v>4425</v>
      </c>
    </row>
    <row r="1058" spans="1:4" x14ac:dyDescent="0.25">
      <c r="A1058" s="19">
        <v>621491</v>
      </c>
      <c r="B1058" s="19" t="s">
        <v>4427</v>
      </c>
      <c r="C1058" s="19">
        <v>621491</v>
      </c>
      <c r="D1058" s="19" t="s">
        <v>4427</v>
      </c>
    </row>
    <row r="1059" spans="1:4" x14ac:dyDescent="0.25">
      <c r="A1059" s="19">
        <v>621492</v>
      </c>
      <c r="B1059" s="19" t="s">
        <v>4429</v>
      </c>
      <c r="C1059" s="19">
        <v>621492</v>
      </c>
      <c r="D1059" s="19" t="s">
        <v>4429</v>
      </c>
    </row>
    <row r="1060" spans="1:4" ht="25.5" x14ac:dyDescent="0.25">
      <c r="A1060" s="19">
        <v>621493</v>
      </c>
      <c r="B1060" s="19" t="s">
        <v>4431</v>
      </c>
      <c r="C1060" s="19">
        <v>621493</v>
      </c>
      <c r="D1060" s="19" t="s">
        <v>4431</v>
      </c>
    </row>
    <row r="1061" spans="1:4" x14ac:dyDescent="0.25">
      <c r="A1061" s="19">
        <v>621498</v>
      </c>
      <c r="B1061" s="19" t="s">
        <v>4433</v>
      </c>
      <c r="C1061" s="19">
        <v>621498</v>
      </c>
      <c r="D1061" s="19" t="s">
        <v>4433</v>
      </c>
    </row>
    <row r="1062" spans="1:4" x14ac:dyDescent="0.25">
      <c r="A1062" s="19">
        <v>621511</v>
      </c>
      <c r="B1062" s="19" t="s">
        <v>4434</v>
      </c>
      <c r="C1062" s="19">
        <v>621511</v>
      </c>
      <c r="D1062" s="19" t="s">
        <v>4434</v>
      </c>
    </row>
    <row r="1063" spans="1:4" x14ac:dyDescent="0.25">
      <c r="A1063" s="19">
        <v>621512</v>
      </c>
      <c r="B1063" s="19" t="s">
        <v>4436</v>
      </c>
      <c r="C1063" s="19">
        <v>621512</v>
      </c>
      <c r="D1063" s="19" t="s">
        <v>4436</v>
      </c>
    </row>
    <row r="1064" spans="1:4" x14ac:dyDescent="0.25">
      <c r="A1064" s="19">
        <v>621610</v>
      </c>
      <c r="B1064" s="19" t="s">
        <v>4438</v>
      </c>
      <c r="C1064" s="19">
        <v>621610</v>
      </c>
      <c r="D1064" s="19" t="s">
        <v>4438</v>
      </c>
    </row>
    <row r="1065" spans="1:4" x14ac:dyDescent="0.25">
      <c r="A1065" s="19">
        <v>621910</v>
      </c>
      <c r="B1065" s="19" t="s">
        <v>4440</v>
      </c>
      <c r="C1065" s="19">
        <v>621910</v>
      </c>
      <c r="D1065" s="19" t="s">
        <v>4440</v>
      </c>
    </row>
    <row r="1066" spans="1:4" x14ac:dyDescent="0.25">
      <c r="A1066" s="19">
        <v>621991</v>
      </c>
      <c r="B1066" s="19" t="s">
        <v>4442</v>
      </c>
      <c r="C1066" s="19">
        <v>621991</v>
      </c>
      <c r="D1066" s="19" t="s">
        <v>4442</v>
      </c>
    </row>
    <row r="1067" spans="1:4" ht="25.5" x14ac:dyDescent="0.25">
      <c r="A1067" s="19">
        <v>621999</v>
      </c>
      <c r="B1067" s="19" t="s">
        <v>4444</v>
      </c>
      <c r="C1067" s="19">
        <v>621999</v>
      </c>
      <c r="D1067" s="19" t="s">
        <v>4444</v>
      </c>
    </row>
    <row r="1068" spans="1:4" x14ac:dyDescent="0.25">
      <c r="A1068" s="19">
        <v>622110</v>
      </c>
      <c r="B1068" s="19" t="s">
        <v>4446</v>
      </c>
      <c r="C1068" s="19">
        <v>622110</v>
      </c>
      <c r="D1068" s="19" t="s">
        <v>4446</v>
      </c>
    </row>
    <row r="1069" spans="1:4" ht="25.5" x14ac:dyDescent="0.25">
      <c r="A1069" s="19">
        <v>622210</v>
      </c>
      <c r="B1069" s="19" t="s">
        <v>4448</v>
      </c>
      <c r="C1069" s="19">
        <v>622210</v>
      </c>
      <c r="D1069" s="19" t="s">
        <v>4448</v>
      </c>
    </row>
    <row r="1070" spans="1:4" ht="25.5" x14ac:dyDescent="0.25">
      <c r="A1070" s="19">
        <v>622310</v>
      </c>
      <c r="B1070" s="19" t="s">
        <v>4450</v>
      </c>
      <c r="C1070" s="19">
        <v>622310</v>
      </c>
      <c r="D1070" s="19" t="s">
        <v>4450</v>
      </c>
    </row>
    <row r="1071" spans="1:4" x14ac:dyDescent="0.25">
      <c r="A1071" s="19">
        <v>623110</v>
      </c>
      <c r="B1071" s="19" t="s">
        <v>6010</v>
      </c>
      <c r="C1071" s="19">
        <v>623110</v>
      </c>
      <c r="D1071" s="19" t="s">
        <v>6010</v>
      </c>
    </row>
    <row r="1072" spans="1:4" x14ac:dyDescent="0.25">
      <c r="A1072" s="19">
        <v>623210</v>
      </c>
      <c r="B1072" s="19" t="s">
        <v>6011</v>
      </c>
      <c r="C1072" s="19">
        <v>623210</v>
      </c>
      <c r="D1072" s="19" t="s">
        <v>6011</v>
      </c>
    </row>
    <row r="1073" spans="1:4" ht="25.5" x14ac:dyDescent="0.25">
      <c r="A1073" s="19">
        <v>623220</v>
      </c>
      <c r="B1073" s="19" t="s">
        <v>4456</v>
      </c>
      <c r="C1073" s="19">
        <v>623220</v>
      </c>
      <c r="D1073" s="19" t="s">
        <v>4456</v>
      </c>
    </row>
    <row r="1074" spans="1:4" ht="25.5" x14ac:dyDescent="0.25">
      <c r="A1074" s="19">
        <v>623311</v>
      </c>
      <c r="B1074" s="19" t="s">
        <v>4458</v>
      </c>
      <c r="C1074" s="19">
        <v>623311</v>
      </c>
      <c r="D1074" s="19" t="s">
        <v>4458</v>
      </c>
    </row>
    <row r="1075" spans="1:4" x14ac:dyDescent="0.25">
      <c r="A1075" s="19">
        <v>623312</v>
      </c>
      <c r="B1075" s="19" t="s">
        <v>6015</v>
      </c>
      <c r="C1075" s="19">
        <v>623312</v>
      </c>
      <c r="D1075" s="19" t="s">
        <v>6015</v>
      </c>
    </row>
    <row r="1076" spans="1:4" x14ac:dyDescent="0.25">
      <c r="A1076" s="19">
        <v>623990</v>
      </c>
      <c r="B1076" s="19" t="s">
        <v>4462</v>
      </c>
      <c r="C1076" s="19">
        <v>623990</v>
      </c>
      <c r="D1076" s="19" t="s">
        <v>4462</v>
      </c>
    </row>
    <row r="1077" spans="1:4" x14ac:dyDescent="0.25">
      <c r="A1077" s="19">
        <v>624110</v>
      </c>
      <c r="B1077" s="19" t="s">
        <v>4464</v>
      </c>
      <c r="C1077" s="19">
        <v>624110</v>
      </c>
      <c r="D1077" s="19" t="s">
        <v>4464</v>
      </c>
    </row>
    <row r="1078" spans="1:4" ht="25.5" x14ac:dyDescent="0.25">
      <c r="A1078" s="19">
        <v>624120</v>
      </c>
      <c r="B1078" s="19" t="s">
        <v>4466</v>
      </c>
      <c r="C1078" s="19">
        <v>624120</v>
      </c>
      <c r="D1078" s="19" t="s">
        <v>4466</v>
      </c>
    </row>
    <row r="1079" spans="1:4" x14ac:dyDescent="0.25">
      <c r="A1079" s="19">
        <v>624190</v>
      </c>
      <c r="B1079" s="19" t="s">
        <v>4468</v>
      </c>
      <c r="C1079" s="19">
        <v>624190</v>
      </c>
      <c r="D1079" s="19" t="s">
        <v>4468</v>
      </c>
    </row>
    <row r="1080" spans="1:4" x14ac:dyDescent="0.25">
      <c r="A1080" s="19">
        <v>624210</v>
      </c>
      <c r="B1080" s="19" t="s">
        <v>4470</v>
      </c>
      <c r="C1080" s="19">
        <v>624210</v>
      </c>
      <c r="D1080" s="19" t="s">
        <v>4470</v>
      </c>
    </row>
    <row r="1081" spans="1:4" x14ac:dyDescent="0.25">
      <c r="A1081" s="19">
        <v>624221</v>
      </c>
      <c r="B1081" s="19" t="s">
        <v>4472</v>
      </c>
      <c r="C1081" s="19">
        <v>624221</v>
      </c>
      <c r="D1081" s="19" t="s">
        <v>4472</v>
      </c>
    </row>
    <row r="1082" spans="1:4" x14ac:dyDescent="0.25">
      <c r="A1082" s="19">
        <v>624229</v>
      </c>
      <c r="B1082" s="19" t="s">
        <v>4474</v>
      </c>
      <c r="C1082" s="19">
        <v>624229</v>
      </c>
      <c r="D1082" s="19" t="s">
        <v>4474</v>
      </c>
    </row>
    <row r="1083" spans="1:4" x14ac:dyDescent="0.25">
      <c r="A1083" s="19">
        <v>624230</v>
      </c>
      <c r="B1083" s="19" t="s">
        <v>4476</v>
      </c>
      <c r="C1083" s="19">
        <v>624230</v>
      </c>
      <c r="D1083" s="19" t="s">
        <v>4476</v>
      </c>
    </row>
    <row r="1084" spans="1:4" x14ac:dyDescent="0.25">
      <c r="A1084" s="19">
        <v>624310</v>
      </c>
      <c r="B1084" s="19" t="s">
        <v>4478</v>
      </c>
      <c r="C1084" s="19">
        <v>624310</v>
      </c>
      <c r="D1084" s="19" t="s">
        <v>4478</v>
      </c>
    </row>
    <row r="1085" spans="1:4" x14ac:dyDescent="0.25">
      <c r="A1085" s="19">
        <v>624410</v>
      </c>
      <c r="B1085" s="19" t="s">
        <v>4480</v>
      </c>
      <c r="C1085" s="19">
        <v>624410</v>
      </c>
      <c r="D1085" s="19" t="s">
        <v>4480</v>
      </c>
    </row>
    <row r="1086" spans="1:4" x14ac:dyDescent="0.25">
      <c r="A1086" s="19">
        <v>711110</v>
      </c>
      <c r="B1086" s="19" t="s">
        <v>4482</v>
      </c>
      <c r="C1086" s="19">
        <v>711110</v>
      </c>
      <c r="D1086" s="19" t="s">
        <v>4482</v>
      </c>
    </row>
    <row r="1087" spans="1:4" x14ac:dyDescent="0.25">
      <c r="A1087" s="19">
        <v>711120</v>
      </c>
      <c r="B1087" s="19" t="s">
        <v>4484</v>
      </c>
      <c r="C1087" s="19">
        <v>711120</v>
      </c>
      <c r="D1087" s="19" t="s">
        <v>4484</v>
      </c>
    </row>
    <row r="1088" spans="1:4" x14ac:dyDescent="0.25">
      <c r="A1088" s="19">
        <v>711130</v>
      </c>
      <c r="B1088" s="19" t="s">
        <v>4486</v>
      </c>
      <c r="C1088" s="19">
        <v>711130</v>
      </c>
      <c r="D1088" s="19" t="s">
        <v>4486</v>
      </c>
    </row>
    <row r="1089" spans="1:4" x14ac:dyDescent="0.25">
      <c r="A1089" s="19">
        <v>711190</v>
      </c>
      <c r="B1089" s="19" t="s">
        <v>4488</v>
      </c>
      <c r="C1089" s="19">
        <v>711190</v>
      </c>
      <c r="D1089" s="19" t="s">
        <v>4488</v>
      </c>
    </row>
    <row r="1090" spans="1:4" x14ac:dyDescent="0.25">
      <c r="A1090" s="19">
        <v>711211</v>
      </c>
      <c r="B1090" s="19" t="s">
        <v>4490</v>
      </c>
      <c r="C1090" s="19">
        <v>711211</v>
      </c>
      <c r="D1090" s="19" t="s">
        <v>4490</v>
      </c>
    </row>
    <row r="1091" spans="1:4" x14ac:dyDescent="0.25">
      <c r="A1091" s="19">
        <v>711212</v>
      </c>
      <c r="B1091" s="19" t="s">
        <v>4492</v>
      </c>
      <c r="C1091" s="19">
        <v>711212</v>
      </c>
      <c r="D1091" s="19" t="s">
        <v>4492</v>
      </c>
    </row>
    <row r="1092" spans="1:4" x14ac:dyDescent="0.25">
      <c r="A1092" s="19">
        <v>711219</v>
      </c>
      <c r="B1092" s="19" t="s">
        <v>4494</v>
      </c>
      <c r="C1092" s="19">
        <v>711219</v>
      </c>
      <c r="D1092" s="19" t="s">
        <v>4494</v>
      </c>
    </row>
    <row r="1093" spans="1:4" ht="25.5" x14ac:dyDescent="0.25">
      <c r="A1093" s="19">
        <v>711310</v>
      </c>
      <c r="B1093" s="19" t="s">
        <v>4496</v>
      </c>
      <c r="C1093" s="19">
        <v>711310</v>
      </c>
      <c r="D1093" s="19" t="s">
        <v>4496</v>
      </c>
    </row>
    <row r="1094" spans="1:4" ht="25.5" x14ac:dyDescent="0.25">
      <c r="A1094" s="19">
        <v>711320</v>
      </c>
      <c r="B1094" s="19" t="s">
        <v>4498</v>
      </c>
      <c r="C1094" s="19">
        <v>711320</v>
      </c>
      <c r="D1094" s="19" t="s">
        <v>4498</v>
      </c>
    </row>
    <row r="1095" spans="1:4" ht="38.25" x14ac:dyDescent="0.25">
      <c r="A1095" s="19">
        <v>711410</v>
      </c>
      <c r="B1095" s="19" t="s">
        <v>4500</v>
      </c>
      <c r="C1095" s="19">
        <v>711410</v>
      </c>
      <c r="D1095" s="19" t="s">
        <v>4500</v>
      </c>
    </row>
    <row r="1096" spans="1:4" ht="25.5" x14ac:dyDescent="0.25">
      <c r="A1096" s="19">
        <v>711510</v>
      </c>
      <c r="B1096" s="19" t="s">
        <v>4502</v>
      </c>
      <c r="C1096" s="19">
        <v>711510</v>
      </c>
      <c r="D1096" s="19" t="s">
        <v>4502</v>
      </c>
    </row>
    <row r="1097" spans="1:4" x14ac:dyDescent="0.25">
      <c r="A1097" s="19">
        <v>712110</v>
      </c>
      <c r="B1097" s="19" t="s">
        <v>4504</v>
      </c>
      <c r="C1097" s="19">
        <v>712110</v>
      </c>
      <c r="D1097" s="19" t="s">
        <v>4504</v>
      </c>
    </row>
    <row r="1098" spans="1:4" x14ac:dyDescent="0.25">
      <c r="A1098" s="19">
        <v>712120</v>
      </c>
      <c r="B1098" s="19" t="s">
        <v>4506</v>
      </c>
      <c r="C1098" s="19">
        <v>712120</v>
      </c>
      <c r="D1098" s="19" t="s">
        <v>4506</v>
      </c>
    </row>
    <row r="1099" spans="1:4" x14ac:dyDescent="0.25">
      <c r="A1099" s="19">
        <v>712130</v>
      </c>
      <c r="B1099" s="19" t="s">
        <v>4508</v>
      </c>
      <c r="C1099" s="19">
        <v>712130</v>
      </c>
      <c r="D1099" s="19" t="s">
        <v>4508</v>
      </c>
    </row>
    <row r="1100" spans="1:4" ht="25.5" x14ac:dyDescent="0.25">
      <c r="A1100" s="19">
        <v>712190</v>
      </c>
      <c r="B1100" s="19" t="s">
        <v>4510</v>
      </c>
      <c r="C1100" s="19">
        <v>712190</v>
      </c>
      <c r="D1100" s="19" t="s">
        <v>4510</v>
      </c>
    </row>
    <row r="1101" spans="1:4" x14ac:dyDescent="0.25">
      <c r="A1101" s="19">
        <v>713110</v>
      </c>
      <c r="B1101" s="19" t="s">
        <v>4512</v>
      </c>
      <c r="C1101" s="19">
        <v>713110</v>
      </c>
      <c r="D1101" s="19" t="s">
        <v>4512</v>
      </c>
    </row>
    <row r="1102" spans="1:4" x14ac:dyDescent="0.25">
      <c r="A1102" s="19">
        <v>713120</v>
      </c>
      <c r="B1102" s="19" t="s">
        <v>4514</v>
      </c>
      <c r="C1102" s="19">
        <v>713120</v>
      </c>
      <c r="D1102" s="19" t="s">
        <v>4514</v>
      </c>
    </row>
    <row r="1103" spans="1:4" x14ac:dyDescent="0.25">
      <c r="A1103" s="19">
        <v>713210</v>
      </c>
      <c r="B1103" s="19" t="s">
        <v>4516</v>
      </c>
      <c r="C1103" s="19">
        <v>713210</v>
      </c>
      <c r="D1103" s="19" t="s">
        <v>4516</v>
      </c>
    </row>
    <row r="1104" spans="1:4" x14ac:dyDescent="0.25">
      <c r="A1104" s="19">
        <v>713290</v>
      </c>
      <c r="B1104" s="19" t="s">
        <v>4518</v>
      </c>
      <c r="C1104" s="19">
        <v>713290</v>
      </c>
      <c r="D1104" s="19" t="s">
        <v>4518</v>
      </c>
    </row>
    <row r="1105" spans="1:4" x14ac:dyDescent="0.25">
      <c r="A1105" s="19">
        <v>713910</v>
      </c>
      <c r="B1105" s="19" t="s">
        <v>4520</v>
      </c>
      <c r="C1105" s="19">
        <v>713910</v>
      </c>
      <c r="D1105" s="19" t="s">
        <v>4520</v>
      </c>
    </row>
    <row r="1106" spans="1:4" x14ac:dyDescent="0.25">
      <c r="A1106" s="19">
        <v>713920</v>
      </c>
      <c r="B1106" s="19" t="s">
        <v>4522</v>
      </c>
      <c r="C1106" s="19">
        <v>713920</v>
      </c>
      <c r="D1106" s="19" t="s">
        <v>4522</v>
      </c>
    </row>
    <row r="1107" spans="1:4" x14ac:dyDescent="0.25">
      <c r="A1107" s="19">
        <v>713930</v>
      </c>
      <c r="B1107" s="19" t="s">
        <v>4524</v>
      </c>
      <c r="C1107" s="19">
        <v>713930</v>
      </c>
      <c r="D1107" s="19" t="s">
        <v>4524</v>
      </c>
    </row>
    <row r="1108" spans="1:4" x14ac:dyDescent="0.25">
      <c r="A1108" s="19">
        <v>713940</v>
      </c>
      <c r="B1108" s="19" t="s">
        <v>4526</v>
      </c>
      <c r="C1108" s="19">
        <v>713940</v>
      </c>
      <c r="D1108" s="19" t="s">
        <v>4526</v>
      </c>
    </row>
    <row r="1109" spans="1:4" x14ac:dyDescent="0.25">
      <c r="A1109" s="19">
        <v>713950</v>
      </c>
      <c r="B1109" s="19" t="s">
        <v>4528</v>
      </c>
      <c r="C1109" s="19">
        <v>713950</v>
      </c>
      <c r="D1109" s="19" t="s">
        <v>4528</v>
      </c>
    </row>
    <row r="1110" spans="1:4" ht="25.5" x14ac:dyDescent="0.25">
      <c r="A1110" s="19">
        <v>713990</v>
      </c>
      <c r="B1110" s="19" t="s">
        <v>4530</v>
      </c>
      <c r="C1110" s="19">
        <v>713990</v>
      </c>
      <c r="D1110" s="19" t="s">
        <v>4530</v>
      </c>
    </row>
    <row r="1111" spans="1:4" ht="25.5" x14ac:dyDescent="0.25">
      <c r="A1111" s="19">
        <v>721110</v>
      </c>
      <c r="B1111" s="19" t="s">
        <v>4532</v>
      </c>
      <c r="C1111" s="19">
        <v>721110</v>
      </c>
      <c r="D1111" s="19" t="s">
        <v>4532</v>
      </c>
    </row>
    <row r="1112" spans="1:4" x14ac:dyDescent="0.25">
      <c r="A1112" s="19">
        <v>721120</v>
      </c>
      <c r="B1112" s="19" t="s">
        <v>4534</v>
      </c>
      <c r="C1112" s="19">
        <v>721120</v>
      </c>
      <c r="D1112" s="19" t="s">
        <v>4534</v>
      </c>
    </row>
    <row r="1113" spans="1:4" x14ac:dyDescent="0.25">
      <c r="A1113" s="19">
        <v>721191</v>
      </c>
      <c r="B1113" s="19" t="s">
        <v>4536</v>
      </c>
      <c r="C1113" s="19">
        <v>721191</v>
      </c>
      <c r="D1113" s="19" t="s">
        <v>4536</v>
      </c>
    </row>
    <row r="1114" spans="1:4" x14ac:dyDescent="0.25">
      <c r="A1114" s="19">
        <v>721199</v>
      </c>
      <c r="B1114" s="19" t="s">
        <v>4538</v>
      </c>
      <c r="C1114" s="19">
        <v>721199</v>
      </c>
      <c r="D1114" s="19" t="s">
        <v>4538</v>
      </c>
    </row>
    <row r="1115" spans="1:4" ht="25.5" x14ac:dyDescent="0.25">
      <c r="A1115" s="19">
        <v>721211</v>
      </c>
      <c r="B1115" s="19" t="s">
        <v>4540</v>
      </c>
      <c r="C1115" s="19">
        <v>721211</v>
      </c>
      <c r="D1115" s="19" t="s">
        <v>4540</v>
      </c>
    </row>
    <row r="1116" spans="1:4" ht="25.5" x14ac:dyDescent="0.25">
      <c r="A1116" s="19">
        <v>721214</v>
      </c>
      <c r="B1116" s="19" t="s">
        <v>4542</v>
      </c>
      <c r="C1116" s="19">
        <v>721214</v>
      </c>
      <c r="D1116" s="19" t="s">
        <v>4542</v>
      </c>
    </row>
    <row r="1117" spans="1:4" x14ac:dyDescent="0.25">
      <c r="A1117" s="19">
        <v>721310</v>
      </c>
      <c r="B1117" s="19" t="s">
        <v>5260</v>
      </c>
      <c r="C1117" s="19">
        <v>721310</v>
      </c>
      <c r="D1117" s="19" t="s">
        <v>5260</v>
      </c>
    </row>
    <row r="1118" spans="1:4" x14ac:dyDescent="0.25">
      <c r="A1118" s="19">
        <v>722110</v>
      </c>
      <c r="B1118" s="19" t="s">
        <v>4554</v>
      </c>
      <c r="C1118" s="19">
        <v>722110</v>
      </c>
      <c r="D1118" s="19" t="s">
        <v>4554</v>
      </c>
    </row>
    <row r="1119" spans="1:4" x14ac:dyDescent="0.25">
      <c r="A1119" s="19">
        <v>722211</v>
      </c>
      <c r="B1119" s="19" t="s">
        <v>4556</v>
      </c>
      <c r="C1119" s="19">
        <v>722211</v>
      </c>
      <c r="D1119" s="19" t="s">
        <v>4556</v>
      </c>
    </row>
    <row r="1120" spans="1:4" x14ac:dyDescent="0.25">
      <c r="A1120" s="19">
        <v>722212</v>
      </c>
      <c r="B1120" s="19" t="s">
        <v>5982</v>
      </c>
      <c r="C1120" s="19">
        <v>722212</v>
      </c>
      <c r="D1120" s="19" t="s">
        <v>4558</v>
      </c>
    </row>
    <row r="1121" spans="1:4" x14ac:dyDescent="0.25">
      <c r="A1121" s="19">
        <v>722213</v>
      </c>
      <c r="B1121" s="19" t="s">
        <v>4560</v>
      </c>
      <c r="C1121" s="19">
        <v>722213</v>
      </c>
      <c r="D1121" s="19" t="s">
        <v>4560</v>
      </c>
    </row>
    <row r="1122" spans="1:4" x14ac:dyDescent="0.25">
      <c r="A1122" s="19">
        <v>722310</v>
      </c>
      <c r="B1122" s="19" t="s">
        <v>4546</v>
      </c>
      <c r="C1122" s="19">
        <v>722310</v>
      </c>
      <c r="D1122" s="19" t="s">
        <v>4546</v>
      </c>
    </row>
    <row r="1123" spans="1:4" x14ac:dyDescent="0.25">
      <c r="A1123" s="19">
        <v>722320</v>
      </c>
      <c r="B1123" s="19" t="s">
        <v>4548</v>
      </c>
      <c r="C1123" s="19">
        <v>722320</v>
      </c>
      <c r="D1123" s="19" t="s">
        <v>4548</v>
      </c>
    </row>
    <row r="1124" spans="1:4" x14ac:dyDescent="0.25">
      <c r="A1124" s="19">
        <v>722330</v>
      </c>
      <c r="B1124" s="19" t="s">
        <v>4550</v>
      </c>
      <c r="C1124" s="19">
        <v>722330</v>
      </c>
      <c r="D1124" s="19" t="s">
        <v>4550</v>
      </c>
    </row>
    <row r="1125" spans="1:4" x14ac:dyDescent="0.25">
      <c r="A1125" s="19">
        <v>722410</v>
      </c>
      <c r="B1125" s="19" t="s">
        <v>4552</v>
      </c>
      <c r="C1125" s="19">
        <v>722410</v>
      </c>
      <c r="D1125" s="19" t="s">
        <v>4552</v>
      </c>
    </row>
    <row r="1126" spans="1:4" x14ac:dyDescent="0.25">
      <c r="A1126" s="19">
        <v>811111</v>
      </c>
      <c r="B1126" s="19" t="s">
        <v>4562</v>
      </c>
      <c r="C1126" s="19">
        <v>811111</v>
      </c>
      <c r="D1126" s="19" t="s">
        <v>4562</v>
      </c>
    </row>
    <row r="1127" spans="1:4" x14ac:dyDescent="0.25">
      <c r="A1127" s="19">
        <v>811112</v>
      </c>
      <c r="B1127" s="19" t="s">
        <v>4564</v>
      </c>
      <c r="C1127" s="19">
        <v>811112</v>
      </c>
      <c r="D1127" s="19" t="s">
        <v>4564</v>
      </c>
    </row>
    <row r="1128" spans="1:4" x14ac:dyDescent="0.25">
      <c r="A1128" s="19">
        <v>811113</v>
      </c>
      <c r="B1128" s="19" t="s">
        <v>4566</v>
      </c>
      <c r="C1128" s="19">
        <v>811113</v>
      </c>
      <c r="D1128" s="19" t="s">
        <v>4566</v>
      </c>
    </row>
    <row r="1129" spans="1:4" ht="25.5" x14ac:dyDescent="0.25">
      <c r="A1129" s="19">
        <v>811118</v>
      </c>
      <c r="B1129" s="19" t="s">
        <v>4568</v>
      </c>
      <c r="C1129" s="19">
        <v>811118</v>
      </c>
      <c r="D1129" s="19" t="s">
        <v>4568</v>
      </c>
    </row>
    <row r="1130" spans="1:4" ht="25.5" x14ac:dyDescent="0.25">
      <c r="A1130" s="19">
        <v>811121</v>
      </c>
      <c r="B1130" s="19" t="s">
        <v>4569</v>
      </c>
      <c r="C1130" s="19">
        <v>811121</v>
      </c>
      <c r="D1130" s="19" t="s">
        <v>4569</v>
      </c>
    </row>
    <row r="1131" spans="1:4" x14ac:dyDescent="0.25">
      <c r="A1131" s="19">
        <v>811122</v>
      </c>
      <c r="B1131" s="19" t="s">
        <v>4571</v>
      </c>
      <c r="C1131" s="19">
        <v>811122</v>
      </c>
      <c r="D1131" s="19" t="s">
        <v>4571</v>
      </c>
    </row>
    <row r="1132" spans="1:4" ht="25.5" x14ac:dyDescent="0.25">
      <c r="A1132" s="19">
        <v>811191</v>
      </c>
      <c r="B1132" s="19" t="s">
        <v>4573</v>
      </c>
      <c r="C1132" s="19">
        <v>811191</v>
      </c>
      <c r="D1132" s="19" t="s">
        <v>4573</v>
      </c>
    </row>
    <row r="1133" spans="1:4" x14ac:dyDescent="0.25">
      <c r="A1133" s="19">
        <v>811192</v>
      </c>
      <c r="B1133" s="19" t="s">
        <v>4575</v>
      </c>
      <c r="C1133" s="19">
        <v>811192</v>
      </c>
      <c r="D1133" s="19" t="s">
        <v>4575</v>
      </c>
    </row>
    <row r="1134" spans="1:4" ht="25.5" x14ac:dyDescent="0.25">
      <c r="A1134" s="19">
        <v>811198</v>
      </c>
      <c r="B1134" s="19" t="s">
        <v>4577</v>
      </c>
      <c r="C1134" s="19">
        <v>811198</v>
      </c>
      <c r="D1134" s="19" t="s">
        <v>4577</v>
      </c>
    </row>
    <row r="1135" spans="1:4" ht="25.5" x14ac:dyDescent="0.25">
      <c r="A1135" s="19">
        <v>811211</v>
      </c>
      <c r="B1135" s="19" t="s">
        <v>4579</v>
      </c>
      <c r="C1135" s="19">
        <v>811211</v>
      </c>
      <c r="D1135" s="19" t="s">
        <v>4579</v>
      </c>
    </row>
    <row r="1136" spans="1:4" ht="25.5" x14ac:dyDescent="0.25">
      <c r="A1136" s="19">
        <v>811212</v>
      </c>
      <c r="B1136" s="19" t="s">
        <v>4581</v>
      </c>
      <c r="C1136" s="19">
        <v>811212</v>
      </c>
      <c r="D1136" s="19" t="s">
        <v>4581</v>
      </c>
    </row>
    <row r="1137" spans="1:4" ht="25.5" x14ac:dyDescent="0.25">
      <c r="A1137" s="19">
        <v>811213</v>
      </c>
      <c r="B1137" s="19" t="s">
        <v>4583</v>
      </c>
      <c r="C1137" s="19">
        <v>811213</v>
      </c>
      <c r="D1137" s="19" t="s">
        <v>4583</v>
      </c>
    </row>
    <row r="1138" spans="1:4" ht="25.5" x14ac:dyDescent="0.25">
      <c r="A1138" s="19">
        <v>811219</v>
      </c>
      <c r="B1138" s="19" t="s">
        <v>4585</v>
      </c>
      <c r="C1138" s="19">
        <v>811219</v>
      </c>
      <c r="D1138" s="19" t="s">
        <v>4585</v>
      </c>
    </row>
    <row r="1139" spans="1:4" ht="38.25" x14ac:dyDescent="0.25">
      <c r="A1139" s="19">
        <v>811310</v>
      </c>
      <c r="B1139" s="19" t="s">
        <v>4586</v>
      </c>
      <c r="C1139" s="19">
        <v>811310</v>
      </c>
      <c r="D1139" s="19" t="s">
        <v>4586</v>
      </c>
    </row>
    <row r="1140" spans="1:4" ht="25.5" x14ac:dyDescent="0.25">
      <c r="A1140" s="19">
        <v>811411</v>
      </c>
      <c r="B1140" s="19" t="s">
        <v>4587</v>
      </c>
      <c r="C1140" s="19">
        <v>811411</v>
      </c>
      <c r="D1140" s="19" t="s">
        <v>4587</v>
      </c>
    </row>
    <row r="1141" spans="1:4" x14ac:dyDescent="0.25">
      <c r="A1141" s="19">
        <v>811412</v>
      </c>
      <c r="B1141" s="19" t="s">
        <v>4589</v>
      </c>
      <c r="C1141" s="19">
        <v>811412</v>
      </c>
      <c r="D1141" s="19" t="s">
        <v>4589</v>
      </c>
    </row>
    <row r="1142" spans="1:4" x14ac:dyDescent="0.25">
      <c r="A1142" s="19">
        <v>811420</v>
      </c>
      <c r="B1142" s="19" t="s">
        <v>4591</v>
      </c>
      <c r="C1142" s="19">
        <v>811420</v>
      </c>
      <c r="D1142" s="19" t="s">
        <v>4591</v>
      </c>
    </row>
    <row r="1143" spans="1:4" x14ac:dyDescent="0.25">
      <c r="A1143" s="19">
        <v>811430</v>
      </c>
      <c r="B1143" s="19" t="s">
        <v>4592</v>
      </c>
      <c r="C1143" s="19">
        <v>811430</v>
      </c>
      <c r="D1143" s="19" t="s">
        <v>4592</v>
      </c>
    </row>
    <row r="1144" spans="1:4" ht="25.5" x14ac:dyDescent="0.25">
      <c r="A1144" s="19">
        <v>811490</v>
      </c>
      <c r="B1144" s="19" t="s">
        <v>4594</v>
      </c>
      <c r="C1144" s="19">
        <v>811490</v>
      </c>
      <c r="D1144" s="19" t="s">
        <v>4594</v>
      </c>
    </row>
    <row r="1145" spans="1:4" x14ac:dyDescent="0.25">
      <c r="A1145" s="19">
        <v>812111</v>
      </c>
      <c r="B1145" s="19" t="s">
        <v>4596</v>
      </c>
      <c r="C1145" s="19">
        <v>812111</v>
      </c>
      <c r="D1145" s="19" t="s">
        <v>4596</v>
      </c>
    </row>
    <row r="1146" spans="1:4" x14ac:dyDescent="0.25">
      <c r="A1146" s="19">
        <v>812112</v>
      </c>
      <c r="B1146" s="19" t="s">
        <v>4598</v>
      </c>
      <c r="C1146" s="19">
        <v>812112</v>
      </c>
      <c r="D1146" s="19" t="s">
        <v>4598</v>
      </c>
    </row>
    <row r="1147" spans="1:4" x14ac:dyDescent="0.25">
      <c r="A1147" s="19">
        <v>812113</v>
      </c>
      <c r="B1147" s="19" t="s">
        <v>4600</v>
      </c>
      <c r="C1147" s="19">
        <v>812113</v>
      </c>
      <c r="D1147" s="19" t="s">
        <v>4600</v>
      </c>
    </row>
    <row r="1148" spans="1:4" x14ac:dyDescent="0.25">
      <c r="A1148" s="19">
        <v>812191</v>
      </c>
      <c r="B1148" s="19" t="s">
        <v>4602</v>
      </c>
      <c r="C1148" s="19">
        <v>812191</v>
      </c>
      <c r="D1148" s="19" t="s">
        <v>4602</v>
      </c>
    </row>
    <row r="1149" spans="1:4" x14ac:dyDescent="0.25">
      <c r="A1149" s="19">
        <v>812199</v>
      </c>
      <c r="B1149" s="19" t="s">
        <v>4604</v>
      </c>
      <c r="C1149" s="19">
        <v>812199</v>
      </c>
      <c r="D1149" s="19" t="s">
        <v>4604</v>
      </c>
    </row>
    <row r="1150" spans="1:4" x14ac:dyDescent="0.25">
      <c r="A1150" s="19">
        <v>812210</v>
      </c>
      <c r="B1150" s="19" t="s">
        <v>4606</v>
      </c>
      <c r="C1150" s="19">
        <v>812210</v>
      </c>
      <c r="D1150" s="19" t="s">
        <v>4606</v>
      </c>
    </row>
    <row r="1151" spans="1:4" x14ac:dyDescent="0.25">
      <c r="A1151" s="19">
        <v>812220</v>
      </c>
      <c r="B1151" s="19" t="s">
        <v>4608</v>
      </c>
      <c r="C1151" s="19">
        <v>812220</v>
      </c>
      <c r="D1151" s="19" t="s">
        <v>4608</v>
      </c>
    </row>
    <row r="1152" spans="1:4" ht="25.5" x14ac:dyDescent="0.25">
      <c r="A1152" s="19">
        <v>812310</v>
      </c>
      <c r="B1152" s="19" t="s">
        <v>4610</v>
      </c>
      <c r="C1152" s="19">
        <v>812310</v>
      </c>
      <c r="D1152" s="19" t="s">
        <v>4610</v>
      </c>
    </row>
    <row r="1153" spans="1:4" ht="25.5" x14ac:dyDescent="0.25">
      <c r="A1153" s="19">
        <v>812320</v>
      </c>
      <c r="B1153" s="19" t="s">
        <v>4612</v>
      </c>
      <c r="C1153" s="19">
        <v>812320</v>
      </c>
      <c r="D1153" s="19" t="s">
        <v>4612</v>
      </c>
    </row>
    <row r="1154" spans="1:4" x14ac:dyDescent="0.25">
      <c r="A1154" s="19">
        <v>812331</v>
      </c>
      <c r="B1154" s="19" t="s">
        <v>4614</v>
      </c>
      <c r="C1154" s="19">
        <v>812331</v>
      </c>
      <c r="D1154" s="19" t="s">
        <v>4614</v>
      </c>
    </row>
    <row r="1155" spans="1:4" x14ac:dyDescent="0.25">
      <c r="A1155" s="19">
        <v>812332</v>
      </c>
      <c r="B1155" s="19" t="s">
        <v>4616</v>
      </c>
      <c r="C1155" s="19">
        <v>812332</v>
      </c>
      <c r="D1155" s="19" t="s">
        <v>4616</v>
      </c>
    </row>
    <row r="1156" spans="1:4" x14ac:dyDescent="0.25">
      <c r="A1156" s="19">
        <v>812910</v>
      </c>
      <c r="B1156" s="19" t="s">
        <v>4618</v>
      </c>
      <c r="C1156" s="19">
        <v>812910</v>
      </c>
      <c r="D1156" s="19" t="s">
        <v>4618</v>
      </c>
    </row>
    <row r="1157" spans="1:4" ht="25.5" x14ac:dyDescent="0.25">
      <c r="A1157" s="19">
        <v>812921</v>
      </c>
      <c r="B1157" s="19" t="s">
        <v>4620</v>
      </c>
      <c r="C1157" s="19">
        <v>812921</v>
      </c>
      <c r="D1157" s="19" t="s">
        <v>4620</v>
      </c>
    </row>
    <row r="1158" spans="1:4" x14ac:dyDescent="0.25">
      <c r="A1158" s="19">
        <v>812922</v>
      </c>
      <c r="B1158" s="19" t="s">
        <v>4621</v>
      </c>
      <c r="C1158" s="19">
        <v>812922</v>
      </c>
      <c r="D1158" s="19" t="s">
        <v>4621</v>
      </c>
    </row>
    <row r="1159" spans="1:4" x14ac:dyDescent="0.25">
      <c r="A1159" s="19">
        <v>812930</v>
      </c>
      <c r="B1159" s="19" t="s">
        <v>4623</v>
      </c>
      <c r="C1159" s="19">
        <v>812930</v>
      </c>
      <c r="D1159" s="19" t="s">
        <v>4623</v>
      </c>
    </row>
    <row r="1160" spans="1:4" x14ac:dyDescent="0.25">
      <c r="A1160" s="19">
        <v>812990</v>
      </c>
      <c r="B1160" s="19" t="s">
        <v>4624</v>
      </c>
      <c r="C1160" s="19">
        <v>812990</v>
      </c>
      <c r="D1160" s="19" t="s">
        <v>4624</v>
      </c>
    </row>
    <row r="1161" spans="1:4" x14ac:dyDescent="0.25">
      <c r="A1161" s="19">
        <v>813110</v>
      </c>
      <c r="B1161" s="19" t="s">
        <v>4625</v>
      </c>
      <c r="C1161" s="19">
        <v>813110</v>
      </c>
      <c r="D1161" s="19" t="s">
        <v>4625</v>
      </c>
    </row>
    <row r="1162" spans="1:4" x14ac:dyDescent="0.25">
      <c r="A1162" s="19">
        <v>813211</v>
      </c>
      <c r="B1162" s="19" t="s">
        <v>4627</v>
      </c>
      <c r="C1162" s="19">
        <v>813211</v>
      </c>
      <c r="D1162" s="19" t="s">
        <v>4627</v>
      </c>
    </row>
    <row r="1163" spans="1:4" x14ac:dyDescent="0.25">
      <c r="A1163" s="19">
        <v>813212</v>
      </c>
      <c r="B1163" s="19" t="s">
        <v>4629</v>
      </c>
      <c r="C1163" s="19">
        <v>813212</v>
      </c>
      <c r="D1163" s="19" t="s">
        <v>4629</v>
      </c>
    </row>
    <row r="1164" spans="1:4" x14ac:dyDescent="0.25">
      <c r="A1164" s="19">
        <v>813219</v>
      </c>
      <c r="B1164" s="19" t="s">
        <v>4631</v>
      </c>
      <c r="C1164" s="19">
        <v>813219</v>
      </c>
      <c r="D1164" s="19" t="s">
        <v>4631</v>
      </c>
    </row>
    <row r="1165" spans="1:4" x14ac:dyDescent="0.25">
      <c r="A1165" s="19">
        <v>813311</v>
      </c>
      <c r="B1165" s="19" t="s">
        <v>4633</v>
      </c>
      <c r="C1165" s="19">
        <v>813311</v>
      </c>
      <c r="D1165" s="19" t="s">
        <v>4633</v>
      </c>
    </row>
    <row r="1166" spans="1:4" ht="25.5" x14ac:dyDescent="0.25">
      <c r="A1166" s="19">
        <v>813312</v>
      </c>
      <c r="B1166" s="19" t="s">
        <v>4635</v>
      </c>
      <c r="C1166" s="19">
        <v>813312</v>
      </c>
      <c r="D1166" s="19" t="s">
        <v>4635</v>
      </c>
    </row>
    <row r="1167" spans="1:4" x14ac:dyDescent="0.25">
      <c r="A1167" s="19">
        <v>813319</v>
      </c>
      <c r="B1167" s="19" t="s">
        <v>4637</v>
      </c>
      <c r="C1167" s="19">
        <v>813319</v>
      </c>
      <c r="D1167" s="19" t="s">
        <v>4637</v>
      </c>
    </row>
    <row r="1168" spans="1:4" x14ac:dyDescent="0.25">
      <c r="A1168" s="19">
        <v>813410</v>
      </c>
      <c r="B1168" s="19" t="s">
        <v>4639</v>
      </c>
      <c r="C1168" s="19">
        <v>813410</v>
      </c>
      <c r="D1168" s="19" t="s">
        <v>4639</v>
      </c>
    </row>
    <row r="1169" spans="1:4" x14ac:dyDescent="0.25">
      <c r="A1169" s="19">
        <v>813910</v>
      </c>
      <c r="B1169" s="19" t="s">
        <v>4641</v>
      </c>
      <c r="C1169" s="19">
        <v>813910</v>
      </c>
      <c r="D1169" s="19" t="s">
        <v>4641</v>
      </c>
    </row>
    <row r="1170" spans="1:4" x14ac:dyDescent="0.25">
      <c r="A1170" s="19">
        <v>813920</v>
      </c>
      <c r="B1170" s="19" t="s">
        <v>4643</v>
      </c>
      <c r="C1170" s="19">
        <v>813920</v>
      </c>
      <c r="D1170" s="19" t="s">
        <v>4643</v>
      </c>
    </row>
    <row r="1171" spans="1:4" ht="25.5" x14ac:dyDescent="0.25">
      <c r="A1171" s="19">
        <v>813930</v>
      </c>
      <c r="B1171" s="19" t="s">
        <v>4645</v>
      </c>
      <c r="C1171" s="19">
        <v>813930</v>
      </c>
      <c r="D1171" s="19" t="s">
        <v>4645</v>
      </c>
    </row>
    <row r="1172" spans="1:4" x14ac:dyDescent="0.25">
      <c r="A1172" s="19">
        <v>813940</v>
      </c>
      <c r="B1172" s="19" t="s">
        <v>4647</v>
      </c>
      <c r="C1172" s="19">
        <v>813940</v>
      </c>
      <c r="D1172" s="19" t="s">
        <v>4647</v>
      </c>
    </row>
    <row r="1173" spans="1:4" ht="38.25" x14ac:dyDescent="0.25">
      <c r="A1173" s="19">
        <v>813990</v>
      </c>
      <c r="B1173" s="19" t="s">
        <v>4649</v>
      </c>
      <c r="C1173" s="19">
        <v>813990</v>
      </c>
      <c r="D1173" s="19" t="s">
        <v>4649</v>
      </c>
    </row>
    <row r="1174" spans="1:4" x14ac:dyDescent="0.25">
      <c r="A1174" s="19">
        <v>814110</v>
      </c>
      <c r="B1174" s="19" t="s">
        <v>4651</v>
      </c>
      <c r="C1174" s="19">
        <v>814110</v>
      </c>
      <c r="D1174" s="19" t="s">
        <v>4651</v>
      </c>
    </row>
    <row r="1175" spans="1:4" x14ac:dyDescent="0.25">
      <c r="A1175" s="19">
        <v>921110</v>
      </c>
      <c r="B1175" s="19" t="s">
        <v>4653</v>
      </c>
      <c r="C1175" s="19">
        <v>921110</v>
      </c>
      <c r="D1175" s="19" t="s">
        <v>4653</v>
      </c>
    </row>
    <row r="1176" spans="1:4" x14ac:dyDescent="0.25">
      <c r="A1176" s="19">
        <v>921120</v>
      </c>
      <c r="B1176" s="19" t="s">
        <v>4655</v>
      </c>
      <c r="C1176" s="19">
        <v>921120</v>
      </c>
      <c r="D1176" s="19" t="s">
        <v>4655</v>
      </c>
    </row>
    <row r="1177" spans="1:4" x14ac:dyDescent="0.25">
      <c r="A1177" s="19">
        <v>921130</v>
      </c>
      <c r="B1177" s="19" t="s">
        <v>4657</v>
      </c>
      <c r="C1177" s="19">
        <v>921130</v>
      </c>
      <c r="D1177" s="19" t="s">
        <v>4657</v>
      </c>
    </row>
    <row r="1178" spans="1:4" ht="25.5" x14ac:dyDescent="0.25">
      <c r="A1178" s="19">
        <v>921140</v>
      </c>
      <c r="B1178" s="19" t="s">
        <v>4659</v>
      </c>
      <c r="C1178" s="19">
        <v>921140</v>
      </c>
      <c r="D1178" s="19" t="s">
        <v>4659</v>
      </c>
    </row>
    <row r="1179" spans="1:4" ht="25.5" x14ac:dyDescent="0.25">
      <c r="A1179" s="19">
        <v>921150</v>
      </c>
      <c r="B1179" s="19" t="s">
        <v>4661</v>
      </c>
      <c r="C1179" s="19">
        <v>921150</v>
      </c>
      <c r="D1179" s="19" t="s">
        <v>4661</v>
      </c>
    </row>
    <row r="1180" spans="1:4" x14ac:dyDescent="0.25">
      <c r="A1180" s="19">
        <v>921190</v>
      </c>
      <c r="B1180" s="19" t="s">
        <v>4663</v>
      </c>
      <c r="C1180" s="19">
        <v>921190</v>
      </c>
      <c r="D1180" s="19" t="s">
        <v>4663</v>
      </c>
    </row>
    <row r="1181" spans="1:4" x14ac:dyDescent="0.25">
      <c r="A1181" s="19">
        <v>922110</v>
      </c>
      <c r="B1181" s="19" t="s">
        <v>4665</v>
      </c>
      <c r="C1181" s="19">
        <v>922110</v>
      </c>
      <c r="D1181" s="19" t="s">
        <v>4665</v>
      </c>
    </row>
    <row r="1182" spans="1:4" x14ac:dyDescent="0.25">
      <c r="A1182" s="19">
        <v>922120</v>
      </c>
      <c r="B1182" s="19" t="s">
        <v>4666</v>
      </c>
      <c r="C1182" s="19">
        <v>922120</v>
      </c>
      <c r="D1182" s="19" t="s">
        <v>4666</v>
      </c>
    </row>
    <row r="1183" spans="1:4" x14ac:dyDescent="0.25">
      <c r="A1183" s="19">
        <v>922130</v>
      </c>
      <c r="B1183" s="19" t="s">
        <v>4668</v>
      </c>
      <c r="C1183" s="19">
        <v>922130</v>
      </c>
      <c r="D1183" s="19" t="s">
        <v>4668</v>
      </c>
    </row>
    <row r="1184" spans="1:4" x14ac:dyDescent="0.25">
      <c r="A1184" s="19">
        <v>922140</v>
      </c>
      <c r="B1184" s="19" t="s">
        <v>4669</v>
      </c>
      <c r="C1184" s="19">
        <v>922140</v>
      </c>
      <c r="D1184" s="19" t="s">
        <v>4669</v>
      </c>
    </row>
    <row r="1185" spans="1:4" x14ac:dyDescent="0.25">
      <c r="A1185" s="19">
        <v>922150</v>
      </c>
      <c r="B1185" s="19" t="s">
        <v>4670</v>
      </c>
      <c r="C1185" s="19">
        <v>922150</v>
      </c>
      <c r="D1185" s="19" t="s">
        <v>4670</v>
      </c>
    </row>
    <row r="1186" spans="1:4" x14ac:dyDescent="0.25">
      <c r="A1186" s="19">
        <v>922160</v>
      </c>
      <c r="B1186" s="19" t="s">
        <v>4672</v>
      </c>
      <c r="C1186" s="19">
        <v>922160</v>
      </c>
      <c r="D1186" s="19" t="s">
        <v>4672</v>
      </c>
    </row>
    <row r="1187" spans="1:4" ht="25.5" x14ac:dyDescent="0.25">
      <c r="A1187" s="19">
        <v>922190</v>
      </c>
      <c r="B1187" s="19" t="s">
        <v>4674</v>
      </c>
      <c r="C1187" s="19">
        <v>922190</v>
      </c>
      <c r="D1187" s="19" t="s">
        <v>4674</v>
      </c>
    </row>
    <row r="1188" spans="1:4" x14ac:dyDescent="0.25">
      <c r="A1188" s="19">
        <v>923110</v>
      </c>
      <c r="B1188" s="19" t="s">
        <v>4676</v>
      </c>
      <c r="C1188" s="19">
        <v>923110</v>
      </c>
      <c r="D1188" s="19" t="s">
        <v>4676</v>
      </c>
    </row>
    <row r="1189" spans="1:4" ht="25.5" x14ac:dyDescent="0.25">
      <c r="A1189" s="19">
        <v>923120</v>
      </c>
      <c r="B1189" s="19" t="s">
        <v>4678</v>
      </c>
      <c r="C1189" s="19">
        <v>923120</v>
      </c>
      <c r="D1189" s="19" t="s">
        <v>4678</v>
      </c>
    </row>
    <row r="1190" spans="1:4" ht="38.25" x14ac:dyDescent="0.25">
      <c r="A1190" s="19">
        <v>923130</v>
      </c>
      <c r="B1190" s="19" t="s">
        <v>4680</v>
      </c>
      <c r="C1190" s="19">
        <v>923130</v>
      </c>
      <c r="D1190" s="19" t="s">
        <v>4680</v>
      </c>
    </row>
    <row r="1191" spans="1:4" x14ac:dyDescent="0.25">
      <c r="A1191" s="19">
        <v>923140</v>
      </c>
      <c r="B1191" s="19" t="s">
        <v>4682</v>
      </c>
      <c r="C1191" s="19">
        <v>923140</v>
      </c>
      <c r="D1191" s="19" t="s">
        <v>4682</v>
      </c>
    </row>
    <row r="1192" spans="1:4" ht="38.25" x14ac:dyDescent="0.25">
      <c r="A1192" s="19">
        <v>924110</v>
      </c>
      <c r="B1192" s="19" t="s">
        <v>4683</v>
      </c>
      <c r="C1192" s="19">
        <v>924110</v>
      </c>
      <c r="D1192" s="19" t="s">
        <v>4683</v>
      </c>
    </row>
    <row r="1193" spans="1:4" x14ac:dyDescent="0.25">
      <c r="A1193" s="19">
        <v>924120</v>
      </c>
      <c r="B1193" s="19" t="s">
        <v>4685</v>
      </c>
      <c r="C1193" s="19">
        <v>924120</v>
      </c>
      <c r="D1193" s="19" t="s">
        <v>4685</v>
      </c>
    </row>
    <row r="1194" spans="1:4" x14ac:dyDescent="0.25">
      <c r="A1194" s="19">
        <v>925110</v>
      </c>
      <c r="B1194" s="19" t="s">
        <v>4687</v>
      </c>
      <c r="C1194" s="19">
        <v>925110</v>
      </c>
      <c r="D1194" s="19" t="s">
        <v>4687</v>
      </c>
    </row>
    <row r="1195" spans="1:4" ht="25.5" x14ac:dyDescent="0.25">
      <c r="A1195" s="19">
        <v>925120</v>
      </c>
      <c r="B1195" s="19" t="s">
        <v>4689</v>
      </c>
      <c r="C1195" s="19">
        <v>925120</v>
      </c>
      <c r="D1195" s="19" t="s">
        <v>4689</v>
      </c>
    </row>
    <row r="1196" spans="1:4" ht="25.5" x14ac:dyDescent="0.25">
      <c r="A1196" s="19">
        <v>926110</v>
      </c>
      <c r="B1196" s="19" t="s">
        <v>4691</v>
      </c>
      <c r="C1196" s="19">
        <v>926110</v>
      </c>
      <c r="D1196" s="19" t="s">
        <v>4691</v>
      </c>
    </row>
    <row r="1197" spans="1:4" ht="25.5" x14ac:dyDescent="0.25">
      <c r="A1197" s="19">
        <v>926120</v>
      </c>
      <c r="B1197" s="19" t="s">
        <v>4693</v>
      </c>
      <c r="C1197" s="19">
        <v>926120</v>
      </c>
      <c r="D1197" s="19" t="s">
        <v>4693</v>
      </c>
    </row>
    <row r="1198" spans="1:4" ht="38.25" x14ac:dyDescent="0.25">
      <c r="A1198" s="19">
        <v>926130</v>
      </c>
      <c r="B1198" s="19" t="s">
        <v>4695</v>
      </c>
      <c r="C1198" s="19">
        <v>926130</v>
      </c>
      <c r="D1198" s="19" t="s">
        <v>4695</v>
      </c>
    </row>
    <row r="1199" spans="1:4" ht="25.5" x14ac:dyDescent="0.25">
      <c r="A1199" s="19">
        <v>926140</v>
      </c>
      <c r="B1199" s="19" t="s">
        <v>4697</v>
      </c>
      <c r="C1199" s="19">
        <v>926140</v>
      </c>
      <c r="D1199" s="19" t="s">
        <v>4697</v>
      </c>
    </row>
    <row r="1200" spans="1:4" ht="25.5" x14ac:dyDescent="0.25">
      <c r="A1200" s="19">
        <v>926150</v>
      </c>
      <c r="B1200" s="19" t="s">
        <v>4699</v>
      </c>
      <c r="C1200" s="19">
        <v>926150</v>
      </c>
      <c r="D1200" s="19" t="s">
        <v>4699</v>
      </c>
    </row>
    <row r="1201" spans="1:4" x14ac:dyDescent="0.25">
      <c r="A1201" s="19">
        <v>927110</v>
      </c>
      <c r="B1201" s="19" t="s">
        <v>4701</v>
      </c>
      <c r="C1201" s="19">
        <v>927110</v>
      </c>
      <c r="D1201" s="19" t="s">
        <v>4701</v>
      </c>
    </row>
    <row r="1202" spans="1:4" x14ac:dyDescent="0.25">
      <c r="A1202" s="19">
        <v>928110</v>
      </c>
      <c r="B1202" s="19" t="s">
        <v>4703</v>
      </c>
      <c r="C1202" s="19">
        <v>928110</v>
      </c>
      <c r="D1202" s="19" t="s">
        <v>4703</v>
      </c>
    </row>
    <row r="1203" spans="1:4" x14ac:dyDescent="0.25">
      <c r="A1203" s="19">
        <v>928120</v>
      </c>
      <c r="B1203" s="19" t="s">
        <v>4705</v>
      </c>
      <c r="C1203" s="19">
        <v>928120</v>
      </c>
      <c r="D1203" s="19" t="s">
        <v>4705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F79F8-8C3D-4270-AF50-61DB0D7C9443}">
  <dimension ref="A1:D1187"/>
  <sheetViews>
    <sheetView workbookViewId="0"/>
  </sheetViews>
  <sheetFormatPr defaultRowHeight="15" x14ac:dyDescent="0.25"/>
  <cols>
    <col min="1" max="1" width="8.85546875" customWidth="1"/>
    <col min="2" max="2" width="35.5703125" customWidth="1"/>
    <col min="3" max="3" width="8.85546875" customWidth="1"/>
    <col min="4" max="4" width="35.42578125" customWidth="1"/>
  </cols>
  <sheetData>
    <row r="1" spans="1:4" ht="18" x14ac:dyDescent="0.25">
      <c r="A1" s="12" t="s">
        <v>6102</v>
      </c>
      <c r="B1" s="13"/>
      <c r="C1" s="13"/>
      <c r="D1" s="14"/>
    </row>
    <row r="2" spans="1:4" ht="15" customHeight="1" x14ac:dyDescent="0.25">
      <c r="A2" s="23" t="s">
        <v>6103</v>
      </c>
      <c r="B2" s="24"/>
      <c r="C2" s="24"/>
      <c r="D2" s="24"/>
    </row>
    <row r="3" spans="1:4" ht="51.75" x14ac:dyDescent="0.25">
      <c r="A3" s="18" t="s">
        <v>6032</v>
      </c>
      <c r="B3" s="16" t="s">
        <v>6104</v>
      </c>
      <c r="C3" s="18" t="s">
        <v>6105</v>
      </c>
      <c r="D3" s="16" t="s">
        <v>6106</v>
      </c>
    </row>
    <row r="4" spans="1:4" x14ac:dyDescent="0.25">
      <c r="A4" s="19">
        <v>111110</v>
      </c>
      <c r="B4" s="19" t="s">
        <v>2547</v>
      </c>
      <c r="C4" s="19">
        <v>111110</v>
      </c>
      <c r="D4" s="19" t="s">
        <v>2547</v>
      </c>
    </row>
    <row r="5" spans="1:4" x14ac:dyDescent="0.25">
      <c r="A5" s="19">
        <v>111120</v>
      </c>
      <c r="B5" s="19" t="s">
        <v>2549</v>
      </c>
      <c r="C5" s="19">
        <v>111120</v>
      </c>
      <c r="D5" s="19" t="s">
        <v>2549</v>
      </c>
    </row>
    <row r="6" spans="1:4" x14ac:dyDescent="0.25">
      <c r="A6" s="19">
        <v>111130</v>
      </c>
      <c r="B6" s="19" t="s">
        <v>2551</v>
      </c>
      <c r="C6" s="19">
        <v>111130</v>
      </c>
      <c r="D6" s="19" t="s">
        <v>2551</v>
      </c>
    </row>
    <row r="7" spans="1:4" x14ac:dyDescent="0.25">
      <c r="A7" s="19">
        <v>111140</v>
      </c>
      <c r="B7" s="19" t="s">
        <v>2553</v>
      </c>
      <c r="C7" s="19">
        <v>111140</v>
      </c>
      <c r="D7" s="19" t="s">
        <v>2553</v>
      </c>
    </row>
    <row r="8" spans="1:4" x14ac:dyDescent="0.25">
      <c r="A8" s="19">
        <v>111150</v>
      </c>
      <c r="B8" s="19" t="s">
        <v>2555</v>
      </c>
      <c r="C8" s="19">
        <v>111150</v>
      </c>
      <c r="D8" s="19" t="s">
        <v>2555</v>
      </c>
    </row>
    <row r="9" spans="1:4" x14ac:dyDescent="0.25">
      <c r="A9" s="19">
        <v>111160</v>
      </c>
      <c r="B9" s="19" t="s">
        <v>2557</v>
      </c>
      <c r="C9" s="19">
        <v>111160</v>
      </c>
      <c r="D9" s="19" t="s">
        <v>2557</v>
      </c>
    </row>
    <row r="10" spans="1:4" x14ac:dyDescent="0.25">
      <c r="A10" s="19">
        <v>111191</v>
      </c>
      <c r="B10" s="19" t="s">
        <v>2559</v>
      </c>
      <c r="C10" s="19">
        <v>111191</v>
      </c>
      <c r="D10" s="19" t="s">
        <v>2559</v>
      </c>
    </row>
    <row r="11" spans="1:4" x14ac:dyDescent="0.25">
      <c r="A11" s="19">
        <v>111199</v>
      </c>
      <c r="B11" s="19" t="s">
        <v>2561</v>
      </c>
      <c r="C11" s="19">
        <v>111199</v>
      </c>
      <c r="D11" s="19" t="s">
        <v>2561</v>
      </c>
    </row>
    <row r="12" spans="1:4" x14ac:dyDescent="0.25">
      <c r="A12" s="19">
        <v>111211</v>
      </c>
      <c r="B12" s="19" t="s">
        <v>2563</v>
      </c>
      <c r="C12" s="19">
        <v>111211</v>
      </c>
      <c r="D12" s="19" t="s">
        <v>2563</v>
      </c>
    </row>
    <row r="13" spans="1:4" ht="25.5" x14ac:dyDescent="0.25">
      <c r="A13" s="19">
        <v>111219</v>
      </c>
      <c r="B13" s="19" t="s">
        <v>2565</v>
      </c>
      <c r="C13" s="19">
        <v>111219</v>
      </c>
      <c r="D13" s="19" t="s">
        <v>2565</v>
      </c>
    </row>
    <row r="14" spans="1:4" x14ac:dyDescent="0.25">
      <c r="A14" s="19">
        <v>111310</v>
      </c>
      <c r="B14" s="19" t="s">
        <v>2567</v>
      </c>
      <c r="C14" s="19">
        <v>111310</v>
      </c>
      <c r="D14" s="19" t="s">
        <v>2567</v>
      </c>
    </row>
    <row r="15" spans="1:4" x14ac:dyDescent="0.25">
      <c r="A15" s="19">
        <v>111320</v>
      </c>
      <c r="B15" s="19" t="s">
        <v>2569</v>
      </c>
      <c r="C15" s="19">
        <v>111320</v>
      </c>
      <c r="D15" s="19" t="s">
        <v>2569</v>
      </c>
    </row>
    <row r="16" spans="1:4" x14ac:dyDescent="0.25">
      <c r="A16" s="19">
        <v>111331</v>
      </c>
      <c r="B16" s="19" t="s">
        <v>2571</v>
      </c>
      <c r="C16" s="19">
        <v>111331</v>
      </c>
      <c r="D16" s="19" t="s">
        <v>2571</v>
      </c>
    </row>
    <row r="17" spans="1:4" x14ac:dyDescent="0.25">
      <c r="A17" s="19">
        <v>111332</v>
      </c>
      <c r="B17" s="19" t="s">
        <v>2573</v>
      </c>
      <c r="C17" s="19">
        <v>111332</v>
      </c>
      <c r="D17" s="19" t="s">
        <v>2573</v>
      </c>
    </row>
    <row r="18" spans="1:4" x14ac:dyDescent="0.25">
      <c r="A18" s="19">
        <v>111333</v>
      </c>
      <c r="B18" s="19" t="s">
        <v>2575</v>
      </c>
      <c r="C18" s="19">
        <v>111333</v>
      </c>
      <c r="D18" s="19" t="s">
        <v>2575</v>
      </c>
    </row>
    <row r="19" spans="1:4" x14ac:dyDescent="0.25">
      <c r="A19" s="19">
        <v>111334</v>
      </c>
      <c r="B19" s="19" t="s">
        <v>2577</v>
      </c>
      <c r="C19" s="19">
        <v>111334</v>
      </c>
      <c r="D19" s="19" t="s">
        <v>2577</v>
      </c>
    </row>
    <row r="20" spans="1:4" x14ac:dyDescent="0.25">
      <c r="A20" s="19">
        <v>111335</v>
      </c>
      <c r="B20" s="19" t="s">
        <v>2579</v>
      </c>
      <c r="C20" s="19">
        <v>111335</v>
      </c>
      <c r="D20" s="19" t="s">
        <v>2579</v>
      </c>
    </row>
    <row r="21" spans="1:4" x14ac:dyDescent="0.25">
      <c r="A21" s="19">
        <v>111336</v>
      </c>
      <c r="B21" s="19" t="s">
        <v>2581</v>
      </c>
      <c r="C21" s="19">
        <v>111336</v>
      </c>
      <c r="D21" s="19" t="s">
        <v>2581</v>
      </c>
    </row>
    <row r="22" spans="1:4" x14ac:dyDescent="0.25">
      <c r="A22" s="19">
        <v>111339</v>
      </c>
      <c r="B22" s="19" t="s">
        <v>2583</v>
      </c>
      <c r="C22" s="19">
        <v>111339</v>
      </c>
      <c r="D22" s="19" t="s">
        <v>2583</v>
      </c>
    </row>
    <row r="23" spans="1:4" x14ac:dyDescent="0.25">
      <c r="A23" s="19">
        <v>111411</v>
      </c>
      <c r="B23" s="19" t="s">
        <v>2585</v>
      </c>
      <c r="C23" s="19">
        <v>111411</v>
      </c>
      <c r="D23" s="19" t="s">
        <v>2585</v>
      </c>
    </row>
    <row r="24" spans="1:4" x14ac:dyDescent="0.25">
      <c r="A24" s="19">
        <v>111419</v>
      </c>
      <c r="B24" s="19" t="s">
        <v>2587</v>
      </c>
      <c r="C24" s="19">
        <v>111419</v>
      </c>
      <c r="D24" s="19" t="s">
        <v>2587</v>
      </c>
    </row>
    <row r="25" spans="1:4" x14ac:dyDescent="0.25">
      <c r="A25" s="19">
        <v>111421</v>
      </c>
      <c r="B25" s="19" t="s">
        <v>2589</v>
      </c>
      <c r="C25" s="19">
        <v>111421</v>
      </c>
      <c r="D25" s="19" t="s">
        <v>2589</v>
      </c>
    </row>
    <row r="26" spans="1:4" x14ac:dyDescent="0.25">
      <c r="A26" s="19">
        <v>111422</v>
      </c>
      <c r="B26" s="19" t="s">
        <v>2591</v>
      </c>
      <c r="C26" s="19">
        <v>111422</v>
      </c>
      <c r="D26" s="19" t="s">
        <v>2591</v>
      </c>
    </row>
    <row r="27" spans="1:4" x14ac:dyDescent="0.25">
      <c r="A27" s="19">
        <v>111910</v>
      </c>
      <c r="B27" s="19" t="s">
        <v>2593</v>
      </c>
      <c r="C27" s="19">
        <v>111910</v>
      </c>
      <c r="D27" s="19" t="s">
        <v>2593</v>
      </c>
    </row>
    <row r="28" spans="1:4" x14ac:dyDescent="0.25">
      <c r="A28" s="19">
        <v>111920</v>
      </c>
      <c r="B28" s="19" t="s">
        <v>2595</v>
      </c>
      <c r="C28" s="19">
        <v>111920</v>
      </c>
      <c r="D28" s="19" t="s">
        <v>2595</v>
      </c>
    </row>
    <row r="29" spans="1:4" x14ac:dyDescent="0.25">
      <c r="A29" s="19">
        <v>111930</v>
      </c>
      <c r="B29" s="19" t="s">
        <v>2597</v>
      </c>
      <c r="C29" s="19">
        <v>111930</v>
      </c>
      <c r="D29" s="19" t="s">
        <v>2597</v>
      </c>
    </row>
    <row r="30" spans="1:4" x14ac:dyDescent="0.25">
      <c r="A30" s="19">
        <v>111940</v>
      </c>
      <c r="B30" s="19" t="s">
        <v>2599</v>
      </c>
      <c r="C30" s="19">
        <v>111940</v>
      </c>
      <c r="D30" s="19" t="s">
        <v>2599</v>
      </c>
    </row>
    <row r="31" spans="1:4" x14ac:dyDescent="0.25">
      <c r="A31" s="19">
        <v>111991</v>
      </c>
      <c r="B31" s="19" t="s">
        <v>2601</v>
      </c>
      <c r="C31" s="19">
        <v>111991</v>
      </c>
      <c r="D31" s="19" t="s">
        <v>2601</v>
      </c>
    </row>
    <row r="32" spans="1:4" x14ac:dyDescent="0.25">
      <c r="A32" s="19">
        <v>111992</v>
      </c>
      <c r="B32" s="19" t="s">
        <v>2603</v>
      </c>
      <c r="C32" s="19">
        <v>111992</v>
      </c>
      <c r="D32" s="19" t="s">
        <v>2603</v>
      </c>
    </row>
    <row r="33" spans="1:4" x14ac:dyDescent="0.25">
      <c r="A33" s="19">
        <v>111998</v>
      </c>
      <c r="B33" s="19" t="s">
        <v>2605</v>
      </c>
      <c r="C33" s="19">
        <v>111998</v>
      </c>
      <c r="D33" s="19" t="s">
        <v>2605</v>
      </c>
    </row>
    <row r="34" spans="1:4" x14ac:dyDescent="0.25">
      <c r="A34" s="19">
        <v>112111</v>
      </c>
      <c r="B34" s="19" t="s">
        <v>2607</v>
      </c>
      <c r="C34" s="19">
        <v>112111</v>
      </c>
      <c r="D34" s="19" t="s">
        <v>2607</v>
      </c>
    </row>
    <row r="35" spans="1:4" x14ac:dyDescent="0.25">
      <c r="A35" s="19">
        <v>112112</v>
      </c>
      <c r="B35" s="19" t="s">
        <v>2609</v>
      </c>
      <c r="C35" s="19">
        <v>112112</v>
      </c>
      <c r="D35" s="19" t="s">
        <v>2609</v>
      </c>
    </row>
    <row r="36" spans="1:4" x14ac:dyDescent="0.25">
      <c r="A36" s="19">
        <v>112120</v>
      </c>
      <c r="B36" s="19" t="s">
        <v>2611</v>
      </c>
      <c r="C36" s="19">
        <v>112120</v>
      </c>
      <c r="D36" s="19" t="s">
        <v>2611</v>
      </c>
    </row>
    <row r="37" spans="1:4" ht="25.5" x14ac:dyDescent="0.25">
      <c r="A37" s="19">
        <v>112130</v>
      </c>
      <c r="B37" s="19" t="s">
        <v>2613</v>
      </c>
      <c r="C37" s="19">
        <v>112130</v>
      </c>
      <c r="D37" s="19" t="s">
        <v>2613</v>
      </c>
    </row>
    <row r="38" spans="1:4" x14ac:dyDescent="0.25">
      <c r="A38" s="19">
        <v>112210</v>
      </c>
      <c r="B38" s="19" t="s">
        <v>2615</v>
      </c>
      <c r="C38" s="19">
        <v>112210</v>
      </c>
      <c r="D38" s="19" t="s">
        <v>2615</v>
      </c>
    </row>
    <row r="39" spans="1:4" x14ac:dyDescent="0.25">
      <c r="A39" s="19">
        <v>112310</v>
      </c>
      <c r="B39" s="19" t="s">
        <v>2617</v>
      </c>
      <c r="C39" s="19">
        <v>112310</v>
      </c>
      <c r="D39" s="19" t="s">
        <v>2617</v>
      </c>
    </row>
    <row r="40" spans="1:4" ht="25.5" x14ac:dyDescent="0.25">
      <c r="A40" s="19">
        <v>112320</v>
      </c>
      <c r="B40" s="19" t="s">
        <v>2619</v>
      </c>
      <c r="C40" s="19">
        <v>112320</v>
      </c>
      <c r="D40" s="19" t="s">
        <v>2619</v>
      </c>
    </row>
    <row r="41" spans="1:4" x14ac:dyDescent="0.25">
      <c r="A41" s="19">
        <v>112330</v>
      </c>
      <c r="B41" s="19" t="s">
        <v>2621</v>
      </c>
      <c r="C41" s="19">
        <v>112330</v>
      </c>
      <c r="D41" s="19" t="s">
        <v>2621</v>
      </c>
    </row>
    <row r="42" spans="1:4" x14ac:dyDescent="0.25">
      <c r="A42" s="19">
        <v>112340</v>
      </c>
      <c r="B42" s="19" t="s">
        <v>2623</v>
      </c>
      <c r="C42" s="19">
        <v>112340</v>
      </c>
      <c r="D42" s="19" t="s">
        <v>2623</v>
      </c>
    </row>
    <row r="43" spans="1:4" x14ac:dyDescent="0.25">
      <c r="A43" s="19">
        <v>112390</v>
      </c>
      <c r="B43" s="19" t="s">
        <v>2625</v>
      </c>
      <c r="C43" s="19">
        <v>112390</v>
      </c>
      <c r="D43" s="19" t="s">
        <v>2625</v>
      </c>
    </row>
    <row r="44" spans="1:4" x14ac:dyDescent="0.25">
      <c r="A44" s="19">
        <v>112410</v>
      </c>
      <c r="B44" s="19" t="s">
        <v>2627</v>
      </c>
      <c r="C44" s="19">
        <v>112410</v>
      </c>
      <c r="D44" s="19" t="s">
        <v>2627</v>
      </c>
    </row>
    <row r="45" spans="1:4" x14ac:dyDescent="0.25">
      <c r="A45" s="19">
        <v>112420</v>
      </c>
      <c r="B45" s="19" t="s">
        <v>2629</v>
      </c>
      <c r="C45" s="19">
        <v>112420</v>
      </c>
      <c r="D45" s="19" t="s">
        <v>2629</v>
      </c>
    </row>
    <row r="46" spans="1:4" x14ac:dyDescent="0.25">
      <c r="A46" s="19">
        <v>112511</v>
      </c>
      <c r="B46" s="19" t="s">
        <v>2631</v>
      </c>
      <c r="C46" s="19">
        <v>112511</v>
      </c>
      <c r="D46" s="19" t="s">
        <v>2631</v>
      </c>
    </row>
    <row r="47" spans="1:4" x14ac:dyDescent="0.25">
      <c r="A47" s="19">
        <v>112512</v>
      </c>
      <c r="B47" s="19" t="s">
        <v>2633</v>
      </c>
      <c r="C47" s="19">
        <v>112512</v>
      </c>
      <c r="D47" s="19" t="s">
        <v>2633</v>
      </c>
    </row>
    <row r="48" spans="1:4" x14ac:dyDescent="0.25">
      <c r="A48" s="19">
        <v>112519</v>
      </c>
      <c r="B48" s="19" t="s">
        <v>2635</v>
      </c>
      <c r="C48" s="19">
        <v>112519</v>
      </c>
      <c r="D48" s="19" t="s">
        <v>2635</v>
      </c>
    </row>
    <row r="49" spans="1:4" x14ac:dyDescent="0.25">
      <c r="A49" s="19">
        <v>112910</v>
      </c>
      <c r="B49" s="19" t="s">
        <v>2637</v>
      </c>
      <c r="C49" s="19">
        <v>112910</v>
      </c>
      <c r="D49" s="19" t="s">
        <v>2637</v>
      </c>
    </row>
    <row r="50" spans="1:4" x14ac:dyDescent="0.25">
      <c r="A50" s="19">
        <v>112920</v>
      </c>
      <c r="B50" s="19" t="s">
        <v>2638</v>
      </c>
      <c r="C50" s="19">
        <v>112920</v>
      </c>
      <c r="D50" s="19" t="s">
        <v>2638</v>
      </c>
    </row>
    <row r="51" spans="1:4" ht="25.5" x14ac:dyDescent="0.25">
      <c r="A51" s="19">
        <v>112930</v>
      </c>
      <c r="B51" s="19" t="s">
        <v>2640</v>
      </c>
      <c r="C51" s="19">
        <v>112930</v>
      </c>
      <c r="D51" s="19" t="s">
        <v>2640</v>
      </c>
    </row>
    <row r="52" spans="1:4" x14ac:dyDescent="0.25">
      <c r="A52" s="19">
        <v>112990</v>
      </c>
      <c r="B52" s="19" t="s">
        <v>2642</v>
      </c>
      <c r="C52" s="19">
        <v>112990</v>
      </c>
      <c r="D52" s="19" t="s">
        <v>2642</v>
      </c>
    </row>
    <row r="53" spans="1:4" x14ac:dyDescent="0.25">
      <c r="A53" s="19">
        <v>113110</v>
      </c>
      <c r="B53" s="19" t="s">
        <v>2644</v>
      </c>
      <c r="C53" s="19">
        <v>113110</v>
      </c>
      <c r="D53" s="19" t="s">
        <v>2644</v>
      </c>
    </row>
    <row r="54" spans="1:4" ht="25.5" x14ac:dyDescent="0.25">
      <c r="A54" s="19">
        <v>113210</v>
      </c>
      <c r="B54" s="19" t="s">
        <v>2646</v>
      </c>
      <c r="C54" s="19">
        <v>113210</v>
      </c>
      <c r="D54" s="19" t="s">
        <v>2646</v>
      </c>
    </row>
    <row r="55" spans="1:4" x14ac:dyDescent="0.25">
      <c r="A55" s="19">
        <v>113310</v>
      </c>
      <c r="B55" s="19" t="s">
        <v>2648</v>
      </c>
      <c r="C55" s="19">
        <v>113310</v>
      </c>
      <c r="D55" s="19" t="s">
        <v>2648</v>
      </c>
    </row>
    <row r="56" spans="1:4" x14ac:dyDescent="0.25">
      <c r="A56" s="19">
        <v>114111</v>
      </c>
      <c r="B56" s="19" t="s">
        <v>2650</v>
      </c>
      <c r="C56" s="19">
        <v>114111</v>
      </c>
      <c r="D56" s="19" t="s">
        <v>2650</v>
      </c>
    </row>
    <row r="57" spans="1:4" x14ac:dyDescent="0.25">
      <c r="A57" s="19">
        <v>114112</v>
      </c>
      <c r="B57" s="19" t="s">
        <v>2652</v>
      </c>
      <c r="C57" s="19">
        <v>114112</v>
      </c>
      <c r="D57" s="19" t="s">
        <v>2652</v>
      </c>
    </row>
    <row r="58" spans="1:4" x14ac:dyDescent="0.25">
      <c r="A58" s="19">
        <v>114119</v>
      </c>
      <c r="B58" s="19" t="s">
        <v>2654</v>
      </c>
      <c r="C58" s="19">
        <v>114119</v>
      </c>
      <c r="D58" s="19" t="s">
        <v>2654</v>
      </c>
    </row>
    <row r="59" spans="1:4" x14ac:dyDescent="0.25">
      <c r="A59" s="19">
        <v>114210</v>
      </c>
      <c r="B59" s="19" t="s">
        <v>2656</v>
      </c>
      <c r="C59" s="19">
        <v>114210</v>
      </c>
      <c r="D59" s="19" t="s">
        <v>2656</v>
      </c>
    </row>
    <row r="60" spans="1:4" x14ac:dyDescent="0.25">
      <c r="A60" s="19">
        <v>115111</v>
      </c>
      <c r="B60" s="19" t="s">
        <v>2658</v>
      </c>
      <c r="C60" s="19">
        <v>115111</v>
      </c>
      <c r="D60" s="19" t="s">
        <v>2658</v>
      </c>
    </row>
    <row r="61" spans="1:4" ht="25.5" x14ac:dyDescent="0.25">
      <c r="A61" s="19">
        <v>115112</v>
      </c>
      <c r="B61" s="19" t="s">
        <v>2660</v>
      </c>
      <c r="C61" s="19">
        <v>115112</v>
      </c>
      <c r="D61" s="19" t="s">
        <v>2660</v>
      </c>
    </row>
    <row r="62" spans="1:4" x14ac:dyDescent="0.25">
      <c r="A62" s="19">
        <v>115113</v>
      </c>
      <c r="B62" s="19" t="s">
        <v>2662</v>
      </c>
      <c r="C62" s="19">
        <v>115113</v>
      </c>
      <c r="D62" s="19" t="s">
        <v>2662</v>
      </c>
    </row>
    <row r="63" spans="1:4" ht="25.5" x14ac:dyDescent="0.25">
      <c r="A63" s="19">
        <v>115114</v>
      </c>
      <c r="B63" s="19" t="s">
        <v>2663</v>
      </c>
      <c r="C63" s="19">
        <v>115114</v>
      </c>
      <c r="D63" s="19" t="s">
        <v>2663</v>
      </c>
    </row>
    <row r="64" spans="1:4" ht="25.5" x14ac:dyDescent="0.25">
      <c r="A64" s="19">
        <v>115115</v>
      </c>
      <c r="B64" s="19" t="s">
        <v>2665</v>
      </c>
      <c r="C64" s="19">
        <v>115115</v>
      </c>
      <c r="D64" s="19" t="s">
        <v>2665</v>
      </c>
    </row>
    <row r="65" spans="1:4" x14ac:dyDescent="0.25">
      <c r="A65" s="19">
        <v>115116</v>
      </c>
      <c r="B65" s="19" t="s">
        <v>2667</v>
      </c>
      <c r="C65" s="19">
        <v>115116</v>
      </c>
      <c r="D65" s="19" t="s">
        <v>2667</v>
      </c>
    </row>
    <row r="66" spans="1:4" x14ac:dyDescent="0.25">
      <c r="A66" s="19">
        <v>115210</v>
      </c>
      <c r="B66" s="19" t="s">
        <v>2668</v>
      </c>
      <c r="C66" s="19">
        <v>115210</v>
      </c>
      <c r="D66" s="19" t="s">
        <v>2668</v>
      </c>
    </row>
    <row r="67" spans="1:4" x14ac:dyDescent="0.25">
      <c r="A67" s="19">
        <v>115310</v>
      </c>
      <c r="B67" s="19" t="s">
        <v>2670</v>
      </c>
      <c r="C67" s="19">
        <v>115310</v>
      </c>
      <c r="D67" s="19" t="s">
        <v>2670</v>
      </c>
    </row>
    <row r="68" spans="1:4" ht="25.5" x14ac:dyDescent="0.25">
      <c r="A68" s="19">
        <v>211111</v>
      </c>
      <c r="B68" s="19" t="s">
        <v>5740</v>
      </c>
      <c r="C68" s="19">
        <v>211111</v>
      </c>
      <c r="D68" s="19" t="s">
        <v>5740</v>
      </c>
    </row>
    <row r="69" spans="1:4" x14ac:dyDescent="0.25">
      <c r="A69" s="19">
        <v>211112</v>
      </c>
      <c r="B69" s="19" t="s">
        <v>5741</v>
      </c>
      <c r="C69" s="19">
        <v>211112</v>
      </c>
      <c r="D69" s="19" t="s">
        <v>5741</v>
      </c>
    </row>
    <row r="70" spans="1:4" ht="25.5" x14ac:dyDescent="0.25">
      <c r="A70" s="19">
        <v>212111</v>
      </c>
      <c r="B70" s="19" t="s">
        <v>2676</v>
      </c>
      <c r="C70" s="19">
        <v>212111</v>
      </c>
      <c r="D70" s="19" t="s">
        <v>2676</v>
      </c>
    </row>
    <row r="71" spans="1:4" x14ac:dyDescent="0.25">
      <c r="A71" s="19">
        <v>212112</v>
      </c>
      <c r="B71" s="19" t="s">
        <v>2678</v>
      </c>
      <c r="C71" s="19">
        <v>212112</v>
      </c>
      <c r="D71" s="19" t="s">
        <v>2678</v>
      </c>
    </row>
    <row r="72" spans="1:4" x14ac:dyDescent="0.25">
      <c r="A72" s="19">
        <v>212113</v>
      </c>
      <c r="B72" s="19" t="s">
        <v>2743</v>
      </c>
      <c r="C72" s="19">
        <v>212113</v>
      </c>
      <c r="D72" s="19" t="s">
        <v>2743</v>
      </c>
    </row>
    <row r="73" spans="1:4" x14ac:dyDescent="0.25">
      <c r="A73" s="19">
        <v>212210</v>
      </c>
      <c r="B73" s="19" t="s">
        <v>2682</v>
      </c>
      <c r="C73" s="19">
        <v>212210</v>
      </c>
      <c r="D73" s="19" t="s">
        <v>2682</v>
      </c>
    </row>
    <row r="74" spans="1:4" x14ac:dyDescent="0.25">
      <c r="A74" s="19">
        <v>212221</v>
      </c>
      <c r="B74" s="19" t="s">
        <v>2684</v>
      </c>
      <c r="C74" s="19">
        <v>212221</v>
      </c>
      <c r="D74" s="19" t="s">
        <v>2684</v>
      </c>
    </row>
    <row r="75" spans="1:4" x14ac:dyDescent="0.25">
      <c r="A75" s="19">
        <v>212222</v>
      </c>
      <c r="B75" s="19" t="s">
        <v>2686</v>
      </c>
      <c r="C75" s="19">
        <v>212222</v>
      </c>
      <c r="D75" s="19" t="s">
        <v>2686</v>
      </c>
    </row>
    <row r="76" spans="1:4" x14ac:dyDescent="0.25">
      <c r="A76" s="19">
        <v>212231</v>
      </c>
      <c r="B76" s="19" t="s">
        <v>5739</v>
      </c>
      <c r="C76" s="19">
        <v>212231</v>
      </c>
      <c r="D76" s="19" t="s">
        <v>5739</v>
      </c>
    </row>
    <row r="77" spans="1:4" x14ac:dyDescent="0.25">
      <c r="A77" s="19">
        <v>212234</v>
      </c>
      <c r="B77" s="19" t="s">
        <v>5738</v>
      </c>
      <c r="C77" s="19">
        <v>212234</v>
      </c>
      <c r="D77" s="19" t="s">
        <v>5738</v>
      </c>
    </row>
    <row r="78" spans="1:4" x14ac:dyDescent="0.25">
      <c r="A78" s="19">
        <v>212291</v>
      </c>
      <c r="B78" s="19" t="s">
        <v>2690</v>
      </c>
      <c r="C78" s="19">
        <v>212291</v>
      </c>
      <c r="D78" s="19" t="s">
        <v>2690</v>
      </c>
    </row>
    <row r="79" spans="1:4" x14ac:dyDescent="0.25">
      <c r="A79" s="19">
        <v>212299</v>
      </c>
      <c r="B79" s="19" t="s">
        <v>2692</v>
      </c>
      <c r="C79" s="19">
        <v>212299</v>
      </c>
      <c r="D79" s="19" t="s">
        <v>2692</v>
      </c>
    </row>
    <row r="80" spans="1:4" x14ac:dyDescent="0.25">
      <c r="A80" s="19">
        <v>212311</v>
      </c>
      <c r="B80" s="19" t="s">
        <v>2694</v>
      </c>
      <c r="C80" s="19">
        <v>212311</v>
      </c>
      <c r="D80" s="19" t="s">
        <v>2694</v>
      </c>
    </row>
    <row r="81" spans="1:4" ht="25.5" x14ac:dyDescent="0.25">
      <c r="A81" s="19">
        <v>212312</v>
      </c>
      <c r="B81" s="19" t="s">
        <v>2696</v>
      </c>
      <c r="C81" s="19">
        <v>212312</v>
      </c>
      <c r="D81" s="19" t="s">
        <v>2696</v>
      </c>
    </row>
    <row r="82" spans="1:4" ht="25.5" x14ac:dyDescent="0.25">
      <c r="A82" s="19">
        <v>212313</v>
      </c>
      <c r="B82" s="19" t="s">
        <v>2698</v>
      </c>
      <c r="C82" s="19">
        <v>212313</v>
      </c>
      <c r="D82" s="19" t="s">
        <v>2698</v>
      </c>
    </row>
    <row r="83" spans="1:4" ht="25.5" x14ac:dyDescent="0.25">
      <c r="A83" s="19">
        <v>212319</v>
      </c>
      <c r="B83" s="19" t="s">
        <v>2700</v>
      </c>
      <c r="C83" s="19">
        <v>212319</v>
      </c>
      <c r="D83" s="19" t="s">
        <v>2700</v>
      </c>
    </row>
    <row r="84" spans="1:4" x14ac:dyDescent="0.25">
      <c r="A84" s="19">
        <v>212321</v>
      </c>
      <c r="B84" s="19" t="s">
        <v>2702</v>
      </c>
      <c r="C84" s="19">
        <v>212321</v>
      </c>
      <c r="D84" s="19" t="s">
        <v>2702</v>
      </c>
    </row>
    <row r="85" spans="1:4" x14ac:dyDescent="0.25">
      <c r="A85" s="19">
        <v>212322</v>
      </c>
      <c r="B85" s="19" t="s">
        <v>2704</v>
      </c>
      <c r="C85" s="19">
        <v>212322</v>
      </c>
      <c r="D85" s="19" t="s">
        <v>2704</v>
      </c>
    </row>
    <row r="86" spans="1:4" x14ac:dyDescent="0.25">
      <c r="A86" s="19">
        <v>212324</v>
      </c>
      <c r="B86" s="19" t="s">
        <v>2706</v>
      </c>
      <c r="C86" s="19">
        <v>212324</v>
      </c>
      <c r="D86" s="19" t="s">
        <v>2706</v>
      </c>
    </row>
    <row r="87" spans="1:4" ht="25.5" x14ac:dyDescent="0.25">
      <c r="A87" s="19">
        <v>212325</v>
      </c>
      <c r="B87" s="19" t="s">
        <v>2708</v>
      </c>
      <c r="C87" s="19">
        <v>212325</v>
      </c>
      <c r="D87" s="19" t="s">
        <v>2708</v>
      </c>
    </row>
    <row r="88" spans="1:4" ht="25.5" x14ac:dyDescent="0.25">
      <c r="A88" s="19">
        <v>212391</v>
      </c>
      <c r="B88" s="19" t="s">
        <v>2710</v>
      </c>
      <c r="C88" s="19">
        <v>212391</v>
      </c>
      <c r="D88" s="19" t="s">
        <v>2710</v>
      </c>
    </row>
    <row r="89" spans="1:4" x14ac:dyDescent="0.25">
      <c r="A89" s="19">
        <v>212392</v>
      </c>
      <c r="B89" s="19" t="s">
        <v>2712</v>
      </c>
      <c r="C89" s="19">
        <v>212392</v>
      </c>
      <c r="D89" s="19" t="s">
        <v>2712</v>
      </c>
    </row>
    <row r="90" spans="1:4" ht="25.5" x14ac:dyDescent="0.25">
      <c r="A90" s="19">
        <v>212393</v>
      </c>
      <c r="B90" s="19" t="s">
        <v>2713</v>
      </c>
      <c r="C90" s="19">
        <v>212393</v>
      </c>
      <c r="D90" s="19" t="s">
        <v>2713</v>
      </c>
    </row>
    <row r="91" spans="1:4" x14ac:dyDescent="0.25">
      <c r="A91" s="19">
        <v>212399</v>
      </c>
      <c r="B91" s="19" t="s">
        <v>2715</v>
      </c>
      <c r="C91" s="19">
        <v>212399</v>
      </c>
      <c r="D91" s="19" t="s">
        <v>2715</v>
      </c>
    </row>
    <row r="92" spans="1:4" x14ac:dyDescent="0.25">
      <c r="A92" s="19">
        <v>213111</v>
      </c>
      <c r="B92" s="19" t="s">
        <v>2717</v>
      </c>
      <c r="C92" s="19">
        <v>213111</v>
      </c>
      <c r="D92" s="19" t="s">
        <v>2717</v>
      </c>
    </row>
    <row r="93" spans="1:4" ht="25.5" x14ac:dyDescent="0.25">
      <c r="A93" s="19">
        <v>213112</v>
      </c>
      <c r="B93" s="19" t="s">
        <v>2719</v>
      </c>
      <c r="C93" s="19">
        <v>213112</v>
      </c>
      <c r="D93" s="19" t="s">
        <v>2719</v>
      </c>
    </row>
    <row r="94" spans="1:4" x14ac:dyDescent="0.25">
      <c r="A94" s="19">
        <v>213113</v>
      </c>
      <c r="B94" s="19" t="s">
        <v>2721</v>
      </c>
      <c r="C94" s="19">
        <v>213113</v>
      </c>
      <c r="D94" s="19" t="s">
        <v>2721</v>
      </c>
    </row>
    <row r="95" spans="1:4" x14ac:dyDescent="0.25">
      <c r="A95" s="19">
        <v>213114</v>
      </c>
      <c r="B95" s="19" t="s">
        <v>2723</v>
      </c>
      <c r="C95" s="19">
        <v>213114</v>
      </c>
      <c r="D95" s="19" t="s">
        <v>2723</v>
      </c>
    </row>
    <row r="96" spans="1:4" ht="25.5" x14ac:dyDescent="0.25">
      <c r="A96" s="19">
        <v>213115</v>
      </c>
      <c r="B96" s="19" t="s">
        <v>2724</v>
      </c>
      <c r="C96" s="19">
        <v>213115</v>
      </c>
      <c r="D96" s="19" t="s">
        <v>2724</v>
      </c>
    </row>
    <row r="97" spans="1:4" x14ac:dyDescent="0.25">
      <c r="A97" s="19">
        <v>221111</v>
      </c>
      <c r="B97" s="19" t="s">
        <v>2726</v>
      </c>
      <c r="C97" s="19">
        <v>221111</v>
      </c>
      <c r="D97" s="19" t="s">
        <v>2726</v>
      </c>
    </row>
    <row r="98" spans="1:4" x14ac:dyDescent="0.25">
      <c r="A98" s="19">
        <v>221112</v>
      </c>
      <c r="B98" s="19" t="s">
        <v>2728</v>
      </c>
      <c r="C98" s="19">
        <v>221112</v>
      </c>
      <c r="D98" s="19" t="s">
        <v>2728</v>
      </c>
    </row>
    <row r="99" spans="1:4" x14ac:dyDescent="0.25">
      <c r="A99" s="19">
        <v>221113</v>
      </c>
      <c r="B99" s="19" t="s">
        <v>2730</v>
      </c>
      <c r="C99" s="19">
        <v>221113</v>
      </c>
      <c r="D99" s="19" t="s">
        <v>2730</v>
      </c>
    </row>
    <row r="100" spans="1:4" ht="25.5" x14ac:dyDescent="0.25">
      <c r="A100" s="21">
        <v>221119</v>
      </c>
      <c r="B100" s="19" t="s">
        <v>6107</v>
      </c>
      <c r="C100" s="19">
        <v>221114</v>
      </c>
      <c r="D100" s="19" t="s">
        <v>2732</v>
      </c>
    </row>
    <row r="101" spans="1:4" ht="25.5" x14ac:dyDescent="0.25">
      <c r="A101" s="21">
        <v>221119</v>
      </c>
      <c r="B101" s="19" t="s">
        <v>6108</v>
      </c>
      <c r="C101" s="19">
        <v>221115</v>
      </c>
      <c r="D101" s="19" t="s">
        <v>2734</v>
      </c>
    </row>
    <row r="102" spans="1:4" ht="25.5" x14ac:dyDescent="0.25">
      <c r="A102" s="21">
        <v>221119</v>
      </c>
      <c r="B102" s="19" t="s">
        <v>6109</v>
      </c>
      <c r="C102" s="19">
        <v>221116</v>
      </c>
      <c r="D102" s="19" t="s">
        <v>2736</v>
      </c>
    </row>
    <row r="103" spans="1:4" ht="25.5" x14ac:dyDescent="0.25">
      <c r="A103" s="21">
        <v>221119</v>
      </c>
      <c r="B103" s="19" t="s">
        <v>6110</v>
      </c>
      <c r="C103" s="19">
        <v>221117</v>
      </c>
      <c r="D103" s="19" t="s">
        <v>2738</v>
      </c>
    </row>
    <row r="104" spans="1:4" ht="38.25" x14ac:dyDescent="0.25">
      <c r="A104" s="21">
        <v>221119</v>
      </c>
      <c r="B104" s="19" t="s">
        <v>6111</v>
      </c>
      <c r="C104" s="19">
        <v>221118</v>
      </c>
      <c r="D104" s="19" t="s">
        <v>2740</v>
      </c>
    </row>
    <row r="105" spans="1:4" ht="25.5" x14ac:dyDescent="0.25">
      <c r="A105" s="19">
        <v>221121</v>
      </c>
      <c r="B105" s="19" t="s">
        <v>2741</v>
      </c>
      <c r="C105" s="19">
        <v>221121</v>
      </c>
      <c r="D105" s="19" t="s">
        <v>2741</v>
      </c>
    </row>
    <row r="106" spans="1:4" x14ac:dyDescent="0.25">
      <c r="A106" s="19">
        <v>221122</v>
      </c>
      <c r="B106" s="19" t="s">
        <v>2742</v>
      </c>
      <c r="C106" s="19">
        <v>221122</v>
      </c>
      <c r="D106" s="19" t="s">
        <v>2742</v>
      </c>
    </row>
    <row r="107" spans="1:4" x14ac:dyDescent="0.25">
      <c r="A107" s="19">
        <v>221210</v>
      </c>
      <c r="B107" s="19" t="s">
        <v>2744</v>
      </c>
      <c r="C107" s="19">
        <v>221210</v>
      </c>
      <c r="D107" s="19" t="s">
        <v>2744</v>
      </c>
    </row>
    <row r="108" spans="1:4" x14ac:dyDescent="0.25">
      <c r="A108" s="19">
        <v>221310</v>
      </c>
      <c r="B108" s="19" t="s">
        <v>2746</v>
      </c>
      <c r="C108" s="19">
        <v>221310</v>
      </c>
      <c r="D108" s="19" t="s">
        <v>2746</v>
      </c>
    </row>
    <row r="109" spans="1:4" x14ac:dyDescent="0.25">
      <c r="A109" s="19">
        <v>221320</v>
      </c>
      <c r="B109" s="19" t="s">
        <v>2748</v>
      </c>
      <c r="C109" s="19">
        <v>221320</v>
      </c>
      <c r="D109" s="19" t="s">
        <v>2748</v>
      </c>
    </row>
    <row r="110" spans="1:4" x14ac:dyDescent="0.25">
      <c r="A110" s="19">
        <v>221330</v>
      </c>
      <c r="B110" s="19" t="s">
        <v>2750</v>
      </c>
      <c r="C110" s="19">
        <v>221330</v>
      </c>
      <c r="D110" s="19" t="s">
        <v>2750</v>
      </c>
    </row>
    <row r="111" spans="1:4" ht="25.5" x14ac:dyDescent="0.25">
      <c r="A111" s="19">
        <v>236115</v>
      </c>
      <c r="B111" s="19" t="s">
        <v>5743</v>
      </c>
      <c r="C111" s="19">
        <v>236115</v>
      </c>
      <c r="D111" s="19" t="s">
        <v>2752</v>
      </c>
    </row>
    <row r="112" spans="1:4" ht="25.5" x14ac:dyDescent="0.25">
      <c r="A112" s="19">
        <v>236116</v>
      </c>
      <c r="B112" s="19" t="s">
        <v>5744</v>
      </c>
      <c r="C112" s="19">
        <v>236116</v>
      </c>
      <c r="D112" s="19" t="s">
        <v>2753</v>
      </c>
    </row>
    <row r="113" spans="1:4" x14ac:dyDescent="0.25">
      <c r="A113" s="19">
        <v>236117</v>
      </c>
      <c r="B113" s="19" t="s">
        <v>5745</v>
      </c>
      <c r="C113" s="19">
        <v>236117</v>
      </c>
      <c r="D113" s="19" t="s">
        <v>2755</v>
      </c>
    </row>
    <row r="114" spans="1:4" x14ac:dyDescent="0.25">
      <c r="A114" s="19">
        <v>236118</v>
      </c>
      <c r="B114" s="19" t="s">
        <v>2757</v>
      </c>
      <c r="C114" s="19">
        <v>236118</v>
      </c>
      <c r="D114" s="19" t="s">
        <v>2757</v>
      </c>
    </row>
    <row r="115" spans="1:4" x14ac:dyDescent="0.25">
      <c r="A115" s="19">
        <v>236210</v>
      </c>
      <c r="B115" s="19" t="s">
        <v>2759</v>
      </c>
      <c r="C115" s="19">
        <v>236210</v>
      </c>
      <c r="D115" s="19" t="s">
        <v>2759</v>
      </c>
    </row>
    <row r="116" spans="1:4" ht="25.5" x14ac:dyDescent="0.25">
      <c r="A116" s="19">
        <v>236220</v>
      </c>
      <c r="B116" s="19" t="s">
        <v>2761</v>
      </c>
      <c r="C116" s="19">
        <v>236220</v>
      </c>
      <c r="D116" s="19" t="s">
        <v>2761</v>
      </c>
    </row>
    <row r="117" spans="1:4" ht="25.5" x14ac:dyDescent="0.25">
      <c r="A117" s="19">
        <v>237110</v>
      </c>
      <c r="B117" s="19" t="s">
        <v>2763</v>
      </c>
      <c r="C117" s="19">
        <v>237110</v>
      </c>
      <c r="D117" s="19" t="s">
        <v>2763</v>
      </c>
    </row>
    <row r="118" spans="1:4" ht="25.5" x14ac:dyDescent="0.25">
      <c r="A118" s="19">
        <v>237120</v>
      </c>
      <c r="B118" s="19" t="s">
        <v>2765</v>
      </c>
      <c r="C118" s="19">
        <v>237120</v>
      </c>
      <c r="D118" s="19" t="s">
        <v>2765</v>
      </c>
    </row>
    <row r="119" spans="1:4" ht="25.5" x14ac:dyDescent="0.25">
      <c r="A119" s="19">
        <v>237130</v>
      </c>
      <c r="B119" s="19" t="s">
        <v>2767</v>
      </c>
      <c r="C119" s="19">
        <v>237130</v>
      </c>
      <c r="D119" s="19" t="s">
        <v>2767</v>
      </c>
    </row>
    <row r="120" spans="1:4" x14ac:dyDescent="0.25">
      <c r="A120" s="19">
        <v>237210</v>
      </c>
      <c r="B120" s="19" t="s">
        <v>2769</v>
      </c>
      <c r="C120" s="19">
        <v>237210</v>
      </c>
      <c r="D120" s="19" t="s">
        <v>2769</v>
      </c>
    </row>
    <row r="121" spans="1:4" ht="25.5" x14ac:dyDescent="0.25">
      <c r="A121" s="19">
        <v>237310</v>
      </c>
      <c r="B121" s="19" t="s">
        <v>2771</v>
      </c>
      <c r="C121" s="19">
        <v>237310</v>
      </c>
      <c r="D121" s="19" t="s">
        <v>2771</v>
      </c>
    </row>
    <row r="122" spans="1:4" ht="25.5" x14ac:dyDescent="0.25">
      <c r="A122" s="19">
        <v>237990</v>
      </c>
      <c r="B122" s="19" t="s">
        <v>2773</v>
      </c>
      <c r="C122" s="19">
        <v>237990</v>
      </c>
      <c r="D122" s="19" t="s">
        <v>2773</v>
      </c>
    </row>
    <row r="123" spans="1:4" ht="25.5" x14ac:dyDescent="0.25">
      <c r="A123" s="19">
        <v>238110</v>
      </c>
      <c r="B123" s="19" t="s">
        <v>2775</v>
      </c>
      <c r="C123" s="19">
        <v>238110</v>
      </c>
      <c r="D123" s="19" t="s">
        <v>2775</v>
      </c>
    </row>
    <row r="124" spans="1:4" ht="25.5" x14ac:dyDescent="0.25">
      <c r="A124" s="19">
        <v>238120</v>
      </c>
      <c r="B124" s="19" t="s">
        <v>2777</v>
      </c>
      <c r="C124" s="19">
        <v>238120</v>
      </c>
      <c r="D124" s="19" t="s">
        <v>2777</v>
      </c>
    </row>
    <row r="125" spans="1:4" x14ac:dyDescent="0.25">
      <c r="A125" s="19">
        <v>238130</v>
      </c>
      <c r="B125" s="19" t="s">
        <v>2779</v>
      </c>
      <c r="C125" s="19">
        <v>238130</v>
      </c>
      <c r="D125" s="19" t="s">
        <v>2779</v>
      </c>
    </row>
    <row r="126" spans="1:4" x14ac:dyDescent="0.25">
      <c r="A126" s="19">
        <v>238140</v>
      </c>
      <c r="B126" s="19" t="s">
        <v>2781</v>
      </c>
      <c r="C126" s="19">
        <v>238140</v>
      </c>
      <c r="D126" s="19" t="s">
        <v>2781</v>
      </c>
    </row>
    <row r="127" spans="1:4" x14ac:dyDescent="0.25">
      <c r="A127" s="19">
        <v>238150</v>
      </c>
      <c r="B127" s="19" t="s">
        <v>2783</v>
      </c>
      <c r="C127" s="19">
        <v>238150</v>
      </c>
      <c r="D127" s="19" t="s">
        <v>2783</v>
      </c>
    </row>
    <row r="128" spans="1:4" x14ac:dyDescent="0.25">
      <c r="A128" s="19">
        <v>238160</v>
      </c>
      <c r="B128" s="19" t="s">
        <v>2785</v>
      </c>
      <c r="C128" s="19">
        <v>238160</v>
      </c>
      <c r="D128" s="19" t="s">
        <v>2785</v>
      </c>
    </row>
    <row r="129" spans="1:4" x14ac:dyDescent="0.25">
      <c r="A129" s="19">
        <v>238170</v>
      </c>
      <c r="B129" s="19" t="s">
        <v>2787</v>
      </c>
      <c r="C129" s="19">
        <v>238170</v>
      </c>
      <c r="D129" s="19" t="s">
        <v>2787</v>
      </c>
    </row>
    <row r="130" spans="1:4" ht="38.25" x14ac:dyDescent="0.25">
      <c r="A130" s="21">
        <v>238190</v>
      </c>
      <c r="B130" s="19" t="s">
        <v>6112</v>
      </c>
      <c r="C130" s="19">
        <v>238190</v>
      </c>
      <c r="D130" s="19" t="s">
        <v>2789</v>
      </c>
    </row>
    <row r="131" spans="1:4" ht="38.25" x14ac:dyDescent="0.25">
      <c r="A131" s="21">
        <v>238190</v>
      </c>
      <c r="B131" s="19" t="s">
        <v>6113</v>
      </c>
      <c r="C131" s="20">
        <v>238310</v>
      </c>
      <c r="D131" s="19" t="s">
        <v>2797</v>
      </c>
    </row>
    <row r="132" spans="1:4" ht="25.5" x14ac:dyDescent="0.25">
      <c r="A132" s="19">
        <v>238210</v>
      </c>
      <c r="B132" s="19" t="s">
        <v>2791</v>
      </c>
      <c r="C132" s="19">
        <v>238210</v>
      </c>
      <c r="D132" s="19" t="s">
        <v>2791</v>
      </c>
    </row>
    <row r="133" spans="1:4" ht="25.5" x14ac:dyDescent="0.25">
      <c r="A133" s="19">
        <v>238220</v>
      </c>
      <c r="B133" s="19" t="s">
        <v>2793</v>
      </c>
      <c r="C133" s="19">
        <v>238220</v>
      </c>
      <c r="D133" s="19" t="s">
        <v>2793</v>
      </c>
    </row>
    <row r="134" spans="1:4" x14ac:dyDescent="0.25">
      <c r="A134" s="19">
        <v>238290</v>
      </c>
      <c r="B134" s="19" t="s">
        <v>2795</v>
      </c>
      <c r="C134" s="19">
        <v>238290</v>
      </c>
      <c r="D134" s="19" t="s">
        <v>2795</v>
      </c>
    </row>
    <row r="135" spans="1:4" x14ac:dyDescent="0.25">
      <c r="A135" s="19">
        <v>238310</v>
      </c>
      <c r="B135" s="19" t="s">
        <v>2797</v>
      </c>
      <c r="C135" s="20">
        <v>238310</v>
      </c>
      <c r="D135" s="19" t="s">
        <v>2797</v>
      </c>
    </row>
    <row r="136" spans="1:4" x14ac:dyDescent="0.25">
      <c r="A136" s="19">
        <v>238320</v>
      </c>
      <c r="B136" s="19" t="s">
        <v>2799</v>
      </c>
      <c r="C136" s="19">
        <v>238320</v>
      </c>
      <c r="D136" s="19" t="s">
        <v>2799</v>
      </c>
    </row>
    <row r="137" spans="1:4" ht="25.5" x14ac:dyDescent="0.25">
      <c r="A137" s="21">
        <v>238330</v>
      </c>
      <c r="B137" s="19" t="s">
        <v>6114</v>
      </c>
      <c r="C137" s="20">
        <v>238310</v>
      </c>
      <c r="D137" s="19" t="s">
        <v>2797</v>
      </c>
    </row>
    <row r="138" spans="1:4" ht="25.5" x14ac:dyDescent="0.25">
      <c r="A138" s="21">
        <v>238330</v>
      </c>
      <c r="B138" s="19" t="s">
        <v>6115</v>
      </c>
      <c r="C138" s="19">
        <v>238330</v>
      </c>
      <c r="D138" s="19" t="s">
        <v>2800</v>
      </c>
    </row>
    <row r="139" spans="1:4" x14ac:dyDescent="0.25">
      <c r="A139" s="19">
        <v>238340</v>
      </c>
      <c r="B139" s="19" t="s">
        <v>2802</v>
      </c>
      <c r="C139" s="19">
        <v>238340</v>
      </c>
      <c r="D139" s="19" t="s">
        <v>2802</v>
      </c>
    </row>
    <row r="140" spans="1:4" x14ac:dyDescent="0.25">
      <c r="A140" s="19">
        <v>238350</v>
      </c>
      <c r="B140" s="19" t="s">
        <v>2804</v>
      </c>
      <c r="C140" s="19">
        <v>238350</v>
      </c>
      <c r="D140" s="19" t="s">
        <v>2804</v>
      </c>
    </row>
    <row r="141" spans="1:4" x14ac:dyDescent="0.25">
      <c r="A141" s="19">
        <v>238390</v>
      </c>
      <c r="B141" s="19" t="s">
        <v>2806</v>
      </c>
      <c r="C141" s="19">
        <v>238390</v>
      </c>
      <c r="D141" s="19" t="s">
        <v>2806</v>
      </c>
    </row>
    <row r="142" spans="1:4" x14ac:dyDescent="0.25">
      <c r="A142" s="19">
        <v>238910</v>
      </c>
      <c r="B142" s="19" t="s">
        <v>2808</v>
      </c>
      <c r="C142" s="19">
        <v>238910</v>
      </c>
      <c r="D142" s="19" t="s">
        <v>2808</v>
      </c>
    </row>
    <row r="143" spans="1:4" x14ac:dyDescent="0.25">
      <c r="A143" s="19">
        <v>238990</v>
      </c>
      <c r="B143" s="19" t="s">
        <v>2810</v>
      </c>
      <c r="C143" s="19">
        <v>238990</v>
      </c>
      <c r="D143" s="19" t="s">
        <v>2810</v>
      </c>
    </row>
    <row r="144" spans="1:4" x14ac:dyDescent="0.25">
      <c r="A144" s="19">
        <v>311111</v>
      </c>
      <c r="B144" s="19" t="s">
        <v>2812</v>
      </c>
      <c r="C144" s="19">
        <v>311111</v>
      </c>
      <c r="D144" s="19" t="s">
        <v>2812</v>
      </c>
    </row>
    <row r="145" spans="1:4" x14ac:dyDescent="0.25">
      <c r="A145" s="19">
        <v>311119</v>
      </c>
      <c r="B145" s="19" t="s">
        <v>2814</v>
      </c>
      <c r="C145" s="19">
        <v>311119</v>
      </c>
      <c r="D145" s="19" t="s">
        <v>2814</v>
      </c>
    </row>
    <row r="146" spans="1:4" x14ac:dyDescent="0.25">
      <c r="A146" s="19">
        <v>311211</v>
      </c>
      <c r="B146" s="19" t="s">
        <v>2816</v>
      </c>
      <c r="C146" s="19">
        <v>311211</v>
      </c>
      <c r="D146" s="19" t="s">
        <v>2816</v>
      </c>
    </row>
    <row r="147" spans="1:4" x14ac:dyDescent="0.25">
      <c r="A147" s="19">
        <v>311212</v>
      </c>
      <c r="B147" s="19" t="s">
        <v>2818</v>
      </c>
      <c r="C147" s="19">
        <v>311212</v>
      </c>
      <c r="D147" s="19" t="s">
        <v>2818</v>
      </c>
    </row>
    <row r="148" spans="1:4" x14ac:dyDescent="0.25">
      <c r="A148" s="19">
        <v>311213</v>
      </c>
      <c r="B148" s="19" t="s">
        <v>2820</v>
      </c>
      <c r="C148" s="19">
        <v>311213</v>
      </c>
      <c r="D148" s="19" t="s">
        <v>2820</v>
      </c>
    </row>
    <row r="149" spans="1:4" x14ac:dyDescent="0.25">
      <c r="A149" s="19">
        <v>311221</v>
      </c>
      <c r="B149" s="19" t="s">
        <v>2822</v>
      </c>
      <c r="C149" s="19">
        <v>311221</v>
      </c>
      <c r="D149" s="19" t="s">
        <v>2822</v>
      </c>
    </row>
    <row r="150" spans="1:4" x14ac:dyDescent="0.25">
      <c r="A150" s="19">
        <v>311222</v>
      </c>
      <c r="B150" s="19" t="s">
        <v>5754</v>
      </c>
      <c r="C150" s="20">
        <v>311224</v>
      </c>
      <c r="D150" s="19" t="s">
        <v>2824</v>
      </c>
    </row>
    <row r="151" spans="1:4" x14ac:dyDescent="0.25">
      <c r="A151" s="19">
        <v>311223</v>
      </c>
      <c r="B151" s="19" t="s">
        <v>5753</v>
      </c>
      <c r="C151" s="20">
        <v>311224</v>
      </c>
      <c r="D151" s="19" t="s">
        <v>2824</v>
      </c>
    </row>
    <row r="152" spans="1:4" x14ac:dyDescent="0.25">
      <c r="A152" s="19">
        <v>311225</v>
      </c>
      <c r="B152" s="19" t="s">
        <v>2826</v>
      </c>
      <c r="C152" s="19">
        <v>311225</v>
      </c>
      <c r="D152" s="19" t="s">
        <v>2826</v>
      </c>
    </row>
    <row r="153" spans="1:4" x14ac:dyDescent="0.25">
      <c r="A153" s="19">
        <v>311230</v>
      </c>
      <c r="B153" s="19" t="s">
        <v>2828</v>
      </c>
      <c r="C153" s="19">
        <v>311230</v>
      </c>
      <c r="D153" s="19" t="s">
        <v>2828</v>
      </c>
    </row>
    <row r="154" spans="1:4" x14ac:dyDescent="0.25">
      <c r="A154" s="19">
        <v>311311</v>
      </c>
      <c r="B154" s="19" t="s">
        <v>5750</v>
      </c>
      <c r="C154" s="20">
        <v>311314</v>
      </c>
      <c r="D154" s="19" t="s">
        <v>2831</v>
      </c>
    </row>
    <row r="155" spans="1:4" x14ac:dyDescent="0.25">
      <c r="A155" s="19">
        <v>311312</v>
      </c>
      <c r="B155" s="19" t="s">
        <v>2995</v>
      </c>
      <c r="C155" s="20">
        <v>311314</v>
      </c>
      <c r="D155" s="19" t="s">
        <v>2831</v>
      </c>
    </row>
    <row r="156" spans="1:4" x14ac:dyDescent="0.25">
      <c r="A156" s="19">
        <v>311313</v>
      </c>
      <c r="B156" s="19" t="s">
        <v>2830</v>
      </c>
      <c r="C156" s="19">
        <v>311313</v>
      </c>
      <c r="D156" s="19" t="s">
        <v>2830</v>
      </c>
    </row>
    <row r="157" spans="1:4" ht="25.5" x14ac:dyDescent="0.25">
      <c r="A157" s="19">
        <v>311320</v>
      </c>
      <c r="B157" s="19" t="s">
        <v>2835</v>
      </c>
      <c r="C157" s="19">
        <v>311351</v>
      </c>
      <c r="D157" s="19" t="s">
        <v>2835</v>
      </c>
    </row>
    <row r="158" spans="1:4" ht="25.5" x14ac:dyDescent="0.25">
      <c r="A158" s="19">
        <v>311330</v>
      </c>
      <c r="B158" s="19" t="s">
        <v>2837</v>
      </c>
      <c r="C158" s="19">
        <v>311352</v>
      </c>
      <c r="D158" s="19" t="s">
        <v>2837</v>
      </c>
    </row>
    <row r="159" spans="1:4" ht="25.5" x14ac:dyDescent="0.25">
      <c r="A159" s="19">
        <v>311340</v>
      </c>
      <c r="B159" s="19" t="s">
        <v>2833</v>
      </c>
      <c r="C159" s="19">
        <v>311340</v>
      </c>
      <c r="D159" s="19" t="s">
        <v>2833</v>
      </c>
    </row>
    <row r="160" spans="1:4" ht="25.5" x14ac:dyDescent="0.25">
      <c r="A160" s="19">
        <v>311411</v>
      </c>
      <c r="B160" s="19" t="s">
        <v>2839</v>
      </c>
      <c r="C160" s="19">
        <v>311411</v>
      </c>
      <c r="D160" s="19" t="s">
        <v>2839</v>
      </c>
    </row>
    <row r="161" spans="1:4" x14ac:dyDescent="0.25">
      <c r="A161" s="19">
        <v>311412</v>
      </c>
      <c r="B161" s="19" t="s">
        <v>2841</v>
      </c>
      <c r="C161" s="19">
        <v>311412</v>
      </c>
      <c r="D161" s="19" t="s">
        <v>2841</v>
      </c>
    </row>
    <row r="162" spans="1:4" x14ac:dyDescent="0.25">
      <c r="A162" s="19">
        <v>311421</v>
      </c>
      <c r="B162" s="19" t="s">
        <v>2843</v>
      </c>
      <c r="C162" s="19">
        <v>311421</v>
      </c>
      <c r="D162" s="19" t="s">
        <v>2843</v>
      </c>
    </row>
    <row r="163" spans="1:4" x14ac:dyDescent="0.25">
      <c r="A163" s="19">
        <v>311422</v>
      </c>
      <c r="B163" s="19" t="s">
        <v>2845</v>
      </c>
      <c r="C163" s="19">
        <v>311422</v>
      </c>
      <c r="D163" s="19" t="s">
        <v>2845</v>
      </c>
    </row>
    <row r="164" spans="1:4" ht="25.5" x14ac:dyDescent="0.25">
      <c r="A164" s="19">
        <v>311423</v>
      </c>
      <c r="B164" s="19" t="s">
        <v>2847</v>
      </c>
      <c r="C164" s="19">
        <v>311423</v>
      </c>
      <c r="D164" s="19" t="s">
        <v>2847</v>
      </c>
    </row>
    <row r="165" spans="1:4" x14ac:dyDescent="0.25">
      <c r="A165" s="19">
        <v>311511</v>
      </c>
      <c r="B165" s="19" t="s">
        <v>2849</v>
      </c>
      <c r="C165" s="19">
        <v>311511</v>
      </c>
      <c r="D165" s="19" t="s">
        <v>2849</v>
      </c>
    </row>
    <row r="166" spans="1:4" x14ac:dyDescent="0.25">
      <c r="A166" s="19">
        <v>311512</v>
      </c>
      <c r="B166" s="19" t="s">
        <v>2851</v>
      </c>
      <c r="C166" s="19">
        <v>311512</v>
      </c>
      <c r="D166" s="19" t="s">
        <v>2851</v>
      </c>
    </row>
    <row r="167" spans="1:4" x14ac:dyDescent="0.25">
      <c r="A167" s="19">
        <v>311513</v>
      </c>
      <c r="B167" s="19" t="s">
        <v>2853</v>
      </c>
      <c r="C167" s="19">
        <v>311513</v>
      </c>
      <c r="D167" s="19" t="s">
        <v>2853</v>
      </c>
    </row>
    <row r="168" spans="1:4" ht="25.5" x14ac:dyDescent="0.25">
      <c r="A168" s="19">
        <v>311514</v>
      </c>
      <c r="B168" s="19" t="s">
        <v>2855</v>
      </c>
      <c r="C168" s="19">
        <v>311514</v>
      </c>
      <c r="D168" s="19" t="s">
        <v>2855</v>
      </c>
    </row>
    <row r="169" spans="1:4" ht="25.5" x14ac:dyDescent="0.25">
      <c r="A169" s="19">
        <v>311520</v>
      </c>
      <c r="B169" s="19" t="s">
        <v>2857</v>
      </c>
      <c r="C169" s="19">
        <v>311520</v>
      </c>
      <c r="D169" s="19" t="s">
        <v>2857</v>
      </c>
    </row>
    <row r="170" spans="1:4" x14ac:dyDescent="0.25">
      <c r="A170" s="19">
        <v>311611</v>
      </c>
      <c r="B170" s="19" t="s">
        <v>2859</v>
      </c>
      <c r="C170" s="19">
        <v>311611</v>
      </c>
      <c r="D170" s="19" t="s">
        <v>2859</v>
      </c>
    </row>
    <row r="171" spans="1:4" x14ac:dyDescent="0.25">
      <c r="A171" s="19">
        <v>311612</v>
      </c>
      <c r="B171" s="19" t="s">
        <v>2861</v>
      </c>
      <c r="C171" s="19">
        <v>311612</v>
      </c>
      <c r="D171" s="19" t="s">
        <v>2861</v>
      </c>
    </row>
    <row r="172" spans="1:4" ht="25.5" x14ac:dyDescent="0.25">
      <c r="A172" s="19">
        <v>311613</v>
      </c>
      <c r="B172" s="19" t="s">
        <v>2863</v>
      </c>
      <c r="C172" s="19">
        <v>311613</v>
      </c>
      <c r="D172" s="19" t="s">
        <v>2863</v>
      </c>
    </row>
    <row r="173" spans="1:4" x14ac:dyDescent="0.25">
      <c r="A173" s="19">
        <v>311615</v>
      </c>
      <c r="B173" s="19" t="s">
        <v>2865</v>
      </c>
      <c r="C173" s="19">
        <v>311615</v>
      </c>
      <c r="D173" s="19" t="s">
        <v>2865</v>
      </c>
    </row>
    <row r="174" spans="1:4" ht="25.5" x14ac:dyDescent="0.25">
      <c r="A174" s="19">
        <v>311711</v>
      </c>
      <c r="B174" s="19" t="s">
        <v>5755</v>
      </c>
      <c r="C174" s="20">
        <v>311710</v>
      </c>
      <c r="D174" s="19" t="s">
        <v>2867</v>
      </c>
    </row>
    <row r="175" spans="1:4" ht="25.5" x14ac:dyDescent="0.25">
      <c r="A175" s="19">
        <v>311712</v>
      </c>
      <c r="B175" s="19" t="s">
        <v>5756</v>
      </c>
      <c r="C175" s="20">
        <v>311710</v>
      </c>
      <c r="D175" s="19" t="s">
        <v>2867</v>
      </c>
    </row>
    <row r="176" spans="1:4" x14ac:dyDescent="0.25">
      <c r="A176" s="19">
        <v>311811</v>
      </c>
      <c r="B176" s="19" t="s">
        <v>2869</v>
      </c>
      <c r="C176" s="19">
        <v>311811</v>
      </c>
      <c r="D176" s="19" t="s">
        <v>2869</v>
      </c>
    </row>
    <row r="177" spans="1:4" x14ac:dyDescent="0.25">
      <c r="A177" s="19">
        <v>311812</v>
      </c>
      <c r="B177" s="19" t="s">
        <v>2871</v>
      </c>
      <c r="C177" s="19">
        <v>311812</v>
      </c>
      <c r="D177" s="19" t="s">
        <v>2871</v>
      </c>
    </row>
    <row r="178" spans="1:4" ht="25.5" x14ac:dyDescent="0.25">
      <c r="A178" s="19">
        <v>311813</v>
      </c>
      <c r="B178" s="19" t="s">
        <v>2873</v>
      </c>
      <c r="C178" s="19">
        <v>311813</v>
      </c>
      <c r="D178" s="19" t="s">
        <v>2873</v>
      </c>
    </row>
    <row r="179" spans="1:4" x14ac:dyDescent="0.25">
      <c r="A179" s="19">
        <v>311821</v>
      </c>
      <c r="B179" s="19" t="s">
        <v>2875</v>
      </c>
      <c r="C179" s="19">
        <v>311821</v>
      </c>
      <c r="D179" s="19" t="s">
        <v>2875</v>
      </c>
    </row>
    <row r="180" spans="1:4" ht="25.5" x14ac:dyDescent="0.25">
      <c r="A180" s="19">
        <v>311822</v>
      </c>
      <c r="B180" s="19" t="s">
        <v>5749</v>
      </c>
      <c r="C180" s="20">
        <v>311824</v>
      </c>
      <c r="D180" s="19" t="s">
        <v>2877</v>
      </c>
    </row>
    <row r="181" spans="1:4" ht="25.5" x14ac:dyDescent="0.25">
      <c r="A181" s="19">
        <v>311823</v>
      </c>
      <c r="B181" s="19" t="s">
        <v>6039</v>
      </c>
      <c r="C181" s="20">
        <v>311824</v>
      </c>
      <c r="D181" s="19" t="s">
        <v>2877</v>
      </c>
    </row>
    <row r="182" spans="1:4" x14ac:dyDescent="0.25">
      <c r="A182" s="19">
        <v>311830</v>
      </c>
      <c r="B182" s="19" t="s">
        <v>2879</v>
      </c>
      <c r="C182" s="19">
        <v>311830</v>
      </c>
      <c r="D182" s="19" t="s">
        <v>2879</v>
      </c>
    </row>
    <row r="183" spans="1:4" ht="25.5" x14ac:dyDescent="0.25">
      <c r="A183" s="19">
        <v>311911</v>
      </c>
      <c r="B183" s="19" t="s">
        <v>2881</v>
      </c>
      <c r="C183" s="19">
        <v>311911</v>
      </c>
      <c r="D183" s="19" t="s">
        <v>2881</v>
      </c>
    </row>
    <row r="184" spans="1:4" x14ac:dyDescent="0.25">
      <c r="A184" s="19">
        <v>311919</v>
      </c>
      <c r="B184" s="19" t="s">
        <v>2883</v>
      </c>
      <c r="C184" s="19">
        <v>311919</v>
      </c>
      <c r="D184" s="19" t="s">
        <v>2883</v>
      </c>
    </row>
    <row r="185" spans="1:4" x14ac:dyDescent="0.25">
      <c r="A185" s="19">
        <v>311920</v>
      </c>
      <c r="B185" s="19" t="s">
        <v>2885</v>
      </c>
      <c r="C185" s="19">
        <v>311920</v>
      </c>
      <c r="D185" s="19" t="s">
        <v>2885</v>
      </c>
    </row>
    <row r="186" spans="1:4" ht="25.5" x14ac:dyDescent="0.25">
      <c r="A186" s="19">
        <v>311930</v>
      </c>
      <c r="B186" s="19" t="s">
        <v>2887</v>
      </c>
      <c r="C186" s="19">
        <v>311930</v>
      </c>
      <c r="D186" s="19" t="s">
        <v>2887</v>
      </c>
    </row>
    <row r="187" spans="1:4" ht="25.5" x14ac:dyDescent="0.25">
      <c r="A187" s="19">
        <v>311941</v>
      </c>
      <c r="B187" s="19" t="s">
        <v>2889</v>
      </c>
      <c r="C187" s="19">
        <v>311941</v>
      </c>
      <c r="D187" s="19" t="s">
        <v>2889</v>
      </c>
    </row>
    <row r="188" spans="1:4" x14ac:dyDescent="0.25">
      <c r="A188" s="19">
        <v>311942</v>
      </c>
      <c r="B188" s="19" t="s">
        <v>2890</v>
      </c>
      <c r="C188" s="19">
        <v>311942</v>
      </c>
      <c r="D188" s="19" t="s">
        <v>2890</v>
      </c>
    </row>
    <row r="189" spans="1:4" x14ac:dyDescent="0.25">
      <c r="A189" s="19">
        <v>311991</v>
      </c>
      <c r="B189" s="19" t="s">
        <v>2892</v>
      </c>
      <c r="C189" s="19">
        <v>311991</v>
      </c>
      <c r="D189" s="19" t="s">
        <v>2892</v>
      </c>
    </row>
    <row r="190" spans="1:4" ht="25.5" x14ac:dyDescent="0.25">
      <c r="A190" s="19">
        <v>311999</v>
      </c>
      <c r="B190" s="19" t="s">
        <v>2894</v>
      </c>
      <c r="C190" s="19">
        <v>311999</v>
      </c>
      <c r="D190" s="19" t="s">
        <v>2894</v>
      </c>
    </row>
    <row r="191" spans="1:4" x14ac:dyDescent="0.25">
      <c r="A191" s="19">
        <v>312111</v>
      </c>
      <c r="B191" s="19" t="s">
        <v>2896</v>
      </c>
      <c r="C191" s="19">
        <v>312111</v>
      </c>
      <c r="D191" s="19" t="s">
        <v>2896</v>
      </c>
    </row>
    <row r="192" spans="1:4" x14ac:dyDescent="0.25">
      <c r="A192" s="19">
        <v>312112</v>
      </c>
      <c r="B192" s="19" t="s">
        <v>2897</v>
      </c>
      <c r="C192" s="19">
        <v>312112</v>
      </c>
      <c r="D192" s="19" t="s">
        <v>2897</v>
      </c>
    </row>
    <row r="193" spans="1:4" x14ac:dyDescent="0.25">
      <c r="A193" s="19">
        <v>312113</v>
      </c>
      <c r="B193" s="19" t="s">
        <v>2899</v>
      </c>
      <c r="C193" s="19">
        <v>312113</v>
      </c>
      <c r="D193" s="19" t="s">
        <v>2899</v>
      </c>
    </row>
    <row r="194" spans="1:4" x14ac:dyDescent="0.25">
      <c r="A194" s="19">
        <v>312120</v>
      </c>
      <c r="B194" s="19" t="s">
        <v>2901</v>
      </c>
      <c r="C194" s="19">
        <v>312120</v>
      </c>
      <c r="D194" s="19" t="s">
        <v>2901</v>
      </c>
    </row>
    <row r="195" spans="1:4" x14ac:dyDescent="0.25">
      <c r="A195" s="19">
        <v>312130</v>
      </c>
      <c r="B195" s="19" t="s">
        <v>2903</v>
      </c>
      <c r="C195" s="19">
        <v>312130</v>
      </c>
      <c r="D195" s="19" t="s">
        <v>2903</v>
      </c>
    </row>
    <row r="196" spans="1:4" x14ac:dyDescent="0.25">
      <c r="A196" s="19">
        <v>312140</v>
      </c>
      <c r="B196" s="19" t="s">
        <v>2905</v>
      </c>
      <c r="C196" s="19">
        <v>312140</v>
      </c>
      <c r="D196" s="19" t="s">
        <v>2905</v>
      </c>
    </row>
    <row r="197" spans="1:4" x14ac:dyDescent="0.25">
      <c r="A197" s="19">
        <v>312210</v>
      </c>
      <c r="B197" s="19" t="s">
        <v>5761</v>
      </c>
      <c r="C197" s="20">
        <v>312230</v>
      </c>
      <c r="D197" s="19" t="s">
        <v>2907</v>
      </c>
    </row>
    <row r="198" spans="1:4" x14ac:dyDescent="0.25">
      <c r="A198" s="19">
        <v>312221</v>
      </c>
      <c r="B198" s="19" t="s">
        <v>5759</v>
      </c>
      <c r="C198" s="20">
        <v>312230</v>
      </c>
      <c r="D198" s="19" t="s">
        <v>2907</v>
      </c>
    </row>
    <row r="199" spans="1:4" x14ac:dyDescent="0.25">
      <c r="A199" s="19">
        <v>312229</v>
      </c>
      <c r="B199" s="19" t="s">
        <v>5760</v>
      </c>
      <c r="C199" s="20">
        <v>312230</v>
      </c>
      <c r="D199" s="19" t="s">
        <v>2907</v>
      </c>
    </row>
    <row r="200" spans="1:4" x14ac:dyDescent="0.25">
      <c r="A200" s="19">
        <v>313111</v>
      </c>
      <c r="B200" s="19" t="s">
        <v>3157</v>
      </c>
      <c r="C200" s="20">
        <v>313110</v>
      </c>
      <c r="D200" s="19" t="s">
        <v>2909</v>
      </c>
    </row>
    <row r="201" spans="1:4" ht="25.5" x14ac:dyDescent="0.25">
      <c r="A201" s="19">
        <v>313112</v>
      </c>
      <c r="B201" s="19" t="s">
        <v>6040</v>
      </c>
      <c r="C201" s="20">
        <v>313110</v>
      </c>
      <c r="D201" s="19" t="s">
        <v>2909</v>
      </c>
    </row>
    <row r="202" spans="1:4" x14ac:dyDescent="0.25">
      <c r="A202" s="19">
        <v>313113</v>
      </c>
      <c r="B202" s="19" t="s">
        <v>5772</v>
      </c>
      <c r="C202" s="20">
        <v>313110</v>
      </c>
      <c r="D202" s="19" t="s">
        <v>2909</v>
      </c>
    </row>
    <row r="203" spans="1:4" x14ac:dyDescent="0.25">
      <c r="A203" s="19">
        <v>313210</v>
      </c>
      <c r="B203" s="19" t="s">
        <v>2911</v>
      </c>
      <c r="C203" s="19">
        <v>313210</v>
      </c>
      <c r="D203" s="19" t="s">
        <v>2911</v>
      </c>
    </row>
    <row r="204" spans="1:4" ht="25.5" x14ac:dyDescent="0.25">
      <c r="A204" s="19">
        <v>313221</v>
      </c>
      <c r="B204" s="19" t="s">
        <v>5764</v>
      </c>
      <c r="C204" s="20">
        <v>313220</v>
      </c>
      <c r="D204" s="19" t="s">
        <v>2913</v>
      </c>
    </row>
    <row r="205" spans="1:4" ht="25.5" x14ac:dyDescent="0.25">
      <c r="A205" s="19">
        <v>313222</v>
      </c>
      <c r="B205" s="19" t="s">
        <v>5803</v>
      </c>
      <c r="C205" s="20">
        <v>313220</v>
      </c>
      <c r="D205" s="19" t="s">
        <v>2913</v>
      </c>
    </row>
    <row r="206" spans="1:4" x14ac:dyDescent="0.25">
      <c r="A206" s="19">
        <v>313230</v>
      </c>
      <c r="B206" s="19" t="s">
        <v>2915</v>
      </c>
      <c r="C206" s="19">
        <v>313230</v>
      </c>
      <c r="D206" s="19" t="s">
        <v>2915</v>
      </c>
    </row>
    <row r="207" spans="1:4" x14ac:dyDescent="0.25">
      <c r="A207" s="19">
        <v>313241</v>
      </c>
      <c r="B207" s="19" t="s">
        <v>5769</v>
      </c>
      <c r="C207" s="20">
        <v>313240</v>
      </c>
      <c r="D207" s="19" t="s">
        <v>2917</v>
      </c>
    </row>
    <row r="208" spans="1:4" x14ac:dyDescent="0.25">
      <c r="A208" s="19">
        <v>313249</v>
      </c>
      <c r="B208" s="19" t="s">
        <v>5770</v>
      </c>
      <c r="C208" s="20">
        <v>313240</v>
      </c>
      <c r="D208" s="19" t="s">
        <v>2917</v>
      </c>
    </row>
    <row r="209" spans="1:4" x14ac:dyDescent="0.25">
      <c r="A209" s="19">
        <v>313311</v>
      </c>
      <c r="B209" s="19" t="s">
        <v>5762</v>
      </c>
      <c r="C209" s="20">
        <v>313310</v>
      </c>
      <c r="D209" s="19" t="s">
        <v>2919</v>
      </c>
    </row>
    <row r="210" spans="1:4" ht="25.5" x14ac:dyDescent="0.25">
      <c r="A210" s="19">
        <v>313312</v>
      </c>
      <c r="B210" s="19" t="s">
        <v>5763</v>
      </c>
      <c r="C210" s="20">
        <v>313310</v>
      </c>
      <c r="D210" s="19" t="s">
        <v>2919</v>
      </c>
    </row>
    <row r="211" spans="1:4" x14ac:dyDescent="0.25">
      <c r="A211" s="19">
        <v>313320</v>
      </c>
      <c r="B211" s="19" t="s">
        <v>2921</v>
      </c>
      <c r="C211" s="19">
        <v>313320</v>
      </c>
      <c r="D211" s="19" t="s">
        <v>2921</v>
      </c>
    </row>
    <row r="212" spans="1:4" x14ac:dyDescent="0.25">
      <c r="A212" s="19">
        <v>314110</v>
      </c>
      <c r="B212" s="19" t="s">
        <v>2923</v>
      </c>
      <c r="C212" s="19">
        <v>314110</v>
      </c>
      <c r="D212" s="19" t="s">
        <v>2923</v>
      </c>
    </row>
    <row r="213" spans="1:4" x14ac:dyDescent="0.25">
      <c r="A213" s="19">
        <v>314121</v>
      </c>
      <c r="B213" s="19" t="s">
        <v>5799</v>
      </c>
      <c r="C213" s="20">
        <v>314120</v>
      </c>
      <c r="D213" s="19" t="s">
        <v>2925</v>
      </c>
    </row>
    <row r="214" spans="1:4" x14ac:dyDescent="0.25">
      <c r="A214" s="19">
        <v>314129</v>
      </c>
      <c r="B214" s="19" t="s">
        <v>5800</v>
      </c>
      <c r="C214" s="20">
        <v>314120</v>
      </c>
      <c r="D214" s="19" t="s">
        <v>2925</v>
      </c>
    </row>
    <row r="215" spans="1:4" x14ac:dyDescent="0.25">
      <c r="A215" s="19">
        <v>314911</v>
      </c>
      <c r="B215" s="19" t="s">
        <v>5801</v>
      </c>
      <c r="C215" s="20">
        <v>314910</v>
      </c>
      <c r="D215" s="19" t="s">
        <v>2927</v>
      </c>
    </row>
    <row r="216" spans="1:4" x14ac:dyDescent="0.25">
      <c r="A216" s="19">
        <v>314912</v>
      </c>
      <c r="B216" s="19" t="s">
        <v>5802</v>
      </c>
      <c r="C216" s="20">
        <v>314910</v>
      </c>
      <c r="D216" s="19" t="s">
        <v>2927</v>
      </c>
    </row>
    <row r="217" spans="1:4" ht="25.5" x14ac:dyDescent="0.25">
      <c r="A217" s="19">
        <v>314991</v>
      </c>
      <c r="B217" s="19" t="s">
        <v>5774</v>
      </c>
      <c r="C217" s="20">
        <v>314994</v>
      </c>
      <c r="D217" s="19" t="s">
        <v>2929</v>
      </c>
    </row>
    <row r="218" spans="1:4" ht="25.5" x14ac:dyDescent="0.25">
      <c r="A218" s="19">
        <v>314992</v>
      </c>
      <c r="B218" s="19" t="s">
        <v>5773</v>
      </c>
      <c r="C218" s="20">
        <v>314994</v>
      </c>
      <c r="D218" s="19" t="s">
        <v>2929</v>
      </c>
    </row>
    <row r="219" spans="1:4" ht="25.5" x14ac:dyDescent="0.25">
      <c r="A219" s="19">
        <v>314999</v>
      </c>
      <c r="B219" s="19" t="s">
        <v>2931</v>
      </c>
      <c r="C219" s="19">
        <v>314999</v>
      </c>
      <c r="D219" s="19" t="s">
        <v>2931</v>
      </c>
    </row>
    <row r="220" spans="1:4" x14ac:dyDescent="0.25">
      <c r="A220" s="19">
        <v>315111</v>
      </c>
      <c r="B220" s="19" t="s">
        <v>5765</v>
      </c>
      <c r="C220" s="20">
        <v>315110</v>
      </c>
      <c r="D220" s="19" t="s">
        <v>2933</v>
      </c>
    </row>
    <row r="221" spans="1:4" x14ac:dyDescent="0.25">
      <c r="A221" s="19">
        <v>315119</v>
      </c>
      <c r="B221" s="19" t="s">
        <v>5766</v>
      </c>
      <c r="C221" s="20">
        <v>315110</v>
      </c>
      <c r="D221" s="19" t="s">
        <v>2933</v>
      </c>
    </row>
    <row r="222" spans="1:4" x14ac:dyDescent="0.25">
      <c r="A222" s="19">
        <v>315191</v>
      </c>
      <c r="B222" s="19" t="s">
        <v>5767</v>
      </c>
      <c r="C222" s="20">
        <v>315190</v>
      </c>
      <c r="D222" s="19" t="s">
        <v>2935</v>
      </c>
    </row>
    <row r="223" spans="1:4" x14ac:dyDescent="0.25">
      <c r="A223" s="19">
        <v>315192</v>
      </c>
      <c r="B223" s="19" t="s">
        <v>5768</v>
      </c>
      <c r="C223" s="20">
        <v>315190</v>
      </c>
      <c r="D223" s="19" t="s">
        <v>2935</v>
      </c>
    </row>
    <row r="224" spans="1:4" ht="25.5" x14ac:dyDescent="0.25">
      <c r="A224" s="19">
        <v>315211</v>
      </c>
      <c r="B224" s="19" t="s">
        <v>5777</v>
      </c>
      <c r="C224" s="20">
        <v>315210</v>
      </c>
      <c r="D224" s="19" t="s">
        <v>2937</v>
      </c>
    </row>
    <row r="225" spans="1:4" ht="25.5" x14ac:dyDescent="0.25">
      <c r="A225" s="19">
        <v>315212</v>
      </c>
      <c r="B225" s="19" t="s">
        <v>5787</v>
      </c>
      <c r="C225" s="20">
        <v>315210</v>
      </c>
      <c r="D225" s="19" t="s">
        <v>2937</v>
      </c>
    </row>
    <row r="226" spans="1:4" ht="25.5" x14ac:dyDescent="0.25">
      <c r="A226" s="19">
        <v>315221</v>
      </c>
      <c r="B226" s="19" t="s">
        <v>5792</v>
      </c>
      <c r="C226" s="20">
        <v>315220</v>
      </c>
      <c r="D226" s="19" t="s">
        <v>2939</v>
      </c>
    </row>
    <row r="227" spans="1:4" ht="25.5" x14ac:dyDescent="0.25">
      <c r="A227" s="19">
        <v>315222</v>
      </c>
      <c r="B227" s="19" t="s">
        <v>5796</v>
      </c>
      <c r="C227" s="20">
        <v>315220</v>
      </c>
      <c r="D227" s="19" t="s">
        <v>2939</v>
      </c>
    </row>
    <row r="228" spans="1:4" ht="25.5" x14ac:dyDescent="0.25">
      <c r="A228" s="19">
        <v>315223</v>
      </c>
      <c r="B228" s="19" t="s">
        <v>6046</v>
      </c>
      <c r="C228" s="20">
        <v>315220</v>
      </c>
      <c r="D228" s="19" t="s">
        <v>2939</v>
      </c>
    </row>
    <row r="229" spans="1:4" ht="25.5" x14ac:dyDescent="0.25">
      <c r="A229" s="19">
        <v>315224</v>
      </c>
      <c r="B229" s="19" t="s">
        <v>6047</v>
      </c>
      <c r="C229" s="20">
        <v>315220</v>
      </c>
      <c r="D229" s="19" t="s">
        <v>2939</v>
      </c>
    </row>
    <row r="230" spans="1:4" ht="25.5" x14ac:dyDescent="0.25">
      <c r="A230" s="19">
        <v>315225</v>
      </c>
      <c r="B230" s="19" t="s">
        <v>6048</v>
      </c>
      <c r="C230" s="20">
        <v>315220</v>
      </c>
      <c r="D230" s="19" t="s">
        <v>2939</v>
      </c>
    </row>
    <row r="231" spans="1:4" ht="25.5" x14ac:dyDescent="0.25">
      <c r="A231" s="19">
        <v>315228</v>
      </c>
      <c r="B231" s="19" t="s">
        <v>6049</v>
      </c>
      <c r="C231" s="20">
        <v>315220</v>
      </c>
      <c r="D231" s="19" t="s">
        <v>2939</v>
      </c>
    </row>
    <row r="232" spans="1:4" ht="38.25" x14ac:dyDescent="0.25">
      <c r="A232" s="19">
        <v>315231</v>
      </c>
      <c r="B232" s="19" t="s">
        <v>6050</v>
      </c>
      <c r="C232" s="20">
        <v>315240</v>
      </c>
      <c r="D232" s="19" t="s">
        <v>2941</v>
      </c>
    </row>
    <row r="233" spans="1:4" ht="25.5" x14ac:dyDescent="0.25">
      <c r="A233" s="19">
        <v>315232</v>
      </c>
      <c r="B233" s="19" t="s">
        <v>6051</v>
      </c>
      <c r="C233" s="20">
        <v>315240</v>
      </c>
      <c r="D233" s="19" t="s">
        <v>2941</v>
      </c>
    </row>
    <row r="234" spans="1:4" ht="25.5" x14ac:dyDescent="0.25">
      <c r="A234" s="19">
        <v>315233</v>
      </c>
      <c r="B234" s="19" t="s">
        <v>6052</v>
      </c>
      <c r="C234" s="20">
        <v>315240</v>
      </c>
      <c r="D234" s="19" t="s">
        <v>2941</v>
      </c>
    </row>
    <row r="235" spans="1:4" ht="38.25" x14ac:dyDescent="0.25">
      <c r="A235" s="19">
        <v>315234</v>
      </c>
      <c r="B235" s="19" t="s">
        <v>6053</v>
      </c>
      <c r="C235" s="20">
        <v>315240</v>
      </c>
      <c r="D235" s="19" t="s">
        <v>2941</v>
      </c>
    </row>
    <row r="236" spans="1:4" ht="25.5" x14ac:dyDescent="0.25">
      <c r="A236" s="19">
        <v>315239</v>
      </c>
      <c r="B236" s="19" t="s">
        <v>6054</v>
      </c>
      <c r="C236" s="20">
        <v>315240</v>
      </c>
      <c r="D236" s="19" t="s">
        <v>2941</v>
      </c>
    </row>
    <row r="237" spans="1:4" ht="25.5" x14ac:dyDescent="0.25">
      <c r="A237" s="19">
        <v>315291</v>
      </c>
      <c r="B237" s="19" t="s">
        <v>6055</v>
      </c>
      <c r="C237" s="20">
        <v>315240</v>
      </c>
      <c r="D237" s="19" t="s">
        <v>2941</v>
      </c>
    </row>
    <row r="238" spans="1:4" ht="25.5" x14ac:dyDescent="0.25">
      <c r="A238" s="19">
        <v>315292</v>
      </c>
      <c r="B238" s="19" t="s">
        <v>5797</v>
      </c>
      <c r="C238" s="20">
        <v>315280</v>
      </c>
      <c r="D238" s="19" t="s">
        <v>2943</v>
      </c>
    </row>
    <row r="239" spans="1:4" ht="25.5" x14ac:dyDescent="0.25">
      <c r="A239" s="19">
        <v>315299</v>
      </c>
      <c r="B239" s="19" t="s">
        <v>5784</v>
      </c>
      <c r="C239" s="20">
        <v>315280</v>
      </c>
      <c r="D239" s="19" t="s">
        <v>2943</v>
      </c>
    </row>
    <row r="240" spans="1:4" ht="25.5" x14ac:dyDescent="0.25">
      <c r="A240" s="19">
        <v>315991</v>
      </c>
      <c r="B240" s="19" t="s">
        <v>5795</v>
      </c>
      <c r="C240" s="20">
        <v>315990</v>
      </c>
      <c r="D240" s="19" t="s">
        <v>2945</v>
      </c>
    </row>
    <row r="241" spans="1:4" ht="25.5" x14ac:dyDescent="0.25">
      <c r="A241" s="19">
        <v>315992</v>
      </c>
      <c r="B241" s="19" t="s">
        <v>5798</v>
      </c>
      <c r="C241" s="20">
        <v>315990</v>
      </c>
      <c r="D241" s="19" t="s">
        <v>2945</v>
      </c>
    </row>
    <row r="242" spans="1:4" ht="25.5" x14ac:dyDescent="0.25">
      <c r="A242" s="19">
        <v>315993</v>
      </c>
      <c r="B242" s="19" t="s">
        <v>6056</v>
      </c>
      <c r="C242" s="20">
        <v>315990</v>
      </c>
      <c r="D242" s="19" t="s">
        <v>2945</v>
      </c>
    </row>
    <row r="243" spans="1:4" ht="25.5" x14ac:dyDescent="0.25">
      <c r="A243" s="19">
        <v>315999</v>
      </c>
      <c r="B243" s="19" t="s">
        <v>5791</v>
      </c>
      <c r="C243" s="20">
        <v>315990</v>
      </c>
      <c r="D243" s="19" t="s">
        <v>2945</v>
      </c>
    </row>
    <row r="244" spans="1:4" x14ac:dyDescent="0.25">
      <c r="A244" s="19">
        <v>316110</v>
      </c>
      <c r="B244" s="19" t="s">
        <v>2947</v>
      </c>
      <c r="C244" s="19">
        <v>316110</v>
      </c>
      <c r="D244" s="19" t="s">
        <v>2947</v>
      </c>
    </row>
    <row r="245" spans="1:4" ht="25.5" x14ac:dyDescent="0.25">
      <c r="A245" s="19">
        <v>316211</v>
      </c>
      <c r="B245" s="19" t="s">
        <v>5847</v>
      </c>
      <c r="C245" s="20">
        <v>316210</v>
      </c>
      <c r="D245" s="19" t="s">
        <v>2949</v>
      </c>
    </row>
    <row r="246" spans="1:4" x14ac:dyDescent="0.25">
      <c r="A246" s="19">
        <v>316212</v>
      </c>
      <c r="B246" s="19" t="s">
        <v>5853</v>
      </c>
      <c r="C246" s="20">
        <v>316210</v>
      </c>
      <c r="D246" s="19" t="s">
        <v>2949</v>
      </c>
    </row>
    <row r="247" spans="1:4" ht="25.5" x14ac:dyDescent="0.25">
      <c r="A247" s="19">
        <v>316213</v>
      </c>
      <c r="B247" s="19" t="s">
        <v>6057</v>
      </c>
      <c r="C247" s="20">
        <v>316210</v>
      </c>
      <c r="D247" s="19" t="s">
        <v>2949</v>
      </c>
    </row>
    <row r="248" spans="1:4" ht="25.5" x14ac:dyDescent="0.25">
      <c r="A248" s="19">
        <v>316214</v>
      </c>
      <c r="B248" s="19" t="s">
        <v>6058</v>
      </c>
      <c r="C248" s="20">
        <v>316210</v>
      </c>
      <c r="D248" s="19" t="s">
        <v>2949</v>
      </c>
    </row>
    <row r="249" spans="1:4" x14ac:dyDescent="0.25">
      <c r="A249" s="19">
        <v>316219</v>
      </c>
      <c r="B249" s="19" t="s">
        <v>5856</v>
      </c>
      <c r="C249" s="20">
        <v>316210</v>
      </c>
      <c r="D249" s="19" t="s">
        <v>2949</v>
      </c>
    </row>
    <row r="250" spans="1:4" ht="25.5" x14ac:dyDescent="0.25">
      <c r="A250" s="19">
        <v>316991</v>
      </c>
      <c r="B250" s="19" t="s">
        <v>5857</v>
      </c>
      <c r="C250" s="20">
        <v>316998</v>
      </c>
      <c r="D250" s="19" t="s">
        <v>2953</v>
      </c>
    </row>
    <row r="251" spans="1:4" ht="25.5" x14ac:dyDescent="0.25">
      <c r="A251" s="19">
        <v>316992</v>
      </c>
      <c r="B251" s="19" t="s">
        <v>2951</v>
      </c>
      <c r="C251" s="19">
        <v>316992</v>
      </c>
      <c r="D251" s="19" t="s">
        <v>2951</v>
      </c>
    </row>
    <row r="252" spans="1:4" ht="38.25" x14ac:dyDescent="0.25">
      <c r="A252" s="19">
        <v>316993</v>
      </c>
      <c r="B252" s="19" t="s">
        <v>6059</v>
      </c>
      <c r="C252" s="20">
        <v>316998</v>
      </c>
      <c r="D252" s="19" t="s">
        <v>2953</v>
      </c>
    </row>
    <row r="253" spans="1:4" ht="25.5" x14ac:dyDescent="0.25">
      <c r="A253" s="19">
        <v>316999</v>
      </c>
      <c r="B253" s="19" t="s">
        <v>2953</v>
      </c>
      <c r="C253" s="20">
        <v>316998</v>
      </c>
      <c r="D253" s="19" t="s">
        <v>2953</v>
      </c>
    </row>
    <row r="254" spans="1:4" x14ac:dyDescent="0.25">
      <c r="A254" s="19">
        <v>321113</v>
      </c>
      <c r="B254" s="19" t="s">
        <v>2955</v>
      </c>
      <c r="C254" s="19">
        <v>321113</v>
      </c>
      <c r="D254" s="19" t="s">
        <v>2955</v>
      </c>
    </row>
    <row r="255" spans="1:4" x14ac:dyDescent="0.25">
      <c r="A255" s="19">
        <v>321114</v>
      </c>
      <c r="B255" s="19" t="s">
        <v>2957</v>
      </c>
      <c r="C255" s="19">
        <v>321114</v>
      </c>
      <c r="D255" s="19" t="s">
        <v>2957</v>
      </c>
    </row>
    <row r="256" spans="1:4" ht="25.5" x14ac:dyDescent="0.25">
      <c r="A256" s="19">
        <v>321211</v>
      </c>
      <c r="B256" s="19" t="s">
        <v>2959</v>
      </c>
      <c r="C256" s="19">
        <v>321211</v>
      </c>
      <c r="D256" s="19" t="s">
        <v>2959</v>
      </c>
    </row>
    <row r="257" spans="1:4" ht="25.5" x14ac:dyDescent="0.25">
      <c r="A257" s="19">
        <v>321212</v>
      </c>
      <c r="B257" s="19" t="s">
        <v>2961</v>
      </c>
      <c r="C257" s="19">
        <v>321212</v>
      </c>
      <c r="D257" s="19" t="s">
        <v>2961</v>
      </c>
    </row>
    <row r="258" spans="1:4" ht="25.5" x14ac:dyDescent="0.25">
      <c r="A258" s="19">
        <v>321213</v>
      </c>
      <c r="B258" s="19" t="s">
        <v>2963</v>
      </c>
      <c r="C258" s="19">
        <v>321213</v>
      </c>
      <c r="D258" s="19" t="s">
        <v>2963</v>
      </c>
    </row>
    <row r="259" spans="1:4" x14ac:dyDescent="0.25">
      <c r="A259" s="19">
        <v>321214</v>
      </c>
      <c r="B259" s="19" t="s">
        <v>2965</v>
      </c>
      <c r="C259" s="19">
        <v>321214</v>
      </c>
      <c r="D259" s="19" t="s">
        <v>2965</v>
      </c>
    </row>
    <row r="260" spans="1:4" ht="25.5" x14ac:dyDescent="0.25">
      <c r="A260" s="19">
        <v>321219</v>
      </c>
      <c r="B260" s="19" t="s">
        <v>2967</v>
      </c>
      <c r="C260" s="19">
        <v>321219</v>
      </c>
      <c r="D260" s="19" t="s">
        <v>2967</v>
      </c>
    </row>
    <row r="261" spans="1:4" x14ac:dyDescent="0.25">
      <c r="A261" s="19">
        <v>321911</v>
      </c>
      <c r="B261" s="19" t="s">
        <v>2969</v>
      </c>
      <c r="C261" s="19">
        <v>321911</v>
      </c>
      <c r="D261" s="19" t="s">
        <v>2969</v>
      </c>
    </row>
    <row r="262" spans="1:4" ht="25.5" x14ac:dyDescent="0.25">
      <c r="A262" s="19">
        <v>321912</v>
      </c>
      <c r="B262" s="19" t="s">
        <v>2970</v>
      </c>
      <c r="C262" s="19">
        <v>321912</v>
      </c>
      <c r="D262" s="19" t="s">
        <v>2970</v>
      </c>
    </row>
    <row r="263" spans="1:4" x14ac:dyDescent="0.25">
      <c r="A263" s="19">
        <v>321918</v>
      </c>
      <c r="B263" s="19" t="s">
        <v>2972</v>
      </c>
      <c r="C263" s="19">
        <v>321918</v>
      </c>
      <c r="D263" s="19" t="s">
        <v>2972</v>
      </c>
    </row>
    <row r="264" spans="1:4" ht="25.5" x14ac:dyDescent="0.25">
      <c r="A264" s="19">
        <v>321920</v>
      </c>
      <c r="B264" s="19" t="s">
        <v>2974</v>
      </c>
      <c r="C264" s="19">
        <v>321920</v>
      </c>
      <c r="D264" s="19" t="s">
        <v>2974</v>
      </c>
    </row>
    <row r="265" spans="1:4" ht="25.5" x14ac:dyDescent="0.25">
      <c r="A265" s="19">
        <v>321991</v>
      </c>
      <c r="B265" s="19" t="s">
        <v>2976</v>
      </c>
      <c r="C265" s="19">
        <v>321991</v>
      </c>
      <c r="D265" s="19" t="s">
        <v>2976</v>
      </c>
    </row>
    <row r="266" spans="1:4" ht="25.5" x14ac:dyDescent="0.25">
      <c r="A266" s="19">
        <v>321992</v>
      </c>
      <c r="B266" s="19" t="s">
        <v>2978</v>
      </c>
      <c r="C266" s="19">
        <v>321992</v>
      </c>
      <c r="D266" s="19" t="s">
        <v>2978</v>
      </c>
    </row>
    <row r="267" spans="1:4" ht="25.5" x14ac:dyDescent="0.25">
      <c r="A267" s="19">
        <v>321999</v>
      </c>
      <c r="B267" s="19" t="s">
        <v>2980</v>
      </c>
      <c r="C267" s="20">
        <v>321999</v>
      </c>
      <c r="D267" s="19" t="s">
        <v>2980</v>
      </c>
    </row>
    <row r="268" spans="1:4" x14ac:dyDescent="0.25">
      <c r="A268" s="19">
        <v>322110</v>
      </c>
      <c r="B268" s="19" t="s">
        <v>2982</v>
      </c>
      <c r="C268" s="19">
        <v>322110</v>
      </c>
      <c r="D268" s="19" t="s">
        <v>2982</v>
      </c>
    </row>
    <row r="269" spans="1:4" x14ac:dyDescent="0.25">
      <c r="A269" s="19">
        <v>322121</v>
      </c>
      <c r="B269" s="19" t="s">
        <v>2984</v>
      </c>
      <c r="C269" s="19">
        <v>322121</v>
      </c>
      <c r="D269" s="19" t="s">
        <v>2984</v>
      </c>
    </row>
    <row r="270" spans="1:4" x14ac:dyDescent="0.25">
      <c r="A270" s="19">
        <v>322122</v>
      </c>
      <c r="B270" s="19" t="s">
        <v>2986</v>
      </c>
      <c r="C270" s="19">
        <v>322122</v>
      </c>
      <c r="D270" s="19" t="s">
        <v>2986</v>
      </c>
    </row>
    <row r="271" spans="1:4" x14ac:dyDescent="0.25">
      <c r="A271" s="19">
        <v>322130</v>
      </c>
      <c r="B271" s="19" t="s">
        <v>2988</v>
      </c>
      <c r="C271" s="19">
        <v>322130</v>
      </c>
      <c r="D271" s="19" t="s">
        <v>2988</v>
      </c>
    </row>
    <row r="272" spans="1:4" ht="25.5" x14ac:dyDescent="0.25">
      <c r="A272" s="19">
        <v>322211</v>
      </c>
      <c r="B272" s="19" t="s">
        <v>2990</v>
      </c>
      <c r="C272" s="19">
        <v>322211</v>
      </c>
      <c r="D272" s="19" t="s">
        <v>2990</v>
      </c>
    </row>
    <row r="273" spans="1:4" x14ac:dyDescent="0.25">
      <c r="A273" s="19">
        <v>322212</v>
      </c>
      <c r="B273" s="19" t="s">
        <v>2992</v>
      </c>
      <c r="C273" s="19">
        <v>322212</v>
      </c>
      <c r="D273" s="19" t="s">
        <v>2992</v>
      </c>
    </row>
    <row r="274" spans="1:4" ht="25.5" x14ac:dyDescent="0.25">
      <c r="A274" s="19">
        <v>322213</v>
      </c>
      <c r="B274" s="19" t="s">
        <v>5809</v>
      </c>
      <c r="C274" s="20">
        <v>322219</v>
      </c>
      <c r="D274" s="19" t="s">
        <v>2994</v>
      </c>
    </row>
    <row r="275" spans="1:4" ht="25.5" x14ac:dyDescent="0.25">
      <c r="A275" s="19">
        <v>322214</v>
      </c>
      <c r="B275" s="19" t="s">
        <v>5810</v>
      </c>
      <c r="C275" s="20">
        <v>322219</v>
      </c>
      <c r="D275" s="19" t="s">
        <v>2994</v>
      </c>
    </row>
    <row r="276" spans="1:4" ht="25.5" x14ac:dyDescent="0.25">
      <c r="A276" s="19">
        <v>322215</v>
      </c>
      <c r="B276" s="19" t="s">
        <v>5811</v>
      </c>
      <c r="C276" s="20">
        <v>322219</v>
      </c>
      <c r="D276" s="19" t="s">
        <v>2994</v>
      </c>
    </row>
    <row r="277" spans="1:4" ht="25.5" x14ac:dyDescent="0.25">
      <c r="A277" s="19">
        <v>322221</v>
      </c>
      <c r="B277" s="19" t="s">
        <v>6060</v>
      </c>
      <c r="C277" s="20">
        <v>322220</v>
      </c>
      <c r="D277" s="19" t="s">
        <v>2996</v>
      </c>
    </row>
    <row r="278" spans="1:4" ht="25.5" x14ac:dyDescent="0.25">
      <c r="A278" s="19">
        <v>322222</v>
      </c>
      <c r="B278" s="19" t="s">
        <v>5813</v>
      </c>
      <c r="C278" s="20">
        <v>322220</v>
      </c>
      <c r="D278" s="19" t="s">
        <v>2996</v>
      </c>
    </row>
    <row r="279" spans="1:4" ht="25.5" x14ac:dyDescent="0.25">
      <c r="A279" s="19">
        <v>322223</v>
      </c>
      <c r="B279" s="19" t="s">
        <v>6061</v>
      </c>
      <c r="C279" s="20">
        <v>322220</v>
      </c>
      <c r="D279" s="19" t="s">
        <v>2996</v>
      </c>
    </row>
    <row r="280" spans="1:4" ht="25.5" x14ac:dyDescent="0.25">
      <c r="A280" s="19">
        <v>322224</v>
      </c>
      <c r="B280" s="19" t="s">
        <v>5816</v>
      </c>
      <c r="C280" s="20">
        <v>322220</v>
      </c>
      <c r="D280" s="19" t="s">
        <v>2996</v>
      </c>
    </row>
    <row r="281" spans="1:4" ht="25.5" x14ac:dyDescent="0.25">
      <c r="A281" s="19">
        <v>322225</v>
      </c>
      <c r="B281" s="19" t="s">
        <v>5902</v>
      </c>
      <c r="C281" s="20">
        <v>322220</v>
      </c>
      <c r="D281" s="19" t="s">
        <v>2996</v>
      </c>
    </row>
    <row r="282" spans="1:4" ht="25.5" x14ac:dyDescent="0.25">
      <c r="A282" s="19">
        <v>322226</v>
      </c>
      <c r="B282" s="19" t="s">
        <v>5817</v>
      </c>
      <c r="C282" s="20">
        <v>322220</v>
      </c>
      <c r="D282" s="19" t="s">
        <v>2996</v>
      </c>
    </row>
    <row r="283" spans="1:4" ht="25.5" x14ac:dyDescent="0.25">
      <c r="A283" s="19">
        <v>322231</v>
      </c>
      <c r="B283" s="19" t="s">
        <v>5818</v>
      </c>
      <c r="C283" s="20">
        <v>322230</v>
      </c>
      <c r="D283" s="19" t="s">
        <v>2998</v>
      </c>
    </row>
    <row r="284" spans="1:4" x14ac:dyDescent="0.25">
      <c r="A284" s="19">
        <v>322232</v>
      </c>
      <c r="B284" s="19" t="s">
        <v>5819</v>
      </c>
      <c r="C284" s="20">
        <v>322230</v>
      </c>
      <c r="D284" s="19" t="s">
        <v>2998</v>
      </c>
    </row>
    <row r="285" spans="1:4" ht="25.5" x14ac:dyDescent="0.25">
      <c r="A285" s="19">
        <v>322233</v>
      </c>
      <c r="B285" s="19" t="s">
        <v>5820</v>
      </c>
      <c r="C285" s="20">
        <v>322230</v>
      </c>
      <c r="D285" s="19" t="s">
        <v>2998</v>
      </c>
    </row>
    <row r="286" spans="1:4" x14ac:dyDescent="0.25">
      <c r="A286" s="19">
        <v>322291</v>
      </c>
      <c r="B286" s="19" t="s">
        <v>3000</v>
      </c>
      <c r="C286" s="19">
        <v>322291</v>
      </c>
      <c r="D286" s="19" t="s">
        <v>3000</v>
      </c>
    </row>
    <row r="287" spans="1:4" ht="25.5" x14ac:dyDescent="0.25">
      <c r="A287" s="19">
        <v>322299</v>
      </c>
      <c r="B287" s="19" t="s">
        <v>3002</v>
      </c>
      <c r="C287" s="19">
        <v>322299</v>
      </c>
      <c r="D287" s="19" t="s">
        <v>3002</v>
      </c>
    </row>
    <row r="288" spans="1:4" ht="25.5" x14ac:dyDescent="0.25">
      <c r="A288" s="19">
        <v>323110</v>
      </c>
      <c r="B288" s="19" t="s">
        <v>5823</v>
      </c>
      <c r="C288" s="20">
        <v>323111</v>
      </c>
      <c r="D288" s="19" t="s">
        <v>3004</v>
      </c>
    </row>
    <row r="289" spans="1:4" ht="25.5" x14ac:dyDescent="0.25">
      <c r="A289" s="19">
        <v>323111</v>
      </c>
      <c r="B289" s="19" t="s">
        <v>5825</v>
      </c>
      <c r="C289" s="20">
        <v>323111</v>
      </c>
      <c r="D289" s="19" t="s">
        <v>3004</v>
      </c>
    </row>
    <row r="290" spans="1:4" ht="25.5" x14ac:dyDescent="0.25">
      <c r="A290" s="19">
        <v>323112</v>
      </c>
      <c r="B290" s="19" t="s">
        <v>5826</v>
      </c>
      <c r="C290" s="20">
        <v>323111</v>
      </c>
      <c r="D290" s="19" t="s">
        <v>3004</v>
      </c>
    </row>
    <row r="291" spans="1:4" x14ac:dyDescent="0.25">
      <c r="A291" s="19">
        <v>323113</v>
      </c>
      <c r="B291" s="19" t="s">
        <v>3006</v>
      </c>
      <c r="C291" s="19">
        <v>323113</v>
      </c>
      <c r="D291" s="19" t="s">
        <v>3006</v>
      </c>
    </row>
    <row r="292" spans="1:4" ht="25.5" x14ac:dyDescent="0.25">
      <c r="A292" s="19">
        <v>323114</v>
      </c>
      <c r="B292" s="19" t="s">
        <v>5824</v>
      </c>
      <c r="C292" s="20">
        <v>323111</v>
      </c>
      <c r="D292" s="19" t="s">
        <v>3004</v>
      </c>
    </row>
    <row r="293" spans="1:4" ht="25.5" x14ac:dyDescent="0.25">
      <c r="A293" s="19">
        <v>323115</v>
      </c>
      <c r="B293" s="19" t="s">
        <v>5827</v>
      </c>
      <c r="C293" s="20">
        <v>323111</v>
      </c>
      <c r="D293" s="19" t="s">
        <v>3004</v>
      </c>
    </row>
    <row r="294" spans="1:4" ht="25.5" x14ac:dyDescent="0.25">
      <c r="A294" s="19">
        <v>323116</v>
      </c>
      <c r="B294" s="19" t="s">
        <v>6062</v>
      </c>
      <c r="C294" s="20">
        <v>323111</v>
      </c>
      <c r="D294" s="19" t="s">
        <v>3004</v>
      </c>
    </row>
    <row r="295" spans="1:4" x14ac:dyDescent="0.25">
      <c r="A295" s="19">
        <v>323117</v>
      </c>
      <c r="B295" s="19" t="s">
        <v>3008</v>
      </c>
      <c r="C295" s="19">
        <v>323117</v>
      </c>
      <c r="D295" s="19" t="s">
        <v>3008</v>
      </c>
    </row>
    <row r="296" spans="1:4" ht="25.5" x14ac:dyDescent="0.25">
      <c r="A296" s="19">
        <v>323118</v>
      </c>
      <c r="B296" s="19" t="s">
        <v>6063</v>
      </c>
      <c r="C296" s="20">
        <v>323111</v>
      </c>
      <c r="D296" s="19" t="s">
        <v>3004</v>
      </c>
    </row>
    <row r="297" spans="1:4" ht="25.5" x14ac:dyDescent="0.25">
      <c r="A297" s="19">
        <v>323119</v>
      </c>
      <c r="B297" s="19" t="s">
        <v>6064</v>
      </c>
      <c r="C297" s="20">
        <v>323111</v>
      </c>
      <c r="D297" s="19" t="s">
        <v>3004</v>
      </c>
    </row>
    <row r="298" spans="1:4" x14ac:dyDescent="0.25">
      <c r="A298" s="19">
        <v>323121</v>
      </c>
      <c r="B298" s="19" t="s">
        <v>5831</v>
      </c>
      <c r="C298" s="20">
        <v>323120</v>
      </c>
      <c r="D298" s="19" t="s">
        <v>3010</v>
      </c>
    </row>
    <row r="299" spans="1:4" x14ac:dyDescent="0.25">
      <c r="A299" s="19">
        <v>323122</v>
      </c>
      <c r="B299" s="19" t="s">
        <v>5832</v>
      </c>
      <c r="C299" s="20">
        <v>323120</v>
      </c>
      <c r="D299" s="19" t="s">
        <v>3010</v>
      </c>
    </row>
    <row r="300" spans="1:4" x14ac:dyDescent="0.25">
      <c r="A300" s="19">
        <v>324110</v>
      </c>
      <c r="B300" s="19" t="s">
        <v>2407</v>
      </c>
      <c r="C300" s="19">
        <v>324110</v>
      </c>
      <c r="D300" s="19" t="s">
        <v>2407</v>
      </c>
    </row>
    <row r="301" spans="1:4" ht="25.5" x14ac:dyDescent="0.25">
      <c r="A301" s="19">
        <v>324121</v>
      </c>
      <c r="B301" s="19" t="s">
        <v>3013</v>
      </c>
      <c r="C301" s="19">
        <v>324121</v>
      </c>
      <c r="D301" s="19" t="s">
        <v>3013</v>
      </c>
    </row>
    <row r="302" spans="1:4" ht="25.5" x14ac:dyDescent="0.25">
      <c r="A302" s="19">
        <v>324122</v>
      </c>
      <c r="B302" s="19" t="s">
        <v>3015</v>
      </c>
      <c r="C302" s="19">
        <v>324122</v>
      </c>
      <c r="D302" s="19" t="s">
        <v>3015</v>
      </c>
    </row>
    <row r="303" spans="1:4" ht="25.5" x14ac:dyDescent="0.25">
      <c r="A303" s="19">
        <v>324191</v>
      </c>
      <c r="B303" s="19" t="s">
        <v>3017</v>
      </c>
      <c r="C303" s="19">
        <v>324191</v>
      </c>
      <c r="D303" s="19" t="s">
        <v>3017</v>
      </c>
    </row>
    <row r="304" spans="1:4" ht="25.5" x14ac:dyDescent="0.25">
      <c r="A304" s="19">
        <v>324199</v>
      </c>
      <c r="B304" s="19" t="s">
        <v>3019</v>
      </c>
      <c r="C304" s="19">
        <v>324199</v>
      </c>
      <c r="D304" s="19" t="s">
        <v>3019</v>
      </c>
    </row>
    <row r="305" spans="1:4" x14ac:dyDescent="0.25">
      <c r="A305" s="19">
        <v>325110</v>
      </c>
      <c r="B305" s="19" t="s">
        <v>36</v>
      </c>
      <c r="C305" s="19">
        <v>325110</v>
      </c>
      <c r="D305" s="19" t="s">
        <v>36</v>
      </c>
    </row>
    <row r="306" spans="1:4" x14ac:dyDescent="0.25">
      <c r="A306" s="19">
        <v>325120</v>
      </c>
      <c r="B306" s="19" t="s">
        <v>3022</v>
      </c>
      <c r="C306" s="19">
        <v>325120</v>
      </c>
      <c r="D306" s="19" t="s">
        <v>3022</v>
      </c>
    </row>
    <row r="307" spans="1:4" ht="25.5" x14ac:dyDescent="0.25">
      <c r="A307" s="19">
        <v>325131</v>
      </c>
      <c r="B307" s="19" t="s">
        <v>5834</v>
      </c>
      <c r="C307" s="20">
        <v>325130</v>
      </c>
      <c r="D307" s="19" t="s">
        <v>3024</v>
      </c>
    </row>
    <row r="308" spans="1:4" ht="25.5" x14ac:dyDescent="0.25">
      <c r="A308" s="19">
        <v>325132</v>
      </c>
      <c r="B308" s="19" t="s">
        <v>6065</v>
      </c>
      <c r="C308" s="20">
        <v>325130</v>
      </c>
      <c r="D308" s="19" t="s">
        <v>3024</v>
      </c>
    </row>
    <row r="309" spans="1:4" ht="25.5" x14ac:dyDescent="0.25">
      <c r="A309" s="19">
        <v>325181</v>
      </c>
      <c r="B309" s="19" t="s">
        <v>5833</v>
      </c>
      <c r="C309" s="20">
        <v>325180</v>
      </c>
      <c r="D309" s="19" t="s">
        <v>674</v>
      </c>
    </row>
    <row r="310" spans="1:4" ht="25.5" x14ac:dyDescent="0.25">
      <c r="A310" s="19">
        <v>325182</v>
      </c>
      <c r="B310" s="19" t="s">
        <v>5835</v>
      </c>
      <c r="C310" s="20">
        <v>325180</v>
      </c>
      <c r="D310" s="19" t="s">
        <v>674</v>
      </c>
    </row>
    <row r="311" spans="1:4" ht="25.5" x14ac:dyDescent="0.25">
      <c r="A311" s="19">
        <v>325188</v>
      </c>
      <c r="B311" s="19" t="s">
        <v>5836</v>
      </c>
      <c r="C311" s="20">
        <v>325180</v>
      </c>
      <c r="D311" s="19" t="s">
        <v>674</v>
      </c>
    </row>
    <row r="312" spans="1:4" ht="25.5" x14ac:dyDescent="0.25">
      <c r="A312" s="19">
        <v>325191</v>
      </c>
      <c r="B312" s="19" t="s">
        <v>5843</v>
      </c>
      <c r="C312" s="20">
        <v>325194</v>
      </c>
      <c r="D312" s="19" t="s">
        <v>3029</v>
      </c>
    </row>
    <row r="313" spans="1:4" ht="25.5" x14ac:dyDescent="0.25">
      <c r="A313" s="19">
        <v>325192</v>
      </c>
      <c r="B313" s="19" t="s">
        <v>5845</v>
      </c>
      <c r="C313" s="20">
        <v>325194</v>
      </c>
      <c r="D313" s="19" t="s">
        <v>3029</v>
      </c>
    </row>
    <row r="314" spans="1:4" x14ac:dyDescent="0.25">
      <c r="A314" s="19">
        <v>325193</v>
      </c>
      <c r="B314" s="19" t="s">
        <v>3027</v>
      </c>
      <c r="C314" s="19">
        <v>325193</v>
      </c>
      <c r="D314" s="19" t="s">
        <v>3027</v>
      </c>
    </row>
    <row r="315" spans="1:4" ht="25.5" x14ac:dyDescent="0.25">
      <c r="A315" s="19">
        <v>325199</v>
      </c>
      <c r="B315" s="19" t="s">
        <v>28</v>
      </c>
      <c r="C315" s="19">
        <v>325199</v>
      </c>
      <c r="D315" s="19" t="s">
        <v>28</v>
      </c>
    </row>
    <row r="316" spans="1:4" ht="25.5" x14ac:dyDescent="0.25">
      <c r="A316" s="19">
        <v>325211</v>
      </c>
      <c r="B316" s="19" t="s">
        <v>54</v>
      </c>
      <c r="C316" s="19">
        <v>325211</v>
      </c>
      <c r="D316" s="19" t="s">
        <v>54</v>
      </c>
    </row>
    <row r="317" spans="1:4" x14ac:dyDescent="0.25">
      <c r="A317" s="19">
        <v>325212</v>
      </c>
      <c r="B317" s="19" t="s">
        <v>3033</v>
      </c>
      <c r="C317" s="19">
        <v>325212</v>
      </c>
      <c r="D317" s="19" t="s">
        <v>3033</v>
      </c>
    </row>
    <row r="318" spans="1:4" ht="25.5" x14ac:dyDescent="0.25">
      <c r="A318" s="19">
        <v>325221</v>
      </c>
      <c r="B318" s="19" t="s">
        <v>5838</v>
      </c>
      <c r="C318" s="20">
        <v>325220</v>
      </c>
      <c r="D318" s="19" t="s">
        <v>3035</v>
      </c>
    </row>
    <row r="319" spans="1:4" ht="25.5" x14ac:dyDescent="0.25">
      <c r="A319" s="19">
        <v>325222</v>
      </c>
      <c r="B319" s="19" t="s">
        <v>5839</v>
      </c>
      <c r="C319" s="20">
        <v>325220</v>
      </c>
      <c r="D319" s="19" t="s">
        <v>3035</v>
      </c>
    </row>
    <row r="320" spans="1:4" x14ac:dyDescent="0.25">
      <c r="A320" s="19">
        <v>325311</v>
      </c>
      <c r="B320" s="19" t="s">
        <v>3037</v>
      </c>
      <c r="C320" s="19">
        <v>325311</v>
      </c>
      <c r="D320" s="19" t="s">
        <v>3037</v>
      </c>
    </row>
    <row r="321" spans="1:4" x14ac:dyDescent="0.25">
      <c r="A321" s="19">
        <v>325312</v>
      </c>
      <c r="B321" s="19" t="s">
        <v>3039</v>
      </c>
      <c r="C321" s="19">
        <v>325312</v>
      </c>
      <c r="D321" s="19" t="s">
        <v>3039</v>
      </c>
    </row>
    <row r="322" spans="1:4" x14ac:dyDescent="0.25">
      <c r="A322" s="19">
        <v>325314</v>
      </c>
      <c r="B322" s="19" t="s">
        <v>5846</v>
      </c>
      <c r="C322" s="19">
        <v>325314</v>
      </c>
      <c r="D322" s="19" t="s">
        <v>5846</v>
      </c>
    </row>
    <row r="323" spans="1:4" ht="25.5" x14ac:dyDescent="0.25">
      <c r="A323" s="19">
        <v>325320</v>
      </c>
      <c r="B323" s="19" t="s">
        <v>2406</v>
      </c>
      <c r="C323" s="19">
        <v>325320</v>
      </c>
      <c r="D323" s="19" t="s">
        <v>2406</v>
      </c>
    </row>
    <row r="324" spans="1:4" x14ac:dyDescent="0.25">
      <c r="A324" s="19">
        <v>325411</v>
      </c>
      <c r="B324" s="19" t="s">
        <v>3046</v>
      </c>
      <c r="C324" s="19">
        <v>325411</v>
      </c>
      <c r="D324" s="19" t="s">
        <v>3046</v>
      </c>
    </row>
    <row r="325" spans="1:4" ht="25.5" x14ac:dyDescent="0.25">
      <c r="A325" s="19">
        <v>325412</v>
      </c>
      <c r="B325" s="19" t="s">
        <v>3048</v>
      </c>
      <c r="C325" s="19">
        <v>325412</v>
      </c>
      <c r="D325" s="19" t="s">
        <v>3048</v>
      </c>
    </row>
    <row r="326" spans="1:4" ht="25.5" x14ac:dyDescent="0.25">
      <c r="A326" s="19">
        <v>325413</v>
      </c>
      <c r="B326" s="19" t="s">
        <v>3050</v>
      </c>
      <c r="C326" s="19">
        <v>325413</v>
      </c>
      <c r="D326" s="19" t="s">
        <v>3050</v>
      </c>
    </row>
    <row r="327" spans="1:4" ht="25.5" x14ac:dyDescent="0.25">
      <c r="A327" s="19">
        <v>325414</v>
      </c>
      <c r="B327" s="19" t="s">
        <v>3052</v>
      </c>
      <c r="C327" s="19">
        <v>325414</v>
      </c>
      <c r="D327" s="19" t="s">
        <v>3052</v>
      </c>
    </row>
    <row r="328" spans="1:4" x14ac:dyDescent="0.25">
      <c r="A328" s="19">
        <v>325510</v>
      </c>
      <c r="B328" s="19" t="s">
        <v>697</v>
      </c>
      <c r="C328" s="19">
        <v>325510</v>
      </c>
      <c r="D328" s="19" t="s">
        <v>697</v>
      </c>
    </row>
    <row r="329" spans="1:4" x14ac:dyDescent="0.25">
      <c r="A329" s="19">
        <v>325520</v>
      </c>
      <c r="B329" s="19" t="s">
        <v>3055</v>
      </c>
      <c r="C329" s="19">
        <v>325520</v>
      </c>
      <c r="D329" s="19" t="s">
        <v>3055</v>
      </c>
    </row>
    <row r="330" spans="1:4" ht="25.5" x14ac:dyDescent="0.25">
      <c r="A330" s="19">
        <v>325611</v>
      </c>
      <c r="B330" s="19" t="s">
        <v>3057</v>
      </c>
      <c r="C330" s="19">
        <v>325611</v>
      </c>
      <c r="D330" s="19" t="s">
        <v>3057</v>
      </c>
    </row>
    <row r="331" spans="1:4" ht="25.5" x14ac:dyDescent="0.25">
      <c r="A331" s="19">
        <v>325612</v>
      </c>
      <c r="B331" s="19" t="s">
        <v>3059</v>
      </c>
      <c r="C331" s="19">
        <v>325612</v>
      </c>
      <c r="D331" s="19" t="s">
        <v>3059</v>
      </c>
    </row>
    <row r="332" spans="1:4" x14ac:dyDescent="0.25">
      <c r="A332" s="19">
        <v>325613</v>
      </c>
      <c r="B332" s="19" t="s">
        <v>3061</v>
      </c>
      <c r="C332" s="19">
        <v>325613</v>
      </c>
      <c r="D332" s="19" t="s">
        <v>3061</v>
      </c>
    </row>
    <row r="333" spans="1:4" x14ac:dyDescent="0.25">
      <c r="A333" s="19">
        <v>325620</v>
      </c>
      <c r="B333" s="19" t="s">
        <v>3063</v>
      </c>
      <c r="C333" s="19">
        <v>325620</v>
      </c>
      <c r="D333" s="19" t="s">
        <v>3063</v>
      </c>
    </row>
    <row r="334" spans="1:4" x14ac:dyDescent="0.25">
      <c r="A334" s="19">
        <v>325910</v>
      </c>
      <c r="B334" s="19" t="s">
        <v>3065</v>
      </c>
      <c r="C334" s="19">
        <v>325910</v>
      </c>
      <c r="D334" s="19" t="s">
        <v>3065</v>
      </c>
    </row>
    <row r="335" spans="1:4" x14ac:dyDescent="0.25">
      <c r="A335" s="19">
        <v>325920</v>
      </c>
      <c r="B335" s="19" t="s">
        <v>3067</v>
      </c>
      <c r="C335" s="19">
        <v>325920</v>
      </c>
      <c r="D335" s="19" t="s">
        <v>3067</v>
      </c>
    </row>
    <row r="336" spans="1:4" ht="25.5" x14ac:dyDescent="0.25">
      <c r="A336" s="19">
        <v>325991</v>
      </c>
      <c r="B336" s="19" t="s">
        <v>3069</v>
      </c>
      <c r="C336" s="19">
        <v>325991</v>
      </c>
      <c r="D336" s="19" t="s">
        <v>3069</v>
      </c>
    </row>
    <row r="337" spans="1:4" ht="25.5" x14ac:dyDescent="0.25">
      <c r="A337" s="19">
        <v>325992</v>
      </c>
      <c r="B337" s="19" t="s">
        <v>3071</v>
      </c>
      <c r="C337" s="19">
        <v>325992</v>
      </c>
      <c r="D337" s="19" t="s">
        <v>3071</v>
      </c>
    </row>
    <row r="338" spans="1:4" ht="25.5" x14ac:dyDescent="0.25">
      <c r="A338" s="19">
        <v>325998</v>
      </c>
      <c r="B338" s="19" t="s">
        <v>3073</v>
      </c>
      <c r="C338" s="19">
        <v>325998</v>
      </c>
      <c r="D338" s="19" t="s">
        <v>3073</v>
      </c>
    </row>
    <row r="339" spans="1:4" x14ac:dyDescent="0.25">
      <c r="A339" s="19">
        <v>326111</v>
      </c>
      <c r="B339" s="19" t="s">
        <v>3075</v>
      </c>
      <c r="C339" s="19">
        <v>326111</v>
      </c>
      <c r="D339" s="19" t="s">
        <v>3075</v>
      </c>
    </row>
    <row r="340" spans="1:4" ht="25.5" x14ac:dyDescent="0.25">
      <c r="A340" s="19">
        <v>326112</v>
      </c>
      <c r="B340" s="19" t="s">
        <v>3077</v>
      </c>
      <c r="C340" s="19">
        <v>326112</v>
      </c>
      <c r="D340" s="19" t="s">
        <v>3077</v>
      </c>
    </row>
    <row r="341" spans="1:4" ht="25.5" x14ac:dyDescent="0.25">
      <c r="A341" s="19">
        <v>326113</v>
      </c>
      <c r="B341" s="19" t="s">
        <v>3079</v>
      </c>
      <c r="C341" s="19">
        <v>326113</v>
      </c>
      <c r="D341" s="19" t="s">
        <v>3079</v>
      </c>
    </row>
    <row r="342" spans="1:4" ht="25.5" x14ac:dyDescent="0.25">
      <c r="A342" s="19">
        <v>326121</v>
      </c>
      <c r="B342" s="19" t="s">
        <v>3081</v>
      </c>
      <c r="C342" s="19">
        <v>326121</v>
      </c>
      <c r="D342" s="19" t="s">
        <v>3081</v>
      </c>
    </row>
    <row r="343" spans="1:4" ht="25.5" x14ac:dyDescent="0.25">
      <c r="A343" s="19">
        <v>326122</v>
      </c>
      <c r="B343" s="19" t="s">
        <v>3083</v>
      </c>
      <c r="C343" s="19">
        <v>326122</v>
      </c>
      <c r="D343" s="19" t="s">
        <v>3083</v>
      </c>
    </row>
    <row r="344" spans="1:4" ht="25.5" x14ac:dyDescent="0.25">
      <c r="A344" s="19">
        <v>326130</v>
      </c>
      <c r="B344" s="19" t="s">
        <v>3085</v>
      </c>
      <c r="C344" s="19">
        <v>326130</v>
      </c>
      <c r="D344" s="19" t="s">
        <v>3085</v>
      </c>
    </row>
    <row r="345" spans="1:4" ht="25.5" x14ac:dyDescent="0.25">
      <c r="A345" s="19">
        <v>326140</v>
      </c>
      <c r="B345" s="19" t="s">
        <v>3087</v>
      </c>
      <c r="C345" s="19">
        <v>326140</v>
      </c>
      <c r="D345" s="19" t="s">
        <v>3087</v>
      </c>
    </row>
    <row r="346" spans="1:4" ht="25.5" x14ac:dyDescent="0.25">
      <c r="A346" s="19">
        <v>326150</v>
      </c>
      <c r="B346" s="19" t="s">
        <v>3089</v>
      </c>
      <c r="C346" s="19">
        <v>326150</v>
      </c>
      <c r="D346" s="19" t="s">
        <v>3089</v>
      </c>
    </row>
    <row r="347" spans="1:4" x14ac:dyDescent="0.25">
      <c r="A347" s="19">
        <v>326160</v>
      </c>
      <c r="B347" s="19" t="s">
        <v>3091</v>
      </c>
      <c r="C347" s="19">
        <v>326160</v>
      </c>
      <c r="D347" s="19" t="s">
        <v>3091</v>
      </c>
    </row>
    <row r="348" spans="1:4" x14ac:dyDescent="0.25">
      <c r="A348" s="19">
        <v>326191</v>
      </c>
      <c r="B348" s="19" t="s">
        <v>3093</v>
      </c>
      <c r="C348" s="19">
        <v>326191</v>
      </c>
      <c r="D348" s="19" t="s">
        <v>3093</v>
      </c>
    </row>
    <row r="349" spans="1:4" ht="25.5" x14ac:dyDescent="0.25">
      <c r="A349" s="19">
        <v>326192</v>
      </c>
      <c r="B349" s="19" t="s">
        <v>5848</v>
      </c>
      <c r="C349" s="20">
        <v>326199</v>
      </c>
      <c r="D349" s="19" t="s">
        <v>3095</v>
      </c>
    </row>
    <row r="350" spans="1:4" ht="25.5" x14ac:dyDescent="0.25">
      <c r="A350" s="19">
        <v>326199</v>
      </c>
      <c r="B350" s="19" t="s">
        <v>3095</v>
      </c>
      <c r="C350" s="20">
        <v>326199</v>
      </c>
      <c r="D350" s="19" t="s">
        <v>3095</v>
      </c>
    </row>
    <row r="351" spans="1:4" x14ac:dyDescent="0.25">
      <c r="A351" s="19">
        <v>326211</v>
      </c>
      <c r="B351" s="19" t="s">
        <v>3097</v>
      </c>
      <c r="C351" s="19">
        <v>326211</v>
      </c>
      <c r="D351" s="19" t="s">
        <v>3097</v>
      </c>
    </row>
    <row r="352" spans="1:4" x14ac:dyDescent="0.25">
      <c r="A352" s="19">
        <v>326212</v>
      </c>
      <c r="B352" s="19" t="s">
        <v>3099</v>
      </c>
      <c r="C352" s="19">
        <v>326212</v>
      </c>
      <c r="D352" s="19" t="s">
        <v>3099</v>
      </c>
    </row>
    <row r="353" spans="1:4" ht="25.5" x14ac:dyDescent="0.25">
      <c r="A353" s="19">
        <v>326220</v>
      </c>
      <c r="B353" s="19" t="s">
        <v>3101</v>
      </c>
      <c r="C353" s="19">
        <v>326220</v>
      </c>
      <c r="D353" s="19" t="s">
        <v>3101</v>
      </c>
    </row>
    <row r="354" spans="1:4" ht="25.5" x14ac:dyDescent="0.25">
      <c r="A354" s="19">
        <v>326291</v>
      </c>
      <c r="B354" s="19" t="s">
        <v>3103</v>
      </c>
      <c r="C354" s="19">
        <v>326291</v>
      </c>
      <c r="D354" s="19" t="s">
        <v>3103</v>
      </c>
    </row>
    <row r="355" spans="1:4" x14ac:dyDescent="0.25">
      <c r="A355" s="19">
        <v>326299</v>
      </c>
      <c r="B355" s="19" t="s">
        <v>3105</v>
      </c>
      <c r="C355" s="19">
        <v>326299</v>
      </c>
      <c r="D355" s="19" t="s">
        <v>3105</v>
      </c>
    </row>
    <row r="356" spans="1:4" ht="38.25" x14ac:dyDescent="0.25">
      <c r="A356" s="19">
        <v>327111</v>
      </c>
      <c r="B356" s="19" t="s">
        <v>5864</v>
      </c>
      <c r="C356" s="20">
        <v>327110</v>
      </c>
      <c r="D356" s="19" t="s">
        <v>3107</v>
      </c>
    </row>
    <row r="357" spans="1:4" ht="25.5" x14ac:dyDescent="0.25">
      <c r="A357" s="19">
        <v>327112</v>
      </c>
      <c r="B357" s="19" t="s">
        <v>5865</v>
      </c>
      <c r="C357" s="20">
        <v>327110</v>
      </c>
      <c r="D357" s="19" t="s">
        <v>3107</v>
      </c>
    </row>
    <row r="358" spans="1:4" ht="25.5" x14ac:dyDescent="0.25">
      <c r="A358" s="19">
        <v>327113</v>
      </c>
      <c r="B358" s="19" t="s">
        <v>5866</v>
      </c>
      <c r="C358" s="20">
        <v>327110</v>
      </c>
      <c r="D358" s="19" t="s">
        <v>3107</v>
      </c>
    </row>
    <row r="359" spans="1:4" ht="25.5" x14ac:dyDescent="0.25">
      <c r="A359" s="19">
        <v>327121</v>
      </c>
      <c r="B359" s="19" t="s">
        <v>5860</v>
      </c>
      <c r="C359" s="20">
        <v>327120</v>
      </c>
      <c r="D359" s="19" t="s">
        <v>3109</v>
      </c>
    </row>
    <row r="360" spans="1:4" ht="25.5" x14ac:dyDescent="0.25">
      <c r="A360" s="19">
        <v>327122</v>
      </c>
      <c r="B360" s="19" t="s">
        <v>5861</v>
      </c>
      <c r="C360" s="20">
        <v>327120</v>
      </c>
      <c r="D360" s="19" t="s">
        <v>3109</v>
      </c>
    </row>
    <row r="361" spans="1:4" ht="25.5" x14ac:dyDescent="0.25">
      <c r="A361" s="19">
        <v>327123</v>
      </c>
      <c r="B361" s="19" t="s">
        <v>5863</v>
      </c>
      <c r="C361" s="20">
        <v>327120</v>
      </c>
      <c r="D361" s="19" t="s">
        <v>3109</v>
      </c>
    </row>
    <row r="362" spans="1:4" ht="25.5" x14ac:dyDescent="0.25">
      <c r="A362" s="19">
        <v>327124</v>
      </c>
      <c r="B362" s="19" t="s">
        <v>5862</v>
      </c>
      <c r="C362" s="20">
        <v>327120</v>
      </c>
      <c r="D362" s="19" t="s">
        <v>3109</v>
      </c>
    </row>
    <row r="363" spans="1:4" ht="25.5" x14ac:dyDescent="0.25">
      <c r="A363" s="19">
        <v>327125</v>
      </c>
      <c r="B363" s="19" t="s">
        <v>5867</v>
      </c>
      <c r="C363" s="20">
        <v>327120</v>
      </c>
      <c r="D363" s="19" t="s">
        <v>3109</v>
      </c>
    </row>
    <row r="364" spans="1:4" x14ac:dyDescent="0.25">
      <c r="A364" s="19">
        <v>327211</v>
      </c>
      <c r="B364" s="19" t="s">
        <v>3111</v>
      </c>
      <c r="C364" s="19">
        <v>327211</v>
      </c>
      <c r="D364" s="19" t="s">
        <v>3111</v>
      </c>
    </row>
    <row r="365" spans="1:4" ht="25.5" x14ac:dyDescent="0.25">
      <c r="A365" s="19">
        <v>327212</v>
      </c>
      <c r="B365" s="19" t="s">
        <v>3113</v>
      </c>
      <c r="C365" s="19">
        <v>327212</v>
      </c>
      <c r="D365" s="19" t="s">
        <v>3113</v>
      </c>
    </row>
    <row r="366" spans="1:4" x14ac:dyDescent="0.25">
      <c r="A366" s="19">
        <v>327213</v>
      </c>
      <c r="B366" s="19" t="s">
        <v>3115</v>
      </c>
      <c r="C366" s="19">
        <v>327213</v>
      </c>
      <c r="D366" s="19" t="s">
        <v>3115</v>
      </c>
    </row>
    <row r="367" spans="1:4" ht="25.5" x14ac:dyDescent="0.25">
      <c r="A367" s="19">
        <v>327215</v>
      </c>
      <c r="B367" s="19" t="s">
        <v>3117</v>
      </c>
      <c r="C367" s="19">
        <v>327215</v>
      </c>
      <c r="D367" s="19" t="s">
        <v>3117</v>
      </c>
    </row>
    <row r="368" spans="1:4" x14ac:dyDescent="0.25">
      <c r="A368" s="19">
        <v>327310</v>
      </c>
      <c r="B368" s="19" t="s">
        <v>693</v>
      </c>
      <c r="C368" s="19">
        <v>327310</v>
      </c>
      <c r="D368" s="19" t="s">
        <v>693</v>
      </c>
    </row>
    <row r="369" spans="1:4" x14ac:dyDescent="0.25">
      <c r="A369" s="19">
        <v>327320</v>
      </c>
      <c r="B369" s="19" t="s">
        <v>3120</v>
      </c>
      <c r="C369" s="19">
        <v>327320</v>
      </c>
      <c r="D369" s="19" t="s">
        <v>3120</v>
      </c>
    </row>
    <row r="370" spans="1:4" x14ac:dyDescent="0.25">
      <c r="A370" s="19">
        <v>327331</v>
      </c>
      <c r="B370" s="19" t="s">
        <v>3122</v>
      </c>
      <c r="C370" s="19">
        <v>327331</v>
      </c>
      <c r="D370" s="19" t="s">
        <v>3122</v>
      </c>
    </row>
    <row r="371" spans="1:4" x14ac:dyDescent="0.25">
      <c r="A371" s="19">
        <v>327332</v>
      </c>
      <c r="B371" s="19" t="s">
        <v>3124</v>
      </c>
      <c r="C371" s="19">
        <v>327332</v>
      </c>
      <c r="D371" s="19" t="s">
        <v>3124</v>
      </c>
    </row>
    <row r="372" spans="1:4" x14ac:dyDescent="0.25">
      <c r="A372" s="19">
        <v>327390</v>
      </c>
      <c r="B372" s="19" t="s">
        <v>3126</v>
      </c>
      <c r="C372" s="19">
        <v>327390</v>
      </c>
      <c r="D372" s="19" t="s">
        <v>3126</v>
      </c>
    </row>
    <row r="373" spans="1:4" x14ac:dyDescent="0.25">
      <c r="A373" s="19">
        <v>327410</v>
      </c>
      <c r="B373" s="19" t="s">
        <v>3128</v>
      </c>
      <c r="C373" s="19">
        <v>327410</v>
      </c>
      <c r="D373" s="19" t="s">
        <v>3128</v>
      </c>
    </row>
    <row r="374" spans="1:4" x14ac:dyDescent="0.25">
      <c r="A374" s="19">
        <v>327420</v>
      </c>
      <c r="B374" s="19" t="s">
        <v>3130</v>
      </c>
      <c r="C374" s="19">
        <v>327420</v>
      </c>
      <c r="D374" s="19" t="s">
        <v>3130</v>
      </c>
    </row>
    <row r="375" spans="1:4" x14ac:dyDescent="0.25">
      <c r="A375" s="19">
        <v>327910</v>
      </c>
      <c r="B375" s="19" t="s">
        <v>3132</v>
      </c>
      <c r="C375" s="19">
        <v>327910</v>
      </c>
      <c r="D375" s="19" t="s">
        <v>3132</v>
      </c>
    </row>
    <row r="376" spans="1:4" ht="25.5" x14ac:dyDescent="0.25">
      <c r="A376" s="19">
        <v>327991</v>
      </c>
      <c r="B376" s="19" t="s">
        <v>3134</v>
      </c>
      <c r="C376" s="19">
        <v>327991</v>
      </c>
      <c r="D376" s="19" t="s">
        <v>3134</v>
      </c>
    </row>
    <row r="377" spans="1:4" ht="25.5" x14ac:dyDescent="0.25">
      <c r="A377" s="19">
        <v>327992</v>
      </c>
      <c r="B377" s="19" t="s">
        <v>3136</v>
      </c>
      <c r="C377" s="19">
        <v>327992</v>
      </c>
      <c r="D377" s="19" t="s">
        <v>3136</v>
      </c>
    </row>
    <row r="378" spans="1:4" x14ac:dyDescent="0.25">
      <c r="A378" s="19">
        <v>327993</v>
      </c>
      <c r="B378" s="19" t="s">
        <v>3138</v>
      </c>
      <c r="C378" s="19">
        <v>327993</v>
      </c>
      <c r="D378" s="19" t="s">
        <v>3138</v>
      </c>
    </row>
    <row r="379" spans="1:4" ht="25.5" x14ac:dyDescent="0.25">
      <c r="A379" s="19">
        <v>327999</v>
      </c>
      <c r="B379" s="19" t="s">
        <v>3140</v>
      </c>
      <c r="C379" s="19">
        <v>327999</v>
      </c>
      <c r="D379" s="19" t="s">
        <v>3140</v>
      </c>
    </row>
    <row r="380" spans="1:4" ht="25.5" x14ac:dyDescent="0.25">
      <c r="A380" s="19">
        <v>331111</v>
      </c>
      <c r="B380" s="19" t="s">
        <v>5868</v>
      </c>
      <c r="C380" s="20">
        <v>331110</v>
      </c>
      <c r="D380" s="19" t="s">
        <v>3142</v>
      </c>
    </row>
    <row r="381" spans="1:4" ht="25.5" x14ac:dyDescent="0.25">
      <c r="A381" s="19">
        <v>331112</v>
      </c>
      <c r="B381" s="19" t="s">
        <v>5869</v>
      </c>
      <c r="C381" s="20">
        <v>331110</v>
      </c>
      <c r="D381" s="19" t="s">
        <v>3142</v>
      </c>
    </row>
    <row r="382" spans="1:4" ht="25.5" x14ac:dyDescent="0.25">
      <c r="A382" s="19">
        <v>331210</v>
      </c>
      <c r="B382" s="19" t="s">
        <v>3144</v>
      </c>
      <c r="C382" s="19">
        <v>331210</v>
      </c>
      <c r="D382" s="19" t="s">
        <v>3144</v>
      </c>
    </row>
    <row r="383" spans="1:4" x14ac:dyDescent="0.25">
      <c r="A383" s="19">
        <v>331221</v>
      </c>
      <c r="B383" s="19" t="s">
        <v>3146</v>
      </c>
      <c r="C383" s="19">
        <v>331221</v>
      </c>
      <c r="D383" s="19" t="s">
        <v>3146</v>
      </c>
    </row>
    <row r="384" spans="1:4" x14ac:dyDescent="0.25">
      <c r="A384" s="19">
        <v>331222</v>
      </c>
      <c r="B384" s="19" t="s">
        <v>3148</v>
      </c>
      <c r="C384" s="19">
        <v>331222</v>
      </c>
      <c r="D384" s="19" t="s">
        <v>3148</v>
      </c>
    </row>
    <row r="385" spans="1:4" ht="25.5" x14ac:dyDescent="0.25">
      <c r="A385" s="19">
        <v>331311</v>
      </c>
      <c r="B385" s="19" t="s">
        <v>5837</v>
      </c>
      <c r="C385" s="20">
        <v>331313</v>
      </c>
      <c r="D385" s="19" t="s">
        <v>3150</v>
      </c>
    </row>
    <row r="386" spans="1:4" ht="25.5" x14ac:dyDescent="0.25">
      <c r="A386" s="19">
        <v>331312</v>
      </c>
      <c r="B386" s="19" t="s">
        <v>5871</v>
      </c>
      <c r="C386" s="20">
        <v>331313</v>
      </c>
      <c r="D386" s="19" t="s">
        <v>3150</v>
      </c>
    </row>
    <row r="387" spans="1:4" ht="25.5" x14ac:dyDescent="0.25">
      <c r="A387" s="19">
        <v>331314</v>
      </c>
      <c r="B387" s="19" t="s">
        <v>3152</v>
      </c>
      <c r="C387" s="19">
        <v>331314</v>
      </c>
      <c r="D387" s="19" t="s">
        <v>3152</v>
      </c>
    </row>
    <row r="388" spans="1:4" ht="25.5" x14ac:dyDescent="0.25">
      <c r="A388" s="19">
        <v>331315</v>
      </c>
      <c r="B388" s="19" t="s">
        <v>3154</v>
      </c>
      <c r="C388" s="19">
        <v>331315</v>
      </c>
      <c r="D388" s="19" t="s">
        <v>3154</v>
      </c>
    </row>
    <row r="389" spans="1:4" ht="25.5" x14ac:dyDescent="0.25">
      <c r="A389" s="19">
        <v>331316</v>
      </c>
      <c r="B389" s="19" t="s">
        <v>5875</v>
      </c>
      <c r="C389" s="20">
        <v>331318</v>
      </c>
      <c r="D389" s="19" t="s">
        <v>3156</v>
      </c>
    </row>
    <row r="390" spans="1:4" ht="25.5" x14ac:dyDescent="0.25">
      <c r="A390" s="19">
        <v>331319</v>
      </c>
      <c r="B390" s="19" t="s">
        <v>5876</v>
      </c>
      <c r="C390" s="20">
        <v>331318</v>
      </c>
      <c r="D390" s="19" t="s">
        <v>3156</v>
      </c>
    </row>
    <row r="391" spans="1:4" ht="25.5" x14ac:dyDescent="0.25">
      <c r="A391" s="19">
        <v>331411</v>
      </c>
      <c r="B391" s="19" t="s">
        <v>3847</v>
      </c>
      <c r="C391" s="20">
        <v>331410</v>
      </c>
      <c r="D391" s="19" t="s">
        <v>3158</v>
      </c>
    </row>
    <row r="392" spans="1:4" ht="38.25" x14ac:dyDescent="0.25">
      <c r="A392" s="19">
        <v>331419</v>
      </c>
      <c r="B392" s="19" t="s">
        <v>5872</v>
      </c>
      <c r="C392" s="20">
        <v>331410</v>
      </c>
      <c r="D392" s="19" t="s">
        <v>3158</v>
      </c>
    </row>
    <row r="393" spans="1:4" ht="25.5" x14ac:dyDescent="0.25">
      <c r="A393" s="19">
        <v>331421</v>
      </c>
      <c r="B393" s="19" t="s">
        <v>5874</v>
      </c>
      <c r="C393" s="20">
        <v>331420</v>
      </c>
      <c r="D393" s="19" t="s">
        <v>3160</v>
      </c>
    </row>
    <row r="394" spans="1:4" ht="25.5" x14ac:dyDescent="0.25">
      <c r="A394" s="19">
        <v>331422</v>
      </c>
      <c r="B394" s="19" t="s">
        <v>5877</v>
      </c>
      <c r="C394" s="20">
        <v>331420</v>
      </c>
      <c r="D394" s="19" t="s">
        <v>3160</v>
      </c>
    </row>
    <row r="395" spans="1:4" ht="25.5" x14ac:dyDescent="0.25">
      <c r="A395" s="19">
        <v>331423</v>
      </c>
      <c r="B395" s="19" t="s">
        <v>5873</v>
      </c>
      <c r="C395" s="20">
        <v>331420</v>
      </c>
      <c r="D395" s="19" t="s">
        <v>3160</v>
      </c>
    </row>
    <row r="396" spans="1:4" ht="38.25" x14ac:dyDescent="0.25">
      <c r="A396" s="19">
        <v>331491</v>
      </c>
      <c r="B396" s="19" t="s">
        <v>3162</v>
      </c>
      <c r="C396" s="19">
        <v>331491</v>
      </c>
      <c r="D396" s="19" t="s">
        <v>3162</v>
      </c>
    </row>
    <row r="397" spans="1:4" ht="38.25" x14ac:dyDescent="0.25">
      <c r="A397" s="19">
        <v>331492</v>
      </c>
      <c r="B397" s="19" t="s">
        <v>3164</v>
      </c>
      <c r="C397" s="19">
        <v>331492</v>
      </c>
      <c r="D397" s="19" t="s">
        <v>3164</v>
      </c>
    </row>
    <row r="398" spans="1:4" x14ac:dyDescent="0.25">
      <c r="A398" s="19">
        <v>331511</v>
      </c>
      <c r="B398" s="19" t="s">
        <v>3166</v>
      </c>
      <c r="C398" s="19">
        <v>331511</v>
      </c>
      <c r="D398" s="19" t="s">
        <v>3166</v>
      </c>
    </row>
    <row r="399" spans="1:4" x14ac:dyDescent="0.25">
      <c r="A399" s="19">
        <v>331512</v>
      </c>
      <c r="B399" s="19" t="s">
        <v>3168</v>
      </c>
      <c r="C399" s="19">
        <v>331512</v>
      </c>
      <c r="D399" s="19" t="s">
        <v>3168</v>
      </c>
    </row>
    <row r="400" spans="1:4" x14ac:dyDescent="0.25">
      <c r="A400" s="19">
        <v>331513</v>
      </c>
      <c r="B400" s="19" t="s">
        <v>3170</v>
      </c>
      <c r="C400" s="19">
        <v>331513</v>
      </c>
      <c r="D400" s="19" t="s">
        <v>3170</v>
      </c>
    </row>
    <row r="401" spans="1:4" x14ac:dyDescent="0.25">
      <c r="A401" s="19">
        <v>331521</v>
      </c>
      <c r="B401" s="19" t="s">
        <v>5878</v>
      </c>
      <c r="C401" s="20">
        <v>331523</v>
      </c>
      <c r="D401" s="19" t="s">
        <v>3172</v>
      </c>
    </row>
    <row r="402" spans="1:4" ht="25.5" x14ac:dyDescent="0.25">
      <c r="A402" s="19">
        <v>331522</v>
      </c>
      <c r="B402" s="19" t="s">
        <v>5879</v>
      </c>
      <c r="C402" s="20">
        <v>331523</v>
      </c>
      <c r="D402" s="19" t="s">
        <v>3172</v>
      </c>
    </row>
    <row r="403" spans="1:4" ht="25.5" x14ac:dyDescent="0.25">
      <c r="A403" s="19">
        <v>331524</v>
      </c>
      <c r="B403" s="19" t="s">
        <v>3174</v>
      </c>
      <c r="C403" s="19">
        <v>331524</v>
      </c>
      <c r="D403" s="19" t="s">
        <v>3174</v>
      </c>
    </row>
    <row r="404" spans="1:4" ht="25.5" x14ac:dyDescent="0.25">
      <c r="A404" s="19">
        <v>331525</v>
      </c>
      <c r="B404" s="19" t="s">
        <v>5880</v>
      </c>
      <c r="C404" s="20">
        <v>331529</v>
      </c>
      <c r="D404" s="19" t="s">
        <v>3176</v>
      </c>
    </row>
    <row r="405" spans="1:4" ht="25.5" x14ac:dyDescent="0.25">
      <c r="A405" s="19">
        <v>331528</v>
      </c>
      <c r="B405" s="19" t="s">
        <v>5881</v>
      </c>
      <c r="C405" s="20">
        <v>331529</v>
      </c>
      <c r="D405" s="19" t="s">
        <v>3176</v>
      </c>
    </row>
    <row r="406" spans="1:4" x14ac:dyDescent="0.25">
      <c r="A406" s="19">
        <v>332111</v>
      </c>
      <c r="B406" s="19" t="s">
        <v>3178</v>
      </c>
      <c r="C406" s="19">
        <v>332111</v>
      </c>
      <c r="D406" s="19" t="s">
        <v>3178</v>
      </c>
    </row>
    <row r="407" spans="1:4" x14ac:dyDescent="0.25">
      <c r="A407" s="19">
        <v>332112</v>
      </c>
      <c r="B407" s="19" t="s">
        <v>3180</v>
      </c>
      <c r="C407" s="19">
        <v>332112</v>
      </c>
      <c r="D407" s="19" t="s">
        <v>3180</v>
      </c>
    </row>
    <row r="408" spans="1:4" x14ac:dyDescent="0.25">
      <c r="A408" s="19">
        <v>332114</v>
      </c>
      <c r="B408" s="19" t="s">
        <v>3182</v>
      </c>
      <c r="C408" s="19">
        <v>332114</v>
      </c>
      <c r="D408" s="19" t="s">
        <v>3182</v>
      </c>
    </row>
    <row r="409" spans="1:4" ht="25.5" x14ac:dyDescent="0.25">
      <c r="A409" s="19">
        <v>332115</v>
      </c>
      <c r="B409" s="19" t="s">
        <v>5893</v>
      </c>
      <c r="C409" s="20">
        <v>332119</v>
      </c>
      <c r="D409" s="19" t="s">
        <v>3186</v>
      </c>
    </row>
    <row r="410" spans="1:4" ht="25.5" x14ac:dyDescent="0.25">
      <c r="A410" s="19">
        <v>332116</v>
      </c>
      <c r="B410" s="19" t="s">
        <v>5894</v>
      </c>
      <c r="C410" s="20">
        <v>332119</v>
      </c>
      <c r="D410" s="19" t="s">
        <v>3186</v>
      </c>
    </row>
    <row r="411" spans="1:4" x14ac:dyDescent="0.25">
      <c r="A411" s="19">
        <v>332117</v>
      </c>
      <c r="B411" s="19" t="s">
        <v>3184</v>
      </c>
      <c r="C411" s="19">
        <v>332117</v>
      </c>
      <c r="D411" s="19" t="s">
        <v>3184</v>
      </c>
    </row>
    <row r="412" spans="1:4" ht="38.25" x14ac:dyDescent="0.25">
      <c r="A412" s="19">
        <v>332211</v>
      </c>
      <c r="B412" s="19" t="s">
        <v>5883</v>
      </c>
      <c r="C412" s="20">
        <v>332215</v>
      </c>
      <c r="D412" s="19" t="s">
        <v>3188</v>
      </c>
    </row>
    <row r="413" spans="1:4" x14ac:dyDescent="0.25">
      <c r="A413" s="19">
        <v>332212</v>
      </c>
      <c r="B413" s="19" t="s">
        <v>5884</v>
      </c>
      <c r="C413" s="20">
        <v>332216</v>
      </c>
      <c r="D413" s="19" t="s">
        <v>3190</v>
      </c>
    </row>
    <row r="414" spans="1:4" x14ac:dyDescent="0.25">
      <c r="A414" s="19">
        <v>332213</v>
      </c>
      <c r="B414" s="19" t="s">
        <v>5885</v>
      </c>
      <c r="C414" s="20">
        <v>332216</v>
      </c>
      <c r="D414" s="19" t="s">
        <v>3190</v>
      </c>
    </row>
    <row r="415" spans="1:4" ht="38.25" x14ac:dyDescent="0.25">
      <c r="A415" s="19">
        <v>332214</v>
      </c>
      <c r="B415" s="19" t="s">
        <v>5895</v>
      </c>
      <c r="C415" s="20">
        <v>332215</v>
      </c>
      <c r="D415" s="19" t="s">
        <v>3188</v>
      </c>
    </row>
    <row r="416" spans="1:4" ht="25.5" x14ac:dyDescent="0.25">
      <c r="A416" s="19">
        <v>332311</v>
      </c>
      <c r="B416" s="19" t="s">
        <v>3192</v>
      </c>
      <c r="C416" s="19">
        <v>332311</v>
      </c>
      <c r="D416" s="19" t="s">
        <v>3192</v>
      </c>
    </row>
    <row r="417" spans="1:4" ht="25.5" x14ac:dyDescent="0.25">
      <c r="A417" s="19">
        <v>332312</v>
      </c>
      <c r="B417" s="19" t="s">
        <v>3194</v>
      </c>
      <c r="C417" s="19">
        <v>332312</v>
      </c>
      <c r="D417" s="19" t="s">
        <v>3194</v>
      </c>
    </row>
    <row r="418" spans="1:4" x14ac:dyDescent="0.25">
      <c r="A418" s="19">
        <v>332313</v>
      </c>
      <c r="B418" s="19" t="s">
        <v>3196</v>
      </c>
      <c r="C418" s="19">
        <v>332313</v>
      </c>
      <c r="D418" s="19" t="s">
        <v>3196</v>
      </c>
    </row>
    <row r="419" spans="1:4" x14ac:dyDescent="0.25">
      <c r="A419" s="19">
        <v>332321</v>
      </c>
      <c r="B419" s="19" t="s">
        <v>3198</v>
      </c>
      <c r="C419" s="19">
        <v>332321</v>
      </c>
      <c r="D419" s="19" t="s">
        <v>3198</v>
      </c>
    </row>
    <row r="420" spans="1:4" x14ac:dyDescent="0.25">
      <c r="A420" s="19">
        <v>332322</v>
      </c>
      <c r="B420" s="19" t="s">
        <v>3200</v>
      </c>
      <c r="C420" s="19">
        <v>332322</v>
      </c>
      <c r="D420" s="19" t="s">
        <v>3200</v>
      </c>
    </row>
    <row r="421" spans="1:4" ht="25.5" x14ac:dyDescent="0.25">
      <c r="A421" s="19">
        <v>332323</v>
      </c>
      <c r="B421" s="19" t="s">
        <v>3202</v>
      </c>
      <c r="C421" s="19">
        <v>332323</v>
      </c>
      <c r="D421" s="19" t="s">
        <v>3202</v>
      </c>
    </row>
    <row r="422" spans="1:4" ht="25.5" x14ac:dyDescent="0.25">
      <c r="A422" s="19">
        <v>332410</v>
      </c>
      <c r="B422" s="19" t="s">
        <v>3204</v>
      </c>
      <c r="C422" s="19">
        <v>332410</v>
      </c>
      <c r="D422" s="19" t="s">
        <v>3204</v>
      </c>
    </row>
    <row r="423" spans="1:4" ht="25.5" x14ac:dyDescent="0.25">
      <c r="A423" s="19">
        <v>332420</v>
      </c>
      <c r="B423" s="19" t="s">
        <v>3206</v>
      </c>
      <c r="C423" s="19">
        <v>332420</v>
      </c>
      <c r="D423" s="19" t="s">
        <v>3206</v>
      </c>
    </row>
    <row r="424" spans="1:4" x14ac:dyDescent="0.25">
      <c r="A424" s="19">
        <v>332431</v>
      </c>
      <c r="B424" s="19" t="s">
        <v>3208</v>
      </c>
      <c r="C424" s="19">
        <v>332431</v>
      </c>
      <c r="D424" s="19" t="s">
        <v>3208</v>
      </c>
    </row>
    <row r="425" spans="1:4" x14ac:dyDescent="0.25">
      <c r="A425" s="19">
        <v>332439</v>
      </c>
      <c r="B425" s="19" t="s">
        <v>3210</v>
      </c>
      <c r="C425" s="19">
        <v>332439</v>
      </c>
      <c r="D425" s="19" t="s">
        <v>3210</v>
      </c>
    </row>
    <row r="426" spans="1:4" x14ac:dyDescent="0.25">
      <c r="A426" s="19">
        <v>332510</v>
      </c>
      <c r="B426" s="19" t="s">
        <v>3212</v>
      </c>
      <c r="C426" s="19">
        <v>332510</v>
      </c>
      <c r="D426" s="19" t="s">
        <v>3212</v>
      </c>
    </row>
    <row r="427" spans="1:4" x14ac:dyDescent="0.25">
      <c r="A427" s="19">
        <v>332611</v>
      </c>
      <c r="B427" s="19" t="s">
        <v>5900</v>
      </c>
      <c r="C427" s="20">
        <v>332613</v>
      </c>
      <c r="D427" s="19" t="s">
        <v>3214</v>
      </c>
    </row>
    <row r="428" spans="1:4" x14ac:dyDescent="0.25">
      <c r="A428" s="19">
        <v>332612</v>
      </c>
      <c r="B428" s="19" t="s">
        <v>5901</v>
      </c>
      <c r="C428" s="20">
        <v>332613</v>
      </c>
      <c r="D428" s="19" t="s">
        <v>3214</v>
      </c>
    </row>
    <row r="429" spans="1:4" ht="25.5" x14ac:dyDescent="0.25">
      <c r="A429" s="19">
        <v>332618</v>
      </c>
      <c r="B429" s="19" t="s">
        <v>3216</v>
      </c>
      <c r="C429" s="19">
        <v>332618</v>
      </c>
      <c r="D429" s="19" t="s">
        <v>3216</v>
      </c>
    </row>
    <row r="430" spans="1:4" x14ac:dyDescent="0.25">
      <c r="A430" s="19">
        <v>332710</v>
      </c>
      <c r="B430" s="19" t="s">
        <v>3218</v>
      </c>
      <c r="C430" s="19">
        <v>332710</v>
      </c>
      <c r="D430" s="19" t="s">
        <v>3218</v>
      </c>
    </row>
    <row r="431" spans="1:4" x14ac:dyDescent="0.25">
      <c r="A431" s="19">
        <v>332721</v>
      </c>
      <c r="B431" s="19" t="s">
        <v>3220</v>
      </c>
      <c r="C431" s="19">
        <v>332721</v>
      </c>
      <c r="D431" s="19" t="s">
        <v>3220</v>
      </c>
    </row>
    <row r="432" spans="1:4" ht="25.5" x14ac:dyDescent="0.25">
      <c r="A432" s="19">
        <v>332722</v>
      </c>
      <c r="B432" s="19" t="s">
        <v>3222</v>
      </c>
      <c r="C432" s="19">
        <v>332722</v>
      </c>
      <c r="D432" s="19" t="s">
        <v>3222</v>
      </c>
    </row>
    <row r="433" spans="1:4" x14ac:dyDescent="0.25">
      <c r="A433" s="19">
        <v>332811</v>
      </c>
      <c r="B433" s="19" t="s">
        <v>3224</v>
      </c>
      <c r="C433" s="19">
        <v>332811</v>
      </c>
      <c r="D433" s="19" t="s">
        <v>3224</v>
      </c>
    </row>
    <row r="434" spans="1:4" ht="38.25" x14ac:dyDescent="0.25">
      <c r="A434" s="19">
        <v>332812</v>
      </c>
      <c r="B434" s="19" t="s">
        <v>3226</v>
      </c>
      <c r="C434" s="19">
        <v>332812</v>
      </c>
      <c r="D434" s="19" t="s">
        <v>3226</v>
      </c>
    </row>
    <row r="435" spans="1:4" ht="25.5" x14ac:dyDescent="0.25">
      <c r="A435" s="19">
        <v>332813</v>
      </c>
      <c r="B435" s="19" t="s">
        <v>3228</v>
      </c>
      <c r="C435" s="19">
        <v>332813</v>
      </c>
      <c r="D435" s="19" t="s">
        <v>3228</v>
      </c>
    </row>
    <row r="436" spans="1:4" x14ac:dyDescent="0.25">
      <c r="A436" s="19">
        <v>332911</v>
      </c>
      <c r="B436" s="19" t="s">
        <v>3230</v>
      </c>
      <c r="C436" s="19">
        <v>332911</v>
      </c>
      <c r="D436" s="19" t="s">
        <v>3230</v>
      </c>
    </row>
    <row r="437" spans="1:4" ht="25.5" x14ac:dyDescent="0.25">
      <c r="A437" s="19">
        <v>332912</v>
      </c>
      <c r="B437" s="19" t="s">
        <v>3232</v>
      </c>
      <c r="C437" s="19">
        <v>332912</v>
      </c>
      <c r="D437" s="19" t="s">
        <v>3232</v>
      </c>
    </row>
    <row r="438" spans="1:4" ht="25.5" x14ac:dyDescent="0.25">
      <c r="A438" s="19">
        <v>332913</v>
      </c>
      <c r="B438" s="19" t="s">
        <v>3234</v>
      </c>
      <c r="C438" s="19">
        <v>332913</v>
      </c>
      <c r="D438" s="19" t="s">
        <v>3234</v>
      </c>
    </row>
    <row r="439" spans="1:4" ht="25.5" x14ac:dyDescent="0.25">
      <c r="A439" s="19">
        <v>332919</v>
      </c>
      <c r="B439" s="19" t="s">
        <v>3236</v>
      </c>
      <c r="C439" s="19">
        <v>332919</v>
      </c>
      <c r="D439" s="19" t="s">
        <v>3236</v>
      </c>
    </row>
    <row r="440" spans="1:4" x14ac:dyDescent="0.25">
      <c r="A440" s="19">
        <v>332991</v>
      </c>
      <c r="B440" s="19" t="s">
        <v>3238</v>
      </c>
      <c r="C440" s="19">
        <v>332991</v>
      </c>
      <c r="D440" s="19" t="s">
        <v>3238</v>
      </c>
    </row>
    <row r="441" spans="1:4" x14ac:dyDescent="0.25">
      <c r="A441" s="19">
        <v>332992</v>
      </c>
      <c r="B441" s="19" t="s">
        <v>3240</v>
      </c>
      <c r="C441" s="19">
        <v>332992</v>
      </c>
      <c r="D441" s="19" t="s">
        <v>3240</v>
      </c>
    </row>
    <row r="442" spans="1:4" ht="25.5" x14ac:dyDescent="0.25">
      <c r="A442" s="19">
        <v>332993</v>
      </c>
      <c r="B442" s="19" t="s">
        <v>3242</v>
      </c>
      <c r="C442" s="19">
        <v>332993</v>
      </c>
      <c r="D442" s="19" t="s">
        <v>3242</v>
      </c>
    </row>
    <row r="443" spans="1:4" ht="25.5" x14ac:dyDescent="0.25">
      <c r="A443" s="19">
        <v>332994</v>
      </c>
      <c r="B443" s="19" t="s">
        <v>5898</v>
      </c>
      <c r="C443" s="20">
        <v>332994</v>
      </c>
      <c r="D443" s="19" t="s">
        <v>3244</v>
      </c>
    </row>
    <row r="444" spans="1:4" ht="25.5" x14ac:dyDescent="0.25">
      <c r="A444" s="19">
        <v>332995</v>
      </c>
      <c r="B444" s="19" t="s">
        <v>5899</v>
      </c>
      <c r="C444" s="20">
        <v>332994</v>
      </c>
      <c r="D444" s="19" t="s">
        <v>3244</v>
      </c>
    </row>
    <row r="445" spans="1:4" ht="25.5" x14ac:dyDescent="0.25">
      <c r="A445" s="19">
        <v>332996</v>
      </c>
      <c r="B445" s="19" t="s">
        <v>3246</v>
      </c>
      <c r="C445" s="19">
        <v>332996</v>
      </c>
      <c r="D445" s="19" t="s">
        <v>3246</v>
      </c>
    </row>
    <row r="446" spans="1:4" ht="25.5" x14ac:dyDescent="0.25">
      <c r="A446" s="19">
        <v>332997</v>
      </c>
      <c r="B446" s="19" t="s">
        <v>5905</v>
      </c>
      <c r="C446" s="20">
        <v>332999</v>
      </c>
      <c r="D446" s="19" t="s">
        <v>3248</v>
      </c>
    </row>
    <row r="447" spans="1:4" ht="25.5" x14ac:dyDescent="0.25">
      <c r="A447" s="19">
        <v>332998</v>
      </c>
      <c r="B447" s="19" t="s">
        <v>5888</v>
      </c>
      <c r="C447" s="20">
        <v>332999</v>
      </c>
      <c r="D447" s="19" t="s">
        <v>3248</v>
      </c>
    </row>
    <row r="448" spans="1:4" ht="25.5" x14ac:dyDescent="0.25">
      <c r="A448" s="19">
        <v>332999</v>
      </c>
      <c r="B448" s="19" t="s">
        <v>3248</v>
      </c>
      <c r="C448" s="20">
        <v>332999</v>
      </c>
      <c r="D448" s="19" t="s">
        <v>3248</v>
      </c>
    </row>
    <row r="449" spans="1:4" ht="25.5" x14ac:dyDescent="0.25">
      <c r="A449" s="19">
        <v>333111</v>
      </c>
      <c r="B449" s="19" t="s">
        <v>3250</v>
      </c>
      <c r="C449" s="19">
        <v>333111</v>
      </c>
      <c r="D449" s="19" t="s">
        <v>3250</v>
      </c>
    </row>
    <row r="450" spans="1:4" ht="38.25" x14ac:dyDescent="0.25">
      <c r="A450" s="19">
        <v>333112</v>
      </c>
      <c r="B450" s="19" t="s">
        <v>3252</v>
      </c>
      <c r="C450" s="19">
        <v>333112</v>
      </c>
      <c r="D450" s="19" t="s">
        <v>3252</v>
      </c>
    </row>
    <row r="451" spans="1:4" x14ac:dyDescent="0.25">
      <c r="A451" s="19">
        <v>333120</v>
      </c>
      <c r="B451" s="19" t="s">
        <v>3254</v>
      </c>
      <c r="C451" s="19">
        <v>333120</v>
      </c>
      <c r="D451" s="19" t="s">
        <v>3254</v>
      </c>
    </row>
    <row r="452" spans="1:4" ht="25.5" x14ac:dyDescent="0.25">
      <c r="A452" s="19">
        <v>333131</v>
      </c>
      <c r="B452" s="19" t="s">
        <v>3256</v>
      </c>
      <c r="C452" s="19">
        <v>333131</v>
      </c>
      <c r="D452" s="19" t="s">
        <v>3256</v>
      </c>
    </row>
    <row r="453" spans="1:4" ht="25.5" x14ac:dyDescent="0.25">
      <c r="A453" s="19">
        <v>333132</v>
      </c>
      <c r="B453" s="19" t="s">
        <v>3258</v>
      </c>
      <c r="C453" s="19">
        <v>333132</v>
      </c>
      <c r="D453" s="19" t="s">
        <v>3258</v>
      </c>
    </row>
    <row r="454" spans="1:4" ht="25.5" x14ac:dyDescent="0.25">
      <c r="A454" s="19">
        <v>333210</v>
      </c>
      <c r="B454" s="19" t="s">
        <v>5910</v>
      </c>
      <c r="C454" s="20">
        <v>333243</v>
      </c>
      <c r="D454" s="19" t="s">
        <v>3264</v>
      </c>
    </row>
    <row r="455" spans="1:4" ht="25.5" x14ac:dyDescent="0.25">
      <c r="A455" s="19">
        <v>333220</v>
      </c>
      <c r="B455" s="19" t="s">
        <v>5912</v>
      </c>
      <c r="C455" s="20">
        <v>333249</v>
      </c>
      <c r="D455" s="19" t="s">
        <v>3268</v>
      </c>
    </row>
    <row r="456" spans="1:4" ht="25.5" x14ac:dyDescent="0.25">
      <c r="A456" s="19">
        <v>333291</v>
      </c>
      <c r="B456" s="19" t="s">
        <v>5911</v>
      </c>
      <c r="C456" s="20">
        <v>333243</v>
      </c>
      <c r="D456" s="19" t="s">
        <v>3264</v>
      </c>
    </row>
    <row r="457" spans="1:4" ht="25.5" x14ac:dyDescent="0.25">
      <c r="A457" s="19">
        <v>333292</v>
      </c>
      <c r="B457" s="19" t="s">
        <v>5909</v>
      </c>
      <c r="C457" s="20">
        <v>333249</v>
      </c>
      <c r="D457" s="19" t="s">
        <v>3268</v>
      </c>
    </row>
    <row r="458" spans="1:4" ht="25.5" x14ac:dyDescent="0.25">
      <c r="A458" s="19">
        <v>333293</v>
      </c>
      <c r="B458" s="19" t="s">
        <v>3266</v>
      </c>
      <c r="C458" s="19">
        <v>333244</v>
      </c>
      <c r="D458" s="19" t="s">
        <v>3266</v>
      </c>
    </row>
    <row r="459" spans="1:4" x14ac:dyDescent="0.25">
      <c r="A459" s="19">
        <v>333294</v>
      </c>
      <c r="B459" s="19" t="s">
        <v>3260</v>
      </c>
      <c r="C459" s="19">
        <v>333241</v>
      </c>
      <c r="D459" s="19" t="s">
        <v>3260</v>
      </c>
    </row>
    <row r="460" spans="1:4" ht="25.5" x14ac:dyDescent="0.25">
      <c r="A460" s="19">
        <v>333295</v>
      </c>
      <c r="B460" s="19" t="s">
        <v>3262</v>
      </c>
      <c r="C460" s="19">
        <v>333242</v>
      </c>
      <c r="D460" s="19" t="s">
        <v>3262</v>
      </c>
    </row>
    <row r="461" spans="1:4" ht="25.5" x14ac:dyDescent="0.25">
      <c r="A461" s="19">
        <v>333298</v>
      </c>
      <c r="B461" s="19" t="s">
        <v>5913</v>
      </c>
      <c r="C461" s="20">
        <v>333249</v>
      </c>
      <c r="D461" s="19" t="s">
        <v>3268</v>
      </c>
    </row>
    <row r="462" spans="1:4" ht="25.5" x14ac:dyDescent="0.25">
      <c r="A462" s="19">
        <v>333311</v>
      </c>
      <c r="B462" s="19" t="s">
        <v>5922</v>
      </c>
      <c r="C462" s="20">
        <v>333318</v>
      </c>
      <c r="D462" s="19" t="s">
        <v>3274</v>
      </c>
    </row>
    <row r="463" spans="1:4" ht="25.5" x14ac:dyDescent="0.25">
      <c r="A463" s="19">
        <v>333312</v>
      </c>
      <c r="B463" s="19" t="s">
        <v>5924</v>
      </c>
      <c r="C463" s="20">
        <v>333318</v>
      </c>
      <c r="D463" s="19" t="s">
        <v>3274</v>
      </c>
    </row>
    <row r="464" spans="1:4" ht="25.5" x14ac:dyDescent="0.25">
      <c r="A464" s="19">
        <v>333313</v>
      </c>
      <c r="B464" s="19" t="s">
        <v>5923</v>
      </c>
      <c r="C464" s="20">
        <v>333318</v>
      </c>
      <c r="D464" s="19" t="s">
        <v>3274</v>
      </c>
    </row>
    <row r="465" spans="1:4" ht="25.5" x14ac:dyDescent="0.25">
      <c r="A465" s="19">
        <v>333314</v>
      </c>
      <c r="B465" s="19" t="s">
        <v>3270</v>
      </c>
      <c r="C465" s="19">
        <v>333314</v>
      </c>
      <c r="D465" s="19" t="s">
        <v>3270</v>
      </c>
    </row>
    <row r="466" spans="1:4" ht="25.5" x14ac:dyDescent="0.25">
      <c r="A466" s="19">
        <v>333315</v>
      </c>
      <c r="B466" s="19" t="s">
        <v>3272</v>
      </c>
      <c r="C466" s="20">
        <v>333316</v>
      </c>
      <c r="D466" s="19" t="s">
        <v>3272</v>
      </c>
    </row>
    <row r="467" spans="1:4" ht="25.5" x14ac:dyDescent="0.25">
      <c r="A467" s="19">
        <v>333319</v>
      </c>
      <c r="B467" s="19" t="s">
        <v>3274</v>
      </c>
      <c r="C467" s="20">
        <v>333318</v>
      </c>
      <c r="D467" s="19" t="s">
        <v>3274</v>
      </c>
    </row>
    <row r="468" spans="1:4" ht="38.25" x14ac:dyDescent="0.25">
      <c r="A468" s="19">
        <v>333411</v>
      </c>
      <c r="B468" s="19" t="s">
        <v>5916</v>
      </c>
      <c r="C468" s="20">
        <v>333413</v>
      </c>
      <c r="D468" s="19" t="s">
        <v>3276</v>
      </c>
    </row>
    <row r="469" spans="1:4" ht="38.25" x14ac:dyDescent="0.25">
      <c r="A469" s="19">
        <v>333412</v>
      </c>
      <c r="B469" s="19" t="s">
        <v>5917</v>
      </c>
      <c r="C469" s="20">
        <v>333413</v>
      </c>
      <c r="D469" s="19" t="s">
        <v>3276</v>
      </c>
    </row>
    <row r="470" spans="1:4" ht="25.5" x14ac:dyDescent="0.25">
      <c r="A470" s="19">
        <v>333414</v>
      </c>
      <c r="B470" s="19" t="s">
        <v>3278</v>
      </c>
      <c r="C470" s="19">
        <v>333414</v>
      </c>
      <c r="D470" s="19" t="s">
        <v>3278</v>
      </c>
    </row>
    <row r="471" spans="1:4" ht="51" x14ac:dyDescent="0.25">
      <c r="A471" s="19">
        <v>333415</v>
      </c>
      <c r="B471" s="19" t="s">
        <v>3280</v>
      </c>
      <c r="C471" s="19">
        <v>333415</v>
      </c>
      <c r="D471" s="19" t="s">
        <v>3280</v>
      </c>
    </row>
    <row r="472" spans="1:4" x14ac:dyDescent="0.25">
      <c r="A472" s="19">
        <v>333511</v>
      </c>
      <c r="B472" s="19" t="s">
        <v>3282</v>
      </c>
      <c r="C472" s="19">
        <v>333511</v>
      </c>
      <c r="D472" s="19" t="s">
        <v>3282</v>
      </c>
    </row>
    <row r="473" spans="1:4" ht="25.5" x14ac:dyDescent="0.25">
      <c r="A473" s="19">
        <v>333512</v>
      </c>
      <c r="B473" s="19" t="s">
        <v>5903</v>
      </c>
      <c r="C473" s="20">
        <v>333517</v>
      </c>
      <c r="D473" s="19" t="s">
        <v>3288</v>
      </c>
    </row>
    <row r="474" spans="1:4" ht="25.5" x14ac:dyDescent="0.25">
      <c r="A474" s="19">
        <v>333513</v>
      </c>
      <c r="B474" s="19" t="s">
        <v>5904</v>
      </c>
      <c r="C474" s="20">
        <v>333517</v>
      </c>
      <c r="D474" s="19" t="s">
        <v>3288</v>
      </c>
    </row>
    <row r="475" spans="1:4" ht="25.5" x14ac:dyDescent="0.25">
      <c r="A475" s="19">
        <v>333514</v>
      </c>
      <c r="B475" s="19" t="s">
        <v>3284</v>
      </c>
      <c r="C475" s="19">
        <v>333514</v>
      </c>
      <c r="D475" s="19" t="s">
        <v>3284</v>
      </c>
    </row>
    <row r="476" spans="1:4" ht="25.5" x14ac:dyDescent="0.25">
      <c r="A476" s="19">
        <v>333515</v>
      </c>
      <c r="B476" s="19" t="s">
        <v>3286</v>
      </c>
      <c r="C476" s="19">
        <v>333515</v>
      </c>
      <c r="D476" s="19" t="s">
        <v>3286</v>
      </c>
    </row>
    <row r="477" spans="1:4" ht="25.5" x14ac:dyDescent="0.25">
      <c r="A477" s="19">
        <v>333516</v>
      </c>
      <c r="B477" s="19" t="s">
        <v>5907</v>
      </c>
      <c r="C477" s="20">
        <v>333519</v>
      </c>
      <c r="D477" s="19" t="s">
        <v>3290</v>
      </c>
    </row>
    <row r="478" spans="1:4" ht="25.5" x14ac:dyDescent="0.25">
      <c r="A478" s="19">
        <v>333518</v>
      </c>
      <c r="B478" s="19" t="s">
        <v>5908</v>
      </c>
      <c r="C478" s="20">
        <v>333519</v>
      </c>
      <c r="D478" s="19" t="s">
        <v>3290</v>
      </c>
    </row>
    <row r="479" spans="1:4" ht="25.5" x14ac:dyDescent="0.25">
      <c r="A479" s="19">
        <v>333611</v>
      </c>
      <c r="B479" s="19" t="s">
        <v>3292</v>
      </c>
      <c r="C479" s="19">
        <v>333611</v>
      </c>
      <c r="D479" s="19" t="s">
        <v>3292</v>
      </c>
    </row>
    <row r="480" spans="1:4" ht="25.5" x14ac:dyDescent="0.25">
      <c r="A480" s="19">
        <v>333612</v>
      </c>
      <c r="B480" s="19" t="s">
        <v>3294</v>
      </c>
      <c r="C480" s="19">
        <v>333612</v>
      </c>
      <c r="D480" s="19" t="s">
        <v>3294</v>
      </c>
    </row>
    <row r="481" spans="1:4" ht="25.5" x14ac:dyDescent="0.25">
      <c r="A481" s="19">
        <v>333613</v>
      </c>
      <c r="B481" s="19" t="s">
        <v>3296</v>
      </c>
      <c r="C481" s="19">
        <v>333613</v>
      </c>
      <c r="D481" s="19" t="s">
        <v>3296</v>
      </c>
    </row>
    <row r="482" spans="1:4" x14ac:dyDescent="0.25">
      <c r="A482" s="19">
        <v>333618</v>
      </c>
      <c r="B482" s="19" t="s">
        <v>3298</v>
      </c>
      <c r="C482" s="19">
        <v>333618</v>
      </c>
      <c r="D482" s="19" t="s">
        <v>3298</v>
      </c>
    </row>
    <row r="483" spans="1:4" ht="25.5" x14ac:dyDescent="0.25">
      <c r="A483" s="19">
        <v>333911</v>
      </c>
      <c r="B483" s="19" t="s">
        <v>5914</v>
      </c>
      <c r="C483" s="19">
        <v>333911</v>
      </c>
      <c r="D483" s="19" t="s">
        <v>5914</v>
      </c>
    </row>
    <row r="484" spans="1:4" x14ac:dyDescent="0.25">
      <c r="A484" s="19">
        <v>333912</v>
      </c>
      <c r="B484" s="19" t="s">
        <v>3300</v>
      </c>
      <c r="C484" s="19">
        <v>333912</v>
      </c>
      <c r="D484" s="19" t="s">
        <v>3300</v>
      </c>
    </row>
    <row r="485" spans="1:4" ht="25.5" x14ac:dyDescent="0.25">
      <c r="A485" s="19">
        <v>333913</v>
      </c>
      <c r="B485" s="19" t="s">
        <v>5926</v>
      </c>
      <c r="C485" s="19">
        <v>333913</v>
      </c>
      <c r="D485" s="19" t="s">
        <v>5926</v>
      </c>
    </row>
    <row r="486" spans="1:4" ht="25.5" x14ac:dyDescent="0.25">
      <c r="A486" s="19">
        <v>333921</v>
      </c>
      <c r="B486" s="19" t="s">
        <v>3304</v>
      </c>
      <c r="C486" s="19">
        <v>333921</v>
      </c>
      <c r="D486" s="19" t="s">
        <v>3304</v>
      </c>
    </row>
    <row r="487" spans="1:4" ht="25.5" x14ac:dyDescent="0.25">
      <c r="A487" s="19">
        <v>333922</v>
      </c>
      <c r="B487" s="19" t="s">
        <v>3306</v>
      </c>
      <c r="C487" s="19">
        <v>333922</v>
      </c>
      <c r="D487" s="19" t="s">
        <v>3306</v>
      </c>
    </row>
    <row r="488" spans="1:4" ht="25.5" x14ac:dyDescent="0.25">
      <c r="A488" s="19">
        <v>333923</v>
      </c>
      <c r="B488" s="19" t="s">
        <v>3308</v>
      </c>
      <c r="C488" s="19">
        <v>333923</v>
      </c>
      <c r="D488" s="19" t="s">
        <v>3308</v>
      </c>
    </row>
    <row r="489" spans="1:4" ht="25.5" x14ac:dyDescent="0.25">
      <c r="A489" s="19">
        <v>333924</v>
      </c>
      <c r="B489" s="19" t="s">
        <v>3310</v>
      </c>
      <c r="C489" s="19">
        <v>333924</v>
      </c>
      <c r="D489" s="19" t="s">
        <v>3310</v>
      </c>
    </row>
    <row r="490" spans="1:4" x14ac:dyDescent="0.25">
      <c r="A490" s="19">
        <v>333991</v>
      </c>
      <c r="B490" s="19" t="s">
        <v>3312</v>
      </c>
      <c r="C490" s="19">
        <v>333991</v>
      </c>
      <c r="D490" s="19" t="s">
        <v>3312</v>
      </c>
    </row>
    <row r="491" spans="1:4" ht="25.5" x14ac:dyDescent="0.25">
      <c r="A491" s="19">
        <v>333992</v>
      </c>
      <c r="B491" s="19" t="s">
        <v>3314</v>
      </c>
      <c r="C491" s="19">
        <v>333992</v>
      </c>
      <c r="D491" s="19" t="s">
        <v>3314</v>
      </c>
    </row>
    <row r="492" spans="1:4" x14ac:dyDescent="0.25">
      <c r="A492" s="19">
        <v>333993</v>
      </c>
      <c r="B492" s="19" t="s">
        <v>3316</v>
      </c>
      <c r="C492" s="19">
        <v>333993</v>
      </c>
      <c r="D492" s="19" t="s">
        <v>3316</v>
      </c>
    </row>
    <row r="493" spans="1:4" ht="25.5" x14ac:dyDescent="0.25">
      <c r="A493" s="19">
        <v>333994</v>
      </c>
      <c r="B493" s="19" t="s">
        <v>3318</v>
      </c>
      <c r="C493" s="19">
        <v>333994</v>
      </c>
      <c r="D493" s="19" t="s">
        <v>3318</v>
      </c>
    </row>
    <row r="494" spans="1:4" ht="25.5" x14ac:dyDescent="0.25">
      <c r="A494" s="19">
        <v>333995</v>
      </c>
      <c r="B494" s="19" t="s">
        <v>3320</v>
      </c>
      <c r="C494" s="19">
        <v>333995</v>
      </c>
      <c r="D494" s="19" t="s">
        <v>3320</v>
      </c>
    </row>
    <row r="495" spans="1:4" ht="25.5" x14ac:dyDescent="0.25">
      <c r="A495" s="19">
        <v>333996</v>
      </c>
      <c r="B495" s="19" t="s">
        <v>3322</v>
      </c>
      <c r="C495" s="19">
        <v>333996</v>
      </c>
      <c r="D495" s="19" t="s">
        <v>3322</v>
      </c>
    </row>
    <row r="496" spans="1:4" x14ac:dyDescent="0.25">
      <c r="A496" s="19">
        <v>333997</v>
      </c>
      <c r="B496" s="19" t="s">
        <v>3324</v>
      </c>
      <c r="C496" s="19">
        <v>333997</v>
      </c>
      <c r="D496" s="19" t="s">
        <v>3324</v>
      </c>
    </row>
    <row r="497" spans="1:4" ht="25.5" x14ac:dyDescent="0.25">
      <c r="A497" s="19">
        <v>333999</v>
      </c>
      <c r="B497" s="19" t="s">
        <v>3326</v>
      </c>
      <c r="C497" s="19">
        <v>333999</v>
      </c>
      <c r="D497" s="19" t="s">
        <v>3326</v>
      </c>
    </row>
    <row r="498" spans="1:4" x14ac:dyDescent="0.25">
      <c r="A498" s="19">
        <v>334111</v>
      </c>
      <c r="B498" s="19" t="s">
        <v>3328</v>
      </c>
      <c r="C498" s="19">
        <v>334111</v>
      </c>
      <c r="D498" s="19" t="s">
        <v>3328</v>
      </c>
    </row>
    <row r="499" spans="1:4" x14ac:dyDescent="0.25">
      <c r="A499" s="19">
        <v>334112</v>
      </c>
      <c r="B499" s="19" t="s">
        <v>3330</v>
      </c>
      <c r="C499" s="19">
        <v>334112</v>
      </c>
      <c r="D499" s="19" t="s">
        <v>3330</v>
      </c>
    </row>
    <row r="500" spans="1:4" ht="25.5" x14ac:dyDescent="0.25">
      <c r="A500" s="19">
        <v>334113</v>
      </c>
      <c r="B500" s="19" t="s">
        <v>5919</v>
      </c>
      <c r="C500" s="20">
        <v>334118</v>
      </c>
      <c r="D500" s="19" t="s">
        <v>3332</v>
      </c>
    </row>
    <row r="501" spans="1:4" ht="38.25" x14ac:dyDescent="0.25">
      <c r="A501" s="21">
        <v>334119</v>
      </c>
      <c r="B501" s="19" t="s">
        <v>6116</v>
      </c>
      <c r="C501" s="20">
        <v>333316</v>
      </c>
      <c r="D501" s="19" t="s">
        <v>3272</v>
      </c>
    </row>
    <row r="502" spans="1:4" ht="38.25" x14ac:dyDescent="0.25">
      <c r="A502" s="21">
        <v>334119</v>
      </c>
      <c r="B502" s="19" t="s">
        <v>6117</v>
      </c>
      <c r="C502" s="20">
        <v>334118</v>
      </c>
      <c r="D502" s="19" t="s">
        <v>3332</v>
      </c>
    </row>
    <row r="503" spans="1:4" x14ac:dyDescent="0.25">
      <c r="A503" s="19">
        <v>334210</v>
      </c>
      <c r="B503" s="19" t="s">
        <v>3334</v>
      </c>
      <c r="C503" s="19">
        <v>334210</v>
      </c>
      <c r="D503" s="19" t="s">
        <v>3334</v>
      </c>
    </row>
    <row r="504" spans="1:4" ht="38.25" x14ac:dyDescent="0.25">
      <c r="A504" s="19">
        <v>334220</v>
      </c>
      <c r="B504" s="19" t="s">
        <v>3336</v>
      </c>
      <c r="C504" s="19">
        <v>334220</v>
      </c>
      <c r="D504" s="19" t="s">
        <v>3336</v>
      </c>
    </row>
    <row r="505" spans="1:4" ht="25.5" x14ac:dyDescent="0.25">
      <c r="A505" s="19">
        <v>334290</v>
      </c>
      <c r="B505" s="19" t="s">
        <v>3338</v>
      </c>
      <c r="C505" s="19">
        <v>334290</v>
      </c>
      <c r="D505" s="19" t="s">
        <v>3338</v>
      </c>
    </row>
    <row r="506" spans="1:4" ht="25.5" x14ac:dyDescent="0.25">
      <c r="A506" s="19">
        <v>334310</v>
      </c>
      <c r="B506" s="19" t="s">
        <v>3340</v>
      </c>
      <c r="C506" s="19">
        <v>334310</v>
      </c>
      <c r="D506" s="19" t="s">
        <v>3340</v>
      </c>
    </row>
    <row r="507" spans="1:4" ht="25.5" x14ac:dyDescent="0.25">
      <c r="A507" s="19">
        <v>334411</v>
      </c>
      <c r="B507" s="19" t="s">
        <v>5939</v>
      </c>
      <c r="C507" s="20">
        <v>334419</v>
      </c>
      <c r="D507" s="19" t="s">
        <v>3352</v>
      </c>
    </row>
    <row r="508" spans="1:4" ht="25.5" x14ac:dyDescent="0.25">
      <c r="A508" s="19">
        <v>334412</v>
      </c>
      <c r="B508" s="19" t="s">
        <v>3342</v>
      </c>
      <c r="C508" s="19">
        <v>334412</v>
      </c>
      <c r="D508" s="19" t="s">
        <v>3342</v>
      </c>
    </row>
    <row r="509" spans="1:4" ht="25.5" x14ac:dyDescent="0.25">
      <c r="A509" s="19">
        <v>334413</v>
      </c>
      <c r="B509" s="19" t="s">
        <v>3344</v>
      </c>
      <c r="C509" s="19">
        <v>334413</v>
      </c>
      <c r="D509" s="19" t="s">
        <v>3344</v>
      </c>
    </row>
    <row r="510" spans="1:4" ht="25.5" x14ac:dyDescent="0.25">
      <c r="A510" s="19">
        <v>334414</v>
      </c>
      <c r="B510" s="19" t="s">
        <v>5940</v>
      </c>
      <c r="C510" s="20">
        <v>334416</v>
      </c>
      <c r="D510" s="19" t="s">
        <v>3346</v>
      </c>
    </row>
    <row r="511" spans="1:4" ht="25.5" x14ac:dyDescent="0.25">
      <c r="A511" s="19">
        <v>334415</v>
      </c>
      <c r="B511" s="19" t="s">
        <v>5941</v>
      </c>
      <c r="C511" s="20">
        <v>334416</v>
      </c>
      <c r="D511" s="19" t="s">
        <v>3346</v>
      </c>
    </row>
    <row r="512" spans="1:4" ht="25.5" x14ac:dyDescent="0.25">
      <c r="A512" s="19">
        <v>334416</v>
      </c>
      <c r="B512" s="19" t="s">
        <v>5942</v>
      </c>
      <c r="C512" s="20">
        <v>334416</v>
      </c>
      <c r="D512" s="19" t="s">
        <v>3346</v>
      </c>
    </row>
    <row r="513" spans="1:4" x14ac:dyDescent="0.25">
      <c r="A513" s="19">
        <v>334417</v>
      </c>
      <c r="B513" s="19" t="s">
        <v>3348</v>
      </c>
      <c r="C513" s="19">
        <v>334417</v>
      </c>
      <c r="D513" s="19" t="s">
        <v>3348</v>
      </c>
    </row>
    <row r="514" spans="1:4" ht="25.5" x14ac:dyDescent="0.25">
      <c r="A514" s="19">
        <v>334418</v>
      </c>
      <c r="B514" s="19" t="s">
        <v>3350</v>
      </c>
      <c r="C514" s="19">
        <v>334418</v>
      </c>
      <c r="D514" s="19" t="s">
        <v>3350</v>
      </c>
    </row>
    <row r="515" spans="1:4" ht="25.5" x14ac:dyDescent="0.25">
      <c r="A515" s="19">
        <v>334419</v>
      </c>
      <c r="B515" s="19" t="s">
        <v>3352</v>
      </c>
      <c r="C515" s="20">
        <v>334419</v>
      </c>
      <c r="D515" s="19" t="s">
        <v>3352</v>
      </c>
    </row>
    <row r="516" spans="1:4" ht="25.5" x14ac:dyDescent="0.25">
      <c r="A516" s="19">
        <v>334510</v>
      </c>
      <c r="B516" s="19" t="s">
        <v>3354</v>
      </c>
      <c r="C516" s="19">
        <v>334510</v>
      </c>
      <c r="D516" s="19" t="s">
        <v>3354</v>
      </c>
    </row>
    <row r="517" spans="1:4" ht="38.25" x14ac:dyDescent="0.25">
      <c r="A517" s="19">
        <v>334511</v>
      </c>
      <c r="B517" s="19" t="s">
        <v>3356</v>
      </c>
      <c r="C517" s="19">
        <v>334511</v>
      </c>
      <c r="D517" s="19" t="s">
        <v>3356</v>
      </c>
    </row>
    <row r="518" spans="1:4" ht="38.25" x14ac:dyDescent="0.25">
      <c r="A518" s="19">
        <v>334512</v>
      </c>
      <c r="B518" s="19" t="s">
        <v>3358</v>
      </c>
      <c r="C518" s="19">
        <v>334512</v>
      </c>
      <c r="D518" s="19" t="s">
        <v>3358</v>
      </c>
    </row>
    <row r="519" spans="1:4" ht="51" x14ac:dyDescent="0.25">
      <c r="A519" s="19">
        <v>334513</v>
      </c>
      <c r="B519" s="19" t="s">
        <v>3360</v>
      </c>
      <c r="C519" s="19">
        <v>334513</v>
      </c>
      <c r="D519" s="19" t="s">
        <v>3360</v>
      </c>
    </row>
    <row r="520" spans="1:4" ht="25.5" x14ac:dyDescent="0.25">
      <c r="A520" s="19">
        <v>334514</v>
      </c>
      <c r="B520" s="19" t="s">
        <v>3362</v>
      </c>
      <c r="C520" s="19">
        <v>334514</v>
      </c>
      <c r="D520" s="19" t="s">
        <v>3362</v>
      </c>
    </row>
    <row r="521" spans="1:4" ht="38.25" x14ac:dyDescent="0.25">
      <c r="A521" s="19">
        <v>334515</v>
      </c>
      <c r="B521" s="19" t="s">
        <v>3364</v>
      </c>
      <c r="C521" s="19">
        <v>334515</v>
      </c>
      <c r="D521" s="19" t="s">
        <v>3364</v>
      </c>
    </row>
    <row r="522" spans="1:4" ht="25.5" x14ac:dyDescent="0.25">
      <c r="A522" s="19">
        <v>334516</v>
      </c>
      <c r="B522" s="19" t="s">
        <v>3366</v>
      </c>
      <c r="C522" s="19">
        <v>334516</v>
      </c>
      <c r="D522" s="19" t="s">
        <v>3366</v>
      </c>
    </row>
    <row r="523" spans="1:4" x14ac:dyDescent="0.25">
      <c r="A523" s="19">
        <v>334517</v>
      </c>
      <c r="B523" s="19" t="s">
        <v>3368</v>
      </c>
      <c r="C523" s="19">
        <v>334517</v>
      </c>
      <c r="D523" s="19" t="s">
        <v>3368</v>
      </c>
    </row>
    <row r="524" spans="1:4" ht="25.5" x14ac:dyDescent="0.25">
      <c r="A524" s="19">
        <v>334518</v>
      </c>
      <c r="B524" s="19" t="s">
        <v>5886</v>
      </c>
      <c r="C524" s="20">
        <v>334519</v>
      </c>
      <c r="D524" s="19" t="s">
        <v>3370</v>
      </c>
    </row>
    <row r="525" spans="1:4" ht="25.5" x14ac:dyDescent="0.25">
      <c r="A525" s="19">
        <v>334519</v>
      </c>
      <c r="B525" s="19" t="s">
        <v>3370</v>
      </c>
      <c r="C525" s="20">
        <v>334519</v>
      </c>
      <c r="D525" s="19" t="s">
        <v>3370</v>
      </c>
    </row>
    <row r="526" spans="1:4" ht="38.25" x14ac:dyDescent="0.25">
      <c r="A526" s="19">
        <v>334611</v>
      </c>
      <c r="B526" s="19" t="s">
        <v>5998</v>
      </c>
      <c r="C526" s="20">
        <v>334614</v>
      </c>
      <c r="D526" s="19" t="s">
        <v>3374</v>
      </c>
    </row>
    <row r="527" spans="1:4" ht="38.25" x14ac:dyDescent="0.25">
      <c r="A527" s="19">
        <v>334612</v>
      </c>
      <c r="B527" s="19" t="s">
        <v>5937</v>
      </c>
      <c r="C527" s="20">
        <v>334614</v>
      </c>
      <c r="D527" s="19" t="s">
        <v>3374</v>
      </c>
    </row>
    <row r="528" spans="1:4" ht="25.5" x14ac:dyDescent="0.25">
      <c r="A528" s="19">
        <v>334613</v>
      </c>
      <c r="B528" s="19" t="s">
        <v>5921</v>
      </c>
      <c r="C528" s="19">
        <v>334613</v>
      </c>
      <c r="D528" s="19" t="s">
        <v>3372</v>
      </c>
    </row>
    <row r="529" spans="1:4" ht="25.5" x14ac:dyDescent="0.25">
      <c r="A529" s="19">
        <v>335110</v>
      </c>
      <c r="B529" s="19" t="s">
        <v>3376</v>
      </c>
      <c r="C529" s="19">
        <v>335110</v>
      </c>
      <c r="D529" s="19" t="s">
        <v>3376</v>
      </c>
    </row>
    <row r="530" spans="1:4" ht="25.5" x14ac:dyDescent="0.25">
      <c r="A530" s="19">
        <v>335121</v>
      </c>
      <c r="B530" s="19" t="s">
        <v>3378</v>
      </c>
      <c r="C530" s="19">
        <v>335121</v>
      </c>
      <c r="D530" s="19" t="s">
        <v>3378</v>
      </c>
    </row>
    <row r="531" spans="1:4" ht="25.5" x14ac:dyDescent="0.25">
      <c r="A531" s="19">
        <v>335122</v>
      </c>
      <c r="B531" s="19" t="s">
        <v>3380</v>
      </c>
      <c r="C531" s="19">
        <v>335122</v>
      </c>
      <c r="D531" s="19" t="s">
        <v>3380</v>
      </c>
    </row>
    <row r="532" spans="1:4" x14ac:dyDescent="0.25">
      <c r="A532" s="19">
        <v>335129</v>
      </c>
      <c r="B532" s="19" t="s">
        <v>3382</v>
      </c>
      <c r="C532" s="19">
        <v>335129</v>
      </c>
      <c r="D532" s="19" t="s">
        <v>3382</v>
      </c>
    </row>
    <row r="533" spans="1:4" ht="25.5" x14ac:dyDescent="0.25">
      <c r="A533" s="19">
        <v>335211</v>
      </c>
      <c r="B533" s="19" t="s">
        <v>5932</v>
      </c>
      <c r="C533" s="20">
        <v>335210</v>
      </c>
      <c r="D533" s="19" t="s">
        <v>3384</v>
      </c>
    </row>
    <row r="534" spans="1:4" ht="25.5" x14ac:dyDescent="0.25">
      <c r="A534" s="19">
        <v>335212</v>
      </c>
      <c r="B534" s="19" t="s">
        <v>5933</v>
      </c>
      <c r="C534" s="20">
        <v>335210</v>
      </c>
      <c r="D534" s="19" t="s">
        <v>3384</v>
      </c>
    </row>
    <row r="535" spans="1:4" ht="25.5" x14ac:dyDescent="0.25">
      <c r="A535" s="19">
        <v>335221</v>
      </c>
      <c r="B535" s="19" t="s">
        <v>5929</v>
      </c>
      <c r="C535" s="19">
        <v>335221</v>
      </c>
      <c r="D535" s="19" t="s">
        <v>5929</v>
      </c>
    </row>
    <row r="536" spans="1:4" ht="25.5" x14ac:dyDescent="0.25">
      <c r="A536" s="19">
        <v>335222</v>
      </c>
      <c r="B536" s="19" t="s">
        <v>5930</v>
      </c>
      <c r="C536" s="19">
        <v>335222</v>
      </c>
      <c r="D536" s="19" t="s">
        <v>5930</v>
      </c>
    </row>
    <row r="537" spans="1:4" ht="25.5" x14ac:dyDescent="0.25">
      <c r="A537" s="19">
        <v>335224</v>
      </c>
      <c r="B537" s="19" t="s">
        <v>5931</v>
      </c>
      <c r="C537" s="19">
        <v>335224</v>
      </c>
      <c r="D537" s="19" t="s">
        <v>5931</v>
      </c>
    </row>
    <row r="538" spans="1:4" ht="25.5" x14ac:dyDescent="0.25">
      <c r="A538" s="19">
        <v>335228</v>
      </c>
      <c r="B538" s="19" t="s">
        <v>5934</v>
      </c>
      <c r="C538" s="19">
        <v>335228</v>
      </c>
      <c r="D538" s="19" t="s">
        <v>5934</v>
      </c>
    </row>
    <row r="539" spans="1:4" ht="25.5" x14ac:dyDescent="0.25">
      <c r="A539" s="19">
        <v>335311</v>
      </c>
      <c r="B539" s="19" t="s">
        <v>3388</v>
      </c>
      <c r="C539" s="19">
        <v>335311</v>
      </c>
      <c r="D539" s="19" t="s">
        <v>3388</v>
      </c>
    </row>
    <row r="540" spans="1:4" x14ac:dyDescent="0.25">
      <c r="A540" s="19">
        <v>335312</v>
      </c>
      <c r="B540" s="19" t="s">
        <v>3390</v>
      </c>
      <c r="C540" s="19">
        <v>335312</v>
      </c>
      <c r="D540" s="19" t="s">
        <v>3390</v>
      </c>
    </row>
    <row r="541" spans="1:4" ht="25.5" x14ac:dyDescent="0.25">
      <c r="A541" s="19">
        <v>335313</v>
      </c>
      <c r="B541" s="19" t="s">
        <v>3392</v>
      </c>
      <c r="C541" s="19">
        <v>335313</v>
      </c>
      <c r="D541" s="19" t="s">
        <v>3392</v>
      </c>
    </row>
    <row r="542" spans="1:4" ht="25.5" x14ac:dyDescent="0.25">
      <c r="A542" s="19">
        <v>335314</v>
      </c>
      <c r="B542" s="19" t="s">
        <v>3394</v>
      </c>
      <c r="C542" s="19">
        <v>335314</v>
      </c>
      <c r="D542" s="19" t="s">
        <v>3394</v>
      </c>
    </row>
    <row r="543" spans="1:4" x14ac:dyDescent="0.25">
      <c r="A543" s="19">
        <v>335911</v>
      </c>
      <c r="B543" s="19" t="s">
        <v>3396</v>
      </c>
      <c r="C543" s="19">
        <v>335911</v>
      </c>
      <c r="D543" s="19" t="s">
        <v>3396</v>
      </c>
    </row>
    <row r="544" spans="1:4" x14ac:dyDescent="0.25">
      <c r="A544" s="19">
        <v>335912</v>
      </c>
      <c r="B544" s="19" t="s">
        <v>3397</v>
      </c>
      <c r="C544" s="19">
        <v>335912</v>
      </c>
      <c r="D544" s="19" t="s">
        <v>3397</v>
      </c>
    </row>
    <row r="545" spans="1:4" x14ac:dyDescent="0.25">
      <c r="A545" s="19">
        <v>335921</v>
      </c>
      <c r="B545" s="19" t="s">
        <v>3399</v>
      </c>
      <c r="C545" s="19">
        <v>335921</v>
      </c>
      <c r="D545" s="19" t="s">
        <v>3399</v>
      </c>
    </row>
    <row r="546" spans="1:4" ht="25.5" x14ac:dyDescent="0.25">
      <c r="A546" s="19">
        <v>335929</v>
      </c>
      <c r="B546" s="19" t="s">
        <v>3401</v>
      </c>
      <c r="C546" s="19">
        <v>335929</v>
      </c>
      <c r="D546" s="19" t="s">
        <v>3401</v>
      </c>
    </row>
    <row r="547" spans="1:4" ht="25.5" x14ac:dyDescent="0.25">
      <c r="A547" s="19">
        <v>335931</v>
      </c>
      <c r="B547" s="19" t="s">
        <v>3403</v>
      </c>
      <c r="C547" s="19">
        <v>335931</v>
      </c>
      <c r="D547" s="19" t="s">
        <v>3403</v>
      </c>
    </row>
    <row r="548" spans="1:4" ht="25.5" x14ac:dyDescent="0.25">
      <c r="A548" s="19">
        <v>335932</v>
      </c>
      <c r="B548" s="19" t="s">
        <v>3405</v>
      </c>
      <c r="C548" s="19">
        <v>335932</v>
      </c>
      <c r="D548" s="19" t="s">
        <v>3405</v>
      </c>
    </row>
    <row r="549" spans="1:4" ht="25.5" x14ac:dyDescent="0.25">
      <c r="A549" s="19">
        <v>335991</v>
      </c>
      <c r="B549" s="19" t="s">
        <v>3407</v>
      </c>
      <c r="C549" s="19">
        <v>335991</v>
      </c>
      <c r="D549" s="19" t="s">
        <v>3407</v>
      </c>
    </row>
    <row r="550" spans="1:4" ht="38.25" x14ac:dyDescent="0.25">
      <c r="A550" s="19">
        <v>335999</v>
      </c>
      <c r="B550" s="19" t="s">
        <v>3409</v>
      </c>
      <c r="C550" s="19">
        <v>335999</v>
      </c>
      <c r="D550" s="19" t="s">
        <v>3409</v>
      </c>
    </row>
    <row r="551" spans="1:4" x14ac:dyDescent="0.25">
      <c r="A551" s="19">
        <v>336111</v>
      </c>
      <c r="B551" s="19" t="s">
        <v>3411</v>
      </c>
      <c r="C551" s="19">
        <v>336111</v>
      </c>
      <c r="D551" s="19" t="s">
        <v>3411</v>
      </c>
    </row>
    <row r="552" spans="1:4" ht="25.5" x14ac:dyDescent="0.25">
      <c r="A552" s="19">
        <v>336112</v>
      </c>
      <c r="B552" s="19" t="s">
        <v>3413</v>
      </c>
      <c r="C552" s="19">
        <v>336112</v>
      </c>
      <c r="D552" s="19" t="s">
        <v>3413</v>
      </c>
    </row>
    <row r="553" spans="1:4" x14ac:dyDescent="0.25">
      <c r="A553" s="19">
        <v>336120</v>
      </c>
      <c r="B553" s="19" t="s">
        <v>3415</v>
      </c>
      <c r="C553" s="19">
        <v>336120</v>
      </c>
      <c r="D553" s="19" t="s">
        <v>3415</v>
      </c>
    </row>
    <row r="554" spans="1:4" x14ac:dyDescent="0.25">
      <c r="A554" s="19">
        <v>336211</v>
      </c>
      <c r="B554" s="19" t="s">
        <v>3417</v>
      </c>
      <c r="C554" s="19">
        <v>336211</v>
      </c>
      <c r="D554" s="19" t="s">
        <v>3417</v>
      </c>
    </row>
    <row r="555" spans="1:4" x14ac:dyDescent="0.25">
      <c r="A555" s="19">
        <v>336212</v>
      </c>
      <c r="B555" s="19" t="s">
        <v>3419</v>
      </c>
      <c r="C555" s="19">
        <v>336212</v>
      </c>
      <c r="D555" s="19" t="s">
        <v>3419</v>
      </c>
    </row>
    <row r="556" spans="1:4" x14ac:dyDescent="0.25">
      <c r="A556" s="19">
        <v>336213</v>
      </c>
      <c r="B556" s="19" t="s">
        <v>3421</v>
      </c>
      <c r="C556" s="19">
        <v>336213</v>
      </c>
      <c r="D556" s="19" t="s">
        <v>3421</v>
      </c>
    </row>
    <row r="557" spans="1:4" x14ac:dyDescent="0.25">
      <c r="A557" s="19">
        <v>336214</v>
      </c>
      <c r="B557" s="19" t="s">
        <v>3423</v>
      </c>
      <c r="C557" s="19">
        <v>336214</v>
      </c>
      <c r="D557" s="19" t="s">
        <v>3423</v>
      </c>
    </row>
    <row r="558" spans="1:4" ht="25.5" x14ac:dyDescent="0.25">
      <c r="A558" s="19">
        <v>336311</v>
      </c>
      <c r="B558" s="19" t="s">
        <v>5927</v>
      </c>
      <c r="C558" s="20">
        <v>336310</v>
      </c>
      <c r="D558" s="19" t="s">
        <v>3425</v>
      </c>
    </row>
    <row r="559" spans="1:4" ht="25.5" x14ac:dyDescent="0.25">
      <c r="A559" s="19">
        <v>336312</v>
      </c>
      <c r="B559" s="19" t="s">
        <v>5945</v>
      </c>
      <c r="C559" s="20">
        <v>336310</v>
      </c>
      <c r="D559" s="19" t="s">
        <v>3425</v>
      </c>
    </row>
    <row r="560" spans="1:4" ht="25.5" x14ac:dyDescent="0.25">
      <c r="A560" s="19">
        <v>336321</v>
      </c>
      <c r="B560" s="19" t="s">
        <v>5936</v>
      </c>
      <c r="C560" s="20">
        <v>336320</v>
      </c>
      <c r="D560" s="19" t="s">
        <v>3427</v>
      </c>
    </row>
    <row r="561" spans="1:4" ht="25.5" x14ac:dyDescent="0.25">
      <c r="A561" s="19">
        <v>336322</v>
      </c>
      <c r="B561" s="19" t="s">
        <v>5943</v>
      </c>
      <c r="C561" s="20">
        <v>336320</v>
      </c>
      <c r="D561" s="19" t="s">
        <v>3427</v>
      </c>
    </row>
    <row r="562" spans="1:4" ht="38.25" x14ac:dyDescent="0.25">
      <c r="A562" s="19">
        <v>336330</v>
      </c>
      <c r="B562" s="19" t="s">
        <v>3429</v>
      </c>
      <c r="C562" s="19">
        <v>336330</v>
      </c>
      <c r="D562" s="19" t="s">
        <v>3429</v>
      </c>
    </row>
    <row r="563" spans="1:4" ht="25.5" x14ac:dyDescent="0.25">
      <c r="A563" s="19">
        <v>336340</v>
      </c>
      <c r="B563" s="19" t="s">
        <v>3431</v>
      </c>
      <c r="C563" s="19">
        <v>336340</v>
      </c>
      <c r="D563" s="19" t="s">
        <v>3431</v>
      </c>
    </row>
    <row r="564" spans="1:4" ht="25.5" x14ac:dyDescent="0.25">
      <c r="A564" s="19">
        <v>336350</v>
      </c>
      <c r="B564" s="19" t="s">
        <v>3433</v>
      </c>
      <c r="C564" s="19">
        <v>336350</v>
      </c>
      <c r="D564" s="19" t="s">
        <v>3433</v>
      </c>
    </row>
    <row r="565" spans="1:4" ht="25.5" x14ac:dyDescent="0.25">
      <c r="A565" s="19">
        <v>336360</v>
      </c>
      <c r="B565" s="19" t="s">
        <v>3435</v>
      </c>
      <c r="C565" s="19">
        <v>336360</v>
      </c>
      <c r="D565" s="19" t="s">
        <v>3435</v>
      </c>
    </row>
    <row r="566" spans="1:4" x14ac:dyDescent="0.25">
      <c r="A566" s="19">
        <v>336370</v>
      </c>
      <c r="B566" s="19" t="s">
        <v>3437</v>
      </c>
      <c r="C566" s="19">
        <v>336370</v>
      </c>
      <c r="D566" s="19" t="s">
        <v>3437</v>
      </c>
    </row>
    <row r="567" spans="1:4" ht="25.5" x14ac:dyDescent="0.25">
      <c r="A567" s="19">
        <v>336391</v>
      </c>
      <c r="B567" s="19" t="s">
        <v>5925</v>
      </c>
      <c r="C567" s="20">
        <v>336390</v>
      </c>
      <c r="D567" s="19" t="s">
        <v>3439</v>
      </c>
    </row>
    <row r="568" spans="1:4" ht="25.5" x14ac:dyDescent="0.25">
      <c r="A568" s="19">
        <v>336399</v>
      </c>
      <c r="B568" s="19" t="s">
        <v>5887</v>
      </c>
      <c r="C568" s="20">
        <v>336390</v>
      </c>
      <c r="D568" s="19" t="s">
        <v>3439</v>
      </c>
    </row>
    <row r="569" spans="1:4" x14ac:dyDescent="0.25">
      <c r="A569" s="19">
        <v>336411</v>
      </c>
      <c r="B569" s="19" t="s">
        <v>3441</v>
      </c>
      <c r="C569" s="19">
        <v>336411</v>
      </c>
      <c r="D569" s="19" t="s">
        <v>3441</v>
      </c>
    </row>
    <row r="570" spans="1:4" ht="25.5" x14ac:dyDescent="0.25">
      <c r="A570" s="19">
        <v>336412</v>
      </c>
      <c r="B570" s="19" t="s">
        <v>3443</v>
      </c>
      <c r="C570" s="19">
        <v>336412</v>
      </c>
      <c r="D570" s="19" t="s">
        <v>3443</v>
      </c>
    </row>
    <row r="571" spans="1:4" ht="25.5" x14ac:dyDescent="0.25">
      <c r="A571" s="19">
        <v>336413</v>
      </c>
      <c r="B571" s="19" t="s">
        <v>3445</v>
      </c>
      <c r="C571" s="19">
        <v>336413</v>
      </c>
      <c r="D571" s="19" t="s">
        <v>3445</v>
      </c>
    </row>
    <row r="572" spans="1:4" ht="25.5" x14ac:dyDescent="0.25">
      <c r="A572" s="19">
        <v>336414</v>
      </c>
      <c r="B572" s="19" t="s">
        <v>3447</v>
      </c>
      <c r="C572" s="19">
        <v>336414</v>
      </c>
      <c r="D572" s="19" t="s">
        <v>3447</v>
      </c>
    </row>
    <row r="573" spans="1:4" ht="38.25" x14ac:dyDescent="0.25">
      <c r="A573" s="19">
        <v>336415</v>
      </c>
      <c r="B573" s="19" t="s">
        <v>3449</v>
      </c>
      <c r="C573" s="19">
        <v>336415</v>
      </c>
      <c r="D573" s="19" t="s">
        <v>3449</v>
      </c>
    </row>
    <row r="574" spans="1:4" ht="38.25" x14ac:dyDescent="0.25">
      <c r="A574" s="19">
        <v>336419</v>
      </c>
      <c r="B574" s="19" t="s">
        <v>3451</v>
      </c>
      <c r="C574" s="19">
        <v>336419</v>
      </c>
      <c r="D574" s="19" t="s">
        <v>3451</v>
      </c>
    </row>
    <row r="575" spans="1:4" x14ac:dyDescent="0.25">
      <c r="A575" s="19">
        <v>336510</v>
      </c>
      <c r="B575" s="19" t="s">
        <v>3453</v>
      </c>
      <c r="C575" s="19">
        <v>336510</v>
      </c>
      <c r="D575" s="19" t="s">
        <v>3453</v>
      </c>
    </row>
    <row r="576" spans="1:4" x14ac:dyDescent="0.25">
      <c r="A576" s="19">
        <v>336611</v>
      </c>
      <c r="B576" s="19" t="s">
        <v>640</v>
      </c>
      <c r="C576" s="19">
        <v>336611</v>
      </c>
      <c r="D576" s="19" t="s">
        <v>640</v>
      </c>
    </row>
    <row r="577" spans="1:4" x14ac:dyDescent="0.25">
      <c r="A577" s="19">
        <v>336612</v>
      </c>
      <c r="B577" s="19" t="s">
        <v>3456</v>
      </c>
      <c r="C577" s="19">
        <v>336612</v>
      </c>
      <c r="D577" s="19" t="s">
        <v>3456</v>
      </c>
    </row>
    <row r="578" spans="1:4" ht="25.5" x14ac:dyDescent="0.25">
      <c r="A578" s="19">
        <v>336991</v>
      </c>
      <c r="B578" s="19" t="s">
        <v>3458</v>
      </c>
      <c r="C578" s="19">
        <v>336991</v>
      </c>
      <c r="D578" s="19" t="s">
        <v>3458</v>
      </c>
    </row>
    <row r="579" spans="1:4" ht="25.5" x14ac:dyDescent="0.25">
      <c r="A579" s="19">
        <v>336992</v>
      </c>
      <c r="B579" s="19" t="s">
        <v>3460</v>
      </c>
      <c r="C579" s="19">
        <v>336992</v>
      </c>
      <c r="D579" s="19" t="s">
        <v>3460</v>
      </c>
    </row>
    <row r="580" spans="1:4" ht="25.5" x14ac:dyDescent="0.25">
      <c r="A580" s="19">
        <v>336999</v>
      </c>
      <c r="B580" s="19" t="s">
        <v>3462</v>
      </c>
      <c r="C580" s="19">
        <v>336999</v>
      </c>
      <c r="D580" s="19" t="s">
        <v>3462</v>
      </c>
    </row>
    <row r="581" spans="1:4" ht="25.5" x14ac:dyDescent="0.25">
      <c r="A581" s="19">
        <v>337110</v>
      </c>
      <c r="B581" s="19" t="s">
        <v>3464</v>
      </c>
      <c r="C581" s="19">
        <v>337110</v>
      </c>
      <c r="D581" s="19" t="s">
        <v>3464</v>
      </c>
    </row>
    <row r="582" spans="1:4" ht="25.5" x14ac:dyDescent="0.25">
      <c r="A582" s="19">
        <v>337121</v>
      </c>
      <c r="B582" s="19" t="s">
        <v>3466</v>
      </c>
      <c r="C582" s="19">
        <v>337121</v>
      </c>
      <c r="D582" s="19" t="s">
        <v>3466</v>
      </c>
    </row>
    <row r="583" spans="1:4" ht="25.5" x14ac:dyDescent="0.25">
      <c r="A583" s="19">
        <v>337122</v>
      </c>
      <c r="B583" s="19" t="s">
        <v>3468</v>
      </c>
      <c r="C583" s="19">
        <v>337122</v>
      </c>
      <c r="D583" s="19" t="s">
        <v>3468</v>
      </c>
    </row>
    <row r="584" spans="1:4" ht="25.5" x14ac:dyDescent="0.25">
      <c r="A584" s="19">
        <v>337124</v>
      </c>
      <c r="B584" s="19" t="s">
        <v>3470</v>
      </c>
      <c r="C584" s="19">
        <v>337124</v>
      </c>
      <c r="D584" s="19" t="s">
        <v>3470</v>
      </c>
    </row>
    <row r="585" spans="1:4" ht="25.5" x14ac:dyDescent="0.25">
      <c r="A585" s="19">
        <v>337125</v>
      </c>
      <c r="B585" s="19" t="s">
        <v>3472</v>
      </c>
      <c r="C585" s="19">
        <v>337125</v>
      </c>
      <c r="D585" s="19" t="s">
        <v>3472</v>
      </c>
    </row>
    <row r="586" spans="1:4" x14ac:dyDescent="0.25">
      <c r="A586" s="19">
        <v>337127</v>
      </c>
      <c r="B586" s="19" t="s">
        <v>3474</v>
      </c>
      <c r="C586" s="19">
        <v>337127</v>
      </c>
      <c r="D586" s="19" t="s">
        <v>3474</v>
      </c>
    </row>
    <row r="587" spans="1:4" ht="25.5" x14ac:dyDescent="0.25">
      <c r="A587" s="19">
        <v>337129</v>
      </c>
      <c r="B587" s="19" t="s">
        <v>5805</v>
      </c>
      <c r="C587" s="20">
        <v>321999</v>
      </c>
      <c r="D587" s="19" t="s">
        <v>2980</v>
      </c>
    </row>
    <row r="588" spans="1:4" x14ac:dyDescent="0.25">
      <c r="A588" s="19">
        <v>337211</v>
      </c>
      <c r="B588" s="19" t="s">
        <v>3476</v>
      </c>
      <c r="C588" s="19">
        <v>337211</v>
      </c>
      <c r="D588" s="19" t="s">
        <v>3476</v>
      </c>
    </row>
    <row r="589" spans="1:4" ht="25.5" x14ac:dyDescent="0.25">
      <c r="A589" s="19">
        <v>337212</v>
      </c>
      <c r="B589" s="19" t="s">
        <v>3478</v>
      </c>
      <c r="C589" s="19">
        <v>337212</v>
      </c>
      <c r="D589" s="19" t="s">
        <v>3478</v>
      </c>
    </row>
    <row r="590" spans="1:4" ht="25.5" x14ac:dyDescent="0.25">
      <c r="A590" s="19">
        <v>337214</v>
      </c>
      <c r="B590" s="19" t="s">
        <v>3480</v>
      </c>
      <c r="C590" s="19">
        <v>337214</v>
      </c>
      <c r="D590" s="19" t="s">
        <v>3480</v>
      </c>
    </row>
    <row r="591" spans="1:4" ht="25.5" x14ac:dyDescent="0.25">
      <c r="A591" s="19">
        <v>337215</v>
      </c>
      <c r="B591" s="19" t="s">
        <v>3482</v>
      </c>
      <c r="C591" s="19">
        <v>337215</v>
      </c>
      <c r="D591" s="19" t="s">
        <v>3482</v>
      </c>
    </row>
    <row r="592" spans="1:4" x14ac:dyDescent="0.25">
      <c r="A592" s="19">
        <v>337910</v>
      </c>
      <c r="B592" s="19" t="s">
        <v>3484</v>
      </c>
      <c r="C592" s="19">
        <v>337910</v>
      </c>
      <c r="D592" s="19" t="s">
        <v>3484</v>
      </c>
    </row>
    <row r="593" spans="1:4" x14ac:dyDescent="0.25">
      <c r="A593" s="19">
        <v>337920</v>
      </c>
      <c r="B593" s="19" t="s">
        <v>3486</v>
      </c>
      <c r="C593" s="19">
        <v>337920</v>
      </c>
      <c r="D593" s="19" t="s">
        <v>3486</v>
      </c>
    </row>
    <row r="594" spans="1:4" ht="25.5" x14ac:dyDescent="0.25">
      <c r="A594" s="19">
        <v>339112</v>
      </c>
      <c r="B594" s="19" t="s">
        <v>3488</v>
      </c>
      <c r="C594" s="19">
        <v>339112</v>
      </c>
      <c r="D594" s="19" t="s">
        <v>3488</v>
      </c>
    </row>
    <row r="595" spans="1:4" ht="25.5" x14ac:dyDescent="0.25">
      <c r="A595" s="19">
        <v>339113</v>
      </c>
      <c r="B595" s="19" t="s">
        <v>3490</v>
      </c>
      <c r="C595" s="19">
        <v>339113</v>
      </c>
      <c r="D595" s="19" t="s">
        <v>3490</v>
      </c>
    </row>
    <row r="596" spans="1:4" ht="25.5" x14ac:dyDescent="0.25">
      <c r="A596" s="19">
        <v>339114</v>
      </c>
      <c r="B596" s="19" t="s">
        <v>3492</v>
      </c>
      <c r="C596" s="19">
        <v>339114</v>
      </c>
      <c r="D596" s="19" t="s">
        <v>3492</v>
      </c>
    </row>
    <row r="597" spans="1:4" x14ac:dyDescent="0.25">
      <c r="A597" s="19">
        <v>339115</v>
      </c>
      <c r="B597" s="19" t="s">
        <v>3494</v>
      </c>
      <c r="C597" s="19">
        <v>339115</v>
      </c>
      <c r="D597" s="19" t="s">
        <v>3494</v>
      </c>
    </row>
    <row r="598" spans="1:4" x14ac:dyDescent="0.25">
      <c r="A598" s="19">
        <v>339116</v>
      </c>
      <c r="B598" s="19" t="s">
        <v>3496</v>
      </c>
      <c r="C598" s="19">
        <v>339116</v>
      </c>
      <c r="D598" s="19" t="s">
        <v>3496</v>
      </c>
    </row>
    <row r="599" spans="1:4" x14ac:dyDescent="0.25">
      <c r="A599" s="19">
        <v>339911</v>
      </c>
      <c r="B599" s="19" t="s">
        <v>5896</v>
      </c>
      <c r="C599" s="20">
        <v>339910</v>
      </c>
      <c r="D599" s="19" t="s">
        <v>3498</v>
      </c>
    </row>
    <row r="600" spans="1:4" ht="25.5" x14ac:dyDescent="0.25">
      <c r="A600" s="19">
        <v>339912</v>
      </c>
      <c r="B600" s="19" t="s">
        <v>6081</v>
      </c>
      <c r="C600" s="20">
        <v>339910</v>
      </c>
      <c r="D600" s="19" t="s">
        <v>3498</v>
      </c>
    </row>
    <row r="601" spans="1:4" ht="25.5" x14ac:dyDescent="0.25">
      <c r="A601" s="19">
        <v>339913</v>
      </c>
      <c r="B601" s="19" t="s">
        <v>5950</v>
      </c>
      <c r="C601" s="20">
        <v>339910</v>
      </c>
      <c r="D601" s="19" t="s">
        <v>3498</v>
      </c>
    </row>
    <row r="602" spans="1:4" ht="25.5" x14ac:dyDescent="0.25">
      <c r="A602" s="19">
        <v>339914</v>
      </c>
      <c r="B602" s="19" t="s">
        <v>5859</v>
      </c>
      <c r="C602" s="20">
        <v>339910</v>
      </c>
      <c r="D602" s="19" t="s">
        <v>3498</v>
      </c>
    </row>
    <row r="603" spans="1:4" ht="25.5" x14ac:dyDescent="0.25">
      <c r="A603" s="19">
        <v>339920</v>
      </c>
      <c r="B603" s="19" t="s">
        <v>3500</v>
      </c>
      <c r="C603" s="19">
        <v>339920</v>
      </c>
      <c r="D603" s="19" t="s">
        <v>3500</v>
      </c>
    </row>
    <row r="604" spans="1:4" x14ac:dyDescent="0.25">
      <c r="A604" s="19">
        <v>339931</v>
      </c>
      <c r="B604" s="19" t="s">
        <v>5951</v>
      </c>
      <c r="C604" s="20">
        <v>339930</v>
      </c>
      <c r="D604" s="19" t="s">
        <v>3502</v>
      </c>
    </row>
    <row r="605" spans="1:4" ht="25.5" x14ac:dyDescent="0.25">
      <c r="A605" s="19">
        <v>339932</v>
      </c>
      <c r="B605" s="19" t="s">
        <v>5850</v>
      </c>
      <c r="C605" s="20">
        <v>339930</v>
      </c>
      <c r="D605" s="19" t="s">
        <v>3502</v>
      </c>
    </row>
    <row r="606" spans="1:4" ht="25.5" x14ac:dyDescent="0.25">
      <c r="A606" s="19">
        <v>339941</v>
      </c>
      <c r="B606" s="19" t="s">
        <v>5952</v>
      </c>
      <c r="C606" s="20">
        <v>339940</v>
      </c>
      <c r="D606" s="19" t="s">
        <v>3504</v>
      </c>
    </row>
    <row r="607" spans="1:4" ht="25.5" x14ac:dyDescent="0.25">
      <c r="A607" s="19">
        <v>339942</v>
      </c>
      <c r="B607" s="19" t="s">
        <v>5807</v>
      </c>
      <c r="C607" s="20">
        <v>339940</v>
      </c>
      <c r="D607" s="19" t="s">
        <v>3504</v>
      </c>
    </row>
    <row r="608" spans="1:4" ht="25.5" x14ac:dyDescent="0.25">
      <c r="A608" s="19">
        <v>339943</v>
      </c>
      <c r="B608" s="19" t="s">
        <v>5953</v>
      </c>
      <c r="C608" s="20">
        <v>339940</v>
      </c>
      <c r="D608" s="19" t="s">
        <v>3504</v>
      </c>
    </row>
    <row r="609" spans="1:4" ht="25.5" x14ac:dyDescent="0.25">
      <c r="A609" s="19">
        <v>339944</v>
      </c>
      <c r="B609" s="19" t="s">
        <v>5954</v>
      </c>
      <c r="C609" s="20">
        <v>339940</v>
      </c>
      <c r="D609" s="19" t="s">
        <v>3504</v>
      </c>
    </row>
    <row r="610" spans="1:4" x14ac:dyDescent="0.25">
      <c r="A610" s="19">
        <v>339950</v>
      </c>
      <c r="B610" s="19" t="s">
        <v>3506</v>
      </c>
      <c r="C610" s="19">
        <v>339950</v>
      </c>
      <c r="D610" s="19" t="s">
        <v>3506</v>
      </c>
    </row>
    <row r="611" spans="1:4" ht="25.5" x14ac:dyDescent="0.25">
      <c r="A611" s="19">
        <v>339991</v>
      </c>
      <c r="B611" s="19" t="s">
        <v>3508</v>
      </c>
      <c r="C611" s="19">
        <v>339991</v>
      </c>
      <c r="D611" s="19" t="s">
        <v>3508</v>
      </c>
    </row>
    <row r="612" spans="1:4" x14ac:dyDescent="0.25">
      <c r="A612" s="19">
        <v>339992</v>
      </c>
      <c r="B612" s="19" t="s">
        <v>3510</v>
      </c>
      <c r="C612" s="19">
        <v>339992</v>
      </c>
      <c r="D612" s="19" t="s">
        <v>3510</v>
      </c>
    </row>
    <row r="613" spans="1:4" ht="25.5" x14ac:dyDescent="0.25">
      <c r="A613" s="19">
        <v>339993</v>
      </c>
      <c r="B613" s="19" t="s">
        <v>3512</v>
      </c>
      <c r="C613" s="19">
        <v>339993</v>
      </c>
      <c r="D613" s="19" t="s">
        <v>3512</v>
      </c>
    </row>
    <row r="614" spans="1:4" x14ac:dyDescent="0.25">
      <c r="A614" s="19">
        <v>339994</v>
      </c>
      <c r="B614" s="19" t="s">
        <v>3514</v>
      </c>
      <c r="C614" s="19">
        <v>339994</v>
      </c>
      <c r="D614" s="19" t="s">
        <v>3514</v>
      </c>
    </row>
    <row r="615" spans="1:4" x14ac:dyDescent="0.25">
      <c r="A615" s="19">
        <v>339995</v>
      </c>
      <c r="B615" s="19" t="s">
        <v>3516</v>
      </c>
      <c r="C615" s="19">
        <v>339995</v>
      </c>
      <c r="D615" s="19" t="s">
        <v>3516</v>
      </c>
    </row>
    <row r="616" spans="1:4" x14ac:dyDescent="0.25">
      <c r="A616" s="19">
        <v>339999</v>
      </c>
      <c r="B616" s="19" t="s">
        <v>3518</v>
      </c>
      <c r="C616" s="19">
        <v>339999</v>
      </c>
      <c r="D616" s="19" t="s">
        <v>3518</v>
      </c>
    </row>
    <row r="617" spans="1:4" ht="25.5" x14ac:dyDescent="0.25">
      <c r="A617" s="19">
        <v>423110</v>
      </c>
      <c r="B617" s="19" t="s">
        <v>3520</v>
      </c>
      <c r="C617" s="19">
        <v>423110</v>
      </c>
      <c r="D617" s="19" t="s">
        <v>3520</v>
      </c>
    </row>
    <row r="618" spans="1:4" ht="25.5" x14ac:dyDescent="0.25">
      <c r="A618" s="19">
        <v>423120</v>
      </c>
      <c r="B618" s="19" t="s">
        <v>3521</v>
      </c>
      <c r="C618" s="19">
        <v>423120</v>
      </c>
      <c r="D618" s="19" t="s">
        <v>3521</v>
      </c>
    </row>
    <row r="619" spans="1:4" x14ac:dyDescent="0.25">
      <c r="A619" s="19">
        <v>423130</v>
      </c>
      <c r="B619" s="19" t="s">
        <v>3523</v>
      </c>
      <c r="C619" s="19">
        <v>423130</v>
      </c>
      <c r="D619" s="19" t="s">
        <v>3523</v>
      </c>
    </row>
    <row r="620" spans="1:4" ht="25.5" x14ac:dyDescent="0.25">
      <c r="A620" s="19">
        <v>423140</v>
      </c>
      <c r="B620" s="19" t="s">
        <v>3525</v>
      </c>
      <c r="C620" s="19">
        <v>423140</v>
      </c>
      <c r="D620" s="19" t="s">
        <v>3525</v>
      </c>
    </row>
    <row r="621" spans="1:4" x14ac:dyDescent="0.25">
      <c r="A621" s="19">
        <v>423210</v>
      </c>
      <c r="B621" s="19" t="s">
        <v>3527</v>
      </c>
      <c r="C621" s="19">
        <v>423210</v>
      </c>
      <c r="D621" s="19" t="s">
        <v>3527</v>
      </c>
    </row>
    <row r="622" spans="1:4" x14ac:dyDescent="0.25">
      <c r="A622" s="19">
        <v>423220</v>
      </c>
      <c r="B622" s="19" t="s">
        <v>3529</v>
      </c>
      <c r="C622" s="19">
        <v>423220</v>
      </c>
      <c r="D622" s="19" t="s">
        <v>3529</v>
      </c>
    </row>
    <row r="623" spans="1:4" ht="25.5" x14ac:dyDescent="0.25">
      <c r="A623" s="19">
        <v>423310</v>
      </c>
      <c r="B623" s="19" t="s">
        <v>3531</v>
      </c>
      <c r="C623" s="19">
        <v>423310</v>
      </c>
      <c r="D623" s="19" t="s">
        <v>3531</v>
      </c>
    </row>
    <row r="624" spans="1:4" ht="25.5" x14ac:dyDescent="0.25">
      <c r="A624" s="19">
        <v>423320</v>
      </c>
      <c r="B624" s="19" t="s">
        <v>3533</v>
      </c>
      <c r="C624" s="19">
        <v>423320</v>
      </c>
      <c r="D624" s="19" t="s">
        <v>3533</v>
      </c>
    </row>
    <row r="625" spans="1:4" ht="25.5" x14ac:dyDescent="0.25">
      <c r="A625" s="19">
        <v>423330</v>
      </c>
      <c r="B625" s="19" t="s">
        <v>3535</v>
      </c>
      <c r="C625" s="19">
        <v>423330</v>
      </c>
      <c r="D625" s="19" t="s">
        <v>3535</v>
      </c>
    </row>
    <row r="626" spans="1:4" ht="25.5" x14ac:dyDescent="0.25">
      <c r="A626" s="19">
        <v>423390</v>
      </c>
      <c r="B626" s="19" t="s">
        <v>3537</v>
      </c>
      <c r="C626" s="19">
        <v>423390</v>
      </c>
      <c r="D626" s="19" t="s">
        <v>3537</v>
      </c>
    </row>
    <row r="627" spans="1:4" ht="25.5" x14ac:dyDescent="0.25">
      <c r="A627" s="19">
        <v>423410</v>
      </c>
      <c r="B627" s="19" t="s">
        <v>3539</v>
      </c>
      <c r="C627" s="19">
        <v>423410</v>
      </c>
      <c r="D627" s="19" t="s">
        <v>3539</v>
      </c>
    </row>
    <row r="628" spans="1:4" x14ac:dyDescent="0.25">
      <c r="A628" s="19">
        <v>423420</v>
      </c>
      <c r="B628" s="19" t="s">
        <v>3541</v>
      </c>
      <c r="C628" s="19">
        <v>423420</v>
      </c>
      <c r="D628" s="19" t="s">
        <v>3541</v>
      </c>
    </row>
    <row r="629" spans="1:4" ht="38.25" x14ac:dyDescent="0.25">
      <c r="A629" s="19">
        <v>423430</v>
      </c>
      <c r="B629" s="19" t="s">
        <v>3543</v>
      </c>
      <c r="C629" s="19">
        <v>423430</v>
      </c>
      <c r="D629" s="19" t="s">
        <v>3543</v>
      </c>
    </row>
    <row r="630" spans="1:4" ht="25.5" x14ac:dyDescent="0.25">
      <c r="A630" s="19">
        <v>423440</v>
      </c>
      <c r="B630" s="19" t="s">
        <v>3545</v>
      </c>
      <c r="C630" s="19">
        <v>423440</v>
      </c>
      <c r="D630" s="19" t="s">
        <v>3545</v>
      </c>
    </row>
    <row r="631" spans="1:4" ht="38.25" x14ac:dyDescent="0.25">
      <c r="A631" s="19">
        <v>423450</v>
      </c>
      <c r="B631" s="19" t="s">
        <v>3547</v>
      </c>
      <c r="C631" s="19">
        <v>423450</v>
      </c>
      <c r="D631" s="19" t="s">
        <v>3547</v>
      </c>
    </row>
    <row r="632" spans="1:4" ht="25.5" x14ac:dyDescent="0.25">
      <c r="A632" s="19">
        <v>423460</v>
      </c>
      <c r="B632" s="19" t="s">
        <v>3549</v>
      </c>
      <c r="C632" s="19">
        <v>423460</v>
      </c>
      <c r="D632" s="19" t="s">
        <v>3549</v>
      </c>
    </row>
    <row r="633" spans="1:4" ht="25.5" x14ac:dyDescent="0.25">
      <c r="A633" s="19">
        <v>423490</v>
      </c>
      <c r="B633" s="19" t="s">
        <v>3551</v>
      </c>
      <c r="C633" s="19">
        <v>423490</v>
      </c>
      <c r="D633" s="19" t="s">
        <v>3551</v>
      </c>
    </row>
    <row r="634" spans="1:4" ht="25.5" x14ac:dyDescent="0.25">
      <c r="A634" s="19">
        <v>423510</v>
      </c>
      <c r="B634" s="19" t="s">
        <v>3553</v>
      </c>
      <c r="C634" s="19">
        <v>423510</v>
      </c>
      <c r="D634" s="19" t="s">
        <v>3553</v>
      </c>
    </row>
    <row r="635" spans="1:4" ht="25.5" x14ac:dyDescent="0.25">
      <c r="A635" s="19">
        <v>423520</v>
      </c>
      <c r="B635" s="19" t="s">
        <v>3555</v>
      </c>
      <c r="C635" s="19">
        <v>423520</v>
      </c>
      <c r="D635" s="19" t="s">
        <v>3555</v>
      </c>
    </row>
    <row r="636" spans="1:4" ht="38.25" x14ac:dyDescent="0.25">
      <c r="A636" s="19">
        <v>423610</v>
      </c>
      <c r="B636" s="19" t="s">
        <v>3557</v>
      </c>
      <c r="C636" s="19">
        <v>423610</v>
      </c>
      <c r="D636" s="19" t="s">
        <v>3557</v>
      </c>
    </row>
    <row r="637" spans="1:4" ht="51" x14ac:dyDescent="0.25">
      <c r="A637" s="21">
        <v>423620</v>
      </c>
      <c r="B637" s="19" t="s">
        <v>6118</v>
      </c>
      <c r="C637" s="20">
        <v>423620</v>
      </c>
      <c r="D637" s="19" t="s">
        <v>3559</v>
      </c>
    </row>
    <row r="638" spans="1:4" ht="38.25" x14ac:dyDescent="0.25">
      <c r="A638" s="21">
        <v>423620</v>
      </c>
      <c r="B638" s="19" t="s">
        <v>6119</v>
      </c>
      <c r="C638" s="20">
        <v>423720</v>
      </c>
      <c r="D638" s="19" t="s">
        <v>3565</v>
      </c>
    </row>
    <row r="639" spans="1:4" ht="25.5" x14ac:dyDescent="0.25">
      <c r="A639" s="19">
        <v>423690</v>
      </c>
      <c r="B639" s="19" t="s">
        <v>3561</v>
      </c>
      <c r="C639" s="19">
        <v>423690</v>
      </c>
      <c r="D639" s="19" t="s">
        <v>3561</v>
      </c>
    </row>
    <row r="640" spans="1:4" x14ac:dyDescent="0.25">
      <c r="A640" s="19">
        <v>423710</v>
      </c>
      <c r="B640" s="19" t="s">
        <v>3563</v>
      </c>
      <c r="C640" s="19">
        <v>423710</v>
      </c>
      <c r="D640" s="19" t="s">
        <v>3563</v>
      </c>
    </row>
    <row r="641" spans="1:4" ht="38.25" x14ac:dyDescent="0.25">
      <c r="A641" s="21">
        <v>423720</v>
      </c>
      <c r="B641" s="19" t="s">
        <v>6120</v>
      </c>
      <c r="C641" s="20">
        <v>423620</v>
      </c>
      <c r="D641" s="19" t="s">
        <v>3559</v>
      </c>
    </row>
    <row r="642" spans="1:4" ht="51" x14ac:dyDescent="0.25">
      <c r="A642" s="21">
        <v>423720</v>
      </c>
      <c r="B642" s="19" t="s">
        <v>6121</v>
      </c>
      <c r="C642" s="20">
        <v>423720</v>
      </c>
      <c r="D642" s="19" t="s">
        <v>3565</v>
      </c>
    </row>
    <row r="643" spans="1:4" ht="38.25" x14ac:dyDescent="0.25">
      <c r="A643" s="19">
        <v>423730</v>
      </c>
      <c r="B643" s="19" t="s">
        <v>3567</v>
      </c>
      <c r="C643" s="19">
        <v>423730</v>
      </c>
      <c r="D643" s="19" t="s">
        <v>3567</v>
      </c>
    </row>
    <row r="644" spans="1:4" ht="25.5" x14ac:dyDescent="0.25">
      <c r="A644" s="19">
        <v>423740</v>
      </c>
      <c r="B644" s="19" t="s">
        <v>3569</v>
      </c>
      <c r="C644" s="19">
        <v>423740</v>
      </c>
      <c r="D644" s="19" t="s">
        <v>3569</v>
      </c>
    </row>
    <row r="645" spans="1:4" ht="38.25" x14ac:dyDescent="0.25">
      <c r="A645" s="19">
        <v>423810</v>
      </c>
      <c r="B645" s="19" t="s">
        <v>3571</v>
      </c>
      <c r="C645" s="19">
        <v>423810</v>
      </c>
      <c r="D645" s="19" t="s">
        <v>3571</v>
      </c>
    </row>
    <row r="646" spans="1:4" ht="25.5" x14ac:dyDescent="0.25">
      <c r="A646" s="19">
        <v>423820</v>
      </c>
      <c r="B646" s="19" t="s">
        <v>3573</v>
      </c>
      <c r="C646" s="19">
        <v>423820</v>
      </c>
      <c r="D646" s="19" t="s">
        <v>3573</v>
      </c>
    </row>
    <row r="647" spans="1:4" ht="25.5" x14ac:dyDescent="0.25">
      <c r="A647" s="19">
        <v>423830</v>
      </c>
      <c r="B647" s="19" t="s">
        <v>3575</v>
      </c>
      <c r="C647" s="19">
        <v>423830</v>
      </c>
      <c r="D647" s="19" t="s">
        <v>3575</v>
      </c>
    </row>
    <row r="648" spans="1:4" ht="25.5" x14ac:dyDescent="0.25">
      <c r="A648" s="19">
        <v>423840</v>
      </c>
      <c r="B648" s="19" t="s">
        <v>3577</v>
      </c>
      <c r="C648" s="19">
        <v>423840</v>
      </c>
      <c r="D648" s="19" t="s">
        <v>3577</v>
      </c>
    </row>
    <row r="649" spans="1:4" ht="25.5" x14ac:dyDescent="0.25">
      <c r="A649" s="19">
        <v>423850</v>
      </c>
      <c r="B649" s="19" t="s">
        <v>3579</v>
      </c>
      <c r="C649" s="19">
        <v>423850</v>
      </c>
      <c r="D649" s="19" t="s">
        <v>3579</v>
      </c>
    </row>
    <row r="650" spans="1:4" ht="38.25" x14ac:dyDescent="0.25">
      <c r="A650" s="19">
        <v>423860</v>
      </c>
      <c r="B650" s="19" t="s">
        <v>3581</v>
      </c>
      <c r="C650" s="19">
        <v>423860</v>
      </c>
      <c r="D650" s="19" t="s">
        <v>3581</v>
      </c>
    </row>
    <row r="651" spans="1:4" ht="25.5" x14ac:dyDescent="0.25">
      <c r="A651" s="19">
        <v>423910</v>
      </c>
      <c r="B651" s="19" t="s">
        <v>3583</v>
      </c>
      <c r="C651" s="19">
        <v>423910</v>
      </c>
      <c r="D651" s="19" t="s">
        <v>3583</v>
      </c>
    </row>
    <row r="652" spans="1:4" ht="25.5" x14ac:dyDescent="0.25">
      <c r="A652" s="19">
        <v>423920</v>
      </c>
      <c r="B652" s="19" t="s">
        <v>3585</v>
      </c>
      <c r="C652" s="19">
        <v>423920</v>
      </c>
      <c r="D652" s="19" t="s">
        <v>3585</v>
      </c>
    </row>
    <row r="653" spans="1:4" ht="25.5" x14ac:dyDescent="0.25">
      <c r="A653" s="19">
        <v>423930</v>
      </c>
      <c r="B653" s="19" t="s">
        <v>3587</v>
      </c>
      <c r="C653" s="19">
        <v>423930</v>
      </c>
      <c r="D653" s="19" t="s">
        <v>3587</v>
      </c>
    </row>
    <row r="654" spans="1:4" ht="25.5" x14ac:dyDescent="0.25">
      <c r="A654" s="19">
        <v>423940</v>
      </c>
      <c r="B654" s="19" t="s">
        <v>3589</v>
      </c>
      <c r="C654" s="19">
        <v>423940</v>
      </c>
      <c r="D654" s="19" t="s">
        <v>3589</v>
      </c>
    </row>
    <row r="655" spans="1:4" ht="25.5" x14ac:dyDescent="0.25">
      <c r="A655" s="19">
        <v>423990</v>
      </c>
      <c r="B655" s="19" t="s">
        <v>3591</v>
      </c>
      <c r="C655" s="19">
        <v>423990</v>
      </c>
      <c r="D655" s="19" t="s">
        <v>3591</v>
      </c>
    </row>
    <row r="656" spans="1:4" ht="25.5" x14ac:dyDescent="0.25">
      <c r="A656" s="19">
        <v>424110</v>
      </c>
      <c r="B656" s="19" t="s">
        <v>3593</v>
      </c>
      <c r="C656" s="19">
        <v>424110</v>
      </c>
      <c r="D656" s="19" t="s">
        <v>3593</v>
      </c>
    </row>
    <row r="657" spans="1:4" ht="25.5" x14ac:dyDescent="0.25">
      <c r="A657" s="19">
        <v>424120</v>
      </c>
      <c r="B657" s="19" t="s">
        <v>3595</v>
      </c>
      <c r="C657" s="19">
        <v>424120</v>
      </c>
      <c r="D657" s="19" t="s">
        <v>3595</v>
      </c>
    </row>
    <row r="658" spans="1:4" ht="25.5" x14ac:dyDescent="0.25">
      <c r="A658" s="19">
        <v>424130</v>
      </c>
      <c r="B658" s="19" t="s">
        <v>3597</v>
      </c>
      <c r="C658" s="19">
        <v>424130</v>
      </c>
      <c r="D658" s="19" t="s">
        <v>3597</v>
      </c>
    </row>
    <row r="659" spans="1:4" ht="25.5" x14ac:dyDescent="0.25">
      <c r="A659" s="19">
        <v>424210</v>
      </c>
      <c r="B659" s="19" t="s">
        <v>3599</v>
      </c>
      <c r="C659" s="19">
        <v>424210</v>
      </c>
      <c r="D659" s="19" t="s">
        <v>3599</v>
      </c>
    </row>
    <row r="660" spans="1:4" ht="25.5" x14ac:dyDescent="0.25">
      <c r="A660" s="19">
        <v>424310</v>
      </c>
      <c r="B660" s="19" t="s">
        <v>3601</v>
      </c>
      <c r="C660" s="19">
        <v>424310</v>
      </c>
      <c r="D660" s="19" t="s">
        <v>3601</v>
      </c>
    </row>
    <row r="661" spans="1:4" ht="25.5" x14ac:dyDescent="0.25">
      <c r="A661" s="19">
        <v>424320</v>
      </c>
      <c r="B661" s="19" t="s">
        <v>3603</v>
      </c>
      <c r="C661" s="19">
        <v>424320</v>
      </c>
      <c r="D661" s="19" t="s">
        <v>3603</v>
      </c>
    </row>
    <row r="662" spans="1:4" ht="38.25" x14ac:dyDescent="0.25">
      <c r="A662" s="19">
        <v>424330</v>
      </c>
      <c r="B662" s="19" t="s">
        <v>3605</v>
      </c>
      <c r="C662" s="19">
        <v>424330</v>
      </c>
      <c r="D662" s="19" t="s">
        <v>3605</v>
      </c>
    </row>
    <row r="663" spans="1:4" x14ac:dyDescent="0.25">
      <c r="A663" s="19">
        <v>424340</v>
      </c>
      <c r="B663" s="19" t="s">
        <v>3607</v>
      </c>
      <c r="C663" s="19">
        <v>424340</v>
      </c>
      <c r="D663" s="19" t="s">
        <v>3607</v>
      </c>
    </row>
    <row r="664" spans="1:4" ht="25.5" x14ac:dyDescent="0.25">
      <c r="A664" s="19">
        <v>424410</v>
      </c>
      <c r="B664" s="19" t="s">
        <v>3609</v>
      </c>
      <c r="C664" s="19">
        <v>424410</v>
      </c>
      <c r="D664" s="19" t="s">
        <v>3609</v>
      </c>
    </row>
    <row r="665" spans="1:4" ht="25.5" x14ac:dyDescent="0.25">
      <c r="A665" s="19">
        <v>424420</v>
      </c>
      <c r="B665" s="19" t="s">
        <v>3611</v>
      </c>
      <c r="C665" s="19">
        <v>424420</v>
      </c>
      <c r="D665" s="19" t="s">
        <v>3611</v>
      </c>
    </row>
    <row r="666" spans="1:4" ht="25.5" x14ac:dyDescent="0.25">
      <c r="A666" s="19">
        <v>424430</v>
      </c>
      <c r="B666" s="19" t="s">
        <v>3613</v>
      </c>
      <c r="C666" s="19">
        <v>424430</v>
      </c>
      <c r="D666" s="19" t="s">
        <v>3613</v>
      </c>
    </row>
    <row r="667" spans="1:4" ht="25.5" x14ac:dyDescent="0.25">
      <c r="A667" s="19">
        <v>424440</v>
      </c>
      <c r="B667" s="19" t="s">
        <v>3615</v>
      </c>
      <c r="C667" s="19">
        <v>424440</v>
      </c>
      <c r="D667" s="19" t="s">
        <v>3615</v>
      </c>
    </row>
    <row r="668" spans="1:4" x14ac:dyDescent="0.25">
      <c r="A668" s="19">
        <v>424450</v>
      </c>
      <c r="B668" s="19" t="s">
        <v>3617</v>
      </c>
      <c r="C668" s="19">
        <v>424450</v>
      </c>
      <c r="D668" s="19" t="s">
        <v>3617</v>
      </c>
    </row>
    <row r="669" spans="1:4" x14ac:dyDescent="0.25">
      <c r="A669" s="19">
        <v>424460</v>
      </c>
      <c r="B669" s="19" t="s">
        <v>3619</v>
      </c>
      <c r="C669" s="19">
        <v>424460</v>
      </c>
      <c r="D669" s="19" t="s">
        <v>3619</v>
      </c>
    </row>
    <row r="670" spans="1:4" ht="25.5" x14ac:dyDescent="0.25">
      <c r="A670" s="19">
        <v>424470</v>
      </c>
      <c r="B670" s="19" t="s">
        <v>3621</v>
      </c>
      <c r="C670" s="19">
        <v>424470</v>
      </c>
      <c r="D670" s="19" t="s">
        <v>3621</v>
      </c>
    </row>
    <row r="671" spans="1:4" ht="25.5" x14ac:dyDescent="0.25">
      <c r="A671" s="19">
        <v>424480</v>
      </c>
      <c r="B671" s="19" t="s">
        <v>3623</v>
      </c>
      <c r="C671" s="19">
        <v>424480</v>
      </c>
      <c r="D671" s="19" t="s">
        <v>3623</v>
      </c>
    </row>
    <row r="672" spans="1:4" ht="25.5" x14ac:dyDescent="0.25">
      <c r="A672" s="19">
        <v>424490</v>
      </c>
      <c r="B672" s="19" t="s">
        <v>3625</v>
      </c>
      <c r="C672" s="19">
        <v>424490</v>
      </c>
      <c r="D672" s="19" t="s">
        <v>3625</v>
      </c>
    </row>
    <row r="673" spans="1:4" ht="25.5" x14ac:dyDescent="0.25">
      <c r="A673" s="19">
        <v>424510</v>
      </c>
      <c r="B673" s="19" t="s">
        <v>3627</v>
      </c>
      <c r="C673" s="19">
        <v>424510</v>
      </c>
      <c r="D673" s="19" t="s">
        <v>3627</v>
      </c>
    </row>
    <row r="674" spans="1:4" x14ac:dyDescent="0.25">
      <c r="A674" s="19">
        <v>424520</v>
      </c>
      <c r="B674" s="19" t="s">
        <v>3629</v>
      </c>
      <c r="C674" s="19">
        <v>424520</v>
      </c>
      <c r="D674" s="19" t="s">
        <v>3629</v>
      </c>
    </row>
    <row r="675" spans="1:4" ht="25.5" x14ac:dyDescent="0.25">
      <c r="A675" s="19">
        <v>424590</v>
      </c>
      <c r="B675" s="19" t="s">
        <v>3631</v>
      </c>
      <c r="C675" s="19">
        <v>424590</v>
      </c>
      <c r="D675" s="19" t="s">
        <v>3631</v>
      </c>
    </row>
    <row r="676" spans="1:4" ht="25.5" x14ac:dyDescent="0.25">
      <c r="A676" s="19">
        <v>424610</v>
      </c>
      <c r="B676" s="19" t="s">
        <v>3633</v>
      </c>
      <c r="C676" s="19">
        <v>424610</v>
      </c>
      <c r="D676" s="19" t="s">
        <v>3633</v>
      </c>
    </row>
    <row r="677" spans="1:4" ht="25.5" x14ac:dyDescent="0.25">
      <c r="A677" s="19">
        <v>424690</v>
      </c>
      <c r="B677" s="19" t="s">
        <v>678</v>
      </c>
      <c r="C677" s="19">
        <v>424690</v>
      </c>
      <c r="D677" s="19" t="s">
        <v>678</v>
      </c>
    </row>
    <row r="678" spans="1:4" x14ac:dyDescent="0.25">
      <c r="A678" s="19">
        <v>424710</v>
      </c>
      <c r="B678" s="19" t="s">
        <v>3635</v>
      </c>
      <c r="C678" s="19">
        <v>424710</v>
      </c>
      <c r="D678" s="19" t="s">
        <v>3635</v>
      </c>
    </row>
    <row r="679" spans="1:4" ht="38.25" x14ac:dyDescent="0.25">
      <c r="A679" s="19">
        <v>424720</v>
      </c>
      <c r="B679" s="19" t="s">
        <v>3637</v>
      </c>
      <c r="C679" s="19">
        <v>424720</v>
      </c>
      <c r="D679" s="19" t="s">
        <v>3637</v>
      </c>
    </row>
    <row r="680" spans="1:4" x14ac:dyDescent="0.25">
      <c r="A680" s="19">
        <v>424810</v>
      </c>
      <c r="B680" s="19" t="s">
        <v>3639</v>
      </c>
      <c r="C680" s="19">
        <v>424810</v>
      </c>
      <c r="D680" s="19" t="s">
        <v>3639</v>
      </c>
    </row>
    <row r="681" spans="1:4" ht="25.5" x14ac:dyDescent="0.25">
      <c r="A681" s="19">
        <v>424820</v>
      </c>
      <c r="B681" s="19" t="s">
        <v>3640</v>
      </c>
      <c r="C681" s="19">
        <v>424820</v>
      </c>
      <c r="D681" s="19" t="s">
        <v>3640</v>
      </c>
    </row>
    <row r="682" spans="1:4" x14ac:dyDescent="0.25">
      <c r="A682" s="19">
        <v>424910</v>
      </c>
      <c r="B682" s="19" t="s">
        <v>3642</v>
      </c>
      <c r="C682" s="19">
        <v>424910</v>
      </c>
      <c r="D682" s="19" t="s">
        <v>3642</v>
      </c>
    </row>
    <row r="683" spans="1:4" ht="25.5" x14ac:dyDescent="0.25">
      <c r="A683" s="19">
        <v>424920</v>
      </c>
      <c r="B683" s="19" t="s">
        <v>3644</v>
      </c>
      <c r="C683" s="19">
        <v>424920</v>
      </c>
      <c r="D683" s="19" t="s">
        <v>3644</v>
      </c>
    </row>
    <row r="684" spans="1:4" ht="25.5" x14ac:dyDescent="0.25">
      <c r="A684" s="19">
        <v>424930</v>
      </c>
      <c r="B684" s="19" t="s">
        <v>3646</v>
      </c>
      <c r="C684" s="19">
        <v>424930</v>
      </c>
      <c r="D684" s="19" t="s">
        <v>3646</v>
      </c>
    </row>
    <row r="685" spans="1:4" ht="25.5" x14ac:dyDescent="0.25">
      <c r="A685" s="19">
        <v>424940</v>
      </c>
      <c r="B685" s="19" t="s">
        <v>3648</v>
      </c>
      <c r="C685" s="19">
        <v>424940</v>
      </c>
      <c r="D685" s="19" t="s">
        <v>3648</v>
      </c>
    </row>
    <row r="686" spans="1:4" ht="25.5" x14ac:dyDescent="0.25">
      <c r="A686" s="19">
        <v>424950</v>
      </c>
      <c r="B686" s="19" t="s">
        <v>3649</v>
      </c>
      <c r="C686" s="19">
        <v>424950</v>
      </c>
      <c r="D686" s="19" t="s">
        <v>3649</v>
      </c>
    </row>
    <row r="687" spans="1:4" ht="25.5" x14ac:dyDescent="0.25">
      <c r="A687" s="19">
        <v>424990</v>
      </c>
      <c r="B687" s="19" t="s">
        <v>3650</v>
      </c>
      <c r="C687" s="19">
        <v>424990</v>
      </c>
      <c r="D687" s="19" t="s">
        <v>3650</v>
      </c>
    </row>
    <row r="688" spans="1:4" ht="25.5" x14ac:dyDescent="0.25">
      <c r="A688" s="19">
        <v>425110</v>
      </c>
      <c r="B688" s="19" t="s">
        <v>3652</v>
      </c>
      <c r="C688" s="19">
        <v>425110</v>
      </c>
      <c r="D688" s="19" t="s">
        <v>3652</v>
      </c>
    </row>
    <row r="689" spans="1:4" x14ac:dyDescent="0.25">
      <c r="A689" s="19">
        <v>425120</v>
      </c>
      <c r="B689" s="19" t="s">
        <v>3654</v>
      </c>
      <c r="C689" s="19">
        <v>425120</v>
      </c>
      <c r="D689" s="19" t="s">
        <v>3654</v>
      </c>
    </row>
    <row r="690" spans="1:4" x14ac:dyDescent="0.25">
      <c r="A690" s="19">
        <v>441110</v>
      </c>
      <c r="B690" s="19" t="s">
        <v>3655</v>
      </c>
      <c r="C690" s="19">
        <v>441110</v>
      </c>
      <c r="D690" s="19" t="s">
        <v>3655</v>
      </c>
    </row>
    <row r="691" spans="1:4" x14ac:dyDescent="0.25">
      <c r="A691" s="19">
        <v>441120</v>
      </c>
      <c r="B691" s="19" t="s">
        <v>3657</v>
      </c>
      <c r="C691" s="19">
        <v>441120</v>
      </c>
      <c r="D691" s="19" t="s">
        <v>3657</v>
      </c>
    </row>
    <row r="692" spans="1:4" x14ac:dyDescent="0.25">
      <c r="A692" s="19">
        <v>441210</v>
      </c>
      <c r="B692" s="19" t="s">
        <v>3659</v>
      </c>
      <c r="C692" s="19">
        <v>441210</v>
      </c>
      <c r="D692" s="19" t="s">
        <v>3659</v>
      </c>
    </row>
    <row r="693" spans="1:4" ht="25.5" x14ac:dyDescent="0.25">
      <c r="A693" s="19">
        <v>441221</v>
      </c>
      <c r="B693" s="19" t="s">
        <v>6083</v>
      </c>
      <c r="C693" s="20">
        <v>441228</v>
      </c>
      <c r="D693" s="19" t="s">
        <v>3663</v>
      </c>
    </row>
    <row r="694" spans="1:4" x14ac:dyDescent="0.25">
      <c r="A694" s="19">
        <v>441222</v>
      </c>
      <c r="B694" s="19" t="s">
        <v>3661</v>
      </c>
      <c r="C694" s="19">
        <v>441222</v>
      </c>
      <c r="D694" s="19" t="s">
        <v>3661</v>
      </c>
    </row>
    <row r="695" spans="1:4" ht="25.5" x14ac:dyDescent="0.25">
      <c r="A695" s="19">
        <v>441229</v>
      </c>
      <c r="B695" s="19" t="s">
        <v>5980</v>
      </c>
      <c r="C695" s="20">
        <v>441228</v>
      </c>
      <c r="D695" s="19" t="s">
        <v>3663</v>
      </c>
    </row>
    <row r="696" spans="1:4" ht="25.5" x14ac:dyDescent="0.25">
      <c r="A696" s="19">
        <v>441310</v>
      </c>
      <c r="B696" s="19" t="s">
        <v>3664</v>
      </c>
      <c r="C696" s="19">
        <v>441310</v>
      </c>
      <c r="D696" s="19" t="s">
        <v>3664</v>
      </c>
    </row>
    <row r="697" spans="1:4" x14ac:dyDescent="0.25">
      <c r="A697" s="19">
        <v>441320</v>
      </c>
      <c r="B697" s="19" t="s">
        <v>3666</v>
      </c>
      <c r="C697" s="19">
        <v>441320</v>
      </c>
      <c r="D697" s="19" t="s">
        <v>3666</v>
      </c>
    </row>
    <row r="698" spans="1:4" x14ac:dyDescent="0.25">
      <c r="A698" s="19">
        <v>442110</v>
      </c>
      <c r="B698" s="19" t="s">
        <v>3667</v>
      </c>
      <c r="C698" s="19">
        <v>442110</v>
      </c>
      <c r="D698" s="19" t="s">
        <v>3667</v>
      </c>
    </row>
    <row r="699" spans="1:4" x14ac:dyDescent="0.25">
      <c r="A699" s="19">
        <v>442210</v>
      </c>
      <c r="B699" s="19" t="s">
        <v>3669</v>
      </c>
      <c r="C699" s="19">
        <v>442210</v>
      </c>
      <c r="D699" s="19" t="s">
        <v>3669</v>
      </c>
    </row>
    <row r="700" spans="1:4" x14ac:dyDescent="0.25">
      <c r="A700" s="19">
        <v>442291</v>
      </c>
      <c r="B700" s="19" t="s">
        <v>3671</v>
      </c>
      <c r="C700" s="19">
        <v>442291</v>
      </c>
      <c r="D700" s="19" t="s">
        <v>3671</v>
      </c>
    </row>
    <row r="701" spans="1:4" x14ac:dyDescent="0.25">
      <c r="A701" s="19">
        <v>442299</v>
      </c>
      <c r="B701" s="19" t="s">
        <v>3672</v>
      </c>
      <c r="C701" s="19">
        <v>442299</v>
      </c>
      <c r="D701" s="19" t="s">
        <v>3672</v>
      </c>
    </row>
    <row r="702" spans="1:4" x14ac:dyDescent="0.25">
      <c r="A702" s="19">
        <v>443111</v>
      </c>
      <c r="B702" s="19" t="s">
        <v>3674</v>
      </c>
      <c r="C702" s="19">
        <v>443141</v>
      </c>
      <c r="D702" s="19" t="s">
        <v>3674</v>
      </c>
    </row>
    <row r="703" spans="1:4" ht="25.5" x14ac:dyDescent="0.25">
      <c r="A703" s="19">
        <v>443112</v>
      </c>
      <c r="B703" s="19" t="s">
        <v>5967</v>
      </c>
      <c r="C703" s="20">
        <v>443142</v>
      </c>
      <c r="D703" s="19" t="s">
        <v>3676</v>
      </c>
    </row>
    <row r="704" spans="1:4" x14ac:dyDescent="0.25">
      <c r="A704" s="19">
        <v>443120</v>
      </c>
      <c r="B704" s="19" t="s">
        <v>5964</v>
      </c>
      <c r="C704" s="20">
        <v>443142</v>
      </c>
      <c r="D704" s="19" t="s">
        <v>3676</v>
      </c>
    </row>
    <row r="705" spans="1:4" ht="25.5" x14ac:dyDescent="0.25">
      <c r="A705" s="19">
        <v>443130</v>
      </c>
      <c r="B705" s="19" t="s">
        <v>5983</v>
      </c>
      <c r="C705" s="20">
        <v>443142</v>
      </c>
      <c r="D705" s="19" t="s">
        <v>3676</v>
      </c>
    </row>
    <row r="706" spans="1:4" x14ac:dyDescent="0.25">
      <c r="A706" s="19">
        <v>444110</v>
      </c>
      <c r="B706" s="19" t="s">
        <v>3678</v>
      </c>
      <c r="C706" s="19">
        <v>444110</v>
      </c>
      <c r="D706" s="19" t="s">
        <v>3678</v>
      </c>
    </row>
    <row r="707" spans="1:4" x14ac:dyDescent="0.25">
      <c r="A707" s="19">
        <v>444120</v>
      </c>
      <c r="B707" s="19" t="s">
        <v>3680</v>
      </c>
      <c r="C707" s="19">
        <v>444120</v>
      </c>
      <c r="D707" s="19" t="s">
        <v>3680</v>
      </c>
    </row>
    <row r="708" spans="1:4" x14ac:dyDescent="0.25">
      <c r="A708" s="19">
        <v>444130</v>
      </c>
      <c r="B708" s="19" t="s">
        <v>3681</v>
      </c>
      <c r="C708" s="19">
        <v>444130</v>
      </c>
      <c r="D708" s="19" t="s">
        <v>3681</v>
      </c>
    </row>
    <row r="709" spans="1:4" x14ac:dyDescent="0.25">
      <c r="A709" s="19">
        <v>444190</v>
      </c>
      <c r="B709" s="19" t="s">
        <v>3683</v>
      </c>
      <c r="C709" s="19">
        <v>444190</v>
      </c>
      <c r="D709" s="19" t="s">
        <v>3683</v>
      </c>
    </row>
    <row r="710" spans="1:4" x14ac:dyDescent="0.25">
      <c r="A710" s="19">
        <v>444210</v>
      </c>
      <c r="B710" s="19" t="s">
        <v>3685</v>
      </c>
      <c r="C710" s="19">
        <v>444210</v>
      </c>
      <c r="D710" s="19" t="s">
        <v>3685</v>
      </c>
    </row>
    <row r="711" spans="1:4" ht="25.5" x14ac:dyDescent="0.25">
      <c r="A711" s="19">
        <v>444220</v>
      </c>
      <c r="B711" s="19" t="s">
        <v>3687</v>
      </c>
      <c r="C711" s="19">
        <v>444220</v>
      </c>
      <c r="D711" s="19" t="s">
        <v>3687</v>
      </c>
    </row>
    <row r="712" spans="1:4" ht="25.5" x14ac:dyDescent="0.25">
      <c r="A712" s="19">
        <v>445110</v>
      </c>
      <c r="B712" s="19" t="s">
        <v>3689</v>
      </c>
      <c r="C712" s="19">
        <v>445110</v>
      </c>
      <c r="D712" s="19" t="s">
        <v>3689</v>
      </c>
    </row>
    <row r="713" spans="1:4" x14ac:dyDescent="0.25">
      <c r="A713" s="19">
        <v>445120</v>
      </c>
      <c r="B713" s="19" t="s">
        <v>3691</v>
      </c>
      <c r="C713" s="19">
        <v>445120</v>
      </c>
      <c r="D713" s="19" t="s">
        <v>3691</v>
      </c>
    </row>
    <row r="714" spans="1:4" x14ac:dyDescent="0.25">
      <c r="A714" s="19">
        <v>445210</v>
      </c>
      <c r="B714" s="19" t="s">
        <v>3693</v>
      </c>
      <c r="C714" s="19">
        <v>445210</v>
      </c>
      <c r="D714" s="19" t="s">
        <v>3693</v>
      </c>
    </row>
    <row r="715" spans="1:4" x14ac:dyDescent="0.25">
      <c r="A715" s="19">
        <v>445220</v>
      </c>
      <c r="B715" s="19" t="s">
        <v>3695</v>
      </c>
      <c r="C715" s="19">
        <v>445220</v>
      </c>
      <c r="D715" s="19" t="s">
        <v>3695</v>
      </c>
    </row>
    <row r="716" spans="1:4" x14ac:dyDescent="0.25">
      <c r="A716" s="19">
        <v>445230</v>
      </c>
      <c r="B716" s="19" t="s">
        <v>3697</v>
      </c>
      <c r="C716" s="19">
        <v>445230</v>
      </c>
      <c r="D716" s="19" t="s">
        <v>3697</v>
      </c>
    </row>
    <row r="717" spans="1:4" x14ac:dyDescent="0.25">
      <c r="A717" s="19">
        <v>445291</v>
      </c>
      <c r="B717" s="19" t="s">
        <v>3699</v>
      </c>
      <c r="C717" s="19">
        <v>445291</v>
      </c>
      <c r="D717" s="19" t="s">
        <v>3699</v>
      </c>
    </row>
    <row r="718" spans="1:4" x14ac:dyDescent="0.25">
      <c r="A718" s="19">
        <v>445292</v>
      </c>
      <c r="B718" s="19" t="s">
        <v>3700</v>
      </c>
      <c r="C718" s="19">
        <v>445292</v>
      </c>
      <c r="D718" s="19" t="s">
        <v>3700</v>
      </c>
    </row>
    <row r="719" spans="1:4" x14ac:dyDescent="0.25">
      <c r="A719" s="19">
        <v>445299</v>
      </c>
      <c r="B719" s="19" t="s">
        <v>3702</v>
      </c>
      <c r="C719" s="19">
        <v>445299</v>
      </c>
      <c r="D719" s="19" t="s">
        <v>3702</v>
      </c>
    </row>
    <row r="720" spans="1:4" x14ac:dyDescent="0.25">
      <c r="A720" s="19">
        <v>445310</v>
      </c>
      <c r="B720" s="19" t="s">
        <v>3704</v>
      </c>
      <c r="C720" s="19">
        <v>445310</v>
      </c>
      <c r="D720" s="19" t="s">
        <v>3704</v>
      </c>
    </row>
    <row r="721" spans="1:4" x14ac:dyDescent="0.25">
      <c r="A721" s="19">
        <v>446110</v>
      </c>
      <c r="B721" s="19" t="s">
        <v>3706</v>
      </c>
      <c r="C721" s="19">
        <v>446110</v>
      </c>
      <c r="D721" s="19" t="s">
        <v>3706</v>
      </c>
    </row>
    <row r="722" spans="1:4" ht="25.5" x14ac:dyDescent="0.25">
      <c r="A722" s="19">
        <v>446120</v>
      </c>
      <c r="B722" s="19" t="s">
        <v>3708</v>
      </c>
      <c r="C722" s="19">
        <v>446120</v>
      </c>
      <c r="D722" s="19" t="s">
        <v>3708</v>
      </c>
    </row>
    <row r="723" spans="1:4" x14ac:dyDescent="0.25">
      <c r="A723" s="19">
        <v>446130</v>
      </c>
      <c r="B723" s="19" t="s">
        <v>3709</v>
      </c>
      <c r="C723" s="19">
        <v>446130</v>
      </c>
      <c r="D723" s="19" t="s">
        <v>3709</v>
      </c>
    </row>
    <row r="724" spans="1:4" x14ac:dyDescent="0.25">
      <c r="A724" s="19">
        <v>446191</v>
      </c>
      <c r="B724" s="19" t="s">
        <v>3711</v>
      </c>
      <c r="C724" s="19">
        <v>446191</v>
      </c>
      <c r="D724" s="19" t="s">
        <v>3711</v>
      </c>
    </row>
    <row r="725" spans="1:4" ht="25.5" x14ac:dyDescent="0.25">
      <c r="A725" s="19">
        <v>446199</v>
      </c>
      <c r="B725" s="19" t="s">
        <v>3713</v>
      </c>
      <c r="C725" s="19">
        <v>446199</v>
      </c>
      <c r="D725" s="19" t="s">
        <v>3713</v>
      </c>
    </row>
    <row r="726" spans="1:4" ht="25.5" x14ac:dyDescent="0.25">
      <c r="A726" s="19">
        <v>447110</v>
      </c>
      <c r="B726" s="19" t="s">
        <v>3715</v>
      </c>
      <c r="C726" s="19">
        <v>447110</v>
      </c>
      <c r="D726" s="19" t="s">
        <v>3715</v>
      </c>
    </row>
    <row r="727" spans="1:4" x14ac:dyDescent="0.25">
      <c r="A727" s="19">
        <v>447190</v>
      </c>
      <c r="B727" s="19" t="s">
        <v>3716</v>
      </c>
      <c r="C727" s="19">
        <v>447190</v>
      </c>
      <c r="D727" s="19" t="s">
        <v>3716</v>
      </c>
    </row>
    <row r="728" spans="1:4" x14ac:dyDescent="0.25">
      <c r="A728" s="19">
        <v>448110</v>
      </c>
      <c r="B728" s="19" t="s">
        <v>3718</v>
      </c>
      <c r="C728" s="19">
        <v>448110</v>
      </c>
      <c r="D728" s="19" t="s">
        <v>3718</v>
      </c>
    </row>
    <row r="729" spans="1:4" x14ac:dyDescent="0.25">
      <c r="A729" s="19">
        <v>448120</v>
      </c>
      <c r="B729" s="19" t="s">
        <v>3720</v>
      </c>
      <c r="C729" s="19">
        <v>448120</v>
      </c>
      <c r="D729" s="19" t="s">
        <v>3720</v>
      </c>
    </row>
    <row r="730" spans="1:4" x14ac:dyDescent="0.25">
      <c r="A730" s="19">
        <v>448130</v>
      </c>
      <c r="B730" s="19" t="s">
        <v>3722</v>
      </c>
      <c r="C730" s="19">
        <v>448130</v>
      </c>
      <c r="D730" s="19" t="s">
        <v>3722</v>
      </c>
    </row>
    <row r="731" spans="1:4" x14ac:dyDescent="0.25">
      <c r="A731" s="19">
        <v>448140</v>
      </c>
      <c r="B731" s="19" t="s">
        <v>3724</v>
      </c>
      <c r="C731" s="19">
        <v>448140</v>
      </c>
      <c r="D731" s="19" t="s">
        <v>3724</v>
      </c>
    </row>
    <row r="732" spans="1:4" x14ac:dyDescent="0.25">
      <c r="A732" s="19">
        <v>448150</v>
      </c>
      <c r="B732" s="19" t="s">
        <v>3726</v>
      </c>
      <c r="C732" s="19">
        <v>448150</v>
      </c>
      <c r="D732" s="19" t="s">
        <v>3726</v>
      </c>
    </row>
    <row r="733" spans="1:4" x14ac:dyDescent="0.25">
      <c r="A733" s="19">
        <v>448190</v>
      </c>
      <c r="B733" s="19" t="s">
        <v>3728</v>
      </c>
      <c r="C733" s="19">
        <v>448190</v>
      </c>
      <c r="D733" s="19" t="s">
        <v>3728</v>
      </c>
    </row>
    <row r="734" spans="1:4" x14ac:dyDescent="0.25">
      <c r="A734" s="19">
        <v>448210</v>
      </c>
      <c r="B734" s="19" t="s">
        <v>3730</v>
      </c>
      <c r="C734" s="19">
        <v>448210</v>
      </c>
      <c r="D734" s="19" t="s">
        <v>3730</v>
      </c>
    </row>
    <row r="735" spans="1:4" x14ac:dyDescent="0.25">
      <c r="A735" s="19">
        <v>448310</v>
      </c>
      <c r="B735" s="19" t="s">
        <v>3732</v>
      </c>
      <c r="C735" s="19">
        <v>448310</v>
      </c>
      <c r="D735" s="19" t="s">
        <v>3732</v>
      </c>
    </row>
    <row r="736" spans="1:4" x14ac:dyDescent="0.25">
      <c r="A736" s="19">
        <v>448320</v>
      </c>
      <c r="B736" s="19" t="s">
        <v>3734</v>
      </c>
      <c r="C736" s="19">
        <v>448320</v>
      </c>
      <c r="D736" s="19" t="s">
        <v>3734</v>
      </c>
    </row>
    <row r="737" spans="1:4" x14ac:dyDescent="0.25">
      <c r="A737" s="19">
        <v>451110</v>
      </c>
      <c r="B737" s="19" t="s">
        <v>3736</v>
      </c>
      <c r="C737" s="19">
        <v>451110</v>
      </c>
      <c r="D737" s="19" t="s">
        <v>3736</v>
      </c>
    </row>
    <row r="738" spans="1:4" x14ac:dyDescent="0.25">
      <c r="A738" s="19">
        <v>451120</v>
      </c>
      <c r="B738" s="19" t="s">
        <v>3738</v>
      </c>
      <c r="C738" s="19">
        <v>451120</v>
      </c>
      <c r="D738" s="19" t="s">
        <v>3738</v>
      </c>
    </row>
    <row r="739" spans="1:4" ht="25.5" x14ac:dyDescent="0.25">
      <c r="A739" s="19">
        <v>451130</v>
      </c>
      <c r="B739" s="19" t="s">
        <v>3740</v>
      </c>
      <c r="C739" s="19">
        <v>451130</v>
      </c>
      <c r="D739" s="19" t="s">
        <v>3740</v>
      </c>
    </row>
    <row r="740" spans="1:4" x14ac:dyDescent="0.25">
      <c r="A740" s="19">
        <v>451140</v>
      </c>
      <c r="B740" s="19" t="s">
        <v>3742</v>
      </c>
      <c r="C740" s="19">
        <v>451140</v>
      </c>
      <c r="D740" s="19" t="s">
        <v>3742</v>
      </c>
    </row>
    <row r="741" spans="1:4" x14ac:dyDescent="0.25">
      <c r="A741" s="19">
        <v>451211</v>
      </c>
      <c r="B741" s="19" t="s">
        <v>3744</v>
      </c>
      <c r="C741" s="19">
        <v>451211</v>
      </c>
      <c r="D741" s="19" t="s">
        <v>3744</v>
      </c>
    </row>
    <row r="742" spans="1:4" x14ac:dyDescent="0.25">
      <c r="A742" s="19">
        <v>451212</v>
      </c>
      <c r="B742" s="19" t="s">
        <v>3746</v>
      </c>
      <c r="C742" s="19">
        <v>451212</v>
      </c>
      <c r="D742" s="19" t="s">
        <v>3746</v>
      </c>
    </row>
    <row r="743" spans="1:4" ht="25.5" x14ac:dyDescent="0.25">
      <c r="A743" s="19">
        <v>451220</v>
      </c>
      <c r="B743" s="19" t="s">
        <v>5970</v>
      </c>
      <c r="C743" s="20">
        <v>443142</v>
      </c>
      <c r="D743" s="19" t="s">
        <v>3676</v>
      </c>
    </row>
    <row r="744" spans="1:4" ht="25.5" x14ac:dyDescent="0.25">
      <c r="A744" s="19">
        <v>452111</v>
      </c>
      <c r="B744" s="19" t="s">
        <v>5977</v>
      </c>
      <c r="C744" s="19">
        <v>452111</v>
      </c>
      <c r="D744" s="19" t="s">
        <v>5977</v>
      </c>
    </row>
    <row r="745" spans="1:4" x14ac:dyDescent="0.25">
      <c r="A745" s="19">
        <v>452112</v>
      </c>
      <c r="B745" s="19" t="s">
        <v>5978</v>
      </c>
      <c r="C745" s="19">
        <v>452112</v>
      </c>
      <c r="D745" s="19" t="s">
        <v>5978</v>
      </c>
    </row>
    <row r="746" spans="1:4" x14ac:dyDescent="0.25">
      <c r="A746" s="19">
        <v>452910</v>
      </c>
      <c r="B746" s="19" t="s">
        <v>3750</v>
      </c>
      <c r="C746" s="19">
        <v>452910</v>
      </c>
      <c r="D746" s="19" t="s">
        <v>3750</v>
      </c>
    </row>
    <row r="747" spans="1:4" x14ac:dyDescent="0.25">
      <c r="A747" s="19">
        <v>452990</v>
      </c>
      <c r="B747" s="19" t="s">
        <v>3752</v>
      </c>
      <c r="C747" s="19">
        <v>452990</v>
      </c>
      <c r="D747" s="19" t="s">
        <v>3752</v>
      </c>
    </row>
    <row r="748" spans="1:4" x14ac:dyDescent="0.25">
      <c r="A748" s="19">
        <v>453110</v>
      </c>
      <c r="B748" s="19" t="s">
        <v>3754</v>
      </c>
      <c r="C748" s="19">
        <v>453110</v>
      </c>
      <c r="D748" s="19" t="s">
        <v>3754</v>
      </c>
    </row>
    <row r="749" spans="1:4" x14ac:dyDescent="0.25">
      <c r="A749" s="19">
        <v>453210</v>
      </c>
      <c r="B749" s="19" t="s">
        <v>3756</v>
      </c>
      <c r="C749" s="19">
        <v>453210</v>
      </c>
      <c r="D749" s="19" t="s">
        <v>3756</v>
      </c>
    </row>
    <row r="750" spans="1:4" x14ac:dyDescent="0.25">
      <c r="A750" s="19">
        <v>453220</v>
      </c>
      <c r="B750" s="19" t="s">
        <v>3758</v>
      </c>
      <c r="C750" s="19">
        <v>453220</v>
      </c>
      <c r="D750" s="19" t="s">
        <v>3758</v>
      </c>
    </row>
    <row r="751" spans="1:4" x14ac:dyDescent="0.25">
      <c r="A751" s="19">
        <v>453310</v>
      </c>
      <c r="B751" s="19" t="s">
        <v>3760</v>
      </c>
      <c r="C751" s="19">
        <v>453310</v>
      </c>
      <c r="D751" s="19" t="s">
        <v>3760</v>
      </c>
    </row>
    <row r="752" spans="1:4" x14ac:dyDescent="0.25">
      <c r="A752" s="19">
        <v>453910</v>
      </c>
      <c r="B752" s="19" t="s">
        <v>3762</v>
      </c>
      <c r="C752" s="19">
        <v>453910</v>
      </c>
      <c r="D752" s="19" t="s">
        <v>3762</v>
      </c>
    </row>
    <row r="753" spans="1:4" x14ac:dyDescent="0.25">
      <c r="A753" s="19">
        <v>453920</v>
      </c>
      <c r="B753" s="19" t="s">
        <v>3764</v>
      </c>
      <c r="C753" s="19">
        <v>453920</v>
      </c>
      <c r="D753" s="19" t="s">
        <v>3764</v>
      </c>
    </row>
    <row r="754" spans="1:4" x14ac:dyDescent="0.25">
      <c r="A754" s="19">
        <v>453930</v>
      </c>
      <c r="B754" s="19" t="s">
        <v>3766</v>
      </c>
      <c r="C754" s="19">
        <v>453930</v>
      </c>
      <c r="D754" s="19" t="s">
        <v>3766</v>
      </c>
    </row>
    <row r="755" spans="1:4" x14ac:dyDescent="0.25">
      <c r="A755" s="19">
        <v>453991</v>
      </c>
      <c r="B755" s="19" t="s">
        <v>3768</v>
      </c>
      <c r="C755" s="19">
        <v>453991</v>
      </c>
      <c r="D755" s="19" t="s">
        <v>3768</v>
      </c>
    </row>
    <row r="756" spans="1:4" ht="25.5" x14ac:dyDescent="0.25">
      <c r="A756" s="19">
        <v>453998</v>
      </c>
      <c r="B756" s="19" t="s">
        <v>5969</v>
      </c>
      <c r="C756" s="19">
        <v>453998</v>
      </c>
      <c r="D756" s="19" t="s">
        <v>5969</v>
      </c>
    </row>
    <row r="757" spans="1:4" x14ac:dyDescent="0.25">
      <c r="A757" s="19">
        <v>454111</v>
      </c>
      <c r="B757" s="19" t="s">
        <v>5984</v>
      </c>
      <c r="C757" s="19">
        <v>454111</v>
      </c>
      <c r="D757" s="19" t="s">
        <v>5984</v>
      </c>
    </row>
    <row r="758" spans="1:4" x14ac:dyDescent="0.25">
      <c r="A758" s="19">
        <v>454112</v>
      </c>
      <c r="B758" s="19" t="s">
        <v>5985</v>
      </c>
      <c r="C758" s="19">
        <v>454112</v>
      </c>
      <c r="D758" s="19" t="s">
        <v>5985</v>
      </c>
    </row>
    <row r="759" spans="1:4" x14ac:dyDescent="0.25">
      <c r="A759" s="19">
        <v>454113</v>
      </c>
      <c r="B759" s="19" t="s">
        <v>5986</v>
      </c>
      <c r="C759" s="19">
        <v>454113</v>
      </c>
      <c r="D759" s="19" t="s">
        <v>5986</v>
      </c>
    </row>
    <row r="760" spans="1:4" x14ac:dyDescent="0.25">
      <c r="A760" s="19">
        <v>454210</v>
      </c>
      <c r="B760" s="19" t="s">
        <v>3819</v>
      </c>
      <c r="C760" s="19">
        <v>454210</v>
      </c>
      <c r="D760" s="19" t="s">
        <v>3819</v>
      </c>
    </row>
    <row r="761" spans="1:4" x14ac:dyDescent="0.25">
      <c r="A761" s="19">
        <v>454311</v>
      </c>
      <c r="B761" s="19" t="s">
        <v>5975</v>
      </c>
      <c r="C761" s="20">
        <v>454310</v>
      </c>
      <c r="D761" s="19" t="s">
        <v>3821</v>
      </c>
    </row>
    <row r="762" spans="1:4" ht="25.5" x14ac:dyDescent="0.25">
      <c r="A762" s="19">
        <v>454312</v>
      </c>
      <c r="B762" s="19" t="s">
        <v>5129</v>
      </c>
      <c r="C762" s="20">
        <v>454310</v>
      </c>
      <c r="D762" s="19" t="s">
        <v>3821</v>
      </c>
    </row>
    <row r="763" spans="1:4" x14ac:dyDescent="0.25">
      <c r="A763" s="19">
        <v>454319</v>
      </c>
      <c r="B763" s="19" t="s">
        <v>5987</v>
      </c>
      <c r="C763" s="20">
        <v>454310</v>
      </c>
      <c r="D763" s="19" t="s">
        <v>3821</v>
      </c>
    </row>
    <row r="764" spans="1:4" x14ac:dyDescent="0.25">
      <c r="A764" s="19">
        <v>454390</v>
      </c>
      <c r="B764" s="19" t="s">
        <v>3823</v>
      </c>
      <c r="C764" s="19">
        <v>454390</v>
      </c>
      <c r="D764" s="19" t="s">
        <v>3823</v>
      </c>
    </row>
    <row r="765" spans="1:4" x14ac:dyDescent="0.25">
      <c r="A765" s="19">
        <v>481111</v>
      </c>
      <c r="B765" s="19" t="s">
        <v>3862</v>
      </c>
      <c r="C765" s="19">
        <v>481111</v>
      </c>
      <c r="D765" s="19" t="s">
        <v>3862</v>
      </c>
    </row>
    <row r="766" spans="1:4" x14ac:dyDescent="0.25">
      <c r="A766" s="19">
        <v>481112</v>
      </c>
      <c r="B766" s="19" t="s">
        <v>3864</v>
      </c>
      <c r="C766" s="19">
        <v>481112</v>
      </c>
      <c r="D766" s="19" t="s">
        <v>3864</v>
      </c>
    </row>
    <row r="767" spans="1:4" ht="25.5" x14ac:dyDescent="0.25">
      <c r="A767" s="19">
        <v>481211</v>
      </c>
      <c r="B767" s="19" t="s">
        <v>3866</v>
      </c>
      <c r="C767" s="19">
        <v>481211</v>
      </c>
      <c r="D767" s="19" t="s">
        <v>3866</v>
      </c>
    </row>
    <row r="768" spans="1:4" ht="25.5" x14ac:dyDescent="0.25">
      <c r="A768" s="19">
        <v>481212</v>
      </c>
      <c r="B768" s="19" t="s">
        <v>3868</v>
      </c>
      <c r="C768" s="19">
        <v>481212</v>
      </c>
      <c r="D768" s="19" t="s">
        <v>3868</v>
      </c>
    </row>
    <row r="769" spans="1:4" x14ac:dyDescent="0.25">
      <c r="A769" s="19">
        <v>481219</v>
      </c>
      <c r="B769" s="19" t="s">
        <v>3870</v>
      </c>
      <c r="C769" s="19">
        <v>481219</v>
      </c>
      <c r="D769" s="19" t="s">
        <v>3870</v>
      </c>
    </row>
    <row r="770" spans="1:4" x14ac:dyDescent="0.25">
      <c r="A770" s="19">
        <v>482111</v>
      </c>
      <c r="B770" s="19" t="s">
        <v>3872</v>
      </c>
      <c r="C770" s="19">
        <v>482111</v>
      </c>
      <c r="D770" s="19" t="s">
        <v>3872</v>
      </c>
    </row>
    <row r="771" spans="1:4" x14ac:dyDescent="0.25">
      <c r="A771" s="19">
        <v>482112</v>
      </c>
      <c r="B771" s="19" t="s">
        <v>3874</v>
      </c>
      <c r="C771" s="19">
        <v>482112</v>
      </c>
      <c r="D771" s="19" t="s">
        <v>3874</v>
      </c>
    </row>
    <row r="772" spans="1:4" x14ac:dyDescent="0.25">
      <c r="A772" s="19">
        <v>483111</v>
      </c>
      <c r="B772" s="19" t="s">
        <v>3875</v>
      </c>
      <c r="C772" s="19">
        <v>483111</v>
      </c>
      <c r="D772" s="19" t="s">
        <v>3875</v>
      </c>
    </row>
    <row r="773" spans="1:4" x14ac:dyDescent="0.25">
      <c r="A773" s="19">
        <v>483112</v>
      </c>
      <c r="B773" s="19" t="s">
        <v>3877</v>
      </c>
      <c r="C773" s="19">
        <v>483112</v>
      </c>
      <c r="D773" s="19" t="s">
        <v>3877</v>
      </c>
    </row>
    <row r="774" spans="1:4" ht="25.5" x14ac:dyDescent="0.25">
      <c r="A774" s="19">
        <v>483113</v>
      </c>
      <c r="B774" s="19" t="s">
        <v>3879</v>
      </c>
      <c r="C774" s="19">
        <v>483113</v>
      </c>
      <c r="D774" s="19" t="s">
        <v>3879</v>
      </c>
    </row>
    <row r="775" spans="1:4" ht="25.5" x14ac:dyDescent="0.25">
      <c r="A775" s="19">
        <v>483114</v>
      </c>
      <c r="B775" s="19" t="s">
        <v>3881</v>
      </c>
      <c r="C775" s="19">
        <v>483114</v>
      </c>
      <c r="D775" s="19" t="s">
        <v>3881</v>
      </c>
    </row>
    <row r="776" spans="1:4" x14ac:dyDescent="0.25">
      <c r="A776" s="19">
        <v>483211</v>
      </c>
      <c r="B776" s="19" t="s">
        <v>3883</v>
      </c>
      <c r="C776" s="19">
        <v>483211</v>
      </c>
      <c r="D776" s="19" t="s">
        <v>3883</v>
      </c>
    </row>
    <row r="777" spans="1:4" x14ac:dyDescent="0.25">
      <c r="A777" s="19">
        <v>483212</v>
      </c>
      <c r="B777" s="19" t="s">
        <v>3885</v>
      </c>
      <c r="C777" s="19">
        <v>483212</v>
      </c>
      <c r="D777" s="19" t="s">
        <v>3885</v>
      </c>
    </row>
    <row r="778" spans="1:4" x14ac:dyDescent="0.25">
      <c r="A778" s="19">
        <v>484110</v>
      </c>
      <c r="B778" s="19" t="s">
        <v>3887</v>
      </c>
      <c r="C778" s="19">
        <v>484110</v>
      </c>
      <c r="D778" s="19" t="s">
        <v>3887</v>
      </c>
    </row>
    <row r="779" spans="1:4" ht="25.5" x14ac:dyDescent="0.25">
      <c r="A779" s="19">
        <v>484121</v>
      </c>
      <c r="B779" s="19" t="s">
        <v>3889</v>
      </c>
      <c r="C779" s="19">
        <v>484121</v>
      </c>
      <c r="D779" s="19" t="s">
        <v>3889</v>
      </c>
    </row>
    <row r="780" spans="1:4" ht="25.5" x14ac:dyDescent="0.25">
      <c r="A780" s="19">
        <v>484122</v>
      </c>
      <c r="B780" s="19" t="s">
        <v>3891</v>
      </c>
      <c r="C780" s="19">
        <v>484122</v>
      </c>
      <c r="D780" s="19" t="s">
        <v>3891</v>
      </c>
    </row>
    <row r="781" spans="1:4" ht="25.5" x14ac:dyDescent="0.25">
      <c r="A781" s="19">
        <v>484210</v>
      </c>
      <c r="B781" s="19" t="s">
        <v>3893</v>
      </c>
      <c r="C781" s="19">
        <v>484210</v>
      </c>
      <c r="D781" s="19" t="s">
        <v>3893</v>
      </c>
    </row>
    <row r="782" spans="1:4" ht="25.5" x14ac:dyDescent="0.25">
      <c r="A782" s="19">
        <v>484220</v>
      </c>
      <c r="B782" s="19" t="s">
        <v>3895</v>
      </c>
      <c r="C782" s="19">
        <v>484220</v>
      </c>
      <c r="D782" s="19" t="s">
        <v>3895</v>
      </c>
    </row>
    <row r="783" spans="1:4" ht="25.5" x14ac:dyDescent="0.25">
      <c r="A783" s="19">
        <v>484230</v>
      </c>
      <c r="B783" s="19" t="s">
        <v>3897</v>
      </c>
      <c r="C783" s="19">
        <v>484230</v>
      </c>
      <c r="D783" s="19" t="s">
        <v>3897</v>
      </c>
    </row>
    <row r="784" spans="1:4" x14ac:dyDescent="0.25">
      <c r="A784" s="19">
        <v>485111</v>
      </c>
      <c r="B784" s="19" t="s">
        <v>3899</v>
      </c>
      <c r="C784" s="19">
        <v>485111</v>
      </c>
      <c r="D784" s="19" t="s">
        <v>3899</v>
      </c>
    </row>
    <row r="785" spans="1:4" x14ac:dyDescent="0.25">
      <c r="A785" s="19">
        <v>485112</v>
      </c>
      <c r="B785" s="19" t="s">
        <v>3901</v>
      </c>
      <c r="C785" s="19">
        <v>485112</v>
      </c>
      <c r="D785" s="19" t="s">
        <v>3901</v>
      </c>
    </row>
    <row r="786" spans="1:4" ht="25.5" x14ac:dyDescent="0.25">
      <c r="A786" s="19">
        <v>485113</v>
      </c>
      <c r="B786" s="19" t="s">
        <v>3903</v>
      </c>
      <c r="C786" s="19">
        <v>485113</v>
      </c>
      <c r="D786" s="19" t="s">
        <v>3903</v>
      </c>
    </row>
    <row r="787" spans="1:4" x14ac:dyDescent="0.25">
      <c r="A787" s="19">
        <v>485119</v>
      </c>
      <c r="B787" s="19" t="s">
        <v>3905</v>
      </c>
      <c r="C787" s="19">
        <v>485119</v>
      </c>
      <c r="D787" s="19" t="s">
        <v>3905</v>
      </c>
    </row>
    <row r="788" spans="1:4" x14ac:dyDescent="0.25">
      <c r="A788" s="19">
        <v>485210</v>
      </c>
      <c r="B788" s="19" t="s">
        <v>3907</v>
      </c>
      <c r="C788" s="19">
        <v>485210</v>
      </c>
      <c r="D788" s="19" t="s">
        <v>3907</v>
      </c>
    </row>
    <row r="789" spans="1:4" x14ac:dyDescent="0.25">
      <c r="A789" s="19">
        <v>485310</v>
      </c>
      <c r="B789" s="19" t="s">
        <v>3909</v>
      </c>
      <c r="C789" s="19">
        <v>485310</v>
      </c>
      <c r="D789" s="19" t="s">
        <v>3909</v>
      </c>
    </row>
    <row r="790" spans="1:4" x14ac:dyDescent="0.25">
      <c r="A790" s="19">
        <v>485320</v>
      </c>
      <c r="B790" s="19" t="s">
        <v>3911</v>
      </c>
      <c r="C790" s="19">
        <v>485320</v>
      </c>
      <c r="D790" s="19" t="s">
        <v>3911</v>
      </c>
    </row>
    <row r="791" spans="1:4" ht="25.5" x14ac:dyDescent="0.25">
      <c r="A791" s="19">
        <v>485410</v>
      </c>
      <c r="B791" s="19" t="s">
        <v>3913</v>
      </c>
      <c r="C791" s="19">
        <v>485410</v>
      </c>
      <c r="D791" s="19" t="s">
        <v>3913</v>
      </c>
    </row>
    <row r="792" spans="1:4" x14ac:dyDescent="0.25">
      <c r="A792" s="19">
        <v>485510</v>
      </c>
      <c r="B792" s="19" t="s">
        <v>3915</v>
      </c>
      <c r="C792" s="19">
        <v>485510</v>
      </c>
      <c r="D792" s="19" t="s">
        <v>3915</v>
      </c>
    </row>
    <row r="793" spans="1:4" x14ac:dyDescent="0.25">
      <c r="A793" s="19">
        <v>485991</v>
      </c>
      <c r="B793" s="19" t="s">
        <v>3917</v>
      </c>
      <c r="C793" s="19">
        <v>485991</v>
      </c>
      <c r="D793" s="19" t="s">
        <v>3917</v>
      </c>
    </row>
    <row r="794" spans="1:4" ht="25.5" x14ac:dyDescent="0.25">
      <c r="A794" s="19">
        <v>485999</v>
      </c>
      <c r="B794" s="19" t="s">
        <v>3919</v>
      </c>
      <c r="C794" s="19">
        <v>485999</v>
      </c>
      <c r="D794" s="19" t="s">
        <v>3919</v>
      </c>
    </row>
    <row r="795" spans="1:4" x14ac:dyDescent="0.25">
      <c r="A795" s="19">
        <v>486110</v>
      </c>
      <c r="B795" s="19" t="s">
        <v>3921</v>
      </c>
      <c r="C795" s="19">
        <v>486110</v>
      </c>
      <c r="D795" s="19" t="s">
        <v>3921</v>
      </c>
    </row>
    <row r="796" spans="1:4" x14ac:dyDescent="0.25">
      <c r="A796" s="19">
        <v>486210</v>
      </c>
      <c r="B796" s="19" t="s">
        <v>3923</v>
      </c>
      <c r="C796" s="19">
        <v>486210</v>
      </c>
      <c r="D796" s="19" t="s">
        <v>3923</v>
      </c>
    </row>
    <row r="797" spans="1:4" ht="25.5" x14ac:dyDescent="0.25">
      <c r="A797" s="19">
        <v>486910</v>
      </c>
      <c r="B797" s="19" t="s">
        <v>3925</v>
      </c>
      <c r="C797" s="19">
        <v>486910</v>
      </c>
      <c r="D797" s="19" t="s">
        <v>3925</v>
      </c>
    </row>
    <row r="798" spans="1:4" x14ac:dyDescent="0.25">
      <c r="A798" s="19">
        <v>486990</v>
      </c>
      <c r="B798" s="19" t="s">
        <v>3927</v>
      </c>
      <c r="C798" s="19">
        <v>486990</v>
      </c>
      <c r="D798" s="19" t="s">
        <v>3927</v>
      </c>
    </row>
    <row r="799" spans="1:4" ht="25.5" x14ac:dyDescent="0.25">
      <c r="A799" s="19">
        <v>487110</v>
      </c>
      <c r="B799" s="19" t="s">
        <v>3929</v>
      </c>
      <c r="C799" s="19">
        <v>487110</v>
      </c>
      <c r="D799" s="19" t="s">
        <v>3929</v>
      </c>
    </row>
    <row r="800" spans="1:4" ht="25.5" x14ac:dyDescent="0.25">
      <c r="A800" s="19">
        <v>487210</v>
      </c>
      <c r="B800" s="19" t="s">
        <v>3931</v>
      </c>
      <c r="C800" s="19">
        <v>487210</v>
      </c>
      <c r="D800" s="19" t="s">
        <v>3931</v>
      </c>
    </row>
    <row r="801" spans="1:4" ht="25.5" x14ac:dyDescent="0.25">
      <c r="A801" s="19">
        <v>487990</v>
      </c>
      <c r="B801" s="19" t="s">
        <v>3933</v>
      </c>
      <c r="C801" s="19">
        <v>487990</v>
      </c>
      <c r="D801" s="19" t="s">
        <v>3933</v>
      </c>
    </row>
    <row r="802" spans="1:4" x14ac:dyDescent="0.25">
      <c r="A802" s="19">
        <v>488111</v>
      </c>
      <c r="B802" s="19" t="s">
        <v>3935</v>
      </c>
      <c r="C802" s="19">
        <v>488111</v>
      </c>
      <c r="D802" s="19" t="s">
        <v>3935</v>
      </c>
    </row>
    <row r="803" spans="1:4" x14ac:dyDescent="0.25">
      <c r="A803" s="19">
        <v>488119</v>
      </c>
      <c r="B803" s="19" t="s">
        <v>3937</v>
      </c>
      <c r="C803" s="19">
        <v>488119</v>
      </c>
      <c r="D803" s="19" t="s">
        <v>3937</v>
      </c>
    </row>
    <row r="804" spans="1:4" ht="25.5" x14ac:dyDescent="0.25">
      <c r="A804" s="19">
        <v>488190</v>
      </c>
      <c r="B804" s="19" t="s">
        <v>3939</v>
      </c>
      <c r="C804" s="19">
        <v>488190</v>
      </c>
      <c r="D804" s="19" t="s">
        <v>3939</v>
      </c>
    </row>
    <row r="805" spans="1:4" x14ac:dyDescent="0.25">
      <c r="A805" s="19">
        <v>488210</v>
      </c>
      <c r="B805" s="19" t="s">
        <v>3941</v>
      </c>
      <c r="C805" s="19">
        <v>488210</v>
      </c>
      <c r="D805" s="19" t="s">
        <v>3941</v>
      </c>
    </row>
    <row r="806" spans="1:4" x14ac:dyDescent="0.25">
      <c r="A806" s="19">
        <v>488310</v>
      </c>
      <c r="B806" s="19" t="s">
        <v>3943</v>
      </c>
      <c r="C806" s="19">
        <v>488310</v>
      </c>
      <c r="D806" s="19" t="s">
        <v>3943</v>
      </c>
    </row>
    <row r="807" spans="1:4" x14ac:dyDescent="0.25">
      <c r="A807" s="19">
        <v>488320</v>
      </c>
      <c r="B807" s="19" t="s">
        <v>3945</v>
      </c>
      <c r="C807" s="19">
        <v>488320</v>
      </c>
      <c r="D807" s="19" t="s">
        <v>3945</v>
      </c>
    </row>
    <row r="808" spans="1:4" x14ac:dyDescent="0.25">
      <c r="A808" s="19">
        <v>488330</v>
      </c>
      <c r="B808" s="19" t="s">
        <v>3947</v>
      </c>
      <c r="C808" s="19">
        <v>488330</v>
      </c>
      <c r="D808" s="19" t="s">
        <v>3947</v>
      </c>
    </row>
    <row r="809" spans="1:4" ht="25.5" x14ac:dyDescent="0.25">
      <c r="A809" s="19">
        <v>488390</v>
      </c>
      <c r="B809" s="19" t="s">
        <v>3949</v>
      </c>
      <c r="C809" s="19">
        <v>488390</v>
      </c>
      <c r="D809" s="19" t="s">
        <v>3949</v>
      </c>
    </row>
    <row r="810" spans="1:4" x14ac:dyDescent="0.25">
      <c r="A810" s="19">
        <v>488410</v>
      </c>
      <c r="B810" s="19" t="s">
        <v>3951</v>
      </c>
      <c r="C810" s="19">
        <v>488410</v>
      </c>
      <c r="D810" s="19" t="s">
        <v>3951</v>
      </c>
    </row>
    <row r="811" spans="1:4" ht="25.5" x14ac:dyDescent="0.25">
      <c r="A811" s="19">
        <v>488490</v>
      </c>
      <c r="B811" s="19" t="s">
        <v>3953</v>
      </c>
      <c r="C811" s="19">
        <v>488490</v>
      </c>
      <c r="D811" s="19" t="s">
        <v>3953</v>
      </c>
    </row>
    <row r="812" spans="1:4" x14ac:dyDescent="0.25">
      <c r="A812" s="19">
        <v>488510</v>
      </c>
      <c r="B812" s="19" t="s">
        <v>3955</v>
      </c>
      <c r="C812" s="19">
        <v>488510</v>
      </c>
      <c r="D812" s="19" t="s">
        <v>3955</v>
      </c>
    </row>
    <row r="813" spans="1:4" x14ac:dyDescent="0.25">
      <c r="A813" s="19">
        <v>488991</v>
      </c>
      <c r="B813" s="19" t="s">
        <v>3957</v>
      </c>
      <c r="C813" s="19">
        <v>488991</v>
      </c>
      <c r="D813" s="19" t="s">
        <v>3957</v>
      </c>
    </row>
    <row r="814" spans="1:4" ht="25.5" x14ac:dyDescent="0.25">
      <c r="A814" s="19">
        <v>488999</v>
      </c>
      <c r="B814" s="19" t="s">
        <v>3959</v>
      </c>
      <c r="C814" s="19">
        <v>488999</v>
      </c>
      <c r="D814" s="19" t="s">
        <v>3959</v>
      </c>
    </row>
    <row r="815" spans="1:4" x14ac:dyDescent="0.25">
      <c r="A815" s="19">
        <v>491110</v>
      </c>
      <c r="B815" s="19" t="s">
        <v>3961</v>
      </c>
      <c r="C815" s="19">
        <v>491110</v>
      </c>
      <c r="D815" s="19" t="s">
        <v>3961</v>
      </c>
    </row>
    <row r="816" spans="1:4" x14ac:dyDescent="0.25">
      <c r="A816" s="19">
        <v>492110</v>
      </c>
      <c r="B816" s="19" t="s">
        <v>3963</v>
      </c>
      <c r="C816" s="19">
        <v>492110</v>
      </c>
      <c r="D816" s="19" t="s">
        <v>3963</v>
      </c>
    </row>
    <row r="817" spans="1:4" x14ac:dyDescent="0.25">
      <c r="A817" s="19">
        <v>492210</v>
      </c>
      <c r="B817" s="19" t="s">
        <v>3965</v>
      </c>
      <c r="C817" s="19">
        <v>492210</v>
      </c>
      <c r="D817" s="19" t="s">
        <v>3965</v>
      </c>
    </row>
    <row r="818" spans="1:4" x14ac:dyDescent="0.25">
      <c r="A818" s="19">
        <v>493110</v>
      </c>
      <c r="B818" s="19" t="s">
        <v>3967</v>
      </c>
      <c r="C818" s="19">
        <v>493110</v>
      </c>
      <c r="D818" s="19" t="s">
        <v>3967</v>
      </c>
    </row>
    <row r="819" spans="1:4" x14ac:dyDescent="0.25">
      <c r="A819" s="19">
        <v>493120</v>
      </c>
      <c r="B819" s="19" t="s">
        <v>3969</v>
      </c>
      <c r="C819" s="19">
        <v>493120</v>
      </c>
      <c r="D819" s="19" t="s">
        <v>3969</v>
      </c>
    </row>
    <row r="820" spans="1:4" x14ac:dyDescent="0.25">
      <c r="A820" s="19">
        <v>493130</v>
      </c>
      <c r="B820" s="19" t="s">
        <v>3971</v>
      </c>
      <c r="C820" s="19">
        <v>493130</v>
      </c>
      <c r="D820" s="19" t="s">
        <v>3971</v>
      </c>
    </row>
    <row r="821" spans="1:4" x14ac:dyDescent="0.25">
      <c r="A821" s="19">
        <v>493190</v>
      </c>
      <c r="B821" s="19" t="s">
        <v>3973</v>
      </c>
      <c r="C821" s="19">
        <v>493190</v>
      </c>
      <c r="D821" s="19" t="s">
        <v>3973</v>
      </c>
    </row>
    <row r="822" spans="1:4" x14ac:dyDescent="0.25">
      <c r="A822" s="19">
        <v>511110</v>
      </c>
      <c r="B822" s="19" t="s">
        <v>3975</v>
      </c>
      <c r="C822" s="19">
        <v>511110</v>
      </c>
      <c r="D822" s="19" t="s">
        <v>3975</v>
      </c>
    </row>
    <row r="823" spans="1:4" x14ac:dyDescent="0.25">
      <c r="A823" s="19">
        <v>511120</v>
      </c>
      <c r="B823" s="19" t="s">
        <v>3977</v>
      </c>
      <c r="C823" s="19">
        <v>511120</v>
      </c>
      <c r="D823" s="19" t="s">
        <v>3977</v>
      </c>
    </row>
    <row r="824" spans="1:4" x14ac:dyDescent="0.25">
      <c r="A824" s="19">
        <v>511130</v>
      </c>
      <c r="B824" s="19" t="s">
        <v>3978</v>
      </c>
      <c r="C824" s="19">
        <v>511130</v>
      </c>
      <c r="D824" s="19" t="s">
        <v>3978</v>
      </c>
    </row>
    <row r="825" spans="1:4" x14ac:dyDescent="0.25">
      <c r="A825" s="19">
        <v>511140</v>
      </c>
      <c r="B825" s="19" t="s">
        <v>3980</v>
      </c>
      <c r="C825" s="19">
        <v>511140</v>
      </c>
      <c r="D825" s="19" t="s">
        <v>3980</v>
      </c>
    </row>
    <row r="826" spans="1:4" x14ac:dyDescent="0.25">
      <c r="A826" s="19">
        <v>511191</v>
      </c>
      <c r="B826" s="19" t="s">
        <v>3982</v>
      </c>
      <c r="C826" s="19">
        <v>511191</v>
      </c>
      <c r="D826" s="19" t="s">
        <v>3982</v>
      </c>
    </row>
    <row r="827" spans="1:4" x14ac:dyDescent="0.25">
      <c r="A827" s="19">
        <v>511199</v>
      </c>
      <c r="B827" s="19" t="s">
        <v>3984</v>
      </c>
      <c r="C827" s="19">
        <v>511199</v>
      </c>
      <c r="D827" s="19" t="s">
        <v>3984</v>
      </c>
    </row>
    <row r="828" spans="1:4" x14ac:dyDescent="0.25">
      <c r="A828" s="19">
        <v>511210</v>
      </c>
      <c r="B828" s="19" t="s">
        <v>3986</v>
      </c>
      <c r="C828" s="19">
        <v>511210</v>
      </c>
      <c r="D828" s="19" t="s">
        <v>3986</v>
      </c>
    </row>
    <row r="829" spans="1:4" x14ac:dyDescent="0.25">
      <c r="A829" s="19">
        <v>512110</v>
      </c>
      <c r="B829" s="19" t="s">
        <v>3988</v>
      </c>
      <c r="C829" s="19">
        <v>512110</v>
      </c>
      <c r="D829" s="19" t="s">
        <v>3988</v>
      </c>
    </row>
    <row r="830" spans="1:4" x14ac:dyDescent="0.25">
      <c r="A830" s="19">
        <v>512120</v>
      </c>
      <c r="B830" s="19" t="s">
        <v>3990</v>
      </c>
      <c r="C830" s="19">
        <v>512120</v>
      </c>
      <c r="D830" s="19" t="s">
        <v>3990</v>
      </c>
    </row>
    <row r="831" spans="1:4" ht="25.5" x14ac:dyDescent="0.25">
      <c r="A831" s="19">
        <v>512131</v>
      </c>
      <c r="B831" s="19" t="s">
        <v>3992</v>
      </c>
      <c r="C831" s="19">
        <v>512131</v>
      </c>
      <c r="D831" s="19" t="s">
        <v>3992</v>
      </c>
    </row>
    <row r="832" spans="1:4" x14ac:dyDescent="0.25">
      <c r="A832" s="19">
        <v>512132</v>
      </c>
      <c r="B832" s="19" t="s">
        <v>3993</v>
      </c>
      <c r="C832" s="19">
        <v>512132</v>
      </c>
      <c r="D832" s="19" t="s">
        <v>3993</v>
      </c>
    </row>
    <row r="833" spans="1:4" ht="25.5" x14ac:dyDescent="0.25">
      <c r="A833" s="19">
        <v>512191</v>
      </c>
      <c r="B833" s="19" t="s">
        <v>3995</v>
      </c>
      <c r="C833" s="19">
        <v>512191</v>
      </c>
      <c r="D833" s="19" t="s">
        <v>3995</v>
      </c>
    </row>
    <row r="834" spans="1:4" ht="25.5" x14ac:dyDescent="0.25">
      <c r="A834" s="19">
        <v>512199</v>
      </c>
      <c r="B834" s="19" t="s">
        <v>3997</v>
      </c>
      <c r="C834" s="19">
        <v>512199</v>
      </c>
      <c r="D834" s="19" t="s">
        <v>3997</v>
      </c>
    </row>
    <row r="835" spans="1:4" x14ac:dyDescent="0.25">
      <c r="A835" s="19">
        <v>512210</v>
      </c>
      <c r="B835" s="19" t="s">
        <v>6084</v>
      </c>
      <c r="C835" s="19">
        <v>512210</v>
      </c>
      <c r="D835" s="19" t="s">
        <v>6084</v>
      </c>
    </row>
    <row r="836" spans="1:4" ht="25.5" x14ac:dyDescent="0.25">
      <c r="A836" s="19">
        <v>512220</v>
      </c>
      <c r="B836" s="19" t="s">
        <v>5938</v>
      </c>
      <c r="C836" s="19">
        <v>512220</v>
      </c>
      <c r="D836" s="19" t="s">
        <v>5938</v>
      </c>
    </row>
    <row r="837" spans="1:4" x14ac:dyDescent="0.25">
      <c r="A837" s="19">
        <v>512230</v>
      </c>
      <c r="B837" s="19" t="s">
        <v>3999</v>
      </c>
      <c r="C837" s="19">
        <v>512230</v>
      </c>
      <c r="D837" s="19" t="s">
        <v>3999</v>
      </c>
    </row>
    <row r="838" spans="1:4" x14ac:dyDescent="0.25">
      <c r="A838" s="19">
        <v>512240</v>
      </c>
      <c r="B838" s="19" t="s">
        <v>4001</v>
      </c>
      <c r="C838" s="19">
        <v>512240</v>
      </c>
      <c r="D838" s="19" t="s">
        <v>4001</v>
      </c>
    </row>
    <row r="839" spans="1:4" x14ac:dyDescent="0.25">
      <c r="A839" s="19">
        <v>512290</v>
      </c>
      <c r="B839" s="19" t="s">
        <v>4005</v>
      </c>
      <c r="C839" s="19">
        <v>512290</v>
      </c>
      <c r="D839" s="19" t="s">
        <v>4005</v>
      </c>
    </row>
    <row r="840" spans="1:4" x14ac:dyDescent="0.25">
      <c r="A840" s="19">
        <v>515111</v>
      </c>
      <c r="B840" s="19" t="s">
        <v>4007</v>
      </c>
      <c r="C840" s="19">
        <v>515111</v>
      </c>
      <c r="D840" s="19" t="s">
        <v>4007</v>
      </c>
    </row>
    <row r="841" spans="1:4" x14ac:dyDescent="0.25">
      <c r="A841" s="19">
        <v>515112</v>
      </c>
      <c r="B841" s="19" t="s">
        <v>4009</v>
      </c>
      <c r="C841" s="19">
        <v>515112</v>
      </c>
      <c r="D841" s="19" t="s">
        <v>4009</v>
      </c>
    </row>
    <row r="842" spans="1:4" x14ac:dyDescent="0.25">
      <c r="A842" s="19">
        <v>515120</v>
      </c>
      <c r="B842" s="19" t="s">
        <v>6085</v>
      </c>
      <c r="C842" s="19">
        <v>515120</v>
      </c>
      <c r="D842" s="19" t="s">
        <v>6085</v>
      </c>
    </row>
    <row r="843" spans="1:4" ht="25.5" x14ac:dyDescent="0.25">
      <c r="A843" s="19">
        <v>515210</v>
      </c>
      <c r="B843" s="19" t="s">
        <v>4015</v>
      </c>
      <c r="C843" s="19">
        <v>515210</v>
      </c>
      <c r="D843" s="19" t="s">
        <v>4015</v>
      </c>
    </row>
    <row r="844" spans="1:4" x14ac:dyDescent="0.25">
      <c r="A844" s="19">
        <v>517110</v>
      </c>
      <c r="B844" s="19" t="s">
        <v>4017</v>
      </c>
      <c r="C844" s="19">
        <v>517110</v>
      </c>
      <c r="D844" s="19" t="s">
        <v>4017</v>
      </c>
    </row>
    <row r="845" spans="1:4" ht="25.5" x14ac:dyDescent="0.25">
      <c r="A845" s="19">
        <v>517210</v>
      </c>
      <c r="B845" s="19" t="s">
        <v>6087</v>
      </c>
      <c r="C845" s="19">
        <v>517210</v>
      </c>
      <c r="D845" s="19" t="s">
        <v>6087</v>
      </c>
    </row>
    <row r="846" spans="1:4" x14ac:dyDescent="0.25">
      <c r="A846" s="19">
        <v>517410</v>
      </c>
      <c r="B846" s="19" t="s">
        <v>4023</v>
      </c>
      <c r="C846" s="19">
        <v>517410</v>
      </c>
      <c r="D846" s="19" t="s">
        <v>4023</v>
      </c>
    </row>
    <row r="847" spans="1:4" x14ac:dyDescent="0.25">
      <c r="A847" s="19">
        <v>517911</v>
      </c>
      <c r="B847" s="19" t="s">
        <v>5959</v>
      </c>
      <c r="C847" s="19">
        <v>517911</v>
      </c>
      <c r="D847" s="19" t="s">
        <v>5959</v>
      </c>
    </row>
    <row r="848" spans="1:4" x14ac:dyDescent="0.25">
      <c r="A848" s="19">
        <v>517919</v>
      </c>
      <c r="B848" s="19" t="s">
        <v>4029</v>
      </c>
      <c r="C848" s="19">
        <v>517919</v>
      </c>
      <c r="D848" s="19" t="s">
        <v>4029</v>
      </c>
    </row>
    <row r="849" spans="1:4" ht="25.5" x14ac:dyDescent="0.25">
      <c r="A849" s="19">
        <v>518210</v>
      </c>
      <c r="B849" s="19" t="s">
        <v>4031</v>
      </c>
      <c r="C849" s="19">
        <v>518210</v>
      </c>
      <c r="D849" s="19" t="s">
        <v>4031</v>
      </c>
    </row>
    <row r="850" spans="1:4" x14ac:dyDescent="0.25">
      <c r="A850" s="19">
        <v>519110</v>
      </c>
      <c r="B850" s="19" t="s">
        <v>4033</v>
      </c>
      <c r="C850" s="19">
        <v>519110</v>
      </c>
      <c r="D850" s="19" t="s">
        <v>4033</v>
      </c>
    </row>
    <row r="851" spans="1:4" x14ac:dyDescent="0.25">
      <c r="A851" s="19">
        <v>519120</v>
      </c>
      <c r="B851" s="19" t="s">
        <v>4035</v>
      </c>
      <c r="C851" s="19">
        <v>519120</v>
      </c>
      <c r="D851" s="19" t="s">
        <v>4035</v>
      </c>
    </row>
    <row r="852" spans="1:4" ht="25.5" x14ac:dyDescent="0.25">
      <c r="A852" s="19">
        <v>519130</v>
      </c>
      <c r="B852" s="19" t="s">
        <v>6086</v>
      </c>
      <c r="C852" s="19">
        <v>519130</v>
      </c>
      <c r="D852" s="19" t="s">
        <v>6086</v>
      </c>
    </row>
    <row r="853" spans="1:4" x14ac:dyDescent="0.25">
      <c r="A853" s="19">
        <v>519190</v>
      </c>
      <c r="B853" s="19" t="s">
        <v>4053</v>
      </c>
      <c r="C853" s="19">
        <v>519190</v>
      </c>
      <c r="D853" s="19" t="s">
        <v>4053</v>
      </c>
    </row>
    <row r="854" spans="1:4" x14ac:dyDescent="0.25">
      <c r="A854" s="19">
        <v>521110</v>
      </c>
      <c r="B854" s="19" t="s">
        <v>4055</v>
      </c>
      <c r="C854" s="19">
        <v>521110</v>
      </c>
      <c r="D854" s="19" t="s">
        <v>4055</v>
      </c>
    </row>
    <row r="855" spans="1:4" x14ac:dyDescent="0.25">
      <c r="A855" s="19">
        <v>522110</v>
      </c>
      <c r="B855" s="19" t="s">
        <v>4057</v>
      </c>
      <c r="C855" s="19">
        <v>522110</v>
      </c>
      <c r="D855" s="19" t="s">
        <v>4057</v>
      </c>
    </row>
    <row r="856" spans="1:4" x14ac:dyDescent="0.25">
      <c r="A856" s="19">
        <v>522120</v>
      </c>
      <c r="B856" s="19" t="s">
        <v>4058</v>
      </c>
      <c r="C856" s="19">
        <v>522120</v>
      </c>
      <c r="D856" s="19" t="s">
        <v>4058</v>
      </c>
    </row>
    <row r="857" spans="1:4" x14ac:dyDescent="0.25">
      <c r="A857" s="19">
        <v>522130</v>
      </c>
      <c r="B857" s="19" t="s">
        <v>4060</v>
      </c>
      <c r="C857" s="19">
        <v>522130</v>
      </c>
      <c r="D857" s="19" t="s">
        <v>4060</v>
      </c>
    </row>
    <row r="858" spans="1:4" x14ac:dyDescent="0.25">
      <c r="A858" s="19">
        <v>522190</v>
      </c>
      <c r="B858" s="19" t="s">
        <v>4062</v>
      </c>
      <c r="C858" s="19">
        <v>522190</v>
      </c>
      <c r="D858" s="19" t="s">
        <v>4062</v>
      </c>
    </row>
    <row r="859" spans="1:4" x14ac:dyDescent="0.25">
      <c r="A859" s="19">
        <v>522210</v>
      </c>
      <c r="B859" s="19" t="s">
        <v>4064</v>
      </c>
      <c r="C859" s="19">
        <v>522210</v>
      </c>
      <c r="D859" s="19" t="s">
        <v>4064</v>
      </c>
    </row>
    <row r="860" spans="1:4" x14ac:dyDescent="0.25">
      <c r="A860" s="19">
        <v>522220</v>
      </c>
      <c r="B860" s="19" t="s">
        <v>4066</v>
      </c>
      <c r="C860" s="19">
        <v>522220</v>
      </c>
      <c r="D860" s="19" t="s">
        <v>4066</v>
      </c>
    </row>
    <row r="861" spans="1:4" x14ac:dyDescent="0.25">
      <c r="A861" s="19">
        <v>522291</v>
      </c>
      <c r="B861" s="19" t="s">
        <v>4068</v>
      </c>
      <c r="C861" s="19">
        <v>522291</v>
      </c>
      <c r="D861" s="19" t="s">
        <v>4068</v>
      </c>
    </row>
    <row r="862" spans="1:4" x14ac:dyDescent="0.25">
      <c r="A862" s="19">
        <v>522292</v>
      </c>
      <c r="B862" s="19" t="s">
        <v>4070</v>
      </c>
      <c r="C862" s="19">
        <v>522292</v>
      </c>
      <c r="D862" s="19" t="s">
        <v>4070</v>
      </c>
    </row>
    <row r="863" spans="1:4" x14ac:dyDescent="0.25">
      <c r="A863" s="19">
        <v>522293</v>
      </c>
      <c r="B863" s="19" t="s">
        <v>4072</v>
      </c>
      <c r="C863" s="19">
        <v>522293</v>
      </c>
      <c r="D863" s="19" t="s">
        <v>4072</v>
      </c>
    </row>
    <row r="864" spans="1:4" x14ac:dyDescent="0.25">
      <c r="A864" s="19">
        <v>522294</v>
      </c>
      <c r="B864" s="19" t="s">
        <v>4074</v>
      </c>
      <c r="C864" s="19">
        <v>522294</v>
      </c>
      <c r="D864" s="19" t="s">
        <v>4074</v>
      </c>
    </row>
    <row r="865" spans="1:4" ht="25.5" x14ac:dyDescent="0.25">
      <c r="A865" s="19">
        <v>522298</v>
      </c>
      <c r="B865" s="19" t="s">
        <v>4076</v>
      </c>
      <c r="C865" s="19">
        <v>522298</v>
      </c>
      <c r="D865" s="19" t="s">
        <v>4076</v>
      </c>
    </row>
    <row r="866" spans="1:4" ht="25.5" x14ac:dyDescent="0.25">
      <c r="A866" s="19">
        <v>522310</v>
      </c>
      <c r="B866" s="19" t="s">
        <v>4078</v>
      </c>
      <c r="C866" s="19">
        <v>522310</v>
      </c>
      <c r="D866" s="19" t="s">
        <v>4078</v>
      </c>
    </row>
    <row r="867" spans="1:4" ht="25.5" x14ac:dyDescent="0.25">
      <c r="A867" s="19">
        <v>522320</v>
      </c>
      <c r="B867" s="19" t="s">
        <v>4080</v>
      </c>
      <c r="C867" s="19">
        <v>522320</v>
      </c>
      <c r="D867" s="19" t="s">
        <v>4080</v>
      </c>
    </row>
    <row r="868" spans="1:4" ht="25.5" x14ac:dyDescent="0.25">
      <c r="A868" s="22">
        <v>522390</v>
      </c>
      <c r="B868" s="19" t="s">
        <v>4082</v>
      </c>
      <c r="C868" s="22">
        <v>522390</v>
      </c>
      <c r="D868" s="19" t="s">
        <v>4082</v>
      </c>
    </row>
    <row r="869" spans="1:4" ht="25.5" x14ac:dyDescent="0.25">
      <c r="A869" s="19">
        <v>523110</v>
      </c>
      <c r="B869" s="19" t="s">
        <v>4084</v>
      </c>
      <c r="C869" s="19">
        <v>523110</v>
      </c>
      <c r="D869" s="19" t="s">
        <v>4084</v>
      </c>
    </row>
    <row r="870" spans="1:4" x14ac:dyDescent="0.25">
      <c r="A870" s="19">
        <v>523120</v>
      </c>
      <c r="B870" s="19" t="s">
        <v>4086</v>
      </c>
      <c r="C870" s="19">
        <v>523120</v>
      </c>
      <c r="D870" s="19" t="s">
        <v>4086</v>
      </c>
    </row>
    <row r="871" spans="1:4" x14ac:dyDescent="0.25">
      <c r="A871" s="19">
        <v>523130</v>
      </c>
      <c r="B871" s="19" t="s">
        <v>4088</v>
      </c>
      <c r="C871" s="19">
        <v>523130</v>
      </c>
      <c r="D871" s="19" t="s">
        <v>4088</v>
      </c>
    </row>
    <row r="872" spans="1:4" x14ac:dyDescent="0.25">
      <c r="A872" s="19">
        <v>523140</v>
      </c>
      <c r="B872" s="19" t="s">
        <v>4090</v>
      </c>
      <c r="C872" s="19">
        <v>523140</v>
      </c>
      <c r="D872" s="19" t="s">
        <v>4090</v>
      </c>
    </row>
    <row r="873" spans="1:4" x14ac:dyDescent="0.25">
      <c r="A873" s="19">
        <v>523210</v>
      </c>
      <c r="B873" s="19" t="s">
        <v>4092</v>
      </c>
      <c r="C873" s="19">
        <v>523210</v>
      </c>
      <c r="D873" s="19" t="s">
        <v>4092</v>
      </c>
    </row>
    <row r="874" spans="1:4" x14ac:dyDescent="0.25">
      <c r="A874" s="19">
        <v>523910</v>
      </c>
      <c r="B874" s="19" t="s">
        <v>4094</v>
      </c>
      <c r="C874" s="19">
        <v>523910</v>
      </c>
      <c r="D874" s="19" t="s">
        <v>4094</v>
      </c>
    </row>
    <row r="875" spans="1:4" x14ac:dyDescent="0.25">
      <c r="A875" s="19">
        <v>523920</v>
      </c>
      <c r="B875" s="19" t="s">
        <v>4096</v>
      </c>
      <c r="C875" s="19">
        <v>523920</v>
      </c>
      <c r="D875" s="19" t="s">
        <v>4096</v>
      </c>
    </row>
    <row r="876" spans="1:4" x14ac:dyDescent="0.25">
      <c r="A876" s="19">
        <v>523930</v>
      </c>
      <c r="B876" s="19" t="s">
        <v>4097</v>
      </c>
      <c r="C876" s="19">
        <v>523930</v>
      </c>
      <c r="D876" s="19" t="s">
        <v>4097</v>
      </c>
    </row>
    <row r="877" spans="1:4" x14ac:dyDescent="0.25">
      <c r="A877" s="19">
        <v>523991</v>
      </c>
      <c r="B877" s="19" t="s">
        <v>4099</v>
      </c>
      <c r="C877" s="19">
        <v>523991</v>
      </c>
      <c r="D877" s="19" t="s">
        <v>4099</v>
      </c>
    </row>
    <row r="878" spans="1:4" ht="25.5" x14ac:dyDescent="0.25">
      <c r="A878" s="19">
        <v>523999</v>
      </c>
      <c r="B878" s="19" t="s">
        <v>4101</v>
      </c>
      <c r="C878" s="19">
        <v>523999</v>
      </c>
      <c r="D878" s="19" t="s">
        <v>4101</v>
      </c>
    </row>
    <row r="879" spans="1:4" x14ac:dyDescent="0.25">
      <c r="A879" s="19">
        <v>524113</v>
      </c>
      <c r="B879" s="19" t="s">
        <v>4103</v>
      </c>
      <c r="C879" s="19">
        <v>524113</v>
      </c>
      <c r="D879" s="19" t="s">
        <v>4103</v>
      </c>
    </row>
    <row r="880" spans="1:4" ht="25.5" x14ac:dyDescent="0.25">
      <c r="A880" s="19">
        <v>524114</v>
      </c>
      <c r="B880" s="19" t="s">
        <v>4105</v>
      </c>
      <c r="C880" s="19">
        <v>524114</v>
      </c>
      <c r="D880" s="19" t="s">
        <v>4105</v>
      </c>
    </row>
    <row r="881" spans="1:4" ht="25.5" x14ac:dyDescent="0.25">
      <c r="A881" s="19">
        <v>524126</v>
      </c>
      <c r="B881" s="19" t="s">
        <v>4107</v>
      </c>
      <c r="C881" s="19">
        <v>524126</v>
      </c>
      <c r="D881" s="19" t="s">
        <v>4107</v>
      </c>
    </row>
    <row r="882" spans="1:4" x14ac:dyDescent="0.25">
      <c r="A882" s="19">
        <v>524127</v>
      </c>
      <c r="B882" s="19" t="s">
        <v>4109</v>
      </c>
      <c r="C882" s="19">
        <v>524127</v>
      </c>
      <c r="D882" s="19" t="s">
        <v>4109</v>
      </c>
    </row>
    <row r="883" spans="1:4" ht="25.5" x14ac:dyDescent="0.25">
      <c r="A883" s="19">
        <v>524128</v>
      </c>
      <c r="B883" s="19" t="s">
        <v>4111</v>
      </c>
      <c r="C883" s="19">
        <v>524128</v>
      </c>
      <c r="D883" s="19" t="s">
        <v>4111</v>
      </c>
    </row>
    <row r="884" spans="1:4" x14ac:dyDescent="0.25">
      <c r="A884" s="19">
        <v>524130</v>
      </c>
      <c r="B884" s="19" t="s">
        <v>4113</v>
      </c>
      <c r="C884" s="19">
        <v>524130</v>
      </c>
      <c r="D884" s="19" t="s">
        <v>4113</v>
      </c>
    </row>
    <row r="885" spans="1:4" x14ac:dyDescent="0.25">
      <c r="A885" s="19">
        <v>524210</v>
      </c>
      <c r="B885" s="19" t="s">
        <v>4115</v>
      </c>
      <c r="C885" s="19">
        <v>524210</v>
      </c>
      <c r="D885" s="19" t="s">
        <v>4115</v>
      </c>
    </row>
    <row r="886" spans="1:4" x14ac:dyDescent="0.25">
      <c r="A886" s="19">
        <v>524291</v>
      </c>
      <c r="B886" s="19" t="s">
        <v>4117</v>
      </c>
      <c r="C886" s="19">
        <v>524291</v>
      </c>
      <c r="D886" s="19" t="s">
        <v>4117</v>
      </c>
    </row>
    <row r="887" spans="1:4" ht="25.5" x14ac:dyDescent="0.25">
      <c r="A887" s="19">
        <v>524292</v>
      </c>
      <c r="B887" s="19" t="s">
        <v>4119</v>
      </c>
      <c r="C887" s="19">
        <v>524292</v>
      </c>
      <c r="D887" s="19" t="s">
        <v>4119</v>
      </c>
    </row>
    <row r="888" spans="1:4" x14ac:dyDescent="0.25">
      <c r="A888" s="19">
        <v>524298</v>
      </c>
      <c r="B888" s="19" t="s">
        <v>4121</v>
      </c>
      <c r="C888" s="19">
        <v>524298</v>
      </c>
      <c r="D888" s="19" t="s">
        <v>4121</v>
      </c>
    </row>
    <row r="889" spans="1:4" x14ac:dyDescent="0.25">
      <c r="A889" s="19">
        <v>525110</v>
      </c>
      <c r="B889" s="19" t="s">
        <v>4123</v>
      </c>
      <c r="C889" s="19">
        <v>525110</v>
      </c>
      <c r="D889" s="19" t="s">
        <v>4123</v>
      </c>
    </row>
    <row r="890" spans="1:4" x14ac:dyDescent="0.25">
      <c r="A890" s="19">
        <v>525120</v>
      </c>
      <c r="B890" s="19" t="s">
        <v>4125</v>
      </c>
      <c r="C890" s="19">
        <v>525120</v>
      </c>
      <c r="D890" s="19" t="s">
        <v>4125</v>
      </c>
    </row>
    <row r="891" spans="1:4" x14ac:dyDescent="0.25">
      <c r="A891" s="19">
        <v>525190</v>
      </c>
      <c r="B891" s="19" t="s">
        <v>4127</v>
      </c>
      <c r="C891" s="19">
        <v>525190</v>
      </c>
      <c r="D891" s="19" t="s">
        <v>4127</v>
      </c>
    </row>
    <row r="892" spans="1:4" x14ac:dyDescent="0.25">
      <c r="A892" s="19">
        <v>525910</v>
      </c>
      <c r="B892" s="19" t="s">
        <v>4129</v>
      </c>
      <c r="C892" s="19">
        <v>525910</v>
      </c>
      <c r="D892" s="19" t="s">
        <v>4129</v>
      </c>
    </row>
    <row r="893" spans="1:4" x14ac:dyDescent="0.25">
      <c r="A893" s="19">
        <v>525920</v>
      </c>
      <c r="B893" s="19" t="s">
        <v>4131</v>
      </c>
      <c r="C893" s="19">
        <v>525920</v>
      </c>
      <c r="D893" s="19" t="s">
        <v>4131</v>
      </c>
    </row>
    <row r="894" spans="1:4" x14ac:dyDescent="0.25">
      <c r="A894" s="19">
        <v>525990</v>
      </c>
      <c r="B894" s="19" t="s">
        <v>4133</v>
      </c>
      <c r="C894" s="19">
        <v>525990</v>
      </c>
      <c r="D894" s="19" t="s">
        <v>4133</v>
      </c>
    </row>
    <row r="895" spans="1:4" ht="25.5" x14ac:dyDescent="0.25">
      <c r="A895" s="19">
        <v>531110</v>
      </c>
      <c r="B895" s="19" t="s">
        <v>4135</v>
      </c>
      <c r="C895" s="19">
        <v>531110</v>
      </c>
      <c r="D895" s="19" t="s">
        <v>4135</v>
      </c>
    </row>
    <row r="896" spans="1:4" ht="25.5" x14ac:dyDescent="0.25">
      <c r="A896" s="19">
        <v>531120</v>
      </c>
      <c r="B896" s="19" t="s">
        <v>4137</v>
      </c>
      <c r="C896" s="19">
        <v>531120</v>
      </c>
      <c r="D896" s="19" t="s">
        <v>4137</v>
      </c>
    </row>
    <row r="897" spans="1:4" ht="25.5" x14ac:dyDescent="0.25">
      <c r="A897" s="19">
        <v>531130</v>
      </c>
      <c r="B897" s="19" t="s">
        <v>4139</v>
      </c>
      <c r="C897" s="19">
        <v>531130</v>
      </c>
      <c r="D897" s="19" t="s">
        <v>4139</v>
      </c>
    </row>
    <row r="898" spans="1:4" x14ac:dyDescent="0.25">
      <c r="A898" s="19">
        <v>531190</v>
      </c>
      <c r="B898" s="19" t="s">
        <v>4141</v>
      </c>
      <c r="C898" s="19">
        <v>531190</v>
      </c>
      <c r="D898" s="19" t="s">
        <v>4141</v>
      </c>
    </row>
    <row r="899" spans="1:4" ht="25.5" x14ac:dyDescent="0.25">
      <c r="A899" s="19">
        <v>531210</v>
      </c>
      <c r="B899" s="19" t="s">
        <v>4143</v>
      </c>
      <c r="C899" s="19">
        <v>531210</v>
      </c>
      <c r="D899" s="19" t="s">
        <v>4143</v>
      </c>
    </row>
    <row r="900" spans="1:4" x14ac:dyDescent="0.25">
      <c r="A900" s="19">
        <v>531311</v>
      </c>
      <c r="B900" s="19" t="s">
        <v>4145</v>
      </c>
      <c r="C900" s="19">
        <v>531311</v>
      </c>
      <c r="D900" s="19" t="s">
        <v>4145</v>
      </c>
    </row>
    <row r="901" spans="1:4" x14ac:dyDescent="0.25">
      <c r="A901" s="19">
        <v>531312</v>
      </c>
      <c r="B901" s="19" t="s">
        <v>4147</v>
      </c>
      <c r="C901" s="19">
        <v>531312</v>
      </c>
      <c r="D901" s="19" t="s">
        <v>4147</v>
      </c>
    </row>
    <row r="902" spans="1:4" x14ac:dyDescent="0.25">
      <c r="A902" s="19">
        <v>531320</v>
      </c>
      <c r="B902" s="19" t="s">
        <v>4149</v>
      </c>
      <c r="C902" s="19">
        <v>531320</v>
      </c>
      <c r="D902" s="19" t="s">
        <v>4149</v>
      </c>
    </row>
    <row r="903" spans="1:4" x14ac:dyDescent="0.25">
      <c r="A903" s="19">
        <v>531390</v>
      </c>
      <c r="B903" s="19" t="s">
        <v>4151</v>
      </c>
      <c r="C903" s="19">
        <v>531390</v>
      </c>
      <c r="D903" s="19" t="s">
        <v>4151</v>
      </c>
    </row>
    <row r="904" spans="1:4" x14ac:dyDescent="0.25">
      <c r="A904" s="19">
        <v>532111</v>
      </c>
      <c r="B904" s="19" t="s">
        <v>4153</v>
      </c>
      <c r="C904" s="19">
        <v>532111</v>
      </c>
      <c r="D904" s="19" t="s">
        <v>4153</v>
      </c>
    </row>
    <row r="905" spans="1:4" x14ac:dyDescent="0.25">
      <c r="A905" s="19">
        <v>532112</v>
      </c>
      <c r="B905" s="19" t="s">
        <v>4155</v>
      </c>
      <c r="C905" s="19">
        <v>532112</v>
      </c>
      <c r="D905" s="19" t="s">
        <v>4155</v>
      </c>
    </row>
    <row r="906" spans="1:4" ht="38.25" x14ac:dyDescent="0.25">
      <c r="A906" s="19">
        <v>532120</v>
      </c>
      <c r="B906" s="19" t="s">
        <v>4157</v>
      </c>
      <c r="C906" s="19">
        <v>532120</v>
      </c>
      <c r="D906" s="19" t="s">
        <v>4157</v>
      </c>
    </row>
    <row r="907" spans="1:4" ht="25.5" x14ac:dyDescent="0.25">
      <c r="A907" s="19">
        <v>532210</v>
      </c>
      <c r="B907" s="19" t="s">
        <v>4159</v>
      </c>
      <c r="C907" s="19">
        <v>532210</v>
      </c>
      <c r="D907" s="19" t="s">
        <v>4159</v>
      </c>
    </row>
    <row r="908" spans="1:4" x14ac:dyDescent="0.25">
      <c r="A908" s="19">
        <v>532220</v>
      </c>
      <c r="B908" s="19" t="s">
        <v>4161</v>
      </c>
      <c r="C908" s="19">
        <v>532220</v>
      </c>
      <c r="D908" s="19" t="s">
        <v>4161</v>
      </c>
    </row>
    <row r="909" spans="1:4" x14ac:dyDescent="0.25">
      <c r="A909" s="19">
        <v>532230</v>
      </c>
      <c r="B909" s="19" t="s">
        <v>4163</v>
      </c>
      <c r="C909" s="19">
        <v>532230</v>
      </c>
      <c r="D909" s="19" t="s">
        <v>4163</v>
      </c>
    </row>
    <row r="910" spans="1:4" x14ac:dyDescent="0.25">
      <c r="A910" s="19">
        <v>532291</v>
      </c>
      <c r="B910" s="19" t="s">
        <v>4165</v>
      </c>
      <c r="C910" s="19">
        <v>532291</v>
      </c>
      <c r="D910" s="19" t="s">
        <v>4165</v>
      </c>
    </row>
    <row r="911" spans="1:4" x14ac:dyDescent="0.25">
      <c r="A911" s="19">
        <v>532292</v>
      </c>
      <c r="B911" s="19" t="s">
        <v>4167</v>
      </c>
      <c r="C911" s="19">
        <v>532292</v>
      </c>
      <c r="D911" s="19" t="s">
        <v>4167</v>
      </c>
    </row>
    <row r="912" spans="1:4" x14ac:dyDescent="0.25">
      <c r="A912" s="19">
        <v>532299</v>
      </c>
      <c r="B912" s="19" t="s">
        <v>4169</v>
      </c>
      <c r="C912" s="19">
        <v>532299</v>
      </c>
      <c r="D912" s="19" t="s">
        <v>4169</v>
      </c>
    </row>
    <row r="913" spans="1:4" x14ac:dyDescent="0.25">
      <c r="A913" s="19">
        <v>532310</v>
      </c>
      <c r="B913" s="19" t="s">
        <v>4170</v>
      </c>
      <c r="C913" s="19">
        <v>532310</v>
      </c>
      <c r="D913" s="19" t="s">
        <v>4170</v>
      </c>
    </row>
    <row r="914" spans="1:4" ht="38.25" x14ac:dyDescent="0.25">
      <c r="A914" s="19">
        <v>532411</v>
      </c>
      <c r="B914" s="19" t="s">
        <v>4172</v>
      </c>
      <c r="C914" s="19">
        <v>532411</v>
      </c>
      <c r="D914" s="19" t="s">
        <v>4172</v>
      </c>
    </row>
    <row r="915" spans="1:4" ht="38.25" x14ac:dyDescent="0.25">
      <c r="A915" s="19">
        <v>532412</v>
      </c>
      <c r="B915" s="19" t="s">
        <v>4174</v>
      </c>
      <c r="C915" s="19">
        <v>532412</v>
      </c>
      <c r="D915" s="19" t="s">
        <v>4174</v>
      </c>
    </row>
    <row r="916" spans="1:4" ht="25.5" x14ac:dyDescent="0.25">
      <c r="A916" s="19">
        <v>532420</v>
      </c>
      <c r="B916" s="19" t="s">
        <v>4176</v>
      </c>
      <c r="C916" s="19">
        <v>532420</v>
      </c>
      <c r="D916" s="19" t="s">
        <v>4176</v>
      </c>
    </row>
    <row r="917" spans="1:4" ht="38.25" x14ac:dyDescent="0.25">
      <c r="A917" s="19">
        <v>532490</v>
      </c>
      <c r="B917" s="19" t="s">
        <v>4178</v>
      </c>
      <c r="C917" s="19">
        <v>532490</v>
      </c>
      <c r="D917" s="19" t="s">
        <v>4178</v>
      </c>
    </row>
    <row r="918" spans="1:4" ht="25.5" x14ac:dyDescent="0.25">
      <c r="A918" s="19">
        <v>533110</v>
      </c>
      <c r="B918" s="19" t="s">
        <v>4180</v>
      </c>
      <c r="C918" s="19">
        <v>533110</v>
      </c>
      <c r="D918" s="19" t="s">
        <v>4180</v>
      </c>
    </row>
    <row r="919" spans="1:4" x14ac:dyDescent="0.25">
      <c r="A919" s="19">
        <v>541110</v>
      </c>
      <c r="B919" s="19" t="s">
        <v>4182</v>
      </c>
      <c r="C919" s="19">
        <v>541110</v>
      </c>
      <c r="D919" s="19" t="s">
        <v>4182</v>
      </c>
    </row>
    <row r="920" spans="1:4" x14ac:dyDescent="0.25">
      <c r="A920" s="19">
        <v>541120</v>
      </c>
      <c r="B920" s="19" t="s">
        <v>4184</v>
      </c>
      <c r="C920" s="19">
        <v>541120</v>
      </c>
      <c r="D920" s="19" t="s">
        <v>4184</v>
      </c>
    </row>
    <row r="921" spans="1:4" x14ac:dyDescent="0.25">
      <c r="A921" s="19">
        <v>541191</v>
      </c>
      <c r="B921" s="19" t="s">
        <v>4186</v>
      </c>
      <c r="C921" s="19">
        <v>541191</v>
      </c>
      <c r="D921" s="19" t="s">
        <v>4186</v>
      </c>
    </row>
    <row r="922" spans="1:4" x14ac:dyDescent="0.25">
      <c r="A922" s="19">
        <v>541199</v>
      </c>
      <c r="B922" s="19" t="s">
        <v>4188</v>
      </c>
      <c r="C922" s="19">
        <v>541199</v>
      </c>
      <c r="D922" s="19" t="s">
        <v>4188</v>
      </c>
    </row>
    <row r="923" spans="1:4" x14ac:dyDescent="0.25">
      <c r="A923" s="19">
        <v>541211</v>
      </c>
      <c r="B923" s="19" t="s">
        <v>4190</v>
      </c>
      <c r="C923" s="19">
        <v>541211</v>
      </c>
      <c r="D923" s="19" t="s">
        <v>4190</v>
      </c>
    </row>
    <row r="924" spans="1:4" x14ac:dyDescent="0.25">
      <c r="A924" s="19">
        <v>541213</v>
      </c>
      <c r="B924" s="19" t="s">
        <v>4192</v>
      </c>
      <c r="C924" s="19">
        <v>541213</v>
      </c>
      <c r="D924" s="19" t="s">
        <v>4192</v>
      </c>
    </row>
    <row r="925" spans="1:4" x14ac:dyDescent="0.25">
      <c r="A925" s="19">
        <v>541214</v>
      </c>
      <c r="B925" s="19" t="s">
        <v>4194</v>
      </c>
      <c r="C925" s="19">
        <v>541214</v>
      </c>
      <c r="D925" s="19" t="s">
        <v>4194</v>
      </c>
    </row>
    <row r="926" spans="1:4" x14ac:dyDescent="0.25">
      <c r="A926" s="19">
        <v>541219</v>
      </c>
      <c r="B926" s="19" t="s">
        <v>4196</v>
      </c>
      <c r="C926" s="19">
        <v>541219</v>
      </c>
      <c r="D926" s="19" t="s">
        <v>4196</v>
      </c>
    </row>
    <row r="927" spans="1:4" x14ac:dyDescent="0.25">
      <c r="A927" s="19">
        <v>541310</v>
      </c>
      <c r="B927" s="19" t="s">
        <v>4198</v>
      </c>
      <c r="C927" s="19">
        <v>541310</v>
      </c>
      <c r="D927" s="19" t="s">
        <v>4198</v>
      </c>
    </row>
    <row r="928" spans="1:4" x14ac:dyDescent="0.25">
      <c r="A928" s="19">
        <v>541320</v>
      </c>
      <c r="B928" s="19" t="s">
        <v>4200</v>
      </c>
      <c r="C928" s="19">
        <v>541320</v>
      </c>
      <c r="D928" s="19" t="s">
        <v>4200</v>
      </c>
    </row>
    <row r="929" spans="1:4" x14ac:dyDescent="0.25">
      <c r="A929" s="19">
        <v>541330</v>
      </c>
      <c r="B929" s="19" t="s">
        <v>4202</v>
      </c>
      <c r="C929" s="19">
        <v>541330</v>
      </c>
      <c r="D929" s="19" t="s">
        <v>4202</v>
      </c>
    </row>
    <row r="930" spans="1:4" x14ac:dyDescent="0.25">
      <c r="A930" s="19">
        <v>541340</v>
      </c>
      <c r="B930" s="19" t="s">
        <v>4204</v>
      </c>
      <c r="C930" s="19">
        <v>541340</v>
      </c>
      <c r="D930" s="19" t="s">
        <v>4204</v>
      </c>
    </row>
    <row r="931" spans="1:4" x14ac:dyDescent="0.25">
      <c r="A931" s="19">
        <v>541350</v>
      </c>
      <c r="B931" s="19" t="s">
        <v>4206</v>
      </c>
      <c r="C931" s="19">
        <v>541350</v>
      </c>
      <c r="D931" s="19" t="s">
        <v>4206</v>
      </c>
    </row>
    <row r="932" spans="1:4" ht="25.5" x14ac:dyDescent="0.25">
      <c r="A932" s="19">
        <v>541360</v>
      </c>
      <c r="B932" s="19" t="s">
        <v>4208</v>
      </c>
      <c r="C932" s="19">
        <v>541360</v>
      </c>
      <c r="D932" s="19" t="s">
        <v>4208</v>
      </c>
    </row>
    <row r="933" spans="1:4" ht="25.5" x14ac:dyDescent="0.25">
      <c r="A933" s="19">
        <v>541370</v>
      </c>
      <c r="B933" s="19" t="s">
        <v>4210</v>
      </c>
      <c r="C933" s="19">
        <v>541370</v>
      </c>
      <c r="D933" s="19" t="s">
        <v>4210</v>
      </c>
    </row>
    <row r="934" spans="1:4" x14ac:dyDescent="0.25">
      <c r="A934" s="19">
        <v>541380</v>
      </c>
      <c r="B934" s="19" t="s">
        <v>4212</v>
      </c>
      <c r="C934" s="19">
        <v>541380</v>
      </c>
      <c r="D934" s="19" t="s">
        <v>4212</v>
      </c>
    </row>
    <row r="935" spans="1:4" x14ac:dyDescent="0.25">
      <c r="A935" s="19">
        <v>541410</v>
      </c>
      <c r="B935" s="19" t="s">
        <v>4214</v>
      </c>
      <c r="C935" s="19">
        <v>541410</v>
      </c>
      <c r="D935" s="19" t="s">
        <v>4214</v>
      </c>
    </row>
    <row r="936" spans="1:4" x14ac:dyDescent="0.25">
      <c r="A936" s="19">
        <v>541420</v>
      </c>
      <c r="B936" s="19" t="s">
        <v>4216</v>
      </c>
      <c r="C936" s="19">
        <v>541420</v>
      </c>
      <c r="D936" s="19" t="s">
        <v>4216</v>
      </c>
    </row>
    <row r="937" spans="1:4" x14ac:dyDescent="0.25">
      <c r="A937" s="19">
        <v>541430</v>
      </c>
      <c r="B937" s="19" t="s">
        <v>4218</v>
      </c>
      <c r="C937" s="19">
        <v>541430</v>
      </c>
      <c r="D937" s="19" t="s">
        <v>4218</v>
      </c>
    </row>
    <row r="938" spans="1:4" x14ac:dyDescent="0.25">
      <c r="A938" s="19">
        <v>541490</v>
      </c>
      <c r="B938" s="19" t="s">
        <v>4220</v>
      </c>
      <c r="C938" s="19">
        <v>541490</v>
      </c>
      <c r="D938" s="19" t="s">
        <v>4220</v>
      </c>
    </row>
    <row r="939" spans="1:4" ht="25.5" x14ac:dyDescent="0.25">
      <c r="A939" s="19">
        <v>541511</v>
      </c>
      <c r="B939" s="19" t="s">
        <v>4222</v>
      </c>
      <c r="C939" s="19">
        <v>541511</v>
      </c>
      <c r="D939" s="19" t="s">
        <v>4222</v>
      </c>
    </row>
    <row r="940" spans="1:4" x14ac:dyDescent="0.25">
      <c r="A940" s="19">
        <v>541512</v>
      </c>
      <c r="B940" s="19" t="s">
        <v>4224</v>
      </c>
      <c r="C940" s="19">
        <v>541512</v>
      </c>
      <c r="D940" s="19" t="s">
        <v>4224</v>
      </c>
    </row>
    <row r="941" spans="1:4" ht="25.5" x14ac:dyDescent="0.25">
      <c r="A941" s="19">
        <v>541513</v>
      </c>
      <c r="B941" s="19" t="s">
        <v>4226</v>
      </c>
      <c r="C941" s="19">
        <v>541513</v>
      </c>
      <c r="D941" s="19" t="s">
        <v>4226</v>
      </c>
    </row>
    <row r="942" spans="1:4" x14ac:dyDescent="0.25">
      <c r="A942" s="19">
        <v>541519</v>
      </c>
      <c r="B942" s="19" t="s">
        <v>4228</v>
      </c>
      <c r="C942" s="19">
        <v>541519</v>
      </c>
      <c r="D942" s="19" t="s">
        <v>4228</v>
      </c>
    </row>
    <row r="943" spans="1:4" ht="25.5" x14ac:dyDescent="0.25">
      <c r="A943" s="19">
        <v>541611</v>
      </c>
      <c r="B943" s="19" t="s">
        <v>4230</v>
      </c>
      <c r="C943" s="19">
        <v>541611</v>
      </c>
      <c r="D943" s="19" t="s">
        <v>4230</v>
      </c>
    </row>
    <row r="944" spans="1:4" x14ac:dyDescent="0.25">
      <c r="A944" s="19">
        <v>541612</v>
      </c>
      <c r="B944" s="19" t="s">
        <v>4232</v>
      </c>
      <c r="C944" s="19">
        <v>541612</v>
      </c>
      <c r="D944" s="19" t="s">
        <v>4232</v>
      </c>
    </row>
    <row r="945" spans="1:4" x14ac:dyDescent="0.25">
      <c r="A945" s="19">
        <v>541613</v>
      </c>
      <c r="B945" s="19" t="s">
        <v>4234</v>
      </c>
      <c r="C945" s="19">
        <v>541613</v>
      </c>
      <c r="D945" s="19" t="s">
        <v>4234</v>
      </c>
    </row>
    <row r="946" spans="1:4" ht="25.5" x14ac:dyDescent="0.25">
      <c r="A946" s="19">
        <v>541614</v>
      </c>
      <c r="B946" s="19" t="s">
        <v>4236</v>
      </c>
      <c r="C946" s="19">
        <v>541614</v>
      </c>
      <c r="D946" s="19" t="s">
        <v>4236</v>
      </c>
    </row>
    <row r="947" spans="1:4" x14ac:dyDescent="0.25">
      <c r="A947" s="19">
        <v>541618</v>
      </c>
      <c r="B947" s="19" t="s">
        <v>4238</v>
      </c>
      <c r="C947" s="19">
        <v>541618</v>
      </c>
      <c r="D947" s="19" t="s">
        <v>4238</v>
      </c>
    </row>
    <row r="948" spans="1:4" x14ac:dyDescent="0.25">
      <c r="A948" s="19">
        <v>541620</v>
      </c>
      <c r="B948" s="19" t="s">
        <v>4240</v>
      </c>
      <c r="C948" s="19">
        <v>541620</v>
      </c>
      <c r="D948" s="19" t="s">
        <v>4240</v>
      </c>
    </row>
    <row r="949" spans="1:4" ht="25.5" x14ac:dyDescent="0.25">
      <c r="A949" s="19">
        <v>541690</v>
      </c>
      <c r="B949" s="19" t="s">
        <v>4242</v>
      </c>
      <c r="C949" s="19">
        <v>541690</v>
      </c>
      <c r="D949" s="19" t="s">
        <v>4242</v>
      </c>
    </row>
    <row r="950" spans="1:4" ht="25.5" x14ac:dyDescent="0.25">
      <c r="A950" s="19">
        <v>541711</v>
      </c>
      <c r="B950" s="19" t="s">
        <v>6099</v>
      </c>
      <c r="C950" s="19">
        <v>541711</v>
      </c>
      <c r="D950" s="19" t="s">
        <v>6099</v>
      </c>
    </row>
    <row r="951" spans="1:4" ht="38.25" x14ac:dyDescent="0.25">
      <c r="A951" s="19">
        <v>541712</v>
      </c>
      <c r="B951" s="19" t="s">
        <v>6101</v>
      </c>
      <c r="C951" s="19">
        <v>541712</v>
      </c>
      <c r="D951" s="19" t="s">
        <v>6101</v>
      </c>
    </row>
    <row r="952" spans="1:4" ht="25.5" x14ac:dyDescent="0.25">
      <c r="A952" s="19">
        <v>541720</v>
      </c>
      <c r="B952" s="19" t="s">
        <v>4250</v>
      </c>
      <c r="C952" s="19">
        <v>541720</v>
      </c>
      <c r="D952" s="19" t="s">
        <v>4250</v>
      </c>
    </row>
    <row r="953" spans="1:4" x14ac:dyDescent="0.25">
      <c r="A953" s="19">
        <v>541810</v>
      </c>
      <c r="B953" s="19" t="s">
        <v>4252</v>
      </c>
      <c r="C953" s="19">
        <v>541810</v>
      </c>
      <c r="D953" s="19" t="s">
        <v>4252</v>
      </c>
    </row>
    <row r="954" spans="1:4" x14ac:dyDescent="0.25">
      <c r="A954" s="19">
        <v>541820</v>
      </c>
      <c r="B954" s="19" t="s">
        <v>4254</v>
      </c>
      <c r="C954" s="19">
        <v>541820</v>
      </c>
      <c r="D954" s="19" t="s">
        <v>4254</v>
      </c>
    </row>
    <row r="955" spans="1:4" x14ac:dyDescent="0.25">
      <c r="A955" s="19">
        <v>541830</v>
      </c>
      <c r="B955" s="19" t="s">
        <v>4256</v>
      </c>
      <c r="C955" s="19">
        <v>541830</v>
      </c>
      <c r="D955" s="19" t="s">
        <v>4256</v>
      </c>
    </row>
    <row r="956" spans="1:4" x14ac:dyDescent="0.25">
      <c r="A956" s="19">
        <v>541840</v>
      </c>
      <c r="B956" s="19" t="s">
        <v>4258</v>
      </c>
      <c r="C956" s="19">
        <v>541840</v>
      </c>
      <c r="D956" s="19" t="s">
        <v>4258</v>
      </c>
    </row>
    <row r="957" spans="1:4" x14ac:dyDescent="0.25">
      <c r="A957" s="19">
        <v>541850</v>
      </c>
      <c r="B957" s="19" t="s">
        <v>5994</v>
      </c>
      <c r="C957" s="19">
        <v>541850</v>
      </c>
      <c r="D957" s="19" t="s">
        <v>4260</v>
      </c>
    </row>
    <row r="958" spans="1:4" x14ac:dyDescent="0.25">
      <c r="A958" s="19">
        <v>541860</v>
      </c>
      <c r="B958" s="19" t="s">
        <v>4262</v>
      </c>
      <c r="C958" s="19">
        <v>541860</v>
      </c>
      <c r="D958" s="19" t="s">
        <v>4262</v>
      </c>
    </row>
    <row r="959" spans="1:4" x14ac:dyDescent="0.25">
      <c r="A959" s="19">
        <v>541870</v>
      </c>
      <c r="B959" s="19" t="s">
        <v>4264</v>
      </c>
      <c r="C959" s="19">
        <v>541870</v>
      </c>
      <c r="D959" s="19" t="s">
        <v>4264</v>
      </c>
    </row>
    <row r="960" spans="1:4" x14ac:dyDescent="0.25">
      <c r="A960" s="19">
        <v>541890</v>
      </c>
      <c r="B960" s="19" t="s">
        <v>4266</v>
      </c>
      <c r="C960" s="19">
        <v>541890</v>
      </c>
      <c r="D960" s="19" t="s">
        <v>4266</v>
      </c>
    </row>
    <row r="961" spans="1:4" ht="25.5" x14ac:dyDescent="0.25">
      <c r="A961" s="19">
        <v>541910</v>
      </c>
      <c r="B961" s="19" t="s">
        <v>4268</v>
      </c>
      <c r="C961" s="19">
        <v>541910</v>
      </c>
      <c r="D961" s="19" t="s">
        <v>4268</v>
      </c>
    </row>
    <row r="962" spans="1:4" x14ac:dyDescent="0.25">
      <c r="A962" s="19">
        <v>541921</v>
      </c>
      <c r="B962" s="19" t="s">
        <v>4270</v>
      </c>
      <c r="C962" s="19">
        <v>541921</v>
      </c>
      <c r="D962" s="19" t="s">
        <v>4270</v>
      </c>
    </row>
    <row r="963" spans="1:4" x14ac:dyDescent="0.25">
      <c r="A963" s="19">
        <v>541922</v>
      </c>
      <c r="B963" s="19" t="s">
        <v>4272</v>
      </c>
      <c r="C963" s="19">
        <v>541922</v>
      </c>
      <c r="D963" s="19" t="s">
        <v>4272</v>
      </c>
    </row>
    <row r="964" spans="1:4" x14ac:dyDescent="0.25">
      <c r="A964" s="19">
        <v>541930</v>
      </c>
      <c r="B964" s="19" t="s">
        <v>4274</v>
      </c>
      <c r="C964" s="19">
        <v>541930</v>
      </c>
      <c r="D964" s="19" t="s">
        <v>4274</v>
      </c>
    </row>
    <row r="965" spans="1:4" x14ac:dyDescent="0.25">
      <c r="A965" s="19">
        <v>541940</v>
      </c>
      <c r="B965" s="19" t="s">
        <v>4276</v>
      </c>
      <c r="C965" s="19">
        <v>541940</v>
      </c>
      <c r="D965" s="19" t="s">
        <v>4276</v>
      </c>
    </row>
    <row r="966" spans="1:4" ht="25.5" x14ac:dyDescent="0.25">
      <c r="A966" s="19">
        <v>541990</v>
      </c>
      <c r="B966" s="19" t="s">
        <v>4278</v>
      </c>
      <c r="C966" s="19">
        <v>541990</v>
      </c>
      <c r="D966" s="19" t="s">
        <v>4278</v>
      </c>
    </row>
    <row r="967" spans="1:4" x14ac:dyDescent="0.25">
      <c r="A967" s="19">
        <v>551111</v>
      </c>
      <c r="B967" s="19" t="s">
        <v>4280</v>
      </c>
      <c r="C967" s="19">
        <v>551111</v>
      </c>
      <c r="D967" s="19" t="s">
        <v>4280</v>
      </c>
    </row>
    <row r="968" spans="1:4" x14ac:dyDescent="0.25">
      <c r="A968" s="19">
        <v>551112</v>
      </c>
      <c r="B968" s="19" t="s">
        <v>4282</v>
      </c>
      <c r="C968" s="19">
        <v>551112</v>
      </c>
      <c r="D968" s="19" t="s">
        <v>4282</v>
      </c>
    </row>
    <row r="969" spans="1:4" ht="25.5" x14ac:dyDescent="0.25">
      <c r="A969" s="19">
        <v>551114</v>
      </c>
      <c r="B969" s="19" t="s">
        <v>4284</v>
      </c>
      <c r="C969" s="19">
        <v>551114</v>
      </c>
      <c r="D969" s="19" t="s">
        <v>4284</v>
      </c>
    </row>
    <row r="970" spans="1:4" x14ac:dyDescent="0.25">
      <c r="A970" s="19">
        <v>561110</v>
      </c>
      <c r="B970" s="19" t="s">
        <v>4286</v>
      </c>
      <c r="C970" s="19">
        <v>561110</v>
      </c>
      <c r="D970" s="19" t="s">
        <v>4286</v>
      </c>
    </row>
    <row r="971" spans="1:4" x14ac:dyDescent="0.25">
      <c r="A971" s="19">
        <v>561210</v>
      </c>
      <c r="B971" s="19" t="s">
        <v>4288</v>
      </c>
      <c r="C971" s="19">
        <v>561210</v>
      </c>
      <c r="D971" s="19" t="s">
        <v>4288</v>
      </c>
    </row>
    <row r="972" spans="1:4" x14ac:dyDescent="0.25">
      <c r="A972" s="19">
        <v>561311</v>
      </c>
      <c r="B972" s="19" t="s">
        <v>4290</v>
      </c>
      <c r="C972" s="19">
        <v>561311</v>
      </c>
      <c r="D972" s="19" t="s">
        <v>4290</v>
      </c>
    </row>
    <row r="973" spans="1:4" x14ac:dyDescent="0.25">
      <c r="A973" s="19">
        <v>561312</v>
      </c>
      <c r="B973" s="19" t="s">
        <v>4292</v>
      </c>
      <c r="C973" s="19">
        <v>561312</v>
      </c>
      <c r="D973" s="19" t="s">
        <v>4292</v>
      </c>
    </row>
    <row r="974" spans="1:4" x14ac:dyDescent="0.25">
      <c r="A974" s="19">
        <v>561320</v>
      </c>
      <c r="B974" s="19" t="s">
        <v>4294</v>
      </c>
      <c r="C974" s="19">
        <v>561320</v>
      </c>
      <c r="D974" s="19" t="s">
        <v>4294</v>
      </c>
    </row>
    <row r="975" spans="1:4" x14ac:dyDescent="0.25">
      <c r="A975" s="19">
        <v>561330</v>
      </c>
      <c r="B975" s="19" t="s">
        <v>4296</v>
      </c>
      <c r="C975" s="19">
        <v>561330</v>
      </c>
      <c r="D975" s="19" t="s">
        <v>4296</v>
      </c>
    </row>
    <row r="976" spans="1:4" x14ac:dyDescent="0.25">
      <c r="A976" s="19">
        <v>561410</v>
      </c>
      <c r="B976" s="19" t="s">
        <v>4298</v>
      </c>
      <c r="C976" s="19">
        <v>561410</v>
      </c>
      <c r="D976" s="19" t="s">
        <v>4298</v>
      </c>
    </row>
    <row r="977" spans="1:4" x14ac:dyDescent="0.25">
      <c r="A977" s="19">
        <v>561421</v>
      </c>
      <c r="B977" s="19" t="s">
        <v>4300</v>
      </c>
      <c r="C977" s="19">
        <v>561421</v>
      </c>
      <c r="D977" s="19" t="s">
        <v>4300</v>
      </c>
    </row>
    <row r="978" spans="1:4" ht="25.5" x14ac:dyDescent="0.25">
      <c r="A978" s="19">
        <v>561422</v>
      </c>
      <c r="B978" s="19" t="s">
        <v>4302</v>
      </c>
      <c r="C978" s="19">
        <v>561422</v>
      </c>
      <c r="D978" s="19" t="s">
        <v>4302</v>
      </c>
    </row>
    <row r="979" spans="1:4" x14ac:dyDescent="0.25">
      <c r="A979" s="19">
        <v>561431</v>
      </c>
      <c r="B979" s="19" t="s">
        <v>4304</v>
      </c>
      <c r="C979" s="19">
        <v>561431</v>
      </c>
      <c r="D979" s="19" t="s">
        <v>4304</v>
      </c>
    </row>
    <row r="980" spans="1:4" ht="25.5" x14ac:dyDescent="0.25">
      <c r="A980" s="19">
        <v>561439</v>
      </c>
      <c r="B980" s="19" t="s">
        <v>4306</v>
      </c>
      <c r="C980" s="19">
        <v>561439</v>
      </c>
      <c r="D980" s="19" t="s">
        <v>4306</v>
      </c>
    </row>
    <row r="981" spans="1:4" x14ac:dyDescent="0.25">
      <c r="A981" s="19">
        <v>561440</v>
      </c>
      <c r="B981" s="19" t="s">
        <v>4308</v>
      </c>
      <c r="C981" s="19">
        <v>561440</v>
      </c>
      <c r="D981" s="19" t="s">
        <v>4308</v>
      </c>
    </row>
    <row r="982" spans="1:4" x14ac:dyDescent="0.25">
      <c r="A982" s="19">
        <v>561450</v>
      </c>
      <c r="B982" s="19" t="s">
        <v>4310</v>
      </c>
      <c r="C982" s="19">
        <v>561450</v>
      </c>
      <c r="D982" s="19" t="s">
        <v>4310</v>
      </c>
    </row>
    <row r="983" spans="1:4" x14ac:dyDescent="0.25">
      <c r="A983" s="19">
        <v>561491</v>
      </c>
      <c r="B983" s="19" t="s">
        <v>4312</v>
      </c>
      <c r="C983" s="19">
        <v>561491</v>
      </c>
      <c r="D983" s="19" t="s">
        <v>4312</v>
      </c>
    </row>
    <row r="984" spans="1:4" x14ac:dyDescent="0.25">
      <c r="A984" s="19">
        <v>561492</v>
      </c>
      <c r="B984" s="19" t="s">
        <v>4314</v>
      </c>
      <c r="C984" s="19">
        <v>561492</v>
      </c>
      <c r="D984" s="19" t="s">
        <v>4314</v>
      </c>
    </row>
    <row r="985" spans="1:4" x14ac:dyDescent="0.25">
      <c r="A985" s="19">
        <v>561499</v>
      </c>
      <c r="B985" s="19" t="s">
        <v>4316</v>
      </c>
      <c r="C985" s="19">
        <v>561499</v>
      </c>
      <c r="D985" s="19" t="s">
        <v>4316</v>
      </c>
    </row>
    <row r="986" spans="1:4" x14ac:dyDescent="0.25">
      <c r="A986" s="19">
        <v>561510</v>
      </c>
      <c r="B986" s="19" t="s">
        <v>4318</v>
      </c>
      <c r="C986" s="19">
        <v>561510</v>
      </c>
      <c r="D986" s="19" t="s">
        <v>4318</v>
      </c>
    </row>
    <row r="987" spans="1:4" x14ac:dyDescent="0.25">
      <c r="A987" s="19">
        <v>561520</v>
      </c>
      <c r="B987" s="19" t="s">
        <v>4320</v>
      </c>
      <c r="C987" s="19">
        <v>561520</v>
      </c>
      <c r="D987" s="19" t="s">
        <v>4320</v>
      </c>
    </row>
    <row r="988" spans="1:4" x14ac:dyDescent="0.25">
      <c r="A988" s="19">
        <v>561591</v>
      </c>
      <c r="B988" s="19" t="s">
        <v>4322</v>
      </c>
      <c r="C988" s="19">
        <v>561591</v>
      </c>
      <c r="D988" s="19" t="s">
        <v>4322</v>
      </c>
    </row>
    <row r="989" spans="1:4" ht="25.5" x14ac:dyDescent="0.25">
      <c r="A989" s="19">
        <v>561599</v>
      </c>
      <c r="B989" s="19" t="s">
        <v>4324</v>
      </c>
      <c r="C989" s="19">
        <v>561599</v>
      </c>
      <c r="D989" s="19" t="s">
        <v>4324</v>
      </c>
    </row>
    <row r="990" spans="1:4" x14ac:dyDescent="0.25">
      <c r="A990" s="19">
        <v>561611</v>
      </c>
      <c r="B990" s="19" t="s">
        <v>4326</v>
      </c>
      <c r="C990" s="19">
        <v>561611</v>
      </c>
      <c r="D990" s="19" t="s">
        <v>4326</v>
      </c>
    </row>
    <row r="991" spans="1:4" x14ac:dyDescent="0.25">
      <c r="A991" s="19">
        <v>561612</v>
      </c>
      <c r="B991" s="19" t="s">
        <v>4328</v>
      </c>
      <c r="C991" s="19">
        <v>561612</v>
      </c>
      <c r="D991" s="19" t="s">
        <v>4328</v>
      </c>
    </row>
    <row r="992" spans="1:4" x14ac:dyDescent="0.25">
      <c r="A992" s="19">
        <v>561613</v>
      </c>
      <c r="B992" s="19" t="s">
        <v>4330</v>
      </c>
      <c r="C992" s="19">
        <v>561613</v>
      </c>
      <c r="D992" s="19" t="s">
        <v>4330</v>
      </c>
    </row>
    <row r="993" spans="1:4" ht="25.5" x14ac:dyDescent="0.25">
      <c r="A993" s="19">
        <v>561621</v>
      </c>
      <c r="B993" s="19" t="s">
        <v>4332</v>
      </c>
      <c r="C993" s="19">
        <v>561621</v>
      </c>
      <c r="D993" s="19" t="s">
        <v>4332</v>
      </c>
    </row>
    <row r="994" spans="1:4" x14ac:dyDescent="0.25">
      <c r="A994" s="19">
        <v>561622</v>
      </c>
      <c r="B994" s="19" t="s">
        <v>4334</v>
      </c>
      <c r="C994" s="19">
        <v>561622</v>
      </c>
      <c r="D994" s="19" t="s">
        <v>4334</v>
      </c>
    </row>
    <row r="995" spans="1:4" x14ac:dyDescent="0.25">
      <c r="A995" s="19">
        <v>561710</v>
      </c>
      <c r="B995" s="19" t="s">
        <v>4335</v>
      </c>
      <c r="C995" s="19">
        <v>561710</v>
      </c>
      <c r="D995" s="19" t="s">
        <v>4335</v>
      </c>
    </row>
    <row r="996" spans="1:4" x14ac:dyDescent="0.25">
      <c r="A996" s="19">
        <v>561720</v>
      </c>
      <c r="B996" s="19" t="s">
        <v>4337</v>
      </c>
      <c r="C996" s="19">
        <v>561720</v>
      </c>
      <c r="D996" s="19" t="s">
        <v>4337</v>
      </c>
    </row>
    <row r="997" spans="1:4" x14ac:dyDescent="0.25">
      <c r="A997" s="19">
        <v>561730</v>
      </c>
      <c r="B997" s="19" t="s">
        <v>4339</v>
      </c>
      <c r="C997" s="19">
        <v>561730</v>
      </c>
      <c r="D997" s="19" t="s">
        <v>4339</v>
      </c>
    </row>
    <row r="998" spans="1:4" ht="25.5" x14ac:dyDescent="0.25">
      <c r="A998" s="19">
        <v>561740</v>
      </c>
      <c r="B998" s="19" t="s">
        <v>4341</v>
      </c>
      <c r="C998" s="19">
        <v>561740</v>
      </c>
      <c r="D998" s="19" t="s">
        <v>4341</v>
      </c>
    </row>
    <row r="999" spans="1:4" ht="25.5" x14ac:dyDescent="0.25">
      <c r="A999" s="19">
        <v>561790</v>
      </c>
      <c r="B999" s="19" t="s">
        <v>4343</v>
      </c>
      <c r="C999" s="19">
        <v>561790</v>
      </c>
      <c r="D999" s="19" t="s">
        <v>4343</v>
      </c>
    </row>
    <row r="1000" spans="1:4" x14ac:dyDescent="0.25">
      <c r="A1000" s="19">
        <v>561910</v>
      </c>
      <c r="B1000" s="19" t="s">
        <v>4345</v>
      </c>
      <c r="C1000" s="19">
        <v>561910</v>
      </c>
      <c r="D1000" s="19" t="s">
        <v>4345</v>
      </c>
    </row>
    <row r="1001" spans="1:4" x14ac:dyDescent="0.25">
      <c r="A1001" s="19">
        <v>561920</v>
      </c>
      <c r="B1001" s="19" t="s">
        <v>4347</v>
      </c>
      <c r="C1001" s="19">
        <v>561920</v>
      </c>
      <c r="D1001" s="19" t="s">
        <v>4347</v>
      </c>
    </row>
    <row r="1002" spans="1:4" x14ac:dyDescent="0.25">
      <c r="A1002" s="19">
        <v>561990</v>
      </c>
      <c r="B1002" s="19" t="s">
        <v>4349</v>
      </c>
      <c r="C1002" s="19">
        <v>561990</v>
      </c>
      <c r="D1002" s="19" t="s">
        <v>4349</v>
      </c>
    </row>
    <row r="1003" spans="1:4" x14ac:dyDescent="0.25">
      <c r="A1003" s="19">
        <v>562111</v>
      </c>
      <c r="B1003" s="19" t="s">
        <v>4351</v>
      </c>
      <c r="C1003" s="19">
        <v>562111</v>
      </c>
      <c r="D1003" s="19" t="s">
        <v>4351</v>
      </c>
    </row>
    <row r="1004" spans="1:4" x14ac:dyDescent="0.25">
      <c r="A1004" s="19">
        <v>562112</v>
      </c>
      <c r="B1004" s="19" t="s">
        <v>4353</v>
      </c>
      <c r="C1004" s="19">
        <v>562112</v>
      </c>
      <c r="D1004" s="19" t="s">
        <v>4353</v>
      </c>
    </row>
    <row r="1005" spans="1:4" x14ac:dyDescent="0.25">
      <c r="A1005" s="19">
        <v>562119</v>
      </c>
      <c r="B1005" s="19" t="s">
        <v>4355</v>
      </c>
      <c r="C1005" s="19">
        <v>562119</v>
      </c>
      <c r="D1005" s="19" t="s">
        <v>4355</v>
      </c>
    </row>
    <row r="1006" spans="1:4" ht="25.5" x14ac:dyDescent="0.25">
      <c r="A1006" s="19">
        <v>562211</v>
      </c>
      <c r="B1006" s="19" t="s">
        <v>2409</v>
      </c>
      <c r="C1006" s="19">
        <v>562211</v>
      </c>
      <c r="D1006" s="19" t="s">
        <v>2409</v>
      </c>
    </row>
    <row r="1007" spans="1:4" x14ac:dyDescent="0.25">
      <c r="A1007" s="19">
        <v>562212</v>
      </c>
      <c r="B1007" s="19" t="s">
        <v>4358</v>
      </c>
      <c r="C1007" s="19">
        <v>562212</v>
      </c>
      <c r="D1007" s="19" t="s">
        <v>4358</v>
      </c>
    </row>
    <row r="1008" spans="1:4" ht="25.5" x14ac:dyDescent="0.25">
      <c r="A1008" s="19">
        <v>562213</v>
      </c>
      <c r="B1008" s="19" t="s">
        <v>2416</v>
      </c>
      <c r="C1008" s="19">
        <v>562213</v>
      </c>
      <c r="D1008" s="19" t="s">
        <v>2416</v>
      </c>
    </row>
    <row r="1009" spans="1:4" ht="25.5" x14ac:dyDescent="0.25">
      <c r="A1009" s="19">
        <v>562219</v>
      </c>
      <c r="B1009" s="19" t="s">
        <v>4361</v>
      </c>
      <c r="C1009" s="19">
        <v>562219</v>
      </c>
      <c r="D1009" s="19" t="s">
        <v>4361</v>
      </c>
    </row>
    <row r="1010" spans="1:4" x14ac:dyDescent="0.25">
      <c r="A1010" s="19">
        <v>562910</v>
      </c>
      <c r="B1010" s="19" t="s">
        <v>4363</v>
      </c>
      <c r="C1010" s="19">
        <v>562910</v>
      </c>
      <c r="D1010" s="19" t="s">
        <v>4363</v>
      </c>
    </row>
    <row r="1011" spans="1:4" x14ac:dyDescent="0.25">
      <c r="A1011" s="19">
        <v>562920</v>
      </c>
      <c r="B1011" s="19" t="s">
        <v>4365</v>
      </c>
      <c r="C1011" s="19">
        <v>562920</v>
      </c>
      <c r="D1011" s="19" t="s">
        <v>4365</v>
      </c>
    </row>
    <row r="1012" spans="1:4" x14ac:dyDescent="0.25">
      <c r="A1012" s="19">
        <v>562991</v>
      </c>
      <c r="B1012" s="19" t="s">
        <v>4367</v>
      </c>
      <c r="C1012" s="19">
        <v>562991</v>
      </c>
      <c r="D1012" s="19" t="s">
        <v>4367</v>
      </c>
    </row>
    <row r="1013" spans="1:4" ht="25.5" x14ac:dyDescent="0.25">
      <c r="A1013" s="19">
        <v>562998</v>
      </c>
      <c r="B1013" s="19" t="s">
        <v>4369</v>
      </c>
      <c r="C1013" s="19">
        <v>562998</v>
      </c>
      <c r="D1013" s="19" t="s">
        <v>4369</v>
      </c>
    </row>
    <row r="1014" spans="1:4" x14ac:dyDescent="0.25">
      <c r="A1014" s="19">
        <v>611110</v>
      </c>
      <c r="B1014" s="19" t="s">
        <v>4371</v>
      </c>
      <c r="C1014" s="19">
        <v>611110</v>
      </c>
      <c r="D1014" s="19" t="s">
        <v>4371</v>
      </c>
    </row>
    <row r="1015" spans="1:4" x14ac:dyDescent="0.25">
      <c r="A1015" s="19">
        <v>611210</v>
      </c>
      <c r="B1015" s="19" t="s">
        <v>4373</v>
      </c>
      <c r="C1015" s="19">
        <v>611210</v>
      </c>
      <c r="D1015" s="19" t="s">
        <v>4373</v>
      </c>
    </row>
    <row r="1016" spans="1:4" ht="25.5" x14ac:dyDescent="0.25">
      <c r="A1016" s="19">
        <v>611310</v>
      </c>
      <c r="B1016" s="19" t="s">
        <v>4375</v>
      </c>
      <c r="C1016" s="19">
        <v>611310</v>
      </c>
      <c r="D1016" s="19" t="s">
        <v>4375</v>
      </c>
    </row>
    <row r="1017" spans="1:4" x14ac:dyDescent="0.25">
      <c r="A1017" s="19">
        <v>611410</v>
      </c>
      <c r="B1017" s="19" t="s">
        <v>4377</v>
      </c>
      <c r="C1017" s="19">
        <v>611410</v>
      </c>
      <c r="D1017" s="19" t="s">
        <v>4377</v>
      </c>
    </row>
    <row r="1018" spans="1:4" x14ac:dyDescent="0.25">
      <c r="A1018" s="19">
        <v>611420</v>
      </c>
      <c r="B1018" s="19" t="s">
        <v>4379</v>
      </c>
      <c r="C1018" s="19">
        <v>611420</v>
      </c>
      <c r="D1018" s="19" t="s">
        <v>4379</v>
      </c>
    </row>
    <row r="1019" spans="1:4" ht="25.5" x14ac:dyDescent="0.25">
      <c r="A1019" s="19">
        <v>611430</v>
      </c>
      <c r="B1019" s="19" t="s">
        <v>4381</v>
      </c>
      <c r="C1019" s="19">
        <v>611430</v>
      </c>
      <c r="D1019" s="19" t="s">
        <v>4381</v>
      </c>
    </row>
    <row r="1020" spans="1:4" x14ac:dyDescent="0.25">
      <c r="A1020" s="19">
        <v>611511</v>
      </c>
      <c r="B1020" s="19" t="s">
        <v>4383</v>
      </c>
      <c r="C1020" s="19">
        <v>611511</v>
      </c>
      <c r="D1020" s="19" t="s">
        <v>4383</v>
      </c>
    </row>
    <row r="1021" spans="1:4" x14ac:dyDescent="0.25">
      <c r="A1021" s="19">
        <v>611512</v>
      </c>
      <c r="B1021" s="19" t="s">
        <v>4385</v>
      </c>
      <c r="C1021" s="19">
        <v>611512</v>
      </c>
      <c r="D1021" s="19" t="s">
        <v>4385</v>
      </c>
    </row>
    <row r="1022" spans="1:4" x14ac:dyDescent="0.25">
      <c r="A1022" s="19">
        <v>611513</v>
      </c>
      <c r="B1022" s="19" t="s">
        <v>4387</v>
      </c>
      <c r="C1022" s="19">
        <v>611513</v>
      </c>
      <c r="D1022" s="19" t="s">
        <v>4387</v>
      </c>
    </row>
    <row r="1023" spans="1:4" x14ac:dyDescent="0.25">
      <c r="A1023" s="19">
        <v>611519</v>
      </c>
      <c r="B1023" s="19" t="s">
        <v>4389</v>
      </c>
      <c r="C1023" s="19">
        <v>611519</v>
      </c>
      <c r="D1023" s="19" t="s">
        <v>4389</v>
      </c>
    </row>
    <row r="1024" spans="1:4" x14ac:dyDescent="0.25">
      <c r="A1024" s="19">
        <v>611610</v>
      </c>
      <c r="B1024" s="19" t="s">
        <v>4391</v>
      </c>
      <c r="C1024" s="19">
        <v>611610</v>
      </c>
      <c r="D1024" s="19" t="s">
        <v>4391</v>
      </c>
    </row>
    <row r="1025" spans="1:4" x14ac:dyDescent="0.25">
      <c r="A1025" s="19">
        <v>611620</v>
      </c>
      <c r="B1025" s="19" t="s">
        <v>4393</v>
      </c>
      <c r="C1025" s="19">
        <v>611620</v>
      </c>
      <c r="D1025" s="19" t="s">
        <v>4393</v>
      </c>
    </row>
    <row r="1026" spans="1:4" x14ac:dyDescent="0.25">
      <c r="A1026" s="19">
        <v>611630</v>
      </c>
      <c r="B1026" s="19" t="s">
        <v>4395</v>
      </c>
      <c r="C1026" s="19">
        <v>611630</v>
      </c>
      <c r="D1026" s="19" t="s">
        <v>4395</v>
      </c>
    </row>
    <row r="1027" spans="1:4" x14ac:dyDescent="0.25">
      <c r="A1027" s="19">
        <v>611691</v>
      </c>
      <c r="B1027" s="19" t="s">
        <v>4397</v>
      </c>
      <c r="C1027" s="19">
        <v>611691</v>
      </c>
      <c r="D1027" s="19" t="s">
        <v>4397</v>
      </c>
    </row>
    <row r="1028" spans="1:4" x14ac:dyDescent="0.25">
      <c r="A1028" s="19">
        <v>611692</v>
      </c>
      <c r="B1028" s="19" t="s">
        <v>4399</v>
      </c>
      <c r="C1028" s="19">
        <v>611692</v>
      </c>
      <c r="D1028" s="19" t="s">
        <v>4399</v>
      </c>
    </row>
    <row r="1029" spans="1:4" ht="25.5" x14ac:dyDescent="0.25">
      <c r="A1029" s="19">
        <v>611699</v>
      </c>
      <c r="B1029" s="19" t="s">
        <v>4401</v>
      </c>
      <c r="C1029" s="19">
        <v>611699</v>
      </c>
      <c r="D1029" s="19" t="s">
        <v>4401</v>
      </c>
    </row>
    <row r="1030" spans="1:4" x14ac:dyDescent="0.25">
      <c r="A1030" s="19">
        <v>611710</v>
      </c>
      <c r="B1030" s="19" t="s">
        <v>4403</v>
      </c>
      <c r="C1030" s="19">
        <v>611710</v>
      </c>
      <c r="D1030" s="19" t="s">
        <v>4403</v>
      </c>
    </row>
    <row r="1031" spans="1:4" ht="25.5" x14ac:dyDescent="0.25">
      <c r="A1031" s="19">
        <v>621111</v>
      </c>
      <c r="B1031" s="19" t="s">
        <v>4405</v>
      </c>
      <c r="C1031" s="19">
        <v>621111</v>
      </c>
      <c r="D1031" s="19" t="s">
        <v>4405</v>
      </c>
    </row>
    <row r="1032" spans="1:4" ht="25.5" x14ac:dyDescent="0.25">
      <c r="A1032" s="19">
        <v>621112</v>
      </c>
      <c r="B1032" s="19" t="s">
        <v>4407</v>
      </c>
      <c r="C1032" s="19">
        <v>621112</v>
      </c>
      <c r="D1032" s="19" t="s">
        <v>4407</v>
      </c>
    </row>
    <row r="1033" spans="1:4" x14ac:dyDescent="0.25">
      <c r="A1033" s="19">
        <v>621210</v>
      </c>
      <c r="B1033" s="19" t="s">
        <v>4409</v>
      </c>
      <c r="C1033" s="19">
        <v>621210</v>
      </c>
      <c r="D1033" s="19" t="s">
        <v>4409</v>
      </c>
    </row>
    <row r="1034" spans="1:4" x14ac:dyDescent="0.25">
      <c r="A1034" s="19">
        <v>621310</v>
      </c>
      <c r="B1034" s="19" t="s">
        <v>4411</v>
      </c>
      <c r="C1034" s="19">
        <v>621310</v>
      </c>
      <c r="D1034" s="19" t="s">
        <v>4411</v>
      </c>
    </row>
    <row r="1035" spans="1:4" x14ac:dyDescent="0.25">
      <c r="A1035" s="19">
        <v>621320</v>
      </c>
      <c r="B1035" s="19" t="s">
        <v>4413</v>
      </c>
      <c r="C1035" s="19">
        <v>621320</v>
      </c>
      <c r="D1035" s="19" t="s">
        <v>4413</v>
      </c>
    </row>
    <row r="1036" spans="1:4" ht="25.5" x14ac:dyDescent="0.25">
      <c r="A1036" s="19">
        <v>621330</v>
      </c>
      <c r="B1036" s="19" t="s">
        <v>4415</v>
      </c>
      <c r="C1036" s="19">
        <v>621330</v>
      </c>
      <c r="D1036" s="19" t="s">
        <v>4415</v>
      </c>
    </row>
    <row r="1037" spans="1:4" ht="25.5" x14ac:dyDescent="0.25">
      <c r="A1037" s="19">
        <v>621340</v>
      </c>
      <c r="B1037" s="19" t="s">
        <v>4417</v>
      </c>
      <c r="C1037" s="19">
        <v>621340</v>
      </c>
      <c r="D1037" s="19" t="s">
        <v>4417</v>
      </c>
    </row>
    <row r="1038" spans="1:4" x14ac:dyDescent="0.25">
      <c r="A1038" s="19">
        <v>621391</v>
      </c>
      <c r="B1038" s="19" t="s">
        <v>4419</v>
      </c>
      <c r="C1038" s="19">
        <v>621391</v>
      </c>
      <c r="D1038" s="19" t="s">
        <v>4419</v>
      </c>
    </row>
    <row r="1039" spans="1:4" ht="25.5" x14ac:dyDescent="0.25">
      <c r="A1039" s="19">
        <v>621399</v>
      </c>
      <c r="B1039" s="19" t="s">
        <v>4421</v>
      </c>
      <c r="C1039" s="19">
        <v>621399</v>
      </c>
      <c r="D1039" s="19" t="s">
        <v>4421</v>
      </c>
    </row>
    <row r="1040" spans="1:4" x14ac:dyDescent="0.25">
      <c r="A1040" s="19">
        <v>621410</v>
      </c>
      <c r="B1040" s="19" t="s">
        <v>4423</v>
      </c>
      <c r="C1040" s="19">
        <v>621410</v>
      </c>
      <c r="D1040" s="19" t="s">
        <v>4423</v>
      </c>
    </row>
    <row r="1041" spans="1:4" ht="25.5" x14ac:dyDescent="0.25">
      <c r="A1041" s="19">
        <v>621420</v>
      </c>
      <c r="B1041" s="19" t="s">
        <v>4425</v>
      </c>
      <c r="C1041" s="19">
        <v>621420</v>
      </c>
      <c r="D1041" s="19" t="s">
        <v>4425</v>
      </c>
    </row>
    <row r="1042" spans="1:4" x14ac:dyDescent="0.25">
      <c r="A1042" s="19">
        <v>621491</v>
      </c>
      <c r="B1042" s="19" t="s">
        <v>4427</v>
      </c>
      <c r="C1042" s="19">
        <v>621491</v>
      </c>
      <c r="D1042" s="19" t="s">
        <v>4427</v>
      </c>
    </row>
    <row r="1043" spans="1:4" x14ac:dyDescent="0.25">
      <c r="A1043" s="19">
        <v>621492</v>
      </c>
      <c r="B1043" s="19" t="s">
        <v>4429</v>
      </c>
      <c r="C1043" s="19">
        <v>621492</v>
      </c>
      <c r="D1043" s="19" t="s">
        <v>4429</v>
      </c>
    </row>
    <row r="1044" spans="1:4" ht="25.5" x14ac:dyDescent="0.25">
      <c r="A1044" s="19">
        <v>621493</v>
      </c>
      <c r="B1044" s="19" t="s">
        <v>4431</v>
      </c>
      <c r="C1044" s="19">
        <v>621493</v>
      </c>
      <c r="D1044" s="19" t="s">
        <v>4431</v>
      </c>
    </row>
    <row r="1045" spans="1:4" x14ac:dyDescent="0.25">
      <c r="A1045" s="19">
        <v>621498</v>
      </c>
      <c r="B1045" s="19" t="s">
        <v>4433</v>
      </c>
      <c r="C1045" s="19">
        <v>621498</v>
      </c>
      <c r="D1045" s="19" t="s">
        <v>4433</v>
      </c>
    </row>
    <row r="1046" spans="1:4" x14ac:dyDescent="0.25">
      <c r="A1046" s="19">
        <v>621511</v>
      </c>
      <c r="B1046" s="19" t="s">
        <v>4434</v>
      </c>
      <c r="C1046" s="19">
        <v>621511</v>
      </c>
      <c r="D1046" s="19" t="s">
        <v>4434</v>
      </c>
    </row>
    <row r="1047" spans="1:4" x14ac:dyDescent="0.25">
      <c r="A1047" s="19">
        <v>621512</v>
      </c>
      <c r="B1047" s="19" t="s">
        <v>4436</v>
      </c>
      <c r="C1047" s="19">
        <v>621512</v>
      </c>
      <c r="D1047" s="19" t="s">
        <v>4436</v>
      </c>
    </row>
    <row r="1048" spans="1:4" x14ac:dyDescent="0.25">
      <c r="A1048" s="19">
        <v>621610</v>
      </c>
      <c r="B1048" s="19" t="s">
        <v>4438</v>
      </c>
      <c r="C1048" s="19">
        <v>621610</v>
      </c>
      <c r="D1048" s="19" t="s">
        <v>4438</v>
      </c>
    </row>
    <row r="1049" spans="1:4" x14ac:dyDescent="0.25">
      <c r="A1049" s="19">
        <v>621910</v>
      </c>
      <c r="B1049" s="19" t="s">
        <v>4440</v>
      </c>
      <c r="C1049" s="19">
        <v>621910</v>
      </c>
      <c r="D1049" s="19" t="s">
        <v>4440</v>
      </c>
    </row>
    <row r="1050" spans="1:4" x14ac:dyDescent="0.25">
      <c r="A1050" s="19">
        <v>621991</v>
      </c>
      <c r="B1050" s="19" t="s">
        <v>4442</v>
      </c>
      <c r="C1050" s="19">
        <v>621991</v>
      </c>
      <c r="D1050" s="19" t="s">
        <v>4442</v>
      </c>
    </row>
    <row r="1051" spans="1:4" ht="25.5" x14ac:dyDescent="0.25">
      <c r="A1051" s="19">
        <v>621999</v>
      </c>
      <c r="B1051" s="19" t="s">
        <v>4444</v>
      </c>
      <c r="C1051" s="19">
        <v>621999</v>
      </c>
      <c r="D1051" s="19" t="s">
        <v>4444</v>
      </c>
    </row>
    <row r="1052" spans="1:4" x14ac:dyDescent="0.25">
      <c r="A1052" s="19">
        <v>622110</v>
      </c>
      <c r="B1052" s="19" t="s">
        <v>4446</v>
      </c>
      <c r="C1052" s="19">
        <v>622110</v>
      </c>
      <c r="D1052" s="19" t="s">
        <v>4446</v>
      </c>
    </row>
    <row r="1053" spans="1:4" ht="25.5" x14ac:dyDescent="0.25">
      <c r="A1053" s="19">
        <v>622210</v>
      </c>
      <c r="B1053" s="19" t="s">
        <v>4448</v>
      </c>
      <c r="C1053" s="19">
        <v>622210</v>
      </c>
      <c r="D1053" s="19" t="s">
        <v>4448</v>
      </c>
    </row>
    <row r="1054" spans="1:4" ht="25.5" x14ac:dyDescent="0.25">
      <c r="A1054" s="19">
        <v>622310</v>
      </c>
      <c r="B1054" s="19" t="s">
        <v>4450</v>
      </c>
      <c r="C1054" s="19">
        <v>622310</v>
      </c>
      <c r="D1054" s="19" t="s">
        <v>4450</v>
      </c>
    </row>
    <row r="1055" spans="1:4" ht="25.5" x14ac:dyDescent="0.25">
      <c r="A1055" s="19">
        <v>623110</v>
      </c>
      <c r="B1055" s="19" t="s">
        <v>6010</v>
      </c>
      <c r="C1055" s="19">
        <v>623110</v>
      </c>
      <c r="D1055" s="19" t="s">
        <v>4452</v>
      </c>
    </row>
    <row r="1056" spans="1:4" ht="25.5" x14ac:dyDescent="0.25">
      <c r="A1056" s="19">
        <v>623210</v>
      </c>
      <c r="B1056" s="19" t="s">
        <v>6011</v>
      </c>
      <c r="C1056" s="19">
        <v>623210</v>
      </c>
      <c r="D1056" s="19" t="s">
        <v>4454</v>
      </c>
    </row>
    <row r="1057" spans="1:4" ht="25.5" x14ac:dyDescent="0.25">
      <c r="A1057" s="19">
        <v>623220</v>
      </c>
      <c r="B1057" s="19" t="s">
        <v>4456</v>
      </c>
      <c r="C1057" s="19">
        <v>623220</v>
      </c>
      <c r="D1057" s="19" t="s">
        <v>4456</v>
      </c>
    </row>
    <row r="1058" spans="1:4" ht="25.5" x14ac:dyDescent="0.25">
      <c r="A1058" s="19">
        <v>623311</v>
      </c>
      <c r="B1058" s="19" t="s">
        <v>4458</v>
      </c>
      <c r="C1058" s="19">
        <v>623311</v>
      </c>
      <c r="D1058" s="19" t="s">
        <v>4458</v>
      </c>
    </row>
    <row r="1059" spans="1:4" x14ac:dyDescent="0.25">
      <c r="A1059" s="19">
        <v>623312</v>
      </c>
      <c r="B1059" s="19" t="s">
        <v>6015</v>
      </c>
      <c r="C1059" s="19">
        <v>623312</v>
      </c>
      <c r="D1059" s="19" t="s">
        <v>4460</v>
      </c>
    </row>
    <row r="1060" spans="1:4" x14ac:dyDescent="0.25">
      <c r="A1060" s="19">
        <v>623990</v>
      </c>
      <c r="B1060" s="19" t="s">
        <v>4462</v>
      </c>
      <c r="C1060" s="19">
        <v>623990</v>
      </c>
      <c r="D1060" s="19" t="s">
        <v>4462</v>
      </c>
    </row>
    <row r="1061" spans="1:4" x14ac:dyDescent="0.25">
      <c r="A1061" s="19">
        <v>624110</v>
      </c>
      <c r="B1061" s="19" t="s">
        <v>4464</v>
      </c>
      <c r="C1061" s="19">
        <v>624110</v>
      </c>
      <c r="D1061" s="19" t="s">
        <v>4464</v>
      </c>
    </row>
    <row r="1062" spans="1:4" ht="25.5" x14ac:dyDescent="0.25">
      <c r="A1062" s="19">
        <v>624120</v>
      </c>
      <c r="B1062" s="19" t="s">
        <v>4466</v>
      </c>
      <c r="C1062" s="19">
        <v>624120</v>
      </c>
      <c r="D1062" s="19" t="s">
        <v>4466</v>
      </c>
    </row>
    <row r="1063" spans="1:4" x14ac:dyDescent="0.25">
      <c r="A1063" s="19">
        <v>624190</v>
      </c>
      <c r="B1063" s="19" t="s">
        <v>4468</v>
      </c>
      <c r="C1063" s="19">
        <v>624190</v>
      </c>
      <c r="D1063" s="19" t="s">
        <v>4468</v>
      </c>
    </row>
    <row r="1064" spans="1:4" x14ac:dyDescent="0.25">
      <c r="A1064" s="19">
        <v>624210</v>
      </c>
      <c r="B1064" s="19" t="s">
        <v>4470</v>
      </c>
      <c r="C1064" s="19">
        <v>624210</v>
      </c>
      <c r="D1064" s="19" t="s">
        <v>4470</v>
      </c>
    </row>
    <row r="1065" spans="1:4" x14ac:dyDescent="0.25">
      <c r="A1065" s="19">
        <v>624221</v>
      </c>
      <c r="B1065" s="19" t="s">
        <v>4472</v>
      </c>
      <c r="C1065" s="19">
        <v>624221</v>
      </c>
      <c r="D1065" s="19" t="s">
        <v>4472</v>
      </c>
    </row>
    <row r="1066" spans="1:4" x14ac:dyDescent="0.25">
      <c r="A1066" s="19">
        <v>624229</v>
      </c>
      <c r="B1066" s="19" t="s">
        <v>4474</v>
      </c>
      <c r="C1066" s="19">
        <v>624229</v>
      </c>
      <c r="D1066" s="19" t="s">
        <v>4474</v>
      </c>
    </row>
    <row r="1067" spans="1:4" x14ac:dyDescent="0.25">
      <c r="A1067" s="19">
        <v>624230</v>
      </c>
      <c r="B1067" s="19" t="s">
        <v>4476</v>
      </c>
      <c r="C1067" s="19">
        <v>624230</v>
      </c>
      <c r="D1067" s="19" t="s">
        <v>4476</v>
      </c>
    </row>
    <row r="1068" spans="1:4" x14ac:dyDescent="0.25">
      <c r="A1068" s="19">
        <v>624310</v>
      </c>
      <c r="B1068" s="19" t="s">
        <v>4478</v>
      </c>
      <c r="C1068" s="19">
        <v>624310</v>
      </c>
      <c r="D1068" s="19" t="s">
        <v>4478</v>
      </c>
    </row>
    <row r="1069" spans="1:4" x14ac:dyDescent="0.25">
      <c r="A1069" s="19">
        <v>624410</v>
      </c>
      <c r="B1069" s="19" t="s">
        <v>4480</v>
      </c>
      <c r="C1069" s="19">
        <v>624410</v>
      </c>
      <c r="D1069" s="19" t="s">
        <v>4480</v>
      </c>
    </row>
    <row r="1070" spans="1:4" x14ac:dyDescent="0.25">
      <c r="A1070" s="19">
        <v>711110</v>
      </c>
      <c r="B1070" s="19" t="s">
        <v>4482</v>
      </c>
      <c r="C1070" s="19">
        <v>711110</v>
      </c>
      <c r="D1070" s="19" t="s">
        <v>4482</v>
      </c>
    </row>
    <row r="1071" spans="1:4" x14ac:dyDescent="0.25">
      <c r="A1071" s="19">
        <v>711120</v>
      </c>
      <c r="B1071" s="19" t="s">
        <v>4484</v>
      </c>
      <c r="C1071" s="19">
        <v>711120</v>
      </c>
      <c r="D1071" s="19" t="s">
        <v>4484</v>
      </c>
    </row>
    <row r="1072" spans="1:4" x14ac:dyDescent="0.25">
      <c r="A1072" s="19">
        <v>711130</v>
      </c>
      <c r="B1072" s="19" t="s">
        <v>4486</v>
      </c>
      <c r="C1072" s="19">
        <v>711130</v>
      </c>
      <c r="D1072" s="19" t="s">
        <v>4486</v>
      </c>
    </row>
    <row r="1073" spans="1:4" x14ac:dyDescent="0.25">
      <c r="A1073" s="19">
        <v>711190</v>
      </c>
      <c r="B1073" s="19" t="s">
        <v>4488</v>
      </c>
      <c r="C1073" s="19">
        <v>711190</v>
      </c>
      <c r="D1073" s="19" t="s">
        <v>4488</v>
      </c>
    </row>
    <row r="1074" spans="1:4" x14ac:dyDescent="0.25">
      <c r="A1074" s="19">
        <v>711211</v>
      </c>
      <c r="B1074" s="19" t="s">
        <v>4490</v>
      </c>
      <c r="C1074" s="19">
        <v>711211</v>
      </c>
      <c r="D1074" s="19" t="s">
        <v>4490</v>
      </c>
    </row>
    <row r="1075" spans="1:4" x14ac:dyDescent="0.25">
      <c r="A1075" s="19">
        <v>711212</v>
      </c>
      <c r="B1075" s="19" t="s">
        <v>4492</v>
      </c>
      <c r="C1075" s="19">
        <v>711212</v>
      </c>
      <c r="D1075" s="19" t="s">
        <v>4492</v>
      </c>
    </row>
    <row r="1076" spans="1:4" x14ac:dyDescent="0.25">
      <c r="A1076" s="19">
        <v>711219</v>
      </c>
      <c r="B1076" s="19" t="s">
        <v>4494</v>
      </c>
      <c r="C1076" s="19">
        <v>711219</v>
      </c>
      <c r="D1076" s="19" t="s">
        <v>4494</v>
      </c>
    </row>
    <row r="1077" spans="1:4" ht="25.5" x14ac:dyDescent="0.25">
      <c r="A1077" s="19">
        <v>711310</v>
      </c>
      <c r="B1077" s="19" t="s">
        <v>4496</v>
      </c>
      <c r="C1077" s="19">
        <v>711310</v>
      </c>
      <c r="D1077" s="19" t="s">
        <v>4496</v>
      </c>
    </row>
    <row r="1078" spans="1:4" ht="25.5" x14ac:dyDescent="0.25">
      <c r="A1078" s="19">
        <v>711320</v>
      </c>
      <c r="B1078" s="19" t="s">
        <v>4498</v>
      </c>
      <c r="C1078" s="19">
        <v>711320</v>
      </c>
      <c r="D1078" s="19" t="s">
        <v>4498</v>
      </c>
    </row>
    <row r="1079" spans="1:4" ht="38.25" x14ac:dyDescent="0.25">
      <c r="A1079" s="19">
        <v>711410</v>
      </c>
      <c r="B1079" s="19" t="s">
        <v>4500</v>
      </c>
      <c r="C1079" s="19">
        <v>711410</v>
      </c>
      <c r="D1079" s="19" t="s">
        <v>4500</v>
      </c>
    </row>
    <row r="1080" spans="1:4" ht="25.5" x14ac:dyDescent="0.25">
      <c r="A1080" s="19">
        <v>711510</v>
      </c>
      <c r="B1080" s="19" t="s">
        <v>4502</v>
      </c>
      <c r="C1080" s="19">
        <v>711510</v>
      </c>
      <c r="D1080" s="19" t="s">
        <v>4502</v>
      </c>
    </row>
    <row r="1081" spans="1:4" x14ac:dyDescent="0.25">
      <c r="A1081" s="19">
        <v>712110</v>
      </c>
      <c r="B1081" s="19" t="s">
        <v>4504</v>
      </c>
      <c r="C1081" s="19">
        <v>712110</v>
      </c>
      <c r="D1081" s="19" t="s">
        <v>4504</v>
      </c>
    </row>
    <row r="1082" spans="1:4" x14ac:dyDescent="0.25">
      <c r="A1082" s="19">
        <v>712120</v>
      </c>
      <c r="B1082" s="19" t="s">
        <v>4506</v>
      </c>
      <c r="C1082" s="19">
        <v>712120</v>
      </c>
      <c r="D1082" s="19" t="s">
        <v>4506</v>
      </c>
    </row>
    <row r="1083" spans="1:4" x14ac:dyDescent="0.25">
      <c r="A1083" s="19">
        <v>712130</v>
      </c>
      <c r="B1083" s="19" t="s">
        <v>4508</v>
      </c>
      <c r="C1083" s="19">
        <v>712130</v>
      </c>
      <c r="D1083" s="19" t="s">
        <v>4508</v>
      </c>
    </row>
    <row r="1084" spans="1:4" ht="25.5" x14ac:dyDescent="0.25">
      <c r="A1084" s="19">
        <v>712190</v>
      </c>
      <c r="B1084" s="19" t="s">
        <v>4510</v>
      </c>
      <c r="C1084" s="19">
        <v>712190</v>
      </c>
      <c r="D1084" s="19" t="s">
        <v>4510</v>
      </c>
    </row>
    <row r="1085" spans="1:4" x14ac:dyDescent="0.25">
      <c r="A1085" s="19">
        <v>713110</v>
      </c>
      <c r="B1085" s="19" t="s">
        <v>4512</v>
      </c>
      <c r="C1085" s="19">
        <v>713110</v>
      </c>
      <c r="D1085" s="19" t="s">
        <v>4512</v>
      </c>
    </row>
    <row r="1086" spans="1:4" x14ac:dyDescent="0.25">
      <c r="A1086" s="19">
        <v>713120</v>
      </c>
      <c r="B1086" s="19" t="s">
        <v>4514</v>
      </c>
      <c r="C1086" s="19">
        <v>713120</v>
      </c>
      <c r="D1086" s="19" t="s">
        <v>4514</v>
      </c>
    </row>
    <row r="1087" spans="1:4" x14ac:dyDescent="0.25">
      <c r="A1087" s="19">
        <v>713210</v>
      </c>
      <c r="B1087" s="19" t="s">
        <v>4516</v>
      </c>
      <c r="C1087" s="19">
        <v>713210</v>
      </c>
      <c r="D1087" s="19" t="s">
        <v>4516</v>
      </c>
    </row>
    <row r="1088" spans="1:4" x14ac:dyDescent="0.25">
      <c r="A1088" s="19">
        <v>713290</v>
      </c>
      <c r="B1088" s="19" t="s">
        <v>4518</v>
      </c>
      <c r="C1088" s="19">
        <v>713290</v>
      </c>
      <c r="D1088" s="19" t="s">
        <v>4518</v>
      </c>
    </row>
    <row r="1089" spans="1:4" x14ac:dyDescent="0.25">
      <c r="A1089" s="19">
        <v>713910</v>
      </c>
      <c r="B1089" s="19" t="s">
        <v>4520</v>
      </c>
      <c r="C1089" s="19">
        <v>713910</v>
      </c>
      <c r="D1089" s="19" t="s">
        <v>4520</v>
      </c>
    </row>
    <row r="1090" spans="1:4" x14ac:dyDescent="0.25">
      <c r="A1090" s="19">
        <v>713920</v>
      </c>
      <c r="B1090" s="19" t="s">
        <v>4522</v>
      </c>
      <c r="C1090" s="19">
        <v>713920</v>
      </c>
      <c r="D1090" s="19" t="s">
        <v>4522</v>
      </c>
    </row>
    <row r="1091" spans="1:4" x14ac:dyDescent="0.25">
      <c r="A1091" s="19">
        <v>713930</v>
      </c>
      <c r="B1091" s="19" t="s">
        <v>4524</v>
      </c>
      <c r="C1091" s="19">
        <v>713930</v>
      </c>
      <c r="D1091" s="19" t="s">
        <v>4524</v>
      </c>
    </row>
    <row r="1092" spans="1:4" x14ac:dyDescent="0.25">
      <c r="A1092" s="19">
        <v>713940</v>
      </c>
      <c r="B1092" s="19" t="s">
        <v>4526</v>
      </c>
      <c r="C1092" s="19">
        <v>713940</v>
      </c>
      <c r="D1092" s="19" t="s">
        <v>4526</v>
      </c>
    </row>
    <row r="1093" spans="1:4" x14ac:dyDescent="0.25">
      <c r="A1093" s="19">
        <v>713950</v>
      </c>
      <c r="B1093" s="19" t="s">
        <v>4528</v>
      </c>
      <c r="C1093" s="19">
        <v>713950</v>
      </c>
      <c r="D1093" s="19" t="s">
        <v>4528</v>
      </c>
    </row>
    <row r="1094" spans="1:4" ht="25.5" x14ac:dyDescent="0.25">
      <c r="A1094" s="19">
        <v>713990</v>
      </c>
      <c r="B1094" s="19" t="s">
        <v>4530</v>
      </c>
      <c r="C1094" s="19">
        <v>713990</v>
      </c>
      <c r="D1094" s="19" t="s">
        <v>4530</v>
      </c>
    </row>
    <row r="1095" spans="1:4" ht="25.5" x14ac:dyDescent="0.25">
      <c r="A1095" s="19">
        <v>721110</v>
      </c>
      <c r="B1095" s="19" t="s">
        <v>4532</v>
      </c>
      <c r="C1095" s="19">
        <v>721110</v>
      </c>
      <c r="D1095" s="19" t="s">
        <v>4532</v>
      </c>
    </row>
    <row r="1096" spans="1:4" x14ac:dyDescent="0.25">
      <c r="A1096" s="19">
        <v>721120</v>
      </c>
      <c r="B1096" s="19" t="s">
        <v>4534</v>
      </c>
      <c r="C1096" s="19">
        <v>721120</v>
      </c>
      <c r="D1096" s="19" t="s">
        <v>4534</v>
      </c>
    </row>
    <row r="1097" spans="1:4" x14ac:dyDescent="0.25">
      <c r="A1097" s="19">
        <v>721191</v>
      </c>
      <c r="B1097" s="19" t="s">
        <v>4536</v>
      </c>
      <c r="C1097" s="19">
        <v>721191</v>
      </c>
      <c r="D1097" s="19" t="s">
        <v>4536</v>
      </c>
    </row>
    <row r="1098" spans="1:4" x14ac:dyDescent="0.25">
      <c r="A1098" s="19">
        <v>721199</v>
      </c>
      <c r="B1098" s="19" t="s">
        <v>4538</v>
      </c>
      <c r="C1098" s="19">
        <v>721199</v>
      </c>
      <c r="D1098" s="19" t="s">
        <v>4538</v>
      </c>
    </row>
    <row r="1099" spans="1:4" ht="25.5" x14ac:dyDescent="0.25">
      <c r="A1099" s="19">
        <v>721211</v>
      </c>
      <c r="B1099" s="19" t="s">
        <v>4540</v>
      </c>
      <c r="C1099" s="19">
        <v>721211</v>
      </c>
      <c r="D1099" s="19" t="s">
        <v>4540</v>
      </c>
    </row>
    <row r="1100" spans="1:4" ht="25.5" x14ac:dyDescent="0.25">
      <c r="A1100" s="19">
        <v>721214</v>
      </c>
      <c r="B1100" s="19" t="s">
        <v>4542</v>
      </c>
      <c r="C1100" s="19">
        <v>721214</v>
      </c>
      <c r="D1100" s="19" t="s">
        <v>4542</v>
      </c>
    </row>
    <row r="1101" spans="1:4" x14ac:dyDescent="0.25">
      <c r="A1101" s="19">
        <v>721310</v>
      </c>
      <c r="B1101" s="19" t="s">
        <v>5260</v>
      </c>
      <c r="C1101" s="19">
        <v>721310</v>
      </c>
      <c r="D1101" s="19" t="s">
        <v>5260</v>
      </c>
    </row>
    <row r="1102" spans="1:4" x14ac:dyDescent="0.25">
      <c r="A1102" s="19">
        <v>722110</v>
      </c>
      <c r="B1102" s="19" t="s">
        <v>4554</v>
      </c>
      <c r="C1102" s="19">
        <v>722511</v>
      </c>
      <c r="D1102" s="19" t="s">
        <v>4554</v>
      </c>
    </row>
    <row r="1103" spans="1:4" x14ac:dyDescent="0.25">
      <c r="A1103" s="19">
        <v>722211</v>
      </c>
      <c r="B1103" s="19" t="s">
        <v>4556</v>
      </c>
      <c r="C1103" s="19">
        <v>722513</v>
      </c>
      <c r="D1103" s="19" t="s">
        <v>4556</v>
      </c>
    </row>
    <row r="1104" spans="1:4" x14ac:dyDescent="0.25">
      <c r="A1104" s="19">
        <v>722212</v>
      </c>
      <c r="B1104" s="19" t="s">
        <v>4558</v>
      </c>
      <c r="C1104" s="19">
        <v>722514</v>
      </c>
      <c r="D1104" s="19" t="s">
        <v>4558</v>
      </c>
    </row>
    <row r="1105" spans="1:4" x14ac:dyDescent="0.25">
      <c r="A1105" s="19">
        <v>722213</v>
      </c>
      <c r="B1105" s="19" t="s">
        <v>4560</v>
      </c>
      <c r="C1105" s="19">
        <v>722515</v>
      </c>
      <c r="D1105" s="19" t="s">
        <v>4560</v>
      </c>
    </row>
    <row r="1106" spans="1:4" x14ac:dyDescent="0.25">
      <c r="A1106" s="19">
        <v>722310</v>
      </c>
      <c r="B1106" s="19" t="s">
        <v>4546</v>
      </c>
      <c r="C1106" s="19">
        <v>722310</v>
      </c>
      <c r="D1106" s="19" t="s">
        <v>4546</v>
      </c>
    </row>
    <row r="1107" spans="1:4" x14ac:dyDescent="0.25">
      <c r="A1107" s="19">
        <v>722320</v>
      </c>
      <c r="B1107" s="19" t="s">
        <v>4548</v>
      </c>
      <c r="C1107" s="19">
        <v>722320</v>
      </c>
      <c r="D1107" s="19" t="s">
        <v>4548</v>
      </c>
    </row>
    <row r="1108" spans="1:4" x14ac:dyDescent="0.25">
      <c r="A1108" s="19">
        <v>722330</v>
      </c>
      <c r="B1108" s="19" t="s">
        <v>4550</v>
      </c>
      <c r="C1108" s="19">
        <v>722330</v>
      </c>
      <c r="D1108" s="19" t="s">
        <v>4550</v>
      </c>
    </row>
    <row r="1109" spans="1:4" x14ac:dyDescent="0.25">
      <c r="A1109" s="19">
        <v>722410</v>
      </c>
      <c r="B1109" s="19" t="s">
        <v>4552</v>
      </c>
      <c r="C1109" s="19">
        <v>722410</v>
      </c>
      <c r="D1109" s="19" t="s">
        <v>4552</v>
      </c>
    </row>
    <row r="1110" spans="1:4" x14ac:dyDescent="0.25">
      <c r="A1110" s="19">
        <v>811111</v>
      </c>
      <c r="B1110" s="19" t="s">
        <v>4562</v>
      </c>
      <c r="C1110" s="19">
        <v>811111</v>
      </c>
      <c r="D1110" s="19" t="s">
        <v>4562</v>
      </c>
    </row>
    <row r="1111" spans="1:4" x14ac:dyDescent="0.25">
      <c r="A1111" s="19">
        <v>811112</v>
      </c>
      <c r="B1111" s="19" t="s">
        <v>4564</v>
      </c>
      <c r="C1111" s="19">
        <v>811112</v>
      </c>
      <c r="D1111" s="19" t="s">
        <v>4564</v>
      </c>
    </row>
    <row r="1112" spans="1:4" x14ac:dyDescent="0.25">
      <c r="A1112" s="19">
        <v>811113</v>
      </c>
      <c r="B1112" s="19" t="s">
        <v>4566</v>
      </c>
      <c r="C1112" s="19">
        <v>811113</v>
      </c>
      <c r="D1112" s="19" t="s">
        <v>4566</v>
      </c>
    </row>
    <row r="1113" spans="1:4" ht="25.5" x14ac:dyDescent="0.25">
      <c r="A1113" s="19">
        <v>811118</v>
      </c>
      <c r="B1113" s="19" t="s">
        <v>4568</v>
      </c>
      <c r="C1113" s="19">
        <v>811118</v>
      </c>
      <c r="D1113" s="19" t="s">
        <v>4568</v>
      </c>
    </row>
    <row r="1114" spans="1:4" ht="25.5" x14ac:dyDescent="0.25">
      <c r="A1114" s="19">
        <v>811121</v>
      </c>
      <c r="B1114" s="19" t="s">
        <v>4569</v>
      </c>
      <c r="C1114" s="19">
        <v>811121</v>
      </c>
      <c r="D1114" s="19" t="s">
        <v>4569</v>
      </c>
    </row>
    <row r="1115" spans="1:4" x14ac:dyDescent="0.25">
      <c r="A1115" s="19">
        <v>811122</v>
      </c>
      <c r="B1115" s="19" t="s">
        <v>4571</v>
      </c>
      <c r="C1115" s="19">
        <v>811122</v>
      </c>
      <c r="D1115" s="19" t="s">
        <v>4571</v>
      </c>
    </row>
    <row r="1116" spans="1:4" ht="25.5" x14ac:dyDescent="0.25">
      <c r="A1116" s="19">
        <v>811191</v>
      </c>
      <c r="B1116" s="19" t="s">
        <v>4573</v>
      </c>
      <c r="C1116" s="19">
        <v>811191</v>
      </c>
      <c r="D1116" s="19" t="s">
        <v>4573</v>
      </c>
    </row>
    <row r="1117" spans="1:4" x14ac:dyDescent="0.25">
      <c r="A1117" s="19">
        <v>811192</v>
      </c>
      <c r="B1117" s="19" t="s">
        <v>4575</v>
      </c>
      <c r="C1117" s="19">
        <v>811192</v>
      </c>
      <c r="D1117" s="19" t="s">
        <v>4575</v>
      </c>
    </row>
    <row r="1118" spans="1:4" ht="25.5" x14ac:dyDescent="0.25">
      <c r="A1118" s="19">
        <v>811198</v>
      </c>
      <c r="B1118" s="19" t="s">
        <v>4577</v>
      </c>
      <c r="C1118" s="19">
        <v>811198</v>
      </c>
      <c r="D1118" s="19" t="s">
        <v>4577</v>
      </c>
    </row>
    <row r="1119" spans="1:4" ht="25.5" x14ac:dyDescent="0.25">
      <c r="A1119" s="19">
        <v>811211</v>
      </c>
      <c r="B1119" s="19" t="s">
        <v>4579</v>
      </c>
      <c r="C1119" s="19">
        <v>811211</v>
      </c>
      <c r="D1119" s="19" t="s">
        <v>4579</v>
      </c>
    </row>
    <row r="1120" spans="1:4" ht="25.5" x14ac:dyDescent="0.25">
      <c r="A1120" s="19">
        <v>811212</v>
      </c>
      <c r="B1120" s="19" t="s">
        <v>4581</v>
      </c>
      <c r="C1120" s="19">
        <v>811212</v>
      </c>
      <c r="D1120" s="19" t="s">
        <v>4581</v>
      </c>
    </row>
    <row r="1121" spans="1:4" ht="25.5" x14ac:dyDescent="0.25">
      <c r="A1121" s="19">
        <v>811213</v>
      </c>
      <c r="B1121" s="19" t="s">
        <v>4583</v>
      </c>
      <c r="C1121" s="19">
        <v>811213</v>
      </c>
      <c r="D1121" s="19" t="s">
        <v>4583</v>
      </c>
    </row>
    <row r="1122" spans="1:4" ht="25.5" x14ac:dyDescent="0.25">
      <c r="A1122" s="19">
        <v>811219</v>
      </c>
      <c r="B1122" s="19" t="s">
        <v>4585</v>
      </c>
      <c r="C1122" s="19">
        <v>811219</v>
      </c>
      <c r="D1122" s="19" t="s">
        <v>4585</v>
      </c>
    </row>
    <row r="1123" spans="1:4" ht="38.25" x14ac:dyDescent="0.25">
      <c r="A1123" s="19">
        <v>811310</v>
      </c>
      <c r="B1123" s="19" t="s">
        <v>4586</v>
      </c>
      <c r="C1123" s="19">
        <v>811310</v>
      </c>
      <c r="D1123" s="19" t="s">
        <v>4586</v>
      </c>
    </row>
    <row r="1124" spans="1:4" ht="25.5" x14ac:dyDescent="0.25">
      <c r="A1124" s="19">
        <v>811411</v>
      </c>
      <c r="B1124" s="19" t="s">
        <v>4587</v>
      </c>
      <c r="C1124" s="19">
        <v>811411</v>
      </c>
      <c r="D1124" s="19" t="s">
        <v>4587</v>
      </c>
    </row>
    <row r="1125" spans="1:4" x14ac:dyDescent="0.25">
      <c r="A1125" s="19">
        <v>811412</v>
      </c>
      <c r="B1125" s="19" t="s">
        <v>4589</v>
      </c>
      <c r="C1125" s="19">
        <v>811412</v>
      </c>
      <c r="D1125" s="19" t="s">
        <v>4589</v>
      </c>
    </row>
    <row r="1126" spans="1:4" x14ac:dyDescent="0.25">
      <c r="A1126" s="19">
        <v>811420</v>
      </c>
      <c r="B1126" s="19" t="s">
        <v>4591</v>
      </c>
      <c r="C1126" s="19">
        <v>811420</v>
      </c>
      <c r="D1126" s="19" t="s">
        <v>4591</v>
      </c>
    </row>
    <row r="1127" spans="1:4" x14ac:dyDescent="0.25">
      <c r="A1127" s="19">
        <v>811430</v>
      </c>
      <c r="B1127" s="19" t="s">
        <v>4592</v>
      </c>
      <c r="C1127" s="19">
        <v>811430</v>
      </c>
      <c r="D1127" s="19" t="s">
        <v>4592</v>
      </c>
    </row>
    <row r="1128" spans="1:4" ht="25.5" x14ac:dyDescent="0.25">
      <c r="A1128" s="19">
        <v>811490</v>
      </c>
      <c r="B1128" s="19" t="s">
        <v>4594</v>
      </c>
      <c r="C1128" s="19">
        <v>811490</v>
      </c>
      <c r="D1128" s="19" t="s">
        <v>4594</v>
      </c>
    </row>
    <row r="1129" spans="1:4" x14ac:dyDescent="0.25">
      <c r="A1129" s="19">
        <v>812111</v>
      </c>
      <c r="B1129" s="19" t="s">
        <v>4596</v>
      </c>
      <c r="C1129" s="19">
        <v>812111</v>
      </c>
      <c r="D1129" s="19" t="s">
        <v>4596</v>
      </c>
    </row>
    <row r="1130" spans="1:4" x14ac:dyDescent="0.25">
      <c r="A1130" s="19">
        <v>812112</v>
      </c>
      <c r="B1130" s="19" t="s">
        <v>4598</v>
      </c>
      <c r="C1130" s="19">
        <v>812112</v>
      </c>
      <c r="D1130" s="19" t="s">
        <v>4598</v>
      </c>
    </row>
    <row r="1131" spans="1:4" x14ac:dyDescent="0.25">
      <c r="A1131" s="19">
        <v>812113</v>
      </c>
      <c r="B1131" s="19" t="s">
        <v>4600</v>
      </c>
      <c r="C1131" s="19">
        <v>812113</v>
      </c>
      <c r="D1131" s="19" t="s">
        <v>4600</v>
      </c>
    </row>
    <row r="1132" spans="1:4" x14ac:dyDescent="0.25">
      <c r="A1132" s="19">
        <v>812191</v>
      </c>
      <c r="B1132" s="19" t="s">
        <v>4602</v>
      </c>
      <c r="C1132" s="19">
        <v>812191</v>
      </c>
      <c r="D1132" s="19" t="s">
        <v>4602</v>
      </c>
    </row>
    <row r="1133" spans="1:4" x14ac:dyDescent="0.25">
      <c r="A1133" s="19">
        <v>812199</v>
      </c>
      <c r="B1133" s="19" t="s">
        <v>4604</v>
      </c>
      <c r="C1133" s="19">
        <v>812199</v>
      </c>
      <c r="D1133" s="19" t="s">
        <v>4604</v>
      </c>
    </row>
    <row r="1134" spans="1:4" x14ac:dyDescent="0.25">
      <c r="A1134" s="19">
        <v>812210</v>
      </c>
      <c r="B1134" s="19" t="s">
        <v>4606</v>
      </c>
      <c r="C1134" s="19">
        <v>812210</v>
      </c>
      <c r="D1134" s="19" t="s">
        <v>4606</v>
      </c>
    </row>
    <row r="1135" spans="1:4" x14ac:dyDescent="0.25">
      <c r="A1135" s="19">
        <v>812220</v>
      </c>
      <c r="B1135" s="19" t="s">
        <v>4608</v>
      </c>
      <c r="C1135" s="19">
        <v>812220</v>
      </c>
      <c r="D1135" s="19" t="s">
        <v>4608</v>
      </c>
    </row>
    <row r="1136" spans="1:4" ht="25.5" x14ac:dyDescent="0.25">
      <c r="A1136" s="19">
        <v>812310</v>
      </c>
      <c r="B1136" s="19" t="s">
        <v>4610</v>
      </c>
      <c r="C1136" s="19">
        <v>812310</v>
      </c>
      <c r="D1136" s="19" t="s">
        <v>4610</v>
      </c>
    </row>
    <row r="1137" spans="1:4" ht="25.5" x14ac:dyDescent="0.25">
      <c r="A1137" s="19">
        <v>812320</v>
      </c>
      <c r="B1137" s="19" t="s">
        <v>4612</v>
      </c>
      <c r="C1137" s="19">
        <v>812320</v>
      </c>
      <c r="D1137" s="19" t="s">
        <v>4612</v>
      </c>
    </row>
    <row r="1138" spans="1:4" x14ac:dyDescent="0.25">
      <c r="A1138" s="19">
        <v>812331</v>
      </c>
      <c r="B1138" s="19" t="s">
        <v>4614</v>
      </c>
      <c r="C1138" s="19">
        <v>812331</v>
      </c>
      <c r="D1138" s="19" t="s">
        <v>4614</v>
      </c>
    </row>
    <row r="1139" spans="1:4" x14ac:dyDescent="0.25">
      <c r="A1139" s="19">
        <v>812332</v>
      </c>
      <c r="B1139" s="19" t="s">
        <v>4616</v>
      </c>
      <c r="C1139" s="19">
        <v>812332</v>
      </c>
      <c r="D1139" s="19" t="s">
        <v>4616</v>
      </c>
    </row>
    <row r="1140" spans="1:4" x14ac:dyDescent="0.25">
      <c r="A1140" s="19">
        <v>812910</v>
      </c>
      <c r="B1140" s="19" t="s">
        <v>4618</v>
      </c>
      <c r="C1140" s="19">
        <v>812910</v>
      </c>
      <c r="D1140" s="19" t="s">
        <v>4618</v>
      </c>
    </row>
    <row r="1141" spans="1:4" ht="25.5" x14ac:dyDescent="0.25">
      <c r="A1141" s="19">
        <v>812921</v>
      </c>
      <c r="B1141" s="19" t="s">
        <v>4620</v>
      </c>
      <c r="C1141" s="19">
        <v>812921</v>
      </c>
      <c r="D1141" s="19" t="s">
        <v>4620</v>
      </c>
    </row>
    <row r="1142" spans="1:4" x14ac:dyDescent="0.25">
      <c r="A1142" s="19">
        <v>812922</v>
      </c>
      <c r="B1142" s="19" t="s">
        <v>4621</v>
      </c>
      <c r="C1142" s="19">
        <v>812922</v>
      </c>
      <c r="D1142" s="19" t="s">
        <v>4621</v>
      </c>
    </row>
    <row r="1143" spans="1:4" x14ac:dyDescent="0.25">
      <c r="A1143" s="19">
        <v>812930</v>
      </c>
      <c r="B1143" s="19" t="s">
        <v>4623</v>
      </c>
      <c r="C1143" s="19">
        <v>812930</v>
      </c>
      <c r="D1143" s="19" t="s">
        <v>4623</v>
      </c>
    </row>
    <row r="1144" spans="1:4" x14ac:dyDescent="0.25">
      <c r="A1144" s="19">
        <v>812990</v>
      </c>
      <c r="B1144" s="19" t="s">
        <v>4624</v>
      </c>
      <c r="C1144" s="19">
        <v>812990</v>
      </c>
      <c r="D1144" s="19" t="s">
        <v>4624</v>
      </c>
    </row>
    <row r="1145" spans="1:4" x14ac:dyDescent="0.25">
      <c r="A1145" s="19">
        <v>813110</v>
      </c>
      <c r="B1145" s="19" t="s">
        <v>4625</v>
      </c>
      <c r="C1145" s="19">
        <v>813110</v>
      </c>
      <c r="D1145" s="19" t="s">
        <v>4625</v>
      </c>
    </row>
    <row r="1146" spans="1:4" x14ac:dyDescent="0.25">
      <c r="A1146" s="19">
        <v>813211</v>
      </c>
      <c r="B1146" s="19" t="s">
        <v>4627</v>
      </c>
      <c r="C1146" s="19">
        <v>813211</v>
      </c>
      <c r="D1146" s="19" t="s">
        <v>4627</v>
      </c>
    </row>
    <row r="1147" spans="1:4" x14ac:dyDescent="0.25">
      <c r="A1147" s="19">
        <v>813212</v>
      </c>
      <c r="B1147" s="19" t="s">
        <v>4629</v>
      </c>
      <c r="C1147" s="19">
        <v>813212</v>
      </c>
      <c r="D1147" s="19" t="s">
        <v>4629</v>
      </c>
    </row>
    <row r="1148" spans="1:4" x14ac:dyDescent="0.25">
      <c r="A1148" s="19">
        <v>813219</v>
      </c>
      <c r="B1148" s="19" t="s">
        <v>4631</v>
      </c>
      <c r="C1148" s="19">
        <v>813219</v>
      </c>
      <c r="D1148" s="19" t="s">
        <v>4631</v>
      </c>
    </row>
    <row r="1149" spans="1:4" x14ac:dyDescent="0.25">
      <c r="A1149" s="19">
        <v>813311</v>
      </c>
      <c r="B1149" s="19" t="s">
        <v>4633</v>
      </c>
      <c r="C1149" s="19">
        <v>813311</v>
      </c>
      <c r="D1149" s="19" t="s">
        <v>4633</v>
      </c>
    </row>
    <row r="1150" spans="1:4" ht="25.5" x14ac:dyDescent="0.25">
      <c r="A1150" s="19">
        <v>813312</v>
      </c>
      <c r="B1150" s="19" t="s">
        <v>4635</v>
      </c>
      <c r="C1150" s="19">
        <v>813312</v>
      </c>
      <c r="D1150" s="19" t="s">
        <v>4635</v>
      </c>
    </row>
    <row r="1151" spans="1:4" x14ac:dyDescent="0.25">
      <c r="A1151" s="19">
        <v>813319</v>
      </c>
      <c r="B1151" s="19" t="s">
        <v>4637</v>
      </c>
      <c r="C1151" s="19">
        <v>813319</v>
      </c>
      <c r="D1151" s="19" t="s">
        <v>4637</v>
      </c>
    </row>
    <row r="1152" spans="1:4" x14ac:dyDescent="0.25">
      <c r="A1152" s="19">
        <v>813410</v>
      </c>
      <c r="B1152" s="19" t="s">
        <v>4639</v>
      </c>
      <c r="C1152" s="19">
        <v>813410</v>
      </c>
      <c r="D1152" s="19" t="s">
        <v>4639</v>
      </c>
    </row>
    <row r="1153" spans="1:4" x14ac:dyDescent="0.25">
      <c r="A1153" s="19">
        <v>813910</v>
      </c>
      <c r="B1153" s="19" t="s">
        <v>4641</v>
      </c>
      <c r="C1153" s="19">
        <v>813910</v>
      </c>
      <c r="D1153" s="19" t="s">
        <v>4641</v>
      </c>
    </row>
    <row r="1154" spans="1:4" x14ac:dyDescent="0.25">
      <c r="A1154" s="19">
        <v>813920</v>
      </c>
      <c r="B1154" s="19" t="s">
        <v>4643</v>
      </c>
      <c r="C1154" s="19">
        <v>813920</v>
      </c>
      <c r="D1154" s="19" t="s">
        <v>4643</v>
      </c>
    </row>
    <row r="1155" spans="1:4" ht="25.5" x14ac:dyDescent="0.25">
      <c r="A1155" s="19">
        <v>813930</v>
      </c>
      <c r="B1155" s="19" t="s">
        <v>4645</v>
      </c>
      <c r="C1155" s="19">
        <v>813930</v>
      </c>
      <c r="D1155" s="19" t="s">
        <v>4645</v>
      </c>
    </row>
    <row r="1156" spans="1:4" x14ac:dyDescent="0.25">
      <c r="A1156" s="19">
        <v>813940</v>
      </c>
      <c r="B1156" s="19" t="s">
        <v>4647</v>
      </c>
      <c r="C1156" s="19">
        <v>813940</v>
      </c>
      <c r="D1156" s="19" t="s">
        <v>4647</v>
      </c>
    </row>
    <row r="1157" spans="1:4" ht="38.25" x14ac:dyDescent="0.25">
      <c r="A1157" s="19">
        <v>813990</v>
      </c>
      <c r="B1157" s="19" t="s">
        <v>4649</v>
      </c>
      <c r="C1157" s="19">
        <v>813990</v>
      </c>
      <c r="D1157" s="19" t="s">
        <v>4649</v>
      </c>
    </row>
    <row r="1158" spans="1:4" x14ac:dyDescent="0.25">
      <c r="A1158" s="19">
        <v>814110</v>
      </c>
      <c r="B1158" s="19" t="s">
        <v>4651</v>
      </c>
      <c r="C1158" s="19">
        <v>814110</v>
      </c>
      <c r="D1158" s="19" t="s">
        <v>4651</v>
      </c>
    </row>
    <row r="1159" spans="1:4" x14ac:dyDescent="0.25">
      <c r="A1159" s="19">
        <v>921110</v>
      </c>
      <c r="B1159" s="19" t="s">
        <v>4653</v>
      </c>
      <c r="C1159" s="19">
        <v>921110</v>
      </c>
      <c r="D1159" s="19" t="s">
        <v>4653</v>
      </c>
    </row>
    <row r="1160" spans="1:4" x14ac:dyDescent="0.25">
      <c r="A1160" s="19">
        <v>921120</v>
      </c>
      <c r="B1160" s="19" t="s">
        <v>4655</v>
      </c>
      <c r="C1160" s="19">
        <v>921120</v>
      </c>
      <c r="D1160" s="19" t="s">
        <v>4655</v>
      </c>
    </row>
    <row r="1161" spans="1:4" x14ac:dyDescent="0.25">
      <c r="A1161" s="19">
        <v>921130</v>
      </c>
      <c r="B1161" s="19" t="s">
        <v>4657</v>
      </c>
      <c r="C1161" s="19">
        <v>921130</v>
      </c>
      <c r="D1161" s="19" t="s">
        <v>4657</v>
      </c>
    </row>
    <row r="1162" spans="1:4" ht="25.5" x14ac:dyDescent="0.25">
      <c r="A1162" s="19">
        <v>921140</v>
      </c>
      <c r="B1162" s="19" t="s">
        <v>4659</v>
      </c>
      <c r="C1162" s="19">
        <v>921140</v>
      </c>
      <c r="D1162" s="19" t="s">
        <v>4659</v>
      </c>
    </row>
    <row r="1163" spans="1:4" ht="25.5" x14ac:dyDescent="0.25">
      <c r="A1163" s="19">
        <v>921150</v>
      </c>
      <c r="B1163" s="19" t="s">
        <v>4661</v>
      </c>
      <c r="C1163" s="19">
        <v>921150</v>
      </c>
      <c r="D1163" s="19" t="s">
        <v>4661</v>
      </c>
    </row>
    <row r="1164" spans="1:4" x14ac:dyDescent="0.25">
      <c r="A1164" s="19">
        <v>921190</v>
      </c>
      <c r="B1164" s="19" t="s">
        <v>4663</v>
      </c>
      <c r="C1164" s="19">
        <v>921190</v>
      </c>
      <c r="D1164" s="19" t="s">
        <v>4663</v>
      </c>
    </row>
    <row r="1165" spans="1:4" x14ac:dyDescent="0.25">
      <c r="A1165" s="19">
        <v>922110</v>
      </c>
      <c r="B1165" s="19" t="s">
        <v>4665</v>
      </c>
      <c r="C1165" s="19">
        <v>922110</v>
      </c>
      <c r="D1165" s="19" t="s">
        <v>4665</v>
      </c>
    </row>
    <row r="1166" spans="1:4" x14ac:dyDescent="0.25">
      <c r="A1166" s="19">
        <v>922120</v>
      </c>
      <c r="B1166" s="19" t="s">
        <v>4666</v>
      </c>
      <c r="C1166" s="19">
        <v>922120</v>
      </c>
      <c r="D1166" s="19" t="s">
        <v>4666</v>
      </c>
    </row>
    <row r="1167" spans="1:4" x14ac:dyDescent="0.25">
      <c r="A1167" s="19">
        <v>922130</v>
      </c>
      <c r="B1167" s="19" t="s">
        <v>4668</v>
      </c>
      <c r="C1167" s="19">
        <v>922130</v>
      </c>
      <c r="D1167" s="19" t="s">
        <v>4668</v>
      </c>
    </row>
    <row r="1168" spans="1:4" x14ac:dyDescent="0.25">
      <c r="A1168" s="19">
        <v>922140</v>
      </c>
      <c r="B1168" s="19" t="s">
        <v>4669</v>
      </c>
      <c r="C1168" s="19">
        <v>922140</v>
      </c>
      <c r="D1168" s="19" t="s">
        <v>4669</v>
      </c>
    </row>
    <row r="1169" spans="1:4" x14ac:dyDescent="0.25">
      <c r="A1169" s="19">
        <v>922150</v>
      </c>
      <c r="B1169" s="19" t="s">
        <v>4670</v>
      </c>
      <c r="C1169" s="19">
        <v>922150</v>
      </c>
      <c r="D1169" s="19" t="s">
        <v>4670</v>
      </c>
    </row>
    <row r="1170" spans="1:4" x14ac:dyDescent="0.25">
      <c r="A1170" s="19">
        <v>922160</v>
      </c>
      <c r="B1170" s="19" t="s">
        <v>4672</v>
      </c>
      <c r="C1170" s="19">
        <v>922160</v>
      </c>
      <c r="D1170" s="19" t="s">
        <v>4672</v>
      </c>
    </row>
    <row r="1171" spans="1:4" ht="25.5" x14ac:dyDescent="0.25">
      <c r="A1171" s="19">
        <v>922190</v>
      </c>
      <c r="B1171" s="19" t="s">
        <v>4674</v>
      </c>
      <c r="C1171" s="19">
        <v>922190</v>
      </c>
      <c r="D1171" s="19" t="s">
        <v>4674</v>
      </c>
    </row>
    <row r="1172" spans="1:4" x14ac:dyDescent="0.25">
      <c r="A1172" s="19">
        <v>923110</v>
      </c>
      <c r="B1172" s="19" t="s">
        <v>4676</v>
      </c>
      <c r="C1172" s="19">
        <v>923110</v>
      </c>
      <c r="D1172" s="19" t="s">
        <v>4676</v>
      </c>
    </row>
    <row r="1173" spans="1:4" ht="25.5" x14ac:dyDescent="0.25">
      <c r="A1173" s="19">
        <v>923120</v>
      </c>
      <c r="B1173" s="19" t="s">
        <v>4678</v>
      </c>
      <c r="C1173" s="19">
        <v>923120</v>
      </c>
      <c r="D1173" s="19" t="s">
        <v>4678</v>
      </c>
    </row>
    <row r="1174" spans="1:4" ht="38.25" x14ac:dyDescent="0.25">
      <c r="A1174" s="19">
        <v>923130</v>
      </c>
      <c r="B1174" s="19" t="s">
        <v>4680</v>
      </c>
      <c r="C1174" s="19">
        <v>923130</v>
      </c>
      <c r="D1174" s="19" t="s">
        <v>4680</v>
      </c>
    </row>
    <row r="1175" spans="1:4" x14ac:dyDescent="0.25">
      <c r="A1175" s="19">
        <v>923140</v>
      </c>
      <c r="B1175" s="19" t="s">
        <v>4682</v>
      </c>
      <c r="C1175" s="19">
        <v>923140</v>
      </c>
      <c r="D1175" s="19" t="s">
        <v>4682</v>
      </c>
    </row>
    <row r="1176" spans="1:4" ht="38.25" x14ac:dyDescent="0.25">
      <c r="A1176" s="19">
        <v>924110</v>
      </c>
      <c r="B1176" s="19" t="s">
        <v>4683</v>
      </c>
      <c r="C1176" s="19">
        <v>924110</v>
      </c>
      <c r="D1176" s="19" t="s">
        <v>4683</v>
      </c>
    </row>
    <row r="1177" spans="1:4" x14ac:dyDescent="0.25">
      <c r="A1177" s="19">
        <v>924120</v>
      </c>
      <c r="B1177" s="19" t="s">
        <v>4685</v>
      </c>
      <c r="C1177" s="19">
        <v>924120</v>
      </c>
      <c r="D1177" s="19" t="s">
        <v>4685</v>
      </c>
    </row>
    <row r="1178" spans="1:4" x14ac:dyDescent="0.25">
      <c r="A1178" s="19">
        <v>925110</v>
      </c>
      <c r="B1178" s="19" t="s">
        <v>4687</v>
      </c>
      <c r="C1178" s="19">
        <v>925110</v>
      </c>
      <c r="D1178" s="19" t="s">
        <v>4687</v>
      </c>
    </row>
    <row r="1179" spans="1:4" ht="25.5" x14ac:dyDescent="0.25">
      <c r="A1179" s="19">
        <v>925120</v>
      </c>
      <c r="B1179" s="19" t="s">
        <v>4689</v>
      </c>
      <c r="C1179" s="19">
        <v>925120</v>
      </c>
      <c r="D1179" s="19" t="s">
        <v>4689</v>
      </c>
    </row>
    <row r="1180" spans="1:4" ht="25.5" x14ac:dyDescent="0.25">
      <c r="A1180" s="19">
        <v>926110</v>
      </c>
      <c r="B1180" s="19" t="s">
        <v>4691</v>
      </c>
      <c r="C1180" s="19">
        <v>926110</v>
      </c>
      <c r="D1180" s="19" t="s">
        <v>4691</v>
      </c>
    </row>
    <row r="1181" spans="1:4" ht="25.5" x14ac:dyDescent="0.25">
      <c r="A1181" s="19">
        <v>926120</v>
      </c>
      <c r="B1181" s="19" t="s">
        <v>4693</v>
      </c>
      <c r="C1181" s="19">
        <v>926120</v>
      </c>
      <c r="D1181" s="19" t="s">
        <v>4693</v>
      </c>
    </row>
    <row r="1182" spans="1:4" ht="38.25" x14ac:dyDescent="0.25">
      <c r="A1182" s="19">
        <v>926130</v>
      </c>
      <c r="B1182" s="19" t="s">
        <v>4695</v>
      </c>
      <c r="C1182" s="19">
        <v>926130</v>
      </c>
      <c r="D1182" s="19" t="s">
        <v>4695</v>
      </c>
    </row>
    <row r="1183" spans="1:4" ht="25.5" x14ac:dyDescent="0.25">
      <c r="A1183" s="19">
        <v>926140</v>
      </c>
      <c r="B1183" s="19" t="s">
        <v>4697</v>
      </c>
      <c r="C1183" s="19">
        <v>926140</v>
      </c>
      <c r="D1183" s="19" t="s">
        <v>4697</v>
      </c>
    </row>
    <row r="1184" spans="1:4" ht="25.5" x14ac:dyDescent="0.25">
      <c r="A1184" s="19">
        <v>926150</v>
      </c>
      <c r="B1184" s="19" t="s">
        <v>4699</v>
      </c>
      <c r="C1184" s="19">
        <v>926150</v>
      </c>
      <c r="D1184" s="19" t="s">
        <v>4699</v>
      </c>
    </row>
    <row r="1185" spans="1:4" x14ac:dyDescent="0.25">
      <c r="A1185" s="19">
        <v>927110</v>
      </c>
      <c r="B1185" s="19" t="s">
        <v>4701</v>
      </c>
      <c r="C1185" s="19">
        <v>927110</v>
      </c>
      <c r="D1185" s="19" t="s">
        <v>4701</v>
      </c>
    </row>
    <row r="1186" spans="1:4" x14ac:dyDescent="0.25">
      <c r="A1186" s="19">
        <v>928110</v>
      </c>
      <c r="B1186" s="19" t="s">
        <v>4703</v>
      </c>
      <c r="C1186" s="19">
        <v>928110</v>
      </c>
      <c r="D1186" s="19" t="s">
        <v>4703</v>
      </c>
    </row>
    <row r="1187" spans="1:4" x14ac:dyDescent="0.25">
      <c r="A1187" s="19">
        <v>928120</v>
      </c>
      <c r="B1187" s="19" t="s">
        <v>4705</v>
      </c>
      <c r="C1187" s="19">
        <v>928120</v>
      </c>
      <c r="D1187" s="19" t="s">
        <v>4705</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A50BA-80C9-4E2C-8911-C10D36A6C062}">
  <sheetPr>
    <tabColor rgb="FF00B050"/>
  </sheetPr>
  <dimension ref="A1:D1072"/>
  <sheetViews>
    <sheetView workbookViewId="0"/>
  </sheetViews>
  <sheetFormatPr defaultRowHeight="15" x14ac:dyDescent="0.25"/>
  <cols>
    <col min="2" max="2" width="35.5703125" customWidth="1"/>
    <col min="4" max="4" width="35.5703125" customWidth="1"/>
  </cols>
  <sheetData>
    <row r="1" spans="1:4" ht="18" x14ac:dyDescent="0.25">
      <c r="A1" s="12" t="s">
        <v>6122</v>
      </c>
      <c r="B1" s="13"/>
      <c r="C1" s="13"/>
      <c r="D1" s="14"/>
    </row>
    <row r="2" spans="1:4" ht="15" customHeight="1" x14ac:dyDescent="0.25">
      <c r="A2" s="23" t="s">
        <v>6123</v>
      </c>
      <c r="B2" s="24"/>
      <c r="C2" s="24"/>
      <c r="D2" s="24"/>
    </row>
    <row r="3" spans="1:4" ht="51" x14ac:dyDescent="0.25">
      <c r="A3" s="18" t="s">
        <v>6105</v>
      </c>
      <c r="B3" s="18" t="s">
        <v>6124</v>
      </c>
      <c r="C3" s="18" t="s">
        <v>2544</v>
      </c>
      <c r="D3" s="18" t="s">
        <v>6125</v>
      </c>
    </row>
    <row r="4" spans="1:4" x14ac:dyDescent="0.25">
      <c r="A4" s="19">
        <v>111110</v>
      </c>
      <c r="B4" s="19" t="s">
        <v>2547</v>
      </c>
      <c r="C4" s="19">
        <v>111110</v>
      </c>
      <c r="D4" s="19" t="s">
        <v>2547</v>
      </c>
    </row>
    <row r="5" spans="1:4" x14ac:dyDescent="0.25">
      <c r="A5" s="19">
        <v>111120</v>
      </c>
      <c r="B5" s="19" t="s">
        <v>2549</v>
      </c>
      <c r="C5" s="19">
        <v>111120</v>
      </c>
      <c r="D5" s="19" t="s">
        <v>2549</v>
      </c>
    </row>
    <row r="6" spans="1:4" x14ac:dyDescent="0.25">
      <c r="A6" s="19">
        <v>111130</v>
      </c>
      <c r="B6" s="19" t="s">
        <v>2551</v>
      </c>
      <c r="C6" s="19">
        <v>111130</v>
      </c>
      <c r="D6" s="19" t="s">
        <v>2551</v>
      </c>
    </row>
    <row r="7" spans="1:4" x14ac:dyDescent="0.25">
      <c r="A7" s="19">
        <v>111140</v>
      </c>
      <c r="B7" s="19" t="s">
        <v>2553</v>
      </c>
      <c r="C7" s="19">
        <v>111140</v>
      </c>
      <c r="D7" s="19" t="s">
        <v>2553</v>
      </c>
    </row>
    <row r="8" spans="1:4" x14ac:dyDescent="0.25">
      <c r="A8" s="19">
        <v>111150</v>
      </c>
      <c r="B8" s="19" t="s">
        <v>2555</v>
      </c>
      <c r="C8" s="19">
        <v>111150</v>
      </c>
      <c r="D8" s="19" t="s">
        <v>2555</v>
      </c>
    </row>
    <row r="9" spans="1:4" x14ac:dyDescent="0.25">
      <c r="A9" s="19">
        <v>111160</v>
      </c>
      <c r="B9" s="19" t="s">
        <v>2557</v>
      </c>
      <c r="C9" s="19">
        <v>111160</v>
      </c>
      <c r="D9" s="19" t="s">
        <v>2557</v>
      </c>
    </row>
    <row r="10" spans="1:4" x14ac:dyDescent="0.25">
      <c r="A10" s="19">
        <v>111191</v>
      </c>
      <c r="B10" s="19" t="s">
        <v>2559</v>
      </c>
      <c r="C10" s="19">
        <v>111191</v>
      </c>
      <c r="D10" s="19" t="s">
        <v>2559</v>
      </c>
    </row>
    <row r="11" spans="1:4" x14ac:dyDescent="0.25">
      <c r="A11" s="19">
        <v>111199</v>
      </c>
      <c r="B11" s="19" t="s">
        <v>2561</v>
      </c>
      <c r="C11" s="19">
        <v>111199</v>
      </c>
      <c r="D11" s="19" t="s">
        <v>2561</v>
      </c>
    </row>
    <row r="12" spans="1:4" x14ac:dyDescent="0.25">
      <c r="A12" s="19">
        <v>111211</v>
      </c>
      <c r="B12" s="19" t="s">
        <v>2563</v>
      </c>
      <c r="C12" s="19">
        <v>111211</v>
      </c>
      <c r="D12" s="19" t="s">
        <v>2563</v>
      </c>
    </row>
    <row r="13" spans="1:4" ht="25.5" x14ac:dyDescent="0.25">
      <c r="A13" s="19">
        <v>111219</v>
      </c>
      <c r="B13" s="19" t="s">
        <v>2565</v>
      </c>
      <c r="C13" s="19">
        <v>111219</v>
      </c>
      <c r="D13" s="19" t="s">
        <v>2565</v>
      </c>
    </row>
    <row r="14" spans="1:4" x14ac:dyDescent="0.25">
      <c r="A14" s="19">
        <v>111310</v>
      </c>
      <c r="B14" s="19" t="s">
        <v>2567</v>
      </c>
      <c r="C14" s="19">
        <v>111310</v>
      </c>
      <c r="D14" s="19" t="s">
        <v>2567</v>
      </c>
    </row>
    <row r="15" spans="1:4" x14ac:dyDescent="0.25">
      <c r="A15" s="19">
        <v>111320</v>
      </c>
      <c r="B15" s="19" t="s">
        <v>2569</v>
      </c>
      <c r="C15" s="19">
        <v>111320</v>
      </c>
      <c r="D15" s="19" t="s">
        <v>2569</v>
      </c>
    </row>
    <row r="16" spans="1:4" x14ac:dyDescent="0.25">
      <c r="A16" s="19">
        <v>111331</v>
      </c>
      <c r="B16" s="19" t="s">
        <v>2571</v>
      </c>
      <c r="C16" s="19">
        <v>111331</v>
      </c>
      <c r="D16" s="19" t="s">
        <v>2571</v>
      </c>
    </row>
    <row r="17" spans="1:4" x14ac:dyDescent="0.25">
      <c r="A17" s="19">
        <v>111332</v>
      </c>
      <c r="B17" s="19" t="s">
        <v>2573</v>
      </c>
      <c r="C17" s="19">
        <v>111332</v>
      </c>
      <c r="D17" s="19" t="s">
        <v>2573</v>
      </c>
    </row>
    <row r="18" spans="1:4" x14ac:dyDescent="0.25">
      <c r="A18" s="19">
        <v>111333</v>
      </c>
      <c r="B18" s="19" t="s">
        <v>2575</v>
      </c>
      <c r="C18" s="19">
        <v>111333</v>
      </c>
      <c r="D18" s="19" t="s">
        <v>2575</v>
      </c>
    </row>
    <row r="19" spans="1:4" x14ac:dyDescent="0.25">
      <c r="A19" s="19">
        <v>111334</v>
      </c>
      <c r="B19" s="19" t="s">
        <v>2577</v>
      </c>
      <c r="C19" s="19">
        <v>111334</v>
      </c>
      <c r="D19" s="19" t="s">
        <v>2577</v>
      </c>
    </row>
    <row r="20" spans="1:4" x14ac:dyDescent="0.25">
      <c r="A20" s="19">
        <v>111335</v>
      </c>
      <c r="B20" s="19" t="s">
        <v>2579</v>
      </c>
      <c r="C20" s="19">
        <v>111335</v>
      </c>
      <c r="D20" s="19" t="s">
        <v>2579</v>
      </c>
    </row>
    <row r="21" spans="1:4" x14ac:dyDescent="0.25">
      <c r="A21" s="19">
        <v>111336</v>
      </c>
      <c r="B21" s="19" t="s">
        <v>2581</v>
      </c>
      <c r="C21" s="19">
        <v>111336</v>
      </c>
      <c r="D21" s="19" t="s">
        <v>2581</v>
      </c>
    </row>
    <row r="22" spans="1:4" x14ac:dyDescent="0.25">
      <c r="A22" s="19">
        <v>111339</v>
      </c>
      <c r="B22" s="19" t="s">
        <v>2583</v>
      </c>
      <c r="C22" s="19">
        <v>111339</v>
      </c>
      <c r="D22" s="19" t="s">
        <v>2583</v>
      </c>
    </row>
    <row r="23" spans="1:4" x14ac:dyDescent="0.25">
      <c r="A23" s="19">
        <v>111411</v>
      </c>
      <c r="B23" s="19" t="s">
        <v>2585</v>
      </c>
      <c r="C23" s="19">
        <v>111411</v>
      </c>
      <c r="D23" s="19" t="s">
        <v>2585</v>
      </c>
    </row>
    <row r="24" spans="1:4" x14ac:dyDescent="0.25">
      <c r="A24" s="19">
        <v>111419</v>
      </c>
      <c r="B24" s="19" t="s">
        <v>2587</v>
      </c>
      <c r="C24" s="19">
        <v>111419</v>
      </c>
      <c r="D24" s="19" t="s">
        <v>2587</v>
      </c>
    </row>
    <row r="25" spans="1:4" x14ac:dyDescent="0.25">
      <c r="A25" s="19">
        <v>111421</v>
      </c>
      <c r="B25" s="19" t="s">
        <v>2589</v>
      </c>
      <c r="C25" s="19">
        <v>111421</v>
      </c>
      <c r="D25" s="19" t="s">
        <v>2589</v>
      </c>
    </row>
    <row r="26" spans="1:4" x14ac:dyDescent="0.25">
      <c r="A26" s="19">
        <v>111422</v>
      </c>
      <c r="B26" s="19" t="s">
        <v>2591</v>
      </c>
      <c r="C26" s="19">
        <v>111422</v>
      </c>
      <c r="D26" s="19" t="s">
        <v>2591</v>
      </c>
    </row>
    <row r="27" spans="1:4" x14ac:dyDescent="0.25">
      <c r="A27" s="19">
        <v>111910</v>
      </c>
      <c r="B27" s="19" t="s">
        <v>2593</v>
      </c>
      <c r="C27" s="19">
        <v>111910</v>
      </c>
      <c r="D27" s="19" t="s">
        <v>2593</v>
      </c>
    </row>
    <row r="28" spans="1:4" x14ac:dyDescent="0.25">
      <c r="A28" s="19">
        <v>111920</v>
      </c>
      <c r="B28" s="19" t="s">
        <v>2595</v>
      </c>
      <c r="C28" s="19">
        <v>111920</v>
      </c>
      <c r="D28" s="19" t="s">
        <v>2595</v>
      </c>
    </row>
    <row r="29" spans="1:4" x14ac:dyDescent="0.25">
      <c r="A29" s="19">
        <v>111930</v>
      </c>
      <c r="B29" s="19" t="s">
        <v>2597</v>
      </c>
      <c r="C29" s="19">
        <v>111930</v>
      </c>
      <c r="D29" s="19" t="s">
        <v>2597</v>
      </c>
    </row>
    <row r="30" spans="1:4" x14ac:dyDescent="0.25">
      <c r="A30" s="19">
        <v>111940</v>
      </c>
      <c r="B30" s="19" t="s">
        <v>2599</v>
      </c>
      <c r="C30" s="19">
        <v>111940</v>
      </c>
      <c r="D30" s="19" t="s">
        <v>2599</v>
      </c>
    </row>
    <row r="31" spans="1:4" x14ac:dyDescent="0.25">
      <c r="A31" s="19">
        <v>111991</v>
      </c>
      <c r="B31" s="19" t="s">
        <v>2601</v>
      </c>
      <c r="C31" s="19">
        <v>111991</v>
      </c>
      <c r="D31" s="19" t="s">
        <v>2601</v>
      </c>
    </row>
    <row r="32" spans="1:4" x14ac:dyDescent="0.25">
      <c r="A32" s="19">
        <v>111992</v>
      </c>
      <c r="B32" s="19" t="s">
        <v>2603</v>
      </c>
      <c r="C32" s="19">
        <v>111992</v>
      </c>
      <c r="D32" s="19" t="s">
        <v>2603</v>
      </c>
    </row>
    <row r="33" spans="1:4" x14ac:dyDescent="0.25">
      <c r="A33" s="19">
        <v>111998</v>
      </c>
      <c r="B33" s="19" t="s">
        <v>2605</v>
      </c>
      <c r="C33" s="19">
        <v>111998</v>
      </c>
      <c r="D33" s="19" t="s">
        <v>2605</v>
      </c>
    </row>
    <row r="34" spans="1:4" x14ac:dyDescent="0.25">
      <c r="A34" s="19">
        <v>112111</v>
      </c>
      <c r="B34" s="19" t="s">
        <v>2607</v>
      </c>
      <c r="C34" s="19">
        <v>112111</v>
      </c>
      <c r="D34" s="19" t="s">
        <v>2607</v>
      </c>
    </row>
    <row r="35" spans="1:4" x14ac:dyDescent="0.25">
      <c r="A35" s="19">
        <v>112112</v>
      </c>
      <c r="B35" s="19" t="s">
        <v>2609</v>
      </c>
      <c r="C35" s="19">
        <v>112112</v>
      </c>
      <c r="D35" s="19" t="s">
        <v>2609</v>
      </c>
    </row>
    <row r="36" spans="1:4" x14ac:dyDescent="0.25">
      <c r="A36" s="19">
        <v>112120</v>
      </c>
      <c r="B36" s="19" t="s">
        <v>2611</v>
      </c>
      <c r="C36" s="19">
        <v>112120</v>
      </c>
      <c r="D36" s="19" t="s">
        <v>2611</v>
      </c>
    </row>
    <row r="37" spans="1:4" ht="25.5" x14ac:dyDescent="0.25">
      <c r="A37" s="19">
        <v>112130</v>
      </c>
      <c r="B37" s="19" t="s">
        <v>2613</v>
      </c>
      <c r="C37" s="19">
        <v>112130</v>
      </c>
      <c r="D37" s="19" t="s">
        <v>2613</v>
      </c>
    </row>
    <row r="38" spans="1:4" x14ac:dyDescent="0.25">
      <c r="A38" s="19">
        <v>112210</v>
      </c>
      <c r="B38" s="19" t="s">
        <v>2615</v>
      </c>
      <c r="C38" s="19">
        <v>112210</v>
      </c>
      <c r="D38" s="19" t="s">
        <v>2615</v>
      </c>
    </row>
    <row r="39" spans="1:4" x14ac:dyDescent="0.25">
      <c r="A39" s="19">
        <v>112310</v>
      </c>
      <c r="B39" s="19" t="s">
        <v>2617</v>
      </c>
      <c r="C39" s="19">
        <v>112310</v>
      </c>
      <c r="D39" s="19" t="s">
        <v>2617</v>
      </c>
    </row>
    <row r="40" spans="1:4" ht="25.5" x14ac:dyDescent="0.25">
      <c r="A40" s="19">
        <v>112320</v>
      </c>
      <c r="B40" s="19" t="s">
        <v>2619</v>
      </c>
      <c r="C40" s="19">
        <v>112320</v>
      </c>
      <c r="D40" s="19" t="s">
        <v>2619</v>
      </c>
    </row>
    <row r="41" spans="1:4" x14ac:dyDescent="0.25">
      <c r="A41" s="19">
        <v>112330</v>
      </c>
      <c r="B41" s="19" t="s">
        <v>2621</v>
      </c>
      <c r="C41" s="19">
        <v>112330</v>
      </c>
      <c r="D41" s="19" t="s">
        <v>2621</v>
      </c>
    </row>
    <row r="42" spans="1:4" x14ac:dyDescent="0.25">
      <c r="A42" s="19">
        <v>112340</v>
      </c>
      <c r="B42" s="19" t="s">
        <v>2623</v>
      </c>
      <c r="C42" s="19">
        <v>112340</v>
      </c>
      <c r="D42" s="19" t="s">
        <v>2623</v>
      </c>
    </row>
    <row r="43" spans="1:4" x14ac:dyDescent="0.25">
      <c r="A43" s="19">
        <v>112390</v>
      </c>
      <c r="B43" s="19" t="s">
        <v>2625</v>
      </c>
      <c r="C43" s="19">
        <v>112390</v>
      </c>
      <c r="D43" s="19" t="s">
        <v>2625</v>
      </c>
    </row>
    <row r="44" spans="1:4" x14ac:dyDescent="0.25">
      <c r="A44" s="19">
        <v>112410</v>
      </c>
      <c r="B44" s="19" t="s">
        <v>2627</v>
      </c>
      <c r="C44" s="19">
        <v>112410</v>
      </c>
      <c r="D44" s="19" t="s">
        <v>2627</v>
      </c>
    </row>
    <row r="45" spans="1:4" x14ac:dyDescent="0.25">
      <c r="A45" s="19">
        <v>112420</v>
      </c>
      <c r="B45" s="19" t="s">
        <v>2629</v>
      </c>
      <c r="C45" s="19">
        <v>112420</v>
      </c>
      <c r="D45" s="19" t="s">
        <v>2629</v>
      </c>
    </row>
    <row r="46" spans="1:4" x14ac:dyDescent="0.25">
      <c r="A46" s="19">
        <v>112511</v>
      </c>
      <c r="B46" s="19" t="s">
        <v>2631</v>
      </c>
      <c r="C46" s="19">
        <v>112511</v>
      </c>
      <c r="D46" s="19" t="s">
        <v>2631</v>
      </c>
    </row>
    <row r="47" spans="1:4" x14ac:dyDescent="0.25">
      <c r="A47" s="19">
        <v>112512</v>
      </c>
      <c r="B47" s="19" t="s">
        <v>2633</v>
      </c>
      <c r="C47" s="19">
        <v>112512</v>
      </c>
      <c r="D47" s="19" t="s">
        <v>2633</v>
      </c>
    </row>
    <row r="48" spans="1:4" x14ac:dyDescent="0.25">
      <c r="A48" s="19">
        <v>112519</v>
      </c>
      <c r="B48" s="19" t="s">
        <v>2635</v>
      </c>
      <c r="C48" s="19">
        <v>112519</v>
      </c>
      <c r="D48" s="19" t="s">
        <v>2635</v>
      </c>
    </row>
    <row r="49" spans="1:4" x14ac:dyDescent="0.25">
      <c r="A49" s="19">
        <v>112910</v>
      </c>
      <c r="B49" s="19" t="s">
        <v>2637</v>
      </c>
      <c r="C49" s="19">
        <v>112910</v>
      </c>
      <c r="D49" s="19" t="s">
        <v>2637</v>
      </c>
    </row>
    <row r="50" spans="1:4" x14ac:dyDescent="0.25">
      <c r="A50" s="19">
        <v>112920</v>
      </c>
      <c r="B50" s="19" t="s">
        <v>2638</v>
      </c>
      <c r="C50" s="19">
        <v>112920</v>
      </c>
      <c r="D50" s="19" t="s">
        <v>2638</v>
      </c>
    </row>
    <row r="51" spans="1:4" ht="25.5" x14ac:dyDescent="0.25">
      <c r="A51" s="19">
        <v>112930</v>
      </c>
      <c r="B51" s="19" t="s">
        <v>2640</v>
      </c>
      <c r="C51" s="19">
        <v>112930</v>
      </c>
      <c r="D51" s="19" t="s">
        <v>2640</v>
      </c>
    </row>
    <row r="52" spans="1:4" x14ac:dyDescent="0.25">
      <c r="A52" s="19">
        <v>112990</v>
      </c>
      <c r="B52" s="19" t="s">
        <v>2642</v>
      </c>
      <c r="C52" s="19">
        <v>112990</v>
      </c>
      <c r="D52" s="19" t="s">
        <v>2642</v>
      </c>
    </row>
    <row r="53" spans="1:4" x14ac:dyDescent="0.25">
      <c r="A53" s="19">
        <v>113110</v>
      </c>
      <c r="B53" s="19" t="s">
        <v>2644</v>
      </c>
      <c r="C53" s="19">
        <v>113110</v>
      </c>
      <c r="D53" s="19" t="s">
        <v>2644</v>
      </c>
    </row>
    <row r="54" spans="1:4" ht="25.5" x14ac:dyDescent="0.25">
      <c r="A54" s="19">
        <v>113210</v>
      </c>
      <c r="B54" s="19" t="s">
        <v>2646</v>
      </c>
      <c r="C54" s="19">
        <v>113210</v>
      </c>
      <c r="D54" s="19" t="s">
        <v>2646</v>
      </c>
    </row>
    <row r="55" spans="1:4" x14ac:dyDescent="0.25">
      <c r="A55" s="19">
        <v>113310</v>
      </c>
      <c r="B55" s="19" t="s">
        <v>2648</v>
      </c>
      <c r="C55" s="19">
        <v>113310</v>
      </c>
      <c r="D55" s="19" t="s">
        <v>2648</v>
      </c>
    </row>
    <row r="56" spans="1:4" x14ac:dyDescent="0.25">
      <c r="A56" s="19">
        <v>114111</v>
      </c>
      <c r="B56" s="19" t="s">
        <v>2650</v>
      </c>
      <c r="C56" s="19">
        <v>114111</v>
      </c>
      <c r="D56" s="19" t="s">
        <v>2650</v>
      </c>
    </row>
    <row r="57" spans="1:4" x14ac:dyDescent="0.25">
      <c r="A57" s="19">
        <v>114112</v>
      </c>
      <c r="B57" s="19" t="s">
        <v>2652</v>
      </c>
      <c r="C57" s="19">
        <v>114112</v>
      </c>
      <c r="D57" s="19" t="s">
        <v>2652</v>
      </c>
    </row>
    <row r="58" spans="1:4" x14ac:dyDescent="0.25">
      <c r="A58" s="19">
        <v>114119</v>
      </c>
      <c r="B58" s="19" t="s">
        <v>2654</v>
      </c>
      <c r="C58" s="19">
        <v>114119</v>
      </c>
      <c r="D58" s="19" t="s">
        <v>2654</v>
      </c>
    </row>
    <row r="59" spans="1:4" x14ac:dyDescent="0.25">
      <c r="A59" s="19">
        <v>114210</v>
      </c>
      <c r="B59" s="19" t="s">
        <v>2656</v>
      </c>
      <c r="C59" s="19">
        <v>114210</v>
      </c>
      <c r="D59" s="19" t="s">
        <v>2656</v>
      </c>
    </row>
    <row r="60" spans="1:4" x14ac:dyDescent="0.25">
      <c r="A60" s="19">
        <v>115111</v>
      </c>
      <c r="B60" s="19" t="s">
        <v>2658</v>
      </c>
      <c r="C60" s="19">
        <v>115111</v>
      </c>
      <c r="D60" s="19" t="s">
        <v>2658</v>
      </c>
    </row>
    <row r="61" spans="1:4" ht="25.5" x14ac:dyDescent="0.25">
      <c r="A61" s="19">
        <v>115112</v>
      </c>
      <c r="B61" s="19" t="s">
        <v>2660</v>
      </c>
      <c r="C61" s="19">
        <v>115112</v>
      </c>
      <c r="D61" s="19" t="s">
        <v>2660</v>
      </c>
    </row>
    <row r="62" spans="1:4" x14ac:dyDescent="0.25">
      <c r="A62" s="19">
        <v>115113</v>
      </c>
      <c r="B62" s="19" t="s">
        <v>2662</v>
      </c>
      <c r="C62" s="19">
        <v>115113</v>
      </c>
      <c r="D62" s="19" t="s">
        <v>2662</v>
      </c>
    </row>
    <row r="63" spans="1:4" ht="25.5" x14ac:dyDescent="0.25">
      <c r="A63" s="19">
        <v>115114</v>
      </c>
      <c r="B63" s="19" t="s">
        <v>2663</v>
      </c>
      <c r="C63" s="19">
        <v>115114</v>
      </c>
      <c r="D63" s="19" t="s">
        <v>2663</v>
      </c>
    </row>
    <row r="64" spans="1:4" ht="25.5" x14ac:dyDescent="0.25">
      <c r="A64" s="19">
        <v>115115</v>
      </c>
      <c r="B64" s="19" t="s">
        <v>2665</v>
      </c>
      <c r="C64" s="19">
        <v>115115</v>
      </c>
      <c r="D64" s="19" t="s">
        <v>2665</v>
      </c>
    </row>
    <row r="65" spans="1:4" x14ac:dyDescent="0.25">
      <c r="A65" s="19">
        <v>115116</v>
      </c>
      <c r="B65" s="19" t="s">
        <v>2667</v>
      </c>
      <c r="C65" s="19">
        <v>115116</v>
      </c>
      <c r="D65" s="19" t="s">
        <v>2667</v>
      </c>
    </row>
    <row r="66" spans="1:4" x14ac:dyDescent="0.25">
      <c r="A66" s="19">
        <v>115210</v>
      </c>
      <c r="B66" s="19" t="s">
        <v>2668</v>
      </c>
      <c r="C66" s="19">
        <v>115210</v>
      </c>
      <c r="D66" s="19" t="s">
        <v>2668</v>
      </c>
    </row>
    <row r="67" spans="1:4" x14ac:dyDescent="0.25">
      <c r="A67" s="19">
        <v>115310</v>
      </c>
      <c r="B67" s="19" t="s">
        <v>2670</v>
      </c>
      <c r="C67" s="19">
        <v>115310</v>
      </c>
      <c r="D67" s="19" t="s">
        <v>2670</v>
      </c>
    </row>
    <row r="68" spans="1:4" ht="25.5" x14ac:dyDescent="0.25">
      <c r="A68" s="21">
        <v>211111</v>
      </c>
      <c r="B68" s="19" t="s">
        <v>6126</v>
      </c>
      <c r="C68" s="19">
        <v>211120</v>
      </c>
      <c r="D68" s="19" t="s">
        <v>2672</v>
      </c>
    </row>
    <row r="69" spans="1:4" ht="25.5" x14ac:dyDescent="0.25">
      <c r="A69" s="21">
        <v>211111</v>
      </c>
      <c r="B69" s="19" t="s">
        <v>6127</v>
      </c>
      <c r="C69" s="20">
        <v>211130</v>
      </c>
      <c r="D69" s="19" t="s">
        <v>2674</v>
      </c>
    </row>
    <row r="70" spans="1:4" x14ac:dyDescent="0.25">
      <c r="A70" s="19">
        <v>211112</v>
      </c>
      <c r="B70" s="19" t="s">
        <v>5741</v>
      </c>
      <c r="C70" s="20">
        <v>211130</v>
      </c>
      <c r="D70" s="19" t="s">
        <v>2674</v>
      </c>
    </row>
    <row r="71" spans="1:4" ht="25.5" x14ac:dyDescent="0.25">
      <c r="A71" s="19">
        <v>212111</v>
      </c>
      <c r="B71" s="19" t="s">
        <v>2676</v>
      </c>
      <c r="C71" s="19">
        <v>212111</v>
      </c>
      <c r="D71" s="19" t="s">
        <v>2676</v>
      </c>
    </row>
    <row r="72" spans="1:4" x14ac:dyDescent="0.25">
      <c r="A72" s="19">
        <v>212112</v>
      </c>
      <c r="B72" s="19" t="s">
        <v>2678</v>
      </c>
      <c r="C72" s="19">
        <v>212112</v>
      </c>
      <c r="D72" s="19" t="s">
        <v>2678</v>
      </c>
    </row>
    <row r="73" spans="1:4" x14ac:dyDescent="0.25">
      <c r="A73" s="19">
        <v>212113</v>
      </c>
      <c r="B73" s="19" t="s">
        <v>2743</v>
      </c>
      <c r="C73" s="19">
        <v>212113</v>
      </c>
      <c r="D73" s="19" t="s">
        <v>2743</v>
      </c>
    </row>
    <row r="74" spans="1:4" x14ac:dyDescent="0.25">
      <c r="A74" s="19">
        <v>212210</v>
      </c>
      <c r="B74" s="19" t="s">
        <v>2682</v>
      </c>
      <c r="C74" s="19">
        <v>212210</v>
      </c>
      <c r="D74" s="19" t="s">
        <v>2682</v>
      </c>
    </row>
    <row r="75" spans="1:4" x14ac:dyDescent="0.25">
      <c r="A75" s="19">
        <v>212221</v>
      </c>
      <c r="B75" s="19" t="s">
        <v>2684</v>
      </c>
      <c r="C75" s="19">
        <v>212221</v>
      </c>
      <c r="D75" s="19" t="s">
        <v>2684</v>
      </c>
    </row>
    <row r="76" spans="1:4" x14ac:dyDescent="0.25">
      <c r="A76" s="19">
        <v>212222</v>
      </c>
      <c r="B76" s="19" t="s">
        <v>2686</v>
      </c>
      <c r="C76" s="19">
        <v>212222</v>
      </c>
      <c r="D76" s="19" t="s">
        <v>2686</v>
      </c>
    </row>
    <row r="77" spans="1:4" x14ac:dyDescent="0.25">
      <c r="A77" s="19">
        <v>212231</v>
      </c>
      <c r="B77" s="19" t="s">
        <v>5739</v>
      </c>
      <c r="C77" s="20">
        <v>212230</v>
      </c>
      <c r="D77" s="19" t="s">
        <v>2688</v>
      </c>
    </row>
    <row r="78" spans="1:4" x14ac:dyDescent="0.25">
      <c r="A78" s="19">
        <v>212234</v>
      </c>
      <c r="B78" s="19" t="s">
        <v>5738</v>
      </c>
      <c r="C78" s="20">
        <v>212230</v>
      </c>
      <c r="D78" s="19" t="s">
        <v>2688</v>
      </c>
    </row>
    <row r="79" spans="1:4" x14ac:dyDescent="0.25">
      <c r="A79" s="19">
        <v>212291</v>
      </c>
      <c r="B79" s="19" t="s">
        <v>2690</v>
      </c>
      <c r="C79" s="19">
        <v>212291</v>
      </c>
      <c r="D79" s="19" t="s">
        <v>2690</v>
      </c>
    </row>
    <row r="80" spans="1:4" x14ac:dyDescent="0.25">
      <c r="A80" s="19">
        <v>212299</v>
      </c>
      <c r="B80" s="19" t="s">
        <v>2692</v>
      </c>
      <c r="C80" s="19">
        <v>212299</v>
      </c>
      <c r="D80" s="19" t="s">
        <v>2692</v>
      </c>
    </row>
    <row r="81" spans="1:4" x14ac:dyDescent="0.25">
      <c r="A81" s="19">
        <v>212311</v>
      </c>
      <c r="B81" s="19" t="s">
        <v>2694</v>
      </c>
      <c r="C81" s="19">
        <v>212311</v>
      </c>
      <c r="D81" s="19" t="s">
        <v>2694</v>
      </c>
    </row>
    <row r="82" spans="1:4" ht="25.5" x14ac:dyDescent="0.25">
      <c r="A82" s="19">
        <v>212312</v>
      </c>
      <c r="B82" s="19" t="s">
        <v>2696</v>
      </c>
      <c r="C82" s="19">
        <v>212312</v>
      </c>
      <c r="D82" s="19" t="s">
        <v>2696</v>
      </c>
    </row>
    <row r="83" spans="1:4" ht="25.5" x14ac:dyDescent="0.25">
      <c r="A83" s="19">
        <v>212313</v>
      </c>
      <c r="B83" s="19" t="s">
        <v>2698</v>
      </c>
      <c r="C83" s="19">
        <v>212313</v>
      </c>
      <c r="D83" s="19" t="s">
        <v>2698</v>
      </c>
    </row>
    <row r="84" spans="1:4" ht="25.5" x14ac:dyDescent="0.25">
      <c r="A84" s="19">
        <v>212319</v>
      </c>
      <c r="B84" s="19" t="s">
        <v>2700</v>
      </c>
      <c r="C84" s="19">
        <v>212319</v>
      </c>
      <c r="D84" s="19" t="s">
        <v>2700</v>
      </c>
    </row>
    <row r="85" spans="1:4" x14ac:dyDescent="0.25">
      <c r="A85" s="19">
        <v>212321</v>
      </c>
      <c r="B85" s="19" t="s">
        <v>2702</v>
      </c>
      <c r="C85" s="19">
        <v>212321</v>
      </c>
      <c r="D85" s="19" t="s">
        <v>2702</v>
      </c>
    </row>
    <row r="86" spans="1:4" x14ac:dyDescent="0.25">
      <c r="A86" s="19">
        <v>212322</v>
      </c>
      <c r="B86" s="19" t="s">
        <v>2704</v>
      </c>
      <c r="C86" s="19">
        <v>212322</v>
      </c>
      <c r="D86" s="19" t="s">
        <v>2704</v>
      </c>
    </row>
    <row r="87" spans="1:4" x14ac:dyDescent="0.25">
      <c r="A87" s="19">
        <v>212324</v>
      </c>
      <c r="B87" s="19" t="s">
        <v>2706</v>
      </c>
      <c r="C87" s="19">
        <v>212324</v>
      </c>
      <c r="D87" s="19" t="s">
        <v>2706</v>
      </c>
    </row>
    <row r="88" spans="1:4" ht="25.5" x14ac:dyDescent="0.25">
      <c r="A88" s="19">
        <v>212325</v>
      </c>
      <c r="B88" s="19" t="s">
        <v>2708</v>
      </c>
      <c r="C88" s="19">
        <v>212325</v>
      </c>
      <c r="D88" s="19" t="s">
        <v>2708</v>
      </c>
    </row>
    <row r="89" spans="1:4" ht="25.5" x14ac:dyDescent="0.25">
      <c r="A89" s="19">
        <v>212391</v>
      </c>
      <c r="B89" s="19" t="s">
        <v>2710</v>
      </c>
      <c r="C89" s="19">
        <v>212391</v>
      </c>
      <c r="D89" s="19" t="s">
        <v>2710</v>
      </c>
    </row>
    <row r="90" spans="1:4" x14ac:dyDescent="0.25">
      <c r="A90" s="19">
        <v>212392</v>
      </c>
      <c r="B90" s="19" t="s">
        <v>2712</v>
      </c>
      <c r="C90" s="19">
        <v>212392</v>
      </c>
      <c r="D90" s="19" t="s">
        <v>2712</v>
      </c>
    </row>
    <row r="91" spans="1:4" ht="25.5" x14ac:dyDescent="0.25">
      <c r="A91" s="19">
        <v>212393</v>
      </c>
      <c r="B91" s="19" t="s">
        <v>2713</v>
      </c>
      <c r="C91" s="19">
        <v>212393</v>
      </c>
      <c r="D91" s="19" t="s">
        <v>2713</v>
      </c>
    </row>
    <row r="92" spans="1:4" x14ac:dyDescent="0.25">
      <c r="A92" s="19">
        <v>212399</v>
      </c>
      <c r="B92" s="19" t="s">
        <v>2715</v>
      </c>
      <c r="C92" s="19">
        <v>212399</v>
      </c>
      <c r="D92" s="19" t="s">
        <v>2715</v>
      </c>
    </row>
    <row r="93" spans="1:4" x14ac:dyDescent="0.25">
      <c r="A93" s="19">
        <v>213111</v>
      </c>
      <c r="B93" s="19" t="s">
        <v>2717</v>
      </c>
      <c r="C93" s="19">
        <v>213111</v>
      </c>
      <c r="D93" s="19" t="s">
        <v>2717</v>
      </c>
    </row>
    <row r="94" spans="1:4" ht="25.5" x14ac:dyDescent="0.25">
      <c r="A94" s="19">
        <v>213112</v>
      </c>
      <c r="B94" s="19" t="s">
        <v>2719</v>
      </c>
      <c r="C94" s="19">
        <v>213112</v>
      </c>
      <c r="D94" s="19" t="s">
        <v>2719</v>
      </c>
    </row>
    <row r="95" spans="1:4" x14ac:dyDescent="0.25">
      <c r="A95" s="19">
        <v>213113</v>
      </c>
      <c r="B95" s="19" t="s">
        <v>2721</v>
      </c>
      <c r="C95" s="19">
        <v>213113</v>
      </c>
      <c r="D95" s="19" t="s">
        <v>2721</v>
      </c>
    </row>
    <row r="96" spans="1:4" x14ac:dyDescent="0.25">
      <c r="A96" s="19">
        <v>213114</v>
      </c>
      <c r="B96" s="19" t="s">
        <v>2723</v>
      </c>
      <c r="C96" s="19">
        <v>213114</v>
      </c>
      <c r="D96" s="19" t="s">
        <v>2723</v>
      </c>
    </row>
    <row r="97" spans="1:4" ht="25.5" x14ac:dyDescent="0.25">
      <c r="A97" s="19">
        <v>213115</v>
      </c>
      <c r="B97" s="19" t="s">
        <v>2724</v>
      </c>
      <c r="C97" s="19">
        <v>213115</v>
      </c>
      <c r="D97" s="19" t="s">
        <v>2724</v>
      </c>
    </row>
    <row r="98" spans="1:4" x14ac:dyDescent="0.25">
      <c r="A98" s="19">
        <v>221111</v>
      </c>
      <c r="B98" s="19" t="s">
        <v>2726</v>
      </c>
      <c r="C98" s="19">
        <v>221111</v>
      </c>
      <c r="D98" s="19" t="s">
        <v>2726</v>
      </c>
    </row>
    <row r="99" spans="1:4" x14ac:dyDescent="0.25">
      <c r="A99" s="19">
        <v>221112</v>
      </c>
      <c r="B99" s="19" t="s">
        <v>2728</v>
      </c>
      <c r="C99" s="19">
        <v>221112</v>
      </c>
      <c r="D99" s="19" t="s">
        <v>2728</v>
      </c>
    </row>
    <row r="100" spans="1:4" x14ac:dyDescent="0.25">
      <c r="A100" s="19">
        <v>221113</v>
      </c>
      <c r="B100" s="19" t="s">
        <v>2730</v>
      </c>
      <c r="C100" s="19">
        <v>221113</v>
      </c>
      <c r="D100" s="19" t="s">
        <v>2730</v>
      </c>
    </row>
    <row r="101" spans="1:4" x14ac:dyDescent="0.25">
      <c r="A101" s="19">
        <v>221114</v>
      </c>
      <c r="B101" s="19" t="s">
        <v>2732</v>
      </c>
      <c r="C101" s="19">
        <v>221114</v>
      </c>
      <c r="D101" s="19" t="s">
        <v>2732</v>
      </c>
    </row>
    <row r="102" spans="1:4" x14ac:dyDescent="0.25">
      <c r="A102" s="19">
        <v>221115</v>
      </c>
      <c r="B102" s="19" t="s">
        <v>2734</v>
      </c>
      <c r="C102" s="19">
        <v>221115</v>
      </c>
      <c r="D102" s="19" t="s">
        <v>2734</v>
      </c>
    </row>
    <row r="103" spans="1:4" x14ac:dyDescent="0.25">
      <c r="A103" s="19">
        <v>221116</v>
      </c>
      <c r="B103" s="19" t="s">
        <v>2736</v>
      </c>
      <c r="C103" s="19">
        <v>221116</v>
      </c>
      <c r="D103" s="19" t="s">
        <v>2736</v>
      </c>
    </row>
    <row r="104" spans="1:4" x14ac:dyDescent="0.25">
      <c r="A104" s="19">
        <v>221117</v>
      </c>
      <c r="B104" s="19" t="s">
        <v>2738</v>
      </c>
      <c r="C104" s="19">
        <v>221117</v>
      </c>
      <c r="D104" s="19" t="s">
        <v>2738</v>
      </c>
    </row>
    <row r="105" spans="1:4" x14ac:dyDescent="0.25">
      <c r="A105" s="19">
        <v>221118</v>
      </c>
      <c r="B105" s="19" t="s">
        <v>2740</v>
      </c>
      <c r="C105" s="19">
        <v>221118</v>
      </c>
      <c r="D105" s="19" t="s">
        <v>2740</v>
      </c>
    </row>
    <row r="106" spans="1:4" ht="25.5" x14ac:dyDescent="0.25">
      <c r="A106" s="19">
        <v>221121</v>
      </c>
      <c r="B106" s="19" t="s">
        <v>2741</v>
      </c>
      <c r="C106" s="19">
        <v>221121</v>
      </c>
      <c r="D106" s="19" t="s">
        <v>2741</v>
      </c>
    </row>
    <row r="107" spans="1:4" x14ac:dyDescent="0.25">
      <c r="A107" s="19">
        <v>221122</v>
      </c>
      <c r="B107" s="19" t="s">
        <v>2742</v>
      </c>
      <c r="C107" s="19">
        <v>221122</v>
      </c>
      <c r="D107" s="19" t="s">
        <v>2742</v>
      </c>
    </row>
    <row r="108" spans="1:4" x14ac:dyDescent="0.25">
      <c r="A108" s="19">
        <v>221210</v>
      </c>
      <c r="B108" s="19" t="s">
        <v>2744</v>
      </c>
      <c r="C108" s="19">
        <v>221210</v>
      </c>
      <c r="D108" s="19" t="s">
        <v>2744</v>
      </c>
    </row>
    <row r="109" spans="1:4" x14ac:dyDescent="0.25">
      <c r="A109" s="19">
        <v>221310</v>
      </c>
      <c r="B109" s="19" t="s">
        <v>2746</v>
      </c>
      <c r="C109" s="19">
        <v>221310</v>
      </c>
      <c r="D109" s="19" t="s">
        <v>2746</v>
      </c>
    </row>
    <row r="110" spans="1:4" x14ac:dyDescent="0.25">
      <c r="A110" s="19">
        <v>221320</v>
      </c>
      <c r="B110" s="19" t="s">
        <v>2748</v>
      </c>
      <c r="C110" s="19">
        <v>221320</v>
      </c>
      <c r="D110" s="19" t="s">
        <v>2748</v>
      </c>
    </row>
    <row r="111" spans="1:4" x14ac:dyDescent="0.25">
      <c r="A111" s="19">
        <v>221330</v>
      </c>
      <c r="B111" s="19" t="s">
        <v>2750</v>
      </c>
      <c r="C111" s="19">
        <v>221330</v>
      </c>
      <c r="D111" s="19" t="s">
        <v>2750</v>
      </c>
    </row>
    <row r="112" spans="1:4" ht="25.5" x14ac:dyDescent="0.25">
      <c r="A112" s="19">
        <v>236115</v>
      </c>
      <c r="B112" s="19" t="s">
        <v>2752</v>
      </c>
      <c r="C112" s="19">
        <v>236115</v>
      </c>
      <c r="D112" s="19" t="s">
        <v>2752</v>
      </c>
    </row>
    <row r="113" spans="1:4" ht="25.5" x14ac:dyDescent="0.25">
      <c r="A113" s="19">
        <v>236116</v>
      </c>
      <c r="B113" s="19" t="s">
        <v>2753</v>
      </c>
      <c r="C113" s="19">
        <v>236116</v>
      </c>
      <c r="D113" s="19" t="s">
        <v>2753</v>
      </c>
    </row>
    <row r="114" spans="1:4" x14ac:dyDescent="0.25">
      <c r="A114" s="19">
        <v>236117</v>
      </c>
      <c r="B114" s="19" t="s">
        <v>2755</v>
      </c>
      <c r="C114" s="19">
        <v>236117</v>
      </c>
      <c r="D114" s="19" t="s">
        <v>2755</v>
      </c>
    </row>
    <row r="115" spans="1:4" x14ac:dyDescent="0.25">
      <c r="A115" s="19">
        <v>236118</v>
      </c>
      <c r="B115" s="19" t="s">
        <v>2757</v>
      </c>
      <c r="C115" s="19">
        <v>236118</v>
      </c>
      <c r="D115" s="19" t="s">
        <v>2757</v>
      </c>
    </row>
    <row r="116" spans="1:4" x14ac:dyDescent="0.25">
      <c r="A116" s="19">
        <v>236210</v>
      </c>
      <c r="B116" s="19" t="s">
        <v>2759</v>
      </c>
      <c r="C116" s="19">
        <v>236210</v>
      </c>
      <c r="D116" s="19" t="s">
        <v>2759</v>
      </c>
    </row>
    <row r="117" spans="1:4" ht="25.5" x14ac:dyDescent="0.25">
      <c r="A117" s="19">
        <v>236220</v>
      </c>
      <c r="B117" s="19" t="s">
        <v>2761</v>
      </c>
      <c r="C117" s="19">
        <v>236220</v>
      </c>
      <c r="D117" s="19" t="s">
        <v>2761</v>
      </c>
    </row>
    <row r="118" spans="1:4" ht="25.5" x14ac:dyDescent="0.25">
      <c r="A118" s="19">
        <v>237110</v>
      </c>
      <c r="B118" s="19" t="s">
        <v>2763</v>
      </c>
      <c r="C118" s="19">
        <v>237110</v>
      </c>
      <c r="D118" s="19" t="s">
        <v>2763</v>
      </c>
    </row>
    <row r="119" spans="1:4" ht="25.5" x14ac:dyDescent="0.25">
      <c r="A119" s="19">
        <v>237120</v>
      </c>
      <c r="B119" s="19" t="s">
        <v>2765</v>
      </c>
      <c r="C119" s="19">
        <v>237120</v>
      </c>
      <c r="D119" s="19" t="s">
        <v>2765</v>
      </c>
    </row>
    <row r="120" spans="1:4" ht="25.5" x14ac:dyDescent="0.25">
      <c r="A120" s="19">
        <v>237130</v>
      </c>
      <c r="B120" s="19" t="s">
        <v>2767</v>
      </c>
      <c r="C120" s="19">
        <v>237130</v>
      </c>
      <c r="D120" s="19" t="s">
        <v>2767</v>
      </c>
    </row>
    <row r="121" spans="1:4" x14ac:dyDescent="0.25">
      <c r="A121" s="19">
        <v>237210</v>
      </c>
      <c r="B121" s="19" t="s">
        <v>2769</v>
      </c>
      <c r="C121" s="19">
        <v>237210</v>
      </c>
      <c r="D121" s="19" t="s">
        <v>2769</v>
      </c>
    </row>
    <row r="122" spans="1:4" ht="25.5" x14ac:dyDescent="0.25">
      <c r="A122" s="19">
        <v>237310</v>
      </c>
      <c r="B122" s="19" t="s">
        <v>2771</v>
      </c>
      <c r="C122" s="19">
        <v>237310</v>
      </c>
      <c r="D122" s="19" t="s">
        <v>2771</v>
      </c>
    </row>
    <row r="123" spans="1:4" ht="25.5" x14ac:dyDescent="0.25">
      <c r="A123" s="19">
        <v>237990</v>
      </c>
      <c r="B123" s="19" t="s">
        <v>2773</v>
      </c>
      <c r="C123" s="19">
        <v>237990</v>
      </c>
      <c r="D123" s="19" t="s">
        <v>2773</v>
      </c>
    </row>
    <row r="124" spans="1:4" ht="25.5" x14ac:dyDescent="0.25">
      <c r="A124" s="19">
        <v>238110</v>
      </c>
      <c r="B124" s="19" t="s">
        <v>2775</v>
      </c>
      <c r="C124" s="19">
        <v>238110</v>
      </c>
      <c r="D124" s="19" t="s">
        <v>2775</v>
      </c>
    </row>
    <row r="125" spans="1:4" ht="25.5" x14ac:dyDescent="0.25">
      <c r="A125" s="19">
        <v>238120</v>
      </c>
      <c r="B125" s="19" t="s">
        <v>2777</v>
      </c>
      <c r="C125" s="19">
        <v>238120</v>
      </c>
      <c r="D125" s="19" t="s">
        <v>2777</v>
      </c>
    </row>
    <row r="126" spans="1:4" x14ac:dyDescent="0.25">
      <c r="A126" s="19">
        <v>238130</v>
      </c>
      <c r="B126" s="19" t="s">
        <v>2779</v>
      </c>
      <c r="C126" s="19">
        <v>238130</v>
      </c>
      <c r="D126" s="19" t="s">
        <v>2779</v>
      </c>
    </row>
    <row r="127" spans="1:4" x14ac:dyDescent="0.25">
      <c r="A127" s="19">
        <v>238140</v>
      </c>
      <c r="B127" s="19" t="s">
        <v>2781</v>
      </c>
      <c r="C127" s="19">
        <v>238140</v>
      </c>
      <c r="D127" s="19" t="s">
        <v>2781</v>
      </c>
    </row>
    <row r="128" spans="1:4" x14ac:dyDescent="0.25">
      <c r="A128" s="19">
        <v>238150</v>
      </c>
      <c r="B128" s="19" t="s">
        <v>2783</v>
      </c>
      <c r="C128" s="19">
        <v>238150</v>
      </c>
      <c r="D128" s="19" t="s">
        <v>2783</v>
      </c>
    </row>
    <row r="129" spans="1:4" x14ac:dyDescent="0.25">
      <c r="A129" s="19">
        <v>238160</v>
      </c>
      <c r="B129" s="19" t="s">
        <v>2785</v>
      </c>
      <c r="C129" s="19">
        <v>238160</v>
      </c>
      <c r="D129" s="19" t="s">
        <v>2785</v>
      </c>
    </row>
    <row r="130" spans="1:4" x14ac:dyDescent="0.25">
      <c r="A130" s="19">
        <v>238170</v>
      </c>
      <c r="B130" s="19" t="s">
        <v>2787</v>
      </c>
      <c r="C130" s="19">
        <v>238170</v>
      </c>
      <c r="D130" s="19" t="s">
        <v>2787</v>
      </c>
    </row>
    <row r="131" spans="1:4" ht="25.5" x14ac:dyDescent="0.25">
      <c r="A131" s="19">
        <v>238190</v>
      </c>
      <c r="B131" s="19" t="s">
        <v>2789</v>
      </c>
      <c r="C131" s="19">
        <v>238190</v>
      </c>
      <c r="D131" s="19" t="s">
        <v>2789</v>
      </c>
    </row>
    <row r="132" spans="1:4" ht="25.5" x14ac:dyDescent="0.25">
      <c r="A132" s="19">
        <v>238210</v>
      </c>
      <c r="B132" s="19" t="s">
        <v>2791</v>
      </c>
      <c r="C132" s="19">
        <v>238210</v>
      </c>
      <c r="D132" s="19" t="s">
        <v>2791</v>
      </c>
    </row>
    <row r="133" spans="1:4" ht="25.5" x14ac:dyDescent="0.25">
      <c r="A133" s="19">
        <v>238220</v>
      </c>
      <c r="B133" s="19" t="s">
        <v>2793</v>
      </c>
      <c r="C133" s="19">
        <v>238220</v>
      </c>
      <c r="D133" s="19" t="s">
        <v>2793</v>
      </c>
    </row>
    <row r="134" spans="1:4" x14ac:dyDescent="0.25">
      <c r="A134" s="19">
        <v>238290</v>
      </c>
      <c r="B134" s="19" t="s">
        <v>2795</v>
      </c>
      <c r="C134" s="19">
        <v>238290</v>
      </c>
      <c r="D134" s="19" t="s">
        <v>2795</v>
      </c>
    </row>
    <row r="135" spans="1:4" x14ac:dyDescent="0.25">
      <c r="A135" s="19">
        <v>238310</v>
      </c>
      <c r="B135" s="19" t="s">
        <v>2797</v>
      </c>
      <c r="C135" s="19">
        <v>238310</v>
      </c>
      <c r="D135" s="19" t="s">
        <v>2797</v>
      </c>
    </row>
    <row r="136" spans="1:4" x14ac:dyDescent="0.25">
      <c r="A136" s="19">
        <v>238320</v>
      </c>
      <c r="B136" s="19" t="s">
        <v>2799</v>
      </c>
      <c r="C136" s="19">
        <v>238320</v>
      </c>
      <c r="D136" s="19" t="s">
        <v>2799</v>
      </c>
    </row>
    <row r="137" spans="1:4" x14ac:dyDescent="0.25">
      <c r="A137" s="19">
        <v>238330</v>
      </c>
      <c r="B137" s="19" t="s">
        <v>2800</v>
      </c>
      <c r="C137" s="19">
        <v>238330</v>
      </c>
      <c r="D137" s="19" t="s">
        <v>2800</v>
      </c>
    </row>
    <row r="138" spans="1:4" x14ac:dyDescent="0.25">
      <c r="A138" s="19">
        <v>238340</v>
      </c>
      <c r="B138" s="19" t="s">
        <v>2802</v>
      </c>
      <c r="C138" s="19">
        <v>238340</v>
      </c>
      <c r="D138" s="19" t="s">
        <v>2802</v>
      </c>
    </row>
    <row r="139" spans="1:4" x14ac:dyDescent="0.25">
      <c r="A139" s="19">
        <v>238350</v>
      </c>
      <c r="B139" s="19" t="s">
        <v>2804</v>
      </c>
      <c r="C139" s="19">
        <v>238350</v>
      </c>
      <c r="D139" s="19" t="s">
        <v>2804</v>
      </c>
    </row>
    <row r="140" spans="1:4" x14ac:dyDescent="0.25">
      <c r="A140" s="19">
        <v>238390</v>
      </c>
      <c r="B140" s="19" t="s">
        <v>2806</v>
      </c>
      <c r="C140" s="19">
        <v>238390</v>
      </c>
      <c r="D140" s="19" t="s">
        <v>2806</v>
      </c>
    </row>
    <row r="141" spans="1:4" x14ac:dyDescent="0.25">
      <c r="A141" s="19">
        <v>238910</v>
      </c>
      <c r="B141" s="19" t="s">
        <v>2808</v>
      </c>
      <c r="C141" s="19">
        <v>238910</v>
      </c>
      <c r="D141" s="19" t="s">
        <v>2808</v>
      </c>
    </row>
    <row r="142" spans="1:4" x14ac:dyDescent="0.25">
      <c r="A142" s="19">
        <v>238990</v>
      </c>
      <c r="B142" s="19" t="s">
        <v>2810</v>
      </c>
      <c r="C142" s="19">
        <v>238990</v>
      </c>
      <c r="D142" s="19" t="s">
        <v>2810</v>
      </c>
    </row>
    <row r="143" spans="1:4" x14ac:dyDescent="0.25">
      <c r="A143" s="19">
        <v>311111</v>
      </c>
      <c r="B143" s="19" t="s">
        <v>2812</v>
      </c>
      <c r="C143" s="19">
        <v>311111</v>
      </c>
      <c r="D143" s="19" t="s">
        <v>2812</v>
      </c>
    </row>
    <row r="144" spans="1:4" x14ac:dyDescent="0.25">
      <c r="A144" s="19">
        <v>311119</v>
      </c>
      <c r="B144" s="19" t="s">
        <v>2814</v>
      </c>
      <c r="C144" s="19">
        <v>311119</v>
      </c>
      <c r="D144" s="19" t="s">
        <v>2814</v>
      </c>
    </row>
    <row r="145" spans="1:4" x14ac:dyDescent="0.25">
      <c r="A145" s="19">
        <v>311211</v>
      </c>
      <c r="B145" s="19" t="s">
        <v>2816</v>
      </c>
      <c r="C145" s="19">
        <v>311211</v>
      </c>
      <c r="D145" s="19" t="s">
        <v>2816</v>
      </c>
    </row>
    <row r="146" spans="1:4" x14ac:dyDescent="0.25">
      <c r="A146" s="19">
        <v>311212</v>
      </c>
      <c r="B146" s="19" t="s">
        <v>2818</v>
      </c>
      <c r="C146" s="19">
        <v>311212</v>
      </c>
      <c r="D146" s="19" t="s">
        <v>2818</v>
      </c>
    </row>
    <row r="147" spans="1:4" x14ac:dyDescent="0.25">
      <c r="A147" s="19">
        <v>311213</v>
      </c>
      <c r="B147" s="19" t="s">
        <v>2820</v>
      </c>
      <c r="C147" s="19">
        <v>311213</v>
      </c>
      <c r="D147" s="19" t="s">
        <v>2820</v>
      </c>
    </row>
    <row r="148" spans="1:4" x14ac:dyDescent="0.25">
      <c r="A148" s="19">
        <v>311221</v>
      </c>
      <c r="B148" s="19" t="s">
        <v>2822</v>
      </c>
      <c r="C148" s="19">
        <v>311221</v>
      </c>
      <c r="D148" s="19" t="s">
        <v>2822</v>
      </c>
    </row>
    <row r="149" spans="1:4" x14ac:dyDescent="0.25">
      <c r="A149" s="19">
        <v>311224</v>
      </c>
      <c r="B149" s="19" t="s">
        <v>2824</v>
      </c>
      <c r="C149" s="19">
        <v>311224</v>
      </c>
      <c r="D149" s="19" t="s">
        <v>2824</v>
      </c>
    </row>
    <row r="150" spans="1:4" x14ac:dyDescent="0.25">
      <c r="A150" s="19">
        <v>311225</v>
      </c>
      <c r="B150" s="19" t="s">
        <v>2826</v>
      </c>
      <c r="C150" s="19">
        <v>311225</v>
      </c>
      <c r="D150" s="19" t="s">
        <v>2826</v>
      </c>
    </row>
    <row r="151" spans="1:4" x14ac:dyDescent="0.25">
      <c r="A151" s="19">
        <v>311230</v>
      </c>
      <c r="B151" s="19" t="s">
        <v>2828</v>
      </c>
      <c r="C151" s="19">
        <v>311230</v>
      </c>
      <c r="D151" s="19" t="s">
        <v>2828</v>
      </c>
    </row>
    <row r="152" spans="1:4" x14ac:dyDescent="0.25">
      <c r="A152" s="19">
        <v>311313</v>
      </c>
      <c r="B152" s="19" t="s">
        <v>2830</v>
      </c>
      <c r="C152" s="19">
        <v>311313</v>
      </c>
      <c r="D152" s="19" t="s">
        <v>2830</v>
      </c>
    </row>
    <row r="153" spans="1:4" x14ac:dyDescent="0.25">
      <c r="A153" s="19">
        <v>311314</v>
      </c>
      <c r="B153" s="19" t="s">
        <v>2831</v>
      </c>
      <c r="C153" s="19">
        <v>311314</v>
      </c>
      <c r="D153" s="19" t="s">
        <v>2831</v>
      </c>
    </row>
    <row r="154" spans="1:4" ht="25.5" x14ac:dyDescent="0.25">
      <c r="A154" s="19">
        <v>311340</v>
      </c>
      <c r="B154" s="19" t="s">
        <v>2833</v>
      </c>
      <c r="C154" s="19">
        <v>311340</v>
      </c>
      <c r="D154" s="19" t="s">
        <v>2833</v>
      </c>
    </row>
    <row r="155" spans="1:4" ht="25.5" x14ac:dyDescent="0.25">
      <c r="A155" s="19">
        <v>311351</v>
      </c>
      <c r="B155" s="19" t="s">
        <v>2835</v>
      </c>
      <c r="C155" s="19">
        <v>311351</v>
      </c>
      <c r="D155" s="19" t="s">
        <v>2835</v>
      </c>
    </row>
    <row r="156" spans="1:4" ht="25.5" x14ac:dyDescent="0.25">
      <c r="A156" s="19">
        <v>311352</v>
      </c>
      <c r="B156" s="19" t="s">
        <v>2837</v>
      </c>
      <c r="C156" s="19">
        <v>311352</v>
      </c>
      <c r="D156" s="19" t="s">
        <v>2837</v>
      </c>
    </row>
    <row r="157" spans="1:4" ht="25.5" x14ac:dyDescent="0.25">
      <c r="A157" s="19">
        <v>311411</v>
      </c>
      <c r="B157" s="19" t="s">
        <v>2839</v>
      </c>
      <c r="C157" s="19">
        <v>311411</v>
      </c>
      <c r="D157" s="19" t="s">
        <v>2839</v>
      </c>
    </row>
    <row r="158" spans="1:4" x14ac:dyDescent="0.25">
      <c r="A158" s="19">
        <v>311412</v>
      </c>
      <c r="B158" s="19" t="s">
        <v>2841</v>
      </c>
      <c r="C158" s="19">
        <v>311412</v>
      </c>
      <c r="D158" s="19" t="s">
        <v>2841</v>
      </c>
    </row>
    <row r="159" spans="1:4" x14ac:dyDescent="0.25">
      <c r="A159" s="19">
        <v>311421</v>
      </c>
      <c r="B159" s="19" t="s">
        <v>2843</v>
      </c>
      <c r="C159" s="19">
        <v>311421</v>
      </c>
      <c r="D159" s="19" t="s">
        <v>2843</v>
      </c>
    </row>
    <row r="160" spans="1:4" x14ac:dyDescent="0.25">
      <c r="A160" s="19">
        <v>311422</v>
      </c>
      <c r="B160" s="19" t="s">
        <v>2845</v>
      </c>
      <c r="C160" s="19">
        <v>311422</v>
      </c>
      <c r="D160" s="19" t="s">
        <v>2845</v>
      </c>
    </row>
    <row r="161" spans="1:4" ht="25.5" x14ac:dyDescent="0.25">
      <c r="A161" s="19">
        <v>311423</v>
      </c>
      <c r="B161" s="19" t="s">
        <v>2847</v>
      </c>
      <c r="C161" s="19">
        <v>311423</v>
      </c>
      <c r="D161" s="19" t="s">
        <v>2847</v>
      </c>
    </row>
    <row r="162" spans="1:4" x14ac:dyDescent="0.25">
      <c r="A162" s="19">
        <v>311511</v>
      </c>
      <c r="B162" s="19" t="s">
        <v>2849</v>
      </c>
      <c r="C162" s="19">
        <v>311511</v>
      </c>
      <c r="D162" s="19" t="s">
        <v>2849</v>
      </c>
    </row>
    <row r="163" spans="1:4" x14ac:dyDescent="0.25">
      <c r="A163" s="19">
        <v>311512</v>
      </c>
      <c r="B163" s="19" t="s">
        <v>2851</v>
      </c>
      <c r="C163" s="19">
        <v>311512</v>
      </c>
      <c r="D163" s="19" t="s">
        <v>2851</v>
      </c>
    </row>
    <row r="164" spans="1:4" x14ac:dyDescent="0.25">
      <c r="A164" s="19">
        <v>311513</v>
      </c>
      <c r="B164" s="19" t="s">
        <v>2853</v>
      </c>
      <c r="C164" s="19">
        <v>311513</v>
      </c>
      <c r="D164" s="19" t="s">
        <v>2853</v>
      </c>
    </row>
    <row r="165" spans="1:4" ht="25.5" x14ac:dyDescent="0.25">
      <c r="A165" s="19">
        <v>311514</v>
      </c>
      <c r="B165" s="19" t="s">
        <v>2855</v>
      </c>
      <c r="C165" s="19">
        <v>311514</v>
      </c>
      <c r="D165" s="19" t="s">
        <v>2855</v>
      </c>
    </row>
    <row r="166" spans="1:4" ht="25.5" x14ac:dyDescent="0.25">
      <c r="A166" s="19">
        <v>311520</v>
      </c>
      <c r="B166" s="19" t="s">
        <v>2857</v>
      </c>
      <c r="C166" s="19">
        <v>311520</v>
      </c>
      <c r="D166" s="19" t="s">
        <v>2857</v>
      </c>
    </row>
    <row r="167" spans="1:4" x14ac:dyDescent="0.25">
      <c r="A167" s="19">
        <v>311611</v>
      </c>
      <c r="B167" s="19" t="s">
        <v>2859</v>
      </c>
      <c r="C167" s="19">
        <v>311611</v>
      </c>
      <c r="D167" s="19" t="s">
        <v>2859</v>
      </c>
    </row>
    <row r="168" spans="1:4" x14ac:dyDescent="0.25">
      <c r="A168" s="19">
        <v>311612</v>
      </c>
      <c r="B168" s="19" t="s">
        <v>2861</v>
      </c>
      <c r="C168" s="19">
        <v>311612</v>
      </c>
      <c r="D168" s="19" t="s">
        <v>2861</v>
      </c>
    </row>
    <row r="169" spans="1:4" ht="25.5" x14ac:dyDescent="0.25">
      <c r="A169" s="19">
        <v>311613</v>
      </c>
      <c r="B169" s="19" t="s">
        <v>2863</v>
      </c>
      <c r="C169" s="19">
        <v>311613</v>
      </c>
      <c r="D169" s="19" t="s">
        <v>2863</v>
      </c>
    </row>
    <row r="170" spans="1:4" x14ac:dyDescent="0.25">
      <c r="A170" s="19">
        <v>311615</v>
      </c>
      <c r="B170" s="19" t="s">
        <v>2865</v>
      </c>
      <c r="C170" s="19">
        <v>311615</v>
      </c>
      <c r="D170" s="19" t="s">
        <v>2865</v>
      </c>
    </row>
    <row r="171" spans="1:4" ht="25.5" x14ac:dyDescent="0.25">
      <c r="A171" s="19">
        <v>311710</v>
      </c>
      <c r="B171" s="19" t="s">
        <v>2867</v>
      </c>
      <c r="C171" s="19">
        <v>311710</v>
      </c>
      <c r="D171" s="19" t="s">
        <v>2867</v>
      </c>
    </row>
    <row r="172" spans="1:4" x14ac:dyDescent="0.25">
      <c r="A172" s="19">
        <v>311811</v>
      </c>
      <c r="B172" s="19" t="s">
        <v>2869</v>
      </c>
      <c r="C172" s="19">
        <v>311811</v>
      </c>
      <c r="D172" s="19" t="s">
        <v>2869</v>
      </c>
    </row>
    <row r="173" spans="1:4" x14ac:dyDescent="0.25">
      <c r="A173" s="19">
        <v>311812</v>
      </c>
      <c r="B173" s="19" t="s">
        <v>2871</v>
      </c>
      <c r="C173" s="19">
        <v>311812</v>
      </c>
      <c r="D173" s="19" t="s">
        <v>2871</v>
      </c>
    </row>
    <row r="174" spans="1:4" ht="25.5" x14ac:dyDescent="0.25">
      <c r="A174" s="19">
        <v>311813</v>
      </c>
      <c r="B174" s="19" t="s">
        <v>2873</v>
      </c>
      <c r="C174" s="19">
        <v>311813</v>
      </c>
      <c r="D174" s="19" t="s">
        <v>2873</v>
      </c>
    </row>
    <row r="175" spans="1:4" x14ac:dyDescent="0.25">
      <c r="A175" s="19">
        <v>311821</v>
      </c>
      <c r="B175" s="19" t="s">
        <v>2875</v>
      </c>
      <c r="C175" s="19">
        <v>311821</v>
      </c>
      <c r="D175" s="19" t="s">
        <v>2875</v>
      </c>
    </row>
    <row r="176" spans="1:4" ht="25.5" x14ac:dyDescent="0.25">
      <c r="A176" s="19">
        <v>311824</v>
      </c>
      <c r="B176" s="19" t="s">
        <v>2877</v>
      </c>
      <c r="C176" s="19">
        <v>311824</v>
      </c>
      <c r="D176" s="19" t="s">
        <v>2877</v>
      </c>
    </row>
    <row r="177" spans="1:4" x14ac:dyDescent="0.25">
      <c r="A177" s="19">
        <v>311830</v>
      </c>
      <c r="B177" s="19" t="s">
        <v>2879</v>
      </c>
      <c r="C177" s="19">
        <v>311830</v>
      </c>
      <c r="D177" s="19" t="s">
        <v>2879</v>
      </c>
    </row>
    <row r="178" spans="1:4" ht="25.5" x14ac:dyDescent="0.25">
      <c r="A178" s="19">
        <v>311911</v>
      </c>
      <c r="B178" s="19" t="s">
        <v>2881</v>
      </c>
      <c r="C178" s="19">
        <v>311911</v>
      </c>
      <c r="D178" s="19" t="s">
        <v>2881</v>
      </c>
    </row>
    <row r="179" spans="1:4" x14ac:dyDescent="0.25">
      <c r="A179" s="19">
        <v>311919</v>
      </c>
      <c r="B179" s="19" t="s">
        <v>2883</v>
      </c>
      <c r="C179" s="19">
        <v>311919</v>
      </c>
      <c r="D179" s="19" t="s">
        <v>2883</v>
      </c>
    </row>
    <row r="180" spans="1:4" x14ac:dyDescent="0.25">
      <c r="A180" s="19">
        <v>311920</v>
      </c>
      <c r="B180" s="19" t="s">
        <v>2885</v>
      </c>
      <c r="C180" s="19">
        <v>311920</v>
      </c>
      <c r="D180" s="19" t="s">
        <v>2885</v>
      </c>
    </row>
    <row r="181" spans="1:4" ht="25.5" x14ac:dyDescent="0.25">
      <c r="A181" s="19">
        <v>311930</v>
      </c>
      <c r="B181" s="19" t="s">
        <v>2887</v>
      </c>
      <c r="C181" s="19">
        <v>311930</v>
      </c>
      <c r="D181" s="19" t="s">
        <v>2887</v>
      </c>
    </row>
    <row r="182" spans="1:4" ht="25.5" x14ac:dyDescent="0.25">
      <c r="A182" s="19">
        <v>311941</v>
      </c>
      <c r="B182" s="19" t="s">
        <v>2889</v>
      </c>
      <c r="C182" s="19">
        <v>311941</v>
      </c>
      <c r="D182" s="19" t="s">
        <v>2889</v>
      </c>
    </row>
    <row r="183" spans="1:4" x14ac:dyDescent="0.25">
      <c r="A183" s="19">
        <v>311942</v>
      </c>
      <c r="B183" s="19" t="s">
        <v>2890</v>
      </c>
      <c r="C183" s="19">
        <v>311942</v>
      </c>
      <c r="D183" s="19" t="s">
        <v>2890</v>
      </c>
    </row>
    <row r="184" spans="1:4" x14ac:dyDescent="0.25">
      <c r="A184" s="19">
        <v>311991</v>
      </c>
      <c r="B184" s="19" t="s">
        <v>2892</v>
      </c>
      <c r="C184" s="19">
        <v>311991</v>
      </c>
      <c r="D184" s="19" t="s">
        <v>2892</v>
      </c>
    </row>
    <row r="185" spans="1:4" ht="25.5" x14ac:dyDescent="0.25">
      <c r="A185" s="19">
        <v>311999</v>
      </c>
      <c r="B185" s="19" t="s">
        <v>2894</v>
      </c>
      <c r="C185" s="19">
        <v>311999</v>
      </c>
      <c r="D185" s="19" t="s">
        <v>2894</v>
      </c>
    </row>
    <row r="186" spans="1:4" x14ac:dyDescent="0.25">
      <c r="A186" s="19">
        <v>312111</v>
      </c>
      <c r="B186" s="19" t="s">
        <v>2896</v>
      </c>
      <c r="C186" s="19">
        <v>312111</v>
      </c>
      <c r="D186" s="19" t="s">
        <v>2896</v>
      </c>
    </row>
    <row r="187" spans="1:4" x14ac:dyDescent="0.25">
      <c r="A187" s="19">
        <v>312112</v>
      </c>
      <c r="B187" s="19" t="s">
        <v>2897</v>
      </c>
      <c r="C187" s="19">
        <v>312112</v>
      </c>
      <c r="D187" s="19" t="s">
        <v>2897</v>
      </c>
    </row>
    <row r="188" spans="1:4" x14ac:dyDescent="0.25">
      <c r="A188" s="19">
        <v>312113</v>
      </c>
      <c r="B188" s="19" t="s">
        <v>2899</v>
      </c>
      <c r="C188" s="19">
        <v>312113</v>
      </c>
      <c r="D188" s="19" t="s">
        <v>2899</v>
      </c>
    </row>
    <row r="189" spans="1:4" x14ac:dyDescent="0.25">
      <c r="A189" s="19">
        <v>312120</v>
      </c>
      <c r="B189" s="19" t="s">
        <v>2901</v>
      </c>
      <c r="C189" s="19">
        <v>312120</v>
      </c>
      <c r="D189" s="19" t="s">
        <v>2901</v>
      </c>
    </row>
    <row r="190" spans="1:4" x14ac:dyDescent="0.25">
      <c r="A190" s="19">
        <v>312130</v>
      </c>
      <c r="B190" s="19" t="s">
        <v>2903</v>
      </c>
      <c r="C190" s="19">
        <v>312130</v>
      </c>
      <c r="D190" s="19" t="s">
        <v>2903</v>
      </c>
    </row>
    <row r="191" spans="1:4" x14ac:dyDescent="0.25">
      <c r="A191" s="19">
        <v>312140</v>
      </c>
      <c r="B191" s="19" t="s">
        <v>2905</v>
      </c>
      <c r="C191" s="19">
        <v>312140</v>
      </c>
      <c r="D191" s="19" t="s">
        <v>2905</v>
      </c>
    </row>
    <row r="192" spans="1:4" x14ac:dyDescent="0.25">
      <c r="A192" s="19">
        <v>312230</v>
      </c>
      <c r="B192" s="19" t="s">
        <v>2907</v>
      </c>
      <c r="C192" s="19">
        <v>312230</v>
      </c>
      <c r="D192" s="19" t="s">
        <v>2907</v>
      </c>
    </row>
    <row r="193" spans="1:4" x14ac:dyDescent="0.25">
      <c r="A193" s="19">
        <v>313110</v>
      </c>
      <c r="B193" s="19" t="s">
        <v>2909</v>
      </c>
      <c r="C193" s="19">
        <v>313110</v>
      </c>
      <c r="D193" s="19" t="s">
        <v>2909</v>
      </c>
    </row>
    <row r="194" spans="1:4" x14ac:dyDescent="0.25">
      <c r="A194" s="19">
        <v>313210</v>
      </c>
      <c r="B194" s="19" t="s">
        <v>2911</v>
      </c>
      <c r="C194" s="19">
        <v>313210</v>
      </c>
      <c r="D194" s="19" t="s">
        <v>2911</v>
      </c>
    </row>
    <row r="195" spans="1:4" ht="25.5" x14ac:dyDescent="0.25">
      <c r="A195" s="19">
        <v>313220</v>
      </c>
      <c r="B195" s="19" t="s">
        <v>2913</v>
      </c>
      <c r="C195" s="19">
        <v>313220</v>
      </c>
      <c r="D195" s="19" t="s">
        <v>2913</v>
      </c>
    </row>
    <row r="196" spans="1:4" x14ac:dyDescent="0.25">
      <c r="A196" s="19">
        <v>313230</v>
      </c>
      <c r="B196" s="19" t="s">
        <v>2915</v>
      </c>
      <c r="C196" s="19">
        <v>313230</v>
      </c>
      <c r="D196" s="19" t="s">
        <v>2915</v>
      </c>
    </row>
    <row r="197" spans="1:4" x14ac:dyDescent="0.25">
      <c r="A197" s="19">
        <v>313240</v>
      </c>
      <c r="B197" s="19" t="s">
        <v>2917</v>
      </c>
      <c r="C197" s="19">
        <v>313240</v>
      </c>
      <c r="D197" s="19" t="s">
        <v>2917</v>
      </c>
    </row>
    <row r="198" spans="1:4" x14ac:dyDescent="0.25">
      <c r="A198" s="19">
        <v>313310</v>
      </c>
      <c r="B198" s="19" t="s">
        <v>2919</v>
      </c>
      <c r="C198" s="19">
        <v>313310</v>
      </c>
      <c r="D198" s="19" t="s">
        <v>2919</v>
      </c>
    </row>
    <row r="199" spans="1:4" x14ac:dyDescent="0.25">
      <c r="A199" s="19">
        <v>313320</v>
      </c>
      <c r="B199" s="19" t="s">
        <v>2921</v>
      </c>
      <c r="C199" s="19">
        <v>313320</v>
      </c>
      <c r="D199" s="19" t="s">
        <v>2921</v>
      </c>
    </row>
    <row r="200" spans="1:4" x14ac:dyDescent="0.25">
      <c r="A200" s="19">
        <v>314110</v>
      </c>
      <c r="B200" s="19" t="s">
        <v>2923</v>
      </c>
      <c r="C200" s="19">
        <v>314110</v>
      </c>
      <c r="D200" s="19" t="s">
        <v>2923</v>
      </c>
    </row>
    <row r="201" spans="1:4" x14ac:dyDescent="0.25">
      <c r="A201" s="19">
        <v>314120</v>
      </c>
      <c r="B201" s="19" t="s">
        <v>2925</v>
      </c>
      <c r="C201" s="19">
        <v>314120</v>
      </c>
      <c r="D201" s="19" t="s">
        <v>2925</v>
      </c>
    </row>
    <row r="202" spans="1:4" x14ac:dyDescent="0.25">
      <c r="A202" s="19">
        <v>314910</v>
      </c>
      <c r="B202" s="19" t="s">
        <v>2927</v>
      </c>
      <c r="C202" s="19">
        <v>314910</v>
      </c>
      <c r="D202" s="19" t="s">
        <v>2927</v>
      </c>
    </row>
    <row r="203" spans="1:4" ht="25.5" x14ac:dyDescent="0.25">
      <c r="A203" s="19">
        <v>314994</v>
      </c>
      <c r="B203" s="19" t="s">
        <v>2929</v>
      </c>
      <c r="C203" s="19">
        <v>314994</v>
      </c>
      <c r="D203" s="19" t="s">
        <v>2929</v>
      </c>
    </row>
    <row r="204" spans="1:4" ht="25.5" x14ac:dyDescent="0.25">
      <c r="A204" s="19">
        <v>314999</v>
      </c>
      <c r="B204" s="19" t="s">
        <v>2931</v>
      </c>
      <c r="C204" s="19">
        <v>314999</v>
      </c>
      <c r="D204" s="19" t="s">
        <v>2931</v>
      </c>
    </row>
    <row r="205" spans="1:4" x14ac:dyDescent="0.25">
      <c r="A205" s="19">
        <v>315110</v>
      </c>
      <c r="B205" s="19" t="s">
        <v>2933</v>
      </c>
      <c r="C205" s="19">
        <v>315110</v>
      </c>
      <c r="D205" s="19" t="s">
        <v>2933</v>
      </c>
    </row>
    <row r="206" spans="1:4" x14ac:dyDescent="0.25">
      <c r="A206" s="19">
        <v>315190</v>
      </c>
      <c r="B206" s="19" t="s">
        <v>2935</v>
      </c>
      <c r="C206" s="19">
        <v>315190</v>
      </c>
      <c r="D206" s="19" t="s">
        <v>2935</v>
      </c>
    </row>
    <row r="207" spans="1:4" x14ac:dyDescent="0.25">
      <c r="A207" s="19">
        <v>315210</v>
      </c>
      <c r="B207" s="19" t="s">
        <v>2937</v>
      </c>
      <c r="C207" s="19">
        <v>315210</v>
      </c>
      <c r="D207" s="19" t="s">
        <v>2937</v>
      </c>
    </row>
    <row r="208" spans="1:4" ht="25.5" x14ac:dyDescent="0.25">
      <c r="A208" s="19">
        <v>315220</v>
      </c>
      <c r="B208" s="19" t="s">
        <v>2939</v>
      </c>
      <c r="C208" s="19">
        <v>315220</v>
      </c>
      <c r="D208" s="19" t="s">
        <v>2939</v>
      </c>
    </row>
    <row r="209" spans="1:4" ht="25.5" x14ac:dyDescent="0.25">
      <c r="A209" s="19">
        <v>315240</v>
      </c>
      <c r="B209" s="19" t="s">
        <v>2941</v>
      </c>
      <c r="C209" s="19">
        <v>315240</v>
      </c>
      <c r="D209" s="19" t="s">
        <v>2941</v>
      </c>
    </row>
    <row r="210" spans="1:4" ht="25.5" x14ac:dyDescent="0.25">
      <c r="A210" s="19">
        <v>315280</v>
      </c>
      <c r="B210" s="19" t="s">
        <v>2943</v>
      </c>
      <c r="C210" s="19">
        <v>315280</v>
      </c>
      <c r="D210" s="19" t="s">
        <v>2943</v>
      </c>
    </row>
    <row r="211" spans="1:4" ht="25.5" x14ac:dyDescent="0.25">
      <c r="A211" s="19">
        <v>315990</v>
      </c>
      <c r="B211" s="19" t="s">
        <v>2945</v>
      </c>
      <c r="C211" s="19">
        <v>315990</v>
      </c>
      <c r="D211" s="19" t="s">
        <v>2945</v>
      </c>
    </row>
    <row r="212" spans="1:4" x14ac:dyDescent="0.25">
      <c r="A212" s="19">
        <v>316110</v>
      </c>
      <c r="B212" s="19" t="s">
        <v>2947</v>
      </c>
      <c r="C212" s="19">
        <v>316110</v>
      </c>
      <c r="D212" s="19" t="s">
        <v>2947</v>
      </c>
    </row>
    <row r="213" spans="1:4" x14ac:dyDescent="0.25">
      <c r="A213" s="19">
        <v>316210</v>
      </c>
      <c r="B213" s="19" t="s">
        <v>2949</v>
      </c>
      <c r="C213" s="19">
        <v>316210</v>
      </c>
      <c r="D213" s="19" t="s">
        <v>2949</v>
      </c>
    </row>
    <row r="214" spans="1:4" ht="25.5" x14ac:dyDescent="0.25">
      <c r="A214" s="19">
        <v>316992</v>
      </c>
      <c r="B214" s="19" t="s">
        <v>2951</v>
      </c>
      <c r="C214" s="19">
        <v>316992</v>
      </c>
      <c r="D214" s="19" t="s">
        <v>2951</v>
      </c>
    </row>
    <row r="215" spans="1:4" ht="25.5" x14ac:dyDescent="0.25">
      <c r="A215" s="19">
        <v>316998</v>
      </c>
      <c r="B215" s="19" t="s">
        <v>2953</v>
      </c>
      <c r="C215" s="19">
        <v>316998</v>
      </c>
      <c r="D215" s="19" t="s">
        <v>2953</v>
      </c>
    </row>
    <row r="216" spans="1:4" x14ac:dyDescent="0.25">
      <c r="A216" s="19">
        <v>321113</v>
      </c>
      <c r="B216" s="19" t="s">
        <v>2955</v>
      </c>
      <c r="C216" s="19">
        <v>321113</v>
      </c>
      <c r="D216" s="19" t="s">
        <v>2955</v>
      </c>
    </row>
    <row r="217" spans="1:4" x14ac:dyDescent="0.25">
      <c r="A217" s="19">
        <v>321114</v>
      </c>
      <c r="B217" s="19" t="s">
        <v>2957</v>
      </c>
      <c r="C217" s="19">
        <v>321114</v>
      </c>
      <c r="D217" s="19" t="s">
        <v>2957</v>
      </c>
    </row>
    <row r="218" spans="1:4" ht="25.5" x14ac:dyDescent="0.25">
      <c r="A218" s="19">
        <v>321211</v>
      </c>
      <c r="B218" s="19" t="s">
        <v>2959</v>
      </c>
      <c r="C218" s="19">
        <v>321211</v>
      </c>
      <c r="D218" s="19" t="s">
        <v>2959</v>
      </c>
    </row>
    <row r="219" spans="1:4" ht="25.5" x14ac:dyDescent="0.25">
      <c r="A219" s="19">
        <v>321212</v>
      </c>
      <c r="B219" s="19" t="s">
        <v>2961</v>
      </c>
      <c r="C219" s="19">
        <v>321212</v>
      </c>
      <c r="D219" s="19" t="s">
        <v>2961</v>
      </c>
    </row>
    <row r="220" spans="1:4" ht="25.5" x14ac:dyDescent="0.25">
      <c r="A220" s="19">
        <v>321213</v>
      </c>
      <c r="B220" s="19" t="s">
        <v>2963</v>
      </c>
      <c r="C220" s="19">
        <v>321213</v>
      </c>
      <c r="D220" s="19" t="s">
        <v>2963</v>
      </c>
    </row>
    <row r="221" spans="1:4" x14ac:dyDescent="0.25">
      <c r="A221" s="19">
        <v>321214</v>
      </c>
      <c r="B221" s="19" t="s">
        <v>2965</v>
      </c>
      <c r="C221" s="19">
        <v>321214</v>
      </c>
      <c r="D221" s="19" t="s">
        <v>2965</v>
      </c>
    </row>
    <row r="222" spans="1:4" ht="25.5" x14ac:dyDescent="0.25">
      <c r="A222" s="19">
        <v>321219</v>
      </c>
      <c r="B222" s="19" t="s">
        <v>2967</v>
      </c>
      <c r="C222" s="19">
        <v>321219</v>
      </c>
      <c r="D222" s="19" t="s">
        <v>2967</v>
      </c>
    </row>
    <row r="223" spans="1:4" x14ac:dyDescent="0.25">
      <c r="A223" s="19">
        <v>321911</v>
      </c>
      <c r="B223" s="19" t="s">
        <v>2969</v>
      </c>
      <c r="C223" s="19">
        <v>321911</v>
      </c>
      <c r="D223" s="19" t="s">
        <v>2969</v>
      </c>
    </row>
    <row r="224" spans="1:4" ht="25.5" x14ac:dyDescent="0.25">
      <c r="A224" s="19">
        <v>321912</v>
      </c>
      <c r="B224" s="19" t="s">
        <v>2970</v>
      </c>
      <c r="C224" s="19">
        <v>321912</v>
      </c>
      <c r="D224" s="19" t="s">
        <v>2970</v>
      </c>
    </row>
    <row r="225" spans="1:4" x14ac:dyDescent="0.25">
      <c r="A225" s="19">
        <v>321918</v>
      </c>
      <c r="B225" s="19" t="s">
        <v>2972</v>
      </c>
      <c r="C225" s="19">
        <v>321918</v>
      </c>
      <c r="D225" s="19" t="s">
        <v>2972</v>
      </c>
    </row>
    <row r="226" spans="1:4" ht="25.5" x14ac:dyDescent="0.25">
      <c r="A226" s="19">
        <v>321920</v>
      </c>
      <c r="B226" s="19" t="s">
        <v>2974</v>
      </c>
      <c r="C226" s="19">
        <v>321920</v>
      </c>
      <c r="D226" s="19" t="s">
        <v>2974</v>
      </c>
    </row>
    <row r="227" spans="1:4" ht="25.5" x14ac:dyDescent="0.25">
      <c r="A227" s="19">
        <v>321991</v>
      </c>
      <c r="B227" s="19" t="s">
        <v>2976</v>
      </c>
      <c r="C227" s="19">
        <v>321991</v>
      </c>
      <c r="D227" s="19" t="s">
        <v>2976</v>
      </c>
    </row>
    <row r="228" spans="1:4" ht="25.5" x14ac:dyDescent="0.25">
      <c r="A228" s="19">
        <v>321992</v>
      </c>
      <c r="B228" s="19" t="s">
        <v>2978</v>
      </c>
      <c r="C228" s="19">
        <v>321992</v>
      </c>
      <c r="D228" s="19" t="s">
        <v>2978</v>
      </c>
    </row>
    <row r="229" spans="1:4" ht="25.5" x14ac:dyDescent="0.25">
      <c r="A229" s="19">
        <v>321999</v>
      </c>
      <c r="B229" s="19" t="s">
        <v>2980</v>
      </c>
      <c r="C229" s="19">
        <v>321999</v>
      </c>
      <c r="D229" s="19" t="s">
        <v>2980</v>
      </c>
    </row>
    <row r="230" spans="1:4" x14ac:dyDescent="0.25">
      <c r="A230" s="19">
        <v>322110</v>
      </c>
      <c r="B230" s="19" t="s">
        <v>2982</v>
      </c>
      <c r="C230" s="19">
        <v>322110</v>
      </c>
      <c r="D230" s="19" t="s">
        <v>2982</v>
      </c>
    </row>
    <row r="231" spans="1:4" x14ac:dyDescent="0.25">
      <c r="A231" s="19">
        <v>322121</v>
      </c>
      <c r="B231" s="19" t="s">
        <v>2984</v>
      </c>
      <c r="C231" s="19">
        <v>322121</v>
      </c>
      <c r="D231" s="19" t="s">
        <v>2984</v>
      </c>
    </row>
    <row r="232" spans="1:4" x14ac:dyDescent="0.25">
      <c r="A232" s="19">
        <v>322122</v>
      </c>
      <c r="B232" s="19" t="s">
        <v>2986</v>
      </c>
      <c r="C232" s="19">
        <v>322122</v>
      </c>
      <c r="D232" s="19" t="s">
        <v>2986</v>
      </c>
    </row>
    <row r="233" spans="1:4" x14ac:dyDescent="0.25">
      <c r="A233" s="19">
        <v>322130</v>
      </c>
      <c r="B233" s="19" t="s">
        <v>2988</v>
      </c>
      <c r="C233" s="19">
        <v>322130</v>
      </c>
      <c r="D233" s="19" t="s">
        <v>2988</v>
      </c>
    </row>
    <row r="234" spans="1:4" ht="25.5" x14ac:dyDescent="0.25">
      <c r="A234" s="19">
        <v>322211</v>
      </c>
      <c r="B234" s="19" t="s">
        <v>2990</v>
      </c>
      <c r="C234" s="19">
        <v>322211</v>
      </c>
      <c r="D234" s="19" t="s">
        <v>2990</v>
      </c>
    </row>
    <row r="235" spans="1:4" x14ac:dyDescent="0.25">
      <c r="A235" s="19">
        <v>322212</v>
      </c>
      <c r="B235" s="19" t="s">
        <v>2992</v>
      </c>
      <c r="C235" s="19">
        <v>322212</v>
      </c>
      <c r="D235" s="19" t="s">
        <v>2992</v>
      </c>
    </row>
    <row r="236" spans="1:4" ht="25.5" x14ac:dyDescent="0.25">
      <c r="A236" s="19">
        <v>322219</v>
      </c>
      <c r="B236" s="19" t="s">
        <v>2994</v>
      </c>
      <c r="C236" s="19">
        <v>322219</v>
      </c>
      <c r="D236" s="19" t="s">
        <v>2994</v>
      </c>
    </row>
    <row r="237" spans="1:4" ht="25.5" x14ac:dyDescent="0.25">
      <c r="A237" s="19">
        <v>322220</v>
      </c>
      <c r="B237" s="19" t="s">
        <v>2996</v>
      </c>
      <c r="C237" s="19">
        <v>322220</v>
      </c>
      <c r="D237" s="19" t="s">
        <v>2996</v>
      </c>
    </row>
    <row r="238" spans="1:4" x14ac:dyDescent="0.25">
      <c r="A238" s="19">
        <v>322230</v>
      </c>
      <c r="B238" s="19" t="s">
        <v>2998</v>
      </c>
      <c r="C238" s="19">
        <v>322230</v>
      </c>
      <c r="D238" s="19" t="s">
        <v>2998</v>
      </c>
    </row>
    <row r="239" spans="1:4" x14ac:dyDescent="0.25">
      <c r="A239" s="19">
        <v>322291</v>
      </c>
      <c r="B239" s="19" t="s">
        <v>3000</v>
      </c>
      <c r="C239" s="19">
        <v>322291</v>
      </c>
      <c r="D239" s="19" t="s">
        <v>3000</v>
      </c>
    </row>
    <row r="240" spans="1:4" ht="25.5" x14ac:dyDescent="0.25">
      <c r="A240" s="19">
        <v>322299</v>
      </c>
      <c r="B240" s="19" t="s">
        <v>3002</v>
      </c>
      <c r="C240" s="19">
        <v>322299</v>
      </c>
      <c r="D240" s="19" t="s">
        <v>3002</v>
      </c>
    </row>
    <row r="241" spans="1:4" ht="25.5" x14ac:dyDescent="0.25">
      <c r="A241" s="19">
        <v>323111</v>
      </c>
      <c r="B241" s="19" t="s">
        <v>3004</v>
      </c>
      <c r="C241" s="19">
        <v>323111</v>
      </c>
      <c r="D241" s="19" t="s">
        <v>3004</v>
      </c>
    </row>
    <row r="242" spans="1:4" x14ac:dyDescent="0.25">
      <c r="A242" s="19">
        <v>323113</v>
      </c>
      <c r="B242" s="19" t="s">
        <v>3006</v>
      </c>
      <c r="C242" s="19">
        <v>323113</v>
      </c>
      <c r="D242" s="19" t="s">
        <v>3006</v>
      </c>
    </row>
    <row r="243" spans="1:4" x14ac:dyDescent="0.25">
      <c r="A243" s="19">
        <v>323117</v>
      </c>
      <c r="B243" s="19" t="s">
        <v>3008</v>
      </c>
      <c r="C243" s="19">
        <v>323117</v>
      </c>
      <c r="D243" s="19" t="s">
        <v>3008</v>
      </c>
    </row>
    <row r="244" spans="1:4" x14ac:dyDescent="0.25">
      <c r="A244" s="19">
        <v>323120</v>
      </c>
      <c r="B244" s="19" t="s">
        <v>3010</v>
      </c>
      <c r="C244" s="19">
        <v>323120</v>
      </c>
      <c r="D244" s="19" t="s">
        <v>3010</v>
      </c>
    </row>
    <row r="245" spans="1:4" x14ac:dyDescent="0.25">
      <c r="A245" s="19">
        <v>324110</v>
      </c>
      <c r="B245" s="19" t="s">
        <v>2407</v>
      </c>
      <c r="C245" s="19">
        <v>324110</v>
      </c>
      <c r="D245" s="19" t="s">
        <v>2407</v>
      </c>
    </row>
    <row r="246" spans="1:4" ht="25.5" x14ac:dyDescent="0.25">
      <c r="A246" s="19">
        <v>324121</v>
      </c>
      <c r="B246" s="19" t="s">
        <v>3013</v>
      </c>
      <c r="C246" s="19">
        <v>324121</v>
      </c>
      <c r="D246" s="19" t="s">
        <v>3013</v>
      </c>
    </row>
    <row r="247" spans="1:4" ht="25.5" x14ac:dyDescent="0.25">
      <c r="A247" s="19">
        <v>324122</v>
      </c>
      <c r="B247" s="19" t="s">
        <v>3015</v>
      </c>
      <c r="C247" s="19">
        <v>324122</v>
      </c>
      <c r="D247" s="19" t="s">
        <v>3015</v>
      </c>
    </row>
    <row r="248" spans="1:4" ht="25.5" x14ac:dyDescent="0.25">
      <c r="A248" s="19">
        <v>324191</v>
      </c>
      <c r="B248" s="19" t="s">
        <v>3017</v>
      </c>
      <c r="C248" s="19">
        <v>324191</v>
      </c>
      <c r="D248" s="19" t="s">
        <v>3017</v>
      </c>
    </row>
    <row r="249" spans="1:4" ht="25.5" x14ac:dyDescent="0.25">
      <c r="A249" s="19">
        <v>324199</v>
      </c>
      <c r="B249" s="19" t="s">
        <v>3019</v>
      </c>
      <c r="C249" s="19">
        <v>324199</v>
      </c>
      <c r="D249" s="19" t="s">
        <v>3019</v>
      </c>
    </row>
    <row r="250" spans="1:4" x14ac:dyDescent="0.25">
      <c r="A250" s="19">
        <v>325110</v>
      </c>
      <c r="B250" s="19" t="s">
        <v>36</v>
      </c>
      <c r="C250" s="19">
        <v>325110</v>
      </c>
      <c r="D250" s="19" t="s">
        <v>36</v>
      </c>
    </row>
    <row r="251" spans="1:4" x14ac:dyDescent="0.25">
      <c r="A251" s="19">
        <v>325120</v>
      </c>
      <c r="B251" s="19" t="s">
        <v>3022</v>
      </c>
      <c r="C251" s="19">
        <v>325120</v>
      </c>
      <c r="D251" s="19" t="s">
        <v>3022</v>
      </c>
    </row>
    <row r="252" spans="1:4" ht="25.5" x14ac:dyDescent="0.25">
      <c r="A252" s="19">
        <v>325130</v>
      </c>
      <c r="B252" s="19" t="s">
        <v>3024</v>
      </c>
      <c r="C252" s="19">
        <v>325130</v>
      </c>
      <c r="D252" s="19" t="s">
        <v>3024</v>
      </c>
    </row>
    <row r="253" spans="1:4" ht="25.5" x14ac:dyDescent="0.25">
      <c r="A253" s="19">
        <v>325180</v>
      </c>
      <c r="B253" s="19" t="s">
        <v>674</v>
      </c>
      <c r="C253" s="19">
        <v>325180</v>
      </c>
      <c r="D253" s="19" t="s">
        <v>674</v>
      </c>
    </row>
    <row r="254" spans="1:4" x14ac:dyDescent="0.25">
      <c r="A254" s="19">
        <v>325193</v>
      </c>
      <c r="B254" s="19" t="s">
        <v>3027</v>
      </c>
      <c r="C254" s="19">
        <v>325193</v>
      </c>
      <c r="D254" s="19" t="s">
        <v>3027</v>
      </c>
    </row>
    <row r="255" spans="1:4" ht="25.5" x14ac:dyDescent="0.25">
      <c r="A255" s="19">
        <v>325194</v>
      </c>
      <c r="B255" s="19" t="s">
        <v>3029</v>
      </c>
      <c r="C255" s="19">
        <v>325194</v>
      </c>
      <c r="D255" s="19" t="s">
        <v>3029</v>
      </c>
    </row>
    <row r="256" spans="1:4" ht="25.5" x14ac:dyDescent="0.25">
      <c r="A256" s="19">
        <v>325199</v>
      </c>
      <c r="B256" s="19" t="s">
        <v>28</v>
      </c>
      <c r="C256" s="19">
        <v>325199</v>
      </c>
      <c r="D256" s="19" t="s">
        <v>28</v>
      </c>
    </row>
    <row r="257" spans="1:4" ht="25.5" x14ac:dyDescent="0.25">
      <c r="A257" s="19">
        <v>325211</v>
      </c>
      <c r="B257" s="19" t="s">
        <v>54</v>
      </c>
      <c r="C257" s="19">
        <v>325211</v>
      </c>
      <c r="D257" s="19" t="s">
        <v>54</v>
      </c>
    </row>
    <row r="258" spans="1:4" x14ac:dyDescent="0.25">
      <c r="A258" s="19">
        <v>325212</v>
      </c>
      <c r="B258" s="19" t="s">
        <v>3033</v>
      </c>
      <c r="C258" s="19">
        <v>325212</v>
      </c>
      <c r="D258" s="19" t="s">
        <v>3033</v>
      </c>
    </row>
    <row r="259" spans="1:4" ht="25.5" x14ac:dyDescent="0.25">
      <c r="A259" s="19">
        <v>325220</v>
      </c>
      <c r="B259" s="19" t="s">
        <v>3035</v>
      </c>
      <c r="C259" s="19">
        <v>325220</v>
      </c>
      <c r="D259" s="19" t="s">
        <v>3035</v>
      </c>
    </row>
    <row r="260" spans="1:4" x14ac:dyDescent="0.25">
      <c r="A260" s="19">
        <v>325311</v>
      </c>
      <c r="B260" s="19" t="s">
        <v>3037</v>
      </c>
      <c r="C260" s="19">
        <v>325311</v>
      </c>
      <c r="D260" s="19" t="s">
        <v>3037</v>
      </c>
    </row>
    <row r="261" spans="1:4" x14ac:dyDescent="0.25">
      <c r="A261" s="19">
        <v>325312</v>
      </c>
      <c r="B261" s="19" t="s">
        <v>3039</v>
      </c>
      <c r="C261" s="19">
        <v>325312</v>
      </c>
      <c r="D261" s="19" t="s">
        <v>3039</v>
      </c>
    </row>
    <row r="262" spans="1:4" x14ac:dyDescent="0.25">
      <c r="A262" s="19">
        <v>325314</v>
      </c>
      <c r="B262" s="19" t="s">
        <v>5846</v>
      </c>
      <c r="C262" s="19">
        <v>325314</v>
      </c>
      <c r="D262" s="19" t="s">
        <v>5846</v>
      </c>
    </row>
    <row r="263" spans="1:4" ht="25.5" x14ac:dyDescent="0.25">
      <c r="A263" s="19">
        <v>325320</v>
      </c>
      <c r="B263" s="19" t="s">
        <v>2406</v>
      </c>
      <c r="C263" s="19">
        <v>325320</v>
      </c>
      <c r="D263" s="19" t="s">
        <v>2406</v>
      </c>
    </row>
    <row r="264" spans="1:4" x14ac:dyDescent="0.25">
      <c r="A264" s="19">
        <v>325411</v>
      </c>
      <c r="B264" s="19" t="s">
        <v>3046</v>
      </c>
      <c r="C264" s="19">
        <v>325411</v>
      </c>
      <c r="D264" s="19" t="s">
        <v>3046</v>
      </c>
    </row>
    <row r="265" spans="1:4" ht="25.5" x14ac:dyDescent="0.25">
      <c r="A265" s="19">
        <v>325412</v>
      </c>
      <c r="B265" s="19" t="s">
        <v>3048</v>
      </c>
      <c r="C265" s="19">
        <v>325412</v>
      </c>
      <c r="D265" s="19" t="s">
        <v>3048</v>
      </c>
    </row>
    <row r="266" spans="1:4" ht="25.5" x14ac:dyDescent="0.25">
      <c r="A266" s="19">
        <v>325413</v>
      </c>
      <c r="B266" s="19" t="s">
        <v>3050</v>
      </c>
      <c r="C266" s="19">
        <v>325413</v>
      </c>
      <c r="D266" s="19" t="s">
        <v>3050</v>
      </c>
    </row>
    <row r="267" spans="1:4" ht="25.5" x14ac:dyDescent="0.25">
      <c r="A267" s="19">
        <v>325414</v>
      </c>
      <c r="B267" s="19" t="s">
        <v>3052</v>
      </c>
      <c r="C267" s="19">
        <v>325414</v>
      </c>
      <c r="D267" s="19" t="s">
        <v>3052</v>
      </c>
    </row>
    <row r="268" spans="1:4" x14ac:dyDescent="0.25">
      <c r="A268" s="19">
        <v>325510</v>
      </c>
      <c r="B268" s="19" t="s">
        <v>697</v>
      </c>
      <c r="C268" s="19">
        <v>325510</v>
      </c>
      <c r="D268" s="19" t="s">
        <v>697</v>
      </c>
    </row>
    <row r="269" spans="1:4" x14ac:dyDescent="0.25">
      <c r="A269" s="19">
        <v>325520</v>
      </c>
      <c r="B269" s="19" t="s">
        <v>3055</v>
      </c>
      <c r="C269" s="19">
        <v>325520</v>
      </c>
      <c r="D269" s="19" t="s">
        <v>3055</v>
      </c>
    </row>
    <row r="270" spans="1:4" x14ac:dyDescent="0.25">
      <c r="A270" s="19">
        <v>325611</v>
      </c>
      <c r="B270" s="19" t="s">
        <v>3057</v>
      </c>
      <c r="C270" s="19">
        <v>325611</v>
      </c>
      <c r="D270" s="19" t="s">
        <v>3057</v>
      </c>
    </row>
    <row r="271" spans="1:4" ht="25.5" x14ac:dyDescent="0.25">
      <c r="A271" s="19">
        <v>325612</v>
      </c>
      <c r="B271" s="19" t="s">
        <v>3059</v>
      </c>
      <c r="C271" s="19">
        <v>325612</v>
      </c>
      <c r="D271" s="19" t="s">
        <v>3059</v>
      </c>
    </row>
    <row r="272" spans="1:4" x14ac:dyDescent="0.25">
      <c r="A272" s="19">
        <v>325613</v>
      </c>
      <c r="B272" s="19" t="s">
        <v>3061</v>
      </c>
      <c r="C272" s="19">
        <v>325613</v>
      </c>
      <c r="D272" s="19" t="s">
        <v>3061</v>
      </c>
    </row>
    <row r="273" spans="1:4" x14ac:dyDescent="0.25">
      <c r="A273" s="19">
        <v>325620</v>
      </c>
      <c r="B273" s="19" t="s">
        <v>3063</v>
      </c>
      <c r="C273" s="19">
        <v>325620</v>
      </c>
      <c r="D273" s="19" t="s">
        <v>3063</v>
      </c>
    </row>
    <row r="274" spans="1:4" x14ac:dyDescent="0.25">
      <c r="A274" s="19">
        <v>325910</v>
      </c>
      <c r="B274" s="19" t="s">
        <v>3065</v>
      </c>
      <c r="C274" s="19">
        <v>325910</v>
      </c>
      <c r="D274" s="19" t="s">
        <v>3065</v>
      </c>
    </row>
    <row r="275" spans="1:4" x14ac:dyDescent="0.25">
      <c r="A275" s="19">
        <v>325920</v>
      </c>
      <c r="B275" s="19" t="s">
        <v>3067</v>
      </c>
      <c r="C275" s="19">
        <v>325920</v>
      </c>
      <c r="D275" s="19" t="s">
        <v>3067</v>
      </c>
    </row>
    <row r="276" spans="1:4" ht="25.5" x14ac:dyDescent="0.25">
      <c r="A276" s="19">
        <v>325991</v>
      </c>
      <c r="B276" s="19" t="s">
        <v>3069</v>
      </c>
      <c r="C276" s="19">
        <v>325991</v>
      </c>
      <c r="D276" s="19" t="s">
        <v>3069</v>
      </c>
    </row>
    <row r="277" spans="1:4" ht="25.5" x14ac:dyDescent="0.25">
      <c r="A277" s="19">
        <v>325992</v>
      </c>
      <c r="B277" s="19" t="s">
        <v>3071</v>
      </c>
      <c r="C277" s="19">
        <v>325992</v>
      </c>
      <c r="D277" s="19" t="s">
        <v>3071</v>
      </c>
    </row>
    <row r="278" spans="1:4" ht="25.5" x14ac:dyDescent="0.25">
      <c r="A278" s="19">
        <v>325998</v>
      </c>
      <c r="B278" s="19" t="s">
        <v>3073</v>
      </c>
      <c r="C278" s="19">
        <v>325998</v>
      </c>
      <c r="D278" s="19" t="s">
        <v>3073</v>
      </c>
    </row>
    <row r="279" spans="1:4" x14ac:dyDescent="0.25">
      <c r="A279" s="19">
        <v>326111</v>
      </c>
      <c r="B279" s="19" t="s">
        <v>3075</v>
      </c>
      <c r="C279" s="19">
        <v>326111</v>
      </c>
      <c r="D279" s="19" t="s">
        <v>3075</v>
      </c>
    </row>
    <row r="280" spans="1:4" ht="25.5" x14ac:dyDescent="0.25">
      <c r="A280" s="19">
        <v>326112</v>
      </c>
      <c r="B280" s="19" t="s">
        <v>3077</v>
      </c>
      <c r="C280" s="19">
        <v>326112</v>
      </c>
      <c r="D280" s="19" t="s">
        <v>3077</v>
      </c>
    </row>
    <row r="281" spans="1:4" ht="25.5" x14ac:dyDescent="0.25">
      <c r="A281" s="19">
        <v>326113</v>
      </c>
      <c r="B281" s="19" t="s">
        <v>3079</v>
      </c>
      <c r="C281" s="19">
        <v>326113</v>
      </c>
      <c r="D281" s="19" t="s">
        <v>3079</v>
      </c>
    </row>
    <row r="282" spans="1:4" ht="25.5" x14ac:dyDescent="0.25">
      <c r="A282" s="19">
        <v>326121</v>
      </c>
      <c r="B282" s="19" t="s">
        <v>3081</v>
      </c>
      <c r="C282" s="19">
        <v>326121</v>
      </c>
      <c r="D282" s="19" t="s">
        <v>3081</v>
      </c>
    </row>
    <row r="283" spans="1:4" ht="25.5" x14ac:dyDescent="0.25">
      <c r="A283" s="19">
        <v>326122</v>
      </c>
      <c r="B283" s="19" t="s">
        <v>3083</v>
      </c>
      <c r="C283" s="19">
        <v>326122</v>
      </c>
      <c r="D283" s="19" t="s">
        <v>3083</v>
      </c>
    </row>
    <row r="284" spans="1:4" ht="25.5" x14ac:dyDescent="0.25">
      <c r="A284" s="19">
        <v>326130</v>
      </c>
      <c r="B284" s="19" t="s">
        <v>3085</v>
      </c>
      <c r="C284" s="19">
        <v>326130</v>
      </c>
      <c r="D284" s="19" t="s">
        <v>3085</v>
      </c>
    </row>
    <row r="285" spans="1:4" ht="25.5" x14ac:dyDescent="0.25">
      <c r="A285" s="19">
        <v>326140</v>
      </c>
      <c r="B285" s="19" t="s">
        <v>3087</v>
      </c>
      <c r="C285" s="19">
        <v>326140</v>
      </c>
      <c r="D285" s="19" t="s">
        <v>3087</v>
      </c>
    </row>
    <row r="286" spans="1:4" ht="25.5" x14ac:dyDescent="0.25">
      <c r="A286" s="19">
        <v>326150</v>
      </c>
      <c r="B286" s="19" t="s">
        <v>3089</v>
      </c>
      <c r="C286" s="19">
        <v>326150</v>
      </c>
      <c r="D286" s="19" t="s">
        <v>3089</v>
      </c>
    </row>
    <row r="287" spans="1:4" x14ac:dyDescent="0.25">
      <c r="A287" s="19">
        <v>326160</v>
      </c>
      <c r="B287" s="19" t="s">
        <v>3091</v>
      </c>
      <c r="C287" s="19">
        <v>326160</v>
      </c>
      <c r="D287" s="19" t="s">
        <v>3091</v>
      </c>
    </row>
    <row r="288" spans="1:4" x14ac:dyDescent="0.25">
      <c r="A288" s="19">
        <v>326191</v>
      </c>
      <c r="B288" s="19" t="s">
        <v>3093</v>
      </c>
      <c r="C288" s="19">
        <v>326191</v>
      </c>
      <c r="D288" s="19" t="s">
        <v>3093</v>
      </c>
    </row>
    <row r="289" spans="1:4" x14ac:dyDescent="0.25">
      <c r="A289" s="19">
        <v>326199</v>
      </c>
      <c r="B289" s="19" t="s">
        <v>3095</v>
      </c>
      <c r="C289" s="19">
        <v>326199</v>
      </c>
      <c r="D289" s="19" t="s">
        <v>3095</v>
      </c>
    </row>
    <row r="290" spans="1:4" x14ac:dyDescent="0.25">
      <c r="A290" s="19">
        <v>326211</v>
      </c>
      <c r="B290" s="19" t="s">
        <v>3097</v>
      </c>
      <c r="C290" s="19">
        <v>326211</v>
      </c>
      <c r="D290" s="19" t="s">
        <v>3097</v>
      </c>
    </row>
    <row r="291" spans="1:4" x14ac:dyDescent="0.25">
      <c r="A291" s="19">
        <v>326212</v>
      </c>
      <c r="B291" s="19" t="s">
        <v>3099</v>
      </c>
      <c r="C291" s="19">
        <v>326212</v>
      </c>
      <c r="D291" s="19" t="s">
        <v>3099</v>
      </c>
    </row>
    <row r="292" spans="1:4" ht="25.5" x14ac:dyDescent="0.25">
      <c r="A292" s="19">
        <v>326220</v>
      </c>
      <c r="B292" s="19" t="s">
        <v>3101</v>
      </c>
      <c r="C292" s="19">
        <v>326220</v>
      </c>
      <c r="D292" s="19" t="s">
        <v>3101</v>
      </c>
    </row>
    <row r="293" spans="1:4" ht="25.5" x14ac:dyDescent="0.25">
      <c r="A293" s="19">
        <v>326291</v>
      </c>
      <c r="B293" s="19" t="s">
        <v>3103</v>
      </c>
      <c r="C293" s="19">
        <v>326291</v>
      </c>
      <c r="D293" s="19" t="s">
        <v>3103</v>
      </c>
    </row>
    <row r="294" spans="1:4" x14ac:dyDescent="0.25">
      <c r="A294" s="19">
        <v>326299</v>
      </c>
      <c r="B294" s="19" t="s">
        <v>3105</v>
      </c>
      <c r="C294" s="19">
        <v>326299</v>
      </c>
      <c r="D294" s="19" t="s">
        <v>3105</v>
      </c>
    </row>
    <row r="295" spans="1:4" ht="25.5" x14ac:dyDescent="0.25">
      <c r="A295" s="19">
        <v>327110</v>
      </c>
      <c r="B295" s="19" t="s">
        <v>3107</v>
      </c>
      <c r="C295" s="19">
        <v>327110</v>
      </c>
      <c r="D295" s="19" t="s">
        <v>3107</v>
      </c>
    </row>
    <row r="296" spans="1:4" ht="25.5" x14ac:dyDescent="0.25">
      <c r="A296" s="19">
        <v>327120</v>
      </c>
      <c r="B296" s="19" t="s">
        <v>3109</v>
      </c>
      <c r="C296" s="19">
        <v>327120</v>
      </c>
      <c r="D296" s="19" t="s">
        <v>3109</v>
      </c>
    </row>
    <row r="297" spans="1:4" x14ac:dyDescent="0.25">
      <c r="A297" s="19">
        <v>327211</v>
      </c>
      <c r="B297" s="19" t="s">
        <v>3111</v>
      </c>
      <c r="C297" s="19">
        <v>327211</v>
      </c>
      <c r="D297" s="19" t="s">
        <v>3111</v>
      </c>
    </row>
    <row r="298" spans="1:4" ht="25.5" x14ac:dyDescent="0.25">
      <c r="A298" s="19">
        <v>327212</v>
      </c>
      <c r="B298" s="19" t="s">
        <v>3113</v>
      </c>
      <c r="C298" s="19">
        <v>327212</v>
      </c>
      <c r="D298" s="19" t="s">
        <v>3113</v>
      </c>
    </row>
    <row r="299" spans="1:4" x14ac:dyDescent="0.25">
      <c r="A299" s="19">
        <v>327213</v>
      </c>
      <c r="B299" s="19" t="s">
        <v>3115</v>
      </c>
      <c r="C299" s="19">
        <v>327213</v>
      </c>
      <c r="D299" s="19" t="s">
        <v>3115</v>
      </c>
    </row>
    <row r="300" spans="1:4" ht="25.5" x14ac:dyDescent="0.25">
      <c r="A300" s="19">
        <v>327215</v>
      </c>
      <c r="B300" s="19" t="s">
        <v>3117</v>
      </c>
      <c r="C300" s="19">
        <v>327215</v>
      </c>
      <c r="D300" s="19" t="s">
        <v>3117</v>
      </c>
    </row>
    <row r="301" spans="1:4" x14ac:dyDescent="0.25">
      <c r="A301" s="19">
        <v>327310</v>
      </c>
      <c r="B301" s="19" t="s">
        <v>693</v>
      </c>
      <c r="C301" s="19">
        <v>327310</v>
      </c>
      <c r="D301" s="19" t="s">
        <v>693</v>
      </c>
    </row>
    <row r="302" spans="1:4" x14ac:dyDescent="0.25">
      <c r="A302" s="19">
        <v>327320</v>
      </c>
      <c r="B302" s="19" t="s">
        <v>3120</v>
      </c>
      <c r="C302" s="19">
        <v>327320</v>
      </c>
      <c r="D302" s="19" t="s">
        <v>3120</v>
      </c>
    </row>
    <row r="303" spans="1:4" x14ac:dyDescent="0.25">
      <c r="A303" s="19">
        <v>327331</v>
      </c>
      <c r="B303" s="19" t="s">
        <v>3122</v>
      </c>
      <c r="C303" s="19">
        <v>327331</v>
      </c>
      <c r="D303" s="19" t="s">
        <v>3122</v>
      </c>
    </row>
    <row r="304" spans="1:4" x14ac:dyDescent="0.25">
      <c r="A304" s="19">
        <v>327332</v>
      </c>
      <c r="B304" s="19" t="s">
        <v>3124</v>
      </c>
      <c r="C304" s="19">
        <v>327332</v>
      </c>
      <c r="D304" s="19" t="s">
        <v>3124</v>
      </c>
    </row>
    <row r="305" spans="1:4" x14ac:dyDescent="0.25">
      <c r="A305" s="19">
        <v>327390</v>
      </c>
      <c r="B305" s="19" t="s">
        <v>3126</v>
      </c>
      <c r="C305" s="19">
        <v>327390</v>
      </c>
      <c r="D305" s="19" t="s">
        <v>3126</v>
      </c>
    </row>
    <row r="306" spans="1:4" x14ac:dyDescent="0.25">
      <c r="A306" s="19">
        <v>327410</v>
      </c>
      <c r="B306" s="19" t="s">
        <v>3128</v>
      </c>
      <c r="C306" s="19">
        <v>327410</v>
      </c>
      <c r="D306" s="19" t="s">
        <v>3128</v>
      </c>
    </row>
    <row r="307" spans="1:4" x14ac:dyDescent="0.25">
      <c r="A307" s="19">
        <v>327420</v>
      </c>
      <c r="B307" s="19" t="s">
        <v>3130</v>
      </c>
      <c r="C307" s="19">
        <v>327420</v>
      </c>
      <c r="D307" s="19" t="s">
        <v>3130</v>
      </c>
    </row>
    <row r="308" spans="1:4" x14ac:dyDescent="0.25">
      <c r="A308" s="19">
        <v>327910</v>
      </c>
      <c r="B308" s="19" t="s">
        <v>3132</v>
      </c>
      <c r="C308" s="19">
        <v>327910</v>
      </c>
      <c r="D308" s="19" t="s">
        <v>3132</v>
      </c>
    </row>
    <row r="309" spans="1:4" ht="25.5" x14ac:dyDescent="0.25">
      <c r="A309" s="19">
        <v>327991</v>
      </c>
      <c r="B309" s="19" t="s">
        <v>3134</v>
      </c>
      <c r="C309" s="19">
        <v>327991</v>
      </c>
      <c r="D309" s="19" t="s">
        <v>3134</v>
      </c>
    </row>
    <row r="310" spans="1:4" ht="25.5" x14ac:dyDescent="0.25">
      <c r="A310" s="19">
        <v>327992</v>
      </c>
      <c r="B310" s="19" t="s">
        <v>3136</v>
      </c>
      <c r="C310" s="19">
        <v>327992</v>
      </c>
      <c r="D310" s="19" t="s">
        <v>3136</v>
      </c>
    </row>
    <row r="311" spans="1:4" x14ac:dyDescent="0.25">
      <c r="A311" s="19">
        <v>327993</v>
      </c>
      <c r="B311" s="19" t="s">
        <v>3138</v>
      </c>
      <c r="C311" s="19">
        <v>327993</v>
      </c>
      <c r="D311" s="19" t="s">
        <v>3138</v>
      </c>
    </row>
    <row r="312" spans="1:4" ht="25.5" x14ac:dyDescent="0.25">
      <c r="A312" s="19">
        <v>327999</v>
      </c>
      <c r="B312" s="19" t="s">
        <v>3140</v>
      </c>
      <c r="C312" s="19">
        <v>327999</v>
      </c>
      <c r="D312" s="19" t="s">
        <v>3140</v>
      </c>
    </row>
    <row r="313" spans="1:4" ht="25.5" x14ac:dyDescent="0.25">
      <c r="A313" s="19">
        <v>331110</v>
      </c>
      <c r="B313" s="19" t="s">
        <v>3142</v>
      </c>
      <c r="C313" s="19">
        <v>331110</v>
      </c>
      <c r="D313" s="19" t="s">
        <v>3142</v>
      </c>
    </row>
    <row r="314" spans="1:4" ht="25.5" x14ac:dyDescent="0.25">
      <c r="A314" s="19">
        <v>331210</v>
      </c>
      <c r="B314" s="19" t="s">
        <v>3144</v>
      </c>
      <c r="C314" s="19">
        <v>331210</v>
      </c>
      <c r="D314" s="19" t="s">
        <v>3144</v>
      </c>
    </row>
    <row r="315" spans="1:4" x14ac:dyDescent="0.25">
      <c r="A315" s="19">
        <v>331221</v>
      </c>
      <c r="B315" s="19" t="s">
        <v>3146</v>
      </c>
      <c r="C315" s="19">
        <v>331221</v>
      </c>
      <c r="D315" s="19" t="s">
        <v>3146</v>
      </c>
    </row>
    <row r="316" spans="1:4" x14ac:dyDescent="0.25">
      <c r="A316" s="19">
        <v>331222</v>
      </c>
      <c r="B316" s="19" t="s">
        <v>3148</v>
      </c>
      <c r="C316" s="19">
        <v>331222</v>
      </c>
      <c r="D316" s="19" t="s">
        <v>3148</v>
      </c>
    </row>
    <row r="317" spans="1:4" ht="25.5" x14ac:dyDescent="0.25">
      <c r="A317" s="19">
        <v>331313</v>
      </c>
      <c r="B317" s="19" t="s">
        <v>3150</v>
      </c>
      <c r="C317" s="19">
        <v>331313</v>
      </c>
      <c r="D317" s="19" t="s">
        <v>3150</v>
      </c>
    </row>
    <row r="318" spans="1:4" ht="25.5" x14ac:dyDescent="0.25">
      <c r="A318" s="19">
        <v>331314</v>
      </c>
      <c r="B318" s="19" t="s">
        <v>3152</v>
      </c>
      <c r="C318" s="19">
        <v>331314</v>
      </c>
      <c r="D318" s="19" t="s">
        <v>3152</v>
      </c>
    </row>
    <row r="319" spans="1:4" ht="25.5" x14ac:dyDescent="0.25">
      <c r="A319" s="19">
        <v>331315</v>
      </c>
      <c r="B319" s="19" t="s">
        <v>3154</v>
      </c>
      <c r="C319" s="19">
        <v>331315</v>
      </c>
      <c r="D319" s="19" t="s">
        <v>3154</v>
      </c>
    </row>
    <row r="320" spans="1:4" ht="25.5" x14ac:dyDescent="0.25">
      <c r="A320" s="19">
        <v>331318</v>
      </c>
      <c r="B320" s="19" t="s">
        <v>3156</v>
      </c>
      <c r="C320" s="19">
        <v>331318</v>
      </c>
      <c r="D320" s="19" t="s">
        <v>3156</v>
      </c>
    </row>
    <row r="321" spans="1:4" ht="25.5" x14ac:dyDescent="0.25">
      <c r="A321" s="19">
        <v>331410</v>
      </c>
      <c r="B321" s="19" t="s">
        <v>3158</v>
      </c>
      <c r="C321" s="19">
        <v>331410</v>
      </c>
      <c r="D321" s="19" t="s">
        <v>3158</v>
      </c>
    </row>
    <row r="322" spans="1:4" ht="25.5" x14ac:dyDescent="0.25">
      <c r="A322" s="19">
        <v>331420</v>
      </c>
      <c r="B322" s="19" t="s">
        <v>3160</v>
      </c>
      <c r="C322" s="19">
        <v>331420</v>
      </c>
      <c r="D322" s="19" t="s">
        <v>3160</v>
      </c>
    </row>
    <row r="323" spans="1:4" ht="38.25" x14ac:dyDescent="0.25">
      <c r="A323" s="19">
        <v>331491</v>
      </c>
      <c r="B323" s="19" t="s">
        <v>3162</v>
      </c>
      <c r="C323" s="19">
        <v>331491</v>
      </c>
      <c r="D323" s="19" t="s">
        <v>3162</v>
      </c>
    </row>
    <row r="324" spans="1:4" ht="38.25" x14ac:dyDescent="0.25">
      <c r="A324" s="19">
        <v>331492</v>
      </c>
      <c r="B324" s="19" t="s">
        <v>3164</v>
      </c>
      <c r="C324" s="19">
        <v>331492</v>
      </c>
      <c r="D324" s="19" t="s">
        <v>3164</v>
      </c>
    </row>
    <row r="325" spans="1:4" x14ac:dyDescent="0.25">
      <c r="A325" s="19">
        <v>331511</v>
      </c>
      <c r="B325" s="19" t="s">
        <v>3166</v>
      </c>
      <c r="C325" s="19">
        <v>331511</v>
      </c>
      <c r="D325" s="19" t="s">
        <v>3166</v>
      </c>
    </row>
    <row r="326" spans="1:4" x14ac:dyDescent="0.25">
      <c r="A326" s="19">
        <v>331512</v>
      </c>
      <c r="B326" s="19" t="s">
        <v>3168</v>
      </c>
      <c r="C326" s="19">
        <v>331512</v>
      </c>
      <c r="D326" s="19" t="s">
        <v>3168</v>
      </c>
    </row>
    <row r="327" spans="1:4" x14ac:dyDescent="0.25">
      <c r="A327" s="19">
        <v>331513</v>
      </c>
      <c r="B327" s="19" t="s">
        <v>3170</v>
      </c>
      <c r="C327" s="19">
        <v>331513</v>
      </c>
      <c r="D327" s="19" t="s">
        <v>3170</v>
      </c>
    </row>
    <row r="328" spans="1:4" x14ac:dyDescent="0.25">
      <c r="A328" s="19">
        <v>331523</v>
      </c>
      <c r="B328" s="19" t="s">
        <v>3172</v>
      </c>
      <c r="C328" s="19">
        <v>331523</v>
      </c>
      <c r="D328" s="19" t="s">
        <v>3172</v>
      </c>
    </row>
    <row r="329" spans="1:4" ht="25.5" x14ac:dyDescent="0.25">
      <c r="A329" s="19">
        <v>331524</v>
      </c>
      <c r="B329" s="19" t="s">
        <v>3174</v>
      </c>
      <c r="C329" s="19">
        <v>331524</v>
      </c>
      <c r="D329" s="19" t="s">
        <v>3174</v>
      </c>
    </row>
    <row r="330" spans="1:4" ht="25.5" x14ac:dyDescent="0.25">
      <c r="A330" s="19">
        <v>331529</v>
      </c>
      <c r="B330" s="19" t="s">
        <v>3176</v>
      </c>
      <c r="C330" s="19">
        <v>331529</v>
      </c>
      <c r="D330" s="19" t="s">
        <v>3176</v>
      </c>
    </row>
    <row r="331" spans="1:4" x14ac:dyDescent="0.25">
      <c r="A331" s="19">
        <v>332111</v>
      </c>
      <c r="B331" s="19" t="s">
        <v>3178</v>
      </c>
      <c r="C331" s="19">
        <v>332111</v>
      </c>
      <c r="D331" s="19" t="s">
        <v>3178</v>
      </c>
    </row>
    <row r="332" spans="1:4" x14ac:dyDescent="0.25">
      <c r="A332" s="19">
        <v>332112</v>
      </c>
      <c r="B332" s="19" t="s">
        <v>3180</v>
      </c>
      <c r="C332" s="19">
        <v>332112</v>
      </c>
      <c r="D332" s="19" t="s">
        <v>3180</v>
      </c>
    </row>
    <row r="333" spans="1:4" x14ac:dyDescent="0.25">
      <c r="A333" s="19">
        <v>332114</v>
      </c>
      <c r="B333" s="19" t="s">
        <v>3182</v>
      </c>
      <c r="C333" s="19">
        <v>332114</v>
      </c>
      <c r="D333" s="19" t="s">
        <v>3182</v>
      </c>
    </row>
    <row r="334" spans="1:4" x14ac:dyDescent="0.25">
      <c r="A334" s="19">
        <v>332117</v>
      </c>
      <c r="B334" s="19" t="s">
        <v>3184</v>
      </c>
      <c r="C334" s="19">
        <v>332117</v>
      </c>
      <c r="D334" s="19" t="s">
        <v>3184</v>
      </c>
    </row>
    <row r="335" spans="1:4" ht="25.5" x14ac:dyDescent="0.25">
      <c r="A335" s="19">
        <v>332119</v>
      </c>
      <c r="B335" s="19" t="s">
        <v>3186</v>
      </c>
      <c r="C335" s="19">
        <v>332119</v>
      </c>
      <c r="D335" s="19" t="s">
        <v>3186</v>
      </c>
    </row>
    <row r="336" spans="1:4" ht="38.25" x14ac:dyDescent="0.25">
      <c r="A336" s="19">
        <v>332215</v>
      </c>
      <c r="B336" s="19" t="s">
        <v>3188</v>
      </c>
      <c r="C336" s="19">
        <v>332215</v>
      </c>
      <c r="D336" s="19" t="s">
        <v>3188</v>
      </c>
    </row>
    <row r="337" spans="1:4" x14ac:dyDescent="0.25">
      <c r="A337" s="19">
        <v>332216</v>
      </c>
      <c r="B337" s="19" t="s">
        <v>3190</v>
      </c>
      <c r="C337" s="19">
        <v>332216</v>
      </c>
      <c r="D337" s="19" t="s">
        <v>3190</v>
      </c>
    </row>
    <row r="338" spans="1:4" ht="25.5" x14ac:dyDescent="0.25">
      <c r="A338" s="19">
        <v>332311</v>
      </c>
      <c r="B338" s="19" t="s">
        <v>3192</v>
      </c>
      <c r="C338" s="19">
        <v>332311</v>
      </c>
      <c r="D338" s="19" t="s">
        <v>3192</v>
      </c>
    </row>
    <row r="339" spans="1:4" ht="25.5" x14ac:dyDescent="0.25">
      <c r="A339" s="19">
        <v>332312</v>
      </c>
      <c r="B339" s="19" t="s">
        <v>3194</v>
      </c>
      <c r="C339" s="19">
        <v>332312</v>
      </c>
      <c r="D339" s="19" t="s">
        <v>3194</v>
      </c>
    </row>
    <row r="340" spans="1:4" x14ac:dyDescent="0.25">
      <c r="A340" s="19">
        <v>332313</v>
      </c>
      <c r="B340" s="19" t="s">
        <v>3196</v>
      </c>
      <c r="C340" s="19">
        <v>332313</v>
      </c>
      <c r="D340" s="19" t="s">
        <v>3196</v>
      </c>
    </row>
    <row r="341" spans="1:4" x14ac:dyDescent="0.25">
      <c r="A341" s="19">
        <v>332321</v>
      </c>
      <c r="B341" s="19" t="s">
        <v>3198</v>
      </c>
      <c r="C341" s="19">
        <v>332321</v>
      </c>
      <c r="D341" s="19" t="s">
        <v>3198</v>
      </c>
    </row>
    <row r="342" spans="1:4" x14ac:dyDescent="0.25">
      <c r="A342" s="19">
        <v>332322</v>
      </c>
      <c r="B342" s="19" t="s">
        <v>3200</v>
      </c>
      <c r="C342" s="19">
        <v>332322</v>
      </c>
      <c r="D342" s="19" t="s">
        <v>3200</v>
      </c>
    </row>
    <row r="343" spans="1:4" ht="25.5" x14ac:dyDescent="0.25">
      <c r="A343" s="19">
        <v>332323</v>
      </c>
      <c r="B343" s="19" t="s">
        <v>3202</v>
      </c>
      <c r="C343" s="19">
        <v>332323</v>
      </c>
      <c r="D343" s="19" t="s">
        <v>3202</v>
      </c>
    </row>
    <row r="344" spans="1:4" ht="25.5" x14ac:dyDescent="0.25">
      <c r="A344" s="19">
        <v>332410</v>
      </c>
      <c r="B344" s="19" t="s">
        <v>3204</v>
      </c>
      <c r="C344" s="19">
        <v>332410</v>
      </c>
      <c r="D344" s="19" t="s">
        <v>3204</v>
      </c>
    </row>
    <row r="345" spans="1:4" ht="25.5" x14ac:dyDescent="0.25">
      <c r="A345" s="19">
        <v>332420</v>
      </c>
      <c r="B345" s="19" t="s">
        <v>3206</v>
      </c>
      <c r="C345" s="19">
        <v>332420</v>
      </c>
      <c r="D345" s="19" t="s">
        <v>3206</v>
      </c>
    </row>
    <row r="346" spans="1:4" x14ac:dyDescent="0.25">
      <c r="A346" s="19">
        <v>332431</v>
      </c>
      <c r="B346" s="19" t="s">
        <v>3208</v>
      </c>
      <c r="C346" s="19">
        <v>332431</v>
      </c>
      <c r="D346" s="19" t="s">
        <v>3208</v>
      </c>
    </row>
    <row r="347" spans="1:4" x14ac:dyDescent="0.25">
      <c r="A347" s="19">
        <v>332439</v>
      </c>
      <c r="B347" s="19" t="s">
        <v>3210</v>
      </c>
      <c r="C347" s="19">
        <v>332439</v>
      </c>
      <c r="D347" s="19" t="s">
        <v>3210</v>
      </c>
    </row>
    <row r="348" spans="1:4" x14ac:dyDescent="0.25">
      <c r="A348" s="19">
        <v>332510</v>
      </c>
      <c r="B348" s="19" t="s">
        <v>3212</v>
      </c>
      <c r="C348" s="19">
        <v>332510</v>
      </c>
      <c r="D348" s="19" t="s">
        <v>3212</v>
      </c>
    </row>
    <row r="349" spans="1:4" x14ac:dyDescent="0.25">
      <c r="A349" s="19">
        <v>332613</v>
      </c>
      <c r="B349" s="19" t="s">
        <v>3214</v>
      </c>
      <c r="C349" s="19">
        <v>332613</v>
      </c>
      <c r="D349" s="19" t="s">
        <v>3214</v>
      </c>
    </row>
    <row r="350" spans="1:4" ht="25.5" x14ac:dyDescent="0.25">
      <c r="A350" s="19">
        <v>332618</v>
      </c>
      <c r="B350" s="19" t="s">
        <v>3216</v>
      </c>
      <c r="C350" s="19">
        <v>332618</v>
      </c>
      <c r="D350" s="19" t="s">
        <v>3216</v>
      </c>
    </row>
    <row r="351" spans="1:4" x14ac:dyDescent="0.25">
      <c r="A351" s="19">
        <v>332710</v>
      </c>
      <c r="B351" s="19" t="s">
        <v>3218</v>
      </c>
      <c r="C351" s="19">
        <v>332710</v>
      </c>
      <c r="D351" s="19" t="s">
        <v>3218</v>
      </c>
    </row>
    <row r="352" spans="1:4" x14ac:dyDescent="0.25">
      <c r="A352" s="19">
        <v>332721</v>
      </c>
      <c r="B352" s="19" t="s">
        <v>3220</v>
      </c>
      <c r="C352" s="19">
        <v>332721</v>
      </c>
      <c r="D352" s="19" t="s">
        <v>3220</v>
      </c>
    </row>
    <row r="353" spans="1:4" ht="25.5" x14ac:dyDescent="0.25">
      <c r="A353" s="19">
        <v>332722</v>
      </c>
      <c r="B353" s="19" t="s">
        <v>3222</v>
      </c>
      <c r="C353" s="19">
        <v>332722</v>
      </c>
      <c r="D353" s="19" t="s">
        <v>3222</v>
      </c>
    </row>
    <row r="354" spans="1:4" x14ac:dyDescent="0.25">
      <c r="A354" s="19">
        <v>332811</v>
      </c>
      <c r="B354" s="19" t="s">
        <v>3224</v>
      </c>
      <c r="C354" s="19">
        <v>332811</v>
      </c>
      <c r="D354" s="19" t="s">
        <v>3224</v>
      </c>
    </row>
    <row r="355" spans="1:4" ht="38.25" x14ac:dyDescent="0.25">
      <c r="A355" s="19">
        <v>332812</v>
      </c>
      <c r="B355" s="19" t="s">
        <v>3226</v>
      </c>
      <c r="C355" s="19">
        <v>332812</v>
      </c>
      <c r="D355" s="19" t="s">
        <v>3226</v>
      </c>
    </row>
    <row r="356" spans="1:4" ht="25.5" x14ac:dyDescent="0.25">
      <c r="A356" s="19">
        <v>332813</v>
      </c>
      <c r="B356" s="19" t="s">
        <v>3228</v>
      </c>
      <c r="C356" s="19">
        <v>332813</v>
      </c>
      <c r="D356" s="19" t="s">
        <v>3228</v>
      </c>
    </row>
    <row r="357" spans="1:4" x14ac:dyDescent="0.25">
      <c r="A357" s="19">
        <v>332911</v>
      </c>
      <c r="B357" s="19" t="s">
        <v>3230</v>
      </c>
      <c r="C357" s="19">
        <v>332911</v>
      </c>
      <c r="D357" s="19" t="s">
        <v>3230</v>
      </c>
    </row>
    <row r="358" spans="1:4" ht="25.5" x14ac:dyDescent="0.25">
      <c r="A358" s="19">
        <v>332912</v>
      </c>
      <c r="B358" s="19" t="s">
        <v>3232</v>
      </c>
      <c r="C358" s="19">
        <v>332912</v>
      </c>
      <c r="D358" s="19" t="s">
        <v>3232</v>
      </c>
    </row>
    <row r="359" spans="1:4" ht="25.5" x14ac:dyDescent="0.25">
      <c r="A359" s="19">
        <v>332913</v>
      </c>
      <c r="B359" s="19" t="s">
        <v>3234</v>
      </c>
      <c r="C359" s="19">
        <v>332913</v>
      </c>
      <c r="D359" s="19" t="s">
        <v>3234</v>
      </c>
    </row>
    <row r="360" spans="1:4" ht="25.5" x14ac:dyDescent="0.25">
      <c r="A360" s="19">
        <v>332919</v>
      </c>
      <c r="B360" s="19" t="s">
        <v>3236</v>
      </c>
      <c r="C360" s="19">
        <v>332919</v>
      </c>
      <c r="D360" s="19" t="s">
        <v>3236</v>
      </c>
    </row>
    <row r="361" spans="1:4" x14ac:dyDescent="0.25">
      <c r="A361" s="19">
        <v>332991</v>
      </c>
      <c r="B361" s="19" t="s">
        <v>3238</v>
      </c>
      <c r="C361" s="19">
        <v>332991</v>
      </c>
      <c r="D361" s="19" t="s">
        <v>3238</v>
      </c>
    </row>
    <row r="362" spans="1:4" x14ac:dyDescent="0.25">
      <c r="A362" s="19">
        <v>332992</v>
      </c>
      <c r="B362" s="19" t="s">
        <v>3240</v>
      </c>
      <c r="C362" s="19">
        <v>332992</v>
      </c>
      <c r="D362" s="19" t="s">
        <v>3240</v>
      </c>
    </row>
    <row r="363" spans="1:4" ht="25.5" x14ac:dyDescent="0.25">
      <c r="A363" s="19">
        <v>332993</v>
      </c>
      <c r="B363" s="19" t="s">
        <v>3242</v>
      </c>
      <c r="C363" s="19">
        <v>332993</v>
      </c>
      <c r="D363" s="19" t="s">
        <v>3242</v>
      </c>
    </row>
    <row r="364" spans="1:4" ht="25.5" x14ac:dyDescent="0.25">
      <c r="A364" s="19">
        <v>332994</v>
      </c>
      <c r="B364" s="19" t="s">
        <v>3244</v>
      </c>
      <c r="C364" s="19">
        <v>332994</v>
      </c>
      <c r="D364" s="19" t="s">
        <v>3244</v>
      </c>
    </row>
    <row r="365" spans="1:4" ht="25.5" x14ac:dyDescent="0.25">
      <c r="A365" s="19">
        <v>332996</v>
      </c>
      <c r="B365" s="19" t="s">
        <v>3246</v>
      </c>
      <c r="C365" s="19">
        <v>332996</v>
      </c>
      <c r="D365" s="19" t="s">
        <v>3246</v>
      </c>
    </row>
    <row r="366" spans="1:4" ht="25.5" x14ac:dyDescent="0.25">
      <c r="A366" s="19">
        <v>332999</v>
      </c>
      <c r="B366" s="19" t="s">
        <v>3248</v>
      </c>
      <c r="C366" s="19">
        <v>332999</v>
      </c>
      <c r="D366" s="19" t="s">
        <v>3248</v>
      </c>
    </row>
    <row r="367" spans="1:4" ht="25.5" x14ac:dyDescent="0.25">
      <c r="A367" s="19">
        <v>333111</v>
      </c>
      <c r="B367" s="19" t="s">
        <v>3250</v>
      </c>
      <c r="C367" s="19">
        <v>333111</v>
      </c>
      <c r="D367" s="19" t="s">
        <v>3250</v>
      </c>
    </row>
    <row r="368" spans="1:4" ht="38.25" x14ac:dyDescent="0.25">
      <c r="A368" s="19">
        <v>333112</v>
      </c>
      <c r="B368" s="19" t="s">
        <v>3252</v>
      </c>
      <c r="C368" s="19">
        <v>333112</v>
      </c>
      <c r="D368" s="19" t="s">
        <v>3252</v>
      </c>
    </row>
    <row r="369" spans="1:4" x14ac:dyDescent="0.25">
      <c r="A369" s="19">
        <v>333120</v>
      </c>
      <c r="B369" s="19" t="s">
        <v>3254</v>
      </c>
      <c r="C369" s="19">
        <v>333120</v>
      </c>
      <c r="D369" s="19" t="s">
        <v>3254</v>
      </c>
    </row>
    <row r="370" spans="1:4" ht="25.5" x14ac:dyDescent="0.25">
      <c r="A370" s="19">
        <v>333131</v>
      </c>
      <c r="B370" s="19" t="s">
        <v>3256</v>
      </c>
      <c r="C370" s="19">
        <v>333131</v>
      </c>
      <c r="D370" s="19" t="s">
        <v>3256</v>
      </c>
    </row>
    <row r="371" spans="1:4" ht="25.5" x14ac:dyDescent="0.25">
      <c r="A371" s="19">
        <v>333132</v>
      </c>
      <c r="B371" s="19" t="s">
        <v>3258</v>
      </c>
      <c r="C371" s="19">
        <v>333132</v>
      </c>
      <c r="D371" s="19" t="s">
        <v>3258</v>
      </c>
    </row>
    <row r="372" spans="1:4" x14ac:dyDescent="0.25">
      <c r="A372" s="19">
        <v>333241</v>
      </c>
      <c r="B372" s="19" t="s">
        <v>3260</v>
      </c>
      <c r="C372" s="19">
        <v>333241</v>
      </c>
      <c r="D372" s="19" t="s">
        <v>3260</v>
      </c>
    </row>
    <row r="373" spans="1:4" x14ac:dyDescent="0.25">
      <c r="A373" s="19">
        <v>333242</v>
      </c>
      <c r="B373" s="19" t="s">
        <v>3262</v>
      </c>
      <c r="C373" s="19">
        <v>333242</v>
      </c>
      <c r="D373" s="19" t="s">
        <v>3262</v>
      </c>
    </row>
    <row r="374" spans="1:4" ht="25.5" x14ac:dyDescent="0.25">
      <c r="A374" s="19">
        <v>333243</v>
      </c>
      <c r="B374" s="19" t="s">
        <v>3264</v>
      </c>
      <c r="C374" s="19">
        <v>333243</v>
      </c>
      <c r="D374" s="19" t="s">
        <v>3264</v>
      </c>
    </row>
    <row r="375" spans="1:4" ht="25.5" x14ac:dyDescent="0.25">
      <c r="A375" s="19">
        <v>333244</v>
      </c>
      <c r="B375" s="19" t="s">
        <v>3266</v>
      </c>
      <c r="C375" s="19">
        <v>333244</v>
      </c>
      <c r="D375" s="19" t="s">
        <v>3266</v>
      </c>
    </row>
    <row r="376" spans="1:4" ht="25.5" x14ac:dyDescent="0.25">
      <c r="A376" s="19">
        <v>333249</v>
      </c>
      <c r="B376" s="19" t="s">
        <v>3268</v>
      </c>
      <c r="C376" s="19">
        <v>333249</v>
      </c>
      <c r="D376" s="19" t="s">
        <v>3268</v>
      </c>
    </row>
    <row r="377" spans="1:4" ht="25.5" x14ac:dyDescent="0.25">
      <c r="A377" s="19">
        <v>333314</v>
      </c>
      <c r="B377" s="19" t="s">
        <v>3270</v>
      </c>
      <c r="C377" s="19">
        <v>333314</v>
      </c>
      <c r="D377" s="19" t="s">
        <v>3270</v>
      </c>
    </row>
    <row r="378" spans="1:4" ht="25.5" x14ac:dyDescent="0.25">
      <c r="A378" s="19">
        <v>333316</v>
      </c>
      <c r="B378" s="19" t="s">
        <v>3272</v>
      </c>
      <c r="C378" s="19">
        <v>333316</v>
      </c>
      <c r="D378" s="19" t="s">
        <v>3272</v>
      </c>
    </row>
    <row r="379" spans="1:4" ht="25.5" x14ac:dyDescent="0.25">
      <c r="A379" s="19">
        <v>333318</v>
      </c>
      <c r="B379" s="19" t="s">
        <v>3274</v>
      </c>
      <c r="C379" s="19">
        <v>333318</v>
      </c>
      <c r="D379" s="19" t="s">
        <v>3274</v>
      </c>
    </row>
    <row r="380" spans="1:4" ht="38.25" x14ac:dyDescent="0.25">
      <c r="A380" s="19">
        <v>333413</v>
      </c>
      <c r="B380" s="19" t="s">
        <v>3276</v>
      </c>
      <c r="C380" s="19">
        <v>333413</v>
      </c>
      <c r="D380" s="19" t="s">
        <v>3276</v>
      </c>
    </row>
    <row r="381" spans="1:4" ht="25.5" x14ac:dyDescent="0.25">
      <c r="A381" s="19">
        <v>333414</v>
      </c>
      <c r="B381" s="19" t="s">
        <v>3278</v>
      </c>
      <c r="C381" s="19">
        <v>333414</v>
      </c>
      <c r="D381" s="19" t="s">
        <v>3278</v>
      </c>
    </row>
    <row r="382" spans="1:4" ht="51" x14ac:dyDescent="0.25">
      <c r="A382" s="19">
        <v>333415</v>
      </c>
      <c r="B382" s="19" t="s">
        <v>3280</v>
      </c>
      <c r="C382" s="19">
        <v>333415</v>
      </c>
      <c r="D382" s="19" t="s">
        <v>3280</v>
      </c>
    </row>
    <row r="383" spans="1:4" x14ac:dyDescent="0.25">
      <c r="A383" s="19">
        <v>333511</v>
      </c>
      <c r="B383" s="19" t="s">
        <v>3282</v>
      </c>
      <c r="C383" s="19">
        <v>333511</v>
      </c>
      <c r="D383" s="19" t="s">
        <v>3282</v>
      </c>
    </row>
    <row r="384" spans="1:4" ht="25.5" x14ac:dyDescent="0.25">
      <c r="A384" s="19">
        <v>333514</v>
      </c>
      <c r="B384" s="19" t="s">
        <v>3284</v>
      </c>
      <c r="C384" s="19">
        <v>333514</v>
      </c>
      <c r="D384" s="19" t="s">
        <v>3284</v>
      </c>
    </row>
    <row r="385" spans="1:4" ht="25.5" x14ac:dyDescent="0.25">
      <c r="A385" s="19">
        <v>333515</v>
      </c>
      <c r="B385" s="19" t="s">
        <v>3286</v>
      </c>
      <c r="C385" s="19">
        <v>333515</v>
      </c>
      <c r="D385" s="19" t="s">
        <v>3286</v>
      </c>
    </row>
    <row r="386" spans="1:4" x14ac:dyDescent="0.25">
      <c r="A386" s="19">
        <v>333517</v>
      </c>
      <c r="B386" s="19" t="s">
        <v>3288</v>
      </c>
      <c r="C386" s="19">
        <v>333517</v>
      </c>
      <c r="D386" s="19" t="s">
        <v>3288</v>
      </c>
    </row>
    <row r="387" spans="1:4" ht="25.5" x14ac:dyDescent="0.25">
      <c r="A387" s="19">
        <v>333519</v>
      </c>
      <c r="B387" s="19" t="s">
        <v>3290</v>
      </c>
      <c r="C387" s="19">
        <v>333519</v>
      </c>
      <c r="D387" s="19" t="s">
        <v>3290</v>
      </c>
    </row>
    <row r="388" spans="1:4" ht="25.5" x14ac:dyDescent="0.25">
      <c r="A388" s="19">
        <v>333611</v>
      </c>
      <c r="B388" s="19" t="s">
        <v>3292</v>
      </c>
      <c r="C388" s="19">
        <v>333611</v>
      </c>
      <c r="D388" s="19" t="s">
        <v>3292</v>
      </c>
    </row>
    <row r="389" spans="1:4" ht="25.5" x14ac:dyDescent="0.25">
      <c r="A389" s="19">
        <v>333612</v>
      </c>
      <c r="B389" s="19" t="s">
        <v>3294</v>
      </c>
      <c r="C389" s="19">
        <v>333612</v>
      </c>
      <c r="D389" s="19" t="s">
        <v>3294</v>
      </c>
    </row>
    <row r="390" spans="1:4" ht="25.5" x14ac:dyDescent="0.25">
      <c r="A390" s="19">
        <v>333613</v>
      </c>
      <c r="B390" s="19" t="s">
        <v>3296</v>
      </c>
      <c r="C390" s="19">
        <v>333613</v>
      </c>
      <c r="D390" s="19" t="s">
        <v>3296</v>
      </c>
    </row>
    <row r="391" spans="1:4" x14ac:dyDescent="0.25">
      <c r="A391" s="19">
        <v>333618</v>
      </c>
      <c r="B391" s="19" t="s">
        <v>3298</v>
      </c>
      <c r="C391" s="19">
        <v>333618</v>
      </c>
      <c r="D391" s="19" t="s">
        <v>3298</v>
      </c>
    </row>
    <row r="392" spans="1:4" ht="25.5" x14ac:dyDescent="0.25">
      <c r="A392" s="19">
        <v>333911</v>
      </c>
      <c r="B392" s="19" t="s">
        <v>5914</v>
      </c>
      <c r="C392" s="20">
        <v>333914</v>
      </c>
      <c r="D392" s="19" t="s">
        <v>3302</v>
      </c>
    </row>
    <row r="393" spans="1:4" x14ac:dyDescent="0.25">
      <c r="A393" s="19">
        <v>333912</v>
      </c>
      <c r="B393" s="19" t="s">
        <v>3300</v>
      </c>
      <c r="C393" s="19">
        <v>333912</v>
      </c>
      <c r="D393" s="19" t="s">
        <v>3300</v>
      </c>
    </row>
    <row r="394" spans="1:4" ht="25.5" x14ac:dyDescent="0.25">
      <c r="A394" s="19">
        <v>333913</v>
      </c>
      <c r="B394" s="19" t="s">
        <v>5926</v>
      </c>
      <c r="C394" s="20">
        <v>333914</v>
      </c>
      <c r="D394" s="19" t="s">
        <v>3302</v>
      </c>
    </row>
    <row r="395" spans="1:4" ht="25.5" x14ac:dyDescent="0.25">
      <c r="A395" s="19">
        <v>333921</v>
      </c>
      <c r="B395" s="19" t="s">
        <v>3304</v>
      </c>
      <c r="C395" s="19">
        <v>333921</v>
      </c>
      <c r="D395" s="19" t="s">
        <v>3304</v>
      </c>
    </row>
    <row r="396" spans="1:4" ht="25.5" x14ac:dyDescent="0.25">
      <c r="A396" s="19">
        <v>333922</v>
      </c>
      <c r="B396" s="19" t="s">
        <v>3306</v>
      </c>
      <c r="C396" s="19">
        <v>333922</v>
      </c>
      <c r="D396" s="19" t="s">
        <v>3306</v>
      </c>
    </row>
    <row r="397" spans="1:4" ht="25.5" x14ac:dyDescent="0.25">
      <c r="A397" s="19">
        <v>333923</v>
      </c>
      <c r="B397" s="19" t="s">
        <v>3308</v>
      </c>
      <c r="C397" s="19">
        <v>333923</v>
      </c>
      <c r="D397" s="19" t="s">
        <v>3308</v>
      </c>
    </row>
    <row r="398" spans="1:4" ht="25.5" x14ac:dyDescent="0.25">
      <c r="A398" s="19">
        <v>333924</v>
      </c>
      <c r="B398" s="19" t="s">
        <v>3310</v>
      </c>
      <c r="C398" s="19">
        <v>333924</v>
      </c>
      <c r="D398" s="19" t="s">
        <v>3310</v>
      </c>
    </row>
    <row r="399" spans="1:4" x14ac:dyDescent="0.25">
      <c r="A399" s="19">
        <v>333991</v>
      </c>
      <c r="B399" s="19" t="s">
        <v>3312</v>
      </c>
      <c r="C399" s="19">
        <v>333991</v>
      </c>
      <c r="D399" s="19" t="s">
        <v>3312</v>
      </c>
    </row>
    <row r="400" spans="1:4" ht="25.5" x14ac:dyDescent="0.25">
      <c r="A400" s="19">
        <v>333992</v>
      </c>
      <c r="B400" s="19" t="s">
        <v>3314</v>
      </c>
      <c r="C400" s="19">
        <v>333992</v>
      </c>
      <c r="D400" s="19" t="s">
        <v>3314</v>
      </c>
    </row>
    <row r="401" spans="1:4" x14ac:dyDescent="0.25">
      <c r="A401" s="19">
        <v>333993</v>
      </c>
      <c r="B401" s="19" t="s">
        <v>3316</v>
      </c>
      <c r="C401" s="19">
        <v>333993</v>
      </c>
      <c r="D401" s="19" t="s">
        <v>3316</v>
      </c>
    </row>
    <row r="402" spans="1:4" ht="25.5" x14ac:dyDescent="0.25">
      <c r="A402" s="19">
        <v>333994</v>
      </c>
      <c r="B402" s="19" t="s">
        <v>3318</v>
      </c>
      <c r="C402" s="19">
        <v>333994</v>
      </c>
      <c r="D402" s="19" t="s">
        <v>3318</v>
      </c>
    </row>
    <row r="403" spans="1:4" ht="25.5" x14ac:dyDescent="0.25">
      <c r="A403" s="19">
        <v>333995</v>
      </c>
      <c r="B403" s="19" t="s">
        <v>3320</v>
      </c>
      <c r="C403" s="19">
        <v>333995</v>
      </c>
      <c r="D403" s="19" t="s">
        <v>3320</v>
      </c>
    </row>
    <row r="404" spans="1:4" ht="25.5" x14ac:dyDescent="0.25">
      <c r="A404" s="19">
        <v>333996</v>
      </c>
      <c r="B404" s="19" t="s">
        <v>3322</v>
      </c>
      <c r="C404" s="19">
        <v>333996</v>
      </c>
      <c r="D404" s="19" t="s">
        <v>3322</v>
      </c>
    </row>
    <row r="405" spans="1:4" x14ac:dyDescent="0.25">
      <c r="A405" s="19">
        <v>333997</v>
      </c>
      <c r="B405" s="19" t="s">
        <v>3324</v>
      </c>
      <c r="C405" s="19">
        <v>333997</v>
      </c>
      <c r="D405" s="19" t="s">
        <v>3324</v>
      </c>
    </row>
    <row r="406" spans="1:4" ht="25.5" x14ac:dyDescent="0.25">
      <c r="A406" s="19">
        <v>333999</v>
      </c>
      <c r="B406" s="19" t="s">
        <v>3326</v>
      </c>
      <c r="C406" s="19">
        <v>333999</v>
      </c>
      <c r="D406" s="19" t="s">
        <v>3326</v>
      </c>
    </row>
    <row r="407" spans="1:4" x14ac:dyDescent="0.25">
      <c r="A407" s="19">
        <v>334111</v>
      </c>
      <c r="B407" s="19" t="s">
        <v>3328</v>
      </c>
      <c r="C407" s="19">
        <v>334111</v>
      </c>
      <c r="D407" s="19" t="s">
        <v>3328</v>
      </c>
    </row>
    <row r="408" spans="1:4" x14ac:dyDescent="0.25">
      <c r="A408" s="19">
        <v>334112</v>
      </c>
      <c r="B408" s="19" t="s">
        <v>3330</v>
      </c>
      <c r="C408" s="19">
        <v>334112</v>
      </c>
      <c r="D408" s="19" t="s">
        <v>3330</v>
      </c>
    </row>
    <row r="409" spans="1:4" ht="25.5" x14ac:dyDescent="0.25">
      <c r="A409" s="19">
        <v>334118</v>
      </c>
      <c r="B409" s="19" t="s">
        <v>3332</v>
      </c>
      <c r="C409" s="19">
        <v>334118</v>
      </c>
      <c r="D409" s="19" t="s">
        <v>3332</v>
      </c>
    </row>
    <row r="410" spans="1:4" x14ac:dyDescent="0.25">
      <c r="A410" s="19">
        <v>334210</v>
      </c>
      <c r="B410" s="19" t="s">
        <v>3334</v>
      </c>
      <c r="C410" s="19">
        <v>334210</v>
      </c>
      <c r="D410" s="19" t="s">
        <v>3334</v>
      </c>
    </row>
    <row r="411" spans="1:4" ht="38.25" x14ac:dyDescent="0.25">
      <c r="A411" s="19">
        <v>334220</v>
      </c>
      <c r="B411" s="19" t="s">
        <v>3336</v>
      </c>
      <c r="C411" s="19">
        <v>334220</v>
      </c>
      <c r="D411" s="19" t="s">
        <v>3336</v>
      </c>
    </row>
    <row r="412" spans="1:4" ht="25.5" x14ac:dyDescent="0.25">
      <c r="A412" s="19">
        <v>334290</v>
      </c>
      <c r="B412" s="19" t="s">
        <v>3338</v>
      </c>
      <c r="C412" s="19">
        <v>334290</v>
      </c>
      <c r="D412" s="19" t="s">
        <v>3338</v>
      </c>
    </row>
    <row r="413" spans="1:4" ht="25.5" x14ac:dyDescent="0.25">
      <c r="A413" s="19">
        <v>334310</v>
      </c>
      <c r="B413" s="19" t="s">
        <v>3340</v>
      </c>
      <c r="C413" s="19">
        <v>334310</v>
      </c>
      <c r="D413" s="19" t="s">
        <v>3340</v>
      </c>
    </row>
    <row r="414" spans="1:4" x14ac:dyDescent="0.25">
      <c r="A414" s="19">
        <v>334412</v>
      </c>
      <c r="B414" s="19" t="s">
        <v>3342</v>
      </c>
      <c r="C414" s="19">
        <v>334412</v>
      </c>
      <c r="D414" s="19" t="s">
        <v>3342</v>
      </c>
    </row>
    <row r="415" spans="1:4" ht="25.5" x14ac:dyDescent="0.25">
      <c r="A415" s="19">
        <v>334413</v>
      </c>
      <c r="B415" s="19" t="s">
        <v>3344</v>
      </c>
      <c r="C415" s="19">
        <v>334413</v>
      </c>
      <c r="D415" s="19" t="s">
        <v>3344</v>
      </c>
    </row>
    <row r="416" spans="1:4" ht="25.5" x14ac:dyDescent="0.25">
      <c r="A416" s="19">
        <v>334416</v>
      </c>
      <c r="B416" s="19" t="s">
        <v>3346</v>
      </c>
      <c r="C416" s="19">
        <v>334416</v>
      </c>
      <c r="D416" s="19" t="s">
        <v>3346</v>
      </c>
    </row>
    <row r="417" spans="1:4" x14ac:dyDescent="0.25">
      <c r="A417" s="19">
        <v>334417</v>
      </c>
      <c r="B417" s="19" t="s">
        <v>3348</v>
      </c>
      <c r="C417" s="19">
        <v>334417</v>
      </c>
      <c r="D417" s="19" t="s">
        <v>3348</v>
      </c>
    </row>
    <row r="418" spans="1:4" ht="25.5" x14ac:dyDescent="0.25">
      <c r="A418" s="19">
        <v>334418</v>
      </c>
      <c r="B418" s="19" t="s">
        <v>3350</v>
      </c>
      <c r="C418" s="19">
        <v>334418</v>
      </c>
      <c r="D418" s="19" t="s">
        <v>3350</v>
      </c>
    </row>
    <row r="419" spans="1:4" ht="25.5" x14ac:dyDescent="0.25">
      <c r="A419" s="19">
        <v>334419</v>
      </c>
      <c r="B419" s="19" t="s">
        <v>3352</v>
      </c>
      <c r="C419" s="19">
        <v>334419</v>
      </c>
      <c r="D419" s="19" t="s">
        <v>3352</v>
      </c>
    </row>
    <row r="420" spans="1:4" ht="25.5" x14ac:dyDescent="0.25">
      <c r="A420" s="19">
        <v>334510</v>
      </c>
      <c r="B420" s="19" t="s">
        <v>3354</v>
      </c>
      <c r="C420" s="19">
        <v>334510</v>
      </c>
      <c r="D420" s="19" t="s">
        <v>3354</v>
      </c>
    </row>
    <row r="421" spans="1:4" ht="38.25" x14ac:dyDescent="0.25">
      <c r="A421" s="19">
        <v>334511</v>
      </c>
      <c r="B421" s="19" t="s">
        <v>3356</v>
      </c>
      <c r="C421" s="19">
        <v>334511</v>
      </c>
      <c r="D421" s="19" t="s">
        <v>3356</v>
      </c>
    </row>
    <row r="422" spans="1:4" ht="38.25" x14ac:dyDescent="0.25">
      <c r="A422" s="19">
        <v>334512</v>
      </c>
      <c r="B422" s="19" t="s">
        <v>3358</v>
      </c>
      <c r="C422" s="19">
        <v>334512</v>
      </c>
      <c r="D422" s="19" t="s">
        <v>3358</v>
      </c>
    </row>
    <row r="423" spans="1:4" ht="51" x14ac:dyDescent="0.25">
      <c r="A423" s="19">
        <v>334513</v>
      </c>
      <c r="B423" s="19" t="s">
        <v>3360</v>
      </c>
      <c r="C423" s="19">
        <v>334513</v>
      </c>
      <c r="D423" s="19" t="s">
        <v>3360</v>
      </c>
    </row>
    <row r="424" spans="1:4" ht="25.5" x14ac:dyDescent="0.25">
      <c r="A424" s="19">
        <v>334514</v>
      </c>
      <c r="B424" s="19" t="s">
        <v>3362</v>
      </c>
      <c r="C424" s="19">
        <v>334514</v>
      </c>
      <c r="D424" s="19" t="s">
        <v>3362</v>
      </c>
    </row>
    <row r="425" spans="1:4" ht="38.25" x14ac:dyDescent="0.25">
      <c r="A425" s="19">
        <v>334515</v>
      </c>
      <c r="B425" s="19" t="s">
        <v>3364</v>
      </c>
      <c r="C425" s="19">
        <v>334515</v>
      </c>
      <c r="D425" s="19" t="s">
        <v>3364</v>
      </c>
    </row>
    <row r="426" spans="1:4" ht="25.5" x14ac:dyDescent="0.25">
      <c r="A426" s="19">
        <v>334516</v>
      </c>
      <c r="B426" s="19" t="s">
        <v>3366</v>
      </c>
      <c r="C426" s="19">
        <v>334516</v>
      </c>
      <c r="D426" s="19" t="s">
        <v>3366</v>
      </c>
    </row>
    <row r="427" spans="1:4" x14ac:dyDescent="0.25">
      <c r="A427" s="19">
        <v>334517</v>
      </c>
      <c r="B427" s="19" t="s">
        <v>3368</v>
      </c>
      <c r="C427" s="19">
        <v>334517</v>
      </c>
      <c r="D427" s="19" t="s">
        <v>3368</v>
      </c>
    </row>
    <row r="428" spans="1:4" ht="25.5" x14ac:dyDescent="0.25">
      <c r="A428" s="19">
        <v>334519</v>
      </c>
      <c r="B428" s="19" t="s">
        <v>3370</v>
      </c>
      <c r="C428" s="19">
        <v>334519</v>
      </c>
      <c r="D428" s="19" t="s">
        <v>3370</v>
      </c>
    </row>
    <row r="429" spans="1:4" ht="25.5" x14ac:dyDescent="0.25">
      <c r="A429" s="19">
        <v>334613</v>
      </c>
      <c r="B429" s="19" t="s">
        <v>3372</v>
      </c>
      <c r="C429" s="19">
        <v>334613</v>
      </c>
      <c r="D429" s="19" t="s">
        <v>3372</v>
      </c>
    </row>
    <row r="430" spans="1:4" ht="38.25" x14ac:dyDescent="0.25">
      <c r="A430" s="19">
        <v>334614</v>
      </c>
      <c r="B430" s="19" t="s">
        <v>3374</v>
      </c>
      <c r="C430" s="19">
        <v>334614</v>
      </c>
      <c r="D430" s="19" t="s">
        <v>3374</v>
      </c>
    </row>
    <row r="431" spans="1:4" ht="25.5" x14ac:dyDescent="0.25">
      <c r="A431" s="19">
        <v>335110</v>
      </c>
      <c r="B431" s="19" t="s">
        <v>3376</v>
      </c>
      <c r="C431" s="19">
        <v>335110</v>
      </c>
      <c r="D431" s="19" t="s">
        <v>3376</v>
      </c>
    </row>
    <row r="432" spans="1:4" ht="25.5" x14ac:dyDescent="0.25">
      <c r="A432" s="19">
        <v>335121</v>
      </c>
      <c r="B432" s="19" t="s">
        <v>3378</v>
      </c>
      <c r="C432" s="19">
        <v>335121</v>
      </c>
      <c r="D432" s="19" t="s">
        <v>3378</v>
      </c>
    </row>
    <row r="433" spans="1:4" ht="25.5" x14ac:dyDescent="0.25">
      <c r="A433" s="19">
        <v>335122</v>
      </c>
      <c r="B433" s="19" t="s">
        <v>3380</v>
      </c>
      <c r="C433" s="19">
        <v>335122</v>
      </c>
      <c r="D433" s="19" t="s">
        <v>3380</v>
      </c>
    </row>
    <row r="434" spans="1:4" x14ac:dyDescent="0.25">
      <c r="A434" s="19">
        <v>335129</v>
      </c>
      <c r="B434" s="19" t="s">
        <v>3382</v>
      </c>
      <c r="C434" s="19">
        <v>335129</v>
      </c>
      <c r="D434" s="19" t="s">
        <v>3382</v>
      </c>
    </row>
    <row r="435" spans="1:4" ht="25.5" x14ac:dyDescent="0.25">
      <c r="A435" s="19">
        <v>335210</v>
      </c>
      <c r="B435" s="19" t="s">
        <v>3384</v>
      </c>
      <c r="C435" s="19">
        <v>335210</v>
      </c>
      <c r="D435" s="19" t="s">
        <v>3384</v>
      </c>
    </row>
    <row r="436" spans="1:4" ht="25.5" x14ac:dyDescent="0.25">
      <c r="A436" s="19">
        <v>335221</v>
      </c>
      <c r="B436" s="19" t="s">
        <v>5929</v>
      </c>
      <c r="C436" s="20">
        <v>335220</v>
      </c>
      <c r="D436" s="19" t="s">
        <v>3386</v>
      </c>
    </row>
    <row r="437" spans="1:4" ht="25.5" x14ac:dyDescent="0.25">
      <c r="A437" s="19">
        <v>335222</v>
      </c>
      <c r="B437" s="19" t="s">
        <v>5930</v>
      </c>
      <c r="C437" s="20">
        <v>335220</v>
      </c>
      <c r="D437" s="19" t="s">
        <v>3386</v>
      </c>
    </row>
    <row r="438" spans="1:4" ht="25.5" x14ac:dyDescent="0.25">
      <c r="A438" s="19">
        <v>335224</v>
      </c>
      <c r="B438" s="19" t="s">
        <v>5931</v>
      </c>
      <c r="C438" s="20">
        <v>335220</v>
      </c>
      <c r="D438" s="19" t="s">
        <v>3386</v>
      </c>
    </row>
    <row r="439" spans="1:4" ht="25.5" x14ac:dyDescent="0.25">
      <c r="A439" s="19">
        <v>335228</v>
      </c>
      <c r="B439" s="19" t="s">
        <v>5934</v>
      </c>
      <c r="C439" s="20">
        <v>335220</v>
      </c>
      <c r="D439" s="19" t="s">
        <v>3386</v>
      </c>
    </row>
    <row r="440" spans="1:4" ht="25.5" x14ac:dyDescent="0.25">
      <c r="A440" s="19">
        <v>335311</v>
      </c>
      <c r="B440" s="19" t="s">
        <v>3388</v>
      </c>
      <c r="C440" s="19">
        <v>335311</v>
      </c>
      <c r="D440" s="19" t="s">
        <v>3388</v>
      </c>
    </row>
    <row r="441" spans="1:4" x14ac:dyDescent="0.25">
      <c r="A441" s="19">
        <v>335312</v>
      </c>
      <c r="B441" s="19" t="s">
        <v>3390</v>
      </c>
      <c r="C441" s="19">
        <v>335312</v>
      </c>
      <c r="D441" s="19" t="s">
        <v>3390</v>
      </c>
    </row>
    <row r="442" spans="1:4" ht="25.5" x14ac:dyDescent="0.25">
      <c r="A442" s="19">
        <v>335313</v>
      </c>
      <c r="B442" s="19" t="s">
        <v>3392</v>
      </c>
      <c r="C442" s="19">
        <v>335313</v>
      </c>
      <c r="D442" s="19" t="s">
        <v>3392</v>
      </c>
    </row>
    <row r="443" spans="1:4" ht="25.5" x14ac:dyDescent="0.25">
      <c r="A443" s="19">
        <v>335314</v>
      </c>
      <c r="B443" s="19" t="s">
        <v>3394</v>
      </c>
      <c r="C443" s="19">
        <v>335314</v>
      </c>
      <c r="D443" s="19" t="s">
        <v>3394</v>
      </c>
    </row>
    <row r="444" spans="1:4" x14ac:dyDescent="0.25">
      <c r="A444" s="19">
        <v>335911</v>
      </c>
      <c r="B444" s="19" t="s">
        <v>3396</v>
      </c>
      <c r="C444" s="19">
        <v>335911</v>
      </c>
      <c r="D444" s="19" t="s">
        <v>3396</v>
      </c>
    </row>
    <row r="445" spans="1:4" x14ac:dyDescent="0.25">
      <c r="A445" s="19">
        <v>335912</v>
      </c>
      <c r="B445" s="19" t="s">
        <v>3397</v>
      </c>
      <c r="C445" s="19">
        <v>335912</v>
      </c>
      <c r="D445" s="19" t="s">
        <v>3397</v>
      </c>
    </row>
    <row r="446" spans="1:4" x14ac:dyDescent="0.25">
      <c r="A446" s="19">
        <v>335921</v>
      </c>
      <c r="B446" s="19" t="s">
        <v>3399</v>
      </c>
      <c r="C446" s="19">
        <v>335921</v>
      </c>
      <c r="D446" s="19" t="s">
        <v>3399</v>
      </c>
    </row>
    <row r="447" spans="1:4" ht="25.5" x14ac:dyDescent="0.25">
      <c r="A447" s="19">
        <v>335929</v>
      </c>
      <c r="B447" s="19" t="s">
        <v>3401</v>
      </c>
      <c r="C447" s="19">
        <v>335929</v>
      </c>
      <c r="D447" s="19" t="s">
        <v>3401</v>
      </c>
    </row>
    <row r="448" spans="1:4" ht="25.5" x14ac:dyDescent="0.25">
      <c r="A448" s="19">
        <v>335931</v>
      </c>
      <c r="B448" s="19" t="s">
        <v>3403</v>
      </c>
      <c r="C448" s="19">
        <v>335931</v>
      </c>
      <c r="D448" s="19" t="s">
        <v>3403</v>
      </c>
    </row>
    <row r="449" spans="1:4" ht="25.5" x14ac:dyDescent="0.25">
      <c r="A449" s="19">
        <v>335932</v>
      </c>
      <c r="B449" s="19" t="s">
        <v>3405</v>
      </c>
      <c r="C449" s="19">
        <v>335932</v>
      </c>
      <c r="D449" s="19" t="s">
        <v>3405</v>
      </c>
    </row>
    <row r="450" spans="1:4" ht="25.5" x14ac:dyDescent="0.25">
      <c r="A450" s="19">
        <v>335991</v>
      </c>
      <c r="B450" s="19" t="s">
        <v>3407</v>
      </c>
      <c r="C450" s="19">
        <v>335991</v>
      </c>
      <c r="D450" s="19" t="s">
        <v>3407</v>
      </c>
    </row>
    <row r="451" spans="1:4" ht="38.25" x14ac:dyDescent="0.25">
      <c r="A451" s="19">
        <v>335999</v>
      </c>
      <c r="B451" s="19" t="s">
        <v>3409</v>
      </c>
      <c r="C451" s="19">
        <v>335999</v>
      </c>
      <c r="D451" s="19" t="s">
        <v>3409</v>
      </c>
    </row>
    <row r="452" spans="1:4" x14ac:dyDescent="0.25">
      <c r="A452" s="19">
        <v>336111</v>
      </c>
      <c r="B452" s="19" t="s">
        <v>3411</v>
      </c>
      <c r="C452" s="19">
        <v>336111</v>
      </c>
      <c r="D452" s="19" t="s">
        <v>3411</v>
      </c>
    </row>
    <row r="453" spans="1:4" ht="25.5" x14ac:dyDescent="0.25">
      <c r="A453" s="19">
        <v>336112</v>
      </c>
      <c r="B453" s="19" t="s">
        <v>3413</v>
      </c>
      <c r="C453" s="19">
        <v>336112</v>
      </c>
      <c r="D453" s="19" t="s">
        <v>3413</v>
      </c>
    </row>
    <row r="454" spans="1:4" x14ac:dyDescent="0.25">
      <c r="A454" s="19">
        <v>336120</v>
      </c>
      <c r="B454" s="19" t="s">
        <v>3415</v>
      </c>
      <c r="C454" s="19">
        <v>336120</v>
      </c>
      <c r="D454" s="19" t="s">
        <v>3415</v>
      </c>
    </row>
    <row r="455" spans="1:4" x14ac:dyDescent="0.25">
      <c r="A455" s="19">
        <v>336211</v>
      </c>
      <c r="B455" s="19" t="s">
        <v>3417</v>
      </c>
      <c r="C455" s="19">
        <v>336211</v>
      </c>
      <c r="D455" s="19" t="s">
        <v>3417</v>
      </c>
    </row>
    <row r="456" spans="1:4" x14ac:dyDescent="0.25">
      <c r="A456" s="19">
        <v>336212</v>
      </c>
      <c r="B456" s="19" t="s">
        <v>3419</v>
      </c>
      <c r="C456" s="19">
        <v>336212</v>
      </c>
      <c r="D456" s="19" t="s">
        <v>3419</v>
      </c>
    </row>
    <row r="457" spans="1:4" x14ac:dyDescent="0.25">
      <c r="A457" s="19">
        <v>336213</v>
      </c>
      <c r="B457" s="19" t="s">
        <v>3421</v>
      </c>
      <c r="C457" s="19">
        <v>336213</v>
      </c>
      <c r="D457" s="19" t="s">
        <v>3421</v>
      </c>
    </row>
    <row r="458" spans="1:4" x14ac:dyDescent="0.25">
      <c r="A458" s="19">
        <v>336214</v>
      </c>
      <c r="B458" s="19" t="s">
        <v>3423</v>
      </c>
      <c r="C458" s="19">
        <v>336214</v>
      </c>
      <c r="D458" s="19" t="s">
        <v>3423</v>
      </c>
    </row>
    <row r="459" spans="1:4" ht="25.5" x14ac:dyDescent="0.25">
      <c r="A459" s="19">
        <v>336310</v>
      </c>
      <c r="B459" s="19" t="s">
        <v>3425</v>
      </c>
      <c r="C459" s="19">
        <v>336310</v>
      </c>
      <c r="D459" s="19" t="s">
        <v>3425</v>
      </c>
    </row>
    <row r="460" spans="1:4" ht="25.5" x14ac:dyDescent="0.25">
      <c r="A460" s="19">
        <v>336320</v>
      </c>
      <c r="B460" s="19" t="s">
        <v>3427</v>
      </c>
      <c r="C460" s="19">
        <v>336320</v>
      </c>
      <c r="D460" s="19" t="s">
        <v>3427</v>
      </c>
    </row>
    <row r="461" spans="1:4" ht="38.25" x14ac:dyDescent="0.25">
      <c r="A461" s="19">
        <v>336330</v>
      </c>
      <c r="B461" s="19" t="s">
        <v>3429</v>
      </c>
      <c r="C461" s="19">
        <v>336330</v>
      </c>
      <c r="D461" s="19" t="s">
        <v>3429</v>
      </c>
    </row>
    <row r="462" spans="1:4" ht="25.5" x14ac:dyDescent="0.25">
      <c r="A462" s="19">
        <v>336340</v>
      </c>
      <c r="B462" s="19" t="s">
        <v>3431</v>
      </c>
      <c r="C462" s="19">
        <v>336340</v>
      </c>
      <c r="D462" s="19" t="s">
        <v>3431</v>
      </c>
    </row>
    <row r="463" spans="1:4" ht="25.5" x14ac:dyDescent="0.25">
      <c r="A463" s="19">
        <v>336350</v>
      </c>
      <c r="B463" s="19" t="s">
        <v>3433</v>
      </c>
      <c r="C463" s="19">
        <v>336350</v>
      </c>
      <c r="D463" s="19" t="s">
        <v>3433</v>
      </c>
    </row>
    <row r="464" spans="1:4" ht="25.5" x14ac:dyDescent="0.25">
      <c r="A464" s="19">
        <v>336360</v>
      </c>
      <c r="B464" s="19" t="s">
        <v>3435</v>
      </c>
      <c r="C464" s="19">
        <v>336360</v>
      </c>
      <c r="D464" s="19" t="s">
        <v>3435</v>
      </c>
    </row>
    <row r="465" spans="1:4" x14ac:dyDescent="0.25">
      <c r="A465" s="19">
        <v>336370</v>
      </c>
      <c r="B465" s="19" t="s">
        <v>3437</v>
      </c>
      <c r="C465" s="19">
        <v>336370</v>
      </c>
      <c r="D465" s="19" t="s">
        <v>3437</v>
      </c>
    </row>
    <row r="466" spans="1:4" x14ac:dyDescent="0.25">
      <c r="A466" s="19">
        <v>336390</v>
      </c>
      <c r="B466" s="19" t="s">
        <v>3439</v>
      </c>
      <c r="C466" s="19">
        <v>336390</v>
      </c>
      <c r="D466" s="19" t="s">
        <v>3439</v>
      </c>
    </row>
    <row r="467" spans="1:4" x14ac:dyDescent="0.25">
      <c r="A467" s="19">
        <v>336411</v>
      </c>
      <c r="B467" s="19" t="s">
        <v>3441</v>
      </c>
      <c r="C467" s="19">
        <v>336411</v>
      </c>
      <c r="D467" s="19" t="s">
        <v>3441</v>
      </c>
    </row>
    <row r="468" spans="1:4" ht="25.5" x14ac:dyDescent="0.25">
      <c r="A468" s="19">
        <v>336412</v>
      </c>
      <c r="B468" s="19" t="s">
        <v>3443</v>
      </c>
      <c r="C468" s="19">
        <v>336412</v>
      </c>
      <c r="D468" s="19" t="s">
        <v>3443</v>
      </c>
    </row>
    <row r="469" spans="1:4" ht="25.5" x14ac:dyDescent="0.25">
      <c r="A469" s="19">
        <v>336413</v>
      </c>
      <c r="B469" s="19" t="s">
        <v>3445</v>
      </c>
      <c r="C469" s="19">
        <v>336413</v>
      </c>
      <c r="D469" s="19" t="s">
        <v>3445</v>
      </c>
    </row>
    <row r="470" spans="1:4" ht="25.5" x14ac:dyDescent="0.25">
      <c r="A470" s="19">
        <v>336414</v>
      </c>
      <c r="B470" s="19" t="s">
        <v>3447</v>
      </c>
      <c r="C470" s="19">
        <v>336414</v>
      </c>
      <c r="D470" s="19" t="s">
        <v>3447</v>
      </c>
    </row>
    <row r="471" spans="1:4" ht="38.25" x14ac:dyDescent="0.25">
      <c r="A471" s="19">
        <v>336415</v>
      </c>
      <c r="B471" s="19" t="s">
        <v>3449</v>
      </c>
      <c r="C471" s="19">
        <v>336415</v>
      </c>
      <c r="D471" s="19" t="s">
        <v>3449</v>
      </c>
    </row>
    <row r="472" spans="1:4" ht="38.25" x14ac:dyDescent="0.25">
      <c r="A472" s="19">
        <v>336419</v>
      </c>
      <c r="B472" s="19" t="s">
        <v>3451</v>
      </c>
      <c r="C472" s="19">
        <v>336419</v>
      </c>
      <c r="D472" s="19" t="s">
        <v>3451</v>
      </c>
    </row>
    <row r="473" spans="1:4" x14ac:dyDescent="0.25">
      <c r="A473" s="19">
        <v>336510</v>
      </c>
      <c r="B473" s="19" t="s">
        <v>3453</v>
      </c>
      <c r="C473" s="19">
        <v>336510</v>
      </c>
      <c r="D473" s="19" t="s">
        <v>3453</v>
      </c>
    </row>
    <row r="474" spans="1:4" x14ac:dyDescent="0.25">
      <c r="A474" s="19">
        <v>336611</v>
      </c>
      <c r="B474" s="19" t="s">
        <v>640</v>
      </c>
      <c r="C474" s="19">
        <v>336611</v>
      </c>
      <c r="D474" s="19" t="s">
        <v>640</v>
      </c>
    </row>
    <row r="475" spans="1:4" x14ac:dyDescent="0.25">
      <c r="A475" s="19">
        <v>336612</v>
      </c>
      <c r="B475" s="19" t="s">
        <v>3456</v>
      </c>
      <c r="C475" s="19">
        <v>336612</v>
      </c>
      <c r="D475" s="19" t="s">
        <v>3456</v>
      </c>
    </row>
    <row r="476" spans="1:4" ht="25.5" x14ac:dyDescent="0.25">
      <c r="A476" s="19">
        <v>336991</v>
      </c>
      <c r="B476" s="19" t="s">
        <v>3458</v>
      </c>
      <c r="C476" s="19">
        <v>336991</v>
      </c>
      <c r="D476" s="19" t="s">
        <v>3458</v>
      </c>
    </row>
    <row r="477" spans="1:4" ht="25.5" x14ac:dyDescent="0.25">
      <c r="A477" s="19">
        <v>336992</v>
      </c>
      <c r="B477" s="19" t="s">
        <v>3460</v>
      </c>
      <c r="C477" s="19">
        <v>336992</v>
      </c>
      <c r="D477" s="19" t="s">
        <v>3460</v>
      </c>
    </row>
    <row r="478" spans="1:4" ht="25.5" x14ac:dyDescent="0.25">
      <c r="A478" s="19">
        <v>336999</v>
      </c>
      <c r="B478" s="19" t="s">
        <v>3462</v>
      </c>
      <c r="C478" s="19">
        <v>336999</v>
      </c>
      <c r="D478" s="19" t="s">
        <v>3462</v>
      </c>
    </row>
    <row r="479" spans="1:4" ht="25.5" x14ac:dyDescent="0.25">
      <c r="A479" s="19">
        <v>337110</v>
      </c>
      <c r="B479" s="19" t="s">
        <v>3464</v>
      </c>
      <c r="C479" s="19">
        <v>337110</v>
      </c>
      <c r="D479" s="19" t="s">
        <v>3464</v>
      </c>
    </row>
    <row r="480" spans="1:4" ht="25.5" x14ac:dyDescent="0.25">
      <c r="A480" s="19">
        <v>337121</v>
      </c>
      <c r="B480" s="19" t="s">
        <v>3466</v>
      </c>
      <c r="C480" s="19">
        <v>337121</v>
      </c>
      <c r="D480" s="19" t="s">
        <v>3466</v>
      </c>
    </row>
    <row r="481" spans="1:4" ht="25.5" x14ac:dyDescent="0.25">
      <c r="A481" s="19">
        <v>337122</v>
      </c>
      <c r="B481" s="19" t="s">
        <v>3468</v>
      </c>
      <c r="C481" s="19">
        <v>337122</v>
      </c>
      <c r="D481" s="19" t="s">
        <v>3468</v>
      </c>
    </row>
    <row r="482" spans="1:4" ht="25.5" x14ac:dyDescent="0.25">
      <c r="A482" s="19">
        <v>337124</v>
      </c>
      <c r="B482" s="19" t="s">
        <v>3470</v>
      </c>
      <c r="C482" s="19">
        <v>337124</v>
      </c>
      <c r="D482" s="19" t="s">
        <v>3470</v>
      </c>
    </row>
    <row r="483" spans="1:4" ht="25.5" x14ac:dyDescent="0.25">
      <c r="A483" s="19">
        <v>337125</v>
      </c>
      <c r="B483" s="19" t="s">
        <v>3472</v>
      </c>
      <c r="C483" s="19">
        <v>337125</v>
      </c>
      <c r="D483" s="19" t="s">
        <v>3472</v>
      </c>
    </row>
    <row r="484" spans="1:4" x14ac:dyDescent="0.25">
      <c r="A484" s="19">
        <v>337127</v>
      </c>
      <c r="B484" s="19" t="s">
        <v>3474</v>
      </c>
      <c r="C484" s="19">
        <v>337127</v>
      </c>
      <c r="D484" s="19" t="s">
        <v>3474</v>
      </c>
    </row>
    <row r="485" spans="1:4" x14ac:dyDescent="0.25">
      <c r="A485" s="19">
        <v>337211</v>
      </c>
      <c r="B485" s="19" t="s">
        <v>3476</v>
      </c>
      <c r="C485" s="19">
        <v>337211</v>
      </c>
      <c r="D485" s="19" t="s">
        <v>3476</v>
      </c>
    </row>
    <row r="486" spans="1:4" ht="25.5" x14ac:dyDescent="0.25">
      <c r="A486" s="19">
        <v>337212</v>
      </c>
      <c r="B486" s="19" t="s">
        <v>3478</v>
      </c>
      <c r="C486" s="19">
        <v>337212</v>
      </c>
      <c r="D486" s="19" t="s">
        <v>3478</v>
      </c>
    </row>
    <row r="487" spans="1:4" ht="25.5" x14ac:dyDescent="0.25">
      <c r="A487" s="19">
        <v>337214</v>
      </c>
      <c r="B487" s="19" t="s">
        <v>3480</v>
      </c>
      <c r="C487" s="19">
        <v>337214</v>
      </c>
      <c r="D487" s="19" t="s">
        <v>3480</v>
      </c>
    </row>
    <row r="488" spans="1:4" ht="25.5" x14ac:dyDescent="0.25">
      <c r="A488" s="19">
        <v>337215</v>
      </c>
      <c r="B488" s="19" t="s">
        <v>3482</v>
      </c>
      <c r="C488" s="19">
        <v>337215</v>
      </c>
      <c r="D488" s="19" t="s">
        <v>3482</v>
      </c>
    </row>
    <row r="489" spans="1:4" x14ac:dyDescent="0.25">
      <c r="A489" s="19">
        <v>337910</v>
      </c>
      <c r="B489" s="19" t="s">
        <v>3484</v>
      </c>
      <c r="C489" s="19">
        <v>337910</v>
      </c>
      <c r="D489" s="19" t="s">
        <v>3484</v>
      </c>
    </row>
    <row r="490" spans="1:4" x14ac:dyDescent="0.25">
      <c r="A490" s="19">
        <v>337920</v>
      </c>
      <c r="B490" s="19" t="s">
        <v>3486</v>
      </c>
      <c r="C490" s="19">
        <v>337920</v>
      </c>
      <c r="D490" s="19" t="s">
        <v>3486</v>
      </c>
    </row>
    <row r="491" spans="1:4" ht="25.5" x14ac:dyDescent="0.25">
      <c r="A491" s="19">
        <v>339112</v>
      </c>
      <c r="B491" s="19" t="s">
        <v>3488</v>
      </c>
      <c r="C491" s="19">
        <v>339112</v>
      </c>
      <c r="D491" s="19" t="s">
        <v>3488</v>
      </c>
    </row>
    <row r="492" spans="1:4" ht="25.5" x14ac:dyDescent="0.25">
      <c r="A492" s="19">
        <v>339113</v>
      </c>
      <c r="B492" s="19" t="s">
        <v>3490</v>
      </c>
      <c r="C492" s="19">
        <v>339113</v>
      </c>
      <c r="D492" s="19" t="s">
        <v>3490</v>
      </c>
    </row>
    <row r="493" spans="1:4" ht="25.5" x14ac:dyDescent="0.25">
      <c r="A493" s="19">
        <v>339114</v>
      </c>
      <c r="B493" s="19" t="s">
        <v>3492</v>
      </c>
      <c r="C493" s="19">
        <v>339114</v>
      </c>
      <c r="D493" s="19" t="s">
        <v>3492</v>
      </c>
    </row>
    <row r="494" spans="1:4" x14ac:dyDescent="0.25">
      <c r="A494" s="19">
        <v>339115</v>
      </c>
      <c r="B494" s="19" t="s">
        <v>3494</v>
      </c>
      <c r="C494" s="19">
        <v>339115</v>
      </c>
      <c r="D494" s="19" t="s">
        <v>3494</v>
      </c>
    </row>
    <row r="495" spans="1:4" x14ac:dyDescent="0.25">
      <c r="A495" s="19">
        <v>339116</v>
      </c>
      <c r="B495" s="19" t="s">
        <v>3496</v>
      </c>
      <c r="C495" s="19">
        <v>339116</v>
      </c>
      <c r="D495" s="19" t="s">
        <v>3496</v>
      </c>
    </row>
    <row r="496" spans="1:4" x14ac:dyDescent="0.25">
      <c r="A496" s="19">
        <v>339910</v>
      </c>
      <c r="B496" s="19" t="s">
        <v>3498</v>
      </c>
      <c r="C496" s="19">
        <v>339910</v>
      </c>
      <c r="D496" s="19" t="s">
        <v>3498</v>
      </c>
    </row>
    <row r="497" spans="1:4" ht="25.5" x14ac:dyDescent="0.25">
      <c r="A497" s="19">
        <v>339920</v>
      </c>
      <c r="B497" s="19" t="s">
        <v>3500</v>
      </c>
      <c r="C497" s="19">
        <v>339920</v>
      </c>
      <c r="D497" s="19" t="s">
        <v>3500</v>
      </c>
    </row>
    <row r="498" spans="1:4" x14ac:dyDescent="0.25">
      <c r="A498" s="19">
        <v>339930</v>
      </c>
      <c r="B498" s="19" t="s">
        <v>3502</v>
      </c>
      <c r="C498" s="19">
        <v>339930</v>
      </c>
      <c r="D498" s="19" t="s">
        <v>3502</v>
      </c>
    </row>
    <row r="499" spans="1:4" ht="25.5" x14ac:dyDescent="0.25">
      <c r="A499" s="19">
        <v>339940</v>
      </c>
      <c r="B499" s="19" t="s">
        <v>3504</v>
      </c>
      <c r="C499" s="19">
        <v>339940</v>
      </c>
      <c r="D499" s="19" t="s">
        <v>3504</v>
      </c>
    </row>
    <row r="500" spans="1:4" x14ac:dyDescent="0.25">
      <c r="A500" s="19">
        <v>339950</v>
      </c>
      <c r="B500" s="19" t="s">
        <v>3506</v>
      </c>
      <c r="C500" s="19">
        <v>339950</v>
      </c>
      <c r="D500" s="19" t="s">
        <v>3506</v>
      </c>
    </row>
    <row r="501" spans="1:4" ht="25.5" x14ac:dyDescent="0.25">
      <c r="A501" s="19">
        <v>339991</v>
      </c>
      <c r="B501" s="19" t="s">
        <v>3508</v>
      </c>
      <c r="C501" s="19">
        <v>339991</v>
      </c>
      <c r="D501" s="19" t="s">
        <v>3508</v>
      </c>
    </row>
    <row r="502" spans="1:4" x14ac:dyDescent="0.25">
      <c r="A502" s="19">
        <v>339992</v>
      </c>
      <c r="B502" s="19" t="s">
        <v>3510</v>
      </c>
      <c r="C502" s="19">
        <v>339992</v>
      </c>
      <c r="D502" s="19" t="s">
        <v>3510</v>
      </c>
    </row>
    <row r="503" spans="1:4" ht="25.5" x14ac:dyDescent="0.25">
      <c r="A503" s="19">
        <v>339993</v>
      </c>
      <c r="B503" s="19" t="s">
        <v>3512</v>
      </c>
      <c r="C503" s="19">
        <v>339993</v>
      </c>
      <c r="D503" s="19" t="s">
        <v>3512</v>
      </c>
    </row>
    <row r="504" spans="1:4" x14ac:dyDescent="0.25">
      <c r="A504" s="19">
        <v>339994</v>
      </c>
      <c r="B504" s="19" t="s">
        <v>3514</v>
      </c>
      <c r="C504" s="19">
        <v>339994</v>
      </c>
      <c r="D504" s="19" t="s">
        <v>3514</v>
      </c>
    </row>
    <row r="505" spans="1:4" x14ac:dyDescent="0.25">
      <c r="A505" s="19">
        <v>339995</v>
      </c>
      <c r="B505" s="19" t="s">
        <v>3516</v>
      </c>
      <c r="C505" s="19">
        <v>339995</v>
      </c>
      <c r="D505" s="19" t="s">
        <v>3516</v>
      </c>
    </row>
    <row r="506" spans="1:4" x14ac:dyDescent="0.25">
      <c r="A506" s="19">
        <v>339999</v>
      </c>
      <c r="B506" s="19" t="s">
        <v>3518</v>
      </c>
      <c r="C506" s="19">
        <v>339999</v>
      </c>
      <c r="D506" s="19" t="s">
        <v>3518</v>
      </c>
    </row>
    <row r="507" spans="1:4" ht="25.5" x14ac:dyDescent="0.25">
      <c r="A507" s="19">
        <v>423110</v>
      </c>
      <c r="B507" s="19" t="s">
        <v>3520</v>
      </c>
      <c r="C507" s="19">
        <v>423110</v>
      </c>
      <c r="D507" s="19" t="s">
        <v>3520</v>
      </c>
    </row>
    <row r="508" spans="1:4" ht="25.5" x14ac:dyDescent="0.25">
      <c r="A508" s="19">
        <v>423120</v>
      </c>
      <c r="B508" s="19" t="s">
        <v>3521</v>
      </c>
      <c r="C508" s="19">
        <v>423120</v>
      </c>
      <c r="D508" s="19" t="s">
        <v>3521</v>
      </c>
    </row>
    <row r="509" spans="1:4" x14ac:dyDescent="0.25">
      <c r="A509" s="19">
        <v>423130</v>
      </c>
      <c r="B509" s="19" t="s">
        <v>3523</v>
      </c>
      <c r="C509" s="19">
        <v>423130</v>
      </c>
      <c r="D509" s="19" t="s">
        <v>3523</v>
      </c>
    </row>
    <row r="510" spans="1:4" ht="25.5" x14ac:dyDescent="0.25">
      <c r="A510" s="19">
        <v>423140</v>
      </c>
      <c r="B510" s="19" t="s">
        <v>3525</v>
      </c>
      <c r="C510" s="19">
        <v>423140</v>
      </c>
      <c r="D510" s="19" t="s">
        <v>3525</v>
      </c>
    </row>
    <row r="511" spans="1:4" x14ac:dyDescent="0.25">
      <c r="A511" s="19">
        <v>423210</v>
      </c>
      <c r="B511" s="19" t="s">
        <v>3527</v>
      </c>
      <c r="C511" s="19">
        <v>423210</v>
      </c>
      <c r="D511" s="19" t="s">
        <v>3527</v>
      </c>
    </row>
    <row r="512" spans="1:4" x14ac:dyDescent="0.25">
      <c r="A512" s="19">
        <v>423220</v>
      </c>
      <c r="B512" s="19" t="s">
        <v>3529</v>
      </c>
      <c r="C512" s="19">
        <v>423220</v>
      </c>
      <c r="D512" s="19" t="s">
        <v>3529</v>
      </c>
    </row>
    <row r="513" spans="1:4" ht="25.5" x14ac:dyDescent="0.25">
      <c r="A513" s="19">
        <v>423310</v>
      </c>
      <c r="B513" s="19" t="s">
        <v>3531</v>
      </c>
      <c r="C513" s="19">
        <v>423310</v>
      </c>
      <c r="D513" s="19" t="s">
        <v>3531</v>
      </c>
    </row>
    <row r="514" spans="1:4" ht="25.5" x14ac:dyDescent="0.25">
      <c r="A514" s="19">
        <v>423320</v>
      </c>
      <c r="B514" s="19" t="s">
        <v>3533</v>
      </c>
      <c r="C514" s="19">
        <v>423320</v>
      </c>
      <c r="D514" s="19" t="s">
        <v>3533</v>
      </c>
    </row>
    <row r="515" spans="1:4" ht="25.5" x14ac:dyDescent="0.25">
      <c r="A515" s="19">
        <v>423330</v>
      </c>
      <c r="B515" s="19" t="s">
        <v>3535</v>
      </c>
      <c r="C515" s="19">
        <v>423330</v>
      </c>
      <c r="D515" s="19" t="s">
        <v>3535</v>
      </c>
    </row>
    <row r="516" spans="1:4" ht="25.5" x14ac:dyDescent="0.25">
      <c r="A516" s="19">
        <v>423390</v>
      </c>
      <c r="B516" s="19" t="s">
        <v>3537</v>
      </c>
      <c r="C516" s="19">
        <v>423390</v>
      </c>
      <c r="D516" s="19" t="s">
        <v>3537</v>
      </c>
    </row>
    <row r="517" spans="1:4" ht="25.5" x14ac:dyDescent="0.25">
      <c r="A517" s="19">
        <v>423410</v>
      </c>
      <c r="B517" s="19" t="s">
        <v>3539</v>
      </c>
      <c r="C517" s="19">
        <v>423410</v>
      </c>
      <c r="D517" s="19" t="s">
        <v>3539</v>
      </c>
    </row>
    <row r="518" spans="1:4" x14ac:dyDescent="0.25">
      <c r="A518" s="19">
        <v>423420</v>
      </c>
      <c r="B518" s="19" t="s">
        <v>3541</v>
      </c>
      <c r="C518" s="19">
        <v>423420</v>
      </c>
      <c r="D518" s="19" t="s">
        <v>3541</v>
      </c>
    </row>
    <row r="519" spans="1:4" ht="38.25" x14ac:dyDescent="0.25">
      <c r="A519" s="19">
        <v>423430</v>
      </c>
      <c r="B519" s="19" t="s">
        <v>3543</v>
      </c>
      <c r="C519" s="19">
        <v>423430</v>
      </c>
      <c r="D519" s="19" t="s">
        <v>3543</v>
      </c>
    </row>
    <row r="520" spans="1:4" ht="25.5" x14ac:dyDescent="0.25">
      <c r="A520" s="19">
        <v>423440</v>
      </c>
      <c r="B520" s="19" t="s">
        <v>3545</v>
      </c>
      <c r="C520" s="19">
        <v>423440</v>
      </c>
      <c r="D520" s="19" t="s">
        <v>3545</v>
      </c>
    </row>
    <row r="521" spans="1:4" ht="25.5" x14ac:dyDescent="0.25">
      <c r="A521" s="19">
        <v>423450</v>
      </c>
      <c r="B521" s="19" t="s">
        <v>3547</v>
      </c>
      <c r="C521" s="19">
        <v>423450</v>
      </c>
      <c r="D521" s="19" t="s">
        <v>3547</v>
      </c>
    </row>
    <row r="522" spans="1:4" ht="25.5" x14ac:dyDescent="0.25">
      <c r="A522" s="19">
        <v>423460</v>
      </c>
      <c r="B522" s="19" t="s">
        <v>3549</v>
      </c>
      <c r="C522" s="19">
        <v>423460</v>
      </c>
      <c r="D522" s="19" t="s">
        <v>3549</v>
      </c>
    </row>
    <row r="523" spans="1:4" ht="25.5" x14ac:dyDescent="0.25">
      <c r="A523" s="19">
        <v>423490</v>
      </c>
      <c r="B523" s="19" t="s">
        <v>3551</v>
      </c>
      <c r="C523" s="19">
        <v>423490</v>
      </c>
      <c r="D523" s="19" t="s">
        <v>3551</v>
      </c>
    </row>
    <row r="524" spans="1:4" ht="25.5" x14ac:dyDescent="0.25">
      <c r="A524" s="19">
        <v>423510</v>
      </c>
      <c r="B524" s="19" t="s">
        <v>3553</v>
      </c>
      <c r="C524" s="19">
        <v>423510</v>
      </c>
      <c r="D524" s="19" t="s">
        <v>3553</v>
      </c>
    </row>
    <row r="525" spans="1:4" ht="25.5" x14ac:dyDescent="0.25">
      <c r="A525" s="19">
        <v>423520</v>
      </c>
      <c r="B525" s="19" t="s">
        <v>3555</v>
      </c>
      <c r="C525" s="19">
        <v>423520</v>
      </c>
      <c r="D525" s="19" t="s">
        <v>3555</v>
      </c>
    </row>
    <row r="526" spans="1:4" ht="38.25" x14ac:dyDescent="0.25">
      <c r="A526" s="19">
        <v>423610</v>
      </c>
      <c r="B526" s="19" t="s">
        <v>3557</v>
      </c>
      <c r="C526" s="19">
        <v>423610</v>
      </c>
      <c r="D526" s="19" t="s">
        <v>3557</v>
      </c>
    </row>
    <row r="527" spans="1:4" ht="38.25" x14ac:dyDescent="0.25">
      <c r="A527" s="19">
        <v>423620</v>
      </c>
      <c r="B527" s="19" t="s">
        <v>3559</v>
      </c>
      <c r="C527" s="19">
        <v>423620</v>
      </c>
      <c r="D527" s="19" t="s">
        <v>3559</v>
      </c>
    </row>
    <row r="528" spans="1:4" ht="25.5" x14ac:dyDescent="0.25">
      <c r="A528" s="19">
        <v>423690</v>
      </c>
      <c r="B528" s="19" t="s">
        <v>3561</v>
      </c>
      <c r="C528" s="19">
        <v>423690</v>
      </c>
      <c r="D528" s="19" t="s">
        <v>3561</v>
      </c>
    </row>
    <row r="529" spans="1:4" x14ac:dyDescent="0.25">
      <c r="A529" s="19">
        <v>423710</v>
      </c>
      <c r="B529" s="19" t="s">
        <v>3563</v>
      </c>
      <c r="C529" s="19">
        <v>423710</v>
      </c>
      <c r="D529" s="19" t="s">
        <v>3563</v>
      </c>
    </row>
    <row r="530" spans="1:4" ht="38.25" x14ac:dyDescent="0.25">
      <c r="A530" s="19">
        <v>423720</v>
      </c>
      <c r="B530" s="19" t="s">
        <v>3565</v>
      </c>
      <c r="C530" s="19">
        <v>423720</v>
      </c>
      <c r="D530" s="19" t="s">
        <v>3565</v>
      </c>
    </row>
    <row r="531" spans="1:4" ht="38.25" x14ac:dyDescent="0.25">
      <c r="A531" s="19">
        <v>423730</v>
      </c>
      <c r="B531" s="19" t="s">
        <v>3567</v>
      </c>
      <c r="C531" s="19">
        <v>423730</v>
      </c>
      <c r="D531" s="19" t="s">
        <v>3567</v>
      </c>
    </row>
    <row r="532" spans="1:4" ht="25.5" x14ac:dyDescent="0.25">
      <c r="A532" s="19">
        <v>423740</v>
      </c>
      <c r="B532" s="19" t="s">
        <v>3569</v>
      </c>
      <c r="C532" s="19">
        <v>423740</v>
      </c>
      <c r="D532" s="19" t="s">
        <v>3569</v>
      </c>
    </row>
    <row r="533" spans="1:4" ht="38.25" x14ac:dyDescent="0.25">
      <c r="A533" s="19">
        <v>423810</v>
      </c>
      <c r="B533" s="19" t="s">
        <v>3571</v>
      </c>
      <c r="C533" s="19">
        <v>423810</v>
      </c>
      <c r="D533" s="19" t="s">
        <v>3571</v>
      </c>
    </row>
    <row r="534" spans="1:4" ht="25.5" x14ac:dyDescent="0.25">
      <c r="A534" s="19">
        <v>423820</v>
      </c>
      <c r="B534" s="19" t="s">
        <v>3573</v>
      </c>
      <c r="C534" s="19">
        <v>423820</v>
      </c>
      <c r="D534" s="19" t="s">
        <v>3573</v>
      </c>
    </row>
    <row r="535" spans="1:4" ht="25.5" x14ac:dyDescent="0.25">
      <c r="A535" s="19">
        <v>423830</v>
      </c>
      <c r="B535" s="19" t="s">
        <v>3575</v>
      </c>
      <c r="C535" s="19">
        <v>423830</v>
      </c>
      <c r="D535" s="19" t="s">
        <v>3575</v>
      </c>
    </row>
    <row r="536" spans="1:4" ht="25.5" x14ac:dyDescent="0.25">
      <c r="A536" s="19">
        <v>423840</v>
      </c>
      <c r="B536" s="19" t="s">
        <v>3577</v>
      </c>
      <c r="C536" s="19">
        <v>423840</v>
      </c>
      <c r="D536" s="19" t="s">
        <v>3577</v>
      </c>
    </row>
    <row r="537" spans="1:4" ht="25.5" x14ac:dyDescent="0.25">
      <c r="A537" s="19">
        <v>423850</v>
      </c>
      <c r="B537" s="19" t="s">
        <v>3579</v>
      </c>
      <c r="C537" s="19">
        <v>423850</v>
      </c>
      <c r="D537" s="19" t="s">
        <v>3579</v>
      </c>
    </row>
    <row r="538" spans="1:4" ht="38.25" x14ac:dyDescent="0.25">
      <c r="A538" s="19">
        <v>423860</v>
      </c>
      <c r="B538" s="19" t="s">
        <v>3581</v>
      </c>
      <c r="C538" s="19">
        <v>423860</v>
      </c>
      <c r="D538" s="19" t="s">
        <v>3581</v>
      </c>
    </row>
    <row r="539" spans="1:4" ht="25.5" x14ac:dyDescent="0.25">
      <c r="A539" s="19">
        <v>423910</v>
      </c>
      <c r="B539" s="19" t="s">
        <v>3583</v>
      </c>
      <c r="C539" s="19">
        <v>423910</v>
      </c>
      <c r="D539" s="19" t="s">
        <v>3583</v>
      </c>
    </row>
    <row r="540" spans="1:4" ht="25.5" x14ac:dyDescent="0.25">
      <c r="A540" s="19">
        <v>423920</v>
      </c>
      <c r="B540" s="19" t="s">
        <v>3585</v>
      </c>
      <c r="C540" s="19">
        <v>423920</v>
      </c>
      <c r="D540" s="19" t="s">
        <v>3585</v>
      </c>
    </row>
    <row r="541" spans="1:4" ht="25.5" x14ac:dyDescent="0.25">
      <c r="A541" s="19">
        <v>423930</v>
      </c>
      <c r="B541" s="19" t="s">
        <v>3587</v>
      </c>
      <c r="C541" s="19">
        <v>423930</v>
      </c>
      <c r="D541" s="19" t="s">
        <v>3587</v>
      </c>
    </row>
    <row r="542" spans="1:4" ht="25.5" x14ac:dyDescent="0.25">
      <c r="A542" s="19">
        <v>423940</v>
      </c>
      <c r="B542" s="19" t="s">
        <v>3589</v>
      </c>
      <c r="C542" s="19">
        <v>423940</v>
      </c>
      <c r="D542" s="19" t="s">
        <v>3589</v>
      </c>
    </row>
    <row r="543" spans="1:4" ht="25.5" x14ac:dyDescent="0.25">
      <c r="A543" s="19">
        <v>423990</v>
      </c>
      <c r="B543" s="19" t="s">
        <v>3591</v>
      </c>
      <c r="C543" s="19">
        <v>423990</v>
      </c>
      <c r="D543" s="19" t="s">
        <v>3591</v>
      </c>
    </row>
    <row r="544" spans="1:4" ht="25.5" x14ac:dyDescent="0.25">
      <c r="A544" s="19">
        <v>424110</v>
      </c>
      <c r="B544" s="19" t="s">
        <v>3593</v>
      </c>
      <c r="C544" s="19">
        <v>424110</v>
      </c>
      <c r="D544" s="19" t="s">
        <v>3593</v>
      </c>
    </row>
    <row r="545" spans="1:4" ht="25.5" x14ac:dyDescent="0.25">
      <c r="A545" s="19">
        <v>424120</v>
      </c>
      <c r="B545" s="19" t="s">
        <v>3595</v>
      </c>
      <c r="C545" s="19">
        <v>424120</v>
      </c>
      <c r="D545" s="19" t="s">
        <v>3595</v>
      </c>
    </row>
    <row r="546" spans="1:4" ht="25.5" x14ac:dyDescent="0.25">
      <c r="A546" s="19">
        <v>424130</v>
      </c>
      <c r="B546" s="19" t="s">
        <v>3597</v>
      </c>
      <c r="C546" s="19">
        <v>424130</v>
      </c>
      <c r="D546" s="19" t="s">
        <v>3597</v>
      </c>
    </row>
    <row r="547" spans="1:4" ht="25.5" x14ac:dyDescent="0.25">
      <c r="A547" s="19">
        <v>424210</v>
      </c>
      <c r="B547" s="19" t="s">
        <v>3599</v>
      </c>
      <c r="C547" s="19">
        <v>424210</v>
      </c>
      <c r="D547" s="19" t="s">
        <v>3599</v>
      </c>
    </row>
    <row r="548" spans="1:4" ht="25.5" x14ac:dyDescent="0.25">
      <c r="A548" s="19">
        <v>424310</v>
      </c>
      <c r="B548" s="19" t="s">
        <v>3601</v>
      </c>
      <c r="C548" s="19">
        <v>424310</v>
      </c>
      <c r="D548" s="19" t="s">
        <v>3601</v>
      </c>
    </row>
    <row r="549" spans="1:4" ht="25.5" x14ac:dyDescent="0.25">
      <c r="A549" s="19">
        <v>424320</v>
      </c>
      <c r="B549" s="19" t="s">
        <v>3603</v>
      </c>
      <c r="C549" s="19">
        <v>424320</v>
      </c>
      <c r="D549" s="19" t="s">
        <v>3603</v>
      </c>
    </row>
    <row r="550" spans="1:4" ht="38.25" x14ac:dyDescent="0.25">
      <c r="A550" s="19">
        <v>424330</v>
      </c>
      <c r="B550" s="19" t="s">
        <v>3605</v>
      </c>
      <c r="C550" s="19">
        <v>424330</v>
      </c>
      <c r="D550" s="19" t="s">
        <v>3605</v>
      </c>
    </row>
    <row r="551" spans="1:4" x14ac:dyDescent="0.25">
      <c r="A551" s="19">
        <v>424340</v>
      </c>
      <c r="B551" s="19" t="s">
        <v>3607</v>
      </c>
      <c r="C551" s="19">
        <v>424340</v>
      </c>
      <c r="D551" s="19" t="s">
        <v>3607</v>
      </c>
    </row>
    <row r="552" spans="1:4" ht="25.5" x14ac:dyDescent="0.25">
      <c r="A552" s="19">
        <v>424410</v>
      </c>
      <c r="B552" s="19" t="s">
        <v>3609</v>
      </c>
      <c r="C552" s="19">
        <v>424410</v>
      </c>
      <c r="D552" s="19" t="s">
        <v>3609</v>
      </c>
    </row>
    <row r="553" spans="1:4" ht="25.5" x14ac:dyDescent="0.25">
      <c r="A553" s="19">
        <v>424420</v>
      </c>
      <c r="B553" s="19" t="s">
        <v>3611</v>
      </c>
      <c r="C553" s="19">
        <v>424420</v>
      </c>
      <c r="D553" s="19" t="s">
        <v>3611</v>
      </c>
    </row>
    <row r="554" spans="1:4" ht="25.5" x14ac:dyDescent="0.25">
      <c r="A554" s="19">
        <v>424430</v>
      </c>
      <c r="B554" s="19" t="s">
        <v>3613</v>
      </c>
      <c r="C554" s="19">
        <v>424430</v>
      </c>
      <c r="D554" s="19" t="s">
        <v>3613</v>
      </c>
    </row>
    <row r="555" spans="1:4" ht="25.5" x14ac:dyDescent="0.25">
      <c r="A555" s="19">
        <v>424440</v>
      </c>
      <c r="B555" s="19" t="s">
        <v>3615</v>
      </c>
      <c r="C555" s="19">
        <v>424440</v>
      </c>
      <c r="D555" s="19" t="s">
        <v>3615</v>
      </c>
    </row>
    <row r="556" spans="1:4" x14ac:dyDescent="0.25">
      <c r="A556" s="19">
        <v>424450</v>
      </c>
      <c r="B556" s="19" t="s">
        <v>3617</v>
      </c>
      <c r="C556" s="19">
        <v>424450</v>
      </c>
      <c r="D556" s="19" t="s">
        <v>3617</v>
      </c>
    </row>
    <row r="557" spans="1:4" x14ac:dyDescent="0.25">
      <c r="A557" s="19">
        <v>424460</v>
      </c>
      <c r="B557" s="19" t="s">
        <v>3619</v>
      </c>
      <c r="C557" s="19">
        <v>424460</v>
      </c>
      <c r="D557" s="19" t="s">
        <v>3619</v>
      </c>
    </row>
    <row r="558" spans="1:4" ht="25.5" x14ac:dyDescent="0.25">
      <c r="A558" s="19">
        <v>424470</v>
      </c>
      <c r="B558" s="19" t="s">
        <v>3621</v>
      </c>
      <c r="C558" s="19">
        <v>424470</v>
      </c>
      <c r="D558" s="19" t="s">
        <v>3621</v>
      </c>
    </row>
    <row r="559" spans="1:4" ht="25.5" x14ac:dyDescent="0.25">
      <c r="A559" s="19">
        <v>424480</v>
      </c>
      <c r="B559" s="19" t="s">
        <v>3623</v>
      </c>
      <c r="C559" s="19">
        <v>424480</v>
      </c>
      <c r="D559" s="19" t="s">
        <v>3623</v>
      </c>
    </row>
    <row r="560" spans="1:4" ht="25.5" x14ac:dyDescent="0.25">
      <c r="A560" s="19">
        <v>424490</v>
      </c>
      <c r="B560" s="19" t="s">
        <v>3625</v>
      </c>
      <c r="C560" s="19">
        <v>424490</v>
      </c>
      <c r="D560" s="19" t="s">
        <v>3625</v>
      </c>
    </row>
    <row r="561" spans="1:4" ht="25.5" x14ac:dyDescent="0.25">
      <c r="A561" s="19">
        <v>424510</v>
      </c>
      <c r="B561" s="19" t="s">
        <v>3627</v>
      </c>
      <c r="C561" s="19">
        <v>424510</v>
      </c>
      <c r="D561" s="19" t="s">
        <v>3627</v>
      </c>
    </row>
    <row r="562" spans="1:4" x14ac:dyDescent="0.25">
      <c r="A562" s="19">
        <v>424520</v>
      </c>
      <c r="B562" s="19" t="s">
        <v>3629</v>
      </c>
      <c r="C562" s="19">
        <v>424520</v>
      </c>
      <c r="D562" s="19" t="s">
        <v>3629</v>
      </c>
    </row>
    <row r="563" spans="1:4" ht="25.5" x14ac:dyDescent="0.25">
      <c r="A563" s="19">
        <v>424590</v>
      </c>
      <c r="B563" s="19" t="s">
        <v>3631</v>
      </c>
      <c r="C563" s="19">
        <v>424590</v>
      </c>
      <c r="D563" s="19" t="s">
        <v>3631</v>
      </c>
    </row>
    <row r="564" spans="1:4" ht="25.5" x14ac:dyDescent="0.25">
      <c r="A564" s="19">
        <v>424610</v>
      </c>
      <c r="B564" s="19" t="s">
        <v>3633</v>
      </c>
      <c r="C564" s="19">
        <v>424610</v>
      </c>
      <c r="D564" s="19" t="s">
        <v>3633</v>
      </c>
    </row>
    <row r="565" spans="1:4" ht="25.5" x14ac:dyDescent="0.25">
      <c r="A565" s="19">
        <v>424690</v>
      </c>
      <c r="B565" s="19" t="s">
        <v>678</v>
      </c>
      <c r="C565" s="19">
        <v>424690</v>
      </c>
      <c r="D565" s="19" t="s">
        <v>678</v>
      </c>
    </row>
    <row r="566" spans="1:4" x14ac:dyDescent="0.25">
      <c r="A566" s="19">
        <v>424710</v>
      </c>
      <c r="B566" s="19" t="s">
        <v>3635</v>
      </c>
      <c r="C566" s="19">
        <v>424710</v>
      </c>
      <c r="D566" s="19" t="s">
        <v>3635</v>
      </c>
    </row>
    <row r="567" spans="1:4" ht="38.25" x14ac:dyDescent="0.25">
      <c r="A567" s="19">
        <v>424720</v>
      </c>
      <c r="B567" s="19" t="s">
        <v>3637</v>
      </c>
      <c r="C567" s="19">
        <v>424720</v>
      </c>
      <c r="D567" s="19" t="s">
        <v>3637</v>
      </c>
    </row>
    <row r="568" spans="1:4" x14ac:dyDescent="0.25">
      <c r="A568" s="19">
        <v>424810</v>
      </c>
      <c r="B568" s="19" t="s">
        <v>3639</v>
      </c>
      <c r="C568" s="19">
        <v>424810</v>
      </c>
      <c r="D568" s="19" t="s">
        <v>3639</v>
      </c>
    </row>
    <row r="569" spans="1:4" ht="25.5" x14ac:dyDescent="0.25">
      <c r="A569" s="19">
        <v>424820</v>
      </c>
      <c r="B569" s="19" t="s">
        <v>3640</v>
      </c>
      <c r="C569" s="19">
        <v>424820</v>
      </c>
      <c r="D569" s="19" t="s">
        <v>3640</v>
      </c>
    </row>
    <row r="570" spans="1:4" x14ac:dyDescent="0.25">
      <c r="A570" s="19">
        <v>424910</v>
      </c>
      <c r="B570" s="19" t="s">
        <v>3642</v>
      </c>
      <c r="C570" s="19">
        <v>424910</v>
      </c>
      <c r="D570" s="19" t="s">
        <v>3642</v>
      </c>
    </row>
    <row r="571" spans="1:4" ht="25.5" x14ac:dyDescent="0.25">
      <c r="A571" s="19">
        <v>424920</v>
      </c>
      <c r="B571" s="19" t="s">
        <v>3644</v>
      </c>
      <c r="C571" s="19">
        <v>424920</v>
      </c>
      <c r="D571" s="19" t="s">
        <v>3644</v>
      </c>
    </row>
    <row r="572" spans="1:4" ht="25.5" x14ac:dyDescent="0.25">
      <c r="A572" s="19">
        <v>424930</v>
      </c>
      <c r="B572" s="19" t="s">
        <v>3646</v>
      </c>
      <c r="C572" s="19">
        <v>424930</v>
      </c>
      <c r="D572" s="19" t="s">
        <v>3646</v>
      </c>
    </row>
    <row r="573" spans="1:4" ht="25.5" x14ac:dyDescent="0.25">
      <c r="A573" s="19">
        <v>424940</v>
      </c>
      <c r="B573" s="19" t="s">
        <v>3648</v>
      </c>
      <c r="C573" s="19">
        <v>424940</v>
      </c>
      <c r="D573" s="19" t="s">
        <v>3648</v>
      </c>
    </row>
    <row r="574" spans="1:4" ht="25.5" x14ac:dyDescent="0.25">
      <c r="A574" s="19">
        <v>424950</v>
      </c>
      <c r="B574" s="19" t="s">
        <v>3649</v>
      </c>
      <c r="C574" s="19">
        <v>424950</v>
      </c>
      <c r="D574" s="19" t="s">
        <v>3649</v>
      </c>
    </row>
    <row r="575" spans="1:4" ht="25.5" x14ac:dyDescent="0.25">
      <c r="A575" s="19">
        <v>424990</v>
      </c>
      <c r="B575" s="19" t="s">
        <v>3650</v>
      </c>
      <c r="C575" s="19">
        <v>424990</v>
      </c>
      <c r="D575" s="19" t="s">
        <v>3650</v>
      </c>
    </row>
    <row r="576" spans="1:4" ht="25.5" x14ac:dyDescent="0.25">
      <c r="A576" s="19">
        <v>425110</v>
      </c>
      <c r="B576" s="19" t="s">
        <v>3652</v>
      </c>
      <c r="C576" s="19">
        <v>425110</v>
      </c>
      <c r="D576" s="19" t="s">
        <v>3652</v>
      </c>
    </row>
    <row r="577" spans="1:4" x14ac:dyDescent="0.25">
      <c r="A577" s="19">
        <v>425120</v>
      </c>
      <c r="B577" s="19" t="s">
        <v>3654</v>
      </c>
      <c r="C577" s="19">
        <v>425120</v>
      </c>
      <c r="D577" s="19" t="s">
        <v>3654</v>
      </c>
    </row>
    <row r="578" spans="1:4" x14ac:dyDescent="0.25">
      <c r="A578" s="19">
        <v>441110</v>
      </c>
      <c r="B578" s="19" t="s">
        <v>3655</v>
      </c>
      <c r="C578" s="19">
        <v>441110</v>
      </c>
      <c r="D578" s="19" t="s">
        <v>3655</v>
      </c>
    </row>
    <row r="579" spans="1:4" x14ac:dyDescent="0.25">
      <c r="A579" s="19">
        <v>441120</v>
      </c>
      <c r="B579" s="19" t="s">
        <v>3657</v>
      </c>
      <c r="C579" s="19">
        <v>441120</v>
      </c>
      <c r="D579" s="19" t="s">
        <v>3657</v>
      </c>
    </row>
    <row r="580" spans="1:4" x14ac:dyDescent="0.25">
      <c r="A580" s="19">
        <v>441210</v>
      </c>
      <c r="B580" s="19" t="s">
        <v>3659</v>
      </c>
      <c r="C580" s="19">
        <v>441210</v>
      </c>
      <c r="D580" s="19" t="s">
        <v>3659</v>
      </c>
    </row>
    <row r="581" spans="1:4" x14ac:dyDescent="0.25">
      <c r="A581" s="19">
        <v>441222</v>
      </c>
      <c r="B581" s="19" t="s">
        <v>3661</v>
      </c>
      <c r="C581" s="19">
        <v>441222</v>
      </c>
      <c r="D581" s="19" t="s">
        <v>3661</v>
      </c>
    </row>
    <row r="582" spans="1:4" ht="25.5" x14ac:dyDescent="0.25">
      <c r="A582" s="19">
        <v>441228</v>
      </c>
      <c r="B582" s="19" t="s">
        <v>3663</v>
      </c>
      <c r="C582" s="19">
        <v>441228</v>
      </c>
      <c r="D582" s="19" t="s">
        <v>3663</v>
      </c>
    </row>
    <row r="583" spans="1:4" ht="25.5" x14ac:dyDescent="0.25">
      <c r="A583" s="19">
        <v>441310</v>
      </c>
      <c r="B583" s="19" t="s">
        <v>3664</v>
      </c>
      <c r="C583" s="19">
        <v>441310</v>
      </c>
      <c r="D583" s="19" t="s">
        <v>3664</v>
      </c>
    </row>
    <row r="584" spans="1:4" x14ac:dyDescent="0.25">
      <c r="A584" s="19">
        <v>441320</v>
      </c>
      <c r="B584" s="19" t="s">
        <v>3666</v>
      </c>
      <c r="C584" s="19">
        <v>441320</v>
      </c>
      <c r="D584" s="19" t="s">
        <v>3666</v>
      </c>
    </row>
    <row r="585" spans="1:4" x14ac:dyDescent="0.25">
      <c r="A585" s="19">
        <v>442110</v>
      </c>
      <c r="B585" s="19" t="s">
        <v>3667</v>
      </c>
      <c r="C585" s="19">
        <v>442110</v>
      </c>
      <c r="D585" s="19" t="s">
        <v>3667</v>
      </c>
    </row>
    <row r="586" spans="1:4" x14ac:dyDescent="0.25">
      <c r="A586" s="19">
        <v>442210</v>
      </c>
      <c r="B586" s="19" t="s">
        <v>3669</v>
      </c>
      <c r="C586" s="19">
        <v>442210</v>
      </c>
      <c r="D586" s="19" t="s">
        <v>3669</v>
      </c>
    </row>
    <row r="587" spans="1:4" x14ac:dyDescent="0.25">
      <c r="A587" s="19">
        <v>442291</v>
      </c>
      <c r="B587" s="19" t="s">
        <v>3671</v>
      </c>
      <c r="C587" s="19">
        <v>442291</v>
      </c>
      <c r="D587" s="19" t="s">
        <v>3671</v>
      </c>
    </row>
    <row r="588" spans="1:4" x14ac:dyDescent="0.25">
      <c r="A588" s="19">
        <v>442299</v>
      </c>
      <c r="B588" s="19" t="s">
        <v>3672</v>
      </c>
      <c r="C588" s="19">
        <v>442299</v>
      </c>
      <c r="D588" s="19" t="s">
        <v>3672</v>
      </c>
    </row>
    <row r="589" spans="1:4" x14ac:dyDescent="0.25">
      <c r="A589" s="19">
        <v>443141</v>
      </c>
      <c r="B589" s="19" t="s">
        <v>3674</v>
      </c>
      <c r="C589" s="19">
        <v>443141</v>
      </c>
      <c r="D589" s="19" t="s">
        <v>3674</v>
      </c>
    </row>
    <row r="590" spans="1:4" x14ac:dyDescent="0.25">
      <c r="A590" s="19">
        <v>443142</v>
      </c>
      <c r="B590" s="19" t="s">
        <v>3676</v>
      </c>
      <c r="C590" s="19">
        <v>443142</v>
      </c>
      <c r="D590" s="19" t="s">
        <v>3676</v>
      </c>
    </row>
    <row r="591" spans="1:4" x14ac:dyDescent="0.25">
      <c r="A591" s="19">
        <v>444110</v>
      </c>
      <c r="B591" s="19" t="s">
        <v>3678</v>
      </c>
      <c r="C591" s="19">
        <v>444110</v>
      </c>
      <c r="D591" s="19" t="s">
        <v>3678</v>
      </c>
    </row>
    <row r="592" spans="1:4" x14ac:dyDescent="0.25">
      <c r="A592" s="19">
        <v>444120</v>
      </c>
      <c r="B592" s="19" t="s">
        <v>3680</v>
      </c>
      <c r="C592" s="19">
        <v>444120</v>
      </c>
      <c r="D592" s="19" t="s">
        <v>3680</v>
      </c>
    </row>
    <row r="593" spans="1:4" x14ac:dyDescent="0.25">
      <c r="A593" s="19">
        <v>444130</v>
      </c>
      <c r="B593" s="19" t="s">
        <v>3681</v>
      </c>
      <c r="C593" s="19">
        <v>444130</v>
      </c>
      <c r="D593" s="19" t="s">
        <v>3681</v>
      </c>
    </row>
    <row r="594" spans="1:4" x14ac:dyDescent="0.25">
      <c r="A594" s="19">
        <v>444190</v>
      </c>
      <c r="B594" s="19" t="s">
        <v>3683</v>
      </c>
      <c r="C594" s="19">
        <v>444190</v>
      </c>
      <c r="D594" s="19" t="s">
        <v>3683</v>
      </c>
    </row>
    <row r="595" spans="1:4" x14ac:dyDescent="0.25">
      <c r="A595" s="19">
        <v>444210</v>
      </c>
      <c r="B595" s="19" t="s">
        <v>3685</v>
      </c>
      <c r="C595" s="19">
        <v>444210</v>
      </c>
      <c r="D595" s="19" t="s">
        <v>3685</v>
      </c>
    </row>
    <row r="596" spans="1:4" ht="25.5" x14ac:dyDescent="0.25">
      <c r="A596" s="19">
        <v>444220</v>
      </c>
      <c r="B596" s="19" t="s">
        <v>3687</v>
      </c>
      <c r="C596" s="19">
        <v>444220</v>
      </c>
      <c r="D596" s="19" t="s">
        <v>3687</v>
      </c>
    </row>
    <row r="597" spans="1:4" ht="25.5" x14ac:dyDescent="0.25">
      <c r="A597" s="19">
        <v>445110</v>
      </c>
      <c r="B597" s="19" t="s">
        <v>3689</v>
      </c>
      <c r="C597" s="19">
        <v>445110</v>
      </c>
      <c r="D597" s="19" t="s">
        <v>3689</v>
      </c>
    </row>
    <row r="598" spans="1:4" x14ac:dyDescent="0.25">
      <c r="A598" s="19">
        <v>445120</v>
      </c>
      <c r="B598" s="19" t="s">
        <v>3691</v>
      </c>
      <c r="C598" s="19">
        <v>445120</v>
      </c>
      <c r="D598" s="19" t="s">
        <v>3691</v>
      </c>
    </row>
    <row r="599" spans="1:4" x14ac:dyDescent="0.25">
      <c r="A599" s="19">
        <v>445210</v>
      </c>
      <c r="B599" s="19" t="s">
        <v>3693</v>
      </c>
      <c r="C599" s="19">
        <v>445210</v>
      </c>
      <c r="D599" s="19" t="s">
        <v>3693</v>
      </c>
    </row>
    <row r="600" spans="1:4" x14ac:dyDescent="0.25">
      <c r="A600" s="19">
        <v>445220</v>
      </c>
      <c r="B600" s="19" t="s">
        <v>3695</v>
      </c>
      <c r="C600" s="19">
        <v>445220</v>
      </c>
      <c r="D600" s="19" t="s">
        <v>3695</v>
      </c>
    </row>
    <row r="601" spans="1:4" x14ac:dyDescent="0.25">
      <c r="A601" s="19">
        <v>445230</v>
      </c>
      <c r="B601" s="19" t="s">
        <v>3697</v>
      </c>
      <c r="C601" s="19">
        <v>445230</v>
      </c>
      <c r="D601" s="19" t="s">
        <v>3697</v>
      </c>
    </row>
    <row r="602" spans="1:4" x14ac:dyDescent="0.25">
      <c r="A602" s="19">
        <v>445291</v>
      </c>
      <c r="B602" s="19" t="s">
        <v>3699</v>
      </c>
      <c r="C602" s="19">
        <v>445291</v>
      </c>
      <c r="D602" s="19" t="s">
        <v>3699</v>
      </c>
    </row>
    <row r="603" spans="1:4" x14ac:dyDescent="0.25">
      <c r="A603" s="19">
        <v>445292</v>
      </c>
      <c r="B603" s="19" t="s">
        <v>3700</v>
      </c>
      <c r="C603" s="19">
        <v>445292</v>
      </c>
      <c r="D603" s="19" t="s">
        <v>3700</v>
      </c>
    </row>
    <row r="604" spans="1:4" x14ac:dyDescent="0.25">
      <c r="A604" s="19">
        <v>445299</v>
      </c>
      <c r="B604" s="19" t="s">
        <v>3702</v>
      </c>
      <c r="C604" s="19">
        <v>445299</v>
      </c>
      <c r="D604" s="19" t="s">
        <v>3702</v>
      </c>
    </row>
    <row r="605" spans="1:4" x14ac:dyDescent="0.25">
      <c r="A605" s="19">
        <v>445310</v>
      </c>
      <c r="B605" s="19" t="s">
        <v>3704</v>
      </c>
      <c r="C605" s="19">
        <v>445310</v>
      </c>
      <c r="D605" s="19" t="s">
        <v>3704</v>
      </c>
    </row>
    <row r="606" spans="1:4" x14ac:dyDescent="0.25">
      <c r="A606" s="19">
        <v>446110</v>
      </c>
      <c r="B606" s="19" t="s">
        <v>3706</v>
      </c>
      <c r="C606" s="19">
        <v>446110</v>
      </c>
      <c r="D606" s="19" t="s">
        <v>3706</v>
      </c>
    </row>
    <row r="607" spans="1:4" ht="25.5" x14ac:dyDescent="0.25">
      <c r="A607" s="19">
        <v>446120</v>
      </c>
      <c r="B607" s="19" t="s">
        <v>3708</v>
      </c>
      <c r="C607" s="19">
        <v>446120</v>
      </c>
      <c r="D607" s="19" t="s">
        <v>3708</v>
      </c>
    </row>
    <row r="608" spans="1:4" x14ac:dyDescent="0.25">
      <c r="A608" s="19">
        <v>446130</v>
      </c>
      <c r="B608" s="19" t="s">
        <v>3709</v>
      </c>
      <c r="C608" s="19">
        <v>446130</v>
      </c>
      <c r="D608" s="19" t="s">
        <v>3709</v>
      </c>
    </row>
    <row r="609" spans="1:4" x14ac:dyDescent="0.25">
      <c r="A609" s="19">
        <v>446191</v>
      </c>
      <c r="B609" s="19" t="s">
        <v>3711</v>
      </c>
      <c r="C609" s="19">
        <v>446191</v>
      </c>
      <c r="D609" s="19" t="s">
        <v>3711</v>
      </c>
    </row>
    <row r="610" spans="1:4" ht="25.5" x14ac:dyDescent="0.25">
      <c r="A610" s="19">
        <v>446199</v>
      </c>
      <c r="B610" s="19" t="s">
        <v>3713</v>
      </c>
      <c r="C610" s="19">
        <v>446199</v>
      </c>
      <c r="D610" s="19" t="s">
        <v>3713</v>
      </c>
    </row>
    <row r="611" spans="1:4" ht="25.5" x14ac:dyDescent="0.25">
      <c r="A611" s="19">
        <v>447110</v>
      </c>
      <c r="B611" s="19" t="s">
        <v>3715</v>
      </c>
      <c r="C611" s="19">
        <v>447110</v>
      </c>
      <c r="D611" s="19" t="s">
        <v>3715</v>
      </c>
    </row>
    <row r="612" spans="1:4" x14ac:dyDescent="0.25">
      <c r="A612" s="19">
        <v>447190</v>
      </c>
      <c r="B612" s="19" t="s">
        <v>3716</v>
      </c>
      <c r="C612" s="19">
        <v>447190</v>
      </c>
      <c r="D612" s="19" t="s">
        <v>3716</v>
      </c>
    </row>
    <row r="613" spans="1:4" x14ac:dyDescent="0.25">
      <c r="A613" s="19">
        <v>448110</v>
      </c>
      <c r="B613" s="19" t="s">
        <v>3718</v>
      </c>
      <c r="C613" s="19">
        <v>448110</v>
      </c>
      <c r="D613" s="19" t="s">
        <v>3718</v>
      </c>
    </row>
    <row r="614" spans="1:4" x14ac:dyDescent="0.25">
      <c r="A614" s="19">
        <v>448120</v>
      </c>
      <c r="B614" s="19" t="s">
        <v>3720</v>
      </c>
      <c r="C614" s="19">
        <v>448120</v>
      </c>
      <c r="D614" s="19" t="s">
        <v>3720</v>
      </c>
    </row>
    <row r="615" spans="1:4" x14ac:dyDescent="0.25">
      <c r="A615" s="19">
        <v>448130</v>
      </c>
      <c r="B615" s="19" t="s">
        <v>3722</v>
      </c>
      <c r="C615" s="19">
        <v>448130</v>
      </c>
      <c r="D615" s="19" t="s">
        <v>3722</v>
      </c>
    </row>
    <row r="616" spans="1:4" x14ac:dyDescent="0.25">
      <c r="A616" s="19">
        <v>448140</v>
      </c>
      <c r="B616" s="19" t="s">
        <v>3724</v>
      </c>
      <c r="C616" s="19">
        <v>448140</v>
      </c>
      <c r="D616" s="19" t="s">
        <v>3724</v>
      </c>
    </row>
    <row r="617" spans="1:4" x14ac:dyDescent="0.25">
      <c r="A617" s="19">
        <v>448150</v>
      </c>
      <c r="B617" s="19" t="s">
        <v>3726</v>
      </c>
      <c r="C617" s="19">
        <v>448150</v>
      </c>
      <c r="D617" s="19" t="s">
        <v>3726</v>
      </c>
    </row>
    <row r="618" spans="1:4" x14ac:dyDescent="0.25">
      <c r="A618" s="19">
        <v>448190</v>
      </c>
      <c r="B618" s="19" t="s">
        <v>3728</v>
      </c>
      <c r="C618" s="19">
        <v>448190</v>
      </c>
      <c r="D618" s="19" t="s">
        <v>3728</v>
      </c>
    </row>
    <row r="619" spans="1:4" x14ac:dyDescent="0.25">
      <c r="A619" s="19">
        <v>448210</v>
      </c>
      <c r="B619" s="19" t="s">
        <v>3730</v>
      </c>
      <c r="C619" s="19">
        <v>448210</v>
      </c>
      <c r="D619" s="19" t="s">
        <v>3730</v>
      </c>
    </row>
    <row r="620" spans="1:4" x14ac:dyDescent="0.25">
      <c r="A620" s="19">
        <v>448310</v>
      </c>
      <c r="B620" s="19" t="s">
        <v>3732</v>
      </c>
      <c r="C620" s="19">
        <v>448310</v>
      </c>
      <c r="D620" s="19" t="s">
        <v>3732</v>
      </c>
    </row>
    <row r="621" spans="1:4" x14ac:dyDescent="0.25">
      <c r="A621" s="19">
        <v>448320</v>
      </c>
      <c r="B621" s="19" t="s">
        <v>3734</v>
      </c>
      <c r="C621" s="19">
        <v>448320</v>
      </c>
      <c r="D621" s="19" t="s">
        <v>3734</v>
      </c>
    </row>
    <row r="622" spans="1:4" x14ac:dyDescent="0.25">
      <c r="A622" s="19">
        <v>451110</v>
      </c>
      <c r="B622" s="19" t="s">
        <v>3736</v>
      </c>
      <c r="C622" s="19">
        <v>451110</v>
      </c>
      <c r="D622" s="19" t="s">
        <v>3736</v>
      </c>
    </row>
    <row r="623" spans="1:4" x14ac:dyDescent="0.25">
      <c r="A623" s="19">
        <v>451120</v>
      </c>
      <c r="B623" s="19" t="s">
        <v>3738</v>
      </c>
      <c r="C623" s="19">
        <v>451120</v>
      </c>
      <c r="D623" s="19" t="s">
        <v>3738</v>
      </c>
    </row>
    <row r="624" spans="1:4" ht="25.5" x14ac:dyDescent="0.25">
      <c r="A624" s="19">
        <v>451130</v>
      </c>
      <c r="B624" s="19" t="s">
        <v>3740</v>
      </c>
      <c r="C624" s="19">
        <v>451130</v>
      </c>
      <c r="D624" s="19" t="s">
        <v>3740</v>
      </c>
    </row>
    <row r="625" spans="1:4" x14ac:dyDescent="0.25">
      <c r="A625" s="19">
        <v>451140</v>
      </c>
      <c r="B625" s="19" t="s">
        <v>3742</v>
      </c>
      <c r="C625" s="19">
        <v>451140</v>
      </c>
      <c r="D625" s="19" t="s">
        <v>3742</v>
      </c>
    </row>
    <row r="626" spans="1:4" x14ac:dyDescent="0.25">
      <c r="A626" s="19">
        <v>451211</v>
      </c>
      <c r="B626" s="19" t="s">
        <v>3744</v>
      </c>
      <c r="C626" s="19">
        <v>451211</v>
      </c>
      <c r="D626" s="19" t="s">
        <v>3744</v>
      </c>
    </row>
    <row r="627" spans="1:4" x14ac:dyDescent="0.25">
      <c r="A627" s="19">
        <v>451212</v>
      </c>
      <c r="B627" s="19" t="s">
        <v>3746</v>
      </c>
      <c r="C627" s="19">
        <v>451212</v>
      </c>
      <c r="D627" s="19" t="s">
        <v>3746</v>
      </c>
    </row>
    <row r="628" spans="1:4" ht="25.5" x14ac:dyDescent="0.25">
      <c r="A628" s="19">
        <v>452111</v>
      </c>
      <c r="B628" s="19" t="s">
        <v>5977</v>
      </c>
      <c r="C628" s="20">
        <v>452210</v>
      </c>
      <c r="D628" s="19" t="s">
        <v>3748</v>
      </c>
    </row>
    <row r="629" spans="1:4" ht="25.5" x14ac:dyDescent="0.25">
      <c r="A629" s="21">
        <v>452112</v>
      </c>
      <c r="B629" s="19" t="s">
        <v>6128</v>
      </c>
      <c r="C629" s="20">
        <v>452210</v>
      </c>
      <c r="D629" s="19" t="s">
        <v>3748</v>
      </c>
    </row>
    <row r="630" spans="1:4" ht="25.5" x14ac:dyDescent="0.25">
      <c r="A630" s="21">
        <v>452112</v>
      </c>
      <c r="B630" s="19" t="s">
        <v>6129</v>
      </c>
      <c r="C630" s="20">
        <v>452311</v>
      </c>
      <c r="D630" s="19" t="s">
        <v>3750</v>
      </c>
    </row>
    <row r="631" spans="1:4" x14ac:dyDescent="0.25">
      <c r="A631" s="19">
        <v>452910</v>
      </c>
      <c r="B631" s="19" t="s">
        <v>3750</v>
      </c>
      <c r="C631" s="20">
        <v>452311</v>
      </c>
      <c r="D631" s="19" t="s">
        <v>3750</v>
      </c>
    </row>
    <row r="632" spans="1:4" x14ac:dyDescent="0.25">
      <c r="A632" s="19">
        <v>452990</v>
      </c>
      <c r="B632" s="19" t="s">
        <v>3752</v>
      </c>
      <c r="C632" s="19">
        <v>452319</v>
      </c>
      <c r="D632" s="19" t="s">
        <v>3752</v>
      </c>
    </row>
    <row r="633" spans="1:4" x14ac:dyDescent="0.25">
      <c r="A633" s="19">
        <v>453110</v>
      </c>
      <c r="B633" s="19" t="s">
        <v>3754</v>
      </c>
      <c r="C633" s="19">
        <v>453110</v>
      </c>
      <c r="D633" s="19" t="s">
        <v>3754</v>
      </c>
    </row>
    <row r="634" spans="1:4" x14ac:dyDescent="0.25">
      <c r="A634" s="19">
        <v>453210</v>
      </c>
      <c r="B634" s="19" t="s">
        <v>3756</v>
      </c>
      <c r="C634" s="19">
        <v>453210</v>
      </c>
      <c r="D634" s="19" t="s">
        <v>3756</v>
      </c>
    </row>
    <row r="635" spans="1:4" x14ac:dyDescent="0.25">
      <c r="A635" s="19">
        <v>453220</v>
      </c>
      <c r="B635" s="19" t="s">
        <v>3758</v>
      </c>
      <c r="C635" s="19">
        <v>453220</v>
      </c>
      <c r="D635" s="19" t="s">
        <v>3758</v>
      </c>
    </row>
    <row r="636" spans="1:4" x14ac:dyDescent="0.25">
      <c r="A636" s="19">
        <v>453310</v>
      </c>
      <c r="B636" s="19" t="s">
        <v>3760</v>
      </c>
      <c r="C636" s="19">
        <v>453310</v>
      </c>
      <c r="D636" s="19" t="s">
        <v>3760</v>
      </c>
    </row>
    <row r="637" spans="1:4" x14ac:dyDescent="0.25">
      <c r="A637" s="19">
        <v>453910</v>
      </c>
      <c r="B637" s="19" t="s">
        <v>3762</v>
      </c>
      <c r="C637" s="19">
        <v>453910</v>
      </c>
      <c r="D637" s="19" t="s">
        <v>3762</v>
      </c>
    </row>
    <row r="638" spans="1:4" x14ac:dyDescent="0.25">
      <c r="A638" s="19">
        <v>453920</v>
      </c>
      <c r="B638" s="19" t="s">
        <v>3764</v>
      </c>
      <c r="C638" s="19">
        <v>453920</v>
      </c>
      <c r="D638" s="19" t="s">
        <v>3764</v>
      </c>
    </row>
    <row r="639" spans="1:4" x14ac:dyDescent="0.25">
      <c r="A639" s="19">
        <v>453930</v>
      </c>
      <c r="B639" s="19" t="s">
        <v>3766</v>
      </c>
      <c r="C639" s="19">
        <v>453930</v>
      </c>
      <c r="D639" s="19" t="s">
        <v>3766</v>
      </c>
    </row>
    <row r="640" spans="1:4" x14ac:dyDescent="0.25">
      <c r="A640" s="19">
        <v>453991</v>
      </c>
      <c r="B640" s="19" t="s">
        <v>3768</v>
      </c>
      <c r="C640" s="19">
        <v>453991</v>
      </c>
      <c r="D640" s="19" t="s">
        <v>3768</v>
      </c>
    </row>
    <row r="641" spans="1:4" ht="25.5" x14ac:dyDescent="0.25">
      <c r="A641" s="19">
        <v>453998</v>
      </c>
      <c r="B641" s="19" t="s">
        <v>5969</v>
      </c>
      <c r="C641" s="19">
        <v>453998</v>
      </c>
      <c r="D641" s="19" t="s">
        <v>5969</v>
      </c>
    </row>
    <row r="642" spans="1:4" ht="25.5" x14ac:dyDescent="0.25">
      <c r="A642" s="19">
        <v>454111</v>
      </c>
      <c r="B642" s="19" t="s">
        <v>5984</v>
      </c>
      <c r="C642" s="20">
        <v>454110</v>
      </c>
      <c r="D642" s="19" t="s">
        <v>3776</v>
      </c>
    </row>
    <row r="643" spans="1:4" ht="25.5" x14ac:dyDescent="0.25">
      <c r="A643" s="19">
        <v>454112</v>
      </c>
      <c r="B643" s="19" t="s">
        <v>5985</v>
      </c>
      <c r="C643" s="20">
        <v>454110</v>
      </c>
      <c r="D643" s="19" t="s">
        <v>3776</v>
      </c>
    </row>
    <row r="644" spans="1:4" ht="25.5" x14ac:dyDescent="0.25">
      <c r="A644" s="19">
        <v>454113</v>
      </c>
      <c r="B644" s="19" t="s">
        <v>5986</v>
      </c>
      <c r="C644" s="20">
        <v>454110</v>
      </c>
      <c r="D644" s="19" t="s">
        <v>3776</v>
      </c>
    </row>
    <row r="645" spans="1:4" x14ac:dyDescent="0.25">
      <c r="A645" s="19">
        <v>454210</v>
      </c>
      <c r="B645" s="19" t="s">
        <v>3819</v>
      </c>
      <c r="C645" s="19">
        <v>454210</v>
      </c>
      <c r="D645" s="19" t="s">
        <v>3819</v>
      </c>
    </row>
    <row r="646" spans="1:4" x14ac:dyDescent="0.25">
      <c r="A646" s="19">
        <v>454310</v>
      </c>
      <c r="B646" s="19" t="s">
        <v>3821</v>
      </c>
      <c r="C646" s="19">
        <v>454310</v>
      </c>
      <c r="D646" s="19" t="s">
        <v>3821</v>
      </c>
    </row>
    <row r="647" spans="1:4" x14ac:dyDescent="0.25">
      <c r="A647" s="19">
        <v>454390</v>
      </c>
      <c r="B647" s="19" t="s">
        <v>3823</v>
      </c>
      <c r="C647" s="19">
        <v>454390</v>
      </c>
      <c r="D647" s="19" t="s">
        <v>3823</v>
      </c>
    </row>
    <row r="648" spans="1:4" x14ac:dyDescent="0.25">
      <c r="A648" s="19">
        <v>481111</v>
      </c>
      <c r="B648" s="19" t="s">
        <v>3862</v>
      </c>
      <c r="C648" s="19">
        <v>481111</v>
      </c>
      <c r="D648" s="19" t="s">
        <v>3862</v>
      </c>
    </row>
    <row r="649" spans="1:4" x14ac:dyDescent="0.25">
      <c r="A649" s="19">
        <v>481112</v>
      </c>
      <c r="B649" s="19" t="s">
        <v>3864</v>
      </c>
      <c r="C649" s="19">
        <v>481112</v>
      </c>
      <c r="D649" s="19" t="s">
        <v>3864</v>
      </c>
    </row>
    <row r="650" spans="1:4" ht="25.5" x14ac:dyDescent="0.25">
      <c r="A650" s="19">
        <v>481211</v>
      </c>
      <c r="B650" s="19" t="s">
        <v>3866</v>
      </c>
      <c r="C650" s="19">
        <v>481211</v>
      </c>
      <c r="D650" s="19" t="s">
        <v>3866</v>
      </c>
    </row>
    <row r="651" spans="1:4" ht="25.5" x14ac:dyDescent="0.25">
      <c r="A651" s="19">
        <v>481212</v>
      </c>
      <c r="B651" s="19" t="s">
        <v>3868</v>
      </c>
      <c r="C651" s="19">
        <v>481212</v>
      </c>
      <c r="D651" s="19" t="s">
        <v>3868</v>
      </c>
    </row>
    <row r="652" spans="1:4" x14ac:dyDescent="0.25">
      <c r="A652" s="19">
        <v>481219</v>
      </c>
      <c r="B652" s="19" t="s">
        <v>3870</v>
      </c>
      <c r="C652" s="19">
        <v>481219</v>
      </c>
      <c r="D652" s="19" t="s">
        <v>3870</v>
      </c>
    </row>
    <row r="653" spans="1:4" x14ac:dyDescent="0.25">
      <c r="A653" s="19">
        <v>482111</v>
      </c>
      <c r="B653" s="19" t="s">
        <v>3872</v>
      </c>
      <c r="C653" s="19">
        <v>482111</v>
      </c>
      <c r="D653" s="19" t="s">
        <v>3872</v>
      </c>
    </row>
    <row r="654" spans="1:4" x14ac:dyDescent="0.25">
      <c r="A654" s="19">
        <v>482112</v>
      </c>
      <c r="B654" s="19" t="s">
        <v>3874</v>
      </c>
      <c r="C654" s="19">
        <v>482112</v>
      </c>
      <c r="D654" s="19" t="s">
        <v>3874</v>
      </c>
    </row>
    <row r="655" spans="1:4" x14ac:dyDescent="0.25">
      <c r="A655" s="19">
        <v>483111</v>
      </c>
      <c r="B655" s="19" t="s">
        <v>3875</v>
      </c>
      <c r="C655" s="19">
        <v>483111</v>
      </c>
      <c r="D655" s="19" t="s">
        <v>3875</v>
      </c>
    </row>
    <row r="656" spans="1:4" x14ac:dyDescent="0.25">
      <c r="A656" s="19">
        <v>483112</v>
      </c>
      <c r="B656" s="19" t="s">
        <v>3877</v>
      </c>
      <c r="C656" s="19">
        <v>483112</v>
      </c>
      <c r="D656" s="19" t="s">
        <v>3877</v>
      </c>
    </row>
    <row r="657" spans="1:4" ht="25.5" x14ac:dyDescent="0.25">
      <c r="A657" s="19">
        <v>483113</v>
      </c>
      <c r="B657" s="19" t="s">
        <v>3879</v>
      </c>
      <c r="C657" s="19">
        <v>483113</v>
      </c>
      <c r="D657" s="19" t="s">
        <v>3879</v>
      </c>
    </row>
    <row r="658" spans="1:4" ht="25.5" x14ac:dyDescent="0.25">
      <c r="A658" s="19">
        <v>483114</v>
      </c>
      <c r="B658" s="19" t="s">
        <v>3881</v>
      </c>
      <c r="C658" s="19">
        <v>483114</v>
      </c>
      <c r="D658" s="19" t="s">
        <v>3881</v>
      </c>
    </row>
    <row r="659" spans="1:4" x14ac:dyDescent="0.25">
      <c r="A659" s="19">
        <v>483211</v>
      </c>
      <c r="B659" s="19" t="s">
        <v>3883</v>
      </c>
      <c r="C659" s="19">
        <v>483211</v>
      </c>
      <c r="D659" s="19" t="s">
        <v>3883</v>
      </c>
    </row>
    <row r="660" spans="1:4" x14ac:dyDescent="0.25">
      <c r="A660" s="19">
        <v>483212</v>
      </c>
      <c r="B660" s="19" t="s">
        <v>3885</v>
      </c>
      <c r="C660" s="19">
        <v>483212</v>
      </c>
      <c r="D660" s="19" t="s">
        <v>3885</v>
      </c>
    </row>
    <row r="661" spans="1:4" x14ac:dyDescent="0.25">
      <c r="A661" s="19">
        <v>484110</v>
      </c>
      <c r="B661" s="19" t="s">
        <v>3887</v>
      </c>
      <c r="C661" s="19">
        <v>484110</v>
      </c>
      <c r="D661" s="19" t="s">
        <v>3887</v>
      </c>
    </row>
    <row r="662" spans="1:4" ht="25.5" x14ac:dyDescent="0.25">
      <c r="A662" s="19">
        <v>484121</v>
      </c>
      <c r="B662" s="19" t="s">
        <v>3889</v>
      </c>
      <c r="C662" s="19">
        <v>484121</v>
      </c>
      <c r="D662" s="19" t="s">
        <v>3889</v>
      </c>
    </row>
    <row r="663" spans="1:4" ht="25.5" x14ac:dyDescent="0.25">
      <c r="A663" s="19">
        <v>484122</v>
      </c>
      <c r="B663" s="19" t="s">
        <v>3891</v>
      </c>
      <c r="C663" s="19">
        <v>484122</v>
      </c>
      <c r="D663" s="19" t="s">
        <v>3891</v>
      </c>
    </row>
    <row r="664" spans="1:4" ht="25.5" x14ac:dyDescent="0.25">
      <c r="A664" s="19">
        <v>484210</v>
      </c>
      <c r="B664" s="19" t="s">
        <v>3893</v>
      </c>
      <c r="C664" s="19">
        <v>484210</v>
      </c>
      <c r="D664" s="19" t="s">
        <v>3893</v>
      </c>
    </row>
    <row r="665" spans="1:4" ht="25.5" x14ac:dyDescent="0.25">
      <c r="A665" s="19">
        <v>484220</v>
      </c>
      <c r="B665" s="19" t="s">
        <v>3895</v>
      </c>
      <c r="C665" s="19">
        <v>484220</v>
      </c>
      <c r="D665" s="19" t="s">
        <v>3895</v>
      </c>
    </row>
    <row r="666" spans="1:4" ht="25.5" x14ac:dyDescent="0.25">
      <c r="A666" s="19">
        <v>484230</v>
      </c>
      <c r="B666" s="19" t="s">
        <v>3897</v>
      </c>
      <c r="C666" s="19">
        <v>484230</v>
      </c>
      <c r="D666" s="19" t="s">
        <v>3897</v>
      </c>
    </row>
    <row r="667" spans="1:4" x14ac:dyDescent="0.25">
      <c r="A667" s="19">
        <v>485111</v>
      </c>
      <c r="B667" s="19" t="s">
        <v>3899</v>
      </c>
      <c r="C667" s="19">
        <v>485111</v>
      </c>
      <c r="D667" s="19" t="s">
        <v>3899</v>
      </c>
    </row>
    <row r="668" spans="1:4" x14ac:dyDescent="0.25">
      <c r="A668" s="19">
        <v>485112</v>
      </c>
      <c r="B668" s="19" t="s">
        <v>3901</v>
      </c>
      <c r="C668" s="19">
        <v>485112</v>
      </c>
      <c r="D668" s="19" t="s">
        <v>3901</v>
      </c>
    </row>
    <row r="669" spans="1:4" ht="25.5" x14ac:dyDescent="0.25">
      <c r="A669" s="19">
        <v>485113</v>
      </c>
      <c r="B669" s="19" t="s">
        <v>3903</v>
      </c>
      <c r="C669" s="19">
        <v>485113</v>
      </c>
      <c r="D669" s="19" t="s">
        <v>3903</v>
      </c>
    </row>
    <row r="670" spans="1:4" x14ac:dyDescent="0.25">
      <c r="A670" s="19">
        <v>485119</v>
      </c>
      <c r="B670" s="19" t="s">
        <v>3905</v>
      </c>
      <c r="C670" s="19">
        <v>485119</v>
      </c>
      <c r="D670" s="19" t="s">
        <v>3905</v>
      </c>
    </row>
    <row r="671" spans="1:4" x14ac:dyDescent="0.25">
      <c r="A671" s="19">
        <v>485210</v>
      </c>
      <c r="B671" s="19" t="s">
        <v>3907</v>
      </c>
      <c r="C671" s="19">
        <v>485210</v>
      </c>
      <c r="D671" s="19" t="s">
        <v>3907</v>
      </c>
    </row>
    <row r="672" spans="1:4" x14ac:dyDescent="0.25">
      <c r="A672" s="19">
        <v>485310</v>
      </c>
      <c r="B672" s="19" t="s">
        <v>3909</v>
      </c>
      <c r="C672" s="19">
        <v>485310</v>
      </c>
      <c r="D672" s="19" t="s">
        <v>3909</v>
      </c>
    </row>
    <row r="673" spans="1:4" x14ac:dyDescent="0.25">
      <c r="A673" s="19">
        <v>485320</v>
      </c>
      <c r="B673" s="19" t="s">
        <v>3911</v>
      </c>
      <c r="C673" s="19">
        <v>485320</v>
      </c>
      <c r="D673" s="19" t="s">
        <v>3911</v>
      </c>
    </row>
    <row r="674" spans="1:4" ht="25.5" x14ac:dyDescent="0.25">
      <c r="A674" s="19">
        <v>485410</v>
      </c>
      <c r="B674" s="19" t="s">
        <v>3913</v>
      </c>
      <c r="C674" s="19">
        <v>485410</v>
      </c>
      <c r="D674" s="19" t="s">
        <v>3913</v>
      </c>
    </row>
    <row r="675" spans="1:4" x14ac:dyDescent="0.25">
      <c r="A675" s="19">
        <v>485510</v>
      </c>
      <c r="B675" s="19" t="s">
        <v>3915</v>
      </c>
      <c r="C675" s="19">
        <v>485510</v>
      </c>
      <c r="D675" s="19" t="s">
        <v>3915</v>
      </c>
    </row>
    <row r="676" spans="1:4" x14ac:dyDescent="0.25">
      <c r="A676" s="19">
        <v>485991</v>
      </c>
      <c r="B676" s="19" t="s">
        <v>3917</v>
      </c>
      <c r="C676" s="19">
        <v>485991</v>
      </c>
      <c r="D676" s="19" t="s">
        <v>3917</v>
      </c>
    </row>
    <row r="677" spans="1:4" ht="25.5" x14ac:dyDescent="0.25">
      <c r="A677" s="19">
        <v>485999</v>
      </c>
      <c r="B677" s="19" t="s">
        <v>3919</v>
      </c>
      <c r="C677" s="19">
        <v>485999</v>
      </c>
      <c r="D677" s="19" t="s">
        <v>3919</v>
      </c>
    </row>
    <row r="678" spans="1:4" x14ac:dyDescent="0.25">
      <c r="A678" s="19">
        <v>486110</v>
      </c>
      <c r="B678" s="19" t="s">
        <v>3921</v>
      </c>
      <c r="C678" s="19">
        <v>486110</v>
      </c>
      <c r="D678" s="19" t="s">
        <v>3921</v>
      </c>
    </row>
    <row r="679" spans="1:4" x14ac:dyDescent="0.25">
      <c r="A679" s="19">
        <v>486210</v>
      </c>
      <c r="B679" s="19" t="s">
        <v>3923</v>
      </c>
      <c r="C679" s="19">
        <v>486210</v>
      </c>
      <c r="D679" s="19" t="s">
        <v>3923</v>
      </c>
    </row>
    <row r="680" spans="1:4" ht="25.5" x14ac:dyDescent="0.25">
      <c r="A680" s="19">
        <v>486910</v>
      </c>
      <c r="B680" s="19" t="s">
        <v>3925</v>
      </c>
      <c r="C680" s="19">
        <v>486910</v>
      </c>
      <c r="D680" s="19" t="s">
        <v>3925</v>
      </c>
    </row>
    <row r="681" spans="1:4" x14ac:dyDescent="0.25">
      <c r="A681" s="19">
        <v>486990</v>
      </c>
      <c r="B681" s="19" t="s">
        <v>3927</v>
      </c>
      <c r="C681" s="19">
        <v>486990</v>
      </c>
      <c r="D681" s="19" t="s">
        <v>3927</v>
      </c>
    </row>
    <row r="682" spans="1:4" ht="25.5" x14ac:dyDescent="0.25">
      <c r="A682" s="19">
        <v>487110</v>
      </c>
      <c r="B682" s="19" t="s">
        <v>3929</v>
      </c>
      <c r="C682" s="19">
        <v>487110</v>
      </c>
      <c r="D682" s="19" t="s">
        <v>3929</v>
      </c>
    </row>
    <row r="683" spans="1:4" ht="25.5" x14ac:dyDescent="0.25">
      <c r="A683" s="19">
        <v>487210</v>
      </c>
      <c r="B683" s="19" t="s">
        <v>3931</v>
      </c>
      <c r="C683" s="19">
        <v>487210</v>
      </c>
      <c r="D683" s="19" t="s">
        <v>3931</v>
      </c>
    </row>
    <row r="684" spans="1:4" ht="25.5" x14ac:dyDescent="0.25">
      <c r="A684" s="19">
        <v>487990</v>
      </c>
      <c r="B684" s="19" t="s">
        <v>3933</v>
      </c>
      <c r="C684" s="19">
        <v>487990</v>
      </c>
      <c r="D684" s="19" t="s">
        <v>3933</v>
      </c>
    </row>
    <row r="685" spans="1:4" x14ac:dyDescent="0.25">
      <c r="A685" s="19">
        <v>488111</v>
      </c>
      <c r="B685" s="19" t="s">
        <v>3935</v>
      </c>
      <c r="C685" s="19">
        <v>488111</v>
      </c>
      <c r="D685" s="19" t="s">
        <v>3935</v>
      </c>
    </row>
    <row r="686" spans="1:4" x14ac:dyDescent="0.25">
      <c r="A686" s="19">
        <v>488119</v>
      </c>
      <c r="B686" s="19" t="s">
        <v>3937</v>
      </c>
      <c r="C686" s="19">
        <v>488119</v>
      </c>
      <c r="D686" s="19" t="s">
        <v>3937</v>
      </c>
    </row>
    <row r="687" spans="1:4" ht="25.5" x14ac:dyDescent="0.25">
      <c r="A687" s="19">
        <v>488190</v>
      </c>
      <c r="B687" s="19" t="s">
        <v>3939</v>
      </c>
      <c r="C687" s="19">
        <v>488190</v>
      </c>
      <c r="D687" s="19" t="s">
        <v>3939</v>
      </c>
    </row>
    <row r="688" spans="1:4" x14ac:dyDescent="0.25">
      <c r="A688" s="19">
        <v>488210</v>
      </c>
      <c r="B688" s="19" t="s">
        <v>3941</v>
      </c>
      <c r="C688" s="19">
        <v>488210</v>
      </c>
      <c r="D688" s="19" t="s">
        <v>3941</v>
      </c>
    </row>
    <row r="689" spans="1:4" x14ac:dyDescent="0.25">
      <c r="A689" s="19">
        <v>488310</v>
      </c>
      <c r="B689" s="19" t="s">
        <v>3943</v>
      </c>
      <c r="C689" s="19">
        <v>488310</v>
      </c>
      <c r="D689" s="19" t="s">
        <v>3943</v>
      </c>
    </row>
    <row r="690" spans="1:4" x14ac:dyDescent="0.25">
      <c r="A690" s="19">
        <v>488320</v>
      </c>
      <c r="B690" s="19" t="s">
        <v>3945</v>
      </c>
      <c r="C690" s="19">
        <v>488320</v>
      </c>
      <c r="D690" s="19" t="s">
        <v>3945</v>
      </c>
    </row>
    <row r="691" spans="1:4" x14ac:dyDescent="0.25">
      <c r="A691" s="19">
        <v>488330</v>
      </c>
      <c r="B691" s="19" t="s">
        <v>3947</v>
      </c>
      <c r="C691" s="19">
        <v>488330</v>
      </c>
      <c r="D691" s="19" t="s">
        <v>3947</v>
      </c>
    </row>
    <row r="692" spans="1:4" ht="25.5" x14ac:dyDescent="0.25">
      <c r="A692" s="19">
        <v>488390</v>
      </c>
      <c r="B692" s="19" t="s">
        <v>3949</v>
      </c>
      <c r="C692" s="19">
        <v>488390</v>
      </c>
      <c r="D692" s="19" t="s">
        <v>3949</v>
      </c>
    </row>
    <row r="693" spans="1:4" x14ac:dyDescent="0.25">
      <c r="A693" s="19">
        <v>488410</v>
      </c>
      <c r="B693" s="19" t="s">
        <v>3951</v>
      </c>
      <c r="C693" s="19">
        <v>488410</v>
      </c>
      <c r="D693" s="19" t="s">
        <v>3951</v>
      </c>
    </row>
    <row r="694" spans="1:4" ht="25.5" x14ac:dyDescent="0.25">
      <c r="A694" s="19">
        <v>488490</v>
      </c>
      <c r="B694" s="19" t="s">
        <v>3953</v>
      </c>
      <c r="C694" s="19">
        <v>488490</v>
      </c>
      <c r="D694" s="19" t="s">
        <v>3953</v>
      </c>
    </row>
    <row r="695" spans="1:4" x14ac:dyDescent="0.25">
      <c r="A695" s="19">
        <v>488510</v>
      </c>
      <c r="B695" s="19" t="s">
        <v>3955</v>
      </c>
      <c r="C695" s="19">
        <v>488510</v>
      </c>
      <c r="D695" s="19" t="s">
        <v>3955</v>
      </c>
    </row>
    <row r="696" spans="1:4" x14ac:dyDescent="0.25">
      <c r="A696" s="19">
        <v>488991</v>
      </c>
      <c r="B696" s="19" t="s">
        <v>3957</v>
      </c>
      <c r="C696" s="19">
        <v>488991</v>
      </c>
      <c r="D696" s="19" t="s">
        <v>3957</v>
      </c>
    </row>
    <row r="697" spans="1:4" ht="25.5" x14ac:dyDescent="0.25">
      <c r="A697" s="19">
        <v>488999</v>
      </c>
      <c r="B697" s="19" t="s">
        <v>3959</v>
      </c>
      <c r="C697" s="19">
        <v>488999</v>
      </c>
      <c r="D697" s="19" t="s">
        <v>3959</v>
      </c>
    </row>
    <row r="698" spans="1:4" x14ac:dyDescent="0.25">
      <c r="A698" s="19">
        <v>491110</v>
      </c>
      <c r="B698" s="19" t="s">
        <v>3961</v>
      </c>
      <c r="C698" s="19">
        <v>491110</v>
      </c>
      <c r="D698" s="19" t="s">
        <v>3961</v>
      </c>
    </row>
    <row r="699" spans="1:4" x14ac:dyDescent="0.25">
      <c r="A699" s="19">
        <v>492110</v>
      </c>
      <c r="B699" s="19" t="s">
        <v>3963</v>
      </c>
      <c r="C699" s="19">
        <v>492110</v>
      </c>
      <c r="D699" s="19" t="s">
        <v>3963</v>
      </c>
    </row>
    <row r="700" spans="1:4" x14ac:dyDescent="0.25">
      <c r="A700" s="19">
        <v>492210</v>
      </c>
      <c r="B700" s="19" t="s">
        <v>3965</v>
      </c>
      <c r="C700" s="19">
        <v>492210</v>
      </c>
      <c r="D700" s="19" t="s">
        <v>3965</v>
      </c>
    </row>
    <row r="701" spans="1:4" x14ac:dyDescent="0.25">
      <c r="A701" s="19">
        <v>493110</v>
      </c>
      <c r="B701" s="19" t="s">
        <v>3967</v>
      </c>
      <c r="C701" s="19">
        <v>493110</v>
      </c>
      <c r="D701" s="19" t="s">
        <v>3967</v>
      </c>
    </row>
    <row r="702" spans="1:4" x14ac:dyDescent="0.25">
      <c r="A702" s="19">
        <v>493120</v>
      </c>
      <c r="B702" s="19" t="s">
        <v>3969</v>
      </c>
      <c r="C702" s="19">
        <v>493120</v>
      </c>
      <c r="D702" s="19" t="s">
        <v>3969</v>
      </c>
    </row>
    <row r="703" spans="1:4" x14ac:dyDescent="0.25">
      <c r="A703" s="19">
        <v>493130</v>
      </c>
      <c r="B703" s="19" t="s">
        <v>3971</v>
      </c>
      <c r="C703" s="19">
        <v>493130</v>
      </c>
      <c r="D703" s="19" t="s">
        <v>3971</v>
      </c>
    </row>
    <row r="704" spans="1:4" x14ac:dyDescent="0.25">
      <c r="A704" s="19">
        <v>493190</v>
      </c>
      <c r="B704" s="19" t="s">
        <v>3973</v>
      </c>
      <c r="C704" s="19">
        <v>493190</v>
      </c>
      <c r="D704" s="19" t="s">
        <v>3973</v>
      </c>
    </row>
    <row r="705" spans="1:4" x14ac:dyDescent="0.25">
      <c r="A705" s="19">
        <v>511110</v>
      </c>
      <c r="B705" s="19" t="s">
        <v>3975</v>
      </c>
      <c r="C705" s="19">
        <v>511110</v>
      </c>
      <c r="D705" s="19" t="s">
        <v>3975</v>
      </c>
    </row>
    <row r="706" spans="1:4" x14ac:dyDescent="0.25">
      <c r="A706" s="19">
        <v>511120</v>
      </c>
      <c r="B706" s="19" t="s">
        <v>3977</v>
      </c>
      <c r="C706" s="19">
        <v>511120</v>
      </c>
      <c r="D706" s="19" t="s">
        <v>3977</v>
      </c>
    </row>
    <row r="707" spans="1:4" x14ac:dyDescent="0.25">
      <c r="A707" s="19">
        <v>511130</v>
      </c>
      <c r="B707" s="19" t="s">
        <v>3978</v>
      </c>
      <c r="C707" s="19">
        <v>511130</v>
      </c>
      <c r="D707" s="19" t="s">
        <v>3978</v>
      </c>
    </row>
    <row r="708" spans="1:4" x14ac:dyDescent="0.25">
      <c r="A708" s="19">
        <v>511140</v>
      </c>
      <c r="B708" s="19" t="s">
        <v>3980</v>
      </c>
      <c r="C708" s="19">
        <v>511140</v>
      </c>
      <c r="D708" s="19" t="s">
        <v>3980</v>
      </c>
    </row>
    <row r="709" spans="1:4" x14ac:dyDescent="0.25">
      <c r="A709" s="19">
        <v>511191</v>
      </c>
      <c r="B709" s="19" t="s">
        <v>3982</v>
      </c>
      <c r="C709" s="19">
        <v>511191</v>
      </c>
      <c r="D709" s="19" t="s">
        <v>3982</v>
      </c>
    </row>
    <row r="710" spans="1:4" x14ac:dyDescent="0.25">
      <c r="A710" s="19">
        <v>511199</v>
      </c>
      <c r="B710" s="19" t="s">
        <v>3984</v>
      </c>
      <c r="C710" s="19">
        <v>511199</v>
      </c>
      <c r="D710" s="19" t="s">
        <v>3984</v>
      </c>
    </row>
    <row r="711" spans="1:4" x14ac:dyDescent="0.25">
      <c r="A711" s="19">
        <v>511210</v>
      </c>
      <c r="B711" s="19" t="s">
        <v>3986</v>
      </c>
      <c r="C711" s="19">
        <v>511210</v>
      </c>
      <c r="D711" s="19" t="s">
        <v>3986</v>
      </c>
    </row>
    <row r="712" spans="1:4" x14ac:dyDescent="0.25">
      <c r="A712" s="19">
        <v>512110</v>
      </c>
      <c r="B712" s="19" t="s">
        <v>3988</v>
      </c>
      <c r="C712" s="19">
        <v>512110</v>
      </c>
      <c r="D712" s="19" t="s">
        <v>3988</v>
      </c>
    </row>
    <row r="713" spans="1:4" x14ac:dyDescent="0.25">
      <c r="A713" s="19">
        <v>512120</v>
      </c>
      <c r="B713" s="19" t="s">
        <v>3990</v>
      </c>
      <c r="C713" s="19">
        <v>512120</v>
      </c>
      <c r="D713" s="19" t="s">
        <v>3990</v>
      </c>
    </row>
    <row r="714" spans="1:4" ht="25.5" x14ac:dyDescent="0.25">
      <c r="A714" s="19">
        <v>512131</v>
      </c>
      <c r="B714" s="19" t="s">
        <v>3992</v>
      </c>
      <c r="C714" s="19">
        <v>512131</v>
      </c>
      <c r="D714" s="19" t="s">
        <v>3992</v>
      </c>
    </row>
    <row r="715" spans="1:4" x14ac:dyDescent="0.25">
      <c r="A715" s="19">
        <v>512132</v>
      </c>
      <c r="B715" s="19" t="s">
        <v>3993</v>
      </c>
      <c r="C715" s="19">
        <v>512132</v>
      </c>
      <c r="D715" s="19" t="s">
        <v>3993</v>
      </c>
    </row>
    <row r="716" spans="1:4" ht="25.5" x14ac:dyDescent="0.25">
      <c r="A716" s="19">
        <v>512191</v>
      </c>
      <c r="B716" s="19" t="s">
        <v>3995</v>
      </c>
      <c r="C716" s="19">
        <v>512191</v>
      </c>
      <c r="D716" s="19" t="s">
        <v>3995</v>
      </c>
    </row>
    <row r="717" spans="1:4" ht="25.5" x14ac:dyDescent="0.25">
      <c r="A717" s="19">
        <v>512199</v>
      </c>
      <c r="B717" s="19" t="s">
        <v>3997</v>
      </c>
      <c r="C717" s="19">
        <v>512199</v>
      </c>
      <c r="D717" s="19" t="s">
        <v>3997</v>
      </c>
    </row>
    <row r="718" spans="1:4" x14ac:dyDescent="0.25">
      <c r="A718" s="19">
        <v>512210</v>
      </c>
      <c r="B718" s="19" t="s">
        <v>6084</v>
      </c>
      <c r="C718" s="20">
        <v>512250</v>
      </c>
      <c r="D718" s="19" t="s">
        <v>4003</v>
      </c>
    </row>
    <row r="719" spans="1:4" ht="25.5" x14ac:dyDescent="0.25">
      <c r="A719" s="19">
        <v>512220</v>
      </c>
      <c r="B719" s="19" t="s">
        <v>5938</v>
      </c>
      <c r="C719" s="20">
        <v>512250</v>
      </c>
      <c r="D719" s="19" t="s">
        <v>4003</v>
      </c>
    </row>
    <row r="720" spans="1:4" x14ac:dyDescent="0.25">
      <c r="A720" s="19">
        <v>512230</v>
      </c>
      <c r="B720" s="19" t="s">
        <v>3999</v>
      </c>
      <c r="C720" s="19">
        <v>512230</v>
      </c>
      <c r="D720" s="19" t="s">
        <v>3999</v>
      </c>
    </row>
    <row r="721" spans="1:4" x14ac:dyDescent="0.25">
      <c r="A721" s="19">
        <v>512240</v>
      </c>
      <c r="B721" s="19" t="s">
        <v>4001</v>
      </c>
      <c r="C721" s="19">
        <v>512240</v>
      </c>
      <c r="D721" s="19" t="s">
        <v>4001</v>
      </c>
    </row>
    <row r="722" spans="1:4" x14ac:dyDescent="0.25">
      <c r="A722" s="19">
        <v>512290</v>
      </c>
      <c r="B722" s="19" t="s">
        <v>4005</v>
      </c>
      <c r="C722" s="19">
        <v>512290</v>
      </c>
      <c r="D722" s="19" t="s">
        <v>4005</v>
      </c>
    </row>
    <row r="723" spans="1:4" x14ac:dyDescent="0.25">
      <c r="A723" s="19">
        <v>515111</v>
      </c>
      <c r="B723" s="19" t="s">
        <v>4007</v>
      </c>
      <c r="C723" s="19">
        <v>515111</v>
      </c>
      <c r="D723" s="19" t="s">
        <v>4007</v>
      </c>
    </row>
    <row r="724" spans="1:4" x14ac:dyDescent="0.25">
      <c r="A724" s="19">
        <v>515112</v>
      </c>
      <c r="B724" s="19" t="s">
        <v>4009</v>
      </c>
      <c r="C724" s="19">
        <v>515112</v>
      </c>
      <c r="D724" s="19" t="s">
        <v>4009</v>
      </c>
    </row>
    <row r="725" spans="1:4" x14ac:dyDescent="0.25">
      <c r="A725" s="19">
        <v>515120</v>
      </c>
      <c r="B725" s="19" t="s">
        <v>6085</v>
      </c>
      <c r="C725" s="19">
        <v>515120</v>
      </c>
      <c r="D725" s="19" t="s">
        <v>6085</v>
      </c>
    </row>
    <row r="726" spans="1:4" ht="25.5" x14ac:dyDescent="0.25">
      <c r="A726" s="19">
        <v>515210</v>
      </c>
      <c r="B726" s="19" t="s">
        <v>4015</v>
      </c>
      <c r="C726" s="19">
        <v>515210</v>
      </c>
      <c r="D726" s="19" t="s">
        <v>4015</v>
      </c>
    </row>
    <row r="727" spans="1:4" x14ac:dyDescent="0.25">
      <c r="A727" s="19">
        <v>517110</v>
      </c>
      <c r="B727" s="19" t="s">
        <v>4017</v>
      </c>
      <c r="C727" s="19">
        <v>517311</v>
      </c>
      <c r="D727" s="19" t="s">
        <v>4017</v>
      </c>
    </row>
    <row r="728" spans="1:4" ht="25.5" x14ac:dyDescent="0.25">
      <c r="A728" s="19">
        <v>517210</v>
      </c>
      <c r="B728" s="19" t="s">
        <v>6087</v>
      </c>
      <c r="C728" s="19">
        <v>517312</v>
      </c>
      <c r="D728" s="19" t="s">
        <v>6087</v>
      </c>
    </row>
    <row r="729" spans="1:4" x14ac:dyDescent="0.25">
      <c r="A729" s="19">
        <v>517410</v>
      </c>
      <c r="B729" s="19" t="s">
        <v>4023</v>
      </c>
      <c r="C729" s="19">
        <v>517410</v>
      </c>
      <c r="D729" s="19" t="s">
        <v>4023</v>
      </c>
    </row>
    <row r="730" spans="1:4" x14ac:dyDescent="0.25">
      <c r="A730" s="19">
        <v>517911</v>
      </c>
      <c r="B730" s="19" t="s">
        <v>5959</v>
      </c>
      <c r="C730" s="19">
        <v>517911</v>
      </c>
      <c r="D730" s="19" t="s">
        <v>5959</v>
      </c>
    </row>
    <row r="731" spans="1:4" x14ac:dyDescent="0.25">
      <c r="A731" s="19">
        <v>517919</v>
      </c>
      <c r="B731" s="19" t="s">
        <v>4029</v>
      </c>
      <c r="C731" s="19">
        <v>517919</v>
      </c>
      <c r="D731" s="19" t="s">
        <v>4029</v>
      </c>
    </row>
    <row r="732" spans="1:4" ht="25.5" x14ac:dyDescent="0.25">
      <c r="A732" s="19">
        <v>518210</v>
      </c>
      <c r="B732" s="19" t="s">
        <v>4031</v>
      </c>
      <c r="C732" s="19">
        <v>518210</v>
      </c>
      <c r="D732" s="19" t="s">
        <v>4031</v>
      </c>
    </row>
    <row r="733" spans="1:4" x14ac:dyDescent="0.25">
      <c r="A733" s="19">
        <v>519110</v>
      </c>
      <c r="B733" s="19" t="s">
        <v>4033</v>
      </c>
      <c r="C733" s="19">
        <v>519110</v>
      </c>
      <c r="D733" s="19" t="s">
        <v>4033</v>
      </c>
    </row>
    <row r="734" spans="1:4" x14ac:dyDescent="0.25">
      <c r="A734" s="19">
        <v>519120</v>
      </c>
      <c r="B734" s="19" t="s">
        <v>4035</v>
      </c>
      <c r="C734" s="19">
        <v>519120</v>
      </c>
      <c r="D734" s="19" t="s">
        <v>4035</v>
      </c>
    </row>
    <row r="735" spans="1:4" ht="25.5" x14ac:dyDescent="0.25">
      <c r="A735" s="19">
        <v>519130</v>
      </c>
      <c r="B735" s="19" t="s">
        <v>6086</v>
      </c>
      <c r="C735" s="19">
        <v>519130</v>
      </c>
      <c r="D735" s="19" t="s">
        <v>6086</v>
      </c>
    </row>
    <row r="736" spans="1:4" x14ac:dyDescent="0.25">
      <c r="A736" s="19">
        <v>519190</v>
      </c>
      <c r="B736" s="19" t="s">
        <v>4053</v>
      </c>
      <c r="C736" s="19">
        <v>519190</v>
      </c>
      <c r="D736" s="19" t="s">
        <v>4053</v>
      </c>
    </row>
    <row r="737" spans="1:4" x14ac:dyDescent="0.25">
      <c r="A737" s="19">
        <v>521110</v>
      </c>
      <c r="B737" s="19" t="s">
        <v>4055</v>
      </c>
      <c r="C737" s="19">
        <v>521110</v>
      </c>
      <c r="D737" s="19" t="s">
        <v>4055</v>
      </c>
    </row>
    <row r="738" spans="1:4" x14ac:dyDescent="0.25">
      <c r="A738" s="19">
        <v>522110</v>
      </c>
      <c r="B738" s="19" t="s">
        <v>4057</v>
      </c>
      <c r="C738" s="19">
        <v>522110</v>
      </c>
      <c r="D738" s="19" t="s">
        <v>4057</v>
      </c>
    </row>
    <row r="739" spans="1:4" x14ac:dyDescent="0.25">
      <c r="A739" s="19">
        <v>522120</v>
      </c>
      <c r="B739" s="19" t="s">
        <v>4058</v>
      </c>
      <c r="C739" s="19">
        <v>522120</v>
      </c>
      <c r="D739" s="19" t="s">
        <v>4058</v>
      </c>
    </row>
    <row r="740" spans="1:4" x14ac:dyDescent="0.25">
      <c r="A740" s="19">
        <v>522130</v>
      </c>
      <c r="B740" s="19" t="s">
        <v>4060</v>
      </c>
      <c r="C740" s="19">
        <v>522130</v>
      </c>
      <c r="D740" s="19" t="s">
        <v>4060</v>
      </c>
    </row>
    <row r="741" spans="1:4" x14ac:dyDescent="0.25">
      <c r="A741" s="19">
        <v>522190</v>
      </c>
      <c r="B741" s="19" t="s">
        <v>4062</v>
      </c>
      <c r="C741" s="19">
        <v>522190</v>
      </c>
      <c r="D741" s="19" t="s">
        <v>4062</v>
      </c>
    </row>
    <row r="742" spans="1:4" x14ac:dyDescent="0.25">
      <c r="A742" s="19">
        <v>522210</v>
      </c>
      <c r="B742" s="19" t="s">
        <v>4064</v>
      </c>
      <c r="C742" s="19">
        <v>522210</v>
      </c>
      <c r="D742" s="19" t="s">
        <v>4064</v>
      </c>
    </row>
    <row r="743" spans="1:4" x14ac:dyDescent="0.25">
      <c r="A743" s="19">
        <v>522220</v>
      </c>
      <c r="B743" s="19" t="s">
        <v>4066</v>
      </c>
      <c r="C743" s="19">
        <v>522220</v>
      </c>
      <c r="D743" s="19" t="s">
        <v>4066</v>
      </c>
    </row>
    <row r="744" spans="1:4" x14ac:dyDescent="0.25">
      <c r="A744" s="19">
        <v>522291</v>
      </c>
      <c r="B744" s="19" t="s">
        <v>4068</v>
      </c>
      <c r="C744" s="19">
        <v>522291</v>
      </c>
      <c r="D744" s="19" t="s">
        <v>4068</v>
      </c>
    </row>
    <row r="745" spans="1:4" x14ac:dyDescent="0.25">
      <c r="A745" s="19">
        <v>522292</v>
      </c>
      <c r="B745" s="19" t="s">
        <v>4070</v>
      </c>
      <c r="C745" s="19">
        <v>522292</v>
      </c>
      <c r="D745" s="19" t="s">
        <v>4070</v>
      </c>
    </row>
    <row r="746" spans="1:4" x14ac:dyDescent="0.25">
      <c r="A746" s="19">
        <v>522293</v>
      </c>
      <c r="B746" s="19" t="s">
        <v>4072</v>
      </c>
      <c r="C746" s="19">
        <v>522293</v>
      </c>
      <c r="D746" s="19" t="s">
        <v>4072</v>
      </c>
    </row>
    <row r="747" spans="1:4" x14ac:dyDescent="0.25">
      <c r="A747" s="19">
        <v>522294</v>
      </c>
      <c r="B747" s="19" t="s">
        <v>4074</v>
      </c>
      <c r="C747" s="19">
        <v>522294</v>
      </c>
      <c r="D747" s="19" t="s">
        <v>4074</v>
      </c>
    </row>
    <row r="748" spans="1:4" ht="25.5" x14ac:dyDescent="0.25">
      <c r="A748" s="19">
        <v>522298</v>
      </c>
      <c r="B748" s="19" t="s">
        <v>4076</v>
      </c>
      <c r="C748" s="19">
        <v>522298</v>
      </c>
      <c r="D748" s="19" t="s">
        <v>4076</v>
      </c>
    </row>
    <row r="749" spans="1:4" ht="25.5" x14ac:dyDescent="0.25">
      <c r="A749" s="19">
        <v>522310</v>
      </c>
      <c r="B749" s="19" t="s">
        <v>4078</v>
      </c>
      <c r="C749" s="19">
        <v>522310</v>
      </c>
      <c r="D749" s="19" t="s">
        <v>4078</v>
      </c>
    </row>
    <row r="750" spans="1:4" ht="25.5" x14ac:dyDescent="0.25">
      <c r="A750" s="19">
        <v>522320</v>
      </c>
      <c r="B750" s="19" t="s">
        <v>4080</v>
      </c>
      <c r="C750" s="19">
        <v>522320</v>
      </c>
      <c r="D750" s="19" t="s">
        <v>4080</v>
      </c>
    </row>
    <row r="751" spans="1:4" ht="25.5" x14ac:dyDescent="0.25">
      <c r="A751" s="22">
        <v>522390</v>
      </c>
      <c r="B751" s="19" t="s">
        <v>4082</v>
      </c>
      <c r="C751" s="22">
        <v>522390</v>
      </c>
      <c r="D751" s="19" t="s">
        <v>4082</v>
      </c>
    </row>
    <row r="752" spans="1:4" ht="25.5" x14ac:dyDescent="0.25">
      <c r="A752" s="19">
        <v>523110</v>
      </c>
      <c r="B752" s="19" t="s">
        <v>4084</v>
      </c>
      <c r="C752" s="19">
        <v>523110</v>
      </c>
      <c r="D752" s="19" t="s">
        <v>4084</v>
      </c>
    </row>
    <row r="753" spans="1:4" x14ac:dyDescent="0.25">
      <c r="A753" s="19">
        <v>523120</v>
      </c>
      <c r="B753" s="19" t="s">
        <v>4086</v>
      </c>
      <c r="C753" s="19">
        <v>523120</v>
      </c>
      <c r="D753" s="19" t="s">
        <v>4086</v>
      </c>
    </row>
    <row r="754" spans="1:4" x14ac:dyDescent="0.25">
      <c r="A754" s="19">
        <v>523130</v>
      </c>
      <c r="B754" s="19" t="s">
        <v>4088</v>
      </c>
      <c r="C754" s="19">
        <v>523130</v>
      </c>
      <c r="D754" s="19" t="s">
        <v>4088</v>
      </c>
    </row>
    <row r="755" spans="1:4" x14ac:dyDescent="0.25">
      <c r="A755" s="19">
        <v>523140</v>
      </c>
      <c r="B755" s="19" t="s">
        <v>4090</v>
      </c>
      <c r="C755" s="19">
        <v>523140</v>
      </c>
      <c r="D755" s="19" t="s">
        <v>4090</v>
      </c>
    </row>
    <row r="756" spans="1:4" x14ac:dyDescent="0.25">
      <c r="A756" s="19">
        <v>523210</v>
      </c>
      <c r="B756" s="19" t="s">
        <v>4092</v>
      </c>
      <c r="C756" s="19">
        <v>523210</v>
      </c>
      <c r="D756" s="19" t="s">
        <v>4092</v>
      </c>
    </row>
    <row r="757" spans="1:4" x14ac:dyDescent="0.25">
      <c r="A757" s="19">
        <v>523910</v>
      </c>
      <c r="B757" s="19" t="s">
        <v>4094</v>
      </c>
      <c r="C757" s="19">
        <v>523910</v>
      </c>
      <c r="D757" s="19" t="s">
        <v>4094</v>
      </c>
    </row>
    <row r="758" spans="1:4" x14ac:dyDescent="0.25">
      <c r="A758" s="19">
        <v>523920</v>
      </c>
      <c r="B758" s="19" t="s">
        <v>4096</v>
      </c>
      <c r="C758" s="19">
        <v>523920</v>
      </c>
      <c r="D758" s="19" t="s">
        <v>4096</v>
      </c>
    </row>
    <row r="759" spans="1:4" x14ac:dyDescent="0.25">
      <c r="A759" s="19">
        <v>523930</v>
      </c>
      <c r="B759" s="19" t="s">
        <v>4097</v>
      </c>
      <c r="C759" s="19">
        <v>523930</v>
      </c>
      <c r="D759" s="19" t="s">
        <v>4097</v>
      </c>
    </row>
    <row r="760" spans="1:4" x14ac:dyDescent="0.25">
      <c r="A760" s="19">
        <v>523991</v>
      </c>
      <c r="B760" s="19" t="s">
        <v>4099</v>
      </c>
      <c r="C760" s="19">
        <v>523991</v>
      </c>
      <c r="D760" s="19" t="s">
        <v>4099</v>
      </c>
    </row>
    <row r="761" spans="1:4" ht="25.5" x14ac:dyDescent="0.25">
      <c r="A761" s="19">
        <v>523999</v>
      </c>
      <c r="B761" s="19" t="s">
        <v>4101</v>
      </c>
      <c r="C761" s="19">
        <v>523999</v>
      </c>
      <c r="D761" s="19" t="s">
        <v>4101</v>
      </c>
    </row>
    <row r="762" spans="1:4" x14ac:dyDescent="0.25">
      <c r="A762" s="19">
        <v>524113</v>
      </c>
      <c r="B762" s="19" t="s">
        <v>4103</v>
      </c>
      <c r="C762" s="19">
        <v>524113</v>
      </c>
      <c r="D762" s="19" t="s">
        <v>4103</v>
      </c>
    </row>
    <row r="763" spans="1:4" ht="25.5" x14ac:dyDescent="0.25">
      <c r="A763" s="19">
        <v>524114</v>
      </c>
      <c r="B763" s="19" t="s">
        <v>4105</v>
      </c>
      <c r="C763" s="19">
        <v>524114</v>
      </c>
      <c r="D763" s="19" t="s">
        <v>4105</v>
      </c>
    </row>
    <row r="764" spans="1:4" ht="25.5" x14ac:dyDescent="0.25">
      <c r="A764" s="19">
        <v>524126</v>
      </c>
      <c r="B764" s="19" t="s">
        <v>4107</v>
      </c>
      <c r="C764" s="19">
        <v>524126</v>
      </c>
      <c r="D764" s="19" t="s">
        <v>4107</v>
      </c>
    </row>
    <row r="765" spans="1:4" x14ac:dyDescent="0.25">
      <c r="A765" s="19">
        <v>524127</v>
      </c>
      <c r="B765" s="19" t="s">
        <v>4109</v>
      </c>
      <c r="C765" s="19">
        <v>524127</v>
      </c>
      <c r="D765" s="19" t="s">
        <v>4109</v>
      </c>
    </row>
    <row r="766" spans="1:4" ht="25.5" x14ac:dyDescent="0.25">
      <c r="A766" s="19">
        <v>524128</v>
      </c>
      <c r="B766" s="19" t="s">
        <v>4111</v>
      </c>
      <c r="C766" s="19">
        <v>524128</v>
      </c>
      <c r="D766" s="19" t="s">
        <v>4111</v>
      </c>
    </row>
    <row r="767" spans="1:4" x14ac:dyDescent="0.25">
      <c r="A767" s="19">
        <v>524130</v>
      </c>
      <c r="B767" s="19" t="s">
        <v>4113</v>
      </c>
      <c r="C767" s="19">
        <v>524130</v>
      </c>
      <c r="D767" s="19" t="s">
        <v>4113</v>
      </c>
    </row>
    <row r="768" spans="1:4" x14ac:dyDescent="0.25">
      <c r="A768" s="19">
        <v>524210</v>
      </c>
      <c r="B768" s="19" t="s">
        <v>4115</v>
      </c>
      <c r="C768" s="19">
        <v>524210</v>
      </c>
      <c r="D768" s="19" t="s">
        <v>4115</v>
      </c>
    </row>
    <row r="769" spans="1:4" x14ac:dyDescent="0.25">
      <c r="A769" s="19">
        <v>524291</v>
      </c>
      <c r="B769" s="19" t="s">
        <v>4117</v>
      </c>
      <c r="C769" s="19">
        <v>524291</v>
      </c>
      <c r="D769" s="19" t="s">
        <v>4117</v>
      </c>
    </row>
    <row r="770" spans="1:4" ht="25.5" x14ac:dyDescent="0.25">
      <c r="A770" s="19">
        <v>524292</v>
      </c>
      <c r="B770" s="19" t="s">
        <v>4119</v>
      </c>
      <c r="C770" s="19">
        <v>524292</v>
      </c>
      <c r="D770" s="19" t="s">
        <v>4119</v>
      </c>
    </row>
    <row r="771" spans="1:4" x14ac:dyDescent="0.25">
      <c r="A771" s="19">
        <v>524298</v>
      </c>
      <c r="B771" s="19" t="s">
        <v>4121</v>
      </c>
      <c r="C771" s="19">
        <v>524298</v>
      </c>
      <c r="D771" s="19" t="s">
        <v>4121</v>
      </c>
    </row>
    <row r="772" spans="1:4" x14ac:dyDescent="0.25">
      <c r="A772" s="19">
        <v>525110</v>
      </c>
      <c r="B772" s="19" t="s">
        <v>4123</v>
      </c>
      <c r="C772" s="19">
        <v>525110</v>
      </c>
      <c r="D772" s="19" t="s">
        <v>4123</v>
      </c>
    </row>
    <row r="773" spans="1:4" x14ac:dyDescent="0.25">
      <c r="A773" s="19">
        <v>525120</v>
      </c>
      <c r="B773" s="19" t="s">
        <v>4125</v>
      </c>
      <c r="C773" s="19">
        <v>525120</v>
      </c>
      <c r="D773" s="19" t="s">
        <v>4125</v>
      </c>
    </row>
    <row r="774" spans="1:4" x14ac:dyDescent="0.25">
      <c r="A774" s="19">
        <v>525190</v>
      </c>
      <c r="B774" s="19" t="s">
        <v>4127</v>
      </c>
      <c r="C774" s="19">
        <v>525190</v>
      </c>
      <c r="D774" s="19" t="s">
        <v>4127</v>
      </c>
    </row>
    <row r="775" spans="1:4" x14ac:dyDescent="0.25">
      <c r="A775" s="19">
        <v>525910</v>
      </c>
      <c r="B775" s="19" t="s">
        <v>4129</v>
      </c>
      <c r="C775" s="19">
        <v>525910</v>
      </c>
      <c r="D775" s="19" t="s">
        <v>4129</v>
      </c>
    </row>
    <row r="776" spans="1:4" x14ac:dyDescent="0.25">
      <c r="A776" s="19">
        <v>525920</v>
      </c>
      <c r="B776" s="19" t="s">
        <v>4131</v>
      </c>
      <c r="C776" s="19">
        <v>525920</v>
      </c>
      <c r="D776" s="19" t="s">
        <v>4131</v>
      </c>
    </row>
    <row r="777" spans="1:4" x14ac:dyDescent="0.25">
      <c r="A777" s="19">
        <v>525990</v>
      </c>
      <c r="B777" s="19" t="s">
        <v>4133</v>
      </c>
      <c r="C777" s="19">
        <v>525990</v>
      </c>
      <c r="D777" s="19" t="s">
        <v>4133</v>
      </c>
    </row>
    <row r="778" spans="1:4" ht="25.5" x14ac:dyDescent="0.25">
      <c r="A778" s="19">
        <v>531110</v>
      </c>
      <c r="B778" s="19" t="s">
        <v>4135</v>
      </c>
      <c r="C778" s="19">
        <v>531110</v>
      </c>
      <c r="D778" s="19" t="s">
        <v>4135</v>
      </c>
    </row>
    <row r="779" spans="1:4" ht="25.5" x14ac:dyDescent="0.25">
      <c r="A779" s="19">
        <v>531120</v>
      </c>
      <c r="B779" s="19" t="s">
        <v>4137</v>
      </c>
      <c r="C779" s="19">
        <v>531120</v>
      </c>
      <c r="D779" s="19" t="s">
        <v>4137</v>
      </c>
    </row>
    <row r="780" spans="1:4" ht="25.5" x14ac:dyDescent="0.25">
      <c r="A780" s="19">
        <v>531130</v>
      </c>
      <c r="B780" s="19" t="s">
        <v>4139</v>
      </c>
      <c r="C780" s="19">
        <v>531130</v>
      </c>
      <c r="D780" s="19" t="s">
        <v>4139</v>
      </c>
    </row>
    <row r="781" spans="1:4" x14ac:dyDescent="0.25">
      <c r="A781" s="19">
        <v>531190</v>
      </c>
      <c r="B781" s="19" t="s">
        <v>4141</v>
      </c>
      <c r="C781" s="19">
        <v>531190</v>
      </c>
      <c r="D781" s="19" t="s">
        <v>4141</v>
      </c>
    </row>
    <row r="782" spans="1:4" ht="25.5" x14ac:dyDescent="0.25">
      <c r="A782" s="19">
        <v>531210</v>
      </c>
      <c r="B782" s="19" t="s">
        <v>4143</v>
      </c>
      <c r="C782" s="19">
        <v>531210</v>
      </c>
      <c r="D782" s="19" t="s">
        <v>4143</v>
      </c>
    </row>
    <row r="783" spans="1:4" x14ac:dyDescent="0.25">
      <c r="A783" s="19">
        <v>531311</v>
      </c>
      <c r="B783" s="19" t="s">
        <v>4145</v>
      </c>
      <c r="C783" s="19">
        <v>531311</v>
      </c>
      <c r="D783" s="19" t="s">
        <v>4145</v>
      </c>
    </row>
    <row r="784" spans="1:4" x14ac:dyDescent="0.25">
      <c r="A784" s="19">
        <v>531312</v>
      </c>
      <c r="B784" s="19" t="s">
        <v>4147</v>
      </c>
      <c r="C784" s="19">
        <v>531312</v>
      </c>
      <c r="D784" s="19" t="s">
        <v>4147</v>
      </c>
    </row>
    <row r="785" spans="1:4" x14ac:dyDescent="0.25">
      <c r="A785" s="19">
        <v>531320</v>
      </c>
      <c r="B785" s="19" t="s">
        <v>4149</v>
      </c>
      <c r="C785" s="19">
        <v>531320</v>
      </c>
      <c r="D785" s="19" t="s">
        <v>4149</v>
      </c>
    </row>
    <row r="786" spans="1:4" x14ac:dyDescent="0.25">
      <c r="A786" s="19">
        <v>531390</v>
      </c>
      <c r="B786" s="19" t="s">
        <v>4151</v>
      </c>
      <c r="C786" s="19">
        <v>531390</v>
      </c>
      <c r="D786" s="19" t="s">
        <v>4151</v>
      </c>
    </row>
    <row r="787" spans="1:4" x14ac:dyDescent="0.25">
      <c r="A787" s="19">
        <v>532111</v>
      </c>
      <c r="B787" s="19" t="s">
        <v>4153</v>
      </c>
      <c r="C787" s="19">
        <v>532111</v>
      </c>
      <c r="D787" s="19" t="s">
        <v>4153</v>
      </c>
    </row>
    <row r="788" spans="1:4" x14ac:dyDescent="0.25">
      <c r="A788" s="19">
        <v>532112</v>
      </c>
      <c r="B788" s="19" t="s">
        <v>4155</v>
      </c>
      <c r="C788" s="19">
        <v>532112</v>
      </c>
      <c r="D788" s="19" t="s">
        <v>4155</v>
      </c>
    </row>
    <row r="789" spans="1:4" ht="38.25" x14ac:dyDescent="0.25">
      <c r="A789" s="19">
        <v>532120</v>
      </c>
      <c r="B789" s="19" t="s">
        <v>4157</v>
      </c>
      <c r="C789" s="19">
        <v>532120</v>
      </c>
      <c r="D789" s="19" t="s">
        <v>4157</v>
      </c>
    </row>
    <row r="790" spans="1:4" ht="25.5" x14ac:dyDescent="0.25">
      <c r="A790" s="19">
        <v>532210</v>
      </c>
      <c r="B790" s="19" t="s">
        <v>4159</v>
      </c>
      <c r="C790" s="19">
        <v>532210</v>
      </c>
      <c r="D790" s="19" t="s">
        <v>4159</v>
      </c>
    </row>
    <row r="791" spans="1:4" x14ac:dyDescent="0.25">
      <c r="A791" s="19">
        <v>532220</v>
      </c>
      <c r="B791" s="19" t="s">
        <v>4161</v>
      </c>
      <c r="C791" s="19">
        <v>532281</v>
      </c>
      <c r="D791" s="19" t="s">
        <v>4161</v>
      </c>
    </row>
    <row r="792" spans="1:4" x14ac:dyDescent="0.25">
      <c r="A792" s="19">
        <v>532230</v>
      </c>
      <c r="B792" s="19" t="s">
        <v>4163</v>
      </c>
      <c r="C792" s="19">
        <v>532282</v>
      </c>
      <c r="D792" s="19" t="s">
        <v>4163</v>
      </c>
    </row>
    <row r="793" spans="1:4" x14ac:dyDescent="0.25">
      <c r="A793" s="19">
        <v>532291</v>
      </c>
      <c r="B793" s="19" t="s">
        <v>4165</v>
      </c>
      <c r="C793" s="19">
        <v>532283</v>
      </c>
      <c r="D793" s="19" t="s">
        <v>4165</v>
      </c>
    </row>
    <row r="794" spans="1:4" x14ac:dyDescent="0.25">
      <c r="A794" s="19">
        <v>532292</v>
      </c>
      <c r="B794" s="19" t="s">
        <v>4167</v>
      </c>
      <c r="C794" s="19">
        <v>532284</v>
      </c>
      <c r="D794" s="19" t="s">
        <v>4167</v>
      </c>
    </row>
    <row r="795" spans="1:4" x14ac:dyDescent="0.25">
      <c r="A795" s="19">
        <v>532299</v>
      </c>
      <c r="B795" s="19" t="s">
        <v>4169</v>
      </c>
      <c r="C795" s="19">
        <v>532289</v>
      </c>
      <c r="D795" s="19" t="s">
        <v>4169</v>
      </c>
    </row>
    <row r="796" spans="1:4" x14ac:dyDescent="0.25">
      <c r="A796" s="19">
        <v>532310</v>
      </c>
      <c r="B796" s="19" t="s">
        <v>4170</v>
      </c>
      <c r="C796" s="19">
        <v>532310</v>
      </c>
      <c r="D796" s="19" t="s">
        <v>4170</v>
      </c>
    </row>
    <row r="797" spans="1:4" ht="38.25" x14ac:dyDescent="0.25">
      <c r="A797" s="19">
        <v>532411</v>
      </c>
      <c r="B797" s="19" t="s">
        <v>4172</v>
      </c>
      <c r="C797" s="19">
        <v>532411</v>
      </c>
      <c r="D797" s="19" t="s">
        <v>4172</v>
      </c>
    </row>
    <row r="798" spans="1:4" ht="38.25" x14ac:dyDescent="0.25">
      <c r="A798" s="19">
        <v>532412</v>
      </c>
      <c r="B798" s="19" t="s">
        <v>4174</v>
      </c>
      <c r="C798" s="19">
        <v>532412</v>
      </c>
      <c r="D798" s="19" t="s">
        <v>4174</v>
      </c>
    </row>
    <row r="799" spans="1:4" ht="25.5" x14ac:dyDescent="0.25">
      <c r="A799" s="19">
        <v>532420</v>
      </c>
      <c r="B799" s="19" t="s">
        <v>4176</v>
      </c>
      <c r="C799" s="19">
        <v>532420</v>
      </c>
      <c r="D799" s="19" t="s">
        <v>4176</v>
      </c>
    </row>
    <row r="800" spans="1:4" ht="38.25" x14ac:dyDescent="0.25">
      <c r="A800" s="19">
        <v>532490</v>
      </c>
      <c r="B800" s="19" t="s">
        <v>4178</v>
      </c>
      <c r="C800" s="19">
        <v>532490</v>
      </c>
      <c r="D800" s="19" t="s">
        <v>4178</v>
      </c>
    </row>
    <row r="801" spans="1:4" ht="25.5" x14ac:dyDescent="0.25">
      <c r="A801" s="19">
        <v>533110</v>
      </c>
      <c r="B801" s="19" t="s">
        <v>4180</v>
      </c>
      <c r="C801" s="19">
        <v>533110</v>
      </c>
      <c r="D801" s="19" t="s">
        <v>4180</v>
      </c>
    </row>
    <row r="802" spans="1:4" x14ac:dyDescent="0.25">
      <c r="A802" s="19">
        <v>541110</v>
      </c>
      <c r="B802" s="19" t="s">
        <v>4182</v>
      </c>
      <c r="C802" s="19">
        <v>541110</v>
      </c>
      <c r="D802" s="19" t="s">
        <v>4182</v>
      </c>
    </row>
    <row r="803" spans="1:4" x14ac:dyDescent="0.25">
      <c r="A803" s="19">
        <v>541120</v>
      </c>
      <c r="B803" s="19" t="s">
        <v>4184</v>
      </c>
      <c r="C803" s="19">
        <v>541120</v>
      </c>
      <c r="D803" s="19" t="s">
        <v>4184</v>
      </c>
    </row>
    <row r="804" spans="1:4" x14ac:dyDescent="0.25">
      <c r="A804" s="19">
        <v>541191</v>
      </c>
      <c r="B804" s="19" t="s">
        <v>4186</v>
      </c>
      <c r="C804" s="19">
        <v>541191</v>
      </c>
      <c r="D804" s="19" t="s">
        <v>4186</v>
      </c>
    </row>
    <row r="805" spans="1:4" x14ac:dyDescent="0.25">
      <c r="A805" s="19">
        <v>541199</v>
      </c>
      <c r="B805" s="19" t="s">
        <v>4188</v>
      </c>
      <c r="C805" s="19">
        <v>541199</v>
      </c>
      <c r="D805" s="19" t="s">
        <v>4188</v>
      </c>
    </row>
    <row r="806" spans="1:4" x14ac:dyDescent="0.25">
      <c r="A806" s="19">
        <v>541211</v>
      </c>
      <c r="B806" s="19" t="s">
        <v>4190</v>
      </c>
      <c r="C806" s="19">
        <v>541211</v>
      </c>
      <c r="D806" s="19" t="s">
        <v>4190</v>
      </c>
    </row>
    <row r="807" spans="1:4" x14ac:dyDescent="0.25">
      <c r="A807" s="19">
        <v>541213</v>
      </c>
      <c r="B807" s="19" t="s">
        <v>4192</v>
      </c>
      <c r="C807" s="19">
        <v>541213</v>
      </c>
      <c r="D807" s="19" t="s">
        <v>4192</v>
      </c>
    </row>
    <row r="808" spans="1:4" x14ac:dyDescent="0.25">
      <c r="A808" s="19">
        <v>541214</v>
      </c>
      <c r="B808" s="19" t="s">
        <v>4194</v>
      </c>
      <c r="C808" s="19">
        <v>541214</v>
      </c>
      <c r="D808" s="19" t="s">
        <v>4194</v>
      </c>
    </row>
    <row r="809" spans="1:4" x14ac:dyDescent="0.25">
      <c r="A809" s="19">
        <v>541219</v>
      </c>
      <c r="B809" s="19" t="s">
        <v>4196</v>
      </c>
      <c r="C809" s="19">
        <v>541219</v>
      </c>
      <c r="D809" s="19" t="s">
        <v>4196</v>
      </c>
    </row>
    <row r="810" spans="1:4" x14ac:dyDescent="0.25">
      <c r="A810" s="19">
        <v>541310</v>
      </c>
      <c r="B810" s="19" t="s">
        <v>4198</v>
      </c>
      <c r="C810" s="19">
        <v>541310</v>
      </c>
      <c r="D810" s="19" t="s">
        <v>4198</v>
      </c>
    </row>
    <row r="811" spans="1:4" x14ac:dyDescent="0.25">
      <c r="A811" s="19">
        <v>541320</v>
      </c>
      <c r="B811" s="19" t="s">
        <v>4200</v>
      </c>
      <c r="C811" s="19">
        <v>541320</v>
      </c>
      <c r="D811" s="19" t="s">
        <v>4200</v>
      </c>
    </row>
    <row r="812" spans="1:4" x14ac:dyDescent="0.25">
      <c r="A812" s="19">
        <v>541330</v>
      </c>
      <c r="B812" s="19" t="s">
        <v>4202</v>
      </c>
      <c r="C812" s="19">
        <v>541330</v>
      </c>
      <c r="D812" s="19" t="s">
        <v>4202</v>
      </c>
    </row>
    <row r="813" spans="1:4" x14ac:dyDescent="0.25">
      <c r="A813" s="19">
        <v>541340</v>
      </c>
      <c r="B813" s="19" t="s">
        <v>4204</v>
      </c>
      <c r="C813" s="19">
        <v>541340</v>
      </c>
      <c r="D813" s="19" t="s">
        <v>4204</v>
      </c>
    </row>
    <row r="814" spans="1:4" x14ac:dyDescent="0.25">
      <c r="A814" s="19">
        <v>541350</v>
      </c>
      <c r="B814" s="19" t="s">
        <v>4206</v>
      </c>
      <c r="C814" s="19">
        <v>541350</v>
      </c>
      <c r="D814" s="19" t="s">
        <v>4206</v>
      </c>
    </row>
    <row r="815" spans="1:4" ht="25.5" x14ac:dyDescent="0.25">
      <c r="A815" s="19">
        <v>541360</v>
      </c>
      <c r="B815" s="19" t="s">
        <v>4208</v>
      </c>
      <c r="C815" s="19">
        <v>541360</v>
      </c>
      <c r="D815" s="19" t="s">
        <v>4208</v>
      </c>
    </row>
    <row r="816" spans="1:4" ht="25.5" x14ac:dyDescent="0.25">
      <c r="A816" s="19">
        <v>541370</v>
      </c>
      <c r="B816" s="19" t="s">
        <v>4210</v>
      </c>
      <c r="C816" s="19">
        <v>541370</v>
      </c>
      <c r="D816" s="19" t="s">
        <v>4210</v>
      </c>
    </row>
    <row r="817" spans="1:4" x14ac:dyDescent="0.25">
      <c r="A817" s="19">
        <v>541380</v>
      </c>
      <c r="B817" s="19" t="s">
        <v>4212</v>
      </c>
      <c r="C817" s="19">
        <v>541380</v>
      </c>
      <c r="D817" s="19" t="s">
        <v>4212</v>
      </c>
    </row>
    <row r="818" spans="1:4" x14ac:dyDescent="0.25">
      <c r="A818" s="19">
        <v>541410</v>
      </c>
      <c r="B818" s="19" t="s">
        <v>4214</v>
      </c>
      <c r="C818" s="19">
        <v>541410</v>
      </c>
      <c r="D818" s="19" t="s">
        <v>4214</v>
      </c>
    </row>
    <row r="819" spans="1:4" x14ac:dyDescent="0.25">
      <c r="A819" s="19">
        <v>541420</v>
      </c>
      <c r="B819" s="19" t="s">
        <v>4216</v>
      </c>
      <c r="C819" s="19">
        <v>541420</v>
      </c>
      <c r="D819" s="19" t="s">
        <v>4216</v>
      </c>
    </row>
    <row r="820" spans="1:4" x14ac:dyDescent="0.25">
      <c r="A820" s="19">
        <v>541430</v>
      </c>
      <c r="B820" s="19" t="s">
        <v>4218</v>
      </c>
      <c r="C820" s="19">
        <v>541430</v>
      </c>
      <c r="D820" s="19" t="s">
        <v>4218</v>
      </c>
    </row>
    <row r="821" spans="1:4" x14ac:dyDescent="0.25">
      <c r="A821" s="19">
        <v>541490</v>
      </c>
      <c r="B821" s="19" t="s">
        <v>4220</v>
      </c>
      <c r="C821" s="19">
        <v>541490</v>
      </c>
      <c r="D821" s="19" t="s">
        <v>4220</v>
      </c>
    </row>
    <row r="822" spans="1:4" ht="25.5" x14ac:dyDescent="0.25">
      <c r="A822" s="19">
        <v>541511</v>
      </c>
      <c r="B822" s="19" t="s">
        <v>4222</v>
      </c>
      <c r="C822" s="19">
        <v>541511</v>
      </c>
      <c r="D822" s="19" t="s">
        <v>4222</v>
      </c>
    </row>
    <row r="823" spans="1:4" x14ac:dyDescent="0.25">
      <c r="A823" s="19">
        <v>541512</v>
      </c>
      <c r="B823" s="19" t="s">
        <v>4224</v>
      </c>
      <c r="C823" s="19">
        <v>541512</v>
      </c>
      <c r="D823" s="19" t="s">
        <v>4224</v>
      </c>
    </row>
    <row r="824" spans="1:4" ht="25.5" x14ac:dyDescent="0.25">
      <c r="A824" s="19">
        <v>541513</v>
      </c>
      <c r="B824" s="19" t="s">
        <v>4226</v>
      </c>
      <c r="C824" s="19">
        <v>541513</v>
      </c>
      <c r="D824" s="19" t="s">
        <v>4226</v>
      </c>
    </row>
    <row r="825" spans="1:4" x14ac:dyDescent="0.25">
      <c r="A825" s="19">
        <v>541519</v>
      </c>
      <c r="B825" s="19" t="s">
        <v>4228</v>
      </c>
      <c r="C825" s="19">
        <v>541519</v>
      </c>
      <c r="D825" s="19" t="s">
        <v>4228</v>
      </c>
    </row>
    <row r="826" spans="1:4" ht="25.5" x14ac:dyDescent="0.25">
      <c r="A826" s="19">
        <v>541611</v>
      </c>
      <c r="B826" s="19" t="s">
        <v>4230</v>
      </c>
      <c r="C826" s="19">
        <v>541611</v>
      </c>
      <c r="D826" s="19" t="s">
        <v>4230</v>
      </c>
    </row>
    <row r="827" spans="1:4" x14ac:dyDescent="0.25">
      <c r="A827" s="19">
        <v>541612</v>
      </c>
      <c r="B827" s="19" t="s">
        <v>4232</v>
      </c>
      <c r="C827" s="19">
        <v>541612</v>
      </c>
      <c r="D827" s="19" t="s">
        <v>4232</v>
      </c>
    </row>
    <row r="828" spans="1:4" x14ac:dyDescent="0.25">
      <c r="A828" s="19">
        <v>541613</v>
      </c>
      <c r="B828" s="19" t="s">
        <v>4234</v>
      </c>
      <c r="C828" s="19">
        <v>541613</v>
      </c>
      <c r="D828" s="19" t="s">
        <v>4234</v>
      </c>
    </row>
    <row r="829" spans="1:4" ht="25.5" x14ac:dyDescent="0.25">
      <c r="A829" s="19">
        <v>541614</v>
      </c>
      <c r="B829" s="19" t="s">
        <v>4236</v>
      </c>
      <c r="C829" s="19">
        <v>541614</v>
      </c>
      <c r="D829" s="19" t="s">
        <v>4236</v>
      </c>
    </row>
    <row r="830" spans="1:4" x14ac:dyDescent="0.25">
      <c r="A830" s="19">
        <v>541618</v>
      </c>
      <c r="B830" s="19" t="s">
        <v>4238</v>
      </c>
      <c r="C830" s="19">
        <v>541618</v>
      </c>
      <c r="D830" s="19" t="s">
        <v>4238</v>
      </c>
    </row>
    <row r="831" spans="1:4" x14ac:dyDescent="0.25">
      <c r="A831" s="19">
        <v>541620</v>
      </c>
      <c r="B831" s="19" t="s">
        <v>4240</v>
      </c>
      <c r="C831" s="19">
        <v>541620</v>
      </c>
      <c r="D831" s="19" t="s">
        <v>4240</v>
      </c>
    </row>
    <row r="832" spans="1:4" ht="25.5" x14ac:dyDescent="0.25">
      <c r="A832" s="19">
        <v>541690</v>
      </c>
      <c r="B832" s="19" t="s">
        <v>4242</v>
      </c>
      <c r="C832" s="19">
        <v>541690</v>
      </c>
      <c r="D832" s="19" t="s">
        <v>4242</v>
      </c>
    </row>
    <row r="833" spans="1:4" ht="51" x14ac:dyDescent="0.25">
      <c r="A833" s="21">
        <v>541711</v>
      </c>
      <c r="B833" s="19" t="s">
        <v>6130</v>
      </c>
      <c r="C833" s="20">
        <v>541713</v>
      </c>
      <c r="D833" s="19" t="s">
        <v>4244</v>
      </c>
    </row>
    <row r="834" spans="1:4" ht="51" x14ac:dyDescent="0.25">
      <c r="A834" s="21">
        <v>541711</v>
      </c>
      <c r="B834" s="19" t="s">
        <v>6131</v>
      </c>
      <c r="C834" s="19">
        <v>541714</v>
      </c>
      <c r="D834" s="19" t="s">
        <v>4246</v>
      </c>
    </row>
    <row r="835" spans="1:4" ht="63.75" x14ac:dyDescent="0.25">
      <c r="A835" s="21">
        <v>541712</v>
      </c>
      <c r="B835" s="19" t="s">
        <v>6132</v>
      </c>
      <c r="C835" s="20">
        <v>541713</v>
      </c>
      <c r="D835" s="19" t="s">
        <v>4244</v>
      </c>
    </row>
    <row r="836" spans="1:4" ht="63.75" x14ac:dyDescent="0.25">
      <c r="A836" s="21">
        <v>541712</v>
      </c>
      <c r="B836" s="19" t="s">
        <v>6133</v>
      </c>
      <c r="C836" s="19">
        <v>541715</v>
      </c>
      <c r="D836" s="19" t="s">
        <v>4248</v>
      </c>
    </row>
    <row r="837" spans="1:4" ht="25.5" x14ac:dyDescent="0.25">
      <c r="A837" s="19">
        <v>541720</v>
      </c>
      <c r="B837" s="19" t="s">
        <v>4250</v>
      </c>
      <c r="C837" s="19">
        <v>541720</v>
      </c>
      <c r="D837" s="19" t="s">
        <v>4250</v>
      </c>
    </row>
    <row r="838" spans="1:4" x14ac:dyDescent="0.25">
      <c r="A838" s="19">
        <v>541810</v>
      </c>
      <c r="B838" s="19" t="s">
        <v>4252</v>
      </c>
      <c r="C838" s="19">
        <v>541810</v>
      </c>
      <c r="D838" s="19" t="s">
        <v>4252</v>
      </c>
    </row>
    <row r="839" spans="1:4" x14ac:dyDescent="0.25">
      <c r="A839" s="19">
        <v>541820</v>
      </c>
      <c r="B839" s="19" t="s">
        <v>4254</v>
      </c>
      <c r="C839" s="19">
        <v>541820</v>
      </c>
      <c r="D839" s="19" t="s">
        <v>4254</v>
      </c>
    </row>
    <row r="840" spans="1:4" x14ac:dyDescent="0.25">
      <c r="A840" s="19">
        <v>541830</v>
      </c>
      <c r="B840" s="19" t="s">
        <v>4256</v>
      </c>
      <c r="C840" s="19">
        <v>541830</v>
      </c>
      <c r="D840" s="19" t="s">
        <v>4256</v>
      </c>
    </row>
    <row r="841" spans="1:4" x14ac:dyDescent="0.25">
      <c r="A841" s="19">
        <v>541840</v>
      </c>
      <c r="B841" s="19" t="s">
        <v>4258</v>
      </c>
      <c r="C841" s="19">
        <v>541840</v>
      </c>
      <c r="D841" s="19" t="s">
        <v>4258</v>
      </c>
    </row>
    <row r="842" spans="1:4" x14ac:dyDescent="0.25">
      <c r="A842" s="19">
        <v>541850</v>
      </c>
      <c r="B842" s="19" t="s">
        <v>4260</v>
      </c>
      <c r="C842" s="19">
        <v>541850</v>
      </c>
      <c r="D842" s="19" t="s">
        <v>4260</v>
      </c>
    </row>
    <row r="843" spans="1:4" x14ac:dyDescent="0.25">
      <c r="A843" s="19">
        <v>541860</v>
      </c>
      <c r="B843" s="19" t="s">
        <v>4262</v>
      </c>
      <c r="C843" s="19">
        <v>541860</v>
      </c>
      <c r="D843" s="19" t="s">
        <v>4262</v>
      </c>
    </row>
    <row r="844" spans="1:4" x14ac:dyDescent="0.25">
      <c r="A844" s="19">
        <v>541870</v>
      </c>
      <c r="B844" s="19" t="s">
        <v>4264</v>
      </c>
      <c r="C844" s="19">
        <v>541870</v>
      </c>
      <c r="D844" s="19" t="s">
        <v>4264</v>
      </c>
    </row>
    <row r="845" spans="1:4" x14ac:dyDescent="0.25">
      <c r="A845" s="19">
        <v>541890</v>
      </c>
      <c r="B845" s="19" t="s">
        <v>4266</v>
      </c>
      <c r="C845" s="19">
        <v>541890</v>
      </c>
      <c r="D845" s="19" t="s">
        <v>4266</v>
      </c>
    </row>
    <row r="846" spans="1:4" ht="25.5" x14ac:dyDescent="0.25">
      <c r="A846" s="19">
        <v>541910</v>
      </c>
      <c r="B846" s="19" t="s">
        <v>4268</v>
      </c>
      <c r="C846" s="19">
        <v>541910</v>
      </c>
      <c r="D846" s="19" t="s">
        <v>4268</v>
      </c>
    </row>
    <row r="847" spans="1:4" x14ac:dyDescent="0.25">
      <c r="A847" s="19">
        <v>541921</v>
      </c>
      <c r="B847" s="19" t="s">
        <v>4270</v>
      </c>
      <c r="C847" s="19">
        <v>541921</v>
      </c>
      <c r="D847" s="19" t="s">
        <v>4270</v>
      </c>
    </row>
    <row r="848" spans="1:4" x14ac:dyDescent="0.25">
      <c r="A848" s="19">
        <v>541922</v>
      </c>
      <c r="B848" s="19" t="s">
        <v>4272</v>
      </c>
      <c r="C848" s="19">
        <v>541922</v>
      </c>
      <c r="D848" s="19" t="s">
        <v>4272</v>
      </c>
    </row>
    <row r="849" spans="1:4" x14ac:dyDescent="0.25">
      <c r="A849" s="19">
        <v>541930</v>
      </c>
      <c r="B849" s="19" t="s">
        <v>4274</v>
      </c>
      <c r="C849" s="19">
        <v>541930</v>
      </c>
      <c r="D849" s="19" t="s">
        <v>4274</v>
      </c>
    </row>
    <row r="850" spans="1:4" x14ac:dyDescent="0.25">
      <c r="A850" s="19">
        <v>541940</v>
      </c>
      <c r="B850" s="19" t="s">
        <v>4276</v>
      </c>
      <c r="C850" s="19">
        <v>541940</v>
      </c>
      <c r="D850" s="19" t="s">
        <v>4276</v>
      </c>
    </row>
    <row r="851" spans="1:4" ht="25.5" x14ac:dyDescent="0.25">
      <c r="A851" s="19">
        <v>541990</v>
      </c>
      <c r="B851" s="19" t="s">
        <v>4278</v>
      </c>
      <c r="C851" s="19">
        <v>541990</v>
      </c>
      <c r="D851" s="19" t="s">
        <v>4278</v>
      </c>
    </row>
    <row r="852" spans="1:4" x14ac:dyDescent="0.25">
      <c r="A852" s="19">
        <v>551111</v>
      </c>
      <c r="B852" s="19" t="s">
        <v>4280</v>
      </c>
      <c r="C852" s="19">
        <v>551111</v>
      </c>
      <c r="D852" s="19" t="s">
        <v>4280</v>
      </c>
    </row>
    <row r="853" spans="1:4" x14ac:dyDescent="0.25">
      <c r="A853" s="19">
        <v>551112</v>
      </c>
      <c r="B853" s="19" t="s">
        <v>4282</v>
      </c>
      <c r="C853" s="19">
        <v>551112</v>
      </c>
      <c r="D853" s="19" t="s">
        <v>4282</v>
      </c>
    </row>
    <row r="854" spans="1:4" ht="25.5" x14ac:dyDescent="0.25">
      <c r="A854" s="19">
        <v>551114</v>
      </c>
      <c r="B854" s="19" t="s">
        <v>4284</v>
      </c>
      <c r="C854" s="19">
        <v>551114</v>
      </c>
      <c r="D854" s="19" t="s">
        <v>4284</v>
      </c>
    </row>
    <row r="855" spans="1:4" x14ac:dyDescent="0.25">
      <c r="A855" s="19">
        <v>561110</v>
      </c>
      <c r="B855" s="19" t="s">
        <v>4286</v>
      </c>
      <c r="C855" s="19">
        <v>561110</v>
      </c>
      <c r="D855" s="19" t="s">
        <v>4286</v>
      </c>
    </row>
    <row r="856" spans="1:4" x14ac:dyDescent="0.25">
      <c r="A856" s="19">
        <v>561210</v>
      </c>
      <c r="B856" s="19" t="s">
        <v>4288</v>
      </c>
      <c r="C856" s="19">
        <v>561210</v>
      </c>
      <c r="D856" s="19" t="s">
        <v>4288</v>
      </c>
    </row>
    <row r="857" spans="1:4" x14ac:dyDescent="0.25">
      <c r="A857" s="19">
        <v>561311</v>
      </c>
      <c r="B857" s="19" t="s">
        <v>4290</v>
      </c>
      <c r="C857" s="19">
        <v>561311</v>
      </c>
      <c r="D857" s="19" t="s">
        <v>4290</v>
      </c>
    </row>
    <row r="858" spans="1:4" x14ac:dyDescent="0.25">
      <c r="A858" s="19">
        <v>561312</v>
      </c>
      <c r="B858" s="19" t="s">
        <v>4292</v>
      </c>
      <c r="C858" s="19">
        <v>561312</v>
      </c>
      <c r="D858" s="19" t="s">
        <v>4292</v>
      </c>
    </row>
    <row r="859" spans="1:4" x14ac:dyDescent="0.25">
      <c r="A859" s="19">
        <v>561320</v>
      </c>
      <c r="B859" s="19" t="s">
        <v>4294</v>
      </c>
      <c r="C859" s="19">
        <v>561320</v>
      </c>
      <c r="D859" s="19" t="s">
        <v>4294</v>
      </c>
    </row>
    <row r="860" spans="1:4" x14ac:dyDescent="0.25">
      <c r="A860" s="19">
        <v>561330</v>
      </c>
      <c r="B860" s="19" t="s">
        <v>4296</v>
      </c>
      <c r="C860" s="19">
        <v>561330</v>
      </c>
      <c r="D860" s="19" t="s">
        <v>4296</v>
      </c>
    </row>
    <row r="861" spans="1:4" x14ac:dyDescent="0.25">
      <c r="A861" s="19">
        <v>561410</v>
      </c>
      <c r="B861" s="19" t="s">
        <v>4298</v>
      </c>
      <c r="C861" s="19">
        <v>561410</v>
      </c>
      <c r="D861" s="19" t="s">
        <v>4298</v>
      </c>
    </row>
    <row r="862" spans="1:4" x14ac:dyDescent="0.25">
      <c r="A862" s="19">
        <v>561421</v>
      </c>
      <c r="B862" s="19" t="s">
        <v>4300</v>
      </c>
      <c r="C862" s="19">
        <v>561421</v>
      </c>
      <c r="D862" s="19" t="s">
        <v>4300</v>
      </c>
    </row>
    <row r="863" spans="1:4" ht="25.5" x14ac:dyDescent="0.25">
      <c r="A863" s="19">
        <v>561422</v>
      </c>
      <c r="B863" s="19" t="s">
        <v>4302</v>
      </c>
      <c r="C863" s="19">
        <v>561422</v>
      </c>
      <c r="D863" s="19" t="s">
        <v>4302</v>
      </c>
    </row>
    <row r="864" spans="1:4" x14ac:dyDescent="0.25">
      <c r="A864" s="19">
        <v>561431</v>
      </c>
      <c r="B864" s="19" t="s">
        <v>4304</v>
      </c>
      <c r="C864" s="19">
        <v>561431</v>
      </c>
      <c r="D864" s="19" t="s">
        <v>4304</v>
      </c>
    </row>
    <row r="865" spans="1:4" ht="25.5" x14ac:dyDescent="0.25">
      <c r="A865" s="19">
        <v>561439</v>
      </c>
      <c r="B865" s="19" t="s">
        <v>4306</v>
      </c>
      <c r="C865" s="19">
        <v>561439</v>
      </c>
      <c r="D865" s="19" t="s">
        <v>4306</v>
      </c>
    </row>
    <row r="866" spans="1:4" x14ac:dyDescent="0.25">
      <c r="A866" s="19">
        <v>561440</v>
      </c>
      <c r="B866" s="19" t="s">
        <v>4308</v>
      </c>
      <c r="C866" s="19">
        <v>561440</v>
      </c>
      <c r="D866" s="19" t="s">
        <v>4308</v>
      </c>
    </row>
    <row r="867" spans="1:4" x14ac:dyDescent="0.25">
      <c r="A867" s="19">
        <v>561450</v>
      </c>
      <c r="B867" s="19" t="s">
        <v>4310</v>
      </c>
      <c r="C867" s="19">
        <v>561450</v>
      </c>
      <c r="D867" s="19" t="s">
        <v>4310</v>
      </c>
    </row>
    <row r="868" spans="1:4" x14ac:dyDescent="0.25">
      <c r="A868" s="19">
        <v>561491</v>
      </c>
      <c r="B868" s="19" t="s">
        <v>4312</v>
      </c>
      <c r="C868" s="19">
        <v>561491</v>
      </c>
      <c r="D868" s="19" t="s">
        <v>4312</v>
      </c>
    </row>
    <row r="869" spans="1:4" x14ac:dyDescent="0.25">
      <c r="A869" s="19">
        <v>561492</v>
      </c>
      <c r="B869" s="19" t="s">
        <v>4314</v>
      </c>
      <c r="C869" s="19">
        <v>561492</v>
      </c>
      <c r="D869" s="19" t="s">
        <v>4314</v>
      </c>
    </row>
    <row r="870" spans="1:4" x14ac:dyDescent="0.25">
      <c r="A870" s="19">
        <v>561499</v>
      </c>
      <c r="B870" s="19" t="s">
        <v>4316</v>
      </c>
      <c r="C870" s="19">
        <v>561499</v>
      </c>
      <c r="D870" s="19" t="s">
        <v>4316</v>
      </c>
    </row>
    <row r="871" spans="1:4" x14ac:dyDescent="0.25">
      <c r="A871" s="19">
        <v>561510</v>
      </c>
      <c r="B871" s="19" t="s">
        <v>4318</v>
      </c>
      <c r="C871" s="19">
        <v>561510</v>
      </c>
      <c r="D871" s="19" t="s">
        <v>4318</v>
      </c>
    </row>
    <row r="872" spans="1:4" x14ac:dyDescent="0.25">
      <c r="A872" s="19">
        <v>561520</v>
      </c>
      <c r="B872" s="19" t="s">
        <v>4320</v>
      </c>
      <c r="C872" s="19">
        <v>561520</v>
      </c>
      <c r="D872" s="19" t="s">
        <v>4320</v>
      </c>
    </row>
    <row r="873" spans="1:4" x14ac:dyDescent="0.25">
      <c r="A873" s="19">
        <v>561591</v>
      </c>
      <c r="B873" s="19" t="s">
        <v>4322</v>
      </c>
      <c r="C873" s="19">
        <v>561591</v>
      </c>
      <c r="D873" s="19" t="s">
        <v>4322</v>
      </c>
    </row>
    <row r="874" spans="1:4" ht="25.5" x14ac:dyDescent="0.25">
      <c r="A874" s="19">
        <v>561599</v>
      </c>
      <c r="B874" s="19" t="s">
        <v>4324</v>
      </c>
      <c r="C874" s="19">
        <v>561599</v>
      </c>
      <c r="D874" s="19" t="s">
        <v>4324</v>
      </c>
    </row>
    <row r="875" spans="1:4" x14ac:dyDescent="0.25">
      <c r="A875" s="19">
        <v>561611</v>
      </c>
      <c r="B875" s="19" t="s">
        <v>4326</v>
      </c>
      <c r="C875" s="19">
        <v>561611</v>
      </c>
      <c r="D875" s="19" t="s">
        <v>4326</v>
      </c>
    </row>
    <row r="876" spans="1:4" x14ac:dyDescent="0.25">
      <c r="A876" s="19">
        <v>561612</v>
      </c>
      <c r="B876" s="19" t="s">
        <v>4328</v>
      </c>
      <c r="C876" s="19">
        <v>561612</v>
      </c>
      <c r="D876" s="19" t="s">
        <v>4328</v>
      </c>
    </row>
    <row r="877" spans="1:4" x14ac:dyDescent="0.25">
      <c r="A877" s="19">
        <v>561613</v>
      </c>
      <c r="B877" s="19" t="s">
        <v>4330</v>
      </c>
      <c r="C877" s="19">
        <v>561613</v>
      </c>
      <c r="D877" s="19" t="s">
        <v>4330</v>
      </c>
    </row>
    <row r="878" spans="1:4" ht="25.5" x14ac:dyDescent="0.25">
      <c r="A878" s="19">
        <v>561621</v>
      </c>
      <c r="B878" s="19" t="s">
        <v>4332</v>
      </c>
      <c r="C878" s="19">
        <v>561621</v>
      </c>
      <c r="D878" s="19" t="s">
        <v>4332</v>
      </c>
    </row>
    <row r="879" spans="1:4" x14ac:dyDescent="0.25">
      <c r="A879" s="19">
        <v>561622</v>
      </c>
      <c r="B879" s="19" t="s">
        <v>4334</v>
      </c>
      <c r="C879" s="19">
        <v>561622</v>
      </c>
      <c r="D879" s="19" t="s">
        <v>4334</v>
      </c>
    </row>
    <row r="880" spans="1:4" x14ac:dyDescent="0.25">
      <c r="A880" s="19">
        <v>561710</v>
      </c>
      <c r="B880" s="19" t="s">
        <v>4335</v>
      </c>
      <c r="C880" s="19">
        <v>561710</v>
      </c>
      <c r="D880" s="19" t="s">
        <v>4335</v>
      </c>
    </row>
    <row r="881" spans="1:4" x14ac:dyDescent="0.25">
      <c r="A881" s="19">
        <v>561720</v>
      </c>
      <c r="B881" s="19" t="s">
        <v>4337</v>
      </c>
      <c r="C881" s="19">
        <v>561720</v>
      </c>
      <c r="D881" s="19" t="s">
        <v>4337</v>
      </c>
    </row>
    <row r="882" spans="1:4" x14ac:dyDescent="0.25">
      <c r="A882" s="19">
        <v>561730</v>
      </c>
      <c r="B882" s="19" t="s">
        <v>4339</v>
      </c>
      <c r="C882" s="19">
        <v>561730</v>
      </c>
      <c r="D882" s="19" t="s">
        <v>4339</v>
      </c>
    </row>
    <row r="883" spans="1:4" x14ac:dyDescent="0.25">
      <c r="A883" s="19">
        <v>561740</v>
      </c>
      <c r="B883" s="19" t="s">
        <v>4341</v>
      </c>
      <c r="C883" s="19">
        <v>561740</v>
      </c>
      <c r="D883" s="19" t="s">
        <v>4341</v>
      </c>
    </row>
    <row r="884" spans="1:4" ht="25.5" x14ac:dyDescent="0.25">
      <c r="A884" s="19">
        <v>561790</v>
      </c>
      <c r="B884" s="19" t="s">
        <v>4343</v>
      </c>
      <c r="C884" s="19">
        <v>561790</v>
      </c>
      <c r="D884" s="19" t="s">
        <v>4343</v>
      </c>
    </row>
    <row r="885" spans="1:4" x14ac:dyDescent="0.25">
      <c r="A885" s="19">
        <v>561910</v>
      </c>
      <c r="B885" s="19" t="s">
        <v>4345</v>
      </c>
      <c r="C885" s="19">
        <v>561910</v>
      </c>
      <c r="D885" s="19" t="s">
        <v>4345</v>
      </c>
    </row>
    <row r="886" spans="1:4" x14ac:dyDescent="0.25">
      <c r="A886" s="19">
        <v>561920</v>
      </c>
      <c r="B886" s="19" t="s">
        <v>4347</v>
      </c>
      <c r="C886" s="19">
        <v>561920</v>
      </c>
      <c r="D886" s="19" t="s">
        <v>4347</v>
      </c>
    </row>
    <row r="887" spans="1:4" x14ac:dyDescent="0.25">
      <c r="A887" s="19">
        <v>561990</v>
      </c>
      <c r="B887" s="19" t="s">
        <v>4349</v>
      </c>
      <c r="C887" s="19">
        <v>561990</v>
      </c>
      <c r="D887" s="19" t="s">
        <v>4349</v>
      </c>
    </row>
    <row r="888" spans="1:4" x14ac:dyDescent="0.25">
      <c r="A888" s="19">
        <v>562111</v>
      </c>
      <c r="B888" s="19" t="s">
        <v>4351</v>
      </c>
      <c r="C888" s="19">
        <v>562111</v>
      </c>
      <c r="D888" s="19" t="s">
        <v>4351</v>
      </c>
    </row>
    <row r="889" spans="1:4" x14ac:dyDescent="0.25">
      <c r="A889" s="19">
        <v>562112</v>
      </c>
      <c r="B889" s="19" t="s">
        <v>4353</v>
      </c>
      <c r="C889" s="19">
        <v>562112</v>
      </c>
      <c r="D889" s="19" t="s">
        <v>4353</v>
      </c>
    </row>
    <row r="890" spans="1:4" x14ac:dyDescent="0.25">
      <c r="A890" s="19">
        <v>562119</v>
      </c>
      <c r="B890" s="19" t="s">
        <v>4355</v>
      </c>
      <c r="C890" s="19">
        <v>562119</v>
      </c>
      <c r="D890" s="19" t="s">
        <v>4355</v>
      </c>
    </row>
    <row r="891" spans="1:4" ht="25.5" x14ac:dyDescent="0.25">
      <c r="A891" s="19">
        <v>562211</v>
      </c>
      <c r="B891" s="19" t="s">
        <v>2409</v>
      </c>
      <c r="C891" s="19">
        <v>562211</v>
      </c>
      <c r="D891" s="19" t="s">
        <v>2409</v>
      </c>
    </row>
    <row r="892" spans="1:4" x14ac:dyDescent="0.25">
      <c r="A892" s="19">
        <v>562212</v>
      </c>
      <c r="B892" s="19" t="s">
        <v>4358</v>
      </c>
      <c r="C892" s="19">
        <v>562212</v>
      </c>
      <c r="D892" s="19" t="s">
        <v>4358</v>
      </c>
    </row>
    <row r="893" spans="1:4" ht="25.5" x14ac:dyDescent="0.25">
      <c r="A893" s="19">
        <v>562213</v>
      </c>
      <c r="B893" s="19" t="s">
        <v>2416</v>
      </c>
      <c r="C893" s="19">
        <v>562213</v>
      </c>
      <c r="D893" s="19" t="s">
        <v>2416</v>
      </c>
    </row>
    <row r="894" spans="1:4" ht="25.5" x14ac:dyDescent="0.25">
      <c r="A894" s="19">
        <v>562219</v>
      </c>
      <c r="B894" s="19" t="s">
        <v>4361</v>
      </c>
      <c r="C894" s="19">
        <v>562219</v>
      </c>
      <c r="D894" s="19" t="s">
        <v>4361</v>
      </c>
    </row>
    <row r="895" spans="1:4" x14ac:dyDescent="0.25">
      <c r="A895" s="19">
        <v>562910</v>
      </c>
      <c r="B895" s="19" t="s">
        <v>4363</v>
      </c>
      <c r="C895" s="19">
        <v>562910</v>
      </c>
      <c r="D895" s="19" t="s">
        <v>4363</v>
      </c>
    </row>
    <row r="896" spans="1:4" x14ac:dyDescent="0.25">
      <c r="A896" s="19">
        <v>562920</v>
      </c>
      <c r="B896" s="19" t="s">
        <v>4365</v>
      </c>
      <c r="C896" s="19">
        <v>562920</v>
      </c>
      <c r="D896" s="19" t="s">
        <v>4365</v>
      </c>
    </row>
    <row r="897" spans="1:4" x14ac:dyDescent="0.25">
      <c r="A897" s="19">
        <v>562991</v>
      </c>
      <c r="B897" s="19" t="s">
        <v>4367</v>
      </c>
      <c r="C897" s="19">
        <v>562991</v>
      </c>
      <c r="D897" s="19" t="s">
        <v>4367</v>
      </c>
    </row>
    <row r="898" spans="1:4" ht="25.5" x14ac:dyDescent="0.25">
      <c r="A898" s="19">
        <v>562998</v>
      </c>
      <c r="B898" s="19" t="s">
        <v>4369</v>
      </c>
      <c r="C898" s="19">
        <v>562998</v>
      </c>
      <c r="D898" s="19" t="s">
        <v>4369</v>
      </c>
    </row>
    <row r="899" spans="1:4" x14ac:dyDescent="0.25">
      <c r="A899" s="19">
        <v>611110</v>
      </c>
      <c r="B899" s="19" t="s">
        <v>4371</v>
      </c>
      <c r="C899" s="19">
        <v>611110</v>
      </c>
      <c r="D899" s="19" t="s">
        <v>4371</v>
      </c>
    </row>
    <row r="900" spans="1:4" x14ac:dyDescent="0.25">
      <c r="A900" s="19">
        <v>611210</v>
      </c>
      <c r="B900" s="19" t="s">
        <v>4373</v>
      </c>
      <c r="C900" s="19">
        <v>611210</v>
      </c>
      <c r="D900" s="19" t="s">
        <v>4373</v>
      </c>
    </row>
    <row r="901" spans="1:4" ht="25.5" x14ac:dyDescent="0.25">
      <c r="A901" s="19">
        <v>611310</v>
      </c>
      <c r="B901" s="19" t="s">
        <v>4375</v>
      </c>
      <c r="C901" s="19">
        <v>611310</v>
      </c>
      <c r="D901" s="19" t="s">
        <v>4375</v>
      </c>
    </row>
    <row r="902" spans="1:4" x14ac:dyDescent="0.25">
      <c r="A902" s="19">
        <v>611410</v>
      </c>
      <c r="B902" s="19" t="s">
        <v>4377</v>
      </c>
      <c r="C902" s="19">
        <v>611410</v>
      </c>
      <c r="D902" s="19" t="s">
        <v>4377</v>
      </c>
    </row>
    <row r="903" spans="1:4" x14ac:dyDescent="0.25">
      <c r="A903" s="19">
        <v>611420</v>
      </c>
      <c r="B903" s="19" t="s">
        <v>4379</v>
      </c>
      <c r="C903" s="19">
        <v>611420</v>
      </c>
      <c r="D903" s="19" t="s">
        <v>4379</v>
      </c>
    </row>
    <row r="904" spans="1:4" ht="25.5" x14ac:dyDescent="0.25">
      <c r="A904" s="19">
        <v>611430</v>
      </c>
      <c r="B904" s="19" t="s">
        <v>4381</v>
      </c>
      <c r="C904" s="19">
        <v>611430</v>
      </c>
      <c r="D904" s="19" t="s">
        <v>4381</v>
      </c>
    </row>
    <row r="905" spans="1:4" x14ac:dyDescent="0.25">
      <c r="A905" s="19">
        <v>611511</v>
      </c>
      <c r="B905" s="19" t="s">
        <v>4383</v>
      </c>
      <c r="C905" s="19">
        <v>611511</v>
      </c>
      <c r="D905" s="19" t="s">
        <v>4383</v>
      </c>
    </row>
    <row r="906" spans="1:4" x14ac:dyDescent="0.25">
      <c r="A906" s="19">
        <v>611512</v>
      </c>
      <c r="B906" s="19" t="s">
        <v>4385</v>
      </c>
      <c r="C906" s="19">
        <v>611512</v>
      </c>
      <c r="D906" s="19" t="s">
        <v>4385</v>
      </c>
    </row>
    <row r="907" spans="1:4" x14ac:dyDescent="0.25">
      <c r="A907" s="19">
        <v>611513</v>
      </c>
      <c r="B907" s="19" t="s">
        <v>4387</v>
      </c>
      <c r="C907" s="19">
        <v>611513</v>
      </c>
      <c r="D907" s="19" t="s">
        <v>4387</v>
      </c>
    </row>
    <row r="908" spans="1:4" x14ac:dyDescent="0.25">
      <c r="A908" s="19">
        <v>611519</v>
      </c>
      <c r="B908" s="19" t="s">
        <v>4389</v>
      </c>
      <c r="C908" s="19">
        <v>611519</v>
      </c>
      <c r="D908" s="19" t="s">
        <v>4389</v>
      </c>
    </row>
    <row r="909" spans="1:4" x14ac:dyDescent="0.25">
      <c r="A909" s="19">
        <v>611610</v>
      </c>
      <c r="B909" s="19" t="s">
        <v>4391</v>
      </c>
      <c r="C909" s="19">
        <v>611610</v>
      </c>
      <c r="D909" s="19" t="s">
        <v>4391</v>
      </c>
    </row>
    <row r="910" spans="1:4" x14ac:dyDescent="0.25">
      <c r="A910" s="19">
        <v>611620</v>
      </c>
      <c r="B910" s="19" t="s">
        <v>4393</v>
      </c>
      <c r="C910" s="19">
        <v>611620</v>
      </c>
      <c r="D910" s="19" t="s">
        <v>4393</v>
      </c>
    </row>
    <row r="911" spans="1:4" x14ac:dyDescent="0.25">
      <c r="A911" s="19">
        <v>611630</v>
      </c>
      <c r="B911" s="19" t="s">
        <v>4395</v>
      </c>
      <c r="C911" s="19">
        <v>611630</v>
      </c>
      <c r="D911" s="19" t="s">
        <v>4395</v>
      </c>
    </row>
    <row r="912" spans="1:4" x14ac:dyDescent="0.25">
      <c r="A912" s="19">
        <v>611691</v>
      </c>
      <c r="B912" s="19" t="s">
        <v>4397</v>
      </c>
      <c r="C912" s="19">
        <v>611691</v>
      </c>
      <c r="D912" s="19" t="s">
        <v>4397</v>
      </c>
    </row>
    <row r="913" spans="1:4" x14ac:dyDescent="0.25">
      <c r="A913" s="19">
        <v>611692</v>
      </c>
      <c r="B913" s="19" t="s">
        <v>4399</v>
      </c>
      <c r="C913" s="19">
        <v>611692</v>
      </c>
      <c r="D913" s="19" t="s">
        <v>4399</v>
      </c>
    </row>
    <row r="914" spans="1:4" ht="25.5" x14ac:dyDescent="0.25">
      <c r="A914" s="19">
        <v>611699</v>
      </c>
      <c r="B914" s="19" t="s">
        <v>4401</v>
      </c>
      <c r="C914" s="19">
        <v>611699</v>
      </c>
      <c r="D914" s="19" t="s">
        <v>4401</v>
      </c>
    </row>
    <row r="915" spans="1:4" x14ac:dyDescent="0.25">
      <c r="A915" s="19">
        <v>611710</v>
      </c>
      <c r="B915" s="19" t="s">
        <v>4403</v>
      </c>
      <c r="C915" s="19">
        <v>611710</v>
      </c>
      <c r="D915" s="19" t="s">
        <v>4403</v>
      </c>
    </row>
    <row r="916" spans="1:4" ht="25.5" x14ac:dyDescent="0.25">
      <c r="A916" s="19">
        <v>621111</v>
      </c>
      <c r="B916" s="19" t="s">
        <v>4405</v>
      </c>
      <c r="C916" s="19">
        <v>621111</v>
      </c>
      <c r="D916" s="19" t="s">
        <v>4405</v>
      </c>
    </row>
    <row r="917" spans="1:4" ht="25.5" x14ac:dyDescent="0.25">
      <c r="A917" s="19">
        <v>621112</v>
      </c>
      <c r="B917" s="19" t="s">
        <v>4407</v>
      </c>
      <c r="C917" s="19">
        <v>621112</v>
      </c>
      <c r="D917" s="19" t="s">
        <v>4407</v>
      </c>
    </row>
    <row r="918" spans="1:4" x14ac:dyDescent="0.25">
      <c r="A918" s="19">
        <v>621210</v>
      </c>
      <c r="B918" s="19" t="s">
        <v>4409</v>
      </c>
      <c r="C918" s="19">
        <v>621210</v>
      </c>
      <c r="D918" s="19" t="s">
        <v>4409</v>
      </c>
    </row>
    <row r="919" spans="1:4" x14ac:dyDescent="0.25">
      <c r="A919" s="19">
        <v>621310</v>
      </c>
      <c r="B919" s="19" t="s">
        <v>4411</v>
      </c>
      <c r="C919" s="19">
        <v>621310</v>
      </c>
      <c r="D919" s="19" t="s">
        <v>4411</v>
      </c>
    </row>
    <row r="920" spans="1:4" x14ac:dyDescent="0.25">
      <c r="A920" s="19">
        <v>621320</v>
      </c>
      <c r="B920" s="19" t="s">
        <v>4413</v>
      </c>
      <c r="C920" s="19">
        <v>621320</v>
      </c>
      <c r="D920" s="19" t="s">
        <v>4413</v>
      </c>
    </row>
    <row r="921" spans="1:4" ht="25.5" x14ac:dyDescent="0.25">
      <c r="A921" s="19">
        <v>621330</v>
      </c>
      <c r="B921" s="19" t="s">
        <v>4415</v>
      </c>
      <c r="C921" s="19">
        <v>621330</v>
      </c>
      <c r="D921" s="19" t="s">
        <v>4415</v>
      </c>
    </row>
    <row r="922" spans="1:4" ht="25.5" x14ac:dyDescent="0.25">
      <c r="A922" s="19">
        <v>621340</v>
      </c>
      <c r="B922" s="19" t="s">
        <v>4417</v>
      </c>
      <c r="C922" s="19">
        <v>621340</v>
      </c>
      <c r="D922" s="19" t="s">
        <v>4417</v>
      </c>
    </row>
    <row r="923" spans="1:4" x14ac:dyDescent="0.25">
      <c r="A923" s="19">
        <v>621391</v>
      </c>
      <c r="B923" s="19" t="s">
        <v>4419</v>
      </c>
      <c r="C923" s="19">
        <v>621391</v>
      </c>
      <c r="D923" s="19" t="s">
        <v>4419</v>
      </c>
    </row>
    <row r="924" spans="1:4" ht="25.5" x14ac:dyDescent="0.25">
      <c r="A924" s="19">
        <v>621399</v>
      </c>
      <c r="B924" s="19" t="s">
        <v>4421</v>
      </c>
      <c r="C924" s="19">
        <v>621399</v>
      </c>
      <c r="D924" s="19" t="s">
        <v>4421</v>
      </c>
    </row>
    <row r="925" spans="1:4" x14ac:dyDescent="0.25">
      <c r="A925" s="19">
        <v>621410</v>
      </c>
      <c r="B925" s="19" t="s">
        <v>4423</v>
      </c>
      <c r="C925" s="19">
        <v>621410</v>
      </c>
      <c r="D925" s="19" t="s">
        <v>4423</v>
      </c>
    </row>
    <row r="926" spans="1:4" ht="25.5" x14ac:dyDescent="0.25">
      <c r="A926" s="19">
        <v>621420</v>
      </c>
      <c r="B926" s="19" t="s">
        <v>4425</v>
      </c>
      <c r="C926" s="19">
        <v>621420</v>
      </c>
      <c r="D926" s="19" t="s">
        <v>4425</v>
      </c>
    </row>
    <row r="927" spans="1:4" x14ac:dyDescent="0.25">
      <c r="A927" s="19">
        <v>621491</v>
      </c>
      <c r="B927" s="19" t="s">
        <v>4427</v>
      </c>
      <c r="C927" s="19">
        <v>621491</v>
      </c>
      <c r="D927" s="19" t="s">
        <v>4427</v>
      </c>
    </row>
    <row r="928" spans="1:4" x14ac:dyDescent="0.25">
      <c r="A928" s="19">
        <v>621492</v>
      </c>
      <c r="B928" s="19" t="s">
        <v>4429</v>
      </c>
      <c r="C928" s="19">
        <v>621492</v>
      </c>
      <c r="D928" s="19" t="s">
        <v>4429</v>
      </c>
    </row>
    <row r="929" spans="1:4" ht="25.5" x14ac:dyDescent="0.25">
      <c r="A929" s="19">
        <v>621493</v>
      </c>
      <c r="B929" s="19" t="s">
        <v>4431</v>
      </c>
      <c r="C929" s="19">
        <v>621493</v>
      </c>
      <c r="D929" s="19" t="s">
        <v>4431</v>
      </c>
    </row>
    <row r="930" spans="1:4" x14ac:dyDescent="0.25">
      <c r="A930" s="19">
        <v>621498</v>
      </c>
      <c r="B930" s="19" t="s">
        <v>4433</v>
      </c>
      <c r="C930" s="19">
        <v>621498</v>
      </c>
      <c r="D930" s="19" t="s">
        <v>4433</v>
      </c>
    </row>
    <row r="931" spans="1:4" x14ac:dyDescent="0.25">
      <c r="A931" s="19">
        <v>621511</v>
      </c>
      <c r="B931" s="19" t="s">
        <v>4434</v>
      </c>
      <c r="C931" s="19">
        <v>621511</v>
      </c>
      <c r="D931" s="19" t="s">
        <v>4434</v>
      </c>
    </row>
    <row r="932" spans="1:4" x14ac:dyDescent="0.25">
      <c r="A932" s="19">
        <v>621512</v>
      </c>
      <c r="B932" s="19" t="s">
        <v>4436</v>
      </c>
      <c r="C932" s="19">
        <v>621512</v>
      </c>
      <c r="D932" s="19" t="s">
        <v>4436</v>
      </c>
    </row>
    <row r="933" spans="1:4" x14ac:dyDescent="0.25">
      <c r="A933" s="19">
        <v>621610</v>
      </c>
      <c r="B933" s="19" t="s">
        <v>4438</v>
      </c>
      <c r="C933" s="19">
        <v>621610</v>
      </c>
      <c r="D933" s="19" t="s">
        <v>4438</v>
      </c>
    </row>
    <row r="934" spans="1:4" x14ac:dyDescent="0.25">
      <c r="A934" s="19">
        <v>621910</v>
      </c>
      <c r="B934" s="19" t="s">
        <v>4440</v>
      </c>
      <c r="C934" s="19">
        <v>621910</v>
      </c>
      <c r="D934" s="19" t="s">
        <v>4440</v>
      </c>
    </row>
    <row r="935" spans="1:4" x14ac:dyDescent="0.25">
      <c r="A935" s="19">
        <v>621991</v>
      </c>
      <c r="B935" s="19" t="s">
        <v>4442</v>
      </c>
      <c r="C935" s="19">
        <v>621991</v>
      </c>
      <c r="D935" s="19" t="s">
        <v>4442</v>
      </c>
    </row>
    <row r="936" spans="1:4" ht="25.5" x14ac:dyDescent="0.25">
      <c r="A936" s="19">
        <v>621999</v>
      </c>
      <c r="B936" s="19" t="s">
        <v>4444</v>
      </c>
      <c r="C936" s="19">
        <v>621999</v>
      </c>
      <c r="D936" s="19" t="s">
        <v>4444</v>
      </c>
    </row>
    <row r="937" spans="1:4" x14ac:dyDescent="0.25">
      <c r="A937" s="19">
        <v>622110</v>
      </c>
      <c r="B937" s="19" t="s">
        <v>4446</v>
      </c>
      <c r="C937" s="19">
        <v>622110</v>
      </c>
      <c r="D937" s="19" t="s">
        <v>4446</v>
      </c>
    </row>
    <row r="938" spans="1:4" ht="25.5" x14ac:dyDescent="0.25">
      <c r="A938" s="19">
        <v>622210</v>
      </c>
      <c r="B938" s="19" t="s">
        <v>4448</v>
      </c>
      <c r="C938" s="19">
        <v>622210</v>
      </c>
      <c r="D938" s="19" t="s">
        <v>4448</v>
      </c>
    </row>
    <row r="939" spans="1:4" ht="25.5" x14ac:dyDescent="0.25">
      <c r="A939" s="19">
        <v>622310</v>
      </c>
      <c r="B939" s="19" t="s">
        <v>4450</v>
      </c>
      <c r="C939" s="19">
        <v>622310</v>
      </c>
      <c r="D939" s="19" t="s">
        <v>4450</v>
      </c>
    </row>
    <row r="940" spans="1:4" ht="25.5" x14ac:dyDescent="0.25">
      <c r="A940" s="19">
        <v>623110</v>
      </c>
      <c r="B940" s="19" t="s">
        <v>4452</v>
      </c>
      <c r="C940" s="19">
        <v>623110</v>
      </c>
      <c r="D940" s="19" t="s">
        <v>4452</v>
      </c>
    </row>
    <row r="941" spans="1:4" ht="25.5" x14ac:dyDescent="0.25">
      <c r="A941" s="19">
        <v>623210</v>
      </c>
      <c r="B941" s="19" t="s">
        <v>4454</v>
      </c>
      <c r="C941" s="19">
        <v>623210</v>
      </c>
      <c r="D941" s="19" t="s">
        <v>4454</v>
      </c>
    </row>
    <row r="942" spans="1:4" ht="25.5" x14ac:dyDescent="0.25">
      <c r="A942" s="19">
        <v>623220</v>
      </c>
      <c r="B942" s="19" t="s">
        <v>4456</v>
      </c>
      <c r="C942" s="19">
        <v>623220</v>
      </c>
      <c r="D942" s="19" t="s">
        <v>4456</v>
      </c>
    </row>
    <row r="943" spans="1:4" ht="25.5" x14ac:dyDescent="0.25">
      <c r="A943" s="19">
        <v>623311</v>
      </c>
      <c r="B943" s="19" t="s">
        <v>4458</v>
      </c>
      <c r="C943" s="19">
        <v>623311</v>
      </c>
      <c r="D943" s="19" t="s">
        <v>4458</v>
      </c>
    </row>
    <row r="944" spans="1:4" x14ac:dyDescent="0.25">
      <c r="A944" s="19">
        <v>623312</v>
      </c>
      <c r="B944" s="19" t="s">
        <v>4460</v>
      </c>
      <c r="C944" s="19">
        <v>623312</v>
      </c>
      <c r="D944" s="19" t="s">
        <v>4460</v>
      </c>
    </row>
    <row r="945" spans="1:4" x14ac:dyDescent="0.25">
      <c r="A945" s="19">
        <v>623990</v>
      </c>
      <c r="B945" s="19" t="s">
        <v>4462</v>
      </c>
      <c r="C945" s="19">
        <v>623990</v>
      </c>
      <c r="D945" s="19" t="s">
        <v>4462</v>
      </c>
    </row>
    <row r="946" spans="1:4" x14ac:dyDescent="0.25">
      <c r="A946" s="19">
        <v>624110</v>
      </c>
      <c r="B946" s="19" t="s">
        <v>4464</v>
      </c>
      <c r="C946" s="19">
        <v>624110</v>
      </c>
      <c r="D946" s="19" t="s">
        <v>4464</v>
      </c>
    </row>
    <row r="947" spans="1:4" ht="25.5" x14ac:dyDescent="0.25">
      <c r="A947" s="19">
        <v>624120</v>
      </c>
      <c r="B947" s="19" t="s">
        <v>4466</v>
      </c>
      <c r="C947" s="19">
        <v>624120</v>
      </c>
      <c r="D947" s="19" t="s">
        <v>4466</v>
      </c>
    </row>
    <row r="948" spans="1:4" x14ac:dyDescent="0.25">
      <c r="A948" s="19">
        <v>624190</v>
      </c>
      <c r="B948" s="19" t="s">
        <v>4468</v>
      </c>
      <c r="C948" s="19">
        <v>624190</v>
      </c>
      <c r="D948" s="19" t="s">
        <v>4468</v>
      </c>
    </row>
    <row r="949" spans="1:4" x14ac:dyDescent="0.25">
      <c r="A949" s="19">
        <v>624210</v>
      </c>
      <c r="B949" s="19" t="s">
        <v>4470</v>
      </c>
      <c r="C949" s="19">
        <v>624210</v>
      </c>
      <c r="D949" s="19" t="s">
        <v>4470</v>
      </c>
    </row>
    <row r="950" spans="1:4" x14ac:dyDescent="0.25">
      <c r="A950" s="19">
        <v>624221</v>
      </c>
      <c r="B950" s="19" t="s">
        <v>4472</v>
      </c>
      <c r="C950" s="19">
        <v>624221</v>
      </c>
      <c r="D950" s="19" t="s">
        <v>4472</v>
      </c>
    </row>
    <row r="951" spans="1:4" x14ac:dyDescent="0.25">
      <c r="A951" s="19">
        <v>624229</v>
      </c>
      <c r="B951" s="19" t="s">
        <v>4474</v>
      </c>
      <c r="C951" s="19">
        <v>624229</v>
      </c>
      <c r="D951" s="19" t="s">
        <v>4474</v>
      </c>
    </row>
    <row r="952" spans="1:4" x14ac:dyDescent="0.25">
      <c r="A952" s="19">
        <v>624230</v>
      </c>
      <c r="B952" s="19" t="s">
        <v>4476</v>
      </c>
      <c r="C952" s="19">
        <v>624230</v>
      </c>
      <c r="D952" s="19" t="s">
        <v>4476</v>
      </c>
    </row>
    <row r="953" spans="1:4" x14ac:dyDescent="0.25">
      <c r="A953" s="19">
        <v>624310</v>
      </c>
      <c r="B953" s="19" t="s">
        <v>4478</v>
      </c>
      <c r="C953" s="19">
        <v>624310</v>
      </c>
      <c r="D953" s="19" t="s">
        <v>4478</v>
      </c>
    </row>
    <row r="954" spans="1:4" x14ac:dyDescent="0.25">
      <c r="A954" s="19">
        <v>624410</v>
      </c>
      <c r="B954" s="19" t="s">
        <v>4480</v>
      </c>
      <c r="C954" s="19">
        <v>624410</v>
      </c>
      <c r="D954" s="19" t="s">
        <v>4480</v>
      </c>
    </row>
    <row r="955" spans="1:4" x14ac:dyDescent="0.25">
      <c r="A955" s="19">
        <v>711110</v>
      </c>
      <c r="B955" s="19" t="s">
        <v>4482</v>
      </c>
      <c r="C955" s="19">
        <v>711110</v>
      </c>
      <c r="D955" s="19" t="s">
        <v>4482</v>
      </c>
    </row>
    <row r="956" spans="1:4" x14ac:dyDescent="0.25">
      <c r="A956" s="19">
        <v>711120</v>
      </c>
      <c r="B956" s="19" t="s">
        <v>4484</v>
      </c>
      <c r="C956" s="19">
        <v>711120</v>
      </c>
      <c r="D956" s="19" t="s">
        <v>4484</v>
      </c>
    </row>
    <row r="957" spans="1:4" x14ac:dyDescent="0.25">
      <c r="A957" s="19">
        <v>711130</v>
      </c>
      <c r="B957" s="19" t="s">
        <v>4486</v>
      </c>
      <c r="C957" s="19">
        <v>711130</v>
      </c>
      <c r="D957" s="19" t="s">
        <v>4486</v>
      </c>
    </row>
    <row r="958" spans="1:4" x14ac:dyDescent="0.25">
      <c r="A958" s="19">
        <v>711190</v>
      </c>
      <c r="B958" s="19" t="s">
        <v>4488</v>
      </c>
      <c r="C958" s="19">
        <v>711190</v>
      </c>
      <c r="D958" s="19" t="s">
        <v>4488</v>
      </c>
    </row>
    <row r="959" spans="1:4" x14ac:dyDescent="0.25">
      <c r="A959" s="19">
        <v>711211</v>
      </c>
      <c r="B959" s="19" t="s">
        <v>4490</v>
      </c>
      <c r="C959" s="19">
        <v>711211</v>
      </c>
      <c r="D959" s="19" t="s">
        <v>4490</v>
      </c>
    </row>
    <row r="960" spans="1:4" x14ac:dyDescent="0.25">
      <c r="A960" s="19">
        <v>711212</v>
      </c>
      <c r="B960" s="19" t="s">
        <v>4492</v>
      </c>
      <c r="C960" s="19">
        <v>711212</v>
      </c>
      <c r="D960" s="19" t="s">
        <v>4492</v>
      </c>
    </row>
    <row r="961" spans="1:4" x14ac:dyDescent="0.25">
      <c r="A961" s="19">
        <v>711219</v>
      </c>
      <c r="B961" s="19" t="s">
        <v>4494</v>
      </c>
      <c r="C961" s="19">
        <v>711219</v>
      </c>
      <c r="D961" s="19" t="s">
        <v>4494</v>
      </c>
    </row>
    <row r="962" spans="1:4" ht="25.5" x14ac:dyDescent="0.25">
      <c r="A962" s="19">
        <v>711310</v>
      </c>
      <c r="B962" s="19" t="s">
        <v>4496</v>
      </c>
      <c r="C962" s="19">
        <v>711310</v>
      </c>
      <c r="D962" s="19" t="s">
        <v>4496</v>
      </c>
    </row>
    <row r="963" spans="1:4" ht="25.5" x14ac:dyDescent="0.25">
      <c r="A963" s="19">
        <v>711320</v>
      </c>
      <c r="B963" s="19" t="s">
        <v>4498</v>
      </c>
      <c r="C963" s="19">
        <v>711320</v>
      </c>
      <c r="D963" s="19" t="s">
        <v>4498</v>
      </c>
    </row>
    <row r="964" spans="1:4" ht="38.25" x14ac:dyDescent="0.25">
      <c r="A964" s="19">
        <v>711410</v>
      </c>
      <c r="B964" s="19" t="s">
        <v>4500</v>
      </c>
      <c r="C964" s="19">
        <v>711410</v>
      </c>
      <c r="D964" s="19" t="s">
        <v>4500</v>
      </c>
    </row>
    <row r="965" spans="1:4" ht="25.5" x14ac:dyDescent="0.25">
      <c r="A965" s="19">
        <v>711510</v>
      </c>
      <c r="B965" s="19" t="s">
        <v>4502</v>
      </c>
      <c r="C965" s="19">
        <v>711510</v>
      </c>
      <c r="D965" s="19" t="s">
        <v>4502</v>
      </c>
    </row>
    <row r="966" spans="1:4" x14ac:dyDescent="0.25">
      <c r="A966" s="19">
        <v>712110</v>
      </c>
      <c r="B966" s="19" t="s">
        <v>4504</v>
      </c>
      <c r="C966" s="19">
        <v>712110</v>
      </c>
      <c r="D966" s="19" t="s">
        <v>4504</v>
      </c>
    </row>
    <row r="967" spans="1:4" x14ac:dyDescent="0.25">
      <c r="A967" s="19">
        <v>712120</v>
      </c>
      <c r="B967" s="19" t="s">
        <v>4506</v>
      </c>
      <c r="C967" s="19">
        <v>712120</v>
      </c>
      <c r="D967" s="19" t="s">
        <v>4506</v>
      </c>
    </row>
    <row r="968" spans="1:4" x14ac:dyDescent="0.25">
      <c r="A968" s="19">
        <v>712130</v>
      </c>
      <c r="B968" s="19" t="s">
        <v>4508</v>
      </c>
      <c r="C968" s="19">
        <v>712130</v>
      </c>
      <c r="D968" s="19" t="s">
        <v>4508</v>
      </c>
    </row>
    <row r="969" spans="1:4" ht="25.5" x14ac:dyDescent="0.25">
      <c r="A969" s="19">
        <v>712190</v>
      </c>
      <c r="B969" s="19" t="s">
        <v>4510</v>
      </c>
      <c r="C969" s="19">
        <v>712190</v>
      </c>
      <c r="D969" s="19" t="s">
        <v>4510</v>
      </c>
    </row>
    <row r="970" spans="1:4" x14ac:dyDescent="0.25">
      <c r="A970" s="19">
        <v>713110</v>
      </c>
      <c r="B970" s="19" t="s">
        <v>4512</v>
      </c>
      <c r="C970" s="19">
        <v>713110</v>
      </c>
      <c r="D970" s="19" t="s">
        <v>4512</v>
      </c>
    </row>
    <row r="971" spans="1:4" x14ac:dyDescent="0.25">
      <c r="A971" s="19">
        <v>713120</v>
      </c>
      <c r="B971" s="19" t="s">
        <v>4514</v>
      </c>
      <c r="C971" s="19">
        <v>713120</v>
      </c>
      <c r="D971" s="19" t="s">
        <v>4514</v>
      </c>
    </row>
    <row r="972" spans="1:4" x14ac:dyDescent="0.25">
      <c r="A972" s="19">
        <v>713210</v>
      </c>
      <c r="B972" s="19" t="s">
        <v>4516</v>
      </c>
      <c r="C972" s="19">
        <v>713210</v>
      </c>
      <c r="D972" s="19" t="s">
        <v>4516</v>
      </c>
    </row>
    <row r="973" spans="1:4" x14ac:dyDescent="0.25">
      <c r="A973" s="19">
        <v>713290</v>
      </c>
      <c r="B973" s="19" t="s">
        <v>4518</v>
      </c>
      <c r="C973" s="19">
        <v>713290</v>
      </c>
      <c r="D973" s="19" t="s">
        <v>4518</v>
      </c>
    </row>
    <row r="974" spans="1:4" x14ac:dyDescent="0.25">
      <c r="A974" s="19">
        <v>713910</v>
      </c>
      <c r="B974" s="19" t="s">
        <v>4520</v>
      </c>
      <c r="C974" s="19">
        <v>713910</v>
      </c>
      <c r="D974" s="19" t="s">
        <v>4520</v>
      </c>
    </row>
    <row r="975" spans="1:4" x14ac:dyDescent="0.25">
      <c r="A975" s="19">
        <v>713920</v>
      </c>
      <c r="B975" s="19" t="s">
        <v>4522</v>
      </c>
      <c r="C975" s="19">
        <v>713920</v>
      </c>
      <c r="D975" s="19" t="s">
        <v>4522</v>
      </c>
    </row>
    <row r="976" spans="1:4" x14ac:dyDescent="0.25">
      <c r="A976" s="19">
        <v>713930</v>
      </c>
      <c r="B976" s="19" t="s">
        <v>4524</v>
      </c>
      <c r="C976" s="19">
        <v>713930</v>
      </c>
      <c r="D976" s="19" t="s">
        <v>4524</v>
      </c>
    </row>
    <row r="977" spans="1:4" x14ac:dyDescent="0.25">
      <c r="A977" s="19">
        <v>713940</v>
      </c>
      <c r="B977" s="19" t="s">
        <v>4526</v>
      </c>
      <c r="C977" s="19">
        <v>713940</v>
      </c>
      <c r="D977" s="19" t="s">
        <v>4526</v>
      </c>
    </row>
    <row r="978" spans="1:4" x14ac:dyDescent="0.25">
      <c r="A978" s="19">
        <v>713950</v>
      </c>
      <c r="B978" s="19" t="s">
        <v>4528</v>
      </c>
      <c r="C978" s="19">
        <v>713950</v>
      </c>
      <c r="D978" s="19" t="s">
        <v>4528</v>
      </c>
    </row>
    <row r="979" spans="1:4" ht="25.5" x14ac:dyDescent="0.25">
      <c r="A979" s="19">
        <v>713990</v>
      </c>
      <c r="B979" s="19" t="s">
        <v>4530</v>
      </c>
      <c r="C979" s="19">
        <v>713990</v>
      </c>
      <c r="D979" s="19" t="s">
        <v>4530</v>
      </c>
    </row>
    <row r="980" spans="1:4" ht="25.5" x14ac:dyDescent="0.25">
      <c r="A980" s="19">
        <v>721110</v>
      </c>
      <c r="B980" s="19" t="s">
        <v>4532</v>
      </c>
      <c r="C980" s="19">
        <v>721110</v>
      </c>
      <c r="D980" s="19" t="s">
        <v>4532</v>
      </c>
    </row>
    <row r="981" spans="1:4" x14ac:dyDescent="0.25">
      <c r="A981" s="19">
        <v>721120</v>
      </c>
      <c r="B981" s="19" t="s">
        <v>4534</v>
      </c>
      <c r="C981" s="19">
        <v>721120</v>
      </c>
      <c r="D981" s="19" t="s">
        <v>4534</v>
      </c>
    </row>
    <row r="982" spans="1:4" x14ac:dyDescent="0.25">
      <c r="A982" s="19">
        <v>721191</v>
      </c>
      <c r="B982" s="19" t="s">
        <v>4536</v>
      </c>
      <c r="C982" s="19">
        <v>721191</v>
      </c>
      <c r="D982" s="19" t="s">
        <v>4536</v>
      </c>
    </row>
    <row r="983" spans="1:4" x14ac:dyDescent="0.25">
      <c r="A983" s="19">
        <v>721199</v>
      </c>
      <c r="B983" s="19" t="s">
        <v>4538</v>
      </c>
      <c r="C983" s="19">
        <v>721199</v>
      </c>
      <c r="D983" s="19" t="s">
        <v>4538</v>
      </c>
    </row>
    <row r="984" spans="1:4" ht="25.5" x14ac:dyDescent="0.25">
      <c r="A984" s="19">
        <v>721211</v>
      </c>
      <c r="B984" s="19" t="s">
        <v>4540</v>
      </c>
      <c r="C984" s="19">
        <v>721211</v>
      </c>
      <c r="D984" s="19" t="s">
        <v>4540</v>
      </c>
    </row>
    <row r="985" spans="1:4" ht="25.5" x14ac:dyDescent="0.25">
      <c r="A985" s="19">
        <v>721214</v>
      </c>
      <c r="B985" s="19" t="s">
        <v>4542</v>
      </c>
      <c r="C985" s="19">
        <v>721214</v>
      </c>
      <c r="D985" s="19" t="s">
        <v>4542</v>
      </c>
    </row>
    <row r="986" spans="1:4" ht="25.5" x14ac:dyDescent="0.25">
      <c r="A986" s="19">
        <v>721310</v>
      </c>
      <c r="B986" s="19" t="s">
        <v>5260</v>
      </c>
      <c r="C986" s="19">
        <v>721310</v>
      </c>
      <c r="D986" s="19" t="s">
        <v>4544</v>
      </c>
    </row>
    <row r="987" spans="1:4" x14ac:dyDescent="0.25">
      <c r="A987" s="19">
        <v>722310</v>
      </c>
      <c r="B987" s="19" t="s">
        <v>4546</v>
      </c>
      <c r="C987" s="19">
        <v>722310</v>
      </c>
      <c r="D987" s="19" t="s">
        <v>4546</v>
      </c>
    </row>
    <row r="988" spans="1:4" x14ac:dyDescent="0.25">
      <c r="A988" s="19">
        <v>722320</v>
      </c>
      <c r="B988" s="19" t="s">
        <v>4548</v>
      </c>
      <c r="C988" s="19">
        <v>722320</v>
      </c>
      <c r="D988" s="19" t="s">
        <v>4548</v>
      </c>
    </row>
    <row r="989" spans="1:4" x14ac:dyDescent="0.25">
      <c r="A989" s="19">
        <v>722330</v>
      </c>
      <c r="B989" s="19" t="s">
        <v>4550</v>
      </c>
      <c r="C989" s="19">
        <v>722330</v>
      </c>
      <c r="D989" s="19" t="s">
        <v>4550</v>
      </c>
    </row>
    <row r="990" spans="1:4" x14ac:dyDescent="0.25">
      <c r="A990" s="19">
        <v>722410</v>
      </c>
      <c r="B990" s="19" t="s">
        <v>4552</v>
      </c>
      <c r="C990" s="19">
        <v>722410</v>
      </c>
      <c r="D990" s="19" t="s">
        <v>4552</v>
      </c>
    </row>
    <row r="991" spans="1:4" x14ac:dyDescent="0.25">
      <c r="A991" s="19">
        <v>722511</v>
      </c>
      <c r="B991" s="19" t="s">
        <v>4554</v>
      </c>
      <c r="C991" s="19">
        <v>722511</v>
      </c>
      <c r="D991" s="19" t="s">
        <v>4554</v>
      </c>
    </row>
    <row r="992" spans="1:4" x14ac:dyDescent="0.25">
      <c r="A992" s="19">
        <v>722513</v>
      </c>
      <c r="B992" s="19" t="s">
        <v>4556</v>
      </c>
      <c r="C992" s="19">
        <v>722513</v>
      </c>
      <c r="D992" s="19" t="s">
        <v>4556</v>
      </c>
    </row>
    <row r="993" spans="1:4" x14ac:dyDescent="0.25">
      <c r="A993" s="19">
        <v>722514</v>
      </c>
      <c r="B993" s="19" t="s">
        <v>4558</v>
      </c>
      <c r="C993" s="19">
        <v>722514</v>
      </c>
      <c r="D993" s="19" t="s">
        <v>4558</v>
      </c>
    </row>
    <row r="994" spans="1:4" x14ac:dyDescent="0.25">
      <c r="A994" s="19">
        <v>722515</v>
      </c>
      <c r="B994" s="19" t="s">
        <v>4560</v>
      </c>
      <c r="C994" s="19">
        <v>722515</v>
      </c>
      <c r="D994" s="19" t="s">
        <v>4560</v>
      </c>
    </row>
    <row r="995" spans="1:4" x14ac:dyDescent="0.25">
      <c r="A995" s="19">
        <v>811111</v>
      </c>
      <c r="B995" s="19" t="s">
        <v>4562</v>
      </c>
      <c r="C995" s="19">
        <v>811111</v>
      </c>
      <c r="D995" s="19" t="s">
        <v>4562</v>
      </c>
    </row>
    <row r="996" spans="1:4" x14ac:dyDescent="0.25">
      <c r="A996" s="19">
        <v>811112</v>
      </c>
      <c r="B996" s="19" t="s">
        <v>4564</v>
      </c>
      <c r="C996" s="19">
        <v>811112</v>
      </c>
      <c r="D996" s="19" t="s">
        <v>4564</v>
      </c>
    </row>
    <row r="997" spans="1:4" x14ac:dyDescent="0.25">
      <c r="A997" s="19">
        <v>811113</v>
      </c>
      <c r="B997" s="19" t="s">
        <v>4566</v>
      </c>
      <c r="C997" s="19">
        <v>811113</v>
      </c>
      <c r="D997" s="19" t="s">
        <v>4566</v>
      </c>
    </row>
    <row r="998" spans="1:4" ht="25.5" x14ac:dyDescent="0.25">
      <c r="A998" s="19">
        <v>811118</v>
      </c>
      <c r="B998" s="19" t="s">
        <v>4568</v>
      </c>
      <c r="C998" s="19">
        <v>811118</v>
      </c>
      <c r="D998" s="19" t="s">
        <v>4568</v>
      </c>
    </row>
    <row r="999" spans="1:4" ht="25.5" x14ac:dyDescent="0.25">
      <c r="A999" s="19">
        <v>811121</v>
      </c>
      <c r="B999" s="19" t="s">
        <v>4569</v>
      </c>
      <c r="C999" s="19">
        <v>811121</v>
      </c>
      <c r="D999" s="19" t="s">
        <v>4569</v>
      </c>
    </row>
    <row r="1000" spans="1:4" x14ac:dyDescent="0.25">
      <c r="A1000" s="19">
        <v>811122</v>
      </c>
      <c r="B1000" s="19" t="s">
        <v>4571</v>
      </c>
      <c r="C1000" s="19">
        <v>811122</v>
      </c>
      <c r="D1000" s="19" t="s">
        <v>4571</v>
      </c>
    </row>
    <row r="1001" spans="1:4" ht="25.5" x14ac:dyDescent="0.25">
      <c r="A1001" s="19">
        <v>811191</v>
      </c>
      <c r="B1001" s="19" t="s">
        <v>4573</v>
      </c>
      <c r="C1001" s="19">
        <v>811191</v>
      </c>
      <c r="D1001" s="19" t="s">
        <v>4573</v>
      </c>
    </row>
    <row r="1002" spans="1:4" x14ac:dyDescent="0.25">
      <c r="A1002" s="19">
        <v>811192</v>
      </c>
      <c r="B1002" s="19" t="s">
        <v>4575</v>
      </c>
      <c r="C1002" s="19">
        <v>811192</v>
      </c>
      <c r="D1002" s="19" t="s">
        <v>4575</v>
      </c>
    </row>
    <row r="1003" spans="1:4" ht="25.5" x14ac:dyDescent="0.25">
      <c r="A1003" s="19">
        <v>811198</v>
      </c>
      <c r="B1003" s="19" t="s">
        <v>4577</v>
      </c>
      <c r="C1003" s="19">
        <v>811198</v>
      </c>
      <c r="D1003" s="19" t="s">
        <v>4577</v>
      </c>
    </row>
    <row r="1004" spans="1:4" ht="25.5" x14ac:dyDescent="0.25">
      <c r="A1004" s="19">
        <v>811211</v>
      </c>
      <c r="B1004" s="19" t="s">
        <v>4579</v>
      </c>
      <c r="C1004" s="19">
        <v>811211</v>
      </c>
      <c r="D1004" s="19" t="s">
        <v>4579</v>
      </c>
    </row>
    <row r="1005" spans="1:4" ht="25.5" x14ac:dyDescent="0.25">
      <c r="A1005" s="19">
        <v>811212</v>
      </c>
      <c r="B1005" s="19" t="s">
        <v>4581</v>
      </c>
      <c r="C1005" s="19">
        <v>811212</v>
      </c>
      <c r="D1005" s="19" t="s">
        <v>4581</v>
      </c>
    </row>
    <row r="1006" spans="1:4" ht="25.5" x14ac:dyDescent="0.25">
      <c r="A1006" s="19">
        <v>811213</v>
      </c>
      <c r="B1006" s="19" t="s">
        <v>4583</v>
      </c>
      <c r="C1006" s="19">
        <v>811213</v>
      </c>
      <c r="D1006" s="19" t="s">
        <v>4583</v>
      </c>
    </row>
    <row r="1007" spans="1:4" ht="25.5" x14ac:dyDescent="0.25">
      <c r="A1007" s="19">
        <v>811219</v>
      </c>
      <c r="B1007" s="19" t="s">
        <v>4585</v>
      </c>
      <c r="C1007" s="19">
        <v>811219</v>
      </c>
      <c r="D1007" s="19" t="s">
        <v>4585</v>
      </c>
    </row>
    <row r="1008" spans="1:4" ht="38.25" x14ac:dyDescent="0.25">
      <c r="A1008" s="19">
        <v>811310</v>
      </c>
      <c r="B1008" s="19" t="s">
        <v>4586</v>
      </c>
      <c r="C1008" s="19">
        <v>811310</v>
      </c>
      <c r="D1008" s="19" t="s">
        <v>4586</v>
      </c>
    </row>
    <row r="1009" spans="1:4" ht="25.5" x14ac:dyDescent="0.25">
      <c r="A1009" s="19">
        <v>811411</v>
      </c>
      <c r="B1009" s="19" t="s">
        <v>4587</v>
      </c>
      <c r="C1009" s="19">
        <v>811411</v>
      </c>
      <c r="D1009" s="19" t="s">
        <v>4587</v>
      </c>
    </row>
    <row r="1010" spans="1:4" x14ac:dyDescent="0.25">
      <c r="A1010" s="19">
        <v>811412</v>
      </c>
      <c r="B1010" s="19" t="s">
        <v>4589</v>
      </c>
      <c r="C1010" s="19">
        <v>811412</v>
      </c>
      <c r="D1010" s="19" t="s">
        <v>4589</v>
      </c>
    </row>
    <row r="1011" spans="1:4" x14ac:dyDescent="0.25">
      <c r="A1011" s="19">
        <v>811420</v>
      </c>
      <c r="B1011" s="19" t="s">
        <v>4591</v>
      </c>
      <c r="C1011" s="19">
        <v>811420</v>
      </c>
      <c r="D1011" s="19" t="s">
        <v>4591</v>
      </c>
    </row>
    <row r="1012" spans="1:4" x14ac:dyDescent="0.25">
      <c r="A1012" s="19">
        <v>811430</v>
      </c>
      <c r="B1012" s="19" t="s">
        <v>4592</v>
      </c>
      <c r="C1012" s="19">
        <v>811430</v>
      </c>
      <c r="D1012" s="19" t="s">
        <v>4592</v>
      </c>
    </row>
    <row r="1013" spans="1:4" ht="25.5" x14ac:dyDescent="0.25">
      <c r="A1013" s="19">
        <v>811490</v>
      </c>
      <c r="B1013" s="19" t="s">
        <v>4594</v>
      </c>
      <c r="C1013" s="19">
        <v>811490</v>
      </c>
      <c r="D1013" s="19" t="s">
        <v>4594</v>
      </c>
    </row>
    <row r="1014" spans="1:4" x14ac:dyDescent="0.25">
      <c r="A1014" s="19">
        <v>812111</v>
      </c>
      <c r="B1014" s="19" t="s">
        <v>4596</v>
      </c>
      <c r="C1014" s="19">
        <v>812111</v>
      </c>
      <c r="D1014" s="19" t="s">
        <v>4596</v>
      </c>
    </row>
    <row r="1015" spans="1:4" x14ac:dyDescent="0.25">
      <c r="A1015" s="19">
        <v>812112</v>
      </c>
      <c r="B1015" s="19" t="s">
        <v>4598</v>
      </c>
      <c r="C1015" s="19">
        <v>812112</v>
      </c>
      <c r="D1015" s="19" t="s">
        <v>4598</v>
      </c>
    </row>
    <row r="1016" spans="1:4" x14ac:dyDescent="0.25">
      <c r="A1016" s="19">
        <v>812113</v>
      </c>
      <c r="B1016" s="19" t="s">
        <v>4600</v>
      </c>
      <c r="C1016" s="19">
        <v>812113</v>
      </c>
      <c r="D1016" s="19" t="s">
        <v>4600</v>
      </c>
    </row>
    <row r="1017" spans="1:4" x14ac:dyDescent="0.25">
      <c r="A1017" s="19">
        <v>812191</v>
      </c>
      <c r="B1017" s="19" t="s">
        <v>4602</v>
      </c>
      <c r="C1017" s="19">
        <v>812191</v>
      </c>
      <c r="D1017" s="19" t="s">
        <v>4602</v>
      </c>
    </row>
    <row r="1018" spans="1:4" x14ac:dyDescent="0.25">
      <c r="A1018" s="19">
        <v>812199</v>
      </c>
      <c r="B1018" s="19" t="s">
        <v>4604</v>
      </c>
      <c r="C1018" s="19">
        <v>812199</v>
      </c>
      <c r="D1018" s="19" t="s">
        <v>4604</v>
      </c>
    </row>
    <row r="1019" spans="1:4" x14ac:dyDescent="0.25">
      <c r="A1019" s="19">
        <v>812210</v>
      </c>
      <c r="B1019" s="19" t="s">
        <v>4606</v>
      </c>
      <c r="C1019" s="19">
        <v>812210</v>
      </c>
      <c r="D1019" s="19" t="s">
        <v>4606</v>
      </c>
    </row>
    <row r="1020" spans="1:4" x14ac:dyDescent="0.25">
      <c r="A1020" s="19">
        <v>812220</v>
      </c>
      <c r="B1020" s="19" t="s">
        <v>4608</v>
      </c>
      <c r="C1020" s="19">
        <v>812220</v>
      </c>
      <c r="D1020" s="19" t="s">
        <v>4608</v>
      </c>
    </row>
    <row r="1021" spans="1:4" ht="25.5" x14ac:dyDescent="0.25">
      <c r="A1021" s="19">
        <v>812310</v>
      </c>
      <c r="B1021" s="19" t="s">
        <v>4610</v>
      </c>
      <c r="C1021" s="19">
        <v>812310</v>
      </c>
      <c r="D1021" s="19" t="s">
        <v>4610</v>
      </c>
    </row>
    <row r="1022" spans="1:4" ht="25.5" x14ac:dyDescent="0.25">
      <c r="A1022" s="19">
        <v>812320</v>
      </c>
      <c r="B1022" s="19" t="s">
        <v>4612</v>
      </c>
      <c r="C1022" s="19">
        <v>812320</v>
      </c>
      <c r="D1022" s="19" t="s">
        <v>4612</v>
      </c>
    </row>
    <row r="1023" spans="1:4" x14ac:dyDescent="0.25">
      <c r="A1023" s="19">
        <v>812331</v>
      </c>
      <c r="B1023" s="19" t="s">
        <v>4614</v>
      </c>
      <c r="C1023" s="19">
        <v>812331</v>
      </c>
      <c r="D1023" s="19" t="s">
        <v>4614</v>
      </c>
    </row>
    <row r="1024" spans="1:4" x14ac:dyDescent="0.25">
      <c r="A1024" s="19">
        <v>812332</v>
      </c>
      <c r="B1024" s="19" t="s">
        <v>4616</v>
      </c>
      <c r="C1024" s="19">
        <v>812332</v>
      </c>
      <c r="D1024" s="19" t="s">
        <v>4616</v>
      </c>
    </row>
    <row r="1025" spans="1:4" x14ac:dyDescent="0.25">
      <c r="A1025" s="19">
        <v>812910</v>
      </c>
      <c r="B1025" s="19" t="s">
        <v>4618</v>
      </c>
      <c r="C1025" s="19">
        <v>812910</v>
      </c>
      <c r="D1025" s="19" t="s">
        <v>4618</v>
      </c>
    </row>
    <row r="1026" spans="1:4" ht="25.5" x14ac:dyDescent="0.25">
      <c r="A1026" s="19">
        <v>812921</v>
      </c>
      <c r="B1026" s="19" t="s">
        <v>4620</v>
      </c>
      <c r="C1026" s="19">
        <v>812921</v>
      </c>
      <c r="D1026" s="19" t="s">
        <v>4620</v>
      </c>
    </row>
    <row r="1027" spans="1:4" x14ac:dyDescent="0.25">
      <c r="A1027" s="19">
        <v>812922</v>
      </c>
      <c r="B1027" s="19" t="s">
        <v>4621</v>
      </c>
      <c r="C1027" s="19">
        <v>812922</v>
      </c>
      <c r="D1027" s="19" t="s">
        <v>4621</v>
      </c>
    </row>
    <row r="1028" spans="1:4" x14ac:dyDescent="0.25">
      <c r="A1028" s="19">
        <v>812930</v>
      </c>
      <c r="B1028" s="19" t="s">
        <v>4623</v>
      </c>
      <c r="C1028" s="19">
        <v>812930</v>
      </c>
      <c r="D1028" s="19" t="s">
        <v>4623</v>
      </c>
    </row>
    <row r="1029" spans="1:4" x14ac:dyDescent="0.25">
      <c r="A1029" s="19">
        <v>812990</v>
      </c>
      <c r="B1029" s="19" t="s">
        <v>4624</v>
      </c>
      <c r="C1029" s="19">
        <v>812990</v>
      </c>
      <c r="D1029" s="19" t="s">
        <v>4624</v>
      </c>
    </row>
    <row r="1030" spans="1:4" x14ac:dyDescent="0.25">
      <c r="A1030" s="19">
        <v>813110</v>
      </c>
      <c r="B1030" s="19" t="s">
        <v>4625</v>
      </c>
      <c r="C1030" s="19">
        <v>813110</v>
      </c>
      <c r="D1030" s="19" t="s">
        <v>4625</v>
      </c>
    </row>
    <row r="1031" spans="1:4" x14ac:dyDescent="0.25">
      <c r="A1031" s="19">
        <v>813211</v>
      </c>
      <c r="B1031" s="19" t="s">
        <v>4627</v>
      </c>
      <c r="C1031" s="19">
        <v>813211</v>
      </c>
      <c r="D1031" s="19" t="s">
        <v>4627</v>
      </c>
    </row>
    <row r="1032" spans="1:4" x14ac:dyDescent="0.25">
      <c r="A1032" s="19">
        <v>813212</v>
      </c>
      <c r="B1032" s="19" t="s">
        <v>4629</v>
      </c>
      <c r="C1032" s="19">
        <v>813212</v>
      </c>
      <c r="D1032" s="19" t="s">
        <v>4629</v>
      </c>
    </row>
    <row r="1033" spans="1:4" x14ac:dyDescent="0.25">
      <c r="A1033" s="19">
        <v>813219</v>
      </c>
      <c r="B1033" s="19" t="s">
        <v>4631</v>
      </c>
      <c r="C1033" s="19">
        <v>813219</v>
      </c>
      <c r="D1033" s="19" t="s">
        <v>4631</v>
      </c>
    </row>
    <row r="1034" spans="1:4" x14ac:dyDescent="0.25">
      <c r="A1034" s="19">
        <v>813311</v>
      </c>
      <c r="B1034" s="19" t="s">
        <v>4633</v>
      </c>
      <c r="C1034" s="19">
        <v>813311</v>
      </c>
      <c r="D1034" s="19" t="s">
        <v>4633</v>
      </c>
    </row>
    <row r="1035" spans="1:4" ht="25.5" x14ac:dyDescent="0.25">
      <c r="A1035" s="19">
        <v>813312</v>
      </c>
      <c r="B1035" s="19" t="s">
        <v>4635</v>
      </c>
      <c r="C1035" s="19">
        <v>813312</v>
      </c>
      <c r="D1035" s="19" t="s">
        <v>4635</v>
      </c>
    </row>
    <row r="1036" spans="1:4" x14ac:dyDescent="0.25">
      <c r="A1036" s="19">
        <v>813319</v>
      </c>
      <c r="B1036" s="19" t="s">
        <v>4637</v>
      </c>
      <c r="C1036" s="19">
        <v>813319</v>
      </c>
      <c r="D1036" s="19" t="s">
        <v>4637</v>
      </c>
    </row>
    <row r="1037" spans="1:4" x14ac:dyDescent="0.25">
      <c r="A1037" s="19">
        <v>813410</v>
      </c>
      <c r="B1037" s="19" t="s">
        <v>4639</v>
      </c>
      <c r="C1037" s="19">
        <v>813410</v>
      </c>
      <c r="D1037" s="19" t="s">
        <v>4639</v>
      </c>
    </row>
    <row r="1038" spans="1:4" x14ac:dyDescent="0.25">
      <c r="A1038" s="19">
        <v>813910</v>
      </c>
      <c r="B1038" s="19" t="s">
        <v>4641</v>
      </c>
      <c r="C1038" s="19">
        <v>813910</v>
      </c>
      <c r="D1038" s="19" t="s">
        <v>4641</v>
      </c>
    </row>
    <row r="1039" spans="1:4" x14ac:dyDescent="0.25">
      <c r="A1039" s="19">
        <v>813920</v>
      </c>
      <c r="B1039" s="19" t="s">
        <v>4643</v>
      </c>
      <c r="C1039" s="19">
        <v>813920</v>
      </c>
      <c r="D1039" s="19" t="s">
        <v>4643</v>
      </c>
    </row>
    <row r="1040" spans="1:4" ht="25.5" x14ac:dyDescent="0.25">
      <c r="A1040" s="19">
        <v>813930</v>
      </c>
      <c r="B1040" s="19" t="s">
        <v>4645</v>
      </c>
      <c r="C1040" s="19">
        <v>813930</v>
      </c>
      <c r="D1040" s="19" t="s">
        <v>4645</v>
      </c>
    </row>
    <row r="1041" spans="1:4" x14ac:dyDescent="0.25">
      <c r="A1041" s="19">
        <v>813940</v>
      </c>
      <c r="B1041" s="19" t="s">
        <v>4647</v>
      </c>
      <c r="C1041" s="19">
        <v>813940</v>
      </c>
      <c r="D1041" s="19" t="s">
        <v>4647</v>
      </c>
    </row>
    <row r="1042" spans="1:4" ht="38.25" x14ac:dyDescent="0.25">
      <c r="A1042" s="19">
        <v>813990</v>
      </c>
      <c r="B1042" s="19" t="s">
        <v>4649</v>
      </c>
      <c r="C1042" s="19">
        <v>813990</v>
      </c>
      <c r="D1042" s="19" t="s">
        <v>4649</v>
      </c>
    </row>
    <row r="1043" spans="1:4" x14ac:dyDescent="0.25">
      <c r="A1043" s="19">
        <v>814110</v>
      </c>
      <c r="B1043" s="19" t="s">
        <v>4651</v>
      </c>
      <c r="C1043" s="19">
        <v>814110</v>
      </c>
      <c r="D1043" s="19" t="s">
        <v>4651</v>
      </c>
    </row>
    <row r="1044" spans="1:4" x14ac:dyDescent="0.25">
      <c r="A1044" s="19">
        <v>921110</v>
      </c>
      <c r="B1044" s="19" t="s">
        <v>4653</v>
      </c>
      <c r="C1044" s="19">
        <v>921110</v>
      </c>
      <c r="D1044" s="19" t="s">
        <v>4653</v>
      </c>
    </row>
    <row r="1045" spans="1:4" x14ac:dyDescent="0.25">
      <c r="A1045" s="19">
        <v>921120</v>
      </c>
      <c r="B1045" s="19" t="s">
        <v>4655</v>
      </c>
      <c r="C1045" s="19">
        <v>921120</v>
      </c>
      <c r="D1045" s="19" t="s">
        <v>4655</v>
      </c>
    </row>
    <row r="1046" spans="1:4" x14ac:dyDescent="0.25">
      <c r="A1046" s="19">
        <v>921130</v>
      </c>
      <c r="B1046" s="19" t="s">
        <v>4657</v>
      </c>
      <c r="C1046" s="19">
        <v>921130</v>
      </c>
      <c r="D1046" s="19" t="s">
        <v>4657</v>
      </c>
    </row>
    <row r="1047" spans="1:4" ht="25.5" x14ac:dyDescent="0.25">
      <c r="A1047" s="19">
        <v>921140</v>
      </c>
      <c r="B1047" s="19" t="s">
        <v>4659</v>
      </c>
      <c r="C1047" s="19">
        <v>921140</v>
      </c>
      <c r="D1047" s="19" t="s">
        <v>4659</v>
      </c>
    </row>
    <row r="1048" spans="1:4" ht="25.5" x14ac:dyDescent="0.25">
      <c r="A1048" s="19">
        <v>921150</v>
      </c>
      <c r="B1048" s="19" t="s">
        <v>4661</v>
      </c>
      <c r="C1048" s="19">
        <v>921150</v>
      </c>
      <c r="D1048" s="19" t="s">
        <v>4661</v>
      </c>
    </row>
    <row r="1049" spans="1:4" x14ac:dyDescent="0.25">
      <c r="A1049" s="19">
        <v>921190</v>
      </c>
      <c r="B1049" s="19" t="s">
        <v>4663</v>
      </c>
      <c r="C1049" s="19">
        <v>921190</v>
      </c>
      <c r="D1049" s="19" t="s">
        <v>4663</v>
      </c>
    </row>
    <row r="1050" spans="1:4" x14ac:dyDescent="0.25">
      <c r="A1050" s="19">
        <v>922110</v>
      </c>
      <c r="B1050" s="19" t="s">
        <v>4665</v>
      </c>
      <c r="C1050" s="19">
        <v>922110</v>
      </c>
      <c r="D1050" s="19" t="s">
        <v>4665</v>
      </c>
    </row>
    <row r="1051" spans="1:4" x14ac:dyDescent="0.25">
      <c r="A1051" s="19">
        <v>922120</v>
      </c>
      <c r="B1051" s="19" t="s">
        <v>4666</v>
      </c>
      <c r="C1051" s="19">
        <v>922120</v>
      </c>
      <c r="D1051" s="19" t="s">
        <v>4666</v>
      </c>
    </row>
    <row r="1052" spans="1:4" x14ac:dyDescent="0.25">
      <c r="A1052" s="19">
        <v>922130</v>
      </c>
      <c r="B1052" s="19" t="s">
        <v>4668</v>
      </c>
      <c r="C1052" s="19">
        <v>922130</v>
      </c>
      <c r="D1052" s="19" t="s">
        <v>4668</v>
      </c>
    </row>
    <row r="1053" spans="1:4" x14ac:dyDescent="0.25">
      <c r="A1053" s="19">
        <v>922140</v>
      </c>
      <c r="B1053" s="19" t="s">
        <v>4669</v>
      </c>
      <c r="C1053" s="19">
        <v>922140</v>
      </c>
      <c r="D1053" s="19" t="s">
        <v>4669</v>
      </c>
    </row>
    <row r="1054" spans="1:4" x14ac:dyDescent="0.25">
      <c r="A1054" s="19">
        <v>922150</v>
      </c>
      <c r="B1054" s="19" t="s">
        <v>4670</v>
      </c>
      <c r="C1054" s="19">
        <v>922150</v>
      </c>
      <c r="D1054" s="19" t="s">
        <v>4670</v>
      </c>
    </row>
    <row r="1055" spans="1:4" x14ac:dyDescent="0.25">
      <c r="A1055" s="19">
        <v>922160</v>
      </c>
      <c r="B1055" s="19" t="s">
        <v>4672</v>
      </c>
      <c r="C1055" s="19">
        <v>922160</v>
      </c>
      <c r="D1055" s="19" t="s">
        <v>4672</v>
      </c>
    </row>
    <row r="1056" spans="1:4" ht="25.5" x14ac:dyDescent="0.25">
      <c r="A1056" s="19">
        <v>922190</v>
      </c>
      <c r="B1056" s="19" t="s">
        <v>4674</v>
      </c>
      <c r="C1056" s="19">
        <v>922190</v>
      </c>
      <c r="D1056" s="19" t="s">
        <v>4674</v>
      </c>
    </row>
    <row r="1057" spans="1:4" x14ac:dyDescent="0.25">
      <c r="A1057" s="19">
        <v>923110</v>
      </c>
      <c r="B1057" s="19" t="s">
        <v>4676</v>
      </c>
      <c r="C1057" s="19">
        <v>923110</v>
      </c>
      <c r="D1057" s="19" t="s">
        <v>4676</v>
      </c>
    </row>
    <row r="1058" spans="1:4" ht="25.5" x14ac:dyDescent="0.25">
      <c r="A1058" s="19">
        <v>923120</v>
      </c>
      <c r="B1058" s="19" t="s">
        <v>4678</v>
      </c>
      <c r="C1058" s="19">
        <v>923120</v>
      </c>
      <c r="D1058" s="19" t="s">
        <v>4678</v>
      </c>
    </row>
    <row r="1059" spans="1:4" ht="38.25" x14ac:dyDescent="0.25">
      <c r="A1059" s="19">
        <v>923130</v>
      </c>
      <c r="B1059" s="19" t="s">
        <v>4680</v>
      </c>
      <c r="C1059" s="19">
        <v>923130</v>
      </c>
      <c r="D1059" s="19" t="s">
        <v>4680</v>
      </c>
    </row>
    <row r="1060" spans="1:4" x14ac:dyDescent="0.25">
      <c r="A1060" s="19">
        <v>923140</v>
      </c>
      <c r="B1060" s="19" t="s">
        <v>4682</v>
      </c>
      <c r="C1060" s="19">
        <v>923140</v>
      </c>
      <c r="D1060" s="19" t="s">
        <v>4682</v>
      </c>
    </row>
    <row r="1061" spans="1:4" ht="38.25" x14ac:dyDescent="0.25">
      <c r="A1061" s="19">
        <v>924110</v>
      </c>
      <c r="B1061" s="19" t="s">
        <v>4683</v>
      </c>
      <c r="C1061" s="19">
        <v>924110</v>
      </c>
      <c r="D1061" s="19" t="s">
        <v>4683</v>
      </c>
    </row>
    <row r="1062" spans="1:4" x14ac:dyDescent="0.25">
      <c r="A1062" s="19">
        <v>924120</v>
      </c>
      <c r="B1062" s="19" t="s">
        <v>4685</v>
      </c>
      <c r="C1062" s="19">
        <v>924120</v>
      </c>
      <c r="D1062" s="19" t="s">
        <v>4685</v>
      </c>
    </row>
    <row r="1063" spans="1:4" x14ac:dyDescent="0.25">
      <c r="A1063" s="19">
        <v>925110</v>
      </c>
      <c r="B1063" s="19" t="s">
        <v>4687</v>
      </c>
      <c r="C1063" s="19">
        <v>925110</v>
      </c>
      <c r="D1063" s="19" t="s">
        <v>4687</v>
      </c>
    </row>
    <row r="1064" spans="1:4" ht="25.5" x14ac:dyDescent="0.25">
      <c r="A1064" s="19">
        <v>925120</v>
      </c>
      <c r="B1064" s="19" t="s">
        <v>4689</v>
      </c>
      <c r="C1064" s="19">
        <v>925120</v>
      </c>
      <c r="D1064" s="19" t="s">
        <v>4689</v>
      </c>
    </row>
    <row r="1065" spans="1:4" ht="25.5" x14ac:dyDescent="0.25">
      <c r="A1065" s="19">
        <v>926110</v>
      </c>
      <c r="B1065" s="19" t="s">
        <v>4691</v>
      </c>
      <c r="C1065" s="19">
        <v>926110</v>
      </c>
      <c r="D1065" s="19" t="s">
        <v>4691</v>
      </c>
    </row>
    <row r="1066" spans="1:4" ht="25.5" x14ac:dyDescent="0.25">
      <c r="A1066" s="19">
        <v>926120</v>
      </c>
      <c r="B1066" s="19" t="s">
        <v>4693</v>
      </c>
      <c r="C1066" s="19">
        <v>926120</v>
      </c>
      <c r="D1066" s="19" t="s">
        <v>4693</v>
      </c>
    </row>
    <row r="1067" spans="1:4" ht="38.25" x14ac:dyDescent="0.25">
      <c r="A1067" s="19">
        <v>926130</v>
      </c>
      <c r="B1067" s="19" t="s">
        <v>4695</v>
      </c>
      <c r="C1067" s="19">
        <v>926130</v>
      </c>
      <c r="D1067" s="19" t="s">
        <v>4695</v>
      </c>
    </row>
    <row r="1068" spans="1:4" ht="25.5" x14ac:dyDescent="0.25">
      <c r="A1068" s="19">
        <v>926140</v>
      </c>
      <c r="B1068" s="19" t="s">
        <v>4697</v>
      </c>
      <c r="C1068" s="19">
        <v>926140</v>
      </c>
      <c r="D1068" s="19" t="s">
        <v>4697</v>
      </c>
    </row>
    <row r="1069" spans="1:4" ht="25.5" x14ac:dyDescent="0.25">
      <c r="A1069" s="19">
        <v>926150</v>
      </c>
      <c r="B1069" s="19" t="s">
        <v>4699</v>
      </c>
      <c r="C1069" s="19">
        <v>926150</v>
      </c>
      <c r="D1069" s="19" t="s">
        <v>4699</v>
      </c>
    </row>
    <row r="1070" spans="1:4" x14ac:dyDescent="0.25">
      <c r="A1070" s="19">
        <v>927110</v>
      </c>
      <c r="B1070" s="19" t="s">
        <v>4701</v>
      </c>
      <c r="C1070" s="19">
        <v>927110</v>
      </c>
      <c r="D1070" s="19" t="s">
        <v>4701</v>
      </c>
    </row>
    <row r="1071" spans="1:4" x14ac:dyDescent="0.25">
      <c r="A1071" s="19">
        <v>928110</v>
      </c>
      <c r="B1071" s="19" t="s">
        <v>4703</v>
      </c>
      <c r="C1071" s="19">
        <v>928110</v>
      </c>
      <c r="D1071" s="19" t="s">
        <v>4703</v>
      </c>
    </row>
    <row r="1072" spans="1:4" x14ac:dyDescent="0.25">
      <c r="A1072" s="19">
        <v>928120</v>
      </c>
      <c r="B1072" s="19" t="s">
        <v>4705</v>
      </c>
      <c r="C1072" s="19">
        <v>928120</v>
      </c>
      <c r="D1072" s="19" t="s">
        <v>4705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8AAD-878E-42B3-A878-57B5E30CDD87}">
  <dimension ref="A1:K455"/>
  <sheetViews>
    <sheetView workbookViewId="0"/>
  </sheetViews>
  <sheetFormatPr defaultRowHeight="15" x14ac:dyDescent="0.25"/>
  <cols>
    <col min="1" max="1" width="11.5703125" customWidth="1"/>
    <col min="2" max="2" width="17" customWidth="1"/>
    <col min="3" max="3" width="12.5703125" customWidth="1"/>
    <col min="4" max="4" width="15.140625" customWidth="1"/>
    <col min="5" max="5" width="19.42578125" bestFit="1" customWidth="1"/>
    <col min="6" max="6" width="10.42578125" customWidth="1"/>
    <col min="7" max="7" width="15.85546875" customWidth="1"/>
    <col min="8" max="8" width="15.140625" customWidth="1"/>
    <col min="9" max="9" width="16.140625" customWidth="1"/>
  </cols>
  <sheetData>
    <row r="1" spans="1:11" ht="45" x14ac:dyDescent="0.25">
      <c r="A1" s="29" t="s">
        <v>2395</v>
      </c>
      <c r="B1" s="29" t="s">
        <v>6134</v>
      </c>
      <c r="C1" s="29" t="s">
        <v>6135</v>
      </c>
      <c r="D1" s="29" t="s">
        <v>6136</v>
      </c>
      <c r="E1" s="29" t="s">
        <v>2398</v>
      </c>
      <c r="F1" s="29" t="s">
        <v>6137</v>
      </c>
      <c r="G1" s="29" t="s">
        <v>2399</v>
      </c>
      <c r="H1" s="29" t="s">
        <v>276</v>
      </c>
      <c r="I1" s="29" t="s">
        <v>277</v>
      </c>
      <c r="J1" s="29" t="s">
        <v>278</v>
      </c>
      <c r="K1" s="29" t="s">
        <v>279</v>
      </c>
    </row>
    <row r="2" spans="1:11" x14ac:dyDescent="0.25">
      <c r="A2" s="28">
        <v>2012</v>
      </c>
      <c r="B2" s="28" t="s">
        <v>6138</v>
      </c>
      <c r="C2" s="28" t="s">
        <v>6139</v>
      </c>
      <c r="D2" s="28" t="s">
        <v>6140</v>
      </c>
      <c r="E2" s="28" t="s">
        <v>639</v>
      </c>
      <c r="F2" s="28" t="s">
        <v>6141</v>
      </c>
      <c r="G2" s="28">
        <v>336611</v>
      </c>
      <c r="H2" s="28" t="s">
        <v>637</v>
      </c>
      <c r="I2" s="28" t="s">
        <v>638</v>
      </c>
      <c r="J2" s="28" t="s">
        <v>437</v>
      </c>
      <c r="K2" s="28" t="s">
        <v>362</v>
      </c>
    </row>
    <row r="3" spans="1:11" x14ac:dyDescent="0.25">
      <c r="A3" s="28">
        <v>2012</v>
      </c>
      <c r="B3" s="28" t="s">
        <v>6138</v>
      </c>
      <c r="C3" s="28" t="s">
        <v>6139</v>
      </c>
      <c r="D3" s="28" t="s">
        <v>6142</v>
      </c>
      <c r="E3" s="28" t="s">
        <v>514</v>
      </c>
      <c r="F3" s="28" t="s">
        <v>6143</v>
      </c>
      <c r="G3" s="28">
        <v>325199</v>
      </c>
      <c r="H3" s="28" t="s">
        <v>2417</v>
      </c>
      <c r="I3" s="28" t="s">
        <v>2418</v>
      </c>
      <c r="J3" s="28" t="s">
        <v>302</v>
      </c>
      <c r="K3" s="28" t="s">
        <v>303</v>
      </c>
    </row>
    <row r="4" spans="1:11" x14ac:dyDescent="0.25">
      <c r="A4" s="28">
        <v>2012</v>
      </c>
      <c r="B4" s="28" t="s">
        <v>6138</v>
      </c>
      <c r="C4" s="28" t="s">
        <v>6139</v>
      </c>
      <c r="D4" s="28" t="s">
        <v>6144</v>
      </c>
      <c r="E4" s="28" t="s">
        <v>682</v>
      </c>
      <c r="F4" s="28" t="s">
        <v>6143</v>
      </c>
      <c r="G4" s="28">
        <v>325199</v>
      </c>
      <c r="H4" s="28" t="s">
        <v>679</v>
      </c>
      <c r="I4" s="28" t="s">
        <v>680</v>
      </c>
      <c r="J4" s="28" t="s">
        <v>681</v>
      </c>
      <c r="K4" s="28" t="s">
        <v>328</v>
      </c>
    </row>
    <row r="5" spans="1:11" x14ac:dyDescent="0.25">
      <c r="A5" s="28">
        <v>2012</v>
      </c>
      <c r="B5" s="28" t="s">
        <v>6138</v>
      </c>
      <c r="C5" s="28" t="s">
        <v>6139</v>
      </c>
      <c r="D5" s="28" t="s">
        <v>6145</v>
      </c>
      <c r="E5" s="28" t="s">
        <v>6146</v>
      </c>
      <c r="F5" s="28" t="s">
        <v>6143</v>
      </c>
      <c r="G5" s="28">
        <v>325998</v>
      </c>
      <c r="H5" s="28" t="s">
        <v>6147</v>
      </c>
      <c r="I5" s="28" t="s">
        <v>6148</v>
      </c>
      <c r="J5" s="28" t="s">
        <v>6149</v>
      </c>
      <c r="K5" s="28" t="s">
        <v>6150</v>
      </c>
    </row>
    <row r="6" spans="1:11" x14ac:dyDescent="0.25">
      <c r="A6" s="28">
        <v>2012</v>
      </c>
      <c r="B6" s="28" t="s">
        <v>6138</v>
      </c>
      <c r="C6" s="28" t="s">
        <v>6139</v>
      </c>
      <c r="D6" s="28" t="s">
        <v>6151</v>
      </c>
      <c r="E6" s="28" t="s">
        <v>481</v>
      </c>
      <c r="F6" s="28" t="s">
        <v>6143</v>
      </c>
      <c r="G6" s="28">
        <v>325211</v>
      </c>
      <c r="H6" s="28" t="s">
        <v>2414</v>
      </c>
      <c r="I6" s="28" t="s">
        <v>2415</v>
      </c>
      <c r="J6" s="28" t="s">
        <v>480</v>
      </c>
      <c r="K6" s="28" t="s">
        <v>362</v>
      </c>
    </row>
    <row r="7" spans="1:11" x14ac:dyDescent="0.25">
      <c r="A7" s="28">
        <v>2012</v>
      </c>
      <c r="B7" s="28" t="s">
        <v>6138</v>
      </c>
      <c r="C7" s="28" t="s">
        <v>6139</v>
      </c>
      <c r="D7" s="28" t="s">
        <v>6152</v>
      </c>
      <c r="E7" s="28" t="s">
        <v>677</v>
      </c>
      <c r="F7" s="28" t="s">
        <v>6153</v>
      </c>
      <c r="G7" s="28">
        <v>424690</v>
      </c>
      <c r="H7" s="28" t="s">
        <v>675</v>
      </c>
      <c r="I7" s="28" t="s">
        <v>676</v>
      </c>
      <c r="J7" s="28" t="s">
        <v>516</v>
      </c>
      <c r="K7" s="28" t="s">
        <v>303</v>
      </c>
    </row>
    <row r="8" spans="1:11" x14ac:dyDescent="0.25">
      <c r="A8" s="28">
        <v>2012</v>
      </c>
      <c r="B8" s="28" t="s">
        <v>6138</v>
      </c>
      <c r="C8" s="28" t="s">
        <v>6139</v>
      </c>
      <c r="D8" s="28" t="s">
        <v>6154</v>
      </c>
      <c r="E8" s="28" t="s">
        <v>6155</v>
      </c>
      <c r="F8" s="28" t="s">
        <v>6143</v>
      </c>
      <c r="G8" s="28">
        <v>325188</v>
      </c>
      <c r="H8" s="28" t="s">
        <v>6156</v>
      </c>
      <c r="I8" s="28" t="s">
        <v>6157</v>
      </c>
      <c r="J8" s="28" t="s">
        <v>6158</v>
      </c>
      <c r="K8" s="28" t="s">
        <v>299</v>
      </c>
    </row>
    <row r="9" spans="1:11" x14ac:dyDescent="0.25">
      <c r="A9" s="28">
        <v>2012</v>
      </c>
      <c r="B9" s="28" t="s">
        <v>6138</v>
      </c>
      <c r="C9" s="28" t="s">
        <v>6139</v>
      </c>
      <c r="D9" s="28" t="s">
        <v>6159</v>
      </c>
      <c r="E9" s="28" t="s">
        <v>325</v>
      </c>
      <c r="F9" s="28" t="s">
        <v>6143</v>
      </c>
      <c r="G9" s="28">
        <v>325188</v>
      </c>
      <c r="H9" s="28" t="s">
        <v>105</v>
      </c>
      <c r="I9" s="28" t="s">
        <v>322</v>
      </c>
      <c r="J9" s="28" t="s">
        <v>323</v>
      </c>
      <c r="K9" s="28" t="s">
        <v>324</v>
      </c>
    </row>
    <row r="10" spans="1:11" x14ac:dyDescent="0.25">
      <c r="A10" s="28">
        <v>2012</v>
      </c>
      <c r="B10" s="28" t="s">
        <v>6138</v>
      </c>
      <c r="C10" s="28" t="s">
        <v>6139</v>
      </c>
      <c r="D10" s="28" t="s">
        <v>6160</v>
      </c>
      <c r="E10" s="28" t="s">
        <v>664</v>
      </c>
      <c r="F10" s="28" t="s">
        <v>6143</v>
      </c>
      <c r="G10" s="28">
        <v>325110</v>
      </c>
      <c r="H10" s="28" t="s">
        <v>221</v>
      </c>
      <c r="I10" s="28" t="s">
        <v>663</v>
      </c>
      <c r="J10" s="28" t="s">
        <v>446</v>
      </c>
      <c r="K10" s="28" t="s">
        <v>303</v>
      </c>
    </row>
    <row r="11" spans="1:11" x14ac:dyDescent="0.25">
      <c r="A11" s="28">
        <v>2012</v>
      </c>
      <c r="B11" s="28" t="s">
        <v>6138</v>
      </c>
      <c r="C11" s="28" t="s">
        <v>6139</v>
      </c>
      <c r="D11" s="28" t="s">
        <v>6161</v>
      </c>
      <c r="E11" s="28" t="s">
        <v>6162</v>
      </c>
      <c r="F11" s="28" t="s">
        <v>6163</v>
      </c>
      <c r="G11" s="28">
        <v>562211</v>
      </c>
      <c r="H11" s="28" t="s">
        <v>6164</v>
      </c>
      <c r="I11" s="28" t="s">
        <v>6165</v>
      </c>
      <c r="J11" s="28" t="s">
        <v>6166</v>
      </c>
      <c r="K11" s="28" t="s">
        <v>1415</v>
      </c>
    </row>
    <row r="12" spans="1:11" x14ac:dyDescent="0.25">
      <c r="A12" s="28">
        <v>2012</v>
      </c>
      <c r="B12" s="28" t="s">
        <v>6138</v>
      </c>
      <c r="C12" s="28" t="s">
        <v>6139</v>
      </c>
      <c r="D12" s="28" t="s">
        <v>6167</v>
      </c>
      <c r="E12" s="28" t="s">
        <v>6168</v>
      </c>
      <c r="F12" s="28" t="s">
        <v>6143</v>
      </c>
      <c r="G12" s="28">
        <v>325199</v>
      </c>
      <c r="H12" s="28" t="s">
        <v>6169</v>
      </c>
      <c r="I12" s="28" t="s">
        <v>6170</v>
      </c>
      <c r="J12" s="28" t="s">
        <v>463</v>
      </c>
      <c r="K12" s="28" t="s">
        <v>362</v>
      </c>
    </row>
    <row r="13" spans="1:11" x14ac:dyDescent="0.25">
      <c r="A13" s="28">
        <v>2012</v>
      </c>
      <c r="B13" s="28" t="s">
        <v>6138</v>
      </c>
      <c r="C13" s="28" t="s">
        <v>6139</v>
      </c>
      <c r="D13" s="28" t="s">
        <v>6171</v>
      </c>
      <c r="E13" s="28" t="s">
        <v>565</v>
      </c>
      <c r="F13" s="28" t="s">
        <v>6143</v>
      </c>
      <c r="G13" s="28">
        <v>325320</v>
      </c>
      <c r="H13" s="28" t="s">
        <v>214</v>
      </c>
      <c r="I13" s="28" t="s">
        <v>562</v>
      </c>
      <c r="J13" s="28" t="s">
        <v>563</v>
      </c>
      <c r="K13" s="28" t="s">
        <v>564</v>
      </c>
    </row>
    <row r="14" spans="1:11" x14ac:dyDescent="0.25">
      <c r="A14" s="28">
        <v>2012</v>
      </c>
      <c r="B14" s="28" t="s">
        <v>6138</v>
      </c>
      <c r="C14" s="28" t="s">
        <v>6139</v>
      </c>
      <c r="D14" s="28" t="s">
        <v>6172</v>
      </c>
      <c r="E14" s="28" t="s">
        <v>6173</v>
      </c>
      <c r="F14" s="28" t="s">
        <v>6174</v>
      </c>
      <c r="G14" s="28">
        <v>212393</v>
      </c>
      <c r="H14" s="28" t="s">
        <v>6175</v>
      </c>
      <c r="I14" s="28" t="s">
        <v>6176</v>
      </c>
      <c r="J14" s="28" t="s">
        <v>6177</v>
      </c>
      <c r="K14" s="28" t="s">
        <v>303</v>
      </c>
    </row>
    <row r="15" spans="1:11" x14ac:dyDescent="0.25">
      <c r="A15" s="28">
        <v>2012</v>
      </c>
      <c r="B15" s="28" t="s">
        <v>6138</v>
      </c>
      <c r="C15" s="28" t="s">
        <v>6139</v>
      </c>
      <c r="D15" s="28" t="s">
        <v>6178</v>
      </c>
      <c r="E15" s="28" t="s">
        <v>447</v>
      </c>
      <c r="F15" s="28" t="s">
        <v>6143</v>
      </c>
      <c r="G15" s="28">
        <v>325181</v>
      </c>
      <c r="H15" s="28" t="s">
        <v>2410</v>
      </c>
      <c r="I15" s="28" t="s">
        <v>2411</v>
      </c>
      <c r="J15" s="28" t="s">
        <v>446</v>
      </c>
      <c r="K15" s="28" t="s">
        <v>303</v>
      </c>
    </row>
    <row r="16" spans="1:11" x14ac:dyDescent="0.25">
      <c r="A16" s="28">
        <v>2012</v>
      </c>
      <c r="B16" s="28" t="s">
        <v>6138</v>
      </c>
      <c r="C16" s="28" t="s">
        <v>6139</v>
      </c>
      <c r="D16" s="28" t="s">
        <v>6179</v>
      </c>
      <c r="E16" s="28" t="s">
        <v>585</v>
      </c>
      <c r="F16" s="28" t="s">
        <v>6143</v>
      </c>
      <c r="G16" s="28">
        <v>325199</v>
      </c>
      <c r="H16" s="28" t="s">
        <v>2422</v>
      </c>
      <c r="I16" s="28" t="s">
        <v>2423</v>
      </c>
      <c r="J16" s="28" t="s">
        <v>516</v>
      </c>
      <c r="K16" s="28" t="s">
        <v>303</v>
      </c>
    </row>
    <row r="17" spans="1:11" x14ac:dyDescent="0.25">
      <c r="A17" s="28">
        <v>2012</v>
      </c>
      <c r="B17" s="28" t="s">
        <v>6138</v>
      </c>
      <c r="C17" s="28" t="s">
        <v>6139</v>
      </c>
      <c r="D17" s="28" t="s">
        <v>6180</v>
      </c>
      <c r="E17" s="28" t="s">
        <v>542</v>
      </c>
      <c r="F17" s="28" t="s">
        <v>6143</v>
      </c>
      <c r="G17" s="28">
        <v>325199</v>
      </c>
      <c r="H17" s="28" t="s">
        <v>213</v>
      </c>
      <c r="I17" s="28" t="s">
        <v>540</v>
      </c>
      <c r="J17" s="28" t="s">
        <v>460</v>
      </c>
      <c r="K17" s="28" t="s">
        <v>541</v>
      </c>
    </row>
    <row r="18" spans="1:11" x14ac:dyDescent="0.25">
      <c r="A18" s="28">
        <v>2012</v>
      </c>
      <c r="B18" s="28" t="s">
        <v>6138</v>
      </c>
      <c r="C18" s="28" t="s">
        <v>6139</v>
      </c>
      <c r="D18" s="28" t="s">
        <v>6181</v>
      </c>
      <c r="E18" s="28" t="s">
        <v>588</v>
      </c>
      <c r="F18" s="28" t="s">
        <v>6143</v>
      </c>
      <c r="G18" s="28">
        <v>325181</v>
      </c>
      <c r="H18" s="28" t="s">
        <v>216</v>
      </c>
      <c r="I18" s="28" t="s">
        <v>586</v>
      </c>
      <c r="J18" s="28" t="s">
        <v>587</v>
      </c>
      <c r="K18" s="28" t="s">
        <v>303</v>
      </c>
    </row>
    <row r="19" spans="1:11" x14ac:dyDescent="0.25">
      <c r="A19" s="28">
        <v>2012</v>
      </c>
      <c r="B19" s="28" t="s">
        <v>6138</v>
      </c>
      <c r="C19" s="28" t="s">
        <v>6139</v>
      </c>
      <c r="D19" s="28" t="s">
        <v>6182</v>
      </c>
      <c r="E19" s="28" t="s">
        <v>593</v>
      </c>
      <c r="F19" s="28" t="s">
        <v>6143</v>
      </c>
      <c r="G19" s="28">
        <v>325199</v>
      </c>
      <c r="H19" s="28" t="s">
        <v>217</v>
      </c>
      <c r="I19" s="28" t="s">
        <v>592</v>
      </c>
      <c r="J19" s="28" t="s">
        <v>590</v>
      </c>
      <c r="K19" s="28" t="s">
        <v>362</v>
      </c>
    </row>
    <row r="20" spans="1:11" x14ac:dyDescent="0.25">
      <c r="A20" s="28">
        <v>2012</v>
      </c>
      <c r="B20" s="28" t="s">
        <v>6138</v>
      </c>
      <c r="C20" s="28" t="s">
        <v>6139</v>
      </c>
      <c r="D20" s="28" t="s">
        <v>6183</v>
      </c>
      <c r="E20" s="28" t="s">
        <v>595</v>
      </c>
      <c r="F20" s="28" t="s">
        <v>6143</v>
      </c>
      <c r="G20" s="28">
        <v>325199</v>
      </c>
      <c r="H20" s="28" t="s">
        <v>218</v>
      </c>
      <c r="I20" s="28" t="s">
        <v>594</v>
      </c>
      <c r="J20" s="28" t="s">
        <v>361</v>
      </c>
      <c r="K20" s="28" t="s">
        <v>362</v>
      </c>
    </row>
    <row r="21" spans="1:11" x14ac:dyDescent="0.25">
      <c r="A21" s="28">
        <v>2012</v>
      </c>
      <c r="B21" s="28" t="s">
        <v>6138</v>
      </c>
      <c r="C21" s="28" t="s">
        <v>6139</v>
      </c>
      <c r="D21" s="28" t="s">
        <v>6184</v>
      </c>
      <c r="E21" s="28" t="s">
        <v>666</v>
      </c>
      <c r="F21" s="28" t="s">
        <v>6143</v>
      </c>
      <c r="G21" s="28">
        <v>325211</v>
      </c>
      <c r="H21" s="28" t="s">
        <v>201</v>
      </c>
      <c r="I21" s="28" t="s">
        <v>665</v>
      </c>
      <c r="J21" s="28" t="s">
        <v>516</v>
      </c>
      <c r="K21" s="28" t="s">
        <v>303</v>
      </c>
    </row>
    <row r="22" spans="1:11" x14ac:dyDescent="0.25">
      <c r="A22" s="28">
        <v>2012</v>
      </c>
      <c r="B22" s="28" t="s">
        <v>6138</v>
      </c>
      <c r="C22" s="28" t="s">
        <v>6139</v>
      </c>
      <c r="D22" s="28" t="s">
        <v>6185</v>
      </c>
      <c r="E22" s="28" t="s">
        <v>673</v>
      </c>
      <c r="F22" s="28" t="s">
        <v>6143</v>
      </c>
      <c r="G22" s="28">
        <v>325188</v>
      </c>
      <c r="H22" s="28" t="s">
        <v>671</v>
      </c>
      <c r="I22" s="28" t="s">
        <v>672</v>
      </c>
      <c r="J22" s="28" t="s">
        <v>412</v>
      </c>
      <c r="K22" s="28" t="s">
        <v>299</v>
      </c>
    </row>
    <row r="23" spans="1:11" x14ac:dyDescent="0.25">
      <c r="A23" s="28">
        <v>2012</v>
      </c>
      <c r="B23" s="28" t="s">
        <v>6138</v>
      </c>
      <c r="C23" s="28" t="s">
        <v>6139</v>
      </c>
      <c r="D23" s="28" t="s">
        <v>6186</v>
      </c>
      <c r="E23" s="28" t="s">
        <v>438</v>
      </c>
      <c r="F23" s="28" t="s">
        <v>6174</v>
      </c>
      <c r="G23" s="28">
        <v>486990</v>
      </c>
      <c r="H23" s="28" t="s">
        <v>209</v>
      </c>
      <c r="I23" s="28" t="s">
        <v>436</v>
      </c>
      <c r="J23" s="28" t="s">
        <v>437</v>
      </c>
      <c r="K23" s="28" t="s">
        <v>362</v>
      </c>
    </row>
    <row r="24" spans="1:11" x14ac:dyDescent="0.25">
      <c r="A24" s="28">
        <v>2012</v>
      </c>
      <c r="B24" s="28" t="s">
        <v>6138</v>
      </c>
      <c r="C24" s="28" t="s">
        <v>6139</v>
      </c>
      <c r="D24" s="28" t="s">
        <v>6187</v>
      </c>
      <c r="E24" s="28" t="s">
        <v>524</v>
      </c>
      <c r="F24" s="28" t="s">
        <v>6143</v>
      </c>
      <c r="G24" s="28">
        <v>325199</v>
      </c>
      <c r="H24" s="28" t="s">
        <v>212</v>
      </c>
      <c r="I24" s="28" t="s">
        <v>523</v>
      </c>
      <c r="J24" s="28" t="s">
        <v>437</v>
      </c>
      <c r="K24" s="28" t="s">
        <v>362</v>
      </c>
    </row>
    <row r="25" spans="1:11" x14ac:dyDescent="0.25">
      <c r="A25" s="28">
        <v>2012</v>
      </c>
      <c r="B25" s="28" t="s">
        <v>6138</v>
      </c>
      <c r="C25" s="28" t="s">
        <v>6139</v>
      </c>
      <c r="D25" s="28" t="s">
        <v>6188</v>
      </c>
      <c r="E25" s="28" t="s">
        <v>668</v>
      </c>
      <c r="F25" s="28" t="s">
        <v>6143</v>
      </c>
      <c r="G25" s="28">
        <v>325199</v>
      </c>
      <c r="H25" s="28" t="s">
        <v>202</v>
      </c>
      <c r="I25" s="28" t="s">
        <v>2426</v>
      </c>
      <c r="J25" s="28" t="s">
        <v>323</v>
      </c>
      <c r="K25" s="28" t="s">
        <v>324</v>
      </c>
    </row>
    <row r="26" spans="1:11" x14ac:dyDescent="0.25">
      <c r="A26" s="28">
        <v>2012</v>
      </c>
      <c r="B26" s="28" t="s">
        <v>6138</v>
      </c>
      <c r="C26" s="28" t="s">
        <v>6139</v>
      </c>
      <c r="D26" s="28" t="s">
        <v>6189</v>
      </c>
      <c r="E26" s="28" t="s">
        <v>6190</v>
      </c>
      <c r="F26" s="28" t="s">
        <v>6191</v>
      </c>
      <c r="G26" s="28">
        <v>327310</v>
      </c>
      <c r="H26" s="28" t="s">
        <v>6192</v>
      </c>
      <c r="I26" s="28" t="s">
        <v>6193</v>
      </c>
      <c r="J26" s="28" t="s">
        <v>6194</v>
      </c>
      <c r="K26" s="28" t="s">
        <v>541</v>
      </c>
    </row>
    <row r="27" spans="1:11" x14ac:dyDescent="0.25">
      <c r="A27" s="28">
        <v>2012</v>
      </c>
      <c r="B27" s="28" t="s">
        <v>6138</v>
      </c>
      <c r="C27" s="28" t="s">
        <v>6139</v>
      </c>
      <c r="D27" s="28" t="s">
        <v>6195</v>
      </c>
      <c r="E27" s="28" t="s">
        <v>6196</v>
      </c>
      <c r="F27" s="28" t="s">
        <v>6163</v>
      </c>
      <c r="G27" s="28">
        <v>562211</v>
      </c>
      <c r="H27" s="28" t="s">
        <v>6197</v>
      </c>
      <c r="I27" s="28" t="s">
        <v>6198</v>
      </c>
      <c r="J27" s="28" t="s">
        <v>6199</v>
      </c>
      <c r="K27" s="28" t="s">
        <v>1352</v>
      </c>
    </row>
    <row r="28" spans="1:11" x14ac:dyDescent="0.25">
      <c r="A28" s="28">
        <v>2012</v>
      </c>
      <c r="B28" s="28" t="s">
        <v>6138</v>
      </c>
      <c r="C28" s="28" t="s">
        <v>6139</v>
      </c>
      <c r="D28" s="28" t="s">
        <v>6200</v>
      </c>
      <c r="E28" s="28" t="s">
        <v>6201</v>
      </c>
      <c r="F28" s="28" t="s">
        <v>6202</v>
      </c>
      <c r="G28" s="28">
        <v>324110</v>
      </c>
      <c r="H28" s="28" t="s">
        <v>6203</v>
      </c>
      <c r="I28" s="28" t="s">
        <v>6204</v>
      </c>
      <c r="J28" s="28" t="s">
        <v>463</v>
      </c>
      <c r="K28" s="28" t="s">
        <v>362</v>
      </c>
    </row>
    <row r="29" spans="1:11" x14ac:dyDescent="0.25">
      <c r="A29" s="28">
        <v>2012</v>
      </c>
      <c r="B29" s="28" t="s">
        <v>6138</v>
      </c>
      <c r="C29" s="28" t="s">
        <v>6139</v>
      </c>
      <c r="D29" s="28" t="s">
        <v>6205</v>
      </c>
      <c r="E29" s="28" t="s">
        <v>512</v>
      </c>
      <c r="F29" s="28" t="s">
        <v>6163</v>
      </c>
      <c r="G29" s="28">
        <v>562213</v>
      </c>
      <c r="H29" s="28" t="s">
        <v>211</v>
      </c>
      <c r="I29" s="28" t="s">
        <v>510</v>
      </c>
      <c r="J29" s="28" t="s">
        <v>511</v>
      </c>
      <c r="K29" s="28" t="s">
        <v>319</v>
      </c>
    </row>
    <row r="30" spans="1:11" x14ac:dyDescent="0.25">
      <c r="A30" s="28">
        <v>2012</v>
      </c>
      <c r="B30" s="28" t="s">
        <v>6138</v>
      </c>
      <c r="C30" s="28" t="s">
        <v>6139</v>
      </c>
      <c r="D30" s="28" t="s">
        <v>6206</v>
      </c>
      <c r="E30" s="28" t="s">
        <v>6207</v>
      </c>
      <c r="F30" s="28" t="s">
        <v>6202</v>
      </c>
      <c r="G30" s="28">
        <v>324110</v>
      </c>
      <c r="H30" s="28" t="s">
        <v>6208</v>
      </c>
      <c r="I30" s="28" t="s">
        <v>6209</v>
      </c>
      <c r="J30" s="28" t="s">
        <v>6210</v>
      </c>
      <c r="K30" s="28" t="s">
        <v>362</v>
      </c>
    </row>
    <row r="31" spans="1:11" x14ac:dyDescent="0.25">
      <c r="A31" s="28">
        <v>2012</v>
      </c>
      <c r="B31" s="28" t="s">
        <v>6138</v>
      </c>
      <c r="C31" s="28" t="s">
        <v>6139</v>
      </c>
      <c r="D31" s="28" t="s">
        <v>6211</v>
      </c>
      <c r="E31" s="28" t="s">
        <v>576</v>
      </c>
      <c r="F31" s="28" t="s">
        <v>6143</v>
      </c>
      <c r="G31" s="28">
        <v>325199</v>
      </c>
      <c r="H31" s="28" t="s">
        <v>215</v>
      </c>
      <c r="I31" s="28" t="s">
        <v>574</v>
      </c>
      <c r="J31" s="28" t="s">
        <v>575</v>
      </c>
      <c r="K31" s="28" t="s">
        <v>435</v>
      </c>
    </row>
    <row r="32" spans="1:11" x14ac:dyDescent="0.25">
      <c r="A32" s="28">
        <v>2012</v>
      </c>
      <c r="B32" s="28" t="s">
        <v>6138</v>
      </c>
      <c r="C32" s="28" t="s">
        <v>6139</v>
      </c>
      <c r="D32" s="28" t="s">
        <v>6212</v>
      </c>
      <c r="E32" s="28" t="s">
        <v>6213</v>
      </c>
      <c r="F32" s="28" t="s">
        <v>6143</v>
      </c>
      <c r="G32" s="28">
        <v>325181</v>
      </c>
      <c r="H32" s="28" t="s">
        <v>2419</v>
      </c>
      <c r="I32" s="28" t="s">
        <v>6214</v>
      </c>
      <c r="J32" s="28" t="s">
        <v>6215</v>
      </c>
      <c r="K32" s="28" t="s">
        <v>385</v>
      </c>
    </row>
    <row r="33" spans="1:11" x14ac:dyDescent="0.25">
      <c r="A33" s="28">
        <v>2012</v>
      </c>
      <c r="B33" s="28" t="s">
        <v>6138</v>
      </c>
      <c r="C33" s="28" t="s">
        <v>6139</v>
      </c>
      <c r="D33" s="28" t="s">
        <v>6216</v>
      </c>
      <c r="E33" s="28" t="s">
        <v>642</v>
      </c>
      <c r="F33" s="28" t="s">
        <v>6143</v>
      </c>
      <c r="G33" s="28">
        <v>325199</v>
      </c>
      <c r="H33" s="28" t="s">
        <v>219</v>
      </c>
      <c r="I33" s="28" t="s">
        <v>641</v>
      </c>
      <c r="J33" s="28" t="s">
        <v>426</v>
      </c>
      <c r="K33" s="28" t="s">
        <v>427</v>
      </c>
    </row>
    <row r="34" spans="1:11" x14ac:dyDescent="0.25">
      <c r="A34" s="28">
        <v>2012</v>
      </c>
      <c r="B34" s="28" t="s">
        <v>6138</v>
      </c>
      <c r="C34" s="28" t="s">
        <v>6139</v>
      </c>
      <c r="D34" s="28" t="s">
        <v>6217</v>
      </c>
      <c r="E34" s="28" t="s">
        <v>6218</v>
      </c>
      <c r="F34" s="28" t="s">
        <v>6163</v>
      </c>
      <c r="G34" s="28">
        <v>562211</v>
      </c>
      <c r="H34" s="28" t="s">
        <v>6219</v>
      </c>
      <c r="I34" s="28" t="s">
        <v>6220</v>
      </c>
      <c r="J34" s="28" t="s">
        <v>6221</v>
      </c>
      <c r="K34" s="28" t="s">
        <v>1101</v>
      </c>
    </row>
    <row r="35" spans="1:11" x14ac:dyDescent="0.25">
      <c r="A35" s="28">
        <v>2012</v>
      </c>
      <c r="B35" s="28" t="s">
        <v>6138</v>
      </c>
      <c r="C35" s="28" t="s">
        <v>6139</v>
      </c>
      <c r="D35" s="28" t="s">
        <v>6222</v>
      </c>
      <c r="E35" s="28" t="s">
        <v>6223</v>
      </c>
      <c r="F35" s="28" t="s">
        <v>6202</v>
      </c>
      <c r="G35" s="28">
        <v>324110</v>
      </c>
      <c r="H35" s="28" t="s">
        <v>6224</v>
      </c>
      <c r="I35" s="28" t="s">
        <v>6225</v>
      </c>
      <c r="J35" s="28" t="s">
        <v>6226</v>
      </c>
      <c r="K35" s="28" t="s">
        <v>345</v>
      </c>
    </row>
    <row r="36" spans="1:11" x14ac:dyDescent="0.25">
      <c r="A36" s="28">
        <v>2012</v>
      </c>
      <c r="B36" s="28" t="s">
        <v>6138</v>
      </c>
      <c r="C36" s="28" t="s">
        <v>6139</v>
      </c>
      <c r="D36" s="28" t="s">
        <v>6227</v>
      </c>
      <c r="E36" s="28" t="s">
        <v>413</v>
      </c>
      <c r="F36" s="28" t="s">
        <v>6163</v>
      </c>
      <c r="G36" s="28">
        <v>562211</v>
      </c>
      <c r="H36" s="28" t="s">
        <v>128</v>
      </c>
      <c r="I36" s="28" t="s">
        <v>2408</v>
      </c>
      <c r="J36" s="28" t="s">
        <v>412</v>
      </c>
      <c r="K36" s="28" t="s">
        <v>299</v>
      </c>
    </row>
    <row r="37" spans="1:11" x14ac:dyDescent="0.25">
      <c r="A37" s="28">
        <v>2012</v>
      </c>
      <c r="B37" s="28" t="s">
        <v>6138</v>
      </c>
      <c r="C37" s="28" t="s">
        <v>6139</v>
      </c>
      <c r="D37" s="28" t="s">
        <v>6228</v>
      </c>
      <c r="E37" s="28" t="s">
        <v>6229</v>
      </c>
      <c r="F37" s="28" t="s">
        <v>6202</v>
      </c>
      <c r="G37" s="28">
        <v>324110</v>
      </c>
      <c r="H37" s="28" t="s">
        <v>6230</v>
      </c>
      <c r="I37" s="28" t="s">
        <v>6231</v>
      </c>
      <c r="J37" s="28" t="s">
        <v>6232</v>
      </c>
      <c r="K37" s="28" t="s">
        <v>319</v>
      </c>
    </row>
    <row r="38" spans="1:11" x14ac:dyDescent="0.25">
      <c r="A38" s="28">
        <v>2012</v>
      </c>
      <c r="B38" s="28" t="s">
        <v>6138</v>
      </c>
      <c r="C38" s="28" t="s">
        <v>6139</v>
      </c>
      <c r="D38" s="28" t="s">
        <v>6233</v>
      </c>
      <c r="E38" s="28" t="s">
        <v>644</v>
      </c>
      <c r="F38" s="28" t="s">
        <v>6143</v>
      </c>
      <c r="G38" s="28">
        <v>325199</v>
      </c>
      <c r="H38" s="28" t="s">
        <v>220</v>
      </c>
      <c r="I38" s="28" t="s">
        <v>643</v>
      </c>
      <c r="J38" s="28" t="s">
        <v>334</v>
      </c>
      <c r="K38" s="28" t="s">
        <v>303</v>
      </c>
    </row>
    <row r="39" spans="1:11" x14ac:dyDescent="0.25">
      <c r="A39" s="28">
        <v>2012</v>
      </c>
      <c r="B39" s="28" t="s">
        <v>6138</v>
      </c>
      <c r="C39" s="28" t="s">
        <v>6139</v>
      </c>
      <c r="D39" s="28" t="s">
        <v>6234</v>
      </c>
      <c r="E39" s="28" t="s">
        <v>6235</v>
      </c>
      <c r="F39" s="28" t="s">
        <v>6143</v>
      </c>
      <c r="G39" s="28">
        <v>325998</v>
      </c>
      <c r="H39" s="28" t="s">
        <v>6236</v>
      </c>
      <c r="I39" s="28" t="s">
        <v>6237</v>
      </c>
      <c r="J39" s="28" t="s">
        <v>6238</v>
      </c>
      <c r="K39" s="28" t="s">
        <v>686</v>
      </c>
    </row>
    <row r="40" spans="1:11" x14ac:dyDescent="0.25">
      <c r="A40" s="28">
        <v>2012</v>
      </c>
      <c r="B40" s="28" t="s">
        <v>6138</v>
      </c>
      <c r="C40" s="28" t="s">
        <v>6139</v>
      </c>
      <c r="D40" s="28" t="s">
        <v>6239</v>
      </c>
      <c r="E40" s="28" t="s">
        <v>6240</v>
      </c>
      <c r="F40" s="28" t="s">
        <v>6143</v>
      </c>
      <c r="G40" s="28">
        <v>325199</v>
      </c>
      <c r="H40" s="28" t="s">
        <v>6241</v>
      </c>
      <c r="I40" s="28" t="s">
        <v>6242</v>
      </c>
      <c r="J40" s="28" t="s">
        <v>6243</v>
      </c>
      <c r="K40" s="28" t="s">
        <v>303</v>
      </c>
    </row>
    <row r="41" spans="1:11" x14ac:dyDescent="0.25">
      <c r="A41" s="28">
        <v>2012</v>
      </c>
      <c r="B41" s="28" t="s">
        <v>6138</v>
      </c>
      <c r="C41" s="28" t="s">
        <v>6139</v>
      </c>
      <c r="D41" s="28" t="s">
        <v>6244</v>
      </c>
      <c r="E41" s="28" t="s">
        <v>6245</v>
      </c>
      <c r="F41" s="28" t="s">
        <v>6143</v>
      </c>
      <c r="G41" s="28">
        <v>325199</v>
      </c>
      <c r="H41" s="28" t="s">
        <v>6246</v>
      </c>
      <c r="I41" s="28" t="s">
        <v>6247</v>
      </c>
      <c r="J41" s="28" t="s">
        <v>6248</v>
      </c>
      <c r="K41" s="28" t="s">
        <v>294</v>
      </c>
    </row>
    <row r="42" spans="1:11" x14ac:dyDescent="0.25">
      <c r="A42" s="28">
        <v>2012</v>
      </c>
      <c r="B42" s="28" t="s">
        <v>6138</v>
      </c>
      <c r="C42" s="28" t="s">
        <v>6139</v>
      </c>
      <c r="D42" s="28" t="s">
        <v>6249</v>
      </c>
      <c r="E42" s="28" t="s">
        <v>350</v>
      </c>
      <c r="F42" s="28" t="s">
        <v>6143</v>
      </c>
      <c r="G42" s="28">
        <v>325320</v>
      </c>
      <c r="H42" s="28" t="s">
        <v>206</v>
      </c>
      <c r="I42" s="28" t="s">
        <v>347</v>
      </c>
      <c r="J42" s="28" t="s">
        <v>348</v>
      </c>
      <c r="K42" s="28" t="s">
        <v>349</v>
      </c>
    </row>
    <row r="43" spans="1:11" x14ac:dyDescent="0.25">
      <c r="A43" s="28">
        <v>2012</v>
      </c>
      <c r="B43" s="28" t="s">
        <v>6138</v>
      </c>
      <c r="C43" s="28" t="s">
        <v>6139</v>
      </c>
      <c r="D43" s="28" t="s">
        <v>6250</v>
      </c>
      <c r="E43" s="28" t="s">
        <v>369</v>
      </c>
      <c r="F43" s="28" t="s">
        <v>6143</v>
      </c>
      <c r="G43" s="28">
        <v>325998</v>
      </c>
      <c r="H43" s="28" t="s">
        <v>2469</v>
      </c>
      <c r="I43" s="28" t="s">
        <v>2470</v>
      </c>
      <c r="J43" s="28" t="s">
        <v>368</v>
      </c>
      <c r="K43" s="28" t="s">
        <v>349</v>
      </c>
    </row>
    <row r="44" spans="1:11" x14ac:dyDescent="0.25">
      <c r="A44" s="28">
        <v>2012</v>
      </c>
      <c r="B44" s="28" t="s">
        <v>6138</v>
      </c>
      <c r="C44" s="28" t="s">
        <v>6139</v>
      </c>
      <c r="D44" s="28" t="s">
        <v>6251</v>
      </c>
      <c r="E44" s="28" t="s">
        <v>6252</v>
      </c>
      <c r="F44" s="28" t="s">
        <v>6191</v>
      </c>
      <c r="G44" s="28">
        <v>327992</v>
      </c>
      <c r="H44" s="28" t="s">
        <v>6253</v>
      </c>
      <c r="I44" s="28" t="s">
        <v>6254</v>
      </c>
      <c r="J44" s="28" t="s">
        <v>6255</v>
      </c>
      <c r="K44" s="28" t="s">
        <v>450</v>
      </c>
    </row>
    <row r="45" spans="1:11" x14ac:dyDescent="0.25">
      <c r="A45" s="28">
        <v>2012</v>
      </c>
      <c r="B45" s="28" t="s">
        <v>6138</v>
      </c>
      <c r="C45" s="28" t="s">
        <v>6139</v>
      </c>
      <c r="D45" s="28" t="s">
        <v>6256</v>
      </c>
      <c r="E45" s="28" t="s">
        <v>335</v>
      </c>
      <c r="F45" s="28" t="s">
        <v>6143</v>
      </c>
      <c r="G45" s="28">
        <v>325211</v>
      </c>
      <c r="H45" s="28" t="s">
        <v>204</v>
      </c>
      <c r="I45" s="28" t="s">
        <v>333</v>
      </c>
      <c r="J45" s="28" t="s">
        <v>334</v>
      </c>
      <c r="K45" s="28" t="s">
        <v>303</v>
      </c>
    </row>
    <row r="46" spans="1:11" x14ac:dyDescent="0.25">
      <c r="A46" s="28">
        <v>2012</v>
      </c>
      <c r="B46" s="28" t="s">
        <v>6138</v>
      </c>
      <c r="C46" s="28" t="s">
        <v>6139</v>
      </c>
      <c r="D46" s="28" t="s">
        <v>6257</v>
      </c>
      <c r="E46" s="28" t="s">
        <v>6258</v>
      </c>
      <c r="F46" s="28" t="s">
        <v>6143</v>
      </c>
      <c r="G46" s="28">
        <v>325199</v>
      </c>
      <c r="H46" s="28" t="s">
        <v>6259</v>
      </c>
      <c r="I46" s="28" t="s">
        <v>6260</v>
      </c>
      <c r="J46" s="28" t="s">
        <v>6261</v>
      </c>
      <c r="K46" s="28" t="s">
        <v>6150</v>
      </c>
    </row>
    <row r="47" spans="1:11" x14ac:dyDescent="0.25">
      <c r="A47" s="28">
        <v>2012</v>
      </c>
      <c r="B47" s="28" t="s">
        <v>6138</v>
      </c>
      <c r="C47" s="28" t="s">
        <v>6139</v>
      </c>
      <c r="D47" s="28" t="s">
        <v>6262</v>
      </c>
      <c r="E47" s="28" t="s">
        <v>6263</v>
      </c>
      <c r="F47" s="28" t="s">
        <v>6163</v>
      </c>
      <c r="G47" s="28">
        <v>562211</v>
      </c>
      <c r="H47" s="28" t="s">
        <v>6264</v>
      </c>
      <c r="I47" s="28" t="s">
        <v>6265</v>
      </c>
      <c r="J47" s="28" t="s">
        <v>6266</v>
      </c>
      <c r="K47" s="28" t="s">
        <v>362</v>
      </c>
    </row>
    <row r="48" spans="1:11" x14ac:dyDescent="0.25">
      <c r="A48" s="28">
        <v>2012</v>
      </c>
      <c r="B48" s="28" t="s">
        <v>6138</v>
      </c>
      <c r="C48" s="28" t="s">
        <v>6139</v>
      </c>
      <c r="D48" s="28" t="s">
        <v>6267</v>
      </c>
      <c r="E48" s="28" t="s">
        <v>6268</v>
      </c>
      <c r="F48" s="28" t="s">
        <v>6143</v>
      </c>
      <c r="G48" s="28">
        <v>325211</v>
      </c>
      <c r="H48" s="28" t="s">
        <v>86</v>
      </c>
      <c r="I48" s="28" t="s">
        <v>6269</v>
      </c>
      <c r="J48" s="28" t="s">
        <v>334</v>
      </c>
      <c r="K48" s="28" t="s">
        <v>303</v>
      </c>
    </row>
    <row r="49" spans="1:11" x14ac:dyDescent="0.25">
      <c r="A49" s="28">
        <v>2012</v>
      </c>
      <c r="B49" s="28" t="s">
        <v>6138</v>
      </c>
      <c r="C49" s="28" t="s">
        <v>6139</v>
      </c>
      <c r="D49" s="28" t="s">
        <v>6270</v>
      </c>
      <c r="E49" s="28" t="s">
        <v>483</v>
      </c>
      <c r="F49" s="28" t="s">
        <v>6143</v>
      </c>
      <c r="G49" s="28">
        <v>325211</v>
      </c>
      <c r="H49" s="28" t="s">
        <v>2412</v>
      </c>
      <c r="I49" s="28" t="s">
        <v>2413</v>
      </c>
      <c r="J49" s="28" t="s">
        <v>302</v>
      </c>
      <c r="K49" s="28" t="s">
        <v>303</v>
      </c>
    </row>
    <row r="50" spans="1:11" x14ac:dyDescent="0.25">
      <c r="A50" s="28">
        <v>2012</v>
      </c>
      <c r="B50" s="28" t="s">
        <v>6138</v>
      </c>
      <c r="C50" s="28" t="s">
        <v>6139</v>
      </c>
      <c r="D50" s="28" t="s">
        <v>6271</v>
      </c>
      <c r="E50" s="28" t="s">
        <v>583</v>
      </c>
      <c r="F50" s="28" t="s">
        <v>6143</v>
      </c>
      <c r="G50" s="28">
        <v>325199</v>
      </c>
      <c r="H50" s="28" t="s">
        <v>2419</v>
      </c>
      <c r="I50" s="28" t="s">
        <v>2420</v>
      </c>
      <c r="J50" s="28" t="s">
        <v>2421</v>
      </c>
      <c r="K50" s="28" t="s">
        <v>362</v>
      </c>
    </row>
    <row r="51" spans="1:11" x14ac:dyDescent="0.25">
      <c r="A51" s="28">
        <v>2012</v>
      </c>
      <c r="B51" s="28" t="s">
        <v>6138</v>
      </c>
      <c r="C51" s="28" t="s">
        <v>6139</v>
      </c>
      <c r="D51" s="28" t="s">
        <v>6272</v>
      </c>
      <c r="E51" s="28" t="s">
        <v>6273</v>
      </c>
      <c r="F51" s="28" t="s">
        <v>6163</v>
      </c>
      <c r="G51" s="28">
        <v>562211</v>
      </c>
      <c r="H51" s="28" t="s">
        <v>6274</v>
      </c>
      <c r="I51" s="28" t="s">
        <v>6275</v>
      </c>
      <c r="J51" s="28" t="s">
        <v>6276</v>
      </c>
      <c r="K51" s="28" t="s">
        <v>374</v>
      </c>
    </row>
    <row r="52" spans="1:11" x14ac:dyDescent="0.25">
      <c r="A52" s="28">
        <v>2012</v>
      </c>
      <c r="B52" s="28" t="s">
        <v>6138</v>
      </c>
      <c r="C52" s="28" t="s">
        <v>6139</v>
      </c>
      <c r="D52" s="28" t="s">
        <v>6277</v>
      </c>
      <c r="E52" s="28" t="s">
        <v>6278</v>
      </c>
      <c r="F52" s="28" t="s">
        <v>6143</v>
      </c>
      <c r="G52" s="28">
        <v>325199</v>
      </c>
      <c r="H52" s="28" t="s">
        <v>6279</v>
      </c>
      <c r="I52" s="28" t="s">
        <v>6280</v>
      </c>
      <c r="J52" s="28" t="s">
        <v>412</v>
      </c>
      <c r="K52" s="28" t="s">
        <v>299</v>
      </c>
    </row>
    <row r="53" spans="1:11" x14ac:dyDescent="0.25">
      <c r="A53" s="28">
        <v>2012</v>
      </c>
      <c r="B53" s="28" t="s">
        <v>6138</v>
      </c>
      <c r="C53" s="28" t="s">
        <v>6139</v>
      </c>
      <c r="D53" s="28" t="s">
        <v>6281</v>
      </c>
      <c r="E53" s="28" t="s">
        <v>6282</v>
      </c>
      <c r="F53" s="28" t="s">
        <v>6163</v>
      </c>
      <c r="G53" s="28">
        <v>562211</v>
      </c>
      <c r="H53" s="28" t="s">
        <v>6283</v>
      </c>
      <c r="I53" s="28" t="s">
        <v>6284</v>
      </c>
      <c r="J53" s="28" t="s">
        <v>361</v>
      </c>
      <c r="K53" s="28" t="s">
        <v>362</v>
      </c>
    </row>
    <row r="54" spans="1:11" x14ac:dyDescent="0.25">
      <c r="A54" s="28">
        <v>2012</v>
      </c>
      <c r="B54" s="28" t="s">
        <v>6138</v>
      </c>
      <c r="C54" s="28" t="s">
        <v>6139</v>
      </c>
      <c r="D54" s="28" t="s">
        <v>6285</v>
      </c>
      <c r="E54" s="28" t="s">
        <v>6286</v>
      </c>
      <c r="F54" s="28" t="s">
        <v>6163</v>
      </c>
      <c r="G54" s="28">
        <v>562211</v>
      </c>
      <c r="H54" s="28" t="s">
        <v>6287</v>
      </c>
      <c r="I54" s="28" t="s">
        <v>6288</v>
      </c>
      <c r="J54" s="28" t="s">
        <v>590</v>
      </c>
      <c r="K54" s="28" t="s">
        <v>362</v>
      </c>
    </row>
    <row r="55" spans="1:11" x14ac:dyDescent="0.25">
      <c r="A55" s="28">
        <v>2012</v>
      </c>
      <c r="B55" s="28" t="s">
        <v>6138</v>
      </c>
      <c r="C55" s="28" t="s">
        <v>6139</v>
      </c>
      <c r="D55" s="28" t="s">
        <v>6289</v>
      </c>
      <c r="E55" s="28" t="s">
        <v>438</v>
      </c>
      <c r="F55" s="28" t="s">
        <v>6143</v>
      </c>
      <c r="G55" s="28">
        <v>325181</v>
      </c>
      <c r="H55" s="28" t="s">
        <v>209</v>
      </c>
      <c r="I55" s="28" t="s">
        <v>436</v>
      </c>
      <c r="J55" s="28" t="s">
        <v>437</v>
      </c>
      <c r="K55" s="28" t="s">
        <v>362</v>
      </c>
    </row>
    <row r="56" spans="1:11" x14ac:dyDescent="0.25">
      <c r="A56" s="28">
        <v>2012</v>
      </c>
      <c r="B56" s="28" t="s">
        <v>6138</v>
      </c>
      <c r="C56" s="28" t="s">
        <v>6139</v>
      </c>
      <c r="D56" s="28" t="s">
        <v>6290</v>
      </c>
      <c r="E56" s="28" t="s">
        <v>346</v>
      </c>
      <c r="F56" s="28" t="s">
        <v>6143</v>
      </c>
      <c r="G56" s="28">
        <v>325211</v>
      </c>
      <c r="H56" s="28" t="s">
        <v>205</v>
      </c>
      <c r="I56" s="28" t="s">
        <v>343</v>
      </c>
      <c r="J56" s="28" t="s">
        <v>344</v>
      </c>
      <c r="K56" s="28" t="s">
        <v>345</v>
      </c>
    </row>
    <row r="57" spans="1:11" x14ac:dyDescent="0.25">
      <c r="A57" s="28">
        <v>2012</v>
      </c>
      <c r="B57" s="28" t="s">
        <v>6138</v>
      </c>
      <c r="C57" s="28" t="s">
        <v>6139</v>
      </c>
      <c r="D57" s="28" t="s">
        <v>6291</v>
      </c>
      <c r="E57" s="28" t="s">
        <v>6292</v>
      </c>
      <c r="F57" s="28" t="s">
        <v>6143</v>
      </c>
      <c r="G57" s="28">
        <v>325188</v>
      </c>
      <c r="H57" s="28" t="s">
        <v>6293</v>
      </c>
      <c r="I57" s="28" t="s">
        <v>6294</v>
      </c>
      <c r="J57" s="28" t="s">
        <v>412</v>
      </c>
      <c r="K57" s="28" t="s">
        <v>299</v>
      </c>
    </row>
    <row r="58" spans="1:11" x14ac:dyDescent="0.25">
      <c r="A58" s="28">
        <v>2012</v>
      </c>
      <c r="B58" s="28" t="s">
        <v>6138</v>
      </c>
      <c r="C58" s="28" t="s">
        <v>6139</v>
      </c>
      <c r="D58" s="28" t="s">
        <v>6295</v>
      </c>
      <c r="E58" s="28" t="s">
        <v>6296</v>
      </c>
      <c r="F58" s="28" t="s">
        <v>6143</v>
      </c>
      <c r="G58" s="28">
        <v>325199</v>
      </c>
      <c r="H58" s="28" t="s">
        <v>6297</v>
      </c>
      <c r="I58" s="28" t="s">
        <v>6298</v>
      </c>
      <c r="J58" s="28" t="s">
        <v>6299</v>
      </c>
      <c r="K58" s="28" t="s">
        <v>319</v>
      </c>
    </row>
    <row r="59" spans="1:11" x14ac:dyDescent="0.25">
      <c r="A59" s="28">
        <v>2013</v>
      </c>
      <c r="B59" s="28" t="s">
        <v>6138</v>
      </c>
      <c r="C59" s="28" t="s">
        <v>6139</v>
      </c>
      <c r="D59" s="28" t="s">
        <v>6300</v>
      </c>
      <c r="E59" s="28" t="s">
        <v>639</v>
      </c>
      <c r="F59" s="28" t="s">
        <v>6141</v>
      </c>
      <c r="G59" s="28">
        <v>336611</v>
      </c>
      <c r="H59" s="28" t="s">
        <v>637</v>
      </c>
      <c r="I59" s="28" t="s">
        <v>638</v>
      </c>
      <c r="J59" s="28" t="s">
        <v>437</v>
      </c>
      <c r="K59" s="28" t="s">
        <v>362</v>
      </c>
    </row>
    <row r="60" spans="1:11" x14ac:dyDescent="0.25">
      <c r="A60" s="28">
        <v>2013</v>
      </c>
      <c r="B60" s="28" t="s">
        <v>6138</v>
      </c>
      <c r="C60" s="28" t="s">
        <v>6139</v>
      </c>
      <c r="D60" s="28" t="s">
        <v>6301</v>
      </c>
      <c r="E60" s="28" t="s">
        <v>325</v>
      </c>
      <c r="F60" s="28" t="s">
        <v>6143</v>
      </c>
      <c r="G60" s="28">
        <v>325180</v>
      </c>
      <c r="H60" s="28" t="s">
        <v>105</v>
      </c>
      <c r="I60" s="28" t="s">
        <v>322</v>
      </c>
      <c r="J60" s="28" t="s">
        <v>323</v>
      </c>
      <c r="K60" s="28" t="s">
        <v>324</v>
      </c>
    </row>
    <row r="61" spans="1:11" x14ac:dyDescent="0.25">
      <c r="A61" s="28">
        <v>2013</v>
      </c>
      <c r="B61" s="28" t="s">
        <v>6138</v>
      </c>
      <c r="C61" s="28" t="s">
        <v>6139</v>
      </c>
      <c r="D61" s="28" t="s">
        <v>6302</v>
      </c>
      <c r="E61" s="28" t="s">
        <v>6155</v>
      </c>
      <c r="F61" s="28" t="s">
        <v>6143</v>
      </c>
      <c r="G61" s="28">
        <v>325180</v>
      </c>
      <c r="H61" s="28" t="s">
        <v>6156</v>
      </c>
      <c r="I61" s="28" t="s">
        <v>6157</v>
      </c>
      <c r="J61" s="28" t="s">
        <v>6158</v>
      </c>
      <c r="K61" s="28" t="s">
        <v>299</v>
      </c>
    </row>
    <row r="62" spans="1:11" x14ac:dyDescent="0.25">
      <c r="A62" s="28">
        <v>2013</v>
      </c>
      <c r="B62" s="28" t="s">
        <v>6138</v>
      </c>
      <c r="C62" s="28" t="s">
        <v>6139</v>
      </c>
      <c r="D62" s="28" t="s">
        <v>6303</v>
      </c>
      <c r="E62" s="28" t="s">
        <v>677</v>
      </c>
      <c r="F62" s="28" t="s">
        <v>6153</v>
      </c>
      <c r="G62" s="28">
        <v>424690</v>
      </c>
      <c r="H62" s="28" t="s">
        <v>675</v>
      </c>
      <c r="I62" s="28" t="s">
        <v>676</v>
      </c>
      <c r="J62" s="28" t="s">
        <v>516</v>
      </c>
      <c r="K62" s="28" t="s">
        <v>303</v>
      </c>
    </row>
    <row r="63" spans="1:11" x14ac:dyDescent="0.25">
      <c r="A63" s="28">
        <v>2013</v>
      </c>
      <c r="B63" s="28" t="s">
        <v>6138</v>
      </c>
      <c r="C63" s="28" t="s">
        <v>6139</v>
      </c>
      <c r="D63" s="28" t="s">
        <v>6304</v>
      </c>
      <c r="E63" s="28" t="s">
        <v>718</v>
      </c>
      <c r="F63" s="28" t="s">
        <v>6143</v>
      </c>
      <c r="G63" s="28">
        <v>325199</v>
      </c>
      <c r="H63" s="28" t="s">
        <v>6305</v>
      </c>
      <c r="I63" s="28" t="s">
        <v>6306</v>
      </c>
      <c r="J63" s="28" t="s">
        <v>1135</v>
      </c>
      <c r="K63" s="28" t="s">
        <v>299</v>
      </c>
    </row>
    <row r="64" spans="1:11" x14ac:dyDescent="0.25">
      <c r="A64" s="28">
        <v>2013</v>
      </c>
      <c r="B64" s="28" t="s">
        <v>6138</v>
      </c>
      <c r="C64" s="28" t="s">
        <v>6139</v>
      </c>
      <c r="D64" s="28" t="s">
        <v>6307</v>
      </c>
      <c r="E64" s="28" t="s">
        <v>682</v>
      </c>
      <c r="F64" s="28" t="s">
        <v>6143</v>
      </c>
      <c r="G64" s="28">
        <v>325199</v>
      </c>
      <c r="H64" s="28" t="s">
        <v>679</v>
      </c>
      <c r="I64" s="28" t="s">
        <v>680</v>
      </c>
      <c r="J64" s="28" t="s">
        <v>681</v>
      </c>
      <c r="K64" s="28" t="s">
        <v>328</v>
      </c>
    </row>
    <row r="65" spans="1:11" x14ac:dyDescent="0.25">
      <c r="A65" s="28">
        <v>2013</v>
      </c>
      <c r="B65" s="28" t="s">
        <v>6138</v>
      </c>
      <c r="C65" s="28" t="s">
        <v>6139</v>
      </c>
      <c r="D65" s="28" t="s">
        <v>6308</v>
      </c>
      <c r="E65" s="28" t="s">
        <v>6213</v>
      </c>
      <c r="F65" s="28" t="s">
        <v>6143</v>
      </c>
      <c r="G65" s="28">
        <v>325180</v>
      </c>
      <c r="H65" s="28" t="s">
        <v>2419</v>
      </c>
      <c r="I65" s="28" t="s">
        <v>6214</v>
      </c>
      <c r="J65" s="28" t="s">
        <v>6215</v>
      </c>
      <c r="K65" s="28" t="s">
        <v>385</v>
      </c>
    </row>
    <row r="66" spans="1:11" x14ac:dyDescent="0.25">
      <c r="A66" s="28">
        <v>2013</v>
      </c>
      <c r="B66" s="28" t="s">
        <v>6138</v>
      </c>
      <c r="C66" s="28" t="s">
        <v>6139</v>
      </c>
      <c r="D66" s="28" t="s">
        <v>6309</v>
      </c>
      <c r="E66" s="28" t="s">
        <v>6146</v>
      </c>
      <c r="F66" s="28" t="s">
        <v>6143</v>
      </c>
      <c r="G66" s="28">
        <v>325998</v>
      </c>
      <c r="H66" s="28" t="s">
        <v>6147</v>
      </c>
      <c r="I66" s="28" t="s">
        <v>6148</v>
      </c>
      <c r="J66" s="28" t="s">
        <v>6149</v>
      </c>
      <c r="K66" s="28" t="s">
        <v>6150</v>
      </c>
    </row>
    <row r="67" spans="1:11" x14ac:dyDescent="0.25">
      <c r="A67" s="28">
        <v>2013</v>
      </c>
      <c r="B67" s="28" t="s">
        <v>6138</v>
      </c>
      <c r="C67" s="28" t="s">
        <v>6139</v>
      </c>
      <c r="D67" s="28" t="s">
        <v>6310</v>
      </c>
      <c r="E67" s="28" t="s">
        <v>481</v>
      </c>
      <c r="F67" s="28" t="s">
        <v>6143</v>
      </c>
      <c r="G67" s="28">
        <v>325211</v>
      </c>
      <c r="H67" s="28" t="s">
        <v>2414</v>
      </c>
      <c r="I67" s="28" t="s">
        <v>2415</v>
      </c>
      <c r="J67" s="28" t="s">
        <v>480</v>
      </c>
      <c r="K67" s="28" t="s">
        <v>362</v>
      </c>
    </row>
    <row r="68" spans="1:11" x14ac:dyDescent="0.25">
      <c r="A68" s="28">
        <v>2013</v>
      </c>
      <c r="B68" s="28" t="s">
        <v>6138</v>
      </c>
      <c r="C68" s="28" t="s">
        <v>6139</v>
      </c>
      <c r="D68" s="28" t="s">
        <v>6311</v>
      </c>
      <c r="E68" s="28" t="s">
        <v>593</v>
      </c>
      <c r="F68" s="28" t="s">
        <v>6143</v>
      </c>
      <c r="G68" s="28">
        <v>325199</v>
      </c>
      <c r="H68" s="28" t="s">
        <v>217</v>
      </c>
      <c r="I68" s="28" t="s">
        <v>592</v>
      </c>
      <c r="J68" s="28" t="s">
        <v>590</v>
      </c>
      <c r="K68" s="28" t="s">
        <v>362</v>
      </c>
    </row>
    <row r="69" spans="1:11" x14ac:dyDescent="0.25">
      <c r="A69" s="28">
        <v>2013</v>
      </c>
      <c r="B69" s="28" t="s">
        <v>6138</v>
      </c>
      <c r="C69" s="28" t="s">
        <v>6139</v>
      </c>
      <c r="D69" s="28" t="s">
        <v>6312</v>
      </c>
      <c r="E69" s="28" t="s">
        <v>595</v>
      </c>
      <c r="F69" s="28" t="s">
        <v>6143</v>
      </c>
      <c r="G69" s="28">
        <v>325199</v>
      </c>
      <c r="H69" s="28" t="s">
        <v>218</v>
      </c>
      <c r="I69" s="28" t="s">
        <v>594</v>
      </c>
      <c r="J69" s="28" t="s">
        <v>361</v>
      </c>
      <c r="K69" s="28" t="s">
        <v>362</v>
      </c>
    </row>
    <row r="70" spans="1:11" x14ac:dyDescent="0.25">
      <c r="A70" s="28">
        <v>2013</v>
      </c>
      <c r="B70" s="28" t="s">
        <v>6138</v>
      </c>
      <c r="C70" s="28" t="s">
        <v>6139</v>
      </c>
      <c r="D70" s="28" t="s">
        <v>6313</v>
      </c>
      <c r="E70" s="28" t="s">
        <v>664</v>
      </c>
      <c r="F70" s="28" t="s">
        <v>6143</v>
      </c>
      <c r="G70" s="28">
        <v>325110</v>
      </c>
      <c r="H70" s="28" t="s">
        <v>221</v>
      </c>
      <c r="I70" s="28" t="s">
        <v>663</v>
      </c>
      <c r="J70" s="28" t="s">
        <v>446</v>
      </c>
      <c r="K70" s="28" t="s">
        <v>303</v>
      </c>
    </row>
    <row r="71" spans="1:11" x14ac:dyDescent="0.25">
      <c r="A71" s="28">
        <v>2013</v>
      </c>
      <c r="B71" s="28" t="s">
        <v>6138</v>
      </c>
      <c r="C71" s="28" t="s">
        <v>6139</v>
      </c>
      <c r="D71" s="28" t="s">
        <v>6314</v>
      </c>
      <c r="E71" s="28" t="s">
        <v>521</v>
      </c>
      <c r="F71" s="28" t="s">
        <v>6143</v>
      </c>
      <c r="G71" s="28">
        <v>325180</v>
      </c>
      <c r="H71" s="28" t="s">
        <v>6315</v>
      </c>
      <c r="I71" s="28" t="s">
        <v>519</v>
      </c>
      <c r="J71" s="28" t="s">
        <v>520</v>
      </c>
      <c r="K71" s="28" t="s">
        <v>362</v>
      </c>
    </row>
    <row r="72" spans="1:11" x14ac:dyDescent="0.25">
      <c r="A72" s="28">
        <v>2013</v>
      </c>
      <c r="B72" s="28" t="s">
        <v>6138</v>
      </c>
      <c r="C72" s="28" t="s">
        <v>6139</v>
      </c>
      <c r="D72" s="28" t="s">
        <v>6316</v>
      </c>
      <c r="E72" s="28" t="s">
        <v>668</v>
      </c>
      <c r="F72" s="28" t="s">
        <v>6143</v>
      </c>
      <c r="G72" s="28">
        <v>325199</v>
      </c>
      <c r="H72" s="28" t="s">
        <v>202</v>
      </c>
      <c r="I72" s="28" t="s">
        <v>2426</v>
      </c>
      <c r="J72" s="28" t="s">
        <v>323</v>
      </c>
      <c r="K72" s="28" t="s">
        <v>324</v>
      </c>
    </row>
    <row r="73" spans="1:11" x14ac:dyDescent="0.25">
      <c r="A73" s="28">
        <v>2013</v>
      </c>
      <c r="B73" s="28" t="s">
        <v>6138</v>
      </c>
      <c r="C73" s="28" t="s">
        <v>6139</v>
      </c>
      <c r="D73" s="28" t="s">
        <v>6317</v>
      </c>
      <c r="E73" s="28" t="s">
        <v>6173</v>
      </c>
      <c r="F73" s="28" t="s">
        <v>6174</v>
      </c>
      <c r="G73" s="28">
        <v>212393</v>
      </c>
      <c r="H73" s="28" t="s">
        <v>6175</v>
      </c>
      <c r="I73" s="28" t="s">
        <v>6176</v>
      </c>
      <c r="J73" s="28" t="s">
        <v>6177</v>
      </c>
      <c r="K73" s="28" t="s">
        <v>303</v>
      </c>
    </row>
    <row r="74" spans="1:11" x14ac:dyDescent="0.25">
      <c r="A74" s="28">
        <v>2013</v>
      </c>
      <c r="B74" s="28" t="s">
        <v>6138</v>
      </c>
      <c r="C74" s="28" t="s">
        <v>6139</v>
      </c>
      <c r="D74" s="28" t="s">
        <v>6318</v>
      </c>
      <c r="E74" s="28" t="s">
        <v>687</v>
      </c>
      <c r="F74" s="28" t="s">
        <v>6143</v>
      </c>
      <c r="G74" s="28">
        <v>325199</v>
      </c>
      <c r="H74" s="28" t="s">
        <v>683</v>
      </c>
      <c r="I74" s="28" t="s">
        <v>684</v>
      </c>
      <c r="J74" s="28" t="s">
        <v>685</v>
      </c>
      <c r="K74" s="28" t="s">
        <v>686</v>
      </c>
    </row>
    <row r="75" spans="1:11" x14ac:dyDescent="0.25">
      <c r="A75" s="28">
        <v>2013</v>
      </c>
      <c r="B75" s="28" t="s">
        <v>6138</v>
      </c>
      <c r="C75" s="28" t="s">
        <v>6139</v>
      </c>
      <c r="D75" s="28" t="s">
        <v>6319</v>
      </c>
      <c r="E75" s="28" t="s">
        <v>542</v>
      </c>
      <c r="F75" s="28" t="s">
        <v>6143</v>
      </c>
      <c r="G75" s="28">
        <v>325199</v>
      </c>
      <c r="H75" s="28" t="s">
        <v>213</v>
      </c>
      <c r="I75" s="28" t="s">
        <v>540</v>
      </c>
      <c r="J75" s="28" t="s">
        <v>460</v>
      </c>
      <c r="K75" s="28" t="s">
        <v>541</v>
      </c>
    </row>
    <row r="76" spans="1:11" x14ac:dyDescent="0.25">
      <c r="A76" s="28">
        <v>2013</v>
      </c>
      <c r="B76" s="28" t="s">
        <v>6138</v>
      </c>
      <c r="C76" s="28" t="s">
        <v>6139</v>
      </c>
      <c r="D76" s="28" t="s">
        <v>6320</v>
      </c>
      <c r="E76" s="28" t="s">
        <v>350</v>
      </c>
      <c r="F76" s="28" t="s">
        <v>6143</v>
      </c>
      <c r="G76" s="28">
        <v>325320</v>
      </c>
      <c r="H76" s="28" t="s">
        <v>206</v>
      </c>
      <c r="I76" s="28" t="s">
        <v>347</v>
      </c>
      <c r="J76" s="28" t="s">
        <v>348</v>
      </c>
      <c r="K76" s="28" t="s">
        <v>349</v>
      </c>
    </row>
    <row r="77" spans="1:11" x14ac:dyDescent="0.25">
      <c r="A77" s="28">
        <v>2013</v>
      </c>
      <c r="B77" s="28" t="s">
        <v>6138</v>
      </c>
      <c r="C77" s="28" t="s">
        <v>6139</v>
      </c>
      <c r="D77" s="28" t="s">
        <v>6321</v>
      </c>
      <c r="E77" s="28" t="s">
        <v>6322</v>
      </c>
      <c r="F77" s="28" t="s">
        <v>6143</v>
      </c>
      <c r="G77" s="28">
        <v>325998</v>
      </c>
      <c r="H77" s="28" t="s">
        <v>6323</v>
      </c>
      <c r="I77" s="28" t="s">
        <v>6324</v>
      </c>
      <c r="J77" s="28" t="s">
        <v>6325</v>
      </c>
      <c r="K77" s="28" t="s">
        <v>324</v>
      </c>
    </row>
    <row r="78" spans="1:11" x14ac:dyDescent="0.25">
      <c r="A78" s="28">
        <v>2013</v>
      </c>
      <c r="B78" s="28" t="s">
        <v>6138</v>
      </c>
      <c r="C78" s="28" t="s">
        <v>6139</v>
      </c>
      <c r="D78" s="28" t="s">
        <v>6326</v>
      </c>
      <c r="E78" s="28" t="s">
        <v>565</v>
      </c>
      <c r="F78" s="28" t="s">
        <v>6143</v>
      </c>
      <c r="G78" s="28">
        <v>325320</v>
      </c>
      <c r="H78" s="28" t="s">
        <v>214</v>
      </c>
      <c r="I78" s="28" t="s">
        <v>562</v>
      </c>
      <c r="J78" s="28" t="s">
        <v>563</v>
      </c>
      <c r="K78" s="28" t="s">
        <v>564</v>
      </c>
    </row>
    <row r="79" spans="1:11" x14ac:dyDescent="0.25">
      <c r="A79" s="28">
        <v>2013</v>
      </c>
      <c r="B79" s="28" t="s">
        <v>6138</v>
      </c>
      <c r="C79" s="28" t="s">
        <v>6139</v>
      </c>
      <c r="D79" s="28" t="s">
        <v>6327</v>
      </c>
      <c r="E79" s="28" t="s">
        <v>6196</v>
      </c>
      <c r="F79" s="28" t="s">
        <v>6163</v>
      </c>
      <c r="G79" s="28">
        <v>562211</v>
      </c>
      <c r="H79" s="28" t="s">
        <v>6197</v>
      </c>
      <c r="I79" s="28" t="s">
        <v>6198</v>
      </c>
      <c r="J79" s="28" t="s">
        <v>6199</v>
      </c>
      <c r="K79" s="28" t="s">
        <v>1352</v>
      </c>
    </row>
    <row r="80" spans="1:11" x14ac:dyDescent="0.25">
      <c r="A80" s="28">
        <v>2013</v>
      </c>
      <c r="B80" s="28" t="s">
        <v>6138</v>
      </c>
      <c r="C80" s="28" t="s">
        <v>6139</v>
      </c>
      <c r="D80" s="28" t="s">
        <v>6328</v>
      </c>
      <c r="E80" s="28" t="s">
        <v>666</v>
      </c>
      <c r="F80" s="28" t="s">
        <v>6143</v>
      </c>
      <c r="G80" s="28">
        <v>325211</v>
      </c>
      <c r="H80" s="28" t="s">
        <v>201</v>
      </c>
      <c r="I80" s="28" t="s">
        <v>665</v>
      </c>
      <c r="J80" s="28" t="s">
        <v>516</v>
      </c>
      <c r="K80" s="28" t="s">
        <v>303</v>
      </c>
    </row>
    <row r="81" spans="1:11" x14ac:dyDescent="0.25">
      <c r="A81" s="28">
        <v>2013</v>
      </c>
      <c r="B81" s="28" t="s">
        <v>6138</v>
      </c>
      <c r="C81" s="28" t="s">
        <v>6139</v>
      </c>
      <c r="D81" s="28" t="s">
        <v>6329</v>
      </c>
      <c r="E81" s="28" t="s">
        <v>6223</v>
      </c>
      <c r="F81" s="28" t="s">
        <v>6202</v>
      </c>
      <c r="G81" s="28">
        <v>324110</v>
      </c>
      <c r="H81" s="28" t="s">
        <v>6224</v>
      </c>
      <c r="I81" s="28" t="s">
        <v>6225</v>
      </c>
      <c r="J81" s="28" t="s">
        <v>6226</v>
      </c>
      <c r="K81" s="28" t="s">
        <v>345</v>
      </c>
    </row>
    <row r="82" spans="1:11" x14ac:dyDescent="0.25">
      <c r="A82" s="28">
        <v>2013</v>
      </c>
      <c r="B82" s="28" t="s">
        <v>6138</v>
      </c>
      <c r="C82" s="28" t="s">
        <v>6139</v>
      </c>
      <c r="D82" s="28" t="s">
        <v>6330</v>
      </c>
      <c r="E82" s="28" t="s">
        <v>335</v>
      </c>
      <c r="F82" s="28" t="s">
        <v>6143</v>
      </c>
      <c r="G82" s="28">
        <v>325211</v>
      </c>
      <c r="H82" s="28" t="s">
        <v>204</v>
      </c>
      <c r="I82" s="28" t="s">
        <v>333</v>
      </c>
      <c r="J82" s="28" t="s">
        <v>334</v>
      </c>
      <c r="K82" s="28" t="s">
        <v>303</v>
      </c>
    </row>
    <row r="83" spans="1:11" x14ac:dyDescent="0.25">
      <c r="A83" s="28">
        <v>2013</v>
      </c>
      <c r="B83" s="28" t="s">
        <v>6138</v>
      </c>
      <c r="C83" s="28" t="s">
        <v>6139</v>
      </c>
      <c r="D83" s="28" t="s">
        <v>6331</v>
      </c>
      <c r="E83" s="28" t="s">
        <v>447</v>
      </c>
      <c r="F83" s="28" t="s">
        <v>6143</v>
      </c>
      <c r="G83" s="28">
        <v>325180</v>
      </c>
      <c r="H83" s="28" t="s">
        <v>2410</v>
      </c>
      <c r="I83" s="28" t="s">
        <v>2411</v>
      </c>
      <c r="J83" s="28" t="s">
        <v>446</v>
      </c>
      <c r="K83" s="28" t="s">
        <v>303</v>
      </c>
    </row>
    <row r="84" spans="1:11" x14ac:dyDescent="0.25">
      <c r="A84" s="28">
        <v>2013</v>
      </c>
      <c r="B84" s="28" t="s">
        <v>6138</v>
      </c>
      <c r="C84" s="28" t="s">
        <v>6139</v>
      </c>
      <c r="D84" s="28" t="s">
        <v>6332</v>
      </c>
      <c r="E84" s="28" t="s">
        <v>6162</v>
      </c>
      <c r="F84" s="28" t="s">
        <v>6163</v>
      </c>
      <c r="G84" s="28">
        <v>562211</v>
      </c>
      <c r="H84" s="28" t="s">
        <v>6164</v>
      </c>
      <c r="I84" s="28" t="s">
        <v>6165</v>
      </c>
      <c r="J84" s="28" t="s">
        <v>6166</v>
      </c>
      <c r="K84" s="28" t="s">
        <v>1415</v>
      </c>
    </row>
    <row r="85" spans="1:11" x14ac:dyDescent="0.25">
      <c r="A85" s="28">
        <v>2013</v>
      </c>
      <c r="B85" s="28" t="s">
        <v>6138</v>
      </c>
      <c r="C85" s="28" t="s">
        <v>6139</v>
      </c>
      <c r="D85" s="28" t="s">
        <v>6333</v>
      </c>
      <c r="E85" s="28" t="s">
        <v>6190</v>
      </c>
      <c r="F85" s="28" t="s">
        <v>6191</v>
      </c>
      <c r="G85" s="28">
        <v>327310</v>
      </c>
      <c r="H85" s="28" t="s">
        <v>6192</v>
      </c>
      <c r="I85" s="28" t="s">
        <v>6193</v>
      </c>
      <c r="J85" s="28" t="s">
        <v>6194</v>
      </c>
      <c r="K85" s="28" t="s">
        <v>541</v>
      </c>
    </row>
    <row r="86" spans="1:11" x14ac:dyDescent="0.25">
      <c r="A86" s="28">
        <v>2013</v>
      </c>
      <c r="B86" s="28" t="s">
        <v>6138</v>
      </c>
      <c r="C86" s="28" t="s">
        <v>6139</v>
      </c>
      <c r="D86" s="28" t="s">
        <v>6334</v>
      </c>
      <c r="E86" s="28" t="s">
        <v>585</v>
      </c>
      <c r="F86" s="28" t="s">
        <v>6143</v>
      </c>
      <c r="G86" s="28">
        <v>325199</v>
      </c>
      <c r="H86" s="28" t="s">
        <v>2422</v>
      </c>
      <c r="I86" s="28" t="s">
        <v>2423</v>
      </c>
      <c r="J86" s="28" t="s">
        <v>516</v>
      </c>
      <c r="K86" s="28" t="s">
        <v>303</v>
      </c>
    </row>
    <row r="87" spans="1:11" x14ac:dyDescent="0.25">
      <c r="A87" s="28">
        <v>2013</v>
      </c>
      <c r="B87" s="28" t="s">
        <v>6138</v>
      </c>
      <c r="C87" s="28" t="s">
        <v>6139</v>
      </c>
      <c r="D87" s="28" t="s">
        <v>6335</v>
      </c>
      <c r="E87" s="28" t="s">
        <v>6201</v>
      </c>
      <c r="F87" s="28" t="s">
        <v>6202</v>
      </c>
      <c r="G87" s="28">
        <v>324110</v>
      </c>
      <c r="H87" s="28" t="s">
        <v>6203</v>
      </c>
      <c r="I87" s="28" t="s">
        <v>6204</v>
      </c>
      <c r="J87" s="28" t="s">
        <v>463</v>
      </c>
      <c r="K87" s="28" t="s">
        <v>362</v>
      </c>
    </row>
    <row r="88" spans="1:11" x14ac:dyDescent="0.25">
      <c r="A88" s="28">
        <v>2013</v>
      </c>
      <c r="B88" s="28" t="s">
        <v>6138</v>
      </c>
      <c r="C88" s="28" t="s">
        <v>6139</v>
      </c>
      <c r="D88" s="28" t="s">
        <v>6336</v>
      </c>
      <c r="E88" s="28" t="s">
        <v>576</v>
      </c>
      <c r="F88" s="28" t="s">
        <v>6143</v>
      </c>
      <c r="G88" s="28">
        <v>325199</v>
      </c>
      <c r="H88" s="28" t="s">
        <v>215</v>
      </c>
      <c r="I88" s="28" t="s">
        <v>574</v>
      </c>
      <c r="J88" s="28" t="s">
        <v>575</v>
      </c>
      <c r="K88" s="28" t="s">
        <v>435</v>
      </c>
    </row>
    <row r="89" spans="1:11" x14ac:dyDescent="0.25">
      <c r="A89" s="28">
        <v>2013</v>
      </c>
      <c r="B89" s="28" t="s">
        <v>6138</v>
      </c>
      <c r="C89" s="28" t="s">
        <v>6139</v>
      </c>
      <c r="D89" s="28" t="s">
        <v>6337</v>
      </c>
      <c r="E89" s="28" t="s">
        <v>524</v>
      </c>
      <c r="F89" s="28" t="s">
        <v>6143</v>
      </c>
      <c r="G89" s="28">
        <v>325199</v>
      </c>
      <c r="H89" s="28" t="s">
        <v>212</v>
      </c>
      <c r="I89" s="28" t="s">
        <v>523</v>
      </c>
      <c r="J89" s="28" t="s">
        <v>437</v>
      </c>
      <c r="K89" s="28" t="s">
        <v>362</v>
      </c>
    </row>
    <row r="90" spans="1:11" x14ac:dyDescent="0.25">
      <c r="A90" s="28">
        <v>2013</v>
      </c>
      <c r="B90" s="28" t="s">
        <v>6138</v>
      </c>
      <c r="C90" s="28" t="s">
        <v>6139</v>
      </c>
      <c r="D90" s="28" t="s">
        <v>6338</v>
      </c>
      <c r="E90" s="28" t="s">
        <v>583</v>
      </c>
      <c r="F90" s="28" t="s">
        <v>6143</v>
      </c>
      <c r="G90" s="28">
        <v>325199</v>
      </c>
      <c r="H90" s="28" t="s">
        <v>2419</v>
      </c>
      <c r="I90" s="28" t="s">
        <v>2420</v>
      </c>
      <c r="J90" s="28" t="s">
        <v>2421</v>
      </c>
      <c r="K90" s="28" t="s">
        <v>362</v>
      </c>
    </row>
    <row r="91" spans="1:11" x14ac:dyDescent="0.25">
      <c r="A91" s="28">
        <v>2013</v>
      </c>
      <c r="B91" s="28" t="s">
        <v>6138</v>
      </c>
      <c r="C91" s="28" t="s">
        <v>6139</v>
      </c>
      <c r="D91" s="28" t="s">
        <v>6339</v>
      </c>
      <c r="E91" s="28" t="s">
        <v>642</v>
      </c>
      <c r="F91" s="28" t="s">
        <v>6143</v>
      </c>
      <c r="G91" s="28">
        <v>325199</v>
      </c>
      <c r="H91" s="28" t="s">
        <v>219</v>
      </c>
      <c r="I91" s="28" t="s">
        <v>641</v>
      </c>
      <c r="J91" s="28" t="s">
        <v>426</v>
      </c>
      <c r="K91" s="28" t="s">
        <v>427</v>
      </c>
    </row>
    <row r="92" spans="1:11" x14ac:dyDescent="0.25">
      <c r="A92" s="28">
        <v>2013</v>
      </c>
      <c r="B92" s="28" t="s">
        <v>6138</v>
      </c>
      <c r="C92" s="28" t="s">
        <v>6139</v>
      </c>
      <c r="D92" s="28" t="s">
        <v>6340</v>
      </c>
      <c r="E92" s="28" t="s">
        <v>6278</v>
      </c>
      <c r="F92" s="28" t="s">
        <v>6143</v>
      </c>
      <c r="G92" s="28">
        <v>325199</v>
      </c>
      <c r="H92" s="28" t="s">
        <v>6279</v>
      </c>
      <c r="I92" s="28" t="s">
        <v>6280</v>
      </c>
      <c r="J92" s="28" t="s">
        <v>412</v>
      </c>
      <c r="K92" s="28" t="s">
        <v>299</v>
      </c>
    </row>
    <row r="93" spans="1:11" x14ac:dyDescent="0.25">
      <c r="A93" s="28">
        <v>2013</v>
      </c>
      <c r="B93" s="28" t="s">
        <v>6138</v>
      </c>
      <c r="C93" s="28" t="s">
        <v>6139</v>
      </c>
      <c r="D93" s="28" t="s">
        <v>6341</v>
      </c>
      <c r="E93" s="28" t="s">
        <v>6168</v>
      </c>
      <c r="F93" s="28" t="s">
        <v>6143</v>
      </c>
      <c r="G93" s="28">
        <v>325199</v>
      </c>
      <c r="H93" s="28" t="s">
        <v>6169</v>
      </c>
      <c r="I93" s="28" t="s">
        <v>6170</v>
      </c>
      <c r="J93" s="28" t="s">
        <v>463</v>
      </c>
      <c r="K93" s="28" t="s">
        <v>362</v>
      </c>
    </row>
    <row r="94" spans="1:11" x14ac:dyDescent="0.25">
      <c r="A94" s="28">
        <v>2013</v>
      </c>
      <c r="B94" s="28" t="s">
        <v>6138</v>
      </c>
      <c r="C94" s="28" t="s">
        <v>6139</v>
      </c>
      <c r="D94" s="28" t="s">
        <v>6342</v>
      </c>
      <c r="E94" s="28" t="s">
        <v>438</v>
      </c>
      <c r="F94" s="28" t="s">
        <v>6174</v>
      </c>
      <c r="G94" s="28">
        <v>486990</v>
      </c>
      <c r="H94" s="28" t="s">
        <v>209</v>
      </c>
      <c r="I94" s="28" t="s">
        <v>436</v>
      </c>
      <c r="J94" s="28" t="s">
        <v>437</v>
      </c>
      <c r="K94" s="28" t="s">
        <v>362</v>
      </c>
    </row>
    <row r="95" spans="1:11" x14ac:dyDescent="0.25">
      <c r="A95" s="28">
        <v>2013</v>
      </c>
      <c r="B95" s="28" t="s">
        <v>6138</v>
      </c>
      <c r="C95" s="28" t="s">
        <v>6139</v>
      </c>
      <c r="D95" s="28" t="s">
        <v>6343</v>
      </c>
      <c r="E95" s="28" t="s">
        <v>438</v>
      </c>
      <c r="F95" s="28" t="s">
        <v>6143</v>
      </c>
      <c r="G95" s="28">
        <v>325199</v>
      </c>
      <c r="H95" s="28" t="s">
        <v>209</v>
      </c>
      <c r="I95" s="28" t="s">
        <v>436</v>
      </c>
      <c r="J95" s="28" t="s">
        <v>437</v>
      </c>
      <c r="K95" s="28" t="s">
        <v>362</v>
      </c>
    </row>
    <row r="96" spans="1:11" x14ac:dyDescent="0.25">
      <c r="A96" s="28">
        <v>2013</v>
      </c>
      <c r="B96" s="28" t="s">
        <v>6138</v>
      </c>
      <c r="C96" s="28" t="s">
        <v>6139</v>
      </c>
      <c r="D96" s="28" t="s">
        <v>6344</v>
      </c>
      <c r="E96" s="28" t="s">
        <v>413</v>
      </c>
      <c r="F96" s="28" t="s">
        <v>6163</v>
      </c>
      <c r="G96" s="28">
        <v>562211</v>
      </c>
      <c r="H96" s="28" t="s">
        <v>128</v>
      </c>
      <c r="I96" s="28" t="s">
        <v>2408</v>
      </c>
      <c r="J96" s="28" t="s">
        <v>412</v>
      </c>
      <c r="K96" s="28" t="s">
        <v>299</v>
      </c>
    </row>
    <row r="97" spans="1:11" x14ac:dyDescent="0.25">
      <c r="A97" s="28">
        <v>2013</v>
      </c>
      <c r="B97" s="28" t="s">
        <v>6138</v>
      </c>
      <c r="C97" s="28" t="s">
        <v>6139</v>
      </c>
      <c r="D97" s="28" t="s">
        <v>6345</v>
      </c>
      <c r="E97" s="28" t="s">
        <v>512</v>
      </c>
      <c r="F97" s="28" t="s">
        <v>6163</v>
      </c>
      <c r="G97" s="28">
        <v>562213</v>
      </c>
      <c r="H97" s="28" t="s">
        <v>211</v>
      </c>
      <c r="I97" s="28" t="s">
        <v>510</v>
      </c>
      <c r="J97" s="28" t="s">
        <v>511</v>
      </c>
      <c r="K97" s="28" t="s">
        <v>319</v>
      </c>
    </row>
    <row r="98" spans="1:11" x14ac:dyDescent="0.25">
      <c r="A98" s="28">
        <v>2013</v>
      </c>
      <c r="B98" s="28" t="s">
        <v>6138</v>
      </c>
      <c r="C98" s="28" t="s">
        <v>6139</v>
      </c>
      <c r="D98" s="28" t="s">
        <v>6346</v>
      </c>
      <c r="E98" s="28" t="s">
        <v>6235</v>
      </c>
      <c r="F98" s="28" t="s">
        <v>6143</v>
      </c>
      <c r="G98" s="28">
        <v>325998</v>
      </c>
      <c r="H98" s="28" t="s">
        <v>6236</v>
      </c>
      <c r="I98" s="28" t="s">
        <v>6237</v>
      </c>
      <c r="J98" s="28" t="s">
        <v>6238</v>
      </c>
      <c r="K98" s="28" t="s">
        <v>686</v>
      </c>
    </row>
    <row r="99" spans="1:11" x14ac:dyDescent="0.25">
      <c r="A99" s="28">
        <v>2013</v>
      </c>
      <c r="B99" s="28" t="s">
        <v>6138</v>
      </c>
      <c r="C99" s="28" t="s">
        <v>6139</v>
      </c>
      <c r="D99" s="28" t="s">
        <v>6347</v>
      </c>
      <c r="E99" s="28" t="s">
        <v>483</v>
      </c>
      <c r="F99" s="28" t="s">
        <v>6143</v>
      </c>
      <c r="G99" s="28">
        <v>325211</v>
      </c>
      <c r="H99" s="28" t="s">
        <v>2412</v>
      </c>
      <c r="I99" s="28" t="s">
        <v>2413</v>
      </c>
      <c r="J99" s="28" t="s">
        <v>302</v>
      </c>
      <c r="K99" s="28" t="s">
        <v>303</v>
      </c>
    </row>
    <row r="100" spans="1:11" x14ac:dyDescent="0.25">
      <c r="A100" s="28">
        <v>2013</v>
      </c>
      <c r="B100" s="28" t="s">
        <v>6138</v>
      </c>
      <c r="C100" s="28" t="s">
        <v>6139</v>
      </c>
      <c r="D100" s="28" t="s">
        <v>6348</v>
      </c>
      <c r="E100" s="28" t="s">
        <v>6263</v>
      </c>
      <c r="F100" s="28" t="s">
        <v>6163</v>
      </c>
      <c r="G100" s="28">
        <v>562211</v>
      </c>
      <c r="H100" s="28" t="s">
        <v>6264</v>
      </c>
      <c r="I100" s="28" t="s">
        <v>6265</v>
      </c>
      <c r="J100" s="28" t="s">
        <v>6266</v>
      </c>
      <c r="K100" s="28" t="s">
        <v>362</v>
      </c>
    </row>
    <row r="101" spans="1:11" x14ac:dyDescent="0.25">
      <c r="A101" s="28">
        <v>2013</v>
      </c>
      <c r="B101" s="28" t="s">
        <v>6138</v>
      </c>
      <c r="C101" s="28" t="s">
        <v>6139</v>
      </c>
      <c r="D101" s="28" t="s">
        <v>6349</v>
      </c>
      <c r="E101" s="28" t="s">
        <v>588</v>
      </c>
      <c r="F101" s="28" t="s">
        <v>6143</v>
      </c>
      <c r="G101" s="28">
        <v>325180</v>
      </c>
      <c r="H101" s="28" t="s">
        <v>216</v>
      </c>
      <c r="I101" s="28" t="s">
        <v>586</v>
      </c>
      <c r="J101" s="28" t="s">
        <v>587</v>
      </c>
      <c r="K101" s="28" t="s">
        <v>303</v>
      </c>
    </row>
    <row r="102" spans="1:11" x14ac:dyDescent="0.25">
      <c r="A102" s="28">
        <v>2013</v>
      </c>
      <c r="B102" s="28" t="s">
        <v>6138</v>
      </c>
      <c r="C102" s="28" t="s">
        <v>6139</v>
      </c>
      <c r="D102" s="28" t="s">
        <v>6350</v>
      </c>
      <c r="E102" s="28" t="s">
        <v>6252</v>
      </c>
      <c r="F102" s="28" t="s">
        <v>6191</v>
      </c>
      <c r="G102" s="28">
        <v>327992</v>
      </c>
      <c r="H102" s="28" t="s">
        <v>6253</v>
      </c>
      <c r="I102" s="28" t="s">
        <v>6254</v>
      </c>
      <c r="J102" s="28" t="s">
        <v>6255</v>
      </c>
      <c r="K102" s="28" t="s">
        <v>450</v>
      </c>
    </row>
    <row r="103" spans="1:11" x14ac:dyDescent="0.25">
      <c r="A103" s="28">
        <v>2013</v>
      </c>
      <c r="B103" s="28" t="s">
        <v>6138</v>
      </c>
      <c r="C103" s="28" t="s">
        <v>6139</v>
      </c>
      <c r="D103" s="28" t="s">
        <v>6351</v>
      </c>
      <c r="E103" s="28" t="s">
        <v>6218</v>
      </c>
      <c r="F103" s="28" t="s">
        <v>6163</v>
      </c>
      <c r="G103" s="28">
        <v>562211</v>
      </c>
      <c r="H103" s="28" t="s">
        <v>6219</v>
      </c>
      <c r="I103" s="28" t="s">
        <v>6220</v>
      </c>
      <c r="J103" s="28" t="s">
        <v>6221</v>
      </c>
      <c r="K103" s="28" t="s">
        <v>1101</v>
      </c>
    </row>
    <row r="104" spans="1:11" x14ac:dyDescent="0.25">
      <c r="A104" s="28">
        <v>2013</v>
      </c>
      <c r="B104" s="28" t="s">
        <v>6138</v>
      </c>
      <c r="C104" s="28" t="s">
        <v>6139</v>
      </c>
      <c r="D104" s="28" t="s">
        <v>6352</v>
      </c>
      <c r="E104" s="28" t="s">
        <v>6282</v>
      </c>
      <c r="F104" s="28" t="s">
        <v>6163</v>
      </c>
      <c r="G104" s="28">
        <v>562211</v>
      </c>
      <c r="H104" s="28" t="s">
        <v>6283</v>
      </c>
      <c r="I104" s="28" t="s">
        <v>6284</v>
      </c>
      <c r="J104" s="28" t="s">
        <v>361</v>
      </c>
      <c r="K104" s="28" t="s">
        <v>362</v>
      </c>
    </row>
    <row r="105" spans="1:11" x14ac:dyDescent="0.25">
      <c r="A105" s="28">
        <v>2013</v>
      </c>
      <c r="B105" s="28" t="s">
        <v>6138</v>
      </c>
      <c r="C105" s="28" t="s">
        <v>6139</v>
      </c>
      <c r="D105" s="28" t="s">
        <v>6353</v>
      </c>
      <c r="E105" s="28" t="s">
        <v>6207</v>
      </c>
      <c r="F105" s="28" t="s">
        <v>6202</v>
      </c>
      <c r="G105" s="28">
        <v>324110</v>
      </c>
      <c r="H105" s="28" t="s">
        <v>6208</v>
      </c>
      <c r="I105" s="28" t="s">
        <v>6209</v>
      </c>
      <c r="J105" s="28" t="s">
        <v>6210</v>
      </c>
      <c r="K105" s="28" t="s">
        <v>362</v>
      </c>
    </row>
    <row r="106" spans="1:11" x14ac:dyDescent="0.25">
      <c r="A106" s="28">
        <v>2013</v>
      </c>
      <c r="B106" s="28" t="s">
        <v>6138</v>
      </c>
      <c r="C106" s="28" t="s">
        <v>6139</v>
      </c>
      <c r="D106" s="28" t="s">
        <v>6354</v>
      </c>
      <c r="E106" s="28" t="s">
        <v>6268</v>
      </c>
      <c r="F106" s="28" t="s">
        <v>6143</v>
      </c>
      <c r="G106" s="28">
        <v>325211</v>
      </c>
      <c r="H106" s="28" t="s">
        <v>86</v>
      </c>
      <c r="I106" s="28" t="s">
        <v>6269</v>
      </c>
      <c r="J106" s="28" t="s">
        <v>334</v>
      </c>
      <c r="K106" s="28" t="s">
        <v>303</v>
      </c>
    </row>
    <row r="107" spans="1:11" x14ac:dyDescent="0.25">
      <c r="A107" s="28">
        <v>2013</v>
      </c>
      <c r="B107" s="28" t="s">
        <v>6138</v>
      </c>
      <c r="C107" s="28" t="s">
        <v>6139</v>
      </c>
      <c r="D107" s="28" t="s">
        <v>6355</v>
      </c>
      <c r="E107" s="28" t="s">
        <v>369</v>
      </c>
      <c r="F107" s="28" t="s">
        <v>6143</v>
      </c>
      <c r="G107" s="28">
        <v>325998</v>
      </c>
      <c r="H107" s="28" t="s">
        <v>2469</v>
      </c>
      <c r="I107" s="28" t="s">
        <v>2470</v>
      </c>
      <c r="J107" s="28" t="s">
        <v>368</v>
      </c>
      <c r="K107" s="28" t="s">
        <v>349</v>
      </c>
    </row>
    <row r="108" spans="1:11" x14ac:dyDescent="0.25">
      <c r="A108" s="28">
        <v>2013</v>
      </c>
      <c r="B108" s="28" t="s">
        <v>6138</v>
      </c>
      <c r="C108" s="28" t="s">
        <v>6139</v>
      </c>
      <c r="D108" s="28" t="s">
        <v>6356</v>
      </c>
      <c r="E108" s="28" t="s">
        <v>644</v>
      </c>
      <c r="F108" s="28" t="s">
        <v>6143</v>
      </c>
      <c r="G108" s="28">
        <v>325199</v>
      </c>
      <c r="H108" s="28" t="s">
        <v>220</v>
      </c>
      <c r="I108" s="28" t="s">
        <v>643</v>
      </c>
      <c r="J108" s="28" t="s">
        <v>334</v>
      </c>
      <c r="K108" s="28" t="s">
        <v>303</v>
      </c>
    </row>
    <row r="109" spans="1:11" x14ac:dyDescent="0.25">
      <c r="A109" s="28">
        <v>2013</v>
      </c>
      <c r="B109" s="28" t="s">
        <v>6138</v>
      </c>
      <c r="C109" s="28" t="s">
        <v>6139</v>
      </c>
      <c r="D109" s="28" t="s">
        <v>6357</v>
      </c>
      <c r="E109" s="28" t="s">
        <v>6286</v>
      </c>
      <c r="F109" s="28" t="s">
        <v>6163</v>
      </c>
      <c r="G109" s="28">
        <v>562211</v>
      </c>
      <c r="H109" s="28" t="s">
        <v>6287</v>
      </c>
      <c r="I109" s="28" t="s">
        <v>6288</v>
      </c>
      <c r="J109" s="28" t="s">
        <v>590</v>
      </c>
      <c r="K109" s="28" t="s">
        <v>362</v>
      </c>
    </row>
    <row r="110" spans="1:11" x14ac:dyDescent="0.25">
      <c r="A110" s="28">
        <v>2013</v>
      </c>
      <c r="B110" s="28" t="s">
        <v>6138</v>
      </c>
      <c r="C110" s="28" t="s">
        <v>6139</v>
      </c>
      <c r="D110" s="28" t="s">
        <v>6358</v>
      </c>
      <c r="E110" s="28" t="s">
        <v>346</v>
      </c>
      <c r="F110" s="28" t="s">
        <v>6143</v>
      </c>
      <c r="G110" s="28">
        <v>325211</v>
      </c>
      <c r="H110" s="28" t="s">
        <v>205</v>
      </c>
      <c r="I110" s="28" t="s">
        <v>343</v>
      </c>
      <c r="J110" s="28" t="s">
        <v>344</v>
      </c>
      <c r="K110" s="28" t="s">
        <v>345</v>
      </c>
    </row>
    <row r="111" spans="1:11" x14ac:dyDescent="0.25">
      <c r="A111" s="28">
        <v>2013</v>
      </c>
      <c r="B111" s="28" t="s">
        <v>6138</v>
      </c>
      <c r="C111" s="28" t="s">
        <v>6139</v>
      </c>
      <c r="D111" s="28" t="s">
        <v>6359</v>
      </c>
      <c r="E111" s="28" t="s">
        <v>6292</v>
      </c>
      <c r="F111" s="28" t="s">
        <v>6143</v>
      </c>
      <c r="G111" s="28">
        <v>325180</v>
      </c>
      <c r="H111" s="28" t="s">
        <v>6293</v>
      </c>
      <c r="I111" s="28" t="s">
        <v>6294</v>
      </c>
      <c r="J111" s="28" t="s">
        <v>412</v>
      </c>
      <c r="K111" s="28" t="s">
        <v>299</v>
      </c>
    </row>
    <row r="112" spans="1:11" x14ac:dyDescent="0.25">
      <c r="A112" s="28">
        <v>2014</v>
      </c>
      <c r="B112" s="28" t="s">
        <v>6138</v>
      </c>
      <c r="C112" s="28" t="s">
        <v>6139</v>
      </c>
      <c r="D112" s="28" t="s">
        <v>6360</v>
      </c>
      <c r="E112" s="28" t="s">
        <v>325</v>
      </c>
      <c r="F112" s="28" t="s">
        <v>6143</v>
      </c>
      <c r="G112" s="28">
        <v>325180</v>
      </c>
      <c r="H112" s="28" t="s">
        <v>105</v>
      </c>
      <c r="I112" s="28" t="s">
        <v>322</v>
      </c>
      <c r="J112" s="28" t="s">
        <v>323</v>
      </c>
      <c r="K112" s="28" t="s">
        <v>324</v>
      </c>
    </row>
    <row r="113" spans="1:11" x14ac:dyDescent="0.25">
      <c r="A113" s="28">
        <v>2014</v>
      </c>
      <c r="B113" s="28" t="s">
        <v>6138</v>
      </c>
      <c r="C113" s="28" t="s">
        <v>6139</v>
      </c>
      <c r="D113" s="28" t="s">
        <v>6361</v>
      </c>
      <c r="E113" s="28" t="s">
        <v>6146</v>
      </c>
      <c r="F113" s="28" t="s">
        <v>6143</v>
      </c>
      <c r="G113" s="28">
        <v>325998</v>
      </c>
      <c r="H113" s="28" t="s">
        <v>6147</v>
      </c>
      <c r="I113" s="28" t="s">
        <v>6148</v>
      </c>
      <c r="J113" s="28" t="s">
        <v>6149</v>
      </c>
      <c r="K113" s="28" t="s">
        <v>6150</v>
      </c>
    </row>
    <row r="114" spans="1:11" x14ac:dyDescent="0.25">
      <c r="A114" s="28">
        <v>2014</v>
      </c>
      <c r="B114" s="28" t="s">
        <v>6138</v>
      </c>
      <c r="C114" s="28" t="s">
        <v>6139</v>
      </c>
      <c r="D114" s="28" t="s">
        <v>6362</v>
      </c>
      <c r="E114" s="28" t="s">
        <v>677</v>
      </c>
      <c r="F114" s="28" t="s">
        <v>6153</v>
      </c>
      <c r="G114" s="28">
        <v>424690</v>
      </c>
      <c r="H114" s="28" t="s">
        <v>675</v>
      </c>
      <c r="I114" s="28" t="s">
        <v>676</v>
      </c>
      <c r="J114" s="28" t="s">
        <v>516</v>
      </c>
      <c r="K114" s="28" t="s">
        <v>303</v>
      </c>
    </row>
    <row r="115" spans="1:11" x14ac:dyDescent="0.25">
      <c r="A115" s="28">
        <v>2014</v>
      </c>
      <c r="B115" s="28" t="s">
        <v>6138</v>
      </c>
      <c r="C115" s="28" t="s">
        <v>6139</v>
      </c>
      <c r="D115" s="28" t="s">
        <v>6363</v>
      </c>
      <c r="E115" s="28" t="s">
        <v>6155</v>
      </c>
      <c r="F115" s="28" t="s">
        <v>6143</v>
      </c>
      <c r="G115" s="28">
        <v>325180</v>
      </c>
      <c r="H115" s="28" t="s">
        <v>6156</v>
      </c>
      <c r="I115" s="28" t="s">
        <v>6157</v>
      </c>
      <c r="J115" s="28" t="s">
        <v>6158</v>
      </c>
      <c r="K115" s="28" t="s">
        <v>299</v>
      </c>
    </row>
    <row r="116" spans="1:11" x14ac:dyDescent="0.25">
      <c r="A116" s="28">
        <v>2014</v>
      </c>
      <c r="B116" s="28" t="s">
        <v>6138</v>
      </c>
      <c r="C116" s="28" t="s">
        <v>6139</v>
      </c>
      <c r="D116" s="28" t="s">
        <v>6364</v>
      </c>
      <c r="E116" s="28" t="s">
        <v>718</v>
      </c>
      <c r="F116" s="28" t="s">
        <v>6143</v>
      </c>
      <c r="G116" s="28">
        <v>325199</v>
      </c>
      <c r="H116" s="28" t="s">
        <v>6305</v>
      </c>
      <c r="I116" s="28" t="s">
        <v>6306</v>
      </c>
      <c r="J116" s="28" t="s">
        <v>1135</v>
      </c>
      <c r="K116" s="28" t="s">
        <v>299</v>
      </c>
    </row>
    <row r="117" spans="1:11" x14ac:dyDescent="0.25">
      <c r="A117" s="28">
        <v>2014</v>
      </c>
      <c r="B117" s="28" t="s">
        <v>6138</v>
      </c>
      <c r="C117" s="28" t="s">
        <v>6139</v>
      </c>
      <c r="D117" s="28" t="s">
        <v>6365</v>
      </c>
      <c r="E117" s="28" t="s">
        <v>350</v>
      </c>
      <c r="F117" s="28" t="s">
        <v>6143</v>
      </c>
      <c r="G117" s="28">
        <v>325320</v>
      </c>
      <c r="H117" s="28" t="s">
        <v>206</v>
      </c>
      <c r="I117" s="28" t="s">
        <v>347</v>
      </c>
      <c r="J117" s="28" t="s">
        <v>348</v>
      </c>
      <c r="K117" s="28" t="s">
        <v>349</v>
      </c>
    </row>
    <row r="118" spans="1:11" x14ac:dyDescent="0.25">
      <c r="A118" s="28">
        <v>2014</v>
      </c>
      <c r="B118" s="28" t="s">
        <v>6138</v>
      </c>
      <c r="C118" s="28" t="s">
        <v>6139</v>
      </c>
      <c r="D118" s="28" t="s">
        <v>6366</v>
      </c>
      <c r="E118" s="28" t="s">
        <v>682</v>
      </c>
      <c r="F118" s="28" t="s">
        <v>6143</v>
      </c>
      <c r="G118" s="28">
        <v>325199</v>
      </c>
      <c r="H118" s="28" t="s">
        <v>679</v>
      </c>
      <c r="I118" s="28" t="s">
        <v>680</v>
      </c>
      <c r="J118" s="28" t="s">
        <v>681</v>
      </c>
      <c r="K118" s="28" t="s">
        <v>328</v>
      </c>
    </row>
    <row r="119" spans="1:11" x14ac:dyDescent="0.25">
      <c r="A119" s="28">
        <v>2014</v>
      </c>
      <c r="B119" s="28" t="s">
        <v>6138</v>
      </c>
      <c r="C119" s="28" t="s">
        <v>6139</v>
      </c>
      <c r="D119" s="28" t="s">
        <v>6367</v>
      </c>
      <c r="E119" s="28" t="s">
        <v>6278</v>
      </c>
      <c r="F119" s="28" t="s">
        <v>6143</v>
      </c>
      <c r="G119" s="28">
        <v>325199</v>
      </c>
      <c r="H119" s="28" t="s">
        <v>6279</v>
      </c>
      <c r="I119" s="28" t="s">
        <v>6280</v>
      </c>
      <c r="J119" s="28" t="s">
        <v>412</v>
      </c>
      <c r="K119" s="28" t="s">
        <v>299</v>
      </c>
    </row>
    <row r="120" spans="1:11" x14ac:dyDescent="0.25">
      <c r="A120" s="28">
        <v>2014</v>
      </c>
      <c r="B120" s="28" t="s">
        <v>6138</v>
      </c>
      <c r="C120" s="28" t="s">
        <v>6139</v>
      </c>
      <c r="D120" s="28" t="s">
        <v>6368</v>
      </c>
      <c r="E120" s="28" t="s">
        <v>524</v>
      </c>
      <c r="F120" s="28" t="s">
        <v>6143</v>
      </c>
      <c r="G120" s="28">
        <v>325199</v>
      </c>
      <c r="H120" s="28" t="s">
        <v>212</v>
      </c>
      <c r="I120" s="28" t="s">
        <v>523</v>
      </c>
      <c r="J120" s="28" t="s">
        <v>437</v>
      </c>
      <c r="K120" s="28" t="s">
        <v>362</v>
      </c>
    </row>
    <row r="121" spans="1:11" x14ac:dyDescent="0.25">
      <c r="A121" s="28">
        <v>2014</v>
      </c>
      <c r="B121" s="28" t="s">
        <v>6138</v>
      </c>
      <c r="C121" s="28" t="s">
        <v>6139</v>
      </c>
      <c r="D121" s="28" t="s">
        <v>6369</v>
      </c>
      <c r="E121" s="28" t="s">
        <v>521</v>
      </c>
      <c r="F121" s="28" t="s">
        <v>6143</v>
      </c>
      <c r="G121" s="28">
        <v>325180</v>
      </c>
      <c r="H121" s="28" t="s">
        <v>6315</v>
      </c>
      <c r="I121" s="28" t="s">
        <v>519</v>
      </c>
      <c r="J121" s="28" t="s">
        <v>520</v>
      </c>
      <c r="K121" s="28" t="s">
        <v>362</v>
      </c>
    </row>
    <row r="122" spans="1:11" x14ac:dyDescent="0.25">
      <c r="A122" s="28">
        <v>2014</v>
      </c>
      <c r="B122" s="28" t="s">
        <v>6138</v>
      </c>
      <c r="C122" s="28" t="s">
        <v>6139</v>
      </c>
      <c r="D122" s="28" t="s">
        <v>6370</v>
      </c>
      <c r="E122" s="28" t="s">
        <v>413</v>
      </c>
      <c r="F122" s="28" t="s">
        <v>6163</v>
      </c>
      <c r="G122" s="28">
        <v>562211</v>
      </c>
      <c r="H122" s="28" t="s">
        <v>128</v>
      </c>
      <c r="I122" s="28" t="s">
        <v>2408</v>
      </c>
      <c r="J122" s="28" t="s">
        <v>412</v>
      </c>
      <c r="K122" s="28" t="s">
        <v>299</v>
      </c>
    </row>
    <row r="123" spans="1:11" x14ac:dyDescent="0.25">
      <c r="A123" s="28">
        <v>2014</v>
      </c>
      <c r="B123" s="28" t="s">
        <v>6138</v>
      </c>
      <c r="C123" s="28" t="s">
        <v>6139</v>
      </c>
      <c r="D123" s="28" t="s">
        <v>6371</v>
      </c>
      <c r="E123" s="28" t="s">
        <v>6196</v>
      </c>
      <c r="F123" s="28" t="s">
        <v>6163</v>
      </c>
      <c r="G123" s="28">
        <v>562211</v>
      </c>
      <c r="H123" s="28" t="s">
        <v>6197</v>
      </c>
      <c r="I123" s="28" t="s">
        <v>6198</v>
      </c>
      <c r="J123" s="28" t="s">
        <v>6199</v>
      </c>
      <c r="K123" s="28" t="s">
        <v>1352</v>
      </c>
    </row>
    <row r="124" spans="1:11" x14ac:dyDescent="0.25">
      <c r="A124" s="28">
        <v>2014</v>
      </c>
      <c r="B124" s="28" t="s">
        <v>6138</v>
      </c>
      <c r="C124" s="28" t="s">
        <v>6139</v>
      </c>
      <c r="D124" s="28" t="s">
        <v>6372</v>
      </c>
      <c r="E124" s="28" t="s">
        <v>639</v>
      </c>
      <c r="F124" s="28" t="s">
        <v>6141</v>
      </c>
      <c r="G124" s="28">
        <v>336611</v>
      </c>
      <c r="H124" s="28" t="s">
        <v>637</v>
      </c>
      <c r="I124" s="28" t="s">
        <v>638</v>
      </c>
      <c r="J124" s="28" t="s">
        <v>437</v>
      </c>
      <c r="K124" s="28" t="s">
        <v>362</v>
      </c>
    </row>
    <row r="125" spans="1:11" x14ac:dyDescent="0.25">
      <c r="A125" s="28">
        <v>2014</v>
      </c>
      <c r="B125" s="28" t="s">
        <v>6138</v>
      </c>
      <c r="C125" s="28" t="s">
        <v>6139</v>
      </c>
      <c r="D125" s="28" t="s">
        <v>6373</v>
      </c>
      <c r="E125" s="28" t="s">
        <v>595</v>
      </c>
      <c r="F125" s="28" t="s">
        <v>6143</v>
      </c>
      <c r="G125" s="28">
        <v>325199</v>
      </c>
      <c r="H125" s="28" t="s">
        <v>218</v>
      </c>
      <c r="I125" s="28" t="s">
        <v>594</v>
      </c>
      <c r="J125" s="28" t="s">
        <v>361</v>
      </c>
      <c r="K125" s="28" t="s">
        <v>362</v>
      </c>
    </row>
    <row r="126" spans="1:11" x14ac:dyDescent="0.25">
      <c r="A126" s="28">
        <v>2014</v>
      </c>
      <c r="B126" s="28" t="s">
        <v>6138</v>
      </c>
      <c r="C126" s="28" t="s">
        <v>6139</v>
      </c>
      <c r="D126" s="28" t="s">
        <v>6374</v>
      </c>
      <c r="E126" s="28" t="s">
        <v>6375</v>
      </c>
      <c r="F126" s="28" t="s">
        <v>6143</v>
      </c>
      <c r="G126" s="28">
        <v>325998</v>
      </c>
      <c r="H126" s="28" t="s">
        <v>6376</v>
      </c>
      <c r="I126" s="28" t="s">
        <v>6377</v>
      </c>
      <c r="J126" s="28" t="s">
        <v>6378</v>
      </c>
      <c r="K126" s="28" t="s">
        <v>6379</v>
      </c>
    </row>
    <row r="127" spans="1:11" x14ac:dyDescent="0.25">
      <c r="A127" s="28">
        <v>2014</v>
      </c>
      <c r="B127" s="28" t="s">
        <v>6138</v>
      </c>
      <c r="C127" s="28" t="s">
        <v>6139</v>
      </c>
      <c r="D127" s="28" t="s">
        <v>6380</v>
      </c>
      <c r="E127" s="28" t="s">
        <v>565</v>
      </c>
      <c r="F127" s="28" t="s">
        <v>6143</v>
      </c>
      <c r="G127" s="28">
        <v>325320</v>
      </c>
      <c r="H127" s="28" t="s">
        <v>214</v>
      </c>
      <c r="I127" s="28" t="s">
        <v>562</v>
      </c>
      <c r="J127" s="28" t="s">
        <v>563</v>
      </c>
      <c r="K127" s="28" t="s">
        <v>564</v>
      </c>
    </row>
    <row r="128" spans="1:11" x14ac:dyDescent="0.25">
      <c r="A128" s="28">
        <v>2014</v>
      </c>
      <c r="B128" s="28" t="s">
        <v>6138</v>
      </c>
      <c r="C128" s="28" t="s">
        <v>6139</v>
      </c>
      <c r="D128" s="28" t="s">
        <v>6381</v>
      </c>
      <c r="E128" s="28" t="s">
        <v>542</v>
      </c>
      <c r="F128" s="28" t="s">
        <v>6143</v>
      </c>
      <c r="G128" s="28">
        <v>325199</v>
      </c>
      <c r="H128" s="28" t="s">
        <v>213</v>
      </c>
      <c r="I128" s="28" t="s">
        <v>540</v>
      </c>
      <c r="J128" s="28" t="s">
        <v>460</v>
      </c>
      <c r="K128" s="28" t="s">
        <v>541</v>
      </c>
    </row>
    <row r="129" spans="1:11" x14ac:dyDescent="0.25">
      <c r="A129" s="28">
        <v>2014</v>
      </c>
      <c r="B129" s="28" t="s">
        <v>6138</v>
      </c>
      <c r="C129" s="28" t="s">
        <v>6139</v>
      </c>
      <c r="D129" s="28" t="s">
        <v>6382</v>
      </c>
      <c r="E129" s="28" t="s">
        <v>514</v>
      </c>
      <c r="F129" s="28" t="s">
        <v>6143</v>
      </c>
      <c r="G129" s="28">
        <v>325199</v>
      </c>
      <c r="H129" s="28" t="s">
        <v>2417</v>
      </c>
      <c r="I129" s="28" t="s">
        <v>2418</v>
      </c>
      <c r="J129" s="28" t="s">
        <v>302</v>
      </c>
      <c r="K129" s="28" t="s">
        <v>303</v>
      </c>
    </row>
    <row r="130" spans="1:11" x14ac:dyDescent="0.25">
      <c r="A130" s="28">
        <v>2014</v>
      </c>
      <c r="B130" s="28" t="s">
        <v>6138</v>
      </c>
      <c r="C130" s="28" t="s">
        <v>6139</v>
      </c>
      <c r="D130" s="28" t="s">
        <v>6383</v>
      </c>
      <c r="E130" s="28" t="s">
        <v>6263</v>
      </c>
      <c r="F130" s="28" t="s">
        <v>6163</v>
      </c>
      <c r="G130" s="28">
        <v>562211</v>
      </c>
      <c r="H130" s="28" t="s">
        <v>6264</v>
      </c>
      <c r="I130" s="28" t="s">
        <v>6265</v>
      </c>
      <c r="J130" s="28" t="s">
        <v>6266</v>
      </c>
      <c r="K130" s="28" t="s">
        <v>362</v>
      </c>
    </row>
    <row r="131" spans="1:11" x14ac:dyDescent="0.25">
      <c r="A131" s="28">
        <v>2014</v>
      </c>
      <c r="B131" s="28" t="s">
        <v>6138</v>
      </c>
      <c r="C131" s="28" t="s">
        <v>6139</v>
      </c>
      <c r="D131" s="28" t="s">
        <v>6384</v>
      </c>
      <c r="E131" s="28" t="s">
        <v>583</v>
      </c>
      <c r="F131" s="28" t="s">
        <v>6143</v>
      </c>
      <c r="G131" s="28">
        <v>325199</v>
      </c>
      <c r="H131" s="28" t="s">
        <v>2419</v>
      </c>
      <c r="I131" s="28" t="s">
        <v>2420</v>
      </c>
      <c r="J131" s="28" t="s">
        <v>2421</v>
      </c>
      <c r="K131" s="28" t="s">
        <v>362</v>
      </c>
    </row>
    <row r="132" spans="1:11" x14ac:dyDescent="0.25">
      <c r="A132" s="28">
        <v>2014</v>
      </c>
      <c r="B132" s="28" t="s">
        <v>6138</v>
      </c>
      <c r="C132" s="28" t="s">
        <v>6139</v>
      </c>
      <c r="D132" s="28" t="s">
        <v>6385</v>
      </c>
      <c r="E132" s="28" t="s">
        <v>6240</v>
      </c>
      <c r="F132" s="28" t="s">
        <v>6143</v>
      </c>
      <c r="G132" s="28">
        <v>325199</v>
      </c>
      <c r="H132" s="28" t="s">
        <v>6241</v>
      </c>
      <c r="I132" s="28" t="s">
        <v>6242</v>
      </c>
      <c r="J132" s="28" t="s">
        <v>6243</v>
      </c>
      <c r="K132" s="28" t="s">
        <v>303</v>
      </c>
    </row>
    <row r="133" spans="1:11" x14ac:dyDescent="0.25">
      <c r="A133" s="28">
        <v>2014</v>
      </c>
      <c r="B133" s="28" t="s">
        <v>6138</v>
      </c>
      <c r="C133" s="28" t="s">
        <v>6139</v>
      </c>
      <c r="D133" s="28" t="s">
        <v>6386</v>
      </c>
      <c r="E133" s="28" t="s">
        <v>585</v>
      </c>
      <c r="F133" s="28" t="s">
        <v>6143</v>
      </c>
      <c r="G133" s="28">
        <v>325199</v>
      </c>
      <c r="H133" s="28" t="s">
        <v>2422</v>
      </c>
      <c r="I133" s="28" t="s">
        <v>2423</v>
      </c>
      <c r="J133" s="28" t="s">
        <v>516</v>
      </c>
      <c r="K133" s="28" t="s">
        <v>303</v>
      </c>
    </row>
    <row r="134" spans="1:11" x14ac:dyDescent="0.25">
      <c r="A134" s="28">
        <v>2014</v>
      </c>
      <c r="B134" s="28" t="s">
        <v>6138</v>
      </c>
      <c r="C134" s="28" t="s">
        <v>6139</v>
      </c>
      <c r="D134" s="28" t="s">
        <v>6387</v>
      </c>
      <c r="E134" s="28" t="s">
        <v>6173</v>
      </c>
      <c r="F134" s="28" t="s">
        <v>6174</v>
      </c>
      <c r="G134" s="28">
        <v>212393</v>
      </c>
      <c r="H134" s="28" t="s">
        <v>6175</v>
      </c>
      <c r="I134" s="28" t="s">
        <v>6176</v>
      </c>
      <c r="J134" s="28" t="s">
        <v>6177</v>
      </c>
      <c r="K134" s="28" t="s">
        <v>303</v>
      </c>
    </row>
    <row r="135" spans="1:11" x14ac:dyDescent="0.25">
      <c r="A135" s="28">
        <v>2014</v>
      </c>
      <c r="B135" s="28" t="s">
        <v>6138</v>
      </c>
      <c r="C135" s="28" t="s">
        <v>6139</v>
      </c>
      <c r="D135" s="28" t="s">
        <v>6388</v>
      </c>
      <c r="E135" s="28" t="s">
        <v>644</v>
      </c>
      <c r="F135" s="28" t="s">
        <v>6143</v>
      </c>
      <c r="G135" s="28">
        <v>325199</v>
      </c>
      <c r="H135" s="28" t="s">
        <v>220</v>
      </c>
      <c r="I135" s="28" t="s">
        <v>643</v>
      </c>
      <c r="J135" s="28" t="s">
        <v>334</v>
      </c>
      <c r="K135" s="28" t="s">
        <v>303</v>
      </c>
    </row>
    <row r="136" spans="1:11" x14ac:dyDescent="0.25">
      <c r="A136" s="28">
        <v>2014</v>
      </c>
      <c r="B136" s="28" t="s">
        <v>6138</v>
      </c>
      <c r="C136" s="28" t="s">
        <v>6139</v>
      </c>
      <c r="D136" s="28" t="s">
        <v>6389</v>
      </c>
      <c r="E136" s="28" t="s">
        <v>6201</v>
      </c>
      <c r="F136" s="28" t="s">
        <v>6202</v>
      </c>
      <c r="G136" s="28">
        <v>324110</v>
      </c>
      <c r="H136" s="28" t="s">
        <v>6203</v>
      </c>
      <c r="I136" s="28" t="s">
        <v>6204</v>
      </c>
      <c r="J136" s="28" t="s">
        <v>463</v>
      </c>
      <c r="K136" s="28" t="s">
        <v>362</v>
      </c>
    </row>
    <row r="137" spans="1:11" x14ac:dyDescent="0.25">
      <c r="A137" s="28">
        <v>2014</v>
      </c>
      <c r="B137" s="28" t="s">
        <v>6138</v>
      </c>
      <c r="C137" s="28" t="s">
        <v>6139</v>
      </c>
      <c r="D137" s="28" t="s">
        <v>6390</v>
      </c>
      <c r="E137" s="28" t="s">
        <v>588</v>
      </c>
      <c r="F137" s="28" t="s">
        <v>6143</v>
      </c>
      <c r="G137" s="28">
        <v>325180</v>
      </c>
      <c r="H137" s="28" t="s">
        <v>216</v>
      </c>
      <c r="I137" s="28" t="s">
        <v>586</v>
      </c>
      <c r="J137" s="28" t="s">
        <v>587</v>
      </c>
      <c r="K137" s="28" t="s">
        <v>303</v>
      </c>
    </row>
    <row r="138" spans="1:11" x14ac:dyDescent="0.25">
      <c r="A138" s="28">
        <v>2014</v>
      </c>
      <c r="B138" s="28" t="s">
        <v>6138</v>
      </c>
      <c r="C138" s="28" t="s">
        <v>6139</v>
      </c>
      <c r="D138" s="28" t="s">
        <v>6391</v>
      </c>
      <c r="E138" s="28" t="s">
        <v>6190</v>
      </c>
      <c r="F138" s="28" t="s">
        <v>6191</v>
      </c>
      <c r="G138" s="28">
        <v>327310</v>
      </c>
      <c r="H138" s="28" t="s">
        <v>6192</v>
      </c>
      <c r="I138" s="28" t="s">
        <v>6193</v>
      </c>
      <c r="J138" s="28" t="s">
        <v>6194</v>
      </c>
      <c r="K138" s="28" t="s">
        <v>541</v>
      </c>
    </row>
    <row r="139" spans="1:11" x14ac:dyDescent="0.25">
      <c r="A139" s="28">
        <v>2014</v>
      </c>
      <c r="B139" s="28" t="s">
        <v>6138</v>
      </c>
      <c r="C139" s="28" t="s">
        <v>6139</v>
      </c>
      <c r="D139" s="28" t="s">
        <v>6392</v>
      </c>
      <c r="E139" s="28" t="s">
        <v>512</v>
      </c>
      <c r="F139" s="28" t="s">
        <v>6163</v>
      </c>
      <c r="G139" s="28">
        <v>562213</v>
      </c>
      <c r="H139" s="28" t="s">
        <v>211</v>
      </c>
      <c r="I139" s="28" t="s">
        <v>510</v>
      </c>
      <c r="J139" s="28" t="s">
        <v>511</v>
      </c>
      <c r="K139" s="28" t="s">
        <v>319</v>
      </c>
    </row>
    <row r="140" spans="1:11" x14ac:dyDescent="0.25">
      <c r="A140" s="28">
        <v>2014</v>
      </c>
      <c r="B140" s="28" t="s">
        <v>6138</v>
      </c>
      <c r="C140" s="28" t="s">
        <v>6139</v>
      </c>
      <c r="D140" s="28" t="s">
        <v>6393</v>
      </c>
      <c r="E140" s="28" t="s">
        <v>666</v>
      </c>
      <c r="F140" s="28" t="s">
        <v>6143</v>
      </c>
      <c r="G140" s="28">
        <v>325211</v>
      </c>
      <c r="H140" s="28" t="s">
        <v>201</v>
      </c>
      <c r="I140" s="28" t="s">
        <v>665</v>
      </c>
      <c r="J140" s="28" t="s">
        <v>516</v>
      </c>
      <c r="K140" s="28" t="s">
        <v>303</v>
      </c>
    </row>
    <row r="141" spans="1:11" x14ac:dyDescent="0.25">
      <c r="A141" s="28">
        <v>2014</v>
      </c>
      <c r="B141" s="28" t="s">
        <v>6138</v>
      </c>
      <c r="C141" s="28" t="s">
        <v>6139</v>
      </c>
      <c r="D141" s="28" t="s">
        <v>6394</v>
      </c>
      <c r="E141" s="28" t="s">
        <v>6395</v>
      </c>
      <c r="F141" s="28" t="s">
        <v>6163</v>
      </c>
      <c r="G141" s="28">
        <v>562211</v>
      </c>
      <c r="H141" s="28" t="s">
        <v>6396</v>
      </c>
      <c r="I141" s="28" t="s">
        <v>6397</v>
      </c>
      <c r="J141" s="28" t="s">
        <v>6398</v>
      </c>
      <c r="K141" s="28" t="s">
        <v>319</v>
      </c>
    </row>
    <row r="142" spans="1:11" x14ac:dyDescent="0.25">
      <c r="A142" s="28">
        <v>2014</v>
      </c>
      <c r="B142" s="28" t="s">
        <v>6138</v>
      </c>
      <c r="C142" s="28" t="s">
        <v>6139</v>
      </c>
      <c r="D142" s="28" t="s">
        <v>6399</v>
      </c>
      <c r="E142" s="28" t="s">
        <v>6168</v>
      </c>
      <c r="F142" s="28" t="s">
        <v>6143</v>
      </c>
      <c r="G142" s="28">
        <v>325199</v>
      </c>
      <c r="H142" s="28" t="s">
        <v>6169</v>
      </c>
      <c r="I142" s="28" t="s">
        <v>6170</v>
      </c>
      <c r="J142" s="28" t="s">
        <v>463</v>
      </c>
      <c r="K142" s="28" t="s">
        <v>362</v>
      </c>
    </row>
    <row r="143" spans="1:11" x14ac:dyDescent="0.25">
      <c r="A143" s="28">
        <v>2014</v>
      </c>
      <c r="B143" s="28" t="s">
        <v>6138</v>
      </c>
      <c r="C143" s="28" t="s">
        <v>6139</v>
      </c>
      <c r="D143" s="28" t="s">
        <v>6400</v>
      </c>
      <c r="E143" s="28" t="s">
        <v>6252</v>
      </c>
      <c r="F143" s="28" t="s">
        <v>6191</v>
      </c>
      <c r="G143" s="28">
        <v>327992</v>
      </c>
      <c r="H143" s="28" t="s">
        <v>6253</v>
      </c>
      <c r="I143" s="28" t="s">
        <v>6254</v>
      </c>
      <c r="J143" s="28" t="s">
        <v>6255</v>
      </c>
      <c r="K143" s="28" t="s">
        <v>450</v>
      </c>
    </row>
    <row r="144" spans="1:11" x14ac:dyDescent="0.25">
      <c r="A144" s="28">
        <v>2014</v>
      </c>
      <c r="B144" s="28" t="s">
        <v>6138</v>
      </c>
      <c r="C144" s="28" t="s">
        <v>6139</v>
      </c>
      <c r="D144" s="28" t="s">
        <v>6401</v>
      </c>
      <c r="E144" s="28" t="s">
        <v>668</v>
      </c>
      <c r="F144" s="28" t="s">
        <v>6143</v>
      </c>
      <c r="G144" s="28">
        <v>325199</v>
      </c>
      <c r="H144" s="28" t="s">
        <v>202</v>
      </c>
      <c r="I144" s="28" t="s">
        <v>2426</v>
      </c>
      <c r="J144" s="28" t="s">
        <v>323</v>
      </c>
      <c r="K144" s="28" t="s">
        <v>324</v>
      </c>
    </row>
    <row r="145" spans="1:11" x14ac:dyDescent="0.25">
      <c r="A145" s="28">
        <v>2014</v>
      </c>
      <c r="B145" s="28" t="s">
        <v>6138</v>
      </c>
      <c r="C145" s="28" t="s">
        <v>6139</v>
      </c>
      <c r="D145" s="28" t="s">
        <v>6402</v>
      </c>
      <c r="E145" s="28" t="s">
        <v>6282</v>
      </c>
      <c r="F145" s="28" t="s">
        <v>6163</v>
      </c>
      <c r="G145" s="28">
        <v>562211</v>
      </c>
      <c r="H145" s="28" t="s">
        <v>6283</v>
      </c>
      <c r="I145" s="28" t="s">
        <v>6284</v>
      </c>
      <c r="J145" s="28" t="s">
        <v>361</v>
      </c>
      <c r="K145" s="28" t="s">
        <v>362</v>
      </c>
    </row>
    <row r="146" spans="1:11" x14ac:dyDescent="0.25">
      <c r="A146" s="28">
        <v>2014</v>
      </c>
      <c r="B146" s="28" t="s">
        <v>6138</v>
      </c>
      <c r="C146" s="28" t="s">
        <v>6139</v>
      </c>
      <c r="D146" s="28" t="s">
        <v>6403</v>
      </c>
      <c r="E146" s="28" t="s">
        <v>6322</v>
      </c>
      <c r="F146" s="28" t="s">
        <v>6143</v>
      </c>
      <c r="G146" s="28">
        <v>325998</v>
      </c>
      <c r="H146" s="28" t="s">
        <v>6323</v>
      </c>
      <c r="I146" s="28" t="s">
        <v>6324</v>
      </c>
      <c r="J146" s="28" t="s">
        <v>6325</v>
      </c>
      <c r="K146" s="28" t="s">
        <v>324</v>
      </c>
    </row>
    <row r="147" spans="1:11" x14ac:dyDescent="0.25">
      <c r="A147" s="28">
        <v>2014</v>
      </c>
      <c r="B147" s="28" t="s">
        <v>6138</v>
      </c>
      <c r="C147" s="28" t="s">
        <v>6139</v>
      </c>
      <c r="D147" s="28" t="s">
        <v>6404</v>
      </c>
      <c r="E147" s="28" t="s">
        <v>6235</v>
      </c>
      <c r="F147" s="28" t="s">
        <v>6143</v>
      </c>
      <c r="G147" s="28">
        <v>325998</v>
      </c>
      <c r="H147" s="28" t="s">
        <v>6236</v>
      </c>
      <c r="I147" s="28" t="s">
        <v>6237</v>
      </c>
      <c r="J147" s="28" t="s">
        <v>6238</v>
      </c>
      <c r="K147" s="28" t="s">
        <v>686</v>
      </c>
    </row>
    <row r="148" spans="1:11" x14ac:dyDescent="0.25">
      <c r="A148" s="28">
        <v>2014</v>
      </c>
      <c r="B148" s="28" t="s">
        <v>6138</v>
      </c>
      <c r="C148" s="28" t="s">
        <v>6139</v>
      </c>
      <c r="D148" s="28" t="s">
        <v>6405</v>
      </c>
      <c r="E148" s="28" t="s">
        <v>483</v>
      </c>
      <c r="F148" s="28" t="s">
        <v>6143</v>
      </c>
      <c r="G148" s="28">
        <v>325211</v>
      </c>
      <c r="H148" s="28" t="s">
        <v>2412</v>
      </c>
      <c r="I148" s="28" t="s">
        <v>2413</v>
      </c>
      <c r="J148" s="28" t="s">
        <v>302</v>
      </c>
      <c r="K148" s="28" t="s">
        <v>303</v>
      </c>
    </row>
    <row r="149" spans="1:11" x14ac:dyDescent="0.25">
      <c r="A149" s="28">
        <v>2014</v>
      </c>
      <c r="B149" s="28" t="s">
        <v>6138</v>
      </c>
      <c r="C149" s="28" t="s">
        <v>6139</v>
      </c>
      <c r="D149" s="28" t="s">
        <v>6406</v>
      </c>
      <c r="E149" s="28" t="s">
        <v>576</v>
      </c>
      <c r="F149" s="28" t="s">
        <v>6143</v>
      </c>
      <c r="G149" s="28">
        <v>325199</v>
      </c>
      <c r="H149" s="28" t="s">
        <v>215</v>
      </c>
      <c r="I149" s="28" t="s">
        <v>574</v>
      </c>
      <c r="J149" s="28" t="s">
        <v>575</v>
      </c>
      <c r="K149" s="28" t="s">
        <v>435</v>
      </c>
    </row>
    <row r="150" spans="1:11" x14ac:dyDescent="0.25">
      <c r="A150" s="28">
        <v>2014</v>
      </c>
      <c r="B150" s="28" t="s">
        <v>6138</v>
      </c>
      <c r="C150" s="28" t="s">
        <v>6139</v>
      </c>
      <c r="D150" s="28" t="s">
        <v>6407</v>
      </c>
      <c r="E150" s="28" t="s">
        <v>335</v>
      </c>
      <c r="F150" s="28" t="s">
        <v>6143</v>
      </c>
      <c r="G150" s="28">
        <v>325211</v>
      </c>
      <c r="H150" s="28" t="s">
        <v>204</v>
      </c>
      <c r="I150" s="28" t="s">
        <v>333</v>
      </c>
      <c r="J150" s="28" t="s">
        <v>334</v>
      </c>
      <c r="K150" s="28" t="s">
        <v>303</v>
      </c>
    </row>
    <row r="151" spans="1:11" x14ac:dyDescent="0.25">
      <c r="A151" s="28">
        <v>2014</v>
      </c>
      <c r="B151" s="28" t="s">
        <v>6138</v>
      </c>
      <c r="C151" s="28" t="s">
        <v>6139</v>
      </c>
      <c r="D151" s="28" t="s">
        <v>6408</v>
      </c>
      <c r="E151" s="28" t="s">
        <v>438</v>
      </c>
      <c r="F151" s="28" t="s">
        <v>6174</v>
      </c>
      <c r="G151" s="28">
        <v>486990</v>
      </c>
      <c r="H151" s="28" t="s">
        <v>209</v>
      </c>
      <c r="I151" s="28" t="s">
        <v>436</v>
      </c>
      <c r="J151" s="28" t="s">
        <v>437</v>
      </c>
      <c r="K151" s="28" t="s">
        <v>362</v>
      </c>
    </row>
    <row r="152" spans="1:11" x14ac:dyDescent="0.25">
      <c r="A152" s="28">
        <v>2014</v>
      </c>
      <c r="B152" s="28" t="s">
        <v>6138</v>
      </c>
      <c r="C152" s="28" t="s">
        <v>6139</v>
      </c>
      <c r="D152" s="28" t="s">
        <v>6409</v>
      </c>
      <c r="E152" s="28" t="s">
        <v>438</v>
      </c>
      <c r="F152" s="28" t="s">
        <v>6143</v>
      </c>
      <c r="G152" s="28">
        <v>325199</v>
      </c>
      <c r="H152" s="28" t="s">
        <v>209</v>
      </c>
      <c r="I152" s="28" t="s">
        <v>436</v>
      </c>
      <c r="J152" s="28" t="s">
        <v>437</v>
      </c>
      <c r="K152" s="28" t="s">
        <v>362</v>
      </c>
    </row>
    <row r="153" spans="1:11" x14ac:dyDescent="0.25">
      <c r="A153" s="28">
        <v>2014</v>
      </c>
      <c r="B153" s="28" t="s">
        <v>6138</v>
      </c>
      <c r="C153" s="28" t="s">
        <v>6139</v>
      </c>
      <c r="D153" s="28" t="s">
        <v>6410</v>
      </c>
      <c r="E153" s="28" t="s">
        <v>6207</v>
      </c>
      <c r="F153" s="28" t="s">
        <v>6202</v>
      </c>
      <c r="G153" s="28">
        <v>324110</v>
      </c>
      <c r="H153" s="28" t="s">
        <v>6208</v>
      </c>
      <c r="I153" s="28" t="s">
        <v>6209</v>
      </c>
      <c r="J153" s="28" t="s">
        <v>6210</v>
      </c>
      <c r="K153" s="28" t="s">
        <v>362</v>
      </c>
    </row>
    <row r="154" spans="1:11" x14ac:dyDescent="0.25">
      <c r="A154" s="28">
        <v>2014</v>
      </c>
      <c r="B154" s="28" t="s">
        <v>6138</v>
      </c>
      <c r="C154" s="28" t="s">
        <v>6139</v>
      </c>
      <c r="D154" s="28" t="s">
        <v>6411</v>
      </c>
      <c r="E154" s="28" t="s">
        <v>481</v>
      </c>
      <c r="F154" s="28" t="s">
        <v>6143</v>
      </c>
      <c r="G154" s="28">
        <v>325211</v>
      </c>
      <c r="H154" s="28" t="s">
        <v>2414</v>
      </c>
      <c r="I154" s="28" t="s">
        <v>2415</v>
      </c>
      <c r="J154" s="28" t="s">
        <v>480</v>
      </c>
      <c r="K154" s="28" t="s">
        <v>362</v>
      </c>
    </row>
    <row r="155" spans="1:11" x14ac:dyDescent="0.25">
      <c r="A155" s="28">
        <v>2014</v>
      </c>
      <c r="B155" s="28" t="s">
        <v>6138</v>
      </c>
      <c r="C155" s="28" t="s">
        <v>6139</v>
      </c>
      <c r="D155" s="28" t="s">
        <v>6412</v>
      </c>
      <c r="E155" s="28" t="s">
        <v>6286</v>
      </c>
      <c r="F155" s="28" t="s">
        <v>6163</v>
      </c>
      <c r="G155" s="28">
        <v>562211</v>
      </c>
      <c r="H155" s="28" t="s">
        <v>6287</v>
      </c>
      <c r="I155" s="28" t="s">
        <v>6288</v>
      </c>
      <c r="J155" s="28" t="s">
        <v>590</v>
      </c>
      <c r="K155" s="28" t="s">
        <v>362</v>
      </c>
    </row>
    <row r="156" spans="1:11" x14ac:dyDescent="0.25">
      <c r="A156" s="28">
        <v>2014</v>
      </c>
      <c r="B156" s="28" t="s">
        <v>6138</v>
      </c>
      <c r="C156" s="28" t="s">
        <v>6139</v>
      </c>
      <c r="D156" s="28" t="s">
        <v>6413</v>
      </c>
      <c r="E156" s="28" t="s">
        <v>6162</v>
      </c>
      <c r="F156" s="28" t="s">
        <v>6163</v>
      </c>
      <c r="G156" s="28">
        <v>562211</v>
      </c>
      <c r="H156" s="28" t="s">
        <v>6164</v>
      </c>
      <c r="I156" s="28" t="s">
        <v>6165</v>
      </c>
      <c r="J156" s="28" t="s">
        <v>6166</v>
      </c>
      <c r="K156" s="28" t="s">
        <v>1415</v>
      </c>
    </row>
    <row r="157" spans="1:11" x14ac:dyDescent="0.25">
      <c r="A157" s="28">
        <v>2014</v>
      </c>
      <c r="B157" s="28" t="s">
        <v>6138</v>
      </c>
      <c r="C157" s="28" t="s">
        <v>6139</v>
      </c>
      <c r="D157" s="28" t="s">
        <v>6414</v>
      </c>
      <c r="E157" s="28" t="s">
        <v>369</v>
      </c>
      <c r="F157" s="28" t="s">
        <v>6143</v>
      </c>
      <c r="G157" s="28">
        <v>325998</v>
      </c>
      <c r="H157" s="28" t="s">
        <v>2469</v>
      </c>
      <c r="I157" s="28" t="s">
        <v>2470</v>
      </c>
      <c r="J157" s="28" t="s">
        <v>368</v>
      </c>
      <c r="K157" s="28" t="s">
        <v>349</v>
      </c>
    </row>
    <row r="158" spans="1:11" x14ac:dyDescent="0.25">
      <c r="A158" s="28">
        <v>2014</v>
      </c>
      <c r="B158" s="28" t="s">
        <v>6138</v>
      </c>
      <c r="C158" s="28" t="s">
        <v>6139</v>
      </c>
      <c r="D158" s="28" t="s">
        <v>6415</v>
      </c>
      <c r="E158" s="28" t="s">
        <v>6416</v>
      </c>
      <c r="F158" s="28" t="s">
        <v>6191</v>
      </c>
      <c r="G158" s="28">
        <v>327310</v>
      </c>
      <c r="H158" s="28" t="s">
        <v>6417</v>
      </c>
      <c r="I158" s="28" t="s">
        <v>6418</v>
      </c>
      <c r="J158" s="28" t="s">
        <v>6419</v>
      </c>
      <c r="K158" s="28" t="s">
        <v>299</v>
      </c>
    </row>
    <row r="159" spans="1:11" x14ac:dyDescent="0.25">
      <c r="A159" s="28">
        <v>2014</v>
      </c>
      <c r="B159" s="28" t="s">
        <v>6138</v>
      </c>
      <c r="C159" s="28" t="s">
        <v>6139</v>
      </c>
      <c r="D159" s="28" t="s">
        <v>6420</v>
      </c>
      <c r="E159" s="28" t="s">
        <v>6421</v>
      </c>
      <c r="F159" s="28" t="s">
        <v>6191</v>
      </c>
      <c r="G159" s="28">
        <v>327310</v>
      </c>
      <c r="H159" s="28" t="s">
        <v>6422</v>
      </c>
      <c r="I159" s="28" t="s">
        <v>6423</v>
      </c>
      <c r="J159" s="28" t="s">
        <v>6424</v>
      </c>
      <c r="K159" s="28" t="s">
        <v>385</v>
      </c>
    </row>
    <row r="160" spans="1:11" x14ac:dyDescent="0.25">
      <c r="A160" s="28">
        <v>2014</v>
      </c>
      <c r="B160" s="28" t="s">
        <v>6138</v>
      </c>
      <c r="C160" s="28" t="s">
        <v>6139</v>
      </c>
      <c r="D160" s="28" t="s">
        <v>6425</v>
      </c>
      <c r="E160" s="28" t="s">
        <v>6426</v>
      </c>
      <c r="F160" s="28" t="s">
        <v>6143</v>
      </c>
      <c r="G160" s="28">
        <v>325199</v>
      </c>
      <c r="H160" s="28" t="s">
        <v>6427</v>
      </c>
      <c r="I160" s="28" t="s">
        <v>6428</v>
      </c>
      <c r="J160" s="28" t="s">
        <v>1284</v>
      </c>
      <c r="K160" s="28" t="s">
        <v>324</v>
      </c>
    </row>
    <row r="161" spans="1:11" x14ac:dyDescent="0.25">
      <c r="A161" s="28">
        <v>2014</v>
      </c>
      <c r="B161" s="28" t="s">
        <v>6138</v>
      </c>
      <c r="C161" s="28" t="s">
        <v>6139</v>
      </c>
      <c r="D161" s="28" t="s">
        <v>6429</v>
      </c>
      <c r="E161" s="28" t="s">
        <v>642</v>
      </c>
      <c r="F161" s="28" t="s">
        <v>6143</v>
      </c>
      <c r="G161" s="28">
        <v>325199</v>
      </c>
      <c r="H161" s="28" t="s">
        <v>219</v>
      </c>
      <c r="I161" s="28" t="s">
        <v>641</v>
      </c>
      <c r="J161" s="28" t="s">
        <v>426</v>
      </c>
      <c r="K161" s="28" t="s">
        <v>427</v>
      </c>
    </row>
    <row r="162" spans="1:11" x14ac:dyDescent="0.25">
      <c r="A162" s="28">
        <v>2014</v>
      </c>
      <c r="B162" s="28" t="s">
        <v>6138</v>
      </c>
      <c r="C162" s="28" t="s">
        <v>6139</v>
      </c>
      <c r="D162" s="28" t="s">
        <v>6430</v>
      </c>
      <c r="E162" s="28" t="s">
        <v>447</v>
      </c>
      <c r="F162" s="28" t="s">
        <v>6143</v>
      </c>
      <c r="G162" s="28">
        <v>325180</v>
      </c>
      <c r="H162" s="28" t="s">
        <v>2410</v>
      </c>
      <c r="I162" s="28" t="s">
        <v>2411</v>
      </c>
      <c r="J162" s="28" t="s">
        <v>446</v>
      </c>
      <c r="K162" s="28" t="s">
        <v>303</v>
      </c>
    </row>
    <row r="163" spans="1:11" x14ac:dyDescent="0.25">
      <c r="A163" s="28">
        <v>2014</v>
      </c>
      <c r="B163" s="28" t="s">
        <v>6138</v>
      </c>
      <c r="C163" s="28" t="s">
        <v>6139</v>
      </c>
      <c r="D163" s="28" t="s">
        <v>6431</v>
      </c>
      <c r="E163" s="28" t="s">
        <v>6268</v>
      </c>
      <c r="F163" s="28" t="s">
        <v>6143</v>
      </c>
      <c r="G163" s="28">
        <v>325211</v>
      </c>
      <c r="H163" s="28" t="s">
        <v>86</v>
      </c>
      <c r="I163" s="28" t="s">
        <v>6269</v>
      </c>
      <c r="J163" s="28" t="s">
        <v>334</v>
      </c>
      <c r="K163" s="28" t="s">
        <v>303</v>
      </c>
    </row>
    <row r="164" spans="1:11" x14ac:dyDescent="0.25">
      <c r="A164" s="28">
        <v>2014</v>
      </c>
      <c r="B164" s="28" t="s">
        <v>6138</v>
      </c>
      <c r="C164" s="28" t="s">
        <v>6139</v>
      </c>
      <c r="D164" s="28" t="s">
        <v>6432</v>
      </c>
      <c r="E164" s="28" t="s">
        <v>593</v>
      </c>
      <c r="F164" s="28" t="s">
        <v>6143</v>
      </c>
      <c r="G164" s="28">
        <v>325199</v>
      </c>
      <c r="H164" s="28" t="s">
        <v>217</v>
      </c>
      <c r="I164" s="28" t="s">
        <v>592</v>
      </c>
      <c r="J164" s="28" t="s">
        <v>590</v>
      </c>
      <c r="K164" s="28" t="s">
        <v>362</v>
      </c>
    </row>
    <row r="165" spans="1:11" x14ac:dyDescent="0.25">
      <c r="A165" s="28">
        <v>2014</v>
      </c>
      <c r="B165" s="28" t="s">
        <v>6138</v>
      </c>
      <c r="C165" s="28" t="s">
        <v>6139</v>
      </c>
      <c r="D165" s="28" t="s">
        <v>6433</v>
      </c>
      <c r="E165" s="28" t="s">
        <v>6292</v>
      </c>
      <c r="F165" s="28" t="s">
        <v>6143</v>
      </c>
      <c r="G165" s="28">
        <v>325180</v>
      </c>
      <c r="H165" s="28" t="s">
        <v>6293</v>
      </c>
      <c r="I165" s="28" t="s">
        <v>6294</v>
      </c>
      <c r="J165" s="28" t="s">
        <v>412</v>
      </c>
      <c r="K165" s="28" t="s">
        <v>299</v>
      </c>
    </row>
    <row r="166" spans="1:11" x14ac:dyDescent="0.25">
      <c r="A166" s="28">
        <v>2014</v>
      </c>
      <c r="B166" s="28" t="s">
        <v>6138</v>
      </c>
      <c r="C166" s="28" t="s">
        <v>6139</v>
      </c>
      <c r="D166" s="28" t="s">
        <v>6434</v>
      </c>
      <c r="E166" s="28" t="s">
        <v>6296</v>
      </c>
      <c r="F166" s="28" t="s">
        <v>6143</v>
      </c>
      <c r="G166" s="28">
        <v>325199</v>
      </c>
      <c r="H166" s="28" t="s">
        <v>6297</v>
      </c>
      <c r="I166" s="28" t="s">
        <v>6298</v>
      </c>
      <c r="J166" s="28" t="s">
        <v>6299</v>
      </c>
      <c r="K166" s="28" t="s">
        <v>319</v>
      </c>
    </row>
    <row r="167" spans="1:11" x14ac:dyDescent="0.25">
      <c r="A167" s="28">
        <v>2014</v>
      </c>
      <c r="B167" s="28" t="s">
        <v>6138</v>
      </c>
      <c r="C167" s="28" t="s">
        <v>6139</v>
      </c>
      <c r="D167" s="28" t="s">
        <v>6435</v>
      </c>
      <c r="E167" s="28" t="s">
        <v>346</v>
      </c>
      <c r="F167" s="28" t="s">
        <v>6143</v>
      </c>
      <c r="G167" s="28">
        <v>325613</v>
      </c>
      <c r="H167" s="28" t="s">
        <v>205</v>
      </c>
      <c r="I167" s="28" t="s">
        <v>343</v>
      </c>
      <c r="J167" s="28" t="s">
        <v>344</v>
      </c>
      <c r="K167" s="28" t="s">
        <v>345</v>
      </c>
    </row>
    <row r="168" spans="1:11" x14ac:dyDescent="0.25">
      <c r="A168" s="28">
        <v>2014</v>
      </c>
      <c r="B168" s="28" t="s">
        <v>6138</v>
      </c>
      <c r="C168" s="28" t="s">
        <v>6139</v>
      </c>
      <c r="D168" s="28" t="s">
        <v>6436</v>
      </c>
      <c r="E168" s="28" t="s">
        <v>664</v>
      </c>
      <c r="F168" s="28" t="s">
        <v>6143</v>
      </c>
      <c r="G168" s="28">
        <v>325110</v>
      </c>
      <c r="H168" s="28" t="s">
        <v>221</v>
      </c>
      <c r="I168" s="28" t="s">
        <v>663</v>
      </c>
      <c r="J168" s="28" t="s">
        <v>446</v>
      </c>
      <c r="K168" s="28" t="s">
        <v>303</v>
      </c>
    </row>
    <row r="169" spans="1:11" x14ac:dyDescent="0.25">
      <c r="A169" s="28">
        <v>2015</v>
      </c>
      <c r="B169" s="28" t="s">
        <v>6138</v>
      </c>
      <c r="C169" s="28" t="s">
        <v>6139</v>
      </c>
      <c r="D169" s="28" t="s">
        <v>6437</v>
      </c>
      <c r="E169" s="28" t="s">
        <v>677</v>
      </c>
      <c r="F169" s="28" t="s">
        <v>6153</v>
      </c>
      <c r="G169" s="28">
        <v>424690</v>
      </c>
      <c r="H169" s="28" t="s">
        <v>675</v>
      </c>
      <c r="I169" s="28" t="s">
        <v>676</v>
      </c>
      <c r="J169" s="28" t="s">
        <v>516</v>
      </c>
      <c r="K169" s="28" t="s">
        <v>303</v>
      </c>
    </row>
    <row r="170" spans="1:11" x14ac:dyDescent="0.25">
      <c r="A170" s="28">
        <v>2015</v>
      </c>
      <c r="B170" s="28" t="s">
        <v>6138</v>
      </c>
      <c r="C170" s="28" t="s">
        <v>6139</v>
      </c>
      <c r="D170" s="28" t="s">
        <v>6438</v>
      </c>
      <c r="E170" s="28" t="s">
        <v>325</v>
      </c>
      <c r="F170" s="28" t="s">
        <v>6143</v>
      </c>
      <c r="G170" s="28">
        <v>325180</v>
      </c>
      <c r="H170" s="28" t="s">
        <v>105</v>
      </c>
      <c r="I170" s="28" t="s">
        <v>322</v>
      </c>
      <c r="J170" s="28" t="s">
        <v>323</v>
      </c>
      <c r="K170" s="28" t="s">
        <v>324</v>
      </c>
    </row>
    <row r="171" spans="1:11" x14ac:dyDescent="0.25">
      <c r="A171" s="28">
        <v>2015</v>
      </c>
      <c r="B171" s="28" t="s">
        <v>6138</v>
      </c>
      <c r="C171" s="28" t="s">
        <v>6139</v>
      </c>
      <c r="D171" s="28" t="s">
        <v>6439</v>
      </c>
      <c r="E171" s="28" t="s">
        <v>524</v>
      </c>
      <c r="F171" s="28" t="s">
        <v>6143</v>
      </c>
      <c r="G171" s="28">
        <v>325199</v>
      </c>
      <c r="H171" s="28" t="s">
        <v>212</v>
      </c>
      <c r="I171" s="28" t="s">
        <v>523</v>
      </c>
      <c r="J171" s="28" t="s">
        <v>437</v>
      </c>
      <c r="K171" s="28" t="s">
        <v>362</v>
      </c>
    </row>
    <row r="172" spans="1:11" x14ac:dyDescent="0.25">
      <c r="A172" s="28">
        <v>2015</v>
      </c>
      <c r="B172" s="28" t="s">
        <v>6138</v>
      </c>
      <c r="C172" s="28" t="s">
        <v>6139</v>
      </c>
      <c r="D172" s="28" t="s">
        <v>6440</v>
      </c>
      <c r="E172" s="28" t="s">
        <v>6155</v>
      </c>
      <c r="F172" s="28" t="s">
        <v>6143</v>
      </c>
      <c r="G172" s="28">
        <v>325180</v>
      </c>
      <c r="H172" s="28" t="s">
        <v>6156</v>
      </c>
      <c r="I172" s="28" t="s">
        <v>6157</v>
      </c>
      <c r="J172" s="28" t="s">
        <v>6158</v>
      </c>
      <c r="K172" s="28" t="s">
        <v>299</v>
      </c>
    </row>
    <row r="173" spans="1:11" x14ac:dyDescent="0.25">
      <c r="A173" s="28">
        <v>2015</v>
      </c>
      <c r="B173" s="28" t="s">
        <v>6138</v>
      </c>
      <c r="C173" s="28" t="s">
        <v>6139</v>
      </c>
      <c r="D173" s="28" t="s">
        <v>6441</v>
      </c>
      <c r="E173" s="28" t="s">
        <v>6278</v>
      </c>
      <c r="F173" s="28" t="s">
        <v>6143</v>
      </c>
      <c r="G173" s="28">
        <v>325199</v>
      </c>
      <c r="H173" s="28" t="s">
        <v>6279</v>
      </c>
      <c r="I173" s="28" t="s">
        <v>6280</v>
      </c>
      <c r="J173" s="28" t="s">
        <v>412</v>
      </c>
      <c r="K173" s="28" t="s">
        <v>299</v>
      </c>
    </row>
    <row r="174" spans="1:11" x14ac:dyDescent="0.25">
      <c r="A174" s="28">
        <v>2015</v>
      </c>
      <c r="B174" s="28" t="s">
        <v>6138</v>
      </c>
      <c r="C174" s="28" t="s">
        <v>6139</v>
      </c>
      <c r="D174" s="28" t="s">
        <v>6442</v>
      </c>
      <c r="E174" s="28" t="s">
        <v>666</v>
      </c>
      <c r="F174" s="28" t="s">
        <v>6143</v>
      </c>
      <c r="G174" s="28">
        <v>325211</v>
      </c>
      <c r="H174" s="28" t="s">
        <v>201</v>
      </c>
      <c r="I174" s="28" t="s">
        <v>665</v>
      </c>
      <c r="J174" s="28" t="s">
        <v>516</v>
      </c>
      <c r="K174" s="28" t="s">
        <v>303</v>
      </c>
    </row>
    <row r="175" spans="1:11" x14ac:dyDescent="0.25">
      <c r="A175" s="28">
        <v>2015</v>
      </c>
      <c r="B175" s="28" t="s">
        <v>6138</v>
      </c>
      <c r="C175" s="28" t="s">
        <v>6139</v>
      </c>
      <c r="D175" s="28" t="s">
        <v>6443</v>
      </c>
      <c r="E175" s="28" t="s">
        <v>6240</v>
      </c>
      <c r="F175" s="28" t="s">
        <v>6143</v>
      </c>
      <c r="G175" s="28">
        <v>325199</v>
      </c>
      <c r="H175" s="28" t="s">
        <v>6241</v>
      </c>
      <c r="I175" s="28" t="s">
        <v>6242</v>
      </c>
      <c r="J175" s="28" t="s">
        <v>6243</v>
      </c>
      <c r="K175" s="28" t="s">
        <v>303</v>
      </c>
    </row>
    <row r="176" spans="1:11" x14ac:dyDescent="0.25">
      <c r="A176" s="28">
        <v>2015</v>
      </c>
      <c r="B176" s="28" t="s">
        <v>6138</v>
      </c>
      <c r="C176" s="28" t="s">
        <v>6139</v>
      </c>
      <c r="D176" s="28" t="s">
        <v>6444</v>
      </c>
      <c r="E176" s="28" t="s">
        <v>6196</v>
      </c>
      <c r="F176" s="28" t="s">
        <v>6163</v>
      </c>
      <c r="G176" s="28">
        <v>562211</v>
      </c>
      <c r="H176" s="28" t="s">
        <v>6197</v>
      </c>
      <c r="I176" s="28" t="s">
        <v>6198</v>
      </c>
      <c r="J176" s="28" t="s">
        <v>6199</v>
      </c>
      <c r="K176" s="28" t="s">
        <v>1352</v>
      </c>
    </row>
    <row r="177" spans="1:11" x14ac:dyDescent="0.25">
      <c r="A177" s="28">
        <v>2015</v>
      </c>
      <c r="B177" s="28" t="s">
        <v>6138</v>
      </c>
      <c r="C177" s="28" t="s">
        <v>6139</v>
      </c>
      <c r="D177" s="28" t="s">
        <v>6445</v>
      </c>
      <c r="E177" s="28" t="s">
        <v>6446</v>
      </c>
      <c r="F177" s="28" t="s">
        <v>6163</v>
      </c>
      <c r="G177" s="28">
        <v>562211</v>
      </c>
      <c r="H177" s="28" t="s">
        <v>6447</v>
      </c>
      <c r="I177" s="28" t="s">
        <v>6448</v>
      </c>
      <c r="J177" s="28" t="s">
        <v>293</v>
      </c>
      <c r="K177" s="28" t="s">
        <v>1008</v>
      </c>
    </row>
    <row r="178" spans="1:11" x14ac:dyDescent="0.25">
      <c r="A178" s="28">
        <v>2015</v>
      </c>
      <c r="B178" s="28" t="s">
        <v>6138</v>
      </c>
      <c r="C178" s="28" t="s">
        <v>6139</v>
      </c>
      <c r="D178" s="28" t="s">
        <v>6449</v>
      </c>
      <c r="E178" s="28" t="s">
        <v>682</v>
      </c>
      <c r="F178" s="28" t="s">
        <v>6143</v>
      </c>
      <c r="G178" s="28">
        <v>325199</v>
      </c>
      <c r="H178" s="28" t="s">
        <v>679</v>
      </c>
      <c r="I178" s="28" t="s">
        <v>680</v>
      </c>
      <c r="J178" s="28" t="s">
        <v>681</v>
      </c>
      <c r="K178" s="28" t="s">
        <v>328</v>
      </c>
    </row>
    <row r="179" spans="1:11" x14ac:dyDescent="0.25">
      <c r="A179" s="28">
        <v>2015</v>
      </c>
      <c r="B179" s="28" t="s">
        <v>6138</v>
      </c>
      <c r="C179" s="28" t="s">
        <v>6139</v>
      </c>
      <c r="D179" s="28" t="s">
        <v>6450</v>
      </c>
      <c r="E179" s="28" t="s">
        <v>6146</v>
      </c>
      <c r="F179" s="28" t="s">
        <v>6143</v>
      </c>
      <c r="G179" s="28">
        <v>325998</v>
      </c>
      <c r="H179" s="28" t="s">
        <v>6147</v>
      </c>
      <c r="I179" s="28" t="s">
        <v>6148</v>
      </c>
      <c r="J179" s="28" t="s">
        <v>6149</v>
      </c>
      <c r="K179" s="28" t="s">
        <v>6150</v>
      </c>
    </row>
    <row r="180" spans="1:11" x14ac:dyDescent="0.25">
      <c r="A180" s="28">
        <v>2015</v>
      </c>
      <c r="B180" s="28" t="s">
        <v>6138</v>
      </c>
      <c r="C180" s="28" t="s">
        <v>6139</v>
      </c>
      <c r="D180" s="28" t="s">
        <v>6451</v>
      </c>
      <c r="E180" s="28" t="s">
        <v>447</v>
      </c>
      <c r="F180" s="28" t="s">
        <v>6143</v>
      </c>
      <c r="G180" s="28">
        <v>325180</v>
      </c>
      <c r="H180" s="28" t="s">
        <v>2410</v>
      </c>
      <c r="I180" s="28" t="s">
        <v>2411</v>
      </c>
      <c r="J180" s="28" t="s">
        <v>446</v>
      </c>
      <c r="K180" s="28" t="s">
        <v>303</v>
      </c>
    </row>
    <row r="181" spans="1:11" x14ac:dyDescent="0.25">
      <c r="A181" s="28">
        <v>2015</v>
      </c>
      <c r="B181" s="28" t="s">
        <v>6138</v>
      </c>
      <c r="C181" s="28" t="s">
        <v>6139</v>
      </c>
      <c r="D181" s="28" t="s">
        <v>6452</v>
      </c>
      <c r="E181" s="28" t="s">
        <v>718</v>
      </c>
      <c r="F181" s="28" t="s">
        <v>6143</v>
      </c>
      <c r="G181" s="28">
        <v>325199</v>
      </c>
      <c r="H181" s="28" t="s">
        <v>6305</v>
      </c>
      <c r="I181" s="28" t="s">
        <v>6306</v>
      </c>
      <c r="J181" s="28" t="s">
        <v>1135</v>
      </c>
      <c r="K181" s="28" t="s">
        <v>299</v>
      </c>
    </row>
    <row r="182" spans="1:11" x14ac:dyDescent="0.25">
      <c r="A182" s="28">
        <v>2015</v>
      </c>
      <c r="B182" s="28" t="s">
        <v>6138</v>
      </c>
      <c r="C182" s="28" t="s">
        <v>6139</v>
      </c>
      <c r="D182" s="28" t="s">
        <v>6453</v>
      </c>
      <c r="E182" s="28" t="s">
        <v>639</v>
      </c>
      <c r="F182" s="28" t="s">
        <v>6141</v>
      </c>
      <c r="G182" s="28">
        <v>336611</v>
      </c>
      <c r="H182" s="28" t="s">
        <v>637</v>
      </c>
      <c r="I182" s="28" t="s">
        <v>638</v>
      </c>
      <c r="J182" s="28" t="s">
        <v>437</v>
      </c>
      <c r="K182" s="28" t="s">
        <v>362</v>
      </c>
    </row>
    <row r="183" spans="1:11" x14ac:dyDescent="0.25">
      <c r="A183" s="28">
        <v>2015</v>
      </c>
      <c r="B183" s="28" t="s">
        <v>6138</v>
      </c>
      <c r="C183" s="28" t="s">
        <v>6139</v>
      </c>
      <c r="D183" s="28" t="s">
        <v>6454</v>
      </c>
      <c r="E183" s="28" t="s">
        <v>6173</v>
      </c>
      <c r="F183" s="28" t="s">
        <v>6174</v>
      </c>
      <c r="G183" s="28">
        <v>212393</v>
      </c>
      <c r="H183" s="28" t="s">
        <v>6175</v>
      </c>
      <c r="I183" s="28" t="s">
        <v>6176</v>
      </c>
      <c r="J183" s="28" t="s">
        <v>6177</v>
      </c>
      <c r="K183" s="28" t="s">
        <v>303</v>
      </c>
    </row>
    <row r="184" spans="1:11" x14ac:dyDescent="0.25">
      <c r="A184" s="28">
        <v>2015</v>
      </c>
      <c r="B184" s="28" t="s">
        <v>6138</v>
      </c>
      <c r="C184" s="28" t="s">
        <v>6139</v>
      </c>
      <c r="D184" s="28" t="s">
        <v>6455</v>
      </c>
      <c r="E184" s="28" t="s">
        <v>514</v>
      </c>
      <c r="F184" s="28" t="s">
        <v>6143</v>
      </c>
      <c r="G184" s="28">
        <v>325199</v>
      </c>
      <c r="H184" s="28" t="s">
        <v>2417</v>
      </c>
      <c r="I184" s="28" t="s">
        <v>2418</v>
      </c>
      <c r="J184" s="28" t="s">
        <v>302</v>
      </c>
      <c r="K184" s="28" t="s">
        <v>303</v>
      </c>
    </row>
    <row r="185" spans="1:11" x14ac:dyDescent="0.25">
      <c r="A185" s="28">
        <v>2015</v>
      </c>
      <c r="B185" s="28" t="s">
        <v>6138</v>
      </c>
      <c r="C185" s="28" t="s">
        <v>6139</v>
      </c>
      <c r="D185" s="28" t="s">
        <v>6456</v>
      </c>
      <c r="E185" s="28" t="s">
        <v>576</v>
      </c>
      <c r="F185" s="28" t="s">
        <v>6143</v>
      </c>
      <c r="G185" s="28">
        <v>325199</v>
      </c>
      <c r="H185" s="28" t="s">
        <v>215</v>
      </c>
      <c r="I185" s="28" t="s">
        <v>574</v>
      </c>
      <c r="J185" s="28" t="s">
        <v>575</v>
      </c>
      <c r="K185" s="28" t="s">
        <v>435</v>
      </c>
    </row>
    <row r="186" spans="1:11" x14ac:dyDescent="0.25">
      <c r="A186" s="28">
        <v>2015</v>
      </c>
      <c r="B186" s="28" t="s">
        <v>6138</v>
      </c>
      <c r="C186" s="28" t="s">
        <v>6139</v>
      </c>
      <c r="D186" s="28" t="s">
        <v>6457</v>
      </c>
      <c r="E186" s="28" t="s">
        <v>6322</v>
      </c>
      <c r="F186" s="28" t="s">
        <v>6143</v>
      </c>
      <c r="G186" s="28">
        <v>325998</v>
      </c>
      <c r="H186" s="28" t="s">
        <v>6323</v>
      </c>
      <c r="I186" s="28" t="s">
        <v>6324</v>
      </c>
      <c r="J186" s="28" t="s">
        <v>6325</v>
      </c>
      <c r="K186" s="28" t="s">
        <v>324</v>
      </c>
    </row>
    <row r="187" spans="1:11" x14ac:dyDescent="0.25">
      <c r="A187" s="28">
        <v>2015</v>
      </c>
      <c r="B187" s="28" t="s">
        <v>6138</v>
      </c>
      <c r="C187" s="28" t="s">
        <v>6139</v>
      </c>
      <c r="D187" s="28" t="s">
        <v>6458</v>
      </c>
      <c r="E187" s="28" t="s">
        <v>6459</v>
      </c>
      <c r="F187" s="28" t="s">
        <v>6143</v>
      </c>
      <c r="G187" s="28">
        <v>325199</v>
      </c>
      <c r="H187" s="28" t="s">
        <v>40</v>
      </c>
      <c r="I187" s="28" t="s">
        <v>6460</v>
      </c>
      <c r="J187" s="28" t="s">
        <v>334</v>
      </c>
      <c r="K187" s="28" t="s">
        <v>303</v>
      </c>
    </row>
    <row r="188" spans="1:11" x14ac:dyDescent="0.25">
      <c r="A188" s="28">
        <v>2015</v>
      </c>
      <c r="B188" s="28" t="s">
        <v>6138</v>
      </c>
      <c r="C188" s="28" t="s">
        <v>6139</v>
      </c>
      <c r="D188" s="28" t="s">
        <v>6461</v>
      </c>
      <c r="E188" s="28" t="s">
        <v>542</v>
      </c>
      <c r="F188" s="28" t="s">
        <v>6143</v>
      </c>
      <c r="G188" s="28">
        <v>325199</v>
      </c>
      <c r="H188" s="28" t="s">
        <v>213</v>
      </c>
      <c r="I188" s="28" t="s">
        <v>540</v>
      </c>
      <c r="J188" s="28" t="s">
        <v>460</v>
      </c>
      <c r="K188" s="28" t="s">
        <v>541</v>
      </c>
    </row>
    <row r="189" spans="1:11" x14ac:dyDescent="0.25">
      <c r="A189" s="28">
        <v>2015</v>
      </c>
      <c r="B189" s="28" t="s">
        <v>6138</v>
      </c>
      <c r="C189" s="28" t="s">
        <v>6139</v>
      </c>
      <c r="D189" s="28" t="s">
        <v>6462</v>
      </c>
      <c r="E189" s="28" t="s">
        <v>350</v>
      </c>
      <c r="F189" s="28" t="s">
        <v>6143</v>
      </c>
      <c r="G189" s="28">
        <v>325320</v>
      </c>
      <c r="H189" s="28" t="s">
        <v>206</v>
      </c>
      <c r="I189" s="28" t="s">
        <v>347</v>
      </c>
      <c r="J189" s="28" t="s">
        <v>348</v>
      </c>
      <c r="K189" s="28" t="s">
        <v>349</v>
      </c>
    </row>
    <row r="190" spans="1:11" x14ac:dyDescent="0.25">
      <c r="A190" s="28">
        <v>2015</v>
      </c>
      <c r="B190" s="28" t="s">
        <v>6138</v>
      </c>
      <c r="C190" s="28" t="s">
        <v>6139</v>
      </c>
      <c r="D190" s="28" t="s">
        <v>6463</v>
      </c>
      <c r="E190" s="28" t="s">
        <v>583</v>
      </c>
      <c r="F190" s="28" t="s">
        <v>6143</v>
      </c>
      <c r="G190" s="28">
        <v>325199</v>
      </c>
      <c r="H190" s="28" t="s">
        <v>2419</v>
      </c>
      <c r="I190" s="28" t="s">
        <v>2420</v>
      </c>
      <c r="J190" s="28" t="s">
        <v>2421</v>
      </c>
      <c r="K190" s="28" t="s">
        <v>362</v>
      </c>
    </row>
    <row r="191" spans="1:11" x14ac:dyDescent="0.25">
      <c r="A191" s="28">
        <v>2015</v>
      </c>
      <c r="B191" s="28" t="s">
        <v>6138</v>
      </c>
      <c r="C191" s="28" t="s">
        <v>6139</v>
      </c>
      <c r="D191" s="28" t="s">
        <v>6464</v>
      </c>
      <c r="E191" s="28" t="s">
        <v>593</v>
      </c>
      <c r="F191" s="28" t="s">
        <v>6143</v>
      </c>
      <c r="G191" s="28">
        <v>325199</v>
      </c>
      <c r="H191" s="28" t="s">
        <v>217</v>
      </c>
      <c r="I191" s="28" t="s">
        <v>592</v>
      </c>
      <c r="J191" s="28" t="s">
        <v>590</v>
      </c>
      <c r="K191" s="28" t="s">
        <v>362</v>
      </c>
    </row>
    <row r="192" spans="1:11" x14ac:dyDescent="0.25">
      <c r="A192" s="28">
        <v>2015</v>
      </c>
      <c r="B192" s="28" t="s">
        <v>6138</v>
      </c>
      <c r="C192" s="28" t="s">
        <v>6139</v>
      </c>
      <c r="D192" s="28" t="s">
        <v>6465</v>
      </c>
      <c r="E192" s="28" t="s">
        <v>595</v>
      </c>
      <c r="F192" s="28" t="s">
        <v>6143</v>
      </c>
      <c r="G192" s="28">
        <v>325199</v>
      </c>
      <c r="H192" s="28" t="s">
        <v>218</v>
      </c>
      <c r="I192" s="28" t="s">
        <v>594</v>
      </c>
      <c r="J192" s="28" t="s">
        <v>361</v>
      </c>
      <c r="K192" s="28" t="s">
        <v>362</v>
      </c>
    </row>
    <row r="193" spans="1:11" x14ac:dyDescent="0.25">
      <c r="A193" s="28">
        <v>2015</v>
      </c>
      <c r="B193" s="28" t="s">
        <v>6138</v>
      </c>
      <c r="C193" s="28" t="s">
        <v>6139</v>
      </c>
      <c r="D193" s="28" t="s">
        <v>6466</v>
      </c>
      <c r="E193" s="28" t="s">
        <v>6416</v>
      </c>
      <c r="F193" s="28" t="s">
        <v>6191</v>
      </c>
      <c r="G193" s="28">
        <v>327310</v>
      </c>
      <c r="H193" s="28" t="s">
        <v>6417</v>
      </c>
      <c r="I193" s="28" t="s">
        <v>6418</v>
      </c>
      <c r="J193" s="28" t="s">
        <v>6419</v>
      </c>
      <c r="K193" s="28" t="s">
        <v>299</v>
      </c>
    </row>
    <row r="194" spans="1:11" x14ac:dyDescent="0.25">
      <c r="A194" s="28">
        <v>2015</v>
      </c>
      <c r="B194" s="28" t="s">
        <v>6138</v>
      </c>
      <c r="C194" s="28" t="s">
        <v>6139</v>
      </c>
      <c r="D194" s="28" t="s">
        <v>6467</v>
      </c>
      <c r="E194" s="28" t="s">
        <v>6162</v>
      </c>
      <c r="F194" s="28" t="s">
        <v>6163</v>
      </c>
      <c r="G194" s="28">
        <v>562211</v>
      </c>
      <c r="H194" s="28" t="s">
        <v>6164</v>
      </c>
      <c r="I194" s="28" t="s">
        <v>6165</v>
      </c>
      <c r="J194" s="28" t="s">
        <v>6166</v>
      </c>
      <c r="K194" s="28" t="s">
        <v>1415</v>
      </c>
    </row>
    <row r="195" spans="1:11" x14ac:dyDescent="0.25">
      <c r="A195" s="28">
        <v>2015</v>
      </c>
      <c r="B195" s="28" t="s">
        <v>6138</v>
      </c>
      <c r="C195" s="28" t="s">
        <v>6139</v>
      </c>
      <c r="D195" s="28" t="s">
        <v>6468</v>
      </c>
      <c r="E195" s="28" t="s">
        <v>6268</v>
      </c>
      <c r="F195" s="28" t="s">
        <v>6143</v>
      </c>
      <c r="G195" s="28">
        <v>325211</v>
      </c>
      <c r="H195" s="28" t="s">
        <v>86</v>
      </c>
      <c r="I195" s="28" t="s">
        <v>6269</v>
      </c>
      <c r="J195" s="28" t="s">
        <v>334</v>
      </c>
      <c r="K195" s="28" t="s">
        <v>303</v>
      </c>
    </row>
    <row r="196" spans="1:11" x14ac:dyDescent="0.25">
      <c r="A196" s="28">
        <v>2015</v>
      </c>
      <c r="B196" s="28" t="s">
        <v>6138</v>
      </c>
      <c r="C196" s="28" t="s">
        <v>6139</v>
      </c>
      <c r="D196" s="28" t="s">
        <v>6469</v>
      </c>
      <c r="E196" s="28" t="s">
        <v>6375</v>
      </c>
      <c r="F196" s="28" t="s">
        <v>6143</v>
      </c>
      <c r="G196" s="28">
        <v>325998</v>
      </c>
      <c r="H196" s="28" t="s">
        <v>6376</v>
      </c>
      <c r="I196" s="28" t="s">
        <v>6377</v>
      </c>
      <c r="J196" s="28" t="s">
        <v>6378</v>
      </c>
      <c r="K196" s="28" t="s">
        <v>6379</v>
      </c>
    </row>
    <row r="197" spans="1:11" x14ac:dyDescent="0.25">
      <c r="A197" s="28">
        <v>2015</v>
      </c>
      <c r="B197" s="28" t="s">
        <v>6138</v>
      </c>
      <c r="C197" s="28" t="s">
        <v>6139</v>
      </c>
      <c r="D197" s="28" t="s">
        <v>6470</v>
      </c>
      <c r="E197" s="28" t="s">
        <v>6263</v>
      </c>
      <c r="F197" s="28" t="s">
        <v>6163</v>
      </c>
      <c r="G197" s="28">
        <v>562211</v>
      </c>
      <c r="H197" s="28" t="s">
        <v>6264</v>
      </c>
      <c r="I197" s="28" t="s">
        <v>6265</v>
      </c>
      <c r="J197" s="28" t="s">
        <v>6266</v>
      </c>
      <c r="K197" s="28" t="s">
        <v>362</v>
      </c>
    </row>
    <row r="198" spans="1:11" x14ac:dyDescent="0.25">
      <c r="A198" s="28">
        <v>2015</v>
      </c>
      <c r="B198" s="28" t="s">
        <v>6138</v>
      </c>
      <c r="C198" s="28" t="s">
        <v>6139</v>
      </c>
      <c r="D198" s="28" t="s">
        <v>6471</v>
      </c>
      <c r="E198" s="28" t="s">
        <v>585</v>
      </c>
      <c r="F198" s="28" t="s">
        <v>6143</v>
      </c>
      <c r="G198" s="28">
        <v>325199</v>
      </c>
      <c r="H198" s="28" t="s">
        <v>2422</v>
      </c>
      <c r="I198" s="28" t="s">
        <v>2423</v>
      </c>
      <c r="J198" s="28" t="s">
        <v>516</v>
      </c>
      <c r="K198" s="28" t="s">
        <v>303</v>
      </c>
    </row>
    <row r="199" spans="1:11" x14ac:dyDescent="0.25">
      <c r="A199" s="28">
        <v>2015</v>
      </c>
      <c r="B199" s="28" t="s">
        <v>6138</v>
      </c>
      <c r="C199" s="28" t="s">
        <v>6139</v>
      </c>
      <c r="D199" s="28" t="s">
        <v>6472</v>
      </c>
      <c r="E199" s="28" t="s">
        <v>642</v>
      </c>
      <c r="F199" s="28" t="s">
        <v>6143</v>
      </c>
      <c r="G199" s="28">
        <v>325199</v>
      </c>
      <c r="H199" s="28" t="s">
        <v>219</v>
      </c>
      <c r="I199" s="28" t="s">
        <v>641</v>
      </c>
      <c r="J199" s="28" t="s">
        <v>426</v>
      </c>
      <c r="K199" s="28" t="s">
        <v>427</v>
      </c>
    </row>
    <row r="200" spans="1:11" x14ac:dyDescent="0.25">
      <c r="A200" s="28">
        <v>2015</v>
      </c>
      <c r="B200" s="28" t="s">
        <v>6138</v>
      </c>
      <c r="C200" s="28" t="s">
        <v>6139</v>
      </c>
      <c r="D200" s="28" t="s">
        <v>6473</v>
      </c>
      <c r="E200" s="28" t="s">
        <v>6421</v>
      </c>
      <c r="F200" s="28" t="s">
        <v>6191</v>
      </c>
      <c r="G200" s="28">
        <v>327310</v>
      </c>
      <c r="H200" s="28" t="s">
        <v>6422</v>
      </c>
      <c r="I200" s="28" t="s">
        <v>6423</v>
      </c>
      <c r="J200" s="28" t="s">
        <v>6424</v>
      </c>
      <c r="K200" s="28" t="s">
        <v>385</v>
      </c>
    </row>
    <row r="201" spans="1:11" x14ac:dyDescent="0.25">
      <c r="A201" s="28">
        <v>2015</v>
      </c>
      <c r="B201" s="28" t="s">
        <v>6138</v>
      </c>
      <c r="C201" s="28" t="s">
        <v>6139</v>
      </c>
      <c r="D201" s="28" t="s">
        <v>6474</v>
      </c>
      <c r="E201" s="28" t="s">
        <v>6190</v>
      </c>
      <c r="F201" s="28" t="s">
        <v>6191</v>
      </c>
      <c r="G201" s="28">
        <v>327310</v>
      </c>
      <c r="H201" s="28" t="s">
        <v>6192</v>
      </c>
      <c r="I201" s="28" t="s">
        <v>6193</v>
      </c>
      <c r="J201" s="28" t="s">
        <v>6194</v>
      </c>
      <c r="K201" s="28" t="s">
        <v>541</v>
      </c>
    </row>
    <row r="202" spans="1:11" x14ac:dyDescent="0.25">
      <c r="A202" s="28">
        <v>2015</v>
      </c>
      <c r="B202" s="28" t="s">
        <v>6138</v>
      </c>
      <c r="C202" s="28" t="s">
        <v>6139</v>
      </c>
      <c r="D202" s="28" t="s">
        <v>6475</v>
      </c>
      <c r="E202" s="28" t="s">
        <v>335</v>
      </c>
      <c r="F202" s="28" t="s">
        <v>6143</v>
      </c>
      <c r="G202" s="28">
        <v>325211</v>
      </c>
      <c r="H202" s="28" t="s">
        <v>204</v>
      </c>
      <c r="I202" s="28" t="s">
        <v>333</v>
      </c>
      <c r="J202" s="28" t="s">
        <v>334</v>
      </c>
      <c r="K202" s="28" t="s">
        <v>303</v>
      </c>
    </row>
    <row r="203" spans="1:11" x14ac:dyDescent="0.25">
      <c r="A203" s="28">
        <v>2015</v>
      </c>
      <c r="B203" s="28" t="s">
        <v>6138</v>
      </c>
      <c r="C203" s="28" t="s">
        <v>6139</v>
      </c>
      <c r="D203" s="28" t="s">
        <v>6476</v>
      </c>
      <c r="E203" s="28" t="s">
        <v>6168</v>
      </c>
      <c r="F203" s="28" t="s">
        <v>6143</v>
      </c>
      <c r="G203" s="28">
        <v>325199</v>
      </c>
      <c r="H203" s="28" t="s">
        <v>6169</v>
      </c>
      <c r="I203" s="28" t="s">
        <v>6170</v>
      </c>
      <c r="J203" s="28" t="s">
        <v>463</v>
      </c>
      <c r="K203" s="28" t="s">
        <v>362</v>
      </c>
    </row>
    <row r="204" spans="1:11" x14ac:dyDescent="0.25">
      <c r="A204" s="28">
        <v>2015</v>
      </c>
      <c r="B204" s="28" t="s">
        <v>6138</v>
      </c>
      <c r="C204" s="28" t="s">
        <v>6139</v>
      </c>
      <c r="D204" s="28" t="s">
        <v>6477</v>
      </c>
      <c r="E204" s="28" t="s">
        <v>512</v>
      </c>
      <c r="F204" s="28" t="s">
        <v>6163</v>
      </c>
      <c r="G204" s="28">
        <v>562213</v>
      </c>
      <c r="H204" s="28" t="s">
        <v>211</v>
      </c>
      <c r="I204" s="28" t="s">
        <v>510</v>
      </c>
      <c r="J204" s="28" t="s">
        <v>511</v>
      </c>
      <c r="K204" s="28" t="s">
        <v>319</v>
      </c>
    </row>
    <row r="205" spans="1:11" x14ac:dyDescent="0.25">
      <c r="A205" s="28">
        <v>2015</v>
      </c>
      <c r="B205" s="28" t="s">
        <v>6138</v>
      </c>
      <c r="C205" s="28" t="s">
        <v>6139</v>
      </c>
      <c r="D205" s="28" t="s">
        <v>6478</v>
      </c>
      <c r="E205" s="28" t="s">
        <v>6235</v>
      </c>
      <c r="F205" s="28" t="s">
        <v>6143</v>
      </c>
      <c r="G205" s="28">
        <v>325998</v>
      </c>
      <c r="H205" s="28" t="s">
        <v>6236</v>
      </c>
      <c r="I205" s="28" t="s">
        <v>6237</v>
      </c>
      <c r="J205" s="28" t="s">
        <v>6238</v>
      </c>
      <c r="K205" s="28" t="s">
        <v>686</v>
      </c>
    </row>
    <row r="206" spans="1:11" x14ac:dyDescent="0.25">
      <c r="A206" s="28">
        <v>2015</v>
      </c>
      <c r="B206" s="28" t="s">
        <v>6138</v>
      </c>
      <c r="C206" s="28" t="s">
        <v>6139</v>
      </c>
      <c r="D206" s="28" t="s">
        <v>6479</v>
      </c>
      <c r="E206" s="28" t="s">
        <v>483</v>
      </c>
      <c r="F206" s="28" t="s">
        <v>6143</v>
      </c>
      <c r="G206" s="28">
        <v>325211</v>
      </c>
      <c r="H206" s="28" t="s">
        <v>2412</v>
      </c>
      <c r="I206" s="28" t="s">
        <v>2413</v>
      </c>
      <c r="J206" s="28" t="s">
        <v>302</v>
      </c>
      <c r="K206" s="28" t="s">
        <v>303</v>
      </c>
    </row>
    <row r="207" spans="1:11" x14ac:dyDescent="0.25">
      <c r="A207" s="28">
        <v>2015</v>
      </c>
      <c r="B207" s="28" t="s">
        <v>6138</v>
      </c>
      <c r="C207" s="28" t="s">
        <v>6139</v>
      </c>
      <c r="D207" s="28" t="s">
        <v>6480</v>
      </c>
      <c r="E207" s="28" t="s">
        <v>484</v>
      </c>
      <c r="F207" s="28" t="s">
        <v>6143</v>
      </c>
      <c r="G207" s="28">
        <v>325199</v>
      </c>
      <c r="H207" s="28" t="s">
        <v>2424</v>
      </c>
      <c r="I207" s="28" t="s">
        <v>6481</v>
      </c>
      <c r="J207" s="28" t="s">
        <v>437</v>
      </c>
      <c r="K207" s="28" t="s">
        <v>362</v>
      </c>
    </row>
    <row r="208" spans="1:11" x14ac:dyDescent="0.25">
      <c r="A208" s="28">
        <v>2015</v>
      </c>
      <c r="B208" s="28" t="s">
        <v>6138</v>
      </c>
      <c r="C208" s="28" t="s">
        <v>6139</v>
      </c>
      <c r="D208" s="28" t="s">
        <v>6482</v>
      </c>
      <c r="E208" s="28" t="s">
        <v>687</v>
      </c>
      <c r="F208" s="28" t="s">
        <v>6143</v>
      </c>
      <c r="G208" s="28">
        <v>325199</v>
      </c>
      <c r="H208" s="28" t="s">
        <v>683</v>
      </c>
      <c r="I208" s="28" t="s">
        <v>684</v>
      </c>
      <c r="J208" s="28" t="s">
        <v>685</v>
      </c>
      <c r="K208" s="28" t="s">
        <v>686</v>
      </c>
    </row>
    <row r="209" spans="1:11" x14ac:dyDescent="0.25">
      <c r="A209" s="28">
        <v>2015</v>
      </c>
      <c r="B209" s="28" t="s">
        <v>6138</v>
      </c>
      <c r="C209" s="28" t="s">
        <v>6139</v>
      </c>
      <c r="D209" s="28" t="s">
        <v>6483</v>
      </c>
      <c r="E209" s="28" t="s">
        <v>6395</v>
      </c>
      <c r="F209" s="28" t="s">
        <v>6163</v>
      </c>
      <c r="G209" s="28">
        <v>562211</v>
      </c>
      <c r="H209" s="28" t="s">
        <v>6396</v>
      </c>
      <c r="I209" s="28" t="s">
        <v>6397</v>
      </c>
      <c r="J209" s="28" t="s">
        <v>6398</v>
      </c>
      <c r="K209" s="28" t="s">
        <v>319</v>
      </c>
    </row>
    <row r="210" spans="1:11" x14ac:dyDescent="0.25">
      <c r="A210" s="28">
        <v>2015</v>
      </c>
      <c r="B210" s="28" t="s">
        <v>6138</v>
      </c>
      <c r="C210" s="28" t="s">
        <v>6139</v>
      </c>
      <c r="D210" s="28" t="s">
        <v>6484</v>
      </c>
      <c r="E210" s="28" t="s">
        <v>588</v>
      </c>
      <c r="F210" s="28" t="s">
        <v>6143</v>
      </c>
      <c r="G210" s="28">
        <v>325180</v>
      </c>
      <c r="H210" s="28" t="s">
        <v>216</v>
      </c>
      <c r="I210" s="28" t="s">
        <v>586</v>
      </c>
      <c r="J210" s="28" t="s">
        <v>587</v>
      </c>
      <c r="K210" s="28" t="s">
        <v>303</v>
      </c>
    </row>
    <row r="211" spans="1:11" x14ac:dyDescent="0.25">
      <c r="A211" s="28">
        <v>2015</v>
      </c>
      <c r="B211" s="28" t="s">
        <v>6138</v>
      </c>
      <c r="C211" s="28" t="s">
        <v>6139</v>
      </c>
      <c r="D211" s="28" t="s">
        <v>6485</v>
      </c>
      <c r="E211" s="28" t="s">
        <v>438</v>
      </c>
      <c r="F211" s="28" t="s">
        <v>6174</v>
      </c>
      <c r="G211" s="28">
        <v>486990</v>
      </c>
      <c r="H211" s="28" t="s">
        <v>209</v>
      </c>
      <c r="I211" s="28" t="s">
        <v>436</v>
      </c>
      <c r="J211" s="28" t="s">
        <v>437</v>
      </c>
      <c r="K211" s="28" t="s">
        <v>362</v>
      </c>
    </row>
    <row r="212" spans="1:11" x14ac:dyDescent="0.25">
      <c r="A212" s="28">
        <v>2015</v>
      </c>
      <c r="B212" s="28" t="s">
        <v>6138</v>
      </c>
      <c r="C212" s="28" t="s">
        <v>6139</v>
      </c>
      <c r="D212" s="28" t="s">
        <v>6486</v>
      </c>
      <c r="E212" s="28" t="s">
        <v>438</v>
      </c>
      <c r="F212" s="28" t="s">
        <v>6143</v>
      </c>
      <c r="G212" s="28">
        <v>325199</v>
      </c>
      <c r="H212" s="28" t="s">
        <v>209</v>
      </c>
      <c r="I212" s="28" t="s">
        <v>436</v>
      </c>
      <c r="J212" s="28" t="s">
        <v>437</v>
      </c>
      <c r="K212" s="28" t="s">
        <v>362</v>
      </c>
    </row>
    <row r="213" spans="1:11" x14ac:dyDescent="0.25">
      <c r="A213" s="28">
        <v>2015</v>
      </c>
      <c r="B213" s="28" t="s">
        <v>6138</v>
      </c>
      <c r="C213" s="28" t="s">
        <v>6139</v>
      </c>
      <c r="D213" s="28" t="s">
        <v>6487</v>
      </c>
      <c r="E213" s="28" t="s">
        <v>673</v>
      </c>
      <c r="F213" s="28" t="s">
        <v>6143</v>
      </c>
      <c r="G213" s="28">
        <v>325180</v>
      </c>
      <c r="H213" s="28" t="s">
        <v>671</v>
      </c>
      <c r="I213" s="28" t="s">
        <v>672</v>
      </c>
      <c r="J213" s="28" t="s">
        <v>412</v>
      </c>
      <c r="K213" s="28" t="s">
        <v>299</v>
      </c>
    </row>
    <row r="214" spans="1:11" x14ac:dyDescent="0.25">
      <c r="A214" s="28">
        <v>2015</v>
      </c>
      <c r="B214" s="28" t="s">
        <v>6138</v>
      </c>
      <c r="C214" s="28" t="s">
        <v>6139</v>
      </c>
      <c r="D214" s="28" t="s">
        <v>6488</v>
      </c>
      <c r="E214" s="28" t="s">
        <v>6207</v>
      </c>
      <c r="F214" s="28" t="s">
        <v>6202</v>
      </c>
      <c r="G214" s="28">
        <v>324110</v>
      </c>
      <c r="H214" s="28" t="s">
        <v>6208</v>
      </c>
      <c r="I214" s="28" t="s">
        <v>6209</v>
      </c>
      <c r="J214" s="28" t="s">
        <v>6210</v>
      </c>
      <c r="K214" s="28" t="s">
        <v>362</v>
      </c>
    </row>
    <row r="215" spans="1:11" x14ac:dyDescent="0.25">
      <c r="A215" s="28">
        <v>2015</v>
      </c>
      <c r="B215" s="28" t="s">
        <v>6138</v>
      </c>
      <c r="C215" s="28" t="s">
        <v>6139</v>
      </c>
      <c r="D215" s="28" t="s">
        <v>6489</v>
      </c>
      <c r="E215" s="28" t="s">
        <v>6201</v>
      </c>
      <c r="F215" s="28" t="s">
        <v>6202</v>
      </c>
      <c r="G215" s="28">
        <v>324110</v>
      </c>
      <c r="H215" s="28" t="s">
        <v>6203</v>
      </c>
      <c r="I215" s="28" t="s">
        <v>6204</v>
      </c>
      <c r="J215" s="28" t="s">
        <v>463</v>
      </c>
      <c r="K215" s="28" t="s">
        <v>362</v>
      </c>
    </row>
    <row r="216" spans="1:11" x14ac:dyDescent="0.25">
      <c r="A216" s="28">
        <v>2015</v>
      </c>
      <c r="B216" s="28" t="s">
        <v>6138</v>
      </c>
      <c r="C216" s="28" t="s">
        <v>6139</v>
      </c>
      <c r="D216" s="28" t="s">
        <v>6490</v>
      </c>
      <c r="E216" s="28" t="s">
        <v>369</v>
      </c>
      <c r="F216" s="28" t="s">
        <v>6143</v>
      </c>
      <c r="G216" s="28">
        <v>325998</v>
      </c>
      <c r="H216" s="28" t="s">
        <v>2469</v>
      </c>
      <c r="I216" s="28" t="s">
        <v>2470</v>
      </c>
      <c r="J216" s="28" t="s">
        <v>368</v>
      </c>
      <c r="K216" s="28" t="s">
        <v>349</v>
      </c>
    </row>
    <row r="217" spans="1:11" x14ac:dyDescent="0.25">
      <c r="A217" s="28">
        <v>2015</v>
      </c>
      <c r="B217" s="28" t="s">
        <v>6138</v>
      </c>
      <c r="C217" s="28" t="s">
        <v>6139</v>
      </c>
      <c r="D217" s="28" t="s">
        <v>6491</v>
      </c>
      <c r="E217" s="28" t="s">
        <v>6286</v>
      </c>
      <c r="F217" s="28" t="s">
        <v>6163</v>
      </c>
      <c r="G217" s="28">
        <v>562211</v>
      </c>
      <c r="H217" s="28" t="s">
        <v>6287</v>
      </c>
      <c r="I217" s="28" t="s">
        <v>6288</v>
      </c>
      <c r="J217" s="28" t="s">
        <v>590</v>
      </c>
      <c r="K217" s="28" t="s">
        <v>362</v>
      </c>
    </row>
    <row r="218" spans="1:11" x14ac:dyDescent="0.25">
      <c r="A218" s="28">
        <v>2015</v>
      </c>
      <c r="B218" s="28" t="s">
        <v>6138</v>
      </c>
      <c r="C218" s="28" t="s">
        <v>6139</v>
      </c>
      <c r="D218" s="28" t="s">
        <v>6492</v>
      </c>
      <c r="E218" s="28" t="s">
        <v>481</v>
      </c>
      <c r="F218" s="28" t="s">
        <v>6143</v>
      </c>
      <c r="G218" s="28">
        <v>325211</v>
      </c>
      <c r="H218" s="28" t="s">
        <v>2414</v>
      </c>
      <c r="I218" s="28" t="s">
        <v>2415</v>
      </c>
      <c r="J218" s="28" t="s">
        <v>480</v>
      </c>
      <c r="K218" s="28" t="s">
        <v>362</v>
      </c>
    </row>
    <row r="219" spans="1:11" x14ac:dyDescent="0.25">
      <c r="A219" s="28">
        <v>2015</v>
      </c>
      <c r="B219" s="28" t="s">
        <v>6138</v>
      </c>
      <c r="C219" s="28" t="s">
        <v>6139</v>
      </c>
      <c r="D219" s="28" t="s">
        <v>6493</v>
      </c>
      <c r="E219" s="28" t="s">
        <v>6282</v>
      </c>
      <c r="F219" s="28" t="s">
        <v>6163</v>
      </c>
      <c r="G219" s="28">
        <v>562211</v>
      </c>
      <c r="H219" s="28" t="s">
        <v>6283</v>
      </c>
      <c r="I219" s="28" t="s">
        <v>6284</v>
      </c>
      <c r="J219" s="28" t="s">
        <v>361</v>
      </c>
      <c r="K219" s="28" t="s">
        <v>362</v>
      </c>
    </row>
    <row r="220" spans="1:11" x14ac:dyDescent="0.25">
      <c r="A220" s="28">
        <v>2015</v>
      </c>
      <c r="B220" s="28" t="s">
        <v>6138</v>
      </c>
      <c r="C220" s="28" t="s">
        <v>6139</v>
      </c>
      <c r="D220" s="28" t="s">
        <v>6494</v>
      </c>
      <c r="E220" s="28" t="s">
        <v>413</v>
      </c>
      <c r="F220" s="28" t="s">
        <v>6163</v>
      </c>
      <c r="G220" s="28">
        <v>562211</v>
      </c>
      <c r="H220" s="28" t="s">
        <v>128</v>
      </c>
      <c r="I220" s="28" t="s">
        <v>2408</v>
      </c>
      <c r="J220" s="28" t="s">
        <v>412</v>
      </c>
      <c r="K220" s="28" t="s">
        <v>299</v>
      </c>
    </row>
    <row r="221" spans="1:11" x14ac:dyDescent="0.25">
      <c r="A221" s="28">
        <v>2015</v>
      </c>
      <c r="B221" s="28" t="s">
        <v>6138</v>
      </c>
      <c r="C221" s="28" t="s">
        <v>6139</v>
      </c>
      <c r="D221" s="28" t="s">
        <v>6495</v>
      </c>
      <c r="E221" s="28" t="s">
        <v>644</v>
      </c>
      <c r="F221" s="28" t="s">
        <v>6143</v>
      </c>
      <c r="G221" s="28">
        <v>325199</v>
      </c>
      <c r="H221" s="28" t="s">
        <v>220</v>
      </c>
      <c r="I221" s="28" t="s">
        <v>643</v>
      </c>
      <c r="J221" s="28" t="s">
        <v>334</v>
      </c>
      <c r="K221" s="28" t="s">
        <v>303</v>
      </c>
    </row>
    <row r="222" spans="1:11" x14ac:dyDescent="0.25">
      <c r="A222" s="28">
        <v>2015</v>
      </c>
      <c r="B222" s="28" t="s">
        <v>6138</v>
      </c>
      <c r="C222" s="28" t="s">
        <v>6139</v>
      </c>
      <c r="D222" s="28" t="s">
        <v>6496</v>
      </c>
      <c r="E222" s="28" t="s">
        <v>6296</v>
      </c>
      <c r="F222" s="28" t="s">
        <v>6143</v>
      </c>
      <c r="G222" s="28">
        <v>325199</v>
      </c>
      <c r="H222" s="28" t="s">
        <v>6297</v>
      </c>
      <c r="I222" s="28" t="s">
        <v>6298</v>
      </c>
      <c r="J222" s="28" t="s">
        <v>6299</v>
      </c>
      <c r="K222" s="28" t="s">
        <v>319</v>
      </c>
    </row>
    <row r="223" spans="1:11" x14ac:dyDescent="0.25">
      <c r="A223" s="28">
        <v>2015</v>
      </c>
      <c r="B223" s="28" t="s">
        <v>6138</v>
      </c>
      <c r="C223" s="28" t="s">
        <v>6139</v>
      </c>
      <c r="D223" s="28" t="s">
        <v>6497</v>
      </c>
      <c r="E223" s="28" t="s">
        <v>668</v>
      </c>
      <c r="F223" s="28" t="s">
        <v>6143</v>
      </c>
      <c r="G223" s="28">
        <v>325199</v>
      </c>
      <c r="H223" s="28" t="s">
        <v>202</v>
      </c>
      <c r="I223" s="28" t="s">
        <v>2426</v>
      </c>
      <c r="J223" s="28" t="s">
        <v>323</v>
      </c>
      <c r="K223" s="28" t="s">
        <v>324</v>
      </c>
    </row>
    <row r="224" spans="1:11" x14ac:dyDescent="0.25">
      <c r="A224" s="28">
        <v>2015</v>
      </c>
      <c r="B224" s="28" t="s">
        <v>6138</v>
      </c>
      <c r="C224" s="28" t="s">
        <v>6139</v>
      </c>
      <c r="D224" s="28" t="s">
        <v>6498</v>
      </c>
      <c r="E224" s="28" t="s">
        <v>565</v>
      </c>
      <c r="F224" s="28" t="s">
        <v>6143</v>
      </c>
      <c r="G224" s="28">
        <v>325320</v>
      </c>
      <c r="H224" s="28" t="s">
        <v>214</v>
      </c>
      <c r="I224" s="28" t="s">
        <v>562</v>
      </c>
      <c r="J224" s="28" t="s">
        <v>563</v>
      </c>
      <c r="K224" s="28" t="s">
        <v>564</v>
      </c>
    </row>
    <row r="225" spans="1:11" x14ac:dyDescent="0.25">
      <c r="A225" s="28">
        <v>2015</v>
      </c>
      <c r="B225" s="28" t="s">
        <v>6138</v>
      </c>
      <c r="C225" s="28" t="s">
        <v>6139</v>
      </c>
      <c r="D225" s="28" t="s">
        <v>6499</v>
      </c>
      <c r="E225" s="28" t="s">
        <v>664</v>
      </c>
      <c r="F225" s="28" t="s">
        <v>6143</v>
      </c>
      <c r="G225" s="28">
        <v>325110</v>
      </c>
      <c r="H225" s="28" t="s">
        <v>221</v>
      </c>
      <c r="I225" s="28" t="s">
        <v>663</v>
      </c>
      <c r="J225" s="28" t="s">
        <v>446</v>
      </c>
      <c r="K225" s="28" t="s">
        <v>303</v>
      </c>
    </row>
    <row r="226" spans="1:11" x14ac:dyDescent="0.25">
      <c r="A226" s="28">
        <v>2015</v>
      </c>
      <c r="B226" s="28" t="s">
        <v>6138</v>
      </c>
      <c r="C226" s="28" t="s">
        <v>6139</v>
      </c>
      <c r="D226" s="28" t="s">
        <v>6500</v>
      </c>
      <c r="E226" s="28" t="s">
        <v>346</v>
      </c>
      <c r="F226" s="28" t="s">
        <v>6143</v>
      </c>
      <c r="G226" s="28">
        <v>325613</v>
      </c>
      <c r="H226" s="28" t="s">
        <v>205</v>
      </c>
      <c r="I226" s="28" t="s">
        <v>343</v>
      </c>
      <c r="J226" s="28" t="s">
        <v>344</v>
      </c>
      <c r="K226" s="28" t="s">
        <v>345</v>
      </c>
    </row>
    <row r="227" spans="1:11" x14ac:dyDescent="0.25">
      <c r="A227" s="28">
        <v>2016</v>
      </c>
      <c r="B227" s="28" t="s">
        <v>6138</v>
      </c>
      <c r="C227" s="28" t="s">
        <v>6139</v>
      </c>
      <c r="D227" s="28" t="s">
        <v>6501</v>
      </c>
      <c r="E227" s="28" t="s">
        <v>677</v>
      </c>
      <c r="F227" s="28" t="s">
        <v>6153</v>
      </c>
      <c r="G227" s="28">
        <v>424690</v>
      </c>
      <c r="H227" s="28" t="s">
        <v>675</v>
      </c>
      <c r="I227" s="28" t="s">
        <v>676</v>
      </c>
      <c r="J227" s="28" t="s">
        <v>516</v>
      </c>
      <c r="K227" s="28" t="s">
        <v>303</v>
      </c>
    </row>
    <row r="228" spans="1:11" x14ac:dyDescent="0.25">
      <c r="A228" s="28">
        <v>2016</v>
      </c>
      <c r="B228" s="28" t="s">
        <v>6138</v>
      </c>
      <c r="C228" s="28" t="s">
        <v>6139</v>
      </c>
      <c r="D228" s="28" t="s">
        <v>6502</v>
      </c>
      <c r="E228" s="28" t="s">
        <v>6146</v>
      </c>
      <c r="F228" s="28" t="s">
        <v>6143</v>
      </c>
      <c r="G228" s="28">
        <v>325998</v>
      </c>
      <c r="H228" s="28" t="s">
        <v>6147</v>
      </c>
      <c r="I228" s="28" t="s">
        <v>6148</v>
      </c>
      <c r="J228" s="28" t="s">
        <v>6149</v>
      </c>
      <c r="K228" s="28" t="s">
        <v>6150</v>
      </c>
    </row>
    <row r="229" spans="1:11" x14ac:dyDescent="0.25">
      <c r="A229" s="28">
        <v>2016</v>
      </c>
      <c r="B229" s="28" t="s">
        <v>6138</v>
      </c>
      <c r="C229" s="28" t="s">
        <v>6139</v>
      </c>
      <c r="D229" s="28" t="s">
        <v>6503</v>
      </c>
      <c r="E229" s="28" t="s">
        <v>682</v>
      </c>
      <c r="F229" s="28" t="s">
        <v>6143</v>
      </c>
      <c r="G229" s="28">
        <v>325199</v>
      </c>
      <c r="H229" s="28" t="s">
        <v>679</v>
      </c>
      <c r="I229" s="28" t="s">
        <v>680</v>
      </c>
      <c r="J229" s="28" t="s">
        <v>681</v>
      </c>
      <c r="K229" s="28" t="s">
        <v>328</v>
      </c>
    </row>
    <row r="230" spans="1:11" x14ac:dyDescent="0.25">
      <c r="A230" s="28">
        <v>2016</v>
      </c>
      <c r="B230" s="28" t="s">
        <v>6138</v>
      </c>
      <c r="C230" s="28" t="s">
        <v>6139</v>
      </c>
      <c r="D230" s="28" t="s">
        <v>6504</v>
      </c>
      <c r="E230" s="28" t="s">
        <v>6240</v>
      </c>
      <c r="F230" s="28" t="s">
        <v>6143</v>
      </c>
      <c r="G230" s="28">
        <v>325199</v>
      </c>
      <c r="H230" s="28" t="s">
        <v>6241</v>
      </c>
      <c r="I230" s="28" t="s">
        <v>6242</v>
      </c>
      <c r="J230" s="28" t="s">
        <v>6243</v>
      </c>
      <c r="K230" s="28" t="s">
        <v>303</v>
      </c>
    </row>
    <row r="231" spans="1:11" x14ac:dyDescent="0.25">
      <c r="A231" s="28">
        <v>2016</v>
      </c>
      <c r="B231" s="28" t="s">
        <v>6138</v>
      </c>
      <c r="C231" s="28" t="s">
        <v>6139</v>
      </c>
      <c r="D231" s="28" t="s">
        <v>6505</v>
      </c>
      <c r="E231" s="28" t="s">
        <v>666</v>
      </c>
      <c r="F231" s="28" t="s">
        <v>6143</v>
      </c>
      <c r="G231" s="28">
        <v>325211</v>
      </c>
      <c r="H231" s="28" t="s">
        <v>201</v>
      </c>
      <c r="I231" s="28" t="s">
        <v>665</v>
      </c>
      <c r="J231" s="28" t="s">
        <v>516</v>
      </c>
      <c r="K231" s="28" t="s">
        <v>303</v>
      </c>
    </row>
    <row r="232" spans="1:11" x14ac:dyDescent="0.25">
      <c r="A232" s="28">
        <v>2016</v>
      </c>
      <c r="B232" s="28" t="s">
        <v>6138</v>
      </c>
      <c r="C232" s="28" t="s">
        <v>6139</v>
      </c>
      <c r="D232" s="28" t="s">
        <v>6506</v>
      </c>
      <c r="E232" s="28" t="s">
        <v>6173</v>
      </c>
      <c r="F232" s="28" t="s">
        <v>6174</v>
      </c>
      <c r="G232" s="28">
        <v>212393</v>
      </c>
      <c r="H232" s="28" t="s">
        <v>6175</v>
      </c>
      <c r="I232" s="28" t="s">
        <v>6176</v>
      </c>
      <c r="J232" s="28" t="s">
        <v>6177</v>
      </c>
      <c r="K232" s="28" t="s">
        <v>303</v>
      </c>
    </row>
    <row r="233" spans="1:11" x14ac:dyDescent="0.25">
      <c r="A233" s="28">
        <v>2016</v>
      </c>
      <c r="B233" s="28" t="s">
        <v>6138</v>
      </c>
      <c r="C233" s="28" t="s">
        <v>6139</v>
      </c>
      <c r="D233" s="28" t="s">
        <v>6507</v>
      </c>
      <c r="E233" s="28" t="s">
        <v>350</v>
      </c>
      <c r="F233" s="28" t="s">
        <v>6143</v>
      </c>
      <c r="G233" s="28">
        <v>325320</v>
      </c>
      <c r="H233" s="28" t="s">
        <v>206</v>
      </c>
      <c r="I233" s="28" t="s">
        <v>347</v>
      </c>
      <c r="J233" s="28" t="s">
        <v>348</v>
      </c>
      <c r="K233" s="28" t="s">
        <v>349</v>
      </c>
    </row>
    <row r="234" spans="1:11" x14ac:dyDescent="0.25">
      <c r="A234" s="28">
        <v>2016</v>
      </c>
      <c r="B234" s="28" t="s">
        <v>6138</v>
      </c>
      <c r="C234" s="28" t="s">
        <v>6139</v>
      </c>
      <c r="D234" s="28" t="s">
        <v>6508</v>
      </c>
      <c r="E234" s="28" t="s">
        <v>524</v>
      </c>
      <c r="F234" s="28" t="s">
        <v>6143</v>
      </c>
      <c r="G234" s="28">
        <v>325199</v>
      </c>
      <c r="H234" s="28" t="s">
        <v>212</v>
      </c>
      <c r="I234" s="28" t="s">
        <v>523</v>
      </c>
      <c r="J234" s="28" t="s">
        <v>437</v>
      </c>
      <c r="K234" s="28" t="s">
        <v>362</v>
      </c>
    </row>
    <row r="235" spans="1:11" x14ac:dyDescent="0.25">
      <c r="A235" s="28">
        <v>2016</v>
      </c>
      <c r="B235" s="28" t="s">
        <v>6138</v>
      </c>
      <c r="C235" s="28" t="s">
        <v>6139</v>
      </c>
      <c r="D235" s="28" t="s">
        <v>6509</v>
      </c>
      <c r="E235" s="28" t="s">
        <v>325</v>
      </c>
      <c r="F235" s="28" t="s">
        <v>6143</v>
      </c>
      <c r="G235" s="28">
        <v>325180</v>
      </c>
      <c r="H235" s="28" t="s">
        <v>105</v>
      </c>
      <c r="I235" s="28" t="s">
        <v>322</v>
      </c>
      <c r="J235" s="28" t="s">
        <v>323</v>
      </c>
      <c r="K235" s="28" t="s">
        <v>324</v>
      </c>
    </row>
    <row r="236" spans="1:11" x14ac:dyDescent="0.25">
      <c r="A236" s="28">
        <v>2016</v>
      </c>
      <c r="B236" s="28" t="s">
        <v>6138</v>
      </c>
      <c r="C236" s="28" t="s">
        <v>6139</v>
      </c>
      <c r="D236" s="28" t="s">
        <v>6510</v>
      </c>
      <c r="E236" s="28" t="s">
        <v>6155</v>
      </c>
      <c r="F236" s="28" t="s">
        <v>6143</v>
      </c>
      <c r="G236" s="28">
        <v>325180</v>
      </c>
      <c r="H236" s="28" t="s">
        <v>6156</v>
      </c>
      <c r="I236" s="28" t="s">
        <v>6157</v>
      </c>
      <c r="J236" s="28" t="s">
        <v>6158</v>
      </c>
      <c r="K236" s="28" t="s">
        <v>299</v>
      </c>
    </row>
    <row r="237" spans="1:11" x14ac:dyDescent="0.25">
      <c r="A237" s="28">
        <v>2016</v>
      </c>
      <c r="B237" s="28" t="s">
        <v>6138</v>
      </c>
      <c r="C237" s="28" t="s">
        <v>6139</v>
      </c>
      <c r="D237" s="28" t="s">
        <v>6511</v>
      </c>
      <c r="E237" s="28" t="s">
        <v>6322</v>
      </c>
      <c r="F237" s="28" t="s">
        <v>6143</v>
      </c>
      <c r="G237" s="28">
        <v>325998</v>
      </c>
      <c r="H237" s="28" t="s">
        <v>6323</v>
      </c>
      <c r="I237" s="28" t="s">
        <v>6324</v>
      </c>
      <c r="J237" s="28" t="s">
        <v>6325</v>
      </c>
      <c r="K237" s="28" t="s">
        <v>324</v>
      </c>
    </row>
    <row r="238" spans="1:11" x14ac:dyDescent="0.25">
      <c r="A238" s="28">
        <v>2016</v>
      </c>
      <c r="B238" s="28" t="s">
        <v>6138</v>
      </c>
      <c r="C238" s="28" t="s">
        <v>6139</v>
      </c>
      <c r="D238" s="28" t="s">
        <v>6512</v>
      </c>
      <c r="E238" s="28" t="s">
        <v>595</v>
      </c>
      <c r="F238" s="28" t="s">
        <v>6143</v>
      </c>
      <c r="G238" s="28">
        <v>325199</v>
      </c>
      <c r="H238" s="28" t="s">
        <v>218</v>
      </c>
      <c r="I238" s="28" t="s">
        <v>594</v>
      </c>
      <c r="J238" s="28" t="s">
        <v>361</v>
      </c>
      <c r="K238" s="28" t="s">
        <v>362</v>
      </c>
    </row>
    <row r="239" spans="1:11" x14ac:dyDescent="0.25">
      <c r="A239" s="28">
        <v>2016</v>
      </c>
      <c r="B239" s="28" t="s">
        <v>6138</v>
      </c>
      <c r="C239" s="28" t="s">
        <v>6139</v>
      </c>
      <c r="D239" s="28" t="s">
        <v>6513</v>
      </c>
      <c r="E239" s="28" t="s">
        <v>593</v>
      </c>
      <c r="F239" s="28" t="s">
        <v>6143</v>
      </c>
      <c r="G239" s="28">
        <v>325199</v>
      </c>
      <c r="H239" s="28" t="s">
        <v>217</v>
      </c>
      <c r="I239" s="28" t="s">
        <v>592</v>
      </c>
      <c r="J239" s="28" t="s">
        <v>590</v>
      </c>
      <c r="K239" s="28" t="s">
        <v>362</v>
      </c>
    </row>
    <row r="240" spans="1:11" x14ac:dyDescent="0.25">
      <c r="A240" s="28">
        <v>2016</v>
      </c>
      <c r="B240" s="28" t="s">
        <v>6138</v>
      </c>
      <c r="C240" s="28" t="s">
        <v>6139</v>
      </c>
      <c r="D240" s="28" t="s">
        <v>6514</v>
      </c>
      <c r="E240" s="28" t="s">
        <v>335</v>
      </c>
      <c r="F240" s="28" t="s">
        <v>6143</v>
      </c>
      <c r="G240" s="28">
        <v>325211</v>
      </c>
      <c r="H240" s="28" t="s">
        <v>204</v>
      </c>
      <c r="I240" s="28" t="s">
        <v>333</v>
      </c>
      <c r="J240" s="28" t="s">
        <v>334</v>
      </c>
      <c r="K240" s="28" t="s">
        <v>303</v>
      </c>
    </row>
    <row r="241" spans="1:11" x14ac:dyDescent="0.25">
      <c r="A241" s="28">
        <v>2016</v>
      </c>
      <c r="B241" s="28" t="s">
        <v>6138</v>
      </c>
      <c r="C241" s="28" t="s">
        <v>6139</v>
      </c>
      <c r="D241" s="28" t="s">
        <v>6515</v>
      </c>
      <c r="E241" s="28" t="s">
        <v>512</v>
      </c>
      <c r="F241" s="28" t="s">
        <v>6163</v>
      </c>
      <c r="G241" s="28">
        <v>562213</v>
      </c>
      <c r="H241" s="28" t="s">
        <v>211</v>
      </c>
      <c r="I241" s="28" t="s">
        <v>510</v>
      </c>
      <c r="J241" s="28" t="s">
        <v>511</v>
      </c>
      <c r="K241" s="28" t="s">
        <v>319</v>
      </c>
    </row>
    <row r="242" spans="1:11" x14ac:dyDescent="0.25">
      <c r="A242" s="28">
        <v>2016</v>
      </c>
      <c r="B242" s="28" t="s">
        <v>6138</v>
      </c>
      <c r="C242" s="28" t="s">
        <v>6139</v>
      </c>
      <c r="D242" s="28" t="s">
        <v>6516</v>
      </c>
      <c r="E242" s="28" t="s">
        <v>6278</v>
      </c>
      <c r="F242" s="28" t="s">
        <v>6143</v>
      </c>
      <c r="G242" s="28">
        <v>325199</v>
      </c>
      <c r="H242" s="28" t="s">
        <v>6279</v>
      </c>
      <c r="I242" s="28" t="s">
        <v>6280</v>
      </c>
      <c r="J242" s="28" t="s">
        <v>412</v>
      </c>
      <c r="K242" s="28" t="s">
        <v>299</v>
      </c>
    </row>
    <row r="243" spans="1:11" x14ac:dyDescent="0.25">
      <c r="A243" s="28">
        <v>2016</v>
      </c>
      <c r="B243" s="28" t="s">
        <v>6138</v>
      </c>
      <c r="C243" s="28" t="s">
        <v>6139</v>
      </c>
      <c r="D243" s="28" t="s">
        <v>6517</v>
      </c>
      <c r="E243" s="28" t="s">
        <v>642</v>
      </c>
      <c r="F243" s="28" t="s">
        <v>6143</v>
      </c>
      <c r="G243" s="28">
        <v>325320</v>
      </c>
      <c r="H243" s="28" t="s">
        <v>219</v>
      </c>
      <c r="I243" s="28" t="s">
        <v>641</v>
      </c>
      <c r="J243" s="28" t="s">
        <v>426</v>
      </c>
      <c r="K243" s="28" t="s">
        <v>427</v>
      </c>
    </row>
    <row r="244" spans="1:11" x14ac:dyDescent="0.25">
      <c r="A244" s="28">
        <v>2016</v>
      </c>
      <c r="B244" s="28" t="s">
        <v>6138</v>
      </c>
      <c r="C244" s="28" t="s">
        <v>6139</v>
      </c>
      <c r="D244" s="28" t="s">
        <v>6518</v>
      </c>
      <c r="E244" s="28" t="s">
        <v>6190</v>
      </c>
      <c r="F244" s="28" t="s">
        <v>6191</v>
      </c>
      <c r="G244" s="28">
        <v>327310</v>
      </c>
      <c r="H244" s="28" t="s">
        <v>6192</v>
      </c>
      <c r="I244" s="28" t="s">
        <v>6193</v>
      </c>
      <c r="J244" s="28" t="s">
        <v>6194</v>
      </c>
      <c r="K244" s="28" t="s">
        <v>541</v>
      </c>
    </row>
    <row r="245" spans="1:11" x14ac:dyDescent="0.25">
      <c r="A245" s="28">
        <v>2016</v>
      </c>
      <c r="B245" s="28" t="s">
        <v>6138</v>
      </c>
      <c r="C245" s="28" t="s">
        <v>6139</v>
      </c>
      <c r="D245" s="28" t="s">
        <v>6519</v>
      </c>
      <c r="E245" s="28" t="s">
        <v>718</v>
      </c>
      <c r="F245" s="28" t="s">
        <v>6143</v>
      </c>
      <c r="G245" s="28">
        <v>325199</v>
      </c>
      <c r="H245" s="28" t="s">
        <v>6305</v>
      </c>
      <c r="I245" s="28" t="s">
        <v>6306</v>
      </c>
      <c r="J245" s="28" t="s">
        <v>1135</v>
      </c>
      <c r="K245" s="28" t="s">
        <v>299</v>
      </c>
    </row>
    <row r="246" spans="1:11" x14ac:dyDescent="0.25">
      <c r="A246" s="28">
        <v>2016</v>
      </c>
      <c r="B246" s="28" t="s">
        <v>6138</v>
      </c>
      <c r="C246" s="28" t="s">
        <v>6139</v>
      </c>
      <c r="D246" s="28" t="s">
        <v>6520</v>
      </c>
      <c r="E246" s="28" t="s">
        <v>413</v>
      </c>
      <c r="F246" s="28" t="s">
        <v>6163</v>
      </c>
      <c r="G246" s="28">
        <v>562211</v>
      </c>
      <c r="H246" s="28" t="s">
        <v>128</v>
      </c>
      <c r="I246" s="28" t="s">
        <v>2408</v>
      </c>
      <c r="J246" s="28" t="s">
        <v>412</v>
      </c>
      <c r="K246" s="28" t="s">
        <v>299</v>
      </c>
    </row>
    <row r="247" spans="1:11" x14ac:dyDescent="0.25">
      <c r="A247" s="28">
        <v>2016</v>
      </c>
      <c r="B247" s="28" t="s">
        <v>6138</v>
      </c>
      <c r="C247" s="28" t="s">
        <v>6139</v>
      </c>
      <c r="D247" s="28" t="s">
        <v>6521</v>
      </c>
      <c r="E247" s="28" t="s">
        <v>6426</v>
      </c>
      <c r="F247" s="28" t="s">
        <v>6143</v>
      </c>
      <c r="G247" s="28">
        <v>325199</v>
      </c>
      <c r="H247" s="28" t="s">
        <v>6427</v>
      </c>
      <c r="I247" s="28" t="s">
        <v>6428</v>
      </c>
      <c r="J247" s="28" t="s">
        <v>1284</v>
      </c>
      <c r="K247" s="28" t="s">
        <v>324</v>
      </c>
    </row>
    <row r="248" spans="1:11" x14ac:dyDescent="0.25">
      <c r="A248" s="28">
        <v>2016</v>
      </c>
      <c r="B248" s="28" t="s">
        <v>6138</v>
      </c>
      <c r="C248" s="28" t="s">
        <v>6139</v>
      </c>
      <c r="D248" s="28" t="s">
        <v>6522</v>
      </c>
      <c r="E248" s="28" t="s">
        <v>447</v>
      </c>
      <c r="F248" s="28" t="s">
        <v>6143</v>
      </c>
      <c r="G248" s="28">
        <v>325180</v>
      </c>
      <c r="H248" s="28" t="s">
        <v>2410</v>
      </c>
      <c r="I248" s="28" t="s">
        <v>2411</v>
      </c>
      <c r="J248" s="28" t="s">
        <v>446</v>
      </c>
      <c r="K248" s="28" t="s">
        <v>303</v>
      </c>
    </row>
    <row r="249" spans="1:11" x14ac:dyDescent="0.25">
      <c r="A249" s="28">
        <v>2016</v>
      </c>
      <c r="B249" s="28" t="s">
        <v>6138</v>
      </c>
      <c r="C249" s="28" t="s">
        <v>6139</v>
      </c>
      <c r="D249" s="28" t="s">
        <v>6523</v>
      </c>
      <c r="E249" s="28" t="s">
        <v>514</v>
      </c>
      <c r="F249" s="28" t="s">
        <v>6143</v>
      </c>
      <c r="G249" s="28">
        <v>325199</v>
      </c>
      <c r="H249" s="28" t="s">
        <v>2417</v>
      </c>
      <c r="I249" s="28" t="s">
        <v>2418</v>
      </c>
      <c r="J249" s="28" t="s">
        <v>302</v>
      </c>
      <c r="K249" s="28" t="s">
        <v>303</v>
      </c>
    </row>
    <row r="250" spans="1:11" x14ac:dyDescent="0.25">
      <c r="A250" s="28">
        <v>2016</v>
      </c>
      <c r="B250" s="28" t="s">
        <v>6138</v>
      </c>
      <c r="C250" s="28" t="s">
        <v>6139</v>
      </c>
      <c r="D250" s="28" t="s">
        <v>6524</v>
      </c>
      <c r="E250" s="28" t="s">
        <v>6268</v>
      </c>
      <c r="F250" s="28" t="s">
        <v>6143</v>
      </c>
      <c r="G250" s="28">
        <v>325211</v>
      </c>
      <c r="H250" s="28" t="s">
        <v>86</v>
      </c>
      <c r="I250" s="28" t="s">
        <v>6269</v>
      </c>
      <c r="J250" s="28" t="s">
        <v>334</v>
      </c>
      <c r="K250" s="28" t="s">
        <v>303</v>
      </c>
    </row>
    <row r="251" spans="1:11" x14ac:dyDescent="0.25">
      <c r="A251" s="28">
        <v>2016</v>
      </c>
      <c r="B251" s="28" t="s">
        <v>6138</v>
      </c>
      <c r="C251" s="28" t="s">
        <v>6139</v>
      </c>
      <c r="D251" s="28" t="s">
        <v>6525</v>
      </c>
      <c r="E251" s="28" t="s">
        <v>6296</v>
      </c>
      <c r="F251" s="28" t="s">
        <v>6143</v>
      </c>
      <c r="G251" s="28">
        <v>325199</v>
      </c>
      <c r="H251" s="28" t="s">
        <v>6297</v>
      </c>
      <c r="I251" s="28" t="s">
        <v>6298</v>
      </c>
      <c r="J251" s="28" t="s">
        <v>6299</v>
      </c>
      <c r="K251" s="28" t="s">
        <v>319</v>
      </c>
    </row>
    <row r="252" spans="1:11" x14ac:dyDescent="0.25">
      <c r="A252" s="28">
        <v>2016</v>
      </c>
      <c r="B252" s="28" t="s">
        <v>6138</v>
      </c>
      <c r="C252" s="28" t="s">
        <v>6139</v>
      </c>
      <c r="D252" s="28" t="s">
        <v>6526</v>
      </c>
      <c r="E252" s="28" t="s">
        <v>664</v>
      </c>
      <c r="F252" s="28" t="s">
        <v>6143</v>
      </c>
      <c r="G252" s="28">
        <v>325110</v>
      </c>
      <c r="H252" s="28" t="s">
        <v>221</v>
      </c>
      <c r="I252" s="28" t="s">
        <v>663</v>
      </c>
      <c r="J252" s="28" t="s">
        <v>446</v>
      </c>
      <c r="K252" s="28" t="s">
        <v>303</v>
      </c>
    </row>
    <row r="253" spans="1:11" x14ac:dyDescent="0.25">
      <c r="A253" s="28">
        <v>2016</v>
      </c>
      <c r="B253" s="28" t="s">
        <v>6138</v>
      </c>
      <c r="C253" s="28" t="s">
        <v>6139</v>
      </c>
      <c r="D253" s="28" t="s">
        <v>6527</v>
      </c>
      <c r="E253" s="28" t="s">
        <v>6168</v>
      </c>
      <c r="F253" s="28" t="s">
        <v>6143</v>
      </c>
      <c r="G253" s="28">
        <v>325199</v>
      </c>
      <c r="H253" s="28" t="s">
        <v>6169</v>
      </c>
      <c r="I253" s="28" t="s">
        <v>6170</v>
      </c>
      <c r="J253" s="28" t="s">
        <v>463</v>
      </c>
      <c r="K253" s="28" t="s">
        <v>362</v>
      </c>
    </row>
    <row r="254" spans="1:11" x14ac:dyDescent="0.25">
      <c r="A254" s="28">
        <v>2016</v>
      </c>
      <c r="B254" s="28" t="s">
        <v>6138</v>
      </c>
      <c r="C254" s="28" t="s">
        <v>6139</v>
      </c>
      <c r="D254" s="28" t="s">
        <v>6528</v>
      </c>
      <c r="E254" s="28" t="s">
        <v>438</v>
      </c>
      <c r="F254" s="28" t="s">
        <v>6174</v>
      </c>
      <c r="G254" s="28">
        <v>486990</v>
      </c>
      <c r="H254" s="28" t="s">
        <v>209</v>
      </c>
      <c r="I254" s="28" t="s">
        <v>436</v>
      </c>
      <c r="J254" s="28" t="s">
        <v>437</v>
      </c>
      <c r="K254" s="28" t="s">
        <v>362</v>
      </c>
    </row>
    <row r="255" spans="1:11" x14ac:dyDescent="0.25">
      <c r="A255" s="28">
        <v>2016</v>
      </c>
      <c r="B255" s="28" t="s">
        <v>6138</v>
      </c>
      <c r="C255" s="28" t="s">
        <v>6139</v>
      </c>
      <c r="D255" s="28" t="s">
        <v>6529</v>
      </c>
      <c r="E255" s="28" t="s">
        <v>438</v>
      </c>
      <c r="F255" s="28" t="s">
        <v>6143</v>
      </c>
      <c r="G255" s="28">
        <v>325199</v>
      </c>
      <c r="H255" s="28" t="s">
        <v>209</v>
      </c>
      <c r="I255" s="28" t="s">
        <v>436</v>
      </c>
      <c r="J255" s="28" t="s">
        <v>437</v>
      </c>
      <c r="K255" s="28" t="s">
        <v>362</v>
      </c>
    </row>
    <row r="256" spans="1:11" x14ac:dyDescent="0.25">
      <c r="A256" s="28">
        <v>2016</v>
      </c>
      <c r="B256" s="28" t="s">
        <v>6138</v>
      </c>
      <c r="C256" s="28" t="s">
        <v>6139</v>
      </c>
      <c r="D256" s="28" t="s">
        <v>6530</v>
      </c>
      <c r="E256" s="28" t="s">
        <v>668</v>
      </c>
      <c r="F256" s="28" t="s">
        <v>6143</v>
      </c>
      <c r="G256" s="28">
        <v>325199</v>
      </c>
      <c r="H256" s="28" t="s">
        <v>202</v>
      </c>
      <c r="I256" s="28" t="s">
        <v>2426</v>
      </c>
      <c r="J256" s="28" t="s">
        <v>323</v>
      </c>
      <c r="K256" s="28" t="s">
        <v>324</v>
      </c>
    </row>
    <row r="257" spans="1:11" x14ac:dyDescent="0.25">
      <c r="A257" s="28">
        <v>2016</v>
      </c>
      <c r="B257" s="28" t="s">
        <v>6138</v>
      </c>
      <c r="C257" s="28" t="s">
        <v>6139</v>
      </c>
      <c r="D257" s="28" t="s">
        <v>6531</v>
      </c>
      <c r="E257" s="28" t="s">
        <v>565</v>
      </c>
      <c r="F257" s="28" t="s">
        <v>6143</v>
      </c>
      <c r="G257" s="28">
        <v>325320</v>
      </c>
      <c r="H257" s="28" t="s">
        <v>214</v>
      </c>
      <c r="I257" s="28" t="s">
        <v>562</v>
      </c>
      <c r="J257" s="28" t="s">
        <v>563</v>
      </c>
      <c r="K257" s="28" t="s">
        <v>564</v>
      </c>
    </row>
    <row r="258" spans="1:11" x14ac:dyDescent="0.25">
      <c r="A258" s="28">
        <v>2016</v>
      </c>
      <c r="B258" s="28" t="s">
        <v>6138</v>
      </c>
      <c r="C258" s="28" t="s">
        <v>6139</v>
      </c>
      <c r="D258" s="28" t="s">
        <v>6532</v>
      </c>
      <c r="E258" s="28" t="s">
        <v>6162</v>
      </c>
      <c r="F258" s="28" t="s">
        <v>6163</v>
      </c>
      <c r="G258" s="28">
        <v>562211</v>
      </c>
      <c r="H258" s="28" t="s">
        <v>6164</v>
      </c>
      <c r="I258" s="28" t="s">
        <v>6165</v>
      </c>
      <c r="J258" s="28" t="s">
        <v>6166</v>
      </c>
      <c r="K258" s="28" t="s">
        <v>1415</v>
      </c>
    </row>
    <row r="259" spans="1:11" x14ac:dyDescent="0.25">
      <c r="A259" s="28">
        <v>2016</v>
      </c>
      <c r="B259" s="28" t="s">
        <v>6138</v>
      </c>
      <c r="C259" s="28" t="s">
        <v>6139</v>
      </c>
      <c r="D259" s="28" t="s">
        <v>6533</v>
      </c>
      <c r="E259" s="28" t="s">
        <v>6421</v>
      </c>
      <c r="F259" s="28" t="s">
        <v>6191</v>
      </c>
      <c r="G259" s="28">
        <v>327310</v>
      </c>
      <c r="H259" s="28" t="s">
        <v>6422</v>
      </c>
      <c r="I259" s="28" t="s">
        <v>6423</v>
      </c>
      <c r="J259" s="28" t="s">
        <v>6424</v>
      </c>
      <c r="K259" s="28" t="s">
        <v>385</v>
      </c>
    </row>
    <row r="260" spans="1:11" x14ac:dyDescent="0.25">
      <c r="A260" s="28">
        <v>2016</v>
      </c>
      <c r="B260" s="28" t="s">
        <v>6138</v>
      </c>
      <c r="C260" s="28" t="s">
        <v>6139</v>
      </c>
      <c r="D260" s="28" t="s">
        <v>6534</v>
      </c>
      <c r="E260" s="28" t="s">
        <v>644</v>
      </c>
      <c r="F260" s="28" t="s">
        <v>6143</v>
      </c>
      <c r="G260" s="28">
        <v>325199</v>
      </c>
      <c r="H260" s="28" t="s">
        <v>220</v>
      </c>
      <c r="I260" s="28" t="s">
        <v>643</v>
      </c>
      <c r="J260" s="28" t="s">
        <v>334</v>
      </c>
      <c r="K260" s="28" t="s">
        <v>303</v>
      </c>
    </row>
    <row r="261" spans="1:11" x14ac:dyDescent="0.25">
      <c r="A261" s="28">
        <v>2016</v>
      </c>
      <c r="B261" s="28" t="s">
        <v>6138</v>
      </c>
      <c r="C261" s="28" t="s">
        <v>6139</v>
      </c>
      <c r="D261" s="28" t="s">
        <v>6535</v>
      </c>
      <c r="E261" s="28" t="s">
        <v>6196</v>
      </c>
      <c r="F261" s="28" t="s">
        <v>6163</v>
      </c>
      <c r="G261" s="28">
        <v>562211</v>
      </c>
      <c r="H261" s="28" t="s">
        <v>6197</v>
      </c>
      <c r="I261" s="28" t="s">
        <v>6198</v>
      </c>
      <c r="J261" s="28" t="s">
        <v>6199</v>
      </c>
      <c r="K261" s="28" t="s">
        <v>1352</v>
      </c>
    </row>
    <row r="262" spans="1:11" x14ac:dyDescent="0.25">
      <c r="A262" s="28">
        <v>2016</v>
      </c>
      <c r="B262" s="28" t="s">
        <v>6138</v>
      </c>
      <c r="C262" s="28" t="s">
        <v>6139</v>
      </c>
      <c r="D262" s="28" t="s">
        <v>6536</v>
      </c>
      <c r="E262" s="28" t="s">
        <v>542</v>
      </c>
      <c r="F262" s="28" t="s">
        <v>6143</v>
      </c>
      <c r="G262" s="28">
        <v>325199</v>
      </c>
      <c r="H262" s="28" t="s">
        <v>213</v>
      </c>
      <c r="I262" s="28" t="s">
        <v>540</v>
      </c>
      <c r="J262" s="28" t="s">
        <v>460</v>
      </c>
      <c r="K262" s="28" t="s">
        <v>541</v>
      </c>
    </row>
    <row r="263" spans="1:11" x14ac:dyDescent="0.25">
      <c r="A263" s="28">
        <v>2016</v>
      </c>
      <c r="B263" s="28" t="s">
        <v>6138</v>
      </c>
      <c r="C263" s="28" t="s">
        <v>6139</v>
      </c>
      <c r="D263" s="28" t="s">
        <v>6537</v>
      </c>
      <c r="E263" s="28" t="s">
        <v>576</v>
      </c>
      <c r="F263" s="28" t="s">
        <v>6143</v>
      </c>
      <c r="G263" s="28">
        <v>325199</v>
      </c>
      <c r="H263" s="28" t="s">
        <v>215</v>
      </c>
      <c r="I263" s="28" t="s">
        <v>574</v>
      </c>
      <c r="J263" s="28" t="s">
        <v>575</v>
      </c>
      <c r="K263" s="28" t="s">
        <v>435</v>
      </c>
    </row>
    <row r="264" spans="1:11" x14ac:dyDescent="0.25">
      <c r="A264" s="28">
        <v>2016</v>
      </c>
      <c r="B264" s="28" t="s">
        <v>6138</v>
      </c>
      <c r="C264" s="28" t="s">
        <v>6139</v>
      </c>
      <c r="D264" s="28" t="s">
        <v>6538</v>
      </c>
      <c r="E264" s="28" t="s">
        <v>6263</v>
      </c>
      <c r="F264" s="28" t="s">
        <v>6163</v>
      </c>
      <c r="G264" s="28">
        <v>562211</v>
      </c>
      <c r="H264" s="28" t="s">
        <v>6264</v>
      </c>
      <c r="I264" s="28" t="s">
        <v>6265</v>
      </c>
      <c r="J264" s="28" t="s">
        <v>6266</v>
      </c>
      <c r="K264" s="28" t="s">
        <v>362</v>
      </c>
    </row>
    <row r="265" spans="1:11" x14ac:dyDescent="0.25">
      <c r="A265" s="28">
        <v>2016</v>
      </c>
      <c r="B265" s="28" t="s">
        <v>6138</v>
      </c>
      <c r="C265" s="28" t="s">
        <v>6139</v>
      </c>
      <c r="D265" s="28" t="s">
        <v>6539</v>
      </c>
      <c r="E265" s="28" t="s">
        <v>484</v>
      </c>
      <c r="F265" s="28" t="s">
        <v>6143</v>
      </c>
      <c r="G265" s="28">
        <v>325199</v>
      </c>
      <c r="H265" s="28" t="s">
        <v>2424</v>
      </c>
      <c r="I265" s="28" t="s">
        <v>6481</v>
      </c>
      <c r="J265" s="28" t="s">
        <v>437</v>
      </c>
      <c r="K265" s="28" t="s">
        <v>362</v>
      </c>
    </row>
    <row r="266" spans="1:11" x14ac:dyDescent="0.25">
      <c r="A266" s="28">
        <v>2016</v>
      </c>
      <c r="B266" s="28" t="s">
        <v>6138</v>
      </c>
      <c r="C266" s="28" t="s">
        <v>6139</v>
      </c>
      <c r="D266" s="28" t="s">
        <v>6540</v>
      </c>
      <c r="E266" s="28" t="s">
        <v>483</v>
      </c>
      <c r="F266" s="28" t="s">
        <v>6143</v>
      </c>
      <c r="G266" s="28">
        <v>325211</v>
      </c>
      <c r="H266" s="28" t="s">
        <v>2412</v>
      </c>
      <c r="I266" s="28" t="s">
        <v>2413</v>
      </c>
      <c r="J266" s="28" t="s">
        <v>302</v>
      </c>
      <c r="K266" s="28" t="s">
        <v>303</v>
      </c>
    </row>
    <row r="267" spans="1:11" x14ac:dyDescent="0.25">
      <c r="A267" s="28">
        <v>2016</v>
      </c>
      <c r="B267" s="28" t="s">
        <v>6138</v>
      </c>
      <c r="C267" s="28" t="s">
        <v>6139</v>
      </c>
      <c r="D267" s="28" t="s">
        <v>6541</v>
      </c>
      <c r="E267" s="28" t="s">
        <v>369</v>
      </c>
      <c r="F267" s="28" t="s">
        <v>6143</v>
      </c>
      <c r="G267" s="28">
        <v>325998</v>
      </c>
      <c r="H267" s="28" t="s">
        <v>2469</v>
      </c>
      <c r="I267" s="28" t="s">
        <v>2470</v>
      </c>
      <c r="J267" s="28" t="s">
        <v>368</v>
      </c>
      <c r="K267" s="28" t="s">
        <v>349</v>
      </c>
    </row>
    <row r="268" spans="1:11" x14ac:dyDescent="0.25">
      <c r="A268" s="28">
        <v>2016</v>
      </c>
      <c r="B268" s="28" t="s">
        <v>6138</v>
      </c>
      <c r="C268" s="28" t="s">
        <v>6139</v>
      </c>
      <c r="D268" s="28" t="s">
        <v>6542</v>
      </c>
      <c r="E268" s="28" t="s">
        <v>585</v>
      </c>
      <c r="F268" s="28" t="s">
        <v>6143</v>
      </c>
      <c r="G268" s="28">
        <v>325199</v>
      </c>
      <c r="H268" s="28" t="s">
        <v>2422</v>
      </c>
      <c r="I268" s="28" t="s">
        <v>2423</v>
      </c>
      <c r="J268" s="28" t="s">
        <v>516</v>
      </c>
      <c r="K268" s="28" t="s">
        <v>303</v>
      </c>
    </row>
    <row r="269" spans="1:11" x14ac:dyDescent="0.25">
      <c r="A269" s="28">
        <v>2016</v>
      </c>
      <c r="B269" s="28" t="s">
        <v>6138</v>
      </c>
      <c r="C269" s="28" t="s">
        <v>6139</v>
      </c>
      <c r="D269" s="28" t="s">
        <v>6543</v>
      </c>
      <c r="E269" s="28" t="s">
        <v>709</v>
      </c>
      <c r="F269" s="28" t="s">
        <v>6191</v>
      </c>
      <c r="G269" s="28">
        <v>327310</v>
      </c>
      <c r="H269" s="28" t="s">
        <v>1067</v>
      </c>
      <c r="I269" s="28" t="s">
        <v>6544</v>
      </c>
      <c r="J269" s="28" t="s">
        <v>1068</v>
      </c>
      <c r="K269" s="28" t="s">
        <v>349</v>
      </c>
    </row>
    <row r="270" spans="1:11" x14ac:dyDescent="0.25">
      <c r="A270" s="28">
        <v>2016</v>
      </c>
      <c r="B270" s="28" t="s">
        <v>6138</v>
      </c>
      <c r="C270" s="28" t="s">
        <v>6139</v>
      </c>
      <c r="D270" s="28" t="s">
        <v>6545</v>
      </c>
      <c r="E270" s="28" t="s">
        <v>6282</v>
      </c>
      <c r="F270" s="28" t="s">
        <v>6163</v>
      </c>
      <c r="G270" s="28">
        <v>562211</v>
      </c>
      <c r="H270" s="28" t="s">
        <v>6283</v>
      </c>
      <c r="I270" s="28" t="s">
        <v>6284</v>
      </c>
      <c r="J270" s="28" t="s">
        <v>361</v>
      </c>
      <c r="K270" s="28" t="s">
        <v>362</v>
      </c>
    </row>
    <row r="271" spans="1:11" x14ac:dyDescent="0.25">
      <c r="A271" s="28">
        <v>2016</v>
      </c>
      <c r="B271" s="28" t="s">
        <v>6138</v>
      </c>
      <c r="C271" s="28" t="s">
        <v>6139</v>
      </c>
      <c r="D271" s="28" t="s">
        <v>6546</v>
      </c>
      <c r="E271" s="28" t="s">
        <v>6446</v>
      </c>
      <c r="F271" s="28" t="s">
        <v>6163</v>
      </c>
      <c r="G271" s="28">
        <v>562211</v>
      </c>
      <c r="H271" s="28" t="s">
        <v>6447</v>
      </c>
      <c r="I271" s="28" t="s">
        <v>6448</v>
      </c>
      <c r="J271" s="28" t="s">
        <v>293</v>
      </c>
      <c r="K271" s="28" t="s">
        <v>1008</v>
      </c>
    </row>
    <row r="272" spans="1:11" x14ac:dyDescent="0.25">
      <c r="A272" s="28">
        <v>2016</v>
      </c>
      <c r="B272" s="28" t="s">
        <v>6138</v>
      </c>
      <c r="C272" s="28" t="s">
        <v>6139</v>
      </c>
      <c r="D272" s="28" t="s">
        <v>6547</v>
      </c>
      <c r="E272" s="28" t="s">
        <v>6416</v>
      </c>
      <c r="F272" s="28" t="s">
        <v>6191</v>
      </c>
      <c r="G272" s="28">
        <v>327310</v>
      </c>
      <c r="H272" s="28" t="s">
        <v>6417</v>
      </c>
      <c r="I272" s="28" t="s">
        <v>6418</v>
      </c>
      <c r="J272" s="28" t="s">
        <v>6419</v>
      </c>
      <c r="K272" s="28" t="s">
        <v>299</v>
      </c>
    </row>
    <row r="273" spans="1:11" x14ac:dyDescent="0.25">
      <c r="A273" s="28">
        <v>2016</v>
      </c>
      <c r="B273" s="28" t="s">
        <v>6138</v>
      </c>
      <c r="C273" s="28" t="s">
        <v>6139</v>
      </c>
      <c r="D273" s="28" t="s">
        <v>6548</v>
      </c>
      <c r="E273" s="28" t="s">
        <v>6218</v>
      </c>
      <c r="F273" s="28" t="s">
        <v>6163</v>
      </c>
      <c r="G273" s="28">
        <v>562211</v>
      </c>
      <c r="H273" s="28" t="s">
        <v>6219</v>
      </c>
      <c r="I273" s="28" t="s">
        <v>6220</v>
      </c>
      <c r="J273" s="28" t="s">
        <v>6221</v>
      </c>
      <c r="K273" s="28" t="s">
        <v>1101</v>
      </c>
    </row>
    <row r="274" spans="1:11" x14ac:dyDescent="0.25">
      <c r="A274" s="28">
        <v>2016</v>
      </c>
      <c r="B274" s="28" t="s">
        <v>6138</v>
      </c>
      <c r="C274" s="28" t="s">
        <v>6139</v>
      </c>
      <c r="D274" s="28" t="s">
        <v>6549</v>
      </c>
      <c r="E274" s="28" t="s">
        <v>588</v>
      </c>
      <c r="F274" s="28" t="s">
        <v>6143</v>
      </c>
      <c r="G274" s="28">
        <v>325180</v>
      </c>
      <c r="H274" s="28" t="s">
        <v>216</v>
      </c>
      <c r="I274" s="28" t="s">
        <v>586</v>
      </c>
      <c r="J274" s="28" t="s">
        <v>587</v>
      </c>
      <c r="K274" s="28" t="s">
        <v>303</v>
      </c>
    </row>
    <row r="275" spans="1:11" x14ac:dyDescent="0.25">
      <c r="A275" s="28">
        <v>2016</v>
      </c>
      <c r="B275" s="28" t="s">
        <v>6138</v>
      </c>
      <c r="C275" s="28" t="s">
        <v>6139</v>
      </c>
      <c r="D275" s="28" t="s">
        <v>6550</v>
      </c>
      <c r="E275" s="28" t="s">
        <v>6207</v>
      </c>
      <c r="F275" s="28" t="s">
        <v>6202</v>
      </c>
      <c r="G275" s="28">
        <v>324110</v>
      </c>
      <c r="H275" s="28" t="s">
        <v>6208</v>
      </c>
      <c r="I275" s="28" t="s">
        <v>6209</v>
      </c>
      <c r="J275" s="28" t="s">
        <v>6210</v>
      </c>
      <c r="K275" s="28" t="s">
        <v>362</v>
      </c>
    </row>
    <row r="276" spans="1:11" x14ac:dyDescent="0.25">
      <c r="A276" s="28">
        <v>2016</v>
      </c>
      <c r="B276" s="28" t="s">
        <v>6138</v>
      </c>
      <c r="C276" s="28" t="s">
        <v>6139</v>
      </c>
      <c r="D276" s="28" t="s">
        <v>6551</v>
      </c>
      <c r="E276" s="28" t="s">
        <v>6201</v>
      </c>
      <c r="F276" s="28" t="s">
        <v>6202</v>
      </c>
      <c r="G276" s="28">
        <v>324110</v>
      </c>
      <c r="H276" s="28" t="s">
        <v>6203</v>
      </c>
      <c r="I276" s="28" t="s">
        <v>6204</v>
      </c>
      <c r="J276" s="28" t="s">
        <v>463</v>
      </c>
      <c r="K276" s="28" t="s">
        <v>362</v>
      </c>
    </row>
    <row r="277" spans="1:11" x14ac:dyDescent="0.25">
      <c r="A277" s="28">
        <v>2016</v>
      </c>
      <c r="B277" s="28" t="s">
        <v>6138</v>
      </c>
      <c r="C277" s="28" t="s">
        <v>6139</v>
      </c>
      <c r="D277" s="28" t="s">
        <v>6552</v>
      </c>
      <c r="E277" s="28" t="s">
        <v>481</v>
      </c>
      <c r="F277" s="28" t="s">
        <v>6143</v>
      </c>
      <c r="G277" s="28">
        <v>325211</v>
      </c>
      <c r="H277" s="28" t="s">
        <v>2414</v>
      </c>
      <c r="I277" s="28" t="s">
        <v>2415</v>
      </c>
      <c r="J277" s="28" t="s">
        <v>480</v>
      </c>
      <c r="K277" s="28" t="s">
        <v>362</v>
      </c>
    </row>
    <row r="278" spans="1:11" x14ac:dyDescent="0.25">
      <c r="A278" s="28">
        <v>2016</v>
      </c>
      <c r="B278" s="28" t="s">
        <v>6138</v>
      </c>
      <c r="C278" s="28" t="s">
        <v>6139</v>
      </c>
      <c r="D278" s="28" t="s">
        <v>6553</v>
      </c>
      <c r="E278" s="28" t="s">
        <v>6395</v>
      </c>
      <c r="F278" s="28" t="s">
        <v>6163</v>
      </c>
      <c r="G278" s="28">
        <v>562211</v>
      </c>
      <c r="H278" s="28" t="s">
        <v>6396</v>
      </c>
      <c r="I278" s="28" t="s">
        <v>6397</v>
      </c>
      <c r="J278" s="28" t="s">
        <v>6398</v>
      </c>
      <c r="K278" s="28" t="s">
        <v>319</v>
      </c>
    </row>
    <row r="279" spans="1:11" x14ac:dyDescent="0.25">
      <c r="A279" s="28">
        <v>2016</v>
      </c>
      <c r="B279" s="28" t="s">
        <v>6138</v>
      </c>
      <c r="C279" s="28" t="s">
        <v>6139</v>
      </c>
      <c r="D279" s="28" t="s">
        <v>6554</v>
      </c>
      <c r="E279" s="28" t="s">
        <v>583</v>
      </c>
      <c r="F279" s="28" t="s">
        <v>6143</v>
      </c>
      <c r="G279" s="28">
        <v>325199</v>
      </c>
      <c r="H279" s="28" t="s">
        <v>2419</v>
      </c>
      <c r="I279" s="28" t="s">
        <v>2420</v>
      </c>
      <c r="J279" s="28" t="s">
        <v>2421</v>
      </c>
      <c r="K279" s="28" t="s">
        <v>362</v>
      </c>
    </row>
    <row r="280" spans="1:11" x14ac:dyDescent="0.25">
      <c r="A280" s="28">
        <v>2016</v>
      </c>
      <c r="B280" s="28" t="s">
        <v>6138</v>
      </c>
      <c r="C280" s="28" t="s">
        <v>6139</v>
      </c>
      <c r="D280" s="28" t="s">
        <v>6555</v>
      </c>
      <c r="E280" s="28" t="s">
        <v>6286</v>
      </c>
      <c r="F280" s="28" t="s">
        <v>6143</v>
      </c>
      <c r="G280" s="28">
        <v>325199</v>
      </c>
      <c r="H280" s="28" t="s">
        <v>6287</v>
      </c>
      <c r="I280" s="28" t="s">
        <v>6288</v>
      </c>
      <c r="J280" s="28" t="s">
        <v>590</v>
      </c>
      <c r="K280" s="28" t="s">
        <v>362</v>
      </c>
    </row>
    <row r="281" spans="1:11" x14ac:dyDescent="0.25">
      <c r="A281" s="28">
        <v>2016</v>
      </c>
      <c r="B281" s="28" t="s">
        <v>6138</v>
      </c>
      <c r="C281" s="28" t="s">
        <v>6139</v>
      </c>
      <c r="D281" s="28" t="s">
        <v>6556</v>
      </c>
      <c r="E281" s="28" t="s">
        <v>6459</v>
      </c>
      <c r="F281" s="28" t="s">
        <v>6143</v>
      </c>
      <c r="G281" s="28">
        <v>325199</v>
      </c>
      <c r="H281" s="28" t="s">
        <v>40</v>
      </c>
      <c r="I281" s="28" t="s">
        <v>6460</v>
      </c>
      <c r="J281" s="28" t="s">
        <v>334</v>
      </c>
      <c r="K281" s="28" t="s">
        <v>303</v>
      </c>
    </row>
    <row r="282" spans="1:11" x14ac:dyDescent="0.25">
      <c r="A282" s="28">
        <v>2016</v>
      </c>
      <c r="B282" s="28" t="s">
        <v>6138</v>
      </c>
      <c r="C282" s="28" t="s">
        <v>6139</v>
      </c>
      <c r="D282" s="28" t="s">
        <v>6557</v>
      </c>
      <c r="E282" s="28" t="s">
        <v>6235</v>
      </c>
      <c r="F282" s="28" t="s">
        <v>6143</v>
      </c>
      <c r="G282" s="28">
        <v>325998</v>
      </c>
      <c r="H282" s="28" t="s">
        <v>6236</v>
      </c>
      <c r="I282" s="28" t="s">
        <v>6237</v>
      </c>
      <c r="J282" s="28" t="s">
        <v>6238</v>
      </c>
      <c r="K282" s="28" t="s">
        <v>686</v>
      </c>
    </row>
    <row r="283" spans="1:11" x14ac:dyDescent="0.25">
      <c r="A283" s="28">
        <v>2016</v>
      </c>
      <c r="B283" s="28" t="s">
        <v>6138</v>
      </c>
      <c r="C283" s="28" t="s">
        <v>6139</v>
      </c>
      <c r="D283" s="28" t="s">
        <v>6558</v>
      </c>
      <c r="E283" s="28" t="s">
        <v>346</v>
      </c>
      <c r="F283" s="28" t="s">
        <v>6143</v>
      </c>
      <c r="G283" s="28">
        <v>325613</v>
      </c>
      <c r="H283" s="28" t="s">
        <v>205</v>
      </c>
      <c r="I283" s="28" t="s">
        <v>343</v>
      </c>
      <c r="J283" s="28" t="s">
        <v>344</v>
      </c>
      <c r="K283" s="28" t="s">
        <v>345</v>
      </c>
    </row>
    <row r="284" spans="1:11" x14ac:dyDescent="0.25">
      <c r="A284" s="28">
        <v>2017</v>
      </c>
      <c r="B284" s="28" t="s">
        <v>6138</v>
      </c>
      <c r="C284" s="28" t="s">
        <v>6139</v>
      </c>
      <c r="D284" s="28" t="s">
        <v>6559</v>
      </c>
      <c r="E284" s="28" t="s">
        <v>677</v>
      </c>
      <c r="F284" s="28" t="s">
        <v>6153</v>
      </c>
      <c r="G284" s="28">
        <v>424690</v>
      </c>
      <c r="H284" s="28" t="s">
        <v>675</v>
      </c>
      <c r="I284" s="28" t="s">
        <v>676</v>
      </c>
      <c r="J284" s="28" t="s">
        <v>516</v>
      </c>
      <c r="K284" s="28" t="s">
        <v>303</v>
      </c>
    </row>
    <row r="285" spans="1:11" x14ac:dyDescent="0.25">
      <c r="A285" s="28">
        <v>2017</v>
      </c>
      <c r="B285" s="28" t="s">
        <v>6138</v>
      </c>
      <c r="C285" s="28" t="s">
        <v>6139</v>
      </c>
      <c r="D285" s="28" t="s">
        <v>6560</v>
      </c>
      <c r="E285" s="28" t="s">
        <v>6155</v>
      </c>
      <c r="F285" s="28" t="s">
        <v>6143</v>
      </c>
      <c r="G285" s="28">
        <v>325180</v>
      </c>
      <c r="H285" s="28" t="s">
        <v>6156</v>
      </c>
      <c r="I285" s="28" t="s">
        <v>6157</v>
      </c>
      <c r="J285" s="28" t="s">
        <v>6158</v>
      </c>
      <c r="K285" s="28" t="s">
        <v>299</v>
      </c>
    </row>
    <row r="286" spans="1:11" x14ac:dyDescent="0.25">
      <c r="A286" s="28">
        <v>2017</v>
      </c>
      <c r="B286" s="28" t="s">
        <v>6138</v>
      </c>
      <c r="C286" s="28" t="s">
        <v>6139</v>
      </c>
      <c r="D286" s="28" t="s">
        <v>6561</v>
      </c>
      <c r="E286" s="28" t="s">
        <v>682</v>
      </c>
      <c r="F286" s="28" t="s">
        <v>6143</v>
      </c>
      <c r="G286" s="28">
        <v>325199</v>
      </c>
      <c r="H286" s="28" t="s">
        <v>679</v>
      </c>
      <c r="I286" s="28" t="s">
        <v>680</v>
      </c>
      <c r="J286" s="28" t="s">
        <v>681</v>
      </c>
      <c r="K286" s="28" t="s">
        <v>328</v>
      </c>
    </row>
    <row r="287" spans="1:11" x14ac:dyDescent="0.25">
      <c r="A287" s="28">
        <v>2017</v>
      </c>
      <c r="B287" s="28" t="s">
        <v>6138</v>
      </c>
      <c r="C287" s="28" t="s">
        <v>6139</v>
      </c>
      <c r="D287" s="28" t="s">
        <v>6562</v>
      </c>
      <c r="E287" s="28" t="s">
        <v>6146</v>
      </c>
      <c r="F287" s="28" t="s">
        <v>6143</v>
      </c>
      <c r="G287" s="28">
        <v>325998</v>
      </c>
      <c r="H287" s="28" t="s">
        <v>6147</v>
      </c>
      <c r="I287" s="28" t="s">
        <v>6148</v>
      </c>
      <c r="J287" s="28" t="s">
        <v>6149</v>
      </c>
      <c r="K287" s="28" t="s">
        <v>6150</v>
      </c>
    </row>
    <row r="288" spans="1:11" x14ac:dyDescent="0.25">
      <c r="A288" s="28">
        <v>2017</v>
      </c>
      <c r="B288" s="28" t="s">
        <v>6138</v>
      </c>
      <c r="C288" s="28" t="s">
        <v>6139</v>
      </c>
      <c r="D288" s="28" t="s">
        <v>6563</v>
      </c>
      <c r="E288" s="28" t="s">
        <v>593</v>
      </c>
      <c r="F288" s="28" t="s">
        <v>6143</v>
      </c>
      <c r="G288" s="28">
        <v>325199</v>
      </c>
      <c r="H288" s="28" t="s">
        <v>217</v>
      </c>
      <c r="I288" s="28" t="s">
        <v>592</v>
      </c>
      <c r="J288" s="28" t="s">
        <v>590</v>
      </c>
      <c r="K288" s="28" t="s">
        <v>362</v>
      </c>
    </row>
    <row r="289" spans="1:11" x14ac:dyDescent="0.25">
      <c r="A289" s="28">
        <v>2017</v>
      </c>
      <c r="B289" s="28" t="s">
        <v>6138</v>
      </c>
      <c r="C289" s="28" t="s">
        <v>6139</v>
      </c>
      <c r="D289" s="28" t="s">
        <v>6564</v>
      </c>
      <c r="E289" s="28" t="s">
        <v>524</v>
      </c>
      <c r="F289" s="28" t="s">
        <v>6143</v>
      </c>
      <c r="G289" s="28">
        <v>325199</v>
      </c>
      <c r="H289" s="28" t="s">
        <v>212</v>
      </c>
      <c r="I289" s="28" t="s">
        <v>523</v>
      </c>
      <c r="J289" s="28" t="s">
        <v>437</v>
      </c>
      <c r="K289" s="28" t="s">
        <v>362</v>
      </c>
    </row>
    <row r="290" spans="1:11" x14ac:dyDescent="0.25">
      <c r="A290" s="28">
        <v>2017</v>
      </c>
      <c r="B290" s="28" t="s">
        <v>6138</v>
      </c>
      <c r="C290" s="28" t="s">
        <v>6139</v>
      </c>
      <c r="D290" s="28" t="s">
        <v>6565</v>
      </c>
      <c r="E290" s="28" t="s">
        <v>350</v>
      </c>
      <c r="F290" s="28" t="s">
        <v>6143</v>
      </c>
      <c r="G290" s="28">
        <v>325320</v>
      </c>
      <c r="H290" s="28" t="s">
        <v>206</v>
      </c>
      <c r="I290" s="28" t="s">
        <v>347</v>
      </c>
      <c r="J290" s="28" t="s">
        <v>348</v>
      </c>
      <c r="K290" s="28" t="s">
        <v>349</v>
      </c>
    </row>
    <row r="291" spans="1:11" x14ac:dyDescent="0.25">
      <c r="A291" s="28">
        <v>2017</v>
      </c>
      <c r="B291" s="28" t="s">
        <v>6138</v>
      </c>
      <c r="C291" s="28" t="s">
        <v>6139</v>
      </c>
      <c r="D291" s="28" t="s">
        <v>6566</v>
      </c>
      <c r="E291" s="28" t="s">
        <v>325</v>
      </c>
      <c r="F291" s="28" t="s">
        <v>6143</v>
      </c>
      <c r="G291" s="28">
        <v>325199</v>
      </c>
      <c r="H291" s="28" t="s">
        <v>105</v>
      </c>
      <c r="I291" s="28" t="s">
        <v>322</v>
      </c>
      <c r="J291" s="28" t="s">
        <v>323</v>
      </c>
      <c r="K291" s="28" t="s">
        <v>324</v>
      </c>
    </row>
    <row r="292" spans="1:11" x14ac:dyDescent="0.25">
      <c r="A292" s="28">
        <v>2017</v>
      </c>
      <c r="B292" s="28" t="s">
        <v>6138</v>
      </c>
      <c r="C292" s="28" t="s">
        <v>6139</v>
      </c>
      <c r="D292" s="28" t="s">
        <v>6567</v>
      </c>
      <c r="E292" s="28" t="s">
        <v>585</v>
      </c>
      <c r="F292" s="28" t="s">
        <v>6143</v>
      </c>
      <c r="G292" s="28">
        <v>325199</v>
      </c>
      <c r="H292" s="28" t="s">
        <v>2422</v>
      </c>
      <c r="I292" s="28" t="s">
        <v>2423</v>
      </c>
      <c r="J292" s="28" t="s">
        <v>516</v>
      </c>
      <c r="K292" s="28" t="s">
        <v>303</v>
      </c>
    </row>
    <row r="293" spans="1:11" x14ac:dyDescent="0.25">
      <c r="A293" s="28">
        <v>2017</v>
      </c>
      <c r="B293" s="28" t="s">
        <v>6138</v>
      </c>
      <c r="C293" s="28" t="s">
        <v>6139</v>
      </c>
      <c r="D293" s="28" t="s">
        <v>6568</v>
      </c>
      <c r="E293" s="28" t="s">
        <v>595</v>
      </c>
      <c r="F293" s="28" t="s">
        <v>6143</v>
      </c>
      <c r="G293" s="28">
        <v>325199</v>
      </c>
      <c r="H293" s="28" t="s">
        <v>218</v>
      </c>
      <c r="I293" s="28" t="s">
        <v>594</v>
      </c>
      <c r="J293" s="28" t="s">
        <v>361</v>
      </c>
      <c r="K293" s="28" t="s">
        <v>362</v>
      </c>
    </row>
    <row r="294" spans="1:11" x14ac:dyDescent="0.25">
      <c r="A294" s="28">
        <v>2017</v>
      </c>
      <c r="B294" s="28" t="s">
        <v>6138</v>
      </c>
      <c r="C294" s="28" t="s">
        <v>6139</v>
      </c>
      <c r="D294" s="28" t="s">
        <v>6569</v>
      </c>
      <c r="E294" s="28" t="s">
        <v>666</v>
      </c>
      <c r="F294" s="28" t="s">
        <v>6143</v>
      </c>
      <c r="G294" s="28">
        <v>325211</v>
      </c>
      <c r="H294" s="28" t="s">
        <v>201</v>
      </c>
      <c r="I294" s="28" t="s">
        <v>665</v>
      </c>
      <c r="J294" s="28" t="s">
        <v>516</v>
      </c>
      <c r="K294" s="28" t="s">
        <v>303</v>
      </c>
    </row>
    <row r="295" spans="1:11" x14ac:dyDescent="0.25">
      <c r="A295" s="28">
        <v>2017</v>
      </c>
      <c r="B295" s="28" t="s">
        <v>6138</v>
      </c>
      <c r="C295" s="28" t="s">
        <v>6139</v>
      </c>
      <c r="D295" s="28" t="s">
        <v>6570</v>
      </c>
      <c r="E295" s="28" t="s">
        <v>664</v>
      </c>
      <c r="F295" s="28" t="s">
        <v>6143</v>
      </c>
      <c r="G295" s="28">
        <v>325110</v>
      </c>
      <c r="H295" s="28" t="s">
        <v>221</v>
      </c>
      <c r="I295" s="28" t="s">
        <v>663</v>
      </c>
      <c r="J295" s="28" t="s">
        <v>446</v>
      </c>
      <c r="K295" s="28" t="s">
        <v>303</v>
      </c>
    </row>
    <row r="296" spans="1:11" x14ac:dyDescent="0.25">
      <c r="A296" s="28">
        <v>2017</v>
      </c>
      <c r="B296" s="28" t="s">
        <v>6138</v>
      </c>
      <c r="C296" s="28" t="s">
        <v>6139</v>
      </c>
      <c r="D296" s="28" t="s">
        <v>6571</v>
      </c>
      <c r="E296" s="28" t="s">
        <v>565</v>
      </c>
      <c r="F296" s="28" t="s">
        <v>6143</v>
      </c>
      <c r="G296" s="28">
        <v>325320</v>
      </c>
      <c r="H296" s="28" t="s">
        <v>214</v>
      </c>
      <c r="I296" s="28" t="s">
        <v>562</v>
      </c>
      <c r="J296" s="28" t="s">
        <v>563</v>
      </c>
      <c r="K296" s="28" t="s">
        <v>564</v>
      </c>
    </row>
    <row r="297" spans="1:11" x14ac:dyDescent="0.25">
      <c r="A297" s="28">
        <v>2017</v>
      </c>
      <c r="B297" s="28" t="s">
        <v>6138</v>
      </c>
      <c r="C297" s="28" t="s">
        <v>6139</v>
      </c>
      <c r="D297" s="28" t="s">
        <v>6572</v>
      </c>
      <c r="E297" s="28" t="s">
        <v>6173</v>
      </c>
      <c r="F297" s="28" t="s">
        <v>6174</v>
      </c>
      <c r="G297" s="28">
        <v>212393</v>
      </c>
      <c r="H297" s="28" t="s">
        <v>6175</v>
      </c>
      <c r="I297" s="28" t="s">
        <v>6176</v>
      </c>
      <c r="J297" s="28" t="s">
        <v>6177</v>
      </c>
      <c r="K297" s="28" t="s">
        <v>303</v>
      </c>
    </row>
    <row r="298" spans="1:11" x14ac:dyDescent="0.25">
      <c r="A298" s="28">
        <v>2017</v>
      </c>
      <c r="B298" s="28" t="s">
        <v>6138</v>
      </c>
      <c r="C298" s="28" t="s">
        <v>6139</v>
      </c>
      <c r="D298" s="28" t="s">
        <v>6573</v>
      </c>
      <c r="E298" s="28" t="s">
        <v>588</v>
      </c>
      <c r="F298" s="28" t="s">
        <v>6143</v>
      </c>
      <c r="G298" s="28">
        <v>325180</v>
      </c>
      <c r="H298" s="28" t="s">
        <v>216</v>
      </c>
      <c r="I298" s="28" t="s">
        <v>586</v>
      </c>
      <c r="J298" s="28" t="s">
        <v>587</v>
      </c>
      <c r="K298" s="28" t="s">
        <v>303</v>
      </c>
    </row>
    <row r="299" spans="1:11" x14ac:dyDescent="0.25">
      <c r="A299" s="28">
        <v>2017</v>
      </c>
      <c r="B299" s="28" t="s">
        <v>6138</v>
      </c>
      <c r="C299" s="28" t="s">
        <v>6139</v>
      </c>
      <c r="D299" s="28" t="s">
        <v>6574</v>
      </c>
      <c r="E299" s="28" t="s">
        <v>6268</v>
      </c>
      <c r="F299" s="28" t="s">
        <v>6143</v>
      </c>
      <c r="G299" s="28">
        <v>325211</v>
      </c>
      <c r="H299" s="28" t="s">
        <v>86</v>
      </c>
      <c r="I299" s="28" t="s">
        <v>6269</v>
      </c>
      <c r="J299" s="28" t="s">
        <v>334</v>
      </c>
      <c r="K299" s="28" t="s">
        <v>303</v>
      </c>
    </row>
    <row r="300" spans="1:11" x14ac:dyDescent="0.25">
      <c r="A300" s="28">
        <v>2017</v>
      </c>
      <c r="B300" s="28" t="s">
        <v>6138</v>
      </c>
      <c r="C300" s="28" t="s">
        <v>6139</v>
      </c>
      <c r="D300" s="28" t="s">
        <v>6575</v>
      </c>
      <c r="E300" s="28" t="s">
        <v>642</v>
      </c>
      <c r="F300" s="28" t="s">
        <v>6143</v>
      </c>
      <c r="G300" s="28">
        <v>325320</v>
      </c>
      <c r="H300" s="28" t="s">
        <v>219</v>
      </c>
      <c r="I300" s="28" t="s">
        <v>641</v>
      </c>
      <c r="J300" s="28" t="s">
        <v>426</v>
      </c>
      <c r="K300" s="28" t="s">
        <v>427</v>
      </c>
    </row>
    <row r="301" spans="1:11" x14ac:dyDescent="0.25">
      <c r="A301" s="28">
        <v>2017</v>
      </c>
      <c r="B301" s="28" t="s">
        <v>6138</v>
      </c>
      <c r="C301" s="28" t="s">
        <v>6139</v>
      </c>
      <c r="D301" s="28" t="s">
        <v>6576</v>
      </c>
      <c r="E301" s="28" t="s">
        <v>6240</v>
      </c>
      <c r="F301" s="28" t="s">
        <v>6143</v>
      </c>
      <c r="G301" s="28">
        <v>325199</v>
      </c>
      <c r="H301" s="28" t="s">
        <v>6241</v>
      </c>
      <c r="I301" s="28" t="s">
        <v>6242</v>
      </c>
      <c r="J301" s="28" t="s">
        <v>6243</v>
      </c>
      <c r="K301" s="28" t="s">
        <v>303</v>
      </c>
    </row>
    <row r="302" spans="1:11" x14ac:dyDescent="0.25">
      <c r="A302" s="28">
        <v>2017</v>
      </c>
      <c r="B302" s="28" t="s">
        <v>6138</v>
      </c>
      <c r="C302" s="28" t="s">
        <v>6139</v>
      </c>
      <c r="D302" s="28" t="s">
        <v>6577</v>
      </c>
      <c r="E302" s="28" t="s">
        <v>718</v>
      </c>
      <c r="F302" s="28" t="s">
        <v>6143</v>
      </c>
      <c r="G302" s="28">
        <v>325199</v>
      </c>
      <c r="H302" s="28" t="s">
        <v>6305</v>
      </c>
      <c r="I302" s="28" t="s">
        <v>6306</v>
      </c>
      <c r="J302" s="28" t="s">
        <v>1135</v>
      </c>
      <c r="K302" s="28" t="s">
        <v>299</v>
      </c>
    </row>
    <row r="303" spans="1:11" x14ac:dyDescent="0.25">
      <c r="A303" s="28">
        <v>2017</v>
      </c>
      <c r="B303" s="28" t="s">
        <v>6138</v>
      </c>
      <c r="C303" s="28" t="s">
        <v>6139</v>
      </c>
      <c r="D303" s="28" t="s">
        <v>6578</v>
      </c>
      <c r="E303" s="28" t="s">
        <v>484</v>
      </c>
      <c r="F303" s="28" t="s">
        <v>6143</v>
      </c>
      <c r="G303" s="28">
        <v>325199</v>
      </c>
      <c r="H303" s="28" t="s">
        <v>2424</v>
      </c>
      <c r="I303" s="28" t="s">
        <v>6481</v>
      </c>
      <c r="J303" s="28" t="s">
        <v>437</v>
      </c>
      <c r="K303" s="28" t="s">
        <v>362</v>
      </c>
    </row>
    <row r="304" spans="1:11" x14ac:dyDescent="0.25">
      <c r="A304" s="28">
        <v>2017</v>
      </c>
      <c r="B304" s="28" t="s">
        <v>6138</v>
      </c>
      <c r="C304" s="28" t="s">
        <v>6139</v>
      </c>
      <c r="D304" s="28" t="s">
        <v>6579</v>
      </c>
      <c r="E304" s="28" t="s">
        <v>447</v>
      </c>
      <c r="F304" s="28" t="s">
        <v>6143</v>
      </c>
      <c r="G304" s="28">
        <v>325180</v>
      </c>
      <c r="H304" s="28" t="s">
        <v>2410</v>
      </c>
      <c r="I304" s="28" t="s">
        <v>2411</v>
      </c>
      <c r="J304" s="28" t="s">
        <v>446</v>
      </c>
      <c r="K304" s="28" t="s">
        <v>303</v>
      </c>
    </row>
    <row r="305" spans="1:11" x14ac:dyDescent="0.25">
      <c r="A305" s="28">
        <v>2017</v>
      </c>
      <c r="B305" s="28" t="s">
        <v>6138</v>
      </c>
      <c r="C305" s="28" t="s">
        <v>6139</v>
      </c>
      <c r="D305" s="28" t="s">
        <v>6580</v>
      </c>
      <c r="E305" s="28" t="s">
        <v>6278</v>
      </c>
      <c r="F305" s="28" t="s">
        <v>6143</v>
      </c>
      <c r="G305" s="28">
        <v>325199</v>
      </c>
      <c r="H305" s="28" t="s">
        <v>6279</v>
      </c>
      <c r="I305" s="28" t="s">
        <v>6280</v>
      </c>
      <c r="J305" s="28" t="s">
        <v>412</v>
      </c>
      <c r="K305" s="28" t="s">
        <v>299</v>
      </c>
    </row>
    <row r="306" spans="1:11" x14ac:dyDescent="0.25">
      <c r="A306" s="28">
        <v>2017</v>
      </c>
      <c r="B306" s="28" t="s">
        <v>6138</v>
      </c>
      <c r="C306" s="28" t="s">
        <v>6139</v>
      </c>
      <c r="D306" s="28" t="s">
        <v>6581</v>
      </c>
      <c r="E306" s="28" t="s">
        <v>6582</v>
      </c>
      <c r="F306" s="28" t="s">
        <v>6143</v>
      </c>
      <c r="G306" s="28">
        <v>325320</v>
      </c>
      <c r="H306" s="28" t="s">
        <v>6583</v>
      </c>
      <c r="I306" s="28" t="s">
        <v>6584</v>
      </c>
      <c r="J306" s="28" t="s">
        <v>6585</v>
      </c>
      <c r="K306" s="28" t="s">
        <v>686</v>
      </c>
    </row>
    <row r="307" spans="1:11" x14ac:dyDescent="0.25">
      <c r="A307" s="28">
        <v>2017</v>
      </c>
      <c r="B307" s="28" t="s">
        <v>6138</v>
      </c>
      <c r="C307" s="28" t="s">
        <v>6139</v>
      </c>
      <c r="D307" s="28" t="s">
        <v>6586</v>
      </c>
      <c r="E307" s="28" t="s">
        <v>576</v>
      </c>
      <c r="F307" s="28" t="s">
        <v>6143</v>
      </c>
      <c r="G307" s="28">
        <v>325199</v>
      </c>
      <c r="H307" s="28" t="s">
        <v>215</v>
      </c>
      <c r="I307" s="28" t="s">
        <v>574</v>
      </c>
      <c r="J307" s="28" t="s">
        <v>575</v>
      </c>
      <c r="K307" s="28" t="s">
        <v>435</v>
      </c>
    </row>
    <row r="308" spans="1:11" x14ac:dyDescent="0.25">
      <c r="A308" s="28">
        <v>2017</v>
      </c>
      <c r="B308" s="28" t="s">
        <v>6138</v>
      </c>
      <c r="C308" s="28" t="s">
        <v>6139</v>
      </c>
      <c r="D308" s="28" t="s">
        <v>6587</v>
      </c>
      <c r="E308" s="28" t="s">
        <v>512</v>
      </c>
      <c r="F308" s="28" t="s">
        <v>6163</v>
      </c>
      <c r="G308" s="28">
        <v>562213</v>
      </c>
      <c r="H308" s="28" t="s">
        <v>211</v>
      </c>
      <c r="I308" s="28" t="s">
        <v>510</v>
      </c>
      <c r="J308" s="28" t="s">
        <v>511</v>
      </c>
      <c r="K308" s="28" t="s">
        <v>319</v>
      </c>
    </row>
    <row r="309" spans="1:11" x14ac:dyDescent="0.25">
      <c r="A309" s="28">
        <v>2017</v>
      </c>
      <c r="B309" s="28" t="s">
        <v>6138</v>
      </c>
      <c r="C309" s="28" t="s">
        <v>6139</v>
      </c>
      <c r="D309" s="28" t="s">
        <v>6588</v>
      </c>
      <c r="E309" s="28" t="s">
        <v>6296</v>
      </c>
      <c r="F309" s="28" t="s">
        <v>6143</v>
      </c>
      <c r="G309" s="28">
        <v>325199</v>
      </c>
      <c r="H309" s="28" t="s">
        <v>6297</v>
      </c>
      <c r="I309" s="28" t="s">
        <v>6298</v>
      </c>
      <c r="J309" s="28" t="s">
        <v>6299</v>
      </c>
      <c r="K309" s="28" t="s">
        <v>319</v>
      </c>
    </row>
    <row r="310" spans="1:11" x14ac:dyDescent="0.25">
      <c r="A310" s="28">
        <v>2017</v>
      </c>
      <c r="B310" s="28" t="s">
        <v>6138</v>
      </c>
      <c r="C310" s="28" t="s">
        <v>6139</v>
      </c>
      <c r="D310" s="28" t="s">
        <v>6589</v>
      </c>
      <c r="E310" s="28" t="s">
        <v>514</v>
      </c>
      <c r="F310" s="28" t="s">
        <v>6143</v>
      </c>
      <c r="G310" s="28">
        <v>325199</v>
      </c>
      <c r="H310" s="28" t="s">
        <v>2417</v>
      </c>
      <c r="I310" s="28" t="s">
        <v>2418</v>
      </c>
      <c r="J310" s="28" t="s">
        <v>302</v>
      </c>
      <c r="K310" s="28" t="s">
        <v>303</v>
      </c>
    </row>
    <row r="311" spans="1:11" x14ac:dyDescent="0.25">
      <c r="A311" s="28">
        <v>2017</v>
      </c>
      <c r="B311" s="28" t="s">
        <v>6138</v>
      </c>
      <c r="C311" s="28" t="s">
        <v>6139</v>
      </c>
      <c r="D311" s="28" t="s">
        <v>6590</v>
      </c>
      <c r="E311" s="28" t="s">
        <v>6446</v>
      </c>
      <c r="F311" s="28" t="s">
        <v>6163</v>
      </c>
      <c r="G311" s="28">
        <v>562211</v>
      </c>
      <c r="H311" s="28" t="s">
        <v>6447</v>
      </c>
      <c r="I311" s="28" t="s">
        <v>6448</v>
      </c>
      <c r="J311" s="28" t="s">
        <v>293</v>
      </c>
      <c r="K311" s="28" t="s">
        <v>1008</v>
      </c>
    </row>
    <row r="312" spans="1:11" x14ac:dyDescent="0.25">
      <c r="A312" s="28">
        <v>2017</v>
      </c>
      <c r="B312" s="28" t="s">
        <v>6138</v>
      </c>
      <c r="C312" s="28" t="s">
        <v>6139</v>
      </c>
      <c r="D312" s="28" t="s">
        <v>6591</v>
      </c>
      <c r="E312" s="28" t="s">
        <v>6196</v>
      </c>
      <c r="F312" s="28" t="s">
        <v>6163</v>
      </c>
      <c r="G312" s="28">
        <v>562211</v>
      </c>
      <c r="H312" s="28" t="s">
        <v>6197</v>
      </c>
      <c r="I312" s="28" t="s">
        <v>6198</v>
      </c>
      <c r="J312" s="28" t="s">
        <v>6199</v>
      </c>
      <c r="K312" s="28" t="s">
        <v>1352</v>
      </c>
    </row>
    <row r="313" spans="1:11" x14ac:dyDescent="0.25">
      <c r="A313" s="28">
        <v>2017</v>
      </c>
      <c r="B313" s="28" t="s">
        <v>6138</v>
      </c>
      <c r="C313" s="28" t="s">
        <v>6139</v>
      </c>
      <c r="D313" s="28" t="s">
        <v>6592</v>
      </c>
      <c r="E313" s="28" t="s">
        <v>542</v>
      </c>
      <c r="F313" s="28" t="s">
        <v>6143</v>
      </c>
      <c r="G313" s="28">
        <v>325199</v>
      </c>
      <c r="H313" s="28" t="s">
        <v>213</v>
      </c>
      <c r="I313" s="28" t="s">
        <v>540</v>
      </c>
      <c r="J313" s="28" t="s">
        <v>460</v>
      </c>
      <c r="K313" s="28" t="s">
        <v>541</v>
      </c>
    </row>
    <row r="314" spans="1:11" x14ac:dyDescent="0.25">
      <c r="A314" s="28">
        <v>2017</v>
      </c>
      <c r="B314" s="28" t="s">
        <v>6138</v>
      </c>
      <c r="C314" s="28" t="s">
        <v>6139</v>
      </c>
      <c r="D314" s="28" t="s">
        <v>6593</v>
      </c>
      <c r="E314" s="28" t="s">
        <v>583</v>
      </c>
      <c r="F314" s="28" t="s">
        <v>6143</v>
      </c>
      <c r="G314" s="28">
        <v>325199</v>
      </c>
      <c r="H314" s="28" t="s">
        <v>2419</v>
      </c>
      <c r="I314" s="28" t="s">
        <v>2420</v>
      </c>
      <c r="J314" s="28" t="s">
        <v>2421</v>
      </c>
      <c r="K314" s="28" t="s">
        <v>362</v>
      </c>
    </row>
    <row r="315" spans="1:11" x14ac:dyDescent="0.25">
      <c r="A315" s="28">
        <v>2017</v>
      </c>
      <c r="B315" s="28" t="s">
        <v>6138</v>
      </c>
      <c r="C315" s="28" t="s">
        <v>6139</v>
      </c>
      <c r="D315" s="28" t="s">
        <v>6594</v>
      </c>
      <c r="E315" s="28" t="s">
        <v>6168</v>
      </c>
      <c r="F315" s="28" t="s">
        <v>6143</v>
      </c>
      <c r="G315" s="28">
        <v>325199</v>
      </c>
      <c r="H315" s="28" t="s">
        <v>6169</v>
      </c>
      <c r="I315" s="28" t="s">
        <v>6170</v>
      </c>
      <c r="J315" s="28" t="s">
        <v>463</v>
      </c>
      <c r="K315" s="28" t="s">
        <v>362</v>
      </c>
    </row>
    <row r="316" spans="1:11" x14ac:dyDescent="0.25">
      <c r="A316" s="28">
        <v>2017</v>
      </c>
      <c r="B316" s="28" t="s">
        <v>6138</v>
      </c>
      <c r="C316" s="28" t="s">
        <v>6139</v>
      </c>
      <c r="D316" s="28" t="s">
        <v>6595</v>
      </c>
      <c r="E316" s="28" t="s">
        <v>6207</v>
      </c>
      <c r="F316" s="28" t="s">
        <v>6202</v>
      </c>
      <c r="G316" s="28">
        <v>324110</v>
      </c>
      <c r="H316" s="28" t="s">
        <v>6208</v>
      </c>
      <c r="I316" s="28" t="s">
        <v>6209</v>
      </c>
      <c r="J316" s="28" t="s">
        <v>6210</v>
      </c>
      <c r="K316" s="28" t="s">
        <v>362</v>
      </c>
    </row>
    <row r="317" spans="1:11" x14ac:dyDescent="0.25">
      <c r="A317" s="28">
        <v>2017</v>
      </c>
      <c r="B317" s="28" t="s">
        <v>6138</v>
      </c>
      <c r="C317" s="28" t="s">
        <v>6139</v>
      </c>
      <c r="D317" s="28" t="s">
        <v>6596</v>
      </c>
      <c r="E317" s="28" t="s">
        <v>335</v>
      </c>
      <c r="F317" s="28" t="s">
        <v>6143</v>
      </c>
      <c r="G317" s="28">
        <v>325211</v>
      </c>
      <c r="H317" s="28" t="s">
        <v>204</v>
      </c>
      <c r="I317" s="28" t="s">
        <v>333</v>
      </c>
      <c r="J317" s="28" t="s">
        <v>334</v>
      </c>
      <c r="K317" s="28" t="s">
        <v>303</v>
      </c>
    </row>
    <row r="318" spans="1:11" x14ac:dyDescent="0.25">
      <c r="A318" s="28">
        <v>2017</v>
      </c>
      <c r="B318" s="28" t="s">
        <v>6138</v>
      </c>
      <c r="C318" s="28" t="s">
        <v>6139</v>
      </c>
      <c r="D318" s="28" t="s">
        <v>6597</v>
      </c>
      <c r="E318" s="28" t="s">
        <v>6190</v>
      </c>
      <c r="F318" s="28" t="s">
        <v>6191</v>
      </c>
      <c r="G318" s="28">
        <v>327310</v>
      </c>
      <c r="H318" s="28" t="s">
        <v>6192</v>
      </c>
      <c r="I318" s="28" t="s">
        <v>6193</v>
      </c>
      <c r="J318" s="28" t="s">
        <v>6194</v>
      </c>
      <c r="K318" s="28" t="s">
        <v>541</v>
      </c>
    </row>
    <row r="319" spans="1:11" x14ac:dyDescent="0.25">
      <c r="A319" s="28">
        <v>2017</v>
      </c>
      <c r="B319" s="28" t="s">
        <v>6138</v>
      </c>
      <c r="C319" s="28" t="s">
        <v>6139</v>
      </c>
      <c r="D319" s="28" t="s">
        <v>6598</v>
      </c>
      <c r="E319" s="28" t="s">
        <v>6421</v>
      </c>
      <c r="F319" s="28" t="s">
        <v>6191</v>
      </c>
      <c r="G319" s="28">
        <v>327310</v>
      </c>
      <c r="H319" s="28" t="s">
        <v>6422</v>
      </c>
      <c r="I319" s="28" t="s">
        <v>6423</v>
      </c>
      <c r="J319" s="28" t="s">
        <v>6424</v>
      </c>
      <c r="K319" s="28" t="s">
        <v>385</v>
      </c>
    </row>
    <row r="320" spans="1:11" x14ac:dyDescent="0.25">
      <c r="A320" s="28">
        <v>2017</v>
      </c>
      <c r="B320" s="28" t="s">
        <v>6138</v>
      </c>
      <c r="C320" s="28" t="s">
        <v>6139</v>
      </c>
      <c r="D320" s="28" t="s">
        <v>6599</v>
      </c>
      <c r="E320" s="28" t="s">
        <v>6459</v>
      </c>
      <c r="F320" s="28" t="s">
        <v>6143</v>
      </c>
      <c r="G320" s="28">
        <v>325199</v>
      </c>
      <c r="H320" s="28" t="s">
        <v>40</v>
      </c>
      <c r="I320" s="28" t="s">
        <v>6460</v>
      </c>
      <c r="J320" s="28" t="s">
        <v>334</v>
      </c>
      <c r="K320" s="28" t="s">
        <v>303</v>
      </c>
    </row>
    <row r="321" spans="1:11" x14ac:dyDescent="0.25">
      <c r="A321" s="28">
        <v>2017</v>
      </c>
      <c r="B321" s="28" t="s">
        <v>6138</v>
      </c>
      <c r="C321" s="28" t="s">
        <v>6139</v>
      </c>
      <c r="D321" s="28" t="s">
        <v>6600</v>
      </c>
      <c r="E321" s="28" t="s">
        <v>483</v>
      </c>
      <c r="F321" s="28" t="s">
        <v>6143</v>
      </c>
      <c r="G321" s="28">
        <v>325211</v>
      </c>
      <c r="H321" s="28" t="s">
        <v>2412</v>
      </c>
      <c r="I321" s="28" t="s">
        <v>2413</v>
      </c>
      <c r="J321" s="28" t="s">
        <v>302</v>
      </c>
      <c r="K321" s="28" t="s">
        <v>303</v>
      </c>
    </row>
    <row r="322" spans="1:11" x14ac:dyDescent="0.25">
      <c r="A322" s="28">
        <v>2017</v>
      </c>
      <c r="B322" s="28" t="s">
        <v>6138</v>
      </c>
      <c r="C322" s="28" t="s">
        <v>6139</v>
      </c>
      <c r="D322" s="28" t="s">
        <v>6601</v>
      </c>
      <c r="E322" s="28" t="s">
        <v>6263</v>
      </c>
      <c r="F322" s="28" t="s">
        <v>6163</v>
      </c>
      <c r="G322" s="28">
        <v>562211</v>
      </c>
      <c r="H322" s="28" t="s">
        <v>6264</v>
      </c>
      <c r="I322" s="28" t="s">
        <v>6265</v>
      </c>
      <c r="J322" s="28" t="s">
        <v>6266</v>
      </c>
      <c r="K322" s="28" t="s">
        <v>362</v>
      </c>
    </row>
    <row r="323" spans="1:11" x14ac:dyDescent="0.25">
      <c r="A323" s="28">
        <v>2017</v>
      </c>
      <c r="B323" s="28" t="s">
        <v>6138</v>
      </c>
      <c r="C323" s="28" t="s">
        <v>6139</v>
      </c>
      <c r="D323" s="28" t="s">
        <v>6602</v>
      </c>
      <c r="E323" s="28" t="s">
        <v>6416</v>
      </c>
      <c r="F323" s="28" t="s">
        <v>6191</v>
      </c>
      <c r="G323" s="28">
        <v>327310</v>
      </c>
      <c r="H323" s="28" t="s">
        <v>6417</v>
      </c>
      <c r="I323" s="28" t="s">
        <v>6418</v>
      </c>
      <c r="J323" s="28" t="s">
        <v>6419</v>
      </c>
      <c r="K323" s="28" t="s">
        <v>299</v>
      </c>
    </row>
    <row r="324" spans="1:11" x14ac:dyDescent="0.25">
      <c r="A324" s="28">
        <v>2017</v>
      </c>
      <c r="B324" s="28" t="s">
        <v>6138</v>
      </c>
      <c r="C324" s="28" t="s">
        <v>6139</v>
      </c>
      <c r="D324" s="28" t="s">
        <v>6603</v>
      </c>
      <c r="E324" s="28" t="s">
        <v>369</v>
      </c>
      <c r="F324" s="28" t="s">
        <v>6143</v>
      </c>
      <c r="G324" s="28">
        <v>325998</v>
      </c>
      <c r="H324" s="28" t="s">
        <v>2469</v>
      </c>
      <c r="I324" s="28" t="s">
        <v>2470</v>
      </c>
      <c r="J324" s="28" t="s">
        <v>368</v>
      </c>
      <c r="K324" s="28" t="s">
        <v>349</v>
      </c>
    </row>
    <row r="325" spans="1:11" x14ac:dyDescent="0.25">
      <c r="A325" s="28">
        <v>2017</v>
      </c>
      <c r="B325" s="28" t="s">
        <v>6138</v>
      </c>
      <c r="C325" s="28" t="s">
        <v>6139</v>
      </c>
      <c r="D325" s="28" t="s">
        <v>6604</v>
      </c>
      <c r="E325" s="28" t="s">
        <v>481</v>
      </c>
      <c r="F325" s="28" t="s">
        <v>6143</v>
      </c>
      <c r="G325" s="28">
        <v>325211</v>
      </c>
      <c r="H325" s="28" t="s">
        <v>2414</v>
      </c>
      <c r="I325" s="28" t="s">
        <v>2415</v>
      </c>
      <c r="J325" s="28" t="s">
        <v>480</v>
      </c>
      <c r="K325" s="28" t="s">
        <v>362</v>
      </c>
    </row>
    <row r="326" spans="1:11" x14ac:dyDescent="0.25">
      <c r="A326" s="28">
        <v>2017</v>
      </c>
      <c r="B326" s="28" t="s">
        <v>6138</v>
      </c>
      <c r="C326" s="28" t="s">
        <v>6139</v>
      </c>
      <c r="D326" s="28" t="s">
        <v>6605</v>
      </c>
      <c r="E326" s="28" t="s">
        <v>6201</v>
      </c>
      <c r="F326" s="28" t="s">
        <v>6202</v>
      </c>
      <c r="G326" s="28">
        <v>324110</v>
      </c>
      <c r="H326" s="28" t="s">
        <v>6203</v>
      </c>
      <c r="I326" s="28" t="s">
        <v>6204</v>
      </c>
      <c r="J326" s="28" t="s">
        <v>463</v>
      </c>
      <c r="K326" s="28" t="s">
        <v>362</v>
      </c>
    </row>
    <row r="327" spans="1:11" x14ac:dyDescent="0.25">
      <c r="A327" s="28">
        <v>2017</v>
      </c>
      <c r="B327" s="28" t="s">
        <v>6138</v>
      </c>
      <c r="C327" s="28" t="s">
        <v>6139</v>
      </c>
      <c r="D327" s="28" t="s">
        <v>6606</v>
      </c>
      <c r="E327" s="28" t="s">
        <v>6286</v>
      </c>
      <c r="F327" s="28" t="s">
        <v>6143</v>
      </c>
      <c r="G327" s="28">
        <v>325199</v>
      </c>
      <c r="H327" s="28" t="s">
        <v>6287</v>
      </c>
      <c r="I327" s="28" t="s">
        <v>6288</v>
      </c>
      <c r="J327" s="28" t="s">
        <v>590</v>
      </c>
      <c r="K327" s="28" t="s">
        <v>362</v>
      </c>
    </row>
    <row r="328" spans="1:11" x14ac:dyDescent="0.25">
      <c r="A328" s="28">
        <v>2017</v>
      </c>
      <c r="B328" s="28" t="s">
        <v>6138</v>
      </c>
      <c r="C328" s="28" t="s">
        <v>6139</v>
      </c>
      <c r="D328" s="28" t="s">
        <v>6607</v>
      </c>
      <c r="E328" s="28" t="s">
        <v>438</v>
      </c>
      <c r="F328" s="28" t="s">
        <v>6174</v>
      </c>
      <c r="G328" s="28">
        <v>486990</v>
      </c>
      <c r="H328" s="28" t="s">
        <v>209</v>
      </c>
      <c r="I328" s="28" t="s">
        <v>436</v>
      </c>
      <c r="J328" s="28" t="s">
        <v>437</v>
      </c>
      <c r="K328" s="28" t="s">
        <v>362</v>
      </c>
    </row>
    <row r="329" spans="1:11" x14ac:dyDescent="0.25">
      <c r="A329" s="28">
        <v>2017</v>
      </c>
      <c r="B329" s="28" t="s">
        <v>6138</v>
      </c>
      <c r="C329" s="28" t="s">
        <v>6139</v>
      </c>
      <c r="D329" s="28" t="s">
        <v>6608</v>
      </c>
      <c r="E329" s="28" t="s">
        <v>438</v>
      </c>
      <c r="F329" s="28" t="s">
        <v>6143</v>
      </c>
      <c r="G329" s="28">
        <v>325199</v>
      </c>
      <c r="H329" s="28" t="s">
        <v>209</v>
      </c>
      <c r="I329" s="28" t="s">
        <v>436</v>
      </c>
      <c r="J329" s="28" t="s">
        <v>437</v>
      </c>
      <c r="K329" s="28" t="s">
        <v>362</v>
      </c>
    </row>
    <row r="330" spans="1:11" x14ac:dyDescent="0.25">
      <c r="A330" s="28">
        <v>2017</v>
      </c>
      <c r="B330" s="28" t="s">
        <v>6138</v>
      </c>
      <c r="C330" s="28" t="s">
        <v>6139</v>
      </c>
      <c r="D330" s="28" t="s">
        <v>6609</v>
      </c>
      <c r="E330" s="28" t="s">
        <v>6395</v>
      </c>
      <c r="F330" s="28" t="s">
        <v>6163</v>
      </c>
      <c r="G330" s="28">
        <v>562211</v>
      </c>
      <c r="H330" s="28" t="s">
        <v>6396</v>
      </c>
      <c r="I330" s="28" t="s">
        <v>6397</v>
      </c>
      <c r="J330" s="28" t="s">
        <v>6398</v>
      </c>
      <c r="K330" s="28" t="s">
        <v>319</v>
      </c>
    </row>
    <row r="331" spans="1:11" x14ac:dyDescent="0.25">
      <c r="A331" s="28">
        <v>2017</v>
      </c>
      <c r="B331" s="28" t="s">
        <v>6138</v>
      </c>
      <c r="C331" s="28" t="s">
        <v>6139</v>
      </c>
      <c r="D331" s="28" t="s">
        <v>6610</v>
      </c>
      <c r="E331" s="28" t="s">
        <v>6162</v>
      </c>
      <c r="F331" s="28" t="s">
        <v>6163</v>
      </c>
      <c r="G331" s="28">
        <v>562211</v>
      </c>
      <c r="H331" s="28" t="s">
        <v>6164</v>
      </c>
      <c r="I331" s="28" t="s">
        <v>6165</v>
      </c>
      <c r="J331" s="28" t="s">
        <v>6166</v>
      </c>
      <c r="K331" s="28" t="s">
        <v>1415</v>
      </c>
    </row>
    <row r="332" spans="1:11" x14ac:dyDescent="0.25">
      <c r="A332" s="28">
        <v>2017</v>
      </c>
      <c r="B332" s="28" t="s">
        <v>6138</v>
      </c>
      <c r="C332" s="28" t="s">
        <v>6139</v>
      </c>
      <c r="D332" s="28" t="s">
        <v>6611</v>
      </c>
      <c r="E332" s="28" t="s">
        <v>6282</v>
      </c>
      <c r="F332" s="28" t="s">
        <v>6163</v>
      </c>
      <c r="G332" s="28">
        <v>562211</v>
      </c>
      <c r="H332" s="28" t="s">
        <v>6283</v>
      </c>
      <c r="I332" s="28" t="s">
        <v>6284</v>
      </c>
      <c r="J332" s="28" t="s">
        <v>361</v>
      </c>
      <c r="K332" s="28" t="s">
        <v>362</v>
      </c>
    </row>
    <row r="333" spans="1:11" x14ac:dyDescent="0.25">
      <c r="A333" s="28">
        <v>2017</v>
      </c>
      <c r="B333" s="28" t="s">
        <v>6138</v>
      </c>
      <c r="C333" s="28" t="s">
        <v>6139</v>
      </c>
      <c r="D333" s="28" t="s">
        <v>6612</v>
      </c>
      <c r="E333" s="28" t="s">
        <v>644</v>
      </c>
      <c r="F333" s="28" t="s">
        <v>6143</v>
      </c>
      <c r="G333" s="28">
        <v>325199</v>
      </c>
      <c r="H333" s="28" t="s">
        <v>220</v>
      </c>
      <c r="I333" s="28" t="s">
        <v>643</v>
      </c>
      <c r="J333" s="28" t="s">
        <v>334</v>
      </c>
      <c r="K333" s="28" t="s">
        <v>303</v>
      </c>
    </row>
    <row r="334" spans="1:11" x14ac:dyDescent="0.25">
      <c r="A334" s="28">
        <v>2017</v>
      </c>
      <c r="B334" s="28" t="s">
        <v>6138</v>
      </c>
      <c r="C334" s="28" t="s">
        <v>6139</v>
      </c>
      <c r="D334" s="28" t="s">
        <v>6613</v>
      </c>
      <c r="E334" s="28" t="s">
        <v>6252</v>
      </c>
      <c r="F334" s="28" t="s">
        <v>6191</v>
      </c>
      <c r="G334" s="28">
        <v>327992</v>
      </c>
      <c r="H334" s="28" t="s">
        <v>6253</v>
      </c>
      <c r="I334" s="28" t="s">
        <v>6254</v>
      </c>
      <c r="J334" s="28" t="s">
        <v>6255</v>
      </c>
      <c r="K334" s="28" t="s">
        <v>450</v>
      </c>
    </row>
    <row r="335" spans="1:11" x14ac:dyDescent="0.25">
      <c r="A335" s="28">
        <v>2017</v>
      </c>
      <c r="B335" s="28" t="s">
        <v>6138</v>
      </c>
      <c r="C335" s="28" t="s">
        <v>6139</v>
      </c>
      <c r="D335" s="28" t="s">
        <v>6614</v>
      </c>
      <c r="E335" s="28" t="s">
        <v>413</v>
      </c>
      <c r="F335" s="28" t="s">
        <v>6163</v>
      </c>
      <c r="G335" s="28">
        <v>562211</v>
      </c>
      <c r="H335" s="28" t="s">
        <v>128</v>
      </c>
      <c r="I335" s="28" t="s">
        <v>2408</v>
      </c>
      <c r="J335" s="28" t="s">
        <v>412</v>
      </c>
      <c r="K335" s="28" t="s">
        <v>299</v>
      </c>
    </row>
    <row r="336" spans="1:11" x14ac:dyDescent="0.25">
      <c r="A336" s="28">
        <v>2017</v>
      </c>
      <c r="B336" s="28" t="s">
        <v>6138</v>
      </c>
      <c r="C336" s="28" t="s">
        <v>6139</v>
      </c>
      <c r="D336" s="28" t="s">
        <v>6615</v>
      </c>
      <c r="E336" s="28" t="s">
        <v>6218</v>
      </c>
      <c r="F336" s="28" t="s">
        <v>6163</v>
      </c>
      <c r="G336" s="28">
        <v>562211</v>
      </c>
      <c r="H336" s="28" t="s">
        <v>6219</v>
      </c>
      <c r="I336" s="28" t="s">
        <v>6220</v>
      </c>
      <c r="J336" s="28" t="s">
        <v>6221</v>
      </c>
      <c r="K336" s="28" t="s">
        <v>1101</v>
      </c>
    </row>
    <row r="337" spans="1:11" x14ac:dyDescent="0.25">
      <c r="A337" s="28">
        <v>2017</v>
      </c>
      <c r="B337" s="28" t="s">
        <v>6138</v>
      </c>
      <c r="C337" s="28" t="s">
        <v>6139</v>
      </c>
      <c r="D337" s="28" t="s">
        <v>6616</v>
      </c>
      <c r="E337" s="28" t="s">
        <v>668</v>
      </c>
      <c r="F337" s="28" t="s">
        <v>6143</v>
      </c>
      <c r="G337" s="28">
        <v>325199</v>
      </c>
      <c r="H337" s="28" t="s">
        <v>202</v>
      </c>
      <c r="I337" s="28" t="s">
        <v>2426</v>
      </c>
      <c r="J337" s="28" t="s">
        <v>323</v>
      </c>
      <c r="K337" s="28" t="s">
        <v>324</v>
      </c>
    </row>
    <row r="338" spans="1:11" x14ac:dyDescent="0.25">
      <c r="A338" s="28">
        <v>2017</v>
      </c>
      <c r="B338" s="28" t="s">
        <v>6138</v>
      </c>
      <c r="C338" s="28" t="s">
        <v>6139</v>
      </c>
      <c r="D338" s="28" t="s">
        <v>6617</v>
      </c>
      <c r="E338" s="28" t="s">
        <v>6426</v>
      </c>
      <c r="F338" s="28" t="s">
        <v>6143</v>
      </c>
      <c r="G338" s="28">
        <v>325199</v>
      </c>
      <c r="H338" s="28" t="s">
        <v>6427</v>
      </c>
      <c r="I338" s="28" t="s">
        <v>6428</v>
      </c>
      <c r="J338" s="28" t="s">
        <v>1284</v>
      </c>
      <c r="K338" s="28" t="s">
        <v>324</v>
      </c>
    </row>
    <row r="339" spans="1:11" x14ac:dyDescent="0.25">
      <c r="A339" s="28">
        <v>2017</v>
      </c>
      <c r="B339" s="28" t="s">
        <v>6138</v>
      </c>
      <c r="C339" s="28" t="s">
        <v>6139</v>
      </c>
      <c r="D339" s="28" t="s">
        <v>6618</v>
      </c>
      <c r="E339" s="28" t="s">
        <v>346</v>
      </c>
      <c r="F339" s="28" t="s">
        <v>6143</v>
      </c>
      <c r="G339" s="28">
        <v>325613</v>
      </c>
      <c r="H339" s="28" t="s">
        <v>205</v>
      </c>
      <c r="I339" s="28" t="s">
        <v>343</v>
      </c>
      <c r="J339" s="28" t="s">
        <v>344</v>
      </c>
      <c r="K339" s="28" t="s">
        <v>345</v>
      </c>
    </row>
    <row r="340" spans="1:11" x14ac:dyDescent="0.25">
      <c r="A340" s="28">
        <v>2018</v>
      </c>
      <c r="B340" s="28" t="s">
        <v>6138</v>
      </c>
      <c r="C340" s="28" t="s">
        <v>6139</v>
      </c>
      <c r="D340" s="28" t="s">
        <v>6619</v>
      </c>
      <c r="E340" s="28" t="s">
        <v>325</v>
      </c>
      <c r="F340" s="28" t="s">
        <v>6143</v>
      </c>
      <c r="G340" s="28">
        <v>325199</v>
      </c>
      <c r="H340" s="28" t="s">
        <v>105</v>
      </c>
      <c r="I340" s="28" t="s">
        <v>322</v>
      </c>
      <c r="J340" s="28" t="s">
        <v>323</v>
      </c>
      <c r="K340" s="28" t="s">
        <v>324</v>
      </c>
    </row>
    <row r="341" spans="1:11" x14ac:dyDescent="0.25">
      <c r="A341" s="28">
        <v>2018</v>
      </c>
      <c r="B341" s="28" t="s">
        <v>6138</v>
      </c>
      <c r="C341" s="28" t="s">
        <v>6139</v>
      </c>
      <c r="D341" s="28" t="s">
        <v>6620</v>
      </c>
      <c r="E341" s="28" t="s">
        <v>6146</v>
      </c>
      <c r="F341" s="28" t="s">
        <v>6143</v>
      </c>
      <c r="G341" s="28">
        <v>325998</v>
      </c>
      <c r="H341" s="28" t="s">
        <v>6147</v>
      </c>
      <c r="I341" s="28" t="s">
        <v>6148</v>
      </c>
      <c r="J341" s="28" t="s">
        <v>6149</v>
      </c>
      <c r="K341" s="28" t="s">
        <v>6150</v>
      </c>
    </row>
    <row r="342" spans="1:11" x14ac:dyDescent="0.25">
      <c r="A342" s="28">
        <v>2018</v>
      </c>
      <c r="B342" s="28" t="s">
        <v>6138</v>
      </c>
      <c r="C342" s="28" t="s">
        <v>6139</v>
      </c>
      <c r="D342" s="28" t="s">
        <v>6621</v>
      </c>
      <c r="E342" s="28" t="s">
        <v>677</v>
      </c>
      <c r="F342" s="28" t="s">
        <v>6153</v>
      </c>
      <c r="G342" s="28">
        <v>424690</v>
      </c>
      <c r="H342" s="28" t="s">
        <v>675</v>
      </c>
      <c r="I342" s="28" t="s">
        <v>676</v>
      </c>
      <c r="J342" s="28" t="s">
        <v>516</v>
      </c>
      <c r="K342" s="28" t="s">
        <v>303</v>
      </c>
    </row>
    <row r="343" spans="1:11" x14ac:dyDescent="0.25">
      <c r="A343" s="28">
        <v>2018</v>
      </c>
      <c r="B343" s="28" t="s">
        <v>6138</v>
      </c>
      <c r="C343" s="28" t="s">
        <v>6139</v>
      </c>
      <c r="D343" s="28" t="s">
        <v>6622</v>
      </c>
      <c r="E343" s="28" t="s">
        <v>6278</v>
      </c>
      <c r="F343" s="28" t="s">
        <v>6143</v>
      </c>
      <c r="G343" s="28">
        <v>325199</v>
      </c>
      <c r="H343" s="28" t="s">
        <v>6279</v>
      </c>
      <c r="I343" s="28" t="s">
        <v>6280</v>
      </c>
      <c r="J343" s="28" t="s">
        <v>412</v>
      </c>
      <c r="K343" s="28" t="s">
        <v>299</v>
      </c>
    </row>
    <row r="344" spans="1:11" x14ac:dyDescent="0.25">
      <c r="A344" s="28">
        <v>2018</v>
      </c>
      <c r="B344" s="28" t="s">
        <v>6138</v>
      </c>
      <c r="C344" s="28" t="s">
        <v>6139</v>
      </c>
      <c r="D344" s="28" t="s">
        <v>6623</v>
      </c>
      <c r="E344" s="28" t="s">
        <v>682</v>
      </c>
      <c r="F344" s="28" t="s">
        <v>6143</v>
      </c>
      <c r="G344" s="28">
        <v>325199</v>
      </c>
      <c r="H344" s="28" t="s">
        <v>679</v>
      </c>
      <c r="I344" s="28" t="s">
        <v>680</v>
      </c>
      <c r="J344" s="28" t="s">
        <v>681</v>
      </c>
      <c r="K344" s="28" t="s">
        <v>328</v>
      </c>
    </row>
    <row r="345" spans="1:11" x14ac:dyDescent="0.25">
      <c r="A345" s="28">
        <v>2018</v>
      </c>
      <c r="B345" s="28" t="s">
        <v>6138</v>
      </c>
      <c r="C345" s="28" t="s">
        <v>6139</v>
      </c>
      <c r="D345" s="28" t="s">
        <v>6624</v>
      </c>
      <c r="E345" s="28" t="s">
        <v>593</v>
      </c>
      <c r="F345" s="28" t="s">
        <v>6143</v>
      </c>
      <c r="G345" s="28">
        <v>325199</v>
      </c>
      <c r="H345" s="28" t="s">
        <v>217</v>
      </c>
      <c r="I345" s="28" t="s">
        <v>592</v>
      </c>
      <c r="J345" s="28" t="s">
        <v>590</v>
      </c>
      <c r="K345" s="28" t="s">
        <v>362</v>
      </c>
    </row>
    <row r="346" spans="1:11" x14ac:dyDescent="0.25">
      <c r="A346" s="28">
        <v>2018</v>
      </c>
      <c r="B346" s="28" t="s">
        <v>6138</v>
      </c>
      <c r="C346" s="28" t="s">
        <v>6139</v>
      </c>
      <c r="D346" s="28" t="s">
        <v>6625</v>
      </c>
      <c r="E346" s="28" t="s">
        <v>6155</v>
      </c>
      <c r="F346" s="28" t="s">
        <v>6143</v>
      </c>
      <c r="G346" s="28">
        <v>325180</v>
      </c>
      <c r="H346" s="28" t="s">
        <v>6156</v>
      </c>
      <c r="I346" s="28" t="s">
        <v>6157</v>
      </c>
      <c r="J346" s="28" t="s">
        <v>6158</v>
      </c>
      <c r="K346" s="28" t="s">
        <v>299</v>
      </c>
    </row>
    <row r="347" spans="1:11" x14ac:dyDescent="0.25">
      <c r="A347" s="28">
        <v>2018</v>
      </c>
      <c r="B347" s="28" t="s">
        <v>6138</v>
      </c>
      <c r="C347" s="28" t="s">
        <v>6139</v>
      </c>
      <c r="D347" s="28" t="s">
        <v>6626</v>
      </c>
      <c r="E347" s="28" t="s">
        <v>350</v>
      </c>
      <c r="F347" s="28" t="s">
        <v>6143</v>
      </c>
      <c r="G347" s="28">
        <v>325320</v>
      </c>
      <c r="H347" s="28" t="s">
        <v>206</v>
      </c>
      <c r="I347" s="28" t="s">
        <v>347</v>
      </c>
      <c r="J347" s="28" t="s">
        <v>348</v>
      </c>
      <c r="K347" s="28" t="s">
        <v>349</v>
      </c>
    </row>
    <row r="348" spans="1:11" x14ac:dyDescent="0.25">
      <c r="A348" s="28">
        <v>2018</v>
      </c>
      <c r="B348" s="28" t="s">
        <v>6138</v>
      </c>
      <c r="C348" s="28" t="s">
        <v>6139</v>
      </c>
      <c r="D348" s="28" t="s">
        <v>6627</v>
      </c>
      <c r="E348" s="28" t="s">
        <v>524</v>
      </c>
      <c r="F348" s="28" t="s">
        <v>6143</v>
      </c>
      <c r="G348" s="28">
        <v>325199</v>
      </c>
      <c r="H348" s="28" t="s">
        <v>212</v>
      </c>
      <c r="I348" s="28" t="s">
        <v>523</v>
      </c>
      <c r="J348" s="28" t="s">
        <v>437</v>
      </c>
      <c r="K348" s="28" t="s">
        <v>362</v>
      </c>
    </row>
    <row r="349" spans="1:11" x14ac:dyDescent="0.25">
      <c r="A349" s="28">
        <v>2018</v>
      </c>
      <c r="B349" s="28" t="s">
        <v>6138</v>
      </c>
      <c r="C349" s="28" t="s">
        <v>6139</v>
      </c>
      <c r="D349" s="28" t="s">
        <v>6628</v>
      </c>
      <c r="E349" s="28" t="s">
        <v>6296</v>
      </c>
      <c r="F349" s="28" t="s">
        <v>6143</v>
      </c>
      <c r="G349" s="28">
        <v>325199</v>
      </c>
      <c r="H349" s="28" t="s">
        <v>6297</v>
      </c>
      <c r="I349" s="28" t="s">
        <v>6298</v>
      </c>
      <c r="J349" s="28" t="s">
        <v>6299</v>
      </c>
      <c r="K349" s="28" t="s">
        <v>319</v>
      </c>
    </row>
    <row r="350" spans="1:11" x14ac:dyDescent="0.25">
      <c r="A350" s="28">
        <v>2018</v>
      </c>
      <c r="B350" s="28" t="s">
        <v>6138</v>
      </c>
      <c r="C350" s="28" t="s">
        <v>6139</v>
      </c>
      <c r="D350" s="28" t="s">
        <v>6629</v>
      </c>
      <c r="E350" s="28" t="s">
        <v>6630</v>
      </c>
      <c r="F350" s="28" t="s">
        <v>6143</v>
      </c>
      <c r="G350" s="28">
        <v>325998</v>
      </c>
      <c r="H350" s="28" t="s">
        <v>6631</v>
      </c>
      <c r="I350" s="28" t="s">
        <v>6632</v>
      </c>
      <c r="J350" s="28" t="s">
        <v>334</v>
      </c>
      <c r="K350" s="28" t="s">
        <v>303</v>
      </c>
    </row>
    <row r="351" spans="1:11" x14ac:dyDescent="0.25">
      <c r="A351" s="28">
        <v>2018</v>
      </c>
      <c r="B351" s="28" t="s">
        <v>6138</v>
      </c>
      <c r="C351" s="28" t="s">
        <v>6139</v>
      </c>
      <c r="D351" s="28" t="s">
        <v>6633</v>
      </c>
      <c r="E351" s="28" t="s">
        <v>6634</v>
      </c>
      <c r="F351" s="28" t="s">
        <v>6163</v>
      </c>
      <c r="G351" s="28">
        <v>562211</v>
      </c>
      <c r="H351" s="28" t="s">
        <v>6635</v>
      </c>
      <c r="I351" s="28" t="s">
        <v>6636</v>
      </c>
      <c r="J351" s="28" t="s">
        <v>6637</v>
      </c>
      <c r="K351" s="28" t="s">
        <v>385</v>
      </c>
    </row>
    <row r="352" spans="1:11" x14ac:dyDescent="0.25">
      <c r="A352" s="28">
        <v>2018</v>
      </c>
      <c r="B352" s="28" t="s">
        <v>6138</v>
      </c>
      <c r="C352" s="28" t="s">
        <v>6139</v>
      </c>
      <c r="D352" s="28" t="s">
        <v>6638</v>
      </c>
      <c r="E352" s="28" t="s">
        <v>6421</v>
      </c>
      <c r="F352" s="28" t="s">
        <v>6191</v>
      </c>
      <c r="G352" s="28">
        <v>327310</v>
      </c>
      <c r="H352" s="28" t="s">
        <v>6422</v>
      </c>
      <c r="I352" s="28" t="s">
        <v>6423</v>
      </c>
      <c r="J352" s="28" t="s">
        <v>6424</v>
      </c>
      <c r="K352" s="28" t="s">
        <v>385</v>
      </c>
    </row>
    <row r="353" spans="1:11" x14ac:dyDescent="0.25">
      <c r="A353" s="28">
        <v>2018</v>
      </c>
      <c r="B353" s="28" t="s">
        <v>6138</v>
      </c>
      <c r="C353" s="28" t="s">
        <v>6139</v>
      </c>
      <c r="D353" s="28" t="s">
        <v>6639</v>
      </c>
      <c r="E353" s="28" t="s">
        <v>6446</v>
      </c>
      <c r="F353" s="28" t="s">
        <v>6163</v>
      </c>
      <c r="G353" s="28">
        <v>562211</v>
      </c>
      <c r="H353" s="28" t="s">
        <v>6447</v>
      </c>
      <c r="I353" s="28" t="s">
        <v>6448</v>
      </c>
      <c r="J353" s="28" t="s">
        <v>293</v>
      </c>
      <c r="K353" s="28" t="s">
        <v>1008</v>
      </c>
    </row>
    <row r="354" spans="1:11" x14ac:dyDescent="0.25">
      <c r="A354" s="28">
        <v>2018</v>
      </c>
      <c r="B354" s="28" t="s">
        <v>6138</v>
      </c>
      <c r="C354" s="28" t="s">
        <v>6139</v>
      </c>
      <c r="D354" s="28" t="s">
        <v>6640</v>
      </c>
      <c r="E354" s="28" t="s">
        <v>6641</v>
      </c>
      <c r="F354" s="28" t="s">
        <v>6163</v>
      </c>
      <c r="G354" s="28">
        <v>562211</v>
      </c>
      <c r="H354" s="28" t="s">
        <v>6642</v>
      </c>
      <c r="I354" s="28" t="s">
        <v>6643</v>
      </c>
      <c r="J354" s="28" t="s">
        <v>6644</v>
      </c>
      <c r="K354" s="28" t="s">
        <v>345</v>
      </c>
    </row>
    <row r="355" spans="1:11" x14ac:dyDescent="0.25">
      <c r="A355" s="28">
        <v>2018</v>
      </c>
      <c r="B355" s="28" t="s">
        <v>6138</v>
      </c>
      <c r="C355" s="28" t="s">
        <v>6139</v>
      </c>
      <c r="D355" s="28" t="s">
        <v>6645</v>
      </c>
      <c r="E355" s="28" t="s">
        <v>6168</v>
      </c>
      <c r="F355" s="28" t="s">
        <v>6143</v>
      </c>
      <c r="G355" s="28">
        <v>325199</v>
      </c>
      <c r="H355" s="28" t="s">
        <v>6169</v>
      </c>
      <c r="I355" s="28" t="s">
        <v>6170</v>
      </c>
      <c r="J355" s="28" t="s">
        <v>463</v>
      </c>
      <c r="K355" s="28" t="s">
        <v>362</v>
      </c>
    </row>
    <row r="356" spans="1:11" x14ac:dyDescent="0.25">
      <c r="A356" s="28">
        <v>2018</v>
      </c>
      <c r="B356" s="28" t="s">
        <v>6138</v>
      </c>
      <c r="C356" s="28" t="s">
        <v>6139</v>
      </c>
      <c r="D356" s="28" t="s">
        <v>6646</v>
      </c>
      <c r="E356" s="28" t="s">
        <v>642</v>
      </c>
      <c r="F356" s="28" t="s">
        <v>6143</v>
      </c>
      <c r="G356" s="28">
        <v>325320</v>
      </c>
      <c r="H356" s="28" t="s">
        <v>219</v>
      </c>
      <c r="I356" s="28" t="s">
        <v>641</v>
      </c>
      <c r="J356" s="28" t="s">
        <v>426</v>
      </c>
      <c r="K356" s="28" t="s">
        <v>427</v>
      </c>
    </row>
    <row r="357" spans="1:11" x14ac:dyDescent="0.25">
      <c r="A357" s="28">
        <v>2018</v>
      </c>
      <c r="B357" s="28" t="s">
        <v>6138</v>
      </c>
      <c r="C357" s="28" t="s">
        <v>6139</v>
      </c>
      <c r="D357" s="28" t="s">
        <v>6647</v>
      </c>
      <c r="E357" s="28" t="s">
        <v>402</v>
      </c>
      <c r="F357" s="28" t="s">
        <v>6202</v>
      </c>
      <c r="G357" s="28">
        <v>324110</v>
      </c>
      <c r="H357" s="28" t="s">
        <v>207</v>
      </c>
      <c r="I357" s="28" t="s">
        <v>400</v>
      </c>
      <c r="J357" s="28" t="s">
        <v>401</v>
      </c>
      <c r="K357" s="28" t="s">
        <v>385</v>
      </c>
    </row>
    <row r="358" spans="1:11" x14ac:dyDescent="0.25">
      <c r="A358" s="28">
        <v>2018</v>
      </c>
      <c r="B358" s="28" t="s">
        <v>6138</v>
      </c>
      <c r="C358" s="28" t="s">
        <v>6139</v>
      </c>
      <c r="D358" s="28" t="s">
        <v>6648</v>
      </c>
      <c r="E358" s="28" t="s">
        <v>335</v>
      </c>
      <c r="F358" s="28" t="s">
        <v>6143</v>
      </c>
      <c r="G358" s="28">
        <v>325211</v>
      </c>
      <c r="H358" s="28" t="s">
        <v>204</v>
      </c>
      <c r="I358" s="28" t="s">
        <v>333</v>
      </c>
      <c r="J358" s="28" t="s">
        <v>334</v>
      </c>
      <c r="K358" s="28" t="s">
        <v>303</v>
      </c>
    </row>
    <row r="359" spans="1:11" x14ac:dyDescent="0.25">
      <c r="A359" s="28">
        <v>2018</v>
      </c>
      <c r="B359" s="28" t="s">
        <v>6138</v>
      </c>
      <c r="C359" s="28" t="s">
        <v>6139</v>
      </c>
      <c r="D359" s="28" t="s">
        <v>6649</v>
      </c>
      <c r="E359" s="28" t="s">
        <v>6190</v>
      </c>
      <c r="F359" s="28" t="s">
        <v>6191</v>
      </c>
      <c r="G359" s="28">
        <v>327310</v>
      </c>
      <c r="H359" s="28" t="s">
        <v>6192</v>
      </c>
      <c r="I359" s="28" t="s">
        <v>6193</v>
      </c>
      <c r="J359" s="28" t="s">
        <v>6194</v>
      </c>
      <c r="K359" s="28" t="s">
        <v>541</v>
      </c>
    </row>
    <row r="360" spans="1:11" x14ac:dyDescent="0.25">
      <c r="A360" s="28">
        <v>2018</v>
      </c>
      <c r="B360" s="28" t="s">
        <v>6138</v>
      </c>
      <c r="C360" s="28" t="s">
        <v>6139</v>
      </c>
      <c r="D360" s="28" t="s">
        <v>6650</v>
      </c>
      <c r="E360" s="28" t="s">
        <v>565</v>
      </c>
      <c r="F360" s="28" t="s">
        <v>6143</v>
      </c>
      <c r="G360" s="28">
        <v>325320</v>
      </c>
      <c r="H360" s="28" t="s">
        <v>214</v>
      </c>
      <c r="I360" s="28" t="s">
        <v>562</v>
      </c>
      <c r="J360" s="28" t="s">
        <v>563</v>
      </c>
      <c r="K360" s="28" t="s">
        <v>564</v>
      </c>
    </row>
    <row r="361" spans="1:11" x14ac:dyDescent="0.25">
      <c r="A361" s="28">
        <v>2018</v>
      </c>
      <c r="B361" s="28" t="s">
        <v>6138</v>
      </c>
      <c r="C361" s="28" t="s">
        <v>6139</v>
      </c>
      <c r="D361" s="28" t="s">
        <v>6651</v>
      </c>
      <c r="E361" s="28" t="s">
        <v>718</v>
      </c>
      <c r="F361" s="28" t="s">
        <v>6143</v>
      </c>
      <c r="G361" s="28">
        <v>325199</v>
      </c>
      <c r="H361" s="28" t="s">
        <v>6305</v>
      </c>
      <c r="I361" s="28" t="s">
        <v>6306</v>
      </c>
      <c r="J361" s="28" t="s">
        <v>1135</v>
      </c>
      <c r="K361" s="28" t="s">
        <v>299</v>
      </c>
    </row>
    <row r="362" spans="1:11" x14ac:dyDescent="0.25">
      <c r="A362" s="28">
        <v>2018</v>
      </c>
      <c r="B362" s="28" t="s">
        <v>6138</v>
      </c>
      <c r="C362" s="28" t="s">
        <v>6139</v>
      </c>
      <c r="D362" s="28" t="s">
        <v>6652</v>
      </c>
      <c r="E362" s="28" t="s">
        <v>514</v>
      </c>
      <c r="F362" s="28" t="s">
        <v>6143</v>
      </c>
      <c r="G362" s="28">
        <v>325199</v>
      </c>
      <c r="H362" s="28" t="s">
        <v>2417</v>
      </c>
      <c r="I362" s="28" t="s">
        <v>2418</v>
      </c>
      <c r="J362" s="28" t="s">
        <v>302</v>
      </c>
      <c r="K362" s="28" t="s">
        <v>303</v>
      </c>
    </row>
    <row r="363" spans="1:11" x14ac:dyDescent="0.25">
      <c r="A363" s="28">
        <v>2018</v>
      </c>
      <c r="B363" s="28" t="s">
        <v>6138</v>
      </c>
      <c r="C363" s="28" t="s">
        <v>6139</v>
      </c>
      <c r="D363" s="28" t="s">
        <v>6653</v>
      </c>
      <c r="E363" s="28" t="s">
        <v>438</v>
      </c>
      <c r="F363" s="28" t="s">
        <v>6174</v>
      </c>
      <c r="G363" s="28">
        <v>486990</v>
      </c>
      <c r="H363" s="28" t="s">
        <v>209</v>
      </c>
      <c r="I363" s="28" t="s">
        <v>436</v>
      </c>
      <c r="J363" s="28" t="s">
        <v>437</v>
      </c>
      <c r="K363" s="28" t="s">
        <v>362</v>
      </c>
    </row>
    <row r="364" spans="1:11" x14ac:dyDescent="0.25">
      <c r="A364" s="28">
        <v>2018</v>
      </c>
      <c r="B364" s="28" t="s">
        <v>6138</v>
      </c>
      <c r="C364" s="28" t="s">
        <v>6139</v>
      </c>
      <c r="D364" s="28" t="s">
        <v>6654</v>
      </c>
      <c r="E364" s="28" t="s">
        <v>588</v>
      </c>
      <c r="F364" s="28" t="s">
        <v>6143</v>
      </c>
      <c r="G364" s="28">
        <v>325180</v>
      </c>
      <c r="H364" s="28" t="s">
        <v>216</v>
      </c>
      <c r="I364" s="28" t="s">
        <v>586</v>
      </c>
      <c r="J364" s="28" t="s">
        <v>587</v>
      </c>
      <c r="K364" s="28" t="s">
        <v>303</v>
      </c>
    </row>
    <row r="365" spans="1:11" x14ac:dyDescent="0.25">
      <c r="A365" s="28">
        <v>2018</v>
      </c>
      <c r="B365" s="28" t="s">
        <v>6138</v>
      </c>
      <c r="C365" s="28" t="s">
        <v>6139</v>
      </c>
      <c r="D365" s="28" t="s">
        <v>6655</v>
      </c>
      <c r="E365" s="28" t="s">
        <v>6416</v>
      </c>
      <c r="F365" s="28" t="s">
        <v>6191</v>
      </c>
      <c r="G365" s="28">
        <v>327310</v>
      </c>
      <c r="H365" s="28" t="s">
        <v>6417</v>
      </c>
      <c r="I365" s="28" t="s">
        <v>6418</v>
      </c>
      <c r="J365" s="28" t="s">
        <v>6419</v>
      </c>
      <c r="K365" s="28" t="s">
        <v>299</v>
      </c>
    </row>
    <row r="366" spans="1:11" x14ac:dyDescent="0.25">
      <c r="A366" s="28">
        <v>2018</v>
      </c>
      <c r="B366" s="28" t="s">
        <v>6138</v>
      </c>
      <c r="C366" s="28" t="s">
        <v>6139</v>
      </c>
      <c r="D366" s="28" t="s">
        <v>6656</v>
      </c>
      <c r="E366" s="28" t="s">
        <v>413</v>
      </c>
      <c r="F366" s="28" t="s">
        <v>6163</v>
      </c>
      <c r="G366" s="28">
        <v>562211</v>
      </c>
      <c r="H366" s="28" t="s">
        <v>128</v>
      </c>
      <c r="I366" s="28" t="s">
        <v>2408</v>
      </c>
      <c r="J366" s="28" t="s">
        <v>412</v>
      </c>
      <c r="K366" s="28" t="s">
        <v>299</v>
      </c>
    </row>
    <row r="367" spans="1:11" x14ac:dyDescent="0.25">
      <c r="A367" s="28">
        <v>2018</v>
      </c>
      <c r="B367" s="28" t="s">
        <v>6138</v>
      </c>
      <c r="C367" s="28" t="s">
        <v>6139</v>
      </c>
      <c r="D367" s="28" t="s">
        <v>6657</v>
      </c>
      <c r="E367" s="28" t="s">
        <v>6263</v>
      </c>
      <c r="F367" s="28" t="s">
        <v>6163</v>
      </c>
      <c r="G367" s="28">
        <v>562211</v>
      </c>
      <c r="H367" s="28" t="s">
        <v>6264</v>
      </c>
      <c r="I367" s="28" t="s">
        <v>6265</v>
      </c>
      <c r="J367" s="28" t="s">
        <v>6266</v>
      </c>
      <c r="K367" s="28" t="s">
        <v>362</v>
      </c>
    </row>
    <row r="368" spans="1:11" x14ac:dyDescent="0.25">
      <c r="A368" s="28">
        <v>2018</v>
      </c>
      <c r="B368" s="28" t="s">
        <v>6138</v>
      </c>
      <c r="C368" s="28" t="s">
        <v>6139</v>
      </c>
      <c r="D368" s="28" t="s">
        <v>6658</v>
      </c>
      <c r="E368" s="28" t="s">
        <v>6235</v>
      </c>
      <c r="F368" s="28" t="s">
        <v>6143</v>
      </c>
      <c r="G368" s="28">
        <v>325998</v>
      </c>
      <c r="H368" s="28" t="s">
        <v>6236</v>
      </c>
      <c r="I368" s="28" t="s">
        <v>6237</v>
      </c>
      <c r="J368" s="28" t="s">
        <v>6238</v>
      </c>
      <c r="K368" s="28" t="s">
        <v>686</v>
      </c>
    </row>
    <row r="369" spans="1:11" x14ac:dyDescent="0.25">
      <c r="A369" s="28">
        <v>2018</v>
      </c>
      <c r="B369" s="28" t="s">
        <v>6138</v>
      </c>
      <c r="C369" s="28" t="s">
        <v>6139</v>
      </c>
      <c r="D369" s="28" t="s">
        <v>6659</v>
      </c>
      <c r="E369" s="28" t="s">
        <v>6162</v>
      </c>
      <c r="F369" s="28" t="s">
        <v>6163</v>
      </c>
      <c r="G369" s="28">
        <v>562211</v>
      </c>
      <c r="H369" s="28" t="s">
        <v>6164</v>
      </c>
      <c r="I369" s="28" t="s">
        <v>6165</v>
      </c>
      <c r="J369" s="28" t="s">
        <v>6166</v>
      </c>
      <c r="K369" s="28" t="s">
        <v>1415</v>
      </c>
    </row>
    <row r="370" spans="1:11" x14ac:dyDescent="0.25">
      <c r="A370" s="28">
        <v>2018</v>
      </c>
      <c r="B370" s="28" t="s">
        <v>6138</v>
      </c>
      <c r="C370" s="28" t="s">
        <v>6139</v>
      </c>
      <c r="D370" s="28" t="s">
        <v>6660</v>
      </c>
      <c r="E370" s="28" t="s">
        <v>512</v>
      </c>
      <c r="F370" s="28" t="s">
        <v>6163</v>
      </c>
      <c r="G370" s="28">
        <v>562213</v>
      </c>
      <c r="H370" s="28" t="s">
        <v>211</v>
      </c>
      <c r="I370" s="28" t="s">
        <v>510</v>
      </c>
      <c r="J370" s="28" t="s">
        <v>511</v>
      </c>
      <c r="K370" s="28" t="s">
        <v>319</v>
      </c>
    </row>
    <row r="371" spans="1:11" x14ac:dyDescent="0.25">
      <c r="A371" s="28">
        <v>2018</v>
      </c>
      <c r="B371" s="28" t="s">
        <v>6138</v>
      </c>
      <c r="C371" s="28" t="s">
        <v>6139</v>
      </c>
      <c r="D371" s="28" t="s">
        <v>6661</v>
      </c>
      <c r="E371" s="28" t="s">
        <v>576</v>
      </c>
      <c r="F371" s="28" t="s">
        <v>6143</v>
      </c>
      <c r="G371" s="28">
        <v>325199</v>
      </c>
      <c r="H371" s="28" t="s">
        <v>215</v>
      </c>
      <c r="I371" s="28" t="s">
        <v>574</v>
      </c>
      <c r="J371" s="28" t="s">
        <v>575</v>
      </c>
      <c r="K371" s="28" t="s">
        <v>435</v>
      </c>
    </row>
    <row r="372" spans="1:11" x14ac:dyDescent="0.25">
      <c r="A372" s="28">
        <v>2018</v>
      </c>
      <c r="B372" s="28" t="s">
        <v>6138</v>
      </c>
      <c r="C372" s="28" t="s">
        <v>6139</v>
      </c>
      <c r="D372" s="28" t="s">
        <v>6662</v>
      </c>
      <c r="E372" s="28" t="s">
        <v>709</v>
      </c>
      <c r="F372" s="28" t="s">
        <v>6191</v>
      </c>
      <c r="G372" s="28">
        <v>327310</v>
      </c>
      <c r="H372" s="28" t="s">
        <v>1067</v>
      </c>
      <c r="I372" s="28" t="s">
        <v>6544</v>
      </c>
      <c r="J372" s="28" t="s">
        <v>1068</v>
      </c>
      <c r="K372" s="28" t="s">
        <v>349</v>
      </c>
    </row>
    <row r="373" spans="1:11" x14ac:dyDescent="0.25">
      <c r="A373" s="28">
        <v>2018</v>
      </c>
      <c r="B373" s="28" t="s">
        <v>6138</v>
      </c>
      <c r="C373" s="28" t="s">
        <v>6139</v>
      </c>
      <c r="D373" s="28" t="s">
        <v>6663</v>
      </c>
      <c r="E373" s="28" t="s">
        <v>583</v>
      </c>
      <c r="F373" s="28" t="s">
        <v>6143</v>
      </c>
      <c r="G373" s="28">
        <v>325199</v>
      </c>
      <c r="H373" s="28" t="s">
        <v>2419</v>
      </c>
      <c r="I373" s="28" t="s">
        <v>2420</v>
      </c>
      <c r="J373" s="28" t="s">
        <v>2421</v>
      </c>
      <c r="K373" s="28" t="s">
        <v>362</v>
      </c>
    </row>
    <row r="374" spans="1:11" x14ac:dyDescent="0.25">
      <c r="A374" s="28">
        <v>2018</v>
      </c>
      <c r="B374" s="28" t="s">
        <v>6138</v>
      </c>
      <c r="C374" s="28" t="s">
        <v>6139</v>
      </c>
      <c r="D374" s="28" t="s">
        <v>6664</v>
      </c>
      <c r="E374" s="28" t="s">
        <v>666</v>
      </c>
      <c r="F374" s="28" t="s">
        <v>6143</v>
      </c>
      <c r="G374" s="28">
        <v>325211</v>
      </c>
      <c r="H374" s="28" t="s">
        <v>201</v>
      </c>
      <c r="I374" s="28" t="s">
        <v>665</v>
      </c>
      <c r="J374" s="28" t="s">
        <v>516</v>
      </c>
      <c r="K374" s="28" t="s">
        <v>303</v>
      </c>
    </row>
    <row r="375" spans="1:11" x14ac:dyDescent="0.25">
      <c r="A375" s="28">
        <v>2018</v>
      </c>
      <c r="B375" s="28" t="s">
        <v>6138</v>
      </c>
      <c r="C375" s="28" t="s">
        <v>6139</v>
      </c>
      <c r="D375" s="28" t="s">
        <v>6665</v>
      </c>
      <c r="E375" s="28" t="s">
        <v>6268</v>
      </c>
      <c r="F375" s="28" t="s">
        <v>6143</v>
      </c>
      <c r="G375" s="28">
        <v>325211</v>
      </c>
      <c r="H375" s="28" t="s">
        <v>86</v>
      </c>
      <c r="I375" s="28" t="s">
        <v>6269</v>
      </c>
      <c r="J375" s="28" t="s">
        <v>334</v>
      </c>
      <c r="K375" s="28" t="s">
        <v>303</v>
      </c>
    </row>
    <row r="376" spans="1:11" x14ac:dyDescent="0.25">
      <c r="A376" s="28">
        <v>2018</v>
      </c>
      <c r="B376" s="28" t="s">
        <v>6138</v>
      </c>
      <c r="C376" s="28" t="s">
        <v>6139</v>
      </c>
      <c r="D376" s="28" t="s">
        <v>6666</v>
      </c>
      <c r="E376" s="28" t="s">
        <v>692</v>
      </c>
      <c r="F376" s="28" t="s">
        <v>6191</v>
      </c>
      <c r="G376" s="28">
        <v>327310</v>
      </c>
      <c r="H376" s="28" t="s">
        <v>688</v>
      </c>
      <c r="I376" s="28" t="s">
        <v>689</v>
      </c>
      <c r="J376" s="28" t="s">
        <v>690</v>
      </c>
      <c r="K376" s="28" t="s">
        <v>691</v>
      </c>
    </row>
    <row r="377" spans="1:11" x14ac:dyDescent="0.25">
      <c r="A377" s="28">
        <v>2018</v>
      </c>
      <c r="B377" s="28" t="s">
        <v>6138</v>
      </c>
      <c r="C377" s="28" t="s">
        <v>6139</v>
      </c>
      <c r="D377" s="28" t="s">
        <v>6667</v>
      </c>
      <c r="E377" s="28" t="s">
        <v>668</v>
      </c>
      <c r="F377" s="28" t="s">
        <v>6143</v>
      </c>
      <c r="G377" s="28">
        <v>325199</v>
      </c>
      <c r="H377" s="28" t="s">
        <v>202</v>
      </c>
      <c r="I377" s="28" t="s">
        <v>2426</v>
      </c>
      <c r="J377" s="28" t="s">
        <v>323</v>
      </c>
      <c r="K377" s="28" t="s">
        <v>324</v>
      </c>
    </row>
    <row r="378" spans="1:11" x14ac:dyDescent="0.25">
      <c r="A378" s="28">
        <v>2018</v>
      </c>
      <c r="B378" s="28" t="s">
        <v>6138</v>
      </c>
      <c r="C378" s="28" t="s">
        <v>6139</v>
      </c>
      <c r="D378" s="28" t="s">
        <v>6668</v>
      </c>
      <c r="E378" s="28" t="s">
        <v>542</v>
      </c>
      <c r="F378" s="28" t="s">
        <v>6143</v>
      </c>
      <c r="G378" s="28">
        <v>325199</v>
      </c>
      <c r="H378" s="28" t="s">
        <v>213</v>
      </c>
      <c r="I378" s="28" t="s">
        <v>540</v>
      </c>
      <c r="J378" s="28" t="s">
        <v>460</v>
      </c>
      <c r="K378" s="28" t="s">
        <v>541</v>
      </c>
    </row>
    <row r="379" spans="1:11" x14ac:dyDescent="0.25">
      <c r="A379" s="28">
        <v>2018</v>
      </c>
      <c r="B379" s="28" t="s">
        <v>6138</v>
      </c>
      <c r="C379" s="28" t="s">
        <v>6139</v>
      </c>
      <c r="D379" s="28" t="s">
        <v>6669</v>
      </c>
      <c r="E379" s="28" t="s">
        <v>6282</v>
      </c>
      <c r="F379" s="28" t="s">
        <v>6163</v>
      </c>
      <c r="G379" s="28">
        <v>562211</v>
      </c>
      <c r="H379" s="28" t="s">
        <v>6283</v>
      </c>
      <c r="I379" s="28" t="s">
        <v>6284</v>
      </c>
      <c r="J379" s="28" t="s">
        <v>361</v>
      </c>
      <c r="K379" s="28" t="s">
        <v>362</v>
      </c>
    </row>
    <row r="380" spans="1:11" x14ac:dyDescent="0.25">
      <c r="A380" s="28">
        <v>2018</v>
      </c>
      <c r="B380" s="28" t="s">
        <v>6138</v>
      </c>
      <c r="C380" s="28" t="s">
        <v>6139</v>
      </c>
      <c r="D380" s="28" t="s">
        <v>6670</v>
      </c>
      <c r="E380" s="28" t="s">
        <v>6395</v>
      </c>
      <c r="F380" s="28" t="s">
        <v>6163</v>
      </c>
      <c r="G380" s="28">
        <v>562211</v>
      </c>
      <c r="H380" s="28" t="s">
        <v>6396</v>
      </c>
      <c r="I380" s="28" t="s">
        <v>6397</v>
      </c>
      <c r="J380" s="28" t="s">
        <v>6398</v>
      </c>
      <c r="K380" s="28" t="s">
        <v>319</v>
      </c>
    </row>
    <row r="381" spans="1:11" x14ac:dyDescent="0.25">
      <c r="A381" s="28">
        <v>2018</v>
      </c>
      <c r="B381" s="28" t="s">
        <v>6138</v>
      </c>
      <c r="C381" s="28" t="s">
        <v>6139</v>
      </c>
      <c r="D381" s="28" t="s">
        <v>6671</v>
      </c>
      <c r="E381" s="28" t="s">
        <v>639</v>
      </c>
      <c r="F381" s="28" t="s">
        <v>6141</v>
      </c>
      <c r="G381" s="28">
        <v>336611</v>
      </c>
      <c r="H381" s="28" t="s">
        <v>637</v>
      </c>
      <c r="I381" s="28" t="s">
        <v>638</v>
      </c>
      <c r="J381" s="28" t="s">
        <v>437</v>
      </c>
      <c r="K381" s="28" t="s">
        <v>362</v>
      </c>
    </row>
    <row r="382" spans="1:11" x14ac:dyDescent="0.25">
      <c r="A382" s="28">
        <v>2018</v>
      </c>
      <c r="B382" s="28" t="s">
        <v>6138</v>
      </c>
      <c r="C382" s="28" t="s">
        <v>6139</v>
      </c>
      <c r="D382" s="28" t="s">
        <v>6672</v>
      </c>
      <c r="E382" s="28" t="s">
        <v>6218</v>
      </c>
      <c r="F382" s="28" t="s">
        <v>6163</v>
      </c>
      <c r="G382" s="28">
        <v>562211</v>
      </c>
      <c r="H382" s="28" t="s">
        <v>6219</v>
      </c>
      <c r="I382" s="28" t="s">
        <v>6220</v>
      </c>
      <c r="J382" s="28" t="s">
        <v>6221</v>
      </c>
      <c r="K382" s="28" t="s">
        <v>1101</v>
      </c>
    </row>
    <row r="383" spans="1:11" x14ac:dyDescent="0.25">
      <c r="A383" s="28">
        <v>2018</v>
      </c>
      <c r="B383" s="28" t="s">
        <v>6138</v>
      </c>
      <c r="C383" s="28" t="s">
        <v>6139</v>
      </c>
      <c r="D383" s="28" t="s">
        <v>6673</v>
      </c>
      <c r="E383" s="28" t="s">
        <v>687</v>
      </c>
      <c r="F383" s="28" t="s">
        <v>6143</v>
      </c>
      <c r="G383" s="28">
        <v>325199</v>
      </c>
      <c r="H383" s="28" t="s">
        <v>683</v>
      </c>
      <c r="I383" s="28" t="s">
        <v>684</v>
      </c>
      <c r="J383" s="28" t="s">
        <v>685</v>
      </c>
      <c r="K383" s="28" t="s">
        <v>686</v>
      </c>
    </row>
    <row r="384" spans="1:11" x14ac:dyDescent="0.25">
      <c r="A384" s="28">
        <v>2018</v>
      </c>
      <c r="B384" s="28" t="s">
        <v>6138</v>
      </c>
      <c r="C384" s="28" t="s">
        <v>6139</v>
      </c>
      <c r="D384" s="28" t="s">
        <v>6674</v>
      </c>
      <c r="E384" s="28" t="s">
        <v>369</v>
      </c>
      <c r="F384" s="28" t="s">
        <v>6143</v>
      </c>
      <c r="G384" s="28">
        <v>325998</v>
      </c>
      <c r="H384" s="28" t="s">
        <v>2469</v>
      </c>
      <c r="I384" s="28" t="s">
        <v>2470</v>
      </c>
      <c r="J384" s="28" t="s">
        <v>368</v>
      </c>
      <c r="K384" s="28" t="s">
        <v>349</v>
      </c>
    </row>
    <row r="385" spans="1:11" x14ac:dyDescent="0.25">
      <c r="A385" s="28">
        <v>2018</v>
      </c>
      <c r="B385" s="28" t="s">
        <v>6138</v>
      </c>
      <c r="C385" s="28" t="s">
        <v>6139</v>
      </c>
      <c r="D385" s="28" t="s">
        <v>6675</v>
      </c>
      <c r="E385" s="28" t="s">
        <v>6252</v>
      </c>
      <c r="F385" s="28" t="s">
        <v>6191</v>
      </c>
      <c r="G385" s="28">
        <v>327992</v>
      </c>
      <c r="H385" s="28" t="s">
        <v>6253</v>
      </c>
      <c r="I385" s="28" t="s">
        <v>6254</v>
      </c>
      <c r="J385" s="28" t="s">
        <v>6255</v>
      </c>
      <c r="K385" s="28" t="s">
        <v>450</v>
      </c>
    </row>
    <row r="386" spans="1:11" x14ac:dyDescent="0.25">
      <c r="A386" s="28">
        <v>2018</v>
      </c>
      <c r="B386" s="28" t="s">
        <v>6138</v>
      </c>
      <c r="C386" s="28" t="s">
        <v>6139</v>
      </c>
      <c r="D386" s="28" t="s">
        <v>6676</v>
      </c>
      <c r="E386" s="28" t="s">
        <v>6286</v>
      </c>
      <c r="F386" s="28" t="s">
        <v>6143</v>
      </c>
      <c r="G386" s="28">
        <v>325199</v>
      </c>
      <c r="H386" s="28" t="s">
        <v>6287</v>
      </c>
      <c r="I386" s="28" t="s">
        <v>6288</v>
      </c>
      <c r="J386" s="28" t="s">
        <v>590</v>
      </c>
      <c r="K386" s="28" t="s">
        <v>362</v>
      </c>
    </row>
    <row r="387" spans="1:11" x14ac:dyDescent="0.25">
      <c r="A387" s="28">
        <v>2018</v>
      </c>
      <c r="B387" s="28" t="s">
        <v>6138</v>
      </c>
      <c r="C387" s="28" t="s">
        <v>6139</v>
      </c>
      <c r="D387" s="28" t="s">
        <v>6677</v>
      </c>
      <c r="E387" s="28" t="s">
        <v>6196</v>
      </c>
      <c r="F387" s="28" t="s">
        <v>6163</v>
      </c>
      <c r="G387" s="28">
        <v>562211</v>
      </c>
      <c r="H387" s="28" t="s">
        <v>6197</v>
      </c>
      <c r="I387" s="28" t="s">
        <v>6198</v>
      </c>
      <c r="J387" s="28" t="s">
        <v>6199</v>
      </c>
      <c r="K387" s="28" t="s">
        <v>1352</v>
      </c>
    </row>
    <row r="388" spans="1:11" x14ac:dyDescent="0.25">
      <c r="A388" s="28">
        <v>2018</v>
      </c>
      <c r="B388" s="28" t="s">
        <v>6138</v>
      </c>
      <c r="C388" s="28" t="s">
        <v>6139</v>
      </c>
      <c r="D388" s="28" t="s">
        <v>6678</v>
      </c>
      <c r="E388" s="28" t="s">
        <v>6459</v>
      </c>
      <c r="F388" s="28" t="s">
        <v>6143</v>
      </c>
      <c r="G388" s="28">
        <v>325199</v>
      </c>
      <c r="H388" s="28" t="s">
        <v>40</v>
      </c>
      <c r="I388" s="28" t="s">
        <v>6460</v>
      </c>
      <c r="J388" s="28" t="s">
        <v>334</v>
      </c>
      <c r="K388" s="28" t="s">
        <v>303</v>
      </c>
    </row>
    <row r="389" spans="1:11" x14ac:dyDescent="0.25">
      <c r="A389" s="28">
        <v>2018</v>
      </c>
      <c r="B389" s="28" t="s">
        <v>6138</v>
      </c>
      <c r="C389" s="28" t="s">
        <v>6139</v>
      </c>
      <c r="D389" s="28" t="s">
        <v>6679</v>
      </c>
      <c r="E389" s="28" t="s">
        <v>6426</v>
      </c>
      <c r="F389" s="28" t="s">
        <v>6143</v>
      </c>
      <c r="G389" s="28">
        <v>325199</v>
      </c>
      <c r="H389" s="28" t="s">
        <v>6427</v>
      </c>
      <c r="I389" s="28" t="s">
        <v>6428</v>
      </c>
      <c r="J389" s="28" t="s">
        <v>1284</v>
      </c>
      <c r="K389" s="28" t="s">
        <v>324</v>
      </c>
    </row>
    <row r="390" spans="1:11" x14ac:dyDescent="0.25">
      <c r="A390" s="28">
        <v>2018</v>
      </c>
      <c r="B390" s="28" t="s">
        <v>6138</v>
      </c>
      <c r="C390" s="28" t="s">
        <v>6139</v>
      </c>
      <c r="D390" s="28" t="s">
        <v>6680</v>
      </c>
      <c r="E390" s="28" t="s">
        <v>346</v>
      </c>
      <c r="F390" s="28" t="s">
        <v>6143</v>
      </c>
      <c r="G390" s="28">
        <v>325613</v>
      </c>
      <c r="H390" s="28" t="s">
        <v>205</v>
      </c>
      <c r="I390" s="28" t="s">
        <v>343</v>
      </c>
      <c r="J390" s="28" t="s">
        <v>344</v>
      </c>
      <c r="K390" s="28" t="s">
        <v>345</v>
      </c>
    </row>
    <row r="391" spans="1:11" x14ac:dyDescent="0.25">
      <c r="A391" s="28">
        <v>2018</v>
      </c>
      <c r="B391" s="28" t="s">
        <v>6138</v>
      </c>
      <c r="C391" s="28" t="s">
        <v>6139</v>
      </c>
      <c r="D391" s="28" t="s">
        <v>6681</v>
      </c>
      <c r="E391" s="28" t="s">
        <v>483</v>
      </c>
      <c r="F391" s="28" t="s">
        <v>6143</v>
      </c>
      <c r="G391" s="28">
        <v>325211</v>
      </c>
      <c r="H391" s="28" t="s">
        <v>2412</v>
      </c>
      <c r="I391" s="28" t="s">
        <v>2413</v>
      </c>
      <c r="J391" s="28" t="s">
        <v>302</v>
      </c>
      <c r="K391" s="28" t="s">
        <v>303</v>
      </c>
    </row>
    <row r="392" spans="1:11" x14ac:dyDescent="0.25">
      <c r="A392" s="28">
        <v>2018</v>
      </c>
      <c r="B392" s="28" t="s">
        <v>6138</v>
      </c>
      <c r="C392" s="28" t="s">
        <v>6139</v>
      </c>
      <c r="D392" s="28" t="s">
        <v>6682</v>
      </c>
      <c r="E392" s="28" t="s">
        <v>6582</v>
      </c>
      <c r="F392" s="28" t="s">
        <v>6143</v>
      </c>
      <c r="G392" s="28">
        <v>325320</v>
      </c>
      <c r="H392" s="28" t="s">
        <v>6583</v>
      </c>
      <c r="I392" s="28" t="s">
        <v>6584</v>
      </c>
      <c r="J392" s="28" t="s">
        <v>6585</v>
      </c>
      <c r="K392" s="28" t="s">
        <v>686</v>
      </c>
    </row>
    <row r="393" spans="1:11" x14ac:dyDescent="0.25">
      <c r="A393" s="28">
        <v>2018</v>
      </c>
      <c r="B393" s="28" t="s">
        <v>6138</v>
      </c>
      <c r="C393" s="28" t="s">
        <v>6139</v>
      </c>
      <c r="D393" s="28" t="s">
        <v>6683</v>
      </c>
      <c r="E393" s="28" t="s">
        <v>484</v>
      </c>
      <c r="F393" s="28" t="s">
        <v>6143</v>
      </c>
      <c r="G393" s="28">
        <v>325199</v>
      </c>
      <c r="H393" s="28" t="s">
        <v>2424</v>
      </c>
      <c r="I393" s="28" t="s">
        <v>6481</v>
      </c>
      <c r="J393" s="28" t="s">
        <v>437</v>
      </c>
      <c r="K393" s="28" t="s">
        <v>362</v>
      </c>
    </row>
    <row r="394" spans="1:11" x14ac:dyDescent="0.25">
      <c r="A394" s="28">
        <v>2018</v>
      </c>
      <c r="B394" s="28" t="s">
        <v>6138</v>
      </c>
      <c r="C394" s="28" t="s">
        <v>6139</v>
      </c>
      <c r="D394" s="28" t="s">
        <v>6684</v>
      </c>
      <c r="E394" s="28" t="s">
        <v>6240</v>
      </c>
      <c r="F394" s="28" t="s">
        <v>6143</v>
      </c>
      <c r="G394" s="28">
        <v>325199</v>
      </c>
      <c r="H394" s="28" t="s">
        <v>6241</v>
      </c>
      <c r="I394" s="28" t="s">
        <v>6242</v>
      </c>
      <c r="J394" s="28" t="s">
        <v>6243</v>
      </c>
      <c r="K394" s="28" t="s">
        <v>303</v>
      </c>
    </row>
    <row r="395" spans="1:11" x14ac:dyDescent="0.25">
      <c r="A395" s="28">
        <v>2018</v>
      </c>
      <c r="B395" s="28" t="s">
        <v>6138</v>
      </c>
      <c r="C395" s="28" t="s">
        <v>6139</v>
      </c>
      <c r="D395" s="28" t="s">
        <v>6685</v>
      </c>
      <c r="E395" s="28" t="s">
        <v>595</v>
      </c>
      <c r="F395" s="28" t="s">
        <v>6143</v>
      </c>
      <c r="G395" s="28">
        <v>325199</v>
      </c>
      <c r="H395" s="28" t="s">
        <v>218</v>
      </c>
      <c r="I395" s="28" t="s">
        <v>594</v>
      </c>
      <c r="J395" s="28" t="s">
        <v>361</v>
      </c>
      <c r="K395" s="28" t="s">
        <v>362</v>
      </c>
    </row>
    <row r="396" spans="1:11" x14ac:dyDescent="0.25">
      <c r="A396" s="28">
        <v>2018</v>
      </c>
      <c r="B396" s="28" t="s">
        <v>6138</v>
      </c>
      <c r="C396" s="28" t="s">
        <v>6139</v>
      </c>
      <c r="D396" s="28" t="s">
        <v>6686</v>
      </c>
      <c r="E396" s="28" t="s">
        <v>6207</v>
      </c>
      <c r="F396" s="28" t="s">
        <v>6202</v>
      </c>
      <c r="G396" s="28">
        <v>324110</v>
      </c>
      <c r="H396" s="28" t="s">
        <v>6208</v>
      </c>
      <c r="I396" s="28" t="s">
        <v>6209</v>
      </c>
      <c r="J396" s="28" t="s">
        <v>6210</v>
      </c>
      <c r="K396" s="28" t="s">
        <v>362</v>
      </c>
    </row>
    <row r="397" spans="1:11" x14ac:dyDescent="0.25">
      <c r="A397" s="28">
        <v>2018</v>
      </c>
      <c r="B397" s="28" t="s">
        <v>6138</v>
      </c>
      <c r="C397" s="28" t="s">
        <v>6139</v>
      </c>
      <c r="D397" s="28" t="s">
        <v>6687</v>
      </c>
      <c r="E397" s="28" t="s">
        <v>585</v>
      </c>
      <c r="F397" s="28" t="s">
        <v>6143</v>
      </c>
      <c r="G397" s="28">
        <v>325199</v>
      </c>
      <c r="H397" s="28" t="s">
        <v>2422</v>
      </c>
      <c r="I397" s="28" t="s">
        <v>2423</v>
      </c>
      <c r="J397" s="28" t="s">
        <v>516</v>
      </c>
      <c r="K397" s="28" t="s">
        <v>303</v>
      </c>
    </row>
    <row r="398" spans="1:11" x14ac:dyDescent="0.25">
      <c r="A398" s="28">
        <v>2018</v>
      </c>
      <c r="B398" s="28" t="s">
        <v>6138</v>
      </c>
      <c r="C398" s="28" t="s">
        <v>6139</v>
      </c>
      <c r="D398" s="28" t="s">
        <v>6688</v>
      </c>
      <c r="E398" s="28" t="s">
        <v>438</v>
      </c>
      <c r="F398" s="28" t="s">
        <v>6143</v>
      </c>
      <c r="G398" s="28">
        <v>325199</v>
      </c>
      <c r="H398" s="28" t="s">
        <v>209</v>
      </c>
      <c r="I398" s="28" t="s">
        <v>436</v>
      </c>
      <c r="J398" s="28" t="s">
        <v>437</v>
      </c>
      <c r="K398" s="28" t="s">
        <v>362</v>
      </c>
    </row>
    <row r="399" spans="1:11" x14ac:dyDescent="0.25">
      <c r="A399" s="28">
        <v>2018</v>
      </c>
      <c r="B399" s="28" t="s">
        <v>6138</v>
      </c>
      <c r="C399" s="28" t="s">
        <v>6139</v>
      </c>
      <c r="D399" s="28" t="s">
        <v>6689</v>
      </c>
      <c r="E399" s="28" t="s">
        <v>447</v>
      </c>
      <c r="F399" s="28" t="s">
        <v>6143</v>
      </c>
      <c r="G399" s="28">
        <v>325180</v>
      </c>
      <c r="H399" s="28" t="s">
        <v>2410</v>
      </c>
      <c r="I399" s="28" t="s">
        <v>2411</v>
      </c>
      <c r="J399" s="28" t="s">
        <v>446</v>
      </c>
      <c r="K399" s="28" t="s">
        <v>303</v>
      </c>
    </row>
    <row r="400" spans="1:11" x14ac:dyDescent="0.25">
      <c r="A400" s="28">
        <v>2018</v>
      </c>
      <c r="B400" s="28" t="s">
        <v>6138</v>
      </c>
      <c r="C400" s="28" t="s">
        <v>6139</v>
      </c>
      <c r="D400" s="28" t="s">
        <v>6690</v>
      </c>
      <c r="E400" s="28" t="s">
        <v>664</v>
      </c>
      <c r="F400" s="28" t="s">
        <v>6143</v>
      </c>
      <c r="G400" s="28">
        <v>325110</v>
      </c>
      <c r="H400" s="28" t="s">
        <v>221</v>
      </c>
      <c r="I400" s="28" t="s">
        <v>663</v>
      </c>
      <c r="J400" s="28" t="s">
        <v>446</v>
      </c>
      <c r="K400" s="28" t="s">
        <v>303</v>
      </c>
    </row>
    <row r="401" spans="1:11" x14ac:dyDescent="0.25">
      <c r="A401" s="28">
        <v>2018</v>
      </c>
      <c r="B401" s="28" t="s">
        <v>6138</v>
      </c>
      <c r="C401" s="28" t="s">
        <v>6139</v>
      </c>
      <c r="D401" s="28" t="s">
        <v>6691</v>
      </c>
      <c r="E401" s="28" t="s">
        <v>481</v>
      </c>
      <c r="F401" s="28" t="s">
        <v>6143</v>
      </c>
      <c r="G401" s="28">
        <v>325211</v>
      </c>
      <c r="H401" s="28" t="s">
        <v>2414</v>
      </c>
      <c r="I401" s="28" t="s">
        <v>2415</v>
      </c>
      <c r="J401" s="28" t="s">
        <v>480</v>
      </c>
      <c r="K401" s="28" t="s">
        <v>362</v>
      </c>
    </row>
    <row r="402" spans="1:11" x14ac:dyDescent="0.25">
      <c r="A402" s="28">
        <v>2019</v>
      </c>
      <c r="B402" s="28" t="s">
        <v>6138</v>
      </c>
      <c r="C402" s="28" t="s">
        <v>6139</v>
      </c>
      <c r="D402" s="28" t="s">
        <v>6692</v>
      </c>
      <c r="E402" s="28" t="s">
        <v>682</v>
      </c>
      <c r="F402" s="28" t="s">
        <v>6143</v>
      </c>
      <c r="G402" s="28">
        <v>325199</v>
      </c>
      <c r="H402" s="28" t="s">
        <v>679</v>
      </c>
      <c r="I402" s="28" t="s">
        <v>680</v>
      </c>
      <c r="J402" s="28" t="s">
        <v>681</v>
      </c>
      <c r="K402" s="28" t="s">
        <v>328</v>
      </c>
    </row>
    <row r="403" spans="1:11" x14ac:dyDescent="0.25">
      <c r="A403" s="28">
        <v>2019</v>
      </c>
      <c r="B403" s="28" t="s">
        <v>6138</v>
      </c>
      <c r="C403" s="28" t="s">
        <v>6139</v>
      </c>
      <c r="D403" s="28" t="s">
        <v>6693</v>
      </c>
      <c r="E403" s="28" t="s">
        <v>325</v>
      </c>
      <c r="F403" s="28" t="s">
        <v>6143</v>
      </c>
      <c r="G403" s="28">
        <v>325199</v>
      </c>
      <c r="H403" s="28" t="s">
        <v>105</v>
      </c>
      <c r="I403" s="28" t="s">
        <v>322</v>
      </c>
      <c r="J403" s="28" t="s">
        <v>323</v>
      </c>
      <c r="K403" s="28" t="s">
        <v>324</v>
      </c>
    </row>
    <row r="404" spans="1:11" x14ac:dyDescent="0.25">
      <c r="A404" s="28">
        <v>2019</v>
      </c>
      <c r="B404" s="28" t="s">
        <v>6138</v>
      </c>
      <c r="C404" s="28" t="s">
        <v>6139</v>
      </c>
      <c r="D404" s="28" t="s">
        <v>6694</v>
      </c>
      <c r="E404" s="28" t="s">
        <v>677</v>
      </c>
      <c r="F404" s="28" t="s">
        <v>6153</v>
      </c>
      <c r="G404" s="28">
        <v>424690</v>
      </c>
      <c r="H404" s="28" t="s">
        <v>675</v>
      </c>
      <c r="I404" s="28" t="s">
        <v>676</v>
      </c>
      <c r="J404" s="28" t="s">
        <v>516</v>
      </c>
      <c r="K404" s="28" t="s">
        <v>303</v>
      </c>
    </row>
    <row r="405" spans="1:11" x14ac:dyDescent="0.25">
      <c r="A405" s="28">
        <v>2019</v>
      </c>
      <c r="B405" s="28" t="s">
        <v>6138</v>
      </c>
      <c r="C405" s="28" t="s">
        <v>6139</v>
      </c>
      <c r="D405" s="28" t="s">
        <v>6695</v>
      </c>
      <c r="E405" s="28" t="s">
        <v>6155</v>
      </c>
      <c r="F405" s="28" t="s">
        <v>6143</v>
      </c>
      <c r="G405" s="28">
        <v>325180</v>
      </c>
      <c r="H405" s="28" t="s">
        <v>6156</v>
      </c>
      <c r="I405" s="28" t="s">
        <v>6157</v>
      </c>
      <c r="J405" s="28" t="s">
        <v>6158</v>
      </c>
      <c r="K405" s="28" t="s">
        <v>299</v>
      </c>
    </row>
    <row r="406" spans="1:11" x14ac:dyDescent="0.25">
      <c r="A406" s="28">
        <v>2019</v>
      </c>
      <c r="B406" s="28" t="s">
        <v>6138</v>
      </c>
      <c r="C406" s="28" t="s">
        <v>6139</v>
      </c>
      <c r="D406" s="28" t="s">
        <v>6696</v>
      </c>
      <c r="E406" s="28" t="s">
        <v>350</v>
      </c>
      <c r="F406" s="28" t="s">
        <v>6143</v>
      </c>
      <c r="G406" s="28">
        <v>325320</v>
      </c>
      <c r="H406" s="28" t="s">
        <v>206</v>
      </c>
      <c r="I406" s="28" t="s">
        <v>347</v>
      </c>
      <c r="J406" s="28" t="s">
        <v>348</v>
      </c>
      <c r="K406" s="28" t="s">
        <v>349</v>
      </c>
    </row>
    <row r="407" spans="1:11" x14ac:dyDescent="0.25">
      <c r="A407" s="28">
        <v>2019</v>
      </c>
      <c r="B407" s="28" t="s">
        <v>6138</v>
      </c>
      <c r="C407" s="28" t="s">
        <v>6139</v>
      </c>
      <c r="D407" s="28" t="s">
        <v>6697</v>
      </c>
      <c r="E407" s="28" t="s">
        <v>6278</v>
      </c>
      <c r="F407" s="28" t="s">
        <v>6143</v>
      </c>
      <c r="G407" s="28">
        <v>325199</v>
      </c>
      <c r="H407" s="28" t="s">
        <v>6279</v>
      </c>
      <c r="I407" s="28" t="s">
        <v>6280</v>
      </c>
      <c r="J407" s="28" t="s">
        <v>412</v>
      </c>
      <c r="K407" s="28" t="s">
        <v>299</v>
      </c>
    </row>
    <row r="408" spans="1:11" x14ac:dyDescent="0.25">
      <c r="A408" s="28">
        <v>2019</v>
      </c>
      <c r="B408" s="28" t="s">
        <v>6138</v>
      </c>
      <c r="C408" s="28" t="s">
        <v>6139</v>
      </c>
      <c r="D408" s="28" t="s">
        <v>6698</v>
      </c>
      <c r="E408" s="28" t="s">
        <v>6146</v>
      </c>
      <c r="F408" s="28" t="s">
        <v>6143</v>
      </c>
      <c r="G408" s="28">
        <v>325998</v>
      </c>
      <c r="H408" s="28" t="s">
        <v>6147</v>
      </c>
      <c r="I408" s="28" t="s">
        <v>6148</v>
      </c>
      <c r="J408" s="28" t="s">
        <v>6149</v>
      </c>
      <c r="K408" s="28" t="s">
        <v>6150</v>
      </c>
    </row>
    <row r="409" spans="1:11" x14ac:dyDescent="0.25">
      <c r="A409" s="28">
        <v>2019</v>
      </c>
      <c r="B409" s="28" t="s">
        <v>6138</v>
      </c>
      <c r="C409" s="28" t="s">
        <v>6139</v>
      </c>
      <c r="D409" s="28" t="s">
        <v>6699</v>
      </c>
      <c r="E409" s="28" t="s">
        <v>524</v>
      </c>
      <c r="F409" s="28" t="s">
        <v>6143</v>
      </c>
      <c r="G409" s="28">
        <v>325199</v>
      </c>
      <c r="H409" s="28" t="s">
        <v>212</v>
      </c>
      <c r="I409" s="28" t="s">
        <v>523</v>
      </c>
      <c r="J409" s="28" t="s">
        <v>437</v>
      </c>
      <c r="K409" s="28" t="s">
        <v>362</v>
      </c>
    </row>
    <row r="410" spans="1:11" x14ac:dyDescent="0.25">
      <c r="A410" s="28">
        <v>2019</v>
      </c>
      <c r="B410" s="28" t="s">
        <v>6138</v>
      </c>
      <c r="C410" s="28" t="s">
        <v>6139</v>
      </c>
      <c r="D410" s="28" t="s">
        <v>6700</v>
      </c>
      <c r="E410" s="28" t="s">
        <v>666</v>
      </c>
      <c r="F410" s="28" t="s">
        <v>6143</v>
      </c>
      <c r="G410" s="28">
        <v>325211</v>
      </c>
      <c r="H410" s="28" t="s">
        <v>201</v>
      </c>
      <c r="I410" s="28" t="s">
        <v>665</v>
      </c>
      <c r="J410" s="28" t="s">
        <v>516</v>
      </c>
      <c r="K410" s="28" t="s">
        <v>303</v>
      </c>
    </row>
    <row r="411" spans="1:11" x14ac:dyDescent="0.25">
      <c r="A411" s="28">
        <v>2019</v>
      </c>
      <c r="B411" s="28" t="s">
        <v>6138</v>
      </c>
      <c r="C411" s="28" t="s">
        <v>6139</v>
      </c>
      <c r="D411" s="28" t="s">
        <v>6701</v>
      </c>
      <c r="E411" s="28" t="s">
        <v>402</v>
      </c>
      <c r="F411" s="28" t="s">
        <v>6202</v>
      </c>
      <c r="G411" s="28">
        <v>324110</v>
      </c>
      <c r="H411" s="28" t="s">
        <v>207</v>
      </c>
      <c r="I411" s="28" t="s">
        <v>400</v>
      </c>
      <c r="J411" s="28" t="s">
        <v>401</v>
      </c>
      <c r="K411" s="28" t="s">
        <v>385</v>
      </c>
    </row>
    <row r="412" spans="1:11" x14ac:dyDescent="0.25">
      <c r="A412" s="28">
        <v>2019</v>
      </c>
      <c r="B412" s="28" t="s">
        <v>6138</v>
      </c>
      <c r="C412" s="28" t="s">
        <v>6139</v>
      </c>
      <c r="D412" s="28" t="s">
        <v>6702</v>
      </c>
      <c r="E412" s="28" t="s">
        <v>512</v>
      </c>
      <c r="F412" s="28" t="s">
        <v>6163</v>
      </c>
      <c r="G412" s="28">
        <v>562213</v>
      </c>
      <c r="H412" s="28" t="s">
        <v>211</v>
      </c>
      <c r="I412" s="28" t="s">
        <v>510</v>
      </c>
      <c r="J412" s="28" t="s">
        <v>511</v>
      </c>
      <c r="K412" s="28" t="s">
        <v>319</v>
      </c>
    </row>
    <row r="413" spans="1:11" x14ac:dyDescent="0.25">
      <c r="A413" s="28">
        <v>2019</v>
      </c>
      <c r="B413" s="28" t="s">
        <v>6138</v>
      </c>
      <c r="C413" s="28" t="s">
        <v>6139</v>
      </c>
      <c r="D413" s="28" t="s">
        <v>6703</v>
      </c>
      <c r="E413" s="28" t="s">
        <v>664</v>
      </c>
      <c r="F413" s="28" t="s">
        <v>6143</v>
      </c>
      <c r="G413" s="28">
        <v>325110</v>
      </c>
      <c r="H413" s="28" t="s">
        <v>221</v>
      </c>
      <c r="I413" s="28" t="s">
        <v>663</v>
      </c>
      <c r="J413" s="28" t="s">
        <v>446</v>
      </c>
      <c r="K413" s="28" t="s">
        <v>303</v>
      </c>
    </row>
    <row r="414" spans="1:11" x14ac:dyDescent="0.25">
      <c r="A414" s="28">
        <v>2019</v>
      </c>
      <c r="B414" s="28" t="s">
        <v>6138</v>
      </c>
      <c r="C414" s="28" t="s">
        <v>6139</v>
      </c>
      <c r="D414" s="28" t="s">
        <v>6704</v>
      </c>
      <c r="E414" s="28" t="s">
        <v>576</v>
      </c>
      <c r="F414" s="28" t="s">
        <v>6143</v>
      </c>
      <c r="G414" s="28">
        <v>325199</v>
      </c>
      <c r="H414" s="28" t="s">
        <v>215</v>
      </c>
      <c r="I414" s="28" t="s">
        <v>574</v>
      </c>
      <c r="J414" s="28" t="s">
        <v>575</v>
      </c>
      <c r="K414" s="28" t="s">
        <v>435</v>
      </c>
    </row>
    <row r="415" spans="1:11" x14ac:dyDescent="0.25">
      <c r="A415" s="28">
        <v>2019</v>
      </c>
      <c r="B415" s="28" t="s">
        <v>6138</v>
      </c>
      <c r="C415" s="28" t="s">
        <v>6139</v>
      </c>
      <c r="D415" s="28" t="s">
        <v>6705</v>
      </c>
      <c r="E415" s="28" t="s">
        <v>588</v>
      </c>
      <c r="F415" s="28" t="s">
        <v>6143</v>
      </c>
      <c r="G415" s="28">
        <v>325180</v>
      </c>
      <c r="H415" s="28" t="s">
        <v>216</v>
      </c>
      <c r="I415" s="28" t="s">
        <v>586</v>
      </c>
      <c r="J415" s="28" t="s">
        <v>587</v>
      </c>
      <c r="K415" s="28" t="s">
        <v>303</v>
      </c>
    </row>
    <row r="416" spans="1:11" x14ac:dyDescent="0.25">
      <c r="A416" s="28">
        <v>2019</v>
      </c>
      <c r="B416" s="28" t="s">
        <v>6138</v>
      </c>
      <c r="C416" s="28" t="s">
        <v>6139</v>
      </c>
      <c r="D416" s="28" t="s">
        <v>6706</v>
      </c>
      <c r="E416" s="28" t="s">
        <v>447</v>
      </c>
      <c r="F416" s="28" t="s">
        <v>6143</v>
      </c>
      <c r="G416" s="28">
        <v>325180</v>
      </c>
      <c r="H416" s="28" t="s">
        <v>2410</v>
      </c>
      <c r="I416" s="28" t="s">
        <v>2411</v>
      </c>
      <c r="J416" s="28" t="s">
        <v>446</v>
      </c>
      <c r="K416" s="28" t="s">
        <v>303</v>
      </c>
    </row>
    <row r="417" spans="1:11" x14ac:dyDescent="0.25">
      <c r="A417" s="28">
        <v>2019</v>
      </c>
      <c r="B417" s="28" t="s">
        <v>6138</v>
      </c>
      <c r="C417" s="28" t="s">
        <v>6139</v>
      </c>
      <c r="D417" s="28" t="s">
        <v>6707</v>
      </c>
      <c r="E417" s="28" t="s">
        <v>346</v>
      </c>
      <c r="F417" s="28" t="s">
        <v>6143</v>
      </c>
      <c r="G417" s="28">
        <v>325613</v>
      </c>
      <c r="H417" s="28" t="s">
        <v>205</v>
      </c>
      <c r="I417" s="28" t="s">
        <v>343</v>
      </c>
      <c r="J417" s="28" t="s">
        <v>344</v>
      </c>
      <c r="K417" s="28" t="s">
        <v>345</v>
      </c>
    </row>
    <row r="418" spans="1:11" x14ac:dyDescent="0.25">
      <c r="A418" s="28">
        <v>2019</v>
      </c>
      <c r="B418" s="28" t="s">
        <v>6138</v>
      </c>
      <c r="C418" s="28" t="s">
        <v>6139</v>
      </c>
      <c r="D418" s="28" t="s">
        <v>6708</v>
      </c>
      <c r="E418" s="28" t="s">
        <v>565</v>
      </c>
      <c r="F418" s="28" t="s">
        <v>6143</v>
      </c>
      <c r="G418" s="28">
        <v>325320</v>
      </c>
      <c r="H418" s="28" t="s">
        <v>214</v>
      </c>
      <c r="I418" s="28" t="s">
        <v>562</v>
      </c>
      <c r="J418" s="28" t="s">
        <v>563</v>
      </c>
      <c r="K418" s="28" t="s">
        <v>564</v>
      </c>
    </row>
    <row r="419" spans="1:11" x14ac:dyDescent="0.25">
      <c r="A419" s="28">
        <v>2019</v>
      </c>
      <c r="B419" s="28" t="s">
        <v>6138</v>
      </c>
      <c r="C419" s="28" t="s">
        <v>6139</v>
      </c>
      <c r="D419" s="28" t="s">
        <v>6709</v>
      </c>
      <c r="E419" s="28" t="s">
        <v>6395</v>
      </c>
      <c r="F419" s="28" t="s">
        <v>6163</v>
      </c>
      <c r="G419" s="28">
        <v>562211</v>
      </c>
      <c r="H419" s="28" t="s">
        <v>6396</v>
      </c>
      <c r="I419" s="28" t="s">
        <v>6397</v>
      </c>
      <c r="J419" s="28" t="s">
        <v>6398</v>
      </c>
      <c r="K419" s="28" t="s">
        <v>319</v>
      </c>
    </row>
    <row r="420" spans="1:11" x14ac:dyDescent="0.25">
      <c r="A420" s="28">
        <v>2019</v>
      </c>
      <c r="B420" s="28" t="s">
        <v>6138</v>
      </c>
      <c r="C420" s="28" t="s">
        <v>6139</v>
      </c>
      <c r="D420" s="28" t="s">
        <v>6710</v>
      </c>
      <c r="E420" s="28" t="s">
        <v>718</v>
      </c>
      <c r="F420" s="28" t="s">
        <v>6143</v>
      </c>
      <c r="G420" s="28">
        <v>325199</v>
      </c>
      <c r="H420" s="28" t="s">
        <v>6305</v>
      </c>
      <c r="I420" s="28" t="s">
        <v>6306</v>
      </c>
      <c r="J420" s="28" t="s">
        <v>1135</v>
      </c>
      <c r="K420" s="28" t="s">
        <v>299</v>
      </c>
    </row>
    <row r="421" spans="1:11" x14ac:dyDescent="0.25">
      <c r="A421" s="28">
        <v>2019</v>
      </c>
      <c r="B421" s="28" t="s">
        <v>6138</v>
      </c>
      <c r="C421" s="28" t="s">
        <v>6139</v>
      </c>
      <c r="D421" s="28" t="s">
        <v>6711</v>
      </c>
      <c r="E421" s="28" t="s">
        <v>438</v>
      </c>
      <c r="F421" s="28" t="s">
        <v>6174</v>
      </c>
      <c r="G421" s="28">
        <v>486990</v>
      </c>
      <c r="H421" s="28" t="s">
        <v>209</v>
      </c>
      <c r="I421" s="28" t="s">
        <v>436</v>
      </c>
      <c r="J421" s="28" t="s">
        <v>437</v>
      </c>
      <c r="K421" s="28" t="s">
        <v>362</v>
      </c>
    </row>
    <row r="422" spans="1:11" x14ac:dyDescent="0.25">
      <c r="A422" s="28">
        <v>2019</v>
      </c>
      <c r="B422" s="28" t="s">
        <v>6138</v>
      </c>
      <c r="C422" s="28" t="s">
        <v>6139</v>
      </c>
      <c r="D422" s="28" t="s">
        <v>6712</v>
      </c>
      <c r="E422" s="28" t="s">
        <v>438</v>
      </c>
      <c r="F422" s="28" t="s">
        <v>6143</v>
      </c>
      <c r="G422" s="28">
        <v>325199</v>
      </c>
      <c r="H422" s="28" t="s">
        <v>209</v>
      </c>
      <c r="I422" s="28" t="s">
        <v>436</v>
      </c>
      <c r="J422" s="28" t="s">
        <v>437</v>
      </c>
      <c r="K422" s="28" t="s">
        <v>362</v>
      </c>
    </row>
    <row r="423" spans="1:11" x14ac:dyDescent="0.25">
      <c r="A423" s="28">
        <v>2019</v>
      </c>
      <c r="B423" s="28" t="s">
        <v>6138</v>
      </c>
      <c r="C423" s="28" t="s">
        <v>6139</v>
      </c>
      <c r="D423" s="28" t="s">
        <v>6713</v>
      </c>
      <c r="E423" s="28" t="s">
        <v>6416</v>
      </c>
      <c r="F423" s="28" t="s">
        <v>6191</v>
      </c>
      <c r="G423" s="28">
        <v>327310</v>
      </c>
      <c r="H423" s="28" t="s">
        <v>6417</v>
      </c>
      <c r="I423" s="28" t="s">
        <v>6418</v>
      </c>
      <c r="J423" s="28" t="s">
        <v>6419</v>
      </c>
      <c r="K423" s="28" t="s">
        <v>299</v>
      </c>
    </row>
    <row r="424" spans="1:11" x14ac:dyDescent="0.25">
      <c r="A424" s="28">
        <v>2019</v>
      </c>
      <c r="B424" s="28" t="s">
        <v>6138</v>
      </c>
      <c r="C424" s="28" t="s">
        <v>6139</v>
      </c>
      <c r="D424" s="28" t="s">
        <v>6714</v>
      </c>
      <c r="E424" s="28" t="s">
        <v>6421</v>
      </c>
      <c r="F424" s="28" t="s">
        <v>6191</v>
      </c>
      <c r="G424" s="28">
        <v>327310</v>
      </c>
      <c r="H424" s="28" t="s">
        <v>6422</v>
      </c>
      <c r="I424" s="28" t="s">
        <v>6423</v>
      </c>
      <c r="J424" s="28" t="s">
        <v>6424</v>
      </c>
      <c r="K424" s="28" t="s">
        <v>385</v>
      </c>
    </row>
    <row r="425" spans="1:11" x14ac:dyDescent="0.25">
      <c r="A425" s="28">
        <v>2019</v>
      </c>
      <c r="B425" s="28" t="s">
        <v>6138</v>
      </c>
      <c r="C425" s="28" t="s">
        <v>6139</v>
      </c>
      <c r="D425" s="28" t="s">
        <v>6715</v>
      </c>
      <c r="E425" s="28" t="s">
        <v>6263</v>
      </c>
      <c r="F425" s="28" t="s">
        <v>6163</v>
      </c>
      <c r="G425" s="28">
        <v>562211</v>
      </c>
      <c r="H425" s="28" t="s">
        <v>6264</v>
      </c>
      <c r="I425" s="28" t="s">
        <v>6265</v>
      </c>
      <c r="J425" s="28" t="s">
        <v>6266</v>
      </c>
      <c r="K425" s="28" t="s">
        <v>362</v>
      </c>
    </row>
    <row r="426" spans="1:11" x14ac:dyDescent="0.25">
      <c r="A426" s="28">
        <v>2019</v>
      </c>
      <c r="B426" s="28" t="s">
        <v>6138</v>
      </c>
      <c r="C426" s="28" t="s">
        <v>6139</v>
      </c>
      <c r="D426" s="28" t="s">
        <v>6716</v>
      </c>
      <c r="E426" s="28" t="s">
        <v>335</v>
      </c>
      <c r="F426" s="28" t="s">
        <v>6143</v>
      </c>
      <c r="G426" s="28">
        <v>325211</v>
      </c>
      <c r="H426" s="28" t="s">
        <v>204</v>
      </c>
      <c r="I426" s="28" t="s">
        <v>333</v>
      </c>
      <c r="J426" s="28" t="s">
        <v>334</v>
      </c>
      <c r="K426" s="28" t="s">
        <v>303</v>
      </c>
    </row>
    <row r="427" spans="1:11" x14ac:dyDescent="0.25">
      <c r="A427" s="28">
        <v>2019</v>
      </c>
      <c r="B427" s="28" t="s">
        <v>6138</v>
      </c>
      <c r="C427" s="28" t="s">
        <v>6139</v>
      </c>
      <c r="D427" s="28" t="s">
        <v>6717</v>
      </c>
      <c r="E427" s="28" t="s">
        <v>595</v>
      </c>
      <c r="F427" s="28" t="s">
        <v>6143</v>
      </c>
      <c r="G427" s="28">
        <v>325199</v>
      </c>
      <c r="H427" s="28" t="s">
        <v>218</v>
      </c>
      <c r="I427" s="28" t="s">
        <v>594</v>
      </c>
      <c r="J427" s="28" t="s">
        <v>361</v>
      </c>
      <c r="K427" s="28" t="s">
        <v>362</v>
      </c>
    </row>
    <row r="428" spans="1:11" x14ac:dyDescent="0.25">
      <c r="A428" s="28">
        <v>2019</v>
      </c>
      <c r="B428" s="28" t="s">
        <v>6138</v>
      </c>
      <c r="C428" s="28" t="s">
        <v>6139</v>
      </c>
      <c r="D428" s="28" t="s">
        <v>6718</v>
      </c>
      <c r="E428" s="28" t="s">
        <v>484</v>
      </c>
      <c r="F428" s="28" t="s">
        <v>6143</v>
      </c>
      <c r="G428" s="28">
        <v>325199</v>
      </c>
      <c r="H428" s="28" t="s">
        <v>2424</v>
      </c>
      <c r="I428" s="28" t="s">
        <v>6481</v>
      </c>
      <c r="J428" s="28" t="s">
        <v>437</v>
      </c>
      <c r="K428" s="28" t="s">
        <v>362</v>
      </c>
    </row>
    <row r="429" spans="1:11" x14ac:dyDescent="0.25">
      <c r="A429" s="28">
        <v>2019</v>
      </c>
      <c r="B429" s="28" t="s">
        <v>6138</v>
      </c>
      <c r="C429" s="28" t="s">
        <v>6139</v>
      </c>
      <c r="D429" s="28" t="s">
        <v>6719</v>
      </c>
      <c r="E429" s="28" t="s">
        <v>668</v>
      </c>
      <c r="F429" s="28" t="s">
        <v>6143</v>
      </c>
      <c r="G429" s="28">
        <v>325199</v>
      </c>
      <c r="H429" s="28" t="s">
        <v>202</v>
      </c>
      <c r="I429" s="28" t="s">
        <v>2426</v>
      </c>
      <c r="J429" s="28" t="s">
        <v>323</v>
      </c>
      <c r="K429" s="28" t="s">
        <v>324</v>
      </c>
    </row>
    <row r="430" spans="1:11" x14ac:dyDescent="0.25">
      <c r="A430" s="28">
        <v>2019</v>
      </c>
      <c r="B430" s="28" t="s">
        <v>6138</v>
      </c>
      <c r="C430" s="28" t="s">
        <v>6139</v>
      </c>
      <c r="D430" s="28" t="s">
        <v>6720</v>
      </c>
      <c r="E430" s="28" t="s">
        <v>6235</v>
      </c>
      <c r="F430" s="28" t="s">
        <v>6143</v>
      </c>
      <c r="G430" s="28">
        <v>325998</v>
      </c>
      <c r="H430" s="28" t="s">
        <v>6236</v>
      </c>
      <c r="I430" s="28" t="s">
        <v>6237</v>
      </c>
      <c r="J430" s="28" t="s">
        <v>6238</v>
      </c>
      <c r="K430" s="28" t="s">
        <v>686</v>
      </c>
    </row>
    <row r="431" spans="1:11" x14ac:dyDescent="0.25">
      <c r="A431" s="28">
        <v>2019</v>
      </c>
      <c r="B431" s="28" t="s">
        <v>6138</v>
      </c>
      <c r="C431" s="28" t="s">
        <v>6139</v>
      </c>
      <c r="D431" s="28" t="s">
        <v>6721</v>
      </c>
      <c r="E431" s="28" t="s">
        <v>428</v>
      </c>
      <c r="F431" s="28" t="s">
        <v>6143</v>
      </c>
      <c r="G431" s="28">
        <v>325199</v>
      </c>
      <c r="H431" s="28" t="s">
        <v>2472</v>
      </c>
      <c r="I431" s="28" t="s">
        <v>425</v>
      </c>
      <c r="J431" s="28" t="s">
        <v>426</v>
      </c>
      <c r="K431" s="28" t="s">
        <v>427</v>
      </c>
    </row>
    <row r="432" spans="1:11" x14ac:dyDescent="0.25">
      <c r="A432" s="28">
        <v>2019</v>
      </c>
      <c r="B432" s="28" t="s">
        <v>6138</v>
      </c>
      <c r="C432" s="28" t="s">
        <v>6139</v>
      </c>
      <c r="D432" s="28" t="s">
        <v>6722</v>
      </c>
      <c r="E432" s="28" t="s">
        <v>6240</v>
      </c>
      <c r="F432" s="28" t="s">
        <v>6143</v>
      </c>
      <c r="G432" s="28">
        <v>325199</v>
      </c>
      <c r="H432" s="28" t="s">
        <v>6241</v>
      </c>
      <c r="I432" s="28" t="s">
        <v>6242</v>
      </c>
      <c r="J432" s="28" t="s">
        <v>6243</v>
      </c>
      <c r="K432" s="28" t="s">
        <v>303</v>
      </c>
    </row>
    <row r="433" spans="1:11" x14ac:dyDescent="0.25">
      <c r="A433" s="28">
        <v>2019</v>
      </c>
      <c r="B433" s="28" t="s">
        <v>6138</v>
      </c>
      <c r="C433" s="28" t="s">
        <v>6139</v>
      </c>
      <c r="D433" s="28" t="s">
        <v>6723</v>
      </c>
      <c r="E433" s="28" t="s">
        <v>593</v>
      </c>
      <c r="F433" s="28" t="s">
        <v>6143</v>
      </c>
      <c r="G433" s="28">
        <v>325199</v>
      </c>
      <c r="H433" s="28" t="s">
        <v>217</v>
      </c>
      <c r="I433" s="28" t="s">
        <v>592</v>
      </c>
      <c r="J433" s="28" t="s">
        <v>590</v>
      </c>
      <c r="K433" s="28" t="s">
        <v>362</v>
      </c>
    </row>
    <row r="434" spans="1:11" x14ac:dyDescent="0.25">
      <c r="A434" s="28">
        <v>2019</v>
      </c>
      <c r="B434" s="28" t="s">
        <v>6138</v>
      </c>
      <c r="C434" s="28" t="s">
        <v>6139</v>
      </c>
      <c r="D434" s="28" t="s">
        <v>6724</v>
      </c>
      <c r="E434" s="28" t="s">
        <v>6218</v>
      </c>
      <c r="F434" s="28" t="s">
        <v>6163</v>
      </c>
      <c r="G434" s="28">
        <v>562211</v>
      </c>
      <c r="H434" s="28" t="s">
        <v>6219</v>
      </c>
      <c r="I434" s="28" t="s">
        <v>6220</v>
      </c>
      <c r="J434" s="28" t="s">
        <v>6221</v>
      </c>
      <c r="K434" s="28" t="s">
        <v>1101</v>
      </c>
    </row>
    <row r="435" spans="1:11" x14ac:dyDescent="0.25">
      <c r="A435" s="28">
        <v>2019</v>
      </c>
      <c r="B435" s="28" t="s">
        <v>6138</v>
      </c>
      <c r="C435" s="28" t="s">
        <v>6139</v>
      </c>
      <c r="D435" s="28" t="s">
        <v>6725</v>
      </c>
      <c r="E435" s="28" t="s">
        <v>6162</v>
      </c>
      <c r="F435" s="28" t="s">
        <v>6163</v>
      </c>
      <c r="G435" s="28">
        <v>562211</v>
      </c>
      <c r="H435" s="28" t="s">
        <v>6164</v>
      </c>
      <c r="I435" s="28" t="s">
        <v>6165</v>
      </c>
      <c r="J435" s="28" t="s">
        <v>6166</v>
      </c>
      <c r="K435" s="28" t="s">
        <v>1415</v>
      </c>
    </row>
    <row r="436" spans="1:11" x14ac:dyDescent="0.25">
      <c r="A436" s="28">
        <v>2019</v>
      </c>
      <c r="B436" s="28" t="s">
        <v>6138</v>
      </c>
      <c r="C436" s="28" t="s">
        <v>6139</v>
      </c>
      <c r="D436" s="28" t="s">
        <v>6726</v>
      </c>
      <c r="E436" s="28" t="s">
        <v>542</v>
      </c>
      <c r="F436" s="28" t="s">
        <v>6143</v>
      </c>
      <c r="G436" s="28">
        <v>325199</v>
      </c>
      <c r="H436" s="28" t="s">
        <v>213</v>
      </c>
      <c r="I436" s="28" t="s">
        <v>540</v>
      </c>
      <c r="J436" s="28" t="s">
        <v>460</v>
      </c>
      <c r="K436" s="28" t="s">
        <v>541</v>
      </c>
    </row>
    <row r="437" spans="1:11" x14ac:dyDescent="0.25">
      <c r="A437" s="28">
        <v>2019</v>
      </c>
      <c r="B437" s="28" t="s">
        <v>6138</v>
      </c>
      <c r="C437" s="28" t="s">
        <v>6139</v>
      </c>
      <c r="D437" s="28" t="s">
        <v>6727</v>
      </c>
      <c r="E437" s="28" t="s">
        <v>483</v>
      </c>
      <c r="F437" s="28" t="s">
        <v>6143</v>
      </c>
      <c r="G437" s="28">
        <v>325211</v>
      </c>
      <c r="H437" s="28" t="s">
        <v>2412</v>
      </c>
      <c r="I437" s="28" t="s">
        <v>2413</v>
      </c>
      <c r="J437" s="28" t="s">
        <v>302</v>
      </c>
      <c r="K437" s="28" t="s">
        <v>303</v>
      </c>
    </row>
    <row r="438" spans="1:11" x14ac:dyDescent="0.25">
      <c r="A438" s="28">
        <v>2019</v>
      </c>
      <c r="B438" s="28" t="s">
        <v>6138</v>
      </c>
      <c r="C438" s="28" t="s">
        <v>6139</v>
      </c>
      <c r="D438" s="28" t="s">
        <v>6728</v>
      </c>
      <c r="E438" s="28" t="s">
        <v>6268</v>
      </c>
      <c r="F438" s="28" t="s">
        <v>6143</v>
      </c>
      <c r="G438" s="28">
        <v>325211</v>
      </c>
      <c r="H438" s="28" t="s">
        <v>86</v>
      </c>
      <c r="I438" s="28" t="s">
        <v>6269</v>
      </c>
      <c r="J438" s="28" t="s">
        <v>334</v>
      </c>
      <c r="K438" s="28" t="s">
        <v>303</v>
      </c>
    </row>
    <row r="439" spans="1:11" x14ac:dyDescent="0.25">
      <c r="A439" s="28">
        <v>2019</v>
      </c>
      <c r="B439" s="28" t="s">
        <v>6138</v>
      </c>
      <c r="C439" s="28" t="s">
        <v>6139</v>
      </c>
      <c r="D439" s="28" t="s">
        <v>6729</v>
      </c>
      <c r="E439" s="28" t="s">
        <v>6282</v>
      </c>
      <c r="F439" s="28" t="s">
        <v>6163</v>
      </c>
      <c r="G439" s="28">
        <v>562211</v>
      </c>
      <c r="H439" s="28" t="s">
        <v>6283</v>
      </c>
      <c r="I439" s="28" t="s">
        <v>6284</v>
      </c>
      <c r="J439" s="28" t="s">
        <v>361</v>
      </c>
      <c r="K439" s="28" t="s">
        <v>362</v>
      </c>
    </row>
    <row r="440" spans="1:11" x14ac:dyDescent="0.25">
      <c r="A440" s="28">
        <v>2019</v>
      </c>
      <c r="B440" s="28" t="s">
        <v>6138</v>
      </c>
      <c r="C440" s="28" t="s">
        <v>6139</v>
      </c>
      <c r="D440" s="28" t="s">
        <v>6730</v>
      </c>
      <c r="E440" s="28" t="s">
        <v>6296</v>
      </c>
      <c r="F440" s="28" t="s">
        <v>6143</v>
      </c>
      <c r="G440" s="28">
        <v>325199</v>
      </c>
      <c r="H440" s="28" t="s">
        <v>6297</v>
      </c>
      <c r="I440" s="28" t="s">
        <v>6298</v>
      </c>
      <c r="J440" s="28" t="s">
        <v>6299</v>
      </c>
      <c r="K440" s="28" t="s">
        <v>319</v>
      </c>
    </row>
    <row r="441" spans="1:11" x14ac:dyDescent="0.25">
      <c r="A441" s="28">
        <v>2019</v>
      </c>
      <c r="B441" s="28" t="s">
        <v>6138</v>
      </c>
      <c r="C441" s="28" t="s">
        <v>6139</v>
      </c>
      <c r="D441" s="28" t="s">
        <v>6731</v>
      </c>
      <c r="E441" s="28" t="s">
        <v>6582</v>
      </c>
      <c r="F441" s="28" t="s">
        <v>6143</v>
      </c>
      <c r="G441" s="28">
        <v>325320</v>
      </c>
      <c r="H441" s="28" t="s">
        <v>6583</v>
      </c>
      <c r="I441" s="28" t="s">
        <v>6584</v>
      </c>
      <c r="J441" s="28" t="s">
        <v>6585</v>
      </c>
      <c r="K441" s="28" t="s">
        <v>686</v>
      </c>
    </row>
    <row r="442" spans="1:11" x14ac:dyDescent="0.25">
      <c r="A442" s="28">
        <v>2019</v>
      </c>
      <c r="B442" s="28" t="s">
        <v>6138</v>
      </c>
      <c r="C442" s="28" t="s">
        <v>6139</v>
      </c>
      <c r="D442" s="28" t="s">
        <v>6732</v>
      </c>
      <c r="E442" s="28" t="s">
        <v>413</v>
      </c>
      <c r="F442" s="28" t="s">
        <v>6163</v>
      </c>
      <c r="G442" s="28">
        <v>562211</v>
      </c>
      <c r="H442" s="28" t="s">
        <v>128</v>
      </c>
      <c r="I442" s="28" t="s">
        <v>2408</v>
      </c>
      <c r="J442" s="28" t="s">
        <v>412</v>
      </c>
      <c r="K442" s="28" t="s">
        <v>299</v>
      </c>
    </row>
    <row r="443" spans="1:11" x14ac:dyDescent="0.25">
      <c r="A443" s="28">
        <v>2019</v>
      </c>
      <c r="B443" s="28" t="s">
        <v>6138</v>
      </c>
      <c r="C443" s="28" t="s">
        <v>6139</v>
      </c>
      <c r="D443" s="28" t="s">
        <v>6733</v>
      </c>
      <c r="E443" s="28" t="s">
        <v>585</v>
      </c>
      <c r="F443" s="28" t="s">
        <v>6143</v>
      </c>
      <c r="G443" s="28">
        <v>325199</v>
      </c>
      <c r="H443" s="28" t="s">
        <v>2422</v>
      </c>
      <c r="I443" s="28" t="s">
        <v>2423</v>
      </c>
      <c r="J443" s="28" t="s">
        <v>516</v>
      </c>
      <c r="K443" s="28" t="s">
        <v>303</v>
      </c>
    </row>
    <row r="444" spans="1:11" x14ac:dyDescent="0.25">
      <c r="A444" s="28">
        <v>2019</v>
      </c>
      <c r="B444" s="28" t="s">
        <v>6138</v>
      </c>
      <c r="C444" s="28" t="s">
        <v>6139</v>
      </c>
      <c r="D444" s="28" t="s">
        <v>6734</v>
      </c>
      <c r="E444" s="28" t="s">
        <v>6168</v>
      </c>
      <c r="F444" s="28" t="s">
        <v>6143</v>
      </c>
      <c r="G444" s="28">
        <v>325199</v>
      </c>
      <c r="H444" s="28" t="s">
        <v>6169</v>
      </c>
      <c r="I444" s="28" t="s">
        <v>6170</v>
      </c>
      <c r="J444" s="28" t="s">
        <v>463</v>
      </c>
      <c r="K444" s="28" t="s">
        <v>362</v>
      </c>
    </row>
    <row r="445" spans="1:11" x14ac:dyDescent="0.25">
      <c r="A445" s="28">
        <v>2019</v>
      </c>
      <c r="B445" s="28" t="s">
        <v>6138</v>
      </c>
      <c r="C445" s="28" t="s">
        <v>6139</v>
      </c>
      <c r="D445" s="28" t="s">
        <v>6735</v>
      </c>
      <c r="E445" s="28" t="s">
        <v>6190</v>
      </c>
      <c r="F445" s="28" t="s">
        <v>6191</v>
      </c>
      <c r="G445" s="28">
        <v>327310</v>
      </c>
      <c r="H445" s="28" t="s">
        <v>6192</v>
      </c>
      <c r="I445" s="28" t="s">
        <v>6193</v>
      </c>
      <c r="J445" s="28" t="s">
        <v>6194</v>
      </c>
      <c r="K445" s="28" t="s">
        <v>541</v>
      </c>
    </row>
    <row r="446" spans="1:11" x14ac:dyDescent="0.25">
      <c r="A446" s="28">
        <v>2019</v>
      </c>
      <c r="B446" s="28" t="s">
        <v>6138</v>
      </c>
      <c r="C446" s="28" t="s">
        <v>6139</v>
      </c>
      <c r="D446" s="28" t="s">
        <v>6736</v>
      </c>
      <c r="E446" s="28" t="s">
        <v>6459</v>
      </c>
      <c r="F446" s="28" t="s">
        <v>6143</v>
      </c>
      <c r="G446" s="28">
        <v>325199</v>
      </c>
      <c r="H446" s="28" t="s">
        <v>40</v>
      </c>
      <c r="I446" s="28" t="s">
        <v>6460</v>
      </c>
      <c r="J446" s="28" t="s">
        <v>334</v>
      </c>
      <c r="K446" s="28" t="s">
        <v>303</v>
      </c>
    </row>
    <row r="447" spans="1:11" x14ac:dyDescent="0.25">
      <c r="A447" s="28">
        <v>2019</v>
      </c>
      <c r="B447" s="28" t="s">
        <v>6138</v>
      </c>
      <c r="C447" s="28" t="s">
        <v>6139</v>
      </c>
      <c r="D447" s="28" t="s">
        <v>6737</v>
      </c>
      <c r="E447" s="28" t="s">
        <v>6738</v>
      </c>
      <c r="F447" s="28" t="s">
        <v>6143</v>
      </c>
      <c r="G447" s="28">
        <v>325199</v>
      </c>
      <c r="H447" s="28" t="s">
        <v>6739</v>
      </c>
      <c r="I447" s="28" t="s">
        <v>6740</v>
      </c>
      <c r="J447" s="28" t="s">
        <v>6741</v>
      </c>
      <c r="K447" s="28" t="s">
        <v>362</v>
      </c>
    </row>
    <row r="448" spans="1:11" x14ac:dyDescent="0.25">
      <c r="A448" s="28">
        <v>2019</v>
      </c>
      <c r="B448" s="28" t="s">
        <v>6138</v>
      </c>
      <c r="C448" s="28" t="s">
        <v>6139</v>
      </c>
      <c r="D448" s="28" t="s">
        <v>6742</v>
      </c>
      <c r="E448" s="28" t="s">
        <v>369</v>
      </c>
      <c r="F448" s="28" t="s">
        <v>6143</v>
      </c>
      <c r="G448" s="28">
        <v>325998</v>
      </c>
      <c r="H448" s="28" t="s">
        <v>2469</v>
      </c>
      <c r="I448" s="28" t="s">
        <v>2470</v>
      </c>
      <c r="J448" s="28" t="s">
        <v>368</v>
      </c>
      <c r="K448" s="28" t="s">
        <v>349</v>
      </c>
    </row>
    <row r="449" spans="1:11" x14ac:dyDescent="0.25">
      <c r="A449" s="28">
        <v>2019</v>
      </c>
      <c r="B449" s="28" t="s">
        <v>6138</v>
      </c>
      <c r="C449" s="28" t="s">
        <v>6139</v>
      </c>
      <c r="D449" s="28" t="s">
        <v>6743</v>
      </c>
      <c r="E449" s="28" t="s">
        <v>6196</v>
      </c>
      <c r="F449" s="28" t="s">
        <v>6163</v>
      </c>
      <c r="G449" s="28">
        <v>562211</v>
      </c>
      <c r="H449" s="28" t="s">
        <v>6197</v>
      </c>
      <c r="I449" s="28" t="s">
        <v>6198</v>
      </c>
      <c r="J449" s="28" t="s">
        <v>6199</v>
      </c>
      <c r="K449" s="28" t="s">
        <v>1352</v>
      </c>
    </row>
    <row r="450" spans="1:11" x14ac:dyDescent="0.25">
      <c r="A450" s="28">
        <v>2019</v>
      </c>
      <c r="B450" s="28" t="s">
        <v>6138</v>
      </c>
      <c r="C450" s="28" t="s">
        <v>6139</v>
      </c>
      <c r="D450" s="28" t="s">
        <v>6744</v>
      </c>
      <c r="E450" s="28" t="s">
        <v>639</v>
      </c>
      <c r="F450" s="28" t="s">
        <v>6141</v>
      </c>
      <c r="G450" s="28">
        <v>336611</v>
      </c>
      <c r="H450" s="28" t="s">
        <v>637</v>
      </c>
      <c r="I450" s="28" t="s">
        <v>638</v>
      </c>
      <c r="J450" s="28" t="s">
        <v>437</v>
      </c>
      <c r="K450" s="28" t="s">
        <v>362</v>
      </c>
    </row>
    <row r="451" spans="1:11" x14ac:dyDescent="0.25">
      <c r="A451" s="28">
        <v>2019</v>
      </c>
      <c r="B451" s="28" t="s">
        <v>6138</v>
      </c>
      <c r="C451" s="28" t="s">
        <v>6139</v>
      </c>
      <c r="D451" s="28" t="s">
        <v>6745</v>
      </c>
      <c r="E451" s="28" t="s">
        <v>6286</v>
      </c>
      <c r="F451" s="28" t="s">
        <v>6143</v>
      </c>
      <c r="G451" s="28">
        <v>325199</v>
      </c>
      <c r="H451" s="28" t="s">
        <v>6287</v>
      </c>
      <c r="I451" s="28" t="s">
        <v>6288</v>
      </c>
      <c r="J451" s="28" t="s">
        <v>590</v>
      </c>
      <c r="K451" s="28" t="s">
        <v>362</v>
      </c>
    </row>
    <row r="452" spans="1:11" x14ac:dyDescent="0.25">
      <c r="A452" s="28">
        <v>2019</v>
      </c>
      <c r="B452" s="28" t="s">
        <v>6138</v>
      </c>
      <c r="C452" s="28" t="s">
        <v>6139</v>
      </c>
      <c r="D452" s="28" t="s">
        <v>6746</v>
      </c>
      <c r="E452" s="28" t="s">
        <v>6252</v>
      </c>
      <c r="F452" s="28" t="s">
        <v>6191</v>
      </c>
      <c r="G452" s="28">
        <v>327992</v>
      </c>
      <c r="H452" s="28" t="s">
        <v>6253</v>
      </c>
      <c r="I452" s="28" t="s">
        <v>6254</v>
      </c>
      <c r="J452" s="28" t="s">
        <v>6255</v>
      </c>
      <c r="K452" s="28" t="s">
        <v>450</v>
      </c>
    </row>
    <row r="453" spans="1:11" x14ac:dyDescent="0.25">
      <c r="A453" s="28">
        <v>2019</v>
      </c>
      <c r="B453" s="28" t="s">
        <v>6138</v>
      </c>
      <c r="C453" s="28" t="s">
        <v>6139</v>
      </c>
      <c r="D453" s="28" t="s">
        <v>6747</v>
      </c>
      <c r="E453" s="28" t="s">
        <v>583</v>
      </c>
      <c r="F453" s="28" t="s">
        <v>6143</v>
      </c>
      <c r="G453" s="28">
        <v>325199</v>
      </c>
      <c r="H453" s="28" t="s">
        <v>2419</v>
      </c>
      <c r="I453" s="28" t="s">
        <v>2420</v>
      </c>
      <c r="J453" s="28" t="s">
        <v>2421</v>
      </c>
      <c r="K453" s="28" t="s">
        <v>362</v>
      </c>
    </row>
    <row r="454" spans="1:11" x14ac:dyDescent="0.25">
      <c r="A454" s="28">
        <v>2019</v>
      </c>
      <c r="B454" s="28" t="s">
        <v>6138</v>
      </c>
      <c r="C454" s="28" t="s">
        <v>6139</v>
      </c>
      <c r="D454" s="28" t="s">
        <v>6748</v>
      </c>
      <c r="E454" s="28" t="s">
        <v>6207</v>
      </c>
      <c r="F454" s="28" t="s">
        <v>6202</v>
      </c>
      <c r="G454" s="28">
        <v>324110</v>
      </c>
      <c r="H454" s="28" t="s">
        <v>6208</v>
      </c>
      <c r="I454" s="28" t="s">
        <v>6209</v>
      </c>
      <c r="J454" s="28" t="s">
        <v>6210</v>
      </c>
      <c r="K454" s="28" t="s">
        <v>362</v>
      </c>
    </row>
    <row r="455" spans="1:11" x14ac:dyDescent="0.25">
      <c r="A455" s="28">
        <v>2019</v>
      </c>
      <c r="B455" s="28" t="s">
        <v>6138</v>
      </c>
      <c r="C455" s="28" t="s">
        <v>6139</v>
      </c>
      <c r="D455" s="28" t="s">
        <v>6749</v>
      </c>
      <c r="E455" s="28" t="s">
        <v>481</v>
      </c>
      <c r="F455" s="28" t="s">
        <v>6143</v>
      </c>
      <c r="G455" s="28">
        <v>325211</v>
      </c>
      <c r="H455" s="28" t="s">
        <v>2414</v>
      </c>
      <c r="I455" s="28" t="s">
        <v>2415</v>
      </c>
      <c r="J455" s="28" t="s">
        <v>480</v>
      </c>
      <c r="K455" s="28" t="s">
        <v>362</v>
      </c>
    </row>
  </sheetData>
  <autoFilter ref="A1:K455" xr:uid="{0E86C07E-7F6F-4C27-AA05-F911464682B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6585E-F53B-4EDE-8AED-54E74FE7893C}">
  <dimension ref="A1:A3"/>
  <sheetViews>
    <sheetView tabSelected="1" workbookViewId="0"/>
  </sheetViews>
  <sheetFormatPr defaultColWidth="9.140625" defaultRowHeight="15" x14ac:dyDescent="0.25"/>
  <cols>
    <col min="1" max="1" width="165.140625" style="355" customWidth="1"/>
    <col min="2" max="16384" width="9.140625" style="351"/>
  </cols>
  <sheetData>
    <row r="1" spans="1:1" ht="22.5" x14ac:dyDescent="0.3">
      <c r="A1" s="353" t="s">
        <v>7369</v>
      </c>
    </row>
    <row r="3" spans="1:1" ht="20.25" x14ac:dyDescent="0.25">
      <c r="A3" s="354" t="s">
        <v>6753</v>
      </c>
    </row>
  </sheetData>
  <sheetProtection sheet="1" objects="1" scenarios="1" formatCells="0" formatColumns="0" formatRows="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83C89-8955-46E4-8E46-9B8A24078983}">
  <sheetPr>
    <tabColor rgb="FF00B050"/>
  </sheetPr>
  <dimension ref="A1:G20"/>
  <sheetViews>
    <sheetView zoomScale="110" zoomScaleNormal="110" workbookViewId="0">
      <selection activeCell="A14" sqref="A14"/>
    </sheetView>
  </sheetViews>
  <sheetFormatPr defaultRowHeight="14.45" customHeight="1" x14ac:dyDescent="0.25"/>
  <cols>
    <col min="1" max="1" width="52.140625" customWidth="1"/>
    <col min="2" max="3" width="15.5703125" customWidth="1"/>
    <col min="4" max="4" width="17.140625" customWidth="1"/>
    <col min="5" max="5" width="15.5703125" customWidth="1"/>
    <col min="6" max="6" width="17.140625" customWidth="1"/>
    <col min="7" max="7" width="15.5703125" customWidth="1"/>
  </cols>
  <sheetData>
    <row r="1" spans="1:7" ht="14.45" customHeight="1" thickBot="1" x14ac:dyDescent="0.3">
      <c r="D1" s="407" t="s">
        <v>7370</v>
      </c>
      <c r="E1" s="408"/>
      <c r="F1" s="409" t="s">
        <v>246</v>
      </c>
      <c r="G1" s="408"/>
    </row>
    <row r="2" spans="1:7" ht="14.45" customHeight="1" thickBot="1" x14ac:dyDescent="0.3">
      <c r="A2" s="290" t="s">
        <v>247</v>
      </c>
      <c r="B2" s="336" t="s">
        <v>248</v>
      </c>
      <c r="C2" s="333" t="s">
        <v>13</v>
      </c>
      <c r="D2" s="334" t="s">
        <v>249</v>
      </c>
      <c r="E2" s="335" t="s">
        <v>250</v>
      </c>
      <c r="F2" s="333" t="s">
        <v>249</v>
      </c>
      <c r="G2" s="335" t="s">
        <v>250</v>
      </c>
    </row>
    <row r="3" spans="1:7" ht="14.45" customHeight="1" x14ac:dyDescent="0.25">
      <c r="A3" s="291" t="s">
        <v>251</v>
      </c>
      <c r="B3" s="337">
        <v>350</v>
      </c>
      <c r="C3" s="297">
        <f>COUNTIF('Facility Summary'!K:K, 'OES Summary'!A3)</f>
        <v>38</v>
      </c>
      <c r="D3" s="356" cm="1">
        <f t="array" ref="D3">IFERROR(PERCENTILE(IF('Compiled Data_Surface'!$L$2:$L$2537=$A3,'Compiled Data_Surface'!$S2:$S2537),0.5),"")</f>
        <v>2.1273809523809453</v>
      </c>
      <c r="E3" s="356" cm="1">
        <f t="array" ref="E3">IFERROR(PERCENTILE(IF('Compiled Data_Surface'!$L:$L=$A3,'Compiled Data_Surface'!$S:$S),0.95),"")</f>
        <v>206.38109626363484</v>
      </c>
      <c r="F3" s="356" cm="1">
        <f t="array" ref="F3">IFERROR(PERCENTILE(IF('Compiled Data_Surface'!$L:$L=$A3,'Compiled Data_Surface'!$S:$S),0.5)/B3,"")</f>
        <v>6.0782312925169862E-3</v>
      </c>
      <c r="G3" s="357" cm="1">
        <f t="array" ref="G3">IFERROR(PERCENTILE(IF('Compiled Data_Surface'!$L:$L=$A3,'Compiled Data_Surface'!$S:$S),0.95)/B3,"")</f>
        <v>0.58966027503895668</v>
      </c>
    </row>
    <row r="4" spans="1:7" ht="14.45" customHeight="1" x14ac:dyDescent="0.25">
      <c r="A4" s="291" t="s">
        <v>252</v>
      </c>
      <c r="B4" s="338">
        <v>250</v>
      </c>
      <c r="C4" s="297">
        <f>COUNTIF('Facility Summary'!K:K, 'OES Summary'!A4)</f>
        <v>19</v>
      </c>
      <c r="D4" s="356" cm="1">
        <f t="array" ref="D4">IFERROR(PERCENTILE(IF('Compiled Data_Surface'!$L:$L=$A4,'Compiled Data_Surface'!$S:$S),0.5),"")</f>
        <v>2.5087197637499999E-2</v>
      </c>
      <c r="E4" s="356" cm="1">
        <f t="array" ref="E4">IFERROR(PERCENTILE(IF('Compiled Data_Surface'!$L:$L=$A4,'Compiled Data_Surface'!$S:$S),0.95),"")</f>
        <v>226.79618500000001</v>
      </c>
      <c r="F4" s="356" cm="1">
        <f t="array" ref="F4">IFERROR(PERCENTILE(IF('Compiled Data_Surface'!$L:$L=$A4,'Compiled Data_Surface'!$S:$S),0.5)/B4,"")</f>
        <v>1.0034879055E-4</v>
      </c>
      <c r="G4" s="357" cm="1">
        <f t="array" ref="G4">IFERROR(PERCENTILE(IF('Compiled Data_Surface'!$L:$L=$A4,'Compiled Data_Surface'!$S:$S),0.95)/B4,"")</f>
        <v>0.90718474000000004</v>
      </c>
    </row>
    <row r="5" spans="1:7" ht="14.45" customHeight="1" x14ac:dyDescent="0.25">
      <c r="A5" s="291" t="s">
        <v>253</v>
      </c>
      <c r="B5" s="338">
        <v>350</v>
      </c>
      <c r="C5" s="297">
        <f>COUNTIF('Facility Summary'!K:K, 'OES Summary'!A5)</f>
        <v>23</v>
      </c>
      <c r="D5" s="356" cm="1">
        <f t="array" ref="D5">IFERROR(PERCENTILE(IF('Compiled Data_Surface'!$L:$L=$A5,'Compiled Data_Surface'!$S:$S),0.5),"")</f>
        <v>0.16553287981859399</v>
      </c>
      <c r="E5" s="356" cm="1">
        <f t="array" ref="E5">IFERROR(PERCENTILE(IF('Compiled Data_Surface'!$L:$L=$A5,'Compiled Data_Surface'!$S:$S),0.95),"")</f>
        <v>226.79618500000001</v>
      </c>
      <c r="F5" s="356" cm="1">
        <f t="array" ref="F5">IFERROR(PERCENTILE(IF('Compiled Data_Surface'!$L:$L=$A5,'Compiled Data_Surface'!$S:$S),0.5)/B5,"")</f>
        <v>4.7295108519598286E-4</v>
      </c>
      <c r="G5" s="357" cm="1">
        <f t="array" ref="G5">IFERROR(PERCENTILE(IF('Compiled Data_Surface'!$L:$L=$A5,'Compiled Data_Surface'!$S:$S),0.95)/B5,"")</f>
        <v>0.64798909999999998</v>
      </c>
    </row>
    <row r="6" spans="1:7" ht="30" x14ac:dyDescent="0.25">
      <c r="A6" s="291" t="s">
        <v>254</v>
      </c>
      <c r="B6" s="338">
        <v>300</v>
      </c>
      <c r="C6" s="297">
        <f>COUNTIF('Facility Summary'!K:K, 'OES Summary'!A6)</f>
        <v>22</v>
      </c>
      <c r="D6" s="356" cm="1">
        <f t="array" ref="D6">IFERROR(PERCENTILE(IF('Compiled Data_Surface'!$L:$L=$A6,'Compiled Data_Surface'!$S:$S),0.5),"")</f>
        <v>0.55741181137811746</v>
      </c>
      <c r="E6" s="356" cm="1">
        <f t="array" ref="E6">IFERROR(PERCENTILE(IF('Compiled Data_Surface'!$L:$L=$A6,'Compiled Data_Surface'!$S:$S),0.95),"")</f>
        <v>19.925275354</v>
      </c>
      <c r="F6" s="356" cm="1">
        <f t="array" ref="F6">IFERROR(PERCENTILE(IF('Compiled Data_Surface'!$L:$L=$A6,'Compiled Data_Surface'!$S:$S),0.5)/B6,"")</f>
        <v>1.8580393712603915E-3</v>
      </c>
      <c r="G6" s="357" cm="1">
        <f t="array" ref="G6">IFERROR(PERCENTILE(IF('Compiled Data_Surface'!$L:$L=$A6,'Compiled Data_Surface'!$S:$S),0.95)/B6,"")</f>
        <v>6.6417584513333336E-2</v>
      </c>
    </row>
    <row r="7" spans="1:7" ht="14.45" customHeight="1" x14ac:dyDescent="0.25">
      <c r="A7" s="291" t="s">
        <v>255</v>
      </c>
      <c r="B7" s="338">
        <v>365</v>
      </c>
      <c r="C7" s="297">
        <f>COUNTIF('Facility Summary'!K:K, 'OES Summary'!A7)</f>
        <v>0</v>
      </c>
      <c r="D7" s="356" t="str" cm="1">
        <f t="array" ref="D7">IFERROR(PERCENTILE(IF('Compiled Data_Surface'!$L:$L=$A7,'Compiled Data_Surface'!$S:$S),0.5),"")</f>
        <v/>
      </c>
      <c r="E7" s="356" t="str" cm="1">
        <f t="array" ref="E7">IFERROR(PERCENTILE(IF('Compiled Data_Surface'!$L:$L=$A7,'Compiled Data_Surface'!$S:$S),0.95),"")</f>
        <v/>
      </c>
      <c r="F7" s="356" t="str" cm="1">
        <f t="array" ref="F7">IFERROR(PERCENTILE(IF('Compiled Data_Surface'!$L:$L=$A7,'Compiled Data_Surface'!$S:$S),0.5)/B7,"")</f>
        <v/>
      </c>
      <c r="G7" s="357" t="str" cm="1">
        <f t="array" ref="G7">IFERROR(PERCENTILE(IF('Compiled Data_Surface'!$L:$L=$A7,'Compiled Data_Surface'!$S:$S),0.95)/B7,"")</f>
        <v/>
      </c>
    </row>
    <row r="8" spans="1:7" ht="14.45" customHeight="1" x14ac:dyDescent="0.25">
      <c r="A8" s="291" t="s">
        <v>256</v>
      </c>
      <c r="B8" s="338">
        <v>260</v>
      </c>
      <c r="C8" s="297">
        <f>COUNTIF('Facility Summary'!K:K, 'OES Summary'!A8)</f>
        <v>0</v>
      </c>
      <c r="D8" s="356" t="str" cm="1">
        <f t="array" ref="D8">IFERROR(PERCENTILE(IF('Compiled Data_Surface'!$L:$L=$A8,'Compiled Data_Surface'!$S:$S),0.5),"")</f>
        <v/>
      </c>
      <c r="E8" s="356" t="str" cm="1">
        <f t="array" ref="E8">IFERROR(PERCENTILE(IF('Compiled Data_Surface'!$L:$L=$A8,'Compiled Data_Surface'!$S:$S),0.95),"")</f>
        <v/>
      </c>
      <c r="F8" s="356" t="str" cm="1">
        <f t="array" ref="F8">IFERROR(PERCENTILE(IF('Compiled Data_Surface'!$L:$L=$A8,'Compiled Data_Surface'!$S:$S),0.5)/B8,"")</f>
        <v/>
      </c>
      <c r="G8" s="357" t="str" cm="1">
        <f t="array" ref="G8">IFERROR(PERCENTILE(IF('Compiled Data_Surface'!$L:$L=$A8,'Compiled Data_Surface'!$S:$S),0.95)/B8,"")</f>
        <v/>
      </c>
    </row>
    <row r="9" spans="1:7" ht="15" x14ac:dyDescent="0.25">
      <c r="A9" s="291" t="s">
        <v>257</v>
      </c>
      <c r="B9" s="338">
        <v>250</v>
      </c>
      <c r="C9" s="297">
        <f>COUNTIF('Facility Summary'!K:K, 'OES Summary'!A9)</f>
        <v>0</v>
      </c>
      <c r="D9" s="356" t="str" cm="1">
        <f t="array" ref="D9">IFERROR(PERCENTILE(IF('Compiled Data_Surface'!$L:$L=$A9,'Compiled Data_Surface'!$S:$S),0.5),"")</f>
        <v/>
      </c>
      <c r="E9" s="356" t="str" cm="1">
        <f t="array" ref="E9">IFERROR(PERCENTILE(IF('Compiled Data_Surface'!$L:$L=$A9,'Compiled Data_Surface'!$S:$S),0.95),"")</f>
        <v/>
      </c>
      <c r="F9" s="356" t="str" cm="1">
        <f t="array" ref="F9">IFERROR(PERCENTILE(IF('Compiled Data_Surface'!$L:$L=$A9,'Compiled Data_Surface'!$S:$S),0.5)/B9,"")</f>
        <v/>
      </c>
      <c r="G9" s="357" t="str" cm="1">
        <f t="array" ref="G9">IFERROR(PERCENTILE(IF('Compiled Data_Surface'!$L:$L=$A9,'Compiled Data_Surface'!$S:$S),0.95)/B9,"")</f>
        <v/>
      </c>
    </row>
    <row r="10" spans="1:7" ht="30" x14ac:dyDescent="0.25">
      <c r="A10" s="291" t="s">
        <v>258</v>
      </c>
      <c r="B10" s="338">
        <v>250</v>
      </c>
      <c r="C10" s="297">
        <f>COUNTIF('Facility Summary'!K:K, 'OES Summary'!A10)</f>
        <v>0</v>
      </c>
      <c r="D10" s="356" t="str" cm="1">
        <f t="array" ref="D10">IFERROR(PERCENTILE(IF('Compiled Data_Surface'!$L:$L=$A10,'Compiled Data_Surface'!$S:$S),0.5),"")</f>
        <v/>
      </c>
      <c r="E10" s="356" t="str" cm="1">
        <f t="array" ref="E10">IFERROR(PERCENTILE(IF('Compiled Data_Surface'!$L:$L=$A10,'Compiled Data_Surface'!$S:$S),0.95),"")</f>
        <v/>
      </c>
      <c r="F10" s="356" t="str" cm="1">
        <f t="array" ref="F10">IFERROR(PERCENTILE(IF('Compiled Data_Surface'!$L:$L=$A10,'Compiled Data_Surface'!$S:$S),0.5)/B10,"")</f>
        <v/>
      </c>
      <c r="G10" s="357" t="str" cm="1">
        <f t="array" ref="G10">IFERROR(PERCENTILE(IF('Compiled Data_Surface'!$L:$L=$A10,'Compiled Data_Surface'!$S:$S),0.95)/B10,"")</f>
        <v/>
      </c>
    </row>
    <row r="11" spans="1:7" ht="30" x14ac:dyDescent="0.25">
      <c r="A11" s="291" t="s">
        <v>259</v>
      </c>
      <c r="B11" s="338">
        <v>250</v>
      </c>
      <c r="C11" s="297">
        <f>COUNTIF('Facility Summary'!K:K, 'OES Summary'!A11)</f>
        <v>3</v>
      </c>
      <c r="D11" s="356" cm="1">
        <f t="array" ref="D11">IFERROR(PERCENTILE(IF('Compiled Data_Surface'!$L:$L=$A11,'Compiled Data_Surface'!$S:$S),0.5),"")</f>
        <v>0.13566386249999998</v>
      </c>
      <c r="E11" s="356" cm="1">
        <f t="array" ref="E11">IFERROR(PERCENTILE(IF('Compiled Data_Surface'!$L:$L=$A11,'Compiled Data_Surface'!$S:$S),0.95),"")</f>
        <v>0.56190154416666638</v>
      </c>
      <c r="F11" s="356" cm="1">
        <f t="array" ref="F11">IFERROR(PERCENTILE(IF('Compiled Data_Surface'!$L:$L=$A11,'Compiled Data_Surface'!$S:$S),0.5)/B11,"")</f>
        <v>5.426554499999999E-4</v>
      </c>
      <c r="G11" s="357" cm="1">
        <f t="array" ref="G11">IFERROR(PERCENTILE(IF('Compiled Data_Surface'!$L:$L=$A11,'Compiled Data_Surface'!$S:$S),0.95)/B11,"")</f>
        <v>2.2476061766666653E-3</v>
      </c>
    </row>
    <row r="12" spans="1:7" ht="14.45" customHeight="1" x14ac:dyDescent="0.25">
      <c r="A12" s="291" t="s">
        <v>261</v>
      </c>
      <c r="B12" s="339">
        <v>260</v>
      </c>
      <c r="C12" s="297">
        <f>COUNTIF('Facility Summary'!K:K, 'OES Summary'!A12)</f>
        <v>5</v>
      </c>
      <c r="D12" s="356" cm="1">
        <f t="array" ref="D12">IFERROR(PERCENTILE(IF('Compiled Data_Surface'!$L:$L=$A12,'Compiled Data_Surface'!$S:$S),0.5),"")</f>
        <v>9.2278299999999994E-3</v>
      </c>
      <c r="E12" s="356" cm="1">
        <f t="array" ref="E12">IFERROR(PERCENTILE(IF('Compiled Data_Surface'!$L:$L=$A12,'Compiled Data_Surface'!$S:$S),0.95),"")</f>
        <v>8.9032283999999851E-2</v>
      </c>
      <c r="F12" s="356" cm="1">
        <f t="array" ref="F12">IFERROR(PERCENTILE(IF('Compiled Data_Surface'!$L:$L=$A12,'Compiled Data_Surface'!$S:$S),0.5)/B12,"")</f>
        <v>3.5491653846153845E-5</v>
      </c>
      <c r="G12" s="357" cm="1">
        <f t="array" ref="G12">IFERROR(PERCENTILE(IF('Compiled Data_Surface'!$L:$L=$A12,'Compiled Data_Surface'!$S:$S),0.95)/B12,"")</f>
        <v>3.4243186153846099E-4</v>
      </c>
    </row>
    <row r="13" spans="1:7" ht="14.45" customHeight="1" x14ac:dyDescent="0.25">
      <c r="A13" s="291" t="s">
        <v>6752</v>
      </c>
      <c r="B13" s="338">
        <v>250</v>
      </c>
      <c r="C13" s="297">
        <f>COUNTIF('Facility Summary'!K:K, 'OES Summary'!A13)</f>
        <v>5</v>
      </c>
      <c r="D13" s="356" cm="1">
        <f t="array" ref="D13">IFERROR(PERCENTILE(IF('Compiled Data_Surface'!$L:$L=$A13,'Compiled Data_Surface'!$S:$S),0.5),"")</f>
        <v>3.54774812533333E-3</v>
      </c>
      <c r="E13" s="356" cm="1">
        <f t="array" ref="E13">IFERROR(PERCENTILE(IF('Compiled Data_Surface'!$L:$L=$A13,'Compiled Data_Surface'!$S:$S),0.95),"")</f>
        <v>145.19491763699989</v>
      </c>
      <c r="F13" s="356" cm="1">
        <f t="array" ref="F13">IFERROR(PERCENTILE(IF('Compiled Data_Surface'!$L:$L=$A13,'Compiled Data_Surface'!$S:$S),0.5)/B13,"")</f>
        <v>1.4190992501333319E-5</v>
      </c>
      <c r="G13" s="357" cm="1">
        <f t="array" ref="G13">IFERROR(PERCENTILE(IF('Compiled Data_Surface'!$L:$L=$A13,'Compiled Data_Surface'!$S:$S),0.95)/B13,"")</f>
        <v>0.5807796705479995</v>
      </c>
    </row>
    <row r="14" spans="1:7" ht="14.45" customHeight="1" x14ac:dyDescent="0.25">
      <c r="A14" s="291" t="s">
        <v>6750</v>
      </c>
      <c r="B14" s="338">
        <v>250</v>
      </c>
      <c r="C14" s="297">
        <f>COUNTIF('Facility Summary'!K:K, 'OES Summary'!A14)</f>
        <v>11</v>
      </c>
      <c r="D14" s="356" cm="1">
        <f t="array" ref="D14">IFERROR(PERCENTILE(IF('Compiled Data_Surface'!$L:$L=$A14,'Compiled Data_Surface'!$S:$S),0.5),"")</f>
        <v>4.6002852528499998E-2</v>
      </c>
      <c r="E14" s="356" cm="1">
        <f t="array" ref="E14">IFERROR(PERCENTILE(IF('Compiled Data_Surface'!$L:$L=$A14,'Compiled Data_Surface'!$S:$S),0.95),"")</f>
        <v>10.227191574199988</v>
      </c>
      <c r="F14" s="356" cm="1">
        <f t="array" ref="F14">IFERROR(PERCENTILE(IF('Compiled Data_Surface'!$L:$L=$A14,'Compiled Data_Surface'!$S:$S),0.5)/B14,"")</f>
        <v>1.8401141011399998E-4</v>
      </c>
      <c r="G14" s="357" cm="1">
        <f t="array" ref="G14">IFERROR(PERCENTILE(IF('Compiled Data_Surface'!$L:$L=$A14,'Compiled Data_Surface'!$S:$S),0.95)/B14,"")</f>
        <v>4.0908766296799952E-2</v>
      </c>
    </row>
    <row r="15" spans="1:7" ht="14.45" customHeight="1" x14ac:dyDescent="0.25">
      <c r="A15" s="291" t="s">
        <v>6751</v>
      </c>
      <c r="B15" s="338">
        <v>250</v>
      </c>
      <c r="C15" s="297">
        <f>COUNTIF('Facility Summary'!K:K, 'OES Summary'!A15)</f>
        <v>5</v>
      </c>
      <c r="D15" s="356" cm="1">
        <f t="array" ref="D15">IFERROR(PERCENTILE(IF('Compiled Data_Surface'!$L:$L=$A15,'Compiled Data_Surface'!$S:$S),0.5),"")</f>
        <v>1.6326530612244801</v>
      </c>
      <c r="E15" s="356" cm="1">
        <f t="array" ref="E15">IFERROR(PERCENTILE(IF('Compiled Data_Surface'!$L:$L=$A15,'Compiled Data_Surface'!$S:$S),0.95),"")</f>
        <v>328.08930164000003</v>
      </c>
      <c r="F15" s="356" cm="1">
        <f t="array" ref="F15">IFERROR(PERCENTILE(IF('Compiled Data_Surface'!$L:$L=$A15,'Compiled Data_Surface'!$S:$S),0.5)/B15,"")</f>
        <v>6.5306122448979204E-3</v>
      </c>
      <c r="G15" s="357" cm="1">
        <f t="array" ref="G15">IFERROR(PERCENTILE(IF('Compiled Data_Surface'!$L:$L=$A15,'Compiled Data_Surface'!$S:$S),0.95)/B15,"")</f>
        <v>1.3123572065600002</v>
      </c>
    </row>
    <row r="16" spans="1:7" ht="14.45" customHeight="1" x14ac:dyDescent="0.25">
      <c r="A16" s="292" t="s">
        <v>263</v>
      </c>
      <c r="B16" s="340">
        <v>365</v>
      </c>
      <c r="C16" s="297">
        <f>COUNTIF('Facility Summary'!K:K, 'OES Summary'!A16)</f>
        <v>169</v>
      </c>
      <c r="D16" s="356" cm="1">
        <f t="array" ref="D16">IFERROR(PERCENTILE(IF('Compiled Data_Surface'!$L:$L=$A16,'Compiled Data_Surface'!$S:$S),0.5),"")</f>
        <v>1.581846125</v>
      </c>
      <c r="E16" s="356" cm="1">
        <f t="array" ref="E16">IFERROR(PERCENTILE(IF('Compiled Data_Surface'!$L:$L=$A16,'Compiled Data_Surface'!$S:$S),0.95),"")</f>
        <v>98.876198449999961</v>
      </c>
      <c r="F16" s="356" cm="1">
        <f t="array" ref="F16">IFERROR(PERCENTILE(IF('Compiled Data_Surface'!$L:$L=$A16,'Compiled Data_Surface'!$S:$S),0.5)/B16,"")</f>
        <v>4.3338250000000004E-3</v>
      </c>
      <c r="G16" s="357" cm="1">
        <f t="array" ref="G16">IFERROR(PERCENTILE(IF('Compiled Data_Surface'!$L:$L=$A16,'Compiled Data_Surface'!$S:$S),0.95)/B16,"")</f>
        <v>0.27089369438356153</v>
      </c>
    </row>
    <row r="17" spans="1:7" ht="14.45" customHeight="1" x14ac:dyDescent="0.25">
      <c r="A17" s="293" t="s">
        <v>264</v>
      </c>
      <c r="B17" s="341">
        <v>365</v>
      </c>
      <c r="C17" s="297">
        <f>COUNTIF('Facility Summary'!K:K, 'OES Summary'!A17)</f>
        <v>19</v>
      </c>
      <c r="D17" s="356" cm="1">
        <f t="array" ref="D17">IFERROR(PERCENTILE(IF('Compiled Data_Surface'!$L:$L=$A17,'Compiled Data_Surface'!$S:$S),0.5),"")</f>
        <v>4.2851215125000001E-2</v>
      </c>
      <c r="E17" s="356" cm="1">
        <f t="array" ref="E17">IFERROR(PERCENTILE(IF('Compiled Data_Surface'!$L:$L=$A17,'Compiled Data_Surface'!$S:$S),0.95),"")</f>
        <v>0.79385332571523937</v>
      </c>
      <c r="F17" s="356" cm="1">
        <f t="array" ref="F17">IFERROR(PERCENTILE(IF('Compiled Data_Surface'!$L:$L=$A17,'Compiled Data_Surface'!$S:$S),0.5)/B17,"")</f>
        <v>1.1740058938356164E-4</v>
      </c>
      <c r="G17" s="357" cm="1">
        <f t="array" ref="G17">IFERROR(PERCENTILE(IF('Compiled Data_Surface'!$L:$L=$A17,'Compiled Data_Surface'!$S:$S),0.95)/B17,"")</f>
        <v>2.174940618397916E-3</v>
      </c>
    </row>
    <row r="18" spans="1:7" ht="14.45" customHeight="1" thickBot="1" x14ac:dyDescent="0.3">
      <c r="A18" s="294" t="s">
        <v>265</v>
      </c>
      <c r="B18" s="388">
        <v>250</v>
      </c>
      <c r="C18" s="379">
        <f>COUNTIF('Facility Summary'!K:K, 'OES Summary'!A18)</f>
        <v>199</v>
      </c>
      <c r="D18" s="358" cm="1">
        <f t="array" ref="D18">IFERROR(PERCENTILE(IF('Compiled Data_Surface'!$L:$L=$A18,'Compiled Data_Surface'!$S:$S),0.5),"")</f>
        <v>3.0695E-2</v>
      </c>
      <c r="E18" s="358" cm="1">
        <f t="array" ref="E18">IFERROR(PERCENTILE(IF('Compiled Data_Surface'!$L:$L=$A18,'Compiled Data_Surface'!$S:$S),0.95),"")</f>
        <v>2.7908629369999933</v>
      </c>
      <c r="F18" s="358" cm="1">
        <f t="array" ref="F18">IFERROR(PERCENTILE(IF('Compiled Data_Surface'!$L:$L=$A18,'Compiled Data_Surface'!$S:$S),0.5)/B18,"")</f>
        <v>1.2278000000000001E-4</v>
      </c>
      <c r="G18" s="359" cm="1">
        <f t="array" ref="G18">IFERROR(PERCENTILE(IF('Compiled Data_Surface'!$L:$L=$A18,'Compiled Data_Surface'!$S:$S),0.95)/B18,"")</f>
        <v>1.1163451747999974E-2</v>
      </c>
    </row>
    <row r="19" spans="1:7" ht="14.45" customHeight="1" x14ac:dyDescent="0.25">
      <c r="A19" s="377" t="s">
        <v>266</v>
      </c>
      <c r="B19" s="380">
        <f t="shared" ref="B19:G19" si="0">SUM(B3:B12, B17:B18)</f>
        <v>3500</v>
      </c>
      <c r="C19" s="381">
        <f t="shared" si="0"/>
        <v>328</v>
      </c>
      <c r="D19" s="360">
        <f t="shared" si="0"/>
        <v>3.0938507488401568</v>
      </c>
      <c r="E19" s="360">
        <f t="shared" si="0"/>
        <v>684.13439170851677</v>
      </c>
      <c r="F19" s="360">
        <f t="shared" si="0"/>
        <v>9.3278982327530766E-3</v>
      </c>
      <c r="G19" s="361">
        <f t="shared" si="0"/>
        <v>2.227180129956893</v>
      </c>
    </row>
    <row r="20" spans="1:7" ht="14.45" customHeight="1" thickBot="1" x14ac:dyDescent="0.3">
      <c r="A20" s="378" t="s">
        <v>267</v>
      </c>
      <c r="B20" s="382">
        <f>SUM(B3:B18)</f>
        <v>4615</v>
      </c>
      <c r="C20" s="383">
        <f>SUM(C3:C18)</f>
        <v>518</v>
      </c>
      <c r="D20" s="362">
        <f>SUM(D3:D18)</f>
        <v>6.3579005357184704</v>
      </c>
      <c r="E20" s="362">
        <f t="shared" ref="E20:G20" si="1">SUM(E3:E18)</f>
        <v>1266.5220010097166</v>
      </c>
      <c r="F20" s="362">
        <f t="shared" si="1"/>
        <v>2.0390537880266332E-2</v>
      </c>
      <c r="G20" s="363">
        <f t="shared" si="1"/>
        <v>4.4321194677452533</v>
      </c>
    </row>
  </sheetData>
  <sheetProtection sheet="1" objects="1" scenarios="1" formatCells="0" formatColumns="0" formatRows="0"/>
  <mergeCells count="2">
    <mergeCell ref="D1:E1"/>
    <mergeCell ref="F1:G1"/>
  </mergeCells>
  <conditionalFormatting sqref="D3:G20">
    <cfRule type="cellIs" dxfId="13" priority="1" operator="greaterThanOrEqual">
      <formula>10000</formula>
    </cfRule>
    <cfRule type="cellIs" dxfId="12" priority="2" operator="greaterThanOrEqual">
      <formula>10</formula>
    </cfRule>
    <cfRule type="cellIs" dxfId="11" priority="3" operator="between">
      <formula>1</formula>
      <formula>9.999</formula>
    </cfRule>
    <cfRule type="cellIs" dxfId="10" priority="4" operator="between">
      <formula>0.1</formula>
      <formula>0.999</formula>
    </cfRule>
    <cfRule type="cellIs" dxfId="9" priority="5" operator="lessThanOrEqual">
      <formula>0.1</formula>
    </cfRule>
    <cfRule type="containsBlanks" dxfId="8" priority="6" stopIfTrue="1">
      <formula>LEN(TRIM(D3))=0</formula>
    </cfRule>
    <cfRule type="cellIs" dxfId="7" priority="7"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FD462-FE22-47FE-9CB8-57CD84F92C13}">
  <sheetPr>
    <tabColor theme="1"/>
  </sheetPr>
  <dimension ref="A1:B15"/>
  <sheetViews>
    <sheetView workbookViewId="0"/>
  </sheetViews>
  <sheetFormatPr defaultRowHeight="15" x14ac:dyDescent="0.25"/>
  <cols>
    <col min="1" max="1" width="31.5703125" customWidth="1"/>
    <col min="2" max="2" width="101.85546875" customWidth="1"/>
    <col min="4" max="4" width="95.5703125" customWidth="1"/>
  </cols>
  <sheetData>
    <row r="1" spans="1:2" x14ac:dyDescent="0.25">
      <c r="A1" t="s">
        <v>222</v>
      </c>
    </row>
    <row r="2" spans="1:2" x14ac:dyDescent="0.25">
      <c r="A2" t="s">
        <v>223</v>
      </c>
    </row>
    <row r="3" spans="1:2" x14ac:dyDescent="0.25">
      <c r="A3" t="s">
        <v>224</v>
      </c>
    </row>
    <row r="4" spans="1:2" x14ac:dyDescent="0.25">
      <c r="A4" s="162"/>
      <c r="B4" s="98"/>
    </row>
    <row r="5" spans="1:2" x14ac:dyDescent="0.25">
      <c r="A5" s="410" t="s">
        <v>225</v>
      </c>
      <c r="B5" s="411"/>
    </row>
    <row r="6" spans="1:2" x14ac:dyDescent="0.25">
      <c r="A6" s="285" t="s">
        <v>226</v>
      </c>
      <c r="B6" s="30" t="s">
        <v>6756</v>
      </c>
    </row>
    <row r="7" spans="1:2" x14ac:dyDescent="0.25">
      <c r="A7" s="285" t="s">
        <v>227</v>
      </c>
      <c r="B7" s="30" t="s">
        <v>228</v>
      </c>
    </row>
    <row r="8" spans="1:2" x14ac:dyDescent="0.25">
      <c r="A8" s="117" t="s">
        <v>229</v>
      </c>
      <c r="B8" s="30" t="s">
        <v>230</v>
      </c>
    </row>
    <row r="9" spans="1:2" ht="255" x14ac:dyDescent="0.25">
      <c r="A9" s="117" t="s">
        <v>231</v>
      </c>
      <c r="B9" s="30" t="s">
        <v>6754</v>
      </c>
    </row>
    <row r="10" spans="1:2" ht="30" x14ac:dyDescent="0.25">
      <c r="A10" s="118" t="s">
        <v>232</v>
      </c>
      <c r="B10" s="30" t="s">
        <v>233</v>
      </c>
    </row>
    <row r="11" spans="1:2" ht="60" x14ac:dyDescent="0.25">
      <c r="A11" s="118" t="s">
        <v>234</v>
      </c>
      <c r="B11" s="30" t="s">
        <v>235</v>
      </c>
    </row>
    <row r="12" spans="1:2" x14ac:dyDescent="0.25">
      <c r="A12" s="118" t="s">
        <v>236</v>
      </c>
      <c r="B12" s="30" t="s">
        <v>237</v>
      </c>
    </row>
    <row r="13" spans="1:2" ht="30" x14ac:dyDescent="0.25">
      <c r="A13" s="119" t="s">
        <v>238</v>
      </c>
      <c r="B13" s="30" t="s">
        <v>239</v>
      </c>
    </row>
    <row r="14" spans="1:2" ht="30" x14ac:dyDescent="0.25">
      <c r="A14" s="119" t="s">
        <v>240</v>
      </c>
      <c r="B14" s="30" t="s">
        <v>6755</v>
      </c>
    </row>
    <row r="15" spans="1:2" ht="50.25" customHeight="1" x14ac:dyDescent="0.25">
      <c r="A15" s="119" t="s">
        <v>241</v>
      </c>
      <c r="B15" s="30" t="s">
        <v>242</v>
      </c>
    </row>
  </sheetData>
  <sheetProtection sheet="1" objects="1" scenarios="1" formatCells="0" formatColumns="0" formatRows="0"/>
  <mergeCells count="1">
    <mergeCell ref="A5:B5"/>
  </mergeCells>
  <pageMargins left="0.7" right="0.7" top="0.75" bottom="0.75" header="0.3" footer="0.3"/>
  <pageSetup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0412D-639E-4C2B-8EBE-C194E1D13353}">
  <sheetPr>
    <tabColor rgb="FF7030A0"/>
  </sheetPr>
  <dimension ref="A1:G16"/>
  <sheetViews>
    <sheetView zoomScale="90" zoomScaleNormal="90" workbookViewId="0">
      <selection activeCell="D30" sqref="D30"/>
    </sheetView>
  </sheetViews>
  <sheetFormatPr defaultRowHeight="14.45" customHeight="1" x14ac:dyDescent="0.25"/>
  <cols>
    <col min="1" max="1" width="52.140625" customWidth="1"/>
    <col min="2" max="3" width="15.5703125" customWidth="1"/>
    <col min="4" max="4" width="17.140625" customWidth="1"/>
    <col min="5" max="5" width="15.5703125" customWidth="1"/>
    <col min="6" max="6" width="17.140625" customWidth="1"/>
    <col min="7" max="7" width="15.5703125" customWidth="1"/>
  </cols>
  <sheetData>
    <row r="1" spans="1:7" ht="14.45" customHeight="1" thickBot="1" x14ac:dyDescent="0.3">
      <c r="D1" s="407" t="s">
        <v>245</v>
      </c>
      <c r="E1" s="408"/>
      <c r="F1" s="409" t="s">
        <v>246</v>
      </c>
      <c r="G1" s="408"/>
    </row>
    <row r="2" spans="1:7" ht="14.45" customHeight="1" thickBot="1" x14ac:dyDescent="0.3">
      <c r="A2" s="290" t="s">
        <v>247</v>
      </c>
      <c r="B2" s="336" t="s">
        <v>248</v>
      </c>
      <c r="C2" s="333" t="s">
        <v>13</v>
      </c>
      <c r="D2" s="334" t="s">
        <v>249</v>
      </c>
      <c r="E2" s="335" t="s">
        <v>250</v>
      </c>
      <c r="F2" s="333" t="s">
        <v>249</v>
      </c>
      <c r="G2" s="335" t="s">
        <v>250</v>
      </c>
    </row>
    <row r="3" spans="1:7" ht="14.45" customHeight="1" x14ac:dyDescent="0.25">
      <c r="A3" s="291" t="s">
        <v>251</v>
      </c>
      <c r="B3" s="337">
        <v>350</v>
      </c>
      <c r="C3" s="297" t="e">
        <f>COUNTIF(#REF!, 'OES Summary (2021-2024)'!A3)</f>
        <v>#REF!</v>
      </c>
      <c r="D3" s="367" cm="1">
        <f t="array" ref="D3">IFERROR(PERCENTILE(IF('Compiled Data_Surface_2021-2024'!$L:$L=$A3,'Compiled Data_Surface_2021-2024'!$S:$S),0.5),"")</f>
        <v>1.74514837446233</v>
      </c>
      <c r="E3" s="367" cm="1">
        <f t="array" ref="E3">IFERROR(PERCENTILE(IF('Compiled Data_Surface_2021-2024'!$L:$L=$A3,'Compiled Data_Surface_2021-2024'!$S:$S),0.95),"")</f>
        <v>308.21035580678426</v>
      </c>
      <c r="F3" s="364" cm="1">
        <f t="array" ref="F3">IFERROR(PERCENTILE(IF('Compiled Data_Surface_2021-2024'!$L:$L=$A3,'Compiled Data_Surface_2021-2024'!$S:$S),0.5)/B3,"")</f>
        <v>4.9861382127495144E-3</v>
      </c>
      <c r="G3" s="370" cm="1">
        <f t="array" ref="G3">IFERROR(PERCENTILE(IF('Compiled Data_Surface_2021-2024'!$L:$L=$A3,'Compiled Data_Surface_2021-2024'!$S:$S),0.95)/B3,"")</f>
        <v>0.88060101659081214</v>
      </c>
    </row>
    <row r="4" spans="1:7" ht="14.45" customHeight="1" x14ac:dyDescent="0.25">
      <c r="A4" s="291" t="s">
        <v>252</v>
      </c>
      <c r="B4" s="338">
        <v>250</v>
      </c>
      <c r="C4" s="297" t="e">
        <f>COUNTIF(#REF!, 'OES Summary (2021-2024)'!A4)</f>
        <v>#REF!</v>
      </c>
      <c r="D4" s="367" cm="1">
        <f t="array" ref="D4">IFERROR(PERCENTILE(IF('Compiled Data_Surface_2021-2024'!$L:$L=$A4,'Compiled Data_Surface_2021-2024'!$S:$S),0.5),"")</f>
        <v>2.5074868E-2</v>
      </c>
      <c r="E4" s="367" cm="1">
        <f t="array" ref="E4">IFERROR(PERCENTILE(IF('Compiled Data_Surface_2021-2024'!$L:$L=$A4,'Compiled Data_Surface_2021-2024'!$S:$S),0.95),"")</f>
        <v>0.89346817499999998</v>
      </c>
      <c r="F4" s="364" cm="1">
        <f t="array" ref="F4">IFERROR(PERCENTILE(IF('Compiled Data_Surface_2021-2024'!$L:$L=$A4,'Compiled Data_Surface_2021-2024'!$S:$S),0.5)/B4,"")</f>
        <v>1.0029947199999999E-4</v>
      </c>
      <c r="G4" s="370" cm="1">
        <f t="array" ref="G4">IFERROR(PERCENTILE(IF('Compiled Data_Surface_2021-2024'!$L:$L=$A4,'Compiled Data_Surface_2021-2024'!$S:$S),0.95)/B4,"")</f>
        <v>3.5738726999999999E-3</v>
      </c>
    </row>
    <row r="5" spans="1:7" ht="14.45" customHeight="1" x14ac:dyDescent="0.25">
      <c r="A5" s="291" t="s">
        <v>253</v>
      </c>
      <c r="B5" s="338">
        <v>350</v>
      </c>
      <c r="C5" s="297" t="e">
        <f>COUNTIF(#REF!, 'OES Summary (2021-2024)'!A5)</f>
        <v>#REF!</v>
      </c>
      <c r="D5" s="367" cm="1">
        <f t="array" ref="D5">IFERROR(PERCENTILE(IF('Compiled Data_Surface_2021-2024'!$L:$L=$A5,'Compiled Data_Surface_2021-2024'!$S:$S),0.5),"")</f>
        <v>4.6890729999999999E-2</v>
      </c>
      <c r="E5" s="367" cm="1">
        <f t="array" ref="E5">IFERROR(PERCENTILE(IF('Compiled Data_Surface_2021-2024'!$L:$L=$A5,'Compiled Data_Surface_2021-2024'!$S:$S),0.95),"")</f>
        <v>53.320998250000002</v>
      </c>
      <c r="F5" s="364" cm="1">
        <f t="array" ref="F5">IFERROR(PERCENTILE(IF('Compiled Data_Surface_2021-2024'!$L:$L=$A5,'Compiled Data_Surface_2021-2024'!$S:$S),0.5)/B5,"")</f>
        <v>1.3397351428571429E-4</v>
      </c>
      <c r="G5" s="370" cm="1">
        <f t="array" ref="G5">IFERROR(PERCENTILE(IF('Compiled Data_Surface_2021-2024'!$L:$L=$A5,'Compiled Data_Surface_2021-2024'!$S:$S),0.95)/B5,"")</f>
        <v>0.15234570928571428</v>
      </c>
    </row>
    <row r="6" spans="1:7" ht="30" x14ac:dyDescent="0.25">
      <c r="A6" s="291" t="s">
        <v>254</v>
      </c>
      <c r="B6" s="338">
        <v>300</v>
      </c>
      <c r="C6" s="297" t="e">
        <f>COUNTIF(#REF!, 'OES Summary (2021-2024)'!A6)</f>
        <v>#REF!</v>
      </c>
      <c r="D6" s="367" cm="1">
        <f t="array" ref="D6">IFERROR(PERCENTILE(IF('Compiled Data_Surface_2021-2024'!$L:$L=$A6,'Compiled Data_Surface_2021-2024'!$S:$S),0.5),"")</f>
        <v>0.42922068000000002</v>
      </c>
      <c r="E6" s="367" cm="1">
        <f t="array" ref="E6">IFERROR(PERCENTILE(IF('Compiled Data_Surface_2021-2024'!$L:$L=$A6,'Compiled Data_Surface_2021-2024'!$S:$S),0.95),"")</f>
        <v>13.982745999999999</v>
      </c>
      <c r="F6" s="364" cm="1">
        <f t="array" ref="F6">IFERROR(PERCENTILE(IF('Compiled Data_Surface_2021-2024'!$L:$L=$A6,'Compiled Data_Surface_2021-2024'!$S:$S),0.5)/B6,"")</f>
        <v>1.4307356E-3</v>
      </c>
      <c r="G6" s="370" cm="1">
        <f t="array" ref="G6">IFERROR(PERCENTILE(IF('Compiled Data_Surface_2021-2024'!$L:$L=$A6,'Compiled Data_Surface_2021-2024'!$S:$S),0.95)/B6,"")</f>
        <v>4.6609153333333327E-2</v>
      </c>
    </row>
    <row r="7" spans="1:7" ht="31.5" customHeight="1" x14ac:dyDescent="0.25">
      <c r="A7" s="291" t="s">
        <v>259</v>
      </c>
      <c r="B7" s="338">
        <v>250</v>
      </c>
      <c r="C7" s="297" t="e">
        <f>COUNTIF(#REF!, 'OES Summary (2021-2024)'!A7)</f>
        <v>#REF!</v>
      </c>
      <c r="D7" s="367" cm="1">
        <f t="array" ref="D7">IFERROR(PERCENTILE(IF('Compiled Data_Surface_2021-2024'!$L:$L=$A7,'Compiled Data_Surface_2021-2024'!$S:$S),0.5),"")</f>
        <v>1.02017704297975E-2</v>
      </c>
      <c r="E7" s="367" cm="1">
        <f t="array" ref="E7">IFERROR(PERCENTILE(IF('Compiled Data_Surface_2021-2024'!$L:$L=$A7,'Compiled Data_Surface_2021-2024'!$S:$S),0.95),"")</f>
        <v>1.936417954297975E-2</v>
      </c>
      <c r="F7" s="364" cm="1">
        <f t="array" ref="F7">IFERROR(PERCENTILE(IF('Compiled Data_Surface_2021-2024'!$L:$L=$A7,'Compiled Data_Surface_2021-2024'!$S:$S),0.5)/B7,"")</f>
        <v>4.0807081719189999E-5</v>
      </c>
      <c r="G7" s="370" cm="1">
        <f t="array" ref="G7">IFERROR(PERCENTILE(IF('Compiled Data_Surface_2021-2024'!$L:$L=$A7,'Compiled Data_Surface_2021-2024'!$S:$S),0.95)/B7,"")</f>
        <v>7.7456718171919E-5</v>
      </c>
    </row>
    <row r="8" spans="1:7" ht="14.45" customHeight="1" x14ac:dyDescent="0.25">
      <c r="A8" s="291" t="s">
        <v>261</v>
      </c>
      <c r="B8" s="339">
        <v>260</v>
      </c>
      <c r="C8" s="297" t="e">
        <f>COUNTIF(#REF!, 'OES Summary (2021-2024)'!A8)</f>
        <v>#REF!</v>
      </c>
      <c r="D8" s="367" cm="1">
        <f t="array" ref="D8">IFERROR(PERCENTILE(IF('Compiled Data_Surface_2021-2024'!$L:$L=$A8,'Compiled Data_Surface_2021-2024'!$S:$S),0.5),"")</f>
        <v>5.7870852124999993E-3</v>
      </c>
      <c r="E8" s="367" cm="1">
        <f t="array" ref="E8">IFERROR(PERCENTILE(IF('Compiled Data_Surface_2021-2024'!$L:$L=$A8,'Compiled Data_Surface_2021-2024'!$S:$S),0.95),"")</f>
        <v>1.1295859375E-2</v>
      </c>
      <c r="F8" s="364" cm="1">
        <f t="array" ref="F8">IFERROR(PERCENTILE(IF('Compiled Data_Surface_2021-2024'!$L:$L=$A8,'Compiled Data_Surface_2021-2024'!$S:$S),0.5)/B8,"")</f>
        <v>2.225802004807692E-5</v>
      </c>
      <c r="G8" s="370" cm="1">
        <f t="array" ref="G8">IFERROR(PERCENTILE(IF('Compiled Data_Surface_2021-2024'!$L:$L=$A8,'Compiled Data_Surface_2021-2024'!$S:$S),0.95)/B8,"")</f>
        <v>4.3445612980769233E-5</v>
      </c>
    </row>
    <row r="9" spans="1:7" ht="15" x14ac:dyDescent="0.25">
      <c r="A9" s="291" t="s">
        <v>6752</v>
      </c>
      <c r="B9" s="338">
        <v>250</v>
      </c>
      <c r="C9" s="297" t="e">
        <f>COUNTIF(#REF!, 'OES Summary (2021-2024)'!A9)</f>
        <v>#REF!</v>
      </c>
      <c r="D9" s="367" cm="1">
        <f t="array" ref="D9">IFERROR(PERCENTILE(IF('Compiled Data_Surface_2021-2024'!$L:$L=$A9,'Compiled Data_Surface_2021-2024'!$S:$S),0.5),"")</f>
        <v>1.8000771818181801E-3</v>
      </c>
      <c r="E9" s="367" cm="1">
        <f t="array" ref="E9">IFERROR(PERCENTILE(IF('Compiled Data_Surface_2021-2024'!$L:$L=$A9,'Compiled Data_Surface_2021-2024'!$S:$S),0.95),"")</f>
        <v>5.9816796627800003E-3</v>
      </c>
      <c r="F9" s="364" cm="1">
        <f t="array" ref="F9">IFERROR(PERCENTILE(IF('Compiled Data_Surface_2021-2024'!$L:$L=$A9,'Compiled Data_Surface_2021-2024'!$S:$S),0.5)/B9,"")</f>
        <v>7.2003087272727204E-6</v>
      </c>
      <c r="G9" s="370" cm="1">
        <f t="array" ref="G9">IFERROR(PERCENTILE(IF('Compiled Data_Surface_2021-2024'!$L:$L=$A9,'Compiled Data_Surface_2021-2024'!$S:$S),0.95)/B9,"")</f>
        <v>2.3926718651120002E-5</v>
      </c>
    </row>
    <row r="10" spans="1:7" ht="15" x14ac:dyDescent="0.25">
      <c r="A10" s="291" t="s">
        <v>6750</v>
      </c>
      <c r="B10" s="338">
        <v>250</v>
      </c>
      <c r="C10" s="297" t="e">
        <f>COUNTIF(#REF!, 'OES Summary (2021-2024)'!A10)</f>
        <v>#REF!</v>
      </c>
      <c r="D10" s="367" cm="1">
        <f t="array" ref="D10">IFERROR(PERCENTILE(IF('Compiled Data_Surface_2021-2024'!$L:$L=$A10,'Compiled Data_Surface_2021-2024'!$S:$S),0.5),"")</f>
        <v>3.6003351490000002E-2</v>
      </c>
      <c r="E10" s="367" cm="1">
        <f t="array" ref="E10">IFERROR(PERCENTILE(IF('Compiled Data_Surface_2021-2024'!$L:$L=$A10,'Compiled Data_Surface_2021-2024'!$S:$S),0.95),"")</f>
        <v>7.947337702199988</v>
      </c>
      <c r="F10" s="364" cm="1">
        <f t="array" ref="F10">IFERROR(PERCENTILE(IF('Compiled Data_Surface_2021-2024'!$L:$L=$A10,'Compiled Data_Surface_2021-2024'!$S:$S),0.5)/B10,"")</f>
        <v>1.4401340596000001E-4</v>
      </c>
      <c r="G10" s="370" cm="1">
        <f t="array" ref="G10">IFERROR(PERCENTILE(IF('Compiled Data_Surface_2021-2024'!$L:$L=$A10,'Compiled Data_Surface_2021-2024'!$S:$S),0.95)/B10,"")</f>
        <v>3.1789350808799952E-2</v>
      </c>
    </row>
    <row r="11" spans="1:7" ht="30" x14ac:dyDescent="0.25">
      <c r="A11" s="291" t="s">
        <v>6751</v>
      </c>
      <c r="B11" s="338">
        <v>250</v>
      </c>
      <c r="C11" s="297" t="e">
        <f>COUNTIF(#REF!, 'OES Summary (2021-2024)'!A11)</f>
        <v>#REF!</v>
      </c>
      <c r="D11" s="367" cm="1">
        <f t="array" ref="D11">IFERROR(PERCENTILE(IF('Compiled Data_Surface_2021-2024'!$L:$L=$A11,'Compiled Data_Surface_2021-2024'!$S:$S),0.5),"")</f>
        <v>0.41355523333333299</v>
      </c>
      <c r="E11" s="367" cm="1">
        <f t="array" ref="E11">IFERROR(PERCENTILE(IF('Compiled Data_Surface_2021-2024'!$L:$L=$A11,'Compiled Data_Surface_2021-2024'!$S:$S),0.95),"")</f>
        <v>1.5920231552666604</v>
      </c>
      <c r="F11" s="364" cm="1">
        <f t="array" ref="F11">IFERROR(PERCENTILE(IF('Compiled Data_Surface_2021-2024'!$L:$L=$A11,'Compiled Data_Surface_2021-2024'!$S:$S),0.5)/B11,"")</f>
        <v>1.6542209333333319E-3</v>
      </c>
      <c r="G11" s="370" cm="1">
        <f t="array" ref="G11">IFERROR(PERCENTILE(IF('Compiled Data_Surface_2021-2024'!$L:$L=$A11,'Compiled Data_Surface_2021-2024'!$S:$S),0.95)/B11,"")</f>
        <v>6.3680926210666414E-3</v>
      </c>
    </row>
    <row r="12" spans="1:7" ht="14.45" customHeight="1" x14ac:dyDescent="0.25">
      <c r="A12" s="292" t="s">
        <v>263</v>
      </c>
      <c r="B12" s="340">
        <v>365</v>
      </c>
      <c r="C12" s="297" t="e">
        <f>COUNTIF(#REF!, 'OES Summary (2021-2024)'!A12)</f>
        <v>#REF!</v>
      </c>
      <c r="D12" s="367" cm="1">
        <f t="array" ref="D12">IFERROR(PERCENTILE(IF('Compiled Data_Surface_2021-2024'!$L:$L=$A12,'Compiled Data_Surface_2021-2024'!$S:$S),0.5),"")</f>
        <v>1.933800424925</v>
      </c>
      <c r="E12" s="367" cm="1">
        <f t="array" ref="E12">IFERROR(PERCENTILE(IF('Compiled Data_Surface_2021-2024'!$L:$L=$A12,'Compiled Data_Surface_2021-2024'!$S:$S),0.95),"")</f>
        <v>134.13216384</v>
      </c>
      <c r="F12" s="364" cm="1">
        <f t="array" ref="F12">IFERROR(PERCENTILE(IF('Compiled Data_Surface_2021-2024'!$L:$L=$A12,'Compiled Data_Surface_2021-2024'!$S:$S),0.5)/B12,"")</f>
        <v>5.2980833559589042E-3</v>
      </c>
      <c r="G12" s="370" cm="1">
        <f t="array" ref="G12">IFERROR(PERCENTILE(IF('Compiled Data_Surface_2021-2024'!$L:$L=$A12,'Compiled Data_Surface_2021-2024'!$S:$S),0.95)/B12,"")</f>
        <v>0.36748538038356166</v>
      </c>
    </row>
    <row r="13" spans="1:7" ht="14.45" customHeight="1" x14ac:dyDescent="0.25">
      <c r="A13" s="293" t="s">
        <v>264</v>
      </c>
      <c r="B13" s="341">
        <v>365</v>
      </c>
      <c r="C13" s="297" t="e">
        <f>COUNTIF(#REF!, 'OES Summary (2021-2024)'!A13)</f>
        <v>#REF!</v>
      </c>
      <c r="D13" s="367" cm="1">
        <f t="array" ref="D13">IFERROR(PERCENTILE(IF('Compiled Data_Surface_2021-2024'!$L:$L=$A13,'Compiled Data_Surface_2021-2024'!$S:$S),0.5),"")</f>
        <v>4.0836256181250002E-2</v>
      </c>
      <c r="E13" s="367" cm="1">
        <f t="array" ref="E13">IFERROR(PERCENTILE(IF('Compiled Data_Surface_2021-2024'!$L:$L=$A13,'Compiled Data_Surface_2021-2024'!$S:$S),0.95),"")</f>
        <v>0.7399417241499997</v>
      </c>
      <c r="F13" s="364" cm="1">
        <f t="array" ref="F13">IFERROR(PERCENTILE(IF('Compiled Data_Surface_2021-2024'!$L:$L=$A13,'Compiled Data_Surface_2021-2024'!$S:$S),0.5)/B13,"")</f>
        <v>1.1188015392123289E-4</v>
      </c>
      <c r="G13" s="370" cm="1">
        <f t="array" ref="G13">IFERROR(PERCENTILE(IF('Compiled Data_Surface_2021-2024'!$L:$L=$A13,'Compiled Data_Surface_2021-2024'!$S:$S),0.95)/B13,"")</f>
        <v>2.0272376004109582E-3</v>
      </c>
    </row>
    <row r="14" spans="1:7" ht="14.45" customHeight="1" thickBot="1" x14ac:dyDescent="0.3">
      <c r="A14" s="294" t="s">
        <v>265</v>
      </c>
      <c r="B14" s="342">
        <v>250</v>
      </c>
      <c r="C14" s="297" t="e">
        <f>COUNTIF(#REF!, 'OES Summary (2021-2024)'!A14)</f>
        <v>#REF!</v>
      </c>
      <c r="D14" s="367" cm="1">
        <f t="array" ref="D14">IFERROR(PERCENTILE(IF('Compiled Data_Surface_2021-2024'!$L:$L=$A14,'Compiled Data_Surface_2021-2024'!$S:$S),0.5),"")</f>
        <v>2.5364799E-2</v>
      </c>
      <c r="E14" s="367" cm="1">
        <f t="array" ref="E14">IFERROR(PERCENTILE(IF('Compiled Data_Surface_2021-2024'!$L:$L=$A14,'Compiled Data_Surface_2021-2024'!$S:$S),0.95),"")</f>
        <v>2.4539652339999987</v>
      </c>
      <c r="F14" s="364" cm="1">
        <f t="array" ref="F14">IFERROR(PERCENTILE(IF('Compiled Data_Surface_2021-2024'!$L:$L=$A14,'Compiled Data_Surface_2021-2024'!$S:$S),0.5)/B14,"")</f>
        <v>1.0145919599999999E-4</v>
      </c>
      <c r="G14" s="370" cm="1">
        <f t="array" ref="G14">IFERROR(PERCENTILE(IF('Compiled Data_Surface_2021-2024'!$L:$L=$A14,'Compiled Data_Surface_2021-2024'!$S:$S),0.95)/B14,"")</f>
        <v>9.8158609359999954E-3</v>
      </c>
    </row>
    <row r="15" spans="1:7" ht="14.45" customHeight="1" x14ac:dyDescent="0.25">
      <c r="A15" s="295" t="s">
        <v>266</v>
      </c>
      <c r="B15" s="343"/>
      <c r="C15" s="331" t="e">
        <f>SUM(C3:C8, C13:C14)</f>
        <v>#REF!</v>
      </c>
      <c r="D15" s="368">
        <f>SUM(D3:D8, D13:D14)</f>
        <v>2.3285245632858778</v>
      </c>
      <c r="E15" s="368">
        <f>SUM(E3:E8, E13:E14)</f>
        <v>379.63213522885235</v>
      </c>
      <c r="F15" s="365">
        <f>SUM(F3:F8, F13:F14)</f>
        <v>6.9275512507237279E-3</v>
      </c>
      <c r="G15" s="371">
        <f>SUM(G3:G8, G13:G14)</f>
        <v>1.0950937527774232</v>
      </c>
    </row>
    <row r="16" spans="1:7" ht="14.45" customHeight="1" thickBot="1" x14ac:dyDescent="0.3">
      <c r="A16" s="296" t="s">
        <v>267</v>
      </c>
      <c r="B16" s="49"/>
      <c r="C16" s="332" t="e">
        <f>SUM(C3:C14)</f>
        <v>#REF!</v>
      </c>
      <c r="D16" s="369">
        <f>SUM(D3:D14)</f>
        <v>4.7136836502160282</v>
      </c>
      <c r="E16" s="369">
        <f>SUM(E3:E14)</f>
        <v>523.30964160598171</v>
      </c>
      <c r="F16" s="366">
        <f>SUM(F3:F14)</f>
        <v>1.4031069254703236E-2</v>
      </c>
      <c r="G16" s="372">
        <f>SUM(G3:G14)</f>
        <v>1.5007605033095024</v>
      </c>
    </row>
  </sheetData>
  <sheetProtection formatCells="0" formatColumns="0" formatRows="0"/>
  <mergeCells count="2">
    <mergeCell ref="D1:E1"/>
    <mergeCell ref="F1:G1"/>
  </mergeCells>
  <conditionalFormatting sqref="D3:G16">
    <cfRule type="cellIs" dxfId="6" priority="1" operator="greaterThanOrEqual">
      <formula>10000</formula>
    </cfRule>
    <cfRule type="cellIs" dxfId="5" priority="2" operator="greaterThanOrEqual">
      <formula>10</formula>
    </cfRule>
    <cfRule type="cellIs" dxfId="4" priority="3" operator="between">
      <formula>1</formula>
      <formula>9.999</formula>
    </cfRule>
    <cfRule type="cellIs" dxfId="3" priority="4" operator="between">
      <formula>0.1</formula>
      <formula>0.999</formula>
    </cfRule>
    <cfRule type="cellIs" dxfId="2" priority="5" operator="lessThanOrEqual">
      <formula>0.1</formula>
    </cfRule>
    <cfRule type="containsBlanks" dxfId="1" priority="6" stopIfTrue="1">
      <formula>LEN(TRIM(D3))=0</formula>
    </cfRule>
    <cfRule type="cellIs" dxfId="0" priority="7"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AF9E8-8E02-4F93-9612-81509323D1F6}">
  <sheetPr>
    <tabColor theme="4" tint="0.59999389629810485"/>
  </sheetPr>
  <dimension ref="A1:K9"/>
  <sheetViews>
    <sheetView workbookViewId="0">
      <selection activeCell="F39" sqref="F39"/>
    </sheetView>
  </sheetViews>
  <sheetFormatPr defaultRowHeight="15" x14ac:dyDescent="0.25"/>
  <cols>
    <col min="1" max="1" width="27.5703125" bestFit="1" customWidth="1"/>
    <col min="2" max="11" width="9.85546875" customWidth="1"/>
  </cols>
  <sheetData>
    <row r="1" spans="1:11" x14ac:dyDescent="0.25">
      <c r="A1" s="122"/>
      <c r="B1" s="412" t="s">
        <v>268</v>
      </c>
      <c r="C1" s="412"/>
      <c r="D1" s="412"/>
      <c r="E1" s="412"/>
      <c r="F1" s="412"/>
      <c r="G1" s="412"/>
      <c r="H1" s="412"/>
      <c r="I1" s="412"/>
      <c r="J1" s="412"/>
      <c r="K1" s="412"/>
    </row>
    <row r="2" spans="1:11" x14ac:dyDescent="0.25">
      <c r="A2" s="122"/>
      <c r="B2" s="412" t="s">
        <v>269</v>
      </c>
      <c r="C2" s="412"/>
      <c r="D2" s="412"/>
      <c r="E2" s="412"/>
      <c r="F2" s="412"/>
      <c r="G2" s="412"/>
      <c r="H2" s="412"/>
      <c r="I2" s="412"/>
      <c r="J2" s="412"/>
      <c r="K2" s="412"/>
    </row>
    <row r="3" spans="1:11" x14ac:dyDescent="0.25">
      <c r="A3" s="122"/>
      <c r="B3" s="384">
        <v>2024</v>
      </c>
      <c r="C3" s="384">
        <v>2023</v>
      </c>
      <c r="D3" s="384">
        <v>2022</v>
      </c>
      <c r="E3" s="384">
        <v>2021</v>
      </c>
      <c r="F3" s="384">
        <v>2020</v>
      </c>
      <c r="G3" s="384">
        <v>2019</v>
      </c>
      <c r="H3" s="384">
        <v>2018</v>
      </c>
      <c r="I3" s="384">
        <v>2017</v>
      </c>
      <c r="J3" s="384">
        <v>2016</v>
      </c>
      <c r="K3" s="384">
        <v>2015</v>
      </c>
    </row>
    <row r="4" spans="1:11" x14ac:dyDescent="0.25">
      <c r="A4" s="123" t="s">
        <v>270</v>
      </c>
      <c r="B4" s="288">
        <f>SUMIF('Raw TRI Data'!$A:$A,B$3,'Raw TRI Data'!$S:$S)</f>
        <v>1105.4590367743999</v>
      </c>
      <c r="C4" s="288">
        <f>SUMIF('Raw TRI Data'!$A:$A,C$3,'Raw TRI Data'!$S:$S)</f>
        <v>503.43219243086003</v>
      </c>
      <c r="D4" s="288">
        <f>SUMIF('Raw TRI Data'!$A:$A,D$3,'Raw TRI Data'!$S:$S)</f>
        <v>701.69061347231013</v>
      </c>
      <c r="E4" s="288">
        <f>SUMIF('Raw TRI Data'!$A:$A,E$3,'Raw TRI Data'!$S:$S)</f>
        <v>1824.4129222565398</v>
      </c>
      <c r="F4" s="124">
        <f>SUMIF('Raw TRI Data'!$A:$A,F$3,'Raw TRI Data'!$S:$S)</f>
        <v>3533.2124068780004</v>
      </c>
      <c r="G4" s="124">
        <f>SUMIF('Raw TRI Data'!$A:$A,G$3,'Raw TRI Data'!$S:$S)</f>
        <v>828.66336482930001</v>
      </c>
      <c r="H4" s="124">
        <f>SUMIF('Raw TRI Data'!$A:$A,H$3,'Raw TRI Data'!$S:$S)</f>
        <v>2432.1396083215004</v>
      </c>
      <c r="I4" s="124">
        <f>SUMIF('Raw TRI Data'!$A:$A,I$3,'Raw TRI Data'!$S:$S)</f>
        <v>1500.8600416271001</v>
      </c>
      <c r="J4" s="124">
        <f>SUMIF('Raw TRI Data'!$A:$A,J$3,'Raw TRI Data'!$S:$S)</f>
        <v>1550.1990527222433</v>
      </c>
      <c r="K4" s="288">
        <f>SUMIF('Raw TRI Data'!$A:$A,K$3,'Raw TRI Data'!$S:$S)</f>
        <v>2065.8506153677699</v>
      </c>
    </row>
    <row r="5" spans="1:11" x14ac:dyDescent="0.25">
      <c r="A5" s="123" t="s">
        <v>271</v>
      </c>
      <c r="B5" s="288">
        <f>SUMIF('Raw TRI Data'!$A:$A,B$3,'Raw TRI Data'!$U:$U)</f>
        <v>162.10937711430003</v>
      </c>
      <c r="C5" s="288">
        <f>SUMIF('Raw TRI Data'!$A:$A,C$3,'Raw TRI Data'!$U:$U)</f>
        <v>83.687792264999999</v>
      </c>
      <c r="D5" s="288">
        <f>SUMIF('Raw TRI Data'!$A:$A,D$3,'Raw TRI Data'!$U:$U)</f>
        <v>28.313235735399999</v>
      </c>
      <c r="E5" s="288">
        <f>SUMIF('Raw TRI Data'!$A:$A,E$3,'Raw TRI Data'!$U:$U)</f>
        <v>62.795327702800002</v>
      </c>
      <c r="F5" s="124">
        <f>SUMIF('Raw TRI Data'!$A:$A,F$3,'Raw TRI Data'!$U:$U)</f>
        <v>502.80260622130004</v>
      </c>
      <c r="G5" s="124">
        <f>SUMIF('Raw TRI Data'!$A:$A,G$3,'Raw TRI Data'!$U:$U)</f>
        <v>1280.6817693053999</v>
      </c>
      <c r="H5" s="124">
        <f>SUMIF('Raw TRI Data'!$A:$A,H$3,'Raw TRI Data'!$U:$U)</f>
        <v>929.16129032650008</v>
      </c>
      <c r="I5" s="124">
        <f>SUMIF('Raw TRI Data'!$A:$A,I$3,'Raw TRI Data'!$U:$U)</f>
        <v>572.11605628100006</v>
      </c>
      <c r="J5" s="288">
        <f>SUMIF('Raw TRI Data'!$A:$A,J$3,'Raw TRI Data'!$U:$U)</f>
        <v>570.89144760047407</v>
      </c>
      <c r="K5" s="288">
        <f>SUMIF('Raw TRI Data'!$A:$A,K$3,'Raw TRI Data'!$U:$U)</f>
        <v>1026.352663524111</v>
      </c>
    </row>
    <row r="6" spans="1:11" x14ac:dyDescent="0.25">
      <c r="A6" s="123" t="s">
        <v>272</v>
      </c>
      <c r="B6" s="288">
        <f>SUMIF('Raw TRI Data'!$A:$A,B$3,'Raw TRI Data'!$W:$W)</f>
        <v>896.47996006799997</v>
      </c>
      <c r="C6" s="288">
        <f>SUMIF('Raw TRI Data'!$A:$A,C$3,'Raw TRI Data'!$W:$W)</f>
        <v>1290.4612208026001</v>
      </c>
      <c r="D6" s="288">
        <f>SUMIF('Raw TRI Data'!$A:$A,D$3,'Raw TRI Data'!$W:$W)</f>
        <v>877.24764358000016</v>
      </c>
      <c r="E6" s="288">
        <f>SUMIF('Raw TRI Data'!$A:$A,E$3,'Raw TRI Data'!$W:$W)</f>
        <v>1766.5517723546</v>
      </c>
      <c r="F6" s="385">
        <f>SUMIF('Raw TRI Data'!$A:$A,F$3,'Raw TRI Data'!$W:$W)</f>
        <v>1991.6696655855999</v>
      </c>
      <c r="G6" s="385">
        <f>SUMIF('Raw TRI Data'!$A:$A,G$3,'Raw TRI Data'!$W:$W)</f>
        <v>2668.0348562637</v>
      </c>
      <c r="H6" s="385">
        <f>SUMIF('Raw TRI Data'!$A:$A,H$3,'Raw TRI Data'!$W:$W)</f>
        <v>1540.4223681384999</v>
      </c>
      <c r="I6" s="385">
        <f>SUMIF('Raw TRI Data'!$A:$A,I$3,'Raw TRI Data'!$W:$W)</f>
        <v>1571.24396968</v>
      </c>
      <c r="J6" s="385">
        <f>SUMIF('Raw TRI Data'!$A:$A,J$3,'Raw TRI Data'!$W:$W)</f>
        <v>795.60101698000005</v>
      </c>
      <c r="K6" s="385">
        <f>SUMIF('Raw TRI Data'!$A:$A,K$3,'Raw TRI Data'!$W:$W)</f>
        <v>11013.313462074</v>
      </c>
    </row>
    <row r="7" spans="1:11" x14ac:dyDescent="0.25">
      <c r="B7" s="412" t="s">
        <v>273</v>
      </c>
      <c r="C7" s="412"/>
      <c r="D7" s="412"/>
      <c r="E7" s="412"/>
      <c r="F7" s="412"/>
      <c r="G7" s="412"/>
      <c r="H7" s="412"/>
      <c r="I7" s="412"/>
      <c r="J7" s="412"/>
      <c r="K7" s="412"/>
    </row>
    <row r="8" spans="1:11" x14ac:dyDescent="0.25">
      <c r="A8" s="28" t="s">
        <v>270</v>
      </c>
      <c r="B8" s="125">
        <f>SUMIF('Raw Annual DMR Data'!$B:$B,B$3,'Raw Annual DMR Data'!$S:$S)</f>
        <v>2007.0381752540534</v>
      </c>
      <c r="C8" s="125">
        <f>SUMIF('Raw Annual DMR Data'!$B:$B,C$3,'Raw Annual DMR Data'!$S:$S)</f>
        <v>1540.2641571278732</v>
      </c>
      <c r="D8" s="125">
        <f>SUMIF('Raw Annual DMR Data'!$B:$B,D$3,'Raw Annual DMR Data'!$S:$S)</f>
        <v>4478.1495147460719</v>
      </c>
      <c r="E8" s="125">
        <f>SUMIF('Raw Annual DMR Data'!$B:$B,E$3,'Raw Annual DMR Data'!$S:$S)</f>
        <v>12261.102036522889</v>
      </c>
      <c r="F8" s="195">
        <f>SUMIF('Raw Annual DMR Data'!$B:$B,F$3,'Raw Annual DMR Data'!$S:$S)</f>
        <v>65802.480941461443</v>
      </c>
      <c r="G8" s="125">
        <f>SUMIF('Raw Annual DMR Data'!$B:$B,G$3,'Raw Annual DMR Data'!$S:$S)</f>
        <v>1626.0955211702085</v>
      </c>
      <c r="H8" s="125">
        <f>SUMIF('Raw Annual DMR Data'!$B:$B,H$3,'Raw Annual DMR Data'!$S:$S)</f>
        <v>2222.0754915026391</v>
      </c>
      <c r="I8" s="125">
        <f>SUMIF('Raw Annual DMR Data'!$B:$B,I$3,'Raw Annual DMR Data'!$S:$S)</f>
        <v>10454.736584643759</v>
      </c>
      <c r="J8" s="125">
        <f>SUMIF('Raw Annual DMR Data'!$B:$B,J$3,'Raw Annual DMR Data'!$S:$S)</f>
        <v>6274.5567595871153</v>
      </c>
      <c r="K8" s="125">
        <f>SUMIF('Raw Annual DMR Data'!$B:$B,K$3,'Raw Annual DMR Data'!$S:$S)</f>
        <v>3209.9416241651925</v>
      </c>
    </row>
    <row r="9" spans="1:11" x14ac:dyDescent="0.25">
      <c r="F9" t="s">
        <v>274</v>
      </c>
    </row>
  </sheetData>
  <sheetProtection sheet="1" objects="1" scenarios="1" formatCells="0" formatColumns="0" formatRows="0"/>
  <mergeCells count="3">
    <mergeCell ref="B2:K2"/>
    <mergeCell ref="B1:K1"/>
    <mergeCell ref="B7:K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29DE4-D354-4F87-971F-C832A17C6FB4}">
  <sheetPr>
    <tabColor rgb="FF7030A0"/>
  </sheetPr>
  <dimension ref="A1:T520"/>
  <sheetViews>
    <sheetView topLeftCell="F1" workbookViewId="0">
      <selection activeCell="Q23" sqref="Q23"/>
    </sheetView>
  </sheetViews>
  <sheetFormatPr defaultRowHeight="15" x14ac:dyDescent="0.25"/>
  <cols>
    <col min="1" max="1" width="20.140625" customWidth="1"/>
    <col min="2" max="2" width="36" customWidth="1"/>
    <col min="3" max="3" width="17.5703125" customWidth="1"/>
    <col min="4" max="4" width="19.85546875" customWidth="1"/>
    <col min="6" max="6" width="12.42578125" customWidth="1"/>
    <col min="7" max="7" width="15.5703125" customWidth="1"/>
    <col min="8" max="8" width="18.85546875" customWidth="1"/>
    <col min="9" max="10" width="21.5703125" customWidth="1"/>
    <col min="11" max="11" width="52.42578125" bestFit="1" customWidth="1"/>
    <col min="12" max="16" width="20.85546875" hidden="1" customWidth="1"/>
    <col min="17" max="20" width="20.85546875" customWidth="1"/>
  </cols>
  <sheetData>
    <row r="1" spans="1:20" x14ac:dyDescent="0.25">
      <c r="A1" s="111" t="s">
        <v>275</v>
      </c>
      <c r="B1" s="111" t="s">
        <v>276</v>
      </c>
      <c r="C1" s="111" t="s">
        <v>277</v>
      </c>
      <c r="D1" s="111" t="s">
        <v>278</v>
      </c>
      <c r="E1" s="111" t="s">
        <v>279</v>
      </c>
      <c r="F1" s="111" t="s">
        <v>280</v>
      </c>
      <c r="G1" s="111" t="s">
        <v>281</v>
      </c>
      <c r="H1" s="111" t="s">
        <v>282</v>
      </c>
      <c r="I1" s="111" t="s">
        <v>283</v>
      </c>
      <c r="J1" s="111" t="s">
        <v>284</v>
      </c>
      <c r="K1" s="111" t="s">
        <v>285</v>
      </c>
      <c r="L1" s="375" t="s">
        <v>286</v>
      </c>
      <c r="M1" s="375" t="s">
        <v>287</v>
      </c>
      <c r="N1" s="375" t="s">
        <v>288</v>
      </c>
      <c r="O1" s="376" t="s">
        <v>289</v>
      </c>
      <c r="P1" s="376" t="s">
        <v>290</v>
      </c>
      <c r="Q1" s="375" t="s">
        <v>291</v>
      </c>
      <c r="R1" s="376" t="s">
        <v>248</v>
      </c>
      <c r="S1" s="271" t="s">
        <v>273</v>
      </c>
      <c r="T1" s="271" t="s">
        <v>269</v>
      </c>
    </row>
    <row r="2" spans="1:20" x14ac:dyDescent="0.25">
      <c r="A2">
        <v>1</v>
      </c>
      <c r="B2" s="28" t="s">
        <v>96</v>
      </c>
      <c r="C2" s="28" t="s">
        <v>292</v>
      </c>
      <c r="D2" s="28" t="s">
        <v>293</v>
      </c>
      <c r="E2" s="28" t="s">
        <v>294</v>
      </c>
      <c r="F2" s="28">
        <v>22203</v>
      </c>
      <c r="G2" s="28">
        <v>38.882449999999999</v>
      </c>
      <c r="H2" s="28">
        <v>-77.108000000000004</v>
      </c>
      <c r="I2" s="28" t="s">
        <v>295</v>
      </c>
      <c r="J2" s="61">
        <v>110070549382</v>
      </c>
      <c r="K2" s="61" t="s">
        <v>264</v>
      </c>
      <c r="L2" s="28"/>
      <c r="M2" s="28"/>
      <c r="N2" s="28"/>
      <c r="O2" s="28"/>
      <c r="P2" s="28"/>
      <c r="Q2" s="28" t="s">
        <v>265</v>
      </c>
      <c r="R2" s="28">
        <f>VLOOKUP(K2,OES!$A:$B, 2, FALSE)</f>
        <v>365</v>
      </c>
      <c r="S2" s="60" t="s">
        <v>1465</v>
      </c>
      <c r="T2" s="203" t="str">
        <f>IF(COUNTIF('Raw TRI Data'!$K:$K,J2)&gt;0, "X", "")</f>
        <v/>
      </c>
    </row>
    <row r="3" spans="1:20" x14ac:dyDescent="0.25">
      <c r="A3" s="28">
        <f t="shared" ref="A3:A66" si="0">A2+1</f>
        <v>2</v>
      </c>
      <c r="B3" s="28" t="s">
        <v>99</v>
      </c>
      <c r="C3" s="28" t="s">
        <v>297</v>
      </c>
      <c r="D3" s="28" t="s">
        <v>298</v>
      </c>
      <c r="E3" s="28" t="s">
        <v>299</v>
      </c>
      <c r="F3" s="28">
        <v>72903</v>
      </c>
      <c r="G3" s="28">
        <v>35.327162000000001</v>
      </c>
      <c r="H3" s="28">
        <v>-94.380183000000002</v>
      </c>
      <c r="I3" s="28"/>
      <c r="J3" s="61">
        <v>110066929033</v>
      </c>
      <c r="K3" s="61" t="s">
        <v>265</v>
      </c>
      <c r="L3" s="28"/>
      <c r="M3" s="28"/>
      <c r="N3" s="28"/>
      <c r="O3" s="28"/>
      <c r="P3" s="28"/>
      <c r="Q3" s="28" t="s">
        <v>265</v>
      </c>
      <c r="R3" s="28">
        <f>VLOOKUP(K3,OES!$A:$B, 2, FALSE)</f>
        <v>250</v>
      </c>
      <c r="S3" s="60" t="s">
        <v>1465</v>
      </c>
      <c r="T3" s="203" t="str">
        <f>IF(COUNTIF('Raw TRI Data'!$K:$K,J3)&gt;0, "X", "")</f>
        <v/>
      </c>
    </row>
    <row r="4" spans="1:20" x14ac:dyDescent="0.25">
      <c r="A4" s="28">
        <f t="shared" si="0"/>
        <v>3</v>
      </c>
      <c r="B4" s="28" t="s">
        <v>100</v>
      </c>
      <c r="C4" s="28" t="s">
        <v>301</v>
      </c>
      <c r="D4" s="28" t="s">
        <v>302</v>
      </c>
      <c r="E4" s="28" t="s">
        <v>303</v>
      </c>
      <c r="F4" s="28">
        <v>70805</v>
      </c>
      <c r="G4" s="28">
        <v>30.493749999999999</v>
      </c>
      <c r="H4" s="28">
        <v>-91.178740000000005</v>
      </c>
      <c r="I4" s="28" t="s">
        <v>304</v>
      </c>
      <c r="J4" s="61">
        <v>110000606602</v>
      </c>
      <c r="K4" s="61" t="s">
        <v>254</v>
      </c>
      <c r="L4" s="28"/>
      <c r="M4" s="28"/>
      <c r="N4" s="28"/>
      <c r="O4" s="28"/>
      <c r="P4" s="28"/>
      <c r="Q4" s="28" t="s">
        <v>265</v>
      </c>
      <c r="R4" s="28">
        <f>VLOOKUP(K4,OES!$A:$B, 2, FALSE)</f>
        <v>300</v>
      </c>
      <c r="S4" s="60" t="s">
        <v>1465</v>
      </c>
      <c r="T4" s="203" t="str">
        <f>IF(COUNTIF('Raw TRI Data'!$K:$K,J4)&gt;0, "X", "")</f>
        <v/>
      </c>
    </row>
    <row r="5" spans="1:20" x14ac:dyDescent="0.25">
      <c r="A5" s="28">
        <f t="shared" si="0"/>
        <v>4</v>
      </c>
      <c r="B5" s="28" t="s">
        <v>101</v>
      </c>
      <c r="C5" s="28" t="s">
        <v>306</v>
      </c>
      <c r="D5" s="28" t="s">
        <v>307</v>
      </c>
      <c r="E5" s="28" t="s">
        <v>308</v>
      </c>
      <c r="F5" s="28">
        <v>2129</v>
      </c>
      <c r="G5" s="28">
        <v>0</v>
      </c>
      <c r="H5" s="28">
        <v>0</v>
      </c>
      <c r="I5" s="28"/>
      <c r="J5" s="61">
        <v>110070549134</v>
      </c>
      <c r="K5" s="61" t="s">
        <v>264</v>
      </c>
      <c r="L5" s="28"/>
      <c r="M5" s="28"/>
      <c r="N5" s="28"/>
      <c r="O5" s="28"/>
      <c r="P5" s="28"/>
      <c r="Q5" s="28" t="s">
        <v>265</v>
      </c>
      <c r="R5" s="28">
        <f>VLOOKUP(K5,OES!$A:$B, 2, FALSE)</f>
        <v>365</v>
      </c>
      <c r="S5" s="60" t="s">
        <v>1465</v>
      </c>
      <c r="T5" s="203" t="str">
        <f>IF(COUNTIF('Raw TRI Data'!$K:$K,J5)&gt;0, "X", "")</f>
        <v/>
      </c>
    </row>
    <row r="6" spans="1:20" x14ac:dyDescent="0.25">
      <c r="A6" s="28">
        <f t="shared" si="0"/>
        <v>5</v>
      </c>
      <c r="B6" s="28" t="s">
        <v>102</v>
      </c>
      <c r="C6" s="28" t="s">
        <v>309</v>
      </c>
      <c r="D6" s="28" t="s">
        <v>310</v>
      </c>
      <c r="E6" s="28" t="s">
        <v>311</v>
      </c>
      <c r="F6" s="28">
        <v>25112</v>
      </c>
      <c r="G6" s="28">
        <v>38.386439000000003</v>
      </c>
      <c r="H6" s="28">
        <v>-81.798439999999999</v>
      </c>
      <c r="I6" s="28"/>
      <c r="J6" s="61">
        <v>110064632312</v>
      </c>
      <c r="K6" s="61" t="s">
        <v>251</v>
      </c>
      <c r="L6" s="28"/>
      <c r="M6" s="28"/>
      <c r="N6" s="28"/>
      <c r="O6" s="28"/>
      <c r="P6" s="28"/>
      <c r="Q6" s="28" t="s">
        <v>265</v>
      </c>
      <c r="R6" s="28">
        <f>VLOOKUP(K6,OES!$A:$B, 2, FALSE)</f>
        <v>350</v>
      </c>
      <c r="S6" s="60" t="s">
        <v>1465</v>
      </c>
      <c r="T6" s="203" t="str">
        <f>IF(COUNTIF('Raw TRI Data'!$K:$K,J6)&gt;0, "X", "")</f>
        <v/>
      </c>
    </row>
    <row r="7" spans="1:20" x14ac:dyDescent="0.25">
      <c r="A7" s="28">
        <f t="shared" si="0"/>
        <v>6</v>
      </c>
      <c r="B7" s="28" t="s">
        <v>103</v>
      </c>
      <c r="C7" s="28" t="s">
        <v>313</v>
      </c>
      <c r="D7" s="28" t="s">
        <v>314</v>
      </c>
      <c r="E7" s="28" t="s">
        <v>303</v>
      </c>
      <c r="F7" s="28" t="s">
        <v>315</v>
      </c>
      <c r="G7" s="28">
        <v>30.27083</v>
      </c>
      <c r="H7" s="28">
        <v>-92.037279999999996</v>
      </c>
      <c r="I7" s="28"/>
      <c r="J7" s="61">
        <v>110000846602</v>
      </c>
      <c r="K7" s="61" t="s">
        <v>253</v>
      </c>
      <c r="L7" s="28"/>
      <c r="M7" s="28"/>
      <c r="N7" s="28"/>
      <c r="O7" s="28"/>
      <c r="P7" s="28"/>
      <c r="Q7" s="28" t="s">
        <v>265</v>
      </c>
      <c r="R7" s="28">
        <f>VLOOKUP(K7,OES!$A:$B, 2, FALSE)</f>
        <v>350</v>
      </c>
      <c r="S7" s="60" t="s">
        <v>1465</v>
      </c>
      <c r="T7" s="203" t="str">
        <f>IF(COUNTIF('Raw TRI Data'!$K:$K,J7)&gt;0, "X", "")</f>
        <v/>
      </c>
    </row>
    <row r="8" spans="1:20" x14ac:dyDescent="0.25">
      <c r="A8" s="28">
        <f t="shared" si="0"/>
        <v>7</v>
      </c>
      <c r="B8" s="28" t="s">
        <v>104</v>
      </c>
      <c r="C8" s="28" t="s">
        <v>317</v>
      </c>
      <c r="D8" s="28" t="s">
        <v>318</v>
      </c>
      <c r="E8" s="28" t="s">
        <v>319</v>
      </c>
      <c r="F8" s="28" t="s">
        <v>320</v>
      </c>
      <c r="G8" s="28">
        <v>40.506320000000002</v>
      </c>
      <c r="H8" s="28">
        <v>-81.474299999999999</v>
      </c>
      <c r="I8" s="28" t="s">
        <v>321</v>
      </c>
      <c r="J8" s="61">
        <v>110000496981</v>
      </c>
      <c r="K8" s="61" t="s">
        <v>251</v>
      </c>
      <c r="L8" s="28"/>
      <c r="M8" s="28"/>
      <c r="N8" s="28"/>
      <c r="O8" s="28"/>
      <c r="P8" s="28"/>
      <c r="Q8" s="28" t="s">
        <v>265</v>
      </c>
      <c r="R8" s="28">
        <f>VLOOKUP(K8,OES!$A:$B, 2, FALSE)</f>
        <v>350</v>
      </c>
      <c r="S8" s="60" t="s">
        <v>1465</v>
      </c>
      <c r="T8" s="203" t="str">
        <f>IF(COUNTIF('Raw TRI Data'!$K:$K,J8)&gt;0, "X", "")</f>
        <v/>
      </c>
    </row>
    <row r="9" spans="1:20" x14ac:dyDescent="0.25">
      <c r="A9" s="28">
        <f t="shared" si="0"/>
        <v>8</v>
      </c>
      <c r="B9" s="28" t="s">
        <v>105</v>
      </c>
      <c r="C9" s="28" t="s">
        <v>322</v>
      </c>
      <c r="D9" s="28" t="s">
        <v>323</v>
      </c>
      <c r="E9" s="28" t="s">
        <v>324</v>
      </c>
      <c r="F9" s="28">
        <v>42029</v>
      </c>
      <c r="G9" s="28">
        <v>37.056699000000002</v>
      </c>
      <c r="H9" s="28">
        <v>-88.365727000000007</v>
      </c>
      <c r="I9" s="28" t="s">
        <v>325</v>
      </c>
      <c r="J9" s="61">
        <v>110000380061</v>
      </c>
      <c r="K9" s="61" t="s">
        <v>251</v>
      </c>
      <c r="L9" s="28"/>
      <c r="M9" s="28"/>
      <c r="N9" s="28"/>
      <c r="O9" s="28"/>
      <c r="P9" s="28"/>
      <c r="Q9" s="28" t="s">
        <v>265</v>
      </c>
      <c r="R9" s="28">
        <f>VLOOKUP(K9,OES!$A:$B, 2, FALSE)</f>
        <v>350</v>
      </c>
      <c r="S9" s="60" t="s">
        <v>1465</v>
      </c>
      <c r="T9" s="203" t="str">
        <f>IF(COUNTIF('Raw TRI Data'!$K:$K,J9)&gt;0, "X", "")</f>
        <v>X</v>
      </c>
    </row>
    <row r="10" spans="1:20" x14ac:dyDescent="0.25">
      <c r="A10" s="28">
        <f t="shared" si="0"/>
        <v>9</v>
      </c>
      <c r="B10" s="28" t="s">
        <v>106</v>
      </c>
      <c r="C10" s="28" t="s">
        <v>326</v>
      </c>
      <c r="D10" s="28" t="s">
        <v>327</v>
      </c>
      <c r="E10" s="28" t="s">
        <v>328</v>
      </c>
      <c r="F10" s="28">
        <v>30340</v>
      </c>
      <c r="G10" s="28">
        <v>33.905000000000001</v>
      </c>
      <c r="H10" s="28">
        <v>-84.240278000000004</v>
      </c>
      <c r="I10" s="28"/>
      <c r="J10" s="61">
        <v>110070381611</v>
      </c>
      <c r="K10" s="61" t="s">
        <v>252</v>
      </c>
      <c r="L10" s="28"/>
      <c r="M10" s="28"/>
      <c r="N10" s="28"/>
      <c r="O10" s="28"/>
      <c r="P10" s="28"/>
      <c r="Q10" s="28" t="s">
        <v>265</v>
      </c>
      <c r="R10" s="28">
        <f>VLOOKUP(K10,OES!$A:$B, 2, FALSE)</f>
        <v>250</v>
      </c>
      <c r="S10" s="60" t="s">
        <v>1465</v>
      </c>
      <c r="T10" s="203" t="str">
        <f>IF(COUNTIF('Raw TRI Data'!$K:$K,J10)&gt;0, "X", "")</f>
        <v/>
      </c>
    </row>
    <row r="11" spans="1:20" x14ac:dyDescent="0.25">
      <c r="A11" s="28">
        <f t="shared" si="0"/>
        <v>10</v>
      </c>
      <c r="B11" s="28" t="s">
        <v>107</v>
      </c>
      <c r="C11" s="28" t="s">
        <v>330</v>
      </c>
      <c r="D11" s="28" t="s">
        <v>331</v>
      </c>
      <c r="E11" s="28" t="s">
        <v>324</v>
      </c>
      <c r="F11" s="28">
        <v>41101</v>
      </c>
      <c r="G11" s="28">
        <v>38.474601999999997</v>
      </c>
      <c r="H11" s="28">
        <v>-82.623778999999999</v>
      </c>
      <c r="I11" s="28"/>
      <c r="J11" s="61">
        <v>110000732244</v>
      </c>
      <c r="K11" s="61" t="s">
        <v>263</v>
      </c>
      <c r="L11" s="28"/>
      <c r="M11" s="28"/>
      <c r="N11" s="28"/>
      <c r="O11" s="28"/>
      <c r="P11" s="28"/>
      <c r="Q11" s="28" t="s">
        <v>265</v>
      </c>
      <c r="R11" s="28">
        <f>VLOOKUP(K11,OES!$A:$B, 2, FALSE)</f>
        <v>365</v>
      </c>
      <c r="S11" s="60" t="s">
        <v>1465</v>
      </c>
      <c r="T11" s="203" t="str">
        <f>IF(COUNTIF('Raw TRI Data'!$K:$K,J11)&gt;0, "X", "")</f>
        <v/>
      </c>
    </row>
    <row r="12" spans="1:20" x14ac:dyDescent="0.25">
      <c r="A12" s="28">
        <f t="shared" si="0"/>
        <v>11</v>
      </c>
      <c r="B12" s="28" t="s">
        <v>204</v>
      </c>
      <c r="C12" s="61" t="s">
        <v>333</v>
      </c>
      <c r="D12" s="61" t="s">
        <v>334</v>
      </c>
      <c r="E12" s="61" t="s">
        <v>303</v>
      </c>
      <c r="F12" s="61">
        <v>70764</v>
      </c>
      <c r="G12" s="28">
        <v>30.262255</v>
      </c>
      <c r="H12" s="28">
        <v>-91.185837000000006</v>
      </c>
      <c r="I12" s="28" t="s">
        <v>335</v>
      </c>
      <c r="J12" s="61">
        <v>110000613747</v>
      </c>
      <c r="K12" s="61" t="s">
        <v>251</v>
      </c>
      <c r="L12" s="28"/>
      <c r="M12" s="28"/>
      <c r="N12" s="28"/>
      <c r="O12" s="28"/>
      <c r="P12" s="28"/>
      <c r="Q12" s="28" t="s">
        <v>265</v>
      </c>
      <c r="R12" s="28">
        <f>VLOOKUP(K12,OES!$A:$B, 2, FALSE)</f>
        <v>350</v>
      </c>
      <c r="S12" s="60" t="str">
        <f>IF(COUNTIF('Raw Annual DMR Data_2021-2024'!L:L,J12)&gt;0, "X", "")</f>
        <v/>
      </c>
      <c r="T12" s="203" t="str">
        <f>IF(COUNTIF('Raw TRI Data'!$K:$K,J12)&gt;0, "X", "")</f>
        <v>X</v>
      </c>
    </row>
    <row r="13" spans="1:20" x14ac:dyDescent="0.25">
      <c r="A13" s="28">
        <f t="shared" si="0"/>
        <v>12</v>
      </c>
      <c r="B13" s="28" t="s">
        <v>108</v>
      </c>
      <c r="C13" s="28" t="s">
        <v>336</v>
      </c>
      <c r="D13" s="28" t="s">
        <v>337</v>
      </c>
      <c r="E13" s="28" t="s">
        <v>338</v>
      </c>
      <c r="F13" s="28" t="s">
        <v>339</v>
      </c>
      <c r="G13" s="28">
        <v>39.852224</v>
      </c>
      <c r="H13" s="28">
        <v>-75.234432999999996</v>
      </c>
      <c r="I13" s="28"/>
      <c r="J13" s="61">
        <v>110000760310</v>
      </c>
      <c r="K13" s="61" t="s">
        <v>264</v>
      </c>
      <c r="L13" s="28"/>
      <c r="M13" s="28"/>
      <c r="N13" s="28"/>
      <c r="O13" s="28"/>
      <c r="P13" s="28"/>
      <c r="Q13" s="28" t="s">
        <v>265</v>
      </c>
      <c r="R13" s="28">
        <f>VLOOKUP(K13,OES!$A:$B, 2, FALSE)</f>
        <v>365</v>
      </c>
      <c r="S13" s="60" t="s">
        <v>1465</v>
      </c>
      <c r="T13" s="203" t="str">
        <f>IF(COUNTIF('Raw TRI Data'!$K:$K,J13)&gt;0, "X", "")</f>
        <v/>
      </c>
    </row>
    <row r="14" spans="1:20" x14ac:dyDescent="0.25">
      <c r="A14" s="28">
        <f t="shared" si="0"/>
        <v>13</v>
      </c>
      <c r="B14" s="28" t="s">
        <v>109</v>
      </c>
      <c r="C14" s="28" t="s">
        <v>341</v>
      </c>
      <c r="D14" s="28" t="s">
        <v>342</v>
      </c>
      <c r="E14" s="28" t="s">
        <v>324</v>
      </c>
      <c r="F14" s="28">
        <v>40906</v>
      </c>
      <c r="G14" s="28">
        <v>36.848332999999997</v>
      </c>
      <c r="H14" s="28">
        <v>-83.905000000000001</v>
      </c>
      <c r="I14" s="28"/>
      <c r="J14" s="61">
        <v>110006644765</v>
      </c>
      <c r="K14" s="61" t="s">
        <v>263</v>
      </c>
      <c r="L14" s="28"/>
      <c r="M14" s="28"/>
      <c r="N14" s="28"/>
      <c r="O14" s="28"/>
      <c r="P14" s="28"/>
      <c r="Q14" s="28" t="s">
        <v>265</v>
      </c>
      <c r="R14" s="28">
        <f>VLOOKUP(K14,OES!$A:$B, 2, FALSE)</f>
        <v>365</v>
      </c>
      <c r="S14" s="60" t="s">
        <v>1465</v>
      </c>
      <c r="T14" s="203" t="str">
        <f>IF(COUNTIF('Raw TRI Data'!$K:$K,J14)&gt;0, "X", "")</f>
        <v/>
      </c>
    </row>
    <row r="15" spans="1:20" x14ac:dyDescent="0.25">
      <c r="A15" s="28">
        <f t="shared" si="0"/>
        <v>14</v>
      </c>
      <c r="B15" s="28" t="s">
        <v>205</v>
      </c>
      <c r="C15" s="61" t="s">
        <v>343</v>
      </c>
      <c r="D15" s="61" t="s">
        <v>344</v>
      </c>
      <c r="E15" s="61" t="s">
        <v>345</v>
      </c>
      <c r="F15" s="61">
        <v>60901</v>
      </c>
      <c r="G15" s="28">
        <v>41.085541999999997</v>
      </c>
      <c r="H15" s="28">
        <v>-87.880542000000005</v>
      </c>
      <c r="I15" s="28" t="s">
        <v>346</v>
      </c>
      <c r="J15" s="61">
        <v>110043972207</v>
      </c>
      <c r="K15" s="61" t="s">
        <v>254</v>
      </c>
      <c r="L15" s="28"/>
      <c r="M15" s="28"/>
      <c r="N15" s="28"/>
      <c r="O15" s="28"/>
      <c r="P15" s="28"/>
      <c r="Q15" s="28" t="s">
        <v>265</v>
      </c>
      <c r="R15" s="28">
        <f>VLOOKUP(K15,OES!$A:$B, 2, FALSE)</f>
        <v>300</v>
      </c>
      <c r="S15" s="60" t="str">
        <f>IF(COUNTIF('Raw Annual DMR Data_2021-2024'!L:L,J15)&gt;0, "X", "")</f>
        <v/>
      </c>
      <c r="T15" s="203" t="str">
        <f>IF(COUNTIF('Raw TRI Data'!$K:$K,J15)&gt;0, "X", "")</f>
        <v>X</v>
      </c>
    </row>
    <row r="16" spans="1:20" x14ac:dyDescent="0.25">
      <c r="A16" s="28">
        <f t="shared" si="0"/>
        <v>15</v>
      </c>
      <c r="B16" s="28" t="s">
        <v>206</v>
      </c>
      <c r="C16" s="61" t="s">
        <v>347</v>
      </c>
      <c r="D16" s="61" t="s">
        <v>348</v>
      </c>
      <c r="E16" s="61" t="s">
        <v>349</v>
      </c>
      <c r="F16" s="61">
        <v>63461</v>
      </c>
      <c r="G16" s="28">
        <v>39.834117999999997</v>
      </c>
      <c r="H16" s="28">
        <v>-91.436790999999999</v>
      </c>
      <c r="I16" s="28" t="s">
        <v>350</v>
      </c>
      <c r="J16" s="61">
        <v>110056953765</v>
      </c>
      <c r="K16" s="61" t="s">
        <v>254</v>
      </c>
      <c r="L16" s="28"/>
      <c r="M16" s="28"/>
      <c r="N16" s="28"/>
      <c r="O16" s="28"/>
      <c r="P16" s="28"/>
      <c r="Q16" s="28" t="s">
        <v>265</v>
      </c>
      <c r="R16" s="28">
        <f>VLOOKUP(K16,OES!$A:$B, 2, FALSE)</f>
        <v>300</v>
      </c>
      <c r="S16" s="60" t="str">
        <f>IF(COUNTIF('Raw Annual DMR Data_2021-2024'!L:L,J16)&gt;0, "X", "")</f>
        <v/>
      </c>
      <c r="T16" s="203" t="str">
        <f>IF(COUNTIF('Raw TRI Data'!$K:$K,J16)&gt;0, "X", "")</f>
        <v>X</v>
      </c>
    </row>
    <row r="17" spans="1:20" x14ac:dyDescent="0.25">
      <c r="A17" s="28">
        <f t="shared" si="0"/>
        <v>16</v>
      </c>
      <c r="B17" s="28" t="s">
        <v>110</v>
      </c>
      <c r="C17" s="28" t="s">
        <v>351</v>
      </c>
      <c r="D17" s="28" t="s">
        <v>352</v>
      </c>
      <c r="E17" s="28" t="s">
        <v>349</v>
      </c>
      <c r="F17" s="28">
        <v>64120</v>
      </c>
      <c r="G17" s="28">
        <v>39.121471999999997</v>
      </c>
      <c r="H17" s="28">
        <v>-94.473416999999998</v>
      </c>
      <c r="I17" s="28" t="s">
        <v>353</v>
      </c>
      <c r="J17" s="61">
        <v>110000443226</v>
      </c>
      <c r="K17" s="61" t="s">
        <v>254</v>
      </c>
      <c r="L17" s="28"/>
      <c r="M17" s="28"/>
      <c r="N17" s="28"/>
      <c r="O17" s="28"/>
      <c r="P17" s="28"/>
      <c r="Q17" s="28" t="s">
        <v>265</v>
      </c>
      <c r="R17" s="28">
        <f>VLOOKUP(K17,OES!$A:$B, 2, FALSE)</f>
        <v>300</v>
      </c>
      <c r="S17" s="60" t="s">
        <v>1465</v>
      </c>
      <c r="T17" s="203" t="str">
        <f>IF(COUNTIF('Raw TRI Data'!$K:$K,J17)&gt;0, "X", "")</f>
        <v/>
      </c>
    </row>
    <row r="18" spans="1:20" x14ac:dyDescent="0.25">
      <c r="A18" s="28">
        <f t="shared" si="0"/>
        <v>17</v>
      </c>
      <c r="B18" s="28" t="s">
        <v>111</v>
      </c>
      <c r="C18" s="28" t="s">
        <v>355</v>
      </c>
      <c r="D18" s="28" t="s">
        <v>356</v>
      </c>
      <c r="E18" s="28" t="s">
        <v>338</v>
      </c>
      <c r="F18" s="28">
        <v>8010</v>
      </c>
      <c r="G18" s="28">
        <v>40.067799999999998</v>
      </c>
      <c r="H18" s="28">
        <v>-74.923670000000001</v>
      </c>
      <c r="I18" s="28"/>
      <c r="J18" s="61">
        <v>110029593731</v>
      </c>
      <c r="K18" s="61" t="s">
        <v>263</v>
      </c>
      <c r="L18" s="28"/>
      <c r="M18" s="28"/>
      <c r="N18" s="28"/>
      <c r="O18" s="28"/>
      <c r="P18" s="28"/>
      <c r="Q18" s="28" t="s">
        <v>265</v>
      </c>
      <c r="R18" s="28">
        <f>VLOOKUP(K18,OES!$A:$B, 2, FALSE)</f>
        <v>365</v>
      </c>
      <c r="S18" s="60" t="s">
        <v>1465</v>
      </c>
      <c r="T18" s="203" t="str">
        <f>IF(COUNTIF('Raw TRI Data'!$K:$K,J18)&gt;0, "X", "")</f>
        <v/>
      </c>
    </row>
    <row r="19" spans="1:20" x14ac:dyDescent="0.25">
      <c r="A19" s="28">
        <f t="shared" si="0"/>
        <v>18</v>
      </c>
      <c r="B19" s="28" t="s">
        <v>112</v>
      </c>
      <c r="C19" s="28" t="s">
        <v>357</v>
      </c>
      <c r="D19" s="28" t="s">
        <v>358</v>
      </c>
      <c r="E19" s="28" t="s">
        <v>275</v>
      </c>
      <c r="F19" s="28">
        <v>83706</v>
      </c>
      <c r="G19" s="28">
        <v>43.603453999999999</v>
      </c>
      <c r="H19" s="28">
        <v>-116.202736</v>
      </c>
      <c r="I19" s="28"/>
      <c r="J19" s="61">
        <v>110042072351</v>
      </c>
      <c r="K19" s="61" t="s">
        <v>264</v>
      </c>
      <c r="L19" s="28"/>
      <c r="M19" s="28"/>
      <c r="N19" s="28"/>
      <c r="O19" s="28"/>
      <c r="P19" s="28"/>
      <c r="Q19" s="28" t="s">
        <v>265</v>
      </c>
      <c r="R19" s="28">
        <f>VLOOKUP(K19,OES!$A:$B, 2, FALSE)</f>
        <v>365</v>
      </c>
      <c r="S19" s="60" t="s">
        <v>1465</v>
      </c>
      <c r="T19" s="203" t="str">
        <f>IF(COUNTIF('Raw TRI Data'!$K:$K,J19)&gt;0, "X", "")</f>
        <v/>
      </c>
    </row>
    <row r="20" spans="1:20" x14ac:dyDescent="0.25">
      <c r="A20" s="28">
        <f t="shared" si="0"/>
        <v>19</v>
      </c>
      <c r="B20" s="28" t="s">
        <v>113</v>
      </c>
      <c r="C20" s="28" t="s">
        <v>360</v>
      </c>
      <c r="D20" s="28" t="s">
        <v>361</v>
      </c>
      <c r="E20" s="28" t="s">
        <v>362</v>
      </c>
      <c r="F20" s="28">
        <v>77571</v>
      </c>
      <c r="G20" s="28">
        <v>29.704027</v>
      </c>
      <c r="H20" s="28">
        <v>-95.079931999999999</v>
      </c>
      <c r="I20" s="28" t="s">
        <v>363</v>
      </c>
      <c r="J20" s="61">
        <v>110000463631</v>
      </c>
      <c r="K20" s="61" t="s">
        <v>253</v>
      </c>
      <c r="L20" s="28"/>
      <c r="M20" s="28"/>
      <c r="N20" s="28"/>
      <c r="O20" s="28"/>
      <c r="P20" s="28"/>
      <c r="Q20" s="28" t="s">
        <v>265</v>
      </c>
      <c r="R20" s="28">
        <f>VLOOKUP(K20,OES!$A:$B, 2, FALSE)</f>
        <v>350</v>
      </c>
      <c r="S20" s="60" t="s">
        <v>1465</v>
      </c>
      <c r="T20" s="203" t="str">
        <f>IF(COUNTIF('Raw TRI Data'!$K:$K,J20)&gt;0, "X", "")</f>
        <v/>
      </c>
    </row>
    <row r="21" spans="1:20" x14ac:dyDescent="0.25">
      <c r="A21" s="28">
        <f t="shared" si="0"/>
        <v>20</v>
      </c>
      <c r="B21" s="28" t="s">
        <v>114</v>
      </c>
      <c r="C21" s="28" t="s">
        <v>364</v>
      </c>
      <c r="D21" s="28" t="s">
        <v>365</v>
      </c>
      <c r="E21" s="28" t="s">
        <v>366</v>
      </c>
      <c r="F21" s="28">
        <v>92227</v>
      </c>
      <c r="G21" s="28">
        <v>33.017359999999996</v>
      </c>
      <c r="H21" s="28">
        <v>-115.50923</v>
      </c>
      <c r="I21" s="28"/>
      <c r="J21" s="61">
        <v>110030476465</v>
      </c>
      <c r="K21" s="61" t="s">
        <v>263</v>
      </c>
      <c r="L21" s="28"/>
      <c r="M21" s="28"/>
      <c r="N21" s="28"/>
      <c r="O21" s="28"/>
      <c r="P21" s="28"/>
      <c r="Q21" s="28" t="s">
        <v>265</v>
      </c>
      <c r="R21" s="28">
        <f>VLOOKUP(K21,OES!$A:$B, 2, FALSE)</f>
        <v>365</v>
      </c>
      <c r="S21" s="60" t="s">
        <v>1465</v>
      </c>
      <c r="T21" s="203" t="str">
        <f>IF(COUNTIF('Raw TRI Data'!$K:$K,J21)&gt;0, "X", "")</f>
        <v/>
      </c>
    </row>
    <row r="22" spans="1:20" x14ac:dyDescent="0.25">
      <c r="A22" s="28">
        <f t="shared" si="0"/>
        <v>21</v>
      </c>
      <c r="B22" s="28" t="s">
        <v>44</v>
      </c>
      <c r="C22" s="28" t="s">
        <v>367</v>
      </c>
      <c r="D22" s="28" t="s">
        <v>368</v>
      </c>
      <c r="E22" s="28" t="s">
        <v>349</v>
      </c>
      <c r="F22" s="28">
        <v>63630</v>
      </c>
      <c r="G22" s="28">
        <v>37.983333000000002</v>
      </c>
      <c r="H22" s="28">
        <v>-90.690832999999998</v>
      </c>
      <c r="I22" s="28" t="s">
        <v>369</v>
      </c>
      <c r="J22" s="61">
        <v>110017980443</v>
      </c>
      <c r="K22" s="61" t="s">
        <v>251</v>
      </c>
      <c r="L22" s="28"/>
      <c r="M22" s="28"/>
      <c r="N22" s="28"/>
      <c r="O22" s="28"/>
      <c r="P22" s="28"/>
      <c r="Q22" s="28" t="s">
        <v>265</v>
      </c>
      <c r="R22" s="28">
        <f>VLOOKUP(K22,OES!$A:$B, 2, FALSE)</f>
        <v>350</v>
      </c>
      <c r="S22" s="60" t="s">
        <v>1465</v>
      </c>
      <c r="T22" s="203" t="str">
        <f>IF(COUNTIF('Raw TRI Data'!$K:$K,J22)&gt;0, "X", "")</f>
        <v>X</v>
      </c>
    </row>
    <row r="23" spans="1:20" x14ac:dyDescent="0.25">
      <c r="A23" s="28">
        <f t="shared" si="0"/>
        <v>22</v>
      </c>
      <c r="B23" s="28" t="s">
        <v>115</v>
      </c>
      <c r="C23" s="28" t="s">
        <v>370</v>
      </c>
      <c r="D23" s="28" t="s">
        <v>371</v>
      </c>
      <c r="E23" s="28" t="s">
        <v>366</v>
      </c>
      <c r="F23" s="28">
        <v>94010</v>
      </c>
      <c r="G23" s="28">
        <v>37.591898999999998</v>
      </c>
      <c r="H23" s="28">
        <v>-122.358101</v>
      </c>
      <c r="I23" s="28"/>
      <c r="J23" s="61">
        <v>110055988016</v>
      </c>
      <c r="K23" s="61" t="s">
        <v>263</v>
      </c>
      <c r="L23" s="28"/>
      <c r="M23" s="28"/>
      <c r="N23" s="28"/>
      <c r="O23" s="28"/>
      <c r="P23" s="28"/>
      <c r="Q23" s="28" t="s">
        <v>265</v>
      </c>
      <c r="R23" s="28">
        <f>VLOOKUP(K23,OES!$A:$B, 2, FALSE)</f>
        <v>365</v>
      </c>
      <c r="S23" s="60" t="s">
        <v>1465</v>
      </c>
      <c r="T23" s="203" t="str">
        <f>IF(COUNTIF('Raw TRI Data'!$K:$K,J23)&gt;0, "X", "")</f>
        <v/>
      </c>
    </row>
    <row r="24" spans="1:20" x14ac:dyDescent="0.25">
      <c r="A24" s="28">
        <f t="shared" si="0"/>
        <v>23</v>
      </c>
      <c r="B24" s="28" t="s">
        <v>116</v>
      </c>
      <c r="C24" s="28" t="s">
        <v>372</v>
      </c>
      <c r="D24" s="28" t="s">
        <v>373</v>
      </c>
      <c r="E24" s="28" t="s">
        <v>374</v>
      </c>
      <c r="F24" s="28">
        <v>86020</v>
      </c>
      <c r="G24" s="28">
        <v>36.30301</v>
      </c>
      <c r="H24" s="28">
        <v>-111.45966</v>
      </c>
      <c r="I24" s="28"/>
      <c r="J24" s="61">
        <v>110010062546</v>
      </c>
      <c r="K24" s="61" t="s">
        <v>263</v>
      </c>
      <c r="L24" s="28"/>
      <c r="M24" s="28"/>
      <c r="N24" s="28"/>
      <c r="O24" s="28"/>
      <c r="P24" s="28"/>
      <c r="Q24" s="28" t="s">
        <v>265</v>
      </c>
      <c r="R24" s="28">
        <f>VLOOKUP(K24,OES!$A:$B, 2, FALSE)</f>
        <v>365</v>
      </c>
      <c r="S24" s="60" t="s">
        <v>1465</v>
      </c>
      <c r="T24" s="203" t="str">
        <f>IF(COUNTIF('Raw TRI Data'!$K:$K,J24)&gt;0, "X", "")</f>
        <v/>
      </c>
    </row>
    <row r="25" spans="1:20" x14ac:dyDescent="0.25">
      <c r="A25" s="28">
        <f t="shared" si="0"/>
        <v>24</v>
      </c>
      <c r="B25" s="28" t="s">
        <v>117</v>
      </c>
      <c r="C25" s="28" t="s">
        <v>375</v>
      </c>
      <c r="D25" s="28" t="s">
        <v>376</v>
      </c>
      <c r="E25" s="28" t="s">
        <v>338</v>
      </c>
      <c r="F25" s="28">
        <v>7305</v>
      </c>
      <c r="G25" s="28">
        <v>40.724868000000001</v>
      </c>
      <c r="H25" s="28">
        <v>-74.045564999999996</v>
      </c>
      <c r="I25" s="28"/>
      <c r="J25" s="61">
        <v>110001545070</v>
      </c>
      <c r="K25" s="61" t="s">
        <v>259</v>
      </c>
      <c r="L25" s="28"/>
      <c r="M25" s="28"/>
      <c r="N25" s="28"/>
      <c r="O25" s="28"/>
      <c r="P25" s="28"/>
      <c r="Q25" s="28" t="s">
        <v>265</v>
      </c>
      <c r="R25" s="28">
        <f>VLOOKUP(K25,OES!$A:$B, 2, FALSE)</f>
        <v>250</v>
      </c>
      <c r="S25" s="60" t="s">
        <v>1465</v>
      </c>
      <c r="T25" s="203" t="str">
        <f>IF(COUNTIF('Raw TRI Data'!$K:$K,J25)&gt;0, "X", "")</f>
        <v/>
      </c>
    </row>
    <row r="26" spans="1:20" x14ac:dyDescent="0.25">
      <c r="A26" s="28">
        <f t="shared" si="0"/>
        <v>25</v>
      </c>
      <c r="B26" s="28" t="s">
        <v>118</v>
      </c>
      <c r="C26" s="28" t="s">
        <v>377</v>
      </c>
      <c r="D26" s="28" t="s">
        <v>378</v>
      </c>
      <c r="E26" s="28" t="s">
        <v>362</v>
      </c>
      <c r="F26" s="28">
        <v>77979</v>
      </c>
      <c r="G26" s="28">
        <v>28.65</v>
      </c>
      <c r="H26" s="28">
        <v>-96.541700000000006</v>
      </c>
      <c r="I26" s="28"/>
      <c r="J26" s="61">
        <v>110001866641</v>
      </c>
      <c r="K26" s="61" t="s">
        <v>252</v>
      </c>
      <c r="L26" s="28"/>
      <c r="M26" s="28"/>
      <c r="N26" s="28"/>
      <c r="O26" s="28"/>
      <c r="P26" s="28"/>
      <c r="Q26" s="28" t="s">
        <v>265</v>
      </c>
      <c r="R26" s="28">
        <f>VLOOKUP(K26,OES!$A:$B, 2, FALSE)</f>
        <v>250</v>
      </c>
      <c r="S26" s="60" t="s">
        <v>1465</v>
      </c>
      <c r="T26" s="203" t="str">
        <f>IF(COUNTIF('Raw TRI Data'!$K:$K,J26)&gt;0, "X", "")</f>
        <v/>
      </c>
    </row>
    <row r="27" spans="1:20" x14ac:dyDescent="0.25">
      <c r="A27" s="28">
        <f t="shared" si="0"/>
        <v>26</v>
      </c>
      <c r="B27" s="28" t="s">
        <v>119</v>
      </c>
      <c r="C27" s="28" t="s">
        <v>380</v>
      </c>
      <c r="D27" s="28" t="s">
        <v>381</v>
      </c>
      <c r="E27" s="28" t="s">
        <v>338</v>
      </c>
      <c r="F27" s="28">
        <v>8014</v>
      </c>
      <c r="G27" s="28">
        <v>39.799250000000001</v>
      </c>
      <c r="H27" s="28">
        <v>-75.33296</v>
      </c>
      <c r="I27" s="28"/>
      <c r="J27" s="61">
        <v>110009721836</v>
      </c>
      <c r="K27" s="61" t="s">
        <v>252</v>
      </c>
      <c r="L27" s="28"/>
      <c r="M27" s="28"/>
      <c r="N27" s="28"/>
      <c r="O27" s="28"/>
      <c r="P27" s="28"/>
      <c r="Q27" s="28" t="s">
        <v>265</v>
      </c>
      <c r="R27" s="28">
        <f>VLOOKUP(K27,OES!$A:$B, 2, FALSE)</f>
        <v>250</v>
      </c>
      <c r="S27" s="60" t="s">
        <v>1465</v>
      </c>
      <c r="T27" s="203" t="str">
        <f>IF(COUNTIF('Raw TRI Data'!$K:$K,J27)&gt;0, "X", "")</f>
        <v/>
      </c>
    </row>
    <row r="28" spans="1:20" x14ac:dyDescent="0.25">
      <c r="A28" s="28">
        <f t="shared" si="0"/>
        <v>27</v>
      </c>
      <c r="B28" s="28" t="s">
        <v>120</v>
      </c>
      <c r="C28" s="28" t="s">
        <v>383</v>
      </c>
      <c r="D28" s="28" t="s">
        <v>384</v>
      </c>
      <c r="E28" s="28" t="s">
        <v>385</v>
      </c>
      <c r="F28" s="28">
        <v>67147</v>
      </c>
      <c r="G28" s="28">
        <v>37.845469999999999</v>
      </c>
      <c r="H28" s="28">
        <v>-97.188820000000007</v>
      </c>
      <c r="I28" s="28"/>
      <c r="J28" s="61">
        <v>110069343954</v>
      </c>
      <c r="K28" s="28" t="s">
        <v>6752</v>
      </c>
      <c r="L28" s="28"/>
      <c r="M28" s="28"/>
      <c r="N28" s="28"/>
      <c r="O28" s="28"/>
      <c r="P28" s="28"/>
      <c r="Q28" s="28" t="s">
        <v>265</v>
      </c>
      <c r="R28" s="28">
        <v>250</v>
      </c>
      <c r="S28" s="60" t="s">
        <v>1465</v>
      </c>
      <c r="T28" s="203" t="str">
        <f>IF(COUNTIF('Raw TRI Data'!$K:$K,J28)&gt;0, "X", "")</f>
        <v/>
      </c>
    </row>
    <row r="29" spans="1:20" x14ac:dyDescent="0.25">
      <c r="A29" s="28">
        <f t="shared" si="0"/>
        <v>28</v>
      </c>
      <c r="B29" s="28" t="s">
        <v>121</v>
      </c>
      <c r="C29" s="28" t="s">
        <v>387</v>
      </c>
      <c r="D29" s="28" t="s">
        <v>388</v>
      </c>
      <c r="E29" s="28" t="s">
        <v>362</v>
      </c>
      <c r="F29" s="28">
        <v>77705</v>
      </c>
      <c r="G29" s="28">
        <v>30.014764</v>
      </c>
      <c r="H29" s="28">
        <v>-94.028836999999996</v>
      </c>
      <c r="I29" s="28" t="s">
        <v>389</v>
      </c>
      <c r="J29" s="61">
        <v>110034393378</v>
      </c>
      <c r="K29" s="61" t="s">
        <v>254</v>
      </c>
      <c r="L29" s="28"/>
      <c r="M29" s="28"/>
      <c r="N29" s="28"/>
      <c r="O29" s="28"/>
      <c r="P29" s="28"/>
      <c r="Q29" s="28" t="s">
        <v>265</v>
      </c>
      <c r="R29" s="28">
        <f>VLOOKUP(K29,OES!$A:$B, 2, FALSE)</f>
        <v>300</v>
      </c>
      <c r="S29" s="60" t="s">
        <v>1465</v>
      </c>
      <c r="T29" s="203" t="str">
        <f>IF(COUNTIF('Raw TRI Data'!$K:$K,J29)&gt;0, "X", "")</f>
        <v/>
      </c>
    </row>
    <row r="30" spans="1:20" x14ac:dyDescent="0.25">
      <c r="A30" s="28">
        <f t="shared" si="0"/>
        <v>29</v>
      </c>
      <c r="B30" s="28" t="s">
        <v>122</v>
      </c>
      <c r="C30" s="28" t="s">
        <v>391</v>
      </c>
      <c r="D30" s="28" t="s">
        <v>392</v>
      </c>
      <c r="E30" s="28" t="s">
        <v>311</v>
      </c>
      <c r="F30" s="28">
        <v>26181</v>
      </c>
      <c r="G30" s="28">
        <v>39.271943999999998</v>
      </c>
      <c r="H30" s="28">
        <v>-81.661666999999994</v>
      </c>
      <c r="I30" s="28" t="s">
        <v>393</v>
      </c>
      <c r="J30" s="61">
        <v>110000586081</v>
      </c>
      <c r="K30" s="61" t="s">
        <v>253</v>
      </c>
      <c r="L30" s="28"/>
      <c r="M30" s="28"/>
      <c r="N30" s="28"/>
      <c r="O30" s="28"/>
      <c r="P30" s="28"/>
      <c r="Q30" s="28" t="s">
        <v>265</v>
      </c>
      <c r="R30" s="28">
        <f>VLOOKUP(K30,OES!$A:$B, 2, FALSE)</f>
        <v>350</v>
      </c>
      <c r="S30" s="60" t="s">
        <v>1465</v>
      </c>
      <c r="T30" s="203" t="str">
        <f>IF(COUNTIF('Raw TRI Data'!$K:$K,J30)&gt;0, "X", "")</f>
        <v/>
      </c>
    </row>
    <row r="31" spans="1:20" x14ac:dyDescent="0.25">
      <c r="A31" s="28">
        <f t="shared" si="0"/>
        <v>30</v>
      </c>
      <c r="B31" s="28" t="s">
        <v>123</v>
      </c>
      <c r="C31" s="28" t="s">
        <v>394</v>
      </c>
      <c r="D31" s="28" t="s">
        <v>395</v>
      </c>
      <c r="E31" s="28" t="s">
        <v>338</v>
      </c>
      <c r="F31" s="28">
        <v>8023</v>
      </c>
      <c r="G31" s="28">
        <v>39.682361999999998</v>
      </c>
      <c r="H31" s="28">
        <v>-75.491378999999995</v>
      </c>
      <c r="I31" s="28" t="s">
        <v>396</v>
      </c>
      <c r="J31" s="61">
        <v>110007970142</v>
      </c>
      <c r="K31" s="61" t="s">
        <v>251</v>
      </c>
      <c r="L31" s="28"/>
      <c r="M31" s="28"/>
      <c r="N31" s="28"/>
      <c r="O31" s="28"/>
      <c r="P31" s="28"/>
      <c r="Q31" s="28" t="s">
        <v>265</v>
      </c>
      <c r="R31" s="28">
        <f>VLOOKUP(K31,OES!$A:$B, 2, FALSE)</f>
        <v>350</v>
      </c>
      <c r="S31" s="60" t="s">
        <v>1465</v>
      </c>
      <c r="T31" s="203" t="str">
        <f>IF(COUNTIF('Raw TRI Data'!$K:$K,J31)&gt;0, "X", "")</f>
        <v/>
      </c>
    </row>
    <row r="32" spans="1:20" x14ac:dyDescent="0.25">
      <c r="A32" s="28">
        <f t="shared" si="0"/>
        <v>31</v>
      </c>
      <c r="B32" s="28" t="s">
        <v>124</v>
      </c>
      <c r="C32" s="28" t="s">
        <v>397</v>
      </c>
      <c r="D32" s="28" t="s">
        <v>398</v>
      </c>
      <c r="E32" s="28" t="s">
        <v>303</v>
      </c>
      <c r="F32" s="28">
        <v>70037</v>
      </c>
      <c r="G32" s="28">
        <v>29.808250000000001</v>
      </c>
      <c r="H32" s="28">
        <v>-90.01</v>
      </c>
      <c r="I32" s="28" t="s">
        <v>399</v>
      </c>
      <c r="J32" s="61">
        <v>110000575244</v>
      </c>
      <c r="K32" s="61" t="s">
        <v>251</v>
      </c>
      <c r="L32" s="28"/>
      <c r="M32" s="28"/>
      <c r="N32" s="28"/>
      <c r="O32" s="28"/>
      <c r="P32" s="28"/>
      <c r="Q32" s="28" t="s">
        <v>265</v>
      </c>
      <c r="R32" s="28">
        <f>VLOOKUP(K32,OES!$A:$B, 2, FALSE)</f>
        <v>350</v>
      </c>
      <c r="S32" s="60" t="s">
        <v>1465</v>
      </c>
      <c r="T32" s="203" t="str">
        <f>IF(COUNTIF('Raw TRI Data'!$K:$K,J32)&gt;0, "X", "")</f>
        <v/>
      </c>
    </row>
    <row r="33" spans="1:20" x14ac:dyDescent="0.25">
      <c r="A33" s="28">
        <f t="shared" si="0"/>
        <v>32</v>
      </c>
      <c r="B33" s="28" t="s">
        <v>207</v>
      </c>
      <c r="C33" s="61" t="s">
        <v>400</v>
      </c>
      <c r="D33" s="61" t="s">
        <v>401</v>
      </c>
      <c r="E33" s="61" t="s">
        <v>385</v>
      </c>
      <c r="F33" s="61">
        <v>67460</v>
      </c>
      <c r="G33" s="28">
        <v>38.346800000000002</v>
      </c>
      <c r="H33" s="28">
        <v>-97.674499999999995</v>
      </c>
      <c r="I33" s="28" t="s">
        <v>402</v>
      </c>
      <c r="J33" s="61">
        <v>110016678969</v>
      </c>
      <c r="K33" s="61" t="s">
        <v>254</v>
      </c>
      <c r="L33" s="28"/>
      <c r="M33" s="28"/>
      <c r="N33" s="28"/>
      <c r="O33" s="28"/>
      <c r="P33" s="28"/>
      <c r="Q33" s="28" t="s">
        <v>265</v>
      </c>
      <c r="R33" s="28">
        <f>VLOOKUP(K33,OES!$A:$B, 2, FALSE)</f>
        <v>300</v>
      </c>
      <c r="S33" s="60" t="str">
        <f>IF(COUNTIF('Raw Annual DMR Data_2021-2024'!L:L,J33)&gt;0, "X", "")</f>
        <v/>
      </c>
      <c r="T33" s="203" t="str">
        <f>IF(COUNTIF('Raw TRI Data'!$K:$K,J33)&gt;0, "X", "")</f>
        <v>X</v>
      </c>
    </row>
    <row r="34" spans="1:20" x14ac:dyDescent="0.25">
      <c r="A34" s="28">
        <f t="shared" si="0"/>
        <v>33</v>
      </c>
      <c r="B34" s="28" t="s">
        <v>125</v>
      </c>
      <c r="C34" s="28" t="s">
        <v>403</v>
      </c>
      <c r="D34" s="28" t="s">
        <v>404</v>
      </c>
      <c r="E34" s="28" t="s">
        <v>366</v>
      </c>
      <c r="F34" s="28" t="s">
        <v>405</v>
      </c>
      <c r="G34" s="28">
        <v>40.162275000000001</v>
      </c>
      <c r="H34" s="28">
        <v>-122.221378</v>
      </c>
      <c r="I34" s="28"/>
      <c r="J34" s="61">
        <v>110000730745</v>
      </c>
      <c r="K34" s="61" t="s">
        <v>263</v>
      </c>
      <c r="L34" s="28"/>
      <c r="M34" s="28"/>
      <c r="N34" s="28"/>
      <c r="O34" s="28"/>
      <c r="P34" s="28"/>
      <c r="Q34" s="28" t="s">
        <v>265</v>
      </c>
      <c r="R34" s="28">
        <f>VLOOKUP(K34,OES!$A:$B, 2, FALSE)</f>
        <v>365</v>
      </c>
      <c r="S34" s="60" t="s">
        <v>1465</v>
      </c>
      <c r="T34" s="203" t="str">
        <f>IF(COUNTIF('Raw TRI Data'!$K:$K,J34)&gt;0, "X", "")</f>
        <v/>
      </c>
    </row>
    <row r="35" spans="1:20" x14ac:dyDescent="0.25">
      <c r="A35" s="28">
        <f t="shared" si="0"/>
        <v>34</v>
      </c>
      <c r="B35" s="28" t="s">
        <v>126</v>
      </c>
      <c r="C35" s="28" t="s">
        <v>406</v>
      </c>
      <c r="D35" s="28" t="s">
        <v>407</v>
      </c>
      <c r="E35" s="28" t="s">
        <v>374</v>
      </c>
      <c r="F35" s="28">
        <v>85546</v>
      </c>
      <c r="G35" s="28">
        <v>32.802</v>
      </c>
      <c r="H35" s="28">
        <v>-109.711</v>
      </c>
      <c r="I35" s="28"/>
      <c r="J35" s="61">
        <v>110012330520</v>
      </c>
      <c r="K35" s="61" t="s">
        <v>263</v>
      </c>
      <c r="L35" s="28"/>
      <c r="M35" s="28"/>
      <c r="N35" s="28"/>
      <c r="O35" s="28"/>
      <c r="P35" s="28"/>
      <c r="Q35" s="28" t="s">
        <v>265</v>
      </c>
      <c r="R35" s="28">
        <f>VLOOKUP(K35,OES!$A:$B, 2, FALSE)</f>
        <v>365</v>
      </c>
      <c r="S35" s="60" t="s">
        <v>1465</v>
      </c>
      <c r="T35" s="203" t="str">
        <f>IF(COUNTIF('Raw TRI Data'!$K:$K,J35)&gt;0, "X", "")</f>
        <v/>
      </c>
    </row>
    <row r="36" spans="1:20" x14ac:dyDescent="0.25">
      <c r="A36" s="28">
        <f t="shared" si="0"/>
        <v>35</v>
      </c>
      <c r="B36" s="28" t="s">
        <v>127</v>
      </c>
      <c r="C36" s="28" t="s">
        <v>408</v>
      </c>
      <c r="D36" s="28" t="s">
        <v>302</v>
      </c>
      <c r="E36" s="28" t="s">
        <v>303</v>
      </c>
      <c r="F36" s="28">
        <v>70807</v>
      </c>
      <c r="G36" s="28">
        <v>30.567550000000001</v>
      </c>
      <c r="H36" s="28">
        <v>-91.206370000000007</v>
      </c>
      <c r="I36" s="28" t="s">
        <v>409</v>
      </c>
      <c r="J36" s="61">
        <v>110000450039</v>
      </c>
      <c r="K36" s="28" t="s">
        <v>6751</v>
      </c>
      <c r="L36" s="28"/>
      <c r="M36" s="28"/>
      <c r="N36" s="28"/>
      <c r="O36" s="28"/>
      <c r="P36" s="28"/>
      <c r="Q36" s="28" t="s">
        <v>265</v>
      </c>
      <c r="R36" s="28">
        <v>250</v>
      </c>
      <c r="S36" s="60" t="s">
        <v>1465</v>
      </c>
      <c r="T36" s="203" t="str">
        <f>IF(COUNTIF('Raw TRI Data'!$K:$K,J36)&gt;0, "X", "")</f>
        <v/>
      </c>
    </row>
    <row r="37" spans="1:20" x14ac:dyDescent="0.25">
      <c r="A37" s="28">
        <f t="shared" si="0"/>
        <v>36</v>
      </c>
      <c r="B37" s="28" t="s">
        <v>128</v>
      </c>
      <c r="C37" s="28" t="s">
        <v>411</v>
      </c>
      <c r="D37" s="28" t="s">
        <v>412</v>
      </c>
      <c r="E37" s="28" t="s">
        <v>299</v>
      </c>
      <c r="F37" s="28">
        <v>71730</v>
      </c>
      <c r="G37" s="28">
        <v>33.2044</v>
      </c>
      <c r="H37" s="28">
        <v>-92.630799999999994</v>
      </c>
      <c r="I37" s="28" t="s">
        <v>413</v>
      </c>
      <c r="J37" s="61">
        <v>110000521221</v>
      </c>
      <c r="K37" s="28" t="s">
        <v>6752</v>
      </c>
      <c r="L37" s="28"/>
      <c r="M37" s="28"/>
      <c r="N37" s="28"/>
      <c r="O37" s="28"/>
      <c r="P37" s="28"/>
      <c r="Q37" s="28" t="s">
        <v>265</v>
      </c>
      <c r="R37" s="28">
        <v>250</v>
      </c>
      <c r="S37" s="60" t="s">
        <v>1465</v>
      </c>
      <c r="T37" s="203" t="str">
        <f>IF(COUNTIF('Raw TRI Data'!$K:$K,J37)&gt;0, "X", "")</f>
        <v>X</v>
      </c>
    </row>
    <row r="38" spans="1:20" x14ac:dyDescent="0.25">
      <c r="A38" s="28">
        <f t="shared" si="0"/>
        <v>37</v>
      </c>
      <c r="B38" s="28" t="s">
        <v>129</v>
      </c>
      <c r="C38" s="28" t="s">
        <v>414</v>
      </c>
      <c r="D38" s="28" t="s">
        <v>415</v>
      </c>
      <c r="E38" s="28" t="s">
        <v>366</v>
      </c>
      <c r="F38" s="28">
        <v>93619</v>
      </c>
      <c r="G38" s="28">
        <v>36.793849999999999</v>
      </c>
      <c r="H38" s="28">
        <v>-119.61344</v>
      </c>
      <c r="I38" s="28"/>
      <c r="J38" s="61">
        <v>110035769585</v>
      </c>
      <c r="K38" s="61" t="s">
        <v>263</v>
      </c>
      <c r="L38" s="28"/>
      <c r="M38" s="28"/>
      <c r="N38" s="28"/>
      <c r="O38" s="28"/>
      <c r="P38" s="28"/>
      <c r="Q38" s="28" t="s">
        <v>265</v>
      </c>
      <c r="R38" s="28">
        <f>VLOOKUP(K38,OES!$A:$B, 2, FALSE)</f>
        <v>365</v>
      </c>
      <c r="S38" s="60" t="s">
        <v>1465</v>
      </c>
      <c r="T38" s="203" t="str">
        <f>IF(COUNTIF('Raw TRI Data'!$K:$K,J38)&gt;0, "X", "")</f>
        <v/>
      </c>
    </row>
    <row r="39" spans="1:20" x14ac:dyDescent="0.25">
      <c r="A39" s="28">
        <f t="shared" si="0"/>
        <v>38</v>
      </c>
      <c r="B39" s="28" t="s">
        <v>131</v>
      </c>
      <c r="C39" s="28" t="s">
        <v>420</v>
      </c>
      <c r="D39" s="28" t="s">
        <v>421</v>
      </c>
      <c r="E39" s="28" t="s">
        <v>366</v>
      </c>
      <c r="F39" s="28">
        <v>95932</v>
      </c>
      <c r="G39" s="28">
        <v>39.191054000000001</v>
      </c>
      <c r="H39" s="28">
        <v>-122.023129</v>
      </c>
      <c r="I39" s="28"/>
      <c r="J39" s="61">
        <v>110055984957</v>
      </c>
      <c r="K39" s="61" t="s">
        <v>263</v>
      </c>
      <c r="L39" s="28"/>
      <c r="M39" s="28"/>
      <c r="N39" s="28"/>
      <c r="O39" s="28"/>
      <c r="P39" s="28"/>
      <c r="Q39" s="28" t="s">
        <v>265</v>
      </c>
      <c r="R39" s="28">
        <f>VLOOKUP(K39,OES!$A:$B, 2, FALSE)</f>
        <v>365</v>
      </c>
      <c r="S39" s="60" t="s">
        <v>1465</v>
      </c>
      <c r="T39" s="203" t="str">
        <f>IF(COUNTIF('Raw TRI Data'!$K:$K,J39)&gt;0, "X", "")</f>
        <v/>
      </c>
    </row>
    <row r="40" spans="1:20" x14ac:dyDescent="0.25">
      <c r="A40" s="28">
        <f t="shared" si="0"/>
        <v>39</v>
      </c>
      <c r="B40" s="28" t="s">
        <v>132</v>
      </c>
      <c r="C40" s="28" t="s">
        <v>422</v>
      </c>
      <c r="D40" s="28" t="s">
        <v>423</v>
      </c>
      <c r="E40" s="28" t="s">
        <v>311</v>
      </c>
      <c r="F40" s="28">
        <v>26134</v>
      </c>
      <c r="G40" s="28">
        <v>39.355575000000002</v>
      </c>
      <c r="H40" s="28">
        <v>-81.299837999999994</v>
      </c>
      <c r="I40" s="28" t="s">
        <v>424</v>
      </c>
      <c r="J40" s="61">
        <v>110000344850</v>
      </c>
      <c r="K40" s="61" t="s">
        <v>251</v>
      </c>
      <c r="L40" s="28"/>
      <c r="M40" s="28"/>
      <c r="N40" s="28"/>
      <c r="O40" s="28"/>
      <c r="P40" s="28"/>
      <c r="Q40" s="28" t="s">
        <v>265</v>
      </c>
      <c r="R40" s="28">
        <f>VLOOKUP(K40,OES!$A:$B, 2, FALSE)</f>
        <v>350</v>
      </c>
      <c r="S40" s="60" t="s">
        <v>1465</v>
      </c>
      <c r="T40" s="203" t="str">
        <f>IF(COUNTIF('Raw TRI Data'!$K:$K,J40)&gt;0, "X", "")</f>
        <v/>
      </c>
    </row>
    <row r="41" spans="1:20" x14ac:dyDescent="0.25">
      <c r="A41" s="28">
        <f t="shared" si="0"/>
        <v>40</v>
      </c>
      <c r="B41" s="28" t="s">
        <v>208</v>
      </c>
      <c r="C41" s="61" t="s">
        <v>425</v>
      </c>
      <c r="D41" s="61" t="s">
        <v>426</v>
      </c>
      <c r="E41" s="61" t="s">
        <v>427</v>
      </c>
      <c r="F41" s="61">
        <v>48640</v>
      </c>
      <c r="G41" s="28">
        <v>43.600960000000001</v>
      </c>
      <c r="H41" s="28">
        <v>-84.207689999999999</v>
      </c>
      <c r="I41" s="28" t="s">
        <v>428</v>
      </c>
      <c r="J41" s="61">
        <v>110070788638</v>
      </c>
      <c r="K41" s="61" t="s">
        <v>253</v>
      </c>
      <c r="L41" s="28"/>
      <c r="M41" s="28"/>
      <c r="N41" s="28"/>
      <c r="O41" s="28"/>
      <c r="P41" s="28"/>
      <c r="Q41" s="28" t="s">
        <v>265</v>
      </c>
      <c r="R41" s="28">
        <f>VLOOKUP(K41,OES!$A:$B, 2, FALSE)</f>
        <v>350</v>
      </c>
      <c r="S41" s="60" t="str">
        <f>IF(COUNTIF('Raw Annual DMR Data_2021-2024'!L:L,J41)&gt;0, "X", "")</f>
        <v/>
      </c>
      <c r="T41" s="203" t="str">
        <f>IF(COUNTIF('Raw TRI Data'!$K:$K,J41)&gt;0, "X", "")</f>
        <v>X</v>
      </c>
    </row>
    <row r="42" spans="1:20" x14ac:dyDescent="0.25">
      <c r="A42" s="28">
        <f t="shared" si="0"/>
        <v>41</v>
      </c>
      <c r="B42" s="28" t="s">
        <v>133</v>
      </c>
      <c r="C42" s="28" t="s">
        <v>429</v>
      </c>
      <c r="D42" s="28" t="s">
        <v>430</v>
      </c>
      <c r="E42" s="28" t="s">
        <v>366</v>
      </c>
      <c r="F42" s="28" t="s">
        <v>431</v>
      </c>
      <c r="G42" s="28">
        <v>33.892391000000003</v>
      </c>
      <c r="H42" s="28">
        <v>-118.072909</v>
      </c>
      <c r="I42" s="28"/>
      <c r="J42" s="61">
        <v>110000781609</v>
      </c>
      <c r="K42" s="61" t="s">
        <v>252</v>
      </c>
      <c r="L42" s="28"/>
      <c r="M42" s="28"/>
      <c r="N42" s="28"/>
      <c r="O42" s="28"/>
      <c r="P42" s="28"/>
      <c r="Q42" s="28" t="s">
        <v>265</v>
      </c>
      <c r="R42" s="28">
        <f>VLOOKUP(K42,OES!$A:$B, 2, FALSE)</f>
        <v>250</v>
      </c>
      <c r="S42" s="60" t="s">
        <v>1465</v>
      </c>
      <c r="T42" s="203" t="str">
        <f>IF(COUNTIF('Raw TRI Data'!$K:$K,J42)&gt;0, "X", "")</f>
        <v/>
      </c>
    </row>
    <row r="43" spans="1:20" x14ac:dyDescent="0.25">
      <c r="A43" s="28">
        <f t="shared" si="0"/>
        <v>42</v>
      </c>
      <c r="B43" s="28" t="s">
        <v>134</v>
      </c>
      <c r="C43" s="28" t="s">
        <v>433</v>
      </c>
      <c r="D43" s="28" t="s">
        <v>434</v>
      </c>
      <c r="E43" s="28" t="s">
        <v>435</v>
      </c>
      <c r="F43" s="28">
        <v>28203</v>
      </c>
      <c r="G43" s="28">
        <v>35.215859999999999</v>
      </c>
      <c r="H43" s="28">
        <v>-80.856890000000007</v>
      </c>
      <c r="I43" s="28"/>
      <c r="J43" s="61">
        <v>110070048003</v>
      </c>
      <c r="K43" s="61" t="s">
        <v>264</v>
      </c>
      <c r="L43" s="28"/>
      <c r="M43" s="28"/>
      <c r="N43" s="28"/>
      <c r="O43" s="28"/>
      <c r="P43" s="28"/>
      <c r="Q43" s="28" t="s">
        <v>265</v>
      </c>
      <c r="R43" s="28">
        <f>VLOOKUP(K43,OES!$A:$B, 2, FALSE)</f>
        <v>365</v>
      </c>
      <c r="S43" s="60" t="s">
        <v>1465</v>
      </c>
      <c r="T43" s="203" t="str">
        <f>IF(COUNTIF('Raw TRI Data'!$K:$K,J43)&gt;0, "X", "")</f>
        <v/>
      </c>
    </row>
    <row r="44" spans="1:20" x14ac:dyDescent="0.25">
      <c r="A44" s="28">
        <f t="shared" si="0"/>
        <v>43</v>
      </c>
      <c r="B44" s="28" t="s">
        <v>209</v>
      </c>
      <c r="C44" s="61" t="s">
        <v>436</v>
      </c>
      <c r="D44" s="61" t="s">
        <v>437</v>
      </c>
      <c r="E44" s="61" t="s">
        <v>362</v>
      </c>
      <c r="F44" s="61">
        <v>775413257</v>
      </c>
      <c r="G44" s="28">
        <v>28.979199999999999</v>
      </c>
      <c r="H44" s="28">
        <v>-95.354900000000001</v>
      </c>
      <c r="I44" s="28" t="s">
        <v>438</v>
      </c>
      <c r="J44" s="61">
        <v>110008170237</v>
      </c>
      <c r="K44" s="61" t="s">
        <v>253</v>
      </c>
      <c r="L44" s="28"/>
      <c r="M44" s="28"/>
      <c r="N44" s="28"/>
      <c r="O44" s="28"/>
      <c r="P44" s="28"/>
      <c r="Q44" s="28" t="s">
        <v>265</v>
      </c>
      <c r="R44" s="28">
        <f>VLOOKUP(K44,OES!$A:$B, 2, FALSE)</f>
        <v>350</v>
      </c>
      <c r="S44" s="60" t="str">
        <f>IF(COUNTIF('Raw Annual DMR Data_2021-2024'!L:L,J44)&gt;0, "X", "")</f>
        <v/>
      </c>
      <c r="T44" s="203" t="str">
        <f>IF(COUNTIF('Raw TRI Data'!$K:$K,J44)&gt;0, "X", "")</f>
        <v>X</v>
      </c>
    </row>
    <row r="45" spans="1:20" x14ac:dyDescent="0.25">
      <c r="A45" s="28">
        <f t="shared" si="0"/>
        <v>44</v>
      </c>
      <c r="B45" s="28" t="s">
        <v>135</v>
      </c>
      <c r="C45" s="28" t="s">
        <v>439</v>
      </c>
      <c r="D45" s="28" t="s">
        <v>426</v>
      </c>
      <c r="E45" s="28" t="s">
        <v>427</v>
      </c>
      <c r="F45" s="28">
        <v>48674</v>
      </c>
      <c r="G45" s="28">
        <v>43.606082999999998</v>
      </c>
      <c r="H45" s="28">
        <v>-84.219527999999997</v>
      </c>
      <c r="I45" s="28"/>
      <c r="J45" s="61">
        <v>110027360629</v>
      </c>
      <c r="K45" s="61" t="s">
        <v>251</v>
      </c>
      <c r="L45" s="28"/>
      <c r="M45" s="28"/>
      <c r="N45" s="28"/>
      <c r="O45" s="28"/>
      <c r="P45" s="28"/>
      <c r="Q45" s="28" t="s">
        <v>265</v>
      </c>
      <c r="R45" s="28">
        <f>VLOOKUP(K45,OES!$A:$B, 2, FALSE)</f>
        <v>350</v>
      </c>
      <c r="S45" s="60" t="s">
        <v>1465</v>
      </c>
      <c r="T45" s="203" t="str">
        <f>IF(COUNTIF('Raw TRI Data'!$K:$K,J45)&gt;0, "X", "")</f>
        <v/>
      </c>
    </row>
    <row r="46" spans="1:20" x14ac:dyDescent="0.25">
      <c r="A46" s="28">
        <f t="shared" si="0"/>
        <v>45</v>
      </c>
      <c r="B46" s="28" t="s">
        <v>136</v>
      </c>
      <c r="C46" s="28" t="s">
        <v>440</v>
      </c>
      <c r="D46" s="28" t="s">
        <v>441</v>
      </c>
      <c r="E46" s="28" t="s">
        <v>338</v>
      </c>
      <c r="F46" s="28" t="s">
        <v>442</v>
      </c>
      <c r="G46" s="28">
        <v>40.843611000000003</v>
      </c>
      <c r="H46" s="28">
        <v>-75.066389000000001</v>
      </c>
      <c r="I46" s="28" t="s">
        <v>443</v>
      </c>
      <c r="J46" s="61">
        <v>110040963286</v>
      </c>
      <c r="K46" s="61" t="s">
        <v>254</v>
      </c>
      <c r="L46" s="28"/>
      <c r="M46" s="28"/>
      <c r="N46" s="28"/>
      <c r="O46" s="28"/>
      <c r="P46" s="28"/>
      <c r="Q46" s="28" t="s">
        <v>265</v>
      </c>
      <c r="R46" s="28">
        <f>VLOOKUP(K46,OES!$A:$B, 2, FALSE)</f>
        <v>300</v>
      </c>
      <c r="S46" s="60" t="s">
        <v>1465</v>
      </c>
      <c r="T46" s="203" t="str">
        <f>IF(COUNTIF('Raw TRI Data'!$K:$K,J46)&gt;0, "X", "")</f>
        <v/>
      </c>
    </row>
    <row r="47" spans="1:20" x14ac:dyDescent="0.25">
      <c r="A47" s="28">
        <f t="shared" si="0"/>
        <v>46</v>
      </c>
      <c r="B47" s="28" t="s">
        <v>137</v>
      </c>
      <c r="C47" s="28" t="s">
        <v>445</v>
      </c>
      <c r="D47" s="28" t="s">
        <v>446</v>
      </c>
      <c r="E47" s="28" t="s">
        <v>303</v>
      </c>
      <c r="F47" s="28">
        <v>70669</v>
      </c>
      <c r="G47" s="28">
        <v>30.223500000000001</v>
      </c>
      <c r="H47" s="28">
        <v>-93.286900000000003</v>
      </c>
      <c r="I47" s="28" t="s">
        <v>447</v>
      </c>
      <c r="J47" s="61">
        <v>110000494894</v>
      </c>
      <c r="K47" s="61" t="s">
        <v>251</v>
      </c>
      <c r="L47" s="28"/>
      <c r="M47" s="28"/>
      <c r="N47" s="28"/>
      <c r="O47" s="28"/>
      <c r="P47" s="28"/>
      <c r="Q47" s="28" t="s">
        <v>265</v>
      </c>
      <c r="R47" s="28">
        <f>VLOOKUP(K47,OES!$A:$B, 2, FALSE)</f>
        <v>350</v>
      </c>
      <c r="S47" s="60" t="s">
        <v>1465</v>
      </c>
      <c r="T47" s="203" t="str">
        <f>IF(COUNTIF('Raw TRI Data'!$K:$K,J47)&gt;0, "X", "")</f>
        <v>X</v>
      </c>
    </row>
    <row r="48" spans="1:20" x14ac:dyDescent="0.25">
      <c r="A48" s="28">
        <f t="shared" si="0"/>
        <v>47</v>
      </c>
      <c r="B48" s="28" t="s">
        <v>141</v>
      </c>
      <c r="C48" s="28" t="s">
        <v>459</v>
      </c>
      <c r="D48" s="28" t="s">
        <v>460</v>
      </c>
      <c r="E48" s="28" t="s">
        <v>311</v>
      </c>
      <c r="F48" s="28" t="s">
        <v>461</v>
      </c>
      <c r="G48" s="28">
        <v>38.360185999999999</v>
      </c>
      <c r="H48" s="28">
        <v>-81.661257000000006</v>
      </c>
      <c r="I48" s="28"/>
      <c r="J48" s="61">
        <v>110001929904</v>
      </c>
      <c r="K48" s="61" t="s">
        <v>254</v>
      </c>
      <c r="L48" s="28"/>
      <c r="M48" s="28"/>
      <c r="N48" s="28"/>
      <c r="O48" s="28"/>
      <c r="P48" s="28"/>
      <c r="Q48" s="28" t="s">
        <v>265</v>
      </c>
      <c r="R48" s="28">
        <f>VLOOKUP(K48,OES!$A:$B, 2, FALSE)</f>
        <v>300</v>
      </c>
      <c r="S48" s="60" t="s">
        <v>1465</v>
      </c>
      <c r="T48" s="203" t="str">
        <f>IF(COUNTIF('Raw TRI Data'!$K:$K,J48)&gt;0, "X", "")</f>
        <v/>
      </c>
    </row>
    <row r="49" spans="1:20" x14ac:dyDescent="0.25">
      <c r="A49" s="28">
        <f t="shared" si="0"/>
        <v>48</v>
      </c>
      <c r="B49" s="28" t="s">
        <v>142</v>
      </c>
      <c r="C49" s="28" t="s">
        <v>462</v>
      </c>
      <c r="D49" s="28" t="s">
        <v>463</v>
      </c>
      <c r="E49" s="28" t="s">
        <v>362</v>
      </c>
      <c r="F49" s="28">
        <v>77503</v>
      </c>
      <c r="G49" s="28">
        <v>29.741954</v>
      </c>
      <c r="H49" s="28">
        <v>-95.165228999999997</v>
      </c>
      <c r="I49" s="28"/>
      <c r="J49" s="61">
        <v>110060340162</v>
      </c>
      <c r="K49" s="61" t="s">
        <v>251</v>
      </c>
      <c r="L49" s="28"/>
      <c r="M49" s="28"/>
      <c r="N49" s="28"/>
      <c r="O49" s="28"/>
      <c r="P49" s="28"/>
      <c r="Q49" s="28" t="s">
        <v>265</v>
      </c>
      <c r="R49" s="28">
        <f>VLOOKUP(K49,OES!$A:$B, 2, FALSE)</f>
        <v>350</v>
      </c>
      <c r="S49" s="60" t="s">
        <v>1465</v>
      </c>
      <c r="T49" s="203" t="str">
        <f>IF(COUNTIF('Raw TRI Data'!$K:$K,J49)&gt;0, "X", "")</f>
        <v/>
      </c>
    </row>
    <row r="50" spans="1:20" x14ac:dyDescent="0.25">
      <c r="A50" s="28">
        <f t="shared" si="0"/>
        <v>49</v>
      </c>
      <c r="B50" s="28" t="s">
        <v>143</v>
      </c>
      <c r="C50" s="28" t="s">
        <v>464</v>
      </c>
      <c r="D50" s="28" t="s">
        <v>465</v>
      </c>
      <c r="E50" s="28" t="s">
        <v>362</v>
      </c>
      <c r="F50" s="28">
        <v>77571</v>
      </c>
      <c r="G50" s="28">
        <v>29.717471</v>
      </c>
      <c r="H50" s="28">
        <v>-95.068008000000006</v>
      </c>
      <c r="I50" s="28" t="s">
        <v>466</v>
      </c>
      <c r="J50" s="61">
        <v>110034641635</v>
      </c>
      <c r="K50" s="61" t="s">
        <v>251</v>
      </c>
      <c r="L50" s="28"/>
      <c r="M50" s="28"/>
      <c r="N50" s="28"/>
      <c r="O50" s="28"/>
      <c r="P50" s="28"/>
      <c r="Q50" s="28" t="s">
        <v>265</v>
      </c>
      <c r="R50" s="28">
        <f>VLOOKUP(K50,OES!$A:$B, 2, FALSE)</f>
        <v>350</v>
      </c>
      <c r="S50" s="60" t="s">
        <v>1465</v>
      </c>
      <c r="T50" s="203" t="str">
        <f>IF(COUNTIF('Raw TRI Data'!$K:$K,J50)&gt;0, "X", "")</f>
        <v/>
      </c>
    </row>
    <row r="51" spans="1:20" x14ac:dyDescent="0.25">
      <c r="A51" s="28">
        <f t="shared" si="0"/>
        <v>50</v>
      </c>
      <c r="B51" s="28" t="s">
        <v>144</v>
      </c>
      <c r="C51" s="28" t="s">
        <v>467</v>
      </c>
      <c r="D51" s="28" t="s">
        <v>302</v>
      </c>
      <c r="E51" s="28" t="s">
        <v>303</v>
      </c>
      <c r="F51" s="28">
        <v>70805</v>
      </c>
      <c r="G51" s="28">
        <v>30.498353999999999</v>
      </c>
      <c r="H51" s="28">
        <v>-91.181038000000001</v>
      </c>
      <c r="I51" s="28"/>
      <c r="J51" s="61">
        <v>110001143584</v>
      </c>
      <c r="K51" s="61" t="s">
        <v>254</v>
      </c>
      <c r="L51" s="28"/>
      <c r="M51" s="28"/>
      <c r="N51" s="28"/>
      <c r="O51" s="28"/>
      <c r="P51" s="28"/>
      <c r="Q51" s="28" t="s">
        <v>265</v>
      </c>
      <c r="R51" s="28">
        <f>VLOOKUP(K51,OES!$A:$B, 2, FALSE)</f>
        <v>300</v>
      </c>
      <c r="S51" s="60" t="s">
        <v>1465</v>
      </c>
      <c r="T51" s="203" t="str">
        <f>IF(COUNTIF('Raw TRI Data'!$K:$K,J51)&gt;0, "X", "")</f>
        <v/>
      </c>
    </row>
    <row r="52" spans="1:20" x14ac:dyDescent="0.25">
      <c r="A52" s="28">
        <f t="shared" si="0"/>
        <v>51</v>
      </c>
      <c r="B52" s="28" t="s">
        <v>145</v>
      </c>
      <c r="C52" s="28" t="s">
        <v>468</v>
      </c>
      <c r="D52" s="28" t="s">
        <v>314</v>
      </c>
      <c r="E52" s="28" t="s">
        <v>469</v>
      </c>
      <c r="F52" s="28">
        <v>479099201</v>
      </c>
      <c r="G52" s="28">
        <v>40.390543999999998</v>
      </c>
      <c r="H52" s="28">
        <v>-86.936173999999994</v>
      </c>
      <c r="I52" s="28" t="s">
        <v>470</v>
      </c>
      <c r="J52" s="61">
        <v>110000404296</v>
      </c>
      <c r="K52" s="61" t="s">
        <v>254</v>
      </c>
      <c r="L52" s="28"/>
      <c r="M52" s="28"/>
      <c r="N52" s="28"/>
      <c r="O52" s="28"/>
      <c r="P52" s="28"/>
      <c r="Q52" s="28" t="s">
        <v>265</v>
      </c>
      <c r="R52" s="28">
        <f>VLOOKUP(K52,OES!$A:$B, 2, FALSE)</f>
        <v>300</v>
      </c>
      <c r="S52" s="60" t="s">
        <v>1465</v>
      </c>
      <c r="T52" s="203" t="str">
        <f>IF(COUNTIF('Raw TRI Data'!$K:$K,J52)&gt;0, "X", "")</f>
        <v/>
      </c>
    </row>
    <row r="53" spans="1:20" x14ac:dyDescent="0.25">
      <c r="A53" s="28">
        <f t="shared" si="0"/>
        <v>52</v>
      </c>
      <c r="B53" s="28" t="s">
        <v>146</v>
      </c>
      <c r="C53" s="28" t="s">
        <v>471</v>
      </c>
      <c r="D53" s="28" t="s">
        <v>472</v>
      </c>
      <c r="E53" s="28" t="s">
        <v>450</v>
      </c>
      <c r="F53" s="28">
        <v>11222</v>
      </c>
      <c r="G53" s="28">
        <v>40.73095</v>
      </c>
      <c r="H53" s="28">
        <v>-73.942520000000002</v>
      </c>
      <c r="I53" s="28"/>
      <c r="J53" s="61">
        <v>110037107154</v>
      </c>
      <c r="K53" s="61" t="s">
        <v>264</v>
      </c>
      <c r="L53" s="28"/>
      <c r="M53" s="28"/>
      <c r="N53" s="28"/>
      <c r="O53" s="28"/>
      <c r="P53" s="28"/>
      <c r="Q53" s="28" t="s">
        <v>265</v>
      </c>
      <c r="R53" s="28">
        <f>VLOOKUP(K53,OES!$A:$B, 2, FALSE)</f>
        <v>365</v>
      </c>
      <c r="S53" s="60" t="s">
        <v>1465</v>
      </c>
      <c r="T53" s="203" t="str">
        <f>IF(COUNTIF('Raw TRI Data'!$K:$K,J53)&gt;0, "X", "")</f>
        <v/>
      </c>
    </row>
    <row r="54" spans="1:20" x14ac:dyDescent="0.25">
      <c r="A54" s="28">
        <f t="shared" si="0"/>
        <v>53</v>
      </c>
      <c r="B54" s="28" t="s">
        <v>148</v>
      </c>
      <c r="C54" s="28" t="s">
        <v>476</v>
      </c>
      <c r="D54" s="28" t="s">
        <v>477</v>
      </c>
      <c r="E54" s="28" t="s">
        <v>478</v>
      </c>
      <c r="F54" s="28">
        <v>19706</v>
      </c>
      <c r="G54" s="28">
        <v>39.585099999999997</v>
      </c>
      <c r="H54" s="28">
        <v>-75.649199999999993</v>
      </c>
      <c r="I54" s="28"/>
      <c r="J54" s="61">
        <v>110000338536</v>
      </c>
      <c r="K54" s="61" t="s">
        <v>253</v>
      </c>
      <c r="L54" s="28"/>
      <c r="M54" s="28"/>
      <c r="N54" s="28"/>
      <c r="O54" s="28"/>
      <c r="P54" s="28"/>
      <c r="Q54" s="28" t="s">
        <v>265</v>
      </c>
      <c r="R54" s="28">
        <f>VLOOKUP(K54,OES!$A:$B, 2, FALSE)</f>
        <v>350</v>
      </c>
      <c r="S54" s="60" t="s">
        <v>1465</v>
      </c>
      <c r="T54" s="203" t="str">
        <f>IF(COUNTIF('Raw TRI Data'!$K:$K,J54)&gt;0, "X", "")</f>
        <v/>
      </c>
    </row>
    <row r="55" spans="1:20" x14ac:dyDescent="0.25">
      <c r="A55" s="28">
        <f t="shared" si="0"/>
        <v>54</v>
      </c>
      <c r="B55" s="28" t="s">
        <v>149</v>
      </c>
      <c r="C55" s="28" t="s">
        <v>479</v>
      </c>
      <c r="D55" s="28" t="s">
        <v>480</v>
      </c>
      <c r="E55" s="28" t="s">
        <v>362</v>
      </c>
      <c r="F55" s="28">
        <v>77978</v>
      </c>
      <c r="G55" s="28">
        <v>28.6753</v>
      </c>
      <c r="H55" s="28">
        <v>-96.549499999999995</v>
      </c>
      <c r="I55" s="28" t="s">
        <v>481</v>
      </c>
      <c r="J55" s="61">
        <v>110018925957</v>
      </c>
      <c r="K55" s="61" t="s">
        <v>251</v>
      </c>
      <c r="L55" s="28"/>
      <c r="M55" s="28"/>
      <c r="N55" s="28"/>
      <c r="O55" s="28"/>
      <c r="P55" s="28"/>
      <c r="Q55" s="28" t="s">
        <v>265</v>
      </c>
      <c r="R55" s="28">
        <f>VLOOKUP(K55,OES!$A:$B, 2, FALSE)</f>
        <v>350</v>
      </c>
      <c r="S55" s="60" t="s">
        <v>1465</v>
      </c>
      <c r="T55" s="203" t="str">
        <f>IF(COUNTIF('Raw TRI Data'!$K:$K,J55)&gt;0, "X", "")</f>
        <v>X</v>
      </c>
    </row>
    <row r="56" spans="1:20" x14ac:dyDescent="0.25">
      <c r="A56" s="28">
        <f t="shared" si="0"/>
        <v>55</v>
      </c>
      <c r="B56" s="28" t="s">
        <v>150</v>
      </c>
      <c r="C56" s="28" t="s">
        <v>482</v>
      </c>
      <c r="D56" s="28" t="s">
        <v>302</v>
      </c>
      <c r="E56" s="28" t="s">
        <v>303</v>
      </c>
      <c r="F56" s="28">
        <v>70805</v>
      </c>
      <c r="G56" s="28">
        <v>30.498203</v>
      </c>
      <c r="H56" s="28">
        <v>-91.189148000000003</v>
      </c>
      <c r="I56" s="28" t="s">
        <v>483</v>
      </c>
      <c r="J56" s="61">
        <v>110000597444</v>
      </c>
      <c r="K56" s="61" t="s">
        <v>251</v>
      </c>
      <c r="L56" s="28"/>
      <c r="M56" s="28"/>
      <c r="N56" s="28"/>
      <c r="O56" s="28"/>
      <c r="P56" s="28"/>
      <c r="Q56" s="28" t="s">
        <v>265</v>
      </c>
      <c r="R56" s="28">
        <f>VLOOKUP(K56,OES!$A:$B, 2, FALSE)</f>
        <v>350</v>
      </c>
      <c r="S56" s="60" t="s">
        <v>1465</v>
      </c>
      <c r="T56" s="203" t="str">
        <f>IF(COUNTIF('Raw TRI Data'!$K:$K,J56)&gt;0, "X", "")</f>
        <v>X</v>
      </c>
    </row>
    <row r="57" spans="1:20" x14ac:dyDescent="0.25">
      <c r="A57" s="28">
        <f t="shared" si="0"/>
        <v>56</v>
      </c>
      <c r="B57" s="28" t="s">
        <v>210</v>
      </c>
      <c r="C57" s="61" t="s">
        <v>436</v>
      </c>
      <c r="D57" s="61" t="s">
        <v>437</v>
      </c>
      <c r="E57" s="61" t="s">
        <v>362</v>
      </c>
      <c r="F57" s="61">
        <v>77541</v>
      </c>
      <c r="G57" s="28">
        <v>28.981691999999999</v>
      </c>
      <c r="H57" s="28">
        <v>-95.376501000000005</v>
      </c>
      <c r="I57" s="28" t="s">
        <v>484</v>
      </c>
      <c r="J57" s="61">
        <v>110066943605</v>
      </c>
      <c r="K57" s="61" t="s">
        <v>251</v>
      </c>
      <c r="L57" s="28"/>
      <c r="M57" s="28"/>
      <c r="N57" s="28"/>
      <c r="O57" s="28"/>
      <c r="P57" s="28"/>
      <c r="Q57" s="28" t="s">
        <v>265</v>
      </c>
      <c r="R57" s="28">
        <f>VLOOKUP(K57,OES!$A:$B, 2, FALSE)</f>
        <v>350</v>
      </c>
      <c r="S57" s="60" t="str">
        <f>IF(COUNTIF('Raw Annual DMR Data_2021-2024'!L:L,J57)&gt;0, "X", "")</f>
        <v/>
      </c>
      <c r="T57" s="203" t="str">
        <f>IF(COUNTIF('Raw TRI Data'!$K:$K,J57)&gt;0, "X", "")</f>
        <v>X</v>
      </c>
    </row>
    <row r="58" spans="1:20" x14ac:dyDescent="0.25">
      <c r="A58" s="28">
        <f t="shared" si="0"/>
        <v>57</v>
      </c>
      <c r="B58" s="28" t="s">
        <v>153</v>
      </c>
      <c r="C58" s="28" t="s">
        <v>494</v>
      </c>
      <c r="D58" s="28" t="s">
        <v>495</v>
      </c>
      <c r="E58" s="28" t="s">
        <v>427</v>
      </c>
      <c r="F58" s="28">
        <v>48380</v>
      </c>
      <c r="G58" s="28">
        <v>42.569099999999999</v>
      </c>
      <c r="H58" s="28">
        <v>-83.674499999999995</v>
      </c>
      <c r="I58" s="28"/>
      <c r="J58" s="61">
        <v>110017422733</v>
      </c>
      <c r="K58" s="61" t="s">
        <v>261</v>
      </c>
      <c r="L58" s="28"/>
      <c r="M58" s="28"/>
      <c r="N58" s="28"/>
      <c r="O58" s="28"/>
      <c r="P58" s="28"/>
      <c r="Q58" s="28" t="s">
        <v>265</v>
      </c>
      <c r="R58" s="28">
        <f>VLOOKUP(K58,OES!$A:$B, 2, FALSE)</f>
        <v>260</v>
      </c>
      <c r="S58" s="60" t="s">
        <v>1465</v>
      </c>
      <c r="T58" s="203" t="str">
        <f>IF(COUNTIF('Raw TRI Data'!$K:$K,J58)&gt;0, "X", "")</f>
        <v/>
      </c>
    </row>
    <row r="59" spans="1:20" x14ac:dyDescent="0.25">
      <c r="A59" s="28">
        <f t="shared" si="0"/>
        <v>58</v>
      </c>
      <c r="B59" s="28" t="s">
        <v>154</v>
      </c>
      <c r="C59" s="28" t="s">
        <v>497</v>
      </c>
      <c r="D59" s="28" t="s">
        <v>498</v>
      </c>
      <c r="E59" s="28" t="s">
        <v>338</v>
      </c>
      <c r="F59" s="28">
        <v>8066</v>
      </c>
      <c r="G59" s="28">
        <v>39.852891</v>
      </c>
      <c r="H59" s="28">
        <v>-75.225210000000004</v>
      </c>
      <c r="I59" s="28"/>
      <c r="J59" s="61">
        <v>110064625730</v>
      </c>
      <c r="K59" s="61" t="s">
        <v>263</v>
      </c>
      <c r="L59" s="28"/>
      <c r="M59" s="28"/>
      <c r="N59" s="28"/>
      <c r="O59" s="28"/>
      <c r="P59" s="28"/>
      <c r="Q59" s="28" t="s">
        <v>265</v>
      </c>
      <c r="R59" s="28">
        <f>VLOOKUP(K59,OES!$A:$B, 2, FALSE)</f>
        <v>365</v>
      </c>
      <c r="S59" s="60" t="s">
        <v>1465</v>
      </c>
      <c r="T59" s="203" t="str">
        <f>IF(COUNTIF('Raw TRI Data'!$K:$K,J59)&gt;0, "X", "")</f>
        <v/>
      </c>
    </row>
    <row r="60" spans="1:20" x14ac:dyDescent="0.25">
      <c r="A60" s="28">
        <f t="shared" si="0"/>
        <v>59</v>
      </c>
      <c r="B60" s="28" t="s">
        <v>155</v>
      </c>
      <c r="C60" s="28" t="s">
        <v>499</v>
      </c>
      <c r="D60" s="28" t="s">
        <v>500</v>
      </c>
      <c r="E60" s="28" t="s">
        <v>303</v>
      </c>
      <c r="F60" s="28">
        <v>70805</v>
      </c>
      <c r="G60" s="28">
        <v>30.558889000000001</v>
      </c>
      <c r="H60" s="28">
        <v>-91.217500000000001</v>
      </c>
      <c r="I60" s="28"/>
      <c r="J60" s="61">
        <v>110012254363</v>
      </c>
      <c r="K60" s="61" t="s">
        <v>252</v>
      </c>
      <c r="L60" s="28"/>
      <c r="M60" s="28"/>
      <c r="N60" s="28"/>
      <c r="O60" s="28"/>
      <c r="P60" s="28"/>
      <c r="Q60" s="28" t="s">
        <v>265</v>
      </c>
      <c r="R60" s="28">
        <f>VLOOKUP(K60,OES!$A:$B, 2, FALSE)</f>
        <v>250</v>
      </c>
      <c r="S60" s="60" t="s">
        <v>1465</v>
      </c>
      <c r="T60" s="203" t="str">
        <f>IF(COUNTIF('Raw TRI Data'!$K:$K,J60)&gt;0, "X", "")</f>
        <v/>
      </c>
    </row>
    <row r="61" spans="1:20" x14ac:dyDescent="0.25">
      <c r="A61" s="28">
        <f t="shared" si="0"/>
        <v>60</v>
      </c>
      <c r="B61" s="28" t="s">
        <v>156</v>
      </c>
      <c r="C61" s="28" t="s">
        <v>501</v>
      </c>
      <c r="D61" s="28" t="s">
        <v>502</v>
      </c>
      <c r="E61" s="28" t="s">
        <v>303</v>
      </c>
      <c r="F61" s="28">
        <v>70058</v>
      </c>
      <c r="G61" s="28">
        <v>29.910609999999998</v>
      </c>
      <c r="H61" s="28">
        <v>-90.085269999999994</v>
      </c>
      <c r="I61" s="28"/>
      <c r="J61" s="61">
        <v>110070117180</v>
      </c>
      <c r="K61" s="61" t="s">
        <v>252</v>
      </c>
      <c r="L61" s="28"/>
      <c r="M61" s="28"/>
      <c r="N61" s="28"/>
      <c r="O61" s="28"/>
      <c r="P61" s="28"/>
      <c r="Q61" s="28" t="s">
        <v>265</v>
      </c>
      <c r="R61" s="28">
        <f>VLOOKUP(K61,OES!$A:$B, 2, FALSE)</f>
        <v>250</v>
      </c>
      <c r="S61" s="60" t="s">
        <v>1465</v>
      </c>
      <c r="T61" s="203" t="str">
        <f>IF(COUNTIF('Raw TRI Data'!$K:$K,J61)&gt;0, "X", "")</f>
        <v/>
      </c>
    </row>
    <row r="62" spans="1:20" x14ac:dyDescent="0.25">
      <c r="A62" s="28">
        <f t="shared" si="0"/>
        <v>61</v>
      </c>
      <c r="B62" s="28" t="s">
        <v>157</v>
      </c>
      <c r="C62" s="28" t="s">
        <v>504</v>
      </c>
      <c r="D62" s="28" t="s">
        <v>505</v>
      </c>
      <c r="E62" s="28" t="s">
        <v>506</v>
      </c>
      <c r="F62" s="28">
        <v>20910</v>
      </c>
      <c r="G62" s="28">
        <v>38.987340000000003</v>
      </c>
      <c r="H62" s="28">
        <v>-77.026660000000007</v>
      </c>
      <c r="I62" s="28"/>
      <c r="J62" s="61">
        <v>110037096674</v>
      </c>
      <c r="K62" s="61" t="s">
        <v>264</v>
      </c>
      <c r="L62" s="28"/>
      <c r="M62" s="28"/>
      <c r="N62" s="28"/>
      <c r="O62" s="28"/>
      <c r="P62" s="28"/>
      <c r="Q62" s="28" t="s">
        <v>265</v>
      </c>
      <c r="R62" s="28">
        <f>VLOOKUP(K62,OES!$A:$B, 2, FALSE)</f>
        <v>365</v>
      </c>
      <c r="S62" s="60" t="s">
        <v>1465</v>
      </c>
      <c r="T62" s="203" t="str">
        <f>IF(COUNTIF('Raw TRI Data'!$K:$K,J62)&gt;0, "X", "")</f>
        <v/>
      </c>
    </row>
    <row r="63" spans="1:20" x14ac:dyDescent="0.25">
      <c r="A63" s="28">
        <f t="shared" si="0"/>
        <v>62</v>
      </c>
      <c r="B63" s="28" t="s">
        <v>158</v>
      </c>
      <c r="C63" s="28" t="s">
        <v>508</v>
      </c>
      <c r="D63" s="28" t="s">
        <v>509</v>
      </c>
      <c r="E63" s="28" t="s">
        <v>294</v>
      </c>
      <c r="F63" s="28">
        <v>220034935</v>
      </c>
      <c r="G63" s="28">
        <v>38.824719999999999</v>
      </c>
      <c r="H63" s="28">
        <v>-77.214320000000001</v>
      </c>
      <c r="I63" s="28"/>
      <c r="J63" s="61">
        <v>110070544907</v>
      </c>
      <c r="K63" s="61" t="s">
        <v>264</v>
      </c>
      <c r="L63" s="28"/>
      <c r="M63" s="28"/>
      <c r="N63" s="28"/>
      <c r="O63" s="28"/>
      <c r="P63" s="28"/>
      <c r="Q63" s="28" t="s">
        <v>265</v>
      </c>
      <c r="R63" s="28">
        <f>VLOOKUP(K63,OES!$A:$B, 2, FALSE)</f>
        <v>365</v>
      </c>
      <c r="S63" s="60" t="s">
        <v>1465</v>
      </c>
      <c r="T63" s="203" t="str">
        <f>IF(COUNTIF('Raw TRI Data'!$K:$K,J63)&gt;0, "X", "")</f>
        <v/>
      </c>
    </row>
    <row r="64" spans="1:20" x14ac:dyDescent="0.25">
      <c r="A64" s="28">
        <f t="shared" si="0"/>
        <v>63</v>
      </c>
      <c r="B64" s="28" t="s">
        <v>211</v>
      </c>
      <c r="C64" s="61" t="s">
        <v>510</v>
      </c>
      <c r="D64" s="61" t="s">
        <v>511</v>
      </c>
      <c r="E64" s="61" t="s">
        <v>319</v>
      </c>
      <c r="F64" s="61">
        <v>43920</v>
      </c>
      <c r="G64" s="28">
        <v>40.631622</v>
      </c>
      <c r="H64" s="28">
        <v>-80.546319999999994</v>
      </c>
      <c r="I64" s="28" t="s">
        <v>512</v>
      </c>
      <c r="J64" s="61">
        <v>110027242320</v>
      </c>
      <c r="K64" s="28" t="s">
        <v>6752</v>
      </c>
      <c r="L64" s="28"/>
      <c r="M64" s="28"/>
      <c r="N64" s="28"/>
      <c r="O64" s="28"/>
      <c r="P64" s="28"/>
      <c r="Q64" s="28" t="s">
        <v>265</v>
      </c>
      <c r="R64" s="28">
        <v>250</v>
      </c>
      <c r="S64" s="60" t="str">
        <f>IF(COUNTIF('Raw Annual DMR Data_2021-2024'!L:L,J64)&gt;0, "X", "")</f>
        <v/>
      </c>
      <c r="T64" s="203" t="str">
        <f>IF(COUNTIF('Raw TRI Data'!$K:$K,J64)&gt;0, "X", "")</f>
        <v>X</v>
      </c>
    </row>
    <row r="65" spans="1:20" x14ac:dyDescent="0.25">
      <c r="A65" s="28">
        <f t="shared" si="0"/>
        <v>64</v>
      </c>
      <c r="B65" s="28" t="s">
        <v>159</v>
      </c>
      <c r="C65" s="28" t="s">
        <v>513</v>
      </c>
      <c r="D65" s="28" t="s">
        <v>302</v>
      </c>
      <c r="E65" s="28" t="s">
        <v>303</v>
      </c>
      <c r="F65" s="28">
        <v>70821</v>
      </c>
      <c r="G65" s="28">
        <v>30.474443999999998</v>
      </c>
      <c r="H65" s="28">
        <v>-91.183055999999993</v>
      </c>
      <c r="I65" s="28" t="s">
        <v>514</v>
      </c>
      <c r="J65" s="61">
        <v>110003266849</v>
      </c>
      <c r="K65" s="61" t="s">
        <v>254</v>
      </c>
      <c r="L65" s="28"/>
      <c r="M65" s="28"/>
      <c r="N65" s="28"/>
      <c r="O65" s="28"/>
      <c r="P65" s="28"/>
      <c r="Q65" s="28" t="s">
        <v>265</v>
      </c>
      <c r="R65" s="28">
        <f>VLOOKUP(K65,OES!$A:$B, 2, FALSE)</f>
        <v>300</v>
      </c>
      <c r="S65" s="60" t="str">
        <f>IF(COUNTIF('Raw Annual DMR Data_2021-2024'!L:L,J65)&gt;0, "X", "")</f>
        <v/>
      </c>
      <c r="T65" s="203" t="str">
        <f>IF(COUNTIF('Raw TRI Data'!$K:$K,J65)&gt;0, "X", "")</f>
        <v>X</v>
      </c>
    </row>
    <row r="66" spans="1:20" x14ac:dyDescent="0.25">
      <c r="A66" s="28">
        <f t="shared" si="0"/>
        <v>65</v>
      </c>
      <c r="B66" s="28" t="s">
        <v>160</v>
      </c>
      <c r="C66" s="28" t="s">
        <v>515</v>
      </c>
      <c r="D66" s="28" t="s">
        <v>516</v>
      </c>
      <c r="E66" s="28" t="s">
        <v>303</v>
      </c>
      <c r="F66" s="28" t="s">
        <v>517</v>
      </c>
      <c r="G66" s="28">
        <v>30.221900000000002</v>
      </c>
      <c r="H66" s="28">
        <v>-91.051500000000004</v>
      </c>
      <c r="I66" s="28" t="s">
        <v>518</v>
      </c>
      <c r="J66" s="61">
        <v>110033659878</v>
      </c>
      <c r="K66" s="61" t="s">
        <v>251</v>
      </c>
      <c r="L66" s="28"/>
      <c r="M66" s="28"/>
      <c r="N66" s="28"/>
      <c r="O66" s="28"/>
      <c r="P66" s="28"/>
      <c r="Q66" s="28" t="s">
        <v>265</v>
      </c>
      <c r="R66" s="28">
        <f>VLOOKUP(K66,OES!$A:$B, 2, FALSE)</f>
        <v>350</v>
      </c>
      <c r="S66" s="60" t="s">
        <v>1465</v>
      </c>
      <c r="T66" s="203" t="str">
        <f>IF(COUNTIF('Raw TRI Data'!$K:$K,J66)&gt;0, "X", "")</f>
        <v/>
      </c>
    </row>
    <row r="67" spans="1:20" x14ac:dyDescent="0.25">
      <c r="A67" s="28">
        <f t="shared" ref="A67:A130" si="1">A66+1</f>
        <v>66</v>
      </c>
      <c r="B67" s="28" t="s">
        <v>161</v>
      </c>
      <c r="C67" s="28" t="s">
        <v>519</v>
      </c>
      <c r="D67" s="28" t="s">
        <v>520</v>
      </c>
      <c r="E67" s="28" t="s">
        <v>362</v>
      </c>
      <c r="F67" s="28">
        <v>77012</v>
      </c>
      <c r="G67" s="28">
        <v>29.718139000000001</v>
      </c>
      <c r="H67" s="28">
        <v>-95.268749999999997</v>
      </c>
      <c r="I67" s="28" t="s">
        <v>521</v>
      </c>
      <c r="J67" s="61">
        <v>110000460901</v>
      </c>
      <c r="K67" s="61" t="s">
        <v>254</v>
      </c>
      <c r="L67" s="28"/>
      <c r="M67" s="28"/>
      <c r="N67" s="28"/>
      <c r="O67" s="28"/>
      <c r="P67" s="28"/>
      <c r="Q67" s="28" t="s">
        <v>265</v>
      </c>
      <c r="R67" s="28">
        <f>VLOOKUP(K67,OES!$A:$B, 2, FALSE)</f>
        <v>300</v>
      </c>
      <c r="S67" s="60" t="s">
        <v>1465</v>
      </c>
      <c r="T67" s="203" t="str">
        <f>IF(COUNTIF('Raw TRI Data'!$K:$K,J67)&gt;0, "X", "")</f>
        <v/>
      </c>
    </row>
    <row r="68" spans="1:20" x14ac:dyDescent="0.25">
      <c r="A68" s="28">
        <f t="shared" si="1"/>
        <v>67</v>
      </c>
      <c r="B68" s="28" t="s">
        <v>212</v>
      </c>
      <c r="C68" s="61" t="s">
        <v>523</v>
      </c>
      <c r="D68" s="61" t="s">
        <v>437</v>
      </c>
      <c r="E68" s="61" t="s">
        <v>362</v>
      </c>
      <c r="F68" s="61">
        <v>77541</v>
      </c>
      <c r="G68" s="28">
        <v>28.952500000000001</v>
      </c>
      <c r="H68" s="28">
        <v>-95.313000000000002</v>
      </c>
      <c r="I68" s="28" t="s">
        <v>524</v>
      </c>
      <c r="J68" s="61">
        <v>110012256076</v>
      </c>
      <c r="K68" s="61" t="s">
        <v>253</v>
      </c>
      <c r="L68" s="28"/>
      <c r="M68" s="28"/>
      <c r="N68" s="28"/>
      <c r="O68" s="28"/>
      <c r="P68" s="28"/>
      <c r="Q68" s="28" t="s">
        <v>265</v>
      </c>
      <c r="R68" s="28">
        <f>VLOOKUP(K68,OES!$A:$B, 2, FALSE)</f>
        <v>350</v>
      </c>
      <c r="S68" s="60" t="str">
        <f>IF(COUNTIF('Raw Annual DMR Data_2021-2024'!L:L,J68)&gt;0, "X", "")</f>
        <v/>
      </c>
      <c r="T68" s="203" t="str">
        <f>IF(COUNTIF('Raw TRI Data'!$K:$K,J68)&gt;0, "X", "")</f>
        <v>X</v>
      </c>
    </row>
    <row r="69" spans="1:20" x14ac:dyDescent="0.25">
      <c r="A69" s="28">
        <f t="shared" si="1"/>
        <v>68</v>
      </c>
      <c r="B69" s="28" t="s">
        <v>162</v>
      </c>
      <c r="C69" s="28" t="s">
        <v>525</v>
      </c>
      <c r="D69" s="28" t="s">
        <v>526</v>
      </c>
      <c r="E69" s="28" t="s">
        <v>362</v>
      </c>
      <c r="F69" s="28">
        <v>77301</v>
      </c>
      <c r="G69" s="28">
        <v>30.311361000000002</v>
      </c>
      <c r="H69" s="28">
        <v>-95.387083000000004</v>
      </c>
      <c r="I69" s="28" t="s">
        <v>527</v>
      </c>
      <c r="J69" s="61">
        <v>110000748095</v>
      </c>
      <c r="K69" s="61" t="s">
        <v>251</v>
      </c>
      <c r="L69" s="28"/>
      <c r="M69" s="28"/>
      <c r="N69" s="28"/>
      <c r="O69" s="28"/>
      <c r="P69" s="28"/>
      <c r="Q69" s="28" t="s">
        <v>265</v>
      </c>
      <c r="R69" s="28">
        <f>VLOOKUP(K69,OES!$A:$B, 2, FALSE)</f>
        <v>350</v>
      </c>
      <c r="S69" s="60" t="s">
        <v>1465</v>
      </c>
      <c r="T69" s="203" t="str">
        <f>IF(COUNTIF('Raw TRI Data'!$K:$K,J69)&gt;0, "X", "")</f>
        <v/>
      </c>
    </row>
    <row r="70" spans="1:20" x14ac:dyDescent="0.25">
      <c r="A70" s="28">
        <f t="shared" si="1"/>
        <v>69</v>
      </c>
      <c r="B70" s="28" t="s">
        <v>163</v>
      </c>
      <c r="C70" s="28" t="s">
        <v>528</v>
      </c>
      <c r="D70" s="28" t="s">
        <v>529</v>
      </c>
      <c r="E70" s="28" t="s">
        <v>311</v>
      </c>
      <c r="F70" s="28" t="s">
        <v>530</v>
      </c>
      <c r="G70" s="28">
        <v>38.772219999999997</v>
      </c>
      <c r="H70" s="28">
        <v>-82.205560000000006</v>
      </c>
      <c r="I70" s="28" t="s">
        <v>531</v>
      </c>
      <c r="J70" s="61">
        <v>110000607772</v>
      </c>
      <c r="K70" s="61" t="s">
        <v>253</v>
      </c>
      <c r="L70" s="28"/>
      <c r="M70" s="28"/>
      <c r="N70" s="28"/>
      <c r="O70" s="28"/>
      <c r="P70" s="28"/>
      <c r="Q70" s="28" t="s">
        <v>265</v>
      </c>
      <c r="R70" s="28">
        <f>VLOOKUP(K70,OES!$A:$B, 2, FALSE)</f>
        <v>350</v>
      </c>
      <c r="S70" s="60" t="s">
        <v>1465</v>
      </c>
      <c r="T70" s="203" t="str">
        <f>IF(COUNTIF('Raw TRI Data'!$K:$K,J70)&gt;0, "X", "")</f>
        <v/>
      </c>
    </row>
    <row r="71" spans="1:20" x14ac:dyDescent="0.25">
      <c r="A71" s="28">
        <f t="shared" si="1"/>
        <v>70</v>
      </c>
      <c r="B71" s="28" t="s">
        <v>164</v>
      </c>
      <c r="C71" s="28" t="s">
        <v>532</v>
      </c>
      <c r="D71" s="28" t="s">
        <v>533</v>
      </c>
      <c r="E71" s="28" t="s">
        <v>338</v>
      </c>
      <c r="F71" s="28">
        <v>7002</v>
      </c>
      <c r="G71" s="28">
        <v>40.650120999999999</v>
      </c>
      <c r="H71" s="28">
        <v>-74.095578000000003</v>
      </c>
      <c r="I71" s="28"/>
      <c r="J71" s="61">
        <v>110070220480</v>
      </c>
      <c r="K71" s="61" t="s">
        <v>252</v>
      </c>
      <c r="L71" s="28"/>
      <c r="M71" s="28"/>
      <c r="N71" s="28"/>
      <c r="O71" s="28"/>
      <c r="P71" s="28"/>
      <c r="Q71" s="28" t="s">
        <v>265</v>
      </c>
      <c r="R71" s="28">
        <f>VLOOKUP(K71,OES!$A:$B, 2, FALSE)</f>
        <v>250</v>
      </c>
      <c r="S71" s="60" t="s">
        <v>1465</v>
      </c>
      <c r="T71" s="203" t="str">
        <f>IF(COUNTIF('Raw TRI Data'!$K:$K,J71)&gt;0, "X", "")</f>
        <v/>
      </c>
    </row>
    <row r="72" spans="1:20" x14ac:dyDescent="0.25">
      <c r="A72" s="28">
        <f t="shared" si="1"/>
        <v>71</v>
      </c>
      <c r="B72" s="28" t="s">
        <v>165</v>
      </c>
      <c r="C72" s="28" t="s">
        <v>534</v>
      </c>
      <c r="D72" s="28" t="s">
        <v>535</v>
      </c>
      <c r="E72" s="28" t="s">
        <v>303</v>
      </c>
      <c r="F72" s="28">
        <v>70665</v>
      </c>
      <c r="G72" s="28">
        <v>30.190567999999999</v>
      </c>
      <c r="H72" s="28">
        <v>-93.325823</v>
      </c>
      <c r="I72" s="28" t="s">
        <v>536</v>
      </c>
      <c r="J72" s="61">
        <v>110000748040</v>
      </c>
      <c r="K72" s="61" t="s">
        <v>251</v>
      </c>
      <c r="L72" s="28"/>
      <c r="M72" s="28"/>
      <c r="N72" s="28"/>
      <c r="O72" s="28"/>
      <c r="P72" s="28"/>
      <c r="Q72" s="28" t="s">
        <v>265</v>
      </c>
      <c r="R72" s="28">
        <f>VLOOKUP(K72,OES!$A:$B, 2, FALSE)</f>
        <v>350</v>
      </c>
      <c r="S72" s="60" t="s">
        <v>1465</v>
      </c>
      <c r="T72" s="203" t="str">
        <f>IF(COUNTIF('Raw TRI Data'!$K:$K,J72)&gt;0, "X", "")</f>
        <v/>
      </c>
    </row>
    <row r="73" spans="1:20" x14ac:dyDescent="0.25">
      <c r="A73" s="28">
        <f t="shared" si="1"/>
        <v>72</v>
      </c>
      <c r="B73" s="28" t="s">
        <v>166</v>
      </c>
      <c r="C73" s="28" t="s">
        <v>537</v>
      </c>
      <c r="D73" s="28" t="s">
        <v>538</v>
      </c>
      <c r="E73" s="28" t="s">
        <v>362</v>
      </c>
      <c r="F73" s="28">
        <v>77578</v>
      </c>
      <c r="G73" s="28">
        <v>29.458400000000001</v>
      </c>
      <c r="H73" s="28">
        <v>-95.330399999999997</v>
      </c>
      <c r="I73" s="28" t="s">
        <v>539</v>
      </c>
      <c r="J73" s="61">
        <v>110000599479</v>
      </c>
      <c r="K73" s="61" t="s">
        <v>251</v>
      </c>
      <c r="L73" s="28"/>
      <c r="M73" s="28"/>
      <c r="N73" s="28"/>
      <c r="O73" s="28"/>
      <c r="P73" s="28"/>
      <c r="Q73" s="28" t="s">
        <v>265</v>
      </c>
      <c r="R73" s="28">
        <f>VLOOKUP(K73,OES!$A:$B, 2, FALSE)</f>
        <v>350</v>
      </c>
      <c r="S73" s="60" t="s">
        <v>1465</v>
      </c>
      <c r="T73" s="203" t="str">
        <f>IF(COUNTIF('Raw TRI Data'!$K:$K,J73)&gt;0, "X", "")</f>
        <v/>
      </c>
    </row>
    <row r="74" spans="1:20" x14ac:dyDescent="0.25">
      <c r="A74" s="28">
        <f t="shared" si="1"/>
        <v>73</v>
      </c>
      <c r="B74" s="28" t="s">
        <v>213</v>
      </c>
      <c r="C74" s="61" t="s">
        <v>540</v>
      </c>
      <c r="D74" s="61" t="s">
        <v>460</v>
      </c>
      <c r="E74" s="61" t="s">
        <v>541</v>
      </c>
      <c r="F74" s="61">
        <v>29405</v>
      </c>
      <c r="G74" s="28">
        <v>32.835301999999999</v>
      </c>
      <c r="H74" s="28">
        <v>-79.958067999999997</v>
      </c>
      <c r="I74" s="28" t="s">
        <v>542</v>
      </c>
      <c r="J74" s="61">
        <v>110017326963</v>
      </c>
      <c r="K74" s="61" t="s">
        <v>251</v>
      </c>
      <c r="L74" s="28"/>
      <c r="M74" s="28"/>
      <c r="N74" s="28"/>
      <c r="O74" s="28"/>
      <c r="P74" s="28"/>
      <c r="Q74" s="28" t="s">
        <v>265</v>
      </c>
      <c r="R74" s="28">
        <f>VLOOKUP(K74,OES!$A:$B, 2, FALSE)</f>
        <v>350</v>
      </c>
      <c r="S74" s="60" t="str">
        <f>IF(COUNTIF('Raw Annual DMR Data_2021-2024'!L:L,J74)&gt;0, "X", "")</f>
        <v/>
      </c>
      <c r="T74" s="203" t="str">
        <f>IF(COUNTIF('Raw TRI Data'!$K:$K,J74)&gt;0, "X", "")</f>
        <v>X</v>
      </c>
    </row>
    <row r="75" spans="1:20" x14ac:dyDescent="0.25">
      <c r="A75" s="28">
        <f t="shared" si="1"/>
        <v>74</v>
      </c>
      <c r="B75" s="28" t="s">
        <v>167</v>
      </c>
      <c r="C75" s="28" t="s">
        <v>543</v>
      </c>
      <c r="D75" s="28" t="s">
        <v>544</v>
      </c>
      <c r="E75" s="28" t="s">
        <v>338</v>
      </c>
      <c r="F75" s="28">
        <v>7036</v>
      </c>
      <c r="G75" s="28">
        <v>40.610097000000003</v>
      </c>
      <c r="H75" s="28">
        <v>-74.204927999999995</v>
      </c>
      <c r="I75" s="28"/>
      <c r="J75" s="61">
        <v>110002468669</v>
      </c>
      <c r="K75" s="61" t="s">
        <v>259</v>
      </c>
      <c r="L75" s="28"/>
      <c r="M75" s="28"/>
      <c r="N75" s="28"/>
      <c r="O75" s="28"/>
      <c r="P75" s="28"/>
      <c r="Q75" s="28" t="s">
        <v>265</v>
      </c>
      <c r="R75" s="28">
        <f>VLOOKUP(K75,OES!$A:$B, 2, FALSE)</f>
        <v>250</v>
      </c>
      <c r="S75" s="60" t="s">
        <v>1465</v>
      </c>
      <c r="T75" s="203" t="str">
        <f>IF(COUNTIF('Raw TRI Data'!$K:$K,J75)&gt;0, "X", "")</f>
        <v/>
      </c>
    </row>
    <row r="76" spans="1:20" x14ac:dyDescent="0.25">
      <c r="A76" s="28">
        <f t="shared" si="1"/>
        <v>75</v>
      </c>
      <c r="B76" s="28" t="s">
        <v>168</v>
      </c>
      <c r="C76" s="28" t="s">
        <v>546</v>
      </c>
      <c r="D76" s="28" t="s">
        <v>547</v>
      </c>
      <c r="E76" s="28" t="s">
        <v>366</v>
      </c>
      <c r="F76" s="28">
        <v>93436</v>
      </c>
      <c r="G76" s="28">
        <v>34.661079999999998</v>
      </c>
      <c r="H76" s="28">
        <v>-120.48135000000001</v>
      </c>
      <c r="I76" s="28"/>
      <c r="J76" s="61">
        <v>110009547222</v>
      </c>
      <c r="K76" s="61" t="s">
        <v>263</v>
      </c>
      <c r="L76" s="28"/>
      <c r="M76" s="28"/>
      <c r="N76" s="28"/>
      <c r="O76" s="28"/>
      <c r="P76" s="28"/>
      <c r="Q76" s="28" t="s">
        <v>265</v>
      </c>
      <c r="R76" s="28">
        <f>VLOOKUP(K76,OES!$A:$B, 2, FALSE)</f>
        <v>365</v>
      </c>
      <c r="S76" s="60" t="s">
        <v>1465</v>
      </c>
      <c r="T76" s="203" t="str">
        <f>IF(COUNTIF('Raw TRI Data'!$K:$K,J76)&gt;0, "X", "")</f>
        <v/>
      </c>
    </row>
    <row r="77" spans="1:20" x14ac:dyDescent="0.25">
      <c r="A77" s="28">
        <f t="shared" si="1"/>
        <v>76</v>
      </c>
      <c r="B77" s="28" t="s">
        <v>170</v>
      </c>
      <c r="C77" s="28" t="s">
        <v>551</v>
      </c>
      <c r="D77" s="28" t="s">
        <v>552</v>
      </c>
      <c r="E77" s="28" t="s">
        <v>553</v>
      </c>
      <c r="F77" s="28">
        <v>2903</v>
      </c>
      <c r="G77" s="28">
        <v>41.815800000000003</v>
      </c>
      <c r="H77" s="28">
        <v>-71.400130000000004</v>
      </c>
      <c r="I77" s="28"/>
      <c r="J77" s="61">
        <v>110070264880</v>
      </c>
      <c r="K77" s="61" t="s">
        <v>252</v>
      </c>
      <c r="L77" s="28"/>
      <c r="M77" s="28"/>
      <c r="N77" s="28"/>
      <c r="O77" s="28"/>
      <c r="P77" s="28"/>
      <c r="Q77" s="28" t="s">
        <v>265</v>
      </c>
      <c r="R77" s="28">
        <f>VLOOKUP(K77,OES!$A:$B, 2, FALSE)</f>
        <v>250</v>
      </c>
      <c r="S77" s="60" t="s">
        <v>1465</v>
      </c>
      <c r="T77" s="203" t="str">
        <f>IF(COUNTIF('Raw TRI Data'!$K:$K,J77)&gt;0, "X", "")</f>
        <v/>
      </c>
    </row>
    <row r="78" spans="1:20" x14ac:dyDescent="0.25">
      <c r="A78" s="28">
        <f t="shared" si="1"/>
        <v>77</v>
      </c>
      <c r="B78" s="28" t="s">
        <v>171</v>
      </c>
      <c r="C78" s="28" t="s">
        <v>555</v>
      </c>
      <c r="D78" s="28" t="s">
        <v>556</v>
      </c>
      <c r="E78" s="28" t="s">
        <v>338</v>
      </c>
      <c r="F78" s="28">
        <v>7065</v>
      </c>
      <c r="G78" s="28">
        <v>40.612743000000002</v>
      </c>
      <c r="H78" s="28">
        <v>-74.260920999999996</v>
      </c>
      <c r="I78" s="28" t="s">
        <v>557</v>
      </c>
      <c r="J78" s="61">
        <v>110000492020</v>
      </c>
      <c r="K78" s="61" t="s">
        <v>254</v>
      </c>
      <c r="L78" s="28"/>
      <c r="M78" s="28"/>
      <c r="N78" s="28"/>
      <c r="O78" s="28"/>
      <c r="P78" s="28"/>
      <c r="Q78" s="28" t="s">
        <v>265</v>
      </c>
      <c r="R78" s="28">
        <f>VLOOKUP(K78,OES!$A:$B, 2, FALSE)</f>
        <v>300</v>
      </c>
      <c r="S78" s="60" t="s">
        <v>1465</v>
      </c>
      <c r="T78" s="203" t="str">
        <f>IF(COUNTIF('Raw TRI Data'!$K:$K,J78)&gt;0, "X", "")</f>
        <v/>
      </c>
    </row>
    <row r="79" spans="1:20" x14ac:dyDescent="0.25">
      <c r="A79" s="28">
        <f t="shared" si="1"/>
        <v>78</v>
      </c>
      <c r="B79" s="28" t="s">
        <v>172</v>
      </c>
      <c r="C79" s="28" t="s">
        <v>558</v>
      </c>
      <c r="D79" s="28" t="s">
        <v>559</v>
      </c>
      <c r="E79" s="28" t="s">
        <v>338</v>
      </c>
      <c r="F79" s="28" t="s">
        <v>560</v>
      </c>
      <c r="G79" s="28">
        <v>39.766944000000002</v>
      </c>
      <c r="H79" s="28">
        <v>-75.421361000000005</v>
      </c>
      <c r="I79" s="28" t="s">
        <v>561</v>
      </c>
      <c r="J79" s="61">
        <v>110041022274</v>
      </c>
      <c r="K79" s="61" t="s">
        <v>253</v>
      </c>
      <c r="L79" s="28"/>
      <c r="M79" s="28"/>
      <c r="N79" s="28"/>
      <c r="O79" s="28"/>
      <c r="P79" s="28"/>
      <c r="Q79" s="28" t="s">
        <v>265</v>
      </c>
      <c r="R79" s="28">
        <f>VLOOKUP(K79,OES!$A:$B, 2, FALSE)</f>
        <v>350</v>
      </c>
      <c r="S79" s="60" t="s">
        <v>1465</v>
      </c>
      <c r="T79" s="203" t="str">
        <f>IF(COUNTIF('Raw TRI Data'!$K:$K,J79)&gt;0, "X", "")</f>
        <v/>
      </c>
    </row>
    <row r="80" spans="1:20" x14ac:dyDescent="0.25">
      <c r="A80" s="28">
        <f t="shared" si="1"/>
        <v>79</v>
      </c>
      <c r="B80" s="28" t="s">
        <v>214</v>
      </c>
      <c r="C80" s="61" t="s">
        <v>562</v>
      </c>
      <c r="D80" s="61" t="s">
        <v>563</v>
      </c>
      <c r="E80" s="61" t="s">
        <v>564</v>
      </c>
      <c r="F80" s="61">
        <v>52761</v>
      </c>
      <c r="G80" s="28">
        <v>41.350468999999997</v>
      </c>
      <c r="H80" s="28">
        <v>-91.081619000000003</v>
      </c>
      <c r="I80" s="28" t="s">
        <v>565</v>
      </c>
      <c r="J80" s="61">
        <v>110018869474</v>
      </c>
      <c r="K80" s="61" t="s">
        <v>254</v>
      </c>
      <c r="L80" s="28"/>
      <c r="M80" s="28"/>
      <c r="N80" s="28"/>
      <c r="O80" s="28"/>
      <c r="P80" s="28"/>
      <c r="Q80" s="28" t="s">
        <v>265</v>
      </c>
      <c r="R80" s="28">
        <f>VLOOKUP(K80,OES!$A:$B, 2, FALSE)</f>
        <v>300</v>
      </c>
      <c r="S80" s="60" t="str">
        <f>IF(COUNTIF('Raw Annual DMR Data_2021-2024'!L:L,J80)&gt;0, "X", "")</f>
        <v/>
      </c>
      <c r="T80" s="203" t="str">
        <f>IF(COUNTIF('Raw TRI Data'!$K:$K,J80)&gt;0, "X", "")</f>
        <v>X</v>
      </c>
    </row>
    <row r="81" spans="1:20" x14ac:dyDescent="0.25">
      <c r="A81" s="28">
        <f t="shared" si="1"/>
        <v>80</v>
      </c>
      <c r="B81" s="28" t="s">
        <v>173</v>
      </c>
      <c r="C81" s="28" t="s">
        <v>566</v>
      </c>
      <c r="D81" s="28" t="s">
        <v>520</v>
      </c>
      <c r="E81" s="28" t="s">
        <v>362</v>
      </c>
      <c r="F81" s="28">
        <v>77015</v>
      </c>
      <c r="G81" s="28">
        <v>29.75487</v>
      </c>
      <c r="H81" s="28">
        <v>-95.103269999999995</v>
      </c>
      <c r="I81" s="28" t="s">
        <v>567</v>
      </c>
      <c r="J81" s="61">
        <v>110000460983</v>
      </c>
      <c r="K81" s="61" t="s">
        <v>251</v>
      </c>
      <c r="L81" s="28"/>
      <c r="M81" s="28"/>
      <c r="N81" s="28"/>
      <c r="O81" s="28"/>
      <c r="P81" s="28"/>
      <c r="Q81" s="28" t="s">
        <v>265</v>
      </c>
      <c r="R81" s="28">
        <f>VLOOKUP(K81,OES!$A:$B, 2, FALSE)</f>
        <v>350</v>
      </c>
      <c r="S81" s="60" t="s">
        <v>1465</v>
      </c>
      <c r="T81" s="203" t="str">
        <f>IF(COUNTIF('Raw TRI Data'!$K:$K,J81)&gt;0, "X", "")</f>
        <v/>
      </c>
    </row>
    <row r="82" spans="1:20" x14ac:dyDescent="0.25">
      <c r="A82" s="28">
        <f t="shared" si="1"/>
        <v>81</v>
      </c>
      <c r="B82" s="28" t="s">
        <v>174</v>
      </c>
      <c r="C82" s="28" t="s">
        <v>568</v>
      </c>
      <c r="D82" s="28" t="s">
        <v>569</v>
      </c>
      <c r="E82" s="28" t="s">
        <v>311</v>
      </c>
      <c r="F82" s="28">
        <v>26146</v>
      </c>
      <c r="G82" s="28">
        <v>39.484572</v>
      </c>
      <c r="H82" s="28">
        <v>-81.093402999999995</v>
      </c>
      <c r="I82" s="28" t="s">
        <v>570</v>
      </c>
      <c r="J82" s="61">
        <v>110000344814</v>
      </c>
      <c r="K82" s="61" t="s">
        <v>251</v>
      </c>
      <c r="L82" s="28"/>
      <c r="M82" s="28"/>
      <c r="N82" s="28"/>
      <c r="O82" s="28"/>
      <c r="P82" s="28"/>
      <c r="Q82" s="28" t="s">
        <v>265</v>
      </c>
      <c r="R82" s="28">
        <f>VLOOKUP(K82,OES!$A:$B, 2, FALSE)</f>
        <v>350</v>
      </c>
      <c r="S82" s="60" t="s">
        <v>1465</v>
      </c>
      <c r="T82" s="203" t="str">
        <f>IF(COUNTIF('Raw TRI Data'!$K:$K,J82)&gt;0, "X", "")</f>
        <v/>
      </c>
    </row>
    <row r="83" spans="1:20" x14ac:dyDescent="0.25">
      <c r="A83" s="28">
        <f t="shared" si="1"/>
        <v>82</v>
      </c>
      <c r="B83" s="28" t="s">
        <v>175</v>
      </c>
      <c r="C83" s="28" t="s">
        <v>571</v>
      </c>
      <c r="D83" s="28" t="s">
        <v>572</v>
      </c>
      <c r="E83" s="28" t="s">
        <v>303</v>
      </c>
      <c r="F83" s="28">
        <v>70051</v>
      </c>
      <c r="G83" s="28">
        <v>30.048590999999998</v>
      </c>
      <c r="H83" s="28">
        <v>-90.630941000000007</v>
      </c>
      <c r="I83" s="28" t="s">
        <v>573</v>
      </c>
      <c r="J83" s="61">
        <v>110007015871</v>
      </c>
      <c r="K83" s="61" t="s">
        <v>251</v>
      </c>
      <c r="L83" s="28"/>
      <c r="M83" s="28"/>
      <c r="N83" s="28"/>
      <c r="O83" s="28"/>
      <c r="P83" s="28"/>
      <c r="Q83" s="28" t="s">
        <v>265</v>
      </c>
      <c r="R83" s="28">
        <f>VLOOKUP(K83,OES!$A:$B, 2, FALSE)</f>
        <v>350</v>
      </c>
      <c r="S83" s="60" t="s">
        <v>1465</v>
      </c>
      <c r="T83" s="203" t="str">
        <f>IF(COUNTIF('Raw TRI Data'!$K:$K,J83)&gt;0, "X", "")</f>
        <v/>
      </c>
    </row>
    <row r="84" spans="1:20" x14ac:dyDescent="0.25">
      <c r="A84" s="28">
        <f t="shared" si="1"/>
        <v>83</v>
      </c>
      <c r="B84" s="28" t="s">
        <v>215</v>
      </c>
      <c r="C84" s="61" t="s">
        <v>574</v>
      </c>
      <c r="D84" s="61" t="s">
        <v>575</v>
      </c>
      <c r="E84" s="61" t="s">
        <v>435</v>
      </c>
      <c r="F84" s="61">
        <v>28147</v>
      </c>
      <c r="G84" s="28">
        <v>35.632199999999997</v>
      </c>
      <c r="H84" s="28">
        <v>-80.541200000000003</v>
      </c>
      <c r="I84" s="28" t="s">
        <v>576</v>
      </c>
      <c r="J84" s="61">
        <v>110000348936</v>
      </c>
      <c r="K84" s="61" t="s">
        <v>254</v>
      </c>
      <c r="L84" s="28"/>
      <c r="M84" s="28"/>
      <c r="N84" s="28"/>
      <c r="O84" s="28"/>
      <c r="P84" s="28"/>
      <c r="Q84" s="28" t="s">
        <v>265</v>
      </c>
      <c r="R84" s="28">
        <f>VLOOKUP(K84,OES!$A:$B, 2, FALSE)</f>
        <v>300</v>
      </c>
      <c r="S84" s="60" t="str">
        <f>IF(COUNTIF('Raw Annual DMR Data_2021-2024'!L:L,J84)&gt;0, "X", "")</f>
        <v/>
      </c>
      <c r="T84" s="203" t="str">
        <f>IF(COUNTIF('Raw TRI Data'!$K:$K,J84)&gt;0, "X", "")</f>
        <v>X</v>
      </c>
    </row>
    <row r="85" spans="1:20" x14ac:dyDescent="0.25">
      <c r="A85" s="28">
        <f t="shared" si="1"/>
        <v>84</v>
      </c>
      <c r="B85" s="28" t="s">
        <v>176</v>
      </c>
      <c r="C85" s="28" t="s">
        <v>577</v>
      </c>
      <c r="D85" s="28" t="s">
        <v>578</v>
      </c>
      <c r="E85" s="28" t="s">
        <v>450</v>
      </c>
      <c r="F85" s="28">
        <v>14304</v>
      </c>
      <c r="G85" s="28">
        <v>43.086694000000001</v>
      </c>
      <c r="H85" s="28">
        <v>-79.003833</v>
      </c>
      <c r="I85" s="28" t="s">
        <v>579</v>
      </c>
      <c r="J85" s="61">
        <v>110000327361</v>
      </c>
      <c r="K85" s="61" t="s">
        <v>264</v>
      </c>
      <c r="L85" s="28"/>
      <c r="M85" s="28"/>
      <c r="N85" s="28"/>
      <c r="O85" s="28"/>
      <c r="P85" s="28"/>
      <c r="Q85" s="28" t="s">
        <v>265</v>
      </c>
      <c r="R85" s="28">
        <f>VLOOKUP(K85,OES!$A:$B, 2, FALSE)</f>
        <v>365</v>
      </c>
      <c r="S85" s="60" t="s">
        <v>1465</v>
      </c>
      <c r="T85" s="203" t="str">
        <f>IF(COUNTIF('Raw TRI Data'!$K:$K,J85)&gt;0, "X", "")</f>
        <v/>
      </c>
    </row>
    <row r="86" spans="1:20" x14ac:dyDescent="0.25">
      <c r="A86" s="28">
        <f t="shared" si="1"/>
        <v>85</v>
      </c>
      <c r="B86" s="28" t="s">
        <v>177</v>
      </c>
      <c r="C86" s="28" t="s">
        <v>581</v>
      </c>
      <c r="D86" s="28" t="s">
        <v>582</v>
      </c>
      <c r="E86" s="28" t="s">
        <v>362</v>
      </c>
      <c r="F86" s="28">
        <v>78362</v>
      </c>
      <c r="G86" s="28">
        <v>27.883610999999998</v>
      </c>
      <c r="H86" s="28">
        <v>-97.241382999999999</v>
      </c>
      <c r="I86" s="28" t="s">
        <v>583</v>
      </c>
      <c r="J86" s="61">
        <v>110000599807</v>
      </c>
      <c r="K86" s="61" t="s">
        <v>251</v>
      </c>
      <c r="L86" s="28"/>
      <c r="M86" s="28"/>
      <c r="N86" s="28"/>
      <c r="O86" s="28"/>
      <c r="P86" s="28"/>
      <c r="Q86" s="28" t="s">
        <v>265</v>
      </c>
      <c r="R86" s="28">
        <f>VLOOKUP(K86,OES!$A:$B, 2, FALSE)</f>
        <v>350</v>
      </c>
      <c r="S86" s="60" t="str">
        <f>IF(COUNTIF('Raw Annual DMR Data_2021-2024'!L:L,J86)&gt;0, "X", "")</f>
        <v/>
      </c>
      <c r="T86" s="203" t="str">
        <f>IF(COUNTIF('Raw TRI Data'!$K:$K,J86)&gt;0, "X", "")</f>
        <v>X</v>
      </c>
    </row>
    <row r="87" spans="1:20" x14ac:dyDescent="0.25">
      <c r="A87" s="28">
        <f t="shared" si="1"/>
        <v>86</v>
      </c>
      <c r="B87" s="28" t="s">
        <v>178</v>
      </c>
      <c r="C87" s="28" t="s">
        <v>584</v>
      </c>
      <c r="D87" s="28" t="s">
        <v>516</v>
      </c>
      <c r="E87" s="28" t="s">
        <v>303</v>
      </c>
      <c r="F87" s="28">
        <v>70734</v>
      </c>
      <c r="G87" s="28">
        <v>30.185099999999998</v>
      </c>
      <c r="H87" s="28">
        <v>-90.980400000000003</v>
      </c>
      <c r="I87" s="28" t="s">
        <v>585</v>
      </c>
      <c r="J87" s="61">
        <v>110000449774</v>
      </c>
      <c r="K87" s="61" t="s">
        <v>251</v>
      </c>
      <c r="L87" s="28"/>
      <c r="M87" s="28"/>
      <c r="N87" s="28"/>
      <c r="O87" s="28"/>
      <c r="P87" s="28"/>
      <c r="Q87" s="28" t="s">
        <v>265</v>
      </c>
      <c r="R87" s="28">
        <f>VLOOKUP(K87,OES!$A:$B, 2, FALSE)</f>
        <v>350</v>
      </c>
      <c r="S87" s="60" t="s">
        <v>1465</v>
      </c>
      <c r="T87" s="203" t="str">
        <f>IF(COUNTIF('Raw TRI Data'!$K:$K,J87)&gt;0, "X", "")</f>
        <v>X</v>
      </c>
    </row>
    <row r="88" spans="1:20" x14ac:dyDescent="0.25">
      <c r="A88" s="28">
        <f t="shared" si="1"/>
        <v>87</v>
      </c>
      <c r="B88" s="28" t="s">
        <v>216</v>
      </c>
      <c r="C88" s="61" t="s">
        <v>586</v>
      </c>
      <c r="D88" s="61" t="s">
        <v>587</v>
      </c>
      <c r="E88" s="61" t="s">
        <v>303</v>
      </c>
      <c r="F88" s="61">
        <v>70723</v>
      </c>
      <c r="G88" s="28">
        <v>30.05509</v>
      </c>
      <c r="H88" s="28">
        <v>-90.830839999999995</v>
      </c>
      <c r="I88" s="28" t="s">
        <v>588</v>
      </c>
      <c r="J88" s="61">
        <v>110000597328</v>
      </c>
      <c r="K88" s="61" t="s">
        <v>251</v>
      </c>
      <c r="L88" s="28"/>
      <c r="M88" s="28"/>
      <c r="N88" s="28"/>
      <c r="O88" s="28"/>
      <c r="P88" s="28"/>
      <c r="Q88" s="28" t="s">
        <v>265</v>
      </c>
      <c r="R88" s="28">
        <f>VLOOKUP(K88,OES!$A:$B, 2, FALSE)</f>
        <v>350</v>
      </c>
      <c r="S88" s="60" t="str">
        <f>IF(COUNTIF('Raw Annual DMR Data_2021-2024'!L:L,J88)&gt;0, "X", "")</f>
        <v/>
      </c>
      <c r="T88" s="203" t="str">
        <f>IF(COUNTIF('Raw TRI Data'!$K:$K,J88)&gt;0, "X", "")</f>
        <v>X</v>
      </c>
    </row>
    <row r="89" spans="1:20" x14ac:dyDescent="0.25">
      <c r="A89" s="28">
        <f t="shared" si="1"/>
        <v>88</v>
      </c>
      <c r="B89" s="28" t="s">
        <v>179</v>
      </c>
      <c r="C89" s="28" t="s">
        <v>589</v>
      </c>
      <c r="D89" s="28" t="s">
        <v>590</v>
      </c>
      <c r="E89" s="28" t="s">
        <v>362</v>
      </c>
      <c r="F89" s="28">
        <v>77536</v>
      </c>
      <c r="G89" s="28">
        <v>29.726130000000001</v>
      </c>
      <c r="H89" s="28">
        <v>-95.108019999999996</v>
      </c>
      <c r="I89" s="28" t="s">
        <v>591</v>
      </c>
      <c r="J89" s="61">
        <v>110043782788</v>
      </c>
      <c r="K89" s="61" t="s">
        <v>253</v>
      </c>
      <c r="L89" s="28"/>
      <c r="M89" s="28"/>
      <c r="N89" s="28"/>
      <c r="O89" s="28"/>
      <c r="P89" s="28"/>
      <c r="Q89" s="28" t="s">
        <v>265</v>
      </c>
      <c r="R89" s="28">
        <f>VLOOKUP(K89,OES!$A:$B, 2, FALSE)</f>
        <v>350</v>
      </c>
      <c r="S89" s="60" t="s">
        <v>1465</v>
      </c>
      <c r="T89" s="203" t="str">
        <f>IF(COUNTIF('Raw TRI Data'!$K:$K,J89)&gt;0, "X", "")</f>
        <v/>
      </c>
    </row>
    <row r="90" spans="1:20" x14ac:dyDescent="0.25">
      <c r="A90" s="28">
        <f t="shared" si="1"/>
        <v>89</v>
      </c>
      <c r="B90" s="28" t="s">
        <v>217</v>
      </c>
      <c r="C90" s="61" t="s">
        <v>592</v>
      </c>
      <c r="D90" s="61" t="s">
        <v>590</v>
      </c>
      <c r="E90" s="61" t="s">
        <v>362</v>
      </c>
      <c r="F90" s="61">
        <v>77536</v>
      </c>
      <c r="G90" s="28">
        <v>29.728559000000001</v>
      </c>
      <c r="H90" s="28">
        <v>-95.110764000000003</v>
      </c>
      <c r="I90" s="28" t="s">
        <v>593</v>
      </c>
      <c r="J90" s="61">
        <v>110015742204</v>
      </c>
      <c r="K90" s="61" t="s">
        <v>251</v>
      </c>
      <c r="L90" s="28"/>
      <c r="M90" s="28"/>
      <c r="N90" s="28"/>
      <c r="O90" s="28"/>
      <c r="P90" s="28"/>
      <c r="Q90" s="28" t="s">
        <v>265</v>
      </c>
      <c r="R90" s="28">
        <f>VLOOKUP(K90,OES!$A:$B, 2, FALSE)</f>
        <v>350</v>
      </c>
      <c r="S90" s="60" t="str">
        <f>IF(COUNTIF('Raw Annual DMR Data_2021-2024'!L:L,J90)&gt;0, "X", "")</f>
        <v/>
      </c>
      <c r="T90" s="203" t="str">
        <f>IF(COUNTIF('Raw TRI Data'!$K:$K,J90)&gt;0, "X", "")</f>
        <v>X</v>
      </c>
    </row>
    <row r="91" spans="1:20" x14ac:dyDescent="0.25">
      <c r="A91" s="28">
        <f t="shared" si="1"/>
        <v>90</v>
      </c>
      <c r="B91" s="28" t="s">
        <v>218</v>
      </c>
      <c r="C91" s="61" t="s">
        <v>594</v>
      </c>
      <c r="D91" s="61" t="s">
        <v>361</v>
      </c>
      <c r="E91" s="61" t="s">
        <v>362</v>
      </c>
      <c r="F91" s="61">
        <v>77571</v>
      </c>
      <c r="G91" s="28">
        <v>29.723759999999999</v>
      </c>
      <c r="H91" s="28">
        <v>-95.074219999999997</v>
      </c>
      <c r="I91" s="28" t="s">
        <v>595</v>
      </c>
      <c r="J91" s="61">
        <v>110017769734</v>
      </c>
      <c r="K91" s="61" t="s">
        <v>251</v>
      </c>
      <c r="L91" s="28"/>
      <c r="M91" s="28"/>
      <c r="N91" s="28"/>
      <c r="O91" s="28"/>
      <c r="P91" s="28"/>
      <c r="Q91" s="28" t="s">
        <v>265</v>
      </c>
      <c r="R91" s="28">
        <f>VLOOKUP(K91,OES!$A:$B, 2, FALSE)</f>
        <v>350</v>
      </c>
      <c r="S91" s="60" t="str">
        <f>IF(COUNTIF('Raw Annual DMR Data_2021-2024'!L:L,J91)&gt;0, "X", "")</f>
        <v/>
      </c>
      <c r="T91" s="203" t="str">
        <f>IF(COUNTIF('Raw TRI Data'!$K:$K,J91)&gt;0, "X", "")</f>
        <v>X</v>
      </c>
    </row>
    <row r="92" spans="1:20" x14ac:dyDescent="0.25">
      <c r="A92" s="28">
        <f t="shared" si="1"/>
        <v>91</v>
      </c>
      <c r="B92" s="28" t="s">
        <v>180</v>
      </c>
      <c r="C92" s="28" t="s">
        <v>596</v>
      </c>
      <c r="D92" s="28" t="s">
        <v>597</v>
      </c>
      <c r="E92" s="28" t="s">
        <v>338</v>
      </c>
      <c r="F92" s="28">
        <v>8844</v>
      </c>
      <c r="G92" s="28">
        <v>40.52516</v>
      </c>
      <c r="H92" s="28">
        <v>-74.601039999999998</v>
      </c>
      <c r="I92" s="28"/>
      <c r="J92" s="61">
        <v>110070217974</v>
      </c>
      <c r="K92" s="61" t="s">
        <v>254</v>
      </c>
      <c r="L92" s="28"/>
      <c r="M92" s="28"/>
      <c r="N92" s="28"/>
      <c r="O92" s="28"/>
      <c r="P92" s="28"/>
      <c r="Q92" s="28" t="s">
        <v>265</v>
      </c>
      <c r="R92" s="28">
        <f>VLOOKUP(K92,OES!$A:$B, 2, FALSE)</f>
        <v>300</v>
      </c>
      <c r="S92" s="60" t="s">
        <v>1465</v>
      </c>
      <c r="T92" s="203" t="str">
        <f>IF(COUNTIF('Raw TRI Data'!$K:$K,J92)&gt;0, "X", "")</f>
        <v/>
      </c>
    </row>
    <row r="93" spans="1:20" x14ac:dyDescent="0.25">
      <c r="A93" s="28">
        <f t="shared" si="1"/>
        <v>92</v>
      </c>
      <c r="B93" s="28" t="s">
        <v>181</v>
      </c>
      <c r="C93" s="28" t="s">
        <v>599</v>
      </c>
      <c r="D93" s="28" t="s">
        <v>600</v>
      </c>
      <c r="E93" s="28" t="s">
        <v>601</v>
      </c>
      <c r="F93" s="28">
        <v>6473</v>
      </c>
      <c r="G93" s="28">
        <v>41.375383999999997</v>
      </c>
      <c r="H93" s="28">
        <v>-72.878625999999997</v>
      </c>
      <c r="I93" s="28"/>
      <c r="J93" s="61">
        <v>110000748273</v>
      </c>
      <c r="K93" s="61" t="s">
        <v>251</v>
      </c>
      <c r="L93" s="28"/>
      <c r="M93" s="28"/>
      <c r="N93" s="28"/>
      <c r="O93" s="28"/>
      <c r="P93" s="28"/>
      <c r="Q93" s="28" t="s">
        <v>265</v>
      </c>
      <c r="R93" s="28">
        <f>VLOOKUP(K93,OES!$A:$B, 2, FALSE)</f>
        <v>350</v>
      </c>
      <c r="S93" s="60" t="s">
        <v>1465</v>
      </c>
      <c r="T93" s="203" t="str">
        <f>IF(COUNTIF('Raw TRI Data'!$K:$K,J93)&gt;0, "X", "")</f>
        <v/>
      </c>
    </row>
    <row r="94" spans="1:20" x14ac:dyDescent="0.25">
      <c r="A94" s="28">
        <f t="shared" si="1"/>
        <v>93</v>
      </c>
      <c r="B94" s="28" t="s">
        <v>183</v>
      </c>
      <c r="C94" s="28" t="s">
        <v>604</v>
      </c>
      <c r="D94" s="28" t="s">
        <v>446</v>
      </c>
      <c r="E94" s="28" t="s">
        <v>303</v>
      </c>
      <c r="F94" s="28">
        <v>70669</v>
      </c>
      <c r="G94" s="28">
        <v>30.242155</v>
      </c>
      <c r="H94" s="28">
        <v>-93.274386000000007</v>
      </c>
      <c r="I94" s="28" t="s">
        <v>605</v>
      </c>
      <c r="J94" s="61">
        <v>110000539757</v>
      </c>
      <c r="K94" s="61" t="s">
        <v>252</v>
      </c>
      <c r="L94" s="28"/>
      <c r="M94" s="28"/>
      <c r="N94" s="28"/>
      <c r="O94" s="28"/>
      <c r="P94" s="28"/>
      <c r="Q94" s="28" t="s">
        <v>265</v>
      </c>
      <c r="R94" s="28">
        <f>VLOOKUP(K94,OES!$A:$B, 2, FALSE)</f>
        <v>250</v>
      </c>
      <c r="S94" s="60" t="s">
        <v>1465</v>
      </c>
      <c r="T94" s="203" t="str">
        <f>IF(COUNTIF('Raw TRI Data'!$K:$K,J94)&gt;0, "X", "")</f>
        <v/>
      </c>
    </row>
    <row r="95" spans="1:20" x14ac:dyDescent="0.25">
      <c r="A95" s="28">
        <f t="shared" si="1"/>
        <v>94</v>
      </c>
      <c r="B95" s="28" t="s">
        <v>184</v>
      </c>
      <c r="C95" s="28" t="s">
        <v>607</v>
      </c>
      <c r="D95" s="28" t="s">
        <v>608</v>
      </c>
      <c r="E95" s="28" t="s">
        <v>324</v>
      </c>
      <c r="F95" s="28">
        <v>404039742</v>
      </c>
      <c r="G95" s="28">
        <v>37.640973000000002</v>
      </c>
      <c r="H95" s="28">
        <v>-84.312661000000006</v>
      </c>
      <c r="I95" s="28"/>
      <c r="J95" s="61">
        <v>110009933484</v>
      </c>
      <c r="K95" s="61" t="s">
        <v>263</v>
      </c>
      <c r="L95" s="28"/>
      <c r="M95" s="28"/>
      <c r="N95" s="28"/>
      <c r="O95" s="28"/>
      <c r="P95" s="28"/>
      <c r="Q95" s="28" t="s">
        <v>265</v>
      </c>
      <c r="R95" s="28">
        <f>VLOOKUP(K95,OES!$A:$B, 2, FALSE)</f>
        <v>365</v>
      </c>
      <c r="S95" s="60" t="s">
        <v>1465</v>
      </c>
      <c r="T95" s="203" t="str">
        <f>IF(COUNTIF('Raw TRI Data'!$K:$K,J95)&gt;0, "X", "")</f>
        <v/>
      </c>
    </row>
    <row r="96" spans="1:20" x14ac:dyDescent="0.25">
      <c r="A96" s="28">
        <f t="shared" si="1"/>
        <v>95</v>
      </c>
      <c r="B96" s="28" t="s">
        <v>185</v>
      </c>
      <c r="C96" s="28" t="s">
        <v>609</v>
      </c>
      <c r="D96" s="28" t="s">
        <v>610</v>
      </c>
      <c r="E96" s="28" t="s">
        <v>366</v>
      </c>
      <c r="F96" s="28">
        <v>93452</v>
      </c>
      <c r="G96" s="28">
        <v>35.611660000000001</v>
      </c>
      <c r="H96" s="28">
        <v>-121.14564</v>
      </c>
      <c r="I96" s="28"/>
      <c r="J96" s="61">
        <v>110055984546</v>
      </c>
      <c r="K96" s="61" t="s">
        <v>263</v>
      </c>
      <c r="L96" s="28"/>
      <c r="M96" s="28"/>
      <c r="N96" s="28"/>
      <c r="O96" s="28"/>
      <c r="P96" s="28"/>
      <c r="Q96" s="28" t="s">
        <v>265</v>
      </c>
      <c r="R96" s="28">
        <f>VLOOKUP(K96,OES!$A:$B, 2, FALSE)</f>
        <v>365</v>
      </c>
      <c r="S96" s="60" t="s">
        <v>1465</v>
      </c>
      <c r="T96" s="203" t="str">
        <f>IF(COUNTIF('Raw TRI Data'!$K:$K,J96)&gt;0, "X", "")</f>
        <v/>
      </c>
    </row>
    <row r="97" spans="1:20" x14ac:dyDescent="0.25">
      <c r="A97" s="28">
        <f t="shared" si="1"/>
        <v>96</v>
      </c>
      <c r="B97" s="28" t="s">
        <v>186</v>
      </c>
      <c r="C97" s="28" t="s">
        <v>611</v>
      </c>
      <c r="D97" s="28" t="s">
        <v>612</v>
      </c>
      <c r="E97" s="28" t="s">
        <v>366</v>
      </c>
      <c r="F97" s="28">
        <v>92109</v>
      </c>
      <c r="G97" s="28">
        <v>32.761164000000001</v>
      </c>
      <c r="H97" s="28">
        <v>-117.230639</v>
      </c>
      <c r="I97" s="28"/>
      <c r="J97" s="61">
        <v>110017860894</v>
      </c>
      <c r="K97" s="28" t="s">
        <v>6751</v>
      </c>
      <c r="L97" s="28"/>
      <c r="M97" s="28"/>
      <c r="N97" s="28"/>
      <c r="O97" s="28"/>
      <c r="P97" s="28"/>
      <c r="Q97" s="28" t="s">
        <v>265</v>
      </c>
      <c r="R97" s="28">
        <v>250</v>
      </c>
      <c r="S97" s="60" t="s">
        <v>1465</v>
      </c>
      <c r="T97" s="203" t="str">
        <f>IF(COUNTIF('Raw TRI Data'!$K:$K,J97)&gt;0, "X", "")</f>
        <v/>
      </c>
    </row>
    <row r="98" spans="1:20" x14ac:dyDescent="0.25">
      <c r="A98" s="28">
        <f t="shared" si="1"/>
        <v>97</v>
      </c>
      <c r="B98" s="28" t="s">
        <v>187</v>
      </c>
      <c r="C98" s="28" t="s">
        <v>614</v>
      </c>
      <c r="D98" s="28" t="s">
        <v>615</v>
      </c>
      <c r="E98" s="28" t="s">
        <v>362</v>
      </c>
      <c r="F98" s="28">
        <v>77520</v>
      </c>
      <c r="G98" s="28">
        <v>29.771018000000002</v>
      </c>
      <c r="H98" s="28">
        <v>-95.018456</v>
      </c>
      <c r="I98" s="28" t="s">
        <v>616</v>
      </c>
      <c r="J98" s="61">
        <v>110000501519</v>
      </c>
      <c r="K98" s="61" t="s">
        <v>251</v>
      </c>
      <c r="L98" s="28"/>
      <c r="M98" s="28"/>
      <c r="N98" s="28"/>
      <c r="O98" s="28"/>
      <c r="P98" s="28"/>
      <c r="Q98" s="28" t="s">
        <v>265</v>
      </c>
      <c r="R98" s="28">
        <f>VLOOKUP(K98,OES!$A:$B, 2, FALSE)</f>
        <v>350</v>
      </c>
      <c r="S98" s="60" t="s">
        <v>1465</v>
      </c>
      <c r="T98" s="203" t="str">
        <f>IF(COUNTIF('Raw TRI Data'!$K:$K,J98)&gt;0, "X", "")</f>
        <v/>
      </c>
    </row>
    <row r="99" spans="1:20" x14ac:dyDescent="0.25">
      <c r="A99" s="28">
        <f t="shared" si="1"/>
        <v>98</v>
      </c>
      <c r="B99" s="28" t="s">
        <v>188</v>
      </c>
      <c r="C99" s="28" t="s">
        <v>617</v>
      </c>
      <c r="D99" s="28" t="s">
        <v>618</v>
      </c>
      <c r="E99" s="28" t="s">
        <v>311</v>
      </c>
      <c r="F99" s="28">
        <v>265019624</v>
      </c>
      <c r="G99" s="28">
        <v>39.599829999999997</v>
      </c>
      <c r="H99" s="28">
        <v>-79.97148</v>
      </c>
      <c r="I99" s="28" t="s">
        <v>619</v>
      </c>
      <c r="J99" s="61">
        <v>110000572782</v>
      </c>
      <c r="K99" s="61" t="s">
        <v>251</v>
      </c>
      <c r="L99" s="28"/>
      <c r="M99" s="28"/>
      <c r="N99" s="28"/>
      <c r="O99" s="28"/>
      <c r="P99" s="28"/>
      <c r="Q99" s="28" t="s">
        <v>265</v>
      </c>
      <c r="R99" s="28">
        <f>VLOOKUP(K99,OES!$A:$B, 2, FALSE)</f>
        <v>350</v>
      </c>
      <c r="S99" s="60" t="s">
        <v>1465</v>
      </c>
      <c r="T99" s="203" t="str">
        <f>IF(COUNTIF('Raw TRI Data'!$K:$K,J99)&gt;0, "X", "")</f>
        <v/>
      </c>
    </row>
    <row r="100" spans="1:20" x14ac:dyDescent="0.25">
      <c r="A100" s="28">
        <f t="shared" si="1"/>
        <v>99</v>
      </c>
      <c r="B100" s="28" t="s">
        <v>189</v>
      </c>
      <c r="C100" s="28" t="s">
        <v>620</v>
      </c>
      <c r="D100" s="28" t="s">
        <v>621</v>
      </c>
      <c r="E100" s="28" t="s">
        <v>311</v>
      </c>
      <c r="F100" s="28">
        <v>25143</v>
      </c>
      <c r="G100" s="28">
        <v>38.439749999999997</v>
      </c>
      <c r="H100" s="28">
        <v>-81.845930999999993</v>
      </c>
      <c r="I100" s="28"/>
      <c r="J100" s="61">
        <v>110022421002</v>
      </c>
      <c r="K100" s="61" t="s">
        <v>264</v>
      </c>
      <c r="L100" s="28"/>
      <c r="M100" s="28"/>
      <c r="N100" s="28"/>
      <c r="O100" s="28"/>
      <c r="P100" s="28"/>
      <c r="Q100" s="28" t="s">
        <v>265</v>
      </c>
      <c r="R100" s="28">
        <f>VLOOKUP(K100,OES!$A:$B, 2, FALSE)</f>
        <v>365</v>
      </c>
      <c r="S100" s="60" t="s">
        <v>1465</v>
      </c>
      <c r="T100" s="203" t="str">
        <f>IF(COUNTIF('Raw TRI Data'!$K:$K,J100)&gt;0, "X", "")</f>
        <v/>
      </c>
    </row>
    <row r="101" spans="1:20" x14ac:dyDescent="0.25">
      <c r="A101" s="28">
        <f t="shared" si="1"/>
        <v>100</v>
      </c>
      <c r="B101" s="28" t="s">
        <v>190</v>
      </c>
      <c r="C101" s="28" t="s">
        <v>622</v>
      </c>
      <c r="D101" s="28" t="s">
        <v>623</v>
      </c>
      <c r="E101" s="28" t="s">
        <v>338</v>
      </c>
      <c r="F101" s="28">
        <v>8086</v>
      </c>
      <c r="G101" s="28">
        <v>39.845474000000003</v>
      </c>
      <c r="H101" s="28">
        <v>-75.209485999999998</v>
      </c>
      <c r="I101" s="28" t="s">
        <v>624</v>
      </c>
      <c r="J101" s="61">
        <v>110013317614</v>
      </c>
      <c r="K101" s="61" t="s">
        <v>253</v>
      </c>
      <c r="L101" s="28"/>
      <c r="M101" s="28"/>
      <c r="N101" s="28"/>
      <c r="O101" s="28"/>
      <c r="P101" s="28"/>
      <c r="Q101" s="28" t="s">
        <v>265</v>
      </c>
      <c r="R101" s="28">
        <f>VLOOKUP(K101,OES!$A:$B, 2, FALSE)</f>
        <v>350</v>
      </c>
      <c r="S101" s="60" t="s">
        <v>1465</v>
      </c>
      <c r="T101" s="203" t="str">
        <f>IF(COUNTIF('Raw TRI Data'!$K:$K,J101)&gt;0, "X", "")</f>
        <v/>
      </c>
    </row>
    <row r="102" spans="1:20" x14ac:dyDescent="0.25">
      <c r="A102" s="28">
        <f t="shared" si="1"/>
        <v>101</v>
      </c>
      <c r="B102" s="28" t="s">
        <v>192</v>
      </c>
      <c r="C102" s="28" t="s">
        <v>628</v>
      </c>
      <c r="D102" s="28" t="s">
        <v>629</v>
      </c>
      <c r="E102" s="28" t="s">
        <v>345</v>
      </c>
      <c r="F102" s="28" t="s">
        <v>630</v>
      </c>
      <c r="G102" s="28">
        <v>41.441667000000002</v>
      </c>
      <c r="H102" s="28">
        <v>-88.159719999999993</v>
      </c>
      <c r="I102" s="28" t="s">
        <v>631</v>
      </c>
      <c r="J102" s="61">
        <v>110000432504</v>
      </c>
      <c r="K102" s="61" t="s">
        <v>254</v>
      </c>
      <c r="L102" s="28"/>
      <c r="M102" s="28"/>
      <c r="N102" s="28"/>
      <c r="O102" s="28"/>
      <c r="P102" s="28"/>
      <c r="Q102" s="28" t="s">
        <v>265</v>
      </c>
      <c r="R102" s="28">
        <f>VLOOKUP(K102,OES!$A:$B, 2, FALSE)</f>
        <v>300</v>
      </c>
      <c r="S102" s="60" t="s">
        <v>1465</v>
      </c>
      <c r="T102" s="203" t="str">
        <f>IF(COUNTIF('Raw TRI Data'!$K:$K,J102)&gt;0, "X", "")</f>
        <v/>
      </c>
    </row>
    <row r="103" spans="1:20" x14ac:dyDescent="0.25">
      <c r="A103" s="28">
        <f t="shared" si="1"/>
        <v>102</v>
      </c>
      <c r="B103" s="28" t="s">
        <v>193</v>
      </c>
      <c r="C103" s="28" t="s">
        <v>633</v>
      </c>
      <c r="D103" s="28" t="s">
        <v>634</v>
      </c>
      <c r="E103" s="28" t="s">
        <v>345</v>
      </c>
      <c r="F103" s="28" t="s">
        <v>635</v>
      </c>
      <c r="G103" s="28">
        <v>41.412533000000003</v>
      </c>
      <c r="H103" s="28">
        <v>-88.197281000000004</v>
      </c>
      <c r="I103" s="28" t="s">
        <v>636</v>
      </c>
      <c r="J103" s="61">
        <v>110008458597</v>
      </c>
      <c r="K103" s="61" t="s">
        <v>253</v>
      </c>
      <c r="L103" s="28"/>
      <c r="M103" s="28"/>
      <c r="N103" s="28"/>
      <c r="O103" s="28"/>
      <c r="P103" s="28"/>
      <c r="Q103" s="28" t="s">
        <v>265</v>
      </c>
      <c r="R103" s="28">
        <f>VLOOKUP(K103,OES!$A:$B, 2, FALSE)</f>
        <v>350</v>
      </c>
      <c r="S103" s="60" t="s">
        <v>1465</v>
      </c>
      <c r="T103" s="203" t="str">
        <f>IF(COUNTIF('Raw TRI Data'!$K:$K,J103)&gt;0, "X", "")</f>
        <v/>
      </c>
    </row>
    <row r="104" spans="1:20" x14ac:dyDescent="0.25">
      <c r="A104" s="28">
        <f t="shared" si="1"/>
        <v>103</v>
      </c>
      <c r="B104" s="28" t="s">
        <v>637</v>
      </c>
      <c r="C104" s="28" t="s">
        <v>638</v>
      </c>
      <c r="D104" s="28" t="s">
        <v>437</v>
      </c>
      <c r="E104" s="28" t="s">
        <v>362</v>
      </c>
      <c r="F104" s="28">
        <v>77541</v>
      </c>
      <c r="G104" s="28">
        <v>28.901664</v>
      </c>
      <c r="H104" s="28">
        <v>-95.383094</v>
      </c>
      <c r="I104" s="28" t="s">
        <v>639</v>
      </c>
      <c r="J104" s="61">
        <v>110020774740</v>
      </c>
      <c r="K104" s="61" t="s">
        <v>252</v>
      </c>
      <c r="L104" s="28"/>
      <c r="M104" s="28"/>
      <c r="N104" s="28"/>
      <c r="O104" s="28"/>
      <c r="P104" s="28"/>
      <c r="Q104" s="28" t="s">
        <v>265</v>
      </c>
      <c r="R104" s="28">
        <f>VLOOKUP(K104,OES!$A:$B, 2, FALSE)</f>
        <v>250</v>
      </c>
      <c r="S104" s="60" t="str">
        <f>IF(COUNTIF('Raw Annual DMR Data_2021-2024'!L:L,J104)&gt;0, "X", "")</f>
        <v/>
      </c>
      <c r="T104" s="203" t="str">
        <f>IF(COUNTIF('Raw TRI Data'!$K:$K,J104)&gt;0, "X", "")</f>
        <v>X</v>
      </c>
    </row>
    <row r="105" spans="1:20" x14ac:dyDescent="0.25">
      <c r="A105" s="28">
        <f t="shared" si="1"/>
        <v>104</v>
      </c>
      <c r="B105" s="28" t="s">
        <v>219</v>
      </c>
      <c r="C105" s="61" t="s">
        <v>641</v>
      </c>
      <c r="D105" s="61" t="s">
        <v>426</v>
      </c>
      <c r="E105" s="61" t="s">
        <v>427</v>
      </c>
      <c r="F105" s="61">
        <v>48667</v>
      </c>
      <c r="G105" s="28">
        <v>43.600299999999997</v>
      </c>
      <c r="H105" s="28">
        <v>-84.223399999999998</v>
      </c>
      <c r="I105" s="28" t="s">
        <v>642</v>
      </c>
      <c r="J105" s="61">
        <v>110043787408</v>
      </c>
      <c r="K105" s="61" t="s">
        <v>254</v>
      </c>
      <c r="L105" s="28"/>
      <c r="M105" s="28"/>
      <c r="N105" s="28"/>
      <c r="O105" s="28"/>
      <c r="P105" s="28"/>
      <c r="Q105" s="28" t="s">
        <v>265</v>
      </c>
      <c r="R105" s="28">
        <f>VLOOKUP(K105,OES!$A:$B, 2, FALSE)</f>
        <v>300</v>
      </c>
      <c r="S105" s="60" t="str">
        <f>IF(COUNTIF('Raw Annual DMR Data_2021-2024'!L:L,J105)&gt;0, "X", "")</f>
        <v/>
      </c>
      <c r="T105" s="203" t="str">
        <f>IF(COUNTIF('Raw TRI Data'!$K:$K,J105)&gt;0, "X", "")</f>
        <v>X</v>
      </c>
    </row>
    <row r="106" spans="1:20" x14ac:dyDescent="0.25">
      <c r="A106" s="28">
        <f t="shared" si="1"/>
        <v>105</v>
      </c>
      <c r="B106" s="28" t="s">
        <v>220</v>
      </c>
      <c r="C106" s="61" t="s">
        <v>643</v>
      </c>
      <c r="D106" s="61" t="s">
        <v>334</v>
      </c>
      <c r="E106" s="61" t="s">
        <v>303</v>
      </c>
      <c r="F106" s="61">
        <v>70764</v>
      </c>
      <c r="G106" s="28">
        <v>30.320903000000001</v>
      </c>
      <c r="H106" s="28">
        <v>-91.239014999999995</v>
      </c>
      <c r="I106" s="28" t="s">
        <v>644</v>
      </c>
      <c r="J106" s="61">
        <v>110001244724</v>
      </c>
      <c r="K106" s="61" t="s">
        <v>253</v>
      </c>
      <c r="L106" s="28"/>
      <c r="M106" s="28"/>
      <c r="N106" s="28"/>
      <c r="O106" s="28"/>
      <c r="P106" s="28"/>
      <c r="Q106" s="28" t="s">
        <v>265</v>
      </c>
      <c r="R106" s="28">
        <f>VLOOKUP(K106,OES!$A:$B, 2, FALSE)</f>
        <v>350</v>
      </c>
      <c r="S106" s="60" t="str">
        <f>IF(COUNTIF('Raw Annual DMR Data_2021-2024'!L:L,J106)&gt;0, "X", "")</f>
        <v/>
      </c>
      <c r="T106" s="203" t="str">
        <f>IF(COUNTIF('Raw TRI Data'!$K:$K,J106)&gt;0, "X", "")</f>
        <v>X</v>
      </c>
    </row>
    <row r="107" spans="1:20" x14ac:dyDescent="0.25">
      <c r="A107" s="28">
        <f t="shared" si="1"/>
        <v>106</v>
      </c>
      <c r="B107" s="28" t="s">
        <v>194</v>
      </c>
      <c r="C107" s="28" t="s">
        <v>645</v>
      </c>
      <c r="D107" s="28" t="s">
        <v>590</v>
      </c>
      <c r="E107" s="28" t="s">
        <v>362</v>
      </c>
      <c r="F107" s="28">
        <v>77536</v>
      </c>
      <c r="G107" s="28">
        <v>29.726111</v>
      </c>
      <c r="H107" s="28">
        <v>-95.089449999999999</v>
      </c>
      <c r="I107" s="28" t="s">
        <v>646</v>
      </c>
      <c r="J107" s="61">
        <v>110000619652</v>
      </c>
      <c r="K107" s="61" t="s">
        <v>253</v>
      </c>
      <c r="L107" s="28"/>
      <c r="M107" s="28"/>
      <c r="N107" s="28"/>
      <c r="O107" s="28"/>
      <c r="P107" s="28"/>
      <c r="Q107" s="28" t="s">
        <v>265</v>
      </c>
      <c r="R107" s="28">
        <f>VLOOKUP(K107,OES!$A:$B, 2, FALSE)</f>
        <v>350</v>
      </c>
      <c r="S107" s="60" t="s">
        <v>1465</v>
      </c>
      <c r="T107" s="203" t="str">
        <f>IF(COUNTIF('Raw TRI Data'!$K:$K,J107)&gt;0, "X", "")</f>
        <v/>
      </c>
    </row>
    <row r="108" spans="1:20" x14ac:dyDescent="0.25">
      <c r="A108" s="28">
        <f t="shared" si="1"/>
        <v>107</v>
      </c>
      <c r="B108" s="28" t="s">
        <v>195</v>
      </c>
      <c r="C108" s="28" t="s">
        <v>647</v>
      </c>
      <c r="D108" s="28" t="s">
        <v>648</v>
      </c>
      <c r="E108" s="28" t="s">
        <v>328</v>
      </c>
      <c r="F108" s="28">
        <v>307215466</v>
      </c>
      <c r="G108" s="28">
        <v>34.632592000000002</v>
      </c>
      <c r="H108" s="28">
        <v>-84.927667999999997</v>
      </c>
      <c r="I108" s="28" t="s">
        <v>649</v>
      </c>
      <c r="J108" s="61">
        <v>110000611703</v>
      </c>
      <c r="K108" s="61" t="s">
        <v>253</v>
      </c>
      <c r="L108" s="28"/>
      <c r="M108" s="28"/>
      <c r="N108" s="28"/>
      <c r="O108" s="28"/>
      <c r="P108" s="28"/>
      <c r="Q108" s="28" t="s">
        <v>265</v>
      </c>
      <c r="R108" s="28">
        <f>VLOOKUP(K108,OES!$A:$B, 2, FALSE)</f>
        <v>350</v>
      </c>
      <c r="S108" s="60" t="s">
        <v>1465</v>
      </c>
      <c r="T108" s="203" t="str">
        <f>IF(COUNTIF('Raw TRI Data'!$K:$K,J108)&gt;0, "X", "")</f>
        <v/>
      </c>
    </row>
    <row r="109" spans="1:20" x14ac:dyDescent="0.25">
      <c r="A109" s="28">
        <f t="shared" si="1"/>
        <v>108</v>
      </c>
      <c r="B109" s="28" t="s">
        <v>196</v>
      </c>
      <c r="C109" s="28" t="s">
        <v>650</v>
      </c>
      <c r="D109" s="28" t="s">
        <v>651</v>
      </c>
      <c r="E109" s="28" t="s">
        <v>418</v>
      </c>
      <c r="F109" s="28">
        <v>89015</v>
      </c>
      <c r="G109" s="28">
        <v>36.035440000000001</v>
      </c>
      <c r="H109" s="28">
        <v>-114.99994</v>
      </c>
      <c r="I109" s="28" t="s">
        <v>652</v>
      </c>
      <c r="J109" s="61">
        <v>110043808467</v>
      </c>
      <c r="K109" s="61" t="s">
        <v>264</v>
      </c>
      <c r="L109" s="28"/>
      <c r="M109" s="28"/>
      <c r="N109" s="28"/>
      <c r="O109" s="28"/>
      <c r="P109" s="28"/>
      <c r="Q109" s="28" t="s">
        <v>265</v>
      </c>
      <c r="R109" s="28">
        <f>VLOOKUP(K109,OES!$A:$B, 2, FALSE)</f>
        <v>365</v>
      </c>
      <c r="S109" s="60" t="s">
        <v>1465</v>
      </c>
      <c r="T109" s="203" t="str">
        <f>IF(COUNTIF('Raw TRI Data'!$K:$K,J109)&gt;0, "X", "")</f>
        <v/>
      </c>
    </row>
    <row r="110" spans="1:20" x14ac:dyDescent="0.25">
      <c r="A110" s="28">
        <f t="shared" si="1"/>
        <v>109</v>
      </c>
      <c r="B110" s="28" t="s">
        <v>197</v>
      </c>
      <c r="C110" s="28" t="s">
        <v>654</v>
      </c>
      <c r="D110" s="28" t="s">
        <v>434</v>
      </c>
      <c r="E110" s="28" t="s">
        <v>435</v>
      </c>
      <c r="F110" s="28">
        <v>28214</v>
      </c>
      <c r="G110" s="28">
        <v>35.259729999999998</v>
      </c>
      <c r="H110" s="28">
        <v>-81.000079999999997</v>
      </c>
      <c r="I110" s="28"/>
      <c r="J110" s="61">
        <v>110004018731</v>
      </c>
      <c r="K110" s="61" t="s">
        <v>264</v>
      </c>
      <c r="L110" s="28"/>
      <c r="M110" s="28"/>
      <c r="N110" s="28"/>
      <c r="O110" s="28"/>
      <c r="P110" s="28"/>
      <c r="Q110" s="28" t="s">
        <v>265</v>
      </c>
      <c r="R110" s="28">
        <f>VLOOKUP(K110,OES!$A:$B, 2, FALSE)</f>
        <v>365</v>
      </c>
      <c r="S110" s="60" t="s">
        <v>1465</v>
      </c>
      <c r="T110" s="203" t="str">
        <f>IF(COUNTIF('Raw TRI Data'!$K:$K,J110)&gt;0, "X", "")</f>
        <v/>
      </c>
    </row>
    <row r="111" spans="1:20" x14ac:dyDescent="0.25">
      <c r="A111" s="28">
        <f t="shared" si="1"/>
        <v>110</v>
      </c>
      <c r="B111" s="28" t="s">
        <v>199</v>
      </c>
      <c r="C111" s="28" t="s">
        <v>658</v>
      </c>
      <c r="D111" s="28" t="s">
        <v>659</v>
      </c>
      <c r="E111" s="28" t="s">
        <v>303</v>
      </c>
      <c r="F111" s="28" t="s">
        <v>660</v>
      </c>
      <c r="G111" s="28">
        <v>29.924576999999999</v>
      </c>
      <c r="H111" s="28">
        <v>-90.145308</v>
      </c>
      <c r="I111" s="28"/>
      <c r="J111" s="61">
        <v>110000834688</v>
      </c>
      <c r="K111" s="61" t="s">
        <v>252</v>
      </c>
      <c r="L111" s="28"/>
      <c r="M111" s="28"/>
      <c r="N111" s="28"/>
      <c r="O111" s="28"/>
      <c r="P111" s="28"/>
      <c r="Q111" s="28" t="s">
        <v>265</v>
      </c>
      <c r="R111" s="28">
        <f>VLOOKUP(K111,OES!$A:$B, 2, FALSE)</f>
        <v>250</v>
      </c>
      <c r="S111" s="60" t="s">
        <v>1465</v>
      </c>
      <c r="T111" s="203" t="str">
        <f>IF(COUNTIF('Raw TRI Data'!$K:$K,J111)&gt;0, "X", "")</f>
        <v/>
      </c>
    </row>
    <row r="112" spans="1:20" x14ac:dyDescent="0.25">
      <c r="A112" s="28">
        <f t="shared" si="1"/>
        <v>111</v>
      </c>
      <c r="B112" s="28" t="s">
        <v>200</v>
      </c>
      <c r="C112" s="28" t="s">
        <v>661</v>
      </c>
      <c r="D112" s="28" t="s">
        <v>463</v>
      </c>
      <c r="E112" s="28" t="s">
        <v>362</v>
      </c>
      <c r="F112" s="28" t="s">
        <v>662</v>
      </c>
      <c r="G112" s="28">
        <v>29.721309999999999</v>
      </c>
      <c r="H112" s="28">
        <v>-95.220079999999996</v>
      </c>
      <c r="I112" s="28"/>
      <c r="J112" s="61">
        <v>110001869899</v>
      </c>
      <c r="K112" s="61" t="s">
        <v>263</v>
      </c>
      <c r="L112" s="28"/>
      <c r="M112" s="28"/>
      <c r="N112" s="28"/>
      <c r="O112" s="28"/>
      <c r="P112" s="28"/>
      <c r="Q112" s="28" t="s">
        <v>265</v>
      </c>
      <c r="R112" s="28">
        <f>VLOOKUP(K112,OES!$A:$B, 2, FALSE)</f>
        <v>365</v>
      </c>
      <c r="S112" s="60" t="s">
        <v>1465</v>
      </c>
      <c r="T112" s="203" t="str">
        <f>IF(COUNTIF('Raw TRI Data'!$K:$K,J112)&gt;0, "X", "")</f>
        <v/>
      </c>
    </row>
    <row r="113" spans="1:20" x14ac:dyDescent="0.25">
      <c r="A113" s="28">
        <f t="shared" si="1"/>
        <v>112</v>
      </c>
      <c r="B113" s="28" t="s">
        <v>221</v>
      </c>
      <c r="C113" s="61" t="s">
        <v>663</v>
      </c>
      <c r="D113" s="61" t="s">
        <v>446</v>
      </c>
      <c r="E113" s="61" t="s">
        <v>303</v>
      </c>
      <c r="F113" s="61">
        <v>70669</v>
      </c>
      <c r="G113" s="28">
        <v>30.252222</v>
      </c>
      <c r="H113" s="28">
        <v>-93.284443999999993</v>
      </c>
      <c r="I113" s="28" t="s">
        <v>664</v>
      </c>
      <c r="J113" s="61">
        <v>110002054482</v>
      </c>
      <c r="K113" s="61" t="s">
        <v>251</v>
      </c>
      <c r="L113" s="28"/>
      <c r="M113" s="28"/>
      <c r="N113" s="28"/>
      <c r="O113" s="28"/>
      <c r="P113" s="28"/>
      <c r="Q113" s="28" t="s">
        <v>265</v>
      </c>
      <c r="R113" s="28">
        <f>VLOOKUP(K113,OES!$A:$B, 2, FALSE)</f>
        <v>350</v>
      </c>
      <c r="S113" s="60" t="str">
        <f>IF(COUNTIF('Raw Annual DMR Data_2021-2024'!L:L,J113)&gt;0, "X", "")</f>
        <v/>
      </c>
      <c r="T113" s="203" t="str">
        <f>IF(COUNTIF('Raw TRI Data'!$K:$K,J113)&gt;0, "X", "")</f>
        <v>X</v>
      </c>
    </row>
    <row r="114" spans="1:20" x14ac:dyDescent="0.25">
      <c r="A114" s="28">
        <f t="shared" si="1"/>
        <v>113</v>
      </c>
      <c r="B114" s="28" t="s">
        <v>201</v>
      </c>
      <c r="C114" s="28" t="s">
        <v>665</v>
      </c>
      <c r="D114" s="28" t="s">
        <v>516</v>
      </c>
      <c r="E114" s="28" t="s">
        <v>303</v>
      </c>
      <c r="F114" s="28">
        <v>70734</v>
      </c>
      <c r="G114" s="28">
        <v>30.208604000000001</v>
      </c>
      <c r="H114" s="28">
        <v>-91.011127999999999</v>
      </c>
      <c r="I114" s="28" t="s">
        <v>666</v>
      </c>
      <c r="J114" s="61">
        <v>110000746328</v>
      </c>
      <c r="K114" s="61" t="s">
        <v>251</v>
      </c>
      <c r="L114" s="28"/>
      <c r="M114" s="28"/>
      <c r="N114" s="28"/>
      <c r="O114" s="28"/>
      <c r="P114" s="28"/>
      <c r="Q114" s="28" t="s">
        <v>265</v>
      </c>
      <c r="R114" s="28">
        <f>VLOOKUP(K114,OES!$A:$B, 2, FALSE)</f>
        <v>350</v>
      </c>
      <c r="S114" s="60" t="s">
        <v>1465</v>
      </c>
      <c r="T114" s="203" t="str">
        <f>IF(COUNTIF('Raw TRI Data'!$K:$K,J114)&gt;0, "X", "")</f>
        <v>X</v>
      </c>
    </row>
    <row r="115" spans="1:20" x14ac:dyDescent="0.25">
      <c r="A115" s="28">
        <f t="shared" si="1"/>
        <v>114</v>
      </c>
      <c r="B115" s="28" t="s">
        <v>202</v>
      </c>
      <c r="C115" s="28" t="s">
        <v>667</v>
      </c>
      <c r="D115" s="28" t="s">
        <v>323</v>
      </c>
      <c r="E115" s="28" t="s">
        <v>324</v>
      </c>
      <c r="F115" s="28">
        <v>42029</v>
      </c>
      <c r="G115" s="28">
        <v>37.051110999999999</v>
      </c>
      <c r="H115" s="28">
        <v>-88.334166999999994</v>
      </c>
      <c r="I115" s="28" t="s">
        <v>668</v>
      </c>
      <c r="J115" s="61">
        <v>110027373072</v>
      </c>
      <c r="K115" s="61" t="s">
        <v>251</v>
      </c>
      <c r="L115" s="28"/>
      <c r="M115" s="28"/>
      <c r="N115" s="28"/>
      <c r="O115" s="28"/>
      <c r="P115" s="28"/>
      <c r="Q115" s="28" t="s">
        <v>265</v>
      </c>
      <c r="R115" s="28">
        <f>VLOOKUP(K115,OES!$A:$B, 2, FALSE)</f>
        <v>350</v>
      </c>
      <c r="S115" s="60" t="s">
        <v>1465</v>
      </c>
      <c r="T115" s="203" t="str">
        <f>IF(COUNTIF('Raw TRI Data'!$K:$K,J115)&gt;0, "X", "")</f>
        <v>X</v>
      </c>
    </row>
    <row r="116" spans="1:20" x14ac:dyDescent="0.25">
      <c r="A116" s="28">
        <f t="shared" si="1"/>
        <v>115</v>
      </c>
      <c r="B116" s="28" t="s">
        <v>671</v>
      </c>
      <c r="C116" s="28" t="s">
        <v>672</v>
      </c>
      <c r="D116" s="28" t="s">
        <v>412</v>
      </c>
      <c r="E116" s="28" t="s">
        <v>299</v>
      </c>
      <c r="F116" s="28">
        <v>71730</v>
      </c>
      <c r="G116" s="28">
        <v>33.109833000000002</v>
      </c>
      <c r="H116" s="28">
        <v>-92.678805999999994</v>
      </c>
      <c r="I116" s="28" t="s">
        <v>673</v>
      </c>
      <c r="J116" s="61">
        <v>110000451038</v>
      </c>
      <c r="K116" s="61" t="s">
        <v>253</v>
      </c>
      <c r="L116" s="28"/>
      <c r="M116" s="28"/>
      <c r="N116" s="28"/>
      <c r="O116" s="28"/>
      <c r="P116" s="28"/>
      <c r="Q116" s="28" t="s">
        <v>265</v>
      </c>
      <c r="R116" s="28">
        <f>VLOOKUP(K116,OES!$A:$B, 2, FALSE)</f>
        <v>350</v>
      </c>
      <c r="S116" s="60" t="str">
        <f>IF(COUNTIF('Raw Annual DMR Data_2021-2024'!L:L,J116)&gt;0, "X", "")</f>
        <v/>
      </c>
      <c r="T116" s="203" t="str">
        <f>IF(COUNTIF('Raw TRI Data'!$K:$K,J116)&gt;0, "X", "")</f>
        <v>X</v>
      </c>
    </row>
    <row r="117" spans="1:20" x14ac:dyDescent="0.25">
      <c r="A117" s="28">
        <f t="shared" si="1"/>
        <v>116</v>
      </c>
      <c r="B117" s="28" t="s">
        <v>675</v>
      </c>
      <c r="C117" s="28" t="s">
        <v>676</v>
      </c>
      <c r="D117" s="28" t="s">
        <v>516</v>
      </c>
      <c r="E117" s="28" t="s">
        <v>303</v>
      </c>
      <c r="F117" s="28">
        <v>70734</v>
      </c>
      <c r="G117" s="28">
        <v>30.180099999999999</v>
      </c>
      <c r="H117" s="28">
        <v>-90.981899999999996</v>
      </c>
      <c r="I117" s="28" t="s">
        <v>677</v>
      </c>
      <c r="J117" s="61">
        <v>110007909095</v>
      </c>
      <c r="K117" s="61" t="s">
        <v>252</v>
      </c>
      <c r="L117" s="28"/>
      <c r="M117" s="28"/>
      <c r="N117" s="28"/>
      <c r="O117" s="28"/>
      <c r="P117" s="28"/>
      <c r="Q117" s="28" t="s">
        <v>265</v>
      </c>
      <c r="R117" s="28">
        <f>VLOOKUP(K117,OES!$A:$B, 2, FALSE)</f>
        <v>250</v>
      </c>
      <c r="S117" s="60" t="str">
        <f>IF(COUNTIF('Raw Annual DMR Data_2021-2024'!L:L,J117)&gt;0, "X", "")</f>
        <v/>
      </c>
      <c r="T117" s="203" t="str">
        <f>IF(COUNTIF('Raw TRI Data'!$K:$K,J117)&gt;0, "X", "")</f>
        <v>X</v>
      </c>
    </row>
    <row r="118" spans="1:20" x14ac:dyDescent="0.25">
      <c r="A118" s="28">
        <f t="shared" si="1"/>
        <v>117</v>
      </c>
      <c r="B118" s="28" t="s">
        <v>679</v>
      </c>
      <c r="C118" s="28" t="s">
        <v>680</v>
      </c>
      <c r="D118" s="28" t="s">
        <v>681</v>
      </c>
      <c r="E118" s="28" t="s">
        <v>328</v>
      </c>
      <c r="F118" s="28">
        <v>31535</v>
      </c>
      <c r="G118" s="28">
        <v>31.485279999999999</v>
      </c>
      <c r="H118" s="28">
        <v>-82.862380000000002</v>
      </c>
      <c r="I118" s="28" t="s">
        <v>682</v>
      </c>
      <c r="J118" s="61">
        <v>110000360644</v>
      </c>
      <c r="K118" s="61" t="s">
        <v>253</v>
      </c>
      <c r="L118" s="28"/>
      <c r="M118" s="28"/>
      <c r="N118" s="28"/>
      <c r="O118" s="28"/>
      <c r="P118" s="28"/>
      <c r="Q118" s="28" t="s">
        <v>265</v>
      </c>
      <c r="R118" s="28">
        <f>VLOOKUP(K118,OES!$A:$B, 2, FALSE)</f>
        <v>350</v>
      </c>
      <c r="S118" s="60" t="str">
        <f>IF(COUNTIF('Raw Annual DMR Data_2021-2024'!L:L,J118)&gt;0, "X", "")</f>
        <v/>
      </c>
      <c r="T118" s="203" t="str">
        <f>IF(COUNTIF('Raw TRI Data'!$K:$K,J118)&gt;0, "X", "")</f>
        <v>X</v>
      </c>
    </row>
    <row r="119" spans="1:20" x14ac:dyDescent="0.25">
      <c r="A119" s="28">
        <f t="shared" si="1"/>
        <v>118</v>
      </c>
      <c r="B119" s="28" t="s">
        <v>683</v>
      </c>
      <c r="C119" s="28" t="s">
        <v>684</v>
      </c>
      <c r="D119" s="28" t="s">
        <v>685</v>
      </c>
      <c r="E119" s="28" t="s">
        <v>686</v>
      </c>
      <c r="F119" s="28">
        <v>53085</v>
      </c>
      <c r="G119" s="28">
        <v>43.674059999999997</v>
      </c>
      <c r="H119" s="28">
        <v>-87.781469999999999</v>
      </c>
      <c r="I119" s="28" t="s">
        <v>687</v>
      </c>
      <c r="J119" s="61">
        <v>110000605872</v>
      </c>
      <c r="K119" s="61" t="s">
        <v>252</v>
      </c>
      <c r="L119" s="28"/>
      <c r="M119" s="28"/>
      <c r="N119" s="28"/>
      <c r="O119" s="28"/>
      <c r="P119" s="28"/>
      <c r="Q119" s="28" t="s">
        <v>265</v>
      </c>
      <c r="R119" s="28">
        <f>VLOOKUP(K119,OES!$A:$B, 2, FALSE)</f>
        <v>250</v>
      </c>
      <c r="S119" s="60" t="str">
        <f>IF(COUNTIF('Raw Annual DMR Data_2021-2024'!L:L,J119)&gt;0, "X", "")</f>
        <v/>
      </c>
      <c r="T119" s="203" t="str">
        <f>IF(COUNTIF('Raw TRI Data'!$K:$K,J119)&gt;0, "X", "")</f>
        <v>X</v>
      </c>
    </row>
    <row r="120" spans="1:20" x14ac:dyDescent="0.25">
      <c r="A120" s="28">
        <f t="shared" si="1"/>
        <v>119</v>
      </c>
      <c r="B120" s="28" t="s">
        <v>688</v>
      </c>
      <c r="C120" s="28" t="s">
        <v>689</v>
      </c>
      <c r="D120" s="28" t="s">
        <v>690</v>
      </c>
      <c r="E120" s="28" t="s">
        <v>691</v>
      </c>
      <c r="F120" s="28">
        <v>74116</v>
      </c>
      <c r="G120" s="28">
        <v>36.194099999999999</v>
      </c>
      <c r="H120" s="28">
        <v>-95.811700000000002</v>
      </c>
      <c r="I120" s="28" t="s">
        <v>692</v>
      </c>
      <c r="J120" s="61">
        <v>110001988877</v>
      </c>
      <c r="K120" s="28" t="s">
        <v>6752</v>
      </c>
      <c r="L120" s="28"/>
      <c r="M120" s="28"/>
      <c r="N120" s="28"/>
      <c r="O120" s="28"/>
      <c r="P120" s="28"/>
      <c r="Q120" s="28" t="s">
        <v>265</v>
      </c>
      <c r="R120" s="28">
        <v>250</v>
      </c>
      <c r="S120" s="60" t="str">
        <f>IF(COUNTIF('Raw Annual DMR Data_2021-2024'!L:L,J120)&gt;0, "X", "")</f>
        <v/>
      </c>
      <c r="T120" s="203" t="str">
        <f>IF(COUNTIF('Raw TRI Data'!$K:$K,J120)&gt;0, "X", "")</f>
        <v>X</v>
      </c>
    </row>
    <row r="121" spans="1:20" x14ac:dyDescent="0.25">
      <c r="A121" s="28">
        <f t="shared" si="1"/>
        <v>120</v>
      </c>
      <c r="B121" s="28" t="s">
        <v>694</v>
      </c>
      <c r="C121" s="28" t="s">
        <v>695</v>
      </c>
      <c r="D121" s="28" t="s">
        <v>293</v>
      </c>
      <c r="E121" s="28" t="s">
        <v>362</v>
      </c>
      <c r="F121" s="28">
        <v>76010</v>
      </c>
      <c r="G121" s="28">
        <v>32.712986000000001</v>
      </c>
      <c r="H121" s="28">
        <v>-97.056126000000006</v>
      </c>
      <c r="I121" s="28" t="s">
        <v>696</v>
      </c>
      <c r="J121" s="61">
        <v>110071045224</v>
      </c>
      <c r="K121" s="61" t="s">
        <v>254</v>
      </c>
      <c r="L121" s="28"/>
      <c r="M121" s="28"/>
      <c r="N121" s="28"/>
      <c r="O121" s="28"/>
      <c r="P121" s="28"/>
      <c r="Q121" s="28" t="s">
        <v>265</v>
      </c>
      <c r="R121" s="28">
        <f>VLOOKUP(K121,OES!$A:$B, 2, FALSE)</f>
        <v>300</v>
      </c>
      <c r="S121" s="60" t="str">
        <f>IF(COUNTIF('Raw Annual DMR Data_2021-2024'!L:L,J121)&gt;0, "X", "")</f>
        <v/>
      </c>
      <c r="T121" s="203" t="str">
        <f>IF(COUNTIF('Raw TRI Data'!$K:$K,J121)&gt;0, "X", "")</f>
        <v>X</v>
      </c>
    </row>
    <row r="122" spans="1:20" x14ac:dyDescent="0.25">
      <c r="A122" s="28">
        <f t="shared" si="1"/>
        <v>121</v>
      </c>
      <c r="B122" s="28" t="s">
        <v>130</v>
      </c>
      <c r="C122" s="28" t="s">
        <v>416</v>
      </c>
      <c r="D122" s="28" t="s">
        <v>417</v>
      </c>
      <c r="E122" s="28" t="s">
        <v>418</v>
      </c>
      <c r="F122" s="28">
        <v>89501</v>
      </c>
      <c r="G122" s="28">
        <v>39.526260000000001</v>
      </c>
      <c r="H122" s="28">
        <v>-119.81308</v>
      </c>
      <c r="I122" s="28"/>
      <c r="J122" s="61">
        <v>110009830273</v>
      </c>
      <c r="K122" s="61" t="s">
        <v>265</v>
      </c>
      <c r="L122" s="28"/>
      <c r="M122" s="28"/>
      <c r="N122" s="28"/>
      <c r="O122" s="28"/>
      <c r="P122" s="28"/>
      <c r="Q122" s="28" t="s">
        <v>265</v>
      </c>
      <c r="R122" s="28">
        <f>VLOOKUP(K122,OES!$A:$B, 2, FALSE)</f>
        <v>250</v>
      </c>
      <c r="S122" s="60" t="s">
        <v>1465</v>
      </c>
      <c r="T122" s="203" t="str">
        <f>IF(COUNTIF('Raw TRI Data'!$K:$K,J122)&gt;0, "X", "")</f>
        <v/>
      </c>
    </row>
    <row r="123" spans="1:20" x14ac:dyDescent="0.25">
      <c r="A123" s="28">
        <f t="shared" si="1"/>
        <v>122</v>
      </c>
      <c r="B123" s="28" t="s">
        <v>138</v>
      </c>
      <c r="C123" s="28" t="s">
        <v>448</v>
      </c>
      <c r="D123" s="28" t="s">
        <v>449</v>
      </c>
      <c r="E123" s="28" t="s">
        <v>450</v>
      </c>
      <c r="F123" s="28">
        <v>14652</v>
      </c>
      <c r="G123" s="28">
        <v>43.197788000000003</v>
      </c>
      <c r="H123" s="28">
        <v>-77.629835999999997</v>
      </c>
      <c r="I123" s="28" t="s">
        <v>451</v>
      </c>
      <c r="J123" s="61">
        <v>110000492173</v>
      </c>
      <c r="K123" s="61" t="s">
        <v>265</v>
      </c>
      <c r="L123" s="28"/>
      <c r="M123" s="28"/>
      <c r="N123" s="28"/>
      <c r="O123" s="28"/>
      <c r="P123" s="28"/>
      <c r="Q123" s="28" t="s">
        <v>265</v>
      </c>
      <c r="R123" s="28">
        <f>VLOOKUP(K123,OES!$A:$B, 2, FALSE)</f>
        <v>250</v>
      </c>
      <c r="S123" s="60" t="s">
        <v>1465</v>
      </c>
      <c r="T123" s="203" t="str">
        <f>IF(COUNTIF('Raw TRI Data'!$K:$K,J123)&gt;0, "X", "")</f>
        <v/>
      </c>
    </row>
    <row r="124" spans="1:20" x14ac:dyDescent="0.25">
      <c r="A124" s="28">
        <f t="shared" si="1"/>
        <v>123</v>
      </c>
      <c r="B124" s="28" t="s">
        <v>139</v>
      </c>
      <c r="C124" s="28" t="s">
        <v>453</v>
      </c>
      <c r="D124" s="28" t="s">
        <v>454</v>
      </c>
      <c r="E124" s="28" t="s">
        <v>349</v>
      </c>
      <c r="F124" s="28">
        <v>64801</v>
      </c>
      <c r="G124" s="28">
        <v>37.083666999999998</v>
      </c>
      <c r="H124" s="28">
        <v>-94.550888999999998</v>
      </c>
      <c r="I124" s="28"/>
      <c r="J124" s="61">
        <v>110000614791</v>
      </c>
      <c r="K124" s="61" t="s">
        <v>265</v>
      </c>
      <c r="L124" s="28"/>
      <c r="M124" s="28"/>
      <c r="N124" s="28"/>
      <c r="O124" s="28"/>
      <c r="P124" s="28"/>
      <c r="Q124" s="28" t="s">
        <v>265</v>
      </c>
      <c r="R124" s="28">
        <f>VLOOKUP(K124,OES!$A:$B, 2, FALSE)</f>
        <v>250</v>
      </c>
      <c r="S124" s="60" t="s">
        <v>1465</v>
      </c>
      <c r="T124" s="203" t="str">
        <f>IF(COUNTIF('Raw TRI Data'!$K:$K,J124)&gt;0, "X", "")</f>
        <v/>
      </c>
    </row>
    <row r="125" spans="1:20" x14ac:dyDescent="0.25">
      <c r="A125" s="28">
        <f t="shared" si="1"/>
        <v>124</v>
      </c>
      <c r="B125" s="28" t="s">
        <v>140</v>
      </c>
      <c r="C125" s="28" t="s">
        <v>456</v>
      </c>
      <c r="D125" s="28" t="s">
        <v>457</v>
      </c>
      <c r="E125" s="28" t="s">
        <v>366</v>
      </c>
      <c r="F125" s="28">
        <v>92243</v>
      </c>
      <c r="G125" s="28">
        <v>32.802199999999999</v>
      </c>
      <c r="H125" s="28">
        <v>-115.54</v>
      </c>
      <c r="I125" s="28"/>
      <c r="J125" s="61">
        <v>110002672484</v>
      </c>
      <c r="K125" s="61" t="s">
        <v>265</v>
      </c>
      <c r="L125" s="28"/>
      <c r="M125" s="28"/>
      <c r="N125" s="28"/>
      <c r="O125" s="28"/>
      <c r="P125" s="28"/>
      <c r="Q125" s="28" t="s">
        <v>265</v>
      </c>
      <c r="R125" s="28">
        <f>VLOOKUP(K125,OES!$A:$B, 2, FALSE)</f>
        <v>250</v>
      </c>
      <c r="S125" s="60" t="s">
        <v>1465</v>
      </c>
      <c r="T125" s="203" t="str">
        <f>IF(COUNTIF('Raw TRI Data'!$K:$K,J125)&gt;0, "X", "")</f>
        <v/>
      </c>
    </row>
    <row r="126" spans="1:20" x14ac:dyDescent="0.25">
      <c r="A126" s="28">
        <f t="shared" si="1"/>
        <v>125</v>
      </c>
      <c r="B126" s="28" t="s">
        <v>147</v>
      </c>
      <c r="C126" s="28" t="s">
        <v>473</v>
      </c>
      <c r="D126" s="28" t="s">
        <v>474</v>
      </c>
      <c r="E126" s="28" t="s">
        <v>338</v>
      </c>
      <c r="F126" s="28">
        <v>7470</v>
      </c>
      <c r="G126" s="28">
        <v>40.891950000000001</v>
      </c>
      <c r="H126" s="28">
        <v>-74.249369999999999</v>
      </c>
      <c r="I126" s="28"/>
      <c r="J126" s="61">
        <v>110070213656</v>
      </c>
      <c r="K126" s="61" t="s">
        <v>265</v>
      </c>
      <c r="L126" s="28"/>
      <c r="M126" s="28"/>
      <c r="N126" s="28"/>
      <c r="O126" s="28"/>
      <c r="P126" s="28"/>
      <c r="Q126" s="28" t="s">
        <v>265</v>
      </c>
      <c r="R126" s="28">
        <f>VLOOKUP(K126,OES!$A:$B, 2, FALSE)</f>
        <v>250</v>
      </c>
      <c r="S126" s="60" t="s">
        <v>1465</v>
      </c>
      <c r="T126" s="203" t="str">
        <f>IF(COUNTIF('Raw TRI Data'!$K:$K,J126)&gt;0, "X", "")</f>
        <v/>
      </c>
    </row>
    <row r="127" spans="1:20" x14ac:dyDescent="0.25">
      <c r="A127" s="28">
        <f t="shared" si="1"/>
        <v>126</v>
      </c>
      <c r="B127" s="28" t="s">
        <v>151</v>
      </c>
      <c r="C127" s="28" t="s">
        <v>485</v>
      </c>
      <c r="D127" s="28" t="s">
        <v>486</v>
      </c>
      <c r="E127" s="28" t="s">
        <v>308</v>
      </c>
      <c r="F127" s="28">
        <v>1905</v>
      </c>
      <c r="G127" s="28">
        <v>42.452603000000003</v>
      </c>
      <c r="H127" s="28">
        <v>-70.973436000000007</v>
      </c>
      <c r="I127" s="28" t="s">
        <v>487</v>
      </c>
      <c r="J127" s="61">
        <v>110000310191</v>
      </c>
      <c r="K127" s="61" t="s">
        <v>265</v>
      </c>
      <c r="L127" s="28"/>
      <c r="M127" s="28"/>
      <c r="N127" s="28"/>
      <c r="O127" s="28"/>
      <c r="P127" s="28"/>
      <c r="Q127" s="28" t="s">
        <v>265</v>
      </c>
      <c r="R127" s="28">
        <f>VLOOKUP(K127,OES!$A:$B, 2, FALSE)</f>
        <v>250</v>
      </c>
      <c r="S127" s="60" t="s">
        <v>1465</v>
      </c>
      <c r="T127" s="203" t="str">
        <f>IF(COUNTIF('Raw TRI Data'!$K:$K,J127)&gt;0, "X", "")</f>
        <v/>
      </c>
    </row>
    <row r="128" spans="1:20" x14ac:dyDescent="0.25">
      <c r="A128" s="28">
        <f t="shared" si="1"/>
        <v>127</v>
      </c>
      <c r="B128" s="28" t="s">
        <v>152</v>
      </c>
      <c r="C128" s="28" t="s">
        <v>489</v>
      </c>
      <c r="D128" s="28" t="s">
        <v>490</v>
      </c>
      <c r="E128" s="28" t="s">
        <v>491</v>
      </c>
      <c r="F128" s="28">
        <v>17356</v>
      </c>
      <c r="G128" s="28">
        <v>39.903748999999998</v>
      </c>
      <c r="H128" s="28">
        <v>-76.605096000000003</v>
      </c>
      <c r="I128" s="28" t="s">
        <v>492</v>
      </c>
      <c r="J128" s="61">
        <v>110000333318</v>
      </c>
      <c r="K128" s="61" t="s">
        <v>265</v>
      </c>
      <c r="L128" s="28"/>
      <c r="M128" s="28"/>
      <c r="N128" s="28"/>
      <c r="O128" s="28"/>
      <c r="P128" s="28"/>
      <c r="Q128" s="28" t="s">
        <v>265</v>
      </c>
      <c r="R128" s="28">
        <f>VLOOKUP(K128,OES!$A:$B, 2, FALSE)</f>
        <v>250</v>
      </c>
      <c r="S128" s="60" t="s">
        <v>1465</v>
      </c>
      <c r="T128" s="203" t="str">
        <f>IF(COUNTIF('Raw TRI Data'!$K:$K,J128)&gt;0, "X", "")</f>
        <v/>
      </c>
    </row>
    <row r="129" spans="1:20" x14ac:dyDescent="0.25">
      <c r="A129" s="28">
        <f t="shared" si="1"/>
        <v>128</v>
      </c>
      <c r="B129" s="28" t="s">
        <v>169</v>
      </c>
      <c r="C129" s="28" t="s">
        <v>548</v>
      </c>
      <c r="D129" s="28" t="s">
        <v>549</v>
      </c>
      <c r="E129" s="28" t="s">
        <v>366</v>
      </c>
      <c r="F129" s="28">
        <v>95959</v>
      </c>
      <c r="G129" s="28">
        <v>39.368808999999999</v>
      </c>
      <c r="H129" s="28">
        <v>-120.898977</v>
      </c>
      <c r="I129" s="28"/>
      <c r="J129" s="61">
        <v>110066354359</v>
      </c>
      <c r="K129" s="61" t="s">
        <v>265</v>
      </c>
      <c r="L129" s="28"/>
      <c r="M129" s="28"/>
      <c r="N129" s="28"/>
      <c r="O129" s="28"/>
      <c r="P129" s="28"/>
      <c r="Q129" s="28" t="s">
        <v>265</v>
      </c>
      <c r="R129" s="28">
        <f>VLOOKUP(K129,OES!$A:$B, 2, FALSE)</f>
        <v>250</v>
      </c>
      <c r="S129" s="60" t="s">
        <v>1465</v>
      </c>
      <c r="T129" s="203" t="str">
        <f>IF(COUNTIF('Raw TRI Data'!$K:$K,J129)&gt;0, "X", "")</f>
        <v/>
      </c>
    </row>
    <row r="130" spans="1:20" x14ac:dyDescent="0.25">
      <c r="A130" s="28">
        <f t="shared" si="1"/>
        <v>129</v>
      </c>
      <c r="B130" s="28" t="s">
        <v>182</v>
      </c>
      <c r="C130" s="28" t="s">
        <v>602</v>
      </c>
      <c r="D130" s="28" t="s">
        <v>603</v>
      </c>
      <c r="E130" s="28" t="s">
        <v>362</v>
      </c>
      <c r="F130" s="28">
        <v>76067</v>
      </c>
      <c r="G130" s="28">
        <v>32.788812999999998</v>
      </c>
      <c r="H130" s="28">
        <v>-98.060989000000006</v>
      </c>
      <c r="I130" s="28"/>
      <c r="J130" s="61">
        <v>110009773192</v>
      </c>
      <c r="K130" s="61" t="s">
        <v>265</v>
      </c>
      <c r="L130" s="28"/>
      <c r="M130" s="28"/>
      <c r="N130" s="28"/>
      <c r="O130" s="28"/>
      <c r="P130" s="28"/>
      <c r="Q130" s="28" t="s">
        <v>265</v>
      </c>
      <c r="R130" s="28">
        <f>VLOOKUP(K130,OES!$A:$B, 2, FALSE)</f>
        <v>250</v>
      </c>
      <c r="S130" s="60" t="s">
        <v>1465</v>
      </c>
      <c r="T130" s="203" t="str">
        <f>IF(COUNTIF('Raw TRI Data'!$K:$K,J130)&gt;0, "X", "")</f>
        <v/>
      </c>
    </row>
    <row r="131" spans="1:20" x14ac:dyDescent="0.25">
      <c r="A131" s="28">
        <f t="shared" ref="A131:A194" si="2">A130+1</f>
        <v>130</v>
      </c>
      <c r="B131" s="28" t="s">
        <v>191</v>
      </c>
      <c r="C131" s="28" t="s">
        <v>625</v>
      </c>
      <c r="D131" s="28" t="s">
        <v>626</v>
      </c>
      <c r="E131" s="28" t="s">
        <v>324</v>
      </c>
      <c r="F131" s="28">
        <v>42276</v>
      </c>
      <c r="G131" s="28">
        <v>36.982500000000002</v>
      </c>
      <c r="H131" s="28">
        <v>-86.78</v>
      </c>
      <c r="I131" s="28"/>
      <c r="J131" s="61">
        <v>110046299778</v>
      </c>
      <c r="K131" s="61" t="s">
        <v>265</v>
      </c>
      <c r="L131" s="28"/>
      <c r="M131" s="28"/>
      <c r="N131" s="28"/>
      <c r="O131" s="28"/>
      <c r="P131" s="28"/>
      <c r="Q131" s="28" t="s">
        <v>265</v>
      </c>
      <c r="R131" s="28">
        <f>VLOOKUP(K131,OES!$A:$B, 2, FALSE)</f>
        <v>250</v>
      </c>
      <c r="S131" s="60" t="s">
        <v>1465</v>
      </c>
      <c r="T131" s="203" t="str">
        <f>IF(COUNTIF('Raw TRI Data'!$K:$K,J131)&gt;0, "X", "")</f>
        <v/>
      </c>
    </row>
    <row r="132" spans="1:20" x14ac:dyDescent="0.25">
      <c r="A132" s="28">
        <f t="shared" si="2"/>
        <v>131</v>
      </c>
      <c r="B132" s="28" t="s">
        <v>198</v>
      </c>
      <c r="C132" s="28" t="s">
        <v>656</v>
      </c>
      <c r="D132" s="28" t="s">
        <v>657</v>
      </c>
      <c r="E132" s="28" t="s">
        <v>418</v>
      </c>
      <c r="F132" s="28">
        <v>89109</v>
      </c>
      <c r="G132" s="28">
        <v>36.122100000000003</v>
      </c>
      <c r="H132" s="28">
        <v>-115.17139</v>
      </c>
      <c r="I132" s="28"/>
      <c r="J132" s="61">
        <v>110004306938</v>
      </c>
      <c r="K132" s="61" t="s">
        <v>265</v>
      </c>
      <c r="L132" s="28"/>
      <c r="M132" s="28"/>
      <c r="N132" s="28"/>
      <c r="O132" s="28"/>
      <c r="P132" s="28"/>
      <c r="Q132" s="28" t="s">
        <v>265</v>
      </c>
      <c r="R132" s="28">
        <f>VLOOKUP(K132,OES!$A:$B, 2, FALSE)</f>
        <v>250</v>
      </c>
      <c r="S132" s="60" t="s">
        <v>1465</v>
      </c>
      <c r="T132" s="203" t="str">
        <f>IF(COUNTIF('Raw TRI Data'!$K:$K,J132)&gt;0, "X", "")</f>
        <v/>
      </c>
    </row>
    <row r="133" spans="1:20" x14ac:dyDescent="0.25">
      <c r="A133" s="28">
        <f t="shared" si="2"/>
        <v>132</v>
      </c>
      <c r="B133" s="28" t="s">
        <v>203</v>
      </c>
      <c r="C133" s="28" t="s">
        <v>669</v>
      </c>
      <c r="D133" s="28" t="s">
        <v>348</v>
      </c>
      <c r="E133" s="28" t="s">
        <v>349</v>
      </c>
      <c r="F133" s="28">
        <v>63461</v>
      </c>
      <c r="G133" s="28">
        <v>39.828163000000004</v>
      </c>
      <c r="H133" s="28">
        <v>-91.436942000000002</v>
      </c>
      <c r="I133" s="28"/>
      <c r="J133" s="61">
        <v>110040330718</v>
      </c>
      <c r="K133" s="61" t="s">
        <v>265</v>
      </c>
      <c r="L133" s="28"/>
      <c r="M133" s="28"/>
      <c r="N133" s="28"/>
      <c r="O133" s="28"/>
      <c r="P133" s="28"/>
      <c r="Q133" s="28" t="s">
        <v>265</v>
      </c>
      <c r="R133" s="28">
        <f>VLOOKUP(K133,OES!$A:$B, 2, FALSE)</f>
        <v>250</v>
      </c>
      <c r="S133" s="60" t="s">
        <v>1465</v>
      </c>
      <c r="T133" s="203" t="str">
        <f>IF(COUNTIF('Raw TRI Data'!$K:$K,J133)&gt;0, "X", "")</f>
        <v/>
      </c>
    </row>
    <row r="134" spans="1:20" x14ac:dyDescent="0.25">
      <c r="A134" s="28">
        <f t="shared" si="2"/>
        <v>133</v>
      </c>
      <c r="B134" s="28" t="s">
        <v>6874</v>
      </c>
      <c r="C134" s="28" t="s">
        <v>7044</v>
      </c>
      <c r="D134" s="28" t="s">
        <v>1228</v>
      </c>
      <c r="E134" s="28" t="s">
        <v>1128</v>
      </c>
      <c r="F134" s="28">
        <v>80206</v>
      </c>
      <c r="G134" s="28">
        <v>39.718069999999997</v>
      </c>
      <c r="H134" s="28">
        <v>-104.95112</v>
      </c>
      <c r="I134" s="28"/>
      <c r="J134" s="61">
        <v>110056126972</v>
      </c>
      <c r="K134" s="61" t="s">
        <v>265</v>
      </c>
      <c r="L134" s="28"/>
      <c r="M134" s="28"/>
      <c r="N134" s="28"/>
      <c r="O134" s="28"/>
      <c r="P134" s="28"/>
      <c r="Q134" s="28" t="s">
        <v>265</v>
      </c>
      <c r="R134" s="28">
        <f>VLOOKUP(K134,OES!$A:$B, 2, FALSE)</f>
        <v>250</v>
      </c>
      <c r="S134" s="60" t="s">
        <v>1465</v>
      </c>
      <c r="T134" s="203" t="str">
        <f>IF(COUNTIF('Raw TRI Data'!$K:$K,J134)&gt;0, "X", "")</f>
        <v/>
      </c>
    </row>
    <row r="135" spans="1:20" x14ac:dyDescent="0.25">
      <c r="A135" s="28">
        <f t="shared" si="2"/>
        <v>134</v>
      </c>
      <c r="B135" s="28" t="s">
        <v>6863</v>
      </c>
      <c r="C135" s="28" t="s">
        <v>7027</v>
      </c>
      <c r="D135" s="28" t="s">
        <v>1228</v>
      </c>
      <c r="E135" s="28" t="s">
        <v>1128</v>
      </c>
      <c r="F135" s="28">
        <v>80202</v>
      </c>
      <c r="G135" s="28">
        <v>39.747204000000004</v>
      </c>
      <c r="H135" s="28">
        <v>-104.997249</v>
      </c>
      <c r="I135" s="28"/>
      <c r="J135" s="61">
        <v>110059790588</v>
      </c>
      <c r="K135" s="61" t="s">
        <v>265</v>
      </c>
      <c r="L135" s="28"/>
      <c r="M135" s="28"/>
      <c r="N135" s="28"/>
      <c r="O135" s="28"/>
      <c r="P135" s="28"/>
      <c r="Q135" s="28" t="s">
        <v>265</v>
      </c>
      <c r="R135" s="28">
        <f>VLOOKUP(K135,OES!$A:$B, 2, FALSE)</f>
        <v>250</v>
      </c>
      <c r="S135" s="60" t="s">
        <v>1465</v>
      </c>
      <c r="T135" s="203" t="str">
        <f>IF(COUNTIF('Raw TRI Data'!$K:$K,J135)&gt;0, "X", "")</f>
        <v/>
      </c>
    </row>
    <row r="136" spans="1:20" x14ac:dyDescent="0.25">
      <c r="A136" s="28">
        <f t="shared" si="2"/>
        <v>135</v>
      </c>
      <c r="B136" s="28" t="s">
        <v>6840</v>
      </c>
      <c r="C136" s="28" t="s">
        <v>6996</v>
      </c>
      <c r="D136" s="28" t="s">
        <v>968</v>
      </c>
      <c r="E136" s="28" t="s">
        <v>294</v>
      </c>
      <c r="F136" s="28">
        <v>223141396</v>
      </c>
      <c r="G136" s="28">
        <v>38.818069999999999</v>
      </c>
      <c r="H136" s="28">
        <v>-77.049329999999998</v>
      </c>
      <c r="I136" s="28"/>
      <c r="J136" s="61">
        <v>110071181280</v>
      </c>
      <c r="K136" s="61" t="s">
        <v>265</v>
      </c>
      <c r="L136" s="28"/>
      <c r="M136" s="28"/>
      <c r="N136" s="28"/>
      <c r="O136" s="28"/>
      <c r="P136" s="28"/>
      <c r="Q136" s="28" t="s">
        <v>265</v>
      </c>
      <c r="R136" s="28">
        <f>VLOOKUP(K136,OES!$A:$B, 2, FALSE)</f>
        <v>250</v>
      </c>
      <c r="S136" s="60" t="s">
        <v>1465</v>
      </c>
      <c r="T136" s="203" t="str">
        <f>IF(COUNTIF('Raw TRI Data'!$K:$K,J136)&gt;0, "X", "")</f>
        <v/>
      </c>
    </row>
    <row r="137" spans="1:20" x14ac:dyDescent="0.25">
      <c r="A137" s="28">
        <f t="shared" si="2"/>
        <v>136</v>
      </c>
      <c r="B137" s="28" t="s">
        <v>6780</v>
      </c>
      <c r="C137" s="28" t="s">
        <v>6924</v>
      </c>
      <c r="D137" s="28" t="s">
        <v>293</v>
      </c>
      <c r="E137" s="28" t="s">
        <v>294</v>
      </c>
      <c r="F137" s="28">
        <v>22202</v>
      </c>
      <c r="G137" s="28">
        <v>38.8568</v>
      </c>
      <c r="H137" s="28">
        <v>-77.049700000000001</v>
      </c>
      <c r="I137" s="28"/>
      <c r="J137" s="61">
        <v>110070884188</v>
      </c>
      <c r="K137" s="61" t="s">
        <v>265</v>
      </c>
      <c r="L137" s="28"/>
      <c r="M137" s="28"/>
      <c r="N137" s="28"/>
      <c r="O137" s="28"/>
      <c r="P137" s="28"/>
      <c r="Q137" s="28" t="s">
        <v>265</v>
      </c>
      <c r="R137" s="28">
        <f>VLOOKUP(K137,OES!$A:$B, 2, FALSE)</f>
        <v>250</v>
      </c>
      <c r="S137" s="60" t="s">
        <v>1465</v>
      </c>
      <c r="T137" s="203" t="str">
        <f>IF(COUNTIF('Raw TRI Data'!$K:$K,J137)&gt;0, "X", "")</f>
        <v/>
      </c>
    </row>
    <row r="138" spans="1:20" x14ac:dyDescent="0.25">
      <c r="A138" s="28">
        <f t="shared" si="2"/>
        <v>137</v>
      </c>
      <c r="B138" s="28" t="s">
        <v>6900</v>
      </c>
      <c r="C138" s="28" t="s">
        <v>7092</v>
      </c>
      <c r="D138" s="28" t="s">
        <v>293</v>
      </c>
      <c r="E138" s="28" t="s">
        <v>294</v>
      </c>
      <c r="F138" s="28">
        <v>22209</v>
      </c>
      <c r="G138" s="28">
        <v>38.898200000000003</v>
      </c>
      <c r="H138" s="28">
        <v>-77.070899999999995</v>
      </c>
      <c r="I138" s="28"/>
      <c r="J138" s="61">
        <v>110071507783</v>
      </c>
      <c r="K138" s="61" t="s">
        <v>265</v>
      </c>
      <c r="L138" s="28"/>
      <c r="M138" s="28"/>
      <c r="N138" s="28"/>
      <c r="O138" s="28"/>
      <c r="P138" s="28"/>
      <c r="Q138" s="28" t="s">
        <v>265</v>
      </c>
      <c r="R138" s="28">
        <f>VLOOKUP(K138,OES!$A:$B, 2, FALSE)</f>
        <v>250</v>
      </c>
      <c r="S138" s="60" t="s">
        <v>1465</v>
      </c>
      <c r="T138" s="203" t="str">
        <f>IF(COUNTIF('Raw TRI Data'!$K:$K,J138)&gt;0, "X", "")</f>
        <v/>
      </c>
    </row>
    <row r="139" spans="1:20" x14ac:dyDescent="0.25">
      <c r="A139" s="28">
        <f t="shared" si="2"/>
        <v>138</v>
      </c>
      <c r="B139" s="28" t="s">
        <v>6782</v>
      </c>
      <c r="C139" s="28" t="s">
        <v>6928</v>
      </c>
      <c r="D139" s="28" t="s">
        <v>293</v>
      </c>
      <c r="E139" s="28" t="s">
        <v>294</v>
      </c>
      <c r="F139" s="28">
        <v>22201</v>
      </c>
      <c r="G139" s="28">
        <v>38.85615</v>
      </c>
      <c r="H139" s="28">
        <v>-77.051146000000003</v>
      </c>
      <c r="I139" s="28"/>
      <c r="J139" s="61">
        <v>110071347994</v>
      </c>
      <c r="K139" s="61" t="s">
        <v>265</v>
      </c>
      <c r="L139" s="28"/>
      <c r="M139" s="28"/>
      <c r="N139" s="28"/>
      <c r="O139" s="28"/>
      <c r="P139" s="28"/>
      <c r="Q139" s="28" t="s">
        <v>265</v>
      </c>
      <c r="R139" s="28">
        <f>VLOOKUP(K139,OES!$A:$B, 2, FALSE)</f>
        <v>250</v>
      </c>
      <c r="S139" s="60" t="s">
        <v>1465</v>
      </c>
      <c r="T139" s="203" t="str">
        <f>IF(COUNTIF('Raw TRI Data'!$K:$K,J139)&gt;0, "X", "")</f>
        <v/>
      </c>
    </row>
    <row r="140" spans="1:20" x14ac:dyDescent="0.25">
      <c r="A140" s="28">
        <f t="shared" si="2"/>
        <v>139</v>
      </c>
      <c r="B140" s="28" t="s">
        <v>6892</v>
      </c>
      <c r="C140" s="28" t="s">
        <v>7074</v>
      </c>
      <c r="D140" s="28" t="s">
        <v>968</v>
      </c>
      <c r="E140" s="28" t="s">
        <v>294</v>
      </c>
      <c r="F140" s="28">
        <v>22305</v>
      </c>
      <c r="G140" s="28">
        <v>38.838200000000001</v>
      </c>
      <c r="H140" s="28">
        <v>-77.060599999999994</v>
      </c>
      <c r="I140" s="28"/>
      <c r="J140" s="61">
        <v>110071503191</v>
      </c>
      <c r="K140" s="61" t="s">
        <v>265</v>
      </c>
      <c r="L140" s="28"/>
      <c r="M140" s="28"/>
      <c r="N140" s="28"/>
      <c r="O140" s="28"/>
      <c r="P140" s="28"/>
      <c r="Q140" s="28" t="s">
        <v>265</v>
      </c>
      <c r="R140" s="28">
        <f>VLOOKUP(K140,OES!$A:$B, 2, FALSE)</f>
        <v>250</v>
      </c>
      <c r="S140" s="60" t="s">
        <v>1465</v>
      </c>
      <c r="T140" s="203" t="str">
        <f>IF(COUNTIF('Raw TRI Data'!$K:$K,J140)&gt;0, "X", "")</f>
        <v/>
      </c>
    </row>
    <row r="141" spans="1:20" x14ac:dyDescent="0.25">
      <c r="A141" s="28">
        <f t="shared" si="2"/>
        <v>140</v>
      </c>
      <c r="B141" s="28" t="s">
        <v>965</v>
      </c>
      <c r="C141" s="28" t="s">
        <v>1469</v>
      </c>
      <c r="D141" s="28" t="s">
        <v>966</v>
      </c>
      <c r="E141" s="28" t="s">
        <v>491</v>
      </c>
      <c r="F141" s="28">
        <v>19112</v>
      </c>
      <c r="G141" s="28">
        <v>39.891680000000001</v>
      </c>
      <c r="H141" s="28">
        <v>-75.169055</v>
      </c>
      <c r="I141" s="28"/>
      <c r="J141" s="61">
        <v>110006368206</v>
      </c>
      <c r="K141" s="61" t="s">
        <v>265</v>
      </c>
      <c r="L141" s="28"/>
      <c r="M141" s="28"/>
      <c r="N141" s="28"/>
      <c r="O141" s="28"/>
      <c r="P141" s="28"/>
      <c r="Q141" s="28" t="s">
        <v>265</v>
      </c>
      <c r="R141" s="28">
        <f>VLOOKUP(K141,OES!$A:$B, 2, FALSE)</f>
        <v>250</v>
      </c>
      <c r="S141" s="60" t="s">
        <v>1465</v>
      </c>
      <c r="T141" s="203" t="str">
        <f>IF(COUNTIF('Raw TRI Data'!$K:$K,J141)&gt;0, "X", "")</f>
        <v/>
      </c>
    </row>
    <row r="142" spans="1:20" x14ac:dyDescent="0.25">
      <c r="A142" s="28">
        <f t="shared" si="2"/>
        <v>141</v>
      </c>
      <c r="B142" s="28" t="s">
        <v>6784</v>
      </c>
      <c r="C142" s="61" t="s">
        <v>6931</v>
      </c>
      <c r="D142" s="61" t="s">
        <v>1403</v>
      </c>
      <c r="E142" s="61" t="s">
        <v>294</v>
      </c>
      <c r="F142" s="61">
        <v>23454</v>
      </c>
      <c r="G142" s="28">
        <v>36.847490000000001</v>
      </c>
      <c r="H142" s="28">
        <v>-76.026436000000004</v>
      </c>
      <c r="I142" s="28"/>
      <c r="J142" s="61">
        <v>110070884760</v>
      </c>
      <c r="K142" s="61" t="s">
        <v>265</v>
      </c>
      <c r="L142" s="28"/>
      <c r="M142" s="28"/>
      <c r="N142" s="28"/>
      <c r="O142" s="28"/>
      <c r="P142" s="28"/>
      <c r="Q142" s="28" t="s">
        <v>265</v>
      </c>
      <c r="R142" s="28">
        <f>VLOOKUP(K142,OES!$A:$B, 2, FALSE)</f>
        <v>250</v>
      </c>
      <c r="S142" s="60" t="s">
        <v>1465</v>
      </c>
      <c r="T142" s="203" t="str">
        <f>IF(COUNTIF('Raw TRI Data'!$K:$K,J142)&gt;0, "X", "")</f>
        <v/>
      </c>
    </row>
    <row r="143" spans="1:20" x14ac:dyDescent="0.25">
      <c r="A143" s="28">
        <f t="shared" si="2"/>
        <v>142</v>
      </c>
      <c r="B143" s="28" t="s">
        <v>6862</v>
      </c>
      <c r="C143" s="28" t="s">
        <v>7026</v>
      </c>
      <c r="D143" s="28" t="s">
        <v>657</v>
      </c>
      <c r="E143" s="28" t="s">
        <v>418</v>
      </c>
      <c r="F143" s="28">
        <v>89118</v>
      </c>
      <c r="G143" s="28">
        <v>36.090899999999998</v>
      </c>
      <c r="H143" s="28">
        <v>-115.1833</v>
      </c>
      <c r="I143" s="28"/>
      <c r="J143" s="61">
        <v>110070948151</v>
      </c>
      <c r="K143" s="61" t="s">
        <v>265</v>
      </c>
      <c r="L143" s="28"/>
      <c r="M143" s="28"/>
      <c r="N143" s="28"/>
      <c r="O143" s="28"/>
      <c r="P143" s="28"/>
      <c r="Q143" s="28" t="s">
        <v>265</v>
      </c>
      <c r="R143" s="28">
        <f>VLOOKUP(K143,OES!$A:$B, 2, FALSE)</f>
        <v>250</v>
      </c>
      <c r="S143" s="60" t="s">
        <v>1465</v>
      </c>
      <c r="T143" s="203" t="str">
        <f>IF(COUNTIF('Raw TRI Data'!$K:$K,J143)&gt;0, "X", "")</f>
        <v/>
      </c>
    </row>
    <row r="144" spans="1:20" x14ac:dyDescent="0.25">
      <c r="A144" s="28">
        <f t="shared" si="2"/>
        <v>143</v>
      </c>
      <c r="B144" s="28" t="s">
        <v>6839</v>
      </c>
      <c r="C144" s="28" t="s">
        <v>6993</v>
      </c>
      <c r="D144" s="28" t="s">
        <v>6994</v>
      </c>
      <c r="E144" s="28" t="s">
        <v>1171</v>
      </c>
      <c r="F144" s="28">
        <v>96752</v>
      </c>
      <c r="G144" s="28">
        <v>21.994944</v>
      </c>
      <c r="H144" s="28">
        <v>-159.75363899999999</v>
      </c>
      <c r="I144" s="28"/>
      <c r="J144" s="61">
        <v>110006777247</v>
      </c>
      <c r="K144" s="61" t="s">
        <v>265</v>
      </c>
      <c r="L144" s="28"/>
      <c r="M144" s="28"/>
      <c r="N144" s="28"/>
      <c r="O144" s="28"/>
      <c r="P144" s="28"/>
      <c r="Q144" s="28" t="s">
        <v>265</v>
      </c>
      <c r="R144" s="28">
        <f>VLOOKUP(K144,OES!$A:$B, 2, FALSE)</f>
        <v>250</v>
      </c>
      <c r="S144" s="60" t="s">
        <v>1465</v>
      </c>
      <c r="T144" s="203" t="str">
        <f>IF(COUNTIF('Raw TRI Data'!$K:$K,J144)&gt;0, "X", "")</f>
        <v/>
      </c>
    </row>
    <row r="145" spans="1:20" x14ac:dyDescent="0.25">
      <c r="A145" s="28">
        <f t="shared" si="2"/>
        <v>144</v>
      </c>
      <c r="B145" s="28" t="s">
        <v>6906</v>
      </c>
      <c r="C145" s="28" t="s">
        <v>7107</v>
      </c>
      <c r="D145" s="28" t="s">
        <v>1125</v>
      </c>
      <c r="E145" s="28" t="s">
        <v>294</v>
      </c>
      <c r="F145" s="28">
        <v>22041</v>
      </c>
      <c r="G145" s="28">
        <v>38.848126999999998</v>
      </c>
      <c r="H145" s="28">
        <v>-77.132767999999999</v>
      </c>
      <c r="I145" s="28"/>
      <c r="J145" s="61">
        <v>110071427202</v>
      </c>
      <c r="K145" s="61" t="s">
        <v>265</v>
      </c>
      <c r="L145" s="28"/>
      <c r="M145" s="28"/>
      <c r="N145" s="28"/>
      <c r="O145" s="28"/>
      <c r="P145" s="28"/>
      <c r="Q145" s="28" t="s">
        <v>265</v>
      </c>
      <c r="R145" s="28">
        <f>VLOOKUP(K145,OES!$A:$B, 2, FALSE)</f>
        <v>250</v>
      </c>
      <c r="S145" s="60" t="s">
        <v>1465</v>
      </c>
      <c r="T145" s="203" t="str">
        <f>IF(COUNTIF('Raw TRI Data'!$K:$K,J145)&gt;0, "X", "")</f>
        <v/>
      </c>
    </row>
    <row r="146" spans="1:20" x14ac:dyDescent="0.25">
      <c r="A146" s="28">
        <f t="shared" si="2"/>
        <v>145</v>
      </c>
      <c r="B146" s="28" t="s">
        <v>6888</v>
      </c>
      <c r="C146" s="28" t="s">
        <v>7067</v>
      </c>
      <c r="D146" s="28" t="s">
        <v>1255</v>
      </c>
      <c r="E146" s="28" t="s">
        <v>366</v>
      </c>
      <c r="F146" s="28">
        <v>93041</v>
      </c>
      <c r="G146" s="28">
        <v>34.144888999999999</v>
      </c>
      <c r="H146" s="28">
        <v>-119.2105</v>
      </c>
      <c r="I146" s="28"/>
      <c r="J146" s="61">
        <v>110071298200</v>
      </c>
      <c r="K146" s="61" t="s">
        <v>265</v>
      </c>
      <c r="L146" s="28"/>
      <c r="M146" s="28"/>
      <c r="N146" s="28"/>
      <c r="O146" s="28"/>
      <c r="P146" s="28"/>
      <c r="Q146" s="28" t="s">
        <v>265</v>
      </c>
      <c r="R146" s="28">
        <f>VLOOKUP(K146,OES!$A:$B, 2, FALSE)</f>
        <v>250</v>
      </c>
      <c r="S146" s="60" t="s">
        <v>1465</v>
      </c>
      <c r="T146" s="203" t="str">
        <f>IF(COUNTIF('Raw TRI Data'!$K:$K,J146)&gt;0, "X", "")</f>
        <v/>
      </c>
    </row>
    <row r="147" spans="1:20" x14ac:dyDescent="0.25">
      <c r="A147" s="28">
        <f t="shared" si="2"/>
        <v>146</v>
      </c>
      <c r="B147" s="28" t="s">
        <v>6891</v>
      </c>
      <c r="C147" s="28" t="s">
        <v>7073</v>
      </c>
      <c r="D147" s="28" t="s">
        <v>1403</v>
      </c>
      <c r="E147" s="28" t="s">
        <v>294</v>
      </c>
      <c r="F147" s="28">
        <v>23451</v>
      </c>
      <c r="G147" s="28">
        <v>36.847284999999999</v>
      </c>
      <c r="H147" s="28">
        <v>-75.980485000000002</v>
      </c>
      <c r="I147" s="28"/>
      <c r="J147" s="61">
        <v>110071426286</v>
      </c>
      <c r="K147" s="61" t="s">
        <v>265</v>
      </c>
      <c r="L147" s="28"/>
      <c r="M147" s="28"/>
      <c r="N147" s="28"/>
      <c r="O147" s="28"/>
      <c r="P147" s="28"/>
      <c r="Q147" s="28" t="s">
        <v>265</v>
      </c>
      <c r="R147" s="28">
        <f>VLOOKUP(K147,OES!$A:$B, 2, FALSE)</f>
        <v>250</v>
      </c>
      <c r="S147" s="60" t="s">
        <v>1465</v>
      </c>
      <c r="T147" s="203" t="str">
        <f>IF(COUNTIF('Raw TRI Data'!$K:$K,J147)&gt;0, "X", "")</f>
        <v/>
      </c>
    </row>
    <row r="148" spans="1:20" x14ac:dyDescent="0.25">
      <c r="A148" s="28">
        <f t="shared" si="2"/>
        <v>147</v>
      </c>
      <c r="B148" s="28" t="s">
        <v>6825</v>
      </c>
      <c r="C148" s="28" t="s">
        <v>6980</v>
      </c>
      <c r="D148" s="28" t="s">
        <v>1228</v>
      </c>
      <c r="E148" s="28" t="s">
        <v>1128</v>
      </c>
      <c r="F148" s="28">
        <v>80202</v>
      </c>
      <c r="G148" s="28">
        <v>39.754530000000003</v>
      </c>
      <c r="H148" s="28">
        <v>-105.00681</v>
      </c>
      <c r="I148" s="28"/>
      <c r="J148" s="61">
        <v>110056125376</v>
      </c>
      <c r="K148" s="61" t="s">
        <v>265</v>
      </c>
      <c r="L148" s="28"/>
      <c r="M148" s="28"/>
      <c r="N148" s="28"/>
      <c r="O148" s="28"/>
      <c r="P148" s="28"/>
      <c r="Q148" s="28" t="s">
        <v>265</v>
      </c>
      <c r="R148" s="28">
        <f>VLOOKUP(K148,OES!$A:$B, 2, FALSE)</f>
        <v>250</v>
      </c>
      <c r="S148" s="60" t="s">
        <v>1465</v>
      </c>
      <c r="T148" s="203" t="str">
        <f>IF(COUNTIF('Raw TRI Data'!$K:$K,J148)&gt;0, "X", "")</f>
        <v/>
      </c>
    </row>
    <row r="149" spans="1:20" x14ac:dyDescent="0.25">
      <c r="A149" s="28">
        <f t="shared" si="2"/>
        <v>148</v>
      </c>
      <c r="B149" s="28" t="s">
        <v>6865</v>
      </c>
      <c r="C149" s="28" t="s">
        <v>1493</v>
      </c>
      <c r="D149" s="28" t="s">
        <v>7030</v>
      </c>
      <c r="E149" s="28" t="s">
        <v>979</v>
      </c>
      <c r="F149" s="28" t="s">
        <v>7031</v>
      </c>
      <c r="G149" s="28">
        <v>35.377800000000001</v>
      </c>
      <c r="H149" s="28">
        <v>-86.045599999999993</v>
      </c>
      <c r="I149" s="28" t="s">
        <v>700</v>
      </c>
      <c r="J149" s="61">
        <v>110017413217</v>
      </c>
      <c r="K149" s="61" t="s">
        <v>6750</v>
      </c>
      <c r="L149" s="28"/>
      <c r="M149" s="28"/>
      <c r="N149" s="28"/>
      <c r="O149" s="28"/>
      <c r="P149" s="28"/>
      <c r="Q149" s="28" t="s">
        <v>265</v>
      </c>
      <c r="R149" s="28">
        <v>250</v>
      </c>
      <c r="S149" s="60" t="s">
        <v>1465</v>
      </c>
      <c r="T149" s="203" t="str">
        <f>IF(COUNTIF('Raw TRI Data'!$K:$K,J149)&gt;0, "X", "")</f>
        <v/>
      </c>
    </row>
    <row r="150" spans="1:20" x14ac:dyDescent="0.25">
      <c r="A150" s="28">
        <f t="shared" si="2"/>
        <v>149</v>
      </c>
      <c r="B150" s="28" t="s">
        <v>6898</v>
      </c>
      <c r="C150" s="28" t="s">
        <v>7090</v>
      </c>
      <c r="D150" s="28" t="s">
        <v>7071</v>
      </c>
      <c r="E150" s="28" t="s">
        <v>294</v>
      </c>
      <c r="F150" s="28">
        <v>23510</v>
      </c>
      <c r="G150" s="28">
        <v>36.860309999999998</v>
      </c>
      <c r="H150" s="28">
        <v>-76.286709000000002</v>
      </c>
      <c r="I150" s="28"/>
      <c r="J150" s="61">
        <v>110071446922</v>
      </c>
      <c r="K150" s="61" t="s">
        <v>265</v>
      </c>
      <c r="L150" s="28"/>
      <c r="M150" s="28"/>
      <c r="N150" s="28"/>
      <c r="O150" s="28"/>
      <c r="P150" s="28"/>
      <c r="Q150" s="28" t="s">
        <v>265</v>
      </c>
      <c r="R150" s="28">
        <f>VLOOKUP(K150,OES!$A:$B, 2, FALSE)</f>
        <v>250</v>
      </c>
      <c r="S150" s="60" t="s">
        <v>1465</v>
      </c>
      <c r="T150" s="203" t="str">
        <f>IF(COUNTIF('Raw TRI Data'!$K:$K,J150)&gt;0, "X", "")</f>
        <v/>
      </c>
    </row>
    <row r="151" spans="1:20" x14ac:dyDescent="0.25">
      <c r="A151" s="28">
        <f t="shared" si="2"/>
        <v>150</v>
      </c>
      <c r="B151" s="28" t="s">
        <v>6824</v>
      </c>
      <c r="C151" s="28" t="s">
        <v>6979</v>
      </c>
      <c r="D151" s="28" t="s">
        <v>1403</v>
      </c>
      <c r="E151" s="28" t="s">
        <v>294</v>
      </c>
      <c r="F151" s="28">
        <v>23451</v>
      </c>
      <c r="G151" s="28">
        <v>36.840694999999997</v>
      </c>
      <c r="H151" s="28">
        <v>-75.984082999999998</v>
      </c>
      <c r="I151" s="28"/>
      <c r="J151" s="61">
        <v>110071076435</v>
      </c>
      <c r="K151" s="61" t="s">
        <v>265</v>
      </c>
      <c r="L151" s="28"/>
      <c r="M151" s="28"/>
      <c r="N151" s="28"/>
      <c r="O151" s="28"/>
      <c r="P151" s="28"/>
      <c r="Q151" s="28" t="s">
        <v>265</v>
      </c>
      <c r="R151" s="28">
        <f>VLOOKUP(K151,OES!$A:$B, 2, FALSE)</f>
        <v>250</v>
      </c>
      <c r="S151" s="60" t="s">
        <v>1465</v>
      </c>
      <c r="T151" s="203" t="str">
        <f>IF(COUNTIF('Raw TRI Data'!$K:$K,J151)&gt;0, "X", "")</f>
        <v/>
      </c>
    </row>
    <row r="152" spans="1:20" x14ac:dyDescent="0.25">
      <c r="A152" s="28">
        <f t="shared" si="2"/>
        <v>151</v>
      </c>
      <c r="B152" s="28" t="s">
        <v>984</v>
      </c>
      <c r="C152" s="28" t="s">
        <v>6995</v>
      </c>
      <c r="D152" s="28" t="s">
        <v>985</v>
      </c>
      <c r="E152" s="28" t="s">
        <v>979</v>
      </c>
      <c r="F152" s="28">
        <v>37660</v>
      </c>
      <c r="G152" s="28">
        <v>36.550454999999999</v>
      </c>
      <c r="H152" s="28">
        <v>-82.634793999999999</v>
      </c>
      <c r="I152" s="28"/>
      <c r="J152" s="61">
        <v>110070828339</v>
      </c>
      <c r="K152" s="28" t="s">
        <v>265</v>
      </c>
      <c r="L152" s="28"/>
      <c r="M152" s="28"/>
      <c r="N152" s="28"/>
      <c r="O152" s="28"/>
      <c r="P152" s="28"/>
      <c r="Q152" s="28" t="s">
        <v>265</v>
      </c>
      <c r="R152" s="28">
        <f>VLOOKUP(K152,OES!$A:$B, 2, FALSE)</f>
        <v>250</v>
      </c>
      <c r="S152" s="60" t="s">
        <v>1465</v>
      </c>
      <c r="T152" s="203" t="str">
        <f>IF(COUNTIF('Raw TRI Data'!$K:$K,J152)&gt;0, "X", "")</f>
        <v/>
      </c>
    </row>
    <row r="153" spans="1:20" x14ac:dyDescent="0.25">
      <c r="A153" s="28">
        <f t="shared" si="2"/>
        <v>152</v>
      </c>
      <c r="B153" s="28" t="s">
        <v>986</v>
      </c>
      <c r="C153" s="28" t="s">
        <v>1508</v>
      </c>
      <c r="D153" s="28" t="s">
        <v>987</v>
      </c>
      <c r="E153" s="28" t="s">
        <v>324</v>
      </c>
      <c r="F153" s="28">
        <v>402162137</v>
      </c>
      <c r="G153" s="28">
        <v>38.195278000000002</v>
      </c>
      <c r="H153" s="28">
        <v>-85.872221999999994</v>
      </c>
      <c r="I153" s="28" t="s">
        <v>701</v>
      </c>
      <c r="J153" s="61">
        <v>110000378467</v>
      </c>
      <c r="K153" s="28" t="s">
        <v>265</v>
      </c>
      <c r="L153" s="28"/>
      <c r="M153" s="28"/>
      <c r="N153" s="28"/>
      <c r="O153" s="28"/>
      <c r="P153" s="28"/>
      <c r="Q153" s="28" t="s">
        <v>265</v>
      </c>
      <c r="R153" s="28">
        <f>VLOOKUP(K153,OES!$A:$B, 2, FALSE)</f>
        <v>250</v>
      </c>
      <c r="S153" s="60" t="s">
        <v>1465</v>
      </c>
      <c r="T153" s="203" t="str">
        <f>IF(COUNTIF('Raw TRI Data'!$K:$K,J153)&gt;0, "X", "")</f>
        <v/>
      </c>
    </row>
    <row r="154" spans="1:20" x14ac:dyDescent="0.25">
      <c r="A154" s="28">
        <f t="shared" si="2"/>
        <v>153</v>
      </c>
      <c r="B154" s="28" t="s">
        <v>6835</v>
      </c>
      <c r="C154" s="28" t="s">
        <v>6990</v>
      </c>
      <c r="D154" s="28" t="s">
        <v>1072</v>
      </c>
      <c r="E154" s="28" t="s">
        <v>366</v>
      </c>
      <c r="F154" s="28">
        <v>96021</v>
      </c>
      <c r="G154" s="28">
        <v>39.915689999999998</v>
      </c>
      <c r="H154" s="28">
        <v>-122.10365</v>
      </c>
      <c r="I154" s="28"/>
      <c r="J154" s="61">
        <v>110054272210</v>
      </c>
      <c r="K154" s="61" t="s">
        <v>6751</v>
      </c>
      <c r="L154" s="28"/>
      <c r="M154" s="28"/>
      <c r="N154" s="28"/>
      <c r="O154" s="28"/>
      <c r="P154" s="28"/>
      <c r="Q154" s="28" t="s">
        <v>265</v>
      </c>
      <c r="R154" s="28">
        <v>250</v>
      </c>
      <c r="S154" s="60" t="s">
        <v>1465</v>
      </c>
      <c r="T154" s="203" t="str">
        <f>IF(COUNTIF('Raw TRI Data'!$K:$K,J154)&gt;0, "X", "")</f>
        <v/>
      </c>
    </row>
    <row r="155" spans="1:20" x14ac:dyDescent="0.25">
      <c r="A155" s="28">
        <f t="shared" si="2"/>
        <v>154</v>
      </c>
      <c r="B155" s="28" t="s">
        <v>6802</v>
      </c>
      <c r="C155" s="28" t="s">
        <v>6955</v>
      </c>
      <c r="D155" s="28" t="s">
        <v>6956</v>
      </c>
      <c r="E155" s="28" t="s">
        <v>541</v>
      </c>
      <c r="F155" s="28">
        <v>29702</v>
      </c>
      <c r="G155" s="28">
        <v>35.118552999999999</v>
      </c>
      <c r="H155" s="28">
        <v>-81.559533000000002</v>
      </c>
      <c r="I155" s="28"/>
      <c r="J155" s="61">
        <v>110000915984</v>
      </c>
      <c r="K155" s="28" t="s">
        <v>265</v>
      </c>
      <c r="L155" s="28"/>
      <c r="M155" s="28"/>
      <c r="N155" s="28"/>
      <c r="O155" s="28"/>
      <c r="P155" s="28"/>
      <c r="Q155" s="28" t="s">
        <v>265</v>
      </c>
      <c r="R155" s="28">
        <f>VLOOKUP(K155,OES!$A:$B, 2, FALSE)</f>
        <v>250</v>
      </c>
      <c r="S155" s="60" t="s">
        <v>1465</v>
      </c>
      <c r="T155" s="203" t="str">
        <f>IF(COUNTIF('Raw TRI Data'!$K:$K,J155)&gt;0, "X", "")</f>
        <v/>
      </c>
    </row>
    <row r="156" spans="1:20" x14ac:dyDescent="0.25">
      <c r="A156" s="28">
        <f t="shared" si="2"/>
        <v>155</v>
      </c>
      <c r="B156" s="28" t="s">
        <v>6427</v>
      </c>
      <c r="C156" s="28" t="s">
        <v>7079</v>
      </c>
      <c r="D156" s="28" t="s">
        <v>7080</v>
      </c>
      <c r="E156" s="28" t="s">
        <v>338</v>
      </c>
      <c r="F156" s="28">
        <v>8865</v>
      </c>
      <c r="G156" s="28">
        <v>40.703099000000002</v>
      </c>
      <c r="H156" s="28">
        <v>-75.197676000000001</v>
      </c>
      <c r="I156" s="28" t="s">
        <v>7134</v>
      </c>
      <c r="J156" s="61">
        <v>110000322311</v>
      </c>
      <c r="K156" s="61" t="s">
        <v>265</v>
      </c>
      <c r="L156" s="28"/>
      <c r="M156" s="28"/>
      <c r="N156" s="28"/>
      <c r="O156" s="28"/>
      <c r="P156" s="28"/>
      <c r="Q156" s="28" t="s">
        <v>265</v>
      </c>
      <c r="R156" s="28">
        <f>VLOOKUP(K156,OES!$A:$B, 2, FALSE)</f>
        <v>250</v>
      </c>
      <c r="S156" s="60" t="s">
        <v>1465</v>
      </c>
      <c r="T156" s="203" t="str">
        <f>IF(COUNTIF('Raw TRI Data'!$K:$K,J156)&gt;0, "X", "")</f>
        <v/>
      </c>
    </row>
    <row r="157" spans="1:20" x14ac:dyDescent="0.25">
      <c r="A157" s="28">
        <f t="shared" si="2"/>
        <v>156</v>
      </c>
      <c r="B157" s="28" t="s">
        <v>205</v>
      </c>
      <c r="C157" s="28" t="s">
        <v>7046</v>
      </c>
      <c r="D157" s="28" t="s">
        <v>7047</v>
      </c>
      <c r="E157" s="28" t="s">
        <v>427</v>
      </c>
      <c r="F157" s="28">
        <v>48192</v>
      </c>
      <c r="G157" s="28">
        <v>42.219194999999999</v>
      </c>
      <c r="H157" s="28">
        <v>-83.146739999999994</v>
      </c>
      <c r="I157" s="28" t="s">
        <v>7131</v>
      </c>
      <c r="J157" s="61">
        <v>110000494019</v>
      </c>
      <c r="K157" s="61" t="s">
        <v>253</v>
      </c>
      <c r="L157" s="28"/>
      <c r="M157" s="28"/>
      <c r="N157" s="28"/>
      <c r="O157" s="28"/>
      <c r="P157" s="28"/>
      <c r="Q157" s="28" t="s">
        <v>265</v>
      </c>
      <c r="R157" s="28">
        <f>VLOOKUP(K157,OES!$A:$B, 2, FALSE)</f>
        <v>350</v>
      </c>
      <c r="S157" s="60" t="s">
        <v>1465</v>
      </c>
      <c r="T157" s="203" t="str">
        <f>IF(COUNTIF('Raw TRI Data'!$K:$K,J157)&gt;0, "X", "")</f>
        <v/>
      </c>
    </row>
    <row r="158" spans="1:20" x14ac:dyDescent="0.25">
      <c r="A158" s="28">
        <f t="shared" si="2"/>
        <v>157</v>
      </c>
      <c r="B158" s="28" t="s">
        <v>991</v>
      </c>
      <c r="C158" s="61" t="s">
        <v>1517</v>
      </c>
      <c r="D158" s="61" t="s">
        <v>992</v>
      </c>
      <c r="E158" s="61" t="s">
        <v>299</v>
      </c>
      <c r="F158" s="61">
        <v>723016413</v>
      </c>
      <c r="G158" s="28">
        <v>35.136057000000001</v>
      </c>
      <c r="H158" s="28">
        <v>-90.096892999999994</v>
      </c>
      <c r="I158" s="28" t="s">
        <v>704</v>
      </c>
      <c r="J158" s="61">
        <v>110000452082</v>
      </c>
      <c r="K158" s="61" t="s">
        <v>254</v>
      </c>
      <c r="L158" s="28"/>
      <c r="M158" s="28"/>
      <c r="N158" s="28"/>
      <c r="O158" s="28"/>
      <c r="P158" s="28"/>
      <c r="Q158" s="28" t="s">
        <v>265</v>
      </c>
      <c r="R158" s="28">
        <f>VLOOKUP(K158,OES!$A:$B, 2, FALSE)</f>
        <v>300</v>
      </c>
      <c r="S158" s="60" t="s">
        <v>1465</v>
      </c>
      <c r="T158" s="203" t="str">
        <f>IF(COUNTIF('Raw TRI Data'!$K:$K,J158)&gt;0, "X", "")</f>
        <v/>
      </c>
    </row>
    <row r="159" spans="1:20" x14ac:dyDescent="0.25">
      <c r="A159" s="28">
        <f t="shared" si="2"/>
        <v>158</v>
      </c>
      <c r="B159" s="28" t="s">
        <v>996</v>
      </c>
      <c r="C159" s="61" t="s">
        <v>1527</v>
      </c>
      <c r="D159" s="61" t="s">
        <v>388</v>
      </c>
      <c r="E159" s="61" t="s">
        <v>366</v>
      </c>
      <c r="F159" s="61">
        <v>92223</v>
      </c>
      <c r="G159" s="28">
        <v>33.926245999999999</v>
      </c>
      <c r="H159" s="28">
        <v>-116.992552</v>
      </c>
      <c r="I159" s="28"/>
      <c r="J159" s="61">
        <v>110055992993</v>
      </c>
      <c r="K159" s="28" t="s">
        <v>263</v>
      </c>
      <c r="L159" s="28"/>
      <c r="M159" s="28"/>
      <c r="N159" s="28"/>
      <c r="O159" s="28"/>
      <c r="P159" s="28"/>
      <c r="Q159" s="28" t="s">
        <v>265</v>
      </c>
      <c r="R159" s="28">
        <f>VLOOKUP(K159,OES!$A:$B, 2, FALSE)</f>
        <v>365</v>
      </c>
      <c r="S159" s="60" t="s">
        <v>1465</v>
      </c>
      <c r="T159" s="203" t="str">
        <f>IF(COUNTIF('Raw TRI Data'!$K:$K,J159)&gt;0, "X", "")</f>
        <v/>
      </c>
    </row>
    <row r="160" spans="1:20" x14ac:dyDescent="0.25">
      <c r="A160" s="28">
        <f t="shared" si="2"/>
        <v>159</v>
      </c>
      <c r="B160" s="28" t="s">
        <v>997</v>
      </c>
      <c r="C160" s="28" t="s">
        <v>7088</v>
      </c>
      <c r="D160" s="28" t="s">
        <v>998</v>
      </c>
      <c r="E160" s="28" t="s">
        <v>999</v>
      </c>
      <c r="F160" s="28" t="s">
        <v>1531</v>
      </c>
      <c r="G160" s="28">
        <v>43.270670000000003</v>
      </c>
      <c r="H160" s="28">
        <v>-71.590410000000006</v>
      </c>
      <c r="I160" s="28"/>
      <c r="J160" s="61">
        <v>110004087880</v>
      </c>
      <c r="K160" s="61" t="s">
        <v>265</v>
      </c>
      <c r="L160" s="28"/>
      <c r="M160" s="28"/>
      <c r="N160" s="28"/>
      <c r="O160" s="28"/>
      <c r="P160" s="28"/>
      <c r="Q160" s="28" t="s">
        <v>265</v>
      </c>
      <c r="R160" s="28">
        <f>VLOOKUP(K160,OES!$A:$B, 2, FALSE)</f>
        <v>250</v>
      </c>
      <c r="S160" s="60" t="s">
        <v>1465</v>
      </c>
      <c r="T160" s="203" t="str">
        <f>IF(COUNTIF('Raw TRI Data'!$K:$K,J160)&gt;0, "X", "")</f>
        <v/>
      </c>
    </row>
    <row r="161" spans="1:20" x14ac:dyDescent="0.25">
      <c r="A161" s="28">
        <f t="shared" si="2"/>
        <v>160</v>
      </c>
      <c r="B161" s="28" t="s">
        <v>122</v>
      </c>
      <c r="C161" s="28" t="s">
        <v>391</v>
      </c>
      <c r="D161" s="28" t="s">
        <v>392</v>
      </c>
      <c r="E161" s="28" t="s">
        <v>311</v>
      </c>
      <c r="F161" s="28">
        <v>26181</v>
      </c>
      <c r="G161" s="28">
        <v>39.271943999999998</v>
      </c>
      <c r="H161" s="28">
        <v>-81.661666999999994</v>
      </c>
      <c r="I161" s="28" t="s">
        <v>7136</v>
      </c>
      <c r="J161" s="61">
        <v>110071367964</v>
      </c>
      <c r="K161" s="61" t="s">
        <v>253</v>
      </c>
      <c r="L161" s="28"/>
      <c r="M161" s="28"/>
      <c r="N161" s="28"/>
      <c r="O161" s="28"/>
      <c r="P161" s="28"/>
      <c r="Q161" s="28" t="s">
        <v>265</v>
      </c>
      <c r="R161" s="28">
        <f>VLOOKUP(K161,OES!$A:$B, 2, FALSE)</f>
        <v>350</v>
      </c>
      <c r="S161" s="60" t="s">
        <v>1465</v>
      </c>
      <c r="T161" s="203" t="str">
        <f>IF(COUNTIF('Raw TRI Data'!$K:$K,J161)&gt;0, "X", "")</f>
        <v/>
      </c>
    </row>
    <row r="162" spans="1:20" x14ac:dyDescent="0.25">
      <c r="A162" s="28">
        <f t="shared" si="2"/>
        <v>161</v>
      </c>
      <c r="B162" s="28" t="s">
        <v>6841</v>
      </c>
      <c r="C162" s="28" t="s">
        <v>1913</v>
      </c>
      <c r="D162" s="28" t="s">
        <v>1187</v>
      </c>
      <c r="E162" s="28" t="s">
        <v>478</v>
      </c>
      <c r="F162" s="28" t="s">
        <v>6997</v>
      </c>
      <c r="G162" s="28">
        <v>38.631867</v>
      </c>
      <c r="H162" s="28">
        <v>-75.628372999999996</v>
      </c>
      <c r="I162" s="28"/>
      <c r="J162" s="61">
        <v>110000339027</v>
      </c>
      <c r="K162" s="61" t="s">
        <v>253</v>
      </c>
      <c r="L162" s="28"/>
      <c r="M162" s="28"/>
      <c r="N162" s="28"/>
      <c r="O162" s="28"/>
      <c r="P162" s="28"/>
      <c r="Q162" s="28" t="s">
        <v>265</v>
      </c>
      <c r="R162" s="28">
        <f>VLOOKUP(K162,OES!$A:$B, 2, FALSE)</f>
        <v>350</v>
      </c>
      <c r="S162" s="60" t="s">
        <v>1465</v>
      </c>
      <c r="T162" s="203" t="str">
        <f>IF(COUNTIF('Raw TRI Data'!$K:$K,J162)&gt;0, "X", "")</f>
        <v/>
      </c>
    </row>
    <row r="163" spans="1:20" x14ac:dyDescent="0.25">
      <c r="A163" s="28">
        <f t="shared" si="2"/>
        <v>162</v>
      </c>
      <c r="B163" s="28" t="s">
        <v>1000</v>
      </c>
      <c r="C163" s="61" t="s">
        <v>1534</v>
      </c>
      <c r="D163" s="61" t="s">
        <v>1001</v>
      </c>
      <c r="E163" s="61" t="s">
        <v>324</v>
      </c>
      <c r="F163" s="61">
        <v>42025</v>
      </c>
      <c r="G163" s="28">
        <v>36.866140000000001</v>
      </c>
      <c r="H163" s="28">
        <v>-88.342470000000006</v>
      </c>
      <c r="I163" s="28"/>
      <c r="J163" s="61">
        <v>110001855635</v>
      </c>
      <c r="K163" s="61" t="s">
        <v>263</v>
      </c>
      <c r="L163" s="28"/>
      <c r="M163" s="28"/>
      <c r="N163" s="28"/>
      <c r="O163" s="28"/>
      <c r="P163" s="28"/>
      <c r="Q163" s="28" t="s">
        <v>265</v>
      </c>
      <c r="R163" s="28">
        <f>VLOOKUP(K163,OES!$A:$B, 2, FALSE)</f>
        <v>365</v>
      </c>
      <c r="S163" s="60" t="s">
        <v>1465</v>
      </c>
      <c r="T163" s="203" t="str">
        <f>IF(COUNTIF('Raw TRI Data'!$K:$K,J163)&gt;0, "X", "")</f>
        <v/>
      </c>
    </row>
    <row r="164" spans="1:20" x14ac:dyDescent="0.25">
      <c r="A164" s="28">
        <f t="shared" si="2"/>
        <v>163</v>
      </c>
      <c r="B164" s="28" t="s">
        <v>1002</v>
      </c>
      <c r="C164" s="28" t="s">
        <v>1537</v>
      </c>
      <c r="D164" s="28" t="s">
        <v>1003</v>
      </c>
      <c r="E164" s="28" t="s">
        <v>303</v>
      </c>
      <c r="F164" s="28">
        <v>70726</v>
      </c>
      <c r="G164" s="28">
        <v>30.486767</v>
      </c>
      <c r="H164" s="28">
        <v>-90.925479999999993</v>
      </c>
      <c r="I164" s="28" t="s">
        <v>706</v>
      </c>
      <c r="J164" s="61">
        <v>110000597355</v>
      </c>
      <c r="K164" s="61" t="s">
        <v>265</v>
      </c>
      <c r="L164" s="28"/>
      <c r="M164" s="28"/>
      <c r="N164" s="28"/>
      <c r="O164" s="28"/>
      <c r="P164" s="28"/>
      <c r="Q164" s="28" t="s">
        <v>265</v>
      </c>
      <c r="R164" s="28">
        <f>VLOOKUP(K164,OES!$A:$B, 2, FALSE)</f>
        <v>250</v>
      </c>
      <c r="S164" s="60" t="s">
        <v>1465</v>
      </c>
      <c r="T164" s="203" t="str">
        <f>IF(COUNTIF('Raw TRI Data'!$K:$K,J164)&gt;0, "X", "")</f>
        <v/>
      </c>
    </row>
    <row r="165" spans="1:20" x14ac:dyDescent="0.25">
      <c r="A165" s="28">
        <f t="shared" si="2"/>
        <v>164</v>
      </c>
      <c r="B165" s="28" t="s">
        <v>1004</v>
      </c>
      <c r="C165" s="28" t="s">
        <v>1540</v>
      </c>
      <c r="D165" s="28" t="s">
        <v>608</v>
      </c>
      <c r="E165" s="28" t="s">
        <v>324</v>
      </c>
      <c r="F165" s="28">
        <v>40403</v>
      </c>
      <c r="G165" s="28">
        <v>37.608496000000002</v>
      </c>
      <c r="H165" s="28">
        <v>-84.287074000000004</v>
      </c>
      <c r="I165" s="28"/>
      <c r="J165" s="61">
        <v>110040000398</v>
      </c>
      <c r="K165" s="61" t="s">
        <v>263</v>
      </c>
      <c r="L165" s="28"/>
      <c r="M165" s="28"/>
      <c r="N165" s="28"/>
      <c r="O165" s="28"/>
      <c r="P165" s="28"/>
      <c r="Q165" s="28" t="s">
        <v>265</v>
      </c>
      <c r="R165" s="28">
        <f>VLOOKUP(K165,OES!$A:$B, 2, FALSE)</f>
        <v>365</v>
      </c>
      <c r="S165" s="60" t="s">
        <v>1465</v>
      </c>
      <c r="T165" s="203" t="str">
        <f>IF(COUNTIF('Raw TRI Data'!$K:$K,J165)&gt;0, "X", "")</f>
        <v/>
      </c>
    </row>
    <row r="166" spans="1:20" x14ac:dyDescent="0.25">
      <c r="A166" s="28">
        <f t="shared" si="2"/>
        <v>165</v>
      </c>
      <c r="B166" s="28" t="s">
        <v>1005</v>
      </c>
      <c r="C166" s="28" t="s">
        <v>1545</v>
      </c>
      <c r="D166" s="28" t="s">
        <v>446</v>
      </c>
      <c r="E166" s="28" t="s">
        <v>303</v>
      </c>
      <c r="F166" s="28">
        <v>70669</v>
      </c>
      <c r="G166" s="28">
        <v>30.23771</v>
      </c>
      <c r="H166" s="28">
        <v>-93.258650000000003</v>
      </c>
      <c r="I166" s="28"/>
      <c r="J166" s="61">
        <v>110064611969</v>
      </c>
      <c r="K166" s="61" t="s">
        <v>265</v>
      </c>
      <c r="L166" s="28"/>
      <c r="M166" s="28"/>
      <c r="N166" s="28"/>
      <c r="O166" s="28"/>
      <c r="P166" s="28"/>
      <c r="Q166" s="28" t="s">
        <v>265</v>
      </c>
      <c r="R166" s="28">
        <f>VLOOKUP(K166,OES!$A:$B, 2, FALSE)</f>
        <v>250</v>
      </c>
      <c r="S166" s="60" t="s">
        <v>1465</v>
      </c>
      <c r="T166" s="203" t="str">
        <f>IF(COUNTIF('Raw TRI Data'!$K:$K,J166)&gt;0, "X", "")</f>
        <v/>
      </c>
    </row>
    <row r="167" spans="1:20" x14ac:dyDescent="0.25">
      <c r="A167" s="28">
        <f t="shared" si="2"/>
        <v>166</v>
      </c>
      <c r="B167" s="28" t="s">
        <v>6793</v>
      </c>
      <c r="C167" s="61" t="s">
        <v>1547</v>
      </c>
      <c r="D167" s="61" t="s">
        <v>1007</v>
      </c>
      <c r="E167" s="61" t="s">
        <v>1008</v>
      </c>
      <c r="F167" s="61" t="s">
        <v>6943</v>
      </c>
      <c r="G167" s="28">
        <v>45.543847</v>
      </c>
      <c r="H167" s="28">
        <v>-122.46656299999999</v>
      </c>
      <c r="I167" s="28" t="s">
        <v>707</v>
      </c>
      <c r="J167" s="61">
        <v>110000487633</v>
      </c>
      <c r="K167" s="61" t="s">
        <v>265</v>
      </c>
      <c r="L167" s="28"/>
      <c r="M167" s="28"/>
      <c r="N167" s="28"/>
      <c r="O167" s="28"/>
      <c r="P167" s="28"/>
      <c r="Q167" s="28" t="s">
        <v>265</v>
      </c>
      <c r="R167" s="28">
        <f>VLOOKUP(K167,OES!$A:$B, 2, FALSE)</f>
        <v>250</v>
      </c>
      <c r="S167" s="60" t="s">
        <v>1465</v>
      </c>
      <c r="T167" s="203" t="str">
        <f>IF(COUNTIF('Raw TRI Data'!$K:$K,J167)&gt;0, "X", "")</f>
        <v/>
      </c>
    </row>
    <row r="168" spans="1:20" x14ac:dyDescent="0.25">
      <c r="A168" s="28">
        <f t="shared" si="2"/>
        <v>167</v>
      </c>
      <c r="B168" s="28" t="s">
        <v>6897</v>
      </c>
      <c r="C168" s="61" t="s">
        <v>7084</v>
      </c>
      <c r="D168" s="61" t="s">
        <v>1125</v>
      </c>
      <c r="E168" s="61" t="s">
        <v>294</v>
      </c>
      <c r="F168" s="61">
        <v>22046</v>
      </c>
      <c r="G168" s="28">
        <v>38.881900000000002</v>
      </c>
      <c r="H168" s="28">
        <v>-77.169899999999998</v>
      </c>
      <c r="I168" s="28"/>
      <c r="J168" s="61">
        <v>110071253595</v>
      </c>
      <c r="K168" s="61" t="s">
        <v>265</v>
      </c>
      <c r="L168" s="28"/>
      <c r="M168" s="28"/>
      <c r="N168" s="28"/>
      <c r="O168" s="28"/>
      <c r="P168" s="28"/>
      <c r="Q168" s="28" t="s">
        <v>265</v>
      </c>
      <c r="R168" s="28">
        <f>VLOOKUP(K168,OES!$A:$B, 2, FALSE)</f>
        <v>250</v>
      </c>
      <c r="S168" s="60" t="s">
        <v>1465</v>
      </c>
      <c r="T168" s="203" t="str">
        <f>IF(COUNTIF('Raw TRI Data'!$K:$K,J168)&gt;0, "X", "")</f>
        <v/>
      </c>
    </row>
    <row r="169" spans="1:20" x14ac:dyDescent="0.25">
      <c r="A169" s="28">
        <f t="shared" si="2"/>
        <v>168</v>
      </c>
      <c r="B169" s="28" t="s">
        <v>1013</v>
      </c>
      <c r="C169" s="28" t="s">
        <v>1557</v>
      </c>
      <c r="D169" s="28" t="s">
        <v>1014</v>
      </c>
      <c r="E169" s="28" t="s">
        <v>349</v>
      </c>
      <c r="F169" s="28">
        <v>64068</v>
      </c>
      <c r="G169" s="28">
        <v>39.248446999999999</v>
      </c>
      <c r="H169" s="28">
        <v>-94.293233000000001</v>
      </c>
      <c r="I169" s="28"/>
      <c r="J169" s="61">
        <v>110000614746</v>
      </c>
      <c r="K169" s="61" t="s">
        <v>6750</v>
      </c>
      <c r="L169" s="28"/>
      <c r="M169" s="28"/>
      <c r="N169" s="28"/>
      <c r="O169" s="28"/>
      <c r="P169" s="28"/>
      <c r="Q169" s="28" t="s">
        <v>265</v>
      </c>
      <c r="R169" s="28">
        <v>250</v>
      </c>
      <c r="S169" s="60" t="s">
        <v>1465</v>
      </c>
      <c r="T169" s="203" t="str">
        <f>IF(COUNTIF('Raw TRI Data'!$K:$K,J169)&gt;0, "X", "")</f>
        <v/>
      </c>
    </row>
    <row r="170" spans="1:20" x14ac:dyDescent="0.25">
      <c r="A170" s="28">
        <f t="shared" si="2"/>
        <v>169</v>
      </c>
      <c r="B170" s="28" t="s">
        <v>1017</v>
      </c>
      <c r="C170" s="28" t="s">
        <v>1566</v>
      </c>
      <c r="D170" s="28" t="s">
        <v>1018</v>
      </c>
      <c r="E170" s="28" t="s">
        <v>308</v>
      </c>
      <c r="F170" s="28">
        <v>2135</v>
      </c>
      <c r="G170" s="28">
        <v>42.356434999999998</v>
      </c>
      <c r="H170" s="28">
        <v>-71.145904000000002</v>
      </c>
      <c r="I170" s="28"/>
      <c r="J170" s="61">
        <v>110002014677</v>
      </c>
      <c r="K170" s="61" t="s">
        <v>265</v>
      </c>
      <c r="L170" s="28"/>
      <c r="M170" s="28"/>
      <c r="N170" s="28"/>
      <c r="O170" s="28"/>
      <c r="P170" s="28"/>
      <c r="Q170" s="28" t="s">
        <v>265</v>
      </c>
      <c r="R170" s="28">
        <f>VLOOKUP(K170,OES!$A:$B, 2, FALSE)</f>
        <v>250</v>
      </c>
      <c r="S170" s="60" t="s">
        <v>1465</v>
      </c>
      <c r="T170" s="203" t="str">
        <f>IF(COUNTIF('Raw TRI Data'!$K:$K,J170)&gt;0, "X", "")</f>
        <v/>
      </c>
    </row>
    <row r="171" spans="1:20" x14ac:dyDescent="0.25">
      <c r="A171" s="28">
        <f t="shared" si="2"/>
        <v>170</v>
      </c>
      <c r="B171" s="28" t="s">
        <v>6820</v>
      </c>
      <c r="C171" s="28" t="s">
        <v>2070</v>
      </c>
      <c r="D171" s="28" t="s">
        <v>1267</v>
      </c>
      <c r="E171" s="28" t="s">
        <v>491</v>
      </c>
      <c r="F171" s="28" t="s">
        <v>6976</v>
      </c>
      <c r="G171" s="28">
        <v>40.655278000000003</v>
      </c>
      <c r="H171" s="28">
        <v>-80.356388999999993</v>
      </c>
      <c r="I171" s="28" t="s">
        <v>728</v>
      </c>
      <c r="J171" s="61">
        <v>110059344473</v>
      </c>
      <c r="K171" s="28" t="s">
        <v>265</v>
      </c>
      <c r="L171" s="28"/>
      <c r="M171" s="28"/>
      <c r="N171" s="28"/>
      <c r="O171" s="28"/>
      <c r="P171" s="28"/>
      <c r="Q171" s="28" t="s">
        <v>265</v>
      </c>
      <c r="R171" s="28">
        <f>VLOOKUP(K171,OES!$A:$B, 2, FALSE)</f>
        <v>250</v>
      </c>
      <c r="S171" s="60" t="s">
        <v>1465</v>
      </c>
      <c r="T171" s="203" t="str">
        <f>IF(COUNTIF('Raw TRI Data'!$K:$K,J171)&gt;0, "X", "")</f>
        <v/>
      </c>
    </row>
    <row r="172" spans="1:20" x14ac:dyDescent="0.25">
      <c r="A172" s="28">
        <f t="shared" si="2"/>
        <v>171</v>
      </c>
      <c r="B172" s="28" t="s">
        <v>1021</v>
      </c>
      <c r="C172" s="61" t="s">
        <v>1571</v>
      </c>
      <c r="D172" s="61" t="s">
        <v>657</v>
      </c>
      <c r="E172" s="61" t="s">
        <v>418</v>
      </c>
      <c r="F172" s="61">
        <v>89109</v>
      </c>
      <c r="G172" s="28">
        <v>36.119087999999998</v>
      </c>
      <c r="H172" s="28">
        <v>-115.179282</v>
      </c>
      <c r="I172" s="28"/>
      <c r="J172" s="61">
        <v>110015972562</v>
      </c>
      <c r="K172" s="61" t="s">
        <v>264</v>
      </c>
      <c r="L172" s="28"/>
      <c r="M172" s="28"/>
      <c r="N172" s="28"/>
      <c r="O172" s="28"/>
      <c r="P172" s="28"/>
      <c r="Q172" s="28" t="s">
        <v>265</v>
      </c>
      <c r="R172" s="28">
        <f>VLOOKUP(K172,OES!$A:$B, 2, FALSE)</f>
        <v>365</v>
      </c>
      <c r="S172" s="60" t="s">
        <v>1465</v>
      </c>
      <c r="T172" s="203" t="str">
        <f>IF(COUNTIF('Raw TRI Data'!$K:$K,J172)&gt;0, "X", "")</f>
        <v/>
      </c>
    </row>
    <row r="173" spans="1:20" x14ac:dyDescent="0.25">
      <c r="A173" s="28">
        <f t="shared" si="2"/>
        <v>172</v>
      </c>
      <c r="B173" s="28" t="s">
        <v>1022</v>
      </c>
      <c r="C173" s="61" t="s">
        <v>1574</v>
      </c>
      <c r="D173" s="61" t="s">
        <v>1023</v>
      </c>
      <c r="E173" s="61" t="s">
        <v>366</v>
      </c>
      <c r="F173" s="61">
        <v>92231</v>
      </c>
      <c r="G173" s="28">
        <v>32.664450000000002</v>
      </c>
      <c r="H173" s="28">
        <v>-115.55970499999999</v>
      </c>
      <c r="I173" s="28"/>
      <c r="J173" s="61">
        <v>110000730825</v>
      </c>
      <c r="K173" s="61" t="s">
        <v>263</v>
      </c>
      <c r="L173" s="28"/>
      <c r="M173" s="28"/>
      <c r="N173" s="28"/>
      <c r="O173" s="28"/>
      <c r="P173" s="28"/>
      <c r="Q173" s="28" t="s">
        <v>265</v>
      </c>
      <c r="R173" s="28">
        <f>VLOOKUP(K173,OES!$A:$B, 2, FALSE)</f>
        <v>365</v>
      </c>
      <c r="S173" s="60" t="s">
        <v>1465</v>
      </c>
      <c r="T173" s="203" t="str">
        <f>IF(COUNTIF('Raw TRI Data'!$K:$K,J173)&gt;0, "X", "")</f>
        <v/>
      </c>
    </row>
    <row r="174" spans="1:20" x14ac:dyDescent="0.25">
      <c r="A174" s="28">
        <f t="shared" si="2"/>
        <v>173</v>
      </c>
      <c r="B174" s="28" t="s">
        <v>1024</v>
      </c>
      <c r="C174" s="28" t="s">
        <v>1576</v>
      </c>
      <c r="D174" s="28" t="s">
        <v>1025</v>
      </c>
      <c r="E174" s="28" t="s">
        <v>366</v>
      </c>
      <c r="F174" s="28">
        <v>92233</v>
      </c>
      <c r="G174" s="28">
        <v>33.147531999999998</v>
      </c>
      <c r="H174" s="28">
        <v>-115.54533000000001</v>
      </c>
      <c r="I174" s="28"/>
      <c r="J174" s="61">
        <v>110002043217</v>
      </c>
      <c r="K174" s="61" t="s">
        <v>263</v>
      </c>
      <c r="L174" s="28"/>
      <c r="M174" s="28"/>
      <c r="N174" s="28"/>
      <c r="O174" s="28"/>
      <c r="P174" s="28"/>
      <c r="Q174" s="28" t="s">
        <v>265</v>
      </c>
      <c r="R174" s="28">
        <f>VLOOKUP(K174,OES!$A:$B, 2, FALSE)</f>
        <v>365</v>
      </c>
      <c r="S174" s="60" t="s">
        <v>1465</v>
      </c>
      <c r="T174" s="203" t="str">
        <f>IF(COUNTIF('Raw TRI Data'!$K:$K,J174)&gt;0, "X", "")</f>
        <v/>
      </c>
    </row>
    <row r="175" spans="1:20" x14ac:dyDescent="0.25">
      <c r="A175" s="28">
        <f t="shared" si="2"/>
        <v>174</v>
      </c>
      <c r="B175" s="28" t="s">
        <v>1026</v>
      </c>
      <c r="C175" s="28" t="s">
        <v>1579</v>
      </c>
      <c r="D175" s="28" t="s">
        <v>1027</v>
      </c>
      <c r="E175" s="28" t="s">
        <v>349</v>
      </c>
      <c r="F175" s="28">
        <v>63353</v>
      </c>
      <c r="G175" s="28">
        <v>39.423425000000002</v>
      </c>
      <c r="H175" s="28">
        <v>-91.025666000000001</v>
      </c>
      <c r="I175" s="28"/>
      <c r="J175" s="61">
        <v>110054612558</v>
      </c>
      <c r="K175" s="28" t="s">
        <v>265</v>
      </c>
      <c r="L175" s="28"/>
      <c r="M175" s="28"/>
      <c r="N175" s="28"/>
      <c r="O175" s="28"/>
      <c r="P175" s="28"/>
      <c r="Q175" s="28" t="s">
        <v>265</v>
      </c>
      <c r="R175" s="28">
        <f>VLOOKUP(K175,OES!$A:$B, 2, FALSE)</f>
        <v>250</v>
      </c>
      <c r="S175" s="60" t="s">
        <v>1465</v>
      </c>
      <c r="T175" s="203" t="str">
        <f>IF(COUNTIF('Raw TRI Data'!$K:$K,J175)&gt;0, "X", "")</f>
        <v/>
      </c>
    </row>
    <row r="176" spans="1:20" x14ac:dyDescent="0.25">
      <c r="A176" s="28">
        <f t="shared" si="2"/>
        <v>175</v>
      </c>
      <c r="B176" s="28" t="s">
        <v>1032</v>
      </c>
      <c r="C176" s="28" t="s">
        <v>1590</v>
      </c>
      <c r="D176" s="28" t="s">
        <v>1033</v>
      </c>
      <c r="E176" s="28" t="s">
        <v>324</v>
      </c>
      <c r="F176" s="28">
        <v>41008</v>
      </c>
      <c r="G176" s="28">
        <v>38.627777999999999</v>
      </c>
      <c r="H176" s="28">
        <v>-85.115832999999995</v>
      </c>
      <c r="I176" s="28"/>
      <c r="J176" s="61">
        <v>110015632216</v>
      </c>
      <c r="K176" s="28" t="s">
        <v>263</v>
      </c>
      <c r="L176" s="28"/>
      <c r="M176" s="28"/>
      <c r="N176" s="28"/>
      <c r="O176" s="28"/>
      <c r="P176" s="28"/>
      <c r="Q176" s="28" t="s">
        <v>265</v>
      </c>
      <c r="R176" s="28">
        <f>VLOOKUP(K176,OES!$A:$B, 2, FALSE)</f>
        <v>365</v>
      </c>
      <c r="S176" s="60" t="s">
        <v>1465</v>
      </c>
      <c r="T176" s="203" t="str">
        <f>IF(COUNTIF('Raw TRI Data'!$K:$K,J176)&gt;0, "X", "")</f>
        <v/>
      </c>
    </row>
    <row r="177" spans="1:20" x14ac:dyDescent="0.25">
      <c r="A177" s="28">
        <f t="shared" si="2"/>
        <v>176</v>
      </c>
      <c r="B177" s="28" t="s">
        <v>6884</v>
      </c>
      <c r="C177" s="28" t="s">
        <v>7058</v>
      </c>
      <c r="D177" s="28" t="s">
        <v>7059</v>
      </c>
      <c r="E177" s="28" t="s">
        <v>324</v>
      </c>
      <c r="F177" s="28">
        <v>42749</v>
      </c>
      <c r="G177" s="28">
        <v>37.17</v>
      </c>
      <c r="H177" s="28">
        <v>-85.916111000000001</v>
      </c>
      <c r="I177" s="28"/>
      <c r="J177" s="61">
        <v>110006656083</v>
      </c>
      <c r="K177" s="28" t="s">
        <v>263</v>
      </c>
      <c r="L177" s="28"/>
      <c r="M177" s="28"/>
      <c r="N177" s="28"/>
      <c r="O177" s="28"/>
      <c r="P177" s="28"/>
      <c r="Q177" s="28" t="s">
        <v>265</v>
      </c>
      <c r="R177" s="28">
        <f>VLOOKUP(K177,OES!$A:$B, 2, FALSE)</f>
        <v>365</v>
      </c>
      <c r="S177" s="60" t="s">
        <v>1465</v>
      </c>
      <c r="T177" s="203" t="str">
        <f>IF(COUNTIF('Raw TRI Data'!$K:$K,J177)&gt;0, "X", "")</f>
        <v/>
      </c>
    </row>
    <row r="178" spans="1:20" x14ac:dyDescent="0.25">
      <c r="A178" s="28">
        <f t="shared" si="2"/>
        <v>177</v>
      </c>
      <c r="B178" s="28" t="s">
        <v>6859</v>
      </c>
      <c r="C178" s="28" t="s">
        <v>7020</v>
      </c>
      <c r="D178" s="28" t="s">
        <v>6939</v>
      </c>
      <c r="E178" s="28" t="s">
        <v>366</v>
      </c>
      <c r="F178" s="28">
        <v>93443</v>
      </c>
      <c r="G178" s="28">
        <v>35.378917000000001</v>
      </c>
      <c r="H178" s="28">
        <v>-120.886111</v>
      </c>
      <c r="I178" s="28"/>
      <c r="J178" s="61">
        <v>110070838708</v>
      </c>
      <c r="K178" s="28" t="s">
        <v>263</v>
      </c>
      <c r="L178" s="28"/>
      <c r="M178" s="28"/>
      <c r="N178" s="28"/>
      <c r="O178" s="28"/>
      <c r="P178" s="28"/>
      <c r="Q178" s="28" t="s">
        <v>265</v>
      </c>
      <c r="R178" s="28">
        <f>VLOOKUP(K178,OES!$A:$B, 2, FALSE)</f>
        <v>365</v>
      </c>
      <c r="S178" s="60" t="s">
        <v>1465</v>
      </c>
      <c r="T178" s="203" t="str">
        <f>IF(COUNTIF('Raw TRI Data'!$K:$K,J178)&gt;0, "X", "")</f>
        <v/>
      </c>
    </row>
    <row r="179" spans="1:20" x14ac:dyDescent="0.25">
      <c r="A179" s="28">
        <f t="shared" si="2"/>
        <v>178</v>
      </c>
      <c r="B179" s="28" t="s">
        <v>1036</v>
      </c>
      <c r="C179" s="28" t="s">
        <v>1597</v>
      </c>
      <c r="D179" s="28" t="s">
        <v>446</v>
      </c>
      <c r="E179" s="28" t="s">
        <v>303</v>
      </c>
      <c r="F179" s="28">
        <v>70669</v>
      </c>
      <c r="G179" s="28">
        <v>30.318283999999998</v>
      </c>
      <c r="H179" s="28">
        <v>-93.303511999999998</v>
      </c>
      <c r="I179" s="28"/>
      <c r="J179" s="61">
        <v>110000613685</v>
      </c>
      <c r="K179" s="28" t="s">
        <v>6750</v>
      </c>
      <c r="L179" s="28"/>
      <c r="M179" s="28"/>
      <c r="N179" s="28"/>
      <c r="O179" s="28"/>
      <c r="P179" s="28"/>
      <c r="Q179" s="28" t="s">
        <v>265</v>
      </c>
      <c r="R179" s="28">
        <v>250</v>
      </c>
      <c r="S179" s="60" t="s">
        <v>1465</v>
      </c>
      <c r="T179" s="203" t="str">
        <f>IF(COUNTIF('Raw TRI Data'!$K:$K,J179)&gt;0, "X", "")</f>
        <v/>
      </c>
    </row>
    <row r="180" spans="1:20" x14ac:dyDescent="0.25">
      <c r="A180" s="28">
        <f t="shared" si="2"/>
        <v>179</v>
      </c>
      <c r="B180" s="28" t="s">
        <v>1037</v>
      </c>
      <c r="C180" s="28" t="s">
        <v>1601</v>
      </c>
      <c r="D180" s="28" t="s">
        <v>987</v>
      </c>
      <c r="E180" s="28" t="s">
        <v>324</v>
      </c>
      <c r="F180" s="28">
        <v>40291</v>
      </c>
      <c r="G180" s="28">
        <v>38.122354000000001</v>
      </c>
      <c r="H180" s="28">
        <v>-85.587648000000002</v>
      </c>
      <c r="I180" s="28"/>
      <c r="J180" s="61">
        <v>110043485421</v>
      </c>
      <c r="K180" s="28" t="s">
        <v>263</v>
      </c>
      <c r="L180" s="28"/>
      <c r="M180" s="28"/>
      <c r="N180" s="28"/>
      <c r="O180" s="28"/>
      <c r="P180" s="28"/>
      <c r="Q180" s="28" t="s">
        <v>265</v>
      </c>
      <c r="R180" s="28">
        <f>VLOOKUP(K180,OES!$A:$B, 2, FALSE)</f>
        <v>365</v>
      </c>
      <c r="S180" s="60" t="s">
        <v>1465</v>
      </c>
      <c r="T180" s="203" t="str">
        <f>IF(COUNTIF('Raw TRI Data'!$K:$K,J180)&gt;0, "X", "")</f>
        <v/>
      </c>
    </row>
    <row r="181" spans="1:20" x14ac:dyDescent="0.25">
      <c r="A181" s="28">
        <f t="shared" si="2"/>
        <v>180</v>
      </c>
      <c r="B181" s="28" t="s">
        <v>1038</v>
      </c>
      <c r="C181" s="28" t="s">
        <v>1605</v>
      </c>
      <c r="D181" s="28" t="s">
        <v>1039</v>
      </c>
      <c r="E181" s="28" t="s">
        <v>324</v>
      </c>
      <c r="F181" s="28">
        <v>42330</v>
      </c>
      <c r="G181" s="28">
        <v>37.326943999999997</v>
      </c>
      <c r="H181" s="28">
        <v>-87.123889000000005</v>
      </c>
      <c r="I181" s="28"/>
      <c r="J181" s="61">
        <v>110064265496</v>
      </c>
      <c r="K181" s="28" t="s">
        <v>263</v>
      </c>
      <c r="L181" s="28"/>
      <c r="M181" s="28"/>
      <c r="N181" s="28"/>
      <c r="O181" s="28"/>
      <c r="P181" s="28"/>
      <c r="Q181" s="28" t="s">
        <v>265</v>
      </c>
      <c r="R181" s="28">
        <f>VLOOKUP(K181,OES!$A:$B, 2, FALSE)</f>
        <v>365</v>
      </c>
      <c r="S181" s="60" t="s">
        <v>1465</v>
      </c>
      <c r="T181" s="203" t="str">
        <f>IF(COUNTIF('Raw TRI Data'!$K:$K,J181)&gt;0, "X", "")</f>
        <v/>
      </c>
    </row>
    <row r="182" spans="1:20" x14ac:dyDescent="0.25">
      <c r="A182" s="28">
        <f t="shared" si="2"/>
        <v>181</v>
      </c>
      <c r="B182" s="28" t="s">
        <v>1044</v>
      </c>
      <c r="C182" s="28" t="s">
        <v>1617</v>
      </c>
      <c r="D182" s="28" t="s">
        <v>1045</v>
      </c>
      <c r="E182" s="28" t="s">
        <v>427</v>
      </c>
      <c r="F182" s="28">
        <v>48843</v>
      </c>
      <c r="G182" s="28">
        <v>42.592550000000003</v>
      </c>
      <c r="H182" s="28">
        <v>-83.889930000000007</v>
      </c>
      <c r="I182" s="28"/>
      <c r="J182" s="61">
        <v>110000408265</v>
      </c>
      <c r="K182" s="28" t="s">
        <v>265</v>
      </c>
      <c r="L182" s="28"/>
      <c r="M182" s="28"/>
      <c r="N182" s="28"/>
      <c r="O182" s="28"/>
      <c r="P182" s="28"/>
      <c r="Q182" s="28" t="s">
        <v>265</v>
      </c>
      <c r="R182" s="28">
        <f>VLOOKUP(K182,OES!$A:$B, 2, FALSE)</f>
        <v>250</v>
      </c>
      <c r="S182" s="60" t="s">
        <v>1465</v>
      </c>
      <c r="T182" s="203" t="str">
        <f>IF(COUNTIF('Raw TRI Data'!$K:$K,J182)&gt;0, "X", "")</f>
        <v/>
      </c>
    </row>
    <row r="183" spans="1:20" x14ac:dyDescent="0.25">
      <c r="A183" s="28">
        <f t="shared" si="2"/>
        <v>182</v>
      </c>
      <c r="B183" s="28" t="s">
        <v>6823</v>
      </c>
      <c r="C183" s="28" t="s">
        <v>6977</v>
      </c>
      <c r="D183" s="28" t="s">
        <v>6978</v>
      </c>
      <c r="E183" s="28" t="s">
        <v>366</v>
      </c>
      <c r="F183" s="28">
        <v>95222</v>
      </c>
      <c r="G183" s="28">
        <v>38.060360000000003</v>
      </c>
      <c r="H183" s="28">
        <v>-120.53995999999999</v>
      </c>
      <c r="I183" s="28"/>
      <c r="J183" s="61">
        <v>110030437524</v>
      </c>
      <c r="K183" s="28" t="s">
        <v>263</v>
      </c>
      <c r="L183" s="28"/>
      <c r="M183" s="28"/>
      <c r="N183" s="28"/>
      <c r="O183" s="28"/>
      <c r="P183" s="28"/>
      <c r="Q183" s="28" t="s">
        <v>265</v>
      </c>
      <c r="R183" s="28">
        <f>VLOOKUP(K183,OES!$A:$B, 2, FALSE)</f>
        <v>365</v>
      </c>
      <c r="S183" s="60" t="s">
        <v>1465</v>
      </c>
      <c r="T183" s="203" t="str">
        <f>IF(COUNTIF('Raw TRI Data'!$K:$K,J183)&gt;0, "X", "")</f>
        <v/>
      </c>
    </row>
    <row r="184" spans="1:20" x14ac:dyDescent="0.25">
      <c r="A184" s="28">
        <f t="shared" si="2"/>
        <v>183</v>
      </c>
      <c r="B184" s="28" t="s">
        <v>1061</v>
      </c>
      <c r="C184" s="28" t="s">
        <v>1643</v>
      </c>
      <c r="D184" s="28" t="s">
        <v>1062</v>
      </c>
      <c r="E184" s="28" t="s">
        <v>366</v>
      </c>
      <c r="F184" s="28">
        <v>92008</v>
      </c>
      <c r="G184" s="28">
        <v>33.139895000000003</v>
      </c>
      <c r="H184" s="28">
        <v>-117.339645</v>
      </c>
      <c r="I184" s="28"/>
      <c r="J184" s="61">
        <v>110027363252</v>
      </c>
      <c r="K184" s="28" t="s">
        <v>263</v>
      </c>
      <c r="L184" s="28"/>
      <c r="M184" s="28"/>
      <c r="N184" s="28"/>
      <c r="O184" s="28"/>
      <c r="P184" s="28"/>
      <c r="Q184" s="28" t="s">
        <v>265</v>
      </c>
      <c r="R184" s="28">
        <f>VLOOKUP(K184,OES!$A:$B, 2, FALSE)</f>
        <v>365</v>
      </c>
      <c r="S184" s="60" t="s">
        <v>1465</v>
      </c>
      <c r="T184" s="203" t="str">
        <f>IF(COUNTIF('Raw TRI Data'!$K:$K,J184)&gt;0, "X", "")</f>
        <v/>
      </c>
    </row>
    <row r="185" spans="1:20" x14ac:dyDescent="0.25">
      <c r="A185" s="28">
        <f t="shared" si="2"/>
        <v>184</v>
      </c>
      <c r="B185" s="28" t="s">
        <v>1063</v>
      </c>
      <c r="C185" s="28" t="s">
        <v>1645</v>
      </c>
      <c r="D185" s="28" t="s">
        <v>1064</v>
      </c>
      <c r="E185" s="28" t="s">
        <v>308</v>
      </c>
      <c r="F185" s="28">
        <v>1760</v>
      </c>
      <c r="G185" s="28">
        <v>42.303330000000003</v>
      </c>
      <c r="H185" s="28">
        <v>-71.360830000000007</v>
      </c>
      <c r="I185" s="28"/>
      <c r="J185" s="61">
        <v>110070670433</v>
      </c>
      <c r="K185" s="61" t="s">
        <v>265</v>
      </c>
      <c r="L185" s="28"/>
      <c r="M185" s="28"/>
      <c r="N185" s="28"/>
      <c r="O185" s="28"/>
      <c r="P185" s="28"/>
      <c r="Q185" s="28" t="s">
        <v>265</v>
      </c>
      <c r="R185" s="28">
        <f>VLOOKUP(K185,OES!$A:$B, 2, FALSE)</f>
        <v>250</v>
      </c>
      <c r="S185" s="60" t="s">
        <v>1465</v>
      </c>
      <c r="T185" s="203" t="str">
        <f>IF(COUNTIF('Raw TRI Data'!$K:$K,J185)&gt;0, "X", "")</f>
        <v/>
      </c>
    </row>
    <row r="186" spans="1:20" x14ac:dyDescent="0.25">
      <c r="A186" s="28">
        <f t="shared" si="2"/>
        <v>185</v>
      </c>
      <c r="B186" s="28" t="s">
        <v>6829</v>
      </c>
      <c r="C186" s="28" t="s">
        <v>6983</v>
      </c>
      <c r="D186" s="28" t="s">
        <v>1066</v>
      </c>
      <c r="E186" s="28" t="s">
        <v>541</v>
      </c>
      <c r="F186" s="28">
        <v>29210</v>
      </c>
      <c r="G186" s="28">
        <v>34.047217000000003</v>
      </c>
      <c r="H186" s="28">
        <v>-81.151325999999997</v>
      </c>
      <c r="I186" s="28" t="s">
        <v>7126</v>
      </c>
      <c r="J186" s="61">
        <v>110000854246</v>
      </c>
      <c r="K186" s="28" t="s">
        <v>265</v>
      </c>
      <c r="L186" s="28"/>
      <c r="M186" s="28"/>
      <c r="N186" s="28"/>
      <c r="O186" s="28"/>
      <c r="P186" s="28"/>
      <c r="Q186" s="28" t="s">
        <v>265</v>
      </c>
      <c r="R186" s="28">
        <f>VLOOKUP(K186,OES!$A:$B, 2, FALSE)</f>
        <v>250</v>
      </c>
      <c r="S186" s="60" t="s">
        <v>1465</v>
      </c>
      <c r="T186" s="203" t="str">
        <f>IF(COUNTIF('Raw TRI Data'!$K:$K,J186)&gt;0, "X", "")</f>
        <v/>
      </c>
    </row>
    <row r="187" spans="1:20" x14ac:dyDescent="0.25">
      <c r="A187" s="28">
        <f t="shared" si="2"/>
        <v>186</v>
      </c>
      <c r="B187" s="28" t="s">
        <v>1065</v>
      </c>
      <c r="C187" s="28" t="s">
        <v>1648</v>
      </c>
      <c r="D187" s="28" t="s">
        <v>1066</v>
      </c>
      <c r="E187" s="28" t="s">
        <v>324</v>
      </c>
      <c r="F187" s="28">
        <v>42728</v>
      </c>
      <c r="G187" s="28">
        <v>37.108094000000001</v>
      </c>
      <c r="H187" s="28">
        <v>-85.303033999999997</v>
      </c>
      <c r="I187" s="28"/>
      <c r="J187" s="61">
        <v>110009696356</v>
      </c>
      <c r="K187" s="28" t="s">
        <v>263</v>
      </c>
      <c r="L187" s="28"/>
      <c r="M187" s="28"/>
      <c r="N187" s="28"/>
      <c r="O187" s="28"/>
      <c r="P187" s="28"/>
      <c r="Q187" s="28" t="s">
        <v>265</v>
      </c>
      <c r="R187" s="28">
        <f>VLOOKUP(K187,OES!$A:$B, 2, FALSE)</f>
        <v>365</v>
      </c>
      <c r="S187" s="60" t="s">
        <v>1465</v>
      </c>
      <c r="T187" s="203" t="str">
        <f>IF(COUNTIF('Raw TRI Data'!$K:$K,J187)&gt;0, "X", "")</f>
        <v/>
      </c>
    </row>
    <row r="188" spans="1:20" x14ac:dyDescent="0.25">
      <c r="A188" s="28">
        <f t="shared" si="2"/>
        <v>187</v>
      </c>
      <c r="B188" s="28" t="s">
        <v>6777</v>
      </c>
      <c r="C188" s="28" t="s">
        <v>6920</v>
      </c>
      <c r="D188" s="28" t="s">
        <v>6921</v>
      </c>
      <c r="E188" s="28" t="s">
        <v>311</v>
      </c>
      <c r="F188" s="28">
        <v>25064</v>
      </c>
      <c r="G188" s="28">
        <v>38.382550000000002</v>
      </c>
      <c r="H188" s="28">
        <v>-81.782629</v>
      </c>
      <c r="I188" s="28" t="s">
        <v>7118</v>
      </c>
      <c r="J188" s="61">
        <v>110070676994</v>
      </c>
      <c r="K188" s="28" t="s">
        <v>265</v>
      </c>
      <c r="L188" s="28"/>
      <c r="M188" s="28"/>
      <c r="N188" s="28"/>
      <c r="O188" s="28"/>
      <c r="P188" s="28"/>
      <c r="Q188" s="28" t="s">
        <v>265</v>
      </c>
      <c r="R188" s="28">
        <f>VLOOKUP(K188,OES!$A:$B, 2, FALSE)</f>
        <v>250</v>
      </c>
      <c r="S188" s="60" t="s">
        <v>1465</v>
      </c>
      <c r="T188" s="203" t="str">
        <f>IF(COUNTIF('Raw TRI Data'!$K:$K,J188)&gt;0, "X", "")</f>
        <v/>
      </c>
    </row>
    <row r="189" spans="1:20" x14ac:dyDescent="0.25">
      <c r="A189" s="28">
        <f t="shared" si="2"/>
        <v>188</v>
      </c>
      <c r="B189" s="28" t="s">
        <v>6844</v>
      </c>
      <c r="C189" s="28" t="s">
        <v>1652</v>
      </c>
      <c r="D189" s="28" t="s">
        <v>1068</v>
      </c>
      <c r="E189" s="28" t="s">
        <v>349</v>
      </c>
      <c r="F189" s="28">
        <v>63401</v>
      </c>
      <c r="G189" s="28">
        <v>39.683477000000003</v>
      </c>
      <c r="H189" s="28">
        <v>-91.334682999999998</v>
      </c>
      <c r="I189" s="28" t="s">
        <v>709</v>
      </c>
      <c r="J189" s="61">
        <v>110000595981</v>
      </c>
      <c r="K189" s="28" t="s">
        <v>265</v>
      </c>
      <c r="L189" s="28"/>
      <c r="M189" s="28"/>
      <c r="N189" s="28"/>
      <c r="O189" s="28"/>
      <c r="P189" s="28"/>
      <c r="Q189" s="28" t="s">
        <v>265</v>
      </c>
      <c r="R189" s="28">
        <f>VLOOKUP(K189,OES!$A:$B, 2, FALSE)</f>
        <v>250</v>
      </c>
      <c r="S189" s="60" t="s">
        <v>1465</v>
      </c>
      <c r="T189" s="203" t="str">
        <f>IF(COUNTIF('Raw TRI Data'!$K:$K,J189)&gt;0, "X", "")</f>
        <v/>
      </c>
    </row>
    <row r="190" spans="1:20" x14ac:dyDescent="0.25">
      <c r="A190" s="28">
        <f t="shared" si="2"/>
        <v>189</v>
      </c>
      <c r="B190" s="28" t="s">
        <v>1069</v>
      </c>
      <c r="C190" s="28" t="s">
        <v>1656</v>
      </c>
      <c r="D190" s="28" t="s">
        <v>1070</v>
      </c>
      <c r="E190" s="28" t="s">
        <v>338</v>
      </c>
      <c r="F190" s="28" t="s">
        <v>1659</v>
      </c>
      <c r="G190" s="28">
        <v>40.798532000000002</v>
      </c>
      <c r="H190" s="28">
        <v>-74.701402000000002</v>
      </c>
      <c r="I190" s="28"/>
      <c r="J190" s="61">
        <v>110000616049</v>
      </c>
      <c r="K190" s="28" t="s">
        <v>265</v>
      </c>
      <c r="L190" s="28"/>
      <c r="M190" s="28"/>
      <c r="N190" s="28"/>
      <c r="O190" s="28"/>
      <c r="P190" s="28"/>
      <c r="Q190" s="28" t="s">
        <v>265</v>
      </c>
      <c r="R190" s="28">
        <f>VLOOKUP(K190,OES!$A:$B, 2, FALSE)</f>
        <v>250</v>
      </c>
      <c r="S190" s="60" t="s">
        <v>1465</v>
      </c>
      <c r="T190" s="203" t="str">
        <f>IF(COUNTIF('Raw TRI Data'!$K:$K,J190)&gt;0, "X", "")</f>
        <v/>
      </c>
    </row>
    <row r="191" spans="1:20" x14ac:dyDescent="0.25">
      <c r="A191" s="28">
        <f t="shared" si="2"/>
        <v>190</v>
      </c>
      <c r="B191" s="28" t="s">
        <v>6869</v>
      </c>
      <c r="C191" s="28" t="s">
        <v>7037</v>
      </c>
      <c r="D191" s="28" t="s">
        <v>7038</v>
      </c>
      <c r="E191" s="28" t="s">
        <v>366</v>
      </c>
      <c r="F191" s="28">
        <v>95228</v>
      </c>
      <c r="G191" s="28">
        <v>37.908380000000001</v>
      </c>
      <c r="H191" s="28">
        <v>-120.61605</v>
      </c>
      <c r="I191" s="28"/>
      <c r="J191" s="61">
        <v>110027858432</v>
      </c>
      <c r="K191" s="28" t="s">
        <v>263</v>
      </c>
      <c r="L191" s="28"/>
      <c r="M191" s="28"/>
      <c r="N191" s="28"/>
      <c r="O191" s="28"/>
      <c r="P191" s="28"/>
      <c r="Q191" s="28" t="s">
        <v>265</v>
      </c>
      <c r="R191" s="28">
        <f>VLOOKUP(K191,OES!$A:$B, 2, FALSE)</f>
        <v>365</v>
      </c>
      <c r="S191" s="60" t="s">
        <v>1465</v>
      </c>
      <c r="T191" s="203" t="str">
        <f>IF(COUNTIF('Raw TRI Data'!$K:$K,J191)&gt;0, "X", "")</f>
        <v/>
      </c>
    </row>
    <row r="192" spans="1:20" x14ac:dyDescent="0.25">
      <c r="A192" s="28">
        <f t="shared" si="2"/>
        <v>191</v>
      </c>
      <c r="B192" s="28" t="s">
        <v>1071</v>
      </c>
      <c r="C192" s="28" t="s">
        <v>1661</v>
      </c>
      <c r="D192" s="28" t="s">
        <v>1072</v>
      </c>
      <c r="E192" s="28" t="s">
        <v>366</v>
      </c>
      <c r="F192" s="28">
        <v>96021</v>
      </c>
      <c r="G192" s="28">
        <v>39.913755999999999</v>
      </c>
      <c r="H192" s="28">
        <v>-122.09274000000001</v>
      </c>
      <c r="I192" s="28"/>
      <c r="J192" s="61">
        <v>110000730451</v>
      </c>
      <c r="K192" s="28" t="s">
        <v>263</v>
      </c>
      <c r="L192" s="28"/>
      <c r="M192" s="28"/>
      <c r="N192" s="28"/>
      <c r="O192" s="28"/>
      <c r="P192" s="28"/>
      <c r="Q192" s="28" t="s">
        <v>265</v>
      </c>
      <c r="R192" s="28">
        <f>VLOOKUP(K192,OES!$A:$B, 2, FALSE)</f>
        <v>365</v>
      </c>
      <c r="S192" s="60" t="s">
        <v>1465</v>
      </c>
      <c r="T192" s="203" t="str">
        <f>IF(COUNTIF('Raw TRI Data'!$K:$K,J192)&gt;0, "X", "")</f>
        <v/>
      </c>
    </row>
    <row r="193" spans="1:20" x14ac:dyDescent="0.25">
      <c r="A193" s="28">
        <f t="shared" si="2"/>
        <v>192</v>
      </c>
      <c r="B193" s="28" t="s">
        <v>6831</v>
      </c>
      <c r="C193" s="28" t="s">
        <v>6984</v>
      </c>
      <c r="D193" s="28" t="s">
        <v>968</v>
      </c>
      <c r="E193" s="28" t="s">
        <v>294</v>
      </c>
      <c r="F193" s="28">
        <v>22306</v>
      </c>
      <c r="G193" s="28">
        <v>38.741570000000003</v>
      </c>
      <c r="H193" s="28">
        <v>-77.086209999999994</v>
      </c>
      <c r="I193" s="28"/>
      <c r="J193" s="61">
        <v>110055415732</v>
      </c>
      <c r="K193" s="28" t="s">
        <v>265</v>
      </c>
      <c r="L193" s="28"/>
      <c r="M193" s="28"/>
      <c r="N193" s="28"/>
      <c r="O193" s="28"/>
      <c r="P193" s="28"/>
      <c r="Q193" s="28" t="s">
        <v>265</v>
      </c>
      <c r="R193" s="28">
        <f>VLOOKUP(K193,OES!$A:$B, 2, FALSE)</f>
        <v>250</v>
      </c>
      <c r="S193" s="60" t="s">
        <v>1465</v>
      </c>
      <c r="T193" s="203" t="str">
        <f>IF(COUNTIF('Raw TRI Data'!$K:$K,J193)&gt;0, "X", "")</f>
        <v/>
      </c>
    </row>
    <row r="194" spans="1:20" x14ac:dyDescent="0.25">
      <c r="A194" s="28">
        <f t="shared" si="2"/>
        <v>193</v>
      </c>
      <c r="B194" s="28" t="s">
        <v>6768</v>
      </c>
      <c r="C194" s="28" t="s">
        <v>6913</v>
      </c>
      <c r="D194" s="28" t="s">
        <v>6914</v>
      </c>
      <c r="E194" s="28" t="s">
        <v>6915</v>
      </c>
      <c r="F194" s="28">
        <v>35601</v>
      </c>
      <c r="G194" s="28">
        <v>34.63147</v>
      </c>
      <c r="H194" s="28">
        <v>-87.038430000000005</v>
      </c>
      <c r="I194" s="28" t="s">
        <v>7117</v>
      </c>
      <c r="J194" s="61">
        <v>110045447469</v>
      </c>
      <c r="K194" s="28" t="s">
        <v>265</v>
      </c>
      <c r="L194" s="28"/>
      <c r="M194" s="28"/>
      <c r="N194" s="28"/>
      <c r="O194" s="28"/>
      <c r="P194" s="28"/>
      <c r="Q194" s="28" t="s">
        <v>265</v>
      </c>
      <c r="R194" s="28">
        <f>VLOOKUP(K194,OES!$A:$B, 2, FALSE)</f>
        <v>250</v>
      </c>
      <c r="S194" s="60" t="s">
        <v>1465</v>
      </c>
      <c r="T194" s="203" t="str">
        <f>IF(COUNTIF('Raw TRI Data'!$K:$K,J194)&gt;0, "X", "")</f>
        <v/>
      </c>
    </row>
    <row r="195" spans="1:20" x14ac:dyDescent="0.25">
      <c r="A195" s="28">
        <f t="shared" ref="A195:A258" si="3">A194+1</f>
        <v>194</v>
      </c>
      <c r="B195" s="28" t="s">
        <v>6860</v>
      </c>
      <c r="C195" s="28" t="s">
        <v>7021</v>
      </c>
      <c r="D195" s="28" t="s">
        <v>7022</v>
      </c>
      <c r="E195" s="28" t="s">
        <v>324</v>
      </c>
      <c r="F195" s="28">
        <v>41031</v>
      </c>
      <c r="G195" s="28">
        <v>38.394444</v>
      </c>
      <c r="H195" s="28">
        <v>-84.284999999999997</v>
      </c>
      <c r="I195" s="28"/>
      <c r="J195" s="61">
        <v>110020737540</v>
      </c>
      <c r="K195" s="28" t="s">
        <v>263</v>
      </c>
      <c r="L195" s="28"/>
      <c r="M195" s="28"/>
      <c r="N195" s="28"/>
      <c r="O195" s="28"/>
      <c r="P195" s="28"/>
      <c r="Q195" s="28" t="s">
        <v>265</v>
      </c>
      <c r="R195" s="28">
        <f>VLOOKUP(K195,OES!$A:$B, 2, FALSE)</f>
        <v>365</v>
      </c>
      <c r="S195" s="60" t="s">
        <v>1465</v>
      </c>
      <c r="T195" s="203" t="str">
        <f>IF(COUNTIF('Raw TRI Data'!$K:$K,J195)&gt;0, "X", "")</f>
        <v/>
      </c>
    </row>
    <row r="196" spans="1:20" x14ac:dyDescent="0.25">
      <c r="A196" s="28">
        <f t="shared" si="3"/>
        <v>195</v>
      </c>
      <c r="B196" s="28" t="s">
        <v>6849</v>
      </c>
      <c r="C196" s="28" t="s">
        <v>7004</v>
      </c>
      <c r="D196" s="28" t="s">
        <v>520</v>
      </c>
      <c r="E196" s="28" t="s">
        <v>362</v>
      </c>
      <c r="F196" s="28" t="s">
        <v>7005</v>
      </c>
      <c r="G196" s="28">
        <v>29.706247999999999</v>
      </c>
      <c r="H196" s="28">
        <v>-95.251079000000004</v>
      </c>
      <c r="I196" s="28" t="s">
        <v>7129</v>
      </c>
      <c r="J196" s="61">
        <v>110000461107</v>
      </c>
      <c r="K196" s="28" t="s">
        <v>265</v>
      </c>
      <c r="L196" s="28"/>
      <c r="M196" s="28"/>
      <c r="N196" s="28"/>
      <c r="O196" s="28"/>
      <c r="P196" s="28"/>
      <c r="Q196" s="28" t="s">
        <v>265</v>
      </c>
      <c r="R196" s="28">
        <f>VLOOKUP(K196,OES!$A:$B, 2, FALSE)</f>
        <v>250</v>
      </c>
      <c r="S196" s="60" t="s">
        <v>1465</v>
      </c>
      <c r="T196" s="203" t="str">
        <f>IF(COUNTIF('Raw TRI Data'!$K:$K,J196)&gt;0, "X", "")</f>
        <v/>
      </c>
    </row>
    <row r="197" spans="1:20" x14ac:dyDescent="0.25">
      <c r="A197" s="28">
        <f t="shared" si="3"/>
        <v>196</v>
      </c>
      <c r="B197" s="28" t="s">
        <v>6783</v>
      </c>
      <c r="C197" s="28" t="s">
        <v>6929</v>
      </c>
      <c r="D197" s="28" t="s">
        <v>6930</v>
      </c>
      <c r="E197" s="28" t="s">
        <v>362</v>
      </c>
      <c r="F197" s="28">
        <v>77627</v>
      </c>
      <c r="G197" s="28">
        <v>30.014958</v>
      </c>
      <c r="H197" s="28">
        <v>-94.029087000000004</v>
      </c>
      <c r="I197" s="28"/>
      <c r="J197" s="61">
        <v>110071710882</v>
      </c>
      <c r="K197" s="28" t="s">
        <v>265</v>
      </c>
      <c r="L197" s="28"/>
      <c r="M197" s="28"/>
      <c r="N197" s="28"/>
      <c r="O197" s="28"/>
      <c r="P197" s="28"/>
      <c r="Q197" s="28" t="s">
        <v>265</v>
      </c>
      <c r="R197" s="28">
        <f>VLOOKUP(K197,OES!$A:$B, 2, FALSE)</f>
        <v>250</v>
      </c>
      <c r="S197" s="60" t="s">
        <v>1465</v>
      </c>
      <c r="T197" s="203" t="str">
        <f>IF(COUNTIF('Raw TRI Data'!$K:$K,J197)&gt;0, "X", "")</f>
        <v/>
      </c>
    </row>
    <row r="198" spans="1:20" x14ac:dyDescent="0.25">
      <c r="A198" s="28">
        <f t="shared" si="3"/>
        <v>197</v>
      </c>
      <c r="B198" s="28" t="s">
        <v>6812</v>
      </c>
      <c r="C198" s="28" t="s">
        <v>6965</v>
      </c>
      <c r="D198" s="28" t="s">
        <v>6966</v>
      </c>
      <c r="E198" s="28" t="s">
        <v>362</v>
      </c>
      <c r="F198" s="28">
        <v>77580</v>
      </c>
      <c r="G198" s="28">
        <v>29.857654</v>
      </c>
      <c r="H198" s="28">
        <v>-94.910674</v>
      </c>
      <c r="I198" s="28" t="s">
        <v>7124</v>
      </c>
      <c r="J198" s="61">
        <v>110056961480</v>
      </c>
      <c r="K198" s="28" t="s">
        <v>265</v>
      </c>
      <c r="L198" s="28"/>
      <c r="M198" s="28"/>
      <c r="N198" s="28"/>
      <c r="O198" s="28"/>
      <c r="P198" s="28"/>
      <c r="Q198" s="28" t="s">
        <v>265</v>
      </c>
      <c r="R198" s="28">
        <f>VLOOKUP(K198,OES!$A:$B, 2, FALSE)</f>
        <v>250</v>
      </c>
      <c r="S198" s="60" t="s">
        <v>1465</v>
      </c>
      <c r="T198" s="203" t="str">
        <f>IF(COUNTIF('Raw TRI Data'!$K:$K,J198)&gt;0, "X", "")</f>
        <v/>
      </c>
    </row>
    <row r="199" spans="1:20" x14ac:dyDescent="0.25">
      <c r="A199" s="28">
        <f t="shared" si="3"/>
        <v>198</v>
      </c>
      <c r="B199" s="28" t="s">
        <v>6786</v>
      </c>
      <c r="C199" s="28" t="s">
        <v>6936</v>
      </c>
      <c r="D199" s="28" t="s">
        <v>6937</v>
      </c>
      <c r="E199" s="28" t="s">
        <v>324</v>
      </c>
      <c r="F199" s="28">
        <v>40422</v>
      </c>
      <c r="G199" s="28">
        <v>37.621431000000001</v>
      </c>
      <c r="H199" s="28">
        <v>-84.733756</v>
      </c>
      <c r="I199" s="28"/>
      <c r="J199" s="61">
        <v>110000732351</v>
      </c>
      <c r="K199" s="28" t="s">
        <v>263</v>
      </c>
      <c r="L199" s="28"/>
      <c r="M199" s="28"/>
      <c r="N199" s="28"/>
      <c r="O199" s="28"/>
      <c r="P199" s="28"/>
      <c r="Q199" s="28" t="s">
        <v>265</v>
      </c>
      <c r="R199" s="28">
        <f>VLOOKUP(K199,OES!$A:$B, 2, FALSE)</f>
        <v>365</v>
      </c>
      <c r="S199" s="60" t="s">
        <v>1465</v>
      </c>
      <c r="T199" s="203" t="str">
        <f>IF(COUNTIF('Raw TRI Data'!$K:$K,J199)&gt;0, "X", "")</f>
        <v/>
      </c>
    </row>
    <row r="200" spans="1:20" x14ac:dyDescent="0.25">
      <c r="A200" s="28">
        <f t="shared" si="3"/>
        <v>199</v>
      </c>
      <c r="B200" s="28" t="s">
        <v>6774</v>
      </c>
      <c r="C200" s="28" t="s">
        <v>581</v>
      </c>
      <c r="D200" s="28" t="s">
        <v>2421</v>
      </c>
      <c r="E200" s="28" t="s">
        <v>362</v>
      </c>
      <c r="F200" s="28">
        <v>78359</v>
      </c>
      <c r="G200" s="28">
        <v>27.883610999999998</v>
      </c>
      <c r="H200" s="28">
        <v>-97.241382999999999</v>
      </c>
      <c r="I200" s="28" t="s">
        <v>583</v>
      </c>
      <c r="J200" s="61">
        <v>110070725501</v>
      </c>
      <c r="K200" s="28" t="s">
        <v>251</v>
      </c>
      <c r="L200" s="28"/>
      <c r="M200" s="28"/>
      <c r="N200" s="28"/>
      <c r="O200" s="28"/>
      <c r="P200" s="28"/>
      <c r="Q200" s="28" t="s">
        <v>265</v>
      </c>
      <c r="R200" s="28">
        <f>VLOOKUP(K200,OES!$A:$B, 2, FALSE)</f>
        <v>350</v>
      </c>
      <c r="S200" s="60" t="s">
        <v>1465</v>
      </c>
      <c r="T200" s="203" t="str">
        <f>IF(COUNTIF('Raw TRI Data'!$K:$K,J200)&gt;0, "X", "")</f>
        <v>X</v>
      </c>
    </row>
    <row r="201" spans="1:20" x14ac:dyDescent="0.25">
      <c r="A201" s="28">
        <f t="shared" si="3"/>
        <v>200</v>
      </c>
      <c r="B201" s="28" t="s">
        <v>6846</v>
      </c>
      <c r="C201" s="28" t="s">
        <v>7000</v>
      </c>
      <c r="D201" s="28" t="s">
        <v>1267</v>
      </c>
      <c r="E201" s="28" t="s">
        <v>491</v>
      </c>
      <c r="F201" s="28" t="s">
        <v>7001</v>
      </c>
      <c r="G201" s="28">
        <v>40.670580000000001</v>
      </c>
      <c r="H201" s="28">
        <v>-80.336500000000001</v>
      </c>
      <c r="I201" s="28" t="s">
        <v>7128</v>
      </c>
      <c r="J201" s="61">
        <v>110000329038</v>
      </c>
      <c r="K201" s="28" t="s">
        <v>265</v>
      </c>
      <c r="L201" s="28"/>
      <c r="M201" s="28"/>
      <c r="N201" s="28"/>
      <c r="O201" s="28"/>
      <c r="P201" s="28"/>
      <c r="Q201" s="28" t="s">
        <v>265</v>
      </c>
      <c r="R201" s="28">
        <f>VLOOKUP(K201,OES!$A:$B, 2, FALSE)</f>
        <v>250</v>
      </c>
      <c r="S201" s="60" t="s">
        <v>1465</v>
      </c>
      <c r="T201" s="203" t="str">
        <f>IF(COUNTIF('Raw TRI Data'!$K:$K,J201)&gt;0, "X", "")</f>
        <v/>
      </c>
    </row>
    <row r="202" spans="1:20" x14ac:dyDescent="0.25">
      <c r="A202" s="28">
        <f t="shared" si="3"/>
        <v>201</v>
      </c>
      <c r="B202" s="28" t="s">
        <v>1077</v>
      </c>
      <c r="C202" s="28" t="s">
        <v>1670</v>
      </c>
      <c r="D202" s="28" t="s">
        <v>1078</v>
      </c>
      <c r="E202" s="28" t="s">
        <v>366</v>
      </c>
      <c r="F202" s="28">
        <v>95682</v>
      </c>
      <c r="G202" s="28">
        <v>38.627777999999999</v>
      </c>
      <c r="H202" s="28">
        <v>-120.984167</v>
      </c>
      <c r="I202" s="28"/>
      <c r="J202" s="61">
        <v>110070619860</v>
      </c>
      <c r="K202" s="28" t="s">
        <v>263</v>
      </c>
      <c r="L202" s="28"/>
      <c r="M202" s="28"/>
      <c r="N202" s="28"/>
      <c r="O202" s="28"/>
      <c r="P202" s="28"/>
      <c r="Q202" s="28" t="s">
        <v>265</v>
      </c>
      <c r="R202" s="28">
        <f>VLOOKUP(K202,OES!$A:$B, 2, FALSE)</f>
        <v>365</v>
      </c>
      <c r="S202" s="60" t="s">
        <v>1465</v>
      </c>
      <c r="T202" s="203" t="str">
        <f>IF(COUNTIF('Raw TRI Data'!$K:$K,J202)&gt;0, "X", "")</f>
        <v/>
      </c>
    </row>
    <row r="203" spans="1:20" x14ac:dyDescent="0.25">
      <c r="A203" s="28">
        <f t="shared" si="3"/>
        <v>202</v>
      </c>
      <c r="B203" s="28" t="s">
        <v>1079</v>
      </c>
      <c r="C203" s="28" t="s">
        <v>1673</v>
      </c>
      <c r="D203" s="28" t="s">
        <v>381</v>
      </c>
      <c r="E203" s="28" t="s">
        <v>338</v>
      </c>
      <c r="F203" s="28">
        <v>80140309</v>
      </c>
      <c r="G203" s="28">
        <v>39.80142</v>
      </c>
      <c r="H203" s="28">
        <v>-75.354990000000001</v>
      </c>
      <c r="I203" s="28" t="s">
        <v>710</v>
      </c>
      <c r="J203" s="61">
        <v>110000582003</v>
      </c>
      <c r="K203" s="61" t="s">
        <v>265</v>
      </c>
      <c r="L203" s="28"/>
      <c r="M203" s="28"/>
      <c r="N203" s="28"/>
      <c r="O203" s="28"/>
      <c r="P203" s="28"/>
      <c r="Q203" s="28" t="s">
        <v>265</v>
      </c>
      <c r="R203" s="28">
        <f>VLOOKUP(K203,OES!$A:$B, 2, FALSE)</f>
        <v>250</v>
      </c>
      <c r="S203" s="60" t="s">
        <v>1465</v>
      </c>
      <c r="T203" s="203" t="str">
        <f>IF(COUNTIF('Raw TRI Data'!$K:$K,J203)&gt;0, "X", "")</f>
        <v/>
      </c>
    </row>
    <row r="204" spans="1:20" x14ac:dyDescent="0.25">
      <c r="A204" s="28">
        <f t="shared" si="3"/>
        <v>203</v>
      </c>
      <c r="B204" s="28" t="s">
        <v>1080</v>
      </c>
      <c r="C204" s="28" t="s">
        <v>1677</v>
      </c>
      <c r="D204" s="28" t="s">
        <v>1081</v>
      </c>
      <c r="E204" s="28" t="s">
        <v>338</v>
      </c>
      <c r="F204" s="28">
        <v>8075</v>
      </c>
      <c r="G204" s="28">
        <v>40.038871999999998</v>
      </c>
      <c r="H204" s="28">
        <v>-74.975640999999996</v>
      </c>
      <c r="I204" s="28"/>
      <c r="J204" s="61">
        <v>110006620095</v>
      </c>
      <c r="K204" s="28" t="s">
        <v>263</v>
      </c>
      <c r="L204" s="28"/>
      <c r="M204" s="28"/>
      <c r="N204" s="28"/>
      <c r="O204" s="28"/>
      <c r="P204" s="28"/>
      <c r="Q204" s="28" t="s">
        <v>265</v>
      </c>
      <c r="R204" s="28">
        <f>VLOOKUP(K204,OES!$A:$B, 2, FALSE)</f>
        <v>365</v>
      </c>
      <c r="S204" s="60" t="s">
        <v>1465</v>
      </c>
      <c r="T204" s="203" t="str">
        <f>IF(COUNTIF('Raw TRI Data'!$K:$K,J204)&gt;0, "X", "")</f>
        <v/>
      </c>
    </row>
    <row r="205" spans="1:20" x14ac:dyDescent="0.25">
      <c r="A205" s="28">
        <f t="shared" si="3"/>
        <v>204</v>
      </c>
      <c r="B205" s="28" t="s">
        <v>1082</v>
      </c>
      <c r="C205" s="28" t="s">
        <v>1684</v>
      </c>
      <c r="D205" s="28" t="s">
        <v>987</v>
      </c>
      <c r="E205" s="28" t="s">
        <v>324</v>
      </c>
      <c r="F205" s="28">
        <v>40272</v>
      </c>
      <c r="G205" s="28">
        <v>38.08614</v>
      </c>
      <c r="H205" s="28">
        <v>-85.898780000000002</v>
      </c>
      <c r="I205" s="28"/>
      <c r="J205" s="61">
        <v>110000732379</v>
      </c>
      <c r="K205" s="28" t="s">
        <v>263</v>
      </c>
      <c r="L205" s="28"/>
      <c r="M205" s="28"/>
      <c r="N205" s="28"/>
      <c r="O205" s="28"/>
      <c r="P205" s="28"/>
      <c r="Q205" s="28" t="s">
        <v>265</v>
      </c>
      <c r="R205" s="28">
        <f>VLOOKUP(K205,OES!$A:$B, 2, FALSE)</f>
        <v>365</v>
      </c>
      <c r="S205" s="60" t="s">
        <v>1465</v>
      </c>
      <c r="T205" s="203" t="str">
        <f>IF(COUNTIF('Raw TRI Data'!$K:$K,J205)&gt;0, "X", "")</f>
        <v/>
      </c>
    </row>
    <row r="206" spans="1:20" x14ac:dyDescent="0.25">
      <c r="A206" s="28">
        <f t="shared" si="3"/>
        <v>205</v>
      </c>
      <c r="B206" s="28" t="s">
        <v>6876</v>
      </c>
      <c r="C206" s="28" t="s">
        <v>7048</v>
      </c>
      <c r="D206" s="28" t="s">
        <v>7049</v>
      </c>
      <c r="E206" s="28" t="s">
        <v>366</v>
      </c>
      <c r="F206" s="28">
        <v>94514</v>
      </c>
      <c r="G206" s="28">
        <v>37.894722000000002</v>
      </c>
      <c r="H206" s="28">
        <v>-121.587222</v>
      </c>
      <c r="I206" s="28"/>
      <c r="J206" s="61">
        <v>110001103911</v>
      </c>
      <c r="K206" s="28" t="s">
        <v>263</v>
      </c>
      <c r="L206" s="28"/>
      <c r="M206" s="28"/>
      <c r="N206" s="28"/>
      <c r="O206" s="28"/>
      <c r="P206" s="28"/>
      <c r="Q206" s="28" t="s">
        <v>265</v>
      </c>
      <c r="R206" s="28">
        <f>VLOOKUP(K206,OES!$A:$B, 2, FALSE)</f>
        <v>365</v>
      </c>
      <c r="S206" s="60" t="s">
        <v>1465</v>
      </c>
      <c r="T206" s="203" t="str">
        <f>IF(COUNTIF('Raw TRI Data'!$K:$K,J206)&gt;0, "X", "")</f>
        <v/>
      </c>
    </row>
    <row r="207" spans="1:20" x14ac:dyDescent="0.25">
      <c r="A207" s="28">
        <f t="shared" si="3"/>
        <v>206</v>
      </c>
      <c r="B207" s="28" t="s">
        <v>1083</v>
      </c>
      <c r="C207" s="28" t="s">
        <v>6935</v>
      </c>
      <c r="D207" s="28" t="s">
        <v>1084</v>
      </c>
      <c r="E207" s="28" t="s">
        <v>491</v>
      </c>
      <c r="F207" s="28">
        <v>17961</v>
      </c>
      <c r="G207" s="28">
        <v>40.627648000000001</v>
      </c>
      <c r="H207" s="28">
        <v>-76.064880000000002</v>
      </c>
      <c r="I207" s="28"/>
      <c r="J207" s="61">
        <v>110000584305</v>
      </c>
      <c r="K207" s="28" t="s">
        <v>265</v>
      </c>
      <c r="L207" s="28"/>
      <c r="M207" s="28"/>
      <c r="N207" s="28"/>
      <c r="O207" s="28"/>
      <c r="P207" s="28"/>
      <c r="Q207" s="28" t="s">
        <v>265</v>
      </c>
      <c r="R207" s="28">
        <f>VLOOKUP(K207,OES!$A:$B, 2, FALSE)</f>
        <v>250</v>
      </c>
      <c r="S207" s="60" t="s">
        <v>1465</v>
      </c>
      <c r="T207" s="203" t="str">
        <f>IF(COUNTIF('Raw TRI Data'!$K:$K,J207)&gt;0, "X", "")</f>
        <v/>
      </c>
    </row>
    <row r="208" spans="1:20" x14ac:dyDescent="0.25">
      <c r="A208" s="28">
        <f t="shared" si="3"/>
        <v>207</v>
      </c>
      <c r="B208" s="28" t="s">
        <v>6899</v>
      </c>
      <c r="C208" s="28" t="s">
        <v>7091</v>
      </c>
      <c r="D208" s="28" t="s">
        <v>1388</v>
      </c>
      <c r="E208" s="28" t="s">
        <v>294</v>
      </c>
      <c r="F208" s="28">
        <v>221822205</v>
      </c>
      <c r="G208" s="28">
        <v>38.926856000000001</v>
      </c>
      <c r="H208" s="28">
        <v>-77.245693000000003</v>
      </c>
      <c r="I208" s="28"/>
      <c r="J208" s="61">
        <v>110071725441</v>
      </c>
      <c r="K208" s="28" t="s">
        <v>265</v>
      </c>
      <c r="L208" s="28"/>
      <c r="M208" s="28"/>
      <c r="N208" s="28"/>
      <c r="O208" s="28"/>
      <c r="P208" s="28"/>
      <c r="Q208" s="28" t="s">
        <v>265</v>
      </c>
      <c r="R208" s="28">
        <f>VLOOKUP(K208,OES!$A:$B, 2, FALSE)</f>
        <v>250</v>
      </c>
      <c r="S208" s="60" t="s">
        <v>1465</v>
      </c>
      <c r="T208" s="203" t="str">
        <f>IF(COUNTIF('Raw TRI Data'!$K:$K,J208)&gt;0, "X", "")</f>
        <v/>
      </c>
    </row>
    <row r="209" spans="1:20" x14ac:dyDescent="0.25">
      <c r="A209" s="28">
        <f t="shared" si="3"/>
        <v>208</v>
      </c>
      <c r="B209" s="28" t="s">
        <v>6788</v>
      </c>
      <c r="C209" s="28" t="s">
        <v>2058</v>
      </c>
      <c r="D209" s="28" t="s">
        <v>1263</v>
      </c>
      <c r="E209" s="28" t="s">
        <v>324</v>
      </c>
      <c r="F209" s="28">
        <v>41018</v>
      </c>
      <c r="G209" s="28">
        <v>39.058610999999999</v>
      </c>
      <c r="H209" s="28">
        <v>-84.618055999999996</v>
      </c>
      <c r="I209" s="28"/>
      <c r="J209" s="61">
        <v>110039639736</v>
      </c>
      <c r="K209" s="28" t="s">
        <v>263</v>
      </c>
      <c r="L209" s="28"/>
      <c r="M209" s="28"/>
      <c r="N209" s="28"/>
      <c r="O209" s="28"/>
      <c r="P209" s="28"/>
      <c r="Q209" s="28" t="s">
        <v>265</v>
      </c>
      <c r="R209" s="28">
        <f>VLOOKUP(K209,OES!$A:$B, 2, FALSE)</f>
        <v>365</v>
      </c>
      <c r="S209" s="60" t="s">
        <v>1465</v>
      </c>
      <c r="T209" s="203" t="str">
        <f>IF(COUNTIF('Raw TRI Data'!$K:$K,J209)&gt;0, "X", "")</f>
        <v/>
      </c>
    </row>
    <row r="210" spans="1:20" x14ac:dyDescent="0.25">
      <c r="A210" s="28">
        <f t="shared" si="3"/>
        <v>209</v>
      </c>
      <c r="B210" s="28" t="s">
        <v>1088</v>
      </c>
      <c r="C210" s="28" t="s">
        <v>1699</v>
      </c>
      <c r="D210" s="28" t="s">
        <v>985</v>
      </c>
      <c r="E210" s="28" t="s">
        <v>979</v>
      </c>
      <c r="F210" s="28">
        <v>37660</v>
      </c>
      <c r="G210" s="28">
        <v>36.527054999999997</v>
      </c>
      <c r="H210" s="28">
        <v>-82.538579999999996</v>
      </c>
      <c r="I210" s="28" t="s">
        <v>711</v>
      </c>
      <c r="J210" s="61">
        <v>110000574423</v>
      </c>
      <c r="K210" s="28" t="s">
        <v>265</v>
      </c>
      <c r="L210" s="28"/>
      <c r="M210" s="28"/>
      <c r="N210" s="28"/>
      <c r="O210" s="28"/>
      <c r="P210" s="28"/>
      <c r="Q210" s="28" t="s">
        <v>265</v>
      </c>
      <c r="R210" s="28">
        <f>VLOOKUP(K210,OES!$A:$B, 2, FALSE)</f>
        <v>250</v>
      </c>
      <c r="S210" s="60" t="s">
        <v>1465</v>
      </c>
      <c r="T210" s="203" t="str">
        <f>IF(COUNTIF('Raw TRI Data'!$K:$K,J210)&gt;0, "X", "")</f>
        <v/>
      </c>
    </row>
    <row r="211" spans="1:20" x14ac:dyDescent="0.25">
      <c r="A211" s="28">
        <f t="shared" si="3"/>
        <v>210</v>
      </c>
      <c r="B211" s="28" t="s">
        <v>1089</v>
      </c>
      <c r="C211" s="28" t="s">
        <v>1703</v>
      </c>
      <c r="D211" s="28" t="s">
        <v>1090</v>
      </c>
      <c r="E211" s="28" t="s">
        <v>324</v>
      </c>
      <c r="F211" s="28">
        <v>42038</v>
      </c>
      <c r="G211" s="28">
        <v>37.075277999999997</v>
      </c>
      <c r="H211" s="28">
        <v>-88.09</v>
      </c>
      <c r="I211" s="28"/>
      <c r="J211" s="61">
        <v>110009938719</v>
      </c>
      <c r="K211" s="28" t="s">
        <v>263</v>
      </c>
      <c r="L211" s="28"/>
      <c r="M211" s="28"/>
      <c r="N211" s="28"/>
      <c r="O211" s="28"/>
      <c r="P211" s="28"/>
      <c r="Q211" s="28" t="s">
        <v>265</v>
      </c>
      <c r="R211" s="28">
        <f>VLOOKUP(K211,OES!$A:$B, 2, FALSE)</f>
        <v>365</v>
      </c>
      <c r="S211" s="60" t="s">
        <v>1465</v>
      </c>
      <c r="T211" s="203" t="str">
        <f>IF(COUNTIF('Raw TRI Data'!$K:$K,J211)&gt;0, "X", "")</f>
        <v/>
      </c>
    </row>
    <row r="212" spans="1:20" x14ac:dyDescent="0.25">
      <c r="A212" s="28">
        <f t="shared" si="3"/>
        <v>211</v>
      </c>
      <c r="B212" s="28" t="s">
        <v>1095</v>
      </c>
      <c r="C212" s="28" t="s">
        <v>1714</v>
      </c>
      <c r="D212" s="28" t="s">
        <v>1096</v>
      </c>
      <c r="E212" s="28" t="s">
        <v>450</v>
      </c>
      <c r="F212" s="28">
        <v>14132</v>
      </c>
      <c r="G212" s="28">
        <v>43.129750000000001</v>
      </c>
      <c r="H212" s="28">
        <v>-78.939679999999996</v>
      </c>
      <c r="I212" s="28"/>
      <c r="J212" s="61">
        <v>110000737365</v>
      </c>
      <c r="K212" s="28" t="s">
        <v>265</v>
      </c>
      <c r="L212" s="28"/>
      <c r="M212" s="28"/>
      <c r="N212" s="28"/>
      <c r="O212" s="28"/>
      <c r="P212" s="28"/>
      <c r="Q212" s="28" t="s">
        <v>265</v>
      </c>
      <c r="R212" s="28">
        <f>VLOOKUP(K212,OES!$A:$B, 2, FALSE)</f>
        <v>250</v>
      </c>
      <c r="S212" s="60" t="s">
        <v>1465</v>
      </c>
      <c r="T212" s="203" t="str">
        <f>IF(COUNTIF('Raw TRI Data'!$K:$K,J212)&gt;0, "X", "")</f>
        <v/>
      </c>
    </row>
    <row r="213" spans="1:20" x14ac:dyDescent="0.25">
      <c r="A213" s="28">
        <f t="shared" si="3"/>
        <v>212</v>
      </c>
      <c r="B213" s="28" t="s">
        <v>1097</v>
      </c>
      <c r="C213" s="28" t="s">
        <v>1718</v>
      </c>
      <c r="D213" s="28" t="s">
        <v>1098</v>
      </c>
      <c r="E213" s="28" t="s">
        <v>324</v>
      </c>
      <c r="F213" s="28" t="s">
        <v>1719</v>
      </c>
      <c r="G213" s="28">
        <v>38.642556999999996</v>
      </c>
      <c r="H213" s="28">
        <v>-83.737931000000003</v>
      </c>
      <c r="I213" s="28"/>
      <c r="J213" s="61">
        <v>110000379787</v>
      </c>
      <c r="K213" s="28" t="s">
        <v>265</v>
      </c>
      <c r="L213" s="28"/>
      <c r="M213" s="28"/>
      <c r="N213" s="28"/>
      <c r="O213" s="28"/>
      <c r="P213" s="28"/>
      <c r="Q213" s="28" t="s">
        <v>265</v>
      </c>
      <c r="R213" s="28">
        <f>VLOOKUP(K213,OES!$A:$B, 2, FALSE)</f>
        <v>250</v>
      </c>
      <c r="S213" s="60" t="s">
        <v>1465</v>
      </c>
      <c r="T213" s="203" t="str">
        <f>IF(COUNTIF('Raw TRI Data'!$K:$K,J213)&gt;0, "X", "")</f>
        <v/>
      </c>
    </row>
    <row r="214" spans="1:20" x14ac:dyDescent="0.25">
      <c r="A214" s="28">
        <f t="shared" si="3"/>
        <v>213</v>
      </c>
      <c r="B214" s="28" t="s">
        <v>6867</v>
      </c>
      <c r="C214" s="28" t="s">
        <v>7034</v>
      </c>
      <c r="D214" s="28" t="s">
        <v>7035</v>
      </c>
      <c r="E214" s="28" t="s">
        <v>324</v>
      </c>
      <c r="F214" s="28">
        <v>40019</v>
      </c>
      <c r="G214" s="28">
        <v>38.369734999999999</v>
      </c>
      <c r="H214" s="28">
        <v>-85.180234999999996</v>
      </c>
      <c r="I214" s="28"/>
      <c r="J214" s="61">
        <v>110064268260</v>
      </c>
      <c r="K214" s="28" t="s">
        <v>263</v>
      </c>
      <c r="L214" s="28"/>
      <c r="M214" s="28"/>
      <c r="N214" s="28"/>
      <c r="O214" s="28"/>
      <c r="P214" s="28"/>
      <c r="Q214" s="28" t="s">
        <v>265</v>
      </c>
      <c r="R214" s="28">
        <f>VLOOKUP(K214,OES!$A:$B, 2, FALSE)</f>
        <v>365</v>
      </c>
      <c r="S214" s="60" t="s">
        <v>1465</v>
      </c>
      <c r="T214" s="203" t="str">
        <f>IF(COUNTIF('Raw TRI Data'!$K:$K,J214)&gt;0, "X", "")</f>
        <v/>
      </c>
    </row>
    <row r="215" spans="1:20" x14ac:dyDescent="0.25">
      <c r="A215" s="28">
        <f t="shared" si="3"/>
        <v>214</v>
      </c>
      <c r="B215" s="28" t="s">
        <v>1099</v>
      </c>
      <c r="C215" s="28" t="s">
        <v>1723</v>
      </c>
      <c r="D215" s="28" t="s">
        <v>1100</v>
      </c>
      <c r="E215" s="28" t="s">
        <v>1101</v>
      </c>
      <c r="F215" s="28">
        <v>0</v>
      </c>
      <c r="G215" s="28">
        <v>37.041677</v>
      </c>
      <c r="H215" s="28">
        <v>-109.500685</v>
      </c>
      <c r="I215" s="28"/>
      <c r="J215" s="61">
        <v>110010134185</v>
      </c>
      <c r="K215" s="28" t="s">
        <v>265</v>
      </c>
      <c r="L215" s="28"/>
      <c r="M215" s="28"/>
      <c r="N215" s="28"/>
      <c r="O215" s="28"/>
      <c r="P215" s="28"/>
      <c r="Q215" s="28" t="s">
        <v>265</v>
      </c>
      <c r="R215" s="28">
        <f>VLOOKUP(K215,OES!$A:$B, 2, FALSE)</f>
        <v>250</v>
      </c>
      <c r="S215" s="60" t="s">
        <v>1465</v>
      </c>
      <c r="T215" s="203" t="str">
        <f>IF(COUNTIF('Raw TRI Data'!$K:$K,J215)&gt;0, "X", "")</f>
        <v/>
      </c>
    </row>
    <row r="216" spans="1:20" x14ac:dyDescent="0.25">
      <c r="A216" s="28">
        <f t="shared" si="3"/>
        <v>215</v>
      </c>
      <c r="B216" s="28" t="s">
        <v>1104</v>
      </c>
      <c r="C216" s="28" t="s">
        <v>1731</v>
      </c>
      <c r="D216" s="28" t="s">
        <v>446</v>
      </c>
      <c r="E216" s="28" t="s">
        <v>303</v>
      </c>
      <c r="F216" s="28">
        <v>70669</v>
      </c>
      <c r="G216" s="28">
        <v>30.189167000000001</v>
      </c>
      <c r="H216" s="28">
        <v>-93.316389000000001</v>
      </c>
      <c r="I216" s="28" t="s">
        <v>713</v>
      </c>
      <c r="J216" s="61">
        <v>110000597266</v>
      </c>
      <c r="K216" s="28" t="s">
        <v>265</v>
      </c>
      <c r="L216" s="28"/>
      <c r="M216" s="28"/>
      <c r="N216" s="28"/>
      <c r="O216" s="28"/>
      <c r="P216" s="28"/>
      <c r="Q216" s="28" t="s">
        <v>265</v>
      </c>
      <c r="R216" s="28">
        <f>VLOOKUP(K216,OES!$A:$B, 2, FALSE)</f>
        <v>250</v>
      </c>
      <c r="S216" s="60" t="s">
        <v>1465</v>
      </c>
      <c r="T216" s="203" t="str">
        <f>IF(COUNTIF('Raw TRI Data'!$K:$K,J216)&gt;0, "X", "")</f>
        <v/>
      </c>
    </row>
    <row r="217" spans="1:20" x14ac:dyDescent="0.25">
      <c r="A217" s="28">
        <f t="shared" si="3"/>
        <v>216</v>
      </c>
      <c r="B217" s="28" t="s">
        <v>1105</v>
      </c>
      <c r="C217" s="28" t="s">
        <v>7006</v>
      </c>
      <c r="D217" s="28" t="s">
        <v>1106</v>
      </c>
      <c r="E217" s="28" t="s">
        <v>345</v>
      </c>
      <c r="F217" s="28">
        <v>61953</v>
      </c>
      <c r="G217" s="28">
        <v>39.795811999999998</v>
      </c>
      <c r="H217" s="28">
        <v>-88.347945999999993</v>
      </c>
      <c r="I217" s="28" t="s">
        <v>714</v>
      </c>
      <c r="J217" s="61">
        <v>110000746211</v>
      </c>
      <c r="K217" s="28" t="s">
        <v>253</v>
      </c>
      <c r="L217" s="28"/>
      <c r="M217" s="28"/>
      <c r="N217" s="28"/>
      <c r="O217" s="28"/>
      <c r="P217" s="28"/>
      <c r="Q217" s="28" t="s">
        <v>265</v>
      </c>
      <c r="R217" s="28">
        <f>VLOOKUP(K217,OES!$A:$B, 2, FALSE)</f>
        <v>350</v>
      </c>
      <c r="S217" s="60" t="s">
        <v>1465</v>
      </c>
      <c r="T217" s="203" t="str">
        <f>IF(COUNTIF('Raw TRI Data'!$K:$K,J217)&gt;0, "X", "")</f>
        <v/>
      </c>
    </row>
    <row r="218" spans="1:20" x14ac:dyDescent="0.25">
      <c r="A218" s="28">
        <f t="shared" si="3"/>
        <v>217</v>
      </c>
      <c r="B218" s="28" t="s">
        <v>6847</v>
      </c>
      <c r="C218" s="28" t="s">
        <v>1726</v>
      </c>
      <c r="D218" s="28" t="s">
        <v>1103</v>
      </c>
      <c r="E218" s="28" t="s">
        <v>345</v>
      </c>
      <c r="F218" s="28">
        <v>60450</v>
      </c>
      <c r="G218" s="28">
        <v>41.412897000000001</v>
      </c>
      <c r="H218" s="28">
        <v>-88.329773000000003</v>
      </c>
      <c r="I218" s="28" t="s">
        <v>712</v>
      </c>
      <c r="J218" s="61">
        <v>110000433013</v>
      </c>
      <c r="K218" s="28" t="s">
        <v>265</v>
      </c>
      <c r="L218" s="28"/>
      <c r="M218" s="28"/>
      <c r="N218" s="28"/>
      <c r="O218" s="28"/>
      <c r="P218" s="28"/>
      <c r="Q218" s="28" t="s">
        <v>265</v>
      </c>
      <c r="R218" s="28">
        <f>VLOOKUP(K218,OES!$A:$B, 2, FALSE)</f>
        <v>250</v>
      </c>
      <c r="S218" s="60" t="s">
        <v>1465</v>
      </c>
      <c r="T218" s="203" t="str">
        <f>IF(COUNTIF('Raw TRI Data'!$K:$K,J218)&gt;0, "X", "")</f>
        <v/>
      </c>
    </row>
    <row r="219" spans="1:20" x14ac:dyDescent="0.25">
      <c r="A219" s="28">
        <f t="shared" si="3"/>
        <v>218</v>
      </c>
      <c r="B219" s="28" t="s">
        <v>1107</v>
      </c>
      <c r="C219" s="28" t="s">
        <v>1741</v>
      </c>
      <c r="D219" s="28" t="s">
        <v>1108</v>
      </c>
      <c r="E219" s="28" t="s">
        <v>338</v>
      </c>
      <c r="F219" s="28" t="s">
        <v>1744</v>
      </c>
      <c r="G219" s="28">
        <v>40.665252000000002</v>
      </c>
      <c r="H219" s="28">
        <v>-74.200059999999993</v>
      </c>
      <c r="I219" s="28"/>
      <c r="J219" s="61">
        <v>110070212717</v>
      </c>
      <c r="K219" s="28" t="s">
        <v>265</v>
      </c>
      <c r="L219" s="28"/>
      <c r="M219" s="28"/>
      <c r="N219" s="28"/>
      <c r="O219" s="28"/>
      <c r="P219" s="28"/>
      <c r="Q219" s="28" t="s">
        <v>265</v>
      </c>
      <c r="R219" s="28">
        <f>VLOOKUP(K219,OES!$A:$B, 2, FALSE)</f>
        <v>250</v>
      </c>
      <c r="S219" s="60" t="s">
        <v>1465</v>
      </c>
      <c r="T219" s="203" t="str">
        <f>IF(COUNTIF('Raw TRI Data'!$K:$K,J219)&gt;0, "X", "")</f>
        <v/>
      </c>
    </row>
    <row r="220" spans="1:20" x14ac:dyDescent="0.25">
      <c r="A220" s="28">
        <f t="shared" si="3"/>
        <v>219</v>
      </c>
      <c r="B220" s="28" t="s">
        <v>6845</v>
      </c>
      <c r="C220" s="28" t="s">
        <v>6999</v>
      </c>
      <c r="D220" s="28" t="s">
        <v>6927</v>
      </c>
      <c r="E220" s="28" t="s">
        <v>418</v>
      </c>
      <c r="F220" s="28">
        <v>89406</v>
      </c>
      <c r="G220" s="28">
        <v>39.463894000000003</v>
      </c>
      <c r="H220" s="28">
        <v>-118.75532800000001</v>
      </c>
      <c r="I220" s="28"/>
      <c r="J220" s="61">
        <v>110000734616</v>
      </c>
      <c r="K220" s="28" t="s">
        <v>263</v>
      </c>
      <c r="L220" s="28"/>
      <c r="M220" s="28"/>
      <c r="N220" s="28"/>
      <c r="O220" s="28"/>
      <c r="P220" s="28"/>
      <c r="Q220" s="28" t="s">
        <v>265</v>
      </c>
      <c r="R220" s="28">
        <f>VLOOKUP(K220,OES!$A:$B, 2, FALSE)</f>
        <v>365</v>
      </c>
      <c r="S220" s="60" t="s">
        <v>1465</v>
      </c>
      <c r="T220" s="203" t="str">
        <f>IF(COUNTIF('Raw TRI Data'!$K:$K,J220)&gt;0, "X", "")</f>
        <v/>
      </c>
    </row>
    <row r="221" spans="1:20" x14ac:dyDescent="0.25">
      <c r="A221" s="28">
        <f t="shared" si="3"/>
        <v>220</v>
      </c>
      <c r="B221" s="28" t="s">
        <v>6775</v>
      </c>
      <c r="C221" s="28" t="s">
        <v>6918</v>
      </c>
      <c r="D221" s="28" t="s">
        <v>6919</v>
      </c>
      <c r="E221" s="28" t="s">
        <v>324</v>
      </c>
      <c r="F221" s="28">
        <v>41040</v>
      </c>
      <c r="G221" s="28">
        <v>38.691943999999999</v>
      </c>
      <c r="H221" s="28">
        <v>-84.325000000000003</v>
      </c>
      <c r="I221" s="28"/>
      <c r="J221" s="61">
        <v>110023140420</v>
      </c>
      <c r="K221" s="28" t="s">
        <v>263</v>
      </c>
      <c r="L221" s="28"/>
      <c r="M221" s="28"/>
      <c r="N221" s="28"/>
      <c r="O221" s="28"/>
      <c r="P221" s="28"/>
      <c r="Q221" s="28" t="s">
        <v>265</v>
      </c>
      <c r="R221" s="28">
        <f>VLOOKUP(K221,OES!$A:$B, 2, FALSE)</f>
        <v>365</v>
      </c>
      <c r="S221" s="60" t="s">
        <v>1465</v>
      </c>
      <c r="T221" s="203" t="str">
        <f>IF(COUNTIF('Raw TRI Data'!$K:$K,J221)&gt;0, "X", "")</f>
        <v/>
      </c>
    </row>
    <row r="222" spans="1:20" x14ac:dyDescent="0.25">
      <c r="A222" s="28">
        <f t="shared" si="3"/>
        <v>221</v>
      </c>
      <c r="B222" s="28" t="s">
        <v>6838</v>
      </c>
      <c r="C222" s="28" t="s">
        <v>6992</v>
      </c>
      <c r="D222" s="28" t="s">
        <v>293</v>
      </c>
      <c r="E222" s="28" t="s">
        <v>294</v>
      </c>
      <c r="F222" s="28">
        <v>22204</v>
      </c>
      <c r="G222" s="28">
        <v>38.862986999999997</v>
      </c>
      <c r="H222" s="28">
        <v>-77.085927999999996</v>
      </c>
      <c r="I222" s="28"/>
      <c r="J222" s="61">
        <v>110071065066</v>
      </c>
      <c r="K222" s="28" t="s">
        <v>265</v>
      </c>
      <c r="L222" s="28"/>
      <c r="M222" s="28"/>
      <c r="N222" s="28"/>
      <c r="O222" s="28"/>
      <c r="P222" s="28"/>
      <c r="Q222" s="28" t="s">
        <v>265</v>
      </c>
      <c r="R222" s="28">
        <f>VLOOKUP(K222,OES!$A:$B, 2, FALSE)</f>
        <v>250</v>
      </c>
      <c r="S222" s="60" t="s">
        <v>1465</v>
      </c>
      <c r="T222" s="203" t="str">
        <f>IF(COUNTIF('Raw TRI Data'!$K:$K,J222)&gt;0, "X", "")</f>
        <v/>
      </c>
    </row>
    <row r="223" spans="1:20" x14ac:dyDescent="0.25">
      <c r="A223" s="28">
        <f t="shared" si="3"/>
        <v>222</v>
      </c>
      <c r="B223" s="28" t="s">
        <v>1109</v>
      </c>
      <c r="C223" s="28" t="s">
        <v>1748</v>
      </c>
      <c r="D223" s="28" t="s">
        <v>1110</v>
      </c>
      <c r="E223" s="28" t="s">
        <v>338</v>
      </c>
      <c r="F223" s="28">
        <v>8536</v>
      </c>
      <c r="G223" s="28">
        <v>40.331944</v>
      </c>
      <c r="H223" s="28">
        <v>-74.619721999999996</v>
      </c>
      <c r="I223" s="28" t="s">
        <v>7127</v>
      </c>
      <c r="J223" s="61">
        <v>110000321651</v>
      </c>
      <c r="K223" s="28" t="s">
        <v>265</v>
      </c>
      <c r="L223" s="28"/>
      <c r="M223" s="28"/>
      <c r="N223" s="28"/>
      <c r="O223" s="28"/>
      <c r="P223" s="28"/>
      <c r="Q223" s="28" t="s">
        <v>265</v>
      </c>
      <c r="R223" s="28">
        <f>VLOOKUP(K223,OES!$A:$B, 2, FALSE)</f>
        <v>250</v>
      </c>
      <c r="S223" s="60" t="s">
        <v>1465</v>
      </c>
      <c r="T223" s="203" t="str">
        <f>IF(COUNTIF('Raw TRI Data'!$K:$K,J223)&gt;0, "X", "")</f>
        <v/>
      </c>
    </row>
    <row r="224" spans="1:20" x14ac:dyDescent="0.25">
      <c r="A224" s="28">
        <f t="shared" si="3"/>
        <v>223</v>
      </c>
      <c r="B224" s="28" t="s">
        <v>6870</v>
      </c>
      <c r="C224" s="28" t="s">
        <v>1753</v>
      </c>
      <c r="D224" s="28" t="s">
        <v>1112</v>
      </c>
      <c r="E224" s="28" t="s">
        <v>338</v>
      </c>
      <c r="F224" s="28">
        <v>7410</v>
      </c>
      <c r="G224" s="28">
        <v>40.9375</v>
      </c>
      <c r="H224" s="28">
        <v>-74.131929999999997</v>
      </c>
      <c r="I224" s="28" t="s">
        <v>715</v>
      </c>
      <c r="J224" s="61">
        <v>110000319904</v>
      </c>
      <c r="K224" s="28" t="s">
        <v>265</v>
      </c>
      <c r="L224" s="28"/>
      <c r="M224" s="28"/>
      <c r="N224" s="28"/>
      <c r="O224" s="28"/>
      <c r="P224" s="28"/>
      <c r="Q224" s="28" t="s">
        <v>265</v>
      </c>
      <c r="R224" s="28">
        <f>VLOOKUP(K224,OES!$A:$B, 2, FALSE)</f>
        <v>250</v>
      </c>
      <c r="S224" s="60" t="s">
        <v>1465</v>
      </c>
      <c r="T224" s="203" t="str">
        <f>IF(COUNTIF('Raw TRI Data'!$K:$K,J224)&gt;0, "X", "")</f>
        <v/>
      </c>
    </row>
    <row r="225" spans="1:20" x14ac:dyDescent="0.25">
      <c r="A225" s="28">
        <f t="shared" si="3"/>
        <v>224</v>
      </c>
      <c r="B225" s="28" t="s">
        <v>1113</v>
      </c>
      <c r="C225" s="28" t="s">
        <v>1758</v>
      </c>
      <c r="D225" s="28" t="s">
        <v>1114</v>
      </c>
      <c r="E225" s="28" t="s">
        <v>324</v>
      </c>
      <c r="F225" s="28">
        <v>41041</v>
      </c>
      <c r="G225" s="28">
        <v>38.421495999999998</v>
      </c>
      <c r="H225" s="28">
        <v>-83.734424000000004</v>
      </c>
      <c r="I225" s="28"/>
      <c r="J225" s="61">
        <v>110003251427</v>
      </c>
      <c r="K225" s="28" t="s">
        <v>263</v>
      </c>
      <c r="L225" s="28"/>
      <c r="M225" s="28"/>
      <c r="N225" s="28"/>
      <c r="O225" s="28"/>
      <c r="P225" s="28"/>
      <c r="Q225" s="28" t="s">
        <v>265</v>
      </c>
      <c r="R225" s="28">
        <f>VLOOKUP(K225,OES!$A:$B, 2, FALSE)</f>
        <v>365</v>
      </c>
      <c r="S225" s="60" t="s">
        <v>1465</v>
      </c>
      <c r="T225" s="203" t="str">
        <f>IF(COUNTIF('Raw TRI Data'!$K:$K,J225)&gt;0, "X", "")</f>
        <v/>
      </c>
    </row>
    <row r="226" spans="1:20" x14ac:dyDescent="0.25">
      <c r="A226" s="28">
        <f t="shared" si="3"/>
        <v>225</v>
      </c>
      <c r="B226" s="28" t="s">
        <v>1115</v>
      </c>
      <c r="C226" s="28" t="s">
        <v>1762</v>
      </c>
      <c r="D226" s="28" t="s">
        <v>987</v>
      </c>
      <c r="E226" s="28" t="s">
        <v>324</v>
      </c>
      <c r="F226" s="28">
        <v>40245</v>
      </c>
      <c r="G226" s="28">
        <v>38.236699999999999</v>
      </c>
      <c r="H226" s="28">
        <v>-85.466710000000006</v>
      </c>
      <c r="I226" s="28"/>
      <c r="J226" s="61">
        <v>110043486457</v>
      </c>
      <c r="K226" s="28" t="s">
        <v>263</v>
      </c>
      <c r="L226" s="28"/>
      <c r="M226" s="28"/>
      <c r="N226" s="28"/>
      <c r="O226" s="28"/>
      <c r="P226" s="28"/>
      <c r="Q226" s="28" t="s">
        <v>265</v>
      </c>
      <c r="R226" s="28">
        <f>VLOOKUP(K226,OES!$A:$B, 2, FALSE)</f>
        <v>365</v>
      </c>
      <c r="S226" s="60" t="s">
        <v>1465</v>
      </c>
      <c r="T226" s="203" t="str">
        <f>IF(COUNTIF('Raw TRI Data'!$K:$K,J226)&gt;0, "X", "")</f>
        <v/>
      </c>
    </row>
    <row r="227" spans="1:20" x14ac:dyDescent="0.25">
      <c r="A227" s="28">
        <f t="shared" si="3"/>
        <v>226</v>
      </c>
      <c r="B227" s="28" t="s">
        <v>1118</v>
      </c>
      <c r="C227" s="28" t="s">
        <v>1769</v>
      </c>
      <c r="D227" s="28" t="s">
        <v>1119</v>
      </c>
      <c r="E227" s="28" t="s">
        <v>427</v>
      </c>
      <c r="F227" s="28">
        <v>49128</v>
      </c>
      <c r="G227" s="28">
        <v>41.775967999999999</v>
      </c>
      <c r="H227" s="28">
        <v>-86.654864000000003</v>
      </c>
      <c r="I227" s="28"/>
      <c r="J227" s="61">
        <v>110001847761</v>
      </c>
      <c r="K227" s="28" t="s">
        <v>6750</v>
      </c>
      <c r="L227" s="28"/>
      <c r="M227" s="28"/>
      <c r="N227" s="28"/>
      <c r="O227" s="28"/>
      <c r="P227" s="28"/>
      <c r="Q227" s="28" t="s">
        <v>265</v>
      </c>
      <c r="R227" s="28">
        <v>250</v>
      </c>
      <c r="S227" s="60" t="s">
        <v>1465</v>
      </c>
      <c r="T227" s="203" t="str">
        <f>IF(COUNTIF('Raw TRI Data'!$K:$K,J227)&gt;0, "X", "")</f>
        <v/>
      </c>
    </row>
    <row r="228" spans="1:20" x14ac:dyDescent="0.25">
      <c r="A228" s="28">
        <f t="shared" si="3"/>
        <v>227</v>
      </c>
      <c r="B228" s="28" t="s">
        <v>1120</v>
      </c>
      <c r="C228" s="28" t="s">
        <v>1773</v>
      </c>
      <c r="D228" s="28" t="s">
        <v>1121</v>
      </c>
      <c r="E228" s="28" t="s">
        <v>338</v>
      </c>
      <c r="F228" s="28">
        <v>8832</v>
      </c>
      <c r="G228" s="28">
        <v>40.515906999999999</v>
      </c>
      <c r="H228" s="28">
        <v>-74.325175999999999</v>
      </c>
      <c r="I228" s="28"/>
      <c r="J228" s="61">
        <v>110070215141</v>
      </c>
      <c r="K228" s="28" t="s">
        <v>265</v>
      </c>
      <c r="L228" s="28"/>
      <c r="M228" s="28"/>
      <c r="N228" s="28"/>
      <c r="O228" s="28"/>
      <c r="P228" s="28"/>
      <c r="Q228" s="28" t="s">
        <v>265</v>
      </c>
      <c r="R228" s="28">
        <f>VLOOKUP(K228,OES!$A:$B, 2, FALSE)</f>
        <v>250</v>
      </c>
      <c r="S228" s="60" t="s">
        <v>1465</v>
      </c>
      <c r="T228" s="203" t="str">
        <f>IF(COUNTIF('Raw TRI Data'!$K:$K,J228)&gt;0, "X", "")</f>
        <v/>
      </c>
    </row>
    <row r="229" spans="1:20" x14ac:dyDescent="0.25">
      <c r="A229" s="28">
        <f t="shared" si="3"/>
        <v>228</v>
      </c>
      <c r="B229" s="28" t="s">
        <v>6902</v>
      </c>
      <c r="C229" s="28" t="s">
        <v>7096</v>
      </c>
      <c r="D229" s="28" t="s">
        <v>1125</v>
      </c>
      <c r="E229" s="28" t="s">
        <v>294</v>
      </c>
      <c r="F229" s="28">
        <v>22046</v>
      </c>
      <c r="G229" s="28">
        <v>38.884332000000001</v>
      </c>
      <c r="H229" s="28">
        <v>-77.174546000000007</v>
      </c>
      <c r="I229" s="28"/>
      <c r="J229" s="61">
        <v>110071426611</v>
      </c>
      <c r="K229" s="28" t="s">
        <v>265</v>
      </c>
      <c r="L229" s="28"/>
      <c r="M229" s="28"/>
      <c r="N229" s="28"/>
      <c r="O229" s="28"/>
      <c r="P229" s="28"/>
      <c r="Q229" s="28" t="s">
        <v>265</v>
      </c>
      <c r="R229" s="28">
        <f>VLOOKUP(K229,OES!$A:$B, 2, FALSE)</f>
        <v>250</v>
      </c>
      <c r="S229" s="60" t="s">
        <v>1465</v>
      </c>
      <c r="T229" s="203" t="str">
        <f>IF(COUNTIF('Raw TRI Data'!$K:$K,J229)&gt;0, "X", "")</f>
        <v/>
      </c>
    </row>
    <row r="230" spans="1:20" x14ac:dyDescent="0.25">
      <c r="A230" s="28">
        <f t="shared" si="3"/>
        <v>229</v>
      </c>
      <c r="B230" s="28" t="s">
        <v>1126</v>
      </c>
      <c r="C230" s="28" t="s">
        <v>1789</v>
      </c>
      <c r="D230" s="28" t="s">
        <v>1127</v>
      </c>
      <c r="E230" s="28" t="s">
        <v>1128</v>
      </c>
      <c r="F230" s="28">
        <v>80537</v>
      </c>
      <c r="G230" s="28">
        <v>40.393799999999999</v>
      </c>
      <c r="H230" s="28">
        <v>-105.074</v>
      </c>
      <c r="I230" s="28"/>
      <c r="J230" s="61">
        <v>110070053140</v>
      </c>
      <c r="K230" s="28" t="s">
        <v>265</v>
      </c>
      <c r="L230" s="28"/>
      <c r="M230" s="28"/>
      <c r="N230" s="28"/>
      <c r="O230" s="28"/>
      <c r="P230" s="28"/>
      <c r="Q230" s="28" t="s">
        <v>265</v>
      </c>
      <c r="R230" s="28">
        <f>VLOOKUP(K230,OES!$A:$B, 2, FALSE)</f>
        <v>250</v>
      </c>
      <c r="S230" s="60" t="s">
        <v>1465</v>
      </c>
      <c r="T230" s="203" t="str">
        <f>IF(COUNTIF('Raw TRI Data'!$K:$K,J230)&gt;0, "X", "")</f>
        <v/>
      </c>
    </row>
    <row r="231" spans="1:20" x14ac:dyDescent="0.25">
      <c r="A231" s="28">
        <f t="shared" si="3"/>
        <v>230</v>
      </c>
      <c r="B231" s="28" t="s">
        <v>6887</v>
      </c>
      <c r="C231" s="28" t="s">
        <v>7065</v>
      </c>
      <c r="D231" s="28" t="s">
        <v>7066</v>
      </c>
      <c r="E231" s="28" t="s">
        <v>324</v>
      </c>
      <c r="F231" s="28">
        <v>40601</v>
      </c>
      <c r="G231" s="28">
        <v>38.194721999999999</v>
      </c>
      <c r="H231" s="28">
        <v>-84.869444000000001</v>
      </c>
      <c r="I231" s="28"/>
      <c r="J231" s="61">
        <v>110000732299</v>
      </c>
      <c r="K231" s="28" t="s">
        <v>263</v>
      </c>
      <c r="L231" s="28"/>
      <c r="M231" s="28"/>
      <c r="N231" s="28"/>
      <c r="O231" s="28"/>
      <c r="P231" s="28"/>
      <c r="Q231" s="28" t="s">
        <v>265</v>
      </c>
      <c r="R231" s="28">
        <f>VLOOKUP(K231,OES!$A:$B, 2, FALSE)</f>
        <v>365</v>
      </c>
      <c r="S231" s="60" t="s">
        <v>1465</v>
      </c>
      <c r="T231" s="203" t="str">
        <f>IF(COUNTIF('Raw TRI Data'!$K:$K,J231)&gt;0, "X", "")</f>
        <v/>
      </c>
    </row>
    <row r="232" spans="1:20" x14ac:dyDescent="0.25">
      <c r="A232" s="28">
        <f t="shared" si="3"/>
        <v>231</v>
      </c>
      <c r="B232" s="28" t="s">
        <v>1129</v>
      </c>
      <c r="C232" s="28" t="s">
        <v>1792</v>
      </c>
      <c r="D232" s="28" t="s">
        <v>1130</v>
      </c>
      <c r="E232" s="28" t="s">
        <v>366</v>
      </c>
      <c r="F232" s="28">
        <v>93420</v>
      </c>
      <c r="G232" s="28">
        <v>35.178620000000002</v>
      </c>
      <c r="H232" s="28">
        <v>-120.62067500000001</v>
      </c>
      <c r="I232" s="28"/>
      <c r="J232" s="61">
        <v>110037256867</v>
      </c>
      <c r="K232" s="28" t="s">
        <v>6750</v>
      </c>
      <c r="L232" s="28"/>
      <c r="M232" s="28"/>
      <c r="N232" s="28"/>
      <c r="O232" s="28"/>
      <c r="P232" s="28"/>
      <c r="Q232" s="28" t="s">
        <v>265</v>
      </c>
      <c r="R232" s="28">
        <v>250</v>
      </c>
      <c r="S232" s="60" t="s">
        <v>1465</v>
      </c>
      <c r="T232" s="203" t="str">
        <f>IF(COUNTIF('Raw TRI Data'!$K:$K,J232)&gt;0, "X", "")</f>
        <v/>
      </c>
    </row>
    <row r="233" spans="1:20" x14ac:dyDescent="0.25">
      <c r="A233" s="28">
        <f t="shared" si="3"/>
        <v>232</v>
      </c>
      <c r="B233" s="28" t="s">
        <v>1132</v>
      </c>
      <c r="C233" s="28" t="s">
        <v>1797</v>
      </c>
      <c r="D233" s="28" t="s">
        <v>1133</v>
      </c>
      <c r="E233" s="28" t="s">
        <v>999</v>
      </c>
      <c r="F233" s="28" t="s">
        <v>1798</v>
      </c>
      <c r="G233" s="28">
        <v>43.585476</v>
      </c>
      <c r="H233" s="28">
        <v>-71.750524999999996</v>
      </c>
      <c r="I233" s="28" t="s">
        <v>717</v>
      </c>
      <c r="J233" s="61">
        <v>110007681758</v>
      </c>
      <c r="K233" s="28" t="s">
        <v>265</v>
      </c>
      <c r="L233" s="28"/>
      <c r="M233" s="28"/>
      <c r="N233" s="28"/>
      <c r="O233" s="28"/>
      <c r="P233" s="28"/>
      <c r="Q233" s="28" t="s">
        <v>265</v>
      </c>
      <c r="R233" s="28">
        <f>VLOOKUP(K233,OES!$A:$B, 2, FALSE)</f>
        <v>250</v>
      </c>
      <c r="S233" s="60" t="s">
        <v>1465</v>
      </c>
      <c r="T233" s="203" t="str">
        <f>IF(COUNTIF('Raw TRI Data'!$K:$K,J233)&gt;0, "X", "")</f>
        <v/>
      </c>
    </row>
    <row r="234" spans="1:20" x14ac:dyDescent="0.25">
      <c r="A234" s="28">
        <f t="shared" si="3"/>
        <v>233</v>
      </c>
      <c r="B234" s="28" t="s">
        <v>1134</v>
      </c>
      <c r="C234" s="28" t="s">
        <v>1800</v>
      </c>
      <c r="D234" s="28" t="s">
        <v>1135</v>
      </c>
      <c r="E234" s="28" t="s">
        <v>299</v>
      </c>
      <c r="F234" s="28">
        <v>72501</v>
      </c>
      <c r="G234" s="28">
        <v>35.722341999999998</v>
      </c>
      <c r="H234" s="28">
        <v>-91.524983000000006</v>
      </c>
      <c r="I234" s="28" t="s">
        <v>718</v>
      </c>
      <c r="J234" s="61">
        <v>110017432937</v>
      </c>
      <c r="K234" s="28" t="s">
        <v>265</v>
      </c>
      <c r="L234" s="28"/>
      <c r="M234" s="28"/>
      <c r="N234" s="28"/>
      <c r="O234" s="28"/>
      <c r="P234" s="28"/>
      <c r="Q234" s="28" t="s">
        <v>265</v>
      </c>
      <c r="R234" s="28">
        <f>VLOOKUP(K234,OES!$A:$B, 2, FALSE)</f>
        <v>250</v>
      </c>
      <c r="S234" s="60" t="s">
        <v>1465</v>
      </c>
      <c r="T234" s="203" t="str">
        <f>IF(COUNTIF('Raw TRI Data'!$K:$K,J234)&gt;0, "X", "")</f>
        <v/>
      </c>
    </row>
    <row r="235" spans="1:20" x14ac:dyDescent="0.25">
      <c r="A235" s="28">
        <f t="shared" si="3"/>
        <v>234</v>
      </c>
      <c r="B235" s="28" t="s">
        <v>6883</v>
      </c>
      <c r="C235" s="28" t="s">
        <v>7057</v>
      </c>
      <c r="D235" s="28" t="s">
        <v>6982</v>
      </c>
      <c r="E235" s="28" t="s">
        <v>324</v>
      </c>
      <c r="F235" s="28">
        <v>40324</v>
      </c>
      <c r="G235" s="28">
        <v>38.217222</v>
      </c>
      <c r="H235" s="28">
        <v>-84.564166999999998</v>
      </c>
      <c r="I235" s="28"/>
      <c r="J235" s="61">
        <v>110000732208</v>
      </c>
      <c r="K235" s="28" t="s">
        <v>263</v>
      </c>
      <c r="L235" s="28"/>
      <c r="M235" s="28"/>
      <c r="N235" s="28"/>
      <c r="O235" s="28"/>
      <c r="P235" s="28"/>
      <c r="Q235" s="28" t="s">
        <v>265</v>
      </c>
      <c r="R235" s="28">
        <f>VLOOKUP(K235,OES!$A:$B, 2, FALSE)</f>
        <v>365</v>
      </c>
      <c r="S235" s="60" t="s">
        <v>1465</v>
      </c>
      <c r="T235" s="203" t="str">
        <f>IF(COUNTIF('Raw TRI Data'!$K:$K,J235)&gt;0, "X", "")</f>
        <v/>
      </c>
    </row>
    <row r="236" spans="1:20" x14ac:dyDescent="0.25">
      <c r="A236" s="28">
        <f t="shared" si="3"/>
        <v>235</v>
      </c>
      <c r="B236" s="28" t="s">
        <v>6828</v>
      </c>
      <c r="C236" s="28" t="s">
        <v>6981</v>
      </c>
      <c r="D236" s="28" t="s">
        <v>6982</v>
      </c>
      <c r="E236" s="28" t="s">
        <v>324</v>
      </c>
      <c r="F236" s="28">
        <v>40324</v>
      </c>
      <c r="G236" s="28">
        <v>38.267437999999999</v>
      </c>
      <c r="H236" s="28">
        <v>-84.527996000000002</v>
      </c>
      <c r="I236" s="28"/>
      <c r="J236" s="61">
        <v>110000759741</v>
      </c>
      <c r="K236" s="28" t="s">
        <v>263</v>
      </c>
      <c r="L236" s="28"/>
      <c r="M236" s="28"/>
      <c r="N236" s="28"/>
      <c r="O236" s="28"/>
      <c r="P236" s="28"/>
      <c r="Q236" s="28" t="s">
        <v>265</v>
      </c>
      <c r="R236" s="28">
        <f>VLOOKUP(K236,OES!$A:$B, 2, FALSE)</f>
        <v>365</v>
      </c>
      <c r="S236" s="60" t="s">
        <v>1465</v>
      </c>
      <c r="T236" s="203" t="str">
        <f>IF(COUNTIF('Raw TRI Data'!$K:$K,J236)&gt;0, "X", "")</f>
        <v/>
      </c>
    </row>
    <row r="237" spans="1:20" x14ac:dyDescent="0.25">
      <c r="A237" s="28">
        <f t="shared" si="3"/>
        <v>236</v>
      </c>
      <c r="B237" s="28" t="s">
        <v>6814</v>
      </c>
      <c r="C237" s="28" t="s">
        <v>1813</v>
      </c>
      <c r="D237" s="28" t="s">
        <v>1139</v>
      </c>
      <c r="E237" s="28" t="s">
        <v>324</v>
      </c>
      <c r="F237" s="28">
        <v>42141</v>
      </c>
      <c r="G237" s="28">
        <v>36.983809999999998</v>
      </c>
      <c r="H237" s="28">
        <v>-85.957089999999994</v>
      </c>
      <c r="I237" s="28"/>
      <c r="J237" s="61">
        <v>110001123276</v>
      </c>
      <c r="K237" s="28" t="s">
        <v>263</v>
      </c>
      <c r="L237" s="28"/>
      <c r="M237" s="28"/>
      <c r="N237" s="28"/>
      <c r="O237" s="28"/>
      <c r="P237" s="28"/>
      <c r="Q237" s="28" t="s">
        <v>265</v>
      </c>
      <c r="R237" s="28">
        <f>VLOOKUP(K237,OES!$A:$B, 2, FALSE)</f>
        <v>365</v>
      </c>
      <c r="S237" s="60" t="s">
        <v>1465</v>
      </c>
      <c r="T237" s="203" t="str">
        <f>IF(COUNTIF('Raw TRI Data'!$K:$K,J237)&gt;0, "X", "")</f>
        <v/>
      </c>
    </row>
    <row r="238" spans="1:20" x14ac:dyDescent="0.25">
      <c r="A238" s="28">
        <f t="shared" si="3"/>
        <v>237</v>
      </c>
      <c r="B238" s="28" t="s">
        <v>6799</v>
      </c>
      <c r="C238" s="28" t="s">
        <v>6951</v>
      </c>
      <c r="D238" s="28" t="s">
        <v>590</v>
      </c>
      <c r="E238" s="28" t="s">
        <v>362</v>
      </c>
      <c r="F238" s="28">
        <v>77536</v>
      </c>
      <c r="G238" s="28">
        <v>29.717469999999999</v>
      </c>
      <c r="H238" s="28">
        <v>-95.113280000000003</v>
      </c>
      <c r="I238" s="28" t="s">
        <v>7122</v>
      </c>
      <c r="J238" s="61">
        <v>110056537804</v>
      </c>
      <c r="K238" s="28" t="s">
        <v>265</v>
      </c>
      <c r="L238" s="28"/>
      <c r="M238" s="28"/>
      <c r="N238" s="28"/>
      <c r="O238" s="28"/>
      <c r="P238" s="28"/>
      <c r="Q238" s="28" t="s">
        <v>265</v>
      </c>
      <c r="R238" s="28">
        <f>VLOOKUP(K238,OES!$A:$B, 2, FALSE)</f>
        <v>250</v>
      </c>
      <c r="S238" s="60" t="s">
        <v>1465</v>
      </c>
      <c r="T238" s="203" t="str">
        <f>IF(COUNTIF('Raw TRI Data'!$K:$K,J238)&gt;0, "X", "")</f>
        <v/>
      </c>
    </row>
    <row r="239" spans="1:20" x14ac:dyDescent="0.25">
      <c r="A239" s="28">
        <f t="shared" si="3"/>
        <v>238</v>
      </c>
      <c r="B239" s="28" t="s">
        <v>6848</v>
      </c>
      <c r="C239" s="28" t="s">
        <v>7002</v>
      </c>
      <c r="D239" s="28" t="s">
        <v>657</v>
      </c>
      <c r="E239" s="28" t="s">
        <v>418</v>
      </c>
      <c r="F239" s="28" t="s">
        <v>7003</v>
      </c>
      <c r="G239" s="28">
        <v>36.170819999999999</v>
      </c>
      <c r="H239" s="28">
        <v>-115.14431</v>
      </c>
      <c r="I239" s="28"/>
      <c r="J239" s="61">
        <v>110004300596</v>
      </c>
      <c r="K239" s="28" t="s">
        <v>265</v>
      </c>
      <c r="L239" s="28"/>
      <c r="M239" s="28"/>
      <c r="N239" s="28"/>
      <c r="O239" s="28"/>
      <c r="P239" s="28"/>
      <c r="Q239" s="28" t="s">
        <v>265</v>
      </c>
      <c r="R239" s="28">
        <f>VLOOKUP(K239,OES!$A:$B, 2, FALSE)</f>
        <v>250</v>
      </c>
      <c r="S239" s="60" t="s">
        <v>1465</v>
      </c>
      <c r="T239" s="203" t="str">
        <f>IF(COUNTIF('Raw TRI Data'!$K:$K,J239)&gt;0, "X", "")</f>
        <v/>
      </c>
    </row>
    <row r="240" spans="1:20" x14ac:dyDescent="0.25">
      <c r="A240" s="28">
        <f t="shared" si="3"/>
        <v>239</v>
      </c>
      <c r="B240" s="28" t="s">
        <v>1144</v>
      </c>
      <c r="C240" s="28" t="s">
        <v>1825</v>
      </c>
      <c r="D240" s="28" t="s">
        <v>1145</v>
      </c>
      <c r="E240" s="28" t="s">
        <v>324</v>
      </c>
      <c r="F240" s="28">
        <v>41144</v>
      </c>
      <c r="G240" s="28">
        <v>38.551630000000003</v>
      </c>
      <c r="H240" s="28">
        <v>-82.778199999999998</v>
      </c>
      <c r="I240" s="28"/>
      <c r="J240" s="61">
        <v>110000759723</v>
      </c>
      <c r="K240" s="28" t="s">
        <v>263</v>
      </c>
      <c r="L240" s="28"/>
      <c r="M240" s="28"/>
      <c r="N240" s="28"/>
      <c r="O240" s="28"/>
      <c r="P240" s="28"/>
      <c r="Q240" s="28" t="s">
        <v>265</v>
      </c>
      <c r="R240" s="28">
        <f>VLOOKUP(K240,OES!$A:$B, 2, FALSE)</f>
        <v>365</v>
      </c>
      <c r="S240" s="60" t="s">
        <v>1465</v>
      </c>
      <c r="T240" s="203" t="str">
        <f>IF(COUNTIF('Raw TRI Data'!$K:$K,J240)&gt;0, "X", "")</f>
        <v/>
      </c>
    </row>
    <row r="241" spans="1:20" x14ac:dyDescent="0.25">
      <c r="A241" s="28">
        <f t="shared" si="3"/>
        <v>240</v>
      </c>
      <c r="B241" s="28" t="s">
        <v>1150</v>
      </c>
      <c r="C241" s="28" t="s">
        <v>1835</v>
      </c>
      <c r="D241" s="28" t="s">
        <v>1151</v>
      </c>
      <c r="E241" s="28" t="s">
        <v>338</v>
      </c>
      <c r="F241" s="28">
        <v>8610</v>
      </c>
      <c r="G241" s="28">
        <v>40.183062999999997</v>
      </c>
      <c r="H241" s="28">
        <v>-74.710695000000001</v>
      </c>
      <c r="I241" s="28"/>
      <c r="J241" s="61">
        <v>110056977080</v>
      </c>
      <c r="K241" s="28" t="s">
        <v>263</v>
      </c>
      <c r="L241" s="28"/>
      <c r="M241" s="28"/>
      <c r="N241" s="28"/>
      <c r="O241" s="28"/>
      <c r="P241" s="28"/>
      <c r="Q241" s="28" t="s">
        <v>265</v>
      </c>
      <c r="R241" s="28">
        <f>VLOOKUP(K241,OES!$A:$B, 2, FALSE)</f>
        <v>365</v>
      </c>
      <c r="S241" s="60" t="s">
        <v>1465</v>
      </c>
      <c r="T241" s="203" t="str">
        <f>IF(COUNTIF('Raw TRI Data'!$K:$K,J241)&gt;0, "X", "")</f>
        <v/>
      </c>
    </row>
    <row r="242" spans="1:20" x14ac:dyDescent="0.25">
      <c r="A242" s="28">
        <f t="shared" si="3"/>
        <v>241</v>
      </c>
      <c r="B242" s="28" t="s">
        <v>1154</v>
      </c>
      <c r="C242" s="28" t="s">
        <v>7009</v>
      </c>
      <c r="D242" s="28" t="s">
        <v>1155</v>
      </c>
      <c r="E242" s="28" t="s">
        <v>366</v>
      </c>
      <c r="F242" s="28" t="s">
        <v>1846</v>
      </c>
      <c r="G242" s="28">
        <v>38.730832999999997</v>
      </c>
      <c r="H242" s="28">
        <v>-120.846667</v>
      </c>
      <c r="I242" s="28"/>
      <c r="J242" s="61">
        <v>110039757992</v>
      </c>
      <c r="K242" s="28" t="s">
        <v>263</v>
      </c>
      <c r="L242" s="28"/>
      <c r="M242" s="28"/>
      <c r="N242" s="28"/>
      <c r="O242" s="28"/>
      <c r="P242" s="28"/>
      <c r="Q242" s="28" t="s">
        <v>265</v>
      </c>
      <c r="R242" s="28">
        <f>VLOOKUP(K242,OES!$A:$B, 2, FALSE)</f>
        <v>365</v>
      </c>
      <c r="S242" s="60" t="s">
        <v>1465</v>
      </c>
      <c r="T242" s="203" t="str">
        <f>IF(COUNTIF('Raw TRI Data'!$K:$K,J242)&gt;0, "X", "")</f>
        <v/>
      </c>
    </row>
    <row r="243" spans="1:20" x14ac:dyDescent="0.25">
      <c r="A243" s="28">
        <f t="shared" si="3"/>
        <v>242</v>
      </c>
      <c r="B243" s="28" t="s">
        <v>6778</v>
      </c>
      <c r="C243" s="28" t="s">
        <v>6922</v>
      </c>
      <c r="D243" s="28" t="s">
        <v>6923</v>
      </c>
      <c r="E243" s="28" t="s">
        <v>1171</v>
      </c>
      <c r="F243" s="28">
        <v>96720</v>
      </c>
      <c r="G243" s="28">
        <v>19.713750000000001</v>
      </c>
      <c r="H243" s="28">
        <v>-155.01927800000001</v>
      </c>
      <c r="I243" s="28"/>
      <c r="J243" s="61">
        <v>110013786698</v>
      </c>
      <c r="K243" s="28" t="s">
        <v>263</v>
      </c>
      <c r="L243" s="28"/>
      <c r="M243" s="28"/>
      <c r="N243" s="28"/>
      <c r="O243" s="28"/>
      <c r="P243" s="28"/>
      <c r="Q243" s="28" t="s">
        <v>265</v>
      </c>
      <c r="R243" s="28">
        <f>VLOOKUP(K243,OES!$A:$B, 2, FALSE)</f>
        <v>365</v>
      </c>
      <c r="S243" s="60" t="s">
        <v>1465</v>
      </c>
      <c r="T243" s="203" t="str">
        <f>IF(COUNTIF('Raw TRI Data'!$K:$K,J243)&gt;0, "X", "")</f>
        <v/>
      </c>
    </row>
    <row r="244" spans="1:20" x14ac:dyDescent="0.25">
      <c r="A244" s="28">
        <f t="shared" si="3"/>
        <v>243</v>
      </c>
      <c r="B244" s="28" t="s">
        <v>1160</v>
      </c>
      <c r="C244" s="28" t="s">
        <v>1856</v>
      </c>
      <c r="D244" s="28" t="s">
        <v>1103</v>
      </c>
      <c r="E244" s="28" t="s">
        <v>345</v>
      </c>
      <c r="F244" s="28" t="s">
        <v>1857</v>
      </c>
      <c r="G244" s="28">
        <v>41.304952</v>
      </c>
      <c r="H244" s="28">
        <v>-88.561650999999998</v>
      </c>
      <c r="I244" s="28" t="s">
        <v>720</v>
      </c>
      <c r="J244" s="61">
        <v>110000433022</v>
      </c>
      <c r="K244" s="28" t="s">
        <v>265</v>
      </c>
      <c r="L244" s="28"/>
      <c r="M244" s="28"/>
      <c r="N244" s="28"/>
      <c r="O244" s="28"/>
      <c r="P244" s="28"/>
      <c r="Q244" s="28" t="s">
        <v>265</v>
      </c>
      <c r="R244" s="28">
        <f>VLOOKUP(K244,OES!$A:$B, 2, FALSE)</f>
        <v>250</v>
      </c>
      <c r="S244" s="60" t="s">
        <v>1465</v>
      </c>
      <c r="T244" s="203" t="str">
        <f>IF(COUNTIF('Raw TRI Data'!$K:$K,J244)&gt;0, "X", "")</f>
        <v/>
      </c>
    </row>
    <row r="245" spans="1:20" x14ac:dyDescent="0.25">
      <c r="A245" s="28">
        <f t="shared" si="3"/>
        <v>244</v>
      </c>
      <c r="B245" s="28" t="s">
        <v>1161</v>
      </c>
      <c r="C245" s="28" t="s">
        <v>1861</v>
      </c>
      <c r="D245" s="28" t="s">
        <v>1162</v>
      </c>
      <c r="E245" s="28" t="s">
        <v>338</v>
      </c>
      <c r="F245" s="28">
        <v>80271164</v>
      </c>
      <c r="G245" s="28">
        <v>39.827696000000003</v>
      </c>
      <c r="H245" s="28">
        <v>-75.277782000000002</v>
      </c>
      <c r="I245" s="28"/>
      <c r="J245" s="61">
        <v>110070210457</v>
      </c>
      <c r="K245" s="28" t="s">
        <v>264</v>
      </c>
      <c r="L245" s="28"/>
      <c r="M245" s="28"/>
      <c r="N245" s="28"/>
      <c r="O245" s="28"/>
      <c r="P245" s="28"/>
      <c r="Q245" s="28" t="s">
        <v>265</v>
      </c>
      <c r="R245" s="28">
        <f>VLOOKUP(K245,OES!$A:$B, 2, FALSE)</f>
        <v>365</v>
      </c>
      <c r="S245" s="60" t="s">
        <v>1465</v>
      </c>
      <c r="T245" s="203" t="str">
        <f>IF(COUNTIF('Raw TRI Data'!$K:$K,J245)&gt;0, "X", "")</f>
        <v/>
      </c>
    </row>
    <row r="246" spans="1:20" x14ac:dyDescent="0.25">
      <c r="A246" s="28">
        <f t="shared" si="3"/>
        <v>245</v>
      </c>
      <c r="B246" s="28" t="s">
        <v>1163</v>
      </c>
      <c r="C246" s="28" t="s">
        <v>1865</v>
      </c>
      <c r="D246" s="28" t="s">
        <v>987</v>
      </c>
      <c r="E246" s="28" t="s">
        <v>324</v>
      </c>
      <c r="F246" s="28" t="s">
        <v>1866</v>
      </c>
      <c r="G246" s="28">
        <v>38.322221999999996</v>
      </c>
      <c r="H246" s="28">
        <v>-85.555000000000007</v>
      </c>
      <c r="I246" s="28"/>
      <c r="J246" s="61">
        <v>110000732271</v>
      </c>
      <c r="K246" s="28" t="s">
        <v>263</v>
      </c>
      <c r="L246" s="28"/>
      <c r="M246" s="28"/>
      <c r="N246" s="28"/>
      <c r="O246" s="28"/>
      <c r="P246" s="28"/>
      <c r="Q246" s="28" t="s">
        <v>265</v>
      </c>
      <c r="R246" s="28">
        <f>VLOOKUP(K246,OES!$A:$B, 2, FALSE)</f>
        <v>365</v>
      </c>
      <c r="S246" s="60" t="s">
        <v>1465</v>
      </c>
      <c r="T246" s="203" t="str">
        <f>IF(COUNTIF('Raw TRI Data'!$K:$K,J246)&gt;0, "X", "")</f>
        <v/>
      </c>
    </row>
    <row r="247" spans="1:20" x14ac:dyDescent="0.25">
      <c r="A247" s="28">
        <f t="shared" si="3"/>
        <v>246</v>
      </c>
      <c r="B247" s="28" t="s">
        <v>1167</v>
      </c>
      <c r="C247" s="28" t="s">
        <v>1875</v>
      </c>
      <c r="D247" s="28" t="s">
        <v>1168</v>
      </c>
      <c r="E247" s="28" t="s">
        <v>338</v>
      </c>
      <c r="F247" s="28">
        <v>79621057</v>
      </c>
      <c r="G247" s="28">
        <v>40.792712999999999</v>
      </c>
      <c r="H247" s="28">
        <v>-74.434799999999996</v>
      </c>
      <c r="I247" s="28"/>
      <c r="J247" s="61">
        <v>110070212650</v>
      </c>
      <c r="K247" s="28" t="s">
        <v>254</v>
      </c>
      <c r="L247" s="28"/>
      <c r="M247" s="28"/>
      <c r="N247" s="28"/>
      <c r="O247" s="28"/>
      <c r="P247" s="28"/>
      <c r="Q247" s="28" t="s">
        <v>265</v>
      </c>
      <c r="R247" s="28">
        <f>VLOOKUP(K247,OES!$A:$B, 2, FALSE)</f>
        <v>300</v>
      </c>
      <c r="S247" s="60" t="s">
        <v>1465</v>
      </c>
      <c r="T247" s="203" t="str">
        <f>IF(COUNTIF('Raw TRI Data'!$K:$K,J247)&gt;0, "X", "")</f>
        <v/>
      </c>
    </row>
    <row r="248" spans="1:20" x14ac:dyDescent="0.25">
      <c r="A248" s="28">
        <f t="shared" si="3"/>
        <v>247</v>
      </c>
      <c r="B248" s="28" t="s">
        <v>1172</v>
      </c>
      <c r="C248" s="28" t="s">
        <v>1884</v>
      </c>
      <c r="D248" s="28" t="s">
        <v>1173</v>
      </c>
      <c r="E248" s="28" t="s">
        <v>324</v>
      </c>
      <c r="F248" s="28">
        <v>42240</v>
      </c>
      <c r="G248" s="28">
        <v>36.803610999999997</v>
      </c>
      <c r="H248" s="28">
        <v>-87.516389000000004</v>
      </c>
      <c r="I248" s="28"/>
      <c r="J248" s="61">
        <v>110039994897</v>
      </c>
      <c r="K248" s="28" t="s">
        <v>263</v>
      </c>
      <c r="L248" s="28"/>
      <c r="M248" s="28"/>
      <c r="N248" s="28"/>
      <c r="O248" s="28"/>
      <c r="P248" s="28"/>
      <c r="Q248" s="28" t="s">
        <v>265</v>
      </c>
      <c r="R248" s="28">
        <f>VLOOKUP(K248,OES!$A:$B, 2, FALSE)</f>
        <v>365</v>
      </c>
      <c r="S248" s="60" t="s">
        <v>1465</v>
      </c>
      <c r="T248" s="203" t="str">
        <f>IF(COUNTIF('Raw TRI Data'!$K:$K,J248)&gt;0, "X", "")</f>
        <v/>
      </c>
    </row>
    <row r="249" spans="1:20" x14ac:dyDescent="0.25">
      <c r="A249" s="28">
        <f t="shared" si="3"/>
        <v>248</v>
      </c>
      <c r="B249" s="28" t="s">
        <v>1176</v>
      </c>
      <c r="C249" s="28" t="s">
        <v>1891</v>
      </c>
      <c r="D249" s="28" t="s">
        <v>657</v>
      </c>
      <c r="E249" s="28" t="s">
        <v>418</v>
      </c>
      <c r="F249" s="28">
        <v>89169</v>
      </c>
      <c r="G249" s="28">
        <v>36.119079999999997</v>
      </c>
      <c r="H249" s="28">
        <v>-115.15727</v>
      </c>
      <c r="I249" s="28"/>
      <c r="J249" s="61">
        <v>110037274133</v>
      </c>
      <c r="K249" s="28" t="s">
        <v>265</v>
      </c>
      <c r="L249" s="28"/>
      <c r="M249" s="28"/>
      <c r="N249" s="28"/>
      <c r="O249" s="28"/>
      <c r="P249" s="28"/>
      <c r="Q249" s="28" t="s">
        <v>265</v>
      </c>
      <c r="R249" s="28">
        <f>VLOOKUP(K249,OES!$A:$B, 2, FALSE)</f>
        <v>250</v>
      </c>
      <c r="S249" s="60" t="s">
        <v>1465</v>
      </c>
      <c r="T249" s="203" t="str">
        <f>IF(COUNTIF('Raw TRI Data'!$K:$K,J249)&gt;0, "X", "")</f>
        <v/>
      </c>
    </row>
    <row r="250" spans="1:20" x14ac:dyDescent="0.25">
      <c r="A250" s="28">
        <f t="shared" si="3"/>
        <v>249</v>
      </c>
      <c r="B250" s="28" t="s">
        <v>1177</v>
      </c>
      <c r="C250" s="28" t="s">
        <v>1894</v>
      </c>
      <c r="D250" s="28" t="s">
        <v>1178</v>
      </c>
      <c r="E250" s="28" t="s">
        <v>308</v>
      </c>
      <c r="F250" s="28" t="s">
        <v>7106</v>
      </c>
      <c r="G250" s="28">
        <v>42.482259999999997</v>
      </c>
      <c r="H250" s="28">
        <v>-71.191800000000001</v>
      </c>
      <c r="I250" s="28"/>
      <c r="J250" s="61">
        <v>110024468128</v>
      </c>
      <c r="K250" s="28" t="s">
        <v>265</v>
      </c>
      <c r="L250" s="28"/>
      <c r="M250" s="28"/>
      <c r="N250" s="28"/>
      <c r="O250" s="28"/>
      <c r="P250" s="28"/>
      <c r="Q250" s="28" t="s">
        <v>265</v>
      </c>
      <c r="R250" s="28">
        <f>VLOOKUP(K250,OES!$A:$B, 2, FALSE)</f>
        <v>250</v>
      </c>
      <c r="S250" s="60" t="s">
        <v>1465</v>
      </c>
      <c r="T250" s="203" t="str">
        <f>IF(COUNTIF('Raw TRI Data'!$K:$K,J250)&gt;0, "X", "")</f>
        <v/>
      </c>
    </row>
    <row r="251" spans="1:20" x14ac:dyDescent="0.25">
      <c r="A251" s="28">
        <f t="shared" si="3"/>
        <v>250</v>
      </c>
      <c r="B251" s="28" t="s">
        <v>1181</v>
      </c>
      <c r="C251" s="28" t="s">
        <v>1903</v>
      </c>
      <c r="D251" s="28" t="s">
        <v>1182</v>
      </c>
      <c r="E251" s="28" t="s">
        <v>345</v>
      </c>
      <c r="F251" s="28">
        <v>60439</v>
      </c>
      <c r="G251" s="28">
        <v>41.692782000000001</v>
      </c>
      <c r="H251" s="28">
        <v>-87.951100999999994</v>
      </c>
      <c r="I251" s="28"/>
      <c r="J251" s="61">
        <v>110018199377</v>
      </c>
      <c r="K251" s="28" t="s">
        <v>265</v>
      </c>
      <c r="L251" s="28"/>
      <c r="M251" s="28"/>
      <c r="N251" s="28"/>
      <c r="O251" s="28"/>
      <c r="P251" s="28"/>
      <c r="Q251" s="28" t="s">
        <v>265</v>
      </c>
      <c r="R251" s="28">
        <f>VLOOKUP(K251,OES!$A:$B, 2, FALSE)</f>
        <v>250</v>
      </c>
      <c r="S251" s="60" t="s">
        <v>1465</v>
      </c>
      <c r="T251" s="203" t="str">
        <f>IF(COUNTIF('Raw TRI Data'!$K:$K,J251)&gt;0, "X", "")</f>
        <v/>
      </c>
    </row>
    <row r="252" spans="1:20" x14ac:dyDescent="0.25">
      <c r="A252" s="28">
        <f t="shared" si="3"/>
        <v>251</v>
      </c>
      <c r="B252" s="28" t="s">
        <v>6770</v>
      </c>
      <c r="C252" s="28" t="s">
        <v>6916</v>
      </c>
      <c r="D252" s="28" t="s">
        <v>1292</v>
      </c>
      <c r="E252" s="28" t="s">
        <v>366</v>
      </c>
      <c r="F252" s="28">
        <v>90056</v>
      </c>
      <c r="G252" s="28">
        <v>33.990146000000003</v>
      </c>
      <c r="H252" s="28">
        <v>-118.36358</v>
      </c>
      <c r="I252" s="28"/>
      <c r="J252" s="61">
        <v>110064624018</v>
      </c>
      <c r="K252" s="28" t="s">
        <v>265</v>
      </c>
      <c r="L252" s="28"/>
      <c r="M252" s="28"/>
      <c r="N252" s="28"/>
      <c r="O252" s="28"/>
      <c r="P252" s="28"/>
      <c r="Q252" s="28" t="s">
        <v>265</v>
      </c>
      <c r="R252" s="28">
        <f>VLOOKUP(K252,OES!$A:$B, 2, FALSE)</f>
        <v>250</v>
      </c>
      <c r="S252" s="60" t="s">
        <v>1465</v>
      </c>
      <c r="T252" s="203" t="str">
        <f>IF(COUNTIF('Raw TRI Data'!$K:$K,J252)&gt;0, "X", "")</f>
        <v/>
      </c>
    </row>
    <row r="253" spans="1:20" x14ac:dyDescent="0.25">
      <c r="A253" s="28">
        <f t="shared" si="3"/>
        <v>252</v>
      </c>
      <c r="B253" s="28" t="s">
        <v>1184</v>
      </c>
      <c r="C253" s="28" t="s">
        <v>1909</v>
      </c>
      <c r="D253" s="28" t="s">
        <v>500</v>
      </c>
      <c r="E253" s="28" t="s">
        <v>303</v>
      </c>
      <c r="F253" s="28">
        <v>70767</v>
      </c>
      <c r="G253" s="28">
        <v>30.44361</v>
      </c>
      <c r="H253" s="28">
        <v>-91.220929999999996</v>
      </c>
      <c r="I253" s="28"/>
      <c r="J253" s="61">
        <v>110003363351</v>
      </c>
      <c r="K253" s="28" t="s">
        <v>265</v>
      </c>
      <c r="L253" s="28"/>
      <c r="M253" s="28"/>
      <c r="N253" s="28"/>
      <c r="O253" s="28"/>
      <c r="P253" s="28"/>
      <c r="Q253" s="28" t="s">
        <v>265</v>
      </c>
      <c r="R253" s="28">
        <f>VLOOKUP(K253,OES!$A:$B, 2, FALSE)</f>
        <v>250</v>
      </c>
      <c r="S253" s="60" t="s">
        <v>1465</v>
      </c>
      <c r="T253" s="203" t="str">
        <f>IF(COUNTIF('Raw TRI Data'!$K:$K,J253)&gt;0, "X", "")</f>
        <v/>
      </c>
    </row>
    <row r="254" spans="1:20" x14ac:dyDescent="0.25">
      <c r="A254" s="28">
        <f t="shared" si="3"/>
        <v>253</v>
      </c>
      <c r="B254" s="28" t="s">
        <v>1185</v>
      </c>
      <c r="C254" s="28" t="s">
        <v>1911</v>
      </c>
      <c r="D254" s="28" t="s">
        <v>968</v>
      </c>
      <c r="E254" s="28" t="s">
        <v>294</v>
      </c>
      <c r="F254" s="28">
        <v>22305</v>
      </c>
      <c r="G254" s="28">
        <v>38.840600000000002</v>
      </c>
      <c r="H254" s="28">
        <v>-77.068200000000004</v>
      </c>
      <c r="I254" s="28"/>
      <c r="J254" s="61">
        <v>110070598729</v>
      </c>
      <c r="K254" s="28" t="s">
        <v>265</v>
      </c>
      <c r="L254" s="28"/>
      <c r="M254" s="28"/>
      <c r="N254" s="28"/>
      <c r="O254" s="28"/>
      <c r="P254" s="28"/>
      <c r="Q254" s="28" t="s">
        <v>265</v>
      </c>
      <c r="R254" s="28">
        <f>VLOOKUP(K254,OES!$A:$B, 2, FALSE)</f>
        <v>250</v>
      </c>
      <c r="S254" s="60" t="s">
        <v>1465</v>
      </c>
      <c r="T254" s="203" t="str">
        <f>IF(COUNTIF('Raw TRI Data'!$K:$K,J254)&gt;0, "X", "")</f>
        <v/>
      </c>
    </row>
    <row r="255" spans="1:20" x14ac:dyDescent="0.25">
      <c r="A255" s="28">
        <f t="shared" si="3"/>
        <v>254</v>
      </c>
      <c r="B255" s="28" t="s">
        <v>6910</v>
      </c>
      <c r="C255" s="28" t="s">
        <v>7111</v>
      </c>
      <c r="D255" s="28" t="s">
        <v>7112</v>
      </c>
      <c r="E255" s="28" t="s">
        <v>1128</v>
      </c>
      <c r="F255" s="28">
        <v>80022</v>
      </c>
      <c r="G255" s="28">
        <v>39.805556000000003</v>
      </c>
      <c r="H255" s="28">
        <v>-104.944444</v>
      </c>
      <c r="I255" s="28" t="s">
        <v>7135</v>
      </c>
      <c r="J255" s="61">
        <v>110032913024</v>
      </c>
      <c r="K255" s="28" t="s">
        <v>265</v>
      </c>
      <c r="L255" s="28"/>
      <c r="M255" s="28"/>
      <c r="N255" s="28"/>
      <c r="O255" s="28"/>
      <c r="P255" s="28"/>
      <c r="Q255" s="28" t="s">
        <v>265</v>
      </c>
      <c r="R255" s="28">
        <f>VLOOKUP(K255,OES!$A:$B, 2, FALSE)</f>
        <v>250</v>
      </c>
      <c r="S255" s="60" t="s">
        <v>1465</v>
      </c>
      <c r="T255" s="203" t="str">
        <f>IF(COUNTIF('Raw TRI Data'!$K:$K,J255)&gt;0, "X", "")</f>
        <v/>
      </c>
    </row>
    <row r="256" spans="1:20" x14ac:dyDescent="0.25">
      <c r="A256" s="28">
        <f t="shared" si="3"/>
        <v>255</v>
      </c>
      <c r="B256" s="28" t="s">
        <v>6886</v>
      </c>
      <c r="C256" s="28" t="s">
        <v>7062</v>
      </c>
      <c r="D256" s="28" t="s">
        <v>7063</v>
      </c>
      <c r="E256" s="28" t="s">
        <v>366</v>
      </c>
      <c r="F256" s="28" t="s">
        <v>7064</v>
      </c>
      <c r="G256" s="28">
        <v>38.030833000000001</v>
      </c>
      <c r="H256" s="28">
        <v>-122.075</v>
      </c>
      <c r="I256" s="28" t="s">
        <v>7132</v>
      </c>
      <c r="J256" s="61">
        <v>110071349304</v>
      </c>
      <c r="K256" s="28" t="s">
        <v>265</v>
      </c>
      <c r="L256" s="28"/>
      <c r="M256" s="28"/>
      <c r="N256" s="28"/>
      <c r="O256" s="28"/>
      <c r="P256" s="28"/>
      <c r="Q256" s="28" t="s">
        <v>265</v>
      </c>
      <c r="R256" s="28">
        <f>VLOOKUP(K256,OES!$A:$B, 2, FALSE)</f>
        <v>250</v>
      </c>
      <c r="S256" s="60" t="s">
        <v>1465</v>
      </c>
      <c r="T256" s="203" t="str">
        <f>IF(COUNTIF('Raw TRI Data'!$K:$K,J256)&gt;0, "X", "")</f>
        <v/>
      </c>
    </row>
    <row r="257" spans="1:20" x14ac:dyDescent="0.25">
      <c r="A257" s="28">
        <f t="shared" si="3"/>
        <v>256</v>
      </c>
      <c r="B257" s="28" t="s">
        <v>6785</v>
      </c>
      <c r="C257" s="28" t="s">
        <v>6932</v>
      </c>
      <c r="D257" s="28" t="s">
        <v>6933</v>
      </c>
      <c r="E257" s="28" t="s">
        <v>366</v>
      </c>
      <c r="F257" s="28" t="s">
        <v>6934</v>
      </c>
      <c r="G257" s="28">
        <v>38.074433999999997</v>
      </c>
      <c r="H257" s="28">
        <v>-122.144397</v>
      </c>
      <c r="I257" s="28" t="s">
        <v>7119</v>
      </c>
      <c r="J257" s="61">
        <v>110033145353</v>
      </c>
      <c r="K257" s="28" t="s">
        <v>265</v>
      </c>
      <c r="L257" s="28"/>
      <c r="M257" s="28"/>
      <c r="N257" s="28"/>
      <c r="O257" s="28"/>
      <c r="P257" s="28"/>
      <c r="Q257" s="28" t="s">
        <v>265</v>
      </c>
      <c r="R257" s="28">
        <f>VLOOKUP(K257,OES!$A:$B, 2, FALSE)</f>
        <v>250</v>
      </c>
      <c r="S257" s="60" t="s">
        <v>1465</v>
      </c>
      <c r="T257" s="203" t="str">
        <f>IF(COUNTIF('Raw TRI Data'!$K:$K,J257)&gt;0, "X", "")</f>
        <v/>
      </c>
    </row>
    <row r="258" spans="1:20" x14ac:dyDescent="0.25">
      <c r="A258" s="28">
        <f t="shared" si="3"/>
        <v>257</v>
      </c>
      <c r="B258" s="28" t="s">
        <v>1188</v>
      </c>
      <c r="C258" s="28" t="s">
        <v>1917</v>
      </c>
      <c r="D258" s="28" t="s">
        <v>1189</v>
      </c>
      <c r="E258" s="28" t="s">
        <v>324</v>
      </c>
      <c r="F258" s="28">
        <v>40336</v>
      </c>
      <c r="G258" s="28">
        <v>37.700833000000003</v>
      </c>
      <c r="H258" s="28">
        <v>-83.984443999999996</v>
      </c>
      <c r="I258" s="28"/>
      <c r="J258" s="61">
        <v>110006749162</v>
      </c>
      <c r="K258" s="28" t="s">
        <v>263</v>
      </c>
      <c r="L258" s="28"/>
      <c r="M258" s="28"/>
      <c r="N258" s="28"/>
      <c r="O258" s="28"/>
      <c r="P258" s="28"/>
      <c r="Q258" s="28" t="s">
        <v>265</v>
      </c>
      <c r="R258" s="28">
        <f>VLOOKUP(K258,OES!$A:$B, 2, FALSE)</f>
        <v>365</v>
      </c>
      <c r="S258" s="60" t="s">
        <v>1465</v>
      </c>
      <c r="T258" s="203" t="str">
        <f>IF(COUNTIF('Raw TRI Data'!$K:$K,J258)&gt;0, "X", "")</f>
        <v/>
      </c>
    </row>
    <row r="259" spans="1:20" x14ac:dyDescent="0.25">
      <c r="A259" s="28">
        <f t="shared" ref="A259:A322" si="4">A258+1</f>
        <v>258</v>
      </c>
      <c r="B259" s="28" t="s">
        <v>1190</v>
      </c>
      <c r="C259" s="28" t="s">
        <v>1920</v>
      </c>
      <c r="D259" s="28" t="s">
        <v>1191</v>
      </c>
      <c r="E259" s="28" t="s">
        <v>491</v>
      </c>
      <c r="F259" s="28">
        <v>17853</v>
      </c>
      <c r="G259" s="28">
        <v>40.725278000000003</v>
      </c>
      <c r="H259" s="28">
        <v>-77.056944000000001</v>
      </c>
      <c r="I259" s="28"/>
      <c r="J259" s="61">
        <v>110017796330</v>
      </c>
      <c r="K259" s="28" t="s">
        <v>265</v>
      </c>
      <c r="L259" s="28"/>
      <c r="M259" s="28"/>
      <c r="N259" s="28"/>
      <c r="O259" s="28"/>
      <c r="P259" s="28"/>
      <c r="Q259" s="28" t="s">
        <v>265</v>
      </c>
      <c r="R259" s="28">
        <f>VLOOKUP(K259,OES!$A:$B, 2, FALSE)</f>
        <v>250</v>
      </c>
      <c r="S259" s="60" t="s">
        <v>1465</v>
      </c>
      <c r="T259" s="203" t="str">
        <f>IF(COUNTIF('Raw TRI Data'!$K:$K,J259)&gt;0, "X", "")</f>
        <v/>
      </c>
    </row>
    <row r="260" spans="1:20" x14ac:dyDescent="0.25">
      <c r="A260" s="28">
        <f t="shared" si="4"/>
        <v>259</v>
      </c>
      <c r="B260" s="28" t="s">
        <v>6795</v>
      </c>
      <c r="C260" s="28" t="s">
        <v>1924</v>
      </c>
      <c r="D260" s="28" t="s">
        <v>323</v>
      </c>
      <c r="E260" s="28" t="s">
        <v>324</v>
      </c>
      <c r="F260" s="28">
        <v>42029</v>
      </c>
      <c r="G260" s="28">
        <v>37.047736999999998</v>
      </c>
      <c r="H260" s="28">
        <v>-88.35866</v>
      </c>
      <c r="I260" s="28" t="s">
        <v>721</v>
      </c>
      <c r="J260" s="61">
        <v>110000741608</v>
      </c>
      <c r="K260" s="28" t="s">
        <v>265</v>
      </c>
      <c r="L260" s="28"/>
      <c r="M260" s="28"/>
      <c r="N260" s="28"/>
      <c r="O260" s="28"/>
      <c r="P260" s="28"/>
      <c r="Q260" s="28" t="s">
        <v>265</v>
      </c>
      <c r="R260" s="28">
        <f>VLOOKUP(K260,OES!$A:$B, 2, FALSE)</f>
        <v>250</v>
      </c>
      <c r="S260" s="60" t="s">
        <v>1465</v>
      </c>
      <c r="T260" s="203" t="str">
        <f>IF(COUNTIF('Raw TRI Data'!$K:$K,J260)&gt;0, "X", "")</f>
        <v/>
      </c>
    </row>
    <row r="261" spans="1:20" x14ac:dyDescent="0.25">
      <c r="A261" s="28">
        <f t="shared" si="4"/>
        <v>260</v>
      </c>
      <c r="B261" s="28" t="s">
        <v>6877</v>
      </c>
      <c r="C261" s="28" t="s">
        <v>7051</v>
      </c>
      <c r="D261" s="28" t="s">
        <v>7052</v>
      </c>
      <c r="E261" s="28" t="s">
        <v>366</v>
      </c>
      <c r="F261" s="28">
        <v>95642</v>
      </c>
      <c r="G261" s="28">
        <v>38.333300000000001</v>
      </c>
      <c r="H261" s="28">
        <v>-120.7833</v>
      </c>
      <c r="I261" s="28"/>
      <c r="J261" s="61">
        <v>110011373637</v>
      </c>
      <c r="K261" s="28" t="s">
        <v>263</v>
      </c>
      <c r="L261" s="28"/>
      <c r="M261" s="28"/>
      <c r="N261" s="28"/>
      <c r="O261" s="28"/>
      <c r="P261" s="28"/>
      <c r="Q261" s="28" t="s">
        <v>265</v>
      </c>
      <c r="R261" s="28">
        <f>VLOOKUP(K261,OES!$A:$B, 2, FALSE)</f>
        <v>365</v>
      </c>
      <c r="S261" s="60" t="s">
        <v>1465</v>
      </c>
      <c r="T261" s="203" t="str">
        <f>IF(COUNTIF('Raw TRI Data'!$K:$K,J261)&gt;0, "X", "")</f>
        <v/>
      </c>
    </row>
    <row r="262" spans="1:20" x14ac:dyDescent="0.25">
      <c r="A262" s="28">
        <f t="shared" si="4"/>
        <v>261</v>
      </c>
      <c r="B262" s="28" t="s">
        <v>1193</v>
      </c>
      <c r="C262" s="28" t="s">
        <v>1927</v>
      </c>
      <c r="D262" s="28" t="s">
        <v>293</v>
      </c>
      <c r="E262" s="28" t="s">
        <v>294</v>
      </c>
      <c r="F262" s="28">
        <v>22203</v>
      </c>
      <c r="G262" s="28">
        <v>38.861800000000002</v>
      </c>
      <c r="H262" s="28">
        <v>-77.086969999999994</v>
      </c>
      <c r="I262" s="28"/>
      <c r="J262" s="61">
        <v>110070546877</v>
      </c>
      <c r="K262" s="28" t="s">
        <v>265</v>
      </c>
      <c r="L262" s="28"/>
      <c r="M262" s="28"/>
      <c r="N262" s="28"/>
      <c r="O262" s="28"/>
      <c r="P262" s="28"/>
      <c r="Q262" s="28" t="s">
        <v>265</v>
      </c>
      <c r="R262" s="28">
        <f>VLOOKUP(K262,OES!$A:$B, 2, FALSE)</f>
        <v>250</v>
      </c>
      <c r="S262" s="60" t="s">
        <v>1465</v>
      </c>
      <c r="T262" s="203" t="str">
        <f>IF(COUNTIF('Raw TRI Data'!$K:$K,J262)&gt;0, "X", "")</f>
        <v/>
      </c>
    </row>
    <row r="263" spans="1:20" x14ac:dyDescent="0.25">
      <c r="A263" s="28">
        <f t="shared" si="4"/>
        <v>262</v>
      </c>
      <c r="B263" s="28" t="s">
        <v>6803</v>
      </c>
      <c r="C263" s="28" t="s">
        <v>6957</v>
      </c>
      <c r="D263" s="28" t="s">
        <v>6958</v>
      </c>
      <c r="E263" s="28" t="s">
        <v>362</v>
      </c>
      <c r="F263" s="28">
        <v>77539</v>
      </c>
      <c r="G263" s="28">
        <v>29.460277999999999</v>
      </c>
      <c r="H263" s="28">
        <v>-95.043890000000005</v>
      </c>
      <c r="I263" s="28"/>
      <c r="J263" s="61">
        <v>110042005503</v>
      </c>
      <c r="K263" s="28" t="s">
        <v>265</v>
      </c>
      <c r="L263" s="28"/>
      <c r="M263" s="28"/>
      <c r="N263" s="28"/>
      <c r="O263" s="28"/>
      <c r="P263" s="28"/>
      <c r="Q263" s="28" t="s">
        <v>265</v>
      </c>
      <c r="R263" s="28">
        <f>VLOOKUP(K263,OES!$A:$B, 2, FALSE)</f>
        <v>250</v>
      </c>
      <c r="S263" s="60" t="s">
        <v>1465</v>
      </c>
      <c r="T263" s="203" t="str">
        <f>IF(COUNTIF('Raw TRI Data'!$K:$K,J263)&gt;0, "X", "")</f>
        <v/>
      </c>
    </row>
    <row r="264" spans="1:20" x14ac:dyDescent="0.25">
      <c r="A264" s="28">
        <f t="shared" si="4"/>
        <v>263</v>
      </c>
      <c r="B264" s="28" t="s">
        <v>1194</v>
      </c>
      <c r="C264" s="28" t="s">
        <v>1929</v>
      </c>
      <c r="D264" s="28" t="s">
        <v>1195</v>
      </c>
      <c r="E264" s="28" t="s">
        <v>324</v>
      </c>
      <c r="F264" s="28">
        <v>40004</v>
      </c>
      <c r="G264" s="28">
        <v>37.780760000000001</v>
      </c>
      <c r="H264" s="28">
        <v>-85.510740999999996</v>
      </c>
      <c r="I264" s="28"/>
      <c r="J264" s="61">
        <v>110009933402</v>
      </c>
      <c r="K264" s="28" t="s">
        <v>263</v>
      </c>
      <c r="L264" s="28"/>
      <c r="M264" s="28"/>
      <c r="N264" s="28"/>
      <c r="O264" s="28"/>
      <c r="P264" s="28"/>
      <c r="Q264" s="28" t="s">
        <v>265</v>
      </c>
      <c r="R264" s="28">
        <f>VLOOKUP(K264,OES!$A:$B, 2, FALSE)</f>
        <v>365</v>
      </c>
      <c r="S264" s="60" t="s">
        <v>1465</v>
      </c>
      <c r="T264" s="203" t="str">
        <f>IF(COUNTIF('Raw TRI Data'!$K:$K,J264)&gt;0, "X", "")</f>
        <v/>
      </c>
    </row>
    <row r="265" spans="1:20" x14ac:dyDescent="0.25">
      <c r="A265" s="28">
        <f t="shared" si="4"/>
        <v>264</v>
      </c>
      <c r="B265" s="28" t="s">
        <v>6842</v>
      </c>
      <c r="C265" s="28" t="s">
        <v>6998</v>
      </c>
      <c r="D265" s="28" t="s">
        <v>1286</v>
      </c>
      <c r="E265" s="28" t="s">
        <v>1171</v>
      </c>
      <c r="F265" s="28">
        <v>96816</v>
      </c>
      <c r="G265" s="28">
        <v>21.27167</v>
      </c>
      <c r="H265" s="28">
        <v>-157.77395999999999</v>
      </c>
      <c r="I265" s="28"/>
      <c r="J265" s="61">
        <v>110006777210</v>
      </c>
      <c r="K265" s="28" t="s">
        <v>265</v>
      </c>
      <c r="L265" s="28"/>
      <c r="M265" s="28"/>
      <c r="N265" s="28"/>
      <c r="O265" s="28"/>
      <c r="P265" s="28"/>
      <c r="Q265" s="28" t="s">
        <v>265</v>
      </c>
      <c r="R265" s="28">
        <f>VLOOKUP(K265,OES!$A:$B, 2, FALSE)</f>
        <v>250</v>
      </c>
      <c r="S265" s="60" t="s">
        <v>1465</v>
      </c>
      <c r="T265" s="203" t="str">
        <f>IF(COUNTIF('Raw TRI Data'!$K:$K,J265)&gt;0, "X", "")</f>
        <v/>
      </c>
    </row>
    <row r="266" spans="1:20" x14ac:dyDescent="0.25">
      <c r="A266" s="28">
        <f t="shared" si="4"/>
        <v>265</v>
      </c>
      <c r="B266" s="28" t="s">
        <v>6787</v>
      </c>
      <c r="C266" s="28" t="s">
        <v>6938</v>
      </c>
      <c r="D266" s="28" t="s">
        <v>1403</v>
      </c>
      <c r="E266" s="28" t="s">
        <v>294</v>
      </c>
      <c r="F266" s="28">
        <v>23462</v>
      </c>
      <c r="G266" s="28">
        <v>36.825991999999999</v>
      </c>
      <c r="H266" s="28">
        <v>-76.161393000000004</v>
      </c>
      <c r="I266" s="28"/>
      <c r="J266" s="61">
        <v>110071357531</v>
      </c>
      <c r="K266" s="28" t="s">
        <v>265</v>
      </c>
      <c r="L266" s="28"/>
      <c r="M266" s="28"/>
      <c r="N266" s="28"/>
      <c r="O266" s="28"/>
      <c r="P266" s="28"/>
      <c r="Q266" s="28" t="s">
        <v>265</v>
      </c>
      <c r="R266" s="28">
        <f>VLOOKUP(K266,OES!$A:$B, 2, FALSE)</f>
        <v>250</v>
      </c>
      <c r="S266" s="60" t="s">
        <v>1465</v>
      </c>
      <c r="T266" s="203" t="str">
        <f>IF(COUNTIF('Raw TRI Data'!$K:$K,J266)&gt;0, "X", "")</f>
        <v/>
      </c>
    </row>
    <row r="267" spans="1:20" x14ac:dyDescent="0.25">
      <c r="A267" s="28">
        <f t="shared" si="4"/>
        <v>266</v>
      </c>
      <c r="B267" s="28" t="s">
        <v>6861</v>
      </c>
      <c r="C267" s="28" t="s">
        <v>7023</v>
      </c>
      <c r="D267" s="28" t="s">
        <v>7024</v>
      </c>
      <c r="E267" s="28" t="s">
        <v>491</v>
      </c>
      <c r="F267" s="28" t="s">
        <v>7025</v>
      </c>
      <c r="G267" s="28">
        <v>40.080860000000001</v>
      </c>
      <c r="H267" s="28">
        <v>-76.18674</v>
      </c>
      <c r="I267" s="28"/>
      <c r="J267" s="61">
        <v>110001063483</v>
      </c>
      <c r="K267" s="61" t="s">
        <v>6751</v>
      </c>
      <c r="L267" s="28"/>
      <c r="M267" s="28"/>
      <c r="N267" s="28"/>
      <c r="O267" s="28"/>
      <c r="P267" s="28"/>
      <c r="Q267" s="28" t="s">
        <v>265</v>
      </c>
      <c r="R267" s="28">
        <v>250</v>
      </c>
      <c r="S267" s="60" t="s">
        <v>1465</v>
      </c>
      <c r="T267" s="203" t="str">
        <f>IF(COUNTIF('Raw TRI Data'!$K:$K,J267)&gt;0, "X", "")</f>
        <v/>
      </c>
    </row>
    <row r="268" spans="1:20" x14ac:dyDescent="0.25">
      <c r="A268" s="28">
        <f t="shared" si="4"/>
        <v>267</v>
      </c>
      <c r="B268" s="28" t="s">
        <v>1206</v>
      </c>
      <c r="C268" s="28" t="s">
        <v>1947</v>
      </c>
      <c r="D268" s="28" t="s">
        <v>1207</v>
      </c>
      <c r="E268" s="28" t="s">
        <v>324</v>
      </c>
      <c r="F268" s="28">
        <v>40031</v>
      </c>
      <c r="G268" s="28">
        <v>38.391995999999999</v>
      </c>
      <c r="H268" s="28">
        <v>-85.416021999999998</v>
      </c>
      <c r="I268" s="28"/>
      <c r="J268" s="61">
        <v>110002108059</v>
      </c>
      <c r="K268" s="28" t="s">
        <v>263</v>
      </c>
      <c r="L268" s="28"/>
      <c r="M268" s="28"/>
      <c r="N268" s="28"/>
      <c r="O268" s="28"/>
      <c r="P268" s="28"/>
      <c r="Q268" s="28" t="s">
        <v>265</v>
      </c>
      <c r="R268" s="28">
        <f>VLOOKUP(K268,OES!$A:$B, 2, FALSE)</f>
        <v>365</v>
      </c>
      <c r="S268" s="60" t="s">
        <v>1465</v>
      </c>
      <c r="T268" s="203" t="str">
        <f>IF(COUNTIF('Raw TRI Data'!$K:$K,J268)&gt;0, "X", "")</f>
        <v/>
      </c>
    </row>
    <row r="269" spans="1:20" x14ac:dyDescent="0.25">
      <c r="A269" s="28">
        <f t="shared" si="4"/>
        <v>268</v>
      </c>
      <c r="B269" s="28" t="s">
        <v>6856</v>
      </c>
      <c r="C269" s="28" t="s">
        <v>7016</v>
      </c>
      <c r="D269" s="28" t="s">
        <v>7017</v>
      </c>
      <c r="E269" s="28" t="s">
        <v>324</v>
      </c>
      <c r="F269" s="28">
        <v>40444</v>
      </c>
      <c r="G269" s="28">
        <v>37.616959999999999</v>
      </c>
      <c r="H269" s="28">
        <v>-84.585099999999997</v>
      </c>
      <c r="I269" s="28"/>
      <c r="J269" s="61">
        <v>110039705049</v>
      </c>
      <c r="K269" s="28" t="s">
        <v>263</v>
      </c>
      <c r="L269" s="28"/>
      <c r="M269" s="28"/>
      <c r="N269" s="28"/>
      <c r="O269" s="28"/>
      <c r="P269" s="28"/>
      <c r="Q269" s="28" t="s">
        <v>265</v>
      </c>
      <c r="R269" s="28">
        <f>VLOOKUP(K269,OES!$A:$B, 2, FALSE)</f>
        <v>365</v>
      </c>
      <c r="S269" s="60" t="s">
        <v>1465</v>
      </c>
      <c r="T269" s="203" t="str">
        <f>IF(COUNTIF('Raw TRI Data'!$K:$K,J269)&gt;0, "X", "")</f>
        <v/>
      </c>
    </row>
    <row r="270" spans="1:20" x14ac:dyDescent="0.25">
      <c r="A270" s="28">
        <f t="shared" si="4"/>
        <v>269</v>
      </c>
      <c r="B270" s="28" t="s">
        <v>6890</v>
      </c>
      <c r="C270" s="28" t="s">
        <v>7072</v>
      </c>
      <c r="D270" s="28" t="s">
        <v>968</v>
      </c>
      <c r="E270" s="28" t="s">
        <v>294</v>
      </c>
      <c r="F270" s="28">
        <v>22304</v>
      </c>
      <c r="G270" s="28">
        <v>38.816679000000001</v>
      </c>
      <c r="H270" s="28">
        <v>-77.132997000000003</v>
      </c>
      <c r="I270" s="28"/>
      <c r="J270" s="61">
        <v>110071816702</v>
      </c>
      <c r="K270" s="28" t="s">
        <v>265</v>
      </c>
      <c r="L270" s="28"/>
      <c r="M270" s="28"/>
      <c r="N270" s="28"/>
      <c r="O270" s="28"/>
      <c r="P270" s="28"/>
      <c r="Q270" s="28" t="s">
        <v>265</v>
      </c>
      <c r="R270" s="28">
        <f>VLOOKUP(K270,OES!$A:$B, 2, FALSE)</f>
        <v>250</v>
      </c>
      <c r="S270" s="60" t="s">
        <v>1465</v>
      </c>
      <c r="T270" s="203" t="str">
        <f>IF(COUNTIF('Raw TRI Data'!$K:$K,J270)&gt;0, "X", "")</f>
        <v/>
      </c>
    </row>
    <row r="271" spans="1:20" x14ac:dyDescent="0.25">
      <c r="A271" s="28">
        <f t="shared" si="4"/>
        <v>270</v>
      </c>
      <c r="B271" s="28" t="s">
        <v>1211</v>
      </c>
      <c r="C271" s="28" t="s">
        <v>1958</v>
      </c>
      <c r="D271" s="28" t="s">
        <v>657</v>
      </c>
      <c r="E271" s="28" t="s">
        <v>418</v>
      </c>
      <c r="F271" s="28">
        <v>89109</v>
      </c>
      <c r="G271" s="28">
        <v>36.131489999999999</v>
      </c>
      <c r="H271" s="28">
        <v>-115.15483</v>
      </c>
      <c r="I271" s="28"/>
      <c r="J271" s="61">
        <v>110059844156</v>
      </c>
      <c r="K271" s="28" t="s">
        <v>264</v>
      </c>
      <c r="L271" s="28"/>
      <c r="M271" s="28"/>
      <c r="N271" s="28"/>
      <c r="O271" s="28"/>
      <c r="P271" s="28"/>
      <c r="Q271" s="28" t="s">
        <v>265</v>
      </c>
      <c r="R271" s="28">
        <f>VLOOKUP(K271,OES!$A:$B, 2, FALSE)</f>
        <v>365</v>
      </c>
      <c r="S271" s="60" t="s">
        <v>1465</v>
      </c>
      <c r="T271" s="203" t="str">
        <f>IF(COUNTIF('Raw TRI Data'!$K:$K,J271)&gt;0, "X", "")</f>
        <v/>
      </c>
    </row>
    <row r="272" spans="1:20" x14ac:dyDescent="0.25">
      <c r="A272" s="28">
        <f t="shared" si="4"/>
        <v>271</v>
      </c>
      <c r="B272" s="28" t="s">
        <v>6816</v>
      </c>
      <c r="C272" s="28" t="s">
        <v>6971</v>
      </c>
      <c r="D272" s="28" t="s">
        <v>6972</v>
      </c>
      <c r="E272" s="28" t="s">
        <v>979</v>
      </c>
      <c r="F272" s="28">
        <v>38012</v>
      </c>
      <c r="G272" s="28">
        <v>35.607599999999998</v>
      </c>
      <c r="H272" s="28">
        <v>-89.237700000000004</v>
      </c>
      <c r="I272" s="28" t="s">
        <v>7125</v>
      </c>
      <c r="J272" s="61">
        <v>110000373621</v>
      </c>
      <c r="K272" s="28" t="s">
        <v>265</v>
      </c>
      <c r="L272" s="28"/>
      <c r="M272" s="28"/>
      <c r="N272" s="28"/>
      <c r="O272" s="28"/>
      <c r="P272" s="28"/>
      <c r="Q272" s="28" t="s">
        <v>265</v>
      </c>
      <c r="R272" s="28">
        <f>VLOOKUP(K272,OES!$A:$B, 2, FALSE)</f>
        <v>250</v>
      </c>
      <c r="S272" s="60" t="s">
        <v>1465</v>
      </c>
      <c r="T272" s="203" t="str">
        <f>IF(COUNTIF('Raw TRI Data'!$K:$K,J272)&gt;0, "X", "")</f>
        <v/>
      </c>
    </row>
    <row r="273" spans="1:20" x14ac:dyDescent="0.25">
      <c r="A273" s="28">
        <f t="shared" si="4"/>
        <v>272</v>
      </c>
      <c r="B273" s="28" t="s">
        <v>6905</v>
      </c>
      <c r="C273" s="28" t="s">
        <v>7103</v>
      </c>
      <c r="D273" s="28" t="s">
        <v>968</v>
      </c>
      <c r="E273" s="28" t="s">
        <v>294</v>
      </c>
      <c r="F273" s="28">
        <v>22302</v>
      </c>
      <c r="G273" s="28">
        <v>38.829189999999997</v>
      </c>
      <c r="H273" s="28">
        <v>-77.084609999999998</v>
      </c>
      <c r="I273" s="28"/>
      <c r="J273" s="61">
        <v>110005219913</v>
      </c>
      <c r="K273" s="28" t="s">
        <v>265</v>
      </c>
      <c r="L273" s="28"/>
      <c r="M273" s="28"/>
      <c r="N273" s="28"/>
      <c r="O273" s="28"/>
      <c r="P273" s="28"/>
      <c r="Q273" s="28" t="s">
        <v>265</v>
      </c>
      <c r="R273" s="28">
        <f>VLOOKUP(K273,OES!$A:$B, 2, FALSE)</f>
        <v>250</v>
      </c>
      <c r="S273" s="60" t="s">
        <v>1465</v>
      </c>
      <c r="T273" s="203" t="str">
        <f>IF(COUNTIF('Raw TRI Data'!$K:$K,J273)&gt;0, "X", "")</f>
        <v/>
      </c>
    </row>
    <row r="274" spans="1:20" x14ac:dyDescent="0.25">
      <c r="A274" s="28">
        <f t="shared" si="4"/>
        <v>273</v>
      </c>
      <c r="B274" s="28" t="s">
        <v>1212</v>
      </c>
      <c r="C274" s="28" t="s">
        <v>1963</v>
      </c>
      <c r="D274" s="28" t="s">
        <v>1213</v>
      </c>
      <c r="E274" s="28" t="s">
        <v>1128</v>
      </c>
      <c r="F274" s="28">
        <v>80125</v>
      </c>
      <c r="G274" s="28">
        <v>39.496341999999999</v>
      </c>
      <c r="H274" s="28">
        <v>-105.10758800000001</v>
      </c>
      <c r="I274" s="28" t="s">
        <v>724</v>
      </c>
      <c r="J274" s="61">
        <v>110000610429</v>
      </c>
      <c r="K274" s="28" t="s">
        <v>265</v>
      </c>
      <c r="L274" s="28"/>
      <c r="M274" s="28"/>
      <c r="N274" s="28"/>
      <c r="O274" s="28"/>
      <c r="P274" s="28"/>
      <c r="Q274" s="28" t="s">
        <v>265</v>
      </c>
      <c r="R274" s="28">
        <f>VLOOKUP(K274,OES!$A:$B, 2, FALSE)</f>
        <v>250</v>
      </c>
      <c r="S274" s="60" t="s">
        <v>1465</v>
      </c>
      <c r="T274" s="203" t="str">
        <f>IF(COUNTIF('Raw TRI Data'!$K:$K,J274)&gt;0, "X", "")</f>
        <v/>
      </c>
    </row>
    <row r="275" spans="1:20" x14ac:dyDescent="0.25">
      <c r="A275" s="28">
        <f t="shared" si="4"/>
        <v>274</v>
      </c>
      <c r="B275" s="28" t="s">
        <v>6815</v>
      </c>
      <c r="C275" s="28" t="s">
        <v>6968</v>
      </c>
      <c r="D275" s="28" t="s">
        <v>6969</v>
      </c>
      <c r="E275" s="28" t="s">
        <v>366</v>
      </c>
      <c r="F275" s="28">
        <v>95551</v>
      </c>
      <c r="G275" s="28">
        <v>40.638300000000001</v>
      </c>
      <c r="H275" s="28">
        <v>-124.22553000000001</v>
      </c>
      <c r="I275" s="28"/>
      <c r="J275" s="61">
        <v>110010059649</v>
      </c>
      <c r="K275" s="28" t="s">
        <v>263</v>
      </c>
      <c r="L275" s="28"/>
      <c r="M275" s="28"/>
      <c r="N275" s="28"/>
      <c r="O275" s="28"/>
      <c r="P275" s="28"/>
      <c r="Q275" s="28" t="s">
        <v>265</v>
      </c>
      <c r="R275" s="28">
        <f>VLOOKUP(K275,OES!$A:$B, 2, FALSE)</f>
        <v>365</v>
      </c>
      <c r="S275" s="60" t="s">
        <v>1465</v>
      </c>
      <c r="T275" s="203" t="str">
        <f>IF(COUNTIF('Raw TRI Data'!$K:$K,J275)&gt;0, "X", "")</f>
        <v/>
      </c>
    </row>
    <row r="276" spans="1:20" x14ac:dyDescent="0.25">
      <c r="A276" s="28">
        <f t="shared" si="4"/>
        <v>275</v>
      </c>
      <c r="B276" s="28" t="s">
        <v>6800</v>
      </c>
      <c r="C276" s="28" t="s">
        <v>1966</v>
      </c>
      <c r="D276" s="28" t="s">
        <v>1215</v>
      </c>
      <c r="E276" s="28" t="s">
        <v>324</v>
      </c>
      <c r="F276" s="28" t="s">
        <v>1967</v>
      </c>
      <c r="G276" s="28">
        <v>37.106380000000001</v>
      </c>
      <c r="H276" s="28">
        <v>-84.066829999999996</v>
      </c>
      <c r="I276" s="28"/>
      <c r="J276" s="61">
        <v>110000557013</v>
      </c>
      <c r="K276" s="28" t="s">
        <v>263</v>
      </c>
      <c r="L276" s="28"/>
      <c r="M276" s="28"/>
      <c r="N276" s="28"/>
      <c r="O276" s="28"/>
      <c r="P276" s="28"/>
      <c r="Q276" s="28" t="s">
        <v>265</v>
      </c>
      <c r="R276" s="28">
        <f>VLOOKUP(K276,OES!$A:$B, 2, FALSE)</f>
        <v>365</v>
      </c>
      <c r="S276" s="60" t="s">
        <v>1465</v>
      </c>
      <c r="T276" s="203" t="str">
        <f>IF(COUNTIF('Raw TRI Data'!$K:$K,J276)&gt;0, "X", "")</f>
        <v/>
      </c>
    </row>
    <row r="277" spans="1:20" x14ac:dyDescent="0.25">
      <c r="A277" s="28">
        <f t="shared" si="4"/>
        <v>276</v>
      </c>
      <c r="B277" s="28" t="s">
        <v>1218</v>
      </c>
      <c r="C277" s="28" t="s">
        <v>1975</v>
      </c>
      <c r="D277" s="28" t="s">
        <v>1219</v>
      </c>
      <c r="E277" s="28" t="s">
        <v>324</v>
      </c>
      <c r="F277" s="28">
        <v>42431</v>
      </c>
      <c r="G277" s="28">
        <v>37.318492999999997</v>
      </c>
      <c r="H277" s="28">
        <v>-87.549857000000003</v>
      </c>
      <c r="I277" s="28"/>
      <c r="J277" s="61">
        <v>110002041380</v>
      </c>
      <c r="K277" s="28" t="s">
        <v>263</v>
      </c>
      <c r="L277" s="28"/>
      <c r="M277" s="28"/>
      <c r="N277" s="28"/>
      <c r="O277" s="28"/>
      <c r="P277" s="28"/>
      <c r="Q277" s="28" t="s">
        <v>265</v>
      </c>
      <c r="R277" s="28">
        <f>VLOOKUP(K277,OES!$A:$B, 2, FALSE)</f>
        <v>365</v>
      </c>
      <c r="S277" s="60" t="s">
        <v>1465</v>
      </c>
      <c r="T277" s="203" t="str">
        <f>IF(COUNTIF('Raw TRI Data'!$K:$K,J277)&gt;0, "X", "")</f>
        <v/>
      </c>
    </row>
    <row r="278" spans="1:20" x14ac:dyDescent="0.25">
      <c r="A278" s="28">
        <f t="shared" si="4"/>
        <v>277</v>
      </c>
      <c r="B278" s="28" t="s">
        <v>1222</v>
      </c>
      <c r="C278" s="28" t="s">
        <v>1983</v>
      </c>
      <c r="D278" s="28" t="s">
        <v>1223</v>
      </c>
      <c r="E278" s="28" t="s">
        <v>324</v>
      </c>
      <c r="F278" s="28">
        <v>40962</v>
      </c>
      <c r="G278" s="28">
        <v>37.177222</v>
      </c>
      <c r="H278" s="28">
        <v>-83.761388999999994</v>
      </c>
      <c r="I278" s="28"/>
      <c r="J278" s="61">
        <v>110009938808</v>
      </c>
      <c r="K278" s="28" t="s">
        <v>263</v>
      </c>
      <c r="L278" s="28"/>
      <c r="M278" s="28"/>
      <c r="N278" s="28"/>
      <c r="O278" s="28"/>
      <c r="P278" s="28"/>
      <c r="Q278" s="28" t="s">
        <v>265</v>
      </c>
      <c r="R278" s="28">
        <f>VLOOKUP(K278,OES!$A:$B, 2, FALSE)</f>
        <v>365</v>
      </c>
      <c r="S278" s="60" t="s">
        <v>1465</v>
      </c>
      <c r="T278" s="203" t="str">
        <f>IF(COUNTIF('Raw TRI Data'!$K:$K,J278)&gt;0, "X", "")</f>
        <v/>
      </c>
    </row>
    <row r="279" spans="1:20" x14ac:dyDescent="0.25">
      <c r="A279" s="28">
        <f t="shared" si="4"/>
        <v>278</v>
      </c>
      <c r="B279" s="28" t="s">
        <v>6864</v>
      </c>
      <c r="C279" s="28" t="s">
        <v>7028</v>
      </c>
      <c r="D279" s="28" t="s">
        <v>7029</v>
      </c>
      <c r="E279" s="28" t="s">
        <v>366</v>
      </c>
      <c r="F279" s="28">
        <v>95337</v>
      </c>
      <c r="G279" s="28">
        <v>37.795589999999997</v>
      </c>
      <c r="H279" s="28">
        <v>-121.26000999999999</v>
      </c>
      <c r="I279" s="28"/>
      <c r="J279" s="61">
        <v>110039801462</v>
      </c>
      <c r="K279" s="28" t="s">
        <v>263</v>
      </c>
      <c r="L279" s="28"/>
      <c r="M279" s="28"/>
      <c r="N279" s="28"/>
      <c r="O279" s="28"/>
      <c r="P279" s="28"/>
      <c r="Q279" s="28" t="s">
        <v>265</v>
      </c>
      <c r="R279" s="28">
        <f>VLOOKUP(K279,OES!$A:$B, 2, FALSE)</f>
        <v>365</v>
      </c>
      <c r="S279" s="60" t="s">
        <v>1465</v>
      </c>
      <c r="T279" s="203" t="str">
        <f>IF(COUNTIF('Raw TRI Data'!$K:$K,J279)&gt;0, "X", "")</f>
        <v/>
      </c>
    </row>
    <row r="280" spans="1:20" x14ac:dyDescent="0.25">
      <c r="A280" s="28">
        <f t="shared" si="4"/>
        <v>279</v>
      </c>
      <c r="B280" s="28" t="s">
        <v>1224</v>
      </c>
      <c r="C280" s="28" t="s">
        <v>1985</v>
      </c>
      <c r="D280" s="28" t="s">
        <v>657</v>
      </c>
      <c r="E280" s="28" t="s">
        <v>418</v>
      </c>
      <c r="F280" s="28">
        <v>89101</v>
      </c>
      <c r="G280" s="28">
        <v>36.176639999999999</v>
      </c>
      <c r="H280" s="28">
        <v>-115.12891999999999</v>
      </c>
      <c r="I280" s="28"/>
      <c r="J280" s="61">
        <v>110008995490</v>
      </c>
      <c r="K280" s="28" t="s">
        <v>265</v>
      </c>
      <c r="L280" s="28"/>
      <c r="M280" s="28"/>
      <c r="N280" s="28"/>
      <c r="O280" s="28"/>
      <c r="P280" s="28"/>
      <c r="Q280" s="28" t="s">
        <v>265</v>
      </c>
      <c r="R280" s="28">
        <f>VLOOKUP(K280,OES!$A:$B, 2, FALSE)</f>
        <v>250</v>
      </c>
      <c r="S280" s="60" t="s">
        <v>1465</v>
      </c>
      <c r="T280" s="203" t="str">
        <f>IF(COUNTIF('Raw TRI Data'!$K:$K,J280)&gt;0, "X", "")</f>
        <v/>
      </c>
    </row>
    <row r="281" spans="1:20" x14ac:dyDescent="0.25">
      <c r="A281" s="28">
        <f t="shared" si="4"/>
        <v>280</v>
      </c>
      <c r="B281" s="28" t="s">
        <v>1226</v>
      </c>
      <c r="C281" s="28" t="s">
        <v>1990</v>
      </c>
      <c r="D281" s="28" t="s">
        <v>657</v>
      </c>
      <c r="E281" s="28" t="s">
        <v>418</v>
      </c>
      <c r="F281" s="28">
        <v>89119</v>
      </c>
      <c r="G281" s="28">
        <v>36.075400000000002</v>
      </c>
      <c r="H281" s="28">
        <v>-115.1669</v>
      </c>
      <c r="I281" s="28"/>
      <c r="J281" s="61">
        <v>110064134459</v>
      </c>
      <c r="K281" s="28" t="s">
        <v>265</v>
      </c>
      <c r="L281" s="28"/>
      <c r="M281" s="28"/>
      <c r="N281" s="28"/>
      <c r="O281" s="28"/>
      <c r="P281" s="28"/>
      <c r="Q281" s="28" t="s">
        <v>265</v>
      </c>
      <c r="R281" s="28">
        <f>VLOOKUP(K281,OES!$A:$B, 2, FALSE)</f>
        <v>250</v>
      </c>
      <c r="S281" s="60" t="s">
        <v>1465</v>
      </c>
      <c r="T281" s="203" t="str">
        <f>IF(COUNTIF('Raw TRI Data'!$K:$K,J281)&gt;0, "X", "")</f>
        <v/>
      </c>
    </row>
    <row r="282" spans="1:20" x14ac:dyDescent="0.25">
      <c r="A282" s="28">
        <f t="shared" si="4"/>
        <v>281</v>
      </c>
      <c r="B282" s="28" t="s">
        <v>1227</v>
      </c>
      <c r="C282" s="28" t="s">
        <v>1993</v>
      </c>
      <c r="D282" s="28" t="s">
        <v>1228</v>
      </c>
      <c r="E282" s="28" t="s">
        <v>1128</v>
      </c>
      <c r="F282" s="28">
        <v>80216</v>
      </c>
      <c r="G282" s="28">
        <v>39.781474000000003</v>
      </c>
      <c r="H282" s="28">
        <v>-104.97438</v>
      </c>
      <c r="I282" s="28"/>
      <c r="J282" s="61">
        <v>110070162955</v>
      </c>
      <c r="K282" s="28" t="s">
        <v>265</v>
      </c>
      <c r="L282" s="28"/>
      <c r="M282" s="28"/>
      <c r="N282" s="28"/>
      <c r="O282" s="28"/>
      <c r="P282" s="28"/>
      <c r="Q282" s="28" t="s">
        <v>265</v>
      </c>
      <c r="R282" s="28">
        <f>VLOOKUP(K282,OES!$A:$B, 2, FALSE)</f>
        <v>250</v>
      </c>
      <c r="S282" s="60" t="s">
        <v>1465</v>
      </c>
      <c r="T282" s="203" t="str">
        <f>IF(COUNTIF('Raw TRI Data'!$K:$K,J282)&gt;0, "X", "")</f>
        <v/>
      </c>
    </row>
    <row r="283" spans="1:20" x14ac:dyDescent="0.25">
      <c r="A283" s="28">
        <f t="shared" si="4"/>
        <v>282</v>
      </c>
      <c r="B283" s="28" t="s">
        <v>1230</v>
      </c>
      <c r="C283" s="28" t="s">
        <v>1997</v>
      </c>
      <c r="D283" s="28" t="s">
        <v>1231</v>
      </c>
      <c r="E283" s="28" t="s">
        <v>541</v>
      </c>
      <c r="F283" s="28" t="s">
        <v>1998</v>
      </c>
      <c r="G283" s="28">
        <v>34.807729999999999</v>
      </c>
      <c r="H283" s="28">
        <v>-82.006420000000006</v>
      </c>
      <c r="I283" s="28"/>
      <c r="J283" s="61">
        <v>110000587384</v>
      </c>
      <c r="K283" s="28" t="s">
        <v>265</v>
      </c>
      <c r="L283" s="28"/>
      <c r="M283" s="28"/>
      <c r="N283" s="28"/>
      <c r="O283" s="28"/>
      <c r="P283" s="28"/>
      <c r="Q283" s="28" t="s">
        <v>265</v>
      </c>
      <c r="R283" s="28">
        <f>VLOOKUP(K283,OES!$A:$B, 2, FALSE)</f>
        <v>250</v>
      </c>
      <c r="S283" s="60" t="s">
        <v>1465</v>
      </c>
      <c r="T283" s="203" t="str">
        <f>IF(COUNTIF('Raw TRI Data'!$K:$K,J283)&gt;0, "X", "")</f>
        <v/>
      </c>
    </row>
    <row r="284" spans="1:20" x14ac:dyDescent="0.25">
      <c r="A284" s="28">
        <f t="shared" si="4"/>
        <v>283</v>
      </c>
      <c r="B284" s="28" t="s">
        <v>1233</v>
      </c>
      <c r="C284" s="28" t="s">
        <v>2006</v>
      </c>
      <c r="D284" s="28" t="s">
        <v>293</v>
      </c>
      <c r="E284" s="28" t="s">
        <v>294</v>
      </c>
      <c r="F284" s="28">
        <v>22202</v>
      </c>
      <c r="G284" s="28">
        <v>38.86157</v>
      </c>
      <c r="H284" s="28">
        <v>-77.053929999999994</v>
      </c>
      <c r="I284" s="28"/>
      <c r="J284" s="61">
        <v>110070882213</v>
      </c>
      <c r="K284" s="28" t="s">
        <v>265</v>
      </c>
      <c r="L284" s="28"/>
      <c r="M284" s="28"/>
      <c r="N284" s="28"/>
      <c r="O284" s="28"/>
      <c r="P284" s="28"/>
      <c r="Q284" s="28" t="s">
        <v>265</v>
      </c>
      <c r="R284" s="28">
        <f>VLOOKUP(K284,OES!$A:$B, 2, FALSE)</f>
        <v>250</v>
      </c>
      <c r="S284" s="60" t="s">
        <v>1465</v>
      </c>
      <c r="T284" s="203" t="str">
        <f>IF(COUNTIF('Raw TRI Data'!$K:$K,J284)&gt;0, "X", "")</f>
        <v/>
      </c>
    </row>
    <row r="285" spans="1:20" x14ac:dyDescent="0.25">
      <c r="A285" s="28">
        <f t="shared" si="4"/>
        <v>284</v>
      </c>
      <c r="B285" s="28" t="s">
        <v>1234</v>
      </c>
      <c r="C285" s="28" t="s">
        <v>2008</v>
      </c>
      <c r="D285" s="28" t="s">
        <v>361</v>
      </c>
      <c r="E285" s="28" t="s">
        <v>362</v>
      </c>
      <c r="F285" s="28">
        <v>77571</v>
      </c>
      <c r="G285" s="28">
        <v>29.726065999999999</v>
      </c>
      <c r="H285" s="28">
        <v>-95.079583999999997</v>
      </c>
      <c r="I285" s="28" t="s">
        <v>725</v>
      </c>
      <c r="J285" s="61">
        <v>110000463677</v>
      </c>
      <c r="K285" s="28" t="s">
        <v>265</v>
      </c>
      <c r="L285" s="28"/>
      <c r="M285" s="28"/>
      <c r="N285" s="28"/>
      <c r="O285" s="28"/>
      <c r="P285" s="28"/>
      <c r="Q285" s="28" t="s">
        <v>265</v>
      </c>
      <c r="R285" s="28">
        <f>VLOOKUP(K285,OES!$A:$B, 2, FALSE)</f>
        <v>250</v>
      </c>
      <c r="S285" s="60" t="s">
        <v>1465</v>
      </c>
      <c r="T285" s="203" t="str">
        <f>IF(COUNTIF('Raw TRI Data'!$K:$K,J285)&gt;0, "X", "")</f>
        <v/>
      </c>
    </row>
    <row r="286" spans="1:20" x14ac:dyDescent="0.25">
      <c r="A286" s="28">
        <f t="shared" si="4"/>
        <v>285</v>
      </c>
      <c r="B286" s="28" t="s">
        <v>1235</v>
      </c>
      <c r="C286" s="28" t="s">
        <v>2012</v>
      </c>
      <c r="D286" s="28" t="s">
        <v>1236</v>
      </c>
      <c r="E286" s="28" t="s">
        <v>450</v>
      </c>
      <c r="F286" s="28">
        <v>13502</v>
      </c>
      <c r="G286" s="28">
        <v>43.107216000000001</v>
      </c>
      <c r="H286" s="28">
        <v>-75.225815999999995</v>
      </c>
      <c r="I286" s="28"/>
      <c r="J286" s="61">
        <v>110002321345</v>
      </c>
      <c r="K286" s="28" t="s">
        <v>265</v>
      </c>
      <c r="L286" s="28"/>
      <c r="M286" s="28"/>
      <c r="N286" s="28"/>
      <c r="O286" s="28"/>
      <c r="P286" s="28"/>
      <c r="Q286" s="28" t="s">
        <v>265</v>
      </c>
      <c r="R286" s="28">
        <f>VLOOKUP(K286,OES!$A:$B, 2, FALSE)</f>
        <v>250</v>
      </c>
      <c r="S286" s="60" t="s">
        <v>1465</v>
      </c>
      <c r="T286" s="203" t="str">
        <f>IF(COUNTIF('Raw TRI Data'!$K:$K,J286)&gt;0, "X", "")</f>
        <v/>
      </c>
    </row>
    <row r="287" spans="1:20" x14ac:dyDescent="0.25">
      <c r="A287" s="28">
        <f t="shared" si="4"/>
        <v>286</v>
      </c>
      <c r="B287" s="28" t="s">
        <v>1239</v>
      </c>
      <c r="C287" s="28" t="s">
        <v>2020</v>
      </c>
      <c r="D287" s="28" t="s">
        <v>1240</v>
      </c>
      <c r="E287" s="28" t="s">
        <v>324</v>
      </c>
      <c r="F287" s="28">
        <v>42437</v>
      </c>
      <c r="G287" s="28">
        <v>37.671391</v>
      </c>
      <c r="H287" s="28">
        <v>-87.828888000000006</v>
      </c>
      <c r="I287" s="28"/>
      <c r="J287" s="61">
        <v>110064612557</v>
      </c>
      <c r="K287" s="28" t="s">
        <v>263</v>
      </c>
      <c r="L287" s="28"/>
      <c r="M287" s="28"/>
      <c r="N287" s="28"/>
      <c r="O287" s="28"/>
      <c r="P287" s="28"/>
      <c r="Q287" s="28" t="s">
        <v>265</v>
      </c>
      <c r="R287" s="28">
        <f>VLOOKUP(K287,OES!$A:$B, 2, FALSE)</f>
        <v>365</v>
      </c>
      <c r="S287" s="60" t="s">
        <v>1465</v>
      </c>
      <c r="T287" s="203" t="str">
        <f>IF(COUNTIF('Raw TRI Data'!$K:$K,J287)&gt;0, "X", "")</f>
        <v/>
      </c>
    </row>
    <row r="288" spans="1:20" x14ac:dyDescent="0.25">
      <c r="A288" s="28">
        <f t="shared" si="4"/>
        <v>287</v>
      </c>
      <c r="B288" s="28" t="s">
        <v>1243</v>
      </c>
      <c r="C288" s="28" t="s">
        <v>2027</v>
      </c>
      <c r="D288" s="28" t="s">
        <v>1244</v>
      </c>
      <c r="E288" s="28" t="s">
        <v>324</v>
      </c>
      <c r="F288" s="28">
        <v>40353</v>
      </c>
      <c r="G288" s="28">
        <v>38.101582000000001</v>
      </c>
      <c r="H288" s="28">
        <v>-83.919770999999997</v>
      </c>
      <c r="I288" s="28"/>
      <c r="J288" s="61">
        <v>110039705361</v>
      </c>
      <c r="K288" s="28" t="s">
        <v>263</v>
      </c>
      <c r="L288" s="28"/>
      <c r="M288" s="28"/>
      <c r="N288" s="28"/>
      <c r="O288" s="28"/>
      <c r="P288" s="28"/>
      <c r="Q288" s="28" t="s">
        <v>265</v>
      </c>
      <c r="R288" s="28">
        <f>VLOOKUP(K288,OES!$A:$B, 2, FALSE)</f>
        <v>365</v>
      </c>
      <c r="S288" s="60" t="s">
        <v>1465</v>
      </c>
      <c r="T288" s="203" t="str">
        <f>IF(COUNTIF('Raw TRI Data'!$K:$K,J288)&gt;0, "X", "")</f>
        <v/>
      </c>
    </row>
    <row r="289" spans="1:20" x14ac:dyDescent="0.25">
      <c r="A289" s="28">
        <f t="shared" si="4"/>
        <v>288</v>
      </c>
      <c r="B289" s="28" t="s">
        <v>6794</v>
      </c>
      <c r="C289" s="28" t="s">
        <v>6945</v>
      </c>
      <c r="D289" s="28" t="s">
        <v>6917</v>
      </c>
      <c r="E289" s="28" t="s">
        <v>366</v>
      </c>
      <c r="F289" s="28">
        <v>95014</v>
      </c>
      <c r="G289" s="28">
        <v>37.318058999999998</v>
      </c>
      <c r="H289" s="28">
        <v>-122.09263199999999</v>
      </c>
      <c r="I289" s="28" t="s">
        <v>7121</v>
      </c>
      <c r="J289" s="61">
        <v>110000484039</v>
      </c>
      <c r="K289" s="28" t="s">
        <v>265</v>
      </c>
      <c r="L289" s="28"/>
      <c r="M289" s="28"/>
      <c r="N289" s="28"/>
      <c r="O289" s="28"/>
      <c r="P289" s="28"/>
      <c r="Q289" s="28" t="s">
        <v>265</v>
      </c>
      <c r="R289" s="28">
        <f>VLOOKUP(K289,OES!$A:$B, 2, FALSE)</f>
        <v>250</v>
      </c>
      <c r="S289" s="60" t="s">
        <v>1465</v>
      </c>
      <c r="T289" s="203" t="str">
        <f>IF(COUNTIF('Raw TRI Data'!$K:$K,J289)&gt;0, "X", "")</f>
        <v/>
      </c>
    </row>
    <row r="290" spans="1:20" x14ac:dyDescent="0.25">
      <c r="A290" s="28">
        <f t="shared" si="4"/>
        <v>289</v>
      </c>
      <c r="B290" s="28" t="s">
        <v>6801</v>
      </c>
      <c r="C290" s="28" t="s">
        <v>6952</v>
      </c>
      <c r="D290" s="28" t="s">
        <v>6953</v>
      </c>
      <c r="E290" s="28" t="s">
        <v>553</v>
      </c>
      <c r="F290" s="28" t="s">
        <v>6954</v>
      </c>
      <c r="G290" s="28">
        <v>41.633920000000003</v>
      </c>
      <c r="H290" s="28">
        <v>-71.493690000000001</v>
      </c>
      <c r="I290" s="28"/>
      <c r="J290" s="61">
        <v>110000581255</v>
      </c>
      <c r="K290" s="28" t="s">
        <v>265</v>
      </c>
      <c r="L290" s="28"/>
      <c r="M290" s="28"/>
      <c r="N290" s="28"/>
      <c r="O290" s="28"/>
      <c r="P290" s="28"/>
      <c r="Q290" s="28" t="s">
        <v>265</v>
      </c>
      <c r="R290" s="28">
        <f>VLOOKUP(K290,OES!$A:$B, 2, FALSE)</f>
        <v>250</v>
      </c>
      <c r="S290" s="60" t="s">
        <v>1465</v>
      </c>
      <c r="T290" s="203" t="str">
        <f>IF(COUNTIF('Raw TRI Data'!$K:$K,J290)&gt;0, "X", "")</f>
        <v/>
      </c>
    </row>
    <row r="291" spans="1:20" x14ac:dyDescent="0.25">
      <c r="A291" s="28">
        <f t="shared" si="4"/>
        <v>290</v>
      </c>
      <c r="B291" s="28" t="s">
        <v>6871</v>
      </c>
      <c r="C291" s="28" t="s">
        <v>7039</v>
      </c>
      <c r="D291" s="28" t="s">
        <v>7040</v>
      </c>
      <c r="E291" s="28" t="s">
        <v>311</v>
      </c>
      <c r="F291" s="28">
        <v>26101</v>
      </c>
      <c r="G291" s="28">
        <v>39.237650000000002</v>
      </c>
      <c r="H291" s="28">
        <v>-81.526092000000006</v>
      </c>
      <c r="I291" s="28"/>
      <c r="J291" s="61">
        <v>110043086941</v>
      </c>
      <c r="K291" s="28" t="s">
        <v>265</v>
      </c>
      <c r="L291" s="28"/>
      <c r="M291" s="28"/>
      <c r="N291" s="28"/>
      <c r="O291" s="28"/>
      <c r="P291" s="28"/>
      <c r="Q291" s="28" t="s">
        <v>265</v>
      </c>
      <c r="R291" s="28">
        <f>VLOOKUP(K291,OES!$A:$B, 2, FALSE)</f>
        <v>250</v>
      </c>
      <c r="S291" s="60" t="s">
        <v>1465</v>
      </c>
      <c r="T291" s="203" t="str">
        <f>IF(COUNTIF('Raw TRI Data'!$K:$K,J291)&gt;0, "X", "")</f>
        <v/>
      </c>
    </row>
    <row r="292" spans="1:20" x14ac:dyDescent="0.25">
      <c r="A292" s="28">
        <f t="shared" si="4"/>
        <v>291</v>
      </c>
      <c r="B292" s="28" t="s">
        <v>1250</v>
      </c>
      <c r="C292" s="28" t="s">
        <v>2038</v>
      </c>
      <c r="D292" s="28" t="s">
        <v>1463</v>
      </c>
      <c r="E292" s="28" t="s">
        <v>366</v>
      </c>
      <c r="F292" s="28" t="s">
        <v>1463</v>
      </c>
      <c r="G292" s="28">
        <v>33.022727000000003</v>
      </c>
      <c r="H292" s="28">
        <v>-118.58829299999999</v>
      </c>
      <c r="I292" s="28" t="s">
        <v>726</v>
      </c>
      <c r="J292" s="61">
        <v>110071169347</v>
      </c>
      <c r="K292" s="28" t="s">
        <v>263</v>
      </c>
      <c r="L292" s="28"/>
      <c r="M292" s="28"/>
      <c r="N292" s="28"/>
      <c r="O292" s="28"/>
      <c r="P292" s="28"/>
      <c r="Q292" s="28" t="s">
        <v>265</v>
      </c>
      <c r="R292" s="28">
        <f>VLOOKUP(K292,OES!$A:$B, 2, FALSE)</f>
        <v>365</v>
      </c>
      <c r="S292" s="60" t="s">
        <v>1465</v>
      </c>
      <c r="T292" s="203" t="str">
        <f>IF(COUNTIF('Raw TRI Data'!$K:$K,J292)&gt;0, "X", "")</f>
        <v/>
      </c>
    </row>
    <row r="293" spans="1:20" x14ac:dyDescent="0.25">
      <c r="A293" s="28">
        <f t="shared" si="4"/>
        <v>292</v>
      </c>
      <c r="B293" s="28" t="s">
        <v>1256</v>
      </c>
      <c r="C293" s="28" t="s">
        <v>2046</v>
      </c>
      <c r="D293" s="28" t="s">
        <v>549</v>
      </c>
      <c r="E293" s="28" t="s">
        <v>366</v>
      </c>
      <c r="F293" s="28">
        <v>95959</v>
      </c>
      <c r="G293" s="28">
        <v>39.259293999999997</v>
      </c>
      <c r="H293" s="28">
        <v>-121.03256</v>
      </c>
      <c r="I293" s="28"/>
      <c r="J293" s="61">
        <v>110000519920</v>
      </c>
      <c r="K293" s="28" t="s">
        <v>263</v>
      </c>
      <c r="L293" s="28"/>
      <c r="M293" s="28"/>
      <c r="N293" s="28"/>
      <c r="O293" s="28"/>
      <c r="P293" s="28"/>
      <c r="Q293" s="28" t="s">
        <v>265</v>
      </c>
      <c r="R293" s="28">
        <f>VLOOKUP(K293,OES!$A:$B, 2, FALSE)</f>
        <v>365</v>
      </c>
      <c r="S293" s="60" t="s">
        <v>1465</v>
      </c>
      <c r="T293" s="203" t="str">
        <f>IF(COUNTIF('Raw TRI Data'!$K:$K,J293)&gt;0, "X", "")</f>
        <v/>
      </c>
    </row>
    <row r="294" spans="1:20" x14ac:dyDescent="0.25">
      <c r="A294" s="28">
        <f t="shared" si="4"/>
        <v>293</v>
      </c>
      <c r="B294" s="28" t="s">
        <v>6896</v>
      </c>
      <c r="C294" s="28" t="s">
        <v>7082</v>
      </c>
      <c r="D294" s="28" t="s">
        <v>7083</v>
      </c>
      <c r="E294" s="28" t="s">
        <v>294</v>
      </c>
      <c r="F294" s="28">
        <v>22191</v>
      </c>
      <c r="G294" s="28">
        <v>38.654493000000002</v>
      </c>
      <c r="H294" s="28">
        <v>-77.248682000000002</v>
      </c>
      <c r="I294" s="28"/>
      <c r="J294" s="61">
        <v>110071672105</v>
      </c>
      <c r="K294" s="28" t="s">
        <v>265</v>
      </c>
      <c r="L294" s="28"/>
      <c r="M294" s="28"/>
      <c r="N294" s="28"/>
      <c r="O294" s="28"/>
      <c r="P294" s="28"/>
      <c r="Q294" s="28" t="s">
        <v>265</v>
      </c>
      <c r="R294" s="28">
        <f>VLOOKUP(K294,OES!$A:$B, 2, FALSE)</f>
        <v>250</v>
      </c>
      <c r="S294" s="60" t="s">
        <v>1465</v>
      </c>
      <c r="T294" s="203" t="str">
        <f>IF(COUNTIF('Raw TRI Data'!$K:$K,J294)&gt;0, "X", "")</f>
        <v/>
      </c>
    </row>
    <row r="295" spans="1:20" x14ac:dyDescent="0.25">
      <c r="A295" s="28">
        <f t="shared" si="4"/>
        <v>294</v>
      </c>
      <c r="B295" s="28" t="s">
        <v>6834</v>
      </c>
      <c r="C295" s="28" t="s">
        <v>6989</v>
      </c>
      <c r="D295" s="28" t="s">
        <v>500</v>
      </c>
      <c r="E295" s="28" t="s">
        <v>303</v>
      </c>
      <c r="F295" s="28">
        <v>70767</v>
      </c>
      <c r="G295" s="28">
        <v>30.4375</v>
      </c>
      <c r="H295" s="28">
        <v>-91.203056000000004</v>
      </c>
      <c r="I295" s="28"/>
      <c r="J295" s="61">
        <v>110008052926</v>
      </c>
      <c r="K295" s="28" t="s">
        <v>265</v>
      </c>
      <c r="L295" s="28"/>
      <c r="M295" s="28"/>
      <c r="N295" s="28"/>
      <c r="O295" s="28"/>
      <c r="P295" s="28"/>
      <c r="Q295" s="28" t="s">
        <v>265</v>
      </c>
      <c r="R295" s="28">
        <f>VLOOKUP(K295,OES!$A:$B, 2, FALSE)</f>
        <v>250</v>
      </c>
      <c r="S295" s="60" t="s">
        <v>1465</v>
      </c>
      <c r="T295" s="203" t="str">
        <f>IF(COUNTIF('Raw TRI Data'!$K:$K,J295)&gt;0, "X", "")</f>
        <v/>
      </c>
    </row>
    <row r="296" spans="1:20" x14ac:dyDescent="0.25">
      <c r="A296" s="28">
        <f t="shared" si="4"/>
        <v>295</v>
      </c>
      <c r="B296" s="28" t="s">
        <v>6790</v>
      </c>
      <c r="C296" s="28" t="s">
        <v>6941</v>
      </c>
      <c r="D296" s="28" t="s">
        <v>6942</v>
      </c>
      <c r="E296" s="28" t="s">
        <v>1249</v>
      </c>
      <c r="F296" s="28">
        <v>87416</v>
      </c>
      <c r="G296" s="28">
        <v>36.688809999999997</v>
      </c>
      <c r="H296" s="28">
        <v>-108.48036</v>
      </c>
      <c r="I296" s="28" t="s">
        <v>7120</v>
      </c>
      <c r="J296" s="61">
        <v>110042068473</v>
      </c>
      <c r="K296" s="28" t="s">
        <v>265</v>
      </c>
      <c r="L296" s="28"/>
      <c r="M296" s="28"/>
      <c r="N296" s="28"/>
      <c r="O296" s="28"/>
      <c r="P296" s="28"/>
      <c r="Q296" s="28" t="s">
        <v>265</v>
      </c>
      <c r="R296" s="28">
        <f>VLOOKUP(K296,OES!$A:$B, 2, FALSE)</f>
        <v>250</v>
      </c>
      <c r="S296" s="60" t="s">
        <v>1465</v>
      </c>
      <c r="T296" s="203" t="str">
        <f>IF(COUNTIF('Raw TRI Data'!$K:$K,J296)&gt;0, "X", "")</f>
        <v/>
      </c>
    </row>
    <row r="297" spans="1:20" x14ac:dyDescent="0.25">
      <c r="A297" s="28">
        <f t="shared" si="4"/>
        <v>296</v>
      </c>
      <c r="B297" s="28" t="s">
        <v>6894</v>
      </c>
      <c r="C297" s="28" t="s">
        <v>7076</v>
      </c>
      <c r="D297" s="28" t="s">
        <v>1403</v>
      </c>
      <c r="E297" s="28" t="s">
        <v>294</v>
      </c>
      <c r="F297" s="28">
        <v>23451</v>
      </c>
      <c r="G297" s="28">
        <v>36.816054000000001</v>
      </c>
      <c r="H297" s="28">
        <v>-75.971458999999996</v>
      </c>
      <c r="I297" s="28"/>
      <c r="J297" s="61">
        <v>110071538714</v>
      </c>
      <c r="K297" s="28" t="s">
        <v>265</v>
      </c>
      <c r="L297" s="28"/>
      <c r="M297" s="28"/>
      <c r="N297" s="28"/>
      <c r="O297" s="28"/>
      <c r="P297" s="28"/>
      <c r="Q297" s="28" t="s">
        <v>265</v>
      </c>
      <c r="R297" s="28">
        <f>VLOOKUP(K297,OES!$A:$B, 2, FALSE)</f>
        <v>250</v>
      </c>
      <c r="S297" s="60" t="s">
        <v>1465</v>
      </c>
      <c r="T297" s="203" t="str">
        <f>IF(COUNTIF('Raw TRI Data'!$K:$K,J297)&gt;0, "X", "")</f>
        <v/>
      </c>
    </row>
    <row r="298" spans="1:20" x14ac:dyDescent="0.25">
      <c r="A298" s="28">
        <f t="shared" si="4"/>
        <v>297</v>
      </c>
      <c r="B298" s="28" t="s">
        <v>6889</v>
      </c>
      <c r="C298" s="28" t="s">
        <v>7069</v>
      </c>
      <c r="D298" s="28" t="s">
        <v>6925</v>
      </c>
      <c r="E298" s="28" t="s">
        <v>366</v>
      </c>
      <c r="F298" s="28" t="s">
        <v>7070</v>
      </c>
      <c r="G298" s="28">
        <v>38.055900000000001</v>
      </c>
      <c r="H298" s="28">
        <v>-122.21435</v>
      </c>
      <c r="I298" s="28"/>
      <c r="J298" s="61">
        <v>110001163062</v>
      </c>
      <c r="K298" s="28" t="s">
        <v>265</v>
      </c>
      <c r="L298" s="28"/>
      <c r="M298" s="28"/>
      <c r="N298" s="28"/>
      <c r="O298" s="28"/>
      <c r="P298" s="28"/>
      <c r="Q298" s="28" t="s">
        <v>265</v>
      </c>
      <c r="R298" s="28">
        <f>VLOOKUP(K298,OES!$A:$B, 2, FALSE)</f>
        <v>250</v>
      </c>
      <c r="S298" s="60" t="s">
        <v>1465</v>
      </c>
      <c r="T298" s="203" t="str">
        <f>IF(COUNTIF('Raw TRI Data'!$K:$K,J298)&gt;0, "X", "")</f>
        <v/>
      </c>
    </row>
    <row r="299" spans="1:20" x14ac:dyDescent="0.25">
      <c r="A299" s="28">
        <f t="shared" si="4"/>
        <v>298</v>
      </c>
      <c r="B299" s="28" t="s">
        <v>1261</v>
      </c>
      <c r="C299" s="28" t="s">
        <v>2053</v>
      </c>
      <c r="D299" s="28" t="s">
        <v>966</v>
      </c>
      <c r="E299" s="28" t="s">
        <v>491</v>
      </c>
      <c r="F299" s="28" t="s">
        <v>2054</v>
      </c>
      <c r="G299" s="28">
        <v>39.991410000000002</v>
      </c>
      <c r="H299" s="28">
        <v>-75.085030000000003</v>
      </c>
      <c r="I299" s="28"/>
      <c r="J299" s="61">
        <v>110001076978</v>
      </c>
      <c r="K299" s="28" t="s">
        <v>263</v>
      </c>
      <c r="L299" s="28"/>
      <c r="M299" s="28"/>
      <c r="N299" s="28"/>
      <c r="O299" s="28"/>
      <c r="P299" s="28"/>
      <c r="Q299" s="28" t="s">
        <v>265</v>
      </c>
      <c r="R299" s="28">
        <f>VLOOKUP(K299,OES!$A:$B, 2, FALSE)</f>
        <v>365</v>
      </c>
      <c r="S299" s="60" t="s">
        <v>1465</v>
      </c>
      <c r="T299" s="203" t="str">
        <f>IF(COUNTIF('Raw TRI Data'!$K:$K,J299)&gt;0, "X", "")</f>
        <v/>
      </c>
    </row>
    <row r="300" spans="1:20" x14ac:dyDescent="0.25">
      <c r="A300" s="28">
        <f t="shared" si="4"/>
        <v>299</v>
      </c>
      <c r="B300" s="28" t="s">
        <v>6872</v>
      </c>
      <c r="C300" s="28" t="s">
        <v>7041</v>
      </c>
      <c r="D300" s="28" t="s">
        <v>6942</v>
      </c>
      <c r="E300" s="28" t="s">
        <v>1249</v>
      </c>
      <c r="F300" s="28">
        <v>87416</v>
      </c>
      <c r="G300" s="28">
        <v>36.716268999999997</v>
      </c>
      <c r="H300" s="28">
        <v>-108.255737</v>
      </c>
      <c r="I300" s="28"/>
      <c r="J300" s="61">
        <v>110064631457</v>
      </c>
      <c r="K300" s="28" t="s">
        <v>263</v>
      </c>
      <c r="L300" s="28"/>
      <c r="M300" s="28"/>
      <c r="N300" s="28"/>
      <c r="O300" s="28"/>
      <c r="P300" s="28"/>
      <c r="Q300" s="28" t="s">
        <v>265</v>
      </c>
      <c r="R300" s="28">
        <f>VLOOKUP(K300,OES!$A:$B, 2, FALSE)</f>
        <v>365</v>
      </c>
      <c r="S300" s="60" t="s">
        <v>1465</v>
      </c>
      <c r="T300" s="203" t="str">
        <f>IF(COUNTIF('Raw TRI Data'!$K:$K,J300)&gt;0, "X", "")</f>
        <v/>
      </c>
    </row>
    <row r="301" spans="1:20" x14ac:dyDescent="0.25">
      <c r="A301" s="28">
        <f t="shared" si="4"/>
        <v>300</v>
      </c>
      <c r="B301" s="28" t="s">
        <v>1264</v>
      </c>
      <c r="C301" s="28" t="s">
        <v>2061</v>
      </c>
      <c r="D301" s="28" t="s">
        <v>1265</v>
      </c>
      <c r="E301" s="28" t="s">
        <v>324</v>
      </c>
      <c r="F301" s="28">
        <v>40475</v>
      </c>
      <c r="G301" s="28">
        <v>37.852220000000003</v>
      </c>
      <c r="H301" s="28">
        <v>-84.363079999999997</v>
      </c>
      <c r="I301" s="28"/>
      <c r="J301" s="61">
        <v>110016759444</v>
      </c>
      <c r="K301" s="28" t="s">
        <v>263</v>
      </c>
      <c r="L301" s="28"/>
      <c r="M301" s="28"/>
      <c r="N301" s="28"/>
      <c r="O301" s="28"/>
      <c r="P301" s="28"/>
      <c r="Q301" s="28" t="s">
        <v>265</v>
      </c>
      <c r="R301" s="28">
        <f>VLOOKUP(K301,OES!$A:$B, 2, FALSE)</f>
        <v>365</v>
      </c>
      <c r="S301" s="60" t="s">
        <v>1465</v>
      </c>
      <c r="T301" s="203" t="str">
        <f>IF(COUNTIF('Raw TRI Data'!$K:$K,J301)&gt;0, "X", "")</f>
        <v/>
      </c>
    </row>
    <row r="302" spans="1:20" x14ac:dyDescent="0.25">
      <c r="A302" s="28">
        <f t="shared" si="4"/>
        <v>301</v>
      </c>
      <c r="B302" s="28" t="s">
        <v>215</v>
      </c>
      <c r="C302" s="28" t="s">
        <v>2065</v>
      </c>
      <c r="D302" s="28" t="s">
        <v>1103</v>
      </c>
      <c r="E302" s="28" t="s">
        <v>345</v>
      </c>
      <c r="F302" s="28">
        <v>60450</v>
      </c>
      <c r="G302" s="28">
        <v>41.405655000000003</v>
      </c>
      <c r="H302" s="28">
        <v>-88.335212999999996</v>
      </c>
      <c r="I302" s="28" t="s">
        <v>727</v>
      </c>
      <c r="J302" s="61">
        <v>110000547196</v>
      </c>
      <c r="K302" s="28" t="s">
        <v>253</v>
      </c>
      <c r="L302" s="28"/>
      <c r="M302" s="28"/>
      <c r="N302" s="28"/>
      <c r="O302" s="28"/>
      <c r="P302" s="28"/>
      <c r="Q302" s="28" t="s">
        <v>265</v>
      </c>
      <c r="R302" s="28">
        <f>VLOOKUP(K302,OES!$A:$B, 2, FALSE)</f>
        <v>350</v>
      </c>
      <c r="S302" s="60" t="s">
        <v>1465</v>
      </c>
      <c r="T302" s="203" t="str">
        <f>IF(COUNTIF('Raw TRI Data'!$K:$K,J302)&gt;0, "X", "")</f>
        <v/>
      </c>
    </row>
    <row r="303" spans="1:20" x14ac:dyDescent="0.25">
      <c r="A303" s="28">
        <f t="shared" si="4"/>
        <v>302</v>
      </c>
      <c r="B303" s="28" t="s">
        <v>6833</v>
      </c>
      <c r="C303" s="28" t="s">
        <v>6987</v>
      </c>
      <c r="D303" s="28" t="s">
        <v>6988</v>
      </c>
      <c r="E303" s="28" t="s">
        <v>366</v>
      </c>
      <c r="F303" s="28">
        <v>95954</v>
      </c>
      <c r="G303" s="28">
        <v>39.814230000000002</v>
      </c>
      <c r="H303" s="28">
        <v>-121.58031699999999</v>
      </c>
      <c r="I303" s="28"/>
      <c r="J303" s="61">
        <v>110000520026</v>
      </c>
      <c r="K303" s="28" t="s">
        <v>6751</v>
      </c>
      <c r="L303" s="28"/>
      <c r="M303" s="28"/>
      <c r="N303" s="28"/>
      <c r="O303" s="28"/>
      <c r="P303" s="28"/>
      <c r="Q303" s="28" t="s">
        <v>265</v>
      </c>
      <c r="R303" s="28">
        <v>250</v>
      </c>
      <c r="S303" s="60" t="s">
        <v>1465</v>
      </c>
      <c r="T303" s="203" t="str">
        <f>IF(COUNTIF('Raw TRI Data'!$K:$K,J303)&gt;0, "X", "")</f>
        <v/>
      </c>
    </row>
    <row r="304" spans="1:20" x14ac:dyDescent="0.25">
      <c r="A304" s="28">
        <f t="shared" si="4"/>
        <v>303</v>
      </c>
      <c r="B304" s="28" t="s">
        <v>6807</v>
      </c>
      <c r="C304" s="28" t="s">
        <v>6960</v>
      </c>
      <c r="D304" s="28" t="s">
        <v>457</v>
      </c>
      <c r="E304" s="28" t="s">
        <v>366</v>
      </c>
      <c r="F304" s="28" t="s">
        <v>6961</v>
      </c>
      <c r="G304" s="28">
        <v>32.796432000000003</v>
      </c>
      <c r="H304" s="28">
        <v>-115.667761</v>
      </c>
      <c r="I304" s="28"/>
      <c r="J304" s="61">
        <v>110013128169</v>
      </c>
      <c r="K304" s="28" t="s">
        <v>265</v>
      </c>
      <c r="L304" s="28"/>
      <c r="M304" s="28"/>
      <c r="N304" s="28"/>
      <c r="O304" s="28"/>
      <c r="P304" s="28"/>
      <c r="Q304" s="28" t="s">
        <v>265</v>
      </c>
      <c r="R304" s="28">
        <f>VLOOKUP(K304,OES!$A:$B, 2, FALSE)</f>
        <v>250</v>
      </c>
      <c r="S304" s="60" t="s">
        <v>1465</v>
      </c>
      <c r="T304" s="203" t="str">
        <f>IF(COUNTIF('Raw TRI Data'!$K:$K,J304)&gt;0, "X", "")</f>
        <v/>
      </c>
    </row>
    <row r="305" spans="1:20" x14ac:dyDescent="0.25">
      <c r="A305" s="28">
        <f t="shared" si="4"/>
        <v>304</v>
      </c>
      <c r="B305" s="28" t="s">
        <v>6852</v>
      </c>
      <c r="C305" s="28" t="s">
        <v>7010</v>
      </c>
      <c r="D305" s="28" t="s">
        <v>6942</v>
      </c>
      <c r="E305" s="28" t="s">
        <v>1249</v>
      </c>
      <c r="F305" s="28" t="s">
        <v>7011</v>
      </c>
      <c r="G305" s="28">
        <v>36.739803999999999</v>
      </c>
      <c r="H305" s="28">
        <v>-108.397068</v>
      </c>
      <c r="I305" s="28"/>
      <c r="J305" s="61">
        <v>110020662166</v>
      </c>
      <c r="K305" s="28" t="s">
        <v>265</v>
      </c>
      <c r="L305" s="28"/>
      <c r="M305" s="28"/>
      <c r="N305" s="28"/>
      <c r="O305" s="28"/>
      <c r="P305" s="28"/>
      <c r="Q305" s="28" t="s">
        <v>265</v>
      </c>
      <c r="R305" s="28">
        <f>VLOOKUP(K305,OES!$A:$B, 2, FALSE)</f>
        <v>250</v>
      </c>
      <c r="S305" s="60" t="s">
        <v>1465</v>
      </c>
      <c r="T305" s="203" t="str">
        <f>IF(COUNTIF('Raw TRI Data'!$K:$K,J305)&gt;0, "X", "")</f>
        <v/>
      </c>
    </row>
    <row r="306" spans="1:20" x14ac:dyDescent="0.25">
      <c r="A306" s="28">
        <f t="shared" si="4"/>
        <v>305</v>
      </c>
      <c r="B306" s="28" t="s">
        <v>6904</v>
      </c>
      <c r="C306" s="28" t="s">
        <v>7100</v>
      </c>
      <c r="D306" s="28" t="s">
        <v>7101</v>
      </c>
      <c r="E306" s="28" t="s">
        <v>1128</v>
      </c>
      <c r="F306" s="28" t="s">
        <v>7102</v>
      </c>
      <c r="G306" s="28">
        <v>40.49682</v>
      </c>
      <c r="H306" s="28">
        <v>-105.11552</v>
      </c>
      <c r="I306" s="28"/>
      <c r="J306" s="61">
        <v>110012150858</v>
      </c>
      <c r="K306" s="28" t="s">
        <v>6752</v>
      </c>
      <c r="L306" s="28"/>
      <c r="M306" s="28"/>
      <c r="N306" s="28"/>
      <c r="O306" s="28"/>
      <c r="P306" s="28"/>
      <c r="Q306" s="28" t="s">
        <v>265</v>
      </c>
      <c r="R306" s="28">
        <v>250</v>
      </c>
      <c r="S306" s="60" t="s">
        <v>1465</v>
      </c>
      <c r="T306" s="203" t="str">
        <f>IF(COUNTIF('Raw TRI Data'!$K:$K,J306)&gt;0, "X", "")</f>
        <v/>
      </c>
    </row>
    <row r="307" spans="1:20" x14ac:dyDescent="0.25">
      <c r="A307" s="28">
        <f t="shared" si="4"/>
        <v>306</v>
      </c>
      <c r="B307" s="28" t="s">
        <v>6789</v>
      </c>
      <c r="C307" s="28" t="s">
        <v>6940</v>
      </c>
      <c r="D307" s="28" t="s">
        <v>302</v>
      </c>
      <c r="E307" s="28" t="s">
        <v>303</v>
      </c>
      <c r="F307" s="28">
        <v>70807</v>
      </c>
      <c r="G307" s="28">
        <v>30.584540000000001</v>
      </c>
      <c r="H307" s="28">
        <v>-91.247479999999996</v>
      </c>
      <c r="I307" s="28"/>
      <c r="J307" s="61">
        <v>110064644782</v>
      </c>
      <c r="K307" s="28" t="s">
        <v>264</v>
      </c>
      <c r="L307" s="28"/>
      <c r="M307" s="28"/>
      <c r="N307" s="28"/>
      <c r="O307" s="28"/>
      <c r="P307" s="28"/>
      <c r="Q307" s="28" t="s">
        <v>265</v>
      </c>
      <c r="R307" s="28">
        <f>VLOOKUP(K307,OES!$A:$B, 2, FALSE)</f>
        <v>365</v>
      </c>
      <c r="S307" s="60" t="s">
        <v>1465</v>
      </c>
      <c r="T307" s="203" t="str">
        <f>IF(COUNTIF('Raw TRI Data'!$K:$K,J307)&gt;0, "X", "")</f>
        <v/>
      </c>
    </row>
    <row r="308" spans="1:20" x14ac:dyDescent="0.25">
      <c r="A308" s="28">
        <f t="shared" si="4"/>
        <v>307</v>
      </c>
      <c r="B308" s="28" t="s">
        <v>1268</v>
      </c>
      <c r="C308" s="28" t="s">
        <v>2074</v>
      </c>
      <c r="D308" s="28" t="s">
        <v>1269</v>
      </c>
      <c r="E308" s="28" t="s">
        <v>324</v>
      </c>
      <c r="F308" s="28">
        <v>40026</v>
      </c>
      <c r="G308" s="28">
        <v>38.417499999999997</v>
      </c>
      <c r="H308" s="28">
        <v>-85.611109999999996</v>
      </c>
      <c r="I308" s="28"/>
      <c r="J308" s="61">
        <v>110022905588</v>
      </c>
      <c r="K308" s="28" t="s">
        <v>263</v>
      </c>
      <c r="L308" s="28"/>
      <c r="M308" s="28"/>
      <c r="N308" s="28"/>
      <c r="O308" s="28"/>
      <c r="P308" s="28"/>
      <c r="Q308" s="28" t="s">
        <v>265</v>
      </c>
      <c r="R308" s="28">
        <f>VLOOKUP(K308,OES!$A:$B, 2, FALSE)</f>
        <v>365</v>
      </c>
      <c r="S308" s="60" t="s">
        <v>1465</v>
      </c>
      <c r="T308" s="203" t="str">
        <f>IF(COUNTIF('Raw TRI Data'!$K:$K,J308)&gt;0, "X", "")</f>
        <v/>
      </c>
    </row>
    <row r="309" spans="1:20" x14ac:dyDescent="0.25">
      <c r="A309" s="28">
        <f t="shared" si="4"/>
        <v>308</v>
      </c>
      <c r="B309" s="28" t="s">
        <v>6818</v>
      </c>
      <c r="C309" s="28" t="s">
        <v>6974</v>
      </c>
      <c r="D309" s="28" t="s">
        <v>6975</v>
      </c>
      <c r="E309" s="28" t="s">
        <v>324</v>
      </c>
      <c r="F309" s="28">
        <v>40014</v>
      </c>
      <c r="G309" s="28">
        <v>38.32978</v>
      </c>
      <c r="H309" s="28">
        <v>-85.540719999999993</v>
      </c>
      <c r="I309" s="28"/>
      <c r="J309" s="61">
        <v>110064615590</v>
      </c>
      <c r="K309" s="28" t="s">
        <v>263</v>
      </c>
      <c r="L309" s="28"/>
      <c r="M309" s="28"/>
      <c r="N309" s="28"/>
      <c r="O309" s="28"/>
      <c r="P309" s="28"/>
      <c r="Q309" s="28" t="s">
        <v>265</v>
      </c>
      <c r="R309" s="28">
        <f>VLOOKUP(K309,OES!$A:$B, 2, FALSE)</f>
        <v>365</v>
      </c>
      <c r="S309" s="60" t="s">
        <v>1465</v>
      </c>
      <c r="T309" s="203" t="str">
        <f>IF(COUNTIF('Raw TRI Data'!$K:$K,J309)&gt;0, "X", "")</f>
        <v/>
      </c>
    </row>
    <row r="310" spans="1:20" x14ac:dyDescent="0.25">
      <c r="A310" s="28">
        <f t="shared" si="4"/>
        <v>309</v>
      </c>
      <c r="B310" s="28" t="s">
        <v>1270</v>
      </c>
      <c r="C310" s="28" t="s">
        <v>2076</v>
      </c>
      <c r="D310" s="28" t="s">
        <v>1271</v>
      </c>
      <c r="E310" s="28" t="s">
        <v>427</v>
      </c>
      <c r="F310" s="28">
        <v>49424</v>
      </c>
      <c r="G310" s="28">
        <v>42.813049999999997</v>
      </c>
      <c r="H310" s="28">
        <v>-86.197429999999997</v>
      </c>
      <c r="I310" s="28"/>
      <c r="J310" s="61">
        <v>110006740161</v>
      </c>
      <c r="K310" s="28" t="s">
        <v>265</v>
      </c>
      <c r="L310" s="28"/>
      <c r="M310" s="28"/>
      <c r="N310" s="28"/>
      <c r="O310" s="28"/>
      <c r="P310" s="28"/>
      <c r="Q310" s="28" t="s">
        <v>265</v>
      </c>
      <c r="R310" s="28">
        <f>VLOOKUP(K310,OES!$A:$B, 2, FALSE)</f>
        <v>250</v>
      </c>
      <c r="S310" s="60" t="s">
        <v>1465</v>
      </c>
      <c r="T310" s="203" t="str">
        <f>IF(COUNTIF('Raw TRI Data'!$K:$K,J310)&gt;0, "X", "")</f>
        <v/>
      </c>
    </row>
    <row r="311" spans="1:20" x14ac:dyDescent="0.25">
      <c r="A311" s="28">
        <f t="shared" si="4"/>
        <v>310</v>
      </c>
      <c r="B311" s="28" t="s">
        <v>1272</v>
      </c>
      <c r="C311" s="28" t="s">
        <v>2080</v>
      </c>
      <c r="D311" s="28" t="s">
        <v>1273</v>
      </c>
      <c r="E311" s="28" t="s">
        <v>324</v>
      </c>
      <c r="F311" s="28">
        <v>42303</v>
      </c>
      <c r="G311" s="28">
        <v>37.770769999999999</v>
      </c>
      <c r="H311" s="28">
        <v>-87.065669999999997</v>
      </c>
      <c r="I311" s="28"/>
      <c r="J311" s="61">
        <v>110043734983</v>
      </c>
      <c r="K311" s="28" t="s">
        <v>263</v>
      </c>
      <c r="L311" s="28"/>
      <c r="M311" s="28"/>
      <c r="N311" s="28"/>
      <c r="O311" s="28"/>
      <c r="P311" s="28"/>
      <c r="Q311" s="28" t="s">
        <v>265</v>
      </c>
      <c r="R311" s="28">
        <f>VLOOKUP(K311,OES!$A:$B, 2, FALSE)</f>
        <v>365</v>
      </c>
      <c r="S311" s="60" t="s">
        <v>1465</v>
      </c>
      <c r="T311" s="203" t="str">
        <f>IF(COUNTIF('Raw TRI Data'!$K:$K,J311)&gt;0, "X", "")</f>
        <v/>
      </c>
    </row>
    <row r="312" spans="1:20" x14ac:dyDescent="0.25">
      <c r="A312" s="28">
        <f t="shared" si="4"/>
        <v>311</v>
      </c>
      <c r="B312" s="28" t="s">
        <v>6804</v>
      </c>
      <c r="C312" s="28" t="s">
        <v>2083</v>
      </c>
      <c r="D312" s="28" t="s">
        <v>1273</v>
      </c>
      <c r="E312" s="28" t="s">
        <v>324</v>
      </c>
      <c r="F312" s="28">
        <v>42303</v>
      </c>
      <c r="G312" s="28">
        <v>37.8125</v>
      </c>
      <c r="H312" s="28">
        <v>-87.05</v>
      </c>
      <c r="I312" s="28" t="s">
        <v>729</v>
      </c>
      <c r="J312" s="61">
        <v>110000747835</v>
      </c>
      <c r="K312" s="28" t="s">
        <v>265</v>
      </c>
      <c r="L312" s="28"/>
      <c r="M312" s="28"/>
      <c r="N312" s="28"/>
      <c r="O312" s="28"/>
      <c r="P312" s="28"/>
      <c r="Q312" s="28" t="s">
        <v>265</v>
      </c>
      <c r="R312" s="28">
        <f>VLOOKUP(K312,OES!$A:$B, 2, FALSE)</f>
        <v>250</v>
      </c>
      <c r="S312" s="60" t="s">
        <v>1465</v>
      </c>
      <c r="T312" s="203" t="str">
        <f>IF(COUNTIF('Raw TRI Data'!$K:$K,J312)&gt;0, "X", "")</f>
        <v/>
      </c>
    </row>
    <row r="313" spans="1:20" x14ac:dyDescent="0.25">
      <c r="A313" s="28">
        <f t="shared" si="4"/>
        <v>312</v>
      </c>
      <c r="B313" s="28" t="s">
        <v>1275</v>
      </c>
      <c r="C313" s="28" t="s">
        <v>2087</v>
      </c>
      <c r="D313" s="28" t="s">
        <v>1276</v>
      </c>
      <c r="E313" s="28" t="s">
        <v>366</v>
      </c>
      <c r="F313" s="28">
        <v>93033</v>
      </c>
      <c r="G313" s="28">
        <v>34.141618999999999</v>
      </c>
      <c r="H313" s="28">
        <v>-119.184014</v>
      </c>
      <c r="I313" s="28"/>
      <c r="J313" s="61">
        <v>110070097306</v>
      </c>
      <c r="K313" s="28" t="s">
        <v>263</v>
      </c>
      <c r="L313" s="28"/>
      <c r="M313" s="28"/>
      <c r="N313" s="28"/>
      <c r="O313" s="28"/>
      <c r="P313" s="28"/>
      <c r="Q313" s="28" t="s">
        <v>265</v>
      </c>
      <c r="R313" s="28">
        <f>VLOOKUP(K313,OES!$A:$B, 2, FALSE)</f>
        <v>365</v>
      </c>
      <c r="S313" s="60" t="s">
        <v>1465</v>
      </c>
      <c r="T313" s="203" t="str">
        <f>IF(COUNTIF('Raw TRI Data'!$K:$K,J313)&gt;0, "X", "")</f>
        <v/>
      </c>
    </row>
    <row r="314" spans="1:20" x14ac:dyDescent="0.25">
      <c r="A314" s="28">
        <f t="shared" si="4"/>
        <v>313</v>
      </c>
      <c r="B314" s="28" t="s">
        <v>1277</v>
      </c>
      <c r="C314" s="28" t="s">
        <v>2089</v>
      </c>
      <c r="D314" s="28" t="s">
        <v>1278</v>
      </c>
      <c r="E314" s="28" t="s">
        <v>324</v>
      </c>
      <c r="F314" s="28">
        <v>42001</v>
      </c>
      <c r="G314" s="28">
        <v>37.021974</v>
      </c>
      <c r="H314" s="28">
        <v>-88.512833000000001</v>
      </c>
      <c r="I314" s="28"/>
      <c r="J314" s="61">
        <v>110006367136</v>
      </c>
      <c r="K314" s="28" t="s">
        <v>263</v>
      </c>
      <c r="L314" s="28"/>
      <c r="M314" s="28"/>
      <c r="N314" s="28"/>
      <c r="O314" s="28"/>
      <c r="P314" s="28"/>
      <c r="Q314" s="28" t="s">
        <v>265</v>
      </c>
      <c r="R314" s="28">
        <f>VLOOKUP(K314,OES!$A:$B, 2, FALSE)</f>
        <v>365</v>
      </c>
      <c r="S314" s="60" t="s">
        <v>1465</v>
      </c>
      <c r="T314" s="203" t="str">
        <f>IF(COUNTIF('Raw TRI Data'!$K:$K,J314)&gt;0, "X", "")</f>
        <v/>
      </c>
    </row>
    <row r="315" spans="1:20" x14ac:dyDescent="0.25">
      <c r="A315" s="28">
        <f t="shared" si="4"/>
        <v>314</v>
      </c>
      <c r="B315" s="28" t="s">
        <v>6826</v>
      </c>
      <c r="C315" s="28" t="s">
        <v>2096</v>
      </c>
      <c r="D315" s="28" t="s">
        <v>1284</v>
      </c>
      <c r="E315" s="28" t="s">
        <v>324</v>
      </c>
      <c r="F315" s="28" t="s">
        <v>2097</v>
      </c>
      <c r="G315" s="28">
        <v>38.223610999999998</v>
      </c>
      <c r="H315" s="28">
        <v>-84.253332999999998</v>
      </c>
      <c r="I315" s="28"/>
      <c r="J315" s="61">
        <v>110000551082</v>
      </c>
      <c r="K315" s="28" t="s">
        <v>263</v>
      </c>
      <c r="L315" s="28"/>
      <c r="M315" s="28"/>
      <c r="N315" s="28"/>
      <c r="O315" s="28"/>
      <c r="P315" s="28"/>
      <c r="Q315" s="28" t="s">
        <v>265</v>
      </c>
      <c r="R315" s="28">
        <f>VLOOKUP(K315,OES!$A:$B, 2, FALSE)</f>
        <v>365</v>
      </c>
      <c r="S315" s="60" t="s">
        <v>1465</v>
      </c>
      <c r="T315" s="203" t="str">
        <f>IF(COUNTIF('Raw TRI Data'!$K:$K,J315)&gt;0, "X", "")</f>
        <v/>
      </c>
    </row>
    <row r="316" spans="1:20" x14ac:dyDescent="0.25">
      <c r="A316" s="28">
        <f t="shared" si="4"/>
        <v>315</v>
      </c>
      <c r="B316" s="28" t="s">
        <v>1285</v>
      </c>
      <c r="C316" s="28" t="s">
        <v>2101</v>
      </c>
      <c r="D316" s="28" t="s">
        <v>1286</v>
      </c>
      <c r="E316" s="28" t="s">
        <v>1171</v>
      </c>
      <c r="F316" s="28">
        <v>96818</v>
      </c>
      <c r="G316" s="28">
        <v>21.347193999999998</v>
      </c>
      <c r="H316" s="28">
        <v>-157.943556</v>
      </c>
      <c r="I316" s="28"/>
      <c r="J316" s="61">
        <v>110046184516</v>
      </c>
      <c r="K316" s="28" t="s">
        <v>265</v>
      </c>
      <c r="L316" s="28"/>
      <c r="M316" s="28"/>
      <c r="N316" s="28"/>
      <c r="O316" s="28"/>
      <c r="P316" s="28"/>
      <c r="Q316" s="28" t="s">
        <v>265</v>
      </c>
      <c r="R316" s="28">
        <f>VLOOKUP(K316,OES!$A:$B, 2, FALSE)</f>
        <v>250</v>
      </c>
      <c r="S316" s="60" t="s">
        <v>1465</v>
      </c>
      <c r="T316" s="203" t="str">
        <f>IF(COUNTIF('Raw TRI Data'!$K:$K,J316)&gt;0, "X", "")</f>
        <v/>
      </c>
    </row>
    <row r="317" spans="1:20" x14ac:dyDescent="0.25">
      <c r="A317" s="28">
        <f t="shared" si="4"/>
        <v>316</v>
      </c>
      <c r="B317" s="28" t="s">
        <v>1289</v>
      </c>
      <c r="C317" s="28" t="s">
        <v>2111</v>
      </c>
      <c r="D317" s="28" t="s">
        <v>966</v>
      </c>
      <c r="E317" s="28" t="s">
        <v>491</v>
      </c>
      <c r="F317" s="28">
        <v>19153</v>
      </c>
      <c r="G317" s="28">
        <v>39.886130000000001</v>
      </c>
      <c r="H317" s="28">
        <v>-75.218249999999998</v>
      </c>
      <c r="I317" s="28"/>
      <c r="J317" s="61">
        <v>110000542119</v>
      </c>
      <c r="K317" s="28" t="s">
        <v>263</v>
      </c>
      <c r="L317" s="28"/>
      <c r="M317" s="28"/>
      <c r="N317" s="28"/>
      <c r="O317" s="28"/>
      <c r="P317" s="28"/>
      <c r="Q317" s="28" t="s">
        <v>265</v>
      </c>
      <c r="R317" s="28">
        <f>VLOOKUP(K317,OES!$A:$B, 2, FALSE)</f>
        <v>365</v>
      </c>
      <c r="S317" s="60" t="s">
        <v>1465</v>
      </c>
      <c r="T317" s="203" t="str">
        <f>IF(COUNTIF('Raw TRI Data'!$K:$K,J317)&gt;0, "X", "")</f>
        <v/>
      </c>
    </row>
    <row r="318" spans="1:20" x14ac:dyDescent="0.25">
      <c r="A318" s="28">
        <f t="shared" si="4"/>
        <v>317</v>
      </c>
      <c r="B318" s="28" t="s">
        <v>1290</v>
      </c>
      <c r="C318" s="28" t="s">
        <v>2115</v>
      </c>
      <c r="D318" s="28" t="s">
        <v>544</v>
      </c>
      <c r="E318" s="28" t="s">
        <v>338</v>
      </c>
      <c r="F318" s="28">
        <v>7036</v>
      </c>
      <c r="G318" s="28">
        <v>40.640135000000001</v>
      </c>
      <c r="H318" s="28">
        <v>-74.218879999999999</v>
      </c>
      <c r="I318" s="28" t="s">
        <v>730</v>
      </c>
      <c r="J318" s="61">
        <v>110041133163</v>
      </c>
      <c r="K318" s="28" t="s">
        <v>265</v>
      </c>
      <c r="L318" s="28"/>
      <c r="M318" s="28"/>
      <c r="N318" s="28"/>
      <c r="O318" s="28"/>
      <c r="P318" s="28"/>
      <c r="Q318" s="28" t="s">
        <v>265</v>
      </c>
      <c r="R318" s="28">
        <f>VLOOKUP(K318,OES!$A:$B, 2, FALSE)</f>
        <v>250</v>
      </c>
      <c r="S318" s="60" t="s">
        <v>1465</v>
      </c>
      <c r="T318" s="203" t="str">
        <f>IF(COUNTIF('Raw TRI Data'!$K:$K,J318)&gt;0, "X", "")</f>
        <v/>
      </c>
    </row>
    <row r="319" spans="1:20" x14ac:dyDescent="0.25">
      <c r="A319" s="28">
        <f t="shared" si="4"/>
        <v>318</v>
      </c>
      <c r="B319" s="28" t="s">
        <v>6907</v>
      </c>
      <c r="C319" s="28" t="s">
        <v>1894</v>
      </c>
      <c r="D319" s="28" t="s">
        <v>1178</v>
      </c>
      <c r="E319" s="28" t="s">
        <v>308</v>
      </c>
      <c r="F319" s="28">
        <v>1803</v>
      </c>
      <c r="G319" s="28">
        <v>42.481274999999997</v>
      </c>
      <c r="H319" s="28">
        <v>-71.198278999999999</v>
      </c>
      <c r="I319" s="28"/>
      <c r="J319" s="61">
        <v>110045415207</v>
      </c>
      <c r="K319" s="28" t="s">
        <v>265</v>
      </c>
      <c r="L319" s="28"/>
      <c r="M319" s="28"/>
      <c r="N319" s="28"/>
      <c r="O319" s="28"/>
      <c r="P319" s="28"/>
      <c r="Q319" s="28" t="s">
        <v>265</v>
      </c>
      <c r="R319" s="28">
        <f>VLOOKUP(K319,OES!$A:$B, 2, FALSE)</f>
        <v>250</v>
      </c>
      <c r="S319" s="60" t="s">
        <v>1465</v>
      </c>
      <c r="T319" s="203" t="str">
        <f>IF(COUNTIF('Raw TRI Data'!$K:$K,J319)&gt;0, "X", "")</f>
        <v/>
      </c>
    </row>
    <row r="320" spans="1:20" x14ac:dyDescent="0.25">
      <c r="A320" s="28">
        <f t="shared" si="4"/>
        <v>319</v>
      </c>
      <c r="B320" s="28" t="s">
        <v>1293</v>
      </c>
      <c r="C320" s="28" t="s">
        <v>2122</v>
      </c>
      <c r="D320" s="28" t="s">
        <v>1294</v>
      </c>
      <c r="E320" s="28" t="s">
        <v>324</v>
      </c>
      <c r="F320" s="28">
        <v>41501</v>
      </c>
      <c r="G320" s="28">
        <v>37.491857000000003</v>
      </c>
      <c r="H320" s="28">
        <v>-82.539703000000003</v>
      </c>
      <c r="I320" s="28"/>
      <c r="J320" s="61">
        <v>110006644872</v>
      </c>
      <c r="K320" s="28" t="s">
        <v>263</v>
      </c>
      <c r="L320" s="28"/>
      <c r="M320" s="28"/>
      <c r="N320" s="28"/>
      <c r="O320" s="28"/>
      <c r="P320" s="28"/>
      <c r="Q320" s="28" t="s">
        <v>265</v>
      </c>
      <c r="R320" s="28">
        <f>VLOOKUP(K320,OES!$A:$B, 2, FALSE)</f>
        <v>365</v>
      </c>
      <c r="S320" s="60" t="s">
        <v>1465</v>
      </c>
      <c r="T320" s="203" t="str">
        <f>IF(COUNTIF('Raw TRI Data'!$K:$K,J320)&gt;0, "X", "")</f>
        <v/>
      </c>
    </row>
    <row r="321" spans="1:20" x14ac:dyDescent="0.25">
      <c r="A321" s="28">
        <f t="shared" si="4"/>
        <v>320</v>
      </c>
      <c r="B321" s="28" t="s">
        <v>6832</v>
      </c>
      <c r="C321" s="28" t="s">
        <v>6985</v>
      </c>
      <c r="D321" s="28" t="s">
        <v>6986</v>
      </c>
      <c r="E321" s="28" t="s">
        <v>338</v>
      </c>
      <c r="F321" s="28">
        <v>8533</v>
      </c>
      <c r="G321" s="28">
        <v>40.085931000000002</v>
      </c>
      <c r="H321" s="28">
        <v>-74.536839999999998</v>
      </c>
      <c r="I321" s="28"/>
      <c r="J321" s="61">
        <v>110070214056</v>
      </c>
      <c r="K321" s="28" t="s">
        <v>263</v>
      </c>
      <c r="L321" s="28"/>
      <c r="M321" s="28"/>
      <c r="N321" s="28"/>
      <c r="O321" s="28"/>
      <c r="P321" s="28"/>
      <c r="Q321" s="28" t="s">
        <v>265</v>
      </c>
      <c r="R321" s="28">
        <f>VLOOKUP(K321,OES!$A:$B, 2, FALSE)</f>
        <v>365</v>
      </c>
      <c r="S321" s="60" t="s">
        <v>1465</v>
      </c>
      <c r="T321" s="203" t="str">
        <f>IF(COUNTIF('Raw TRI Data'!$K:$K,J321)&gt;0, "X", "")</f>
        <v/>
      </c>
    </row>
    <row r="322" spans="1:20" x14ac:dyDescent="0.25">
      <c r="A322" s="28">
        <f t="shared" si="4"/>
        <v>321</v>
      </c>
      <c r="B322" s="28" t="s">
        <v>6857</v>
      </c>
      <c r="C322" s="28" t="s">
        <v>7018</v>
      </c>
      <c r="D322" s="28" t="s">
        <v>7019</v>
      </c>
      <c r="E322" s="28" t="s">
        <v>366</v>
      </c>
      <c r="F322" s="28">
        <v>94569</v>
      </c>
      <c r="G322" s="28">
        <v>38.045079999999999</v>
      </c>
      <c r="H322" s="28">
        <v>-122.18787</v>
      </c>
      <c r="I322" s="28"/>
      <c r="J322" s="61">
        <v>110010059293</v>
      </c>
      <c r="K322" s="28" t="s">
        <v>263</v>
      </c>
      <c r="L322" s="28"/>
      <c r="M322" s="28"/>
      <c r="N322" s="28"/>
      <c r="O322" s="28"/>
      <c r="P322" s="28"/>
      <c r="Q322" s="28" t="s">
        <v>265</v>
      </c>
      <c r="R322" s="28">
        <f>VLOOKUP(K322,OES!$A:$B, 2, FALSE)</f>
        <v>365</v>
      </c>
      <c r="S322" s="60" t="s">
        <v>1465</v>
      </c>
      <c r="T322" s="203" t="str">
        <f>IF(COUNTIF('Raw TRI Data'!$K:$K,J322)&gt;0, "X", "")</f>
        <v/>
      </c>
    </row>
    <row r="323" spans="1:20" x14ac:dyDescent="0.25">
      <c r="A323" s="28">
        <f t="shared" ref="A323:A386" si="5">A322+1</f>
        <v>322</v>
      </c>
      <c r="B323" s="28" t="s">
        <v>6819</v>
      </c>
      <c r="C323" s="28" t="s">
        <v>377</v>
      </c>
      <c r="D323" s="28" t="s">
        <v>480</v>
      </c>
      <c r="E323" s="28" t="s">
        <v>362</v>
      </c>
      <c r="F323" s="28">
        <v>77978</v>
      </c>
      <c r="G323" s="28">
        <v>28.643972000000002</v>
      </c>
      <c r="H323" s="28">
        <v>-96.547583000000003</v>
      </c>
      <c r="I323" s="28"/>
      <c r="J323" s="61">
        <v>110063004528</v>
      </c>
      <c r="K323" s="28" t="s">
        <v>252</v>
      </c>
      <c r="L323" s="28"/>
      <c r="M323" s="28"/>
      <c r="N323" s="28"/>
      <c r="O323" s="28"/>
      <c r="P323" s="28"/>
      <c r="Q323" s="28" t="s">
        <v>265</v>
      </c>
      <c r="R323" s="28">
        <f>VLOOKUP(K323,OES!$A:$B, 2, FALSE)</f>
        <v>250</v>
      </c>
      <c r="S323" s="60" t="s">
        <v>1465</v>
      </c>
      <c r="T323" s="203" t="str">
        <f>IF(COUNTIF('Raw TRI Data'!$K:$K,J323)&gt;0, "X", "")</f>
        <v/>
      </c>
    </row>
    <row r="324" spans="1:20" x14ac:dyDescent="0.25">
      <c r="A324" s="28">
        <f t="shared" si="5"/>
        <v>323</v>
      </c>
      <c r="B324" s="28" t="s">
        <v>6813</v>
      </c>
      <c r="C324" s="28" t="s">
        <v>6967</v>
      </c>
      <c r="D324" s="28" t="s">
        <v>968</v>
      </c>
      <c r="E324" s="28" t="s">
        <v>294</v>
      </c>
      <c r="F324" s="28">
        <v>22305</v>
      </c>
      <c r="G324" s="28">
        <v>38.840083999999997</v>
      </c>
      <c r="H324" s="28">
        <v>-77.048516000000006</v>
      </c>
      <c r="I324" s="28"/>
      <c r="J324" s="61">
        <v>110070949081</v>
      </c>
      <c r="K324" s="28" t="s">
        <v>265</v>
      </c>
      <c r="L324" s="28"/>
      <c r="M324" s="28"/>
      <c r="N324" s="28"/>
      <c r="O324" s="28"/>
      <c r="P324" s="28"/>
      <c r="Q324" s="28" t="s">
        <v>265</v>
      </c>
      <c r="R324" s="28">
        <f>VLOOKUP(K324,OES!$A:$B, 2, FALSE)</f>
        <v>250</v>
      </c>
      <c r="S324" s="60" t="s">
        <v>1465</v>
      </c>
      <c r="T324" s="203" t="str">
        <f>IF(COUNTIF('Raw TRI Data'!$K:$K,J324)&gt;0, "X", "")</f>
        <v/>
      </c>
    </row>
    <row r="325" spans="1:20" x14ac:dyDescent="0.25">
      <c r="A325" s="28">
        <f t="shared" si="5"/>
        <v>324</v>
      </c>
      <c r="B325" s="28" t="s">
        <v>1300</v>
      </c>
      <c r="C325" s="28" t="s">
        <v>2135</v>
      </c>
      <c r="D325" s="28" t="s">
        <v>968</v>
      </c>
      <c r="E325" s="28" t="s">
        <v>294</v>
      </c>
      <c r="F325" s="28">
        <v>22301</v>
      </c>
      <c r="G325" s="28">
        <v>38.828830000000004</v>
      </c>
      <c r="H325" s="28">
        <v>-77.049679999999995</v>
      </c>
      <c r="I325" s="28"/>
      <c r="J325" s="61">
        <v>110070884091</v>
      </c>
      <c r="K325" s="28" t="s">
        <v>265</v>
      </c>
      <c r="L325" s="28"/>
      <c r="M325" s="28"/>
      <c r="N325" s="28"/>
      <c r="O325" s="28"/>
      <c r="P325" s="28"/>
      <c r="Q325" s="28" t="s">
        <v>265</v>
      </c>
      <c r="R325" s="28">
        <f>VLOOKUP(K325,OES!$A:$B, 2, FALSE)</f>
        <v>250</v>
      </c>
      <c r="S325" s="60" t="s">
        <v>1465</v>
      </c>
      <c r="T325" s="203" t="str">
        <f>IF(COUNTIF('Raw TRI Data'!$K:$K,J325)&gt;0, "X", "")</f>
        <v/>
      </c>
    </row>
    <row r="326" spans="1:20" x14ac:dyDescent="0.25">
      <c r="A326" s="28">
        <f t="shared" si="5"/>
        <v>325</v>
      </c>
      <c r="B326" s="28" t="s">
        <v>1301</v>
      </c>
      <c r="C326" s="28" t="s">
        <v>2137</v>
      </c>
      <c r="D326" s="28" t="s">
        <v>1302</v>
      </c>
      <c r="E326" s="28" t="s">
        <v>345</v>
      </c>
      <c r="F326" s="28">
        <v>622573438</v>
      </c>
      <c r="G326" s="28">
        <v>38.2774</v>
      </c>
      <c r="H326" s="28">
        <v>-89.666899999999998</v>
      </c>
      <c r="I326" s="28" t="s">
        <v>731</v>
      </c>
      <c r="J326" s="61">
        <v>110044852068</v>
      </c>
      <c r="K326" s="28" t="s">
        <v>265</v>
      </c>
      <c r="L326" s="28"/>
      <c r="M326" s="28"/>
      <c r="N326" s="28"/>
      <c r="O326" s="28"/>
      <c r="P326" s="28"/>
      <c r="Q326" s="28" t="s">
        <v>265</v>
      </c>
      <c r="R326" s="28">
        <f>VLOOKUP(K326,OES!$A:$B, 2, FALSE)</f>
        <v>250</v>
      </c>
      <c r="S326" s="60" t="s">
        <v>1465</v>
      </c>
      <c r="T326" s="203" t="str">
        <f>IF(COUNTIF('Raw TRI Data'!$K:$K,J326)&gt;0, "X", "")</f>
        <v/>
      </c>
    </row>
    <row r="327" spans="1:20" x14ac:dyDescent="0.25">
      <c r="A327" s="28">
        <f t="shared" si="5"/>
        <v>326</v>
      </c>
      <c r="B327" s="28" t="s">
        <v>6809</v>
      </c>
      <c r="C327" s="28" t="s">
        <v>2282</v>
      </c>
      <c r="D327" s="28" t="s">
        <v>516</v>
      </c>
      <c r="E327" s="28" t="s">
        <v>303</v>
      </c>
      <c r="F327" s="28">
        <v>707340000</v>
      </c>
      <c r="G327" s="28">
        <v>30.233011999999999</v>
      </c>
      <c r="H327" s="28">
        <v>-91.022057000000004</v>
      </c>
      <c r="I327" s="28"/>
      <c r="J327" s="61">
        <v>110000911309</v>
      </c>
      <c r="K327" s="28" t="s">
        <v>252</v>
      </c>
      <c r="L327" s="28"/>
      <c r="M327" s="28"/>
      <c r="N327" s="28"/>
      <c r="O327" s="28"/>
      <c r="P327" s="28"/>
      <c r="Q327" s="28" t="s">
        <v>265</v>
      </c>
      <c r="R327" s="28">
        <f>VLOOKUP(K327,OES!$A:$B, 2, FALSE)</f>
        <v>250</v>
      </c>
      <c r="S327" s="60" t="s">
        <v>1465</v>
      </c>
      <c r="T327" s="203" t="str">
        <f>IF(COUNTIF('Raw TRI Data'!$K:$K,J327)&gt;0, "X", "")</f>
        <v/>
      </c>
    </row>
    <row r="328" spans="1:20" x14ac:dyDescent="0.25">
      <c r="A328" s="28">
        <f t="shared" si="5"/>
        <v>327</v>
      </c>
      <c r="B328" s="28" t="s">
        <v>1306</v>
      </c>
      <c r="C328" s="28" t="s">
        <v>2146</v>
      </c>
      <c r="D328" s="28" t="s">
        <v>1307</v>
      </c>
      <c r="E328" s="28" t="s">
        <v>324</v>
      </c>
      <c r="F328" s="28">
        <v>40160</v>
      </c>
      <c r="G328" s="28">
        <v>37.845027999999999</v>
      </c>
      <c r="H328" s="28">
        <v>-85.940962999999996</v>
      </c>
      <c r="I328" s="28"/>
      <c r="J328" s="61">
        <v>110000732253</v>
      </c>
      <c r="K328" s="28" t="s">
        <v>263</v>
      </c>
      <c r="L328" s="28"/>
      <c r="M328" s="28"/>
      <c r="N328" s="28"/>
      <c r="O328" s="28"/>
      <c r="P328" s="28"/>
      <c r="Q328" s="28" t="s">
        <v>265</v>
      </c>
      <c r="R328" s="28">
        <f>VLOOKUP(K328,OES!$A:$B, 2, FALSE)</f>
        <v>365</v>
      </c>
      <c r="S328" s="60" t="s">
        <v>1465</v>
      </c>
      <c r="T328" s="203" t="str">
        <f>IF(COUNTIF('Raw TRI Data'!$K:$K,J328)&gt;0, "X", "")</f>
        <v/>
      </c>
    </row>
    <row r="329" spans="1:20" x14ac:dyDescent="0.25">
      <c r="A329" s="28">
        <f t="shared" si="5"/>
        <v>328</v>
      </c>
      <c r="B329" s="28" t="s">
        <v>6882</v>
      </c>
      <c r="C329" s="28" t="s">
        <v>7056</v>
      </c>
      <c r="D329" s="28" t="s">
        <v>6991</v>
      </c>
      <c r="E329" s="28" t="s">
        <v>308</v>
      </c>
      <c r="F329" s="28">
        <v>2142</v>
      </c>
      <c r="G329" s="28">
        <v>42.365363000000002</v>
      </c>
      <c r="H329" s="28">
        <v>-71.087440999999998</v>
      </c>
      <c r="I329" s="28"/>
      <c r="J329" s="61">
        <v>110071501940</v>
      </c>
      <c r="K329" s="28" t="s">
        <v>265</v>
      </c>
      <c r="L329" s="28"/>
      <c r="M329" s="28"/>
      <c r="N329" s="28"/>
      <c r="O329" s="28"/>
      <c r="P329" s="28"/>
      <c r="Q329" s="28" t="s">
        <v>265</v>
      </c>
      <c r="R329" s="28">
        <f>VLOOKUP(K329,OES!$A:$B, 2, FALSE)</f>
        <v>250</v>
      </c>
      <c r="S329" s="60" t="s">
        <v>1465</v>
      </c>
      <c r="T329" s="203" t="str">
        <f>IF(COUNTIF('Raw TRI Data'!$K:$K,J329)&gt;0, "X", "")</f>
        <v/>
      </c>
    </row>
    <row r="330" spans="1:20" x14ac:dyDescent="0.25">
      <c r="A330" s="28">
        <f t="shared" si="5"/>
        <v>329</v>
      </c>
      <c r="B330" s="28" t="s">
        <v>6866</v>
      </c>
      <c r="C330" s="28" t="s">
        <v>7032</v>
      </c>
      <c r="D330" s="28" t="s">
        <v>7033</v>
      </c>
      <c r="E330" s="28" t="s">
        <v>324</v>
      </c>
      <c r="F330" s="28">
        <v>40380</v>
      </c>
      <c r="G330" s="28">
        <v>37.857500000000002</v>
      </c>
      <c r="H330" s="28">
        <v>-83.865278000000004</v>
      </c>
      <c r="I330" s="28"/>
      <c r="J330" s="61">
        <v>110009938470</v>
      </c>
      <c r="K330" s="28" t="s">
        <v>263</v>
      </c>
      <c r="L330" s="28"/>
      <c r="M330" s="28"/>
      <c r="N330" s="28"/>
      <c r="O330" s="28"/>
      <c r="P330" s="28"/>
      <c r="Q330" s="28" t="s">
        <v>265</v>
      </c>
      <c r="R330" s="28">
        <f>VLOOKUP(K330,OES!$A:$B, 2, FALSE)</f>
        <v>365</v>
      </c>
      <c r="S330" s="60" t="s">
        <v>1465</v>
      </c>
      <c r="T330" s="203" t="str">
        <f>IF(COUNTIF('Raw TRI Data'!$K:$K,J330)&gt;0, "X", "")</f>
        <v/>
      </c>
    </row>
    <row r="331" spans="1:20" x14ac:dyDescent="0.25">
      <c r="A331" s="28">
        <f t="shared" si="5"/>
        <v>330</v>
      </c>
      <c r="B331" s="28" t="s">
        <v>1308</v>
      </c>
      <c r="C331" s="28" t="s">
        <v>2149</v>
      </c>
      <c r="D331" s="28" t="s">
        <v>657</v>
      </c>
      <c r="E331" s="28" t="s">
        <v>418</v>
      </c>
      <c r="F331" s="28">
        <v>89109</v>
      </c>
      <c r="G331" s="28">
        <v>36.132570000000001</v>
      </c>
      <c r="H331" s="28">
        <v>-115.16477</v>
      </c>
      <c r="I331" s="28"/>
      <c r="J331" s="61">
        <v>110041253256</v>
      </c>
      <c r="K331" s="28" t="s">
        <v>264</v>
      </c>
      <c r="L331" s="28"/>
      <c r="M331" s="28"/>
      <c r="N331" s="28"/>
      <c r="O331" s="28"/>
      <c r="P331" s="28"/>
      <c r="Q331" s="28" t="s">
        <v>265</v>
      </c>
      <c r="R331" s="28">
        <f>VLOOKUP(K331,OES!$A:$B, 2, FALSE)</f>
        <v>365</v>
      </c>
      <c r="S331" s="60" t="s">
        <v>1465</v>
      </c>
      <c r="T331" s="203" t="str">
        <f>IF(COUNTIF('Raw TRI Data'!$K:$K,J331)&gt;0, "X", "")</f>
        <v/>
      </c>
    </row>
    <row r="332" spans="1:20" x14ac:dyDescent="0.25">
      <c r="A332" s="28">
        <f t="shared" si="5"/>
        <v>331</v>
      </c>
      <c r="B332" s="28" t="s">
        <v>1309</v>
      </c>
      <c r="C332" s="28" t="s">
        <v>2152</v>
      </c>
      <c r="D332" s="28" t="s">
        <v>1310</v>
      </c>
      <c r="E332" s="28" t="s">
        <v>366</v>
      </c>
      <c r="F332" s="28">
        <v>92316</v>
      </c>
      <c r="G332" s="28">
        <v>34.055900000000001</v>
      </c>
      <c r="H332" s="28">
        <v>-117.36134</v>
      </c>
      <c r="I332" s="28"/>
      <c r="J332" s="61">
        <v>110000525842</v>
      </c>
      <c r="K332" s="28" t="s">
        <v>263</v>
      </c>
      <c r="L332" s="28"/>
      <c r="M332" s="28"/>
      <c r="N332" s="28"/>
      <c r="O332" s="28"/>
      <c r="P332" s="28"/>
      <c r="Q332" s="28" t="s">
        <v>265</v>
      </c>
      <c r="R332" s="28">
        <f>VLOOKUP(K332,OES!$A:$B, 2, FALSE)</f>
        <v>365</v>
      </c>
      <c r="S332" s="60" t="s">
        <v>1465</v>
      </c>
      <c r="T332" s="203" t="str">
        <f>IF(COUNTIF('Raw TRI Data'!$K:$K,J332)&gt;0, "X", "")</f>
        <v/>
      </c>
    </row>
    <row r="333" spans="1:20" x14ac:dyDescent="0.25">
      <c r="A333" s="28">
        <f t="shared" si="5"/>
        <v>332</v>
      </c>
      <c r="B333" s="28" t="s">
        <v>6868</v>
      </c>
      <c r="C333" s="28" t="s">
        <v>7036</v>
      </c>
      <c r="D333" s="28" t="s">
        <v>1265</v>
      </c>
      <c r="E333" s="28" t="s">
        <v>324</v>
      </c>
      <c r="F333" s="28">
        <v>40475</v>
      </c>
      <c r="G333" s="28">
        <v>37.801943999999999</v>
      </c>
      <c r="H333" s="28">
        <v>-84.261111</v>
      </c>
      <c r="I333" s="28"/>
      <c r="J333" s="61">
        <v>110031112659</v>
      </c>
      <c r="K333" s="28" t="s">
        <v>263</v>
      </c>
      <c r="L333" s="28"/>
      <c r="M333" s="28"/>
      <c r="N333" s="28"/>
      <c r="O333" s="28"/>
      <c r="P333" s="28"/>
      <c r="Q333" s="28" t="s">
        <v>265</v>
      </c>
      <c r="R333" s="28">
        <f>VLOOKUP(K333,OES!$A:$B, 2, FALSE)</f>
        <v>365</v>
      </c>
      <c r="S333" s="60" t="s">
        <v>1465</v>
      </c>
      <c r="T333" s="203" t="str">
        <f>IF(COUNTIF('Raw TRI Data'!$K:$K,J333)&gt;0, "X", "")</f>
        <v/>
      </c>
    </row>
    <row r="334" spans="1:20" x14ac:dyDescent="0.25">
      <c r="A334" s="28">
        <f t="shared" si="5"/>
        <v>333</v>
      </c>
      <c r="B334" s="28" t="s">
        <v>1311</v>
      </c>
      <c r="C334" s="28" t="s">
        <v>2155</v>
      </c>
      <c r="D334" s="28" t="s">
        <v>1312</v>
      </c>
      <c r="E334" s="28" t="s">
        <v>506</v>
      </c>
      <c r="F334" s="28">
        <v>21157</v>
      </c>
      <c r="G334" s="28">
        <v>39.567390000000003</v>
      </c>
      <c r="H334" s="28">
        <v>-76.920410000000004</v>
      </c>
      <c r="I334" s="28"/>
      <c r="J334" s="61">
        <v>110041245015</v>
      </c>
      <c r="K334" s="28" t="s">
        <v>265</v>
      </c>
      <c r="L334" s="28"/>
      <c r="M334" s="28"/>
      <c r="N334" s="28"/>
      <c r="O334" s="28"/>
      <c r="P334" s="28"/>
      <c r="Q334" s="28" t="s">
        <v>265</v>
      </c>
      <c r="R334" s="28">
        <f>VLOOKUP(K334,OES!$A:$B, 2, FALSE)</f>
        <v>250</v>
      </c>
      <c r="S334" s="60" t="s">
        <v>1465</v>
      </c>
      <c r="T334" s="203" t="str">
        <f>IF(COUNTIF('Raw TRI Data'!$K:$K,J334)&gt;0, "X", "")</f>
        <v/>
      </c>
    </row>
    <row r="335" spans="1:20" x14ac:dyDescent="0.25">
      <c r="A335" s="28">
        <f t="shared" si="5"/>
        <v>334</v>
      </c>
      <c r="B335" s="28" t="s">
        <v>1315</v>
      </c>
      <c r="C335" s="28" t="s">
        <v>2160</v>
      </c>
      <c r="D335" s="28" t="s">
        <v>1316</v>
      </c>
      <c r="E335" s="28" t="s">
        <v>294</v>
      </c>
      <c r="F335" s="28">
        <v>22801</v>
      </c>
      <c r="G335" s="28">
        <v>38.400409000000003</v>
      </c>
      <c r="H335" s="28">
        <v>-78.895222000000004</v>
      </c>
      <c r="I335" s="28"/>
      <c r="J335" s="61">
        <v>110070544905</v>
      </c>
      <c r="K335" s="28" t="s">
        <v>6750</v>
      </c>
      <c r="L335" s="28"/>
      <c r="M335" s="28"/>
      <c r="N335" s="28"/>
      <c r="O335" s="28"/>
      <c r="P335" s="28"/>
      <c r="Q335" s="28" t="s">
        <v>265</v>
      </c>
      <c r="R335" s="28">
        <v>250</v>
      </c>
      <c r="S335" s="60" t="s">
        <v>1465</v>
      </c>
      <c r="T335" s="203" t="str">
        <f>IF(COUNTIF('Raw TRI Data'!$K:$K,J335)&gt;0, "X", "")</f>
        <v/>
      </c>
    </row>
    <row r="336" spans="1:20" x14ac:dyDescent="0.25">
      <c r="A336" s="28">
        <f t="shared" si="5"/>
        <v>335</v>
      </c>
      <c r="B336" s="28" t="s">
        <v>1317</v>
      </c>
      <c r="C336" s="28" t="s">
        <v>2163</v>
      </c>
      <c r="D336" s="28" t="s">
        <v>1133</v>
      </c>
      <c r="E336" s="28" t="s">
        <v>491</v>
      </c>
      <c r="F336" s="28" t="s">
        <v>6950</v>
      </c>
      <c r="G336" s="28">
        <v>40.094276999999998</v>
      </c>
      <c r="H336" s="28">
        <v>-74.865442000000002</v>
      </c>
      <c r="I336" s="28"/>
      <c r="J336" s="61">
        <v>110064634686</v>
      </c>
      <c r="K336" s="28" t="s">
        <v>265</v>
      </c>
      <c r="L336" s="28"/>
      <c r="M336" s="28"/>
      <c r="N336" s="28"/>
      <c r="O336" s="28"/>
      <c r="P336" s="28"/>
      <c r="Q336" s="28" t="s">
        <v>265</v>
      </c>
      <c r="R336" s="28">
        <f>VLOOKUP(K336,OES!$A:$B, 2, FALSE)</f>
        <v>250</v>
      </c>
      <c r="S336" s="60" t="s">
        <v>1465</v>
      </c>
      <c r="T336" s="203" t="str">
        <f>IF(COUNTIF('Raw TRI Data'!$K:$K,J336)&gt;0, "X", "")</f>
        <v/>
      </c>
    </row>
    <row r="337" spans="1:20" x14ac:dyDescent="0.25">
      <c r="A337" s="28">
        <f t="shared" si="5"/>
        <v>336</v>
      </c>
      <c r="B337" s="28" t="s">
        <v>1319</v>
      </c>
      <c r="C337" s="28" t="s">
        <v>2167</v>
      </c>
      <c r="D337" s="28" t="s">
        <v>1320</v>
      </c>
      <c r="E337" s="28" t="s">
        <v>324</v>
      </c>
      <c r="F337" s="28">
        <v>42629</v>
      </c>
      <c r="G337" s="28">
        <v>36.946111000000002</v>
      </c>
      <c r="H337" s="28">
        <v>-85.020832999999996</v>
      </c>
      <c r="I337" s="28"/>
      <c r="J337" s="61">
        <v>110000719045</v>
      </c>
      <c r="K337" s="28" t="s">
        <v>263</v>
      </c>
      <c r="L337" s="28"/>
      <c r="M337" s="28"/>
      <c r="N337" s="28"/>
      <c r="O337" s="28"/>
      <c r="P337" s="28"/>
      <c r="Q337" s="28" t="s">
        <v>265</v>
      </c>
      <c r="R337" s="28">
        <f>VLOOKUP(K337,OES!$A:$B, 2, FALSE)</f>
        <v>365</v>
      </c>
      <c r="S337" s="60" t="s">
        <v>1465</v>
      </c>
      <c r="T337" s="203" t="str">
        <f>IF(COUNTIF('Raw TRI Data'!$K:$K,J337)&gt;0, "X", "")</f>
        <v/>
      </c>
    </row>
    <row r="338" spans="1:20" x14ac:dyDescent="0.25">
      <c r="A338" s="28">
        <f t="shared" si="5"/>
        <v>337</v>
      </c>
      <c r="B338" s="28" t="s">
        <v>1321</v>
      </c>
      <c r="C338" s="28" t="s">
        <v>2171</v>
      </c>
      <c r="D338" s="28" t="s">
        <v>626</v>
      </c>
      <c r="E338" s="28" t="s">
        <v>324</v>
      </c>
      <c r="F338" s="28">
        <v>42276</v>
      </c>
      <c r="G338" s="28">
        <v>36.856732000000001</v>
      </c>
      <c r="H338" s="28">
        <v>-86.889048000000003</v>
      </c>
      <c r="I338" s="28"/>
      <c r="J338" s="61">
        <v>110000736730</v>
      </c>
      <c r="K338" s="28" t="s">
        <v>263</v>
      </c>
      <c r="L338" s="28"/>
      <c r="M338" s="28"/>
      <c r="N338" s="28"/>
      <c r="O338" s="28"/>
      <c r="P338" s="28"/>
      <c r="Q338" s="28" t="s">
        <v>265</v>
      </c>
      <c r="R338" s="28">
        <f>VLOOKUP(K338,OES!$A:$B, 2, FALSE)</f>
        <v>365</v>
      </c>
      <c r="S338" s="60" t="s">
        <v>1465</v>
      </c>
      <c r="T338" s="203" t="str">
        <f>IF(COUNTIF('Raw TRI Data'!$K:$K,J338)&gt;0, "X", "")</f>
        <v/>
      </c>
    </row>
    <row r="339" spans="1:20" x14ac:dyDescent="0.25">
      <c r="A339" s="28">
        <f t="shared" si="5"/>
        <v>338</v>
      </c>
      <c r="B339" s="28" t="s">
        <v>1322</v>
      </c>
      <c r="C339" s="28" t="s">
        <v>2173</v>
      </c>
      <c r="D339" s="28" t="s">
        <v>1273</v>
      </c>
      <c r="E339" s="28" t="s">
        <v>324</v>
      </c>
      <c r="F339" s="28">
        <v>42301</v>
      </c>
      <c r="G339" s="28">
        <v>37.790278000000001</v>
      </c>
      <c r="H339" s="28">
        <v>-87.140277999999995</v>
      </c>
      <c r="I339" s="28"/>
      <c r="J339" s="61">
        <v>110039998214</v>
      </c>
      <c r="K339" s="28" t="s">
        <v>263</v>
      </c>
      <c r="L339" s="28"/>
      <c r="M339" s="28"/>
      <c r="N339" s="28"/>
      <c r="O339" s="28"/>
      <c r="P339" s="28"/>
      <c r="Q339" s="28" t="s">
        <v>265</v>
      </c>
      <c r="R339" s="28">
        <f>VLOOKUP(K339,OES!$A:$B, 2, FALSE)</f>
        <v>365</v>
      </c>
      <c r="S339" s="60" t="s">
        <v>1465</v>
      </c>
      <c r="T339" s="203" t="str">
        <f>IF(COUNTIF('Raw TRI Data'!$K:$K,J339)&gt;0, "X", "")</f>
        <v/>
      </c>
    </row>
    <row r="340" spans="1:20" x14ac:dyDescent="0.25">
      <c r="A340" s="28">
        <f t="shared" si="5"/>
        <v>339</v>
      </c>
      <c r="B340" s="28" t="s">
        <v>6805</v>
      </c>
      <c r="C340" s="28" t="s">
        <v>6959</v>
      </c>
      <c r="D340" s="28" t="s">
        <v>1324</v>
      </c>
      <c r="E340" s="28" t="s">
        <v>450</v>
      </c>
      <c r="F340" s="28">
        <v>12158</v>
      </c>
      <c r="G340" s="28">
        <v>42.575806</v>
      </c>
      <c r="H340" s="28">
        <v>-73.859943999999999</v>
      </c>
      <c r="I340" s="28"/>
      <c r="J340" s="61">
        <v>110000324391</v>
      </c>
      <c r="K340" s="28" t="s">
        <v>265</v>
      </c>
      <c r="L340" s="28"/>
      <c r="M340" s="28"/>
      <c r="N340" s="28"/>
      <c r="O340" s="28"/>
      <c r="P340" s="28"/>
      <c r="Q340" s="28" t="s">
        <v>265</v>
      </c>
      <c r="R340" s="28">
        <f>VLOOKUP(K340,OES!$A:$B, 2, FALSE)</f>
        <v>250</v>
      </c>
      <c r="S340" s="60" t="s">
        <v>1465</v>
      </c>
      <c r="T340" s="203" t="str">
        <f>IF(COUNTIF('Raw TRI Data'!$K:$K,J340)&gt;0, "X", "")</f>
        <v/>
      </c>
    </row>
    <row r="341" spans="1:20" x14ac:dyDescent="0.25">
      <c r="A341" s="28">
        <f t="shared" si="5"/>
        <v>340</v>
      </c>
      <c r="B341" s="28" t="s">
        <v>1325</v>
      </c>
      <c r="C341" s="28" t="s">
        <v>2179</v>
      </c>
      <c r="D341" s="28" t="s">
        <v>1326</v>
      </c>
      <c r="E341" s="28" t="s">
        <v>469</v>
      </c>
      <c r="F341" s="28">
        <v>47620</v>
      </c>
      <c r="G341" s="28">
        <v>37.907200000000003</v>
      </c>
      <c r="H341" s="28">
        <v>-87.927099999999996</v>
      </c>
      <c r="I341" s="28" t="s">
        <v>732</v>
      </c>
      <c r="J341" s="61">
        <v>110000403670</v>
      </c>
      <c r="K341" s="28" t="s">
        <v>253</v>
      </c>
      <c r="L341" s="28"/>
      <c r="M341" s="28"/>
      <c r="N341" s="28"/>
      <c r="O341" s="28"/>
      <c r="P341" s="28"/>
      <c r="Q341" s="28" t="s">
        <v>265</v>
      </c>
      <c r="R341" s="28">
        <f>VLOOKUP(K341,OES!$A:$B, 2, FALSE)</f>
        <v>350</v>
      </c>
      <c r="S341" s="60" t="s">
        <v>1465</v>
      </c>
      <c r="T341" s="203" t="str">
        <f>IF(COUNTIF('Raw TRI Data'!$K:$K,J341)&gt;0, "X", "")</f>
        <v/>
      </c>
    </row>
    <row r="342" spans="1:20" x14ac:dyDescent="0.25">
      <c r="A342" s="28">
        <f t="shared" si="5"/>
        <v>341</v>
      </c>
      <c r="B342" s="28" t="s">
        <v>6912</v>
      </c>
      <c r="C342" s="28" t="s">
        <v>7114</v>
      </c>
      <c r="D342" s="28" t="s">
        <v>7115</v>
      </c>
      <c r="E342" s="28" t="s">
        <v>338</v>
      </c>
      <c r="F342" s="28" t="s">
        <v>7116</v>
      </c>
      <c r="G342" s="28">
        <v>39.573918999999997</v>
      </c>
      <c r="H342" s="28">
        <v>-75.479337000000001</v>
      </c>
      <c r="I342" s="28"/>
      <c r="J342" s="61">
        <v>110000734484</v>
      </c>
      <c r="K342" s="28" t="s">
        <v>263</v>
      </c>
      <c r="L342" s="28"/>
      <c r="M342" s="28"/>
      <c r="N342" s="28"/>
      <c r="O342" s="28"/>
      <c r="P342" s="28"/>
      <c r="Q342" s="28" t="s">
        <v>265</v>
      </c>
      <c r="R342" s="28">
        <f>VLOOKUP(K342,OES!$A:$B, 2, FALSE)</f>
        <v>365</v>
      </c>
      <c r="S342" s="60" t="s">
        <v>1465</v>
      </c>
      <c r="T342" s="203" t="str">
        <f>IF(COUNTIF('Raw TRI Data'!$K:$K,J342)&gt;0, "X", "")</f>
        <v/>
      </c>
    </row>
    <row r="343" spans="1:20" x14ac:dyDescent="0.25">
      <c r="A343" s="28">
        <f t="shared" si="5"/>
        <v>342</v>
      </c>
      <c r="B343" s="28" t="s">
        <v>1332</v>
      </c>
      <c r="C343" s="28" t="s">
        <v>2189</v>
      </c>
      <c r="D343" s="28" t="s">
        <v>1333</v>
      </c>
      <c r="E343" s="28" t="s">
        <v>491</v>
      </c>
      <c r="F343" s="28">
        <v>18370</v>
      </c>
      <c r="G343" s="28">
        <v>41.094749999999998</v>
      </c>
      <c r="H343" s="28">
        <v>-75.326319999999996</v>
      </c>
      <c r="I343" s="28" t="s">
        <v>733</v>
      </c>
      <c r="J343" s="61">
        <v>110006522735</v>
      </c>
      <c r="K343" s="28" t="s">
        <v>265</v>
      </c>
      <c r="L343" s="28"/>
      <c r="M343" s="28"/>
      <c r="N343" s="28"/>
      <c r="O343" s="28"/>
      <c r="P343" s="28"/>
      <c r="Q343" s="28" t="s">
        <v>265</v>
      </c>
      <c r="R343" s="28">
        <f>VLOOKUP(K343,OES!$A:$B, 2, FALSE)</f>
        <v>250</v>
      </c>
      <c r="S343" s="60" t="s">
        <v>1465</v>
      </c>
      <c r="T343" s="203" t="str">
        <f>IF(COUNTIF('Raw TRI Data'!$K:$K,J343)&gt;0, "X", "")</f>
        <v/>
      </c>
    </row>
    <row r="344" spans="1:20" x14ac:dyDescent="0.25">
      <c r="A344" s="28">
        <f t="shared" si="5"/>
        <v>343</v>
      </c>
      <c r="B344" s="28" t="s">
        <v>1334</v>
      </c>
      <c r="C344" s="28" t="s">
        <v>2193</v>
      </c>
      <c r="D344" s="28" t="s">
        <v>1335</v>
      </c>
      <c r="E344" s="28" t="s">
        <v>366</v>
      </c>
      <c r="F344" s="28" t="s">
        <v>2194</v>
      </c>
      <c r="G344" s="28">
        <v>36.963245999999998</v>
      </c>
      <c r="H344" s="28">
        <v>-122.034009</v>
      </c>
      <c r="I344" s="28"/>
      <c r="J344" s="61">
        <v>110013848453</v>
      </c>
      <c r="K344" s="28" t="s">
        <v>263</v>
      </c>
      <c r="L344" s="28"/>
      <c r="M344" s="28"/>
      <c r="N344" s="28"/>
      <c r="O344" s="28"/>
      <c r="P344" s="28"/>
      <c r="Q344" s="28" t="s">
        <v>265</v>
      </c>
      <c r="R344" s="28">
        <f>VLOOKUP(K344,OES!$A:$B, 2, FALSE)</f>
        <v>365</v>
      </c>
      <c r="S344" s="60" t="s">
        <v>1465</v>
      </c>
      <c r="T344" s="203" t="str">
        <f>IF(COUNTIF('Raw TRI Data'!$K:$K,J344)&gt;0, "X", "")</f>
        <v/>
      </c>
    </row>
    <row r="345" spans="1:20" x14ac:dyDescent="0.25">
      <c r="A345" s="28">
        <f t="shared" si="5"/>
        <v>344</v>
      </c>
      <c r="B345" s="28" t="s">
        <v>1338</v>
      </c>
      <c r="C345" s="28" t="s">
        <v>2201</v>
      </c>
      <c r="D345" s="28" t="s">
        <v>1339</v>
      </c>
      <c r="E345" s="28" t="s">
        <v>491</v>
      </c>
      <c r="F345" s="28" t="s">
        <v>2202</v>
      </c>
      <c r="G345" s="28">
        <v>41.452778000000002</v>
      </c>
      <c r="H345" s="28">
        <v>-79.690278000000006</v>
      </c>
      <c r="I345" s="28" t="s">
        <v>734</v>
      </c>
      <c r="J345" s="61">
        <v>110008476327</v>
      </c>
      <c r="K345" s="28" t="s">
        <v>265</v>
      </c>
      <c r="L345" s="28"/>
      <c r="M345" s="28"/>
      <c r="N345" s="28"/>
      <c r="O345" s="28"/>
      <c r="P345" s="28"/>
      <c r="Q345" s="28" t="s">
        <v>265</v>
      </c>
      <c r="R345" s="28">
        <f>VLOOKUP(K345,OES!$A:$B, 2, FALSE)</f>
        <v>250</v>
      </c>
      <c r="S345" s="60" t="s">
        <v>1465</v>
      </c>
      <c r="T345" s="203" t="str">
        <f>IF(COUNTIF('Raw TRI Data'!$K:$K,J345)&gt;0, "X", "")</f>
        <v/>
      </c>
    </row>
    <row r="346" spans="1:20" x14ac:dyDescent="0.25">
      <c r="A346" s="28">
        <f t="shared" si="5"/>
        <v>345</v>
      </c>
      <c r="B346" s="28" t="s">
        <v>6776</v>
      </c>
      <c r="C346" s="28" t="s">
        <v>1953</v>
      </c>
      <c r="D346" s="28" t="s">
        <v>446</v>
      </c>
      <c r="E346" s="28" t="s">
        <v>303</v>
      </c>
      <c r="F346" s="28">
        <v>70669</v>
      </c>
      <c r="G346" s="28">
        <v>30.258800000000001</v>
      </c>
      <c r="H346" s="28">
        <v>-93.293700000000001</v>
      </c>
      <c r="I346" s="28" t="s">
        <v>723</v>
      </c>
      <c r="J346" s="61">
        <v>110017418061</v>
      </c>
      <c r="K346" s="28" t="s">
        <v>265</v>
      </c>
      <c r="L346" s="28"/>
      <c r="M346" s="28"/>
      <c r="N346" s="28"/>
      <c r="O346" s="28"/>
      <c r="P346" s="28"/>
      <c r="Q346" s="28" t="s">
        <v>265</v>
      </c>
      <c r="R346" s="28">
        <f>VLOOKUP(K346,OES!$A:$B, 2, FALSE)</f>
        <v>250</v>
      </c>
      <c r="S346" s="60" t="s">
        <v>1465</v>
      </c>
      <c r="T346" s="203" t="str">
        <f>IF(COUNTIF('Raw TRI Data'!$K:$K,J346)&gt;0, "X", "")</f>
        <v/>
      </c>
    </row>
    <row r="347" spans="1:20" x14ac:dyDescent="0.25">
      <c r="A347" s="28">
        <f t="shared" si="5"/>
        <v>346</v>
      </c>
      <c r="B347" s="28" t="s">
        <v>1340</v>
      </c>
      <c r="C347" s="28" t="s">
        <v>2206</v>
      </c>
      <c r="D347" s="28" t="s">
        <v>1341</v>
      </c>
      <c r="E347" s="28" t="s">
        <v>338</v>
      </c>
      <c r="F347" s="28">
        <v>7041</v>
      </c>
      <c r="G347" s="28">
        <v>40.723140000000001</v>
      </c>
      <c r="H347" s="28">
        <v>-74.310130000000001</v>
      </c>
      <c r="I347" s="28"/>
      <c r="J347" s="61">
        <v>110070218704</v>
      </c>
      <c r="K347" s="28" t="s">
        <v>265</v>
      </c>
      <c r="L347" s="28"/>
      <c r="M347" s="28"/>
      <c r="N347" s="28"/>
      <c r="O347" s="28"/>
      <c r="P347" s="28"/>
      <c r="Q347" s="28" t="s">
        <v>265</v>
      </c>
      <c r="R347" s="28">
        <f>VLOOKUP(K347,OES!$A:$B, 2, FALSE)</f>
        <v>250</v>
      </c>
      <c r="S347" s="60" t="s">
        <v>1465</v>
      </c>
      <c r="T347" s="203" t="str">
        <f>IF(COUNTIF('Raw TRI Data'!$K:$K,J347)&gt;0, "X", "")</f>
        <v/>
      </c>
    </row>
    <row r="348" spans="1:20" x14ac:dyDescent="0.25">
      <c r="A348" s="28">
        <f t="shared" si="5"/>
        <v>347</v>
      </c>
      <c r="B348" s="28" t="s">
        <v>6873</v>
      </c>
      <c r="C348" s="28" t="s">
        <v>7042</v>
      </c>
      <c r="D348" s="28" t="s">
        <v>7043</v>
      </c>
      <c r="E348" s="28" t="s">
        <v>366</v>
      </c>
      <c r="F348" s="28">
        <v>92273</v>
      </c>
      <c r="G348" s="28">
        <v>32.7958</v>
      </c>
      <c r="H348" s="28">
        <v>-115.6957</v>
      </c>
      <c r="I348" s="28"/>
      <c r="J348" s="61">
        <v>110006657554</v>
      </c>
      <c r="K348" s="28" t="s">
        <v>263</v>
      </c>
      <c r="L348" s="28"/>
      <c r="M348" s="28"/>
      <c r="N348" s="28"/>
      <c r="O348" s="28"/>
      <c r="P348" s="28"/>
      <c r="Q348" s="28" t="s">
        <v>265</v>
      </c>
      <c r="R348" s="28">
        <f>VLOOKUP(K348,OES!$A:$B, 2, FALSE)</f>
        <v>365</v>
      </c>
      <c r="S348" s="60" t="s">
        <v>1465</v>
      </c>
      <c r="T348" s="203" t="str">
        <f>IF(COUNTIF('Raw TRI Data'!$K:$K,J348)&gt;0, "X", "")</f>
        <v/>
      </c>
    </row>
    <row r="349" spans="1:20" x14ac:dyDescent="0.25">
      <c r="A349" s="28">
        <f t="shared" si="5"/>
        <v>348</v>
      </c>
      <c r="B349" s="28" t="s">
        <v>6885</v>
      </c>
      <c r="C349" s="28" t="s">
        <v>7060</v>
      </c>
      <c r="D349" s="28" t="s">
        <v>7061</v>
      </c>
      <c r="E349" s="28" t="s">
        <v>324</v>
      </c>
      <c r="F349" s="28">
        <v>40065</v>
      </c>
      <c r="G349" s="28">
        <v>38.198332999999998</v>
      </c>
      <c r="H349" s="28">
        <v>-85.224999999999994</v>
      </c>
      <c r="I349" s="28"/>
      <c r="J349" s="61">
        <v>110000732217</v>
      </c>
      <c r="K349" s="28" t="s">
        <v>263</v>
      </c>
      <c r="L349" s="28"/>
      <c r="M349" s="28"/>
      <c r="N349" s="28"/>
      <c r="O349" s="28"/>
      <c r="P349" s="28"/>
      <c r="Q349" s="28" t="s">
        <v>265</v>
      </c>
      <c r="R349" s="28">
        <f>VLOOKUP(K349,OES!$A:$B, 2, FALSE)</f>
        <v>365</v>
      </c>
      <c r="S349" s="60" t="s">
        <v>1465</v>
      </c>
      <c r="T349" s="203" t="str">
        <f>IF(COUNTIF('Raw TRI Data'!$K:$K,J349)&gt;0, "X", "")</f>
        <v/>
      </c>
    </row>
    <row r="350" spans="1:20" x14ac:dyDescent="0.25">
      <c r="A350" s="28">
        <f t="shared" si="5"/>
        <v>349</v>
      </c>
      <c r="B350" s="28" t="s">
        <v>6901</v>
      </c>
      <c r="C350" s="28" t="s">
        <v>7094</v>
      </c>
      <c r="D350" s="28" t="s">
        <v>1370</v>
      </c>
      <c r="E350" s="28" t="s">
        <v>308</v>
      </c>
      <c r="F350" s="28" t="s">
        <v>7095</v>
      </c>
      <c r="G350" s="28">
        <v>42.012988</v>
      </c>
      <c r="H350" s="28">
        <v>-71.213122999999996</v>
      </c>
      <c r="I350" s="28"/>
      <c r="J350" s="61">
        <v>110003499857</v>
      </c>
      <c r="K350" s="28" t="s">
        <v>265</v>
      </c>
      <c r="L350" s="28"/>
      <c r="M350" s="28"/>
      <c r="N350" s="28"/>
      <c r="O350" s="28"/>
      <c r="P350" s="28"/>
      <c r="Q350" s="28" t="s">
        <v>265</v>
      </c>
      <c r="R350" s="28">
        <f>VLOOKUP(K350,OES!$A:$B, 2, FALSE)</f>
        <v>250</v>
      </c>
      <c r="S350" s="60" t="s">
        <v>1465</v>
      </c>
      <c r="T350" s="203" t="str">
        <f>IF(COUNTIF('Raw TRI Data'!$K:$K,J350)&gt;0, "X", "")</f>
        <v/>
      </c>
    </row>
    <row r="351" spans="1:20" x14ac:dyDescent="0.25">
      <c r="A351" s="28">
        <f t="shared" si="5"/>
        <v>350</v>
      </c>
      <c r="B351" s="28" t="s">
        <v>1346</v>
      </c>
      <c r="C351" s="28" t="s">
        <v>2213</v>
      </c>
      <c r="D351" s="28" t="s">
        <v>1347</v>
      </c>
      <c r="E351" s="28" t="s">
        <v>324</v>
      </c>
      <c r="F351" s="28">
        <v>40165</v>
      </c>
      <c r="G351" s="28">
        <v>37.987499999999997</v>
      </c>
      <c r="H351" s="28">
        <v>-85.720832999999999</v>
      </c>
      <c r="I351" s="28"/>
      <c r="J351" s="61">
        <v>110020941383</v>
      </c>
      <c r="K351" s="28" t="s">
        <v>263</v>
      </c>
      <c r="L351" s="28"/>
      <c r="M351" s="28"/>
      <c r="N351" s="28"/>
      <c r="O351" s="28"/>
      <c r="P351" s="28"/>
      <c r="Q351" s="28" t="s">
        <v>265</v>
      </c>
      <c r="R351" s="28">
        <f>VLOOKUP(K351,OES!$A:$B, 2, FALSE)</f>
        <v>365</v>
      </c>
      <c r="S351" s="60" t="s">
        <v>1465</v>
      </c>
      <c r="T351" s="203" t="str">
        <f>IF(COUNTIF('Raw TRI Data'!$K:$K,J351)&gt;0, "X", "")</f>
        <v/>
      </c>
    </row>
    <row r="352" spans="1:20" x14ac:dyDescent="0.25">
      <c r="A352" s="28">
        <f t="shared" si="5"/>
        <v>351</v>
      </c>
      <c r="B352" s="28" t="s">
        <v>1348</v>
      </c>
      <c r="C352" s="28" t="s">
        <v>2217</v>
      </c>
      <c r="D352" s="28" t="s">
        <v>1349</v>
      </c>
      <c r="E352" s="28" t="s">
        <v>1249</v>
      </c>
      <c r="F352" s="28">
        <v>87420</v>
      </c>
      <c r="G352" s="28">
        <v>36.786963999999998</v>
      </c>
      <c r="H352" s="28">
        <v>-108.711493</v>
      </c>
      <c r="I352" s="28"/>
      <c r="J352" s="61">
        <v>110024409362</v>
      </c>
      <c r="K352" s="28" t="s">
        <v>263</v>
      </c>
      <c r="L352" s="28"/>
      <c r="M352" s="28"/>
      <c r="N352" s="28"/>
      <c r="O352" s="28"/>
      <c r="P352" s="28"/>
      <c r="Q352" s="28" t="s">
        <v>265</v>
      </c>
      <c r="R352" s="28">
        <f>VLOOKUP(K352,OES!$A:$B, 2, FALSE)</f>
        <v>365</v>
      </c>
      <c r="S352" s="60" t="s">
        <v>1465</v>
      </c>
      <c r="T352" s="203" t="str">
        <f>IF(COUNTIF('Raw TRI Data'!$K:$K,J352)&gt;0, "X", "")</f>
        <v/>
      </c>
    </row>
    <row r="353" spans="1:20" x14ac:dyDescent="0.25">
      <c r="A353" s="28">
        <f t="shared" si="5"/>
        <v>352</v>
      </c>
      <c r="B353" s="28" t="s">
        <v>1353</v>
      </c>
      <c r="C353" s="28" t="s">
        <v>2225</v>
      </c>
      <c r="D353" s="28" t="s">
        <v>612</v>
      </c>
      <c r="E353" s="28" t="s">
        <v>366</v>
      </c>
      <c r="F353" s="28" t="s">
        <v>2226</v>
      </c>
      <c r="G353" s="28">
        <v>32.544722</v>
      </c>
      <c r="H353" s="28">
        <v>-117.068056</v>
      </c>
      <c r="I353" s="28"/>
      <c r="J353" s="61">
        <v>110002912750</v>
      </c>
      <c r="K353" s="28" t="s">
        <v>263</v>
      </c>
      <c r="L353" s="28"/>
      <c r="M353" s="28"/>
      <c r="N353" s="28"/>
      <c r="O353" s="28"/>
      <c r="P353" s="28"/>
      <c r="Q353" s="28" t="s">
        <v>265</v>
      </c>
      <c r="R353" s="28">
        <f>VLOOKUP(K353,OES!$A:$B, 2, FALSE)</f>
        <v>365</v>
      </c>
      <c r="S353" s="60" t="s">
        <v>1465</v>
      </c>
      <c r="T353" s="203" t="str">
        <f>IF(COUNTIF('Raw TRI Data'!$K:$K,J353)&gt;0, "X", "")</f>
        <v/>
      </c>
    </row>
    <row r="354" spans="1:20" x14ac:dyDescent="0.25">
      <c r="A354" s="28">
        <f t="shared" si="5"/>
        <v>353</v>
      </c>
      <c r="B354" s="28" t="s">
        <v>1354</v>
      </c>
      <c r="C354" s="28" t="s">
        <v>2228</v>
      </c>
      <c r="D354" s="28" t="s">
        <v>1355</v>
      </c>
      <c r="E354" s="28" t="s">
        <v>366</v>
      </c>
      <c r="F354" s="28" t="s">
        <v>2229</v>
      </c>
      <c r="G354" s="28">
        <v>35.102089999999997</v>
      </c>
      <c r="H354" s="28">
        <v>-120.62509</v>
      </c>
      <c r="I354" s="28"/>
      <c r="J354" s="61">
        <v>110000730629</v>
      </c>
      <c r="K354" s="28" t="s">
        <v>263</v>
      </c>
      <c r="L354" s="28"/>
      <c r="M354" s="28"/>
      <c r="N354" s="28"/>
      <c r="O354" s="28"/>
      <c r="P354" s="28"/>
      <c r="Q354" s="28" t="s">
        <v>265</v>
      </c>
      <c r="R354" s="28">
        <f>VLOOKUP(K354,OES!$A:$B, 2, FALSE)</f>
        <v>365</v>
      </c>
      <c r="S354" s="60" t="s">
        <v>1465</v>
      </c>
      <c r="T354" s="203" t="str">
        <f>IF(COUNTIF('Raw TRI Data'!$K:$K,J354)&gt;0, "X", "")</f>
        <v/>
      </c>
    </row>
    <row r="355" spans="1:20" x14ac:dyDescent="0.25">
      <c r="A355" s="28">
        <f t="shared" si="5"/>
        <v>354</v>
      </c>
      <c r="B355" s="28" t="s">
        <v>6811</v>
      </c>
      <c r="C355" s="28" t="s">
        <v>2107</v>
      </c>
      <c r="D355" s="28" t="s">
        <v>966</v>
      </c>
      <c r="E355" s="28" t="s">
        <v>491</v>
      </c>
      <c r="F355" s="28" t="s">
        <v>2108</v>
      </c>
      <c r="G355" s="28">
        <v>39.901820000000001</v>
      </c>
      <c r="H355" s="28">
        <v>-75.144549999999995</v>
      </c>
      <c r="I355" s="28"/>
      <c r="J355" s="61">
        <v>110000540610</v>
      </c>
      <c r="K355" s="28" t="s">
        <v>263</v>
      </c>
      <c r="L355" s="28"/>
      <c r="M355" s="28"/>
      <c r="N355" s="28"/>
      <c r="O355" s="28"/>
      <c r="P355" s="28"/>
      <c r="Q355" s="28" t="s">
        <v>265</v>
      </c>
      <c r="R355" s="28">
        <f>VLOOKUP(K355,OES!$A:$B, 2, FALSE)</f>
        <v>365</v>
      </c>
      <c r="S355" s="60" t="s">
        <v>1465</v>
      </c>
      <c r="T355" s="203" t="str">
        <f>IF(COUNTIF('Raw TRI Data'!$K:$K,J355)&gt;0, "X", "")</f>
        <v/>
      </c>
    </row>
    <row r="356" spans="1:20" x14ac:dyDescent="0.25">
      <c r="A356" s="28">
        <f t="shared" si="5"/>
        <v>355</v>
      </c>
      <c r="B356" s="28" t="s">
        <v>1356</v>
      </c>
      <c r="C356" s="28" t="s">
        <v>2231</v>
      </c>
      <c r="D356" s="28" t="s">
        <v>1357</v>
      </c>
      <c r="E356" s="28" t="s">
        <v>418</v>
      </c>
      <c r="F356" s="28">
        <v>89434</v>
      </c>
      <c r="G356" s="28">
        <v>39.530619999999999</v>
      </c>
      <c r="H356" s="28">
        <v>-119.73309</v>
      </c>
      <c r="I356" s="28"/>
      <c r="J356" s="61">
        <v>110009830200</v>
      </c>
      <c r="K356" s="28" t="s">
        <v>265</v>
      </c>
      <c r="L356" s="28"/>
      <c r="M356" s="28"/>
      <c r="N356" s="28"/>
      <c r="O356" s="28"/>
      <c r="P356" s="28"/>
      <c r="Q356" s="28" t="s">
        <v>265</v>
      </c>
      <c r="R356" s="28">
        <f>VLOOKUP(K356,OES!$A:$B, 2, FALSE)</f>
        <v>250</v>
      </c>
      <c r="S356" s="60" t="s">
        <v>1465</v>
      </c>
      <c r="T356" s="203" t="str">
        <f>IF(COUNTIF('Raw TRI Data'!$K:$K,J356)&gt;0, "X", "")</f>
        <v/>
      </c>
    </row>
    <row r="357" spans="1:20" x14ac:dyDescent="0.25">
      <c r="A357" s="28">
        <f t="shared" si="5"/>
        <v>356</v>
      </c>
      <c r="B357" s="28" t="s">
        <v>6893</v>
      </c>
      <c r="C357" s="28" t="s">
        <v>7075</v>
      </c>
      <c r="D357" s="28" t="s">
        <v>7050</v>
      </c>
      <c r="E357" s="28" t="s">
        <v>303</v>
      </c>
      <c r="F357" s="28">
        <v>70578</v>
      </c>
      <c r="G357" s="28">
        <v>30.230833000000001</v>
      </c>
      <c r="H357" s="28">
        <v>-92.306667000000004</v>
      </c>
      <c r="I357" s="28" t="s">
        <v>7133</v>
      </c>
      <c r="J357" s="61">
        <v>110000449435</v>
      </c>
      <c r="K357" s="28" t="s">
        <v>265</v>
      </c>
      <c r="L357" s="28"/>
      <c r="M357" s="28"/>
      <c r="N357" s="28"/>
      <c r="O357" s="28"/>
      <c r="P357" s="28"/>
      <c r="Q357" s="28" t="s">
        <v>265</v>
      </c>
      <c r="R357" s="28">
        <f>VLOOKUP(K357,OES!$A:$B, 2, FALSE)</f>
        <v>250</v>
      </c>
      <c r="S357" s="60" t="s">
        <v>1465</v>
      </c>
      <c r="T357" s="203" t="str">
        <f>IF(COUNTIF('Raw TRI Data'!$K:$K,J357)&gt;0, "X", "")</f>
        <v/>
      </c>
    </row>
    <row r="358" spans="1:20" x14ac:dyDescent="0.25">
      <c r="A358" s="28">
        <f t="shared" si="5"/>
        <v>357</v>
      </c>
      <c r="B358" s="28" t="s">
        <v>1362</v>
      </c>
      <c r="C358" s="28" t="s">
        <v>2240</v>
      </c>
      <c r="D358" s="28" t="s">
        <v>1282</v>
      </c>
      <c r="E358" s="28" t="s">
        <v>366</v>
      </c>
      <c r="F358" s="28">
        <v>92029</v>
      </c>
      <c r="G358" s="28">
        <v>33.115580000000001</v>
      </c>
      <c r="H358" s="28">
        <v>-117.1194</v>
      </c>
      <c r="I358" s="28"/>
      <c r="J358" s="61">
        <v>110045515180</v>
      </c>
      <c r="K358" s="28" t="s">
        <v>265</v>
      </c>
      <c r="L358" s="28"/>
      <c r="M358" s="28"/>
      <c r="N358" s="28"/>
      <c r="O358" s="28"/>
      <c r="P358" s="28"/>
      <c r="Q358" s="28" t="s">
        <v>265</v>
      </c>
      <c r="R358" s="28">
        <f>VLOOKUP(K358,OES!$A:$B, 2, FALSE)</f>
        <v>250</v>
      </c>
      <c r="S358" s="60" t="s">
        <v>1465</v>
      </c>
      <c r="T358" s="203" t="str">
        <f>IF(COUNTIF('Raw TRI Data'!$K:$K,J358)&gt;0, "X", "")</f>
        <v/>
      </c>
    </row>
    <row r="359" spans="1:20" x14ac:dyDescent="0.25">
      <c r="A359" s="28">
        <f t="shared" si="5"/>
        <v>358</v>
      </c>
      <c r="B359" s="28" t="s">
        <v>1363</v>
      </c>
      <c r="C359" s="28" t="s">
        <v>2242</v>
      </c>
      <c r="D359" s="28" t="s">
        <v>1364</v>
      </c>
      <c r="E359" s="28" t="s">
        <v>303</v>
      </c>
      <c r="F359" s="28">
        <v>70776</v>
      </c>
      <c r="G359" s="28">
        <v>30.241299999999999</v>
      </c>
      <c r="H359" s="28">
        <v>-91.100899999999996</v>
      </c>
      <c r="I359" s="28" t="s">
        <v>735</v>
      </c>
      <c r="J359" s="61">
        <v>110000597426</v>
      </c>
      <c r="K359" s="28" t="s">
        <v>265</v>
      </c>
      <c r="L359" s="28"/>
      <c r="M359" s="28"/>
      <c r="N359" s="28"/>
      <c r="O359" s="28"/>
      <c r="P359" s="28"/>
      <c r="Q359" s="28" t="s">
        <v>265</v>
      </c>
      <c r="R359" s="28">
        <f>VLOOKUP(K359,OES!$A:$B, 2, FALSE)</f>
        <v>250</v>
      </c>
      <c r="S359" s="60" t="s">
        <v>1465</v>
      </c>
      <c r="T359" s="203" t="str">
        <f>IF(COUNTIF('Raw TRI Data'!$K:$K,J359)&gt;0, "X", "")</f>
        <v/>
      </c>
    </row>
    <row r="360" spans="1:20" x14ac:dyDescent="0.25">
      <c r="A360" s="28">
        <f t="shared" si="5"/>
        <v>359</v>
      </c>
      <c r="B360" s="28" t="s">
        <v>1367</v>
      </c>
      <c r="C360" s="28" t="s">
        <v>2251</v>
      </c>
      <c r="D360" s="28" t="s">
        <v>1364</v>
      </c>
      <c r="E360" s="28" t="s">
        <v>303</v>
      </c>
      <c r="F360" s="28">
        <v>70776</v>
      </c>
      <c r="G360" s="28">
        <v>30.250833</v>
      </c>
      <c r="H360" s="28">
        <v>-91.092277999999993</v>
      </c>
      <c r="I360" s="28" t="s">
        <v>736</v>
      </c>
      <c r="J360" s="61">
        <v>110056972432</v>
      </c>
      <c r="K360" s="28" t="s">
        <v>265</v>
      </c>
      <c r="L360" s="28"/>
      <c r="M360" s="28"/>
      <c r="N360" s="28"/>
      <c r="O360" s="28"/>
      <c r="P360" s="28"/>
      <c r="Q360" s="28" t="s">
        <v>265</v>
      </c>
      <c r="R360" s="28">
        <f>VLOOKUP(K360,OES!$A:$B, 2, FALSE)</f>
        <v>250</v>
      </c>
      <c r="S360" s="60" t="s">
        <v>1465</v>
      </c>
      <c r="T360" s="203" t="str">
        <f>IF(COUNTIF('Raw TRI Data'!$K:$K,J360)&gt;0, "X", "")</f>
        <v/>
      </c>
    </row>
    <row r="361" spans="1:20" x14ac:dyDescent="0.25">
      <c r="A361" s="28">
        <f t="shared" si="5"/>
        <v>360</v>
      </c>
      <c r="B361" s="28" t="s">
        <v>6895</v>
      </c>
      <c r="C361" s="28" t="s">
        <v>7077</v>
      </c>
      <c r="D361" s="28" t="s">
        <v>7078</v>
      </c>
      <c r="E361" s="28" t="s">
        <v>294</v>
      </c>
      <c r="F361" s="28">
        <v>23601</v>
      </c>
      <c r="G361" s="28">
        <v>37.094301999999999</v>
      </c>
      <c r="H361" s="28">
        <v>-76.458343999999997</v>
      </c>
      <c r="I361" s="28"/>
      <c r="J361" s="61">
        <v>110071437899</v>
      </c>
      <c r="K361" s="28" t="s">
        <v>265</v>
      </c>
      <c r="L361" s="28"/>
      <c r="M361" s="28"/>
      <c r="N361" s="28"/>
      <c r="O361" s="28"/>
      <c r="P361" s="28"/>
      <c r="Q361" s="28" t="s">
        <v>265</v>
      </c>
      <c r="R361" s="28">
        <f>VLOOKUP(K361,OES!$A:$B, 2, FALSE)</f>
        <v>250</v>
      </c>
      <c r="S361" s="60" t="s">
        <v>1465</v>
      </c>
      <c r="T361" s="203" t="str">
        <f>IF(COUNTIF('Raw TRI Data'!$K:$K,J361)&gt;0, "X", "")</f>
        <v/>
      </c>
    </row>
    <row r="362" spans="1:20" x14ac:dyDescent="0.25">
      <c r="A362" s="28">
        <f t="shared" si="5"/>
        <v>361</v>
      </c>
      <c r="B362" s="28" t="s">
        <v>6909</v>
      </c>
      <c r="C362" s="28" t="s">
        <v>7110</v>
      </c>
      <c r="D362" s="28" t="s">
        <v>968</v>
      </c>
      <c r="E362" s="28" t="s">
        <v>294</v>
      </c>
      <c r="F362" s="28">
        <v>223021508</v>
      </c>
      <c r="G362" s="28">
        <v>38.837760000000003</v>
      </c>
      <c r="H362" s="28">
        <v>-77.103750000000005</v>
      </c>
      <c r="I362" s="28"/>
      <c r="J362" s="61">
        <v>110070545278</v>
      </c>
      <c r="K362" s="28" t="s">
        <v>265</v>
      </c>
      <c r="L362" s="28"/>
      <c r="M362" s="28"/>
      <c r="N362" s="28"/>
      <c r="O362" s="28"/>
      <c r="P362" s="28"/>
      <c r="Q362" s="28" t="s">
        <v>265</v>
      </c>
      <c r="R362" s="28">
        <f>VLOOKUP(K362,OES!$A:$B, 2, FALSE)</f>
        <v>250</v>
      </c>
      <c r="S362" s="60" t="s">
        <v>1465</v>
      </c>
      <c r="T362" s="203" t="str">
        <f>IF(COUNTIF('Raw TRI Data'!$K:$K,J362)&gt;0, "X", "")</f>
        <v/>
      </c>
    </row>
    <row r="363" spans="1:20" x14ac:dyDescent="0.25">
      <c r="A363" s="28">
        <f t="shared" si="5"/>
        <v>362</v>
      </c>
      <c r="B363" s="28" t="s">
        <v>6911</v>
      </c>
      <c r="C363" s="28" t="s">
        <v>7113</v>
      </c>
      <c r="D363" s="28" t="s">
        <v>657</v>
      </c>
      <c r="E363" s="28" t="s">
        <v>418</v>
      </c>
      <c r="F363" s="28">
        <v>89115</v>
      </c>
      <c r="G363" s="28">
        <v>36.217517000000001</v>
      </c>
      <c r="H363" s="28">
        <v>-115.094336</v>
      </c>
      <c r="I363" s="28"/>
      <c r="J363" s="61">
        <v>110071662000</v>
      </c>
      <c r="K363" s="28" t="s">
        <v>265</v>
      </c>
      <c r="L363" s="28"/>
      <c r="M363" s="28"/>
      <c r="N363" s="28"/>
      <c r="O363" s="28"/>
      <c r="P363" s="28"/>
      <c r="Q363" s="28" t="s">
        <v>265</v>
      </c>
      <c r="R363" s="28">
        <f>VLOOKUP(K363,OES!$A:$B, 2, FALSE)</f>
        <v>250</v>
      </c>
      <c r="S363" s="60" t="s">
        <v>1465</v>
      </c>
      <c r="T363" s="203" t="str">
        <f>IF(COUNTIF('Raw TRI Data'!$K:$K,J363)&gt;0, "X", "")</f>
        <v/>
      </c>
    </row>
    <row r="364" spans="1:20" x14ac:dyDescent="0.25">
      <c r="A364" s="28">
        <f t="shared" si="5"/>
        <v>363</v>
      </c>
      <c r="B364" s="28" t="s">
        <v>6903</v>
      </c>
      <c r="C364" s="28" t="s">
        <v>7097</v>
      </c>
      <c r="D364" s="28" t="s">
        <v>1316</v>
      </c>
      <c r="E364" s="28" t="s">
        <v>294</v>
      </c>
      <c r="F364" s="28">
        <v>22801</v>
      </c>
      <c r="G364" s="28">
        <v>38.428930000000001</v>
      </c>
      <c r="H364" s="28">
        <v>-78.856080000000006</v>
      </c>
      <c r="I364" s="28"/>
      <c r="J364" s="61">
        <v>110022316411</v>
      </c>
      <c r="K364" s="28" t="s">
        <v>265</v>
      </c>
      <c r="L364" s="28"/>
      <c r="M364" s="28"/>
      <c r="N364" s="28"/>
      <c r="O364" s="28"/>
      <c r="P364" s="28"/>
      <c r="Q364" s="28" t="s">
        <v>265</v>
      </c>
      <c r="R364" s="28">
        <f>VLOOKUP(K364,OES!$A:$B, 2, FALSE)</f>
        <v>250</v>
      </c>
      <c r="S364" s="60" t="s">
        <v>1465</v>
      </c>
      <c r="T364" s="203" t="str">
        <f>IF(COUNTIF('Raw TRI Data'!$K:$K,J364)&gt;0, "X", "")</f>
        <v/>
      </c>
    </row>
    <row r="365" spans="1:20" x14ac:dyDescent="0.25">
      <c r="A365" s="28">
        <f t="shared" si="5"/>
        <v>364</v>
      </c>
      <c r="B365" s="28" t="s">
        <v>6781</v>
      </c>
      <c r="C365" s="28" t="s">
        <v>6926</v>
      </c>
      <c r="D365" s="28" t="s">
        <v>1228</v>
      </c>
      <c r="E365" s="28" t="s">
        <v>1128</v>
      </c>
      <c r="F365" s="28">
        <v>80202</v>
      </c>
      <c r="G365" s="28">
        <v>39.753999999999998</v>
      </c>
      <c r="H365" s="28">
        <v>-104.999</v>
      </c>
      <c r="I365" s="28"/>
      <c r="J365" s="61">
        <v>110056127007</v>
      </c>
      <c r="K365" s="28" t="s">
        <v>265</v>
      </c>
      <c r="L365" s="28"/>
      <c r="M365" s="28"/>
      <c r="N365" s="28"/>
      <c r="O365" s="28"/>
      <c r="P365" s="28"/>
      <c r="Q365" s="28" t="s">
        <v>265</v>
      </c>
      <c r="R365" s="28">
        <f>VLOOKUP(K365,OES!$A:$B, 2, FALSE)</f>
        <v>250</v>
      </c>
      <c r="S365" s="60" t="s">
        <v>1465</v>
      </c>
      <c r="T365" s="203" t="str">
        <f>IF(COUNTIF('Raw TRI Data'!$K:$K,J365)&gt;0, "X", "")</f>
        <v/>
      </c>
    </row>
    <row r="366" spans="1:20" x14ac:dyDescent="0.25">
      <c r="A366" s="28">
        <f t="shared" si="5"/>
        <v>365</v>
      </c>
      <c r="B366" s="28" t="s">
        <v>6878</v>
      </c>
      <c r="C366" s="28" t="s">
        <v>7053</v>
      </c>
      <c r="D366" s="28" t="s">
        <v>1228</v>
      </c>
      <c r="E366" s="28" t="s">
        <v>1128</v>
      </c>
      <c r="F366" s="28">
        <v>80206</v>
      </c>
      <c r="G366" s="28">
        <v>39.744531000000002</v>
      </c>
      <c r="H366" s="28">
        <v>-104.95984</v>
      </c>
      <c r="I366" s="28"/>
      <c r="J366" s="61">
        <v>110070097711</v>
      </c>
      <c r="K366" s="28" t="s">
        <v>265</v>
      </c>
      <c r="L366" s="28"/>
      <c r="M366" s="28"/>
      <c r="N366" s="28"/>
      <c r="O366" s="28"/>
      <c r="P366" s="28"/>
      <c r="Q366" s="28" t="s">
        <v>265</v>
      </c>
      <c r="R366" s="28">
        <f>VLOOKUP(K366,OES!$A:$B, 2, FALSE)</f>
        <v>250</v>
      </c>
      <c r="S366" s="60" t="s">
        <v>1465</v>
      </c>
      <c r="T366" s="203" t="str">
        <f>IF(COUNTIF('Raw TRI Data'!$K:$K,J366)&gt;0, "X", "")</f>
        <v/>
      </c>
    </row>
    <row r="367" spans="1:20" x14ac:dyDescent="0.25">
      <c r="A367" s="28">
        <f t="shared" si="5"/>
        <v>366</v>
      </c>
      <c r="B367" s="28" t="s">
        <v>6851</v>
      </c>
      <c r="C367" s="28" t="s">
        <v>7007</v>
      </c>
      <c r="D367" s="28" t="s">
        <v>457</v>
      </c>
      <c r="E367" s="28" t="s">
        <v>366</v>
      </c>
      <c r="F367" s="28" t="s">
        <v>7008</v>
      </c>
      <c r="G367" s="28">
        <v>32.781489999999998</v>
      </c>
      <c r="H367" s="28">
        <v>-115.5035</v>
      </c>
      <c r="I367" s="28"/>
      <c r="J367" s="61">
        <v>110012876557</v>
      </c>
      <c r="K367" s="28" t="s">
        <v>265</v>
      </c>
      <c r="L367" s="28"/>
      <c r="M367" s="28"/>
      <c r="N367" s="28"/>
      <c r="O367" s="28"/>
      <c r="P367" s="28"/>
      <c r="Q367" s="28" t="s">
        <v>265</v>
      </c>
      <c r="R367" s="28">
        <f>VLOOKUP(K367,OES!$A:$B, 2, FALSE)</f>
        <v>250</v>
      </c>
      <c r="S367" s="60" t="s">
        <v>1465</v>
      </c>
      <c r="T367" s="203" t="str">
        <f>IF(COUNTIF('Raw TRI Data'!$K:$K,J367)&gt;0, "X", "")</f>
        <v/>
      </c>
    </row>
    <row r="368" spans="1:20" x14ac:dyDescent="0.25">
      <c r="A368" s="28">
        <f t="shared" si="5"/>
        <v>367</v>
      </c>
      <c r="B368" s="28" t="s">
        <v>1369</v>
      </c>
      <c r="C368" s="28" t="s">
        <v>2256</v>
      </c>
      <c r="D368" s="28" t="s">
        <v>1370</v>
      </c>
      <c r="E368" s="28" t="s">
        <v>308</v>
      </c>
      <c r="F368" s="28">
        <v>2048</v>
      </c>
      <c r="G368" s="28">
        <v>42.020510000000002</v>
      </c>
      <c r="H368" s="28">
        <v>-71.267250000000004</v>
      </c>
      <c r="I368" s="28"/>
      <c r="J368" s="61">
        <v>110070602569</v>
      </c>
      <c r="K368" s="28" t="s">
        <v>265</v>
      </c>
      <c r="L368" s="28"/>
      <c r="M368" s="28"/>
      <c r="N368" s="28"/>
      <c r="O368" s="28"/>
      <c r="P368" s="28"/>
      <c r="Q368" s="28" t="s">
        <v>265</v>
      </c>
      <c r="R368" s="28">
        <f>VLOOKUP(K368,OES!$A:$B, 2, FALSE)</f>
        <v>250</v>
      </c>
      <c r="S368" s="60" t="s">
        <v>1465</v>
      </c>
      <c r="T368" s="203" t="str">
        <f>IF(COUNTIF('Raw TRI Data'!$K:$K,J368)&gt;0, "X", "")</f>
        <v/>
      </c>
    </row>
    <row r="369" spans="1:20" x14ac:dyDescent="0.25">
      <c r="A369" s="28">
        <f t="shared" si="5"/>
        <v>368</v>
      </c>
      <c r="B369" s="28" t="s">
        <v>6855</v>
      </c>
      <c r="C369" s="28" t="s">
        <v>7014</v>
      </c>
      <c r="D369" s="28" t="s">
        <v>7015</v>
      </c>
      <c r="E369" s="28" t="s">
        <v>491</v>
      </c>
      <c r="F369" s="28">
        <v>15317</v>
      </c>
      <c r="G369" s="28">
        <v>40.269072000000001</v>
      </c>
      <c r="H369" s="28">
        <v>-80.170649999999995</v>
      </c>
      <c r="I369" s="28"/>
      <c r="J369" s="61">
        <v>110000329886</v>
      </c>
      <c r="K369" s="28" t="s">
        <v>265</v>
      </c>
      <c r="L369" s="28"/>
      <c r="M369" s="28"/>
      <c r="N369" s="28"/>
      <c r="O369" s="28"/>
      <c r="P369" s="28"/>
      <c r="Q369" s="28" t="s">
        <v>265</v>
      </c>
      <c r="R369" s="28">
        <f>VLOOKUP(K369,OES!$A:$B, 2, FALSE)</f>
        <v>250</v>
      </c>
      <c r="S369" s="60" t="s">
        <v>1465</v>
      </c>
      <c r="T369" s="203" t="str">
        <f>IF(COUNTIF('Raw TRI Data'!$K:$K,J369)&gt;0, "X", "")</f>
        <v/>
      </c>
    </row>
    <row r="370" spans="1:20" x14ac:dyDescent="0.25">
      <c r="A370" s="28">
        <f t="shared" si="5"/>
        <v>369</v>
      </c>
      <c r="B370" s="28" t="s">
        <v>1373</v>
      </c>
      <c r="C370" s="28" t="s">
        <v>2262</v>
      </c>
      <c r="D370" s="28" t="s">
        <v>657</v>
      </c>
      <c r="E370" s="28" t="s">
        <v>418</v>
      </c>
      <c r="F370" s="28">
        <v>89103</v>
      </c>
      <c r="G370" s="28">
        <v>36.108890000000002</v>
      </c>
      <c r="H370" s="28">
        <v>-115.18118</v>
      </c>
      <c r="I370" s="28"/>
      <c r="J370" s="61">
        <v>110059861065</v>
      </c>
      <c r="K370" s="28" t="s">
        <v>265</v>
      </c>
      <c r="L370" s="28"/>
      <c r="M370" s="28"/>
      <c r="N370" s="28"/>
      <c r="O370" s="28"/>
      <c r="P370" s="28"/>
      <c r="Q370" s="28" t="s">
        <v>265</v>
      </c>
      <c r="R370" s="28">
        <f>VLOOKUP(K370,OES!$A:$B, 2, FALSE)</f>
        <v>250</v>
      </c>
      <c r="S370" s="60" t="s">
        <v>1465</v>
      </c>
      <c r="T370" s="203" t="str">
        <f>IF(COUNTIF('Raw TRI Data'!$K:$K,J370)&gt;0, "X", "")</f>
        <v/>
      </c>
    </row>
    <row r="371" spans="1:20" x14ac:dyDescent="0.25">
      <c r="A371" s="28">
        <f t="shared" si="5"/>
        <v>370</v>
      </c>
      <c r="B371" s="28" t="s">
        <v>1374</v>
      </c>
      <c r="C371" s="28" t="s">
        <v>2264</v>
      </c>
      <c r="D371" s="28" t="s">
        <v>293</v>
      </c>
      <c r="E371" s="28" t="s">
        <v>294</v>
      </c>
      <c r="F371" s="28">
        <v>222031606</v>
      </c>
      <c r="G371" s="28">
        <v>38.88223</v>
      </c>
      <c r="H371" s="28">
        <v>-77.112300000000005</v>
      </c>
      <c r="I371" s="28"/>
      <c r="J371" s="61">
        <v>110010844426</v>
      </c>
      <c r="K371" s="28" t="s">
        <v>265</v>
      </c>
      <c r="L371" s="28"/>
      <c r="M371" s="28"/>
      <c r="N371" s="28"/>
      <c r="O371" s="28"/>
      <c r="P371" s="28"/>
      <c r="Q371" s="28" t="s">
        <v>265</v>
      </c>
      <c r="R371" s="28">
        <f>VLOOKUP(K371,OES!$A:$B, 2, FALSE)</f>
        <v>250</v>
      </c>
      <c r="S371" s="60" t="s">
        <v>1465</v>
      </c>
      <c r="T371" s="203" t="str">
        <f>IF(COUNTIF('Raw TRI Data'!$K:$K,J371)&gt;0, "X", "")</f>
        <v/>
      </c>
    </row>
    <row r="372" spans="1:20" x14ac:dyDescent="0.25">
      <c r="A372" s="28">
        <f t="shared" si="5"/>
        <v>371</v>
      </c>
      <c r="B372" s="28" t="s">
        <v>1375</v>
      </c>
      <c r="C372" s="28" t="s">
        <v>2268</v>
      </c>
      <c r="D372" s="28" t="s">
        <v>657</v>
      </c>
      <c r="E372" s="28" t="s">
        <v>418</v>
      </c>
      <c r="F372" s="28">
        <v>89109</v>
      </c>
      <c r="G372" s="28">
        <v>36.137529999999998</v>
      </c>
      <c r="H372" s="28">
        <v>-115.15479000000001</v>
      </c>
      <c r="I372" s="28"/>
      <c r="J372" s="61">
        <v>110020039402</v>
      </c>
      <c r="K372" s="28" t="s">
        <v>265</v>
      </c>
      <c r="L372" s="28"/>
      <c r="M372" s="28"/>
      <c r="N372" s="28"/>
      <c r="O372" s="28"/>
      <c r="P372" s="28"/>
      <c r="Q372" s="28" t="s">
        <v>265</v>
      </c>
      <c r="R372" s="28">
        <f>VLOOKUP(K372,OES!$A:$B, 2, FALSE)</f>
        <v>250</v>
      </c>
      <c r="S372" s="60" t="s">
        <v>1465</v>
      </c>
      <c r="T372" s="203" t="str">
        <f>IF(COUNTIF('Raw TRI Data'!$K:$K,J372)&gt;0, "X", "")</f>
        <v/>
      </c>
    </row>
    <row r="373" spans="1:20" x14ac:dyDescent="0.25">
      <c r="A373" s="28">
        <f t="shared" si="5"/>
        <v>372</v>
      </c>
      <c r="B373" s="28" t="s">
        <v>1378</v>
      </c>
      <c r="C373" s="28" t="s">
        <v>2274</v>
      </c>
      <c r="D373" s="28" t="s">
        <v>474</v>
      </c>
      <c r="E373" s="28" t="s">
        <v>338</v>
      </c>
      <c r="F373" s="28">
        <v>7470</v>
      </c>
      <c r="G373" s="28">
        <v>40.936109999999999</v>
      </c>
      <c r="H373" s="28">
        <v>-74.273809999999997</v>
      </c>
      <c r="I373" s="28"/>
      <c r="J373" s="61">
        <v>110070212009</v>
      </c>
      <c r="K373" s="28" t="s">
        <v>265</v>
      </c>
      <c r="L373" s="28"/>
      <c r="M373" s="28"/>
      <c r="N373" s="28"/>
      <c r="O373" s="28"/>
      <c r="P373" s="28"/>
      <c r="Q373" s="28" t="s">
        <v>265</v>
      </c>
      <c r="R373" s="28">
        <f>VLOOKUP(K373,OES!$A:$B, 2, FALSE)</f>
        <v>250</v>
      </c>
      <c r="S373" s="60" t="s">
        <v>1465</v>
      </c>
      <c r="T373" s="203" t="str">
        <f>IF(COUNTIF('Raw TRI Data'!$K:$K,J373)&gt;0, "X", "")</f>
        <v/>
      </c>
    </row>
    <row r="374" spans="1:20" x14ac:dyDescent="0.25">
      <c r="A374" s="28">
        <f t="shared" si="5"/>
        <v>373</v>
      </c>
      <c r="B374" s="28" t="s">
        <v>1384</v>
      </c>
      <c r="C374" s="28" t="s">
        <v>2285</v>
      </c>
      <c r="D374" s="28" t="s">
        <v>1385</v>
      </c>
      <c r="E374" s="28" t="s">
        <v>374</v>
      </c>
      <c r="F374" s="28">
        <v>86045</v>
      </c>
      <c r="G374" s="28">
        <v>36.091380999999998</v>
      </c>
      <c r="H374" s="28">
        <v>-111.289585</v>
      </c>
      <c r="I374" s="28"/>
      <c r="J374" s="61">
        <v>110024409344</v>
      </c>
      <c r="K374" s="28" t="s">
        <v>263</v>
      </c>
      <c r="L374" s="28"/>
      <c r="M374" s="28"/>
      <c r="N374" s="28"/>
      <c r="O374" s="28"/>
      <c r="P374" s="28"/>
      <c r="Q374" s="28" t="s">
        <v>265</v>
      </c>
      <c r="R374" s="28">
        <f>VLOOKUP(K374,OES!$A:$B, 2, FALSE)</f>
        <v>365</v>
      </c>
      <c r="S374" s="60" t="s">
        <v>1465</v>
      </c>
      <c r="T374" s="203" t="str">
        <f>IF(COUNTIF('Raw TRI Data'!$K:$K,J374)&gt;0, "X", "")</f>
        <v/>
      </c>
    </row>
    <row r="375" spans="1:20" x14ac:dyDescent="0.25">
      <c r="A375" s="28">
        <f t="shared" si="5"/>
        <v>374</v>
      </c>
      <c r="B375" s="28" t="s">
        <v>1387</v>
      </c>
      <c r="C375" s="28" t="s">
        <v>2291</v>
      </c>
      <c r="D375" s="28" t="s">
        <v>1388</v>
      </c>
      <c r="E375" s="28" t="s">
        <v>294</v>
      </c>
      <c r="F375" s="28">
        <v>221822454</v>
      </c>
      <c r="G375" s="28">
        <v>38.920251999999998</v>
      </c>
      <c r="H375" s="28">
        <v>-77.231944999999996</v>
      </c>
      <c r="I375" s="28"/>
      <c r="J375" s="61">
        <v>110070684897</v>
      </c>
      <c r="K375" s="28" t="s">
        <v>265</v>
      </c>
      <c r="L375" s="28"/>
      <c r="M375" s="28"/>
      <c r="N375" s="28"/>
      <c r="O375" s="28"/>
      <c r="P375" s="28"/>
      <c r="Q375" s="28" t="s">
        <v>265</v>
      </c>
      <c r="R375" s="28">
        <f>VLOOKUP(K375,OES!$A:$B, 2, FALSE)</f>
        <v>250</v>
      </c>
      <c r="S375" s="60" t="s">
        <v>1465</v>
      </c>
      <c r="T375" s="203" t="str">
        <f>IF(COUNTIF('Raw TRI Data'!$K:$K,J375)&gt;0, "X", "")</f>
        <v/>
      </c>
    </row>
    <row r="376" spans="1:20" x14ac:dyDescent="0.25">
      <c r="A376" s="28">
        <f t="shared" si="5"/>
        <v>375</v>
      </c>
      <c r="B376" s="28" t="s">
        <v>6880</v>
      </c>
      <c r="C376" s="28" t="s">
        <v>2297</v>
      </c>
      <c r="D376" s="28" t="s">
        <v>1007</v>
      </c>
      <c r="E376" s="28" t="s">
        <v>1008</v>
      </c>
      <c r="F376" s="28">
        <v>972101412</v>
      </c>
      <c r="G376" s="28">
        <v>45.548641000000003</v>
      </c>
      <c r="H376" s="28">
        <v>-122.72292299999999</v>
      </c>
      <c r="I376" s="28" t="s">
        <v>737</v>
      </c>
      <c r="J376" s="61">
        <v>110000487447</v>
      </c>
      <c r="K376" s="28" t="s">
        <v>252</v>
      </c>
      <c r="L376" s="28"/>
      <c r="M376" s="28"/>
      <c r="N376" s="28"/>
      <c r="O376" s="28"/>
      <c r="P376" s="28"/>
      <c r="Q376" s="28" t="s">
        <v>265</v>
      </c>
      <c r="R376" s="28">
        <f>VLOOKUP(K376,OES!$A:$B, 2, FALSE)</f>
        <v>250</v>
      </c>
      <c r="S376" s="60" t="s">
        <v>1465</v>
      </c>
      <c r="T376" s="203" t="str">
        <f>IF(COUNTIF('Raw TRI Data'!$K:$K,J376)&gt;0, "X", "")</f>
        <v/>
      </c>
    </row>
    <row r="377" spans="1:20" x14ac:dyDescent="0.25">
      <c r="A377" s="28">
        <f t="shared" si="5"/>
        <v>376</v>
      </c>
      <c r="B377" s="28" t="s">
        <v>1389</v>
      </c>
      <c r="C377" s="28" t="s">
        <v>2294</v>
      </c>
      <c r="D377" s="28" t="s">
        <v>358</v>
      </c>
      <c r="E377" s="28" t="s">
        <v>275</v>
      </c>
      <c r="F377" s="28">
        <v>83704</v>
      </c>
      <c r="G377" s="28">
        <v>43.605383000000003</v>
      </c>
      <c r="H377" s="28">
        <v>-116.27849000000001</v>
      </c>
      <c r="I377" s="28"/>
      <c r="J377" s="61">
        <v>110062644367</v>
      </c>
      <c r="K377" s="28" t="s">
        <v>265</v>
      </c>
      <c r="L377" s="28"/>
      <c r="M377" s="28"/>
      <c r="N377" s="28"/>
      <c r="O377" s="28"/>
      <c r="P377" s="28"/>
      <c r="Q377" s="28" t="s">
        <v>265</v>
      </c>
      <c r="R377" s="28">
        <f>VLOOKUP(K377,OES!$A:$B, 2, FALSE)</f>
        <v>250</v>
      </c>
      <c r="S377" s="60" t="s">
        <v>1465</v>
      </c>
      <c r="T377" s="203" t="str">
        <f>IF(COUNTIF('Raw TRI Data'!$K:$K,J377)&gt;0, "X", "")</f>
        <v/>
      </c>
    </row>
    <row r="378" spans="1:20" x14ac:dyDescent="0.25">
      <c r="A378" s="28">
        <f t="shared" si="5"/>
        <v>377</v>
      </c>
      <c r="B378" s="28" t="s">
        <v>1392</v>
      </c>
      <c r="C378" s="28" t="s">
        <v>2302</v>
      </c>
      <c r="D378" s="28" t="s">
        <v>1393</v>
      </c>
      <c r="E378" s="28" t="s">
        <v>294</v>
      </c>
      <c r="F378" s="28">
        <v>22060</v>
      </c>
      <c r="G378" s="28">
        <v>38.711596</v>
      </c>
      <c r="H378" s="28">
        <v>-77.147887999999995</v>
      </c>
      <c r="I378" s="28"/>
      <c r="J378" s="61">
        <v>110070596765</v>
      </c>
      <c r="K378" s="28" t="s">
        <v>261</v>
      </c>
      <c r="L378" s="28"/>
      <c r="M378" s="28"/>
      <c r="N378" s="28"/>
      <c r="O378" s="28"/>
      <c r="P378" s="28"/>
      <c r="Q378" s="28" t="s">
        <v>265</v>
      </c>
      <c r="R378" s="28">
        <f>VLOOKUP(K378,OES!$A:$B, 2, FALSE)</f>
        <v>260</v>
      </c>
      <c r="S378" s="60" t="s">
        <v>1465</v>
      </c>
      <c r="T378" s="203" t="str">
        <f>IF(COUNTIF('Raw TRI Data'!$K:$K,J378)&gt;0, "X", "")</f>
        <v/>
      </c>
    </row>
    <row r="379" spans="1:20" x14ac:dyDescent="0.25">
      <c r="A379" s="28">
        <f t="shared" si="5"/>
        <v>378</v>
      </c>
      <c r="B379" s="28" t="s">
        <v>1394</v>
      </c>
      <c r="C379" s="28" t="s">
        <v>6973</v>
      </c>
      <c r="D379" s="28" t="s">
        <v>1395</v>
      </c>
      <c r="E379" s="28" t="s">
        <v>362</v>
      </c>
      <c r="F379" s="28">
        <v>78241</v>
      </c>
      <c r="G379" s="28">
        <v>29.378699999999998</v>
      </c>
      <c r="H379" s="28">
        <v>-98.551670000000001</v>
      </c>
      <c r="I379" s="28"/>
      <c r="J379" s="61">
        <v>110042004915</v>
      </c>
      <c r="K379" s="28" t="s">
        <v>265</v>
      </c>
      <c r="L379" s="28"/>
      <c r="M379" s="28"/>
      <c r="N379" s="28"/>
      <c r="O379" s="28"/>
      <c r="P379" s="28"/>
      <c r="Q379" s="28" t="s">
        <v>265</v>
      </c>
      <c r="R379" s="28">
        <f>VLOOKUP(K379,OES!$A:$B, 2, FALSE)</f>
        <v>250</v>
      </c>
      <c r="S379" s="60" t="s">
        <v>1465</v>
      </c>
      <c r="T379" s="203" t="str">
        <f>IF(COUNTIF('Raw TRI Data'!$K:$K,J379)&gt;0, "X", "")</f>
        <v/>
      </c>
    </row>
    <row r="380" spans="1:20" x14ac:dyDescent="0.25">
      <c r="A380" s="28">
        <f t="shared" si="5"/>
        <v>379</v>
      </c>
      <c r="B380" s="28" t="s">
        <v>1398</v>
      </c>
      <c r="C380" s="28" t="s">
        <v>2311</v>
      </c>
      <c r="D380" s="28" t="s">
        <v>1399</v>
      </c>
      <c r="E380" s="28" t="s">
        <v>1171</v>
      </c>
      <c r="F380" s="28">
        <v>968633062</v>
      </c>
      <c r="G380" s="28">
        <v>21.438638999999998</v>
      </c>
      <c r="H380" s="28">
        <v>-157.75847200000001</v>
      </c>
      <c r="I380" s="28"/>
      <c r="J380" s="61">
        <v>110041973460</v>
      </c>
      <c r="K380" s="28" t="s">
        <v>263</v>
      </c>
      <c r="L380" s="28"/>
      <c r="M380" s="28"/>
      <c r="N380" s="28"/>
      <c r="O380" s="28"/>
      <c r="P380" s="28"/>
      <c r="Q380" s="28" t="s">
        <v>265</v>
      </c>
      <c r="R380" s="28">
        <f>VLOOKUP(K380,OES!$A:$B, 2, FALSE)</f>
        <v>365</v>
      </c>
      <c r="S380" s="60" t="s">
        <v>1465</v>
      </c>
      <c r="T380" s="203" t="str">
        <f>IF(COUNTIF('Raw TRI Data'!$K:$K,J380)&gt;0, "X", "")</f>
        <v/>
      </c>
    </row>
    <row r="381" spans="1:20" x14ac:dyDescent="0.25">
      <c r="A381" s="28">
        <f t="shared" si="5"/>
        <v>380</v>
      </c>
      <c r="B381" s="28" t="s">
        <v>6797</v>
      </c>
      <c r="C381" s="28" t="s">
        <v>6946</v>
      </c>
      <c r="D381" s="28" t="s">
        <v>6947</v>
      </c>
      <c r="E381" s="28" t="s">
        <v>308</v>
      </c>
      <c r="F381" s="28">
        <v>2210</v>
      </c>
      <c r="G381" s="28">
        <v>42.349516999999999</v>
      </c>
      <c r="H381" s="28">
        <v>-71.047058000000007</v>
      </c>
      <c r="I381" s="28"/>
      <c r="J381" s="61">
        <v>110070917345</v>
      </c>
      <c r="K381" s="28" t="s">
        <v>265</v>
      </c>
      <c r="L381" s="28"/>
      <c r="M381" s="28"/>
      <c r="N381" s="28"/>
      <c r="O381" s="28"/>
      <c r="P381" s="28"/>
      <c r="Q381" s="28" t="s">
        <v>265</v>
      </c>
      <c r="R381" s="28">
        <f>VLOOKUP(K381,OES!$A:$B, 2, FALSE)</f>
        <v>250</v>
      </c>
      <c r="S381" s="60" t="s">
        <v>1465</v>
      </c>
      <c r="T381" s="203" t="str">
        <f>IF(COUNTIF('Raw TRI Data'!$K:$K,J381)&gt;0, "X", "")</f>
        <v/>
      </c>
    </row>
    <row r="382" spans="1:20" x14ac:dyDescent="0.25">
      <c r="A382" s="28">
        <f t="shared" si="5"/>
        <v>381</v>
      </c>
      <c r="B382" s="28" t="s">
        <v>1400</v>
      </c>
      <c r="C382" s="28" t="s">
        <v>2313</v>
      </c>
      <c r="D382" s="28" t="s">
        <v>1401</v>
      </c>
      <c r="E382" s="28" t="s">
        <v>324</v>
      </c>
      <c r="F382" s="28" t="s">
        <v>2314</v>
      </c>
      <c r="G382" s="28">
        <v>37.642310000000002</v>
      </c>
      <c r="H382" s="28">
        <v>-85.903570000000002</v>
      </c>
      <c r="I382" s="28"/>
      <c r="J382" s="61">
        <v>110000571373</v>
      </c>
      <c r="K382" s="28" t="s">
        <v>263</v>
      </c>
      <c r="L382" s="28"/>
      <c r="M382" s="28"/>
      <c r="N382" s="28"/>
      <c r="O382" s="28"/>
      <c r="P382" s="28"/>
      <c r="Q382" s="28" t="s">
        <v>265</v>
      </c>
      <c r="R382" s="28">
        <f>VLOOKUP(K382,OES!$A:$B, 2, FALSE)</f>
        <v>365</v>
      </c>
      <c r="S382" s="60" t="s">
        <v>1465</v>
      </c>
      <c r="T382" s="203" t="str">
        <f>IF(COUNTIF('Raw TRI Data'!$K:$K,J382)&gt;0, "X", "")</f>
        <v/>
      </c>
    </row>
    <row r="383" spans="1:20" x14ac:dyDescent="0.25">
      <c r="A383" s="28">
        <f t="shared" si="5"/>
        <v>382</v>
      </c>
      <c r="B383" s="28" t="s">
        <v>6798</v>
      </c>
      <c r="C383" s="28" t="s">
        <v>6948</v>
      </c>
      <c r="D383" s="28" t="s">
        <v>6949</v>
      </c>
      <c r="E383" s="28" t="s">
        <v>294</v>
      </c>
      <c r="F383" s="28">
        <v>231500000</v>
      </c>
      <c r="G383" s="28">
        <v>37.497348000000002</v>
      </c>
      <c r="H383" s="28">
        <v>-77.244916000000003</v>
      </c>
      <c r="I383" s="28"/>
      <c r="J383" s="61">
        <v>110001905163</v>
      </c>
      <c r="K383" s="28" t="s">
        <v>261</v>
      </c>
      <c r="L383" s="28"/>
      <c r="M383" s="28"/>
      <c r="N383" s="28"/>
      <c r="O383" s="28"/>
      <c r="P383" s="28"/>
      <c r="Q383" s="28" t="s">
        <v>265</v>
      </c>
      <c r="R383" s="28">
        <f>VLOOKUP(K383,OES!$A:$B, 2, FALSE)</f>
        <v>260</v>
      </c>
      <c r="S383" s="60" t="s">
        <v>1465</v>
      </c>
      <c r="T383" s="203" t="str">
        <f>IF(COUNTIF('Raw TRI Data'!$K:$K,J383)&gt;0, "X", "")</f>
        <v/>
      </c>
    </row>
    <row r="384" spans="1:20" x14ac:dyDescent="0.25">
      <c r="A384" s="28">
        <f t="shared" si="5"/>
        <v>383</v>
      </c>
      <c r="B384" s="28" t="s">
        <v>6858</v>
      </c>
      <c r="C384" s="28" t="s">
        <v>2320</v>
      </c>
      <c r="D384" s="28" t="s">
        <v>1405</v>
      </c>
      <c r="E384" s="28" t="s">
        <v>427</v>
      </c>
      <c r="F384" s="28" t="s">
        <v>2321</v>
      </c>
      <c r="G384" s="28">
        <v>42.338805999999998</v>
      </c>
      <c r="H384" s="28">
        <v>-85.144028000000006</v>
      </c>
      <c r="I384" s="28"/>
      <c r="J384" s="61">
        <v>110006040989</v>
      </c>
      <c r="K384" s="28" t="s">
        <v>265</v>
      </c>
      <c r="L384" s="28"/>
      <c r="M384" s="28"/>
      <c r="N384" s="28"/>
      <c r="O384" s="28"/>
      <c r="P384" s="28"/>
      <c r="Q384" s="28" t="s">
        <v>265</v>
      </c>
      <c r="R384" s="28">
        <f>VLOOKUP(K384,OES!$A:$B, 2, FALSE)</f>
        <v>250</v>
      </c>
      <c r="S384" s="60" t="s">
        <v>1465</v>
      </c>
      <c r="T384" s="203" t="str">
        <f>IF(COUNTIF('Raw TRI Data'!$K:$K,J384)&gt;0, "X", "")</f>
        <v/>
      </c>
    </row>
    <row r="385" spans="1:20" x14ac:dyDescent="0.25">
      <c r="A385" s="28">
        <f t="shared" si="5"/>
        <v>384</v>
      </c>
      <c r="B385" s="28" t="s">
        <v>6908</v>
      </c>
      <c r="C385" s="28" t="s">
        <v>7108</v>
      </c>
      <c r="D385" s="28" t="s">
        <v>7109</v>
      </c>
      <c r="E385" s="28" t="s">
        <v>294</v>
      </c>
      <c r="F385" s="28">
        <v>22180</v>
      </c>
      <c r="G385" s="28">
        <v>38.899099999999997</v>
      </c>
      <c r="H385" s="28">
        <v>-77.269300000000001</v>
      </c>
      <c r="I385" s="28"/>
      <c r="J385" s="61">
        <v>110071428198</v>
      </c>
      <c r="K385" s="28" t="s">
        <v>265</v>
      </c>
      <c r="L385" s="28"/>
      <c r="M385" s="28"/>
      <c r="N385" s="28"/>
      <c r="O385" s="28"/>
      <c r="P385" s="28"/>
      <c r="Q385" s="28" t="s">
        <v>265</v>
      </c>
      <c r="R385" s="28">
        <f>VLOOKUP(K385,OES!$A:$B, 2, FALSE)</f>
        <v>250</v>
      </c>
      <c r="S385" s="60" t="s">
        <v>1465</v>
      </c>
      <c r="T385" s="203" t="str">
        <f>IF(COUNTIF('Raw TRI Data'!$K:$K,J385)&gt;0, "X", "")</f>
        <v/>
      </c>
    </row>
    <row r="386" spans="1:20" x14ac:dyDescent="0.25">
      <c r="A386" s="28">
        <f t="shared" si="5"/>
        <v>385</v>
      </c>
      <c r="B386" s="28" t="s">
        <v>1410</v>
      </c>
      <c r="C386" s="28" t="s">
        <v>2331</v>
      </c>
      <c r="D386" s="28" t="s">
        <v>657</v>
      </c>
      <c r="E386" s="28" t="s">
        <v>418</v>
      </c>
      <c r="F386" s="28">
        <v>89106</v>
      </c>
      <c r="G386" s="28">
        <v>36.19997</v>
      </c>
      <c r="H386" s="28">
        <v>-115.19658</v>
      </c>
      <c r="I386" s="28"/>
      <c r="J386" s="61">
        <v>110064418553</v>
      </c>
      <c r="K386" s="28" t="s">
        <v>265</v>
      </c>
      <c r="L386" s="28"/>
      <c r="M386" s="28"/>
      <c r="N386" s="28"/>
      <c r="O386" s="28"/>
      <c r="P386" s="28"/>
      <c r="Q386" s="28" t="s">
        <v>265</v>
      </c>
      <c r="R386" s="28">
        <f>VLOOKUP(K386,OES!$A:$B, 2, FALSE)</f>
        <v>250</v>
      </c>
      <c r="S386" s="60" t="s">
        <v>1465</v>
      </c>
      <c r="T386" s="203" t="str">
        <f>IF(COUNTIF('Raw TRI Data'!$K:$K,J386)&gt;0, "X", "")</f>
        <v/>
      </c>
    </row>
    <row r="387" spans="1:20" x14ac:dyDescent="0.25">
      <c r="A387" s="28">
        <f t="shared" ref="A387:A450" si="6">A386+1</f>
        <v>386</v>
      </c>
      <c r="B387" s="28" t="s">
        <v>1411</v>
      </c>
      <c r="C387" s="28" t="s">
        <v>2333</v>
      </c>
      <c r="D387" s="28" t="s">
        <v>1403</v>
      </c>
      <c r="E387" s="28" t="s">
        <v>294</v>
      </c>
      <c r="F387" s="28">
        <v>23452</v>
      </c>
      <c r="G387" s="28">
        <v>36.844686000000003</v>
      </c>
      <c r="H387" s="28">
        <v>-76.072886999999994</v>
      </c>
      <c r="I387" s="28"/>
      <c r="J387" s="61">
        <v>110070884632</v>
      </c>
      <c r="K387" s="28" t="s">
        <v>265</v>
      </c>
      <c r="L387" s="28"/>
      <c r="M387" s="28"/>
      <c r="N387" s="28"/>
      <c r="O387" s="28"/>
      <c r="P387" s="28"/>
      <c r="Q387" s="28" t="s">
        <v>265</v>
      </c>
      <c r="R387" s="28">
        <f>VLOOKUP(K387,OES!$A:$B, 2, FALSE)</f>
        <v>250</v>
      </c>
      <c r="S387" s="60" t="s">
        <v>1465</v>
      </c>
      <c r="T387" s="203" t="str">
        <f>IF(COUNTIF('Raw TRI Data'!$K:$K,J387)&gt;0, "X", "")</f>
        <v/>
      </c>
    </row>
    <row r="388" spans="1:20" x14ac:dyDescent="0.25">
      <c r="A388" s="28">
        <f t="shared" si="6"/>
        <v>387</v>
      </c>
      <c r="B388" s="28" t="s">
        <v>6854</v>
      </c>
      <c r="C388" s="28" t="s">
        <v>7013</v>
      </c>
      <c r="D388" s="28" t="s">
        <v>968</v>
      </c>
      <c r="E388" s="28" t="s">
        <v>294</v>
      </c>
      <c r="F388" s="28">
        <v>22305</v>
      </c>
      <c r="G388" s="28">
        <v>38.837561999999998</v>
      </c>
      <c r="H388" s="28">
        <v>-77.048931999999994</v>
      </c>
      <c r="I388" s="28"/>
      <c r="J388" s="61">
        <v>110071149439</v>
      </c>
      <c r="K388" s="28" t="s">
        <v>265</v>
      </c>
      <c r="L388" s="28"/>
      <c r="M388" s="28"/>
      <c r="N388" s="28"/>
      <c r="O388" s="28"/>
      <c r="P388" s="28"/>
      <c r="Q388" s="28" t="s">
        <v>265</v>
      </c>
      <c r="R388" s="28">
        <f>VLOOKUP(K388,OES!$A:$B, 2, FALSE)</f>
        <v>250</v>
      </c>
      <c r="S388" s="60" t="s">
        <v>1465</v>
      </c>
      <c r="T388" s="203" t="str">
        <f>IF(COUNTIF('Raw TRI Data'!$K:$K,J388)&gt;0, "X", "")</f>
        <v/>
      </c>
    </row>
    <row r="389" spans="1:20" x14ac:dyDescent="0.25">
      <c r="A389" s="28">
        <f t="shared" si="6"/>
        <v>388</v>
      </c>
      <c r="B389" s="28" t="s">
        <v>1419</v>
      </c>
      <c r="C389" s="28" t="s">
        <v>2346</v>
      </c>
      <c r="D389" s="28" t="s">
        <v>1420</v>
      </c>
      <c r="E389" s="28" t="s">
        <v>427</v>
      </c>
      <c r="F389" s="28">
        <v>49221</v>
      </c>
      <c r="G389" s="28">
        <v>41.948850999999998</v>
      </c>
      <c r="H389" s="28">
        <v>-83.958619999999996</v>
      </c>
      <c r="I389" s="28" t="s">
        <v>739</v>
      </c>
      <c r="J389" s="61">
        <v>110056966699</v>
      </c>
      <c r="K389" s="28" t="s">
        <v>265</v>
      </c>
      <c r="L389" s="28"/>
      <c r="M389" s="28"/>
      <c r="N389" s="28"/>
      <c r="O389" s="28"/>
      <c r="P389" s="28"/>
      <c r="Q389" s="28" t="s">
        <v>265</v>
      </c>
      <c r="R389" s="28">
        <f>VLOOKUP(K389,OES!$A:$B, 2, FALSE)</f>
        <v>250</v>
      </c>
      <c r="S389" s="60" t="s">
        <v>1465</v>
      </c>
      <c r="T389" s="203" t="str">
        <f>IF(COUNTIF('Raw TRI Data'!$K:$K,J389)&gt;0, "X", "")</f>
        <v/>
      </c>
    </row>
    <row r="390" spans="1:20" x14ac:dyDescent="0.25">
      <c r="A390" s="28">
        <f t="shared" si="6"/>
        <v>389</v>
      </c>
      <c r="B390" s="28" t="s">
        <v>1421</v>
      </c>
      <c r="C390" s="28" t="s">
        <v>2350</v>
      </c>
      <c r="D390" s="28" t="s">
        <v>1422</v>
      </c>
      <c r="E390" s="28" t="s">
        <v>1171</v>
      </c>
      <c r="F390" s="28">
        <v>96746</v>
      </c>
      <c r="G390" s="28">
        <v>22.079093</v>
      </c>
      <c r="H390" s="28">
        <v>-159.35138900000001</v>
      </c>
      <c r="I390" s="28"/>
      <c r="J390" s="61">
        <v>110010731262</v>
      </c>
      <c r="K390" s="28" t="s">
        <v>263</v>
      </c>
      <c r="L390" s="28"/>
      <c r="M390" s="28"/>
      <c r="N390" s="28"/>
      <c r="O390" s="28"/>
      <c r="P390" s="28"/>
      <c r="Q390" s="28" t="s">
        <v>265</v>
      </c>
      <c r="R390" s="28">
        <f>VLOOKUP(K390,OES!$A:$B, 2, FALSE)</f>
        <v>365</v>
      </c>
      <c r="S390" s="60" t="s">
        <v>1465</v>
      </c>
      <c r="T390" s="203" t="str">
        <f>IF(COUNTIF('Raw TRI Data'!$K:$K,J390)&gt;0, "X", "")</f>
        <v/>
      </c>
    </row>
    <row r="391" spans="1:20" x14ac:dyDescent="0.25">
      <c r="A391" s="28">
        <f t="shared" si="6"/>
        <v>390</v>
      </c>
      <c r="B391" s="28" t="s">
        <v>1423</v>
      </c>
      <c r="C391" s="28" t="s">
        <v>2353</v>
      </c>
      <c r="D391" s="28" t="s">
        <v>1424</v>
      </c>
      <c r="E391" s="28" t="s">
        <v>294</v>
      </c>
      <c r="F391" s="28">
        <v>22610</v>
      </c>
      <c r="G391" s="28">
        <v>38.814979999999998</v>
      </c>
      <c r="H391" s="28">
        <v>-78.2834</v>
      </c>
      <c r="I391" s="28"/>
      <c r="J391" s="61">
        <v>110054919406</v>
      </c>
      <c r="K391" s="28" t="s">
        <v>6750</v>
      </c>
      <c r="L391" s="28"/>
      <c r="M391" s="28"/>
      <c r="N391" s="28"/>
      <c r="O391" s="28"/>
      <c r="P391" s="28"/>
      <c r="Q391" s="28" t="s">
        <v>265</v>
      </c>
      <c r="R391" s="28">
        <v>250</v>
      </c>
      <c r="S391" s="60" t="s">
        <v>1465</v>
      </c>
      <c r="T391" s="203" t="str">
        <f>IF(COUNTIF('Raw TRI Data'!$K:$K,J391)&gt;0, "X", "")</f>
        <v/>
      </c>
    </row>
    <row r="392" spans="1:20" x14ac:dyDescent="0.25">
      <c r="A392" s="28">
        <f t="shared" si="6"/>
        <v>391</v>
      </c>
      <c r="B392" s="28" t="s">
        <v>6853</v>
      </c>
      <c r="C392" s="28" t="s">
        <v>7012</v>
      </c>
      <c r="D392" s="28" t="s">
        <v>1147</v>
      </c>
      <c r="E392" s="28" t="s">
        <v>491</v>
      </c>
      <c r="F392" s="28">
        <v>19067</v>
      </c>
      <c r="G392" s="28">
        <v>40.159343999999997</v>
      </c>
      <c r="H392" s="28">
        <v>-74.776695000000004</v>
      </c>
      <c r="I392" s="28"/>
      <c r="J392" s="61">
        <v>110000817439</v>
      </c>
      <c r="K392" s="28" t="s">
        <v>6750</v>
      </c>
      <c r="L392" s="28"/>
      <c r="M392" s="28"/>
      <c r="N392" s="28"/>
      <c r="O392" s="28"/>
      <c r="P392" s="28"/>
      <c r="Q392" s="28" t="s">
        <v>265</v>
      </c>
      <c r="R392" s="28">
        <v>250</v>
      </c>
      <c r="S392" s="60" t="s">
        <v>1465</v>
      </c>
      <c r="T392" s="203" t="str">
        <f>IF(COUNTIF('Raw TRI Data'!$K:$K,J392)&gt;0, "X", "")</f>
        <v/>
      </c>
    </row>
    <row r="393" spans="1:20" x14ac:dyDescent="0.25">
      <c r="A393" s="28">
        <f t="shared" si="6"/>
        <v>392</v>
      </c>
      <c r="B393" s="28" t="s">
        <v>1427</v>
      </c>
      <c r="C393" s="28" t="s">
        <v>2359</v>
      </c>
      <c r="D393" s="28" t="s">
        <v>1265</v>
      </c>
      <c r="E393" s="28" t="s">
        <v>366</v>
      </c>
      <c r="F393" s="28">
        <v>94806</v>
      </c>
      <c r="G393" s="28">
        <v>37.977150000000002</v>
      </c>
      <c r="H393" s="28">
        <v>-122.33269</v>
      </c>
      <c r="I393" s="28"/>
      <c r="J393" s="61">
        <v>110064252419</v>
      </c>
      <c r="K393" s="28" t="s">
        <v>263</v>
      </c>
      <c r="L393" s="28"/>
      <c r="M393" s="28"/>
      <c r="N393" s="28"/>
      <c r="O393" s="28"/>
      <c r="P393" s="28"/>
      <c r="Q393" s="28" t="s">
        <v>265</v>
      </c>
      <c r="R393" s="28">
        <f>VLOOKUP(K393,OES!$A:$B, 2, FALSE)</f>
        <v>365</v>
      </c>
      <c r="S393" s="60" t="s">
        <v>1465</v>
      </c>
      <c r="T393" s="203" t="str">
        <f>IF(COUNTIF('Raw TRI Data'!$K:$K,J393)&gt;0, "X", "")</f>
        <v/>
      </c>
    </row>
    <row r="394" spans="1:20" x14ac:dyDescent="0.25">
      <c r="A394" s="28">
        <f t="shared" si="6"/>
        <v>393</v>
      </c>
      <c r="B394" s="28" t="s">
        <v>1428</v>
      </c>
      <c r="C394" s="28" t="s">
        <v>2362</v>
      </c>
      <c r="D394" s="28" t="s">
        <v>337</v>
      </c>
      <c r="E394" s="28" t="s">
        <v>338</v>
      </c>
      <c r="F394" s="28">
        <v>8066</v>
      </c>
      <c r="G394" s="28">
        <v>39.837310000000002</v>
      </c>
      <c r="H394" s="28">
        <v>-75.224580000000003</v>
      </c>
      <c r="I394" s="28"/>
      <c r="J394" s="61">
        <v>110010354810</v>
      </c>
      <c r="K394" s="28" t="s">
        <v>265</v>
      </c>
      <c r="L394" s="28"/>
      <c r="M394" s="28"/>
      <c r="N394" s="28"/>
      <c r="O394" s="28"/>
      <c r="P394" s="28"/>
      <c r="Q394" s="28" t="s">
        <v>265</v>
      </c>
      <c r="R394" s="28">
        <f>VLOOKUP(K394,OES!$A:$B, 2, FALSE)</f>
        <v>250</v>
      </c>
      <c r="S394" s="60" t="s">
        <v>1465</v>
      </c>
      <c r="T394" s="203" t="str">
        <f>IF(COUNTIF('Raw TRI Data'!$K:$K,J394)&gt;0, "X", "")</f>
        <v/>
      </c>
    </row>
    <row r="395" spans="1:20" x14ac:dyDescent="0.25">
      <c r="A395" s="28">
        <f t="shared" si="6"/>
        <v>394</v>
      </c>
      <c r="B395" s="28" t="s">
        <v>1432</v>
      </c>
      <c r="C395" s="28" t="s">
        <v>2371</v>
      </c>
      <c r="D395" s="28" t="s">
        <v>1433</v>
      </c>
      <c r="E395" s="28" t="s">
        <v>324</v>
      </c>
      <c r="F395" s="28">
        <v>40769</v>
      </c>
      <c r="G395" s="28">
        <v>36.747222000000001</v>
      </c>
      <c r="H395" s="28">
        <v>-84.171943999999996</v>
      </c>
      <c r="I395" s="28"/>
      <c r="J395" s="61">
        <v>110006751737</v>
      </c>
      <c r="K395" s="28" t="s">
        <v>263</v>
      </c>
      <c r="L395" s="28"/>
      <c r="M395" s="28"/>
      <c r="N395" s="28"/>
      <c r="O395" s="28"/>
      <c r="P395" s="28"/>
      <c r="Q395" s="28" t="s">
        <v>265</v>
      </c>
      <c r="R395" s="28">
        <f>VLOOKUP(K395,OES!$A:$B, 2, FALSE)</f>
        <v>365</v>
      </c>
      <c r="S395" s="60" t="s">
        <v>1465</v>
      </c>
      <c r="T395" s="203" t="str">
        <f>IF(COUNTIF('Raw TRI Data'!$K:$K,J395)&gt;0, "X", "")</f>
        <v/>
      </c>
    </row>
    <row r="396" spans="1:20" x14ac:dyDescent="0.25">
      <c r="A396" s="28">
        <f t="shared" si="6"/>
        <v>395</v>
      </c>
      <c r="B396" s="28" t="s">
        <v>1434</v>
      </c>
      <c r="C396" s="28" t="s">
        <v>2374</v>
      </c>
      <c r="D396" s="28" t="s">
        <v>1435</v>
      </c>
      <c r="E396" s="28" t="s">
        <v>324</v>
      </c>
      <c r="F396" s="28">
        <v>41097</v>
      </c>
      <c r="G396" s="28">
        <v>38.631208000000001</v>
      </c>
      <c r="H396" s="28">
        <v>-84.618809999999996</v>
      </c>
      <c r="I396" s="28"/>
      <c r="J396" s="61">
        <v>110045091379</v>
      </c>
      <c r="K396" s="28" t="s">
        <v>263</v>
      </c>
      <c r="L396" s="28"/>
      <c r="M396" s="28"/>
      <c r="N396" s="28"/>
      <c r="O396" s="28"/>
      <c r="P396" s="28"/>
      <c r="Q396" s="28" t="s">
        <v>265</v>
      </c>
      <c r="R396" s="28">
        <f>VLOOKUP(K396,OES!$A:$B, 2, FALSE)</f>
        <v>365</v>
      </c>
      <c r="S396" s="60" t="s">
        <v>1465</v>
      </c>
      <c r="T396" s="203" t="str">
        <f>IF(COUNTIF('Raw TRI Data'!$K:$K,J396)&gt;0, "X", "")</f>
        <v/>
      </c>
    </row>
    <row r="397" spans="1:20" x14ac:dyDescent="0.25">
      <c r="A397" s="28">
        <f t="shared" si="6"/>
        <v>396</v>
      </c>
      <c r="B397" s="28" t="s">
        <v>6810</v>
      </c>
      <c r="C397" s="28" t="s">
        <v>6963</v>
      </c>
      <c r="D397" s="28" t="s">
        <v>1437</v>
      </c>
      <c r="E397" s="28" t="s">
        <v>324</v>
      </c>
      <c r="F397" s="28" t="s">
        <v>6964</v>
      </c>
      <c r="G397" s="28">
        <v>38.041639000000004</v>
      </c>
      <c r="H397" s="28">
        <v>-84.208667000000005</v>
      </c>
      <c r="I397" s="28"/>
      <c r="J397" s="61">
        <v>110000542896</v>
      </c>
      <c r="K397" s="28" t="s">
        <v>263</v>
      </c>
      <c r="L397" s="28"/>
      <c r="M397" s="28"/>
      <c r="N397" s="28"/>
      <c r="O397" s="28"/>
      <c r="P397" s="28"/>
      <c r="Q397" s="28" t="s">
        <v>265</v>
      </c>
      <c r="R397" s="28">
        <f>VLOOKUP(K397,OES!$A:$B, 2, FALSE)</f>
        <v>365</v>
      </c>
      <c r="S397" s="60" t="s">
        <v>1465</v>
      </c>
      <c r="T397" s="203" t="str">
        <f>IF(COUNTIF('Raw TRI Data'!$K:$K,J397)&gt;0, "X", "")</f>
        <v/>
      </c>
    </row>
    <row r="398" spans="1:20" x14ac:dyDescent="0.25">
      <c r="A398" s="28">
        <f t="shared" si="6"/>
        <v>397</v>
      </c>
      <c r="B398" s="28" t="s">
        <v>1436</v>
      </c>
      <c r="C398" s="28" t="s">
        <v>2377</v>
      </c>
      <c r="D398" s="28" t="s">
        <v>1437</v>
      </c>
      <c r="E398" s="28" t="s">
        <v>324</v>
      </c>
      <c r="F398" s="28">
        <v>40392</v>
      </c>
      <c r="G398" s="28">
        <v>37.915556000000002</v>
      </c>
      <c r="H398" s="28">
        <v>-84.268332999999998</v>
      </c>
      <c r="I398" s="28"/>
      <c r="J398" s="61">
        <v>110064596361</v>
      </c>
      <c r="K398" s="28" t="s">
        <v>263</v>
      </c>
      <c r="L398" s="28"/>
      <c r="M398" s="28"/>
      <c r="N398" s="28"/>
      <c r="O398" s="28"/>
      <c r="P398" s="28"/>
      <c r="Q398" s="28" t="s">
        <v>265</v>
      </c>
      <c r="R398" s="28">
        <f>VLOOKUP(K398,OES!$A:$B, 2, FALSE)</f>
        <v>365</v>
      </c>
      <c r="S398" s="60" t="s">
        <v>1465</v>
      </c>
      <c r="T398" s="203" t="str">
        <f>IF(COUNTIF('Raw TRI Data'!$K:$K,J398)&gt;0, "X", "")</f>
        <v/>
      </c>
    </row>
    <row r="399" spans="1:20" x14ac:dyDescent="0.25">
      <c r="A399" s="28">
        <f t="shared" si="6"/>
        <v>398</v>
      </c>
      <c r="B399" s="28" t="s">
        <v>1438</v>
      </c>
      <c r="C399" s="28" t="s">
        <v>2380</v>
      </c>
      <c r="D399" s="28" t="s">
        <v>1439</v>
      </c>
      <c r="E399" s="28" t="s">
        <v>374</v>
      </c>
      <c r="F399" s="28">
        <v>86504</v>
      </c>
      <c r="G399" s="28">
        <v>35.639462000000002</v>
      </c>
      <c r="H399" s="28">
        <v>-109.080927</v>
      </c>
      <c r="I399" s="28"/>
      <c r="J399" s="61">
        <v>110024409433</v>
      </c>
      <c r="K399" s="28" t="s">
        <v>263</v>
      </c>
      <c r="L399" s="28"/>
      <c r="M399" s="28"/>
      <c r="N399" s="28"/>
      <c r="O399" s="28"/>
      <c r="P399" s="28"/>
      <c r="Q399" s="28" t="s">
        <v>265</v>
      </c>
      <c r="R399" s="28">
        <f>VLOOKUP(K399,OES!$A:$B, 2, FALSE)</f>
        <v>365</v>
      </c>
      <c r="S399" s="60" t="s">
        <v>1465</v>
      </c>
      <c r="T399" s="203" t="str">
        <f>IF(COUNTIF('Raw TRI Data'!$K:$K,J399)&gt;0, "X", "")</f>
        <v/>
      </c>
    </row>
    <row r="400" spans="1:20" x14ac:dyDescent="0.25">
      <c r="A400" s="28">
        <f t="shared" si="6"/>
        <v>399</v>
      </c>
      <c r="B400" s="28" t="s">
        <v>1440</v>
      </c>
      <c r="C400" s="28" t="s">
        <v>2382</v>
      </c>
      <c r="D400" s="28" t="s">
        <v>1441</v>
      </c>
      <c r="E400" s="28" t="s">
        <v>366</v>
      </c>
      <c r="F400" s="28">
        <v>95776</v>
      </c>
      <c r="G400" s="28">
        <v>38.662149999999997</v>
      </c>
      <c r="H400" s="28">
        <v>-121.71407000000001</v>
      </c>
      <c r="I400" s="28"/>
      <c r="J400" s="61">
        <v>110039782349</v>
      </c>
      <c r="K400" s="28" t="s">
        <v>263</v>
      </c>
      <c r="L400" s="28"/>
      <c r="M400" s="28"/>
      <c r="N400" s="28"/>
      <c r="O400" s="28"/>
      <c r="P400" s="28"/>
      <c r="Q400" s="28" t="s">
        <v>265</v>
      </c>
      <c r="R400" s="28">
        <f>VLOOKUP(K400,OES!$A:$B, 2, FALSE)</f>
        <v>365</v>
      </c>
      <c r="S400" s="60" t="s">
        <v>1465</v>
      </c>
      <c r="T400" s="203" t="str">
        <f>IF(COUNTIF('Raw TRI Data'!$K:$K,J400)&gt;0, "X", "")</f>
        <v/>
      </c>
    </row>
    <row r="401" spans="1:20" x14ac:dyDescent="0.25">
      <c r="A401" s="28">
        <f t="shared" si="6"/>
        <v>400</v>
      </c>
      <c r="B401" s="28" t="s">
        <v>6773</v>
      </c>
      <c r="C401" s="28" t="s">
        <v>2386</v>
      </c>
      <c r="D401" s="28" t="s">
        <v>1443</v>
      </c>
      <c r="E401" s="28" t="s">
        <v>450</v>
      </c>
      <c r="F401" s="28">
        <v>14580</v>
      </c>
      <c r="G401" s="28">
        <v>43.227834000000001</v>
      </c>
      <c r="H401" s="28">
        <v>-77.411534000000003</v>
      </c>
      <c r="I401" s="28" t="s">
        <v>740</v>
      </c>
      <c r="J401" s="61">
        <v>110000327799</v>
      </c>
      <c r="K401" s="28" t="s">
        <v>265</v>
      </c>
      <c r="L401" s="28"/>
      <c r="M401" s="28"/>
      <c r="N401" s="28"/>
      <c r="O401" s="28"/>
      <c r="P401" s="28"/>
      <c r="Q401" s="28" t="s">
        <v>265</v>
      </c>
      <c r="R401" s="28">
        <f>VLOOKUP(K401,OES!$A:$B, 2, FALSE)</f>
        <v>250</v>
      </c>
      <c r="S401" s="60" t="s">
        <v>1465</v>
      </c>
      <c r="T401" s="203" t="str">
        <f>IF(COUNTIF('Raw TRI Data'!$K:$K,J401)&gt;0, "X", "")</f>
        <v/>
      </c>
    </row>
    <row r="402" spans="1:20" x14ac:dyDescent="0.25">
      <c r="A402" s="28">
        <f t="shared" si="6"/>
        <v>401</v>
      </c>
      <c r="B402" s="28" t="s">
        <v>6879</v>
      </c>
      <c r="C402" s="28" t="s">
        <v>7054</v>
      </c>
      <c r="D402" s="28" t="s">
        <v>7055</v>
      </c>
      <c r="E402" s="28" t="s">
        <v>338</v>
      </c>
      <c r="F402" s="28" t="s">
        <v>7099</v>
      </c>
      <c r="G402" s="28">
        <v>40.823860000000003</v>
      </c>
      <c r="H402" s="28">
        <v>-73.989034000000004</v>
      </c>
      <c r="I402" s="28"/>
      <c r="J402" s="61">
        <v>110004143524</v>
      </c>
      <c r="K402" s="28" t="s">
        <v>265</v>
      </c>
      <c r="L402" s="28"/>
      <c r="M402" s="28"/>
      <c r="N402" s="28"/>
      <c r="O402" s="28"/>
      <c r="P402" s="28"/>
      <c r="Q402" s="28" t="s">
        <v>265</v>
      </c>
      <c r="R402" s="28">
        <f>VLOOKUP(K402,OES!$A:$B, 2, FALSE)</f>
        <v>250</v>
      </c>
      <c r="S402" s="60" t="s">
        <v>1465</v>
      </c>
      <c r="T402" s="203" t="str">
        <f>IF(COUNTIF('Raw TRI Data'!$K:$K,J402)&gt;0, "X", "")</f>
        <v/>
      </c>
    </row>
    <row r="403" spans="1:20" x14ac:dyDescent="0.25">
      <c r="A403" s="28">
        <f t="shared" si="6"/>
        <v>402</v>
      </c>
      <c r="B403" s="28" t="s">
        <v>208</v>
      </c>
      <c r="C403" s="28" t="s">
        <v>425</v>
      </c>
      <c r="D403" s="28" t="s">
        <v>426</v>
      </c>
      <c r="E403" s="28" t="s">
        <v>427</v>
      </c>
      <c r="F403" s="28">
        <v>48640</v>
      </c>
      <c r="G403" s="28">
        <v>43.601944000000003</v>
      </c>
      <c r="H403" s="28">
        <v>-84.235556000000003</v>
      </c>
      <c r="I403" s="28" t="s">
        <v>428</v>
      </c>
      <c r="J403" s="61">
        <v>110070540611</v>
      </c>
      <c r="K403" s="28" t="s">
        <v>254</v>
      </c>
      <c r="L403" s="28"/>
      <c r="M403" s="28"/>
      <c r="N403" s="28"/>
      <c r="O403" s="28"/>
      <c r="P403" s="28"/>
      <c r="Q403" s="28" t="s">
        <v>265</v>
      </c>
      <c r="R403" s="28">
        <f>VLOOKUP(K403,OES!$A:$B, 2, FALSE)</f>
        <v>300</v>
      </c>
      <c r="S403" s="60" t="str">
        <f>IF(COUNTIF('Raw Annual DMR Data_2021-2024'!L:L,J403)&gt;0, "X", "")</f>
        <v/>
      </c>
      <c r="T403" s="203" t="str">
        <f>IF(COUNTIF('Raw TRI Data'!$K:$K,J403)&gt;0, "X", "")</f>
        <v>X</v>
      </c>
    </row>
    <row r="404" spans="1:20" x14ac:dyDescent="0.25">
      <c r="A404" s="28">
        <f t="shared" si="6"/>
        <v>403</v>
      </c>
      <c r="B404" s="28" t="s">
        <v>217</v>
      </c>
      <c r="C404" s="28" t="s">
        <v>592</v>
      </c>
      <c r="D404" s="28" t="s">
        <v>590</v>
      </c>
      <c r="E404" s="28" t="s">
        <v>362</v>
      </c>
      <c r="F404" s="28">
        <v>77536</v>
      </c>
      <c r="G404" s="28">
        <v>29.728559000000001</v>
      </c>
      <c r="H404" s="28">
        <v>-95.110764000000003</v>
      </c>
      <c r="I404" s="28" t="s">
        <v>593</v>
      </c>
      <c r="J404" s="61">
        <v>110070827819</v>
      </c>
      <c r="K404" s="28" t="s">
        <v>251</v>
      </c>
      <c r="L404" s="28"/>
      <c r="M404" s="28"/>
      <c r="N404" s="28"/>
      <c r="O404" s="28"/>
      <c r="P404" s="28"/>
      <c r="Q404" s="28" t="s">
        <v>265</v>
      </c>
      <c r="R404" s="28">
        <f>VLOOKUP(K404,OES!$A:$B, 2, FALSE)</f>
        <v>350</v>
      </c>
      <c r="S404" s="60" t="str">
        <f>IF(COUNTIF('Raw Annual DMR Data_2021-2024'!L:L,J404)&gt;0, "X", "")</f>
        <v/>
      </c>
      <c r="T404" s="203" t="str">
        <f>IF(COUNTIF('Raw TRI Data'!$K:$K,J404)&gt;0, "X", "")</f>
        <v>X</v>
      </c>
    </row>
    <row r="405" spans="1:20" x14ac:dyDescent="0.25">
      <c r="A405" s="28">
        <f t="shared" si="6"/>
        <v>404</v>
      </c>
      <c r="B405" s="28" t="s">
        <v>86</v>
      </c>
      <c r="C405" s="28" t="s">
        <v>6269</v>
      </c>
      <c r="D405" s="28" t="s">
        <v>334</v>
      </c>
      <c r="E405" s="28" t="s">
        <v>303</v>
      </c>
      <c r="F405" s="28">
        <v>70764</v>
      </c>
      <c r="G405" s="28">
        <v>30.259399999999999</v>
      </c>
      <c r="H405" s="28">
        <v>-91.173699999999997</v>
      </c>
      <c r="I405" s="28" t="s">
        <v>6268</v>
      </c>
      <c r="J405" s="61">
        <v>110000572675</v>
      </c>
      <c r="K405" s="28" t="s">
        <v>251</v>
      </c>
      <c r="L405" s="28"/>
      <c r="M405" s="28"/>
      <c r="N405" s="28"/>
      <c r="O405" s="28"/>
      <c r="P405" s="28"/>
      <c r="Q405" s="28" t="s">
        <v>265</v>
      </c>
      <c r="R405" s="28">
        <f>VLOOKUP(K405,OES!$A:$B, 2, FALSE)</f>
        <v>350</v>
      </c>
      <c r="S405" s="60" t="str">
        <f>IF(COUNTIF('Raw Annual DMR Data_2021-2024'!L:L,J405)&gt;0, "X", "")</f>
        <v/>
      </c>
      <c r="T405" s="203" t="str">
        <f>IF(COUNTIF('Raw TRI Data'!$K:$K,J405)&gt;0, "X", "")</f>
        <v>X</v>
      </c>
    </row>
    <row r="406" spans="1:20" x14ac:dyDescent="0.25">
      <c r="A406" s="28">
        <f t="shared" si="6"/>
        <v>405</v>
      </c>
      <c r="B406" s="28" t="s">
        <v>7362</v>
      </c>
      <c r="C406" s="28" t="s">
        <v>663</v>
      </c>
      <c r="D406" s="28" t="s">
        <v>446</v>
      </c>
      <c r="E406" s="28" t="s">
        <v>303</v>
      </c>
      <c r="F406" s="28">
        <v>70669</v>
      </c>
      <c r="G406" s="28">
        <v>30.252222</v>
      </c>
      <c r="H406" s="28">
        <v>-93.284443999999993</v>
      </c>
      <c r="I406" s="28" t="s">
        <v>664</v>
      </c>
      <c r="J406" s="61">
        <v>110070228618</v>
      </c>
      <c r="K406" s="28" t="s">
        <v>251</v>
      </c>
      <c r="L406" s="28"/>
      <c r="M406" s="28"/>
      <c r="N406" s="28"/>
      <c r="O406" s="28"/>
      <c r="P406" s="28"/>
      <c r="Q406" s="28" t="s">
        <v>265</v>
      </c>
      <c r="R406" s="28">
        <f>VLOOKUP(K406,OES!$A:$B, 2, FALSE)</f>
        <v>350</v>
      </c>
      <c r="S406" s="60" t="str">
        <f>IF(COUNTIF('Raw Annual DMR Data_2021-2024'!L:L,J406)&gt;0, "X", "")</f>
        <v/>
      </c>
      <c r="T406" s="203" t="str">
        <f>IF(COUNTIF('Raw TRI Data'!$K:$K,J406)&gt;0, "X", "")</f>
        <v>X</v>
      </c>
    </row>
    <row r="407" spans="1:20" x14ac:dyDescent="0.25">
      <c r="A407" s="28">
        <f t="shared" si="6"/>
        <v>406</v>
      </c>
      <c r="B407" s="28" t="s">
        <v>961</v>
      </c>
      <c r="C407" s="28"/>
      <c r="D407" s="28" t="s">
        <v>962</v>
      </c>
      <c r="E407" s="28" t="s">
        <v>374</v>
      </c>
      <c r="F407" s="28"/>
      <c r="G407" s="28"/>
      <c r="H407" s="28"/>
      <c r="I407" s="28"/>
      <c r="J407" s="61">
        <v>110000509851</v>
      </c>
      <c r="K407" s="28" t="str">
        <f>VLOOKUP(J407, 'Raw Annual DMR Data'!$A:$M, 13, FALSE)</f>
        <v>POTW</v>
      </c>
      <c r="L407" s="28"/>
      <c r="M407" s="28"/>
      <c r="N407" s="28"/>
      <c r="O407" s="28"/>
      <c r="P407" s="28"/>
      <c r="Q407" s="28" t="s">
        <v>265</v>
      </c>
      <c r="R407" s="28">
        <f>VLOOKUP(K407,OES!$A:$B, 2, FALSE)</f>
        <v>365</v>
      </c>
      <c r="S407" s="60" t="s">
        <v>1465</v>
      </c>
      <c r="T407" s="203" t="str">
        <f>IF(COUNTIF('Raw TRI Data'!$K:$K,J407)&gt;0, "X", "")</f>
        <v/>
      </c>
    </row>
    <row r="408" spans="1:20" x14ac:dyDescent="0.25">
      <c r="A408" s="28">
        <f t="shared" si="6"/>
        <v>407</v>
      </c>
      <c r="B408" s="28" t="s">
        <v>963</v>
      </c>
      <c r="C408" s="28"/>
      <c r="D408" s="28" t="s">
        <v>964</v>
      </c>
      <c r="E408" s="28" t="s">
        <v>374</v>
      </c>
      <c r="F408" s="28"/>
      <c r="G408" s="28"/>
      <c r="H408" s="28"/>
      <c r="I408" s="28"/>
      <c r="J408" s="61">
        <v>110002042021</v>
      </c>
      <c r="K408" s="28" t="str">
        <f>VLOOKUP(J408, 'Raw Annual DMR Data'!$A:$M, 13, FALSE)</f>
        <v>POTW</v>
      </c>
      <c r="L408" s="28"/>
      <c r="M408" s="28"/>
      <c r="N408" s="28"/>
      <c r="O408" s="28"/>
      <c r="P408" s="28"/>
      <c r="Q408" s="28" t="s">
        <v>265</v>
      </c>
      <c r="R408" s="28">
        <f>VLOOKUP(K408,OES!$A:$B, 2, FALSE)</f>
        <v>365</v>
      </c>
      <c r="S408" s="60" t="s">
        <v>1465</v>
      </c>
      <c r="T408" s="203" t="str">
        <f>IF(COUNTIF('Raw TRI Data'!$K:$K,J408)&gt;0, "X", "")</f>
        <v/>
      </c>
    </row>
    <row r="409" spans="1:20" x14ac:dyDescent="0.25">
      <c r="A409" s="28">
        <f t="shared" si="6"/>
        <v>408</v>
      </c>
      <c r="B409" s="28" t="s">
        <v>967</v>
      </c>
      <c r="C409" s="28"/>
      <c r="D409" s="28" t="s">
        <v>968</v>
      </c>
      <c r="E409" s="28" t="s">
        <v>294</v>
      </c>
      <c r="F409" s="28"/>
      <c r="G409" s="28"/>
      <c r="H409" s="28"/>
      <c r="I409" s="28"/>
      <c r="J409" s="61">
        <v>110070885683</v>
      </c>
      <c r="K409" s="28" t="str">
        <f>VLOOKUP(J409, 'Raw Annual DMR Data'!$A:$M, 13, FALSE)</f>
        <v>Unknown</v>
      </c>
      <c r="L409" s="28"/>
      <c r="M409" s="28"/>
      <c r="N409" s="28"/>
      <c r="O409" s="28"/>
      <c r="P409" s="28"/>
      <c r="Q409" s="28" t="s">
        <v>265</v>
      </c>
      <c r="R409" s="28">
        <f>VLOOKUP(K409,OES!$A:$B, 2, FALSE)</f>
        <v>250</v>
      </c>
      <c r="S409" s="60" t="s">
        <v>1465</v>
      </c>
      <c r="T409" s="203" t="str">
        <f>IF(COUNTIF('Raw TRI Data'!$K:$K,J409)&gt;0, "X", "")</f>
        <v/>
      </c>
    </row>
    <row r="410" spans="1:20" x14ac:dyDescent="0.25">
      <c r="A410" s="28">
        <f t="shared" si="6"/>
        <v>409</v>
      </c>
      <c r="B410" s="28" t="s">
        <v>969</v>
      </c>
      <c r="C410" s="28"/>
      <c r="D410" s="28" t="s">
        <v>293</v>
      </c>
      <c r="E410" s="28" t="s">
        <v>294</v>
      </c>
      <c r="F410" s="28"/>
      <c r="G410" s="28"/>
      <c r="H410" s="28"/>
      <c r="I410" s="28"/>
      <c r="J410" s="61">
        <v>110070545578</v>
      </c>
      <c r="K410" s="28" t="str">
        <f>VLOOKUP(J410, 'Raw Annual DMR Data'!$A:$M, 13, FALSE)</f>
        <v>Unknown</v>
      </c>
      <c r="L410" s="28"/>
      <c r="M410" s="28"/>
      <c r="N410" s="28"/>
      <c r="O410" s="28"/>
      <c r="P410" s="28"/>
      <c r="Q410" s="28" t="s">
        <v>265</v>
      </c>
      <c r="R410" s="28">
        <f>VLOOKUP(K410,OES!$A:$B, 2, FALSE)</f>
        <v>250</v>
      </c>
      <c r="S410" s="60" t="s">
        <v>1465</v>
      </c>
      <c r="T410" s="203" t="str">
        <f>IF(COUNTIF('Raw TRI Data'!$K:$K,J410)&gt;0, "X", "")</f>
        <v/>
      </c>
    </row>
    <row r="411" spans="1:20" x14ac:dyDescent="0.25">
      <c r="A411" s="28">
        <f t="shared" si="6"/>
        <v>410</v>
      </c>
      <c r="B411" s="28" t="s">
        <v>970</v>
      </c>
      <c r="C411" s="28"/>
      <c r="D411" s="28" t="s">
        <v>962</v>
      </c>
      <c r="E411" s="28" t="s">
        <v>374</v>
      </c>
      <c r="F411" s="28"/>
      <c r="G411" s="28"/>
      <c r="H411" s="28"/>
      <c r="I411" s="28"/>
      <c r="J411" s="61">
        <v>110015943559</v>
      </c>
      <c r="K411" s="28" t="str">
        <f>VLOOKUP(J411, 'Raw Annual DMR Data'!$A:$M, 13, FALSE)</f>
        <v>POTW</v>
      </c>
      <c r="L411" s="28"/>
      <c r="M411" s="28"/>
      <c r="N411" s="28"/>
      <c r="O411" s="28"/>
      <c r="P411" s="28"/>
      <c r="Q411" s="28" t="s">
        <v>265</v>
      </c>
      <c r="R411" s="28">
        <f>VLOOKUP(K411,OES!$A:$B, 2, FALSE)</f>
        <v>365</v>
      </c>
      <c r="S411" s="60" t="s">
        <v>1465</v>
      </c>
      <c r="T411" s="203" t="str">
        <f>IF(COUNTIF('Raw TRI Data'!$K:$K,J411)&gt;0, "X", "")</f>
        <v/>
      </c>
    </row>
    <row r="412" spans="1:20" x14ac:dyDescent="0.25">
      <c r="A412" s="28">
        <f t="shared" si="6"/>
        <v>411</v>
      </c>
      <c r="B412" s="28" t="s">
        <v>971</v>
      </c>
      <c r="C412" s="28"/>
      <c r="D412" s="28" t="s">
        <v>972</v>
      </c>
      <c r="E412" s="28" t="s">
        <v>374</v>
      </c>
      <c r="F412" s="28"/>
      <c r="G412" s="28"/>
      <c r="H412" s="28"/>
      <c r="I412" s="28"/>
      <c r="J412" s="61">
        <v>110010062314</v>
      </c>
      <c r="K412" s="28" t="str">
        <f>VLOOKUP(J412, 'Raw Annual DMR Data'!$A:$M, 13, FALSE)</f>
        <v>POTW</v>
      </c>
      <c r="L412" s="28"/>
      <c r="M412" s="28"/>
      <c r="N412" s="28"/>
      <c r="O412" s="28"/>
      <c r="P412" s="28"/>
      <c r="Q412" s="28" t="s">
        <v>265</v>
      </c>
      <c r="R412" s="28">
        <f>VLOOKUP(K412,OES!$A:$B, 2, FALSE)</f>
        <v>365</v>
      </c>
      <c r="S412" s="60" t="s">
        <v>1465</v>
      </c>
      <c r="T412" s="203" t="str">
        <f>IF(COUNTIF('Raw TRI Data'!$K:$K,J412)&gt;0, "X", "")</f>
        <v/>
      </c>
    </row>
    <row r="413" spans="1:20" x14ac:dyDescent="0.25">
      <c r="A413" s="28">
        <f t="shared" si="6"/>
        <v>412</v>
      </c>
      <c r="B413" s="28" t="s">
        <v>973</v>
      </c>
      <c r="C413" s="28"/>
      <c r="D413" s="28" t="s">
        <v>974</v>
      </c>
      <c r="E413" s="28" t="s">
        <v>541</v>
      </c>
      <c r="F413" s="28"/>
      <c r="G413" s="28"/>
      <c r="H413" s="28"/>
      <c r="I413" s="28" t="s">
        <v>698</v>
      </c>
      <c r="J413" s="61">
        <v>110000604490</v>
      </c>
      <c r="K413" s="28" t="str">
        <f>VLOOKUP(J413, 'Raw Annual DMR Data'!$A:$M, 13, FALSE)</f>
        <v>Unknown</v>
      </c>
      <c r="L413" s="28"/>
      <c r="M413" s="28"/>
      <c r="N413" s="28"/>
      <c r="O413" s="28"/>
      <c r="P413" s="28"/>
      <c r="Q413" s="28" t="s">
        <v>265</v>
      </c>
      <c r="R413" s="28">
        <f>VLOOKUP(K413,OES!$A:$B, 2, FALSE)</f>
        <v>250</v>
      </c>
      <c r="S413" s="60" t="s">
        <v>1465</v>
      </c>
      <c r="T413" s="203" t="str">
        <f>IF(COUNTIF('Raw TRI Data'!$K:$K,J413)&gt;0, "X", "")</f>
        <v/>
      </c>
    </row>
    <row r="414" spans="1:20" x14ac:dyDescent="0.25">
      <c r="A414" s="28">
        <f t="shared" si="6"/>
        <v>413</v>
      </c>
      <c r="B414" s="28" t="s">
        <v>975</v>
      </c>
      <c r="C414" s="28"/>
      <c r="D414" s="28" t="s">
        <v>976</v>
      </c>
      <c r="E414" s="28" t="s">
        <v>303</v>
      </c>
      <c r="F414" s="28"/>
      <c r="G414" s="28"/>
      <c r="H414" s="28"/>
      <c r="I414" s="28" t="s">
        <v>699</v>
      </c>
      <c r="J414" s="61">
        <v>110000597596</v>
      </c>
      <c r="K414" s="28" t="str">
        <f>VLOOKUP(J414, 'Raw Annual DMR Data'!$A:$M, 13, FALSE)</f>
        <v>Unknown</v>
      </c>
      <c r="L414" s="28"/>
      <c r="M414" s="28"/>
      <c r="N414" s="28"/>
      <c r="O414" s="28"/>
      <c r="P414" s="28"/>
      <c r="Q414" s="28" t="s">
        <v>265</v>
      </c>
      <c r="R414" s="28">
        <f>VLOOKUP(K414,OES!$A:$B, 2, FALSE)</f>
        <v>250</v>
      </c>
      <c r="S414" s="60" t="s">
        <v>1465</v>
      </c>
      <c r="T414" s="203" t="str">
        <f>IF(COUNTIF('Raw TRI Data'!$K:$K,J414)&gt;0, "X", "")</f>
        <v/>
      </c>
    </row>
    <row r="415" spans="1:20" x14ac:dyDescent="0.25">
      <c r="A415" s="28">
        <f t="shared" si="6"/>
        <v>414</v>
      </c>
      <c r="B415" s="28" t="s">
        <v>980</v>
      </c>
      <c r="C415" s="28"/>
      <c r="D415" s="28" t="s">
        <v>981</v>
      </c>
      <c r="E415" s="28" t="s">
        <v>324</v>
      </c>
      <c r="F415" s="28"/>
      <c r="G415" s="28"/>
      <c r="H415" s="28"/>
      <c r="I415" s="28"/>
      <c r="J415" s="61">
        <v>110003250277</v>
      </c>
      <c r="K415" s="28" t="str">
        <f>VLOOKUP(J415, 'Raw Annual DMR Data'!$A:$M, 13, FALSE)</f>
        <v>POTW</v>
      </c>
      <c r="L415" s="28"/>
      <c r="M415" s="28"/>
      <c r="N415" s="28"/>
      <c r="O415" s="28"/>
      <c r="P415" s="28"/>
      <c r="Q415" s="28" t="s">
        <v>265</v>
      </c>
      <c r="R415" s="28">
        <f>VLOOKUP(K415,OES!$A:$B, 2, FALSE)</f>
        <v>365</v>
      </c>
      <c r="S415" s="60" t="s">
        <v>1465</v>
      </c>
      <c r="T415" s="203" t="str">
        <f>IF(COUNTIF('Raw TRI Data'!$K:$K,J415)&gt;0, "X", "")</f>
        <v/>
      </c>
    </row>
    <row r="416" spans="1:20" x14ac:dyDescent="0.25">
      <c r="A416" s="28">
        <f t="shared" si="6"/>
        <v>415</v>
      </c>
      <c r="B416" s="28" t="s">
        <v>982</v>
      </c>
      <c r="C416" s="28"/>
      <c r="D416" s="28" t="s">
        <v>983</v>
      </c>
      <c r="E416" s="28" t="s">
        <v>374</v>
      </c>
      <c r="F416" s="28"/>
      <c r="G416" s="28"/>
      <c r="H416" s="28"/>
      <c r="I416" s="28"/>
      <c r="J416" s="61">
        <v>110022421789</v>
      </c>
      <c r="K416" s="28" t="str">
        <f>VLOOKUP(J416, 'Raw Annual DMR Data'!$A:$M, 13, FALSE)</f>
        <v>POTW</v>
      </c>
      <c r="L416" s="28"/>
      <c r="M416" s="28"/>
      <c r="N416" s="28"/>
      <c r="O416" s="28"/>
      <c r="P416" s="28"/>
      <c r="Q416" s="28" t="s">
        <v>265</v>
      </c>
      <c r="R416" s="28">
        <f>VLOOKUP(K416,OES!$A:$B, 2, FALSE)</f>
        <v>365</v>
      </c>
      <c r="S416" s="60" t="s">
        <v>1465</v>
      </c>
      <c r="T416" s="203" t="str">
        <f>IF(COUNTIF('Raw TRI Data'!$K:$K,J416)&gt;0, "X", "")</f>
        <v/>
      </c>
    </row>
    <row r="417" spans="1:20" x14ac:dyDescent="0.25">
      <c r="A417" s="28">
        <f t="shared" si="6"/>
        <v>416</v>
      </c>
      <c r="B417" s="28" t="s">
        <v>988</v>
      </c>
      <c r="C417" s="28"/>
      <c r="D417" s="28" t="s">
        <v>314</v>
      </c>
      <c r="E417" s="28" t="s">
        <v>303</v>
      </c>
      <c r="F417" s="28"/>
      <c r="G417" s="28"/>
      <c r="H417" s="28"/>
      <c r="I417" s="28" t="s">
        <v>702</v>
      </c>
      <c r="J417" s="61">
        <v>110000449266</v>
      </c>
      <c r="K417" s="28" t="str">
        <f>VLOOKUP(J417, 'Raw Annual DMR Data'!$A:$M, 13, FALSE)</f>
        <v>POTW</v>
      </c>
      <c r="L417" s="28"/>
      <c r="M417" s="28"/>
      <c r="N417" s="28"/>
      <c r="O417" s="28"/>
      <c r="P417" s="28"/>
      <c r="Q417" s="28" t="s">
        <v>265</v>
      </c>
      <c r="R417" s="28">
        <f>VLOOKUP(K417,OES!$A:$B, 2, FALSE)</f>
        <v>365</v>
      </c>
      <c r="S417" s="60" t="s">
        <v>1465</v>
      </c>
      <c r="T417" s="203" t="str">
        <f>IF(COUNTIF('Raw TRI Data'!$K:$K,J417)&gt;0, "X", "")</f>
        <v/>
      </c>
    </row>
    <row r="418" spans="1:20" x14ac:dyDescent="0.25">
      <c r="A418" s="28">
        <f t="shared" si="6"/>
        <v>417</v>
      </c>
      <c r="B418" s="28" t="s">
        <v>989</v>
      </c>
      <c r="C418" s="28"/>
      <c r="D418" s="28" t="s">
        <v>990</v>
      </c>
      <c r="E418" s="28" t="s">
        <v>362</v>
      </c>
      <c r="F418" s="28"/>
      <c r="G418" s="28"/>
      <c r="H418" s="28"/>
      <c r="I418" s="28" t="s">
        <v>703</v>
      </c>
      <c r="J418" s="61">
        <v>110000463533</v>
      </c>
      <c r="K418" s="28" t="str">
        <f>VLOOKUP(J418, 'Raw Annual DMR Data'!$A:$M, 13, FALSE)</f>
        <v>Unknown</v>
      </c>
      <c r="L418" s="28"/>
      <c r="M418" s="28"/>
      <c r="N418" s="28"/>
      <c r="O418" s="28"/>
      <c r="P418" s="28"/>
      <c r="Q418" s="28" t="s">
        <v>265</v>
      </c>
      <c r="R418" s="28">
        <f>VLOOKUP(K418,OES!$A:$B, 2, FALSE)</f>
        <v>250</v>
      </c>
      <c r="S418" s="60" t="s">
        <v>1465</v>
      </c>
      <c r="T418" s="203" t="str">
        <f>IF(COUNTIF('Raw TRI Data'!$K:$K,J418)&gt;0, "X", "")</f>
        <v/>
      </c>
    </row>
    <row r="419" spans="1:20" x14ac:dyDescent="0.25">
      <c r="A419" s="28">
        <f t="shared" si="6"/>
        <v>418</v>
      </c>
      <c r="B419" s="28" t="s">
        <v>993</v>
      </c>
      <c r="C419" s="28"/>
      <c r="D419" s="28" t="s">
        <v>994</v>
      </c>
      <c r="E419" s="28" t="s">
        <v>324</v>
      </c>
      <c r="F419" s="28"/>
      <c r="G419" s="28"/>
      <c r="H419" s="28"/>
      <c r="I419" s="28"/>
      <c r="J419" s="61">
        <v>110030443544</v>
      </c>
      <c r="K419" s="28" t="str">
        <f>VLOOKUP(J419, 'Raw Annual DMR Data'!$A:$M, 13, FALSE)</f>
        <v>POTW</v>
      </c>
      <c r="L419" s="28"/>
      <c r="M419" s="28"/>
      <c r="N419" s="28"/>
      <c r="O419" s="28"/>
      <c r="P419" s="28"/>
      <c r="Q419" s="28" t="s">
        <v>265</v>
      </c>
      <c r="R419" s="28">
        <f>VLOOKUP(K419,OES!$A:$B, 2, FALSE)</f>
        <v>365</v>
      </c>
      <c r="S419" s="60" t="s">
        <v>1465</v>
      </c>
      <c r="T419" s="203" t="str">
        <f>IF(COUNTIF('Raw TRI Data'!$K:$K,J419)&gt;0, "X", "")</f>
        <v/>
      </c>
    </row>
    <row r="420" spans="1:20" x14ac:dyDescent="0.25">
      <c r="A420" s="28">
        <f t="shared" si="6"/>
        <v>419</v>
      </c>
      <c r="B420" s="28" t="s">
        <v>995</v>
      </c>
      <c r="C420" s="28"/>
      <c r="D420" s="28" t="s">
        <v>615</v>
      </c>
      <c r="E420" s="28" t="s">
        <v>362</v>
      </c>
      <c r="F420" s="28"/>
      <c r="G420" s="28"/>
      <c r="H420" s="28"/>
      <c r="I420" s="28" t="s">
        <v>705</v>
      </c>
      <c r="J420" s="61">
        <v>110000463178</v>
      </c>
      <c r="K420" s="28" t="str">
        <f>VLOOKUP(J420, 'Raw Annual DMR Data'!$A:$M, 13, FALSE)</f>
        <v>Unknown</v>
      </c>
      <c r="L420" s="28"/>
      <c r="M420" s="28"/>
      <c r="N420" s="28"/>
      <c r="O420" s="28"/>
      <c r="P420" s="28"/>
      <c r="Q420" s="28" t="s">
        <v>265</v>
      </c>
      <c r="R420" s="28">
        <f>VLOOKUP(K420,OES!$A:$B, 2, FALSE)</f>
        <v>250</v>
      </c>
      <c r="S420" s="60" t="s">
        <v>1465</v>
      </c>
      <c r="T420" s="203" t="str">
        <f>IF(COUNTIF('Raw TRI Data'!$K:$K,J420)&gt;0, "X", "")</f>
        <v/>
      </c>
    </row>
    <row r="421" spans="1:20" x14ac:dyDescent="0.25">
      <c r="A421" s="28">
        <f t="shared" si="6"/>
        <v>420</v>
      </c>
      <c r="B421" s="28" t="s">
        <v>1009</v>
      </c>
      <c r="C421" s="28"/>
      <c r="D421" s="28" t="s">
        <v>1010</v>
      </c>
      <c r="E421" s="28" t="s">
        <v>366</v>
      </c>
      <c r="F421" s="28"/>
      <c r="G421" s="28"/>
      <c r="H421" s="28"/>
      <c r="I421" s="28"/>
      <c r="J421" s="61">
        <v>110013682942</v>
      </c>
      <c r="K421" s="28" t="str">
        <f>VLOOKUP(J421, 'Raw Annual DMR Data'!$A:$M, 13, FALSE)</f>
        <v>Unknown</v>
      </c>
      <c r="L421" s="28"/>
      <c r="M421" s="28"/>
      <c r="N421" s="28"/>
      <c r="O421" s="28"/>
      <c r="P421" s="28"/>
      <c r="Q421" s="28" t="s">
        <v>265</v>
      </c>
      <c r="R421" s="28">
        <f>VLOOKUP(K421,OES!$A:$B, 2, FALSE)</f>
        <v>250</v>
      </c>
      <c r="S421" s="60" t="s">
        <v>1465</v>
      </c>
      <c r="T421" s="203" t="str">
        <f>IF(COUNTIF('Raw TRI Data'!$K:$K,J421)&gt;0, "X", "")</f>
        <v/>
      </c>
    </row>
    <row r="422" spans="1:20" x14ac:dyDescent="0.25">
      <c r="A422" s="28">
        <f t="shared" si="6"/>
        <v>421</v>
      </c>
      <c r="B422" s="28" t="s">
        <v>1011</v>
      </c>
      <c r="C422" s="28"/>
      <c r="D422" s="28" t="s">
        <v>1012</v>
      </c>
      <c r="E422" s="28" t="s">
        <v>366</v>
      </c>
      <c r="F422" s="28"/>
      <c r="G422" s="28"/>
      <c r="H422" s="28"/>
      <c r="I422" s="28"/>
      <c r="J422" s="61">
        <v>110000746649</v>
      </c>
      <c r="K422" s="28" t="str">
        <f>VLOOKUP(J422, 'Raw Annual DMR Data'!$A:$M, 13, FALSE)</f>
        <v>Unknown</v>
      </c>
      <c r="L422" s="28"/>
      <c r="M422" s="28"/>
      <c r="N422" s="28"/>
      <c r="O422" s="28"/>
      <c r="P422" s="28"/>
      <c r="Q422" s="28" t="s">
        <v>265</v>
      </c>
      <c r="R422" s="28">
        <f>VLOOKUP(K422,OES!$A:$B, 2, FALSE)</f>
        <v>250</v>
      </c>
      <c r="S422" s="60" t="s">
        <v>1465</v>
      </c>
      <c r="T422" s="203" t="str">
        <f>IF(COUNTIF('Raw TRI Data'!$K:$K,J422)&gt;0, "X", "")</f>
        <v/>
      </c>
    </row>
    <row r="423" spans="1:20" x14ac:dyDescent="0.25">
      <c r="A423" s="28">
        <f t="shared" si="6"/>
        <v>422</v>
      </c>
      <c r="B423" s="28" t="s">
        <v>1015</v>
      </c>
      <c r="C423" s="28"/>
      <c r="D423" s="28" t="s">
        <v>1016</v>
      </c>
      <c r="E423" s="28" t="s">
        <v>366</v>
      </c>
      <c r="F423" s="28"/>
      <c r="G423" s="28"/>
      <c r="H423" s="28"/>
      <c r="I423" s="28"/>
      <c r="J423" s="61">
        <v>110005972965</v>
      </c>
      <c r="K423" s="291" t="s">
        <v>6750</v>
      </c>
      <c r="L423" s="28"/>
      <c r="M423" s="28"/>
      <c r="N423" s="28"/>
      <c r="O423" s="28"/>
      <c r="P423" s="28"/>
      <c r="Q423" s="28" t="s">
        <v>265</v>
      </c>
      <c r="R423" s="28" t="e">
        <f>VLOOKUP(K423,OES!$A:$B, 2, FALSE)</f>
        <v>#N/A</v>
      </c>
      <c r="S423" s="60" t="s">
        <v>1465</v>
      </c>
      <c r="T423" s="203" t="str">
        <f>IF(COUNTIF('Raw TRI Data'!$K:$K,J423)&gt;0, "X", "")</f>
        <v/>
      </c>
    </row>
    <row r="424" spans="1:20" x14ac:dyDescent="0.25">
      <c r="A424" s="28">
        <f t="shared" si="6"/>
        <v>423</v>
      </c>
      <c r="B424" s="28" t="s">
        <v>1019</v>
      </c>
      <c r="C424" s="28"/>
      <c r="D424" s="28" t="s">
        <v>1020</v>
      </c>
      <c r="E424" s="28" t="s">
        <v>324</v>
      </c>
      <c r="F424" s="28"/>
      <c r="G424" s="28"/>
      <c r="H424" s="28"/>
      <c r="I424" s="28"/>
      <c r="J424" s="61">
        <v>110009938265</v>
      </c>
      <c r="K424" s="28" t="str">
        <f>VLOOKUP(J424, 'Raw Annual DMR Data'!$A:$M, 13, FALSE)</f>
        <v>POTW</v>
      </c>
      <c r="L424" s="28"/>
      <c r="M424" s="28"/>
      <c r="N424" s="28"/>
      <c r="O424" s="28"/>
      <c r="P424" s="28"/>
      <c r="Q424" s="28" t="s">
        <v>265</v>
      </c>
      <c r="R424" s="28">
        <f>VLOOKUP(K424,OES!$A:$B, 2, FALSE)</f>
        <v>365</v>
      </c>
      <c r="S424" s="60" t="s">
        <v>1465</v>
      </c>
      <c r="T424" s="203" t="str">
        <f>IF(COUNTIF('Raw TRI Data'!$K:$K,J424)&gt;0, "X", "")</f>
        <v/>
      </c>
    </row>
    <row r="425" spans="1:20" x14ac:dyDescent="0.25">
      <c r="A425" s="28">
        <f t="shared" si="6"/>
        <v>424</v>
      </c>
      <c r="B425" s="28" t="s">
        <v>1028</v>
      </c>
      <c r="C425" s="28"/>
      <c r="D425" s="28" t="s">
        <v>1029</v>
      </c>
      <c r="E425" s="28" t="s">
        <v>324</v>
      </c>
      <c r="F425" s="28"/>
      <c r="G425" s="28"/>
      <c r="H425" s="28"/>
      <c r="I425" s="28"/>
      <c r="J425" s="61">
        <v>110000736776</v>
      </c>
      <c r="K425" s="28" t="str">
        <f>VLOOKUP(J425, 'Raw Annual DMR Data'!$A:$M, 13, FALSE)</f>
        <v>POTW</v>
      </c>
      <c r="L425" s="28"/>
      <c r="M425" s="28"/>
      <c r="N425" s="28"/>
      <c r="O425" s="28"/>
      <c r="P425" s="28"/>
      <c r="Q425" s="28" t="s">
        <v>265</v>
      </c>
      <c r="R425" s="28">
        <f>VLOOKUP(K425,OES!$A:$B, 2, FALSE)</f>
        <v>365</v>
      </c>
      <c r="S425" s="60" t="s">
        <v>1465</v>
      </c>
      <c r="T425" s="203" t="str">
        <f>IF(COUNTIF('Raw TRI Data'!$K:$K,J425)&gt;0, "X", "")</f>
        <v/>
      </c>
    </row>
    <row r="426" spans="1:20" x14ac:dyDescent="0.25">
      <c r="A426" s="28">
        <f t="shared" si="6"/>
        <v>425</v>
      </c>
      <c r="B426" s="28" t="s">
        <v>1030</v>
      </c>
      <c r="C426" s="28"/>
      <c r="D426" s="28" t="s">
        <v>1031</v>
      </c>
      <c r="E426" s="28" t="s">
        <v>450</v>
      </c>
      <c r="F426" s="28"/>
      <c r="G426" s="28"/>
      <c r="H426" s="28"/>
      <c r="I426" s="28"/>
      <c r="J426" s="61">
        <v>110006700711</v>
      </c>
      <c r="K426" s="28" t="str">
        <f>VLOOKUP(J426, 'Raw Annual DMR Data'!$A:$M, 13, FALSE)</f>
        <v>Unknown</v>
      </c>
      <c r="L426" s="28"/>
      <c r="M426" s="28"/>
      <c r="N426" s="28"/>
      <c r="O426" s="28"/>
      <c r="P426" s="28"/>
      <c r="Q426" s="28" t="s">
        <v>265</v>
      </c>
      <c r="R426" s="28">
        <f>VLOOKUP(K426,OES!$A:$B, 2, FALSE)</f>
        <v>250</v>
      </c>
      <c r="S426" s="60" t="s">
        <v>1465</v>
      </c>
      <c r="T426" s="203" t="str">
        <f>IF(COUNTIF('Raw TRI Data'!$K:$K,J426)&gt;0, "X", "")</f>
        <v/>
      </c>
    </row>
    <row r="427" spans="1:20" x14ac:dyDescent="0.25">
      <c r="A427" s="28">
        <f t="shared" si="6"/>
        <v>426</v>
      </c>
      <c r="B427" s="28" t="s">
        <v>1034</v>
      </c>
      <c r="C427" s="28"/>
      <c r="D427" s="28" t="s">
        <v>1035</v>
      </c>
      <c r="E427" s="28" t="s">
        <v>374</v>
      </c>
      <c r="F427" s="28"/>
      <c r="G427" s="28"/>
      <c r="H427" s="28"/>
      <c r="I427" s="28"/>
      <c r="J427" s="61">
        <v>110022287210</v>
      </c>
      <c r="K427" s="28" t="str">
        <f>VLOOKUP(J427, 'Raw Annual DMR Data'!$A:$M, 13, FALSE)</f>
        <v>POTW</v>
      </c>
      <c r="L427" s="28"/>
      <c r="M427" s="28"/>
      <c r="N427" s="28"/>
      <c r="O427" s="28"/>
      <c r="P427" s="28"/>
      <c r="Q427" s="28" t="s">
        <v>265</v>
      </c>
      <c r="R427" s="28">
        <f>VLOOKUP(K427,OES!$A:$B, 2, FALSE)</f>
        <v>365</v>
      </c>
      <c r="S427" s="60" t="s">
        <v>1465</v>
      </c>
      <c r="T427" s="203" t="str">
        <f>IF(COUNTIF('Raw TRI Data'!$K:$K,J427)&gt;0, "X", "")</f>
        <v/>
      </c>
    </row>
    <row r="428" spans="1:20" x14ac:dyDescent="0.25">
      <c r="A428" s="28">
        <f t="shared" si="6"/>
        <v>427</v>
      </c>
      <c r="B428" s="28" t="s">
        <v>1040</v>
      </c>
      <c r="C428" s="28"/>
      <c r="D428" s="28" t="s">
        <v>1041</v>
      </c>
      <c r="E428" s="28" t="s">
        <v>478</v>
      </c>
      <c r="F428" s="28"/>
      <c r="G428" s="28"/>
      <c r="H428" s="28"/>
      <c r="I428" s="28"/>
      <c r="J428" s="61">
        <v>110000338830</v>
      </c>
      <c r="K428" s="28" t="str">
        <f>VLOOKUP(J428, 'Raw Annual DMR Data'!$A:$M, 13, FALSE)</f>
        <v>Unknown</v>
      </c>
      <c r="L428" s="28"/>
      <c r="M428" s="28"/>
      <c r="N428" s="28"/>
      <c r="O428" s="28"/>
      <c r="P428" s="28"/>
      <c r="Q428" s="28" t="s">
        <v>265</v>
      </c>
      <c r="R428" s="28">
        <f>VLOOKUP(K428,OES!$A:$B, 2, FALSE)</f>
        <v>250</v>
      </c>
      <c r="S428" s="60" t="s">
        <v>1465</v>
      </c>
      <c r="T428" s="203" t="str">
        <f>IF(COUNTIF('Raw TRI Data'!$K:$K,J428)&gt;0, "X", "")</f>
        <v/>
      </c>
    </row>
    <row r="429" spans="1:20" x14ac:dyDescent="0.25">
      <c r="A429" s="28">
        <f t="shared" si="6"/>
        <v>428</v>
      </c>
      <c r="B429" s="28" t="s">
        <v>1042</v>
      </c>
      <c r="C429" s="28"/>
      <c r="D429" s="28" t="s">
        <v>1043</v>
      </c>
      <c r="E429" s="28" t="s">
        <v>345</v>
      </c>
      <c r="F429" s="28"/>
      <c r="G429" s="28"/>
      <c r="H429" s="28"/>
      <c r="I429" s="28" t="s">
        <v>708</v>
      </c>
      <c r="J429" s="61">
        <v>110000500459</v>
      </c>
      <c r="K429" s="28" t="str">
        <f>VLOOKUP(J429, 'Raw Annual DMR Data'!$A:$M, 13, FALSE)</f>
        <v>Unknown</v>
      </c>
      <c r="L429" s="28"/>
      <c r="M429" s="28"/>
      <c r="N429" s="28"/>
      <c r="O429" s="28"/>
      <c r="P429" s="28"/>
      <c r="Q429" s="28" t="s">
        <v>265</v>
      </c>
      <c r="R429" s="28">
        <f>VLOOKUP(K429,OES!$A:$B, 2, FALSE)</f>
        <v>250</v>
      </c>
      <c r="S429" s="60" t="s">
        <v>1465</v>
      </c>
      <c r="T429" s="203" t="str">
        <f>IF(COUNTIF('Raw TRI Data'!$K:$K,J429)&gt;0, "X", "")</f>
        <v/>
      </c>
    </row>
    <row r="430" spans="1:20" x14ac:dyDescent="0.25">
      <c r="A430" s="28">
        <f t="shared" si="6"/>
        <v>429</v>
      </c>
      <c r="B430" s="28" t="s">
        <v>1046</v>
      </c>
      <c r="C430" s="28"/>
      <c r="D430" s="28" t="s">
        <v>1047</v>
      </c>
      <c r="E430" s="28" t="s">
        <v>374</v>
      </c>
      <c r="F430" s="28"/>
      <c r="G430" s="28"/>
      <c r="H430" s="28"/>
      <c r="I430" s="28"/>
      <c r="J430" s="61">
        <v>110010062680</v>
      </c>
      <c r="K430" s="28" t="str">
        <f>VLOOKUP(J430, 'Raw Annual DMR Data'!$A:$M, 13, FALSE)</f>
        <v>POTW</v>
      </c>
      <c r="L430" s="28"/>
      <c r="M430" s="28"/>
      <c r="N430" s="28"/>
      <c r="O430" s="28"/>
      <c r="P430" s="28"/>
      <c r="Q430" s="28" t="s">
        <v>265</v>
      </c>
      <c r="R430" s="28">
        <f>VLOOKUP(K430,OES!$A:$B, 2, FALSE)</f>
        <v>365</v>
      </c>
      <c r="S430" s="60" t="s">
        <v>1465</v>
      </c>
      <c r="T430" s="203" t="str">
        <f>IF(COUNTIF('Raw TRI Data'!$K:$K,J430)&gt;0, "X", "")</f>
        <v/>
      </c>
    </row>
    <row r="431" spans="1:20" x14ac:dyDescent="0.25">
      <c r="A431" s="28">
        <f t="shared" si="6"/>
        <v>430</v>
      </c>
      <c r="B431" s="28" t="s">
        <v>1048</v>
      </c>
      <c r="C431" s="28"/>
      <c r="D431" s="28" t="s">
        <v>1049</v>
      </c>
      <c r="E431" s="28" t="s">
        <v>1050</v>
      </c>
      <c r="F431" s="28"/>
      <c r="G431" s="28"/>
      <c r="H431" s="28"/>
      <c r="I431" s="28"/>
      <c r="J431" s="61">
        <v>110064645460</v>
      </c>
      <c r="K431" s="28" t="str">
        <f>VLOOKUP(J431, 'Raw Annual DMR Data'!$A:$M, 13, FALSE)</f>
        <v>POTW</v>
      </c>
      <c r="L431" s="28"/>
      <c r="M431" s="28"/>
      <c r="N431" s="28"/>
      <c r="O431" s="28"/>
      <c r="P431" s="28"/>
      <c r="Q431" s="28" t="s">
        <v>265</v>
      </c>
      <c r="R431" s="28">
        <f>VLOOKUP(K431,OES!$A:$B, 2, FALSE)</f>
        <v>365</v>
      </c>
      <c r="S431" s="60" t="s">
        <v>1465</v>
      </c>
      <c r="T431" s="203" t="str">
        <f>IF(COUNTIF('Raw TRI Data'!$K:$K,J431)&gt;0, "X", "")</f>
        <v/>
      </c>
    </row>
    <row r="432" spans="1:20" x14ac:dyDescent="0.25">
      <c r="A432" s="28">
        <f t="shared" si="6"/>
        <v>431</v>
      </c>
      <c r="B432" s="28" t="s">
        <v>1051</v>
      </c>
      <c r="C432" s="28"/>
      <c r="D432" s="28" t="s">
        <v>1052</v>
      </c>
      <c r="E432" s="28" t="s">
        <v>374</v>
      </c>
      <c r="F432" s="28"/>
      <c r="G432" s="28"/>
      <c r="H432" s="28"/>
      <c r="I432" s="28"/>
      <c r="J432" s="61">
        <v>110022853429</v>
      </c>
      <c r="K432" s="28" t="str">
        <f>VLOOKUP(J432, 'Raw Annual DMR Data'!$A:$M, 13, FALSE)</f>
        <v>POTW</v>
      </c>
      <c r="L432" s="28"/>
      <c r="M432" s="28"/>
      <c r="N432" s="28"/>
      <c r="O432" s="28"/>
      <c r="P432" s="28"/>
      <c r="Q432" s="28" t="s">
        <v>265</v>
      </c>
      <c r="R432" s="28">
        <f>VLOOKUP(K432,OES!$A:$B, 2, FALSE)</f>
        <v>365</v>
      </c>
      <c r="S432" s="60" t="s">
        <v>1465</v>
      </c>
      <c r="T432" s="203" t="str">
        <f>IF(COUNTIF('Raw TRI Data'!$K:$K,J432)&gt;0, "X", "")</f>
        <v/>
      </c>
    </row>
    <row r="433" spans="1:20" x14ac:dyDescent="0.25">
      <c r="A433" s="28">
        <f t="shared" si="6"/>
        <v>432</v>
      </c>
      <c r="B433" s="28" t="s">
        <v>1053</v>
      </c>
      <c r="C433" s="28"/>
      <c r="D433" s="28" t="s">
        <v>1054</v>
      </c>
      <c r="E433" s="28" t="s">
        <v>374</v>
      </c>
      <c r="F433" s="28"/>
      <c r="G433" s="28"/>
      <c r="H433" s="28"/>
      <c r="I433" s="28"/>
      <c r="J433" s="61">
        <v>110015317423</v>
      </c>
      <c r="K433" s="28" t="str">
        <f>VLOOKUP(J433, 'Raw Annual DMR Data'!$A:$M, 13, FALSE)</f>
        <v>POTW</v>
      </c>
      <c r="L433" s="28"/>
      <c r="M433" s="28"/>
      <c r="N433" s="28"/>
      <c r="O433" s="28"/>
      <c r="P433" s="28"/>
      <c r="Q433" s="28" t="s">
        <v>265</v>
      </c>
      <c r="R433" s="28">
        <v>250</v>
      </c>
      <c r="S433" s="60" t="s">
        <v>1465</v>
      </c>
      <c r="T433" s="203" t="str">
        <f>IF(COUNTIF('Raw TRI Data'!$K:$K,J433)&gt;0, "X", "")</f>
        <v/>
      </c>
    </row>
    <row r="434" spans="1:20" x14ac:dyDescent="0.25">
      <c r="A434" s="28">
        <f t="shared" si="6"/>
        <v>433</v>
      </c>
      <c r="B434" s="28" t="s">
        <v>1055</v>
      </c>
      <c r="C434" s="28"/>
      <c r="D434" s="28" t="s">
        <v>962</v>
      </c>
      <c r="E434" s="28" t="s">
        <v>374</v>
      </c>
      <c r="F434" s="28"/>
      <c r="G434" s="28"/>
      <c r="H434" s="28"/>
      <c r="I434" s="28"/>
      <c r="J434" s="61">
        <v>110009066278</v>
      </c>
      <c r="K434" s="28" t="str">
        <f>VLOOKUP(J434, 'Raw Annual DMR Data'!$A:$M, 13, FALSE)</f>
        <v>Remediation</v>
      </c>
      <c r="L434" s="28"/>
      <c r="M434" s="28"/>
      <c r="N434" s="28"/>
      <c r="O434" s="28"/>
      <c r="P434" s="28"/>
      <c r="Q434" s="28" t="s">
        <v>265</v>
      </c>
      <c r="R434" s="28">
        <f>VLOOKUP(K434,OES!$A:$B, 2, FALSE)</f>
        <v>365</v>
      </c>
      <c r="S434" s="60" t="s">
        <v>1465</v>
      </c>
      <c r="T434" s="203" t="str">
        <f>IF(COUNTIF('Raw TRI Data'!$K:$K,J434)&gt;0, "X", "")</f>
        <v/>
      </c>
    </row>
    <row r="435" spans="1:20" x14ac:dyDescent="0.25">
      <c r="A435" s="28">
        <f t="shared" si="6"/>
        <v>434</v>
      </c>
      <c r="B435" s="28" t="s">
        <v>1056</v>
      </c>
      <c r="C435" s="28"/>
      <c r="D435" s="28" t="s">
        <v>1057</v>
      </c>
      <c r="E435" s="28" t="s">
        <v>374</v>
      </c>
      <c r="F435" s="28"/>
      <c r="G435" s="28"/>
      <c r="H435" s="28"/>
      <c r="I435" s="28"/>
      <c r="J435" s="61">
        <v>110006785149</v>
      </c>
      <c r="K435" s="28" t="str">
        <f>VLOOKUP(J435, 'Raw Annual DMR Data'!$A:$M, 13, FALSE)</f>
        <v>POTW</v>
      </c>
      <c r="L435" s="28"/>
      <c r="M435" s="28"/>
      <c r="N435" s="28"/>
      <c r="O435" s="28"/>
      <c r="P435" s="28"/>
      <c r="Q435" s="28" t="s">
        <v>265</v>
      </c>
      <c r="R435" s="28">
        <f>VLOOKUP(K435,OES!$A:$B, 2, FALSE)</f>
        <v>365</v>
      </c>
      <c r="S435" s="60" t="s">
        <v>1465</v>
      </c>
      <c r="T435" s="203" t="str">
        <f>IF(COUNTIF('Raw TRI Data'!$K:$K,J435)&gt;0, "X", "")</f>
        <v/>
      </c>
    </row>
    <row r="436" spans="1:20" x14ac:dyDescent="0.25">
      <c r="A436" s="28">
        <f t="shared" si="6"/>
        <v>435</v>
      </c>
      <c r="B436" s="28" t="s">
        <v>1058</v>
      </c>
      <c r="C436" s="28"/>
      <c r="D436" s="28" t="s">
        <v>1059</v>
      </c>
      <c r="E436" s="28" t="s">
        <v>374</v>
      </c>
      <c r="F436" s="28"/>
      <c r="G436" s="28"/>
      <c r="H436" s="28"/>
      <c r="I436" s="28"/>
      <c r="J436" s="61">
        <v>110006785229</v>
      </c>
      <c r="K436" s="28" t="str">
        <f>VLOOKUP(J436, 'Raw Annual DMR Data'!$A:$M, 13, FALSE)</f>
        <v>POTW</v>
      </c>
      <c r="L436" s="28"/>
      <c r="M436" s="28"/>
      <c r="N436" s="28"/>
      <c r="O436" s="28"/>
      <c r="P436" s="28"/>
      <c r="Q436" s="28" t="s">
        <v>265</v>
      </c>
      <c r="R436" s="28">
        <f>VLOOKUP(K436,OES!$A:$B, 2, FALSE)</f>
        <v>365</v>
      </c>
      <c r="S436" s="60" t="s">
        <v>1465</v>
      </c>
      <c r="T436" s="203" t="str">
        <f>IF(COUNTIF('Raw TRI Data'!$K:$K,J436)&gt;0, "X", "")</f>
        <v/>
      </c>
    </row>
    <row r="437" spans="1:20" x14ac:dyDescent="0.25">
      <c r="A437" s="28">
        <f t="shared" si="6"/>
        <v>436</v>
      </c>
      <c r="B437" s="28" t="s">
        <v>1060</v>
      </c>
      <c r="C437" s="28"/>
      <c r="D437" s="28" t="s">
        <v>657</v>
      </c>
      <c r="E437" s="28" t="s">
        <v>418</v>
      </c>
      <c r="F437" s="28"/>
      <c r="G437" s="28"/>
      <c r="H437" s="28"/>
      <c r="I437" s="28"/>
      <c r="J437" s="61">
        <v>110009001828</v>
      </c>
      <c r="K437" s="28" t="str">
        <f>VLOOKUP(J437, 'Raw Annual DMR Data'!$A:$M, 13, FALSE)</f>
        <v>Unknown</v>
      </c>
      <c r="L437" s="28"/>
      <c r="M437" s="28"/>
      <c r="N437" s="28"/>
      <c r="O437" s="28"/>
      <c r="P437" s="28"/>
      <c r="Q437" s="28" t="s">
        <v>265</v>
      </c>
      <c r="R437" s="28">
        <f>VLOOKUP(K437,OES!$A:$B, 2, FALSE)</f>
        <v>250</v>
      </c>
      <c r="S437" s="60" t="s">
        <v>1465</v>
      </c>
      <c r="T437" s="203" t="str">
        <f>IF(COUNTIF('Raw TRI Data'!$K:$K,J437)&gt;0, "X", "")</f>
        <v/>
      </c>
    </row>
    <row r="438" spans="1:20" x14ac:dyDescent="0.25">
      <c r="A438" s="28">
        <f t="shared" si="6"/>
        <v>437</v>
      </c>
      <c r="B438" s="28" t="s">
        <v>1073</v>
      </c>
      <c r="C438" s="28"/>
      <c r="D438" s="28" t="s">
        <v>1074</v>
      </c>
      <c r="E438" s="28" t="s">
        <v>374</v>
      </c>
      <c r="F438" s="28"/>
      <c r="G438" s="28"/>
      <c r="H438" s="28"/>
      <c r="I438" s="28"/>
      <c r="J438" s="61">
        <v>110055979455</v>
      </c>
      <c r="K438" s="28" t="str">
        <f>VLOOKUP(J438, 'Raw Annual DMR Data'!$A:$M, 13, FALSE)</f>
        <v>POTW</v>
      </c>
      <c r="L438" s="28"/>
      <c r="M438" s="28"/>
      <c r="N438" s="28"/>
      <c r="O438" s="28"/>
      <c r="P438" s="28"/>
      <c r="Q438" s="28" t="s">
        <v>265</v>
      </c>
      <c r="R438" s="28">
        <f>VLOOKUP(K438,OES!$A:$B, 2, FALSE)</f>
        <v>365</v>
      </c>
      <c r="S438" s="60" t="s">
        <v>1465</v>
      </c>
      <c r="T438" s="203" t="str">
        <f>IF(COUNTIF('Raw TRI Data'!$K:$K,J438)&gt;0, "X", "")</f>
        <v/>
      </c>
    </row>
    <row r="439" spans="1:20" x14ac:dyDescent="0.25">
      <c r="A439" s="28">
        <f t="shared" si="6"/>
        <v>438</v>
      </c>
      <c r="B439" s="28" t="s">
        <v>1075</v>
      </c>
      <c r="C439" s="28"/>
      <c r="D439" s="28" t="s">
        <v>1076</v>
      </c>
      <c r="E439" s="28" t="s">
        <v>469</v>
      </c>
      <c r="F439" s="28"/>
      <c r="G439" s="28"/>
      <c r="H439" s="28"/>
      <c r="I439" s="28"/>
      <c r="J439" s="61">
        <v>110002455370</v>
      </c>
      <c r="K439" s="28" t="str">
        <f>VLOOKUP(J439, 'Raw Annual DMR Data'!$A:$M, 13, FALSE)</f>
        <v>Unknown</v>
      </c>
      <c r="L439" s="28"/>
      <c r="M439" s="28"/>
      <c r="N439" s="28"/>
      <c r="O439" s="28"/>
      <c r="P439" s="28"/>
      <c r="Q439" s="28" t="s">
        <v>265</v>
      </c>
      <c r="R439" s="28">
        <f>VLOOKUP(K439,OES!$A:$B, 2, FALSE)</f>
        <v>250</v>
      </c>
      <c r="S439" s="60" t="s">
        <v>1465</v>
      </c>
      <c r="T439" s="203" t="str">
        <f>IF(COUNTIF('Raw TRI Data'!$K:$K,J439)&gt;0, "X", "")</f>
        <v/>
      </c>
    </row>
    <row r="440" spans="1:20" x14ac:dyDescent="0.25">
      <c r="A440" s="28">
        <f t="shared" si="6"/>
        <v>439</v>
      </c>
      <c r="B440" s="28" t="s">
        <v>1085</v>
      </c>
      <c r="C440" s="28"/>
      <c r="D440" s="28" t="s">
        <v>1086</v>
      </c>
      <c r="E440" s="28" t="s">
        <v>366</v>
      </c>
      <c r="F440" s="28"/>
      <c r="G440" s="28"/>
      <c r="H440" s="28"/>
      <c r="I440" s="28"/>
      <c r="J440" s="61">
        <v>110011373628</v>
      </c>
      <c r="K440" s="28" t="str">
        <f>VLOOKUP(J440, 'Raw Annual DMR Data'!$A:$M, 13, FALSE)</f>
        <v>POTW</v>
      </c>
      <c r="L440" s="28"/>
      <c r="M440" s="28"/>
      <c r="N440" s="28"/>
      <c r="O440" s="28"/>
      <c r="P440" s="28"/>
      <c r="Q440" s="28" t="s">
        <v>265</v>
      </c>
      <c r="R440" s="28">
        <f>VLOOKUP(K440,OES!$A:$B, 2, FALSE)</f>
        <v>365</v>
      </c>
      <c r="S440" s="60" t="s">
        <v>1465</v>
      </c>
      <c r="T440" s="203" t="str">
        <f>IF(COUNTIF('Raw TRI Data'!$K:$K,J440)&gt;0, "X", "")</f>
        <v/>
      </c>
    </row>
    <row r="441" spans="1:20" x14ac:dyDescent="0.25">
      <c r="A441" s="28">
        <f t="shared" si="6"/>
        <v>440</v>
      </c>
      <c r="B441" s="28" t="s">
        <v>1087</v>
      </c>
      <c r="C441" s="28"/>
      <c r="D441" s="28" t="s">
        <v>968</v>
      </c>
      <c r="E441" s="28" t="s">
        <v>324</v>
      </c>
      <c r="F441" s="28"/>
      <c r="G441" s="28"/>
      <c r="H441" s="28"/>
      <c r="I441" s="28"/>
      <c r="J441" s="61">
        <v>110013680837</v>
      </c>
      <c r="K441" s="28" t="str">
        <f>VLOOKUP(J441, 'Raw Annual DMR Data'!$A:$M, 13, FALSE)</f>
        <v>POTW</v>
      </c>
      <c r="L441" s="28"/>
      <c r="M441" s="28"/>
      <c r="N441" s="28"/>
      <c r="O441" s="28"/>
      <c r="P441" s="28"/>
      <c r="Q441" s="28" t="s">
        <v>265</v>
      </c>
      <c r="R441" s="28">
        <v>250</v>
      </c>
      <c r="S441" s="60" t="s">
        <v>1465</v>
      </c>
      <c r="T441" s="203" t="str">
        <f>IF(COUNTIF('Raw TRI Data'!$K:$K,J441)&gt;0, "X", "")</f>
        <v/>
      </c>
    </row>
    <row r="442" spans="1:20" x14ac:dyDescent="0.25">
      <c r="A442" s="28">
        <f t="shared" si="6"/>
        <v>441</v>
      </c>
      <c r="B442" s="28" t="s">
        <v>1091</v>
      </c>
      <c r="C442" s="28"/>
      <c r="D442" s="28" t="s">
        <v>1092</v>
      </c>
      <c r="E442" s="28" t="s">
        <v>366</v>
      </c>
      <c r="F442" s="28"/>
      <c r="G442" s="28"/>
      <c r="H442" s="28"/>
      <c r="I442" s="28"/>
      <c r="J442" s="61">
        <v>110001103939</v>
      </c>
      <c r="K442" s="28" t="str">
        <f>VLOOKUP(J442, 'Raw Annual DMR Data'!$A:$M, 13, FALSE)</f>
        <v>POTW</v>
      </c>
      <c r="L442" s="28"/>
      <c r="M442" s="28"/>
      <c r="N442" s="28"/>
      <c r="O442" s="28"/>
      <c r="P442" s="28"/>
      <c r="Q442" s="28" t="s">
        <v>265</v>
      </c>
      <c r="R442" s="28">
        <v>250</v>
      </c>
      <c r="S442" s="60" t="s">
        <v>1465</v>
      </c>
      <c r="T442" s="203" t="str">
        <f>IF(COUNTIF('Raw TRI Data'!$K:$K,J442)&gt;0, "X", "")</f>
        <v/>
      </c>
    </row>
    <row r="443" spans="1:20" x14ac:dyDescent="0.25">
      <c r="A443" s="28">
        <f t="shared" si="6"/>
        <v>442</v>
      </c>
      <c r="B443" s="28" t="s">
        <v>1093</v>
      </c>
      <c r="C443" s="28"/>
      <c r="D443" s="28" t="s">
        <v>1094</v>
      </c>
      <c r="E443" s="28" t="s">
        <v>366</v>
      </c>
      <c r="F443" s="28"/>
      <c r="G443" s="28"/>
      <c r="H443" s="28"/>
      <c r="I443" s="28"/>
      <c r="J443" s="61">
        <v>110000730638</v>
      </c>
      <c r="K443" s="28" t="str">
        <f>VLOOKUP(J443, 'Raw Annual DMR Data'!$A:$M, 13, FALSE)</f>
        <v>POTW</v>
      </c>
      <c r="L443" s="28"/>
      <c r="M443" s="28"/>
      <c r="N443" s="28"/>
      <c r="O443" s="28"/>
      <c r="P443" s="28"/>
      <c r="Q443" s="28" t="s">
        <v>265</v>
      </c>
      <c r="R443" s="28">
        <f>VLOOKUP(K443,OES!$A:$B, 2, FALSE)</f>
        <v>365</v>
      </c>
      <c r="S443" s="60" t="s">
        <v>1465</v>
      </c>
      <c r="T443" s="203" t="str">
        <f>IF(COUNTIF('Raw TRI Data'!$K:$K,J443)&gt;0, "X", "")</f>
        <v/>
      </c>
    </row>
    <row r="444" spans="1:20" x14ac:dyDescent="0.25">
      <c r="A444" s="28">
        <f t="shared" si="6"/>
        <v>443</v>
      </c>
      <c r="B444" s="28" t="s">
        <v>1116</v>
      </c>
      <c r="C444" s="28"/>
      <c r="D444" s="28" t="s">
        <v>1117</v>
      </c>
      <c r="E444" s="28" t="s">
        <v>450</v>
      </c>
      <c r="F444" s="28"/>
      <c r="G444" s="28"/>
      <c r="H444" s="28"/>
      <c r="I444" s="28" t="s">
        <v>716</v>
      </c>
      <c r="J444" s="61">
        <v>110000326601</v>
      </c>
      <c r="K444" s="28" t="str">
        <f>VLOOKUP(J444, 'Raw Annual DMR Data'!$A:$M, 13, FALSE)</f>
        <v>Unknown</v>
      </c>
      <c r="L444" s="28"/>
      <c r="M444" s="28"/>
      <c r="N444" s="28"/>
      <c r="O444" s="28"/>
      <c r="P444" s="28"/>
      <c r="Q444" s="28" t="s">
        <v>265</v>
      </c>
      <c r="R444" s="28">
        <f>VLOOKUP(K444,OES!$A:$B, 2, FALSE)</f>
        <v>250</v>
      </c>
      <c r="S444" s="60" t="s">
        <v>1465</v>
      </c>
      <c r="T444" s="203" t="str">
        <f>IF(COUNTIF('Raw TRI Data'!$K:$K,J444)&gt;0, "X", "")</f>
        <v/>
      </c>
    </row>
    <row r="445" spans="1:20" x14ac:dyDescent="0.25">
      <c r="A445" s="28">
        <f t="shared" si="6"/>
        <v>444</v>
      </c>
      <c r="B445" s="28" t="s">
        <v>1122</v>
      </c>
      <c r="C445" s="28"/>
      <c r="D445" s="28" t="s">
        <v>1123</v>
      </c>
      <c r="E445" s="28" t="s">
        <v>491</v>
      </c>
      <c r="F445" s="28"/>
      <c r="G445" s="28"/>
      <c r="H445" s="28"/>
      <c r="I445" s="28"/>
      <c r="J445" s="61">
        <v>110071151044</v>
      </c>
      <c r="K445" s="28" t="str">
        <f>VLOOKUP(J445, 'Raw Annual DMR Data'!$A:$M, 13, FALSE)</f>
        <v>Unknown</v>
      </c>
      <c r="L445" s="28"/>
      <c r="M445" s="28"/>
      <c r="N445" s="28"/>
      <c r="O445" s="28"/>
      <c r="P445" s="28"/>
      <c r="Q445" s="28" t="s">
        <v>265</v>
      </c>
      <c r="R445" s="28">
        <f>VLOOKUP(K445,OES!$A:$B, 2, FALSE)</f>
        <v>250</v>
      </c>
      <c r="S445" s="60" t="s">
        <v>1465</v>
      </c>
      <c r="T445" s="203" t="str">
        <f>IF(COUNTIF('Raw TRI Data'!$K:$K,J445)&gt;0, "X", "")</f>
        <v/>
      </c>
    </row>
    <row r="446" spans="1:20" x14ac:dyDescent="0.25">
      <c r="A446" s="28">
        <f t="shared" si="6"/>
        <v>445</v>
      </c>
      <c r="B446" s="28" t="s">
        <v>1124</v>
      </c>
      <c r="C446" s="28"/>
      <c r="D446" s="28" t="s">
        <v>1125</v>
      </c>
      <c r="E446" s="28" t="s">
        <v>294</v>
      </c>
      <c r="F446" s="28"/>
      <c r="G446" s="28"/>
      <c r="H446" s="28"/>
      <c r="I446" s="28"/>
      <c r="J446" s="61">
        <v>110070548118</v>
      </c>
      <c r="K446" s="28" t="str">
        <f>VLOOKUP(J446, 'Raw Annual DMR Data'!$A:$M, 13, FALSE)</f>
        <v>Unknown</v>
      </c>
      <c r="L446" s="28"/>
      <c r="M446" s="28"/>
      <c r="N446" s="28"/>
      <c r="O446" s="28"/>
      <c r="P446" s="28"/>
      <c r="Q446" s="28" t="s">
        <v>265</v>
      </c>
      <c r="R446" s="28">
        <f>VLOOKUP(K446,OES!$A:$B, 2, FALSE)</f>
        <v>250</v>
      </c>
      <c r="S446" s="60" t="s">
        <v>1465</v>
      </c>
      <c r="T446" s="203" t="str">
        <f>IF(COUNTIF('Raw TRI Data'!$K:$K,J446)&gt;0, "X", "")</f>
        <v/>
      </c>
    </row>
    <row r="447" spans="1:20" x14ac:dyDescent="0.25">
      <c r="A447" s="28">
        <f t="shared" si="6"/>
        <v>446</v>
      </c>
      <c r="B447" s="28" t="s">
        <v>1131</v>
      </c>
      <c r="C447" s="28"/>
      <c r="D447" s="28" t="s">
        <v>962</v>
      </c>
      <c r="E447" s="28" t="s">
        <v>374</v>
      </c>
      <c r="F447" s="28"/>
      <c r="G447" s="28"/>
      <c r="H447" s="28"/>
      <c r="I447" s="28"/>
      <c r="J447" s="61">
        <v>110043452019</v>
      </c>
      <c r="K447" s="28" t="str">
        <f>VLOOKUP(J447, 'Raw Annual DMR Data'!$A:$M, 13, FALSE)</f>
        <v>Unknown</v>
      </c>
      <c r="L447" s="28"/>
      <c r="M447" s="28"/>
      <c r="N447" s="28"/>
      <c r="O447" s="28"/>
      <c r="P447" s="28"/>
      <c r="Q447" s="28" t="s">
        <v>265</v>
      </c>
      <c r="R447" s="28">
        <f>VLOOKUP(K447,OES!$A:$B, 2, FALSE)</f>
        <v>250</v>
      </c>
      <c r="S447" s="60" t="s">
        <v>1465</v>
      </c>
      <c r="T447" s="203" t="str">
        <f>IF(COUNTIF('Raw TRI Data'!$K:$K,J447)&gt;0, "X", "")</f>
        <v/>
      </c>
    </row>
    <row r="448" spans="1:20" x14ac:dyDescent="0.25">
      <c r="A448" s="28">
        <f t="shared" si="6"/>
        <v>447</v>
      </c>
      <c r="B448" s="28" t="s">
        <v>1136</v>
      </c>
      <c r="C448" s="28"/>
      <c r="D448" s="28" t="s">
        <v>1137</v>
      </c>
      <c r="E448" s="28" t="s">
        <v>427</v>
      </c>
      <c r="F448" s="28"/>
      <c r="G448" s="28"/>
      <c r="H448" s="28"/>
      <c r="I448" s="28" t="s">
        <v>719</v>
      </c>
      <c r="J448" s="61">
        <v>110000593206</v>
      </c>
      <c r="K448" s="28" t="str">
        <f>VLOOKUP(J448, 'Raw Annual DMR Data'!$A:$M, 13, FALSE)</f>
        <v>Unknown</v>
      </c>
      <c r="L448" s="28"/>
      <c r="M448" s="28"/>
      <c r="N448" s="28"/>
      <c r="O448" s="28"/>
      <c r="P448" s="28"/>
      <c r="Q448" s="28" t="s">
        <v>265</v>
      </c>
      <c r="R448" s="28">
        <f>VLOOKUP(K448,OES!$A:$B, 2, FALSE)</f>
        <v>250</v>
      </c>
      <c r="S448" s="60" t="s">
        <v>1465</v>
      </c>
      <c r="T448" s="203" t="str">
        <f>IF(COUNTIF('Raw TRI Data'!$K:$K,J448)&gt;0, "X", "")</f>
        <v/>
      </c>
    </row>
    <row r="449" spans="1:20" x14ac:dyDescent="0.25">
      <c r="A449" s="28">
        <f t="shared" si="6"/>
        <v>448</v>
      </c>
      <c r="B449" s="28" t="s">
        <v>1140</v>
      </c>
      <c r="C449" s="28"/>
      <c r="D449" s="28" t="s">
        <v>1141</v>
      </c>
      <c r="E449" s="28" t="s">
        <v>374</v>
      </c>
      <c r="F449" s="28"/>
      <c r="G449" s="28"/>
      <c r="H449" s="28"/>
      <c r="I449" s="28"/>
      <c r="J449" s="61">
        <v>110000510894</v>
      </c>
      <c r="K449" s="28" t="str">
        <f>VLOOKUP(J449, 'Raw Annual DMR Data'!$A:$M, 13, FALSE)</f>
        <v>POTW</v>
      </c>
      <c r="L449" s="28"/>
      <c r="M449" s="28"/>
      <c r="N449" s="28"/>
      <c r="O449" s="28"/>
      <c r="P449" s="28"/>
      <c r="Q449" s="28" t="s">
        <v>265</v>
      </c>
      <c r="R449" s="28">
        <f>VLOOKUP(K449,OES!$A:$B, 2, FALSE)</f>
        <v>365</v>
      </c>
      <c r="S449" s="60" t="s">
        <v>1465</v>
      </c>
      <c r="T449" s="203" t="str">
        <f>IF(COUNTIF('Raw TRI Data'!$K:$K,J449)&gt;0, "X", "")</f>
        <v/>
      </c>
    </row>
    <row r="450" spans="1:20" x14ac:dyDescent="0.25">
      <c r="A450" s="28">
        <f t="shared" si="6"/>
        <v>449</v>
      </c>
      <c r="B450" s="28" t="s">
        <v>1142</v>
      </c>
      <c r="C450" s="28"/>
      <c r="D450" s="28" t="s">
        <v>1143</v>
      </c>
      <c r="E450" s="28" t="s">
        <v>308</v>
      </c>
      <c r="F450" s="28"/>
      <c r="G450" s="28"/>
      <c r="H450" s="28"/>
      <c r="I450" s="28"/>
      <c r="J450" s="61">
        <v>110070741217</v>
      </c>
      <c r="K450" s="28" t="str">
        <f>VLOOKUP(J450, 'Raw Annual DMR Data'!$A:$M, 13, FALSE)</f>
        <v>Unknown</v>
      </c>
      <c r="L450" s="28"/>
      <c r="M450" s="28"/>
      <c r="N450" s="28"/>
      <c r="O450" s="28"/>
      <c r="P450" s="28"/>
      <c r="Q450" s="28" t="s">
        <v>265</v>
      </c>
      <c r="R450" s="28">
        <f>VLOOKUP(K450,OES!$A:$B, 2, FALSE)</f>
        <v>250</v>
      </c>
      <c r="S450" s="60" t="s">
        <v>1465</v>
      </c>
      <c r="T450" s="203" t="str">
        <f>IF(COUNTIF('Raw TRI Data'!$K:$K,J450)&gt;0, "X", "")</f>
        <v/>
      </c>
    </row>
    <row r="451" spans="1:20" x14ac:dyDescent="0.25">
      <c r="A451" s="28">
        <f t="shared" ref="A451:A514" si="7">A450+1</f>
        <v>450</v>
      </c>
      <c r="B451" s="28" t="s">
        <v>1148</v>
      </c>
      <c r="C451" s="28"/>
      <c r="D451" s="28" t="s">
        <v>1149</v>
      </c>
      <c r="E451" s="28" t="s">
        <v>324</v>
      </c>
      <c r="F451" s="28"/>
      <c r="G451" s="28"/>
      <c r="H451" s="28"/>
      <c r="I451" s="28"/>
      <c r="J451" s="61">
        <v>110009937499</v>
      </c>
      <c r="K451" s="28" t="str">
        <f>VLOOKUP(J451, 'Raw Annual DMR Data'!$A:$M, 13, FALSE)</f>
        <v>POTW</v>
      </c>
      <c r="L451" s="28"/>
      <c r="M451" s="28"/>
      <c r="N451" s="28"/>
      <c r="O451" s="28"/>
      <c r="P451" s="28"/>
      <c r="Q451" s="28" t="s">
        <v>265</v>
      </c>
      <c r="R451" s="28">
        <f>VLOOKUP(K451,OES!$A:$B, 2, FALSE)</f>
        <v>365</v>
      </c>
      <c r="S451" s="60" t="s">
        <v>1465</v>
      </c>
      <c r="T451" s="203" t="str">
        <f>IF(COUNTIF('Raw TRI Data'!$K:$K,J451)&gt;0, "X", "")</f>
        <v/>
      </c>
    </row>
    <row r="452" spans="1:20" x14ac:dyDescent="0.25">
      <c r="A452" s="28">
        <f t="shared" si="7"/>
        <v>451</v>
      </c>
      <c r="B452" s="28" t="s">
        <v>1152</v>
      </c>
      <c r="C452" s="28"/>
      <c r="D452" s="28" t="s">
        <v>1153</v>
      </c>
      <c r="E452" s="28" t="s">
        <v>338</v>
      </c>
      <c r="F452" s="28"/>
      <c r="G452" s="28"/>
      <c r="H452" s="28"/>
      <c r="I452" s="28"/>
      <c r="J452" s="61">
        <v>110009838168</v>
      </c>
      <c r="K452" s="28" t="str">
        <f>VLOOKUP(J452, 'Raw Annual DMR Data'!$A:$M, 13, FALSE)</f>
        <v>POTW</v>
      </c>
      <c r="L452" s="28"/>
      <c r="M452" s="28"/>
      <c r="N452" s="28"/>
      <c r="O452" s="28"/>
      <c r="P452" s="28"/>
      <c r="Q452" s="28" t="s">
        <v>265</v>
      </c>
      <c r="R452" s="28">
        <f>VLOOKUP(K452,OES!$A:$B, 2, FALSE)</f>
        <v>365</v>
      </c>
      <c r="S452" s="60" t="s">
        <v>1465</v>
      </c>
      <c r="T452" s="203" t="str">
        <f>IF(COUNTIF('Raw TRI Data'!$K:$K,J452)&gt;0, "X", "")</f>
        <v/>
      </c>
    </row>
    <row r="453" spans="1:20" x14ac:dyDescent="0.25">
      <c r="A453" s="28">
        <f t="shared" si="7"/>
        <v>452</v>
      </c>
      <c r="B453" s="28" t="s">
        <v>1156</v>
      </c>
      <c r="C453" s="28"/>
      <c r="D453" s="28" t="s">
        <v>1157</v>
      </c>
      <c r="E453" s="28" t="s">
        <v>366</v>
      </c>
      <c r="F453" s="28"/>
      <c r="G453" s="28"/>
      <c r="H453" s="28"/>
      <c r="I453" s="28"/>
      <c r="J453" s="61">
        <v>110064616296</v>
      </c>
      <c r="K453" s="28" t="str">
        <f>VLOOKUP(J453, 'Raw Annual DMR Data'!$A:$M, 13, FALSE)</f>
        <v>POTW</v>
      </c>
      <c r="L453" s="28"/>
      <c r="M453" s="28"/>
      <c r="N453" s="28"/>
      <c r="O453" s="28"/>
      <c r="P453" s="28"/>
      <c r="Q453" s="28" t="s">
        <v>265</v>
      </c>
      <c r="R453" s="28">
        <f>VLOOKUP(K453,OES!$A:$B, 2, FALSE)</f>
        <v>365</v>
      </c>
      <c r="S453" s="60" t="s">
        <v>1465</v>
      </c>
      <c r="T453" s="203" t="str">
        <f>IF(COUNTIF('Raw TRI Data'!$K:$K,J453)&gt;0, "X", "")</f>
        <v/>
      </c>
    </row>
    <row r="454" spans="1:20" x14ac:dyDescent="0.25">
      <c r="A454" s="28">
        <f t="shared" si="7"/>
        <v>453</v>
      </c>
      <c r="B454" s="28" t="s">
        <v>1158</v>
      </c>
      <c r="C454" s="28"/>
      <c r="D454" s="28" t="s">
        <v>1159</v>
      </c>
      <c r="E454" s="28" t="s">
        <v>324</v>
      </c>
      <c r="F454" s="28"/>
      <c r="G454" s="28"/>
      <c r="H454" s="28"/>
      <c r="I454" s="28"/>
      <c r="J454" s="61">
        <v>110000732324</v>
      </c>
      <c r="K454" s="28" t="str">
        <f>VLOOKUP(J454, 'Raw Annual DMR Data'!$A:$M, 13, FALSE)</f>
        <v>POTW</v>
      </c>
      <c r="L454" s="28"/>
      <c r="M454" s="28"/>
      <c r="N454" s="28"/>
      <c r="O454" s="28"/>
      <c r="P454" s="28"/>
      <c r="Q454" s="28" t="s">
        <v>265</v>
      </c>
      <c r="R454" s="28">
        <f>VLOOKUP(K454,OES!$A:$B, 2, FALSE)</f>
        <v>365</v>
      </c>
      <c r="S454" s="60" t="s">
        <v>1465</v>
      </c>
      <c r="T454" s="203" t="str">
        <f>IF(COUNTIF('Raw TRI Data'!$K:$K,J454)&gt;0, "X", "")</f>
        <v/>
      </c>
    </row>
    <row r="455" spans="1:20" x14ac:dyDescent="0.25">
      <c r="A455" s="28">
        <f t="shared" si="7"/>
        <v>454</v>
      </c>
      <c r="B455" s="28" t="s">
        <v>1164</v>
      </c>
      <c r="C455" s="28"/>
      <c r="D455" s="28" t="s">
        <v>968</v>
      </c>
      <c r="E455" s="28" t="s">
        <v>294</v>
      </c>
      <c r="F455" s="28"/>
      <c r="G455" s="28"/>
      <c r="H455" s="28"/>
      <c r="I455" s="28"/>
      <c r="J455" s="61">
        <v>110070546529</v>
      </c>
      <c r="K455" s="28" t="str">
        <f>VLOOKUP(J455, 'Raw Annual DMR Data'!$A:$M, 13, FALSE)</f>
        <v>Unknown</v>
      </c>
      <c r="L455" s="28"/>
      <c r="M455" s="28"/>
      <c r="N455" s="28"/>
      <c r="O455" s="28"/>
      <c r="P455" s="28"/>
      <c r="Q455" s="28" t="s">
        <v>265</v>
      </c>
      <c r="R455" s="28">
        <f>VLOOKUP(K455,OES!$A:$B, 2, FALSE)</f>
        <v>250</v>
      </c>
      <c r="S455" s="60" t="s">
        <v>1465</v>
      </c>
      <c r="T455" s="203" t="str">
        <f>IF(COUNTIF('Raw TRI Data'!$K:$K,J455)&gt;0, "X", "")</f>
        <v/>
      </c>
    </row>
    <row r="456" spans="1:20" x14ac:dyDescent="0.25">
      <c r="A456" s="28">
        <f t="shared" si="7"/>
        <v>455</v>
      </c>
      <c r="B456" s="28" t="s">
        <v>1165</v>
      </c>
      <c r="C456" s="28"/>
      <c r="D456" s="28" t="s">
        <v>1166</v>
      </c>
      <c r="E456" s="28" t="s">
        <v>338</v>
      </c>
      <c r="F456" s="28"/>
      <c r="G456" s="28"/>
      <c r="H456" s="28"/>
      <c r="I456" s="28"/>
      <c r="J456" s="61">
        <v>110014480445</v>
      </c>
      <c r="K456" s="28" t="str">
        <f>VLOOKUP(J456, 'Raw Annual DMR Data'!$A:$M, 13, FALSE)</f>
        <v>Industrial and commercial non-aerosol cleaning/degreasing</v>
      </c>
      <c r="L456" s="28"/>
      <c r="M456" s="28"/>
      <c r="N456" s="28"/>
      <c r="O456" s="28"/>
      <c r="P456" s="28"/>
      <c r="Q456" s="28" t="s">
        <v>265</v>
      </c>
      <c r="R456" s="28">
        <f>VLOOKUP(K456,OES!$A:$B, 2, FALSE)</f>
        <v>250</v>
      </c>
      <c r="S456" s="60" t="s">
        <v>1465</v>
      </c>
      <c r="T456" s="203" t="str">
        <f>IF(COUNTIF('Raw TRI Data'!$K:$K,J456)&gt;0, "X", "")</f>
        <v/>
      </c>
    </row>
    <row r="457" spans="1:20" x14ac:dyDescent="0.25">
      <c r="A457" s="28">
        <f t="shared" si="7"/>
        <v>456</v>
      </c>
      <c r="B457" s="28" t="s">
        <v>1169</v>
      </c>
      <c r="C457" s="28"/>
      <c r="D457" s="28" t="s">
        <v>1170</v>
      </c>
      <c r="E457" s="28" t="s">
        <v>1171</v>
      </c>
      <c r="F457" s="28"/>
      <c r="G457" s="28"/>
      <c r="H457" s="28"/>
      <c r="I457" s="28"/>
      <c r="J457" s="61">
        <v>110020728943</v>
      </c>
      <c r="K457" s="28" t="str">
        <f>VLOOKUP(J457, 'Raw Annual DMR Data'!$A:$M, 13, FALSE)</f>
        <v>POTW</v>
      </c>
      <c r="L457" s="28"/>
      <c r="M457" s="28"/>
      <c r="N457" s="28"/>
      <c r="O457" s="28"/>
      <c r="P457" s="28"/>
      <c r="Q457" s="28" t="s">
        <v>265</v>
      </c>
      <c r="R457" s="28">
        <f>VLOOKUP(K457,OES!$A:$B, 2, FALSE)</f>
        <v>365</v>
      </c>
      <c r="S457" s="60" t="s">
        <v>1465</v>
      </c>
      <c r="T457" s="203" t="str">
        <f>IF(COUNTIF('Raw TRI Data'!$K:$K,J457)&gt;0, "X", "")</f>
        <v/>
      </c>
    </row>
    <row r="458" spans="1:20" x14ac:dyDescent="0.25">
      <c r="A458" s="28">
        <f t="shared" si="7"/>
        <v>457</v>
      </c>
      <c r="B458" s="28" t="s">
        <v>1174</v>
      </c>
      <c r="C458" s="28"/>
      <c r="D458" s="28" t="s">
        <v>1175</v>
      </c>
      <c r="E458" s="28" t="s">
        <v>506</v>
      </c>
      <c r="F458" s="28"/>
      <c r="G458" s="28"/>
      <c r="H458" s="28"/>
      <c r="I458" s="28"/>
      <c r="J458" s="61">
        <v>110043668563</v>
      </c>
      <c r="K458" s="28" t="str">
        <f>VLOOKUP(J458, 'Raw Annual DMR Data'!$A:$M, 13, FALSE)</f>
        <v>Waste Handling, Disposal and Treatment (Landfill)</v>
      </c>
      <c r="L458" s="28"/>
      <c r="M458" s="28"/>
      <c r="N458" s="28"/>
      <c r="O458" s="28"/>
      <c r="P458" s="28"/>
      <c r="Q458" s="28" t="s">
        <v>265</v>
      </c>
      <c r="R458" s="28" t="e">
        <f>VLOOKUP(K458,OES!$A:$B, 2, FALSE)</f>
        <v>#N/A</v>
      </c>
      <c r="S458" s="60" t="s">
        <v>1465</v>
      </c>
      <c r="T458" s="203" t="str">
        <f>IF(COUNTIF('Raw TRI Data'!$K:$K,J458)&gt;0, "X", "")</f>
        <v/>
      </c>
    </row>
    <row r="459" spans="1:20" x14ac:dyDescent="0.25">
      <c r="A459" s="28">
        <f t="shared" si="7"/>
        <v>458</v>
      </c>
      <c r="B459" s="28" t="s">
        <v>1179</v>
      </c>
      <c r="C459" s="28"/>
      <c r="D459" s="28" t="s">
        <v>1180</v>
      </c>
      <c r="E459" s="28" t="s">
        <v>450</v>
      </c>
      <c r="F459" s="28"/>
      <c r="G459" s="28"/>
      <c r="H459" s="28"/>
      <c r="I459" s="28"/>
      <c r="J459" s="61">
        <v>110041145926</v>
      </c>
      <c r="K459" s="28" t="str">
        <f>VLOOKUP(J459, 'Raw Annual DMR Data'!$A:$M, 13, FALSE)</f>
        <v>Unknown</v>
      </c>
      <c r="L459" s="28"/>
      <c r="M459" s="28"/>
      <c r="N459" s="28"/>
      <c r="O459" s="28"/>
      <c r="P459" s="28"/>
      <c r="Q459" s="28" t="s">
        <v>265</v>
      </c>
      <c r="R459" s="28">
        <f>VLOOKUP(K459,OES!$A:$B, 2, FALSE)</f>
        <v>250</v>
      </c>
      <c r="S459" s="60" t="s">
        <v>1465</v>
      </c>
      <c r="T459" s="203" t="str">
        <f>IF(COUNTIF('Raw TRI Data'!$K:$K,J459)&gt;0, "X", "")</f>
        <v/>
      </c>
    </row>
    <row r="460" spans="1:20" x14ac:dyDescent="0.25">
      <c r="A460" s="28">
        <f t="shared" si="7"/>
        <v>459</v>
      </c>
      <c r="B460" s="28" t="s">
        <v>1186</v>
      </c>
      <c r="C460" s="28"/>
      <c r="D460" s="28" t="s">
        <v>1187</v>
      </c>
      <c r="E460" s="28" t="s">
        <v>478</v>
      </c>
      <c r="F460" s="28"/>
      <c r="G460" s="28"/>
      <c r="H460" s="28"/>
      <c r="I460" s="28"/>
      <c r="J460" s="61">
        <v>110064631849</v>
      </c>
      <c r="K460" s="28" t="str">
        <f>VLOOKUP(J460, 'Raw Annual DMR Data'!$A:$M, 13, FALSE)</f>
        <v>Unknown</v>
      </c>
      <c r="L460" s="28"/>
      <c r="M460" s="28"/>
      <c r="N460" s="28"/>
      <c r="O460" s="28"/>
      <c r="P460" s="28"/>
      <c r="Q460" s="28" t="s">
        <v>265</v>
      </c>
      <c r="R460" s="28">
        <f>VLOOKUP(K460,OES!$A:$B, 2, FALSE)</f>
        <v>250</v>
      </c>
      <c r="S460" s="60" t="s">
        <v>1465</v>
      </c>
      <c r="T460" s="203" t="str">
        <f>IF(COUNTIF('Raw TRI Data'!$K:$K,J460)&gt;0, "X", "")</f>
        <v/>
      </c>
    </row>
    <row r="461" spans="1:20" x14ac:dyDescent="0.25">
      <c r="A461" s="28">
        <f t="shared" si="7"/>
        <v>460</v>
      </c>
      <c r="B461" s="28" t="s">
        <v>1196</v>
      </c>
      <c r="C461" s="28"/>
      <c r="D461" s="28" t="s">
        <v>1197</v>
      </c>
      <c r="E461" s="28" t="s">
        <v>1171</v>
      </c>
      <c r="F461" s="28"/>
      <c r="G461" s="28"/>
      <c r="H461" s="28"/>
      <c r="I461" s="28"/>
      <c r="J461" s="61">
        <v>110000867054</v>
      </c>
      <c r="K461" s="28" t="str">
        <f>VLOOKUP(J461, 'Raw Annual DMR Data'!$A:$M, 13, FALSE)</f>
        <v>POTW</v>
      </c>
      <c r="L461" s="28"/>
      <c r="M461" s="28"/>
      <c r="N461" s="28"/>
      <c r="O461" s="28"/>
      <c r="P461" s="28"/>
      <c r="Q461" s="28" t="s">
        <v>265</v>
      </c>
      <c r="R461" s="28">
        <f>VLOOKUP(K461,OES!$A:$B, 2, FALSE)</f>
        <v>365</v>
      </c>
      <c r="S461" s="60" t="s">
        <v>1465</v>
      </c>
      <c r="T461" s="203" t="str">
        <f>IF(COUNTIF('Raw TRI Data'!$K:$K,J461)&gt;0, "X", "")</f>
        <v/>
      </c>
    </row>
    <row r="462" spans="1:20" x14ac:dyDescent="0.25">
      <c r="A462" s="28">
        <f t="shared" si="7"/>
        <v>461</v>
      </c>
      <c r="B462" s="28" t="s">
        <v>1198</v>
      </c>
      <c r="C462" s="28"/>
      <c r="D462" s="28" t="s">
        <v>1199</v>
      </c>
      <c r="E462" s="28" t="s">
        <v>374</v>
      </c>
      <c r="F462" s="28"/>
      <c r="G462" s="28"/>
      <c r="H462" s="28"/>
      <c r="I462" s="28"/>
      <c r="J462" s="61">
        <v>110010062699</v>
      </c>
      <c r="K462" s="28" t="str">
        <f>VLOOKUP(J462, 'Raw Annual DMR Data'!$A:$M, 13, FALSE)</f>
        <v>POTW</v>
      </c>
      <c r="L462" s="28"/>
      <c r="M462" s="28"/>
      <c r="N462" s="28"/>
      <c r="O462" s="28"/>
      <c r="P462" s="28"/>
      <c r="Q462" s="28" t="s">
        <v>265</v>
      </c>
      <c r="R462" s="28">
        <f>VLOOKUP(K462,OES!$A:$B, 2, FALSE)</f>
        <v>365</v>
      </c>
      <c r="S462" s="60" t="s">
        <v>1465</v>
      </c>
      <c r="T462" s="203" t="str">
        <f>IF(COUNTIF('Raw TRI Data'!$K:$K,J462)&gt;0, "X", "")</f>
        <v/>
      </c>
    </row>
    <row r="463" spans="1:20" x14ac:dyDescent="0.25">
      <c r="A463" s="28">
        <f t="shared" si="7"/>
        <v>462</v>
      </c>
      <c r="B463" s="28" t="s">
        <v>1200</v>
      </c>
      <c r="C463" s="28"/>
      <c r="D463" s="28" t="s">
        <v>1201</v>
      </c>
      <c r="E463" s="28" t="s">
        <v>324</v>
      </c>
      <c r="F463" s="28"/>
      <c r="G463" s="28"/>
      <c r="H463" s="28"/>
      <c r="I463" s="28"/>
      <c r="J463" s="61">
        <v>110009938737</v>
      </c>
      <c r="K463" s="28" t="str">
        <f>VLOOKUP(J463, 'Raw Annual DMR Data'!$A:$M, 13, FALSE)</f>
        <v>POTW</v>
      </c>
      <c r="L463" s="28"/>
      <c r="M463" s="28"/>
      <c r="N463" s="28"/>
      <c r="O463" s="28"/>
      <c r="P463" s="28"/>
      <c r="Q463" s="28" t="s">
        <v>265</v>
      </c>
      <c r="R463" s="28">
        <f>VLOOKUP(K463,OES!$A:$B, 2, FALSE)</f>
        <v>365</v>
      </c>
      <c r="S463" s="60" t="s">
        <v>1465</v>
      </c>
      <c r="T463" s="203" t="str">
        <f>IF(COUNTIF('Raw TRI Data'!$K:$K,J463)&gt;0, "X", "")</f>
        <v/>
      </c>
    </row>
    <row r="464" spans="1:20" x14ac:dyDescent="0.25">
      <c r="A464" s="28">
        <f t="shared" si="7"/>
        <v>463</v>
      </c>
      <c r="B464" s="28" t="s">
        <v>1202</v>
      </c>
      <c r="C464" s="28"/>
      <c r="D464" s="28" t="s">
        <v>1203</v>
      </c>
      <c r="E464" s="28" t="s">
        <v>491</v>
      </c>
      <c r="F464" s="28"/>
      <c r="G464" s="28"/>
      <c r="H464" s="28"/>
      <c r="I464" s="28" t="s">
        <v>722</v>
      </c>
      <c r="J464" s="61">
        <v>110000538525</v>
      </c>
      <c r="K464" s="28" t="str">
        <f>VLOOKUP(J464, 'Raw Annual DMR Data'!$A:$M, 13, FALSE)</f>
        <v>Unknown</v>
      </c>
      <c r="L464" s="28"/>
      <c r="M464" s="28"/>
      <c r="N464" s="28"/>
      <c r="O464" s="28"/>
      <c r="P464" s="28"/>
      <c r="Q464" s="28" t="s">
        <v>265</v>
      </c>
      <c r="R464" s="28">
        <f>VLOOKUP(K464,OES!$A:$B, 2, FALSE)</f>
        <v>250</v>
      </c>
      <c r="S464" s="60" t="s">
        <v>1465</v>
      </c>
      <c r="T464" s="203" t="str">
        <f>IF(COUNTIF('Raw TRI Data'!$K:$K,J464)&gt;0, "X", "")</f>
        <v/>
      </c>
    </row>
    <row r="465" spans="1:20" x14ac:dyDescent="0.25">
      <c r="A465" s="28">
        <f t="shared" si="7"/>
        <v>464</v>
      </c>
      <c r="B465" s="28" t="s">
        <v>1204</v>
      </c>
      <c r="C465" s="28"/>
      <c r="D465" s="28" t="s">
        <v>1205</v>
      </c>
      <c r="E465" s="28" t="s">
        <v>374</v>
      </c>
      <c r="F465" s="28"/>
      <c r="G465" s="28"/>
      <c r="H465" s="28"/>
      <c r="I465" s="28"/>
      <c r="J465" s="61">
        <v>110015944077</v>
      </c>
      <c r="K465" s="28" t="str">
        <f>VLOOKUP(J465, 'Raw Annual DMR Data'!$A:$M, 13, FALSE)</f>
        <v>POTW</v>
      </c>
      <c r="L465" s="28"/>
      <c r="M465" s="28"/>
      <c r="N465" s="28"/>
      <c r="O465" s="28"/>
      <c r="P465" s="28"/>
      <c r="Q465" s="28" t="s">
        <v>265</v>
      </c>
      <c r="R465" s="28">
        <f>VLOOKUP(K465,OES!$A:$B, 2, FALSE)</f>
        <v>365</v>
      </c>
      <c r="S465" s="60" t="s">
        <v>1465</v>
      </c>
      <c r="T465" s="203" t="str">
        <f>IF(COUNTIF('Raw TRI Data'!$K:$K,J465)&gt;0, "X", "")</f>
        <v/>
      </c>
    </row>
    <row r="466" spans="1:20" x14ac:dyDescent="0.25">
      <c r="A466" s="28">
        <f t="shared" si="7"/>
        <v>465</v>
      </c>
      <c r="B466" s="28" t="s">
        <v>1208</v>
      </c>
      <c r="C466" s="28"/>
      <c r="D466" s="28" t="s">
        <v>446</v>
      </c>
      <c r="E466" s="28" t="s">
        <v>303</v>
      </c>
      <c r="F466" s="28"/>
      <c r="G466" s="28"/>
      <c r="H466" s="28"/>
      <c r="I466" s="28"/>
      <c r="J466" s="61">
        <v>110070227146</v>
      </c>
      <c r="K466" s="28" t="str">
        <f>VLOOKUP(J466, 'Raw Annual DMR Data'!$A:$M, 13, FALSE)</f>
        <v>Unknown</v>
      </c>
      <c r="L466" s="28"/>
      <c r="M466" s="28"/>
      <c r="N466" s="28"/>
      <c r="O466" s="28"/>
      <c r="P466" s="28"/>
      <c r="Q466" s="28" t="s">
        <v>265</v>
      </c>
      <c r="R466" s="28">
        <f>VLOOKUP(K466,OES!$A:$B, 2, FALSE)</f>
        <v>250</v>
      </c>
      <c r="S466" s="60" t="s">
        <v>1465</v>
      </c>
      <c r="T466" s="203" t="str">
        <f>IF(COUNTIF('Raw TRI Data'!$K:$K,J466)&gt;0, "X", "")</f>
        <v/>
      </c>
    </row>
    <row r="467" spans="1:20" x14ac:dyDescent="0.25">
      <c r="A467" s="28">
        <f t="shared" si="7"/>
        <v>466</v>
      </c>
      <c r="B467" s="28" t="s">
        <v>1210</v>
      </c>
      <c r="C467" s="28"/>
      <c r="D467" s="28" t="s">
        <v>657</v>
      </c>
      <c r="E467" s="28" t="s">
        <v>418</v>
      </c>
      <c r="F467" s="28"/>
      <c r="G467" s="28"/>
      <c r="H467" s="28"/>
      <c r="I467" s="28"/>
      <c r="J467" s="61">
        <v>110017237373</v>
      </c>
      <c r="K467" s="28" t="str">
        <f>VLOOKUP(J467, 'Raw Annual DMR Data'!$A:$M, 13, FALSE)</f>
        <v>Remediation</v>
      </c>
      <c r="L467" s="28"/>
      <c r="M467" s="28"/>
      <c r="N467" s="28"/>
      <c r="O467" s="28"/>
      <c r="P467" s="28"/>
      <c r="Q467" s="28" t="s">
        <v>265</v>
      </c>
      <c r="R467" s="28">
        <f>VLOOKUP(K467,OES!$A:$B, 2, FALSE)</f>
        <v>365</v>
      </c>
      <c r="S467" s="60" t="s">
        <v>1465</v>
      </c>
      <c r="T467" s="203" t="str">
        <f>IF(COUNTIF('Raw TRI Data'!$K:$K,J467)&gt;0, "X", "")</f>
        <v/>
      </c>
    </row>
    <row r="468" spans="1:20" x14ac:dyDescent="0.25">
      <c r="A468" s="28">
        <f t="shared" si="7"/>
        <v>467</v>
      </c>
      <c r="B468" s="28" t="s">
        <v>1216</v>
      </c>
      <c r="C468" s="28"/>
      <c r="D468" s="28" t="s">
        <v>1217</v>
      </c>
      <c r="E468" s="28" t="s">
        <v>338</v>
      </c>
      <c r="F468" s="28"/>
      <c r="G468" s="28"/>
      <c r="H468" s="28"/>
      <c r="I468" s="28"/>
      <c r="J468" s="61">
        <v>110070210646</v>
      </c>
      <c r="K468" s="28" t="str">
        <f>VLOOKUP(J468, 'Raw Annual DMR Data'!$A:$M, 13, FALSE)</f>
        <v>Unknown</v>
      </c>
      <c r="L468" s="28"/>
      <c r="M468" s="28"/>
      <c r="N468" s="28"/>
      <c r="O468" s="28"/>
      <c r="P468" s="28"/>
      <c r="Q468" s="28" t="s">
        <v>265</v>
      </c>
      <c r="R468" s="28">
        <f>VLOOKUP(K468,OES!$A:$B, 2, FALSE)</f>
        <v>250</v>
      </c>
      <c r="S468" s="60" t="s">
        <v>1465</v>
      </c>
      <c r="T468" s="203" t="str">
        <f>IF(COUNTIF('Raw TRI Data'!$K:$K,J468)&gt;0, "X", "")</f>
        <v/>
      </c>
    </row>
    <row r="469" spans="1:20" x14ac:dyDescent="0.25">
      <c r="A469" s="28">
        <f t="shared" si="7"/>
        <v>468</v>
      </c>
      <c r="B469" s="28" t="s">
        <v>1220</v>
      </c>
      <c r="C469" s="28"/>
      <c r="D469" s="28" t="s">
        <v>1221</v>
      </c>
      <c r="E469" s="28" t="s">
        <v>338</v>
      </c>
      <c r="F469" s="28"/>
      <c r="G469" s="28"/>
      <c r="H469" s="28"/>
      <c r="I469" s="28"/>
      <c r="J469" s="61">
        <v>110009834581</v>
      </c>
      <c r="K469" s="28" t="str">
        <f>VLOOKUP(J469, 'Raw Annual DMR Data'!$A:$M, 13, FALSE)</f>
        <v>Unknown</v>
      </c>
      <c r="L469" s="28"/>
      <c r="M469" s="28"/>
      <c r="N469" s="28"/>
      <c r="O469" s="28"/>
      <c r="P469" s="28"/>
      <c r="Q469" s="28" t="s">
        <v>265</v>
      </c>
      <c r="R469" s="28">
        <v>250</v>
      </c>
      <c r="S469" s="60" t="s">
        <v>1465</v>
      </c>
      <c r="T469" s="203" t="str">
        <f>IF(COUNTIF('Raw TRI Data'!$K:$K,J469)&gt;0, "X", "")</f>
        <v/>
      </c>
    </row>
    <row r="470" spans="1:20" x14ac:dyDescent="0.25">
      <c r="A470" s="28">
        <f t="shared" si="7"/>
        <v>469</v>
      </c>
      <c r="B470" s="28" t="s">
        <v>1225</v>
      </c>
      <c r="C470" s="28"/>
      <c r="D470" s="28" t="s">
        <v>1098</v>
      </c>
      <c r="E470" s="28" t="s">
        <v>324</v>
      </c>
      <c r="F470" s="28"/>
      <c r="G470" s="28"/>
      <c r="H470" s="28"/>
      <c r="I470" s="28"/>
      <c r="J470" s="61">
        <v>110000761104</v>
      </c>
      <c r="K470" s="28" t="str">
        <f>VLOOKUP(J470, 'Raw Annual DMR Data'!$A:$M, 13, FALSE)</f>
        <v>POTW</v>
      </c>
      <c r="L470" s="28"/>
      <c r="M470" s="28"/>
      <c r="N470" s="28"/>
      <c r="O470" s="28"/>
      <c r="P470" s="28"/>
      <c r="Q470" s="28" t="s">
        <v>265</v>
      </c>
      <c r="R470" s="28">
        <f>VLOOKUP(K470,OES!$A:$B, 2, FALSE)</f>
        <v>365</v>
      </c>
      <c r="S470" s="60" t="s">
        <v>1465</v>
      </c>
      <c r="T470" s="203" t="str">
        <f>IF(COUNTIF('Raw TRI Data'!$K:$K,J470)&gt;0, "X", "")</f>
        <v/>
      </c>
    </row>
    <row r="471" spans="1:20" x14ac:dyDescent="0.25">
      <c r="A471" s="28">
        <f t="shared" si="7"/>
        <v>470</v>
      </c>
      <c r="B471" s="28" t="s">
        <v>1229</v>
      </c>
      <c r="C471" s="28"/>
      <c r="D471" s="28" t="s">
        <v>358</v>
      </c>
      <c r="E471" s="28" t="s">
        <v>275</v>
      </c>
      <c r="F471" s="28"/>
      <c r="G471" s="28"/>
      <c r="H471" s="28"/>
      <c r="I471" s="28"/>
      <c r="J471" s="61">
        <v>110064411417</v>
      </c>
      <c r="K471" s="28" t="str">
        <f>VLOOKUP(J471, 'Raw Annual DMR Data'!$A:$M, 13, FALSE)</f>
        <v>Unknown</v>
      </c>
      <c r="L471" s="28"/>
      <c r="M471" s="28"/>
      <c r="N471" s="28"/>
      <c r="O471" s="28"/>
      <c r="P471" s="28"/>
      <c r="Q471" s="28" t="s">
        <v>265</v>
      </c>
      <c r="R471" s="28">
        <f>VLOOKUP(K471,OES!$A:$B, 2, FALSE)</f>
        <v>250</v>
      </c>
      <c r="S471" s="60" t="s">
        <v>1465</v>
      </c>
      <c r="T471" s="203" t="str">
        <f>IF(COUNTIF('Raw TRI Data'!$K:$K,J471)&gt;0, "X", "")</f>
        <v/>
      </c>
    </row>
    <row r="472" spans="1:20" x14ac:dyDescent="0.25">
      <c r="A472" s="28">
        <f t="shared" si="7"/>
        <v>471</v>
      </c>
      <c r="B472" s="28" t="s">
        <v>1232</v>
      </c>
      <c r="C472" s="28"/>
      <c r="D472" s="28" t="s">
        <v>968</v>
      </c>
      <c r="E472" s="28" t="s">
        <v>294</v>
      </c>
      <c r="F472" s="28"/>
      <c r="G472" s="28"/>
      <c r="H472" s="28"/>
      <c r="I472" s="28"/>
      <c r="J472" s="61">
        <v>110070884090</v>
      </c>
      <c r="K472" s="28" t="str">
        <f>VLOOKUP(J472, 'Raw Annual DMR Data'!$A:$M, 13, FALSE)</f>
        <v>Unknown</v>
      </c>
      <c r="L472" s="28"/>
      <c r="M472" s="28"/>
      <c r="N472" s="28"/>
      <c r="O472" s="28"/>
      <c r="P472" s="28"/>
      <c r="Q472" s="28" t="s">
        <v>265</v>
      </c>
      <c r="R472" s="28">
        <f>VLOOKUP(K472,OES!$A:$B, 2, FALSE)</f>
        <v>250</v>
      </c>
      <c r="S472" s="60" t="s">
        <v>1465</v>
      </c>
      <c r="T472" s="203" t="str">
        <f>IF(COUNTIF('Raw TRI Data'!$K:$K,J472)&gt;0, "X", "")</f>
        <v/>
      </c>
    </row>
    <row r="473" spans="1:20" x14ac:dyDescent="0.25">
      <c r="A473" s="28">
        <f t="shared" si="7"/>
        <v>472</v>
      </c>
      <c r="B473" s="28" t="s">
        <v>1237</v>
      </c>
      <c r="C473" s="28"/>
      <c r="D473" s="28" t="s">
        <v>1238</v>
      </c>
      <c r="E473" s="28" t="s">
        <v>324</v>
      </c>
      <c r="F473" s="28"/>
      <c r="G473" s="28"/>
      <c r="H473" s="28"/>
      <c r="I473" s="28"/>
      <c r="J473" s="61">
        <v>110045085457</v>
      </c>
      <c r="K473" s="28" t="str">
        <f>VLOOKUP(J473, 'Raw Annual DMR Data'!$A:$M, 13, FALSE)</f>
        <v>POTW</v>
      </c>
      <c r="L473" s="28"/>
      <c r="M473" s="28"/>
      <c r="N473" s="28"/>
      <c r="O473" s="28"/>
      <c r="P473" s="28"/>
      <c r="Q473" s="28" t="s">
        <v>265</v>
      </c>
      <c r="R473" s="28">
        <f>VLOOKUP(K473,OES!$A:$B, 2, FALSE)</f>
        <v>365</v>
      </c>
      <c r="S473" s="60" t="s">
        <v>1465</v>
      </c>
      <c r="T473" s="203" t="str">
        <f>IF(COUNTIF('Raw TRI Data'!$K:$K,J473)&gt;0, "X", "")</f>
        <v/>
      </c>
    </row>
    <row r="474" spans="1:20" x14ac:dyDescent="0.25">
      <c r="A474" s="28">
        <f t="shared" si="7"/>
        <v>473</v>
      </c>
      <c r="B474" s="28" t="s">
        <v>1241</v>
      </c>
      <c r="C474" s="28"/>
      <c r="D474" s="28" t="s">
        <v>1242</v>
      </c>
      <c r="E474" s="28" t="s">
        <v>338</v>
      </c>
      <c r="F474" s="28"/>
      <c r="G474" s="28"/>
      <c r="H474" s="28"/>
      <c r="I474" s="28"/>
      <c r="J474" s="61">
        <v>110029618297</v>
      </c>
      <c r="K474" s="28" t="str">
        <f>VLOOKUP(J474, 'Raw Annual DMR Data'!$A:$M, 13, FALSE)</f>
        <v>POTW</v>
      </c>
      <c r="L474" s="28"/>
      <c r="M474" s="28"/>
      <c r="N474" s="28"/>
      <c r="O474" s="28"/>
      <c r="P474" s="28"/>
      <c r="Q474" s="28" t="s">
        <v>265</v>
      </c>
      <c r="R474" s="28">
        <f>VLOOKUP(K474,OES!$A:$B, 2, FALSE)</f>
        <v>365</v>
      </c>
      <c r="S474" s="60" t="s">
        <v>1465</v>
      </c>
      <c r="T474" s="203" t="str">
        <f>IF(COUNTIF('Raw TRI Data'!$K:$K,J474)&gt;0, "X", "")</f>
        <v/>
      </c>
    </row>
    <row r="475" spans="1:20" x14ac:dyDescent="0.25">
      <c r="A475" s="28">
        <f t="shared" si="7"/>
        <v>474</v>
      </c>
      <c r="B475" s="28" t="s">
        <v>1245</v>
      </c>
      <c r="C475" s="28"/>
      <c r="D475" s="28" t="s">
        <v>1246</v>
      </c>
      <c r="E475" s="28" t="s">
        <v>366</v>
      </c>
      <c r="F475" s="28"/>
      <c r="G475" s="28"/>
      <c r="H475" s="28"/>
      <c r="I475" s="28"/>
      <c r="J475" s="61">
        <v>110010058034</v>
      </c>
      <c r="K475" s="28" t="str">
        <f>VLOOKUP(J475, 'Raw Annual DMR Data'!$A:$M, 13, FALSE)</f>
        <v>POTW</v>
      </c>
      <c r="L475" s="28"/>
      <c r="M475" s="28"/>
      <c r="N475" s="28"/>
      <c r="O475" s="28"/>
      <c r="P475" s="28"/>
      <c r="Q475" s="28" t="s">
        <v>265</v>
      </c>
      <c r="R475" s="28">
        <f>VLOOKUP(K475,OES!$A:$B, 2, FALSE)</f>
        <v>365</v>
      </c>
      <c r="S475" s="60" t="s">
        <v>1465</v>
      </c>
      <c r="T475" s="203" t="str">
        <f>IF(COUNTIF('Raw TRI Data'!$K:$K,J475)&gt;0, "X", "")</f>
        <v/>
      </c>
    </row>
    <row r="476" spans="1:20" x14ac:dyDescent="0.25">
      <c r="A476" s="28">
        <f t="shared" si="7"/>
        <v>475</v>
      </c>
      <c r="B476" s="28" t="s">
        <v>1247</v>
      </c>
      <c r="C476" s="28"/>
      <c r="D476" s="28" t="s">
        <v>1248</v>
      </c>
      <c r="E476" s="28" t="s">
        <v>1249</v>
      </c>
      <c r="F476" s="28"/>
      <c r="G476" s="28"/>
      <c r="H476" s="28"/>
      <c r="I476" s="28"/>
      <c r="J476" s="61">
        <v>110022284240</v>
      </c>
      <c r="K476" s="28" t="str">
        <f>VLOOKUP(J476, 'Raw Annual DMR Data'!$A:$M, 13, FALSE)</f>
        <v>POTW</v>
      </c>
      <c r="L476" s="28"/>
      <c r="M476" s="28"/>
      <c r="N476" s="28"/>
      <c r="O476" s="28"/>
      <c r="P476" s="28"/>
      <c r="Q476" s="28" t="s">
        <v>265</v>
      </c>
      <c r="R476" s="28">
        <f>VLOOKUP(K476,OES!$A:$B, 2, FALSE)</f>
        <v>365</v>
      </c>
      <c r="S476" s="60" t="s">
        <v>1465</v>
      </c>
      <c r="T476" s="203" t="str">
        <f>IF(COUNTIF('Raw TRI Data'!$K:$K,J476)&gt;0, "X", "")</f>
        <v/>
      </c>
    </row>
    <row r="477" spans="1:20" x14ac:dyDescent="0.25">
      <c r="A477" s="28">
        <f t="shared" si="7"/>
        <v>476</v>
      </c>
      <c r="B477" s="28" t="s">
        <v>1252</v>
      </c>
      <c r="C477" s="28"/>
      <c r="D477" s="28" t="s">
        <v>1253</v>
      </c>
      <c r="E477" s="28" t="s">
        <v>1171</v>
      </c>
      <c r="F477" s="28"/>
      <c r="G477" s="28"/>
      <c r="H477" s="28"/>
      <c r="I477" s="28"/>
      <c r="J477" s="61">
        <v>110022302417</v>
      </c>
      <c r="K477" s="28" t="str">
        <f>VLOOKUP(J477, 'Raw Annual DMR Data'!$A:$M, 13, FALSE)</f>
        <v>POTW</v>
      </c>
      <c r="L477" s="28"/>
      <c r="M477" s="28"/>
      <c r="N477" s="28"/>
      <c r="O477" s="28"/>
      <c r="P477" s="28"/>
      <c r="Q477" s="28" t="s">
        <v>265</v>
      </c>
      <c r="R477" s="28">
        <f>VLOOKUP(K477,OES!$A:$B, 2, FALSE)</f>
        <v>365</v>
      </c>
      <c r="S477" s="60" t="s">
        <v>1465</v>
      </c>
      <c r="T477" s="203" t="str">
        <f>IF(COUNTIF('Raw TRI Data'!$K:$K,J477)&gt;0, "X", "")</f>
        <v/>
      </c>
    </row>
    <row r="478" spans="1:20" x14ac:dyDescent="0.25">
      <c r="A478" s="28">
        <f t="shared" si="7"/>
        <v>477</v>
      </c>
      <c r="B478" s="28" t="s">
        <v>1254</v>
      </c>
      <c r="C478" s="28"/>
      <c r="D478" s="28" t="s">
        <v>1255</v>
      </c>
      <c r="E478" s="28" t="s">
        <v>366</v>
      </c>
      <c r="F478" s="28"/>
      <c r="G478" s="28"/>
      <c r="H478" s="28"/>
      <c r="I478" s="28"/>
      <c r="J478" s="61">
        <v>110037256812</v>
      </c>
      <c r="K478" s="28" t="str">
        <f>VLOOKUP(J478, 'Raw Annual DMR Data'!$A:$M, 13, FALSE)</f>
        <v>Laboratory Use</v>
      </c>
      <c r="L478" s="28"/>
      <c r="M478" s="28"/>
      <c r="N478" s="28"/>
      <c r="O478" s="28"/>
      <c r="P478" s="28"/>
      <c r="Q478" s="28" t="s">
        <v>265</v>
      </c>
      <c r="R478" s="28">
        <f>VLOOKUP(K478,OES!$A:$B, 2, FALSE)</f>
        <v>260</v>
      </c>
      <c r="S478" s="60" t="s">
        <v>1465</v>
      </c>
      <c r="T478" s="203" t="str">
        <f>IF(COUNTIF('Raw TRI Data'!$K:$K,J478)&gt;0, "X", "")</f>
        <v/>
      </c>
    </row>
    <row r="479" spans="1:20" x14ac:dyDescent="0.25">
      <c r="A479" s="28">
        <f t="shared" si="7"/>
        <v>478</v>
      </c>
      <c r="B479" s="28" t="s">
        <v>1257</v>
      </c>
      <c r="C479" s="28"/>
      <c r="D479" s="28" t="s">
        <v>1258</v>
      </c>
      <c r="E479" s="28" t="s">
        <v>366</v>
      </c>
      <c r="F479" s="28"/>
      <c r="G479" s="28"/>
      <c r="H479" s="28"/>
      <c r="I479" s="28"/>
      <c r="J479" s="61">
        <v>110001177958</v>
      </c>
      <c r="K479" s="28" t="str">
        <f>VLOOKUP(J479, 'Raw Annual DMR Data'!$A:$M, 13, FALSE)</f>
        <v>POTW</v>
      </c>
      <c r="L479" s="28"/>
      <c r="M479" s="28"/>
      <c r="N479" s="28"/>
      <c r="O479" s="28"/>
      <c r="P479" s="28"/>
      <c r="Q479" s="28" t="s">
        <v>265</v>
      </c>
      <c r="R479" s="28">
        <f>VLOOKUP(K479,OES!$A:$B, 2, FALSE)</f>
        <v>365</v>
      </c>
      <c r="S479" s="60" t="s">
        <v>1465</v>
      </c>
      <c r="T479" s="203" t="str">
        <f>IF(COUNTIF('Raw TRI Data'!$K:$K,J479)&gt;0, "X", "")</f>
        <v/>
      </c>
    </row>
    <row r="480" spans="1:20" x14ac:dyDescent="0.25">
      <c r="A480" s="28">
        <f t="shared" si="7"/>
        <v>479</v>
      </c>
      <c r="B480" s="28" t="s">
        <v>1259</v>
      </c>
      <c r="C480" s="28"/>
      <c r="D480" s="28" t="s">
        <v>1260</v>
      </c>
      <c r="E480" s="28" t="s">
        <v>374</v>
      </c>
      <c r="F480" s="28"/>
      <c r="G480" s="28"/>
      <c r="H480" s="28"/>
      <c r="I480" s="28"/>
      <c r="J480" s="61">
        <v>110028190419</v>
      </c>
      <c r="K480" s="28" t="str">
        <f>VLOOKUP(J480, 'Raw Annual DMR Data'!$A:$M, 13, FALSE)</f>
        <v>POTW</v>
      </c>
      <c r="L480" s="28"/>
      <c r="M480" s="28"/>
      <c r="N480" s="28"/>
      <c r="O480" s="28"/>
      <c r="P480" s="28"/>
      <c r="Q480" s="28" t="s">
        <v>265</v>
      </c>
      <c r="R480" s="28">
        <f>VLOOKUP(K480,OES!$A:$B, 2, FALSE)</f>
        <v>365</v>
      </c>
      <c r="S480" s="60" t="s">
        <v>1465</v>
      </c>
      <c r="T480" s="203" t="str">
        <f>IF(COUNTIF('Raw TRI Data'!$K:$K,J480)&gt;0, "X", "")</f>
        <v/>
      </c>
    </row>
    <row r="481" spans="1:20" x14ac:dyDescent="0.25">
      <c r="A481" s="28">
        <f t="shared" si="7"/>
        <v>480</v>
      </c>
      <c r="B481" s="28" t="s">
        <v>1279</v>
      </c>
      <c r="C481" s="28"/>
      <c r="D481" s="28" t="s">
        <v>1280</v>
      </c>
      <c r="E481" s="28" t="s">
        <v>374</v>
      </c>
      <c r="F481" s="28"/>
      <c r="G481" s="28"/>
      <c r="H481" s="28"/>
      <c r="I481" s="28"/>
      <c r="J481" s="61">
        <v>110015940776</v>
      </c>
      <c r="K481" s="28" t="str">
        <f>VLOOKUP(J481, 'Raw Annual DMR Data'!$A:$M, 13, FALSE)</f>
        <v>POTW</v>
      </c>
      <c r="L481" s="28"/>
      <c r="M481" s="28"/>
      <c r="N481" s="28"/>
      <c r="O481" s="28"/>
      <c r="P481" s="28"/>
      <c r="Q481" s="28" t="s">
        <v>265</v>
      </c>
      <c r="R481" s="28">
        <f>VLOOKUP(K481,OES!$A:$B, 2, FALSE)</f>
        <v>365</v>
      </c>
      <c r="S481" s="60" t="s">
        <v>1465</v>
      </c>
      <c r="T481" s="203" t="str">
        <f>IF(COUNTIF('Raw TRI Data'!$K:$K,J481)&gt;0, "X", "")</f>
        <v/>
      </c>
    </row>
    <row r="482" spans="1:20" x14ac:dyDescent="0.25">
      <c r="A482" s="28">
        <f t="shared" si="7"/>
        <v>481</v>
      </c>
      <c r="B482" s="28" t="s">
        <v>1281</v>
      </c>
      <c r="C482" s="28"/>
      <c r="D482" s="28" t="s">
        <v>1282</v>
      </c>
      <c r="E482" s="28" t="s">
        <v>366</v>
      </c>
      <c r="F482" s="28"/>
      <c r="G482" s="28"/>
      <c r="H482" s="28"/>
      <c r="I482" s="28"/>
      <c r="J482" s="61">
        <v>110045402079</v>
      </c>
      <c r="K482" s="28" t="str">
        <f>VLOOKUP(J482, 'Raw Annual DMR Data'!$A:$M, 13, FALSE)</f>
        <v>Unknown</v>
      </c>
      <c r="L482" s="28"/>
      <c r="M482" s="28"/>
      <c r="N482" s="28"/>
      <c r="O482" s="28"/>
      <c r="P482" s="28"/>
      <c r="Q482" s="28" t="s">
        <v>265</v>
      </c>
      <c r="R482" s="28">
        <f>VLOOKUP(K482,OES!$A:$B, 2, FALSE)</f>
        <v>250</v>
      </c>
      <c r="S482" s="60" t="s">
        <v>1465</v>
      </c>
      <c r="T482" s="203" t="str">
        <f>IF(COUNTIF('Raw TRI Data'!$K:$K,J482)&gt;0, "X", "")</f>
        <v/>
      </c>
    </row>
    <row r="483" spans="1:20" x14ac:dyDescent="0.25">
      <c r="A483" s="28">
        <f t="shared" si="7"/>
        <v>482</v>
      </c>
      <c r="B483" s="28" t="s">
        <v>1287</v>
      </c>
      <c r="C483" s="28"/>
      <c r="D483" s="28" t="s">
        <v>1205</v>
      </c>
      <c r="E483" s="28" t="s">
        <v>374</v>
      </c>
      <c r="F483" s="28"/>
      <c r="G483" s="28"/>
      <c r="H483" s="28"/>
      <c r="I483" s="28"/>
      <c r="J483" s="61">
        <v>110010062644</v>
      </c>
      <c r="K483" s="28" t="str">
        <f>VLOOKUP(J483, 'Raw Annual DMR Data'!$A:$M, 13, FALSE)</f>
        <v>Unknown</v>
      </c>
      <c r="L483" s="28"/>
      <c r="M483" s="28"/>
      <c r="N483" s="28"/>
      <c r="O483" s="28"/>
      <c r="P483" s="28"/>
      <c r="Q483" s="28" t="s">
        <v>265</v>
      </c>
      <c r="R483" s="28">
        <f>VLOOKUP(K483,OES!$A:$B, 2, FALSE)</f>
        <v>250</v>
      </c>
      <c r="S483" s="60" t="s">
        <v>1465</v>
      </c>
      <c r="T483" s="203" t="str">
        <f>IF(COUNTIF('Raw TRI Data'!$K:$K,J483)&gt;0, "X", "")</f>
        <v/>
      </c>
    </row>
    <row r="484" spans="1:20" x14ac:dyDescent="0.25">
      <c r="A484" s="28">
        <f t="shared" si="7"/>
        <v>483</v>
      </c>
      <c r="B484" s="28" t="s">
        <v>1291</v>
      </c>
      <c r="C484" s="28"/>
      <c r="D484" s="28" t="s">
        <v>1292</v>
      </c>
      <c r="E484" s="28" t="s">
        <v>366</v>
      </c>
      <c r="F484" s="28"/>
      <c r="G484" s="28"/>
      <c r="H484" s="28"/>
      <c r="I484" s="28"/>
      <c r="J484" s="61">
        <v>110028004175</v>
      </c>
      <c r="K484" s="28" t="str">
        <f>VLOOKUP(J484, 'Raw Annual DMR Data'!$A:$M, 13, FALSE)</f>
        <v>Repackaging</v>
      </c>
      <c r="L484" s="28"/>
      <c r="M484" s="28"/>
      <c r="N484" s="28"/>
      <c r="O484" s="28"/>
      <c r="P484" s="28"/>
      <c r="Q484" s="28" t="s">
        <v>265</v>
      </c>
      <c r="R484" s="28">
        <f>VLOOKUP(K484,OES!$A:$B, 2, FALSE)</f>
        <v>250</v>
      </c>
      <c r="S484" s="60" t="s">
        <v>1465</v>
      </c>
      <c r="T484" s="203" t="str">
        <f>IF(COUNTIF('Raw TRI Data'!$K:$K,J484)&gt;0, "X", "")</f>
        <v/>
      </c>
    </row>
    <row r="485" spans="1:20" x14ac:dyDescent="0.25">
      <c r="A485" s="28">
        <f t="shared" si="7"/>
        <v>484</v>
      </c>
      <c r="B485" s="28" t="s">
        <v>1295</v>
      </c>
      <c r="C485" s="28"/>
      <c r="D485" s="28" t="s">
        <v>964</v>
      </c>
      <c r="E485" s="28" t="s">
        <v>374</v>
      </c>
      <c r="F485" s="28"/>
      <c r="G485" s="28"/>
      <c r="H485" s="28"/>
      <c r="I485" s="28"/>
      <c r="J485" s="61">
        <v>110039276404</v>
      </c>
      <c r="K485" s="28" t="str">
        <f>VLOOKUP(J485, 'Raw Annual DMR Data'!$A:$M, 13, FALSE)</f>
        <v>POTW</v>
      </c>
      <c r="L485" s="28"/>
      <c r="M485" s="28"/>
      <c r="N485" s="28"/>
      <c r="O485" s="28"/>
      <c r="P485" s="28"/>
      <c r="Q485" s="28" t="s">
        <v>265</v>
      </c>
      <c r="R485" s="28">
        <f>VLOOKUP(K485,OES!$A:$B, 2, FALSE)</f>
        <v>365</v>
      </c>
      <c r="S485" s="60" t="s">
        <v>1465</v>
      </c>
      <c r="T485" s="203" t="str">
        <f>IF(COUNTIF('Raw TRI Data'!$K:$K,J485)&gt;0, "X", "")</f>
        <v/>
      </c>
    </row>
    <row r="486" spans="1:20" x14ac:dyDescent="0.25">
      <c r="A486" s="28">
        <f t="shared" si="7"/>
        <v>485</v>
      </c>
      <c r="B486" s="28" t="s">
        <v>1296</v>
      </c>
      <c r="C486" s="28"/>
      <c r="D486" s="28" t="s">
        <v>1297</v>
      </c>
      <c r="E486" s="28" t="s">
        <v>374</v>
      </c>
      <c r="F486" s="28"/>
      <c r="G486" s="28"/>
      <c r="H486" s="28"/>
      <c r="I486" s="28"/>
      <c r="J486" s="61">
        <v>110024409460</v>
      </c>
      <c r="K486" s="28" t="str">
        <f>VLOOKUP(J486, 'Raw Annual DMR Data'!$A:$M, 13, FALSE)</f>
        <v>POTW</v>
      </c>
      <c r="L486" s="28"/>
      <c r="M486" s="28"/>
      <c r="N486" s="28"/>
      <c r="O486" s="28"/>
      <c r="P486" s="28"/>
      <c r="Q486" s="28" t="s">
        <v>265</v>
      </c>
      <c r="R486" s="28">
        <f>VLOOKUP(K486,OES!$A:$B, 2, FALSE)</f>
        <v>365</v>
      </c>
      <c r="S486" s="60" t="s">
        <v>1465</v>
      </c>
      <c r="T486" s="203" t="str">
        <f>IF(COUNTIF('Raw TRI Data'!$K:$K,J486)&gt;0, "X", "")</f>
        <v/>
      </c>
    </row>
    <row r="487" spans="1:20" x14ac:dyDescent="0.25">
      <c r="A487" s="28">
        <f t="shared" si="7"/>
        <v>486</v>
      </c>
      <c r="B487" s="28" t="s">
        <v>1298</v>
      </c>
      <c r="C487" s="28"/>
      <c r="D487" s="28" t="s">
        <v>1299</v>
      </c>
      <c r="E487" s="28" t="s">
        <v>366</v>
      </c>
      <c r="F487" s="28"/>
      <c r="G487" s="28"/>
      <c r="H487" s="28"/>
      <c r="I487" s="28"/>
      <c r="J487" s="61">
        <v>110010058757</v>
      </c>
      <c r="K487" s="28" t="str">
        <f>VLOOKUP(J487, 'Raw Annual DMR Data'!$A:$M, 13, FALSE)</f>
        <v>POTW</v>
      </c>
      <c r="L487" s="28"/>
      <c r="M487" s="28"/>
      <c r="N487" s="28"/>
      <c r="O487" s="28"/>
      <c r="P487" s="28"/>
      <c r="Q487" s="28" t="s">
        <v>265</v>
      </c>
      <c r="R487" s="28">
        <f>VLOOKUP(K487,OES!$A:$B, 2, FALSE)</f>
        <v>365</v>
      </c>
      <c r="S487" s="60" t="s">
        <v>1465</v>
      </c>
      <c r="T487" s="203" t="str">
        <f>IF(COUNTIF('Raw TRI Data'!$K:$K,J487)&gt;0, "X", "")</f>
        <v/>
      </c>
    </row>
    <row r="488" spans="1:20" x14ac:dyDescent="0.25">
      <c r="A488" s="28">
        <f t="shared" si="7"/>
        <v>487</v>
      </c>
      <c r="B488" s="28" t="s">
        <v>1303</v>
      </c>
      <c r="C488" s="28"/>
      <c r="D488" s="28" t="s">
        <v>1304</v>
      </c>
      <c r="E488" s="28" t="s">
        <v>374</v>
      </c>
      <c r="F488" s="28"/>
      <c r="G488" s="28"/>
      <c r="H488" s="28"/>
      <c r="I488" s="28"/>
      <c r="J488" s="61">
        <v>110010062528</v>
      </c>
      <c r="K488" s="28" t="str">
        <f>VLOOKUP(J488, 'Raw Annual DMR Data'!$A:$M, 13, FALSE)</f>
        <v>POTW</v>
      </c>
      <c r="L488" s="28"/>
      <c r="M488" s="28"/>
      <c r="N488" s="28"/>
      <c r="O488" s="28"/>
      <c r="P488" s="28"/>
      <c r="Q488" s="28" t="s">
        <v>265</v>
      </c>
      <c r="R488" s="28">
        <f>VLOOKUP(K488,OES!$A:$B, 2, FALSE)</f>
        <v>365</v>
      </c>
      <c r="S488" s="60" t="s">
        <v>1465</v>
      </c>
      <c r="T488" s="203" t="str">
        <f>IF(COUNTIF('Raw TRI Data'!$K:$K,J488)&gt;0, "X", "")</f>
        <v/>
      </c>
    </row>
    <row r="489" spans="1:20" x14ac:dyDescent="0.25">
      <c r="A489" s="28">
        <f t="shared" si="7"/>
        <v>488</v>
      </c>
      <c r="B489" s="28" t="s">
        <v>1305</v>
      </c>
      <c r="C489" s="28"/>
      <c r="D489" s="28" t="s">
        <v>293</v>
      </c>
      <c r="E489" s="28" t="s">
        <v>294</v>
      </c>
      <c r="F489" s="28"/>
      <c r="G489" s="28"/>
      <c r="H489" s="28"/>
      <c r="I489" s="28"/>
      <c r="J489" s="61">
        <v>110070602296</v>
      </c>
      <c r="K489" s="28" t="str">
        <f>VLOOKUP(J489, 'Raw Annual DMR Data'!$A:$M, 13, FALSE)</f>
        <v>Unknown</v>
      </c>
      <c r="L489" s="28"/>
      <c r="M489" s="28"/>
      <c r="N489" s="28"/>
      <c r="O489" s="28"/>
      <c r="P489" s="28"/>
      <c r="Q489" s="28" t="s">
        <v>265</v>
      </c>
      <c r="R489" s="28">
        <f>VLOOKUP(K489,OES!$A:$B, 2, FALSE)</f>
        <v>250</v>
      </c>
      <c r="S489" s="60" t="s">
        <v>1465</v>
      </c>
      <c r="T489" s="203" t="str">
        <f>IF(COUNTIF('Raw TRI Data'!$K:$K,J489)&gt;0, "X", "")</f>
        <v/>
      </c>
    </row>
    <row r="490" spans="1:20" x14ac:dyDescent="0.25">
      <c r="A490" s="28">
        <f t="shared" si="7"/>
        <v>489</v>
      </c>
      <c r="B490" s="28" t="s">
        <v>1313</v>
      </c>
      <c r="C490" s="28"/>
      <c r="D490" s="28" t="s">
        <v>1314</v>
      </c>
      <c r="E490" s="28" t="s">
        <v>374</v>
      </c>
      <c r="F490" s="28"/>
      <c r="G490" s="28"/>
      <c r="H490" s="28"/>
      <c r="I490" s="28"/>
      <c r="J490" s="61">
        <v>110064629442</v>
      </c>
      <c r="K490" s="28" t="str">
        <f>VLOOKUP(J490, 'Raw Annual DMR Data'!$A:$M, 13, FALSE)</f>
        <v>POTW</v>
      </c>
      <c r="L490" s="28"/>
      <c r="M490" s="28"/>
      <c r="N490" s="28"/>
      <c r="O490" s="28"/>
      <c r="P490" s="28"/>
      <c r="Q490" s="28" t="s">
        <v>265</v>
      </c>
      <c r="R490" s="28">
        <f>VLOOKUP(K490,OES!$A:$B, 2, FALSE)</f>
        <v>365</v>
      </c>
      <c r="S490" s="60" t="s">
        <v>1465</v>
      </c>
      <c r="T490" s="203" t="str">
        <f>IF(COUNTIF('Raw TRI Data'!$K:$K,J490)&gt;0, "X", "")</f>
        <v/>
      </c>
    </row>
    <row r="491" spans="1:20" x14ac:dyDescent="0.25">
      <c r="A491" s="28">
        <f t="shared" si="7"/>
        <v>490</v>
      </c>
      <c r="B491" s="28" t="s">
        <v>1327</v>
      </c>
      <c r="C491" s="28"/>
      <c r="D491" s="28" t="s">
        <v>1328</v>
      </c>
      <c r="E491" s="28" t="s">
        <v>366</v>
      </c>
      <c r="F491" s="28"/>
      <c r="G491" s="28"/>
      <c r="H491" s="28"/>
      <c r="I491" s="28"/>
      <c r="J491" s="61">
        <v>110017972764</v>
      </c>
      <c r="K491" s="28" t="str">
        <f>VLOOKUP(J491, 'Raw Annual DMR Data'!$A:$M, 13, FALSE)</f>
        <v>Waste Handling, Disposal and Treatment (Landfill)</v>
      </c>
      <c r="L491" s="28"/>
      <c r="M491" s="28"/>
      <c r="N491" s="28"/>
      <c r="O491" s="28"/>
      <c r="P491" s="28"/>
      <c r="Q491" s="28" t="s">
        <v>265</v>
      </c>
      <c r="R491" s="28" t="e">
        <f>VLOOKUP(K491,OES!$A:$B, 2, FALSE)</f>
        <v>#N/A</v>
      </c>
      <c r="S491" s="60" t="s">
        <v>1465</v>
      </c>
      <c r="T491" s="203" t="str">
        <f>IF(COUNTIF('Raw TRI Data'!$K:$K,J491)&gt;0, "X", "")</f>
        <v/>
      </c>
    </row>
    <row r="492" spans="1:20" x14ac:dyDescent="0.25">
      <c r="A492" s="28">
        <f t="shared" si="7"/>
        <v>491</v>
      </c>
      <c r="B492" s="28" t="s">
        <v>1329</v>
      </c>
      <c r="C492" s="126"/>
      <c r="D492" s="28" t="s">
        <v>1330</v>
      </c>
      <c r="E492" s="28" t="s">
        <v>374</v>
      </c>
      <c r="F492" s="126"/>
      <c r="G492" s="126"/>
      <c r="H492" s="126"/>
      <c r="I492" s="28"/>
      <c r="J492" s="61">
        <v>110039713067</v>
      </c>
      <c r="K492" s="28" t="str">
        <f>VLOOKUP(J492, 'Raw Annual DMR Data'!$A:$M, 13, FALSE)</f>
        <v>POTW</v>
      </c>
      <c r="L492" s="28"/>
      <c r="M492" s="28"/>
      <c r="N492" s="28"/>
      <c r="O492" s="28"/>
      <c r="P492" s="28"/>
      <c r="Q492" s="28" t="s">
        <v>265</v>
      </c>
      <c r="R492" s="28">
        <f>VLOOKUP(K492,OES!$A:$B, 2, FALSE)</f>
        <v>365</v>
      </c>
      <c r="S492" s="60" t="s">
        <v>1465</v>
      </c>
      <c r="T492" s="203" t="str">
        <f>IF(COUNTIF('Raw TRI Data'!$K:$K,J492)&gt;0, "X", "")</f>
        <v/>
      </c>
    </row>
    <row r="493" spans="1:20" x14ac:dyDescent="0.25">
      <c r="A493" s="28">
        <f t="shared" si="7"/>
        <v>492</v>
      </c>
      <c r="B493" s="81" t="s">
        <v>1331</v>
      </c>
      <c r="C493" s="28"/>
      <c r="D493" s="97" t="s">
        <v>1286</v>
      </c>
      <c r="E493" s="81" t="s">
        <v>1171</v>
      </c>
      <c r="F493" s="28"/>
      <c r="G493" s="28"/>
      <c r="H493" s="28"/>
      <c r="I493" s="97"/>
      <c r="J493" s="63">
        <v>110005726802</v>
      </c>
      <c r="K493" s="28" t="str">
        <f>VLOOKUP(J493, 'Raw Annual DMR Data'!$A:$M, 13, FALSE)</f>
        <v>POTW</v>
      </c>
      <c r="L493" s="28"/>
      <c r="M493" s="28"/>
      <c r="N493" s="28"/>
      <c r="O493" s="28"/>
      <c r="P493" s="28"/>
      <c r="Q493" s="28" t="s">
        <v>265</v>
      </c>
      <c r="R493" s="28">
        <f>VLOOKUP(K493,OES!$A:$B, 2, FALSE)</f>
        <v>365</v>
      </c>
      <c r="S493" s="60" t="s">
        <v>1465</v>
      </c>
      <c r="T493" s="203" t="str">
        <f>IF(COUNTIF('Raw TRI Data'!$K:$K,J493)&gt;0, "X", "")</f>
        <v/>
      </c>
    </row>
    <row r="494" spans="1:20" x14ac:dyDescent="0.25">
      <c r="A494" s="28">
        <f t="shared" si="7"/>
        <v>493</v>
      </c>
      <c r="B494" s="28" t="s">
        <v>1336</v>
      </c>
      <c r="C494" s="28"/>
      <c r="D494" s="28" t="s">
        <v>1337</v>
      </c>
      <c r="E494" s="81" t="s">
        <v>366</v>
      </c>
      <c r="F494" s="28"/>
      <c r="G494" s="28"/>
      <c r="H494" s="28"/>
      <c r="I494" s="97"/>
      <c r="J494" s="61">
        <v>110000730460</v>
      </c>
      <c r="K494" s="28" t="str">
        <f>VLOOKUP(J494, 'Raw Annual DMR Data'!$A:$M, 13, FALSE)</f>
        <v>POTW</v>
      </c>
      <c r="L494" s="28"/>
      <c r="M494" s="28"/>
      <c r="N494" s="28"/>
      <c r="O494" s="28"/>
      <c r="P494" s="28"/>
      <c r="Q494" s="28" t="s">
        <v>265</v>
      </c>
      <c r="R494" s="28">
        <f>VLOOKUP(K494,OES!$A:$B, 2, FALSE)</f>
        <v>365</v>
      </c>
      <c r="S494" s="60" t="s">
        <v>1465</v>
      </c>
      <c r="T494" s="203" t="str">
        <f>IF(COUNTIF('Raw TRI Data'!$K:$K,J494)&gt;0, "X", "")</f>
        <v/>
      </c>
    </row>
    <row r="495" spans="1:20" x14ac:dyDescent="0.25">
      <c r="A495" s="28">
        <f t="shared" si="7"/>
        <v>494</v>
      </c>
      <c r="B495" s="28" t="s">
        <v>1342</v>
      </c>
      <c r="C495" s="28"/>
      <c r="D495" s="28" t="s">
        <v>1343</v>
      </c>
      <c r="E495" s="81" t="s">
        <v>366</v>
      </c>
      <c r="F495" s="28"/>
      <c r="G495" s="28"/>
      <c r="H495" s="28"/>
      <c r="I495" s="97"/>
      <c r="J495" s="61">
        <v>110064622519</v>
      </c>
      <c r="K495" s="28" t="str">
        <f>VLOOKUP(J495, 'Raw Annual DMR Data'!$A:$M, 13, FALSE)</f>
        <v>POTW</v>
      </c>
      <c r="L495" s="28"/>
      <c r="M495" s="28"/>
      <c r="N495" s="28"/>
      <c r="O495" s="28"/>
      <c r="P495" s="28"/>
      <c r="Q495" s="28" t="s">
        <v>265</v>
      </c>
      <c r="R495" s="28">
        <f>VLOOKUP(K495,OES!$A:$B, 2, FALSE)</f>
        <v>365</v>
      </c>
      <c r="S495" s="60" t="s">
        <v>1465</v>
      </c>
      <c r="T495" s="203" t="str">
        <f>IF(COUNTIF('Raw TRI Data'!$K:$K,J495)&gt;0, "X", "")</f>
        <v/>
      </c>
    </row>
    <row r="496" spans="1:20" x14ac:dyDescent="0.25">
      <c r="A496" s="28">
        <f t="shared" si="7"/>
        <v>495</v>
      </c>
      <c r="B496" s="28" t="s">
        <v>1344</v>
      </c>
      <c r="C496" s="28"/>
      <c r="D496" s="28" t="s">
        <v>1345</v>
      </c>
      <c r="E496" s="81" t="s">
        <v>366</v>
      </c>
      <c r="F496" s="28"/>
      <c r="G496" s="28"/>
      <c r="H496" s="28"/>
      <c r="I496" s="97"/>
      <c r="J496" s="61">
        <v>110039689851</v>
      </c>
      <c r="K496" s="28" t="str">
        <f>VLOOKUP(J496, 'Raw Annual DMR Data'!$A:$M, 13, FALSE)</f>
        <v>POTW</v>
      </c>
      <c r="L496" s="28"/>
      <c r="M496" s="28"/>
      <c r="N496" s="28"/>
      <c r="O496" s="28"/>
      <c r="P496" s="28"/>
      <c r="Q496" s="28" t="s">
        <v>265</v>
      </c>
      <c r="R496" s="28">
        <f>VLOOKUP(K496,OES!$A:$B, 2, FALSE)</f>
        <v>365</v>
      </c>
      <c r="S496" s="60" t="s">
        <v>1465</v>
      </c>
      <c r="T496" s="203" t="str">
        <f>IF(COUNTIF('Raw TRI Data'!$K:$K,J496)&gt;0, "X", "")</f>
        <v/>
      </c>
    </row>
    <row r="497" spans="1:20" x14ac:dyDescent="0.25">
      <c r="A497" s="28">
        <f t="shared" si="7"/>
        <v>496</v>
      </c>
      <c r="B497" s="28" t="s">
        <v>1350</v>
      </c>
      <c r="C497" s="28"/>
      <c r="D497" s="28" t="s">
        <v>1351</v>
      </c>
      <c r="E497" s="81" t="s">
        <v>1352</v>
      </c>
      <c r="F497" s="28"/>
      <c r="G497" s="28"/>
      <c r="H497" s="28"/>
      <c r="I497" s="97"/>
      <c r="J497" s="61">
        <v>110015408600</v>
      </c>
      <c r="K497" s="28" t="str">
        <f>VLOOKUP(J497, 'Raw Annual DMR Data'!$A:$M, 13, FALSE)</f>
        <v>POTW</v>
      </c>
      <c r="L497" s="28"/>
      <c r="M497" s="28"/>
      <c r="N497" s="28"/>
      <c r="O497" s="28"/>
      <c r="P497" s="28"/>
      <c r="Q497" s="28" t="s">
        <v>265</v>
      </c>
      <c r="R497" s="28">
        <f>VLOOKUP(K497,OES!$A:$B, 2, FALSE)</f>
        <v>365</v>
      </c>
      <c r="S497" s="60" t="s">
        <v>1465</v>
      </c>
      <c r="T497" s="203" t="str">
        <f>IF(COUNTIF('Raw TRI Data'!$K:$K,J497)&gt;0, "X", "")</f>
        <v/>
      </c>
    </row>
    <row r="498" spans="1:20" x14ac:dyDescent="0.25">
      <c r="A498" s="28">
        <f t="shared" si="7"/>
        <v>497</v>
      </c>
      <c r="B498" s="28" t="s">
        <v>1358</v>
      </c>
      <c r="C498" s="28"/>
      <c r="D498" s="28" t="s">
        <v>1359</v>
      </c>
      <c r="E498" s="81" t="s">
        <v>374</v>
      </c>
      <c r="F498" s="28"/>
      <c r="G498" s="28"/>
      <c r="H498" s="28"/>
      <c r="I498" s="97"/>
      <c r="J498" s="61">
        <v>110017206432</v>
      </c>
      <c r="K498" s="28" t="str">
        <f>VLOOKUP(J498, 'Raw Annual DMR Data'!$A:$M, 13, FALSE)</f>
        <v>Use in fuels and related products</v>
      </c>
      <c r="L498" s="28"/>
      <c r="M498" s="28"/>
      <c r="N498" s="28"/>
      <c r="O498" s="28"/>
      <c r="P498" s="28"/>
      <c r="Q498" s="28" t="s">
        <v>265</v>
      </c>
      <c r="R498" s="28" t="e">
        <f>VLOOKUP(K498,OES!$A:$B, 2, FALSE)</f>
        <v>#N/A</v>
      </c>
      <c r="S498" s="60" t="s">
        <v>1465</v>
      </c>
      <c r="T498" s="203" t="str">
        <f>IF(COUNTIF('Raw TRI Data'!$K:$K,J498)&gt;0, "X", "")</f>
        <v/>
      </c>
    </row>
    <row r="499" spans="1:20" x14ac:dyDescent="0.25">
      <c r="A499" s="28">
        <f t="shared" si="7"/>
        <v>498</v>
      </c>
      <c r="B499" s="28" t="s">
        <v>1360</v>
      </c>
      <c r="C499" s="28"/>
      <c r="D499" s="28" t="s">
        <v>1361</v>
      </c>
      <c r="E499" s="81" t="s">
        <v>366</v>
      </c>
      <c r="F499" s="28"/>
      <c r="G499" s="28"/>
      <c r="H499" s="28"/>
      <c r="I499" s="97"/>
      <c r="J499" s="61">
        <v>110006783463</v>
      </c>
      <c r="K499" s="28" t="str">
        <f>VLOOKUP(J499, 'Raw Annual DMR Data'!$A:$M, 13, FALSE)</f>
        <v>POTW</v>
      </c>
      <c r="L499" s="28"/>
      <c r="M499" s="28"/>
      <c r="N499" s="28"/>
      <c r="O499" s="28"/>
      <c r="P499" s="28"/>
      <c r="Q499" s="28" t="s">
        <v>265</v>
      </c>
      <c r="R499" s="28">
        <f>VLOOKUP(K499,OES!$A:$B, 2, FALSE)</f>
        <v>365</v>
      </c>
      <c r="S499" s="60" t="s">
        <v>1465</v>
      </c>
      <c r="T499" s="203" t="str">
        <f>IF(COUNTIF('Raw TRI Data'!$K:$K,J499)&gt;0, "X", "")</f>
        <v/>
      </c>
    </row>
    <row r="500" spans="1:20" x14ac:dyDescent="0.25">
      <c r="A500" s="28">
        <f t="shared" si="7"/>
        <v>499</v>
      </c>
      <c r="B500" s="28" t="s">
        <v>1365</v>
      </c>
      <c r="C500" s="28"/>
      <c r="D500" s="28" t="s">
        <v>1366</v>
      </c>
      <c r="E500" s="81" t="s">
        <v>506</v>
      </c>
      <c r="F500" s="28"/>
      <c r="G500" s="28"/>
      <c r="H500" s="28"/>
      <c r="I500" s="97"/>
      <c r="J500" s="61">
        <v>110008479397</v>
      </c>
      <c r="K500" s="28" t="str">
        <f>VLOOKUP(J500, 'Raw Annual DMR Data'!$A:$M, 13, FALSE)</f>
        <v>Unknown</v>
      </c>
      <c r="L500" s="28"/>
      <c r="M500" s="28"/>
      <c r="N500" s="28"/>
      <c r="O500" s="28"/>
      <c r="P500" s="28"/>
      <c r="Q500" s="28" t="s">
        <v>265</v>
      </c>
      <c r="R500" s="28">
        <f>VLOOKUP(K500,OES!$A:$B, 2, FALSE)</f>
        <v>250</v>
      </c>
      <c r="S500" s="60" t="s">
        <v>1465</v>
      </c>
      <c r="T500" s="203" t="str">
        <f>IF(COUNTIF('Raw TRI Data'!$K:$K,J500)&gt;0, "X", "")</f>
        <v/>
      </c>
    </row>
    <row r="501" spans="1:20" x14ac:dyDescent="0.25">
      <c r="A501" s="28">
        <f t="shared" si="7"/>
        <v>500</v>
      </c>
      <c r="B501" s="28" t="s">
        <v>1368</v>
      </c>
      <c r="C501" s="28"/>
      <c r="D501" s="28" t="s">
        <v>657</v>
      </c>
      <c r="E501" s="81" t="s">
        <v>418</v>
      </c>
      <c r="F501" s="28"/>
      <c r="G501" s="28"/>
      <c r="H501" s="28"/>
      <c r="I501" s="97"/>
      <c r="J501" s="61">
        <v>110041903223</v>
      </c>
      <c r="K501" s="28" t="str">
        <f>VLOOKUP(J501, 'Raw Annual DMR Data'!$A:$M, 13, FALSE)</f>
        <v>Unknown</v>
      </c>
      <c r="L501" s="28"/>
      <c r="M501" s="28"/>
      <c r="N501" s="28"/>
      <c r="O501" s="28"/>
      <c r="P501" s="28"/>
      <c r="Q501" s="28" t="s">
        <v>265</v>
      </c>
      <c r="R501" s="28">
        <f>VLOOKUP(K501,OES!$A:$B, 2, FALSE)</f>
        <v>250</v>
      </c>
      <c r="S501" s="60" t="s">
        <v>1465</v>
      </c>
      <c r="T501" s="203" t="str">
        <f>IF(COUNTIF('Raw TRI Data'!$K:$K,J501)&gt;0, "X", "")</f>
        <v/>
      </c>
    </row>
    <row r="502" spans="1:20" x14ac:dyDescent="0.25">
      <c r="A502" s="28">
        <f t="shared" si="7"/>
        <v>501</v>
      </c>
      <c r="B502" s="28" t="s">
        <v>1371</v>
      </c>
      <c r="C502" s="28"/>
      <c r="D502" s="28" t="s">
        <v>1372</v>
      </c>
      <c r="E502" s="81" t="s">
        <v>366</v>
      </c>
      <c r="F502" s="28"/>
      <c r="G502" s="28"/>
      <c r="H502" s="28"/>
      <c r="I502" s="97"/>
      <c r="J502" s="61">
        <v>110040078279</v>
      </c>
      <c r="K502" s="28" t="str">
        <f>VLOOKUP(J502, 'Raw Annual DMR Data'!$A:$M, 13, FALSE)</f>
        <v>Unknown</v>
      </c>
      <c r="L502" s="28"/>
      <c r="M502" s="28"/>
      <c r="N502" s="28"/>
      <c r="O502" s="28"/>
      <c r="P502" s="28"/>
      <c r="Q502" s="28" t="s">
        <v>265</v>
      </c>
      <c r="R502" s="28">
        <v>250</v>
      </c>
      <c r="S502" s="60" t="s">
        <v>1465</v>
      </c>
      <c r="T502" s="203" t="str">
        <f>IF(COUNTIF('Raw TRI Data'!$K:$K,J502)&gt;0, "X", "")</f>
        <v/>
      </c>
    </row>
    <row r="503" spans="1:20" x14ac:dyDescent="0.25">
      <c r="A503" s="28">
        <f t="shared" si="7"/>
        <v>502</v>
      </c>
      <c r="B503" s="28" t="s">
        <v>1376</v>
      </c>
      <c r="C503" s="28"/>
      <c r="D503" s="28" t="s">
        <v>1377</v>
      </c>
      <c r="E503" s="81" t="s">
        <v>601</v>
      </c>
      <c r="F503" s="28"/>
      <c r="G503" s="28"/>
      <c r="H503" s="28"/>
      <c r="I503" s="97"/>
      <c r="J503" s="61">
        <v>110020069076</v>
      </c>
      <c r="K503" s="28" t="str">
        <f>VLOOKUP(J503, 'Raw Annual DMR Data'!$A:$M, 13, FALSE)</f>
        <v>Unknown</v>
      </c>
      <c r="L503" s="28"/>
      <c r="M503" s="28"/>
      <c r="N503" s="28"/>
      <c r="O503" s="28"/>
      <c r="P503" s="28"/>
      <c r="Q503" s="28" t="s">
        <v>265</v>
      </c>
      <c r="R503" s="28">
        <f>VLOOKUP(K503,OES!$A:$B, 2, FALSE)</f>
        <v>250</v>
      </c>
      <c r="S503" s="60" t="s">
        <v>1465</v>
      </c>
      <c r="T503" s="203" t="str">
        <f>IF(COUNTIF('Raw TRI Data'!$K:$K,J503)&gt;0, "X", "")</f>
        <v/>
      </c>
    </row>
    <row r="504" spans="1:20" x14ac:dyDescent="0.25">
      <c r="A504" s="28">
        <f t="shared" si="7"/>
        <v>503</v>
      </c>
      <c r="B504" s="28" t="s">
        <v>1379</v>
      </c>
      <c r="C504" s="28"/>
      <c r="D504" s="28" t="s">
        <v>1380</v>
      </c>
      <c r="E504" s="81" t="s">
        <v>374</v>
      </c>
      <c r="F504" s="28"/>
      <c r="G504" s="28"/>
      <c r="H504" s="28"/>
      <c r="I504" s="97"/>
      <c r="J504" s="61">
        <v>110010677829</v>
      </c>
      <c r="K504" s="28" t="str">
        <f>VLOOKUP(J504, 'Raw Annual DMR Data'!$A:$M, 13, FALSE)</f>
        <v>POTW</v>
      </c>
      <c r="L504" s="28"/>
      <c r="M504" s="28"/>
      <c r="N504" s="28"/>
      <c r="O504" s="28"/>
      <c r="P504" s="28"/>
      <c r="Q504" s="28" t="s">
        <v>265</v>
      </c>
      <c r="R504" s="28">
        <f>VLOOKUP(K504,OES!$A:$B, 2, FALSE)</f>
        <v>365</v>
      </c>
      <c r="S504" s="60" t="s">
        <v>1465</v>
      </c>
      <c r="T504" s="203" t="str">
        <f>IF(COUNTIF('Raw TRI Data'!$K:$K,J504)&gt;0, "X", "")</f>
        <v/>
      </c>
    </row>
    <row r="505" spans="1:20" x14ac:dyDescent="0.25">
      <c r="A505" s="28">
        <f t="shared" si="7"/>
        <v>504</v>
      </c>
      <c r="B505" s="28" t="s">
        <v>1381</v>
      </c>
      <c r="C505" s="28"/>
      <c r="D505" s="28" t="s">
        <v>1382</v>
      </c>
      <c r="E505" s="81" t="s">
        <v>374</v>
      </c>
      <c r="F505" s="28"/>
      <c r="G505" s="28"/>
      <c r="H505" s="28"/>
      <c r="I505" s="97"/>
      <c r="J505" s="61">
        <v>110000914725</v>
      </c>
      <c r="K505" s="28" t="str">
        <f>VLOOKUP(J505, 'Raw Annual DMR Data'!$A:$M, 13, FALSE)</f>
        <v>POTW</v>
      </c>
      <c r="L505" s="28"/>
      <c r="M505" s="28"/>
      <c r="N505" s="28"/>
      <c r="O505" s="28"/>
      <c r="P505" s="28"/>
      <c r="Q505" s="28" t="s">
        <v>265</v>
      </c>
      <c r="R505" s="28">
        <f>VLOOKUP(K505,OES!$A:$B, 2, FALSE)</f>
        <v>365</v>
      </c>
      <c r="S505" s="60" t="s">
        <v>1465</v>
      </c>
      <c r="T505" s="203" t="str">
        <f>IF(COUNTIF('Raw TRI Data'!$K:$K,J505)&gt;0, "X", "")</f>
        <v/>
      </c>
    </row>
    <row r="506" spans="1:20" x14ac:dyDescent="0.25">
      <c r="A506" s="28">
        <f t="shared" si="7"/>
        <v>505</v>
      </c>
      <c r="B506" s="28" t="s">
        <v>1386</v>
      </c>
      <c r="C506" s="28"/>
      <c r="D506" s="28" t="s">
        <v>1314</v>
      </c>
      <c r="E506" s="81" t="s">
        <v>374</v>
      </c>
      <c r="F506" s="28"/>
      <c r="G506" s="28"/>
      <c r="H506" s="28"/>
      <c r="I506" s="97"/>
      <c r="J506" s="61">
        <v>110059716776</v>
      </c>
      <c r="K506" s="28" t="str">
        <f>VLOOKUP(J506, 'Raw Annual DMR Data'!$A:$M, 13, FALSE)</f>
        <v>POTW</v>
      </c>
      <c r="L506" s="28"/>
      <c r="M506" s="28"/>
      <c r="N506" s="28"/>
      <c r="O506" s="28"/>
      <c r="P506" s="28"/>
      <c r="Q506" s="28" t="s">
        <v>265</v>
      </c>
      <c r="R506" s="28">
        <f>VLOOKUP(K506,OES!$A:$B, 2, FALSE)</f>
        <v>365</v>
      </c>
      <c r="S506" s="60" t="s">
        <v>1465</v>
      </c>
      <c r="T506" s="203" t="str">
        <f>IF(COUNTIF('Raw TRI Data'!$K:$K,J506)&gt;0, "X", "")</f>
        <v/>
      </c>
    </row>
    <row r="507" spans="1:20" x14ac:dyDescent="0.25">
      <c r="A507" s="28">
        <f t="shared" si="7"/>
        <v>506</v>
      </c>
      <c r="B507" s="28" t="s">
        <v>1391</v>
      </c>
      <c r="C507" s="28"/>
      <c r="D507" s="28" t="s">
        <v>358</v>
      </c>
      <c r="E507" s="81" t="s">
        <v>275</v>
      </c>
      <c r="F507" s="28"/>
      <c r="G507" s="28"/>
      <c r="H507" s="28"/>
      <c r="I507" s="97"/>
      <c r="J507" s="61">
        <v>110005791107</v>
      </c>
      <c r="K507" s="28" t="str">
        <f>VLOOKUP(J507, 'Raw Annual DMR Data'!$A:$M, 13, FALSE)</f>
        <v>Unknown</v>
      </c>
      <c r="L507" s="28"/>
      <c r="M507" s="28"/>
      <c r="N507" s="28"/>
      <c r="O507" s="28"/>
      <c r="P507" s="28"/>
      <c r="Q507" s="28" t="s">
        <v>265</v>
      </c>
      <c r="R507" s="28">
        <f>VLOOKUP(K507,OES!$A:$B, 2, FALSE)</f>
        <v>250</v>
      </c>
      <c r="S507" s="60" t="s">
        <v>1465</v>
      </c>
      <c r="T507" s="203" t="str">
        <f>IF(COUNTIF('Raw TRI Data'!$K:$K,J507)&gt;0, "X", "")</f>
        <v/>
      </c>
    </row>
    <row r="508" spans="1:20" x14ac:dyDescent="0.25">
      <c r="A508" s="28">
        <f t="shared" si="7"/>
        <v>507</v>
      </c>
      <c r="B508" s="28" t="s">
        <v>1396</v>
      </c>
      <c r="C508" s="28"/>
      <c r="D508" s="28" t="s">
        <v>1397</v>
      </c>
      <c r="E508" s="81" t="s">
        <v>345</v>
      </c>
      <c r="F508" s="28"/>
      <c r="G508" s="28"/>
      <c r="H508" s="28"/>
      <c r="I508" s="97" t="s">
        <v>738</v>
      </c>
      <c r="J508" s="61">
        <v>110041963168</v>
      </c>
      <c r="K508" s="28" t="str">
        <f>VLOOKUP(J508, 'Raw Annual DMR Data'!$A:$M, 13, FALSE)</f>
        <v>Laboratory Use</v>
      </c>
      <c r="L508" s="28"/>
      <c r="M508" s="28"/>
      <c r="N508" s="28"/>
      <c r="O508" s="28"/>
      <c r="P508" s="28"/>
      <c r="Q508" s="28" t="s">
        <v>265</v>
      </c>
      <c r="R508" s="28">
        <f>VLOOKUP(K508,OES!$A:$B, 2, FALSE)</f>
        <v>260</v>
      </c>
      <c r="S508" s="60" t="s">
        <v>1465</v>
      </c>
      <c r="T508" s="203" t="str">
        <f>IF(COUNTIF('Raw TRI Data'!$K:$K,J508)&gt;0, "X", "")</f>
        <v/>
      </c>
    </row>
    <row r="509" spans="1:20" x14ac:dyDescent="0.25">
      <c r="A509" s="28">
        <f t="shared" si="7"/>
        <v>508</v>
      </c>
      <c r="B509" s="28" t="s">
        <v>1402</v>
      </c>
      <c r="C509" s="28"/>
      <c r="D509" s="28" t="s">
        <v>1403</v>
      </c>
      <c r="E509" s="81" t="s">
        <v>294</v>
      </c>
      <c r="F509" s="28"/>
      <c r="G509" s="28"/>
      <c r="H509" s="28"/>
      <c r="I509" s="97"/>
      <c r="J509" s="61">
        <v>110070548097</v>
      </c>
      <c r="K509" s="28" t="str">
        <f>VLOOKUP(J509, 'Raw Annual DMR Data'!$A:$M, 13, FALSE)</f>
        <v>Unknown</v>
      </c>
      <c r="L509" s="28"/>
      <c r="M509" s="28"/>
      <c r="N509" s="28"/>
      <c r="O509" s="28"/>
      <c r="P509" s="28"/>
      <c r="Q509" s="28" t="s">
        <v>265</v>
      </c>
      <c r="R509" s="28">
        <f>VLOOKUP(K509,OES!$A:$B, 2, FALSE)</f>
        <v>250</v>
      </c>
      <c r="S509" s="60" t="s">
        <v>1465</v>
      </c>
      <c r="T509" s="203" t="str">
        <f>IF(COUNTIF('Raw TRI Data'!$K:$K,J509)&gt;0, "X", "")</f>
        <v/>
      </c>
    </row>
    <row r="510" spans="1:20" x14ac:dyDescent="0.25">
      <c r="A510" s="28">
        <f t="shared" si="7"/>
        <v>509</v>
      </c>
      <c r="B510" s="28" t="s">
        <v>1406</v>
      </c>
      <c r="C510" s="28"/>
      <c r="D510" s="28" t="s">
        <v>1407</v>
      </c>
      <c r="E510" s="81" t="s">
        <v>324</v>
      </c>
      <c r="F510" s="28"/>
      <c r="G510" s="28"/>
      <c r="H510" s="28"/>
      <c r="I510" s="97"/>
      <c r="J510" s="61">
        <v>110000732226</v>
      </c>
      <c r="K510" s="28" t="str">
        <f>VLOOKUP(J510, 'Raw Annual DMR Data'!$A:$M, 13, FALSE)</f>
        <v>POTW</v>
      </c>
      <c r="L510" s="28"/>
      <c r="M510" s="28"/>
      <c r="N510" s="28"/>
      <c r="O510" s="28"/>
      <c r="P510" s="28"/>
      <c r="Q510" s="28" t="s">
        <v>265</v>
      </c>
      <c r="R510" s="28">
        <f>VLOOKUP(K510,OES!$A:$B, 2, FALSE)</f>
        <v>365</v>
      </c>
      <c r="S510" s="60" t="s">
        <v>1465</v>
      </c>
      <c r="T510" s="203" t="str">
        <f>IF(COUNTIF('Raw TRI Data'!$K:$K,J510)&gt;0, "X", "")</f>
        <v/>
      </c>
    </row>
    <row r="511" spans="1:20" x14ac:dyDescent="0.25">
      <c r="A511" s="28">
        <f t="shared" si="7"/>
        <v>510</v>
      </c>
      <c r="B511" s="28" t="s">
        <v>1408</v>
      </c>
      <c r="C511" s="28"/>
      <c r="D511" s="28" t="s">
        <v>1409</v>
      </c>
      <c r="E511" s="81" t="s">
        <v>366</v>
      </c>
      <c r="F511" s="28"/>
      <c r="G511" s="28"/>
      <c r="H511" s="28"/>
      <c r="I511" s="97"/>
      <c r="J511" s="61">
        <v>110000517637</v>
      </c>
      <c r="K511" s="28" t="str">
        <f>VLOOKUP(J511, 'Raw Annual DMR Data'!$A:$M, 13, FALSE)</f>
        <v>POTW</v>
      </c>
      <c r="L511" s="28"/>
      <c r="M511" s="28"/>
      <c r="N511" s="28"/>
      <c r="O511" s="28"/>
      <c r="P511" s="28"/>
      <c r="Q511" s="28" t="s">
        <v>265</v>
      </c>
      <c r="R511" s="28">
        <f>VLOOKUP(K511,OES!$A:$B, 2, FALSE)</f>
        <v>365</v>
      </c>
      <c r="S511" s="60" t="s">
        <v>1465</v>
      </c>
      <c r="T511" s="203" t="str">
        <f>IF(COUNTIF('Raw TRI Data'!$K:$K,J511)&gt;0, "X", "")</f>
        <v/>
      </c>
    </row>
    <row r="512" spans="1:20" x14ac:dyDescent="0.25">
      <c r="A512" s="28">
        <f t="shared" si="7"/>
        <v>511</v>
      </c>
      <c r="B512" s="28" t="s">
        <v>1412</v>
      </c>
      <c r="C512" s="28"/>
      <c r="D512" s="28" t="s">
        <v>1403</v>
      </c>
      <c r="E512" s="81" t="s">
        <v>294</v>
      </c>
      <c r="F512" s="28"/>
      <c r="G512" s="28"/>
      <c r="H512" s="28"/>
      <c r="I512" s="97"/>
      <c r="J512" s="61">
        <v>110070685409</v>
      </c>
      <c r="K512" s="28" t="str">
        <f>VLOOKUP(J512, 'Raw Annual DMR Data'!$A:$M, 13, FALSE)</f>
        <v>Unknown</v>
      </c>
      <c r="L512" s="28"/>
      <c r="M512" s="28"/>
      <c r="N512" s="28"/>
      <c r="O512" s="28"/>
      <c r="P512" s="28"/>
      <c r="Q512" s="28" t="s">
        <v>265</v>
      </c>
      <c r="R512" s="28">
        <f>VLOOKUP(K512,OES!$A:$B, 2, FALSE)</f>
        <v>250</v>
      </c>
      <c r="S512" s="60" t="s">
        <v>1465</v>
      </c>
      <c r="T512" s="203" t="str">
        <f>IF(COUNTIF('Raw TRI Data'!$K:$K,J512)&gt;0, "X", "")</f>
        <v/>
      </c>
    </row>
    <row r="513" spans="1:20" x14ac:dyDescent="0.25">
      <c r="A513" s="28">
        <f t="shared" si="7"/>
        <v>512</v>
      </c>
      <c r="B513" s="28" t="s">
        <v>1413</v>
      </c>
      <c r="C513" s="28"/>
      <c r="D513" s="28" t="s">
        <v>1414</v>
      </c>
      <c r="E513" s="81" t="s">
        <v>1415</v>
      </c>
      <c r="F513" s="28"/>
      <c r="G513" s="28"/>
      <c r="H513" s="28"/>
      <c r="I513" s="97"/>
      <c r="J513" s="61">
        <v>110070246981</v>
      </c>
      <c r="K513" s="28" t="str">
        <f>VLOOKUP(J513, 'Raw Annual DMR Data'!$A:$M, 13, FALSE)</f>
        <v>Unknown</v>
      </c>
      <c r="L513" s="28"/>
      <c r="M513" s="28"/>
      <c r="N513" s="28"/>
      <c r="O513" s="28"/>
      <c r="P513" s="28"/>
      <c r="Q513" s="28" t="s">
        <v>265</v>
      </c>
      <c r="R513" s="28">
        <f>VLOOKUP(K513,OES!$A:$B, 2, FALSE)</f>
        <v>250</v>
      </c>
      <c r="S513" s="60" t="s">
        <v>1465</v>
      </c>
      <c r="T513" s="203" t="str">
        <f>IF(COUNTIF('Raw TRI Data'!$K:$K,J513)&gt;0, "X", "")</f>
        <v/>
      </c>
    </row>
    <row r="514" spans="1:20" x14ac:dyDescent="0.25">
      <c r="A514" s="28">
        <f t="shared" si="7"/>
        <v>513</v>
      </c>
      <c r="B514" s="28" t="s">
        <v>1416</v>
      </c>
      <c r="C514" s="28"/>
      <c r="D514" s="28" t="s">
        <v>1417</v>
      </c>
      <c r="E514" s="81" t="s">
        <v>366</v>
      </c>
      <c r="F514" s="28"/>
      <c r="G514" s="28"/>
      <c r="H514" s="28"/>
      <c r="I514" s="97"/>
      <c r="J514" s="61">
        <v>110017217545</v>
      </c>
      <c r="K514" s="28" t="str">
        <f>VLOOKUP(J514, 'Raw Annual DMR Data'!$A:$M, 13, FALSE)</f>
        <v>Repackaging</v>
      </c>
      <c r="L514" s="28"/>
      <c r="M514" s="28"/>
      <c r="N514" s="28"/>
      <c r="O514" s="28"/>
      <c r="P514" s="28"/>
      <c r="Q514" s="28" t="s">
        <v>265</v>
      </c>
      <c r="R514" s="28">
        <f>VLOOKUP(K514,OES!$A:$B, 2, FALSE)</f>
        <v>250</v>
      </c>
      <c r="S514" s="60" t="s">
        <v>1465</v>
      </c>
      <c r="T514" s="203" t="str">
        <f>IF(COUNTIF('Raw TRI Data'!$K:$K,J514)&gt;0, "X", "")</f>
        <v/>
      </c>
    </row>
    <row r="515" spans="1:20" x14ac:dyDescent="0.25">
      <c r="A515" s="28">
        <f t="shared" ref="A515:A520" si="8">A514+1</f>
        <v>514</v>
      </c>
      <c r="B515" s="28" t="s">
        <v>1418</v>
      </c>
      <c r="C515" s="28"/>
      <c r="D515" s="28" t="s">
        <v>1041</v>
      </c>
      <c r="E515" s="81" t="s">
        <v>366</v>
      </c>
      <c r="F515" s="28"/>
      <c r="G515" s="28"/>
      <c r="H515" s="28"/>
      <c r="I515" s="97"/>
      <c r="J515" s="61">
        <v>110028243791</v>
      </c>
      <c r="K515" s="28" t="str">
        <f>VLOOKUP(J515, 'Raw Annual DMR Data'!$A:$M, 13, FALSE)</f>
        <v>Repackaging</v>
      </c>
      <c r="L515" s="28"/>
      <c r="M515" s="28"/>
      <c r="N515" s="28"/>
      <c r="O515" s="28"/>
      <c r="P515" s="28"/>
      <c r="Q515" s="28" t="s">
        <v>265</v>
      </c>
      <c r="R515" s="28">
        <f>VLOOKUP(K515,OES!$A:$B, 2, FALSE)</f>
        <v>250</v>
      </c>
      <c r="S515" s="60" t="s">
        <v>1465</v>
      </c>
      <c r="T515" s="203" t="str">
        <f>IF(COUNTIF('Raw TRI Data'!$K:$K,J515)&gt;0, "X", "")</f>
        <v/>
      </c>
    </row>
    <row r="516" spans="1:20" x14ac:dyDescent="0.25">
      <c r="A516" s="28">
        <f t="shared" si="8"/>
        <v>515</v>
      </c>
      <c r="B516" s="28" t="s">
        <v>1425</v>
      </c>
      <c r="C516" s="28"/>
      <c r="D516" s="28" t="s">
        <v>1426</v>
      </c>
      <c r="E516" s="81" t="s">
        <v>366</v>
      </c>
      <c r="F516" s="28"/>
      <c r="G516" s="28"/>
      <c r="H516" s="28"/>
      <c r="I516" s="97"/>
      <c r="J516" s="61">
        <v>110013819706</v>
      </c>
      <c r="K516" s="28" t="str">
        <f>VLOOKUP(J516, 'Raw Annual DMR Data'!$A:$M, 13, FALSE)</f>
        <v>POTW</v>
      </c>
      <c r="L516" s="28"/>
      <c r="M516" s="28"/>
      <c r="N516" s="28"/>
      <c r="O516" s="28"/>
      <c r="P516" s="28"/>
      <c r="Q516" s="28" t="s">
        <v>265</v>
      </c>
      <c r="R516" s="28">
        <f>VLOOKUP(K516,OES!$A:$B, 2, FALSE)</f>
        <v>365</v>
      </c>
      <c r="S516" s="60" t="s">
        <v>1465</v>
      </c>
      <c r="T516" s="203" t="str">
        <f>IF(COUNTIF('Raw TRI Data'!$K:$K,J516)&gt;0, "X", "")</f>
        <v/>
      </c>
    </row>
    <row r="517" spans="1:20" x14ac:dyDescent="0.25">
      <c r="A517" s="28">
        <f t="shared" si="8"/>
        <v>516</v>
      </c>
      <c r="B517" s="28" t="s">
        <v>1429</v>
      </c>
      <c r="C517" s="28"/>
      <c r="D517" s="28" t="s">
        <v>1430</v>
      </c>
      <c r="E517" s="81" t="s">
        <v>324</v>
      </c>
      <c r="F517" s="28"/>
      <c r="G517" s="28"/>
      <c r="H517" s="28"/>
      <c r="I517" s="97"/>
      <c r="J517" s="61">
        <v>110055043705</v>
      </c>
      <c r="K517" s="28" t="str">
        <f>VLOOKUP(J517, 'Raw Annual DMR Data'!$A:$M, 13, FALSE)</f>
        <v>POTW</v>
      </c>
      <c r="L517" s="28"/>
      <c r="M517" s="28"/>
      <c r="N517" s="28"/>
      <c r="O517" s="28"/>
      <c r="P517" s="28"/>
      <c r="Q517" s="28" t="s">
        <v>265</v>
      </c>
      <c r="R517" s="28">
        <f>VLOOKUP(K517,OES!$A:$B, 2, FALSE)</f>
        <v>365</v>
      </c>
      <c r="S517" s="60" t="s">
        <v>1465</v>
      </c>
      <c r="T517" s="203" t="str">
        <f>IF(COUNTIF('Raw TRI Data'!$K:$K,J517)&gt;0, "X", "")</f>
        <v/>
      </c>
    </row>
    <row r="518" spans="1:20" x14ac:dyDescent="0.25">
      <c r="A518" s="28">
        <f t="shared" si="8"/>
        <v>517</v>
      </c>
      <c r="B518" s="28" t="s">
        <v>1431</v>
      </c>
      <c r="C518" s="28"/>
      <c r="D518" s="28" t="s">
        <v>1314</v>
      </c>
      <c r="E518" s="81" t="s">
        <v>374</v>
      </c>
      <c r="F518" s="28"/>
      <c r="G518" s="28"/>
      <c r="H518" s="28"/>
      <c r="I518" s="97"/>
      <c r="J518" s="61">
        <v>110043316612</v>
      </c>
      <c r="K518" s="28" t="str">
        <f>VLOOKUP(J518, 'Raw Annual DMR Data'!$A:$M, 13, FALSE)</f>
        <v>POTW</v>
      </c>
      <c r="L518" s="28"/>
      <c r="M518" s="28"/>
      <c r="N518" s="28"/>
      <c r="O518" s="28"/>
      <c r="P518" s="28"/>
      <c r="Q518" s="28" t="s">
        <v>265</v>
      </c>
      <c r="R518" s="28">
        <f>VLOOKUP(K518,OES!$A:$B, 2, FALSE)</f>
        <v>365</v>
      </c>
      <c r="S518" s="60" t="s">
        <v>1465</v>
      </c>
      <c r="T518" s="203" t="str">
        <f>IF(COUNTIF('Raw TRI Data'!$K:$K,J518)&gt;0, "X", "")</f>
        <v/>
      </c>
    </row>
    <row r="519" spans="1:20" x14ac:dyDescent="0.25">
      <c r="A519" s="28">
        <f t="shared" si="8"/>
        <v>518</v>
      </c>
      <c r="B519" s="28" t="s">
        <v>1444</v>
      </c>
      <c r="C519" s="28"/>
      <c r="D519" s="28" t="s">
        <v>1445</v>
      </c>
      <c r="E519" s="81" t="s">
        <v>366</v>
      </c>
      <c r="F519" s="28"/>
      <c r="G519" s="28"/>
      <c r="H519" s="28"/>
      <c r="I519" s="97"/>
      <c r="J519" s="61">
        <v>110000524987</v>
      </c>
      <c r="K519" s="28" t="str">
        <f>VLOOKUP(J519, 'Raw Annual DMR Data'!$A:$M, 13, FALSE)</f>
        <v>POTW</v>
      </c>
      <c r="L519" s="28"/>
      <c r="M519" s="28"/>
      <c r="N519" s="28"/>
      <c r="O519" s="28"/>
      <c r="P519" s="28"/>
      <c r="Q519" s="28" t="s">
        <v>265</v>
      </c>
      <c r="R519" s="28">
        <f>VLOOKUP(K519,OES!$A:$B, 2, FALSE)</f>
        <v>365</v>
      </c>
      <c r="S519" s="60" t="s">
        <v>1465</v>
      </c>
      <c r="T519" s="203" t="str">
        <f>IF(COUNTIF('Raw TRI Data'!$K:$K,J519)&gt;0, "X", "")</f>
        <v/>
      </c>
    </row>
    <row r="520" spans="1:20" x14ac:dyDescent="0.25">
      <c r="A520" s="28">
        <f t="shared" si="8"/>
        <v>519</v>
      </c>
      <c r="B520" s="28" t="s">
        <v>1446</v>
      </c>
      <c r="C520" s="28"/>
      <c r="D520" s="28" t="s">
        <v>1228</v>
      </c>
      <c r="E520" s="81" t="s">
        <v>1128</v>
      </c>
      <c r="F520" s="28"/>
      <c r="G520" s="28"/>
      <c r="H520" s="28"/>
      <c r="I520" s="97"/>
      <c r="J520" s="61">
        <v>110070159157</v>
      </c>
      <c r="K520" s="28" t="str">
        <f>VLOOKUP(J520, 'Raw Annual DMR Data'!$A:$M, 13, FALSE)</f>
        <v>Unknown</v>
      </c>
      <c r="L520" s="28"/>
      <c r="M520" s="28"/>
      <c r="N520" s="28"/>
      <c r="O520" s="28"/>
      <c r="P520" s="28"/>
      <c r="Q520" s="28" t="s">
        <v>265</v>
      </c>
      <c r="R520" s="28">
        <f>VLOOKUP(K520,OES!$A:$B, 2, FALSE)</f>
        <v>250</v>
      </c>
      <c r="S520" s="60" t="s">
        <v>1465</v>
      </c>
      <c r="T520" s="203" t="str">
        <f>IF(COUNTIF('Raw TRI Data'!$K:$K,J520)&gt;0, "X", "")</f>
        <v/>
      </c>
    </row>
  </sheetData>
  <sheetProtection sheet="1" objects="1" scenarios="1" formatCells="0" formatColumns="0" formatRows="0"/>
  <autoFilter ref="A1:T520" xr:uid="{6DE29DE4-D354-4F87-971F-C832A17C6FB4}"/>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50E4B-BE99-4D18-9F73-4A4D50EDE5B7}">
  <sheetPr>
    <tabColor theme="7" tint="0.59999389629810485"/>
  </sheetPr>
  <dimension ref="A1:AI405"/>
  <sheetViews>
    <sheetView workbookViewId="0"/>
  </sheetViews>
  <sheetFormatPr defaultRowHeight="15" x14ac:dyDescent="0.25"/>
  <cols>
    <col min="1" max="1" width="23.5703125" style="114" customWidth="1"/>
    <col min="2" max="2" width="47.5703125" customWidth="1"/>
    <col min="3" max="3" width="19.42578125" bestFit="1" customWidth="1"/>
    <col min="4" max="4" width="9.140625" style="27"/>
    <col min="5" max="5" width="18.42578125" style="27" bestFit="1" customWidth="1"/>
    <col min="6" max="6" width="15.85546875" style="27" bestFit="1" customWidth="1"/>
    <col min="7" max="7" width="18.42578125" style="27" customWidth="1"/>
    <col min="8" max="8" width="52" bestFit="1" customWidth="1"/>
    <col min="9" max="9" width="18.42578125" customWidth="1"/>
    <col min="10" max="10" width="26" style="27" customWidth="1"/>
    <col min="11" max="11" width="20.5703125" style="27" customWidth="1"/>
    <col min="12" max="16" width="22.42578125" style="25" customWidth="1"/>
    <col min="17" max="21" width="18" style="25" customWidth="1"/>
    <col min="22" max="25" width="19.5703125" style="114" customWidth="1"/>
    <col min="26" max="26" width="30.85546875" style="114" bestFit="1" customWidth="1"/>
    <col min="27" max="27" width="33" style="114" bestFit="1" customWidth="1"/>
    <col min="28" max="28" width="25" style="114" customWidth="1"/>
    <col min="29" max="29" width="31.5703125" style="114" bestFit="1" customWidth="1"/>
    <col min="30" max="31" width="37.140625" style="133" customWidth="1"/>
    <col min="32" max="32" width="37.140625" style="27" customWidth="1"/>
    <col min="33" max="35" width="24.5703125" customWidth="1"/>
  </cols>
  <sheetData>
    <row r="1" spans="1:35" ht="15.75" thickBot="1" x14ac:dyDescent="0.3">
      <c r="L1" s="417" t="s">
        <v>741</v>
      </c>
      <c r="M1" s="418"/>
      <c r="N1" s="418"/>
      <c r="O1" s="418"/>
      <c r="P1" s="418"/>
      <c r="Q1" s="418"/>
      <c r="R1" s="418"/>
      <c r="S1" s="418"/>
      <c r="T1" s="418"/>
      <c r="U1" s="419"/>
      <c r="V1" s="431" t="s">
        <v>742</v>
      </c>
      <c r="W1" s="431"/>
      <c r="X1" s="431"/>
      <c r="Y1" s="431"/>
      <c r="Z1" s="431"/>
      <c r="AA1" s="431"/>
      <c r="AB1" s="431"/>
      <c r="AC1" s="431"/>
      <c r="AD1" s="440" t="s">
        <v>743</v>
      </c>
      <c r="AE1" s="441"/>
      <c r="AF1" s="441"/>
      <c r="AG1" s="441"/>
      <c r="AH1" s="441"/>
      <c r="AI1" s="442"/>
    </row>
    <row r="2" spans="1:35" ht="15.75" thickBot="1" x14ac:dyDescent="0.3">
      <c r="A2" s="138"/>
      <c r="B2" s="66"/>
      <c r="C2" s="66"/>
      <c r="D2" s="75"/>
      <c r="E2" s="75"/>
      <c r="F2" s="75"/>
      <c r="G2" s="75"/>
      <c r="H2" s="66"/>
      <c r="I2" s="66"/>
      <c r="J2" s="75"/>
      <c r="K2" s="132"/>
      <c r="L2" s="416" t="s">
        <v>273</v>
      </c>
      <c r="M2" s="416"/>
      <c r="N2" s="416"/>
      <c r="O2" s="416"/>
      <c r="P2" s="416"/>
      <c r="Q2" s="413" t="s">
        <v>269</v>
      </c>
      <c r="R2" s="414"/>
      <c r="S2" s="414"/>
      <c r="T2" s="414"/>
      <c r="U2" s="415"/>
      <c r="V2" s="432" t="s">
        <v>273</v>
      </c>
      <c r="W2" s="433"/>
      <c r="X2" s="433"/>
      <c r="Y2" s="434"/>
      <c r="Z2" s="435" t="s">
        <v>269</v>
      </c>
      <c r="AA2" s="436"/>
      <c r="AB2" s="436"/>
      <c r="AC2" s="437"/>
      <c r="AD2" s="438" t="s">
        <v>273</v>
      </c>
      <c r="AE2" s="439"/>
      <c r="AF2" s="439"/>
      <c r="AG2" s="428" t="s">
        <v>269</v>
      </c>
      <c r="AH2" s="429"/>
      <c r="AI2" s="430"/>
    </row>
    <row r="3" spans="1:35" s="25" customFormat="1" ht="60.75" thickBot="1" x14ac:dyDescent="0.3">
      <c r="A3" s="139" t="s">
        <v>238</v>
      </c>
      <c r="B3" s="140" t="s">
        <v>276</v>
      </c>
      <c r="C3" s="140" t="s">
        <v>278</v>
      </c>
      <c r="D3" s="139" t="s">
        <v>279</v>
      </c>
      <c r="E3" s="139" t="s">
        <v>283</v>
      </c>
      <c r="F3" s="139" t="s">
        <v>284</v>
      </c>
      <c r="G3" s="139" t="s">
        <v>744</v>
      </c>
      <c r="H3" s="140" t="s">
        <v>745</v>
      </c>
      <c r="I3" s="139" t="s">
        <v>746</v>
      </c>
      <c r="J3" s="139" t="s">
        <v>747</v>
      </c>
      <c r="K3" s="141" t="s">
        <v>748</v>
      </c>
      <c r="L3" s="137" t="s">
        <v>749</v>
      </c>
      <c r="M3" s="82" t="s">
        <v>750</v>
      </c>
      <c r="N3" s="82" t="s">
        <v>751</v>
      </c>
      <c r="O3" s="82" t="s">
        <v>752</v>
      </c>
      <c r="P3" s="146" t="s">
        <v>753</v>
      </c>
      <c r="Q3" s="147" t="s">
        <v>749</v>
      </c>
      <c r="R3" s="148" t="s">
        <v>750</v>
      </c>
      <c r="S3" s="148" t="s">
        <v>751</v>
      </c>
      <c r="T3" s="148" t="s">
        <v>752</v>
      </c>
      <c r="U3" s="149" t="s">
        <v>753</v>
      </c>
      <c r="V3" s="137" t="s">
        <v>754</v>
      </c>
      <c r="W3" s="82" t="s">
        <v>755</v>
      </c>
      <c r="X3" s="82" t="s">
        <v>756</v>
      </c>
      <c r="Y3" s="146" t="s">
        <v>757</v>
      </c>
      <c r="Z3" s="150" t="s">
        <v>754</v>
      </c>
      <c r="AA3" s="151" t="s">
        <v>755</v>
      </c>
      <c r="AB3" s="151" t="s">
        <v>756</v>
      </c>
      <c r="AC3" s="152" t="s">
        <v>757</v>
      </c>
      <c r="AD3" s="134" t="s">
        <v>758</v>
      </c>
      <c r="AE3" s="135" t="s">
        <v>759</v>
      </c>
      <c r="AF3" s="82" t="s">
        <v>760</v>
      </c>
      <c r="AG3" s="142" t="s">
        <v>758</v>
      </c>
      <c r="AH3" s="131" t="s">
        <v>759</v>
      </c>
      <c r="AI3" s="143" t="s">
        <v>760</v>
      </c>
    </row>
    <row r="4" spans="1:35" ht="45.75" thickBot="1" x14ac:dyDescent="0.3">
      <c r="A4" s="144" t="str">
        <f>VLOOKUP(F4,'Facility Summary'!J:K,2,FALSE)</f>
        <v>Remediation</v>
      </c>
      <c r="B4" s="145" t="s">
        <v>96</v>
      </c>
      <c r="C4" s="76" t="s">
        <v>293</v>
      </c>
      <c r="D4" s="77" t="s">
        <v>294</v>
      </c>
      <c r="E4" s="77"/>
      <c r="F4" s="78">
        <v>110070549382</v>
      </c>
      <c r="G4" s="283" t="s">
        <v>761</v>
      </c>
      <c r="H4" s="79" t="s">
        <v>762</v>
      </c>
      <c r="I4" s="284"/>
      <c r="J4" s="284" t="s">
        <v>265</v>
      </c>
      <c r="K4" s="87">
        <f>VLOOKUP(A4, 'OES Summary'!$A:$B, 2, FALSE)</f>
        <v>365</v>
      </c>
      <c r="L4" s="389" cm="1">
        <f t="array" ref="L4">IF(COUNTIF('Raw Annual DMR Data'!$L:$L,$F4)&gt;0,MEDIAN(IF('Raw Annual DMR Data'!$L:$L=F4,'Raw Annual DMR Data'!$S:$S)),"N/A - Facility Does Not Report DMRs")</f>
        <v>2.8342079999999902E-2</v>
      </c>
      <c r="M4" s="306">
        <f t="shared" ref="M4" si="0">IFERROR(+L4/$K4, "N/A - Facility Does Not Report DMRs")</f>
        <v>7.7649534246575068E-5</v>
      </c>
      <c r="N4" s="306">
        <f>IF(COUNTIF('Raw Annual DMR Data'!$L:$L,$F4)&gt;0,_xlfn.MAXIFS('Raw Annual DMR Data'!$S:$S,'Raw Annual DMR Data'!$L:$L,$F4), "N/A - Facility Does Not Report DMRs")</f>
        <v>7.2853679999999907E-2</v>
      </c>
      <c r="O4" s="306">
        <f t="shared" ref="O4" si="1">IFERROR(+N4/$K4, "N/A - Facility Does Not Report DMRs")</f>
        <v>1.9959912328767099E-4</v>
      </c>
      <c r="P4" s="307" cm="1">
        <f t="array" ref="P4">IF(COUNTIF('Raw Annual DMR Data'!$L:$L,$F4)&gt;0,INDEX('Raw Annual DMR Data'!$B:$B,MATCH(1,($F4='Raw Annual DMR Data'!$L:$L)*($N4='Raw Annual DMR Data'!$S:$S),0)), "N/A - Facility Does Not Report DMRs")</f>
        <v>2018</v>
      </c>
      <c r="Q4" s="153" t="str" cm="1">
        <f t="array" ref="Q4">IF(COUNTIF('Raw TRI Data'!$J:$J,$E4)&gt;0,MEDIAN(IF('Raw TRI Data'!$J:$J=E4,'Raw TRI Data'!$S:$S)), "N/A - Facility Does Not Report to TRI")</f>
        <v>N/A - Facility Does Not Report to TRI</v>
      </c>
      <c r="R4" s="154" t="str">
        <f t="shared" ref="R4:R35" si="2">IFERROR(+Q4/$K4, "N/A - Facility Does Not Report to TRI")</f>
        <v>N/A - Facility Does Not Report to TRI</v>
      </c>
      <c r="S4" s="154" t="str">
        <f>IF(COUNTIF('Raw TRI Data'!$J:$J,$E4)&gt;0,_xlfn.MAXIFS('Raw TRI Data'!$S:$S,'Raw TRI Data'!$J:$J,$E4), "N/A - Facility Does Not Report to TRI")</f>
        <v>N/A - Facility Does Not Report to TRI</v>
      </c>
      <c r="T4" s="154" t="str">
        <f t="shared" ref="T4:T35" si="3">IFERROR(+S4/$K4, "N/A - Facility Does Not Report to TRI")</f>
        <v>N/A - Facility Does Not Report to TRI</v>
      </c>
      <c r="U4" s="155" t="str" cm="1">
        <f t="array" ref="U4">IF(COUNTIF('Raw TRI Data'!$J:$J,$E4)&gt;0,INDEX('Raw TRI Data'!$A:$A,MATCH(1,($E4='Raw TRI Data'!$J:$J)*(S4='Raw TRI Data'!$S:$S),0)), "N/A - Facility Does Not Report to TRI")</f>
        <v>N/A - Facility Does Not Report to TRI</v>
      </c>
      <c r="V4" s="305" t="str" cm="1">
        <f t="array" ref="V4">IF(COUNTIFS('Raw Annual DMR Data'!$L:$L,$F4,'Raw Annual DMR Data'!$U:$U,"&gt;0")&gt;0,MEDIAN(IF('Raw Annual DMR Data'!$L:$L=$F4,'Raw Annual DMR Data'!$U:$U,"")),"N/A - Period DMR Data Not Available")</f>
        <v>N/A - Period DMR Data Not Available</v>
      </c>
      <c r="W4" s="306" t="str">
        <f>IF(COUNTIFS('Raw Annual DMR Data'!$L:$L,$F4, 'Raw Annual DMR Data'!$U:$U, "&gt;0")&gt;0,_xlfn.MAXIFS('Raw Annual DMR Data'!$U:$U,'Raw Annual DMR Data'!$L:$L,$F4), "N/A - Period DMR Data Not Available")</f>
        <v>N/A - Period DMR Data Not Available</v>
      </c>
      <c r="X4" s="308" t="str" cm="1">
        <f t="array" ref="X4">+IF(COUNTIFS('Raw Annual DMR Data'!L:L,$F4, 'Raw Annual DMR Data'!U:U, "&gt;0")&gt;0,INDEX('Raw Annual DMR Data'!V:V,MATCH(1,($F4='Raw Annual DMR Data'!L:L)*($W4='Raw Annual DMR Data'!U:U),0)), "N/A - Period DMR Data Not Available")</f>
        <v>N/A - Period DMR Data Not Available</v>
      </c>
      <c r="Y4" s="309" t="str" cm="1">
        <f t="array" ref="Y4">IF(COUNTIFS('Raw Annual DMR Data'!L:L,$F4, 'Raw Annual DMR Data'!U:U, "&gt;0")&gt;0,INDEX('Raw Annual DMR Data'!B:B,MATCH(1,($F4='Raw Annual DMR Data'!L:L)*($W4='Raw Annual DMR Data'!U:U),0)), "N/A - Period DMR Data Not Available")</f>
        <v>N/A - Period DMR Data Not Available</v>
      </c>
      <c r="Z4" s="310" t="str" cm="1">
        <f t="array" ref="Z4">IF(COUNTIF('Raw Annual DMR Data'!K:K,$E4)&gt;0,"N/A - See DMRs",IF(SUMIFS('Raw TRI Data'!$Z:$Z,'Raw TRI Data'!$J:$J,$E4)&gt;0,MEDIAN(IF('Raw TRI Data'!$J:$J=$E4,'Raw TRI Data'!$Z:$Z)), "N/A - Facility Does Not Report to TRI, no surface water releases, or no Generic Factors available"))</f>
        <v>N/A - Facility Does Not Report to TRI, no surface water releases, or no Generic Factors available</v>
      </c>
      <c r="AA4" s="306" t="str">
        <f>IF(COUNTIF('Raw Annual DMR Data'!K:K,$E4)&gt;0,"N/A - See DMRs",IF(SUMIFS('Raw TRI Data'!$Z:$Z,'Raw TRI Data'!$J:$J,$E4)&gt;0,_xlfn.MAXIFS('Raw TRI Data'!$Z:$Z,'Raw TRI Data'!$J:$J,$E4), "N/A - Facility Does Not Report to TRI, no surface water releases, or no Generic Factors available"))</f>
        <v>N/A - Facility Does Not Report to TRI, no surface water releases, or no Generic Factors available</v>
      </c>
      <c r="AB4" s="308" t="str">
        <f>IF(ISNUMBER(AA4),30,"N/A")</f>
        <v>N/A</v>
      </c>
      <c r="AC4" s="309" t="str" cm="1">
        <f t="array" ref="AC4">IF(COUNTIF('Raw Annual DMR Data'!K:K,$E4)&gt;0,"N/A - See DMRs",IF(SUMIFS('Raw TRI Data'!$Z:$Z,'Raw TRI Data'!$J:$J,$E4)&gt;0,INDEX('Raw TRI Data'!$A:$A,MATCH(1,($E4='Raw TRI Data'!$J:$J)*($AA4='Raw TRI Data'!$Z:$Z),0)), "N/A - Facility Does Not Report to TRI, no surface water releases, or no Generic Factors available"))</f>
        <v>N/A - Facility Does Not Report to TRI, no surface water releases, or no Generic Factors available</v>
      </c>
      <c r="AD4" s="312" t="str" cm="1">
        <f t="array" ref="AD4">IF(COUNTIFS('Raw Annual DMR Data'!L:L,$F4,'Raw Annual DMR Data'!W:W, "&gt;0")&gt;0,MEDIAN(IF('Raw Annual DMR Data'!K:K=$F4, 'Raw Annual DMR Data'!W:W)), "N/A - No Daily Max DMR Discharge Data")</f>
        <v>N/A - No Daily Max DMR Discharge Data</v>
      </c>
      <c r="AE4" s="313" t="str">
        <f>IF(COUNTIFS('Raw Annual DMR Data'!L:L,$F4,'Raw Annual DMR Data'!W:W, "&gt;0")&gt;0,_xlfn.MAXIFS('Raw Annual DMR Data'!W:W,'Raw Annual DMR Data'!L:L,$F4), "N/A - No Daily Max DMR Discharge Data")</f>
        <v>N/A - No Daily Max DMR Discharge Data</v>
      </c>
      <c r="AF4" s="314" t="str" cm="1">
        <f t="array" ref="AF4">IF(COUNTIFS('Raw Annual DMR Data'!L:L,$F4,'Raw Annual DMR Data'!W:W, "&gt;0")&gt;0,INDEX('Raw Annual DMR Data'!B:B,MATCH(1,($F4='Raw Annual DMR Data'!L:L)*($AE4='Raw Annual DMR Data'!W:W),0)), "N/A - No Daily Max DMR Discharge Data")</f>
        <v>N/A - No Daily Max DMR Discharge Data</v>
      </c>
      <c r="AG4" s="420" t="s">
        <v>763</v>
      </c>
      <c r="AH4" s="420"/>
      <c r="AI4" s="421"/>
    </row>
    <row r="5" spans="1:35" ht="45.75" thickBot="1" x14ac:dyDescent="0.3">
      <c r="A5" s="144" t="str">
        <f>VLOOKUP(F5,'Facility Summary'!J:K,2,FALSE)</f>
        <v>Unknown</v>
      </c>
      <c r="B5" s="97" t="s">
        <v>99</v>
      </c>
      <c r="C5" s="28" t="s">
        <v>298</v>
      </c>
      <c r="D5" s="87" t="s">
        <v>299</v>
      </c>
      <c r="E5" s="87"/>
      <c r="F5" s="88">
        <v>110066929033</v>
      </c>
      <c r="G5" s="74" t="s">
        <v>764</v>
      </c>
      <c r="H5" s="89" t="s">
        <v>765</v>
      </c>
      <c r="I5" s="74">
        <v>11110104000749</v>
      </c>
      <c r="J5" s="74" t="s">
        <v>265</v>
      </c>
      <c r="K5" s="60">
        <f>VLOOKUP(A5, 'OES Summary'!$A:$B, 2, FALSE)</f>
        <v>250</v>
      </c>
      <c r="L5" s="304" cm="1">
        <f t="array" ref="L5">IF(COUNTIF('Raw Annual DMR Data'!$L:$L,$F5)&gt;0,MEDIAN(IF('Raw Annual DMR Data'!$L:$L=F5,'Raw Annual DMR Data'!$S:$S)),"N/A - Facility Does Not Report DMRs")</f>
        <v>1.0802721088435301E-3</v>
      </c>
      <c r="M5" s="156">
        <f t="shared" ref="M5:M68" si="4">IFERROR(+L5/$K5, "N/A - Facility Does Not Report DMRs")</f>
        <v>4.3210884353741206E-6</v>
      </c>
      <c r="N5" s="156">
        <f>IF(COUNTIF('Raw Annual DMR Data'!$L:$L,$F5)&gt;0,_xlfn.MAXIFS('Raw Annual DMR Data'!$S:$S,'Raw Annual DMR Data'!$L:$L,$F5), "N/A - Facility Does Not Report DMRs")</f>
        <v>5.4394557823129203E-3</v>
      </c>
      <c r="O5" s="156">
        <f t="shared" ref="O5:O68" si="5">IFERROR(+N5/$K5, "N/A - Facility Does Not Report DMRs")</f>
        <v>2.1757823129251681E-5</v>
      </c>
      <c r="P5" s="113" cm="1">
        <f t="array" ref="P5">IF(COUNTIF('Raw Annual DMR Data'!$L:$L,$F5)&gt;0,INDEX('Raw Annual DMR Data'!$B:$B,MATCH(1,($F5='Raw Annual DMR Data'!$L:$L)*($N5='Raw Annual DMR Data'!$S:$S),0)), "N/A - Facility Does Not Report DMRs")</f>
        <v>2016</v>
      </c>
      <c r="Q5" s="304" t="str" cm="1">
        <f t="array" ref="Q5">IF(COUNTIF('Raw TRI Data'!$J:$J,$E5)&gt;0,MEDIAN(IF('Raw TRI Data'!$J:$J=E5,'Raw TRI Data'!$S:$S)), "N/A - Facility Does Not Report to TRI")</f>
        <v>N/A - Facility Does Not Report to TRI</v>
      </c>
      <c r="R5" s="156" t="str">
        <f t="shared" si="2"/>
        <v>N/A - Facility Does Not Report to TRI</v>
      </c>
      <c r="S5" s="156" t="str">
        <f>IF(COUNTIF('Raw TRI Data'!$J:$J,$E5)&gt;0,_xlfn.MAXIFS('Raw TRI Data'!$S:$S,'Raw TRI Data'!$J:$J,$E5), "N/A - Facility Does Not Report to TRI")</f>
        <v>N/A - Facility Does Not Report to TRI</v>
      </c>
      <c r="T5" s="156" t="str">
        <f t="shared" si="3"/>
        <v>N/A - Facility Does Not Report to TRI</v>
      </c>
      <c r="U5" s="136" t="str" cm="1">
        <f t="array" ref="U5">IF(COUNTIF('Raw TRI Data'!$J:$J,$E5)&gt;0,INDEX('Raw TRI Data'!$A:$A,MATCH(1,($E5='Raw TRI Data'!$J:$J)*(S5='Raw TRI Data'!$S:$S),0)), "N/A - Facility Does Not Report to TRI")</f>
        <v>N/A - Facility Does Not Report to TRI</v>
      </c>
      <c r="V5" s="156" t="str" cm="1">
        <f t="array" ref="V5">IF(COUNTIFS('Raw Annual DMR Data'!$L:$L,$F5,'Raw Annual DMR Data'!$U:$U,"&gt;0")&gt;0,MEDIAN(IF('Raw Annual DMR Data'!$L:$L=$F5,'Raw Annual DMR Data'!$U:$U,"")),"N/A - Period DMR Data Not Available")</f>
        <v>N/A - Period DMR Data Not Available</v>
      </c>
      <c r="W5" s="156" t="str">
        <f>IF(COUNTIFS('Raw Annual DMR Data'!$L:$L,$F5, 'Raw Annual DMR Data'!$U:$U, "&gt;0")&gt;0,_xlfn.MAXIFS('Raw Annual DMR Data'!$U:$U,'Raw Annual DMR Data'!$L:$L,$F5), "N/A - Period DMR Data Not Available")</f>
        <v>N/A - Period DMR Data Not Available</v>
      </c>
      <c r="X5" s="113" t="str" cm="1">
        <f t="array" ref="X5">+IF(COUNTIFS('Raw Annual DMR Data'!L:L,$F5, 'Raw Annual DMR Data'!U:U, "&gt;0")&gt;0,INDEX('Raw Annual DMR Data'!V:V,MATCH(1,($F5='Raw Annual DMR Data'!L:L)*($W5='Raw Annual DMR Data'!U:U),0)), "N/A - Period DMR Data Not Available")</f>
        <v>N/A - Period DMR Data Not Available</v>
      </c>
      <c r="Y5" s="113" t="str" cm="1">
        <f t="array" ref="Y5">IF(COUNTIFS('Raw Annual DMR Data'!L:L,$F5, 'Raw Annual DMR Data'!U:U, "&gt;0")&gt;0,INDEX('Raw Annual DMR Data'!B:B,MATCH(1,($F5='Raw Annual DMR Data'!L:L)*($W5='Raw Annual DMR Data'!U:U),0)), "N/A - Period DMR Data Not Available")</f>
        <v>N/A - Period DMR Data Not Available</v>
      </c>
      <c r="Z5" s="311" t="str" cm="1">
        <f t="array" ref="Z5">IF(COUNTIF('Raw Annual DMR Data'!K:K,$E5)&gt;0,"N/A - See DMRs",IF(SUMIFS('Raw TRI Data'!$Z:$Z,'Raw TRI Data'!$J:$J,$E5)&gt;0,MEDIAN(IF('Raw TRI Data'!$J:$J=$E5,'Raw TRI Data'!$Z:$Z)), "N/A - Facility Does Not Report to TRI, no surface water releases, or no Generic Factors available"))</f>
        <v>N/A - Facility Does Not Report to TRI, no surface water releases, or no Generic Factors available</v>
      </c>
      <c r="AA5" s="156" t="str">
        <f>IF(COUNTIF('Raw Annual DMR Data'!K:K,$E5)&gt;0,"N/A - See DMRs",IF(SUMIFS('Raw TRI Data'!$Z:$Z,'Raw TRI Data'!$J:$J,$E5)&gt;0,_xlfn.MAXIFS('Raw TRI Data'!$Z:$Z,'Raw TRI Data'!$J:$J,$E5), "N/A - Facility Does Not Report to TRI, no surface water releases, or no Generic Factors available"))</f>
        <v>N/A - Facility Does Not Report to TRI, no surface water releases, or no Generic Factors available</v>
      </c>
      <c r="AB5" s="113" t="str">
        <f t="shared" ref="AB5:AB68" si="6">IF(ISNUMBER(AA5),30,"N/A")</f>
        <v>N/A</v>
      </c>
      <c r="AC5" s="136" t="str" cm="1">
        <f t="array" ref="AC5">IF(COUNTIF('Raw Annual DMR Data'!K:K,$E5)&gt;0,"N/A - See DMRs",IF(SUMIFS('Raw TRI Data'!$Z:$Z,'Raw TRI Data'!$J:$J,$E5)&gt;0,INDEX('Raw TRI Data'!$A:$A,MATCH(1,($E5='Raw TRI Data'!$J:$J)*($AA5='Raw TRI Data'!$Z:$Z),0)), "N/A - Facility Does Not Report to TRI, no surface water releases, or no Generic Factors available"))</f>
        <v>N/A - Facility Does Not Report to TRI, no surface water releases, or no Generic Factors available</v>
      </c>
      <c r="AD5" s="96" t="str" cm="1">
        <f t="array" ref="AD5">IF(COUNTIFS('Raw Annual DMR Data'!L:L,$F5,'Raw Annual DMR Data'!W:W, "&gt;0")&gt;0,MEDIAN(IF('Raw Annual DMR Data'!K:K=$F5, 'Raw Annual DMR Data'!W:W)), "N/A - No Daily Max DMR Discharge Data")</f>
        <v>N/A - No Daily Max DMR Discharge Data</v>
      </c>
      <c r="AE5" s="96" t="str">
        <f>IF(COUNTIFS('Raw Annual DMR Data'!L:L,$F5,'Raw Annual DMR Data'!W:W, "&gt;0")&gt;0,_xlfn.MAXIFS('Raw Annual DMR Data'!W:W,'Raw Annual DMR Data'!L:L,$F5), "N/A - No Daily Max DMR Discharge Data")</f>
        <v>N/A - No Daily Max DMR Discharge Data</v>
      </c>
      <c r="AF5" s="60" t="str" cm="1">
        <f t="array" ref="AF5">IF(COUNTIFS('Raw Annual DMR Data'!L:L,$F5,'Raw Annual DMR Data'!W:W, "&gt;0")&gt;0,INDEX('Raw Annual DMR Data'!B:B,MATCH(1,($F5='Raw Annual DMR Data'!L:L)*($AE5='Raw Annual DMR Data'!W:W),0)), "N/A - No Daily Max DMR Discharge Data")</f>
        <v>N/A - No Daily Max DMR Discharge Data</v>
      </c>
      <c r="AG5" s="422"/>
      <c r="AH5" s="422"/>
      <c r="AI5" s="423"/>
    </row>
    <row r="6" spans="1:35" ht="45.75" thickBot="1" x14ac:dyDescent="0.3">
      <c r="A6" s="144" t="str">
        <f>VLOOKUP(F6,'Facility Summary'!J:K,2,FALSE)</f>
        <v>Processing into formulation, mixture, or reaction product</v>
      </c>
      <c r="B6" s="97" t="s">
        <v>100</v>
      </c>
      <c r="C6" s="28" t="s">
        <v>302</v>
      </c>
      <c r="D6" s="60" t="s">
        <v>303</v>
      </c>
      <c r="E6" s="60" t="s">
        <v>304</v>
      </c>
      <c r="F6" s="74">
        <v>110000606602</v>
      </c>
      <c r="G6" s="74" t="s">
        <v>766</v>
      </c>
      <c r="H6" s="63" t="s">
        <v>767</v>
      </c>
      <c r="I6" s="74">
        <v>8070100000180</v>
      </c>
      <c r="J6" s="74" t="s">
        <v>265</v>
      </c>
      <c r="K6" s="60">
        <f>VLOOKUP(A6, 'OES Summary'!$A:$B, 2, FALSE)</f>
        <v>300</v>
      </c>
      <c r="L6" s="304" cm="1">
        <f t="array" ref="L6">IF(COUNTIF('Raw Annual DMR Data'!$L:$L,$F6)&gt;0,MEDIAN(IF('Raw Annual DMR Data'!$L:$L=F6,'Raw Annual DMR Data'!$S:$S)),"N/A - Facility Does Not Report DMRs")</f>
        <v>1.2190476190476101</v>
      </c>
      <c r="M6" s="156">
        <f t="shared" si="4"/>
        <v>4.0634920634920338E-3</v>
      </c>
      <c r="N6" s="156">
        <f>IF(COUNTIF('Raw Annual DMR Data'!$L:$L,$F6)&gt;0,_xlfn.MAXIFS('Raw Annual DMR Data'!$S:$S,'Raw Annual DMR Data'!$L:$L,$F6), "N/A - Facility Does Not Report DMRs")</f>
        <v>1.2190476190476101</v>
      </c>
      <c r="O6" s="156">
        <f t="shared" si="5"/>
        <v>4.0634920634920338E-3</v>
      </c>
      <c r="P6" s="113" cm="1">
        <f t="array" ref="P6">IF(COUNTIF('Raw Annual DMR Data'!$L:$L,$F6)&gt;0,INDEX('Raw Annual DMR Data'!$B:$B,MATCH(1,($F6='Raw Annual DMR Data'!$L:$L)*($N6='Raw Annual DMR Data'!$S:$S),0)), "N/A - Facility Does Not Report DMRs")</f>
        <v>2017</v>
      </c>
      <c r="Q6" s="304" t="str" cm="1">
        <f t="array" ref="Q6">IF(COUNTIF('Raw TRI Data'!$J:$J,$E6)&gt;0,MEDIAN(IF('Raw TRI Data'!$J:$J=E6,'Raw TRI Data'!$S:$S)), "N/A - Facility Does Not Report to TRI")</f>
        <v>N/A - Facility Does Not Report to TRI</v>
      </c>
      <c r="R6" s="156" t="str">
        <f t="shared" si="2"/>
        <v>N/A - Facility Does Not Report to TRI</v>
      </c>
      <c r="S6" s="156" t="str">
        <f>IF(COUNTIF('Raw TRI Data'!$J:$J,$E6)&gt;0,_xlfn.MAXIFS('Raw TRI Data'!$S:$S,'Raw TRI Data'!$J:$J,$E6), "N/A - Facility Does Not Report to TRI")</f>
        <v>N/A - Facility Does Not Report to TRI</v>
      </c>
      <c r="T6" s="156" t="str">
        <f t="shared" si="3"/>
        <v>N/A - Facility Does Not Report to TRI</v>
      </c>
      <c r="U6" s="136" t="str" cm="1">
        <f t="array" ref="U6">IF(COUNTIF('Raw TRI Data'!$J:$J,$E6)&gt;0,INDEX('Raw TRI Data'!$A:$A,MATCH(1,($E6='Raw TRI Data'!$J:$J)*(S6='Raw TRI Data'!$S:$S),0)), "N/A - Facility Does Not Report to TRI")</f>
        <v>N/A - Facility Does Not Report to TRI</v>
      </c>
      <c r="V6" s="156" t="str" cm="1">
        <f t="array" ref="V6">IF(COUNTIFS('Raw Annual DMR Data'!$L:$L,$F6,'Raw Annual DMR Data'!$U:$U,"&gt;0")&gt;0,MEDIAN(IF('Raw Annual DMR Data'!$L:$L=$F6,'Raw Annual DMR Data'!$U:$U,"")),"N/A - Period DMR Data Not Available")</f>
        <v>N/A - Period DMR Data Not Available</v>
      </c>
      <c r="W6" s="156" t="str">
        <f>IF(COUNTIFS('Raw Annual DMR Data'!$L:$L,$F6, 'Raw Annual DMR Data'!$U:$U, "&gt;0")&gt;0,_xlfn.MAXIFS('Raw Annual DMR Data'!$U:$U,'Raw Annual DMR Data'!$L:$L,$F6), "N/A - Period DMR Data Not Available")</f>
        <v>N/A - Period DMR Data Not Available</v>
      </c>
      <c r="X6" s="113" t="str" cm="1">
        <f t="array" ref="X6">+IF(COUNTIFS('Raw Annual DMR Data'!L:L,$F6, 'Raw Annual DMR Data'!U:U, "&gt;0")&gt;0,INDEX('Raw Annual DMR Data'!V:V,MATCH(1,($F6='Raw Annual DMR Data'!L:L)*($W6='Raw Annual DMR Data'!U:U),0)), "N/A - Period DMR Data Not Available")</f>
        <v>N/A - Period DMR Data Not Available</v>
      </c>
      <c r="Y6" s="113" t="str" cm="1">
        <f t="array" ref="Y6">IF(COUNTIFS('Raw Annual DMR Data'!L:L,$F6, 'Raw Annual DMR Data'!U:U, "&gt;0")&gt;0,INDEX('Raw Annual DMR Data'!B:B,MATCH(1,($F6='Raw Annual DMR Data'!L:L)*($W6='Raw Annual DMR Data'!U:U),0)), "N/A - Period DMR Data Not Available")</f>
        <v>N/A - Period DMR Data Not Available</v>
      </c>
      <c r="Z6" s="311" t="str" cm="1">
        <f t="array" ref="Z6">IF(COUNTIF('Raw Annual DMR Data'!K:K,$E6)&gt;0,"N/A - See DMRs",IF(SUMIFS('Raw TRI Data'!$Z:$Z,'Raw TRI Data'!$J:$J,$E6)&gt;0,MEDIAN(IF('Raw TRI Data'!$J:$J=$E6,'Raw TRI Data'!$Z:$Z)), "N/A - Facility Does Not Report to TRI, no surface water releases, or no Generic Factors available"))</f>
        <v>N/A - See DMRs</v>
      </c>
      <c r="AA6" s="156" t="str">
        <f>IF(COUNTIF('Raw Annual DMR Data'!K:K,$E6)&gt;0,"N/A - See DMRs",IF(SUMIFS('Raw TRI Data'!$Z:$Z,'Raw TRI Data'!$J:$J,$E6)&gt;0,_xlfn.MAXIFS('Raw TRI Data'!$Z:$Z,'Raw TRI Data'!$J:$J,$E6), "N/A - Facility Does Not Report to TRI, no surface water releases, or no Generic Factors available"))</f>
        <v>N/A - See DMRs</v>
      </c>
      <c r="AB6" s="113" t="str">
        <f t="shared" si="6"/>
        <v>N/A</v>
      </c>
      <c r="AC6" s="136" t="str" cm="1">
        <f t="array" ref="AC6">IF(COUNTIF('Raw Annual DMR Data'!K:K,$E6)&gt;0,"N/A - See DMRs",IF(SUMIFS('Raw TRI Data'!$Z:$Z,'Raw TRI Data'!$J:$J,$E6)&gt;0,INDEX('Raw TRI Data'!$A:$A,MATCH(1,($E6='Raw TRI Data'!$J:$J)*($AA6='Raw TRI Data'!$Z:$Z),0)), "N/A - Facility Does Not Report to TRI, no surface water releases, or no Generic Factors available"))</f>
        <v>N/A - See DMRs</v>
      </c>
      <c r="AD6" s="96" t="str" cm="1">
        <f t="array" ref="AD6">IF(COUNTIFS('Raw Annual DMR Data'!L:L,$F6,'Raw Annual DMR Data'!W:W, "&gt;0")&gt;0,MEDIAN(IF('Raw Annual DMR Data'!K:K=$F6, 'Raw Annual DMR Data'!W:W)), "N/A - No Daily Max DMR Discharge Data")</f>
        <v>N/A - No Daily Max DMR Discharge Data</v>
      </c>
      <c r="AE6" s="96" t="str">
        <f>IF(COUNTIFS('Raw Annual DMR Data'!L:L,$F6,'Raw Annual DMR Data'!W:W, "&gt;0")&gt;0,_xlfn.MAXIFS('Raw Annual DMR Data'!W:W,'Raw Annual DMR Data'!L:L,$F6), "N/A - No Daily Max DMR Discharge Data")</f>
        <v>N/A - No Daily Max DMR Discharge Data</v>
      </c>
      <c r="AF6" s="60" t="str" cm="1">
        <f t="array" ref="AF6">IF(COUNTIFS('Raw Annual DMR Data'!L:L,$F6,'Raw Annual DMR Data'!W:W, "&gt;0")&gt;0,INDEX('Raw Annual DMR Data'!B:B,MATCH(1,($F6='Raw Annual DMR Data'!L:L)*($AE6='Raw Annual DMR Data'!W:W),0)), "N/A - No Daily Max DMR Discharge Data")</f>
        <v>N/A - No Daily Max DMR Discharge Data</v>
      </c>
      <c r="AG6" s="422"/>
      <c r="AH6" s="422"/>
      <c r="AI6" s="423"/>
    </row>
    <row r="7" spans="1:35" ht="45.75" thickBot="1" x14ac:dyDescent="0.3">
      <c r="A7" s="144" t="str">
        <f>VLOOKUP(F7,'Facility Summary'!J:K,2,FALSE)</f>
        <v>Remediation</v>
      </c>
      <c r="B7" s="97" t="s">
        <v>101</v>
      </c>
      <c r="C7" s="28" t="s">
        <v>307</v>
      </c>
      <c r="D7" s="60" t="s">
        <v>308</v>
      </c>
      <c r="E7" s="60"/>
      <c r="F7" s="74">
        <v>110070549134</v>
      </c>
      <c r="G7" s="74" t="s">
        <v>768</v>
      </c>
      <c r="H7" s="63" t="s">
        <v>769</v>
      </c>
      <c r="I7" s="74"/>
      <c r="J7" s="74" t="s">
        <v>265</v>
      </c>
      <c r="K7" s="60">
        <f>VLOOKUP(A7, 'OES Summary'!$A:$B, 2, FALSE)</f>
        <v>365</v>
      </c>
      <c r="L7" s="304" cm="1">
        <f t="array" ref="L7">IF(COUNTIF('Raw Annual DMR Data'!$L:$L,$F7)&gt;0,MEDIAN(IF('Raw Annual DMR Data'!$L:$L=F7,'Raw Annual DMR Data'!$S:$S)),"N/A - Facility Does Not Report DMRs")</f>
        <v>1.578672024E-2</v>
      </c>
      <c r="M7" s="156">
        <f t="shared" si="4"/>
        <v>4.3251288328767122E-5</v>
      </c>
      <c r="N7" s="156">
        <f>IF(COUNTIF('Raw Annual DMR Data'!$L:$L,$F7)&gt;0,_xlfn.MAXIFS('Raw Annual DMR Data'!$S:$S,'Raw Annual DMR Data'!$L:$L,$F7), "N/A - Facility Does Not Report DMRs")</f>
        <v>1.578672024E-2</v>
      </c>
      <c r="O7" s="156">
        <f t="shared" si="5"/>
        <v>4.3251288328767122E-5</v>
      </c>
      <c r="P7" s="113" cm="1">
        <f t="array" ref="P7">IF(COUNTIF('Raw Annual DMR Data'!$L:$L,$F7)&gt;0,INDEX('Raw Annual DMR Data'!$B:$B,MATCH(1,($F7='Raw Annual DMR Data'!$L:$L)*($N7='Raw Annual DMR Data'!$S:$S),0)), "N/A - Facility Does Not Report DMRs")</f>
        <v>2019</v>
      </c>
      <c r="Q7" s="304" t="str" cm="1">
        <f t="array" ref="Q7">IF(COUNTIF('Raw TRI Data'!$J:$J,$E7)&gt;0,MEDIAN(IF('Raw TRI Data'!$J:$J=E7,'Raw TRI Data'!$S:$S)), "N/A - Facility Does Not Report to TRI")</f>
        <v>N/A - Facility Does Not Report to TRI</v>
      </c>
      <c r="R7" s="156" t="str">
        <f t="shared" si="2"/>
        <v>N/A - Facility Does Not Report to TRI</v>
      </c>
      <c r="S7" s="156" t="str">
        <f>IF(COUNTIF('Raw TRI Data'!$J:$J,$E7)&gt;0,_xlfn.MAXIFS('Raw TRI Data'!$S:$S,'Raw TRI Data'!$J:$J,$E7), "N/A - Facility Does Not Report to TRI")</f>
        <v>N/A - Facility Does Not Report to TRI</v>
      </c>
      <c r="T7" s="156" t="str">
        <f t="shared" si="3"/>
        <v>N/A - Facility Does Not Report to TRI</v>
      </c>
      <c r="U7" s="136" t="str" cm="1">
        <f t="array" ref="U7">IF(COUNTIF('Raw TRI Data'!$J:$J,$E7)&gt;0,INDEX('Raw TRI Data'!$A:$A,MATCH(1,($E7='Raw TRI Data'!$J:$J)*(S7='Raw TRI Data'!$S:$S),0)), "N/A - Facility Does Not Report to TRI")</f>
        <v>N/A - Facility Does Not Report to TRI</v>
      </c>
      <c r="V7" s="156" t="str" cm="1">
        <f t="array" ref="V7">IF(COUNTIFS('Raw Annual DMR Data'!$L:$L,$F7,'Raw Annual DMR Data'!$U:$U,"&gt;0")&gt;0,MEDIAN(IF('Raw Annual DMR Data'!$L:$L=$F7,'Raw Annual DMR Data'!$U:$U,"")),"N/A - Period DMR Data Not Available")</f>
        <v>N/A - Period DMR Data Not Available</v>
      </c>
      <c r="W7" s="156" t="str">
        <f>IF(COUNTIFS('Raw Annual DMR Data'!$L:$L,$F7, 'Raw Annual DMR Data'!$U:$U, "&gt;0")&gt;0,_xlfn.MAXIFS('Raw Annual DMR Data'!$U:$U,'Raw Annual DMR Data'!$L:$L,$F7), "N/A - Period DMR Data Not Available")</f>
        <v>N/A - Period DMR Data Not Available</v>
      </c>
      <c r="X7" s="113" t="str" cm="1">
        <f t="array" ref="X7">+IF(COUNTIFS('Raw Annual DMR Data'!L:L,$F7, 'Raw Annual DMR Data'!U:U, "&gt;0")&gt;0,INDEX('Raw Annual DMR Data'!V:V,MATCH(1,($F7='Raw Annual DMR Data'!L:L)*($W7='Raw Annual DMR Data'!U:U),0)), "N/A - Period DMR Data Not Available")</f>
        <v>N/A - Period DMR Data Not Available</v>
      </c>
      <c r="Y7" s="113" t="str" cm="1">
        <f t="array" ref="Y7">IF(COUNTIFS('Raw Annual DMR Data'!L:L,$F7, 'Raw Annual DMR Data'!U:U, "&gt;0")&gt;0,INDEX('Raw Annual DMR Data'!B:B,MATCH(1,($F7='Raw Annual DMR Data'!L:L)*($W7='Raw Annual DMR Data'!U:U),0)), "N/A - Period DMR Data Not Available")</f>
        <v>N/A - Period DMR Data Not Available</v>
      </c>
      <c r="Z7" s="311" t="str" cm="1">
        <f t="array" ref="Z7">IF(COUNTIF('Raw Annual DMR Data'!K:K,$E7)&gt;0,"N/A - See DMRs",IF(SUMIFS('Raw TRI Data'!$Z:$Z,'Raw TRI Data'!$J:$J,$E7)&gt;0,MEDIAN(IF('Raw TRI Data'!$J:$J=$E7,'Raw TRI Data'!$Z:$Z)), "N/A - Facility Does Not Report to TRI, no surface water releases, or no Generic Factors available"))</f>
        <v>N/A - Facility Does Not Report to TRI, no surface water releases, or no Generic Factors available</v>
      </c>
      <c r="AA7" s="156" t="str">
        <f>IF(COUNTIF('Raw Annual DMR Data'!K:K,$E7)&gt;0,"N/A - See DMRs",IF(SUMIFS('Raw TRI Data'!$Z:$Z,'Raw TRI Data'!$J:$J,$E7)&gt;0,_xlfn.MAXIFS('Raw TRI Data'!$Z:$Z,'Raw TRI Data'!$J:$J,$E7), "N/A - Facility Does Not Report to TRI, no surface water releases, or no Generic Factors available"))</f>
        <v>N/A - Facility Does Not Report to TRI, no surface water releases, or no Generic Factors available</v>
      </c>
      <c r="AB7" s="113" t="str">
        <f t="shared" si="6"/>
        <v>N/A</v>
      </c>
      <c r="AC7" s="136" t="str" cm="1">
        <f t="array" ref="AC7">IF(COUNTIF('Raw Annual DMR Data'!K:K,$E7)&gt;0,"N/A - See DMRs",IF(SUMIFS('Raw TRI Data'!$Z:$Z,'Raw TRI Data'!$J:$J,$E7)&gt;0,INDEX('Raw TRI Data'!$A:$A,MATCH(1,($E7='Raw TRI Data'!$J:$J)*($AA7='Raw TRI Data'!$Z:$Z),0)), "N/A - Facility Does Not Report to TRI, no surface water releases, or no Generic Factors available"))</f>
        <v>N/A - Facility Does Not Report to TRI, no surface water releases, or no Generic Factors available</v>
      </c>
      <c r="AD7" s="96" t="str" cm="1">
        <f t="array" ref="AD7">IF(COUNTIFS('Raw Annual DMR Data'!L:L,$F7,'Raw Annual DMR Data'!W:W, "&gt;0")&gt;0,MEDIAN(IF('Raw Annual DMR Data'!K:K=$F7, 'Raw Annual DMR Data'!W:W)), "N/A - No Daily Max DMR Discharge Data")</f>
        <v>N/A - No Daily Max DMR Discharge Data</v>
      </c>
      <c r="AE7" s="96" t="str">
        <f>IF(COUNTIFS('Raw Annual DMR Data'!L:L,$F7,'Raw Annual DMR Data'!W:W, "&gt;0")&gt;0,_xlfn.MAXIFS('Raw Annual DMR Data'!W:W,'Raw Annual DMR Data'!L:L,$F7), "N/A - No Daily Max DMR Discharge Data")</f>
        <v>N/A - No Daily Max DMR Discharge Data</v>
      </c>
      <c r="AF7" s="60" t="str" cm="1">
        <f t="array" ref="AF7">IF(COUNTIFS('Raw Annual DMR Data'!L:L,$F7,'Raw Annual DMR Data'!W:W, "&gt;0")&gt;0,INDEX('Raw Annual DMR Data'!B:B,MATCH(1,($F7='Raw Annual DMR Data'!L:L)*($AE7='Raw Annual DMR Data'!W:W),0)), "N/A - No Daily Max DMR Discharge Data")</f>
        <v>N/A - No Daily Max DMR Discharge Data</v>
      </c>
      <c r="AG7" s="422"/>
      <c r="AH7" s="422"/>
      <c r="AI7" s="423"/>
    </row>
    <row r="8" spans="1:35" ht="45.75" thickBot="1" x14ac:dyDescent="0.3">
      <c r="A8" s="144" t="str">
        <f>VLOOKUP(F8,'Facility Summary'!J:K,2,FALSE)</f>
        <v>Manufacturing</v>
      </c>
      <c r="B8" s="97" t="s">
        <v>102</v>
      </c>
      <c r="C8" s="28" t="s">
        <v>310</v>
      </c>
      <c r="D8" s="60" t="s">
        <v>311</v>
      </c>
      <c r="E8" s="60"/>
      <c r="F8" s="74">
        <v>110064632312</v>
      </c>
      <c r="G8" s="74" t="s">
        <v>770</v>
      </c>
      <c r="H8" s="63" t="s">
        <v>771</v>
      </c>
      <c r="I8" s="74">
        <v>5050008000998</v>
      </c>
      <c r="J8" s="74" t="s">
        <v>265</v>
      </c>
      <c r="K8" s="60">
        <f>VLOOKUP(A8, 'OES Summary'!$A:$B, 2, FALSE)</f>
        <v>350</v>
      </c>
      <c r="L8" s="304" cm="1">
        <f t="array" ref="L8">IF(COUNTIF('Raw Annual DMR Data'!$L:$L,$F8)&gt;0,MEDIAN(IF('Raw Annual DMR Data'!$L:$L=F8,'Raw Annual DMR Data'!$S:$S)),"N/A - Facility Does Not Report DMRs")</f>
        <v>0.59589569160997702</v>
      </c>
      <c r="M8" s="156">
        <f t="shared" si="4"/>
        <v>1.7025591188856487E-3</v>
      </c>
      <c r="N8" s="156">
        <f>IF(COUNTIF('Raw Annual DMR Data'!$L:$L,$F8)&gt;0,_xlfn.MAXIFS('Raw Annual DMR Data'!$S:$S,'Raw Annual DMR Data'!$L:$L,$F8), "N/A - Facility Does Not Report DMRs")</f>
        <v>4.6770582625000001</v>
      </c>
      <c r="O8" s="156">
        <f t="shared" si="5"/>
        <v>1.3363023607142857E-2</v>
      </c>
      <c r="P8" s="113" cm="1">
        <f t="array" ref="P8">IF(COUNTIF('Raw Annual DMR Data'!$L:$L,$F8)&gt;0,INDEX('Raw Annual DMR Data'!$B:$B,MATCH(1,($F8='Raw Annual DMR Data'!$L:$L)*($N8='Raw Annual DMR Data'!$S:$S),0)), "N/A - Facility Does Not Report DMRs")</f>
        <v>2016</v>
      </c>
      <c r="Q8" s="304" t="str" cm="1">
        <f t="array" ref="Q8">IF(COUNTIF('Raw TRI Data'!$J:$J,$E8)&gt;0,MEDIAN(IF('Raw TRI Data'!$J:$J=E8,'Raw TRI Data'!$S:$S)), "N/A - Facility Does Not Report to TRI")</f>
        <v>N/A - Facility Does Not Report to TRI</v>
      </c>
      <c r="R8" s="156" t="str">
        <f t="shared" si="2"/>
        <v>N/A - Facility Does Not Report to TRI</v>
      </c>
      <c r="S8" s="156" t="str">
        <f>IF(COUNTIF('Raw TRI Data'!$J:$J,$E8)&gt;0,_xlfn.MAXIFS('Raw TRI Data'!$S:$S,'Raw TRI Data'!$J:$J,$E8), "N/A - Facility Does Not Report to TRI")</f>
        <v>N/A - Facility Does Not Report to TRI</v>
      </c>
      <c r="T8" s="156" t="str">
        <f t="shared" si="3"/>
        <v>N/A - Facility Does Not Report to TRI</v>
      </c>
      <c r="U8" s="136" t="str" cm="1">
        <f t="array" ref="U8">IF(COUNTIF('Raw TRI Data'!$J:$J,$E8)&gt;0,INDEX('Raw TRI Data'!$A:$A,MATCH(1,($E8='Raw TRI Data'!$J:$J)*(S8='Raw TRI Data'!$S:$S),0)), "N/A - Facility Does Not Report to TRI")</f>
        <v>N/A - Facility Does Not Report to TRI</v>
      </c>
      <c r="V8" s="156" t="str" cm="1">
        <f t="array" ref="V8">IF(COUNTIFS('Raw Annual DMR Data'!$L:$L,$F8,'Raw Annual DMR Data'!$U:$U,"&gt;0")&gt;0,MEDIAN(IF('Raw Annual DMR Data'!$L:$L=$F8,'Raw Annual DMR Data'!$U:$U,"")),"N/A - Period DMR Data Not Available")</f>
        <v>N/A - Period DMR Data Not Available</v>
      </c>
      <c r="W8" s="156" t="str">
        <f>IF(COUNTIFS('Raw Annual DMR Data'!$L:$L,$F8, 'Raw Annual DMR Data'!$U:$U, "&gt;0")&gt;0,_xlfn.MAXIFS('Raw Annual DMR Data'!$U:$U,'Raw Annual DMR Data'!$L:$L,$F8), "N/A - Period DMR Data Not Available")</f>
        <v>N/A - Period DMR Data Not Available</v>
      </c>
      <c r="X8" s="113" t="str" cm="1">
        <f t="array" ref="X8">+IF(COUNTIFS('Raw Annual DMR Data'!L:L,$F8, 'Raw Annual DMR Data'!U:U, "&gt;0")&gt;0,INDEX('Raw Annual DMR Data'!V:V,MATCH(1,($F8='Raw Annual DMR Data'!L:L)*($W8='Raw Annual DMR Data'!U:U),0)), "N/A - Period DMR Data Not Available")</f>
        <v>N/A - Period DMR Data Not Available</v>
      </c>
      <c r="Y8" s="113" t="str" cm="1">
        <f t="array" ref="Y8">IF(COUNTIFS('Raw Annual DMR Data'!L:L,$F8, 'Raw Annual DMR Data'!U:U, "&gt;0")&gt;0,INDEX('Raw Annual DMR Data'!B:B,MATCH(1,($F8='Raw Annual DMR Data'!L:L)*($W8='Raw Annual DMR Data'!U:U),0)), "N/A - Period DMR Data Not Available")</f>
        <v>N/A - Period DMR Data Not Available</v>
      </c>
      <c r="Z8" s="311" t="str" cm="1">
        <f t="array" ref="Z8">IF(COUNTIF('Raw Annual DMR Data'!K:K,$E8)&gt;0,"N/A - See DMRs",IF(SUMIFS('Raw TRI Data'!$Z:$Z,'Raw TRI Data'!$J:$J,$E8)&gt;0,MEDIAN(IF('Raw TRI Data'!$J:$J=$E8,'Raw TRI Data'!$Z:$Z)), "N/A - Facility Does Not Report to TRI, no surface water releases, or no Generic Factors available"))</f>
        <v>N/A - Facility Does Not Report to TRI, no surface water releases, or no Generic Factors available</v>
      </c>
      <c r="AA8" s="156" t="str">
        <f>IF(COUNTIF('Raw Annual DMR Data'!K:K,$E8)&gt;0,"N/A - See DMRs",IF(SUMIFS('Raw TRI Data'!$Z:$Z,'Raw TRI Data'!$J:$J,$E8)&gt;0,_xlfn.MAXIFS('Raw TRI Data'!$Z:$Z,'Raw TRI Data'!$J:$J,$E8), "N/A - Facility Does Not Report to TRI, no surface water releases, or no Generic Factors available"))</f>
        <v>N/A - Facility Does Not Report to TRI, no surface water releases, or no Generic Factors available</v>
      </c>
      <c r="AB8" s="113" t="str">
        <f t="shared" si="6"/>
        <v>N/A</v>
      </c>
      <c r="AC8" s="136" t="str" cm="1">
        <f t="array" ref="AC8">IF(COUNTIF('Raw Annual DMR Data'!K:K,$E8)&gt;0,"N/A - See DMRs",IF(SUMIFS('Raw TRI Data'!$Z:$Z,'Raw TRI Data'!$J:$J,$E8)&gt;0,INDEX('Raw TRI Data'!$A:$A,MATCH(1,($E8='Raw TRI Data'!$J:$J)*($AA8='Raw TRI Data'!$Z:$Z),0)), "N/A - Facility Does Not Report to TRI, no surface water releases, or no Generic Factors available"))</f>
        <v>N/A - Facility Does Not Report to TRI, no surface water releases, or no Generic Factors available</v>
      </c>
      <c r="AD8" s="96" t="str" cm="1">
        <f t="array" ref="AD8">IF(COUNTIFS('Raw Annual DMR Data'!L:L,$F8,'Raw Annual DMR Data'!W:W, "&gt;0")&gt;0,MEDIAN(IF('Raw Annual DMR Data'!K:K=$F8, 'Raw Annual DMR Data'!W:W)), "N/A - No Daily Max DMR Discharge Data")</f>
        <v>N/A - No Daily Max DMR Discharge Data</v>
      </c>
      <c r="AE8" s="96" t="str">
        <f>IF(COUNTIFS('Raw Annual DMR Data'!L:L,$F8,'Raw Annual DMR Data'!W:W, "&gt;0")&gt;0,_xlfn.MAXIFS('Raw Annual DMR Data'!W:W,'Raw Annual DMR Data'!L:L,$F8), "N/A - No Daily Max DMR Discharge Data")</f>
        <v>N/A - No Daily Max DMR Discharge Data</v>
      </c>
      <c r="AF8" s="60" t="str" cm="1">
        <f t="array" ref="AF8">IF(COUNTIFS('Raw Annual DMR Data'!L:L,$F8,'Raw Annual DMR Data'!W:W, "&gt;0")&gt;0,INDEX('Raw Annual DMR Data'!B:B,MATCH(1,($F8='Raw Annual DMR Data'!L:L)*($AE8='Raw Annual DMR Data'!W:W),0)), "N/A - No Daily Max DMR Discharge Data")</f>
        <v>N/A - No Daily Max DMR Discharge Data</v>
      </c>
      <c r="AG8" s="422"/>
      <c r="AH8" s="422"/>
      <c r="AI8" s="423"/>
    </row>
    <row r="9" spans="1:35" ht="45.75" thickBot="1" x14ac:dyDescent="0.3">
      <c r="A9" s="144" t="str">
        <f>VLOOKUP(F9,'Facility Summary'!J:K,2,FALSE)</f>
        <v>Processing as a Reactant</v>
      </c>
      <c r="B9" s="97" t="s">
        <v>103</v>
      </c>
      <c r="C9" s="28" t="s">
        <v>314</v>
      </c>
      <c r="D9" s="60" t="s">
        <v>303</v>
      </c>
      <c r="E9" s="60"/>
      <c r="F9" s="74">
        <v>110000846602</v>
      </c>
      <c r="G9" s="74" t="s">
        <v>772</v>
      </c>
      <c r="H9" s="63" t="s">
        <v>773</v>
      </c>
      <c r="I9" s="74">
        <v>8080103002791</v>
      </c>
      <c r="J9" s="74" t="s">
        <v>265</v>
      </c>
      <c r="K9" s="60">
        <f>VLOOKUP(A9, 'OES Summary'!$A:$B, 2, FALSE)</f>
        <v>350</v>
      </c>
      <c r="L9" s="304" cm="1">
        <f t="array" ref="L9">IF(COUNTIF('Raw Annual DMR Data'!$L:$L,$F9)&gt;0,MEDIAN(IF('Raw Annual DMR Data'!$L:$L=F9,'Raw Annual DMR Data'!$S:$S)),"N/A - Facility Does Not Report DMRs")</f>
        <v>6.927557756250001E-3</v>
      </c>
      <c r="M9" s="156">
        <f t="shared" si="4"/>
        <v>1.9793022160714288E-5</v>
      </c>
      <c r="N9" s="156">
        <f>IF(COUNTIF('Raw Annual DMR Data'!$L:$L,$F9)&gt;0,_xlfn.MAXIFS('Raw Annual DMR Data'!$S:$S,'Raw Annual DMR Data'!$L:$L,$F9), "N/A - Facility Does Not Report DMRs")</f>
        <v>1.2698088325000001E-2</v>
      </c>
      <c r="O9" s="156">
        <f t="shared" si="5"/>
        <v>3.6280252357142858E-5</v>
      </c>
      <c r="P9" s="113" cm="1">
        <f t="array" ref="P9">IF(COUNTIF('Raw Annual DMR Data'!$L:$L,$F9)&gt;0,INDEX('Raw Annual DMR Data'!$B:$B,MATCH(1,($F9='Raw Annual DMR Data'!$L:$L)*($N9='Raw Annual DMR Data'!$S:$S),0)), "N/A - Facility Does Not Report DMRs")</f>
        <v>2022</v>
      </c>
      <c r="Q9" s="304" t="str" cm="1">
        <f t="array" ref="Q9">IF(COUNTIF('Raw TRI Data'!$J:$J,$E9)&gt;0,MEDIAN(IF('Raw TRI Data'!$J:$J=E9,'Raw TRI Data'!$S:$S)), "N/A - Facility Does Not Report to TRI")</f>
        <v>N/A - Facility Does Not Report to TRI</v>
      </c>
      <c r="R9" s="156" t="str">
        <f t="shared" si="2"/>
        <v>N/A - Facility Does Not Report to TRI</v>
      </c>
      <c r="S9" s="156" t="str">
        <f>IF(COUNTIF('Raw TRI Data'!$J:$J,$E9)&gt;0,_xlfn.MAXIFS('Raw TRI Data'!$S:$S,'Raw TRI Data'!$J:$J,$E9), "N/A - Facility Does Not Report to TRI")</f>
        <v>N/A - Facility Does Not Report to TRI</v>
      </c>
      <c r="T9" s="156" t="str">
        <f t="shared" si="3"/>
        <v>N/A - Facility Does Not Report to TRI</v>
      </c>
      <c r="U9" s="136" t="str" cm="1">
        <f t="array" ref="U9">IF(COUNTIF('Raw TRI Data'!$J:$J,$E9)&gt;0,INDEX('Raw TRI Data'!$A:$A,MATCH(1,($E9='Raw TRI Data'!$J:$J)*(S9='Raw TRI Data'!$S:$S),0)), "N/A - Facility Does Not Report to TRI")</f>
        <v>N/A - Facility Does Not Report to TRI</v>
      </c>
      <c r="V9" s="156" t="str" cm="1">
        <f t="array" ref="V9">IF(COUNTIFS('Raw Annual DMR Data'!$L:$L,$F9,'Raw Annual DMR Data'!$U:$U,"&gt;0")&gt;0,MEDIAN(IF('Raw Annual DMR Data'!$L:$L=$F9,'Raw Annual DMR Data'!$U:$U,"")),"N/A - Period DMR Data Not Available")</f>
        <v>N/A - Period DMR Data Not Available</v>
      </c>
      <c r="W9" s="156" t="str">
        <f>IF(COUNTIFS('Raw Annual DMR Data'!$L:$L,$F9, 'Raw Annual DMR Data'!$U:$U, "&gt;0")&gt;0,_xlfn.MAXIFS('Raw Annual DMR Data'!$U:$U,'Raw Annual DMR Data'!$L:$L,$F9), "N/A - Period DMR Data Not Available")</f>
        <v>N/A - Period DMR Data Not Available</v>
      </c>
      <c r="X9" s="113" t="str" cm="1">
        <f t="array" ref="X9">+IF(COUNTIFS('Raw Annual DMR Data'!L:L,$F9, 'Raw Annual DMR Data'!U:U, "&gt;0")&gt;0,INDEX('Raw Annual DMR Data'!V:V,MATCH(1,($F9='Raw Annual DMR Data'!L:L)*($W9='Raw Annual DMR Data'!U:U),0)), "N/A - Period DMR Data Not Available")</f>
        <v>N/A - Period DMR Data Not Available</v>
      </c>
      <c r="Y9" s="113" t="str" cm="1">
        <f t="array" ref="Y9">IF(COUNTIFS('Raw Annual DMR Data'!L:L,$F9, 'Raw Annual DMR Data'!U:U, "&gt;0")&gt;0,INDEX('Raw Annual DMR Data'!B:B,MATCH(1,($F9='Raw Annual DMR Data'!L:L)*($W9='Raw Annual DMR Data'!U:U),0)), "N/A - Period DMR Data Not Available")</f>
        <v>N/A - Period DMR Data Not Available</v>
      </c>
      <c r="Z9" s="311" t="str" cm="1">
        <f t="array" ref="Z9">IF(COUNTIF('Raw Annual DMR Data'!K:K,$E9)&gt;0,"N/A - See DMRs",IF(SUMIFS('Raw TRI Data'!$Z:$Z,'Raw TRI Data'!$J:$J,$E9)&gt;0,MEDIAN(IF('Raw TRI Data'!$J:$J=$E9,'Raw TRI Data'!$Z:$Z)), "N/A - Facility Does Not Report to TRI, no surface water releases, or no Generic Factors available"))</f>
        <v>N/A - Facility Does Not Report to TRI, no surface water releases, or no Generic Factors available</v>
      </c>
      <c r="AA9" s="156" t="str">
        <f>IF(COUNTIF('Raw Annual DMR Data'!K:K,$E9)&gt;0,"N/A - See DMRs",IF(SUMIFS('Raw TRI Data'!$Z:$Z,'Raw TRI Data'!$J:$J,$E9)&gt;0,_xlfn.MAXIFS('Raw TRI Data'!$Z:$Z,'Raw TRI Data'!$J:$J,$E9), "N/A - Facility Does Not Report to TRI, no surface water releases, or no Generic Factors available"))</f>
        <v>N/A - Facility Does Not Report to TRI, no surface water releases, or no Generic Factors available</v>
      </c>
      <c r="AB9" s="113" t="str">
        <f t="shared" si="6"/>
        <v>N/A</v>
      </c>
      <c r="AC9" s="136" t="str" cm="1">
        <f t="array" ref="AC9">IF(COUNTIF('Raw Annual DMR Data'!K:K,$E9)&gt;0,"N/A - See DMRs",IF(SUMIFS('Raw TRI Data'!$Z:$Z,'Raw TRI Data'!$J:$J,$E9)&gt;0,INDEX('Raw TRI Data'!$A:$A,MATCH(1,($E9='Raw TRI Data'!$J:$J)*($AA9='Raw TRI Data'!$Z:$Z),0)), "N/A - Facility Does Not Report to TRI, no surface water releases, or no Generic Factors available"))</f>
        <v>N/A - Facility Does Not Report to TRI, no surface water releases, or no Generic Factors available</v>
      </c>
      <c r="AD9" s="96" t="str" cm="1">
        <f t="array" ref="AD9">IF(COUNTIFS('Raw Annual DMR Data'!L:L,$F9,'Raw Annual DMR Data'!W:W, "&gt;0")&gt;0,MEDIAN(IF('Raw Annual DMR Data'!K:K=$F9, 'Raw Annual DMR Data'!W:W)), "N/A - No Daily Max DMR Discharge Data")</f>
        <v>N/A - No Daily Max DMR Discharge Data</v>
      </c>
      <c r="AE9" s="96" t="str">
        <f>IF(COUNTIFS('Raw Annual DMR Data'!L:L,$F9,'Raw Annual DMR Data'!W:W, "&gt;0")&gt;0,_xlfn.MAXIFS('Raw Annual DMR Data'!W:W,'Raw Annual DMR Data'!L:L,$F9), "N/A - No Daily Max DMR Discharge Data")</f>
        <v>N/A - No Daily Max DMR Discharge Data</v>
      </c>
      <c r="AF9" s="60" t="str" cm="1">
        <f t="array" ref="AF9">IF(COUNTIFS('Raw Annual DMR Data'!L:L,$F9,'Raw Annual DMR Data'!W:W, "&gt;0")&gt;0,INDEX('Raw Annual DMR Data'!B:B,MATCH(1,($F9='Raw Annual DMR Data'!L:L)*($AE9='Raw Annual DMR Data'!W:W),0)), "N/A - No Daily Max DMR Discharge Data")</f>
        <v>N/A - No Daily Max DMR Discharge Data</v>
      </c>
      <c r="AG9" s="422"/>
      <c r="AH9" s="422"/>
      <c r="AI9" s="423"/>
    </row>
    <row r="10" spans="1:35" ht="30.75" thickBot="1" x14ac:dyDescent="0.3">
      <c r="A10" s="144" t="str">
        <f>VLOOKUP(F10,'Facility Summary'!J:K,2,FALSE)</f>
        <v>Manufacturing</v>
      </c>
      <c r="B10" s="97" t="s">
        <v>104</v>
      </c>
      <c r="C10" s="28" t="s">
        <v>318</v>
      </c>
      <c r="D10" s="60" t="s">
        <v>319</v>
      </c>
      <c r="E10" s="60" t="s">
        <v>321</v>
      </c>
      <c r="F10" s="74">
        <v>110000496981</v>
      </c>
      <c r="G10" s="74" t="s">
        <v>774</v>
      </c>
      <c r="H10" s="63" t="s">
        <v>775</v>
      </c>
      <c r="I10" s="74">
        <v>5040001000298</v>
      </c>
      <c r="J10" s="74" t="s">
        <v>265</v>
      </c>
      <c r="K10" s="60">
        <f>VLOOKUP(A10, 'OES Summary'!$A:$B, 2, FALSE)</f>
        <v>350</v>
      </c>
      <c r="L10" s="304" cm="1">
        <f t="array" ref="L10">IF(COUNTIF('Raw Annual DMR Data'!$L:$L,$F10)&gt;0,MEDIAN(IF('Raw Annual DMR Data'!$L:$L=F10,'Raw Annual DMR Data'!$S:$S)),"N/A - Facility Does Not Report DMRs")</f>
        <v>1.1681999999999999</v>
      </c>
      <c r="M10" s="156">
        <f t="shared" si="4"/>
        <v>3.3377142857142854E-3</v>
      </c>
      <c r="N10" s="156">
        <f>IF(COUNTIF('Raw Annual DMR Data'!$L:$L,$F10)&gt;0,_xlfn.MAXIFS('Raw Annual DMR Data'!$S:$S,'Raw Annual DMR Data'!$L:$L,$F10), "N/A - Facility Does Not Report DMRs")</f>
        <v>2.31636</v>
      </c>
      <c r="O10" s="156">
        <f t="shared" si="5"/>
        <v>6.6181714285714283E-3</v>
      </c>
      <c r="P10" s="113" cm="1">
        <f t="array" ref="P10">IF(COUNTIF('Raw Annual DMR Data'!$L:$L,$F10)&gt;0,INDEX('Raw Annual DMR Data'!$B:$B,MATCH(1,($F10='Raw Annual DMR Data'!$L:$L)*($N10='Raw Annual DMR Data'!$S:$S),0)), "N/A - Facility Does Not Report DMRs")</f>
        <v>2019</v>
      </c>
      <c r="Q10" s="304" t="str" cm="1">
        <f t="array" ref="Q10">IF(COUNTIF('Raw TRI Data'!$J:$J,$E10)&gt;0,MEDIAN(IF('Raw TRI Data'!$J:$J=E10,'Raw TRI Data'!$S:$S)), "N/A - Facility Does Not Report to TRI")</f>
        <v>N/A - Facility Does Not Report to TRI</v>
      </c>
      <c r="R10" s="156" t="str">
        <f t="shared" si="2"/>
        <v>N/A - Facility Does Not Report to TRI</v>
      </c>
      <c r="S10" s="156" t="str">
        <f>IF(COUNTIF('Raw TRI Data'!$J:$J,$E10)&gt;0,_xlfn.MAXIFS('Raw TRI Data'!$S:$S,'Raw TRI Data'!$J:$J,$E10), "N/A - Facility Does Not Report to TRI")</f>
        <v>N/A - Facility Does Not Report to TRI</v>
      </c>
      <c r="T10" s="156" t="str">
        <f t="shared" si="3"/>
        <v>N/A - Facility Does Not Report to TRI</v>
      </c>
      <c r="U10" s="136" t="str" cm="1">
        <f t="array" ref="U10">IF(COUNTIF('Raw TRI Data'!$J:$J,$E10)&gt;0,INDEX('Raw TRI Data'!$A:$A,MATCH(1,($E10='Raw TRI Data'!$J:$J)*(S10='Raw TRI Data'!$S:$S),0)), "N/A - Facility Does Not Report to TRI")</f>
        <v>N/A - Facility Does Not Report to TRI</v>
      </c>
      <c r="V10" s="156" t="str" cm="1">
        <f t="array" ref="V10">IF(COUNTIFS('Raw Annual DMR Data'!$L:$L,$F10,'Raw Annual DMR Data'!$U:$U,"&gt;0")&gt;0,MEDIAN(IF('Raw Annual DMR Data'!$L:$L=$F10,'Raw Annual DMR Data'!$U:$U,"")),"N/A - Period DMR Data Not Available")</f>
        <v>N/A - Period DMR Data Not Available</v>
      </c>
      <c r="W10" s="156" t="str">
        <f>IF(COUNTIFS('Raw Annual DMR Data'!$L:$L,$F10, 'Raw Annual DMR Data'!$U:$U, "&gt;0")&gt;0,_xlfn.MAXIFS('Raw Annual DMR Data'!$U:$U,'Raw Annual DMR Data'!$L:$L,$F10), "N/A - Period DMR Data Not Available")</f>
        <v>N/A - Period DMR Data Not Available</v>
      </c>
      <c r="X10" s="113" t="str" cm="1">
        <f t="array" ref="X10">+IF(COUNTIFS('Raw Annual DMR Data'!L:L,$F10, 'Raw Annual DMR Data'!U:U, "&gt;0")&gt;0,INDEX('Raw Annual DMR Data'!V:V,MATCH(1,($F10='Raw Annual DMR Data'!L:L)*($W10='Raw Annual DMR Data'!U:U),0)), "N/A - Period DMR Data Not Available")</f>
        <v>N/A - Period DMR Data Not Available</v>
      </c>
      <c r="Y10" s="113" t="str" cm="1">
        <f t="array" ref="Y10">IF(COUNTIFS('Raw Annual DMR Data'!L:L,$F10, 'Raw Annual DMR Data'!U:U, "&gt;0")&gt;0,INDEX('Raw Annual DMR Data'!B:B,MATCH(1,($F10='Raw Annual DMR Data'!L:L)*($W10='Raw Annual DMR Data'!U:U),0)), "N/A - Period DMR Data Not Available")</f>
        <v>N/A - Period DMR Data Not Available</v>
      </c>
      <c r="Z10" s="311" t="str" cm="1">
        <f t="array" ref="Z10">IF(COUNTIF('Raw Annual DMR Data'!K:K,$E10)&gt;0,"N/A - See DMRs",IF(SUMIFS('Raw TRI Data'!$Z:$Z,'Raw TRI Data'!$J:$J,$E10)&gt;0,MEDIAN(IF('Raw TRI Data'!$J:$J=$E10,'Raw TRI Data'!$Z:$Z)), "N/A - Facility Does Not Report to TRI, no surface water releases, or no Generic Factors available"))</f>
        <v>N/A - See DMRs</v>
      </c>
      <c r="AA10" s="156" t="str">
        <f>IF(COUNTIF('Raw Annual DMR Data'!K:K,$E10)&gt;0,"N/A - See DMRs",IF(SUMIFS('Raw TRI Data'!$Z:$Z,'Raw TRI Data'!$J:$J,$E10)&gt;0,_xlfn.MAXIFS('Raw TRI Data'!$Z:$Z,'Raw TRI Data'!$J:$J,$E10), "N/A - Facility Does Not Report to TRI, no surface water releases, or no Generic Factors available"))</f>
        <v>N/A - See DMRs</v>
      </c>
      <c r="AB10" s="113" t="str">
        <f t="shared" si="6"/>
        <v>N/A</v>
      </c>
      <c r="AC10" s="136" t="str" cm="1">
        <f t="array" ref="AC10">IF(COUNTIF('Raw Annual DMR Data'!K:K,$E10)&gt;0,"N/A - See DMRs",IF(SUMIFS('Raw TRI Data'!$Z:$Z,'Raw TRI Data'!$J:$J,$E10)&gt;0,INDEX('Raw TRI Data'!$A:$A,MATCH(1,($E10='Raw TRI Data'!$J:$J)*($AA10='Raw TRI Data'!$Z:$Z),0)), "N/A - Facility Does Not Report to TRI, no surface water releases, or no Generic Factors available"))</f>
        <v>N/A - See DMRs</v>
      </c>
      <c r="AD10" s="96" t="str" cm="1">
        <f t="array" ref="AD10">IF(COUNTIFS('Raw Annual DMR Data'!L:L,$F10,'Raw Annual DMR Data'!W:W, "&gt;0")&gt;0,MEDIAN(IF('Raw Annual DMR Data'!K:K=$F10, 'Raw Annual DMR Data'!W:W)), "N/A - No Daily Max DMR Discharge Data")</f>
        <v>N/A - No Daily Max DMR Discharge Data</v>
      </c>
      <c r="AE10" s="96" t="str">
        <f>IF(COUNTIFS('Raw Annual DMR Data'!L:L,$F10,'Raw Annual DMR Data'!W:W, "&gt;0")&gt;0,_xlfn.MAXIFS('Raw Annual DMR Data'!W:W,'Raw Annual DMR Data'!L:L,$F10), "N/A - No Daily Max DMR Discharge Data")</f>
        <v>N/A - No Daily Max DMR Discharge Data</v>
      </c>
      <c r="AF10" s="60" t="str" cm="1">
        <f t="array" ref="AF10">IF(COUNTIFS('Raw Annual DMR Data'!L:L,$F10,'Raw Annual DMR Data'!W:W, "&gt;0")&gt;0,INDEX('Raw Annual DMR Data'!B:B,MATCH(1,($F10='Raw Annual DMR Data'!L:L)*($AE10='Raw Annual DMR Data'!W:W),0)), "N/A - No Daily Max DMR Discharge Data")</f>
        <v>N/A - No Daily Max DMR Discharge Data</v>
      </c>
      <c r="AG10" s="422"/>
      <c r="AH10" s="422"/>
      <c r="AI10" s="423"/>
    </row>
    <row r="11" spans="1:35" ht="30.75" thickBot="1" x14ac:dyDescent="0.3">
      <c r="A11" s="144" t="str">
        <f>VLOOKUP(F11,'Facility Summary'!J:K,2,FALSE)</f>
        <v>Manufacturing</v>
      </c>
      <c r="B11" s="97" t="s">
        <v>105</v>
      </c>
      <c r="C11" s="28" t="s">
        <v>323</v>
      </c>
      <c r="D11" s="60" t="s">
        <v>324</v>
      </c>
      <c r="E11" s="60" t="s">
        <v>325</v>
      </c>
      <c r="F11" s="74">
        <v>110000380061</v>
      </c>
      <c r="G11" s="74" t="s">
        <v>776</v>
      </c>
      <c r="H11" s="63" t="s">
        <v>777</v>
      </c>
      <c r="I11" s="74">
        <v>6040006000329</v>
      </c>
      <c r="J11" s="74" t="s">
        <v>265</v>
      </c>
      <c r="K11" s="60">
        <f>VLOOKUP(A11, 'OES Summary'!$A:$B, 2, FALSE)</f>
        <v>350</v>
      </c>
      <c r="L11" s="304" cm="1">
        <f t="array" ref="L11">IF(COUNTIF('Raw Annual DMR Data'!$L:$L,$F11)&gt;0,MEDIAN(IF('Raw Annual DMR Data'!$L:$L=F11,'Raw Annual DMR Data'!$S:$S)),"N/A - Facility Does Not Report DMRs")</f>
        <v>14.843537414965899</v>
      </c>
      <c r="M11" s="156">
        <f t="shared" si="4"/>
        <v>4.2410106899902572E-2</v>
      </c>
      <c r="N11" s="156">
        <f>IF(COUNTIF('Raw Annual DMR Data'!$L:$L,$F11)&gt;0,_xlfn.MAXIFS('Raw Annual DMR Data'!$S:$S,'Raw Annual DMR Data'!$L:$L,$F11), "N/A - Facility Does Not Report DMRs")</f>
        <v>72.164172335600895</v>
      </c>
      <c r="O11" s="156">
        <f t="shared" si="5"/>
        <v>0.20618334953028827</v>
      </c>
      <c r="P11" s="113" cm="1">
        <f t="array" ref="P11">IF(COUNTIF('Raw Annual DMR Data'!$L:$L,$F11)&gt;0,INDEX('Raw Annual DMR Data'!$B:$B,MATCH(1,($F11='Raw Annual DMR Data'!$L:$L)*($N11='Raw Annual DMR Data'!$S:$S),0)), "N/A - Facility Does Not Report DMRs")</f>
        <v>2017</v>
      </c>
      <c r="Q11" s="304" cm="1">
        <f t="array" ref="Q11">IF(COUNTIF('Raw TRI Data'!$J:$J,$E11)&gt;0,MEDIAN(IF('Raw TRI Data'!$J:$J=E11,'Raw TRI Data'!$S:$S)), "N/A - Facility Does Not Report to TRI")</f>
        <v>17.463306244999998</v>
      </c>
      <c r="R11" s="156">
        <f t="shared" si="2"/>
        <v>4.9895160699999996E-2</v>
      </c>
      <c r="S11" s="156">
        <f>IF(COUNTIF('Raw TRI Data'!$J:$J,$E11)&gt;0,_xlfn.MAXIFS('Raw TRI Data'!$S:$S,'Raw TRI Data'!$J:$J,$E11), "N/A - Facility Does Not Report to TRI")</f>
        <v>72.574779200000009</v>
      </c>
      <c r="T11" s="156">
        <f t="shared" si="3"/>
        <v>0.20735651200000002</v>
      </c>
      <c r="U11" s="136" cm="1">
        <f t="array" ref="U11">IF(COUNTIF('Raw TRI Data'!$J:$J,$E11)&gt;0,INDEX('Raw TRI Data'!$A:$A,MATCH(1,($E11='Raw TRI Data'!$J:$J)*(S11='Raw TRI Data'!$S:$S),0)), "N/A - Facility Does Not Report to TRI")</f>
        <v>2017</v>
      </c>
      <c r="V11" s="156" t="str" cm="1">
        <f t="array" ref="V11">IF(COUNTIFS('Raw Annual DMR Data'!$L:$L,$F11,'Raw Annual DMR Data'!$U:$U,"&gt;0")&gt;0,MEDIAN(IF('Raw Annual DMR Data'!$L:$L=$F11,'Raw Annual DMR Data'!$U:$U,"")),"N/A - Period DMR Data Not Available")</f>
        <v>N/A - Period DMR Data Not Available</v>
      </c>
      <c r="W11" s="156" t="str">
        <f>IF(COUNTIFS('Raw Annual DMR Data'!$L:$L,$F11, 'Raw Annual DMR Data'!$U:$U, "&gt;0")&gt;0,_xlfn.MAXIFS('Raw Annual DMR Data'!$U:$U,'Raw Annual DMR Data'!$L:$L,$F11), "N/A - Period DMR Data Not Available")</f>
        <v>N/A - Period DMR Data Not Available</v>
      </c>
      <c r="X11" s="113" t="str" cm="1">
        <f t="array" ref="X11">+IF(COUNTIFS('Raw Annual DMR Data'!L:L,$F11, 'Raw Annual DMR Data'!U:U, "&gt;0")&gt;0,INDEX('Raw Annual DMR Data'!V:V,MATCH(1,($F11='Raw Annual DMR Data'!L:L)*($W11='Raw Annual DMR Data'!U:U),0)), "N/A - Period DMR Data Not Available")</f>
        <v>N/A - Period DMR Data Not Available</v>
      </c>
      <c r="Y11" s="113" t="str" cm="1">
        <f t="array" ref="Y11">IF(COUNTIFS('Raw Annual DMR Data'!L:L,$F11, 'Raw Annual DMR Data'!U:U, "&gt;0")&gt;0,INDEX('Raw Annual DMR Data'!B:B,MATCH(1,($F11='Raw Annual DMR Data'!L:L)*($W11='Raw Annual DMR Data'!U:U),0)), "N/A - Period DMR Data Not Available")</f>
        <v>N/A - Period DMR Data Not Available</v>
      </c>
      <c r="Z11" s="311" t="str" cm="1">
        <f t="array" ref="Z11">IF(COUNTIF('Raw Annual DMR Data'!K:K,$E11)&gt;0,"N/A - See DMRs",IF(SUMIFS('Raw TRI Data'!$Z:$Z,'Raw TRI Data'!$J:$J,$E11)&gt;0,MEDIAN(IF('Raw TRI Data'!$J:$J=$E11,'Raw TRI Data'!$Z:$Z)), "N/A - Facility Does Not Report to TRI, no surface water releases, or no Generic Factors available"))</f>
        <v>N/A - See DMRs</v>
      </c>
      <c r="AA11" s="156" t="str">
        <f>IF(COUNTIF('Raw Annual DMR Data'!K:K,$E11)&gt;0,"N/A - See DMRs",IF(SUMIFS('Raw TRI Data'!$Z:$Z,'Raw TRI Data'!$J:$J,$E11)&gt;0,_xlfn.MAXIFS('Raw TRI Data'!$Z:$Z,'Raw TRI Data'!$J:$J,$E11), "N/A - Facility Does Not Report to TRI, no surface water releases, or no Generic Factors available"))</f>
        <v>N/A - See DMRs</v>
      </c>
      <c r="AB11" s="113" t="str">
        <f t="shared" si="6"/>
        <v>N/A</v>
      </c>
      <c r="AC11" s="136" t="str" cm="1">
        <f t="array" ref="AC11">IF(COUNTIF('Raw Annual DMR Data'!K:K,$E11)&gt;0,"N/A - See DMRs",IF(SUMIFS('Raw TRI Data'!$Z:$Z,'Raw TRI Data'!$J:$J,$E11)&gt;0,INDEX('Raw TRI Data'!$A:$A,MATCH(1,($E11='Raw TRI Data'!$J:$J)*($AA11='Raw TRI Data'!$Z:$Z),0)), "N/A - Facility Does Not Report to TRI, no surface water releases, or no Generic Factors available"))</f>
        <v>N/A - See DMRs</v>
      </c>
      <c r="AD11" s="96" t="str" cm="1">
        <f t="array" ref="AD11">IF(COUNTIFS('Raw Annual DMR Data'!L:L,$F11,'Raw Annual DMR Data'!W:W, "&gt;0")&gt;0,MEDIAN(IF('Raw Annual DMR Data'!K:K=$F11, 'Raw Annual DMR Data'!W:W)), "N/A - No Daily Max DMR Discharge Data")</f>
        <v>N/A - No Daily Max DMR Discharge Data</v>
      </c>
      <c r="AE11" s="96" t="str">
        <f>IF(COUNTIFS('Raw Annual DMR Data'!L:L,$F11,'Raw Annual DMR Data'!W:W, "&gt;0")&gt;0,_xlfn.MAXIFS('Raw Annual DMR Data'!W:W,'Raw Annual DMR Data'!L:L,$F11), "N/A - No Daily Max DMR Discharge Data")</f>
        <v>N/A - No Daily Max DMR Discharge Data</v>
      </c>
      <c r="AF11" s="60" t="str" cm="1">
        <f t="array" ref="AF11">IF(COUNTIFS('Raw Annual DMR Data'!L:L,$F11,'Raw Annual DMR Data'!W:W, "&gt;0")&gt;0,INDEX('Raw Annual DMR Data'!B:B,MATCH(1,($F11='Raw Annual DMR Data'!L:L)*($AE11='Raw Annual DMR Data'!W:W),0)), "N/A - No Daily Max DMR Discharge Data")</f>
        <v>N/A - No Daily Max DMR Discharge Data</v>
      </c>
      <c r="AG11" s="422"/>
      <c r="AH11" s="422"/>
      <c r="AI11" s="423"/>
    </row>
    <row r="12" spans="1:35" ht="45.75" thickBot="1" x14ac:dyDescent="0.3">
      <c r="A12" s="144" t="str">
        <f>VLOOKUP(F12,'Facility Summary'!J:K,2,FALSE)</f>
        <v>Repackaging</v>
      </c>
      <c r="B12" s="97" t="s">
        <v>106</v>
      </c>
      <c r="C12" s="28" t="s">
        <v>327</v>
      </c>
      <c r="D12" s="60" t="s">
        <v>328</v>
      </c>
      <c r="E12" s="60"/>
      <c r="F12" s="74">
        <v>110070381611</v>
      </c>
      <c r="G12" s="74" t="s">
        <v>778</v>
      </c>
      <c r="H12" s="63" t="s">
        <v>779</v>
      </c>
      <c r="I12" s="74"/>
      <c r="J12" s="74" t="s">
        <v>265</v>
      </c>
      <c r="K12" s="60">
        <f>VLOOKUP(A12, 'OES Summary'!$A:$B, 2, FALSE)</f>
        <v>250</v>
      </c>
      <c r="L12" s="304" cm="1">
        <f t="array" ref="L12">IF(COUNTIF('Raw Annual DMR Data'!$L:$L,$F12)&gt;0,MEDIAN(IF('Raw Annual DMR Data'!$L:$L=F12,'Raw Annual DMR Data'!$S:$S)),"N/A - Facility Does Not Report DMRs")</f>
        <v>8.2635321737500003E-2</v>
      </c>
      <c r="M12" s="156">
        <f t="shared" si="4"/>
        <v>3.3054128695000001E-4</v>
      </c>
      <c r="N12" s="156">
        <f>IF(COUNTIF('Raw Annual DMR Data'!$L:$L,$F12)&gt;0,_xlfn.MAXIFS('Raw Annual DMR Data'!$S:$S,'Raw Annual DMR Data'!$L:$L,$F12), "N/A - Facility Does Not Report DMRs")</f>
        <v>0.20919997800000001</v>
      </c>
      <c r="O12" s="156">
        <f t="shared" si="5"/>
        <v>8.3679991199999998E-4</v>
      </c>
      <c r="P12" s="113" cm="1">
        <f t="array" ref="P12">IF(COUNTIF('Raw Annual DMR Data'!$L:$L,$F12)&gt;0,INDEX('Raw Annual DMR Data'!$B:$B,MATCH(1,($F12='Raw Annual DMR Data'!$L:$L)*($N12='Raw Annual DMR Data'!$S:$S),0)), "N/A - Facility Does Not Report DMRs")</f>
        <v>2024</v>
      </c>
      <c r="Q12" s="304" t="str" cm="1">
        <f t="array" ref="Q12">IF(COUNTIF('Raw TRI Data'!$J:$J,$E12)&gt;0,MEDIAN(IF('Raw TRI Data'!$J:$J=E12,'Raw TRI Data'!$S:$S)), "N/A - Facility Does Not Report to TRI")</f>
        <v>N/A - Facility Does Not Report to TRI</v>
      </c>
      <c r="R12" s="156" t="str">
        <f t="shared" si="2"/>
        <v>N/A - Facility Does Not Report to TRI</v>
      </c>
      <c r="S12" s="156" t="str">
        <f>IF(COUNTIF('Raw TRI Data'!$J:$J,$E12)&gt;0,_xlfn.MAXIFS('Raw TRI Data'!$S:$S,'Raw TRI Data'!$J:$J,$E12), "N/A - Facility Does Not Report to TRI")</f>
        <v>N/A - Facility Does Not Report to TRI</v>
      </c>
      <c r="T12" s="156" t="str">
        <f t="shared" si="3"/>
        <v>N/A - Facility Does Not Report to TRI</v>
      </c>
      <c r="U12" s="136" t="str" cm="1">
        <f t="array" ref="U12">IF(COUNTIF('Raw TRI Data'!$J:$J,$E12)&gt;0,INDEX('Raw TRI Data'!$A:$A,MATCH(1,($E12='Raw TRI Data'!$J:$J)*(S12='Raw TRI Data'!$S:$S),0)), "N/A - Facility Does Not Report to TRI")</f>
        <v>N/A - Facility Does Not Report to TRI</v>
      </c>
      <c r="V12" s="156" t="str" cm="1">
        <f t="array" ref="V12">IF(COUNTIFS('Raw Annual DMR Data'!$L:$L,$F12,'Raw Annual DMR Data'!$U:$U,"&gt;0")&gt;0,MEDIAN(IF('Raw Annual DMR Data'!$L:$L=$F12,'Raw Annual DMR Data'!$U:$U,"")),"N/A - Period DMR Data Not Available")</f>
        <v>N/A - Period DMR Data Not Available</v>
      </c>
      <c r="W12" s="156" t="str">
        <f>IF(COUNTIFS('Raw Annual DMR Data'!$L:$L,$F12, 'Raw Annual DMR Data'!$U:$U, "&gt;0")&gt;0,_xlfn.MAXIFS('Raw Annual DMR Data'!$U:$U,'Raw Annual DMR Data'!$L:$L,$F12), "N/A - Period DMR Data Not Available")</f>
        <v>N/A - Period DMR Data Not Available</v>
      </c>
      <c r="X12" s="113" t="str" cm="1">
        <f t="array" ref="X12">+IF(COUNTIFS('Raw Annual DMR Data'!L:L,$F12, 'Raw Annual DMR Data'!U:U, "&gt;0")&gt;0,INDEX('Raw Annual DMR Data'!V:V,MATCH(1,($F12='Raw Annual DMR Data'!L:L)*($W12='Raw Annual DMR Data'!U:U),0)), "N/A - Period DMR Data Not Available")</f>
        <v>N/A - Period DMR Data Not Available</v>
      </c>
      <c r="Y12" s="113" t="str" cm="1">
        <f t="array" ref="Y12">IF(COUNTIFS('Raw Annual DMR Data'!L:L,$F12, 'Raw Annual DMR Data'!U:U, "&gt;0")&gt;0,INDEX('Raw Annual DMR Data'!B:B,MATCH(1,($F12='Raw Annual DMR Data'!L:L)*($W12='Raw Annual DMR Data'!U:U),0)), "N/A - Period DMR Data Not Available")</f>
        <v>N/A - Period DMR Data Not Available</v>
      </c>
      <c r="Z12" s="311" t="str" cm="1">
        <f t="array" ref="Z12">IF(COUNTIF('Raw Annual DMR Data'!K:K,$E12)&gt;0,"N/A - See DMRs",IF(SUMIFS('Raw TRI Data'!$Z:$Z,'Raw TRI Data'!$J:$J,$E12)&gt;0,MEDIAN(IF('Raw TRI Data'!$J:$J=$E12,'Raw TRI Data'!$Z:$Z)), "N/A - Facility Does Not Report to TRI, no surface water releases, or no Generic Factors available"))</f>
        <v>N/A - Facility Does Not Report to TRI, no surface water releases, or no Generic Factors available</v>
      </c>
      <c r="AA12" s="156" t="str">
        <f>IF(COUNTIF('Raw Annual DMR Data'!K:K,$E12)&gt;0,"N/A - See DMRs",IF(SUMIFS('Raw TRI Data'!$Z:$Z,'Raw TRI Data'!$J:$J,$E12)&gt;0,_xlfn.MAXIFS('Raw TRI Data'!$Z:$Z,'Raw TRI Data'!$J:$J,$E12), "N/A - Facility Does Not Report to TRI, no surface water releases, or no Generic Factors available"))</f>
        <v>N/A - Facility Does Not Report to TRI, no surface water releases, or no Generic Factors available</v>
      </c>
      <c r="AB12" s="113" t="str">
        <f t="shared" si="6"/>
        <v>N/A</v>
      </c>
      <c r="AC12" s="136" t="str" cm="1">
        <f t="array" ref="AC12">IF(COUNTIF('Raw Annual DMR Data'!K:K,$E12)&gt;0,"N/A - See DMRs",IF(SUMIFS('Raw TRI Data'!$Z:$Z,'Raw TRI Data'!$J:$J,$E12)&gt;0,INDEX('Raw TRI Data'!$A:$A,MATCH(1,($E12='Raw TRI Data'!$J:$J)*($AA12='Raw TRI Data'!$Z:$Z),0)), "N/A - Facility Does Not Report to TRI, no surface water releases, or no Generic Factors available"))</f>
        <v>N/A - Facility Does Not Report to TRI, no surface water releases, or no Generic Factors available</v>
      </c>
      <c r="AD12" s="96" t="str" cm="1">
        <f t="array" ref="AD12">IF(COUNTIFS('Raw Annual DMR Data'!L:L,$F12,'Raw Annual DMR Data'!W:W, "&gt;0")&gt;0,MEDIAN(IF('Raw Annual DMR Data'!K:K=$F12, 'Raw Annual DMR Data'!W:W)), "N/A - No Daily Max DMR Discharge Data")</f>
        <v>N/A - No Daily Max DMR Discharge Data</v>
      </c>
      <c r="AE12" s="96" t="str">
        <f>IF(COUNTIFS('Raw Annual DMR Data'!L:L,$F12,'Raw Annual DMR Data'!W:W, "&gt;0")&gt;0,_xlfn.MAXIFS('Raw Annual DMR Data'!W:W,'Raw Annual DMR Data'!L:L,$F12), "N/A - No Daily Max DMR Discharge Data")</f>
        <v>N/A - No Daily Max DMR Discharge Data</v>
      </c>
      <c r="AF12" s="60" t="str" cm="1">
        <f t="array" ref="AF12">IF(COUNTIFS('Raw Annual DMR Data'!L:L,$F12,'Raw Annual DMR Data'!W:W, "&gt;0")&gt;0,INDEX('Raw Annual DMR Data'!B:B,MATCH(1,($F12='Raw Annual DMR Data'!L:L)*($AE12='Raw Annual DMR Data'!W:W),0)), "N/A - No Daily Max DMR Discharge Data")</f>
        <v>N/A - No Daily Max DMR Discharge Data</v>
      </c>
      <c r="AG12" s="422"/>
      <c r="AH12" s="422"/>
      <c r="AI12" s="423"/>
    </row>
    <row r="13" spans="1:35" ht="45.75" thickBot="1" x14ac:dyDescent="0.3">
      <c r="A13" s="144" t="str">
        <f>VLOOKUP(F13,'Facility Summary'!J:K,2,FALSE)</f>
        <v>POTW</v>
      </c>
      <c r="B13" s="97" t="s">
        <v>107</v>
      </c>
      <c r="C13" s="28" t="s">
        <v>331</v>
      </c>
      <c r="D13" s="60" t="s">
        <v>324</v>
      </c>
      <c r="E13" s="60"/>
      <c r="F13" s="74">
        <v>110000732244</v>
      </c>
      <c r="G13" s="74" t="s">
        <v>780</v>
      </c>
      <c r="H13" s="63" t="s">
        <v>781</v>
      </c>
      <c r="I13" s="74">
        <v>5090103000899</v>
      </c>
      <c r="J13" s="74" t="s">
        <v>265</v>
      </c>
      <c r="K13" s="60">
        <f>VLOOKUP(A13, 'OES Summary'!$A:$B, 2, FALSE)</f>
        <v>365</v>
      </c>
      <c r="L13" s="304" cm="1">
        <f t="array" ref="L13">IF(COUNTIF('Raw Annual DMR Data'!$L:$L,$F13)&gt;0,MEDIAN(IF('Raw Annual DMR Data'!$L:$L=F13,'Raw Annual DMR Data'!$S:$S)),"N/A - Facility Does Not Report DMRs")</f>
        <v>9.5048919999999999</v>
      </c>
      <c r="M13" s="156">
        <f t="shared" si="4"/>
        <v>2.6040799999999999E-2</v>
      </c>
      <c r="N13" s="156">
        <f>IF(COUNTIF('Raw Annual DMR Data'!$L:$L,$F13)&gt;0,_xlfn.MAXIFS('Raw Annual DMR Data'!$S:$S,'Raw Annual DMR Data'!$L:$L,$F13), "N/A - Facility Does Not Report DMRs")</f>
        <v>24.038535</v>
      </c>
      <c r="O13" s="156">
        <f t="shared" si="5"/>
        <v>6.5859000000000001E-2</v>
      </c>
      <c r="P13" s="113" cm="1">
        <f t="array" ref="P13">IF(COUNTIF('Raw Annual DMR Data'!$L:$L,$F13)&gt;0,INDEX('Raw Annual DMR Data'!$B:$B,MATCH(1,($F13='Raw Annual DMR Data'!$L:$L)*($N13='Raw Annual DMR Data'!$S:$S),0)), "N/A - Facility Does Not Report DMRs")</f>
        <v>2019</v>
      </c>
      <c r="Q13" s="304" t="str" cm="1">
        <f t="array" ref="Q13">IF(COUNTIF('Raw TRI Data'!$J:$J,$E13)&gt;0,MEDIAN(IF('Raw TRI Data'!$J:$J=E13,'Raw TRI Data'!$S:$S)), "N/A - Facility Does Not Report to TRI")</f>
        <v>N/A - Facility Does Not Report to TRI</v>
      </c>
      <c r="R13" s="156" t="str">
        <f t="shared" si="2"/>
        <v>N/A - Facility Does Not Report to TRI</v>
      </c>
      <c r="S13" s="156" t="str">
        <f>IF(COUNTIF('Raw TRI Data'!$J:$J,$E13)&gt;0,_xlfn.MAXIFS('Raw TRI Data'!$S:$S,'Raw TRI Data'!$J:$J,$E13), "N/A - Facility Does Not Report to TRI")</f>
        <v>N/A - Facility Does Not Report to TRI</v>
      </c>
      <c r="T13" s="156" t="str">
        <f t="shared" si="3"/>
        <v>N/A - Facility Does Not Report to TRI</v>
      </c>
      <c r="U13" s="136" t="str" cm="1">
        <f t="array" ref="U13">IF(COUNTIF('Raw TRI Data'!$J:$J,$E13)&gt;0,INDEX('Raw TRI Data'!$A:$A,MATCH(1,($E13='Raw TRI Data'!$J:$J)*(S13='Raw TRI Data'!$S:$S),0)), "N/A - Facility Does Not Report to TRI")</f>
        <v>N/A - Facility Does Not Report to TRI</v>
      </c>
      <c r="V13" s="156" t="str" cm="1">
        <f t="array" ref="V13">IF(COUNTIFS('Raw Annual DMR Data'!$L:$L,$F13,'Raw Annual DMR Data'!$U:$U,"&gt;0")&gt;0,MEDIAN(IF('Raw Annual DMR Data'!$L:$L=$F13,'Raw Annual DMR Data'!$U:$U,"")),"N/A - Period DMR Data Not Available")</f>
        <v>N/A - Period DMR Data Not Available</v>
      </c>
      <c r="W13" s="156" t="str">
        <f>IF(COUNTIFS('Raw Annual DMR Data'!$L:$L,$F13, 'Raw Annual DMR Data'!$U:$U, "&gt;0")&gt;0,_xlfn.MAXIFS('Raw Annual DMR Data'!$U:$U,'Raw Annual DMR Data'!$L:$L,$F13), "N/A - Period DMR Data Not Available")</f>
        <v>N/A - Period DMR Data Not Available</v>
      </c>
      <c r="X13" s="113" t="str" cm="1">
        <f t="array" ref="X13">+IF(COUNTIFS('Raw Annual DMR Data'!L:L,$F13, 'Raw Annual DMR Data'!U:U, "&gt;0")&gt;0,INDEX('Raw Annual DMR Data'!V:V,MATCH(1,($F13='Raw Annual DMR Data'!L:L)*($W13='Raw Annual DMR Data'!U:U),0)), "N/A - Period DMR Data Not Available")</f>
        <v>N/A - Period DMR Data Not Available</v>
      </c>
      <c r="Y13" s="113" t="str" cm="1">
        <f t="array" ref="Y13">IF(COUNTIFS('Raw Annual DMR Data'!L:L,$F13, 'Raw Annual DMR Data'!U:U, "&gt;0")&gt;0,INDEX('Raw Annual DMR Data'!B:B,MATCH(1,($F13='Raw Annual DMR Data'!L:L)*($W13='Raw Annual DMR Data'!U:U),0)), "N/A - Period DMR Data Not Available")</f>
        <v>N/A - Period DMR Data Not Available</v>
      </c>
      <c r="Z13" s="311" t="str" cm="1">
        <f t="array" ref="Z13">IF(COUNTIF('Raw Annual DMR Data'!K:K,$E13)&gt;0,"N/A - See DMRs",IF(SUMIFS('Raw TRI Data'!$Z:$Z,'Raw TRI Data'!$J:$J,$E13)&gt;0,MEDIAN(IF('Raw TRI Data'!$J:$J=$E13,'Raw TRI Data'!$Z:$Z)), "N/A - Facility Does Not Report to TRI, no surface water releases, or no Generic Factors available"))</f>
        <v>N/A - Facility Does Not Report to TRI, no surface water releases, or no Generic Factors available</v>
      </c>
      <c r="AA13" s="156" t="str">
        <f>IF(COUNTIF('Raw Annual DMR Data'!K:K,$E13)&gt;0,"N/A - See DMRs",IF(SUMIFS('Raw TRI Data'!$Z:$Z,'Raw TRI Data'!$J:$J,$E13)&gt;0,_xlfn.MAXIFS('Raw TRI Data'!$Z:$Z,'Raw TRI Data'!$J:$J,$E13), "N/A - Facility Does Not Report to TRI, no surface water releases, or no Generic Factors available"))</f>
        <v>N/A - Facility Does Not Report to TRI, no surface water releases, or no Generic Factors available</v>
      </c>
      <c r="AB13" s="113" t="str">
        <f t="shared" si="6"/>
        <v>N/A</v>
      </c>
      <c r="AC13" s="136" t="str" cm="1">
        <f t="array" ref="AC13">IF(COUNTIF('Raw Annual DMR Data'!K:K,$E13)&gt;0,"N/A - See DMRs",IF(SUMIFS('Raw TRI Data'!$Z:$Z,'Raw TRI Data'!$J:$J,$E13)&gt;0,INDEX('Raw TRI Data'!$A:$A,MATCH(1,($E13='Raw TRI Data'!$J:$J)*($AA13='Raw TRI Data'!$Z:$Z),0)), "N/A - Facility Does Not Report to TRI, no surface water releases, or no Generic Factors available"))</f>
        <v>N/A - Facility Does Not Report to TRI, no surface water releases, or no Generic Factors available</v>
      </c>
      <c r="AD13" s="96" t="str" cm="1">
        <f t="array" ref="AD13">IF(COUNTIFS('Raw Annual DMR Data'!L:L,$F13,'Raw Annual DMR Data'!W:W, "&gt;0")&gt;0,MEDIAN(IF('Raw Annual DMR Data'!K:K=$F13, 'Raw Annual DMR Data'!W:W)), "N/A - No Daily Max DMR Discharge Data")</f>
        <v>N/A - No Daily Max DMR Discharge Data</v>
      </c>
      <c r="AE13" s="96" t="str">
        <f>IF(COUNTIFS('Raw Annual DMR Data'!L:L,$F13,'Raw Annual DMR Data'!W:W, "&gt;0")&gt;0,_xlfn.MAXIFS('Raw Annual DMR Data'!W:W,'Raw Annual DMR Data'!L:L,$F13), "N/A - No Daily Max DMR Discharge Data")</f>
        <v>N/A - No Daily Max DMR Discharge Data</v>
      </c>
      <c r="AF13" s="60" t="str" cm="1">
        <f t="array" ref="AF13">IF(COUNTIFS('Raw Annual DMR Data'!L:L,$F13,'Raw Annual DMR Data'!W:W, "&gt;0")&gt;0,INDEX('Raw Annual DMR Data'!B:B,MATCH(1,($F13='Raw Annual DMR Data'!L:L)*($AE13='Raw Annual DMR Data'!W:W),0)), "N/A - No Daily Max DMR Discharge Data")</f>
        <v>N/A - No Daily Max DMR Discharge Data</v>
      </c>
      <c r="AG13" s="422"/>
      <c r="AH13" s="422"/>
      <c r="AI13" s="423"/>
    </row>
    <row r="14" spans="1:35" ht="30.75" thickBot="1" x14ac:dyDescent="0.3">
      <c r="A14" s="144" t="str">
        <f>VLOOKUP(F14,'Facility Summary'!J:K,2,FALSE)</f>
        <v>Manufacturing</v>
      </c>
      <c r="B14" s="97" t="s">
        <v>204</v>
      </c>
      <c r="C14" s="28" t="s">
        <v>334</v>
      </c>
      <c r="D14" s="28" t="s">
        <v>303</v>
      </c>
      <c r="E14" s="60" t="s">
        <v>335</v>
      </c>
      <c r="F14" s="74">
        <v>110000613747</v>
      </c>
      <c r="G14" s="74" t="s">
        <v>295</v>
      </c>
      <c r="H14" s="81" t="s">
        <v>295</v>
      </c>
      <c r="I14" s="74" t="s">
        <v>295</v>
      </c>
      <c r="J14" s="74" t="s">
        <v>265</v>
      </c>
      <c r="K14" s="60">
        <f>VLOOKUP(A14, 'OES Summary'!$A:$B, 2, FALSE)</f>
        <v>350</v>
      </c>
      <c r="L14" s="304" t="str" cm="1">
        <f t="array" ref="L14">IF(COUNTIF('Raw Annual DMR Data'!$L:$L,$F14)&gt;0,MEDIAN(IF('Raw Annual DMR Data'!$L:$L=F14,'Raw Annual DMR Data'!$S:$S)),"N/A - Facility Does Not Report DMRs")</f>
        <v>N/A - Facility Does Not Report DMRs</v>
      </c>
      <c r="M14" s="156" t="str">
        <f t="shared" si="4"/>
        <v>N/A - Facility Does Not Report DMRs</v>
      </c>
      <c r="N14" s="156" t="str">
        <f>IF(COUNTIF('Raw Annual DMR Data'!$L:$L,$F14)&gt;0,_xlfn.MAXIFS('Raw Annual DMR Data'!$S:$S,'Raw Annual DMR Data'!$L:$L,$F14), "N/A - Facility Does Not Report DMRs")</f>
        <v>N/A - Facility Does Not Report DMRs</v>
      </c>
      <c r="O14" s="156" t="str">
        <f t="shared" si="5"/>
        <v>N/A - Facility Does Not Report DMRs</v>
      </c>
      <c r="P14" s="113" t="str" cm="1">
        <f t="array" ref="P14">IF(COUNTIF('Raw Annual DMR Data'!$L:$L,$F14)&gt;0,INDEX('Raw Annual DMR Data'!$B:$B,MATCH(1,($F14='Raw Annual DMR Data'!$L:$L)*($N14='Raw Annual DMR Data'!$S:$S),0)), "N/A - Facility Does Not Report DMRs")</f>
        <v>N/A - Facility Does Not Report DMRs</v>
      </c>
      <c r="Q14" s="304" cm="1">
        <f t="array" ref="Q14">IF(COUNTIF('Raw TRI Data'!$J:$J,$E14)&gt;0,MEDIAN(IF('Raw TRI Data'!$J:$J=E14,'Raw TRI Data'!$S:$S)), "N/A - Facility Does Not Report to TRI")</f>
        <v>8.1646626599999994</v>
      </c>
      <c r="R14" s="156">
        <f t="shared" si="2"/>
        <v>2.3327607599999998E-2</v>
      </c>
      <c r="S14" s="156">
        <f>IF(COUNTIF('Raw TRI Data'!$J:$J,$E14)&gt;0,_xlfn.MAXIFS('Raw TRI Data'!$S:$S,'Raw TRI Data'!$J:$J,$E14), "N/A - Facility Does Not Report to TRI")</f>
        <v>184.61209459</v>
      </c>
      <c r="T14" s="156">
        <f t="shared" si="3"/>
        <v>0.52746312740000001</v>
      </c>
      <c r="U14" s="136" cm="1">
        <f t="array" ref="U14">IF(COUNTIF('Raw TRI Data'!$J:$J,$E14)&gt;0,INDEX('Raw TRI Data'!$A:$A,MATCH(1,($E14='Raw TRI Data'!$J:$J)*(S14='Raw TRI Data'!$S:$S),0)), "N/A - Facility Does Not Report to TRI")</f>
        <v>2022</v>
      </c>
      <c r="V14" s="156" t="str" cm="1">
        <f t="array" ref="V14">IF(COUNTIFS('Raw Annual DMR Data'!$L:$L,$F14,'Raw Annual DMR Data'!$U:$U,"&gt;0")&gt;0,MEDIAN(IF('Raw Annual DMR Data'!$L:$L=$F14,'Raw Annual DMR Data'!$U:$U,"")),"N/A - Period DMR Data Not Available")</f>
        <v>N/A - Period DMR Data Not Available</v>
      </c>
      <c r="W14" s="156" t="str">
        <f>IF(COUNTIFS('Raw Annual DMR Data'!$L:$L,$F14, 'Raw Annual DMR Data'!$U:$U, "&gt;0")&gt;0,_xlfn.MAXIFS('Raw Annual DMR Data'!$U:$U,'Raw Annual DMR Data'!$L:$L,$F14), "N/A - Period DMR Data Not Available")</f>
        <v>N/A - Period DMR Data Not Available</v>
      </c>
      <c r="X14" s="113" t="str" cm="1">
        <f t="array" ref="X14">+IF(COUNTIFS('Raw Annual DMR Data'!L:L,$F14, 'Raw Annual DMR Data'!U:U, "&gt;0")&gt;0,INDEX('Raw Annual DMR Data'!V:V,MATCH(1,($F14='Raw Annual DMR Data'!L:L)*($W14='Raw Annual DMR Data'!U:U),0)), "N/A - Period DMR Data Not Available")</f>
        <v>N/A - Period DMR Data Not Available</v>
      </c>
      <c r="Y14" s="113" t="str" cm="1">
        <f t="array" ref="Y14">IF(COUNTIFS('Raw Annual DMR Data'!L:L,$F14, 'Raw Annual DMR Data'!U:U, "&gt;0")&gt;0,INDEX('Raw Annual DMR Data'!B:B,MATCH(1,($F14='Raw Annual DMR Data'!L:L)*($W14='Raw Annual DMR Data'!U:U),0)), "N/A - Period DMR Data Not Available")</f>
        <v>N/A - Period DMR Data Not Available</v>
      </c>
      <c r="Z14" s="311" t="e" cm="1">
        <f t="array" ref="Z14">IF(COUNTIF('Raw Annual DMR Data'!K:K,$E14)&gt;0,"N/A - See DMRs",IF(SUMIFS('Raw TRI Data'!$Z:$Z,'Raw TRI Data'!$J:$J,$E14)&gt;0,MEDIAN(IF('Raw TRI Data'!$J:$J=$E14,'Raw TRI Data'!$Z:$Z)), "N/A - Facility Does Not Report to TRI, no surface water releases, or no Generic Factors available"))</f>
        <v>#N/A</v>
      </c>
      <c r="AA14" s="156" t="e">
        <f>IF(COUNTIF('Raw Annual DMR Data'!K:K,$E14)&gt;0,"N/A - See DMRs",IF(SUMIFS('Raw TRI Data'!$Z:$Z,'Raw TRI Data'!$J:$J,$E14)&gt;0,_xlfn.MAXIFS('Raw TRI Data'!$Z:$Z,'Raw TRI Data'!$J:$J,$E14), "N/A - Facility Does Not Report to TRI, no surface water releases, or no Generic Factors available"))</f>
        <v>#N/A</v>
      </c>
      <c r="AB14" s="113" t="str">
        <f t="shared" si="6"/>
        <v>N/A</v>
      </c>
      <c r="AC14" s="136" t="e" cm="1">
        <f t="array" ref="AC14">IF(COUNTIF('Raw Annual DMR Data'!K:K,$E14)&gt;0,"N/A - See DMRs",IF(SUMIFS('Raw TRI Data'!$Z:$Z,'Raw TRI Data'!$J:$J,$E14)&gt;0,INDEX('Raw TRI Data'!$A:$A,MATCH(1,($E14='Raw TRI Data'!$J:$J)*($AA14='Raw TRI Data'!$Z:$Z),0)), "N/A - Facility Does Not Report to TRI, no surface water releases, or no Generic Factors available"))</f>
        <v>#N/A</v>
      </c>
      <c r="AD14" s="96" t="str" cm="1">
        <f t="array" ref="AD14">IF(COUNTIFS('Raw Annual DMR Data'!L:L,$F14,'Raw Annual DMR Data'!W:W, "&gt;0")&gt;0,MEDIAN(IF('Raw Annual DMR Data'!K:K=$F14, 'Raw Annual DMR Data'!W:W)), "N/A - No Daily Max DMR Discharge Data")</f>
        <v>N/A - No Daily Max DMR Discharge Data</v>
      </c>
      <c r="AE14" s="96" t="str">
        <f>IF(COUNTIFS('Raw Annual DMR Data'!L:L,$F14,'Raw Annual DMR Data'!W:W, "&gt;0")&gt;0,_xlfn.MAXIFS('Raw Annual DMR Data'!W:W,'Raw Annual DMR Data'!L:L,$F14), "N/A - No Daily Max DMR Discharge Data")</f>
        <v>N/A - No Daily Max DMR Discharge Data</v>
      </c>
      <c r="AF14" s="60" t="str" cm="1">
        <f t="array" ref="AF14">IF(COUNTIFS('Raw Annual DMR Data'!L:L,$F14,'Raw Annual DMR Data'!W:W, "&gt;0")&gt;0,INDEX('Raw Annual DMR Data'!B:B,MATCH(1,($F14='Raw Annual DMR Data'!L:L)*($AE14='Raw Annual DMR Data'!W:W),0)), "N/A - No Daily Max DMR Discharge Data")</f>
        <v>N/A - No Daily Max DMR Discharge Data</v>
      </c>
      <c r="AG14" s="422"/>
      <c r="AH14" s="422"/>
      <c r="AI14" s="423"/>
    </row>
    <row r="15" spans="1:35" ht="45.75" thickBot="1" x14ac:dyDescent="0.3">
      <c r="A15" s="144" t="str">
        <f>VLOOKUP(F15,'Facility Summary'!J:K,2,FALSE)</f>
        <v>Remediation</v>
      </c>
      <c r="B15" s="97" t="s">
        <v>108</v>
      </c>
      <c r="C15" s="28" t="s">
        <v>337</v>
      </c>
      <c r="D15" s="60" t="s">
        <v>338</v>
      </c>
      <c r="E15" s="60"/>
      <c r="F15" s="74">
        <v>110000760310</v>
      </c>
      <c r="G15" s="74" t="s">
        <v>782</v>
      </c>
      <c r="H15" s="63" t="s">
        <v>783</v>
      </c>
      <c r="I15" s="74">
        <v>2040202000029</v>
      </c>
      <c r="J15" s="74" t="s">
        <v>265</v>
      </c>
      <c r="K15" s="60">
        <f>VLOOKUP(A15, 'OES Summary'!$A:$B, 2, FALSE)</f>
        <v>365</v>
      </c>
      <c r="L15" s="304" cm="1">
        <f t="array" ref="L15">IF(COUNTIF('Raw Annual DMR Data'!$L:$L,$F15)&gt;0,MEDIAN(IF('Raw Annual DMR Data'!$L:$L=F15,'Raw Annual DMR Data'!$S:$S)),"N/A - Facility Does Not Report DMRs")</f>
        <v>9.5602040975000004E-3</v>
      </c>
      <c r="M15" s="156">
        <f t="shared" si="4"/>
        <v>2.6192339993150684E-5</v>
      </c>
      <c r="N15" s="156">
        <f>IF(COUNTIF('Raw Annual DMR Data'!$L:$L,$F15)&gt;0,_xlfn.MAXIFS('Raw Annual DMR Data'!$S:$S,'Raw Annual DMR Data'!$L:$L,$F15), "N/A - Facility Does Not Report DMRs")</f>
        <v>9.4792410549999997E-2</v>
      </c>
      <c r="O15" s="156">
        <f t="shared" si="5"/>
        <v>2.5970523438356165E-4</v>
      </c>
      <c r="P15" s="113" cm="1">
        <f t="array" ref="P15">IF(COUNTIF('Raw Annual DMR Data'!$L:$L,$F15)&gt;0,INDEX('Raw Annual DMR Data'!$B:$B,MATCH(1,($F15='Raw Annual DMR Data'!$L:$L)*($N15='Raw Annual DMR Data'!$S:$S),0)), "N/A - Facility Does Not Report DMRs")</f>
        <v>2015</v>
      </c>
      <c r="Q15" s="304" t="str" cm="1">
        <f t="array" ref="Q15">IF(COUNTIF('Raw TRI Data'!$J:$J,$E15)&gt;0,MEDIAN(IF('Raw TRI Data'!$J:$J=E15,'Raw TRI Data'!$S:$S)), "N/A - Facility Does Not Report to TRI")</f>
        <v>N/A - Facility Does Not Report to TRI</v>
      </c>
      <c r="R15" s="156" t="str">
        <f t="shared" si="2"/>
        <v>N/A - Facility Does Not Report to TRI</v>
      </c>
      <c r="S15" s="156" t="str">
        <f>IF(COUNTIF('Raw TRI Data'!$J:$J,$E15)&gt;0,_xlfn.MAXIFS('Raw TRI Data'!$S:$S,'Raw TRI Data'!$J:$J,$E15), "N/A - Facility Does Not Report to TRI")</f>
        <v>N/A - Facility Does Not Report to TRI</v>
      </c>
      <c r="T15" s="156" t="str">
        <f t="shared" si="3"/>
        <v>N/A - Facility Does Not Report to TRI</v>
      </c>
      <c r="U15" s="136" t="str" cm="1">
        <f t="array" ref="U15">IF(COUNTIF('Raw TRI Data'!$J:$J,$E15)&gt;0,INDEX('Raw TRI Data'!$A:$A,MATCH(1,($E15='Raw TRI Data'!$J:$J)*(S15='Raw TRI Data'!$S:$S),0)), "N/A - Facility Does Not Report to TRI")</f>
        <v>N/A - Facility Does Not Report to TRI</v>
      </c>
      <c r="V15" s="156" t="str" cm="1">
        <f t="array" ref="V15">IF(COUNTIFS('Raw Annual DMR Data'!$L:$L,$F15,'Raw Annual DMR Data'!$U:$U,"&gt;0")&gt;0,MEDIAN(IF('Raw Annual DMR Data'!$L:$L=$F15,'Raw Annual DMR Data'!$U:$U,"")),"N/A - Period DMR Data Not Available")</f>
        <v>N/A - Period DMR Data Not Available</v>
      </c>
      <c r="W15" s="156" t="str">
        <f>IF(COUNTIFS('Raw Annual DMR Data'!$L:$L,$F15, 'Raw Annual DMR Data'!$U:$U, "&gt;0")&gt;0,_xlfn.MAXIFS('Raw Annual DMR Data'!$U:$U,'Raw Annual DMR Data'!$L:$L,$F15), "N/A - Period DMR Data Not Available")</f>
        <v>N/A - Period DMR Data Not Available</v>
      </c>
      <c r="X15" s="113" t="str" cm="1">
        <f t="array" ref="X15">+IF(COUNTIFS('Raw Annual DMR Data'!L:L,$F15, 'Raw Annual DMR Data'!U:U, "&gt;0")&gt;0,INDEX('Raw Annual DMR Data'!V:V,MATCH(1,($F15='Raw Annual DMR Data'!L:L)*($W15='Raw Annual DMR Data'!U:U),0)), "N/A - Period DMR Data Not Available")</f>
        <v>N/A - Period DMR Data Not Available</v>
      </c>
      <c r="Y15" s="113" t="str" cm="1">
        <f t="array" ref="Y15">IF(COUNTIFS('Raw Annual DMR Data'!L:L,$F15, 'Raw Annual DMR Data'!U:U, "&gt;0")&gt;0,INDEX('Raw Annual DMR Data'!B:B,MATCH(1,($F15='Raw Annual DMR Data'!L:L)*($W15='Raw Annual DMR Data'!U:U),0)), "N/A - Period DMR Data Not Available")</f>
        <v>N/A - Period DMR Data Not Available</v>
      </c>
      <c r="Z15" s="311" t="str" cm="1">
        <f t="array" ref="Z15">IF(COUNTIF('Raw Annual DMR Data'!K:K,$E15)&gt;0,"N/A - See DMRs",IF(SUMIFS('Raw TRI Data'!$Z:$Z,'Raw TRI Data'!$J:$J,$E15)&gt;0,MEDIAN(IF('Raw TRI Data'!$J:$J=$E15,'Raw TRI Data'!$Z:$Z)), "N/A - Facility Does Not Report to TRI, no surface water releases, or no Generic Factors available"))</f>
        <v>N/A - Facility Does Not Report to TRI, no surface water releases, or no Generic Factors available</v>
      </c>
      <c r="AA15" s="156" t="str">
        <f>IF(COUNTIF('Raw Annual DMR Data'!K:K,$E15)&gt;0,"N/A - See DMRs",IF(SUMIFS('Raw TRI Data'!$Z:$Z,'Raw TRI Data'!$J:$J,$E15)&gt;0,_xlfn.MAXIFS('Raw TRI Data'!$Z:$Z,'Raw TRI Data'!$J:$J,$E15), "N/A - Facility Does Not Report to TRI, no surface water releases, or no Generic Factors available"))</f>
        <v>N/A - Facility Does Not Report to TRI, no surface water releases, or no Generic Factors available</v>
      </c>
      <c r="AB15" s="113" t="str">
        <f t="shared" si="6"/>
        <v>N/A</v>
      </c>
      <c r="AC15" s="136" t="str" cm="1">
        <f t="array" ref="AC15">IF(COUNTIF('Raw Annual DMR Data'!K:K,$E15)&gt;0,"N/A - See DMRs",IF(SUMIFS('Raw TRI Data'!$Z:$Z,'Raw TRI Data'!$J:$J,$E15)&gt;0,INDEX('Raw TRI Data'!$A:$A,MATCH(1,($E15='Raw TRI Data'!$J:$J)*($AA15='Raw TRI Data'!$Z:$Z),0)), "N/A - Facility Does Not Report to TRI, no surface water releases, or no Generic Factors available"))</f>
        <v>N/A - Facility Does Not Report to TRI, no surface water releases, or no Generic Factors available</v>
      </c>
      <c r="AD15" s="96" t="str" cm="1">
        <f t="array" ref="AD15">IF(COUNTIFS('Raw Annual DMR Data'!L:L,$F15,'Raw Annual DMR Data'!W:W, "&gt;0")&gt;0,MEDIAN(IF('Raw Annual DMR Data'!K:K=$F15, 'Raw Annual DMR Data'!W:W)), "N/A - No Daily Max DMR Discharge Data")</f>
        <v>N/A - No Daily Max DMR Discharge Data</v>
      </c>
      <c r="AE15" s="96" t="str">
        <f>IF(COUNTIFS('Raw Annual DMR Data'!L:L,$F15,'Raw Annual DMR Data'!W:W, "&gt;0")&gt;0,_xlfn.MAXIFS('Raw Annual DMR Data'!W:W,'Raw Annual DMR Data'!L:L,$F15), "N/A - No Daily Max DMR Discharge Data")</f>
        <v>N/A - No Daily Max DMR Discharge Data</v>
      </c>
      <c r="AF15" s="60" t="str" cm="1">
        <f t="array" ref="AF15">IF(COUNTIFS('Raw Annual DMR Data'!L:L,$F15,'Raw Annual DMR Data'!W:W, "&gt;0")&gt;0,INDEX('Raw Annual DMR Data'!B:B,MATCH(1,($F15='Raw Annual DMR Data'!L:L)*($AE15='Raw Annual DMR Data'!W:W),0)), "N/A - No Daily Max DMR Discharge Data")</f>
        <v>N/A - No Daily Max DMR Discharge Data</v>
      </c>
      <c r="AG15" s="422"/>
      <c r="AH15" s="422"/>
      <c r="AI15" s="423"/>
    </row>
    <row r="16" spans="1:35" ht="45.75" thickBot="1" x14ac:dyDescent="0.3">
      <c r="A16" s="144" t="str">
        <f>VLOOKUP(F16,'Facility Summary'!J:K,2,FALSE)</f>
        <v>POTW</v>
      </c>
      <c r="B16" s="97" t="s">
        <v>109</v>
      </c>
      <c r="C16" s="28" t="s">
        <v>342</v>
      </c>
      <c r="D16" s="60" t="s">
        <v>324</v>
      </c>
      <c r="E16" s="60"/>
      <c r="F16" s="74">
        <v>110006644765</v>
      </c>
      <c r="G16" s="74" t="s">
        <v>784</v>
      </c>
      <c r="H16" s="63" t="s">
        <v>785</v>
      </c>
      <c r="I16" s="74">
        <v>5130101000215</v>
      </c>
      <c r="J16" s="74" t="s">
        <v>265</v>
      </c>
      <c r="K16" s="60">
        <f>VLOOKUP(A16, 'OES Summary'!$A:$B, 2, FALSE)</f>
        <v>365</v>
      </c>
      <c r="L16" s="304" cm="1">
        <f t="array" ref="L16">IF(COUNTIF('Raw Annual DMR Data'!$L:$L,$F16)&gt;0,MEDIAN(IF('Raw Annual DMR Data'!$L:$L=F16,'Raw Annual DMR Data'!$S:$S)),"N/A - Facility Does Not Report DMRs")</f>
        <v>8.8417600000000007</v>
      </c>
      <c r="M16" s="156">
        <f t="shared" si="4"/>
        <v>2.4224000000000002E-2</v>
      </c>
      <c r="N16" s="156">
        <f>IF(COUNTIF('Raw Annual DMR Data'!$L:$L,$F16)&gt;0,_xlfn.MAXIFS('Raw Annual DMR Data'!$S:$S,'Raw Annual DMR Data'!$L:$L,$F16), "N/A - Facility Does Not Report DMRs")</f>
        <v>8.8417600000000007</v>
      </c>
      <c r="O16" s="156">
        <f t="shared" si="5"/>
        <v>2.4224000000000002E-2</v>
      </c>
      <c r="P16" s="113" cm="1">
        <f t="array" ref="P16">IF(COUNTIF('Raw Annual DMR Data'!$L:$L,$F16)&gt;0,INDEX('Raw Annual DMR Data'!$B:$B,MATCH(1,($F16='Raw Annual DMR Data'!$L:$L)*($N16='Raw Annual DMR Data'!$S:$S),0)), "N/A - Facility Does Not Report DMRs")</f>
        <v>2018</v>
      </c>
      <c r="Q16" s="304" t="str" cm="1">
        <f t="array" ref="Q16">IF(COUNTIF('Raw TRI Data'!$J:$J,$E16)&gt;0,MEDIAN(IF('Raw TRI Data'!$J:$J=E16,'Raw TRI Data'!$S:$S)), "N/A - Facility Does Not Report to TRI")</f>
        <v>N/A - Facility Does Not Report to TRI</v>
      </c>
      <c r="R16" s="156" t="str">
        <f t="shared" si="2"/>
        <v>N/A - Facility Does Not Report to TRI</v>
      </c>
      <c r="S16" s="156" t="str">
        <f>IF(COUNTIF('Raw TRI Data'!$J:$J,$E16)&gt;0,_xlfn.MAXIFS('Raw TRI Data'!$S:$S,'Raw TRI Data'!$J:$J,$E16), "N/A - Facility Does Not Report to TRI")</f>
        <v>N/A - Facility Does Not Report to TRI</v>
      </c>
      <c r="T16" s="156" t="str">
        <f t="shared" si="3"/>
        <v>N/A - Facility Does Not Report to TRI</v>
      </c>
      <c r="U16" s="136" t="str" cm="1">
        <f t="array" ref="U16">IF(COUNTIF('Raw TRI Data'!$J:$J,$E16)&gt;0,INDEX('Raw TRI Data'!$A:$A,MATCH(1,($E16='Raw TRI Data'!$J:$J)*(S16='Raw TRI Data'!$S:$S),0)), "N/A - Facility Does Not Report to TRI")</f>
        <v>N/A - Facility Does Not Report to TRI</v>
      </c>
      <c r="V16" s="156" t="str" cm="1">
        <f t="array" ref="V16">IF(COUNTIFS('Raw Annual DMR Data'!$L:$L,$F16,'Raw Annual DMR Data'!$U:$U,"&gt;0")&gt;0,MEDIAN(IF('Raw Annual DMR Data'!$L:$L=$F16,'Raw Annual DMR Data'!$U:$U,"")),"N/A - Period DMR Data Not Available")</f>
        <v>N/A - Period DMR Data Not Available</v>
      </c>
      <c r="W16" s="156" t="str">
        <f>IF(COUNTIFS('Raw Annual DMR Data'!$L:$L,$F16, 'Raw Annual DMR Data'!$U:$U, "&gt;0")&gt;0,_xlfn.MAXIFS('Raw Annual DMR Data'!$U:$U,'Raw Annual DMR Data'!$L:$L,$F16), "N/A - Period DMR Data Not Available")</f>
        <v>N/A - Period DMR Data Not Available</v>
      </c>
      <c r="X16" s="113" t="str" cm="1">
        <f t="array" ref="X16">+IF(COUNTIFS('Raw Annual DMR Data'!L:L,$F16, 'Raw Annual DMR Data'!U:U, "&gt;0")&gt;0,INDEX('Raw Annual DMR Data'!V:V,MATCH(1,($F16='Raw Annual DMR Data'!L:L)*($W16='Raw Annual DMR Data'!U:U),0)), "N/A - Period DMR Data Not Available")</f>
        <v>N/A - Period DMR Data Not Available</v>
      </c>
      <c r="Y16" s="113" t="str" cm="1">
        <f t="array" ref="Y16">IF(COUNTIFS('Raw Annual DMR Data'!L:L,$F16, 'Raw Annual DMR Data'!U:U, "&gt;0")&gt;0,INDEX('Raw Annual DMR Data'!B:B,MATCH(1,($F16='Raw Annual DMR Data'!L:L)*($W16='Raw Annual DMR Data'!U:U),0)), "N/A - Period DMR Data Not Available")</f>
        <v>N/A - Period DMR Data Not Available</v>
      </c>
      <c r="Z16" s="311" t="str" cm="1">
        <f t="array" ref="Z16">IF(COUNTIF('Raw Annual DMR Data'!K:K,$E16)&gt;0,"N/A - See DMRs",IF(SUMIFS('Raw TRI Data'!$Z:$Z,'Raw TRI Data'!$J:$J,$E16)&gt;0,MEDIAN(IF('Raw TRI Data'!$J:$J=$E16,'Raw TRI Data'!$Z:$Z)), "N/A - Facility Does Not Report to TRI, no surface water releases, or no Generic Factors available"))</f>
        <v>N/A - Facility Does Not Report to TRI, no surface water releases, or no Generic Factors available</v>
      </c>
      <c r="AA16" s="156" t="str">
        <f>IF(COUNTIF('Raw Annual DMR Data'!K:K,$E16)&gt;0,"N/A - See DMRs",IF(SUMIFS('Raw TRI Data'!$Z:$Z,'Raw TRI Data'!$J:$J,$E16)&gt;0,_xlfn.MAXIFS('Raw TRI Data'!$Z:$Z,'Raw TRI Data'!$J:$J,$E16), "N/A - Facility Does Not Report to TRI, no surface water releases, or no Generic Factors available"))</f>
        <v>N/A - Facility Does Not Report to TRI, no surface water releases, or no Generic Factors available</v>
      </c>
      <c r="AB16" s="113" t="str">
        <f t="shared" si="6"/>
        <v>N/A</v>
      </c>
      <c r="AC16" s="136" t="str" cm="1">
        <f t="array" ref="AC16">IF(COUNTIF('Raw Annual DMR Data'!K:K,$E16)&gt;0,"N/A - See DMRs",IF(SUMIFS('Raw TRI Data'!$Z:$Z,'Raw TRI Data'!$J:$J,$E16)&gt;0,INDEX('Raw TRI Data'!$A:$A,MATCH(1,($E16='Raw TRI Data'!$J:$J)*($AA16='Raw TRI Data'!$Z:$Z),0)), "N/A - Facility Does Not Report to TRI, no surface water releases, or no Generic Factors available"))</f>
        <v>N/A - Facility Does Not Report to TRI, no surface water releases, or no Generic Factors available</v>
      </c>
      <c r="AD16" s="96" t="str" cm="1">
        <f t="array" ref="AD16">IF(COUNTIFS('Raw Annual DMR Data'!L:L,$F16,'Raw Annual DMR Data'!W:W, "&gt;0")&gt;0,MEDIAN(IF('Raw Annual DMR Data'!K:K=$F16, 'Raw Annual DMR Data'!W:W)), "N/A - No Daily Max DMR Discharge Data")</f>
        <v>N/A - No Daily Max DMR Discharge Data</v>
      </c>
      <c r="AE16" s="96" t="str">
        <f>IF(COUNTIFS('Raw Annual DMR Data'!L:L,$F16,'Raw Annual DMR Data'!W:W, "&gt;0")&gt;0,_xlfn.MAXIFS('Raw Annual DMR Data'!W:W,'Raw Annual DMR Data'!L:L,$F16), "N/A - No Daily Max DMR Discharge Data")</f>
        <v>N/A - No Daily Max DMR Discharge Data</v>
      </c>
      <c r="AF16" s="60" t="str" cm="1">
        <f t="array" ref="AF16">IF(COUNTIFS('Raw Annual DMR Data'!L:L,$F16,'Raw Annual DMR Data'!W:W, "&gt;0")&gt;0,INDEX('Raw Annual DMR Data'!B:B,MATCH(1,($F16='Raw Annual DMR Data'!L:L)*($AE16='Raw Annual DMR Data'!W:W),0)), "N/A - No Daily Max DMR Discharge Data")</f>
        <v>N/A - No Daily Max DMR Discharge Data</v>
      </c>
      <c r="AG16" s="422"/>
      <c r="AH16" s="422"/>
      <c r="AI16" s="423"/>
    </row>
    <row r="17" spans="1:35" ht="45.75" thickBot="1" x14ac:dyDescent="0.3">
      <c r="A17" s="144" t="str">
        <f>VLOOKUP(F17,'Facility Summary'!J:K,2,FALSE)</f>
        <v>Processing into formulation, mixture, or reaction product</v>
      </c>
      <c r="B17" s="97" t="s">
        <v>205</v>
      </c>
      <c r="C17" s="28" t="s">
        <v>344</v>
      </c>
      <c r="D17" s="28" t="s">
        <v>345</v>
      </c>
      <c r="E17" s="60" t="s">
        <v>346</v>
      </c>
      <c r="F17" s="74">
        <v>110043972207</v>
      </c>
      <c r="G17" s="74" t="s">
        <v>295</v>
      </c>
      <c r="H17" s="81" t="s">
        <v>295</v>
      </c>
      <c r="I17" s="74" t="s">
        <v>295</v>
      </c>
      <c r="J17" s="74" t="s">
        <v>265</v>
      </c>
      <c r="K17" s="60">
        <f>VLOOKUP(A17, 'OES Summary'!$A:$B, 2, FALSE)</f>
        <v>300</v>
      </c>
      <c r="L17" s="304" t="str" cm="1">
        <f t="array" ref="L17">IF(COUNTIF('Raw Annual DMR Data'!$L:$L,$F17)&gt;0,MEDIAN(IF('Raw Annual DMR Data'!$L:$L=F17,'Raw Annual DMR Data'!$S:$S)),"N/A - Facility Does Not Report DMRs")</f>
        <v>N/A - Facility Does Not Report DMRs</v>
      </c>
      <c r="M17" s="156" t="str">
        <f t="shared" si="4"/>
        <v>N/A - Facility Does Not Report DMRs</v>
      </c>
      <c r="N17" s="156" t="str">
        <f>IF(COUNTIF('Raw Annual DMR Data'!$L:$L,$F17)&gt;0,_xlfn.MAXIFS('Raw Annual DMR Data'!$S:$S,'Raw Annual DMR Data'!$L:$L,$F17), "N/A - Facility Does Not Report DMRs")</f>
        <v>N/A - Facility Does Not Report DMRs</v>
      </c>
      <c r="O17" s="156" t="str">
        <f t="shared" si="5"/>
        <v>N/A - Facility Does Not Report DMRs</v>
      </c>
      <c r="P17" s="113" t="str" cm="1">
        <f t="array" ref="P17">IF(COUNTIF('Raw Annual DMR Data'!$L:$L,$F17)&gt;0,INDEX('Raw Annual DMR Data'!$B:$B,MATCH(1,($F17='Raw Annual DMR Data'!$L:$L)*($N17='Raw Annual DMR Data'!$S:$S),0)), "N/A - Facility Does Not Report DMRs")</f>
        <v>N/A - Facility Does Not Report DMRs</v>
      </c>
      <c r="Q17" s="304" cm="1">
        <f t="array" ref="Q17">IF(COUNTIF('Raw TRI Data'!$J:$J,$E17)&gt;0,MEDIAN(IF('Raw TRI Data'!$J:$J=E17,'Raw TRI Data'!$S:$S)), "N/A - Facility Does Not Report to TRI")</f>
        <v>0</v>
      </c>
      <c r="R17" s="156">
        <f t="shared" si="2"/>
        <v>0</v>
      </c>
      <c r="S17" s="156">
        <f>IF(COUNTIF('Raw TRI Data'!$J:$J,$E17)&gt;0,_xlfn.MAXIFS('Raw TRI Data'!$S:$S,'Raw TRI Data'!$J:$J,$E17), "N/A - Facility Does Not Report to TRI")</f>
        <v>0</v>
      </c>
      <c r="T17" s="156">
        <f t="shared" si="3"/>
        <v>0</v>
      </c>
      <c r="U17" s="136" cm="1">
        <f t="array" ref="U17">IF(COUNTIF('Raw TRI Data'!$J:$J,$E17)&gt;0,INDEX('Raw TRI Data'!$A:$A,MATCH(1,($E17='Raw TRI Data'!$J:$J)*(S17='Raw TRI Data'!$S:$S),0)), "N/A - Facility Does Not Report to TRI")</f>
        <v>2015</v>
      </c>
      <c r="V17" s="156" t="str" cm="1">
        <f t="array" ref="V17">IF(COUNTIFS('Raw Annual DMR Data'!$L:$L,$F17,'Raw Annual DMR Data'!$U:$U,"&gt;0")&gt;0,MEDIAN(IF('Raw Annual DMR Data'!$L:$L=$F17,'Raw Annual DMR Data'!$U:$U,"")),"N/A - Period DMR Data Not Available")</f>
        <v>N/A - Period DMR Data Not Available</v>
      </c>
      <c r="W17" s="156" t="str">
        <f>IF(COUNTIFS('Raw Annual DMR Data'!$L:$L,$F17, 'Raw Annual DMR Data'!$U:$U, "&gt;0")&gt;0,_xlfn.MAXIFS('Raw Annual DMR Data'!$U:$U,'Raw Annual DMR Data'!$L:$L,$F17), "N/A - Period DMR Data Not Available")</f>
        <v>N/A - Period DMR Data Not Available</v>
      </c>
      <c r="X17" s="113" t="str" cm="1">
        <f t="array" ref="X17">+IF(COUNTIFS('Raw Annual DMR Data'!L:L,$F17, 'Raw Annual DMR Data'!U:U, "&gt;0")&gt;0,INDEX('Raw Annual DMR Data'!V:V,MATCH(1,($F17='Raw Annual DMR Data'!L:L)*($W17='Raw Annual DMR Data'!U:U),0)), "N/A - Period DMR Data Not Available")</f>
        <v>N/A - Period DMR Data Not Available</v>
      </c>
      <c r="Y17" s="113" t="str" cm="1">
        <f t="array" ref="Y17">IF(COUNTIFS('Raw Annual DMR Data'!L:L,$F17, 'Raw Annual DMR Data'!U:U, "&gt;0")&gt;0,INDEX('Raw Annual DMR Data'!B:B,MATCH(1,($F17='Raw Annual DMR Data'!L:L)*($W17='Raw Annual DMR Data'!U:U),0)), "N/A - Period DMR Data Not Available")</f>
        <v>N/A - Period DMR Data Not Available</v>
      </c>
      <c r="Z17" s="311" t="e" cm="1">
        <f t="array" ref="Z17">IF(COUNTIF('Raw Annual DMR Data'!K:K,$E17)&gt;0,"N/A - See DMRs",IF(SUMIFS('Raw TRI Data'!$Z:$Z,'Raw TRI Data'!$J:$J,$E17)&gt;0,MEDIAN(IF('Raw TRI Data'!$J:$J=$E17,'Raw TRI Data'!$Z:$Z)), "N/A - Facility Does Not Report to TRI, no surface water releases, or no Generic Factors available"))</f>
        <v>#N/A</v>
      </c>
      <c r="AA17" s="156" t="e">
        <f>IF(COUNTIF('Raw Annual DMR Data'!K:K,$E17)&gt;0,"N/A - See DMRs",IF(SUMIFS('Raw TRI Data'!$Z:$Z,'Raw TRI Data'!$J:$J,$E17)&gt;0,_xlfn.MAXIFS('Raw TRI Data'!$Z:$Z,'Raw TRI Data'!$J:$J,$E17), "N/A - Facility Does Not Report to TRI, no surface water releases, or no Generic Factors available"))</f>
        <v>#N/A</v>
      </c>
      <c r="AB17" s="113" t="str">
        <f t="shared" si="6"/>
        <v>N/A</v>
      </c>
      <c r="AC17" s="136" t="e" cm="1">
        <f t="array" ref="AC17">IF(COUNTIF('Raw Annual DMR Data'!K:K,$E17)&gt;0,"N/A - See DMRs",IF(SUMIFS('Raw TRI Data'!$Z:$Z,'Raw TRI Data'!$J:$J,$E17)&gt;0,INDEX('Raw TRI Data'!$A:$A,MATCH(1,($E17='Raw TRI Data'!$J:$J)*($AA17='Raw TRI Data'!$Z:$Z),0)), "N/A - Facility Does Not Report to TRI, no surface water releases, or no Generic Factors available"))</f>
        <v>#N/A</v>
      </c>
      <c r="AD17" s="96" t="str" cm="1">
        <f t="array" ref="AD17">IF(COUNTIFS('Raw Annual DMR Data'!L:L,$F17,'Raw Annual DMR Data'!W:W, "&gt;0")&gt;0,MEDIAN(IF('Raw Annual DMR Data'!K:K=$F17, 'Raw Annual DMR Data'!W:W)), "N/A - No Daily Max DMR Discharge Data")</f>
        <v>N/A - No Daily Max DMR Discharge Data</v>
      </c>
      <c r="AE17" s="96" t="str">
        <f>IF(COUNTIFS('Raw Annual DMR Data'!L:L,$F17,'Raw Annual DMR Data'!W:W, "&gt;0")&gt;0,_xlfn.MAXIFS('Raw Annual DMR Data'!W:W,'Raw Annual DMR Data'!L:L,$F17), "N/A - No Daily Max DMR Discharge Data")</f>
        <v>N/A - No Daily Max DMR Discharge Data</v>
      </c>
      <c r="AF17" s="60" t="str" cm="1">
        <f t="array" ref="AF17">IF(COUNTIFS('Raw Annual DMR Data'!L:L,$F17,'Raw Annual DMR Data'!W:W, "&gt;0")&gt;0,INDEX('Raw Annual DMR Data'!B:B,MATCH(1,($F17='Raw Annual DMR Data'!L:L)*($AE17='Raw Annual DMR Data'!W:W),0)), "N/A - No Daily Max DMR Discharge Data")</f>
        <v>N/A - No Daily Max DMR Discharge Data</v>
      </c>
      <c r="AG17" s="422"/>
      <c r="AH17" s="422"/>
      <c r="AI17" s="423"/>
    </row>
    <row r="18" spans="1:35" ht="45.75" thickBot="1" x14ac:dyDescent="0.3">
      <c r="A18" s="144" t="str">
        <f>VLOOKUP(F18,'Facility Summary'!J:K,2,FALSE)</f>
        <v>Processing into formulation, mixture, or reaction product</v>
      </c>
      <c r="B18" s="97" t="s">
        <v>206</v>
      </c>
      <c r="C18" s="28" t="s">
        <v>348</v>
      </c>
      <c r="D18" s="28" t="s">
        <v>349</v>
      </c>
      <c r="E18" s="60" t="s">
        <v>350</v>
      </c>
      <c r="F18" s="74">
        <v>110056953765</v>
      </c>
      <c r="G18" s="74" t="s">
        <v>295</v>
      </c>
      <c r="H18" s="81" t="s">
        <v>295</v>
      </c>
      <c r="I18" s="74" t="s">
        <v>295</v>
      </c>
      <c r="J18" s="74" t="s">
        <v>265</v>
      </c>
      <c r="K18" s="60">
        <f>VLOOKUP(A18, 'OES Summary'!$A:$B, 2, FALSE)</f>
        <v>300</v>
      </c>
      <c r="L18" s="304" t="str" cm="1">
        <f t="array" ref="L18">IF(COUNTIF('Raw Annual DMR Data'!$L:$L,$F18)&gt;0,MEDIAN(IF('Raw Annual DMR Data'!$L:$L=F18,'Raw Annual DMR Data'!$S:$S)),"N/A - Facility Does Not Report DMRs")</f>
        <v>N/A - Facility Does Not Report DMRs</v>
      </c>
      <c r="M18" s="156" t="str">
        <f t="shared" si="4"/>
        <v>N/A - Facility Does Not Report DMRs</v>
      </c>
      <c r="N18" s="156" t="str">
        <f>IF(COUNTIF('Raw Annual DMR Data'!$L:$L,$F18)&gt;0,_xlfn.MAXIFS('Raw Annual DMR Data'!$S:$S,'Raw Annual DMR Data'!$L:$L,$F18), "N/A - Facility Does Not Report DMRs")</f>
        <v>N/A - Facility Does Not Report DMRs</v>
      </c>
      <c r="O18" s="156" t="str">
        <f t="shared" si="5"/>
        <v>N/A - Facility Does Not Report DMRs</v>
      </c>
      <c r="P18" s="113" t="str" cm="1">
        <f t="array" ref="P18">IF(COUNTIF('Raw Annual DMR Data'!$L:$L,$F18)&gt;0,INDEX('Raw Annual DMR Data'!$B:$B,MATCH(1,($F18='Raw Annual DMR Data'!$L:$L)*($N18='Raw Annual DMR Data'!$S:$S),0)), "N/A - Facility Does Not Report DMRs")</f>
        <v>N/A - Facility Does Not Report DMRs</v>
      </c>
      <c r="Q18" s="304" cm="1">
        <f t="array" ref="Q18">IF(COUNTIF('Raw TRI Data'!$J:$J,$E18)&gt;0,MEDIAN(IF('Raw TRI Data'!$J:$J=E18,'Raw TRI Data'!$S:$S)), "N/A - Facility Does Not Report to TRI")</f>
        <v>2.2679618500000003</v>
      </c>
      <c r="R18" s="156">
        <f t="shared" si="2"/>
        <v>7.5598728333333342E-3</v>
      </c>
      <c r="S18" s="156">
        <f>IF(COUNTIF('Raw TRI Data'!$J:$J,$E18)&gt;0,_xlfn.MAXIFS('Raw TRI Data'!$S:$S,'Raw TRI Data'!$J:$J,$E18), "N/A - Facility Does Not Report to TRI")</f>
        <v>2.2679618500000003</v>
      </c>
      <c r="T18" s="156">
        <f t="shared" si="3"/>
        <v>7.5598728333333342E-3</v>
      </c>
      <c r="U18" s="136" cm="1">
        <f t="array" ref="U18">IF(COUNTIF('Raw TRI Data'!$J:$J,$E18)&gt;0,INDEX('Raw TRI Data'!$A:$A,MATCH(1,($E18='Raw TRI Data'!$J:$J)*(S18='Raw TRI Data'!$S:$S),0)), "N/A - Facility Does Not Report to TRI")</f>
        <v>2015</v>
      </c>
      <c r="V18" s="156" t="str" cm="1">
        <f t="array" ref="V18">IF(COUNTIFS('Raw Annual DMR Data'!$L:$L,$F18,'Raw Annual DMR Data'!$U:$U,"&gt;0")&gt;0,MEDIAN(IF('Raw Annual DMR Data'!$L:$L=$F18,'Raw Annual DMR Data'!$U:$U,"")),"N/A - Period DMR Data Not Available")</f>
        <v>N/A - Period DMR Data Not Available</v>
      </c>
      <c r="W18" s="156" t="str">
        <f>IF(COUNTIFS('Raw Annual DMR Data'!$L:$L,$F18, 'Raw Annual DMR Data'!$U:$U, "&gt;0")&gt;0,_xlfn.MAXIFS('Raw Annual DMR Data'!$U:$U,'Raw Annual DMR Data'!$L:$L,$F18), "N/A - Period DMR Data Not Available")</f>
        <v>N/A - Period DMR Data Not Available</v>
      </c>
      <c r="X18" s="113" t="str" cm="1">
        <f t="array" ref="X18">+IF(COUNTIFS('Raw Annual DMR Data'!L:L,$F18, 'Raw Annual DMR Data'!U:U, "&gt;0")&gt;0,INDEX('Raw Annual DMR Data'!V:V,MATCH(1,($F18='Raw Annual DMR Data'!L:L)*($W18='Raw Annual DMR Data'!U:U),0)), "N/A - Period DMR Data Not Available")</f>
        <v>N/A - Period DMR Data Not Available</v>
      </c>
      <c r="Y18" s="113" t="str" cm="1">
        <f t="array" ref="Y18">IF(COUNTIFS('Raw Annual DMR Data'!L:L,$F18, 'Raw Annual DMR Data'!U:U, "&gt;0")&gt;0,INDEX('Raw Annual DMR Data'!B:B,MATCH(1,($F18='Raw Annual DMR Data'!L:L)*($W18='Raw Annual DMR Data'!U:U),0)), "N/A - Period DMR Data Not Available")</f>
        <v>N/A - Period DMR Data Not Available</v>
      </c>
      <c r="Z18" s="311" t="e" cm="1">
        <f t="array" ref="Z18">IF(COUNTIF('Raw Annual DMR Data'!K:K,$E18)&gt;0,"N/A - See DMRs",IF(SUMIFS('Raw TRI Data'!$Z:$Z,'Raw TRI Data'!$J:$J,$E18)&gt;0,MEDIAN(IF('Raw TRI Data'!$J:$J=$E18,'Raw TRI Data'!$Z:$Z)), "N/A - Facility Does Not Report to TRI, no surface water releases, or no Generic Factors available"))</f>
        <v>#N/A</v>
      </c>
      <c r="AA18" s="156" t="e">
        <f>IF(COUNTIF('Raw Annual DMR Data'!K:K,$E18)&gt;0,"N/A - See DMRs",IF(SUMIFS('Raw TRI Data'!$Z:$Z,'Raw TRI Data'!$J:$J,$E18)&gt;0,_xlfn.MAXIFS('Raw TRI Data'!$Z:$Z,'Raw TRI Data'!$J:$J,$E18), "N/A - Facility Does Not Report to TRI, no surface water releases, or no Generic Factors available"))</f>
        <v>#N/A</v>
      </c>
      <c r="AB18" s="113" t="str">
        <f t="shared" si="6"/>
        <v>N/A</v>
      </c>
      <c r="AC18" s="136" t="e" cm="1">
        <f t="array" ref="AC18">IF(COUNTIF('Raw Annual DMR Data'!K:K,$E18)&gt;0,"N/A - See DMRs",IF(SUMIFS('Raw TRI Data'!$Z:$Z,'Raw TRI Data'!$J:$J,$E18)&gt;0,INDEX('Raw TRI Data'!$A:$A,MATCH(1,($E18='Raw TRI Data'!$J:$J)*($AA18='Raw TRI Data'!$Z:$Z),0)), "N/A - Facility Does Not Report to TRI, no surface water releases, or no Generic Factors available"))</f>
        <v>#N/A</v>
      </c>
      <c r="AD18" s="96" t="str" cm="1">
        <f t="array" ref="AD18">IF(COUNTIFS('Raw Annual DMR Data'!L:L,$F18,'Raw Annual DMR Data'!W:W, "&gt;0")&gt;0,MEDIAN(IF('Raw Annual DMR Data'!K:K=$F18, 'Raw Annual DMR Data'!W:W)), "N/A - No Daily Max DMR Discharge Data")</f>
        <v>N/A - No Daily Max DMR Discharge Data</v>
      </c>
      <c r="AE18" s="96" t="str">
        <f>IF(COUNTIFS('Raw Annual DMR Data'!L:L,$F18,'Raw Annual DMR Data'!W:W, "&gt;0")&gt;0,_xlfn.MAXIFS('Raw Annual DMR Data'!W:W,'Raw Annual DMR Data'!L:L,$F18), "N/A - No Daily Max DMR Discharge Data")</f>
        <v>N/A - No Daily Max DMR Discharge Data</v>
      </c>
      <c r="AF18" s="60" t="str" cm="1">
        <f t="array" ref="AF18">IF(COUNTIFS('Raw Annual DMR Data'!L:L,$F18,'Raw Annual DMR Data'!W:W, "&gt;0")&gt;0,INDEX('Raw Annual DMR Data'!B:B,MATCH(1,($F18='Raw Annual DMR Data'!L:L)*($AE18='Raw Annual DMR Data'!W:W),0)), "N/A - No Daily Max DMR Discharge Data")</f>
        <v>N/A - No Daily Max DMR Discharge Data</v>
      </c>
      <c r="AG18" s="422"/>
      <c r="AH18" s="422"/>
      <c r="AI18" s="423"/>
    </row>
    <row r="19" spans="1:35" ht="45.75" thickBot="1" x14ac:dyDescent="0.3">
      <c r="A19" s="144" t="str">
        <f>VLOOKUP(F19,'Facility Summary'!J:K,2,FALSE)</f>
        <v>Processing into formulation, mixture, or reaction product</v>
      </c>
      <c r="B19" s="97" t="s">
        <v>110</v>
      </c>
      <c r="C19" s="28" t="s">
        <v>352</v>
      </c>
      <c r="D19" s="60" t="s">
        <v>349</v>
      </c>
      <c r="E19" s="60" t="s">
        <v>353</v>
      </c>
      <c r="F19" s="74">
        <v>110000443226</v>
      </c>
      <c r="G19" s="74" t="s">
        <v>786</v>
      </c>
      <c r="H19" s="63" t="s">
        <v>787</v>
      </c>
      <c r="I19" s="74">
        <v>10300101003208</v>
      </c>
      <c r="J19" s="74" t="s">
        <v>265</v>
      </c>
      <c r="K19" s="60">
        <f>VLOOKUP(A19, 'OES Summary'!$A:$B, 2, FALSE)</f>
        <v>300</v>
      </c>
      <c r="L19" s="304" cm="1">
        <f t="array" ref="L19">IF(COUNTIF('Raw Annual DMR Data'!$L:$L,$F19)&gt;0,MEDIAN(IF('Raw Annual DMR Data'!$L:$L=F19,'Raw Annual DMR Data'!$S:$S)),"N/A - Facility Does Not Report DMRs")</f>
        <v>6.6257431972789105</v>
      </c>
      <c r="M19" s="156">
        <f t="shared" si="4"/>
        <v>2.2085810657596367E-2</v>
      </c>
      <c r="N19" s="156">
        <f>IF(COUNTIF('Raw Annual DMR Data'!$L:$L,$F19)&gt;0,_xlfn.MAXIFS('Raw Annual DMR Data'!$S:$S,'Raw Annual DMR Data'!$L:$L,$F19), "N/A - Facility Does Not Report DMRs")</f>
        <v>19.885200000000001</v>
      </c>
      <c r="O19" s="156">
        <f t="shared" si="5"/>
        <v>6.628400000000001E-2</v>
      </c>
      <c r="P19" s="113" cm="1">
        <f t="array" ref="P19">IF(COUNTIF('Raw Annual DMR Data'!$L:$L,$F19)&gt;0,INDEX('Raw Annual DMR Data'!$B:$B,MATCH(1,($F19='Raw Annual DMR Data'!$L:$L)*($N19='Raw Annual DMR Data'!$S:$S),0)), "N/A - Facility Does Not Report DMRs")</f>
        <v>2023</v>
      </c>
      <c r="Q19" s="304" t="str" cm="1">
        <f t="array" ref="Q19">IF(COUNTIF('Raw TRI Data'!$J:$J,$E19)&gt;0,MEDIAN(IF('Raw TRI Data'!$J:$J=E19,'Raw TRI Data'!$S:$S)), "N/A - Facility Does Not Report to TRI")</f>
        <v>N/A - Facility Does Not Report to TRI</v>
      </c>
      <c r="R19" s="156" t="str">
        <f t="shared" si="2"/>
        <v>N/A - Facility Does Not Report to TRI</v>
      </c>
      <c r="S19" s="156" t="str">
        <f>IF(COUNTIF('Raw TRI Data'!$J:$J,$E19)&gt;0,_xlfn.MAXIFS('Raw TRI Data'!$S:$S,'Raw TRI Data'!$J:$J,$E19), "N/A - Facility Does Not Report to TRI")</f>
        <v>N/A - Facility Does Not Report to TRI</v>
      </c>
      <c r="T19" s="156" t="str">
        <f t="shared" si="3"/>
        <v>N/A - Facility Does Not Report to TRI</v>
      </c>
      <c r="U19" s="136" t="str" cm="1">
        <f t="array" ref="U19">IF(COUNTIF('Raw TRI Data'!$J:$J,$E19)&gt;0,INDEX('Raw TRI Data'!$A:$A,MATCH(1,($E19='Raw TRI Data'!$J:$J)*(S19='Raw TRI Data'!$S:$S),0)), "N/A - Facility Does Not Report to TRI")</f>
        <v>N/A - Facility Does Not Report to TRI</v>
      </c>
      <c r="V19" s="156" t="str" cm="1">
        <f t="array" ref="V19">IF(COUNTIFS('Raw Annual DMR Data'!$L:$L,$F19,'Raw Annual DMR Data'!$U:$U,"&gt;0")&gt;0,MEDIAN(IF('Raw Annual DMR Data'!$L:$L=$F19,'Raw Annual DMR Data'!$U:$U,"")),"N/A - Period DMR Data Not Available")</f>
        <v>N/A - Period DMR Data Not Available</v>
      </c>
      <c r="W19" s="156" t="str">
        <f>IF(COUNTIFS('Raw Annual DMR Data'!$L:$L,$F19, 'Raw Annual DMR Data'!$U:$U, "&gt;0")&gt;0,_xlfn.MAXIFS('Raw Annual DMR Data'!$U:$U,'Raw Annual DMR Data'!$L:$L,$F19), "N/A - Period DMR Data Not Available")</f>
        <v>N/A - Period DMR Data Not Available</v>
      </c>
      <c r="X19" s="113" t="str" cm="1">
        <f t="array" ref="X19">+IF(COUNTIFS('Raw Annual DMR Data'!L:L,$F19, 'Raw Annual DMR Data'!U:U, "&gt;0")&gt;0,INDEX('Raw Annual DMR Data'!V:V,MATCH(1,($F19='Raw Annual DMR Data'!L:L)*($W19='Raw Annual DMR Data'!U:U),0)), "N/A - Period DMR Data Not Available")</f>
        <v>N/A - Period DMR Data Not Available</v>
      </c>
      <c r="Y19" s="113" t="str" cm="1">
        <f t="array" ref="Y19">IF(COUNTIFS('Raw Annual DMR Data'!L:L,$F19, 'Raw Annual DMR Data'!U:U, "&gt;0")&gt;0,INDEX('Raw Annual DMR Data'!B:B,MATCH(1,($F19='Raw Annual DMR Data'!L:L)*($W19='Raw Annual DMR Data'!U:U),0)), "N/A - Period DMR Data Not Available")</f>
        <v>N/A - Period DMR Data Not Available</v>
      </c>
      <c r="Z19" s="311" t="str" cm="1">
        <f t="array" ref="Z19">IF(COUNTIF('Raw Annual DMR Data'!K:K,$E19)&gt;0,"N/A - See DMRs",IF(SUMIFS('Raw TRI Data'!$Z:$Z,'Raw TRI Data'!$J:$J,$E19)&gt;0,MEDIAN(IF('Raw TRI Data'!$J:$J=$E19,'Raw TRI Data'!$Z:$Z)), "N/A - Facility Does Not Report to TRI, no surface water releases, or no Generic Factors available"))</f>
        <v>N/A - See DMRs</v>
      </c>
      <c r="AA19" s="156" t="str">
        <f>IF(COUNTIF('Raw Annual DMR Data'!K:K,$E19)&gt;0,"N/A - See DMRs",IF(SUMIFS('Raw TRI Data'!$Z:$Z,'Raw TRI Data'!$J:$J,$E19)&gt;0,_xlfn.MAXIFS('Raw TRI Data'!$Z:$Z,'Raw TRI Data'!$J:$J,$E19), "N/A - Facility Does Not Report to TRI, no surface water releases, or no Generic Factors available"))</f>
        <v>N/A - See DMRs</v>
      </c>
      <c r="AB19" s="113" t="str">
        <f t="shared" si="6"/>
        <v>N/A</v>
      </c>
      <c r="AC19" s="136" t="str" cm="1">
        <f t="array" ref="AC19">IF(COUNTIF('Raw Annual DMR Data'!K:K,$E19)&gt;0,"N/A - See DMRs",IF(SUMIFS('Raw TRI Data'!$Z:$Z,'Raw TRI Data'!$J:$J,$E19)&gt;0,INDEX('Raw TRI Data'!$A:$A,MATCH(1,($E19='Raw TRI Data'!$J:$J)*($AA19='Raw TRI Data'!$Z:$Z),0)), "N/A - Facility Does Not Report to TRI, no surface water releases, or no Generic Factors available"))</f>
        <v>N/A - See DMRs</v>
      </c>
      <c r="AD19" s="96" t="str" cm="1">
        <f t="array" ref="AD19">IF(COUNTIFS('Raw Annual DMR Data'!L:L,$F19,'Raw Annual DMR Data'!W:W, "&gt;0")&gt;0,MEDIAN(IF('Raw Annual DMR Data'!K:K=$F19, 'Raw Annual DMR Data'!W:W)), "N/A - No Daily Max DMR Discharge Data")</f>
        <v>N/A - No Daily Max DMR Discharge Data</v>
      </c>
      <c r="AE19" s="96" t="str">
        <f>IF(COUNTIFS('Raw Annual DMR Data'!L:L,$F19,'Raw Annual DMR Data'!W:W, "&gt;0")&gt;0,_xlfn.MAXIFS('Raw Annual DMR Data'!W:W,'Raw Annual DMR Data'!L:L,$F19), "N/A - No Daily Max DMR Discharge Data")</f>
        <v>N/A - No Daily Max DMR Discharge Data</v>
      </c>
      <c r="AF19" s="60" t="str" cm="1">
        <f t="array" ref="AF19">IF(COUNTIFS('Raw Annual DMR Data'!L:L,$F19,'Raw Annual DMR Data'!W:W, "&gt;0")&gt;0,INDEX('Raw Annual DMR Data'!B:B,MATCH(1,($F19='Raw Annual DMR Data'!L:L)*($AE19='Raw Annual DMR Data'!W:W),0)), "N/A - No Daily Max DMR Discharge Data")</f>
        <v>N/A - No Daily Max DMR Discharge Data</v>
      </c>
      <c r="AG19" s="422"/>
      <c r="AH19" s="422"/>
      <c r="AI19" s="423"/>
    </row>
    <row r="20" spans="1:35" ht="45.75" thickBot="1" x14ac:dyDescent="0.3">
      <c r="A20" s="144" t="str">
        <f>VLOOKUP(F20,'Facility Summary'!J:K,2,FALSE)</f>
        <v>POTW</v>
      </c>
      <c r="B20" s="97" t="s">
        <v>111</v>
      </c>
      <c r="C20" s="28" t="s">
        <v>356</v>
      </c>
      <c r="D20" s="60" t="s">
        <v>338</v>
      </c>
      <c r="E20" s="60"/>
      <c r="F20" s="74">
        <v>110029593731</v>
      </c>
      <c r="G20" s="74" t="s">
        <v>788</v>
      </c>
      <c r="H20" s="63" t="s">
        <v>789</v>
      </c>
      <c r="I20" s="74">
        <v>2040202001996</v>
      </c>
      <c r="J20" s="74" t="s">
        <v>265</v>
      </c>
      <c r="K20" s="60">
        <f>VLOOKUP(A20, 'OES Summary'!$A:$B, 2, FALSE)</f>
        <v>365</v>
      </c>
      <c r="L20" s="304" cm="1">
        <f t="array" ref="L20">IF(COUNTIF('Raw Annual DMR Data'!$L:$L,$F20)&gt;0,MEDIAN(IF('Raw Annual DMR Data'!$L:$L=F20,'Raw Annual DMR Data'!$S:$S)),"N/A - Facility Does Not Report DMRs")</f>
        <v>0.14601318799999999</v>
      </c>
      <c r="M20" s="156">
        <f t="shared" si="4"/>
        <v>4.0003613150684929E-4</v>
      </c>
      <c r="N20" s="156">
        <f>IF(COUNTIF('Raw Annual DMR Data'!$L:$L,$F20)&gt;0,_xlfn.MAXIFS('Raw Annual DMR Data'!$S:$S,'Raw Annual DMR Data'!$L:$L,$F20), "N/A - Facility Does Not Report DMRs")</f>
        <v>0.350956555</v>
      </c>
      <c r="O20" s="156">
        <f t="shared" si="5"/>
        <v>9.6152480821917806E-4</v>
      </c>
      <c r="P20" s="113" cm="1">
        <f t="array" ref="P20">IF(COUNTIF('Raw Annual DMR Data'!$L:$L,$F20)&gt;0,INDEX('Raw Annual DMR Data'!$B:$B,MATCH(1,($F20='Raw Annual DMR Data'!$L:$L)*($N20='Raw Annual DMR Data'!$S:$S),0)), "N/A - Facility Does Not Report DMRs")</f>
        <v>2023</v>
      </c>
      <c r="Q20" s="304" t="str" cm="1">
        <f t="array" ref="Q20">IF(COUNTIF('Raw TRI Data'!$J:$J,$E20)&gt;0,MEDIAN(IF('Raw TRI Data'!$J:$J=E20,'Raw TRI Data'!$S:$S)), "N/A - Facility Does Not Report to TRI")</f>
        <v>N/A - Facility Does Not Report to TRI</v>
      </c>
      <c r="R20" s="156" t="str">
        <f t="shared" si="2"/>
        <v>N/A - Facility Does Not Report to TRI</v>
      </c>
      <c r="S20" s="156" t="str">
        <f>IF(COUNTIF('Raw TRI Data'!$J:$J,$E20)&gt;0,_xlfn.MAXIFS('Raw TRI Data'!$S:$S,'Raw TRI Data'!$J:$J,$E20), "N/A - Facility Does Not Report to TRI")</f>
        <v>N/A - Facility Does Not Report to TRI</v>
      </c>
      <c r="T20" s="156" t="str">
        <f t="shared" si="3"/>
        <v>N/A - Facility Does Not Report to TRI</v>
      </c>
      <c r="U20" s="136" t="str" cm="1">
        <f t="array" ref="U20">IF(COUNTIF('Raw TRI Data'!$J:$J,$E20)&gt;0,INDEX('Raw TRI Data'!$A:$A,MATCH(1,($E20='Raw TRI Data'!$J:$J)*(S20='Raw TRI Data'!$S:$S),0)), "N/A - Facility Does Not Report to TRI")</f>
        <v>N/A - Facility Does Not Report to TRI</v>
      </c>
      <c r="V20" s="156" t="str" cm="1">
        <f t="array" ref="V20">IF(COUNTIFS('Raw Annual DMR Data'!$L:$L,$F20,'Raw Annual DMR Data'!$U:$U,"&gt;0")&gt;0,MEDIAN(IF('Raw Annual DMR Data'!$L:$L=$F20,'Raw Annual DMR Data'!$U:$U,"")),"N/A - Period DMR Data Not Available")</f>
        <v>N/A - Period DMR Data Not Available</v>
      </c>
      <c r="W20" s="156" t="str">
        <f>IF(COUNTIFS('Raw Annual DMR Data'!$L:$L,$F20, 'Raw Annual DMR Data'!$U:$U, "&gt;0")&gt;0,_xlfn.MAXIFS('Raw Annual DMR Data'!$U:$U,'Raw Annual DMR Data'!$L:$L,$F20), "N/A - Period DMR Data Not Available")</f>
        <v>N/A - Period DMR Data Not Available</v>
      </c>
      <c r="X20" s="113" t="str" cm="1">
        <f t="array" ref="X20">+IF(COUNTIFS('Raw Annual DMR Data'!L:L,$F20, 'Raw Annual DMR Data'!U:U, "&gt;0")&gt;0,INDEX('Raw Annual DMR Data'!V:V,MATCH(1,($F20='Raw Annual DMR Data'!L:L)*($W20='Raw Annual DMR Data'!U:U),0)), "N/A - Period DMR Data Not Available")</f>
        <v>N/A - Period DMR Data Not Available</v>
      </c>
      <c r="Y20" s="113" t="str" cm="1">
        <f t="array" ref="Y20">IF(COUNTIFS('Raw Annual DMR Data'!L:L,$F20, 'Raw Annual DMR Data'!U:U, "&gt;0")&gt;0,INDEX('Raw Annual DMR Data'!B:B,MATCH(1,($F20='Raw Annual DMR Data'!L:L)*($W20='Raw Annual DMR Data'!U:U),0)), "N/A - Period DMR Data Not Available")</f>
        <v>N/A - Period DMR Data Not Available</v>
      </c>
      <c r="Z20" s="311" t="str" cm="1">
        <f t="array" ref="Z20">IF(COUNTIF('Raw Annual DMR Data'!K:K,$E20)&gt;0,"N/A - See DMRs",IF(SUMIFS('Raw TRI Data'!$Z:$Z,'Raw TRI Data'!$J:$J,$E20)&gt;0,MEDIAN(IF('Raw TRI Data'!$J:$J=$E20,'Raw TRI Data'!$Z:$Z)), "N/A - Facility Does Not Report to TRI, no surface water releases, or no Generic Factors available"))</f>
        <v>N/A - Facility Does Not Report to TRI, no surface water releases, or no Generic Factors available</v>
      </c>
      <c r="AA20" s="156" t="str">
        <f>IF(COUNTIF('Raw Annual DMR Data'!K:K,$E20)&gt;0,"N/A - See DMRs",IF(SUMIFS('Raw TRI Data'!$Z:$Z,'Raw TRI Data'!$J:$J,$E20)&gt;0,_xlfn.MAXIFS('Raw TRI Data'!$Z:$Z,'Raw TRI Data'!$J:$J,$E20), "N/A - Facility Does Not Report to TRI, no surface water releases, or no Generic Factors available"))</f>
        <v>N/A - Facility Does Not Report to TRI, no surface water releases, or no Generic Factors available</v>
      </c>
      <c r="AB20" s="113" t="str">
        <f t="shared" si="6"/>
        <v>N/A</v>
      </c>
      <c r="AC20" s="136" t="str" cm="1">
        <f t="array" ref="AC20">IF(COUNTIF('Raw Annual DMR Data'!K:K,$E20)&gt;0,"N/A - See DMRs",IF(SUMIFS('Raw TRI Data'!$Z:$Z,'Raw TRI Data'!$J:$J,$E20)&gt;0,INDEX('Raw TRI Data'!$A:$A,MATCH(1,($E20='Raw TRI Data'!$J:$J)*($AA20='Raw TRI Data'!$Z:$Z),0)), "N/A - Facility Does Not Report to TRI, no surface water releases, or no Generic Factors available"))</f>
        <v>N/A - Facility Does Not Report to TRI, no surface water releases, or no Generic Factors available</v>
      </c>
      <c r="AD20" s="96" t="str" cm="1">
        <f t="array" ref="AD20">IF(COUNTIFS('Raw Annual DMR Data'!L:L,$F20,'Raw Annual DMR Data'!W:W, "&gt;0")&gt;0,MEDIAN(IF('Raw Annual DMR Data'!K:K=$F20, 'Raw Annual DMR Data'!W:W)), "N/A - No Daily Max DMR Discharge Data")</f>
        <v>N/A - No Daily Max DMR Discharge Data</v>
      </c>
      <c r="AE20" s="96" t="str">
        <f>IF(COUNTIFS('Raw Annual DMR Data'!L:L,$F20,'Raw Annual DMR Data'!W:W, "&gt;0")&gt;0,_xlfn.MAXIFS('Raw Annual DMR Data'!W:W,'Raw Annual DMR Data'!L:L,$F20), "N/A - No Daily Max DMR Discharge Data")</f>
        <v>N/A - No Daily Max DMR Discharge Data</v>
      </c>
      <c r="AF20" s="60" t="str" cm="1">
        <f t="array" ref="AF20">IF(COUNTIFS('Raw Annual DMR Data'!L:L,$F20,'Raw Annual DMR Data'!W:W, "&gt;0")&gt;0,INDEX('Raw Annual DMR Data'!B:B,MATCH(1,($F20='Raw Annual DMR Data'!L:L)*($AE20='Raw Annual DMR Data'!W:W),0)), "N/A - No Daily Max DMR Discharge Data")</f>
        <v>N/A - No Daily Max DMR Discharge Data</v>
      </c>
      <c r="AG20" s="422"/>
      <c r="AH20" s="422"/>
      <c r="AI20" s="423"/>
    </row>
    <row r="21" spans="1:35" ht="45.75" thickBot="1" x14ac:dyDescent="0.3">
      <c r="A21" s="144" t="str">
        <f>VLOOKUP(F21,'Facility Summary'!J:K,2,FALSE)</f>
        <v>Remediation</v>
      </c>
      <c r="B21" s="97" t="s">
        <v>112</v>
      </c>
      <c r="C21" s="28" t="s">
        <v>358</v>
      </c>
      <c r="D21" s="60" t="s">
        <v>275</v>
      </c>
      <c r="E21" s="60"/>
      <c r="F21" s="74">
        <v>110042072351</v>
      </c>
      <c r="G21" s="74" t="s">
        <v>790</v>
      </c>
      <c r="H21" s="63" t="s">
        <v>791</v>
      </c>
      <c r="I21" s="74">
        <v>17050114000332</v>
      </c>
      <c r="J21" s="74" t="s">
        <v>265</v>
      </c>
      <c r="K21" s="60">
        <f>VLOOKUP(A21, 'OES Summary'!$A:$B, 2, FALSE)</f>
        <v>365</v>
      </c>
      <c r="L21" s="304" cm="1">
        <f t="array" ref="L21">IF(COUNTIF('Raw Annual DMR Data'!$L:$L,$F21)&gt;0,MEDIAN(IF('Raw Annual DMR Data'!$L:$L=F21,'Raw Annual DMR Data'!$S:$S)),"N/A - Facility Does Not Report DMRs")</f>
        <v>4.34907855E-4</v>
      </c>
      <c r="M21" s="156">
        <f t="shared" si="4"/>
        <v>1.1915283698630137E-6</v>
      </c>
      <c r="N21" s="156">
        <f>IF(COUNTIF('Raw Annual DMR Data'!$L:$L,$F21)&gt;0,_xlfn.MAXIFS('Raw Annual DMR Data'!$S:$S,'Raw Annual DMR Data'!$L:$L,$F21), "N/A - Facility Does Not Report DMRs")</f>
        <v>2.16554210797038E-2</v>
      </c>
      <c r="O21" s="156">
        <f t="shared" si="5"/>
        <v>5.9329920766311782E-5</v>
      </c>
      <c r="P21" s="113" cm="1">
        <f t="array" ref="P21">IF(COUNTIF('Raw Annual DMR Data'!$L:$L,$F21)&gt;0,INDEX('Raw Annual DMR Data'!$B:$B,MATCH(1,($F21='Raw Annual DMR Data'!$L:$L)*($N21='Raw Annual DMR Data'!$S:$S),0)), "N/A - Facility Does Not Report DMRs")</f>
        <v>2016</v>
      </c>
      <c r="Q21" s="304" t="str" cm="1">
        <f t="array" ref="Q21">IF(COUNTIF('Raw TRI Data'!$J:$J,$E21)&gt;0,MEDIAN(IF('Raw TRI Data'!$J:$J=E21,'Raw TRI Data'!$S:$S)), "N/A - Facility Does Not Report to TRI")</f>
        <v>N/A - Facility Does Not Report to TRI</v>
      </c>
      <c r="R21" s="156" t="str">
        <f t="shared" si="2"/>
        <v>N/A - Facility Does Not Report to TRI</v>
      </c>
      <c r="S21" s="156" t="str">
        <f>IF(COUNTIF('Raw TRI Data'!$J:$J,$E21)&gt;0,_xlfn.MAXIFS('Raw TRI Data'!$S:$S,'Raw TRI Data'!$J:$J,$E21), "N/A - Facility Does Not Report to TRI")</f>
        <v>N/A - Facility Does Not Report to TRI</v>
      </c>
      <c r="T21" s="156" t="str">
        <f t="shared" si="3"/>
        <v>N/A - Facility Does Not Report to TRI</v>
      </c>
      <c r="U21" s="136" t="str" cm="1">
        <f t="array" ref="U21">IF(COUNTIF('Raw TRI Data'!$J:$J,$E21)&gt;0,INDEX('Raw TRI Data'!$A:$A,MATCH(1,($E21='Raw TRI Data'!$J:$J)*(S21='Raw TRI Data'!$S:$S),0)), "N/A - Facility Does Not Report to TRI")</f>
        <v>N/A - Facility Does Not Report to TRI</v>
      </c>
      <c r="V21" s="156" t="str" cm="1">
        <f t="array" ref="V21">IF(COUNTIFS('Raw Annual DMR Data'!$L:$L,$F21,'Raw Annual DMR Data'!$U:$U,"&gt;0")&gt;0,MEDIAN(IF('Raw Annual DMR Data'!$L:$L=$F21,'Raw Annual DMR Data'!$U:$U,"")),"N/A - Period DMR Data Not Available")</f>
        <v>N/A - Period DMR Data Not Available</v>
      </c>
      <c r="W21" s="156" t="str">
        <f>IF(COUNTIFS('Raw Annual DMR Data'!$L:$L,$F21, 'Raw Annual DMR Data'!$U:$U, "&gt;0")&gt;0,_xlfn.MAXIFS('Raw Annual DMR Data'!$U:$U,'Raw Annual DMR Data'!$L:$L,$F21), "N/A - Period DMR Data Not Available")</f>
        <v>N/A - Period DMR Data Not Available</v>
      </c>
      <c r="X21" s="113" t="str" cm="1">
        <f t="array" ref="X21">+IF(COUNTIFS('Raw Annual DMR Data'!L:L,$F21, 'Raw Annual DMR Data'!U:U, "&gt;0")&gt;0,INDEX('Raw Annual DMR Data'!V:V,MATCH(1,($F21='Raw Annual DMR Data'!L:L)*($W21='Raw Annual DMR Data'!U:U),0)), "N/A - Period DMR Data Not Available")</f>
        <v>N/A - Period DMR Data Not Available</v>
      </c>
      <c r="Y21" s="113" t="str" cm="1">
        <f t="array" ref="Y21">IF(COUNTIFS('Raw Annual DMR Data'!L:L,$F21, 'Raw Annual DMR Data'!U:U, "&gt;0")&gt;0,INDEX('Raw Annual DMR Data'!B:B,MATCH(1,($F21='Raw Annual DMR Data'!L:L)*($W21='Raw Annual DMR Data'!U:U),0)), "N/A - Period DMR Data Not Available")</f>
        <v>N/A - Period DMR Data Not Available</v>
      </c>
      <c r="Z21" s="311" t="str" cm="1">
        <f t="array" ref="Z21">IF(COUNTIF('Raw Annual DMR Data'!K:K,$E21)&gt;0,"N/A - See DMRs",IF(SUMIFS('Raw TRI Data'!$Z:$Z,'Raw TRI Data'!$J:$J,$E21)&gt;0,MEDIAN(IF('Raw TRI Data'!$J:$J=$E21,'Raw TRI Data'!$Z:$Z)), "N/A - Facility Does Not Report to TRI, no surface water releases, or no Generic Factors available"))</f>
        <v>N/A - Facility Does Not Report to TRI, no surface water releases, or no Generic Factors available</v>
      </c>
      <c r="AA21" s="156" t="str">
        <f>IF(COUNTIF('Raw Annual DMR Data'!K:K,$E21)&gt;0,"N/A - See DMRs",IF(SUMIFS('Raw TRI Data'!$Z:$Z,'Raw TRI Data'!$J:$J,$E21)&gt;0,_xlfn.MAXIFS('Raw TRI Data'!$Z:$Z,'Raw TRI Data'!$J:$J,$E21), "N/A - Facility Does Not Report to TRI, no surface water releases, or no Generic Factors available"))</f>
        <v>N/A - Facility Does Not Report to TRI, no surface water releases, or no Generic Factors available</v>
      </c>
      <c r="AB21" s="113" t="str">
        <f t="shared" si="6"/>
        <v>N/A</v>
      </c>
      <c r="AC21" s="136" t="str" cm="1">
        <f t="array" ref="AC21">IF(COUNTIF('Raw Annual DMR Data'!K:K,$E21)&gt;0,"N/A - See DMRs",IF(SUMIFS('Raw TRI Data'!$Z:$Z,'Raw TRI Data'!$J:$J,$E21)&gt;0,INDEX('Raw TRI Data'!$A:$A,MATCH(1,($E21='Raw TRI Data'!$J:$J)*($AA21='Raw TRI Data'!$Z:$Z),0)), "N/A - Facility Does Not Report to TRI, no surface water releases, or no Generic Factors available"))</f>
        <v>N/A - Facility Does Not Report to TRI, no surface water releases, or no Generic Factors available</v>
      </c>
      <c r="AD21" s="96" t="str" cm="1">
        <f t="array" ref="AD21">IF(COUNTIFS('Raw Annual DMR Data'!L:L,$F21,'Raw Annual DMR Data'!W:W, "&gt;0")&gt;0,MEDIAN(IF('Raw Annual DMR Data'!K:K=$F21, 'Raw Annual DMR Data'!W:W)), "N/A - No Daily Max DMR Discharge Data")</f>
        <v>N/A - No Daily Max DMR Discharge Data</v>
      </c>
      <c r="AE21" s="96" t="str">
        <f>IF(COUNTIFS('Raw Annual DMR Data'!L:L,$F21,'Raw Annual DMR Data'!W:W, "&gt;0")&gt;0,_xlfn.MAXIFS('Raw Annual DMR Data'!W:W,'Raw Annual DMR Data'!L:L,$F21), "N/A - No Daily Max DMR Discharge Data")</f>
        <v>N/A - No Daily Max DMR Discharge Data</v>
      </c>
      <c r="AF21" s="60" t="str" cm="1">
        <f t="array" ref="AF21">IF(COUNTIFS('Raw Annual DMR Data'!L:L,$F21,'Raw Annual DMR Data'!W:W, "&gt;0")&gt;0,INDEX('Raw Annual DMR Data'!B:B,MATCH(1,($F21='Raw Annual DMR Data'!L:L)*($AE21='Raw Annual DMR Data'!W:W),0)), "N/A - No Daily Max DMR Discharge Data")</f>
        <v>N/A - No Daily Max DMR Discharge Data</v>
      </c>
      <c r="AG21" s="422"/>
      <c r="AH21" s="422"/>
      <c r="AI21" s="423"/>
    </row>
    <row r="22" spans="1:35" ht="30.75" thickBot="1" x14ac:dyDescent="0.3">
      <c r="A22" s="144" t="str">
        <f>VLOOKUP(F22,'Facility Summary'!J:K,2,FALSE)</f>
        <v>Processing as a Reactant</v>
      </c>
      <c r="B22" s="97" t="s">
        <v>113</v>
      </c>
      <c r="C22" s="28" t="s">
        <v>361</v>
      </c>
      <c r="D22" s="60" t="s">
        <v>362</v>
      </c>
      <c r="E22" s="60" t="s">
        <v>363</v>
      </c>
      <c r="F22" s="74">
        <v>110000463631</v>
      </c>
      <c r="G22" s="74" t="s">
        <v>792</v>
      </c>
      <c r="H22" s="63" t="s">
        <v>793</v>
      </c>
      <c r="I22" s="74">
        <v>12040104000870</v>
      </c>
      <c r="J22" s="74" t="s">
        <v>265</v>
      </c>
      <c r="K22" s="60">
        <f>VLOOKUP(A22, 'OES Summary'!$A:$B, 2, FALSE)</f>
        <v>350</v>
      </c>
      <c r="L22" s="304" cm="1">
        <f t="array" ref="L22">IF(COUNTIF('Raw Annual DMR Data'!$L:$L,$F22)&gt;0,MEDIAN(IF('Raw Annual DMR Data'!$L:$L=F22,'Raw Annual DMR Data'!$S:$S)),"N/A - Facility Does Not Report DMRs")</f>
        <v>0.39065759637188202</v>
      </c>
      <c r="M22" s="156">
        <f t="shared" si="4"/>
        <v>1.11616456106252E-3</v>
      </c>
      <c r="N22" s="156">
        <f>IF(COUNTIF('Raw Annual DMR Data'!$L:$L,$F22)&gt;0,_xlfn.MAXIFS('Raw Annual DMR Data'!$S:$S,'Raw Annual DMR Data'!$L:$L,$F22), "N/A - Facility Does Not Report DMRs")</f>
        <v>0.52804988662131502</v>
      </c>
      <c r="O22" s="156">
        <f t="shared" si="5"/>
        <v>1.5087139617751858E-3</v>
      </c>
      <c r="P22" s="113" cm="1">
        <f t="array" ref="P22">IF(COUNTIF('Raw Annual DMR Data'!$L:$L,$F22)&gt;0,INDEX('Raw Annual DMR Data'!$B:$B,MATCH(1,($F22='Raw Annual DMR Data'!$L:$L)*($N22='Raw Annual DMR Data'!$S:$S),0)), "N/A - Facility Does Not Report DMRs")</f>
        <v>2018</v>
      </c>
      <c r="Q22" s="304" t="str" cm="1">
        <f t="array" ref="Q22">IF(COUNTIF('Raw TRI Data'!$J:$J,$E22)&gt;0,MEDIAN(IF('Raw TRI Data'!$J:$J=E22,'Raw TRI Data'!$S:$S)), "N/A - Facility Does Not Report to TRI")</f>
        <v>N/A - Facility Does Not Report to TRI</v>
      </c>
      <c r="R22" s="156" t="str">
        <f t="shared" si="2"/>
        <v>N/A - Facility Does Not Report to TRI</v>
      </c>
      <c r="S22" s="156" t="str">
        <f>IF(COUNTIF('Raw TRI Data'!$J:$J,$E22)&gt;0,_xlfn.MAXIFS('Raw TRI Data'!$S:$S,'Raw TRI Data'!$J:$J,$E22), "N/A - Facility Does Not Report to TRI")</f>
        <v>N/A - Facility Does Not Report to TRI</v>
      </c>
      <c r="T22" s="156" t="str">
        <f t="shared" si="3"/>
        <v>N/A - Facility Does Not Report to TRI</v>
      </c>
      <c r="U22" s="136" t="str" cm="1">
        <f t="array" ref="U22">IF(COUNTIF('Raw TRI Data'!$J:$J,$E22)&gt;0,INDEX('Raw TRI Data'!$A:$A,MATCH(1,($E22='Raw TRI Data'!$J:$J)*(S22='Raw TRI Data'!$S:$S),0)), "N/A - Facility Does Not Report to TRI")</f>
        <v>N/A - Facility Does Not Report to TRI</v>
      </c>
      <c r="V22" s="156" t="str" cm="1">
        <f t="array" ref="V22">IF(COUNTIFS('Raw Annual DMR Data'!$L:$L,$F22,'Raw Annual DMR Data'!$U:$U,"&gt;0")&gt;0,MEDIAN(IF('Raw Annual DMR Data'!$L:$L=$F22,'Raw Annual DMR Data'!$U:$U,"")),"N/A - Period DMR Data Not Available")</f>
        <v>N/A - Period DMR Data Not Available</v>
      </c>
      <c r="W22" s="156" t="str">
        <f>IF(COUNTIFS('Raw Annual DMR Data'!$L:$L,$F22, 'Raw Annual DMR Data'!$U:$U, "&gt;0")&gt;0,_xlfn.MAXIFS('Raw Annual DMR Data'!$U:$U,'Raw Annual DMR Data'!$L:$L,$F22), "N/A - Period DMR Data Not Available")</f>
        <v>N/A - Period DMR Data Not Available</v>
      </c>
      <c r="X22" s="113" t="str" cm="1">
        <f t="array" ref="X22">+IF(COUNTIFS('Raw Annual DMR Data'!L:L,$F22, 'Raw Annual DMR Data'!U:U, "&gt;0")&gt;0,INDEX('Raw Annual DMR Data'!V:V,MATCH(1,($F22='Raw Annual DMR Data'!L:L)*($W22='Raw Annual DMR Data'!U:U),0)), "N/A - Period DMR Data Not Available")</f>
        <v>N/A - Period DMR Data Not Available</v>
      </c>
      <c r="Y22" s="113" t="str" cm="1">
        <f t="array" ref="Y22">IF(COUNTIFS('Raw Annual DMR Data'!L:L,$F22, 'Raw Annual DMR Data'!U:U, "&gt;0")&gt;0,INDEX('Raw Annual DMR Data'!B:B,MATCH(1,($F22='Raw Annual DMR Data'!L:L)*($W22='Raw Annual DMR Data'!U:U),0)), "N/A - Period DMR Data Not Available")</f>
        <v>N/A - Period DMR Data Not Available</v>
      </c>
      <c r="Z22" s="311" t="str" cm="1">
        <f t="array" ref="Z22">IF(COUNTIF('Raw Annual DMR Data'!K:K,$E22)&gt;0,"N/A - See DMRs",IF(SUMIFS('Raw TRI Data'!$Z:$Z,'Raw TRI Data'!$J:$J,$E22)&gt;0,MEDIAN(IF('Raw TRI Data'!$J:$J=$E22,'Raw TRI Data'!$Z:$Z)), "N/A - Facility Does Not Report to TRI, no surface water releases, or no Generic Factors available"))</f>
        <v>N/A - See DMRs</v>
      </c>
      <c r="AA22" s="156" t="str">
        <f>IF(COUNTIF('Raw Annual DMR Data'!K:K,$E22)&gt;0,"N/A - See DMRs",IF(SUMIFS('Raw TRI Data'!$Z:$Z,'Raw TRI Data'!$J:$J,$E22)&gt;0,_xlfn.MAXIFS('Raw TRI Data'!$Z:$Z,'Raw TRI Data'!$J:$J,$E22), "N/A - Facility Does Not Report to TRI, no surface water releases, or no Generic Factors available"))</f>
        <v>N/A - See DMRs</v>
      </c>
      <c r="AB22" s="113" t="str">
        <f t="shared" si="6"/>
        <v>N/A</v>
      </c>
      <c r="AC22" s="136" t="str" cm="1">
        <f t="array" ref="AC22">IF(COUNTIF('Raw Annual DMR Data'!K:K,$E22)&gt;0,"N/A - See DMRs",IF(SUMIFS('Raw TRI Data'!$Z:$Z,'Raw TRI Data'!$J:$J,$E22)&gt;0,INDEX('Raw TRI Data'!$A:$A,MATCH(1,($E22='Raw TRI Data'!$J:$J)*($AA22='Raw TRI Data'!$Z:$Z),0)), "N/A - Facility Does Not Report to TRI, no surface water releases, or no Generic Factors available"))</f>
        <v>N/A - See DMRs</v>
      </c>
      <c r="AD22" s="96" t="str" cm="1">
        <f t="array" ref="AD22">IF(COUNTIFS('Raw Annual DMR Data'!L:L,$F22,'Raw Annual DMR Data'!W:W, "&gt;0")&gt;0,MEDIAN(IF('Raw Annual DMR Data'!K:K=$F22, 'Raw Annual DMR Data'!W:W)), "N/A - No Daily Max DMR Discharge Data")</f>
        <v>N/A - No Daily Max DMR Discharge Data</v>
      </c>
      <c r="AE22" s="96" t="str">
        <f>IF(COUNTIFS('Raw Annual DMR Data'!L:L,$F22,'Raw Annual DMR Data'!W:W, "&gt;0")&gt;0,_xlfn.MAXIFS('Raw Annual DMR Data'!W:W,'Raw Annual DMR Data'!L:L,$F22), "N/A - No Daily Max DMR Discharge Data")</f>
        <v>N/A - No Daily Max DMR Discharge Data</v>
      </c>
      <c r="AF22" s="60" t="str" cm="1">
        <f t="array" ref="AF22">IF(COUNTIFS('Raw Annual DMR Data'!L:L,$F22,'Raw Annual DMR Data'!W:W, "&gt;0")&gt;0,INDEX('Raw Annual DMR Data'!B:B,MATCH(1,($F22='Raw Annual DMR Data'!L:L)*($AE22='Raw Annual DMR Data'!W:W),0)), "N/A - No Daily Max DMR Discharge Data")</f>
        <v>N/A - No Daily Max DMR Discharge Data</v>
      </c>
      <c r="AG22" s="422"/>
      <c r="AH22" s="422"/>
      <c r="AI22" s="423"/>
    </row>
    <row r="23" spans="1:35" ht="45.75" thickBot="1" x14ac:dyDescent="0.3">
      <c r="A23" s="144" t="str">
        <f>VLOOKUP(F23,'Facility Summary'!J:K,2,FALSE)</f>
        <v>POTW</v>
      </c>
      <c r="B23" s="97" t="s">
        <v>114</v>
      </c>
      <c r="C23" s="28" t="s">
        <v>365</v>
      </c>
      <c r="D23" s="60" t="s">
        <v>366</v>
      </c>
      <c r="E23" s="60"/>
      <c r="F23" s="74">
        <v>110030476465</v>
      </c>
      <c r="G23" s="74" t="s">
        <v>794</v>
      </c>
      <c r="H23" s="63" t="s">
        <v>795</v>
      </c>
      <c r="I23" s="74">
        <v>18100204010970</v>
      </c>
      <c r="J23" s="74" t="s">
        <v>265</v>
      </c>
      <c r="K23" s="60">
        <f>VLOOKUP(A23, 'OES Summary'!$A:$B, 2, FALSE)</f>
        <v>365</v>
      </c>
      <c r="L23" s="304" cm="1">
        <f t="array" ref="L23">IF(COUNTIF('Raw Annual DMR Data'!$L:$L,$F23)&gt;0,MEDIAN(IF('Raw Annual DMR Data'!$L:$L=F23,'Raw Annual DMR Data'!$S:$S)),"N/A - Facility Does Not Report DMRs")</f>
        <v>3.3847362499999999E-2</v>
      </c>
      <c r="M23" s="156">
        <f t="shared" si="4"/>
        <v>9.27325E-5</v>
      </c>
      <c r="N23" s="156">
        <f>IF(COUNTIF('Raw Annual DMR Data'!$L:$L,$F23)&gt;0,_xlfn.MAXIFS('Raw Annual DMR Data'!$S:$S,'Raw Annual DMR Data'!$L:$L,$F23), "N/A - Facility Does Not Report DMRs")</f>
        <v>4.1860207500000003E-2</v>
      </c>
      <c r="O23" s="156">
        <f t="shared" si="5"/>
        <v>1.1468550000000001E-4</v>
      </c>
      <c r="P23" s="113" cm="1">
        <f t="array" ref="P23">IF(COUNTIF('Raw Annual DMR Data'!$L:$L,$F23)&gt;0,INDEX('Raw Annual DMR Data'!$B:$B,MATCH(1,($F23='Raw Annual DMR Data'!$L:$L)*($N23='Raw Annual DMR Data'!$S:$S),0)), "N/A - Facility Does Not Report DMRs")</f>
        <v>2019</v>
      </c>
      <c r="Q23" s="304" t="str" cm="1">
        <f t="array" ref="Q23">IF(COUNTIF('Raw TRI Data'!$J:$J,$E23)&gt;0,MEDIAN(IF('Raw TRI Data'!$J:$J=E23,'Raw TRI Data'!$S:$S)), "N/A - Facility Does Not Report to TRI")</f>
        <v>N/A - Facility Does Not Report to TRI</v>
      </c>
      <c r="R23" s="156" t="str">
        <f t="shared" si="2"/>
        <v>N/A - Facility Does Not Report to TRI</v>
      </c>
      <c r="S23" s="156" t="str">
        <f>IF(COUNTIF('Raw TRI Data'!$J:$J,$E23)&gt;0,_xlfn.MAXIFS('Raw TRI Data'!$S:$S,'Raw TRI Data'!$J:$J,$E23), "N/A - Facility Does Not Report to TRI")</f>
        <v>N/A - Facility Does Not Report to TRI</v>
      </c>
      <c r="T23" s="156" t="str">
        <f t="shared" si="3"/>
        <v>N/A - Facility Does Not Report to TRI</v>
      </c>
      <c r="U23" s="136" t="str" cm="1">
        <f t="array" ref="U23">IF(COUNTIF('Raw TRI Data'!$J:$J,$E23)&gt;0,INDEX('Raw TRI Data'!$A:$A,MATCH(1,($E23='Raw TRI Data'!$J:$J)*(S23='Raw TRI Data'!$S:$S),0)), "N/A - Facility Does Not Report to TRI")</f>
        <v>N/A - Facility Does Not Report to TRI</v>
      </c>
      <c r="V23" s="156" t="str" cm="1">
        <f t="array" ref="V23">IF(COUNTIFS('Raw Annual DMR Data'!$L:$L,$F23,'Raw Annual DMR Data'!$U:$U,"&gt;0")&gt;0,MEDIAN(IF('Raw Annual DMR Data'!$L:$L=$F23,'Raw Annual DMR Data'!$U:$U,"")),"N/A - Period DMR Data Not Available")</f>
        <v>N/A - Period DMR Data Not Available</v>
      </c>
      <c r="W23" s="156" t="str">
        <f>IF(COUNTIFS('Raw Annual DMR Data'!$L:$L,$F23, 'Raw Annual DMR Data'!$U:$U, "&gt;0")&gt;0,_xlfn.MAXIFS('Raw Annual DMR Data'!$U:$U,'Raw Annual DMR Data'!$L:$L,$F23), "N/A - Period DMR Data Not Available")</f>
        <v>N/A - Period DMR Data Not Available</v>
      </c>
      <c r="X23" s="113" t="str" cm="1">
        <f t="array" ref="X23">+IF(COUNTIFS('Raw Annual DMR Data'!L:L,$F23, 'Raw Annual DMR Data'!U:U, "&gt;0")&gt;0,INDEX('Raw Annual DMR Data'!V:V,MATCH(1,($F23='Raw Annual DMR Data'!L:L)*($W23='Raw Annual DMR Data'!U:U),0)), "N/A - Period DMR Data Not Available")</f>
        <v>N/A - Period DMR Data Not Available</v>
      </c>
      <c r="Y23" s="113" t="str" cm="1">
        <f t="array" ref="Y23">IF(COUNTIFS('Raw Annual DMR Data'!L:L,$F23, 'Raw Annual DMR Data'!U:U, "&gt;0")&gt;0,INDEX('Raw Annual DMR Data'!B:B,MATCH(1,($F23='Raw Annual DMR Data'!L:L)*($W23='Raw Annual DMR Data'!U:U),0)), "N/A - Period DMR Data Not Available")</f>
        <v>N/A - Period DMR Data Not Available</v>
      </c>
      <c r="Z23" s="311" t="str" cm="1">
        <f t="array" ref="Z23">IF(COUNTIF('Raw Annual DMR Data'!K:K,$E23)&gt;0,"N/A - See DMRs",IF(SUMIFS('Raw TRI Data'!$Z:$Z,'Raw TRI Data'!$J:$J,$E23)&gt;0,MEDIAN(IF('Raw TRI Data'!$J:$J=$E23,'Raw TRI Data'!$Z:$Z)), "N/A - Facility Does Not Report to TRI, no surface water releases, or no Generic Factors available"))</f>
        <v>N/A - Facility Does Not Report to TRI, no surface water releases, or no Generic Factors available</v>
      </c>
      <c r="AA23" s="156" t="str">
        <f>IF(COUNTIF('Raw Annual DMR Data'!K:K,$E23)&gt;0,"N/A - See DMRs",IF(SUMIFS('Raw TRI Data'!$Z:$Z,'Raw TRI Data'!$J:$J,$E23)&gt;0,_xlfn.MAXIFS('Raw TRI Data'!$Z:$Z,'Raw TRI Data'!$J:$J,$E23), "N/A - Facility Does Not Report to TRI, no surface water releases, or no Generic Factors available"))</f>
        <v>N/A - Facility Does Not Report to TRI, no surface water releases, or no Generic Factors available</v>
      </c>
      <c r="AB23" s="113" t="str">
        <f t="shared" si="6"/>
        <v>N/A</v>
      </c>
      <c r="AC23" s="136" t="str" cm="1">
        <f t="array" ref="AC23">IF(COUNTIF('Raw Annual DMR Data'!K:K,$E23)&gt;0,"N/A - See DMRs",IF(SUMIFS('Raw TRI Data'!$Z:$Z,'Raw TRI Data'!$J:$J,$E23)&gt;0,INDEX('Raw TRI Data'!$A:$A,MATCH(1,($E23='Raw TRI Data'!$J:$J)*($AA23='Raw TRI Data'!$Z:$Z),0)), "N/A - Facility Does Not Report to TRI, no surface water releases, or no Generic Factors available"))</f>
        <v>N/A - Facility Does Not Report to TRI, no surface water releases, or no Generic Factors available</v>
      </c>
      <c r="AD23" s="96" t="str" cm="1">
        <f t="array" ref="AD23">IF(COUNTIFS('Raw Annual DMR Data'!L:L,$F23,'Raw Annual DMR Data'!W:W, "&gt;0")&gt;0,MEDIAN(IF('Raw Annual DMR Data'!K:K=$F23, 'Raw Annual DMR Data'!W:W)), "N/A - No Daily Max DMR Discharge Data")</f>
        <v>N/A - No Daily Max DMR Discharge Data</v>
      </c>
      <c r="AE23" s="96" t="str">
        <f>IF(COUNTIFS('Raw Annual DMR Data'!L:L,$F23,'Raw Annual DMR Data'!W:W, "&gt;0")&gt;0,_xlfn.MAXIFS('Raw Annual DMR Data'!W:W,'Raw Annual DMR Data'!L:L,$F23), "N/A - No Daily Max DMR Discharge Data")</f>
        <v>N/A - No Daily Max DMR Discharge Data</v>
      </c>
      <c r="AF23" s="60" t="str" cm="1">
        <f t="array" ref="AF23">IF(COUNTIFS('Raw Annual DMR Data'!L:L,$F23,'Raw Annual DMR Data'!W:W, "&gt;0")&gt;0,INDEX('Raw Annual DMR Data'!B:B,MATCH(1,($F23='Raw Annual DMR Data'!L:L)*($AE23='Raw Annual DMR Data'!W:W),0)), "N/A - No Daily Max DMR Discharge Data")</f>
        <v>N/A - No Daily Max DMR Discharge Data</v>
      </c>
      <c r="AG23" s="422"/>
      <c r="AH23" s="422"/>
      <c r="AI23" s="423"/>
    </row>
    <row r="24" spans="1:35" ht="30.75" thickBot="1" x14ac:dyDescent="0.3">
      <c r="A24" s="144" t="str">
        <f>VLOOKUP(F24,'Facility Summary'!J:K,2,FALSE)</f>
        <v>Manufacturing</v>
      </c>
      <c r="B24" s="97" t="s">
        <v>44</v>
      </c>
      <c r="C24" s="28" t="s">
        <v>368</v>
      </c>
      <c r="D24" s="60" t="s">
        <v>349</v>
      </c>
      <c r="E24" s="60" t="s">
        <v>369</v>
      </c>
      <c r="F24" s="74">
        <v>110017980443</v>
      </c>
      <c r="G24" s="74" t="s">
        <v>796</v>
      </c>
      <c r="H24" s="63" t="s">
        <v>797</v>
      </c>
      <c r="I24" s="74">
        <v>7140104001615</v>
      </c>
      <c r="J24" s="74" t="s">
        <v>265</v>
      </c>
      <c r="K24" s="60">
        <f>VLOOKUP(A24, 'OES Summary'!$A:$B, 2, FALSE)</f>
        <v>350</v>
      </c>
      <c r="L24" s="304" cm="1">
        <f t="array" ref="L24">IF(COUNTIF('Raw Annual DMR Data'!$L:$L,$F24)&gt;0,MEDIAN(IF('Raw Annual DMR Data'!$L:$L=F24,'Raw Annual DMR Data'!$S:$S)),"N/A - Facility Does Not Report DMRs")</f>
        <v>2.74483165066833E-2</v>
      </c>
      <c r="M24" s="156">
        <f t="shared" si="4"/>
        <v>7.8423761447666575E-5</v>
      </c>
      <c r="N24" s="156">
        <f>IF(COUNTIF('Raw Annual DMR Data'!$L:$L,$F24)&gt;0,_xlfn.MAXIFS('Raw Annual DMR Data'!$S:$S,'Raw Annual DMR Data'!$L:$L,$F24), "N/A - Facility Does Not Report DMRs")</f>
        <v>1.62889674892466</v>
      </c>
      <c r="O24" s="156">
        <f t="shared" si="5"/>
        <v>4.6539907112133141E-3</v>
      </c>
      <c r="P24" s="113" cm="1">
        <f t="array" ref="P24">IF(COUNTIF('Raw Annual DMR Data'!$L:$L,$F24)&gt;0,INDEX('Raw Annual DMR Data'!$B:$B,MATCH(1,($F24='Raw Annual DMR Data'!$L:$L)*($N24='Raw Annual DMR Data'!$S:$S),0)), "N/A - Facility Does Not Report DMRs")</f>
        <v>2023</v>
      </c>
      <c r="Q24" s="304" cm="1">
        <f t="array" ref="Q24">IF(COUNTIF('Raw TRI Data'!$J:$J,$E24)&gt;0,MEDIAN(IF('Raw TRI Data'!$J:$J=E24,'Raw TRI Data'!$S:$S)), "N/A - Facility Does Not Report to TRI")</f>
        <v>0</v>
      </c>
      <c r="R24" s="156">
        <f t="shared" si="2"/>
        <v>0</v>
      </c>
      <c r="S24" s="156">
        <f>IF(COUNTIF('Raw TRI Data'!$J:$J,$E24)&gt;0,_xlfn.MAXIFS('Raw TRI Data'!$S:$S,'Raw TRI Data'!$J:$J,$E24), "N/A - Facility Does Not Report to TRI")</f>
        <v>0</v>
      </c>
      <c r="T24" s="156">
        <f t="shared" si="3"/>
        <v>0</v>
      </c>
      <c r="U24" s="136" cm="1">
        <f t="array" ref="U24">IF(COUNTIF('Raw TRI Data'!$J:$J,$E24)&gt;0,INDEX('Raw TRI Data'!$A:$A,MATCH(1,($E24='Raw TRI Data'!$J:$J)*(S24='Raw TRI Data'!$S:$S),0)), "N/A - Facility Does Not Report to TRI")</f>
        <v>2019</v>
      </c>
      <c r="V24" s="156" t="str" cm="1">
        <f t="array" ref="V24">IF(COUNTIFS('Raw Annual DMR Data'!$L:$L,$F24,'Raw Annual DMR Data'!$U:$U,"&gt;0")&gt;0,MEDIAN(IF('Raw Annual DMR Data'!$L:$L=$F24,'Raw Annual DMR Data'!$U:$U,"")),"N/A - Period DMR Data Not Available")</f>
        <v>N/A - Period DMR Data Not Available</v>
      </c>
      <c r="W24" s="156" t="str">
        <f>IF(COUNTIFS('Raw Annual DMR Data'!$L:$L,$F24, 'Raw Annual DMR Data'!$U:$U, "&gt;0")&gt;0,_xlfn.MAXIFS('Raw Annual DMR Data'!$U:$U,'Raw Annual DMR Data'!$L:$L,$F24), "N/A - Period DMR Data Not Available")</f>
        <v>N/A - Period DMR Data Not Available</v>
      </c>
      <c r="X24" s="113" t="str" cm="1">
        <f t="array" ref="X24">+IF(COUNTIFS('Raw Annual DMR Data'!L:L,$F24, 'Raw Annual DMR Data'!U:U, "&gt;0")&gt;0,INDEX('Raw Annual DMR Data'!V:V,MATCH(1,($F24='Raw Annual DMR Data'!L:L)*($W24='Raw Annual DMR Data'!U:U),0)), "N/A - Period DMR Data Not Available")</f>
        <v>N/A - Period DMR Data Not Available</v>
      </c>
      <c r="Y24" s="113" t="str" cm="1">
        <f t="array" ref="Y24">IF(COUNTIFS('Raw Annual DMR Data'!L:L,$F24, 'Raw Annual DMR Data'!U:U, "&gt;0")&gt;0,INDEX('Raw Annual DMR Data'!B:B,MATCH(1,($F24='Raw Annual DMR Data'!L:L)*($W24='Raw Annual DMR Data'!U:U),0)), "N/A - Period DMR Data Not Available")</f>
        <v>N/A - Period DMR Data Not Available</v>
      </c>
      <c r="Z24" s="311" t="str" cm="1">
        <f t="array" ref="Z24">IF(COUNTIF('Raw Annual DMR Data'!K:K,$E24)&gt;0,"N/A - See DMRs",IF(SUMIFS('Raw TRI Data'!$Z:$Z,'Raw TRI Data'!$J:$J,$E24)&gt;0,MEDIAN(IF('Raw TRI Data'!$J:$J=$E24,'Raw TRI Data'!$Z:$Z)), "N/A - Facility Does Not Report to TRI, no surface water releases, or no Generic Factors available"))</f>
        <v>N/A - See DMRs</v>
      </c>
      <c r="AA24" s="156" t="str">
        <f>IF(COUNTIF('Raw Annual DMR Data'!K:K,$E24)&gt;0,"N/A - See DMRs",IF(SUMIFS('Raw TRI Data'!$Z:$Z,'Raw TRI Data'!$J:$J,$E24)&gt;0,_xlfn.MAXIFS('Raw TRI Data'!$Z:$Z,'Raw TRI Data'!$J:$J,$E24), "N/A - Facility Does Not Report to TRI, no surface water releases, or no Generic Factors available"))</f>
        <v>N/A - See DMRs</v>
      </c>
      <c r="AB24" s="113" t="str">
        <f t="shared" si="6"/>
        <v>N/A</v>
      </c>
      <c r="AC24" s="136" t="str" cm="1">
        <f t="array" ref="AC24">IF(COUNTIF('Raw Annual DMR Data'!K:K,$E24)&gt;0,"N/A - See DMRs",IF(SUMIFS('Raw TRI Data'!$Z:$Z,'Raw TRI Data'!$J:$J,$E24)&gt;0,INDEX('Raw TRI Data'!$A:$A,MATCH(1,($E24='Raw TRI Data'!$J:$J)*($AA24='Raw TRI Data'!$Z:$Z),0)), "N/A - Facility Does Not Report to TRI, no surface water releases, or no Generic Factors available"))</f>
        <v>N/A - See DMRs</v>
      </c>
      <c r="AD24" s="96" t="str" cm="1">
        <f t="array" ref="AD24">IF(COUNTIFS('Raw Annual DMR Data'!L:L,$F24,'Raw Annual DMR Data'!W:W, "&gt;0")&gt;0,MEDIAN(IF('Raw Annual DMR Data'!K:K=$F24, 'Raw Annual DMR Data'!W:W)), "N/A - No Daily Max DMR Discharge Data")</f>
        <v>N/A - No Daily Max DMR Discharge Data</v>
      </c>
      <c r="AE24" s="96" t="str">
        <f>IF(COUNTIFS('Raw Annual DMR Data'!L:L,$F24,'Raw Annual DMR Data'!W:W, "&gt;0")&gt;0,_xlfn.MAXIFS('Raw Annual DMR Data'!W:W,'Raw Annual DMR Data'!L:L,$F24), "N/A - No Daily Max DMR Discharge Data")</f>
        <v>N/A - No Daily Max DMR Discharge Data</v>
      </c>
      <c r="AF24" s="60" t="str" cm="1">
        <f t="array" ref="AF24">IF(COUNTIFS('Raw Annual DMR Data'!L:L,$F24,'Raw Annual DMR Data'!W:W, "&gt;0")&gt;0,INDEX('Raw Annual DMR Data'!B:B,MATCH(1,($F24='Raw Annual DMR Data'!L:L)*($AE24='Raw Annual DMR Data'!W:W),0)), "N/A - No Daily Max DMR Discharge Data")</f>
        <v>N/A - No Daily Max DMR Discharge Data</v>
      </c>
      <c r="AG24" s="422"/>
      <c r="AH24" s="422"/>
      <c r="AI24" s="423"/>
    </row>
    <row r="25" spans="1:35" ht="45.75" thickBot="1" x14ac:dyDescent="0.3">
      <c r="A25" s="144" t="str">
        <f>VLOOKUP(F25,'Facility Summary'!J:K,2,FALSE)</f>
        <v>POTW</v>
      </c>
      <c r="B25" s="97" t="s">
        <v>115</v>
      </c>
      <c r="C25" s="28" t="s">
        <v>371</v>
      </c>
      <c r="D25" s="60" t="s">
        <v>366</v>
      </c>
      <c r="E25" s="60"/>
      <c r="F25" s="74">
        <v>110055988016</v>
      </c>
      <c r="G25" s="74" t="s">
        <v>798</v>
      </c>
      <c r="H25" s="63" t="s">
        <v>799</v>
      </c>
      <c r="I25" s="74">
        <v>18050004001800</v>
      </c>
      <c r="J25" s="74" t="s">
        <v>265</v>
      </c>
      <c r="K25" s="60">
        <f>VLOOKUP(A25, 'OES Summary'!$A:$B, 2, FALSE)</f>
        <v>365</v>
      </c>
      <c r="L25" s="304" cm="1">
        <f t="array" ref="L25">IF(COUNTIF('Raw Annual DMR Data'!$L:$L,$F25)&gt;0,MEDIAN(IF('Raw Annual DMR Data'!$L:$L=F25,'Raw Annual DMR Data'!$S:$S)),"N/A - Facility Does Not Report DMRs")</f>
        <v>1.0326899375</v>
      </c>
      <c r="M25" s="156">
        <f t="shared" si="4"/>
        <v>2.8292874999999999E-3</v>
      </c>
      <c r="N25" s="156">
        <f>IF(COUNTIF('Raw Annual DMR Data'!$L:$L,$F25)&gt;0,_xlfn.MAXIFS('Raw Annual DMR Data'!$S:$S,'Raw Annual DMR Data'!$L:$L,$F25), "N/A - Facility Does Not Report DMRs")</f>
        <v>1.0326899375</v>
      </c>
      <c r="O25" s="156">
        <f t="shared" si="5"/>
        <v>2.8292874999999999E-3</v>
      </c>
      <c r="P25" s="113" cm="1">
        <f t="array" ref="P25">IF(COUNTIF('Raw Annual DMR Data'!$L:$L,$F25)&gt;0,INDEX('Raw Annual DMR Data'!$B:$B,MATCH(1,($F25='Raw Annual DMR Data'!$L:$L)*($N25='Raw Annual DMR Data'!$S:$S),0)), "N/A - Facility Does Not Report DMRs")</f>
        <v>2019</v>
      </c>
      <c r="Q25" s="304" t="str" cm="1">
        <f t="array" ref="Q25">IF(COUNTIF('Raw TRI Data'!$J:$J,$E25)&gt;0,MEDIAN(IF('Raw TRI Data'!$J:$J=E25,'Raw TRI Data'!$S:$S)), "N/A - Facility Does Not Report to TRI")</f>
        <v>N/A - Facility Does Not Report to TRI</v>
      </c>
      <c r="R25" s="156" t="str">
        <f t="shared" si="2"/>
        <v>N/A - Facility Does Not Report to TRI</v>
      </c>
      <c r="S25" s="156" t="str">
        <f>IF(COUNTIF('Raw TRI Data'!$J:$J,$E25)&gt;0,_xlfn.MAXIFS('Raw TRI Data'!$S:$S,'Raw TRI Data'!$J:$J,$E25), "N/A - Facility Does Not Report to TRI")</f>
        <v>N/A - Facility Does Not Report to TRI</v>
      </c>
      <c r="T25" s="156" t="str">
        <f t="shared" si="3"/>
        <v>N/A - Facility Does Not Report to TRI</v>
      </c>
      <c r="U25" s="136" t="str" cm="1">
        <f t="array" ref="U25">IF(COUNTIF('Raw TRI Data'!$J:$J,$E25)&gt;0,INDEX('Raw TRI Data'!$A:$A,MATCH(1,($E25='Raw TRI Data'!$J:$J)*(S25='Raw TRI Data'!$S:$S),0)), "N/A - Facility Does Not Report to TRI")</f>
        <v>N/A - Facility Does Not Report to TRI</v>
      </c>
      <c r="V25" s="156" t="str" cm="1">
        <f t="array" ref="V25">IF(COUNTIFS('Raw Annual DMR Data'!$L:$L,$F25,'Raw Annual DMR Data'!$U:$U,"&gt;0")&gt;0,MEDIAN(IF('Raw Annual DMR Data'!$L:$L=$F25,'Raw Annual DMR Data'!$U:$U,"")),"N/A - Period DMR Data Not Available")</f>
        <v>N/A - Period DMR Data Not Available</v>
      </c>
      <c r="W25" s="156" t="str">
        <f>IF(COUNTIFS('Raw Annual DMR Data'!$L:$L,$F25, 'Raw Annual DMR Data'!$U:$U, "&gt;0")&gt;0,_xlfn.MAXIFS('Raw Annual DMR Data'!$U:$U,'Raw Annual DMR Data'!$L:$L,$F25), "N/A - Period DMR Data Not Available")</f>
        <v>N/A - Period DMR Data Not Available</v>
      </c>
      <c r="X25" s="113" t="str" cm="1">
        <f t="array" ref="X25">+IF(COUNTIFS('Raw Annual DMR Data'!L:L,$F25, 'Raw Annual DMR Data'!U:U, "&gt;0")&gt;0,INDEX('Raw Annual DMR Data'!V:V,MATCH(1,($F25='Raw Annual DMR Data'!L:L)*($W25='Raw Annual DMR Data'!U:U),0)), "N/A - Period DMR Data Not Available")</f>
        <v>N/A - Period DMR Data Not Available</v>
      </c>
      <c r="Y25" s="113" t="str" cm="1">
        <f t="array" ref="Y25">IF(COUNTIFS('Raw Annual DMR Data'!L:L,$F25, 'Raw Annual DMR Data'!U:U, "&gt;0")&gt;0,INDEX('Raw Annual DMR Data'!B:B,MATCH(1,($F25='Raw Annual DMR Data'!L:L)*($W25='Raw Annual DMR Data'!U:U),0)), "N/A - Period DMR Data Not Available")</f>
        <v>N/A - Period DMR Data Not Available</v>
      </c>
      <c r="Z25" s="311" t="str" cm="1">
        <f t="array" ref="Z25">IF(COUNTIF('Raw Annual DMR Data'!K:K,$E25)&gt;0,"N/A - See DMRs",IF(SUMIFS('Raw TRI Data'!$Z:$Z,'Raw TRI Data'!$J:$J,$E25)&gt;0,MEDIAN(IF('Raw TRI Data'!$J:$J=$E25,'Raw TRI Data'!$Z:$Z)), "N/A - Facility Does Not Report to TRI, no surface water releases, or no Generic Factors available"))</f>
        <v>N/A - Facility Does Not Report to TRI, no surface water releases, or no Generic Factors available</v>
      </c>
      <c r="AA25" s="156" t="str">
        <f>IF(COUNTIF('Raw Annual DMR Data'!K:K,$E25)&gt;0,"N/A - See DMRs",IF(SUMIFS('Raw TRI Data'!$Z:$Z,'Raw TRI Data'!$J:$J,$E25)&gt;0,_xlfn.MAXIFS('Raw TRI Data'!$Z:$Z,'Raw TRI Data'!$J:$J,$E25), "N/A - Facility Does Not Report to TRI, no surface water releases, or no Generic Factors available"))</f>
        <v>N/A - Facility Does Not Report to TRI, no surface water releases, or no Generic Factors available</v>
      </c>
      <c r="AB25" s="113" t="str">
        <f t="shared" si="6"/>
        <v>N/A</v>
      </c>
      <c r="AC25" s="136" t="str" cm="1">
        <f t="array" ref="AC25">IF(COUNTIF('Raw Annual DMR Data'!K:K,$E25)&gt;0,"N/A - See DMRs",IF(SUMIFS('Raw TRI Data'!$Z:$Z,'Raw TRI Data'!$J:$J,$E25)&gt;0,INDEX('Raw TRI Data'!$A:$A,MATCH(1,($E25='Raw TRI Data'!$J:$J)*($AA25='Raw TRI Data'!$Z:$Z),0)), "N/A - Facility Does Not Report to TRI, no surface water releases, or no Generic Factors available"))</f>
        <v>N/A - Facility Does Not Report to TRI, no surface water releases, or no Generic Factors available</v>
      </c>
      <c r="AD25" s="96" t="str" cm="1">
        <f t="array" ref="AD25">IF(COUNTIFS('Raw Annual DMR Data'!L:L,$F25,'Raw Annual DMR Data'!W:W, "&gt;0")&gt;0,MEDIAN(IF('Raw Annual DMR Data'!K:K=$F25, 'Raw Annual DMR Data'!W:W)), "N/A - No Daily Max DMR Discharge Data")</f>
        <v>N/A - No Daily Max DMR Discharge Data</v>
      </c>
      <c r="AE25" s="96" t="str">
        <f>IF(COUNTIFS('Raw Annual DMR Data'!L:L,$F25,'Raw Annual DMR Data'!W:W, "&gt;0")&gt;0,_xlfn.MAXIFS('Raw Annual DMR Data'!W:W,'Raw Annual DMR Data'!L:L,$F25), "N/A - No Daily Max DMR Discharge Data")</f>
        <v>N/A - No Daily Max DMR Discharge Data</v>
      </c>
      <c r="AF25" s="60" t="str" cm="1">
        <f t="array" ref="AF25">IF(COUNTIFS('Raw Annual DMR Data'!L:L,$F25,'Raw Annual DMR Data'!W:W, "&gt;0")&gt;0,INDEX('Raw Annual DMR Data'!B:B,MATCH(1,($F25='Raw Annual DMR Data'!L:L)*($AE25='Raw Annual DMR Data'!W:W),0)), "N/A - No Daily Max DMR Discharge Data")</f>
        <v>N/A - No Daily Max DMR Discharge Data</v>
      </c>
      <c r="AG25" s="422"/>
      <c r="AH25" s="422"/>
      <c r="AI25" s="423"/>
    </row>
    <row r="26" spans="1:35" ht="45.75" thickBot="1" x14ac:dyDescent="0.3">
      <c r="A26" s="144" t="str">
        <f>VLOOKUP(F26,'Facility Summary'!J:K,2,FALSE)</f>
        <v>POTW</v>
      </c>
      <c r="B26" s="97" t="s">
        <v>116</v>
      </c>
      <c r="C26" s="28" t="s">
        <v>373</v>
      </c>
      <c r="D26" s="60" t="s">
        <v>374</v>
      </c>
      <c r="E26" s="60"/>
      <c r="F26" s="74">
        <v>110010062546</v>
      </c>
      <c r="G26" s="74" t="s">
        <v>800</v>
      </c>
      <c r="H26" s="63" t="s">
        <v>801</v>
      </c>
      <c r="I26" s="74">
        <v>15020016000585</v>
      </c>
      <c r="J26" s="74" t="s">
        <v>265</v>
      </c>
      <c r="K26" s="60">
        <f>VLOOKUP(A26, 'OES Summary'!$A:$B, 2, FALSE)</f>
        <v>365</v>
      </c>
      <c r="L26" s="304" cm="1">
        <f t="array" ref="L26">IF(COUNTIF('Raw Annual DMR Data'!$L:$L,$F26)&gt;0,MEDIAN(IF('Raw Annual DMR Data'!$L:$L=F26,'Raw Annual DMR Data'!$S:$S)),"N/A - Facility Does Not Report DMRs")</f>
        <v>9.4545908639999995E-2</v>
      </c>
      <c r="M26" s="156">
        <f t="shared" si="4"/>
        <v>2.5902988668493151E-4</v>
      </c>
      <c r="N26" s="156">
        <f>IF(COUNTIF('Raw Annual DMR Data'!$L:$L,$F26)&gt;0,_xlfn.MAXIFS('Raw Annual DMR Data'!$S:$S,'Raw Annual DMR Data'!$L:$L,$F26), "N/A - Facility Does Not Report DMRs")</f>
        <v>9.4545908639999995E-2</v>
      </c>
      <c r="O26" s="156">
        <f t="shared" si="5"/>
        <v>2.5902988668493151E-4</v>
      </c>
      <c r="P26" s="113" cm="1">
        <f t="array" ref="P26">IF(COUNTIF('Raw Annual DMR Data'!$L:$L,$F26)&gt;0,INDEX('Raw Annual DMR Data'!$B:$B,MATCH(1,($F26='Raw Annual DMR Data'!$L:$L)*($N26='Raw Annual DMR Data'!$S:$S),0)), "N/A - Facility Does Not Report DMRs")</f>
        <v>2016</v>
      </c>
      <c r="Q26" s="304" t="str" cm="1">
        <f t="array" ref="Q26">IF(COUNTIF('Raw TRI Data'!$J:$J,$E26)&gt;0,MEDIAN(IF('Raw TRI Data'!$J:$J=E26,'Raw TRI Data'!$S:$S)), "N/A - Facility Does Not Report to TRI")</f>
        <v>N/A - Facility Does Not Report to TRI</v>
      </c>
      <c r="R26" s="156" t="str">
        <f t="shared" si="2"/>
        <v>N/A - Facility Does Not Report to TRI</v>
      </c>
      <c r="S26" s="156" t="str">
        <f>IF(COUNTIF('Raw TRI Data'!$J:$J,$E26)&gt;0,_xlfn.MAXIFS('Raw TRI Data'!$S:$S,'Raw TRI Data'!$J:$J,$E26), "N/A - Facility Does Not Report to TRI")</f>
        <v>N/A - Facility Does Not Report to TRI</v>
      </c>
      <c r="T26" s="156" t="str">
        <f t="shared" si="3"/>
        <v>N/A - Facility Does Not Report to TRI</v>
      </c>
      <c r="U26" s="136" t="str" cm="1">
        <f t="array" ref="U26">IF(COUNTIF('Raw TRI Data'!$J:$J,$E26)&gt;0,INDEX('Raw TRI Data'!$A:$A,MATCH(1,($E26='Raw TRI Data'!$J:$J)*(S26='Raw TRI Data'!$S:$S),0)), "N/A - Facility Does Not Report to TRI")</f>
        <v>N/A - Facility Does Not Report to TRI</v>
      </c>
      <c r="V26" s="156" t="str" cm="1">
        <f t="array" ref="V26">IF(COUNTIFS('Raw Annual DMR Data'!$L:$L,$F26,'Raw Annual DMR Data'!$U:$U,"&gt;0")&gt;0,MEDIAN(IF('Raw Annual DMR Data'!$L:$L=$F26,'Raw Annual DMR Data'!$U:$U,"")),"N/A - Period DMR Data Not Available")</f>
        <v>N/A - Period DMR Data Not Available</v>
      </c>
      <c r="W26" s="156" t="str">
        <f>IF(COUNTIFS('Raw Annual DMR Data'!$L:$L,$F26, 'Raw Annual DMR Data'!$U:$U, "&gt;0")&gt;0,_xlfn.MAXIFS('Raw Annual DMR Data'!$U:$U,'Raw Annual DMR Data'!$L:$L,$F26), "N/A - Period DMR Data Not Available")</f>
        <v>N/A - Period DMR Data Not Available</v>
      </c>
      <c r="X26" s="113" t="str" cm="1">
        <f t="array" ref="X26">+IF(COUNTIFS('Raw Annual DMR Data'!L:L,$F26, 'Raw Annual DMR Data'!U:U, "&gt;0")&gt;0,INDEX('Raw Annual DMR Data'!V:V,MATCH(1,($F26='Raw Annual DMR Data'!L:L)*($W26='Raw Annual DMR Data'!U:U),0)), "N/A - Period DMR Data Not Available")</f>
        <v>N/A - Period DMR Data Not Available</v>
      </c>
      <c r="Y26" s="113" t="str" cm="1">
        <f t="array" ref="Y26">IF(COUNTIFS('Raw Annual DMR Data'!L:L,$F26, 'Raw Annual DMR Data'!U:U, "&gt;0")&gt;0,INDEX('Raw Annual DMR Data'!B:B,MATCH(1,($F26='Raw Annual DMR Data'!L:L)*($W26='Raw Annual DMR Data'!U:U),0)), "N/A - Period DMR Data Not Available")</f>
        <v>N/A - Period DMR Data Not Available</v>
      </c>
      <c r="Z26" s="311" t="str" cm="1">
        <f t="array" ref="Z26">IF(COUNTIF('Raw Annual DMR Data'!K:K,$E26)&gt;0,"N/A - See DMRs",IF(SUMIFS('Raw TRI Data'!$Z:$Z,'Raw TRI Data'!$J:$J,$E26)&gt;0,MEDIAN(IF('Raw TRI Data'!$J:$J=$E26,'Raw TRI Data'!$Z:$Z)), "N/A - Facility Does Not Report to TRI, no surface water releases, or no Generic Factors available"))</f>
        <v>N/A - Facility Does Not Report to TRI, no surface water releases, or no Generic Factors available</v>
      </c>
      <c r="AA26" s="156" t="str">
        <f>IF(COUNTIF('Raw Annual DMR Data'!K:K,$E26)&gt;0,"N/A - See DMRs",IF(SUMIFS('Raw TRI Data'!$Z:$Z,'Raw TRI Data'!$J:$J,$E26)&gt;0,_xlfn.MAXIFS('Raw TRI Data'!$Z:$Z,'Raw TRI Data'!$J:$J,$E26), "N/A - Facility Does Not Report to TRI, no surface water releases, or no Generic Factors available"))</f>
        <v>N/A - Facility Does Not Report to TRI, no surface water releases, or no Generic Factors available</v>
      </c>
      <c r="AB26" s="113" t="str">
        <f t="shared" si="6"/>
        <v>N/A</v>
      </c>
      <c r="AC26" s="136" t="str" cm="1">
        <f t="array" ref="AC26">IF(COUNTIF('Raw Annual DMR Data'!K:K,$E26)&gt;0,"N/A - See DMRs",IF(SUMIFS('Raw TRI Data'!$Z:$Z,'Raw TRI Data'!$J:$J,$E26)&gt;0,INDEX('Raw TRI Data'!$A:$A,MATCH(1,($E26='Raw TRI Data'!$J:$J)*($AA26='Raw TRI Data'!$Z:$Z),0)), "N/A - Facility Does Not Report to TRI, no surface water releases, or no Generic Factors available"))</f>
        <v>N/A - Facility Does Not Report to TRI, no surface water releases, or no Generic Factors available</v>
      </c>
      <c r="AD26" s="96" t="str" cm="1">
        <f t="array" ref="AD26">IF(COUNTIFS('Raw Annual DMR Data'!L:L,$F26,'Raw Annual DMR Data'!W:W, "&gt;0")&gt;0,MEDIAN(IF('Raw Annual DMR Data'!K:K=$F26, 'Raw Annual DMR Data'!W:W)), "N/A - No Daily Max DMR Discharge Data")</f>
        <v>N/A - No Daily Max DMR Discharge Data</v>
      </c>
      <c r="AE26" s="96" t="str">
        <f>IF(COUNTIFS('Raw Annual DMR Data'!L:L,$F26,'Raw Annual DMR Data'!W:W, "&gt;0")&gt;0,_xlfn.MAXIFS('Raw Annual DMR Data'!W:W,'Raw Annual DMR Data'!L:L,$F26), "N/A - No Daily Max DMR Discharge Data")</f>
        <v>N/A - No Daily Max DMR Discharge Data</v>
      </c>
      <c r="AF26" s="60" t="str" cm="1">
        <f t="array" ref="AF26">IF(COUNTIFS('Raw Annual DMR Data'!L:L,$F26,'Raw Annual DMR Data'!W:W, "&gt;0")&gt;0,INDEX('Raw Annual DMR Data'!B:B,MATCH(1,($F26='Raw Annual DMR Data'!L:L)*($AE26='Raw Annual DMR Data'!W:W),0)), "N/A - No Daily Max DMR Discharge Data")</f>
        <v>N/A - No Daily Max DMR Discharge Data</v>
      </c>
      <c r="AG26" s="422"/>
      <c r="AH26" s="422"/>
      <c r="AI26" s="423"/>
    </row>
    <row r="27" spans="1:35" ht="45.75" thickBot="1" x14ac:dyDescent="0.3">
      <c r="A27" s="144" t="str">
        <f>VLOOKUP(F27,'Facility Summary'!J:K,2,FALSE)</f>
        <v>Industrial and commercial non-aerosol cleaning/degreasing</v>
      </c>
      <c r="B27" s="97" t="s">
        <v>117</v>
      </c>
      <c r="C27" s="28" t="s">
        <v>376</v>
      </c>
      <c r="D27" s="60" t="s">
        <v>338</v>
      </c>
      <c r="E27" s="60"/>
      <c r="F27" s="74">
        <v>110001545070</v>
      </c>
      <c r="G27" s="74" t="s">
        <v>802</v>
      </c>
      <c r="H27" s="63" t="s">
        <v>803</v>
      </c>
      <c r="I27" s="74"/>
      <c r="J27" s="74" t="s">
        <v>265</v>
      </c>
      <c r="K27" s="60">
        <f>VLOOKUP(A27, 'OES Summary'!$A:$B, 2, FALSE)</f>
        <v>250</v>
      </c>
      <c r="L27" s="304" cm="1">
        <f t="array" ref="L27">IF(COUNTIF('Raw Annual DMR Data'!$L:$L,$F27)&gt;0,MEDIAN(IF('Raw Annual DMR Data'!$L:$L=F27,'Raw Annual DMR Data'!$S:$S)),"N/A - Facility Does Not Report DMRs")</f>
        <v>6.189093532083301E-5</v>
      </c>
      <c r="M27" s="156">
        <f t="shared" si="4"/>
        <v>2.4756374128333204E-7</v>
      </c>
      <c r="N27" s="156">
        <f>IF(COUNTIF('Raw Annual DMR Data'!$L:$L,$F27)&gt;0,_xlfn.MAXIFS('Raw Annual DMR Data'!$S:$S,'Raw Annual DMR Data'!$L:$L,$F27), "N/A - Facility Does Not Report DMRs")</f>
        <v>1.02466011046666E-4</v>
      </c>
      <c r="O27" s="156">
        <f t="shared" si="5"/>
        <v>4.0986404418666398E-7</v>
      </c>
      <c r="P27" s="113" cm="1">
        <f t="array" ref="P27">IF(COUNTIF('Raw Annual DMR Data'!$L:$L,$F27)&gt;0,INDEX('Raw Annual DMR Data'!$B:$B,MATCH(1,($F27='Raw Annual DMR Data'!$L:$L)*($N27='Raw Annual DMR Data'!$S:$S),0)), "N/A - Facility Does Not Report DMRs")</f>
        <v>2020</v>
      </c>
      <c r="Q27" s="304" t="str" cm="1">
        <f t="array" ref="Q27">IF(COUNTIF('Raw TRI Data'!$J:$J,$E27)&gt;0,MEDIAN(IF('Raw TRI Data'!$J:$J=E27,'Raw TRI Data'!$S:$S)), "N/A - Facility Does Not Report to TRI")</f>
        <v>N/A - Facility Does Not Report to TRI</v>
      </c>
      <c r="R27" s="156" t="str">
        <f t="shared" si="2"/>
        <v>N/A - Facility Does Not Report to TRI</v>
      </c>
      <c r="S27" s="156" t="str">
        <f>IF(COUNTIF('Raw TRI Data'!$J:$J,$E27)&gt;0,_xlfn.MAXIFS('Raw TRI Data'!$S:$S,'Raw TRI Data'!$J:$J,$E27), "N/A - Facility Does Not Report to TRI")</f>
        <v>N/A - Facility Does Not Report to TRI</v>
      </c>
      <c r="T27" s="156" t="str">
        <f t="shared" si="3"/>
        <v>N/A - Facility Does Not Report to TRI</v>
      </c>
      <c r="U27" s="136" t="str" cm="1">
        <f t="array" ref="U27">IF(COUNTIF('Raw TRI Data'!$J:$J,$E27)&gt;0,INDEX('Raw TRI Data'!$A:$A,MATCH(1,($E27='Raw TRI Data'!$J:$J)*(S27='Raw TRI Data'!$S:$S),0)), "N/A - Facility Does Not Report to TRI")</f>
        <v>N/A - Facility Does Not Report to TRI</v>
      </c>
      <c r="V27" s="156" t="str" cm="1">
        <f t="array" ref="V27">IF(COUNTIFS('Raw Annual DMR Data'!$L:$L,$F27,'Raw Annual DMR Data'!$U:$U,"&gt;0")&gt;0,MEDIAN(IF('Raw Annual DMR Data'!$L:$L=$F27,'Raw Annual DMR Data'!$U:$U,"")),"N/A - Period DMR Data Not Available")</f>
        <v>N/A - Period DMR Data Not Available</v>
      </c>
      <c r="W27" s="156" t="str">
        <f>IF(COUNTIFS('Raw Annual DMR Data'!$L:$L,$F27, 'Raw Annual DMR Data'!$U:$U, "&gt;0")&gt;0,_xlfn.MAXIFS('Raw Annual DMR Data'!$U:$U,'Raw Annual DMR Data'!$L:$L,$F27), "N/A - Period DMR Data Not Available")</f>
        <v>N/A - Period DMR Data Not Available</v>
      </c>
      <c r="X27" s="113" t="str" cm="1">
        <f t="array" ref="X27">+IF(COUNTIFS('Raw Annual DMR Data'!L:L,$F27, 'Raw Annual DMR Data'!U:U, "&gt;0")&gt;0,INDEX('Raw Annual DMR Data'!V:V,MATCH(1,($F27='Raw Annual DMR Data'!L:L)*($W27='Raw Annual DMR Data'!U:U),0)), "N/A - Period DMR Data Not Available")</f>
        <v>N/A - Period DMR Data Not Available</v>
      </c>
      <c r="Y27" s="113" t="str" cm="1">
        <f t="array" ref="Y27">IF(COUNTIFS('Raw Annual DMR Data'!L:L,$F27, 'Raw Annual DMR Data'!U:U, "&gt;0")&gt;0,INDEX('Raw Annual DMR Data'!B:B,MATCH(1,($F27='Raw Annual DMR Data'!L:L)*($W27='Raw Annual DMR Data'!U:U),0)), "N/A - Period DMR Data Not Available")</f>
        <v>N/A - Period DMR Data Not Available</v>
      </c>
      <c r="Z27" s="311" t="str" cm="1">
        <f t="array" ref="Z27">IF(COUNTIF('Raw Annual DMR Data'!K:K,$E27)&gt;0,"N/A - See DMRs",IF(SUMIFS('Raw TRI Data'!$Z:$Z,'Raw TRI Data'!$J:$J,$E27)&gt;0,MEDIAN(IF('Raw TRI Data'!$J:$J=$E27,'Raw TRI Data'!$Z:$Z)), "N/A - Facility Does Not Report to TRI, no surface water releases, or no Generic Factors available"))</f>
        <v>N/A - Facility Does Not Report to TRI, no surface water releases, or no Generic Factors available</v>
      </c>
      <c r="AA27" s="156" t="str">
        <f>IF(COUNTIF('Raw Annual DMR Data'!K:K,$E27)&gt;0,"N/A - See DMRs",IF(SUMIFS('Raw TRI Data'!$Z:$Z,'Raw TRI Data'!$J:$J,$E27)&gt;0,_xlfn.MAXIFS('Raw TRI Data'!$Z:$Z,'Raw TRI Data'!$J:$J,$E27), "N/A - Facility Does Not Report to TRI, no surface water releases, or no Generic Factors available"))</f>
        <v>N/A - Facility Does Not Report to TRI, no surface water releases, or no Generic Factors available</v>
      </c>
      <c r="AB27" s="113" t="str">
        <f t="shared" si="6"/>
        <v>N/A</v>
      </c>
      <c r="AC27" s="136" t="str" cm="1">
        <f t="array" ref="AC27">IF(COUNTIF('Raw Annual DMR Data'!K:K,$E27)&gt;0,"N/A - See DMRs",IF(SUMIFS('Raw TRI Data'!$Z:$Z,'Raw TRI Data'!$J:$J,$E27)&gt;0,INDEX('Raw TRI Data'!$A:$A,MATCH(1,($E27='Raw TRI Data'!$J:$J)*($AA27='Raw TRI Data'!$Z:$Z),0)), "N/A - Facility Does Not Report to TRI, no surface water releases, or no Generic Factors available"))</f>
        <v>N/A - Facility Does Not Report to TRI, no surface water releases, or no Generic Factors available</v>
      </c>
      <c r="AD27" s="96" t="str" cm="1">
        <f t="array" ref="AD27">IF(COUNTIFS('Raw Annual DMR Data'!L:L,$F27,'Raw Annual DMR Data'!W:W, "&gt;0")&gt;0,MEDIAN(IF('Raw Annual DMR Data'!K:K=$F27, 'Raw Annual DMR Data'!W:W)), "N/A - No Daily Max DMR Discharge Data")</f>
        <v>N/A - No Daily Max DMR Discharge Data</v>
      </c>
      <c r="AE27" s="96" t="str">
        <f>IF(COUNTIFS('Raw Annual DMR Data'!L:L,$F27,'Raw Annual DMR Data'!W:W, "&gt;0")&gt;0,_xlfn.MAXIFS('Raw Annual DMR Data'!W:W,'Raw Annual DMR Data'!L:L,$F27), "N/A - No Daily Max DMR Discharge Data")</f>
        <v>N/A - No Daily Max DMR Discharge Data</v>
      </c>
      <c r="AF27" s="60" t="str" cm="1">
        <f t="array" ref="AF27">IF(COUNTIFS('Raw Annual DMR Data'!L:L,$F27,'Raw Annual DMR Data'!W:W, "&gt;0")&gt;0,INDEX('Raw Annual DMR Data'!B:B,MATCH(1,($F27='Raw Annual DMR Data'!L:L)*($AE27='Raw Annual DMR Data'!W:W),0)), "N/A - No Daily Max DMR Discharge Data")</f>
        <v>N/A - No Daily Max DMR Discharge Data</v>
      </c>
      <c r="AG27" s="422"/>
      <c r="AH27" s="422"/>
      <c r="AI27" s="423"/>
    </row>
    <row r="28" spans="1:35" ht="45.75" thickBot="1" x14ac:dyDescent="0.3">
      <c r="A28" s="144" t="str">
        <f>VLOOKUP(F28,'Facility Summary'!J:K,2,FALSE)</f>
        <v>Repackaging</v>
      </c>
      <c r="B28" s="97" t="s">
        <v>118</v>
      </c>
      <c r="C28" s="28" t="s">
        <v>378</v>
      </c>
      <c r="D28" s="60" t="s">
        <v>362</v>
      </c>
      <c r="E28" s="60"/>
      <c r="F28" s="74">
        <v>110001866641</v>
      </c>
      <c r="G28" s="74" t="s">
        <v>804</v>
      </c>
      <c r="H28" s="63" t="s">
        <v>805</v>
      </c>
      <c r="I28" s="74">
        <v>12100401000758</v>
      </c>
      <c r="J28" s="74" t="s">
        <v>265</v>
      </c>
      <c r="K28" s="60">
        <f>VLOOKUP(A28, 'OES Summary'!$A:$B, 2, FALSE)</f>
        <v>250</v>
      </c>
      <c r="L28" s="304" cm="1">
        <f t="array" ref="L28">IF(COUNTIF('Raw Annual DMR Data'!$L:$L,$F28)&gt;0,MEDIAN(IF('Raw Annual DMR Data'!$L:$L=F28,'Raw Annual DMR Data'!$S:$S)),"N/A - Facility Does Not Report DMRs")</f>
        <v>6.9077877550000014E-2</v>
      </c>
      <c r="M28" s="156">
        <f t="shared" si="4"/>
        <v>2.7631151020000004E-4</v>
      </c>
      <c r="N28" s="156">
        <f>IF(COUNTIF('Raw Annual DMR Data'!$L:$L,$F28)&gt;0,_xlfn.MAXIFS('Raw Annual DMR Data'!$S:$S,'Raw Annual DMR Data'!$L:$L,$F28), "N/A - Facility Does Not Report DMRs")</f>
        <v>0.13293245510000001</v>
      </c>
      <c r="O28" s="156">
        <f t="shared" si="5"/>
        <v>5.317298204000001E-4</v>
      </c>
      <c r="P28" s="113" cm="1">
        <f t="array" ref="P28">IF(COUNTIF('Raw Annual DMR Data'!$L:$L,$F28)&gt;0,INDEX('Raw Annual DMR Data'!$B:$B,MATCH(1,($F28='Raw Annual DMR Data'!$L:$L)*($N28='Raw Annual DMR Data'!$S:$S),0)), "N/A - Facility Does Not Report DMRs")</f>
        <v>2020</v>
      </c>
      <c r="Q28" s="304" t="str" cm="1">
        <f t="array" ref="Q28">IF(COUNTIF('Raw TRI Data'!$J:$J,$E28)&gt;0,MEDIAN(IF('Raw TRI Data'!$J:$J=E28,'Raw TRI Data'!$S:$S)), "N/A - Facility Does Not Report to TRI")</f>
        <v>N/A - Facility Does Not Report to TRI</v>
      </c>
      <c r="R28" s="156" t="str">
        <f t="shared" si="2"/>
        <v>N/A - Facility Does Not Report to TRI</v>
      </c>
      <c r="S28" s="156" t="str">
        <f>IF(COUNTIF('Raw TRI Data'!$J:$J,$E28)&gt;0,_xlfn.MAXIFS('Raw TRI Data'!$S:$S,'Raw TRI Data'!$J:$J,$E28), "N/A - Facility Does Not Report to TRI")</f>
        <v>N/A - Facility Does Not Report to TRI</v>
      </c>
      <c r="T28" s="156" t="str">
        <f t="shared" si="3"/>
        <v>N/A - Facility Does Not Report to TRI</v>
      </c>
      <c r="U28" s="136" t="str" cm="1">
        <f t="array" ref="U28">IF(COUNTIF('Raw TRI Data'!$J:$J,$E28)&gt;0,INDEX('Raw TRI Data'!$A:$A,MATCH(1,($E28='Raw TRI Data'!$J:$J)*(S28='Raw TRI Data'!$S:$S),0)), "N/A - Facility Does Not Report to TRI")</f>
        <v>N/A - Facility Does Not Report to TRI</v>
      </c>
      <c r="V28" s="156" t="str" cm="1">
        <f t="array" ref="V28">IF(COUNTIFS('Raw Annual DMR Data'!$L:$L,$F28,'Raw Annual DMR Data'!$U:$U,"&gt;0")&gt;0,MEDIAN(IF('Raw Annual DMR Data'!$L:$L=$F28,'Raw Annual DMR Data'!$U:$U,"")),"N/A - Period DMR Data Not Available")</f>
        <v>N/A - Period DMR Data Not Available</v>
      </c>
      <c r="W28" s="156" t="str">
        <f>IF(COUNTIFS('Raw Annual DMR Data'!$L:$L,$F28, 'Raw Annual DMR Data'!$U:$U, "&gt;0")&gt;0,_xlfn.MAXIFS('Raw Annual DMR Data'!$U:$U,'Raw Annual DMR Data'!$L:$L,$F28), "N/A - Period DMR Data Not Available")</f>
        <v>N/A - Period DMR Data Not Available</v>
      </c>
      <c r="X28" s="113" t="str" cm="1">
        <f t="array" ref="X28">+IF(COUNTIFS('Raw Annual DMR Data'!L:L,$F28, 'Raw Annual DMR Data'!U:U, "&gt;0")&gt;0,INDEX('Raw Annual DMR Data'!V:V,MATCH(1,($F28='Raw Annual DMR Data'!L:L)*($W28='Raw Annual DMR Data'!U:U),0)), "N/A - Period DMR Data Not Available")</f>
        <v>N/A - Period DMR Data Not Available</v>
      </c>
      <c r="Y28" s="113" t="str" cm="1">
        <f t="array" ref="Y28">IF(COUNTIFS('Raw Annual DMR Data'!L:L,$F28, 'Raw Annual DMR Data'!U:U, "&gt;0")&gt;0,INDEX('Raw Annual DMR Data'!B:B,MATCH(1,($F28='Raw Annual DMR Data'!L:L)*($W28='Raw Annual DMR Data'!U:U),0)), "N/A - Period DMR Data Not Available")</f>
        <v>N/A - Period DMR Data Not Available</v>
      </c>
      <c r="Z28" s="311" t="str" cm="1">
        <f t="array" ref="Z28">IF(COUNTIF('Raw Annual DMR Data'!K:K,$E28)&gt;0,"N/A - See DMRs",IF(SUMIFS('Raw TRI Data'!$Z:$Z,'Raw TRI Data'!$J:$J,$E28)&gt;0,MEDIAN(IF('Raw TRI Data'!$J:$J=$E28,'Raw TRI Data'!$Z:$Z)), "N/A - Facility Does Not Report to TRI, no surface water releases, or no Generic Factors available"))</f>
        <v>N/A - Facility Does Not Report to TRI, no surface water releases, or no Generic Factors available</v>
      </c>
      <c r="AA28" s="156" t="str">
        <f>IF(COUNTIF('Raw Annual DMR Data'!K:K,$E28)&gt;0,"N/A - See DMRs",IF(SUMIFS('Raw TRI Data'!$Z:$Z,'Raw TRI Data'!$J:$J,$E28)&gt;0,_xlfn.MAXIFS('Raw TRI Data'!$Z:$Z,'Raw TRI Data'!$J:$J,$E28), "N/A - Facility Does Not Report to TRI, no surface water releases, or no Generic Factors available"))</f>
        <v>N/A - Facility Does Not Report to TRI, no surface water releases, or no Generic Factors available</v>
      </c>
      <c r="AB28" s="113" t="str">
        <f t="shared" si="6"/>
        <v>N/A</v>
      </c>
      <c r="AC28" s="136" t="str" cm="1">
        <f t="array" ref="AC28">IF(COUNTIF('Raw Annual DMR Data'!K:K,$E28)&gt;0,"N/A - See DMRs",IF(SUMIFS('Raw TRI Data'!$Z:$Z,'Raw TRI Data'!$J:$J,$E28)&gt;0,INDEX('Raw TRI Data'!$A:$A,MATCH(1,($E28='Raw TRI Data'!$J:$J)*($AA28='Raw TRI Data'!$Z:$Z),0)), "N/A - Facility Does Not Report to TRI, no surface water releases, or no Generic Factors available"))</f>
        <v>N/A - Facility Does Not Report to TRI, no surface water releases, or no Generic Factors available</v>
      </c>
      <c r="AD28" s="96" t="str" cm="1">
        <f t="array" ref="AD28">IF(COUNTIFS('Raw Annual DMR Data'!L:L,$F28,'Raw Annual DMR Data'!W:W, "&gt;0")&gt;0,MEDIAN(IF('Raw Annual DMR Data'!K:K=$F28, 'Raw Annual DMR Data'!W:W)), "N/A - No Daily Max DMR Discharge Data")</f>
        <v>N/A - No Daily Max DMR Discharge Data</v>
      </c>
      <c r="AE28" s="96" t="str">
        <f>IF(COUNTIFS('Raw Annual DMR Data'!L:L,$F28,'Raw Annual DMR Data'!W:W, "&gt;0")&gt;0,_xlfn.MAXIFS('Raw Annual DMR Data'!W:W,'Raw Annual DMR Data'!L:L,$F28), "N/A - No Daily Max DMR Discharge Data")</f>
        <v>N/A - No Daily Max DMR Discharge Data</v>
      </c>
      <c r="AF28" s="60" t="str" cm="1">
        <f t="array" ref="AF28">IF(COUNTIFS('Raw Annual DMR Data'!L:L,$F28,'Raw Annual DMR Data'!W:W, "&gt;0")&gt;0,INDEX('Raw Annual DMR Data'!B:B,MATCH(1,($F28='Raw Annual DMR Data'!L:L)*($AE28='Raw Annual DMR Data'!W:W),0)), "N/A - No Daily Max DMR Discharge Data")</f>
        <v>N/A - No Daily Max DMR Discharge Data</v>
      </c>
      <c r="AG28" s="422"/>
      <c r="AH28" s="422"/>
      <c r="AI28" s="423"/>
    </row>
    <row r="29" spans="1:35" ht="45.75" thickBot="1" x14ac:dyDescent="0.3">
      <c r="A29" s="144" t="str">
        <f>VLOOKUP(F29,'Facility Summary'!J:K,2,FALSE)</f>
        <v>Repackaging</v>
      </c>
      <c r="B29" s="97" t="s">
        <v>119</v>
      </c>
      <c r="C29" s="28" t="s">
        <v>381</v>
      </c>
      <c r="D29" s="60" t="s">
        <v>338</v>
      </c>
      <c r="E29" s="60"/>
      <c r="F29" s="74">
        <v>110009721836</v>
      </c>
      <c r="G29" s="74" t="s">
        <v>806</v>
      </c>
      <c r="H29" s="63" t="s">
        <v>807</v>
      </c>
      <c r="I29" s="74">
        <v>2040202002003</v>
      </c>
      <c r="J29" s="74" t="s">
        <v>265</v>
      </c>
      <c r="K29" s="60">
        <f>VLOOKUP(A29, 'OES Summary'!$A:$B, 2, FALSE)</f>
        <v>250</v>
      </c>
      <c r="L29" s="304" cm="1">
        <f t="array" ref="L29">IF(COUNTIF('Raw Annual DMR Data'!$L:$L,$F29)&gt;0,MEDIAN(IF('Raw Annual DMR Data'!$L:$L=F29,'Raw Annual DMR Data'!$S:$S)),"N/A - Facility Does Not Report DMRs")</f>
        <v>3.5254381912269601E-2</v>
      </c>
      <c r="M29" s="156">
        <f t="shared" si="4"/>
        <v>1.4101752764907841E-4</v>
      </c>
      <c r="N29" s="156">
        <f>IF(COUNTIF('Raw Annual DMR Data'!$L:$L,$F29)&gt;0,_xlfn.MAXIFS('Raw Annual DMR Data'!$S:$S,'Raw Annual DMR Data'!$L:$L,$F29), "N/A - Facility Does Not Report DMRs")</f>
        <v>0.10107306479655</v>
      </c>
      <c r="O29" s="156">
        <f t="shared" si="5"/>
        <v>4.0429225918620001E-4</v>
      </c>
      <c r="P29" s="113" cm="1">
        <f t="array" ref="P29">IF(COUNTIF('Raw Annual DMR Data'!$L:$L,$F29)&gt;0,INDEX('Raw Annual DMR Data'!$B:$B,MATCH(1,($F29='Raw Annual DMR Data'!$L:$L)*($N29='Raw Annual DMR Data'!$S:$S),0)), "N/A - Facility Does Not Report DMRs")</f>
        <v>2020</v>
      </c>
      <c r="Q29" s="304" t="str" cm="1">
        <f t="array" ref="Q29">IF(COUNTIF('Raw TRI Data'!$J:$J,$E29)&gt;0,MEDIAN(IF('Raw TRI Data'!$J:$J=E29,'Raw TRI Data'!$S:$S)), "N/A - Facility Does Not Report to TRI")</f>
        <v>N/A - Facility Does Not Report to TRI</v>
      </c>
      <c r="R29" s="156" t="str">
        <f t="shared" si="2"/>
        <v>N/A - Facility Does Not Report to TRI</v>
      </c>
      <c r="S29" s="156" t="str">
        <f>IF(COUNTIF('Raw TRI Data'!$J:$J,$E29)&gt;0,_xlfn.MAXIFS('Raw TRI Data'!$S:$S,'Raw TRI Data'!$J:$J,$E29), "N/A - Facility Does Not Report to TRI")</f>
        <v>N/A - Facility Does Not Report to TRI</v>
      </c>
      <c r="T29" s="156" t="str">
        <f t="shared" si="3"/>
        <v>N/A - Facility Does Not Report to TRI</v>
      </c>
      <c r="U29" s="136" t="str" cm="1">
        <f t="array" ref="U29">IF(COUNTIF('Raw TRI Data'!$J:$J,$E29)&gt;0,INDEX('Raw TRI Data'!$A:$A,MATCH(1,($E29='Raw TRI Data'!$J:$J)*(S29='Raw TRI Data'!$S:$S),0)), "N/A - Facility Does Not Report to TRI")</f>
        <v>N/A - Facility Does Not Report to TRI</v>
      </c>
      <c r="V29" s="156" t="str" cm="1">
        <f t="array" ref="V29">IF(COUNTIFS('Raw Annual DMR Data'!$L:$L,$F29,'Raw Annual DMR Data'!$U:$U,"&gt;0")&gt;0,MEDIAN(IF('Raw Annual DMR Data'!$L:$L=$F29,'Raw Annual DMR Data'!$U:$U,"")),"N/A - Period DMR Data Not Available")</f>
        <v>N/A - Period DMR Data Not Available</v>
      </c>
      <c r="W29" s="156" t="str">
        <f>IF(COUNTIFS('Raw Annual DMR Data'!$L:$L,$F29, 'Raw Annual DMR Data'!$U:$U, "&gt;0")&gt;0,_xlfn.MAXIFS('Raw Annual DMR Data'!$U:$U,'Raw Annual DMR Data'!$L:$L,$F29), "N/A - Period DMR Data Not Available")</f>
        <v>N/A - Period DMR Data Not Available</v>
      </c>
      <c r="X29" s="113" t="str" cm="1">
        <f t="array" ref="X29">+IF(COUNTIFS('Raw Annual DMR Data'!L:L,$F29, 'Raw Annual DMR Data'!U:U, "&gt;0")&gt;0,INDEX('Raw Annual DMR Data'!V:V,MATCH(1,($F29='Raw Annual DMR Data'!L:L)*($W29='Raw Annual DMR Data'!U:U),0)), "N/A - Period DMR Data Not Available")</f>
        <v>N/A - Period DMR Data Not Available</v>
      </c>
      <c r="Y29" s="113" t="str" cm="1">
        <f t="array" ref="Y29">IF(COUNTIFS('Raw Annual DMR Data'!L:L,$F29, 'Raw Annual DMR Data'!U:U, "&gt;0")&gt;0,INDEX('Raw Annual DMR Data'!B:B,MATCH(1,($F29='Raw Annual DMR Data'!L:L)*($W29='Raw Annual DMR Data'!U:U),0)), "N/A - Period DMR Data Not Available")</f>
        <v>N/A - Period DMR Data Not Available</v>
      </c>
      <c r="Z29" s="311" t="str" cm="1">
        <f t="array" ref="Z29">IF(COUNTIF('Raw Annual DMR Data'!K:K,$E29)&gt;0,"N/A - See DMRs",IF(SUMIFS('Raw TRI Data'!$Z:$Z,'Raw TRI Data'!$J:$J,$E29)&gt;0,MEDIAN(IF('Raw TRI Data'!$J:$J=$E29,'Raw TRI Data'!$Z:$Z)), "N/A - Facility Does Not Report to TRI, no surface water releases, or no Generic Factors available"))</f>
        <v>N/A - Facility Does Not Report to TRI, no surface water releases, or no Generic Factors available</v>
      </c>
      <c r="AA29" s="156" t="str">
        <f>IF(COUNTIF('Raw Annual DMR Data'!K:K,$E29)&gt;0,"N/A - See DMRs",IF(SUMIFS('Raw TRI Data'!$Z:$Z,'Raw TRI Data'!$J:$J,$E29)&gt;0,_xlfn.MAXIFS('Raw TRI Data'!$Z:$Z,'Raw TRI Data'!$J:$J,$E29), "N/A - Facility Does Not Report to TRI, no surface water releases, or no Generic Factors available"))</f>
        <v>N/A - Facility Does Not Report to TRI, no surface water releases, or no Generic Factors available</v>
      </c>
      <c r="AB29" s="113" t="str">
        <f t="shared" si="6"/>
        <v>N/A</v>
      </c>
      <c r="AC29" s="136" t="str" cm="1">
        <f t="array" ref="AC29">IF(COUNTIF('Raw Annual DMR Data'!K:K,$E29)&gt;0,"N/A - See DMRs",IF(SUMIFS('Raw TRI Data'!$Z:$Z,'Raw TRI Data'!$J:$J,$E29)&gt;0,INDEX('Raw TRI Data'!$A:$A,MATCH(1,($E29='Raw TRI Data'!$J:$J)*($AA29='Raw TRI Data'!$Z:$Z),0)), "N/A - Facility Does Not Report to TRI, no surface water releases, or no Generic Factors available"))</f>
        <v>N/A - Facility Does Not Report to TRI, no surface water releases, or no Generic Factors available</v>
      </c>
      <c r="AD29" s="96" t="str" cm="1">
        <f t="array" ref="AD29">IF(COUNTIFS('Raw Annual DMR Data'!L:L,$F29,'Raw Annual DMR Data'!W:W, "&gt;0")&gt;0,MEDIAN(IF('Raw Annual DMR Data'!K:K=$F29, 'Raw Annual DMR Data'!W:W)), "N/A - No Daily Max DMR Discharge Data")</f>
        <v>N/A - No Daily Max DMR Discharge Data</v>
      </c>
      <c r="AE29" s="96" t="str">
        <f>IF(COUNTIFS('Raw Annual DMR Data'!L:L,$F29,'Raw Annual DMR Data'!W:W, "&gt;0")&gt;0,_xlfn.MAXIFS('Raw Annual DMR Data'!W:W,'Raw Annual DMR Data'!L:L,$F29), "N/A - No Daily Max DMR Discharge Data")</f>
        <v>N/A - No Daily Max DMR Discharge Data</v>
      </c>
      <c r="AF29" s="60" t="str" cm="1">
        <f t="array" ref="AF29">IF(COUNTIFS('Raw Annual DMR Data'!L:L,$F29,'Raw Annual DMR Data'!W:W, "&gt;0")&gt;0,INDEX('Raw Annual DMR Data'!B:B,MATCH(1,($F29='Raw Annual DMR Data'!L:L)*($AE29='Raw Annual DMR Data'!W:W),0)), "N/A - No Daily Max DMR Discharge Data")</f>
        <v>N/A - No Daily Max DMR Discharge Data</v>
      </c>
      <c r="AG29" s="422"/>
      <c r="AH29" s="422"/>
      <c r="AI29" s="423"/>
    </row>
    <row r="30" spans="1:35" ht="45.75" thickBot="1" x14ac:dyDescent="0.3">
      <c r="A30" s="144" t="str">
        <f>VLOOKUP(F30,'Facility Summary'!J:K,2,FALSE)</f>
        <v>Waste Handling, Disposal and Treatment (Incinerator)</v>
      </c>
      <c r="B30" s="97" t="s">
        <v>120</v>
      </c>
      <c r="C30" s="28" t="s">
        <v>384</v>
      </c>
      <c r="D30" s="60" t="s">
        <v>385</v>
      </c>
      <c r="E30" s="60"/>
      <c r="F30" s="74">
        <v>110069343954</v>
      </c>
      <c r="G30" s="74" t="s">
        <v>808</v>
      </c>
      <c r="H30" s="63" t="s">
        <v>809</v>
      </c>
      <c r="I30" s="74">
        <v>11030017000357</v>
      </c>
      <c r="J30" s="74" t="s">
        <v>265</v>
      </c>
      <c r="K30" s="60">
        <f>VLOOKUP(A30, 'OES Summary'!$A:$B, 2, FALSE)</f>
        <v>250</v>
      </c>
      <c r="L30" s="304" cm="1">
        <f t="array" ref="L30">IF(COUNTIF('Raw Annual DMR Data'!$L:$L,$F30)&gt;0,MEDIAN(IF('Raw Annual DMR Data'!$L:$L=F30,'Raw Annual DMR Data'!$S:$S)),"N/A - Facility Does Not Report DMRs")</f>
        <v>3.9494960999999999E-3</v>
      </c>
      <c r="M30" s="156">
        <f t="shared" si="4"/>
        <v>1.57979844E-5</v>
      </c>
      <c r="N30" s="156">
        <f>IF(COUNTIF('Raw Annual DMR Data'!$L:$L,$F30)&gt;0,_xlfn.MAXIFS('Raw Annual DMR Data'!$S:$S,'Raw Annual DMR Data'!$L:$L,$F30), "N/A - Facility Does Not Report DMRs")</f>
        <v>3.9494960999999999E-3</v>
      </c>
      <c r="O30" s="156">
        <f t="shared" si="5"/>
        <v>1.57979844E-5</v>
      </c>
      <c r="P30" s="113" cm="1">
        <f t="array" ref="P30">IF(COUNTIF('Raw Annual DMR Data'!$L:$L,$F30)&gt;0,INDEX('Raw Annual DMR Data'!$B:$B,MATCH(1,($F30='Raw Annual DMR Data'!$L:$L)*($N30='Raw Annual DMR Data'!$S:$S),0)), "N/A - Facility Does Not Report DMRs")</f>
        <v>2019</v>
      </c>
      <c r="Q30" s="304" t="str" cm="1">
        <f t="array" ref="Q30">IF(COUNTIF('Raw TRI Data'!$J:$J,$E30)&gt;0,MEDIAN(IF('Raw TRI Data'!$J:$J=E30,'Raw TRI Data'!$S:$S)), "N/A - Facility Does Not Report to TRI")</f>
        <v>N/A - Facility Does Not Report to TRI</v>
      </c>
      <c r="R30" s="156" t="str">
        <f t="shared" si="2"/>
        <v>N/A - Facility Does Not Report to TRI</v>
      </c>
      <c r="S30" s="156" t="str">
        <f>IF(COUNTIF('Raw TRI Data'!$J:$J,$E30)&gt;0,_xlfn.MAXIFS('Raw TRI Data'!$S:$S,'Raw TRI Data'!$J:$J,$E30), "N/A - Facility Does Not Report to TRI")</f>
        <v>N/A - Facility Does Not Report to TRI</v>
      </c>
      <c r="T30" s="156" t="str">
        <f t="shared" si="3"/>
        <v>N/A - Facility Does Not Report to TRI</v>
      </c>
      <c r="U30" s="136" t="str" cm="1">
        <f t="array" ref="U30">IF(COUNTIF('Raw TRI Data'!$J:$J,$E30)&gt;0,INDEX('Raw TRI Data'!$A:$A,MATCH(1,($E30='Raw TRI Data'!$J:$J)*(S30='Raw TRI Data'!$S:$S),0)), "N/A - Facility Does Not Report to TRI")</f>
        <v>N/A - Facility Does Not Report to TRI</v>
      </c>
      <c r="V30" s="156" t="str" cm="1">
        <f t="array" ref="V30">IF(COUNTIFS('Raw Annual DMR Data'!$L:$L,$F30,'Raw Annual DMR Data'!$U:$U,"&gt;0")&gt;0,MEDIAN(IF('Raw Annual DMR Data'!$L:$L=$F30,'Raw Annual DMR Data'!$U:$U,"")),"N/A - Period DMR Data Not Available")</f>
        <v>N/A - Period DMR Data Not Available</v>
      </c>
      <c r="W30" s="156" t="str">
        <f>IF(COUNTIFS('Raw Annual DMR Data'!$L:$L,$F30, 'Raw Annual DMR Data'!$U:$U, "&gt;0")&gt;0,_xlfn.MAXIFS('Raw Annual DMR Data'!$U:$U,'Raw Annual DMR Data'!$L:$L,$F30), "N/A - Period DMR Data Not Available")</f>
        <v>N/A - Period DMR Data Not Available</v>
      </c>
      <c r="X30" s="113" t="str" cm="1">
        <f t="array" ref="X30">+IF(COUNTIFS('Raw Annual DMR Data'!L:L,$F30, 'Raw Annual DMR Data'!U:U, "&gt;0")&gt;0,INDEX('Raw Annual DMR Data'!V:V,MATCH(1,($F30='Raw Annual DMR Data'!L:L)*($W30='Raw Annual DMR Data'!U:U),0)), "N/A - Period DMR Data Not Available")</f>
        <v>N/A - Period DMR Data Not Available</v>
      </c>
      <c r="Y30" s="113" t="str" cm="1">
        <f t="array" ref="Y30">IF(COUNTIFS('Raw Annual DMR Data'!L:L,$F30, 'Raw Annual DMR Data'!U:U, "&gt;0")&gt;0,INDEX('Raw Annual DMR Data'!B:B,MATCH(1,($F30='Raw Annual DMR Data'!L:L)*($W30='Raw Annual DMR Data'!U:U),0)), "N/A - Period DMR Data Not Available")</f>
        <v>N/A - Period DMR Data Not Available</v>
      </c>
      <c r="Z30" s="311" t="str" cm="1">
        <f t="array" ref="Z30">IF(COUNTIF('Raw Annual DMR Data'!K:K,$E30)&gt;0,"N/A - See DMRs",IF(SUMIFS('Raw TRI Data'!$Z:$Z,'Raw TRI Data'!$J:$J,$E30)&gt;0,MEDIAN(IF('Raw TRI Data'!$J:$J=$E30,'Raw TRI Data'!$Z:$Z)), "N/A - Facility Does Not Report to TRI, no surface water releases, or no Generic Factors available"))</f>
        <v>N/A - Facility Does Not Report to TRI, no surface water releases, or no Generic Factors available</v>
      </c>
      <c r="AA30" s="156" t="str">
        <f>IF(COUNTIF('Raw Annual DMR Data'!K:K,$E30)&gt;0,"N/A - See DMRs",IF(SUMIFS('Raw TRI Data'!$Z:$Z,'Raw TRI Data'!$J:$J,$E30)&gt;0,_xlfn.MAXIFS('Raw TRI Data'!$Z:$Z,'Raw TRI Data'!$J:$J,$E30), "N/A - Facility Does Not Report to TRI, no surface water releases, or no Generic Factors available"))</f>
        <v>N/A - Facility Does Not Report to TRI, no surface water releases, or no Generic Factors available</v>
      </c>
      <c r="AB30" s="113" t="str">
        <f t="shared" si="6"/>
        <v>N/A</v>
      </c>
      <c r="AC30" s="136" t="str" cm="1">
        <f t="array" ref="AC30">IF(COUNTIF('Raw Annual DMR Data'!K:K,$E30)&gt;0,"N/A - See DMRs",IF(SUMIFS('Raw TRI Data'!$Z:$Z,'Raw TRI Data'!$J:$J,$E30)&gt;0,INDEX('Raw TRI Data'!$A:$A,MATCH(1,($E30='Raw TRI Data'!$J:$J)*($AA30='Raw TRI Data'!$Z:$Z),0)), "N/A - Facility Does Not Report to TRI, no surface water releases, or no Generic Factors available"))</f>
        <v>N/A - Facility Does Not Report to TRI, no surface water releases, or no Generic Factors available</v>
      </c>
      <c r="AD30" s="96" t="str" cm="1">
        <f t="array" ref="AD30">IF(COUNTIFS('Raw Annual DMR Data'!L:L,$F30,'Raw Annual DMR Data'!W:W, "&gt;0")&gt;0,MEDIAN(IF('Raw Annual DMR Data'!K:K=$F30, 'Raw Annual DMR Data'!W:W)), "N/A - No Daily Max DMR Discharge Data")</f>
        <v>N/A - No Daily Max DMR Discharge Data</v>
      </c>
      <c r="AE30" s="96" t="str">
        <f>IF(COUNTIFS('Raw Annual DMR Data'!L:L,$F30,'Raw Annual DMR Data'!W:W, "&gt;0")&gt;0,_xlfn.MAXIFS('Raw Annual DMR Data'!W:W,'Raw Annual DMR Data'!L:L,$F30), "N/A - No Daily Max DMR Discharge Data")</f>
        <v>N/A - No Daily Max DMR Discharge Data</v>
      </c>
      <c r="AF30" s="60" t="str" cm="1">
        <f t="array" ref="AF30">IF(COUNTIFS('Raw Annual DMR Data'!L:L,$F30,'Raw Annual DMR Data'!W:W, "&gt;0")&gt;0,INDEX('Raw Annual DMR Data'!B:B,MATCH(1,($F30='Raw Annual DMR Data'!L:L)*($AE30='Raw Annual DMR Data'!W:W),0)), "N/A - No Daily Max DMR Discharge Data")</f>
        <v>N/A - No Daily Max DMR Discharge Data</v>
      </c>
      <c r="AG30" s="422"/>
      <c r="AH30" s="422"/>
      <c r="AI30" s="423"/>
    </row>
    <row r="31" spans="1:35" ht="45.75" thickBot="1" x14ac:dyDescent="0.3">
      <c r="A31" s="144" t="str">
        <f>VLOOKUP(F31,'Facility Summary'!J:K,2,FALSE)</f>
        <v>Processing into formulation, mixture, or reaction product</v>
      </c>
      <c r="B31" s="97" t="s">
        <v>121</v>
      </c>
      <c r="C31" s="28" t="s">
        <v>388</v>
      </c>
      <c r="D31" s="60" t="s">
        <v>362</v>
      </c>
      <c r="E31" s="60" t="s">
        <v>389</v>
      </c>
      <c r="F31" s="74">
        <v>110034393378</v>
      </c>
      <c r="G31" s="74" t="s">
        <v>810</v>
      </c>
      <c r="H31" s="63" t="s">
        <v>811</v>
      </c>
      <c r="I31" s="74">
        <v>12040201000733</v>
      </c>
      <c r="J31" s="74" t="s">
        <v>265</v>
      </c>
      <c r="K31" s="60">
        <f>VLOOKUP(A31, 'OES Summary'!$A:$B, 2, FALSE)</f>
        <v>300</v>
      </c>
      <c r="L31" s="304" cm="1">
        <f t="array" ref="L31">IF(COUNTIF('Raw Annual DMR Data'!$L:$L,$F31)&gt;0,MEDIAN(IF('Raw Annual DMR Data'!$L:$L=F31,'Raw Annual DMR Data'!$S:$S)),"N/A - Facility Does Not Report DMRs")</f>
        <v>7.1836734693877498</v>
      </c>
      <c r="M31" s="156">
        <f t="shared" si="4"/>
        <v>2.3945578231292498E-2</v>
      </c>
      <c r="N31" s="156">
        <f>IF(COUNTIF('Raw Annual DMR Data'!$L:$L,$F31)&gt;0,_xlfn.MAXIFS('Raw Annual DMR Data'!$S:$S,'Raw Annual DMR Data'!$L:$L,$F31), "N/A - Facility Does Not Report DMRs")</f>
        <v>7.1836734693877498</v>
      </c>
      <c r="O31" s="156">
        <f t="shared" si="5"/>
        <v>2.3945578231292498E-2</v>
      </c>
      <c r="P31" s="113" cm="1">
        <f t="array" ref="P31">IF(COUNTIF('Raw Annual DMR Data'!$L:$L,$F31)&gt;0,INDEX('Raw Annual DMR Data'!$B:$B,MATCH(1,($F31='Raw Annual DMR Data'!$L:$L)*($N31='Raw Annual DMR Data'!$S:$S),0)), "N/A - Facility Does Not Report DMRs")</f>
        <v>2015</v>
      </c>
      <c r="Q31" s="304" t="str" cm="1">
        <f t="array" ref="Q31">IF(COUNTIF('Raw TRI Data'!$J:$J,$E31)&gt;0,MEDIAN(IF('Raw TRI Data'!$J:$J=E31,'Raw TRI Data'!$S:$S)), "N/A - Facility Does Not Report to TRI")</f>
        <v>N/A - Facility Does Not Report to TRI</v>
      </c>
      <c r="R31" s="156" t="str">
        <f t="shared" si="2"/>
        <v>N/A - Facility Does Not Report to TRI</v>
      </c>
      <c r="S31" s="156" t="str">
        <f>IF(COUNTIF('Raw TRI Data'!$J:$J,$E31)&gt;0,_xlfn.MAXIFS('Raw TRI Data'!$S:$S,'Raw TRI Data'!$J:$J,$E31), "N/A - Facility Does Not Report to TRI")</f>
        <v>N/A - Facility Does Not Report to TRI</v>
      </c>
      <c r="T31" s="156" t="str">
        <f t="shared" si="3"/>
        <v>N/A - Facility Does Not Report to TRI</v>
      </c>
      <c r="U31" s="136" t="str" cm="1">
        <f t="array" ref="U31">IF(COUNTIF('Raw TRI Data'!$J:$J,$E31)&gt;0,INDEX('Raw TRI Data'!$A:$A,MATCH(1,($E31='Raw TRI Data'!$J:$J)*(S31='Raw TRI Data'!$S:$S),0)), "N/A - Facility Does Not Report to TRI")</f>
        <v>N/A - Facility Does Not Report to TRI</v>
      </c>
      <c r="V31" s="156" t="str" cm="1">
        <f t="array" ref="V31">IF(COUNTIFS('Raw Annual DMR Data'!$L:$L,$F31,'Raw Annual DMR Data'!$U:$U,"&gt;0")&gt;0,MEDIAN(IF('Raw Annual DMR Data'!$L:$L=$F31,'Raw Annual DMR Data'!$U:$U,"")),"N/A - Period DMR Data Not Available")</f>
        <v>N/A - Period DMR Data Not Available</v>
      </c>
      <c r="W31" s="156" t="str">
        <f>IF(COUNTIFS('Raw Annual DMR Data'!$L:$L,$F31, 'Raw Annual DMR Data'!$U:$U, "&gt;0")&gt;0,_xlfn.MAXIFS('Raw Annual DMR Data'!$U:$U,'Raw Annual DMR Data'!$L:$L,$F31), "N/A - Period DMR Data Not Available")</f>
        <v>N/A - Period DMR Data Not Available</v>
      </c>
      <c r="X31" s="113" t="str" cm="1">
        <f t="array" ref="X31">+IF(COUNTIFS('Raw Annual DMR Data'!L:L,$F31, 'Raw Annual DMR Data'!U:U, "&gt;0")&gt;0,INDEX('Raw Annual DMR Data'!V:V,MATCH(1,($F31='Raw Annual DMR Data'!L:L)*($W31='Raw Annual DMR Data'!U:U),0)), "N/A - Period DMR Data Not Available")</f>
        <v>N/A - Period DMR Data Not Available</v>
      </c>
      <c r="Y31" s="113" t="str" cm="1">
        <f t="array" ref="Y31">IF(COUNTIFS('Raw Annual DMR Data'!L:L,$F31, 'Raw Annual DMR Data'!U:U, "&gt;0")&gt;0,INDEX('Raw Annual DMR Data'!B:B,MATCH(1,($F31='Raw Annual DMR Data'!L:L)*($W31='Raw Annual DMR Data'!U:U),0)), "N/A - Period DMR Data Not Available")</f>
        <v>N/A - Period DMR Data Not Available</v>
      </c>
      <c r="Z31" s="311" t="str" cm="1">
        <f t="array" ref="Z31">IF(COUNTIF('Raw Annual DMR Data'!K:K,$E31)&gt;0,"N/A - See DMRs",IF(SUMIFS('Raw TRI Data'!$Z:$Z,'Raw TRI Data'!$J:$J,$E31)&gt;0,MEDIAN(IF('Raw TRI Data'!$J:$J=$E31,'Raw TRI Data'!$Z:$Z)), "N/A - Facility Does Not Report to TRI, no surface water releases, or no Generic Factors available"))</f>
        <v>N/A - See DMRs</v>
      </c>
      <c r="AA31" s="156" t="str">
        <f>IF(COUNTIF('Raw Annual DMR Data'!K:K,$E31)&gt;0,"N/A - See DMRs",IF(SUMIFS('Raw TRI Data'!$Z:$Z,'Raw TRI Data'!$J:$J,$E31)&gt;0,_xlfn.MAXIFS('Raw TRI Data'!$Z:$Z,'Raw TRI Data'!$J:$J,$E31), "N/A - Facility Does Not Report to TRI, no surface water releases, or no Generic Factors available"))</f>
        <v>N/A - See DMRs</v>
      </c>
      <c r="AB31" s="113" t="str">
        <f t="shared" si="6"/>
        <v>N/A</v>
      </c>
      <c r="AC31" s="136" t="str" cm="1">
        <f t="array" ref="AC31">IF(COUNTIF('Raw Annual DMR Data'!K:K,$E31)&gt;0,"N/A - See DMRs",IF(SUMIFS('Raw TRI Data'!$Z:$Z,'Raw TRI Data'!$J:$J,$E31)&gt;0,INDEX('Raw TRI Data'!$A:$A,MATCH(1,($E31='Raw TRI Data'!$J:$J)*($AA31='Raw TRI Data'!$Z:$Z),0)), "N/A - Facility Does Not Report to TRI, no surface water releases, or no Generic Factors available"))</f>
        <v>N/A - See DMRs</v>
      </c>
      <c r="AD31" s="96" t="str" cm="1">
        <f t="array" ref="AD31">IF(COUNTIFS('Raw Annual DMR Data'!L:L,$F31,'Raw Annual DMR Data'!W:W, "&gt;0")&gt;0,MEDIAN(IF('Raw Annual DMR Data'!K:K=$F31, 'Raw Annual DMR Data'!W:W)), "N/A - No Daily Max DMR Discharge Data")</f>
        <v>N/A - No Daily Max DMR Discharge Data</v>
      </c>
      <c r="AE31" s="96" t="str">
        <f>IF(COUNTIFS('Raw Annual DMR Data'!L:L,$F31,'Raw Annual DMR Data'!W:W, "&gt;0")&gt;0,_xlfn.MAXIFS('Raw Annual DMR Data'!W:W,'Raw Annual DMR Data'!L:L,$F31), "N/A - No Daily Max DMR Discharge Data")</f>
        <v>N/A - No Daily Max DMR Discharge Data</v>
      </c>
      <c r="AF31" s="60" t="str" cm="1">
        <f t="array" ref="AF31">IF(COUNTIFS('Raw Annual DMR Data'!L:L,$F31,'Raw Annual DMR Data'!W:W, "&gt;0")&gt;0,INDEX('Raw Annual DMR Data'!B:B,MATCH(1,($F31='Raw Annual DMR Data'!L:L)*($AE31='Raw Annual DMR Data'!W:W),0)), "N/A - No Daily Max DMR Discharge Data")</f>
        <v>N/A - No Daily Max DMR Discharge Data</v>
      </c>
      <c r="AG31" s="422"/>
      <c r="AH31" s="422"/>
      <c r="AI31" s="423"/>
    </row>
    <row r="32" spans="1:35" ht="30.75" thickBot="1" x14ac:dyDescent="0.3">
      <c r="A32" s="144" t="str">
        <f>VLOOKUP(F32,'Facility Summary'!J:K,2,FALSE)</f>
        <v>Processing as a Reactant</v>
      </c>
      <c r="B32" s="97" t="s">
        <v>122</v>
      </c>
      <c r="C32" s="28" t="s">
        <v>392</v>
      </c>
      <c r="D32" s="60" t="s">
        <v>311</v>
      </c>
      <c r="E32" s="60" t="s">
        <v>393</v>
      </c>
      <c r="F32" s="74">
        <v>110000586081</v>
      </c>
      <c r="G32" s="74" t="s">
        <v>812</v>
      </c>
      <c r="H32" s="63" t="s">
        <v>813</v>
      </c>
      <c r="I32" s="74">
        <v>5030203000005</v>
      </c>
      <c r="J32" s="74" t="s">
        <v>265</v>
      </c>
      <c r="K32" s="60">
        <f>VLOOKUP(A32, 'OES Summary'!$A:$B, 2, FALSE)</f>
        <v>350</v>
      </c>
      <c r="L32" s="304" cm="1">
        <f t="array" ref="L32">IF(COUNTIF('Raw Annual DMR Data'!$L:$L,$F32)&gt;0,MEDIAN(IF('Raw Annual DMR Data'!$L:$L=F32,'Raw Annual DMR Data'!$S:$S)),"N/A - Facility Does Not Report DMRs")</f>
        <v>5.297052154195006</v>
      </c>
      <c r="M32" s="156">
        <f t="shared" si="4"/>
        <v>1.5134434726271446E-2</v>
      </c>
      <c r="N32" s="156">
        <f>IF(COUNTIF('Raw Annual DMR Data'!$L:$L,$F32)&gt;0,_xlfn.MAXIFS('Raw Annual DMR Data'!$S:$S,'Raw Annual DMR Data'!$L:$L,$F32), "N/A - Facility Does Not Report DMRs")</f>
        <v>9.4353741496598609</v>
      </c>
      <c r="O32" s="156">
        <f t="shared" si="5"/>
        <v>2.6958211856171033E-2</v>
      </c>
      <c r="P32" s="113" cm="1">
        <f t="array" ref="P32">IF(COUNTIF('Raw Annual DMR Data'!$L:$L,$F32)&gt;0,INDEX('Raw Annual DMR Data'!$B:$B,MATCH(1,($F32='Raw Annual DMR Data'!$L:$L)*($N32='Raw Annual DMR Data'!$S:$S),0)), "N/A - Facility Does Not Report DMRs")</f>
        <v>2018</v>
      </c>
      <c r="Q32" s="304" t="str" cm="1">
        <f t="array" ref="Q32">IF(COUNTIF('Raw TRI Data'!$J:$J,$E32)&gt;0,MEDIAN(IF('Raw TRI Data'!$J:$J=E32,'Raw TRI Data'!$S:$S)), "N/A - Facility Does Not Report to TRI")</f>
        <v>N/A - Facility Does Not Report to TRI</v>
      </c>
      <c r="R32" s="156" t="str">
        <f t="shared" si="2"/>
        <v>N/A - Facility Does Not Report to TRI</v>
      </c>
      <c r="S32" s="156" t="str">
        <f>IF(COUNTIF('Raw TRI Data'!$J:$J,$E32)&gt;0,_xlfn.MAXIFS('Raw TRI Data'!$S:$S,'Raw TRI Data'!$J:$J,$E32), "N/A - Facility Does Not Report to TRI")</f>
        <v>N/A - Facility Does Not Report to TRI</v>
      </c>
      <c r="T32" s="156" t="str">
        <f t="shared" si="3"/>
        <v>N/A - Facility Does Not Report to TRI</v>
      </c>
      <c r="U32" s="136" t="str" cm="1">
        <f t="array" ref="U32">IF(COUNTIF('Raw TRI Data'!$J:$J,$E32)&gt;0,INDEX('Raw TRI Data'!$A:$A,MATCH(1,($E32='Raw TRI Data'!$J:$J)*(S32='Raw TRI Data'!$S:$S),0)), "N/A - Facility Does Not Report to TRI")</f>
        <v>N/A - Facility Does Not Report to TRI</v>
      </c>
      <c r="V32" s="156" t="str" cm="1">
        <f t="array" ref="V32">IF(COUNTIFS('Raw Annual DMR Data'!$L:$L,$F32,'Raw Annual DMR Data'!$U:$U,"&gt;0")&gt;0,MEDIAN(IF('Raw Annual DMR Data'!$L:$L=$F32,'Raw Annual DMR Data'!$U:$U,"")),"N/A - Period DMR Data Not Available")</f>
        <v>N/A - Period DMR Data Not Available</v>
      </c>
      <c r="W32" s="156" t="str">
        <f>IF(COUNTIFS('Raw Annual DMR Data'!$L:$L,$F32, 'Raw Annual DMR Data'!$U:$U, "&gt;0")&gt;0,_xlfn.MAXIFS('Raw Annual DMR Data'!$U:$U,'Raw Annual DMR Data'!$L:$L,$F32), "N/A - Period DMR Data Not Available")</f>
        <v>N/A - Period DMR Data Not Available</v>
      </c>
      <c r="X32" s="113" t="str" cm="1">
        <f t="array" ref="X32">+IF(COUNTIFS('Raw Annual DMR Data'!L:L,$F32, 'Raw Annual DMR Data'!U:U, "&gt;0")&gt;0,INDEX('Raw Annual DMR Data'!V:V,MATCH(1,($F32='Raw Annual DMR Data'!L:L)*($W32='Raw Annual DMR Data'!U:U),0)), "N/A - Period DMR Data Not Available")</f>
        <v>N/A - Period DMR Data Not Available</v>
      </c>
      <c r="Y32" s="113" t="str" cm="1">
        <f t="array" ref="Y32">IF(COUNTIFS('Raw Annual DMR Data'!L:L,$F32, 'Raw Annual DMR Data'!U:U, "&gt;0")&gt;0,INDEX('Raw Annual DMR Data'!B:B,MATCH(1,($F32='Raw Annual DMR Data'!L:L)*($W32='Raw Annual DMR Data'!U:U),0)), "N/A - Period DMR Data Not Available")</f>
        <v>N/A - Period DMR Data Not Available</v>
      </c>
      <c r="Z32" s="311" t="str" cm="1">
        <f t="array" ref="Z32">IF(COUNTIF('Raw Annual DMR Data'!K:K,$E32)&gt;0,"N/A - See DMRs",IF(SUMIFS('Raw TRI Data'!$Z:$Z,'Raw TRI Data'!$J:$J,$E32)&gt;0,MEDIAN(IF('Raw TRI Data'!$J:$J=$E32,'Raw TRI Data'!$Z:$Z)), "N/A - Facility Does Not Report to TRI, no surface water releases, or no Generic Factors available"))</f>
        <v>N/A - See DMRs</v>
      </c>
      <c r="AA32" s="156" t="str">
        <f>IF(COUNTIF('Raw Annual DMR Data'!K:K,$E32)&gt;0,"N/A - See DMRs",IF(SUMIFS('Raw TRI Data'!$Z:$Z,'Raw TRI Data'!$J:$J,$E32)&gt;0,_xlfn.MAXIFS('Raw TRI Data'!$Z:$Z,'Raw TRI Data'!$J:$J,$E32), "N/A - Facility Does Not Report to TRI, no surface water releases, or no Generic Factors available"))</f>
        <v>N/A - See DMRs</v>
      </c>
      <c r="AB32" s="113" t="str">
        <f t="shared" si="6"/>
        <v>N/A</v>
      </c>
      <c r="AC32" s="136" t="str" cm="1">
        <f t="array" ref="AC32">IF(COUNTIF('Raw Annual DMR Data'!K:K,$E32)&gt;0,"N/A - See DMRs",IF(SUMIFS('Raw TRI Data'!$Z:$Z,'Raw TRI Data'!$J:$J,$E32)&gt;0,INDEX('Raw TRI Data'!$A:$A,MATCH(1,($E32='Raw TRI Data'!$J:$J)*($AA32='Raw TRI Data'!$Z:$Z),0)), "N/A - Facility Does Not Report to TRI, no surface water releases, or no Generic Factors available"))</f>
        <v>N/A - See DMRs</v>
      </c>
      <c r="AD32" s="96" t="str" cm="1">
        <f t="array" ref="AD32">IF(COUNTIFS('Raw Annual DMR Data'!L:L,$F32,'Raw Annual DMR Data'!W:W, "&gt;0")&gt;0,MEDIAN(IF('Raw Annual DMR Data'!K:K=$F32, 'Raw Annual DMR Data'!W:W)), "N/A - No Daily Max DMR Discharge Data")</f>
        <v>N/A - No Daily Max DMR Discharge Data</v>
      </c>
      <c r="AE32" s="96" t="str">
        <f>IF(COUNTIFS('Raw Annual DMR Data'!L:L,$F32,'Raw Annual DMR Data'!W:W, "&gt;0")&gt;0,_xlfn.MAXIFS('Raw Annual DMR Data'!W:W,'Raw Annual DMR Data'!L:L,$F32), "N/A - No Daily Max DMR Discharge Data")</f>
        <v>N/A - No Daily Max DMR Discharge Data</v>
      </c>
      <c r="AF32" s="60" t="str" cm="1">
        <f t="array" ref="AF32">IF(COUNTIFS('Raw Annual DMR Data'!L:L,$F32,'Raw Annual DMR Data'!W:W, "&gt;0")&gt;0,INDEX('Raw Annual DMR Data'!B:B,MATCH(1,($F32='Raw Annual DMR Data'!L:L)*($AE32='Raw Annual DMR Data'!W:W),0)), "N/A - No Daily Max DMR Discharge Data")</f>
        <v>N/A - No Daily Max DMR Discharge Data</v>
      </c>
      <c r="AG32" s="422"/>
      <c r="AH32" s="422"/>
      <c r="AI32" s="423"/>
    </row>
    <row r="33" spans="1:35" ht="30.75" thickBot="1" x14ac:dyDescent="0.3">
      <c r="A33" s="144" t="str">
        <f>VLOOKUP(F33,'Facility Summary'!J:K,2,FALSE)</f>
        <v>Manufacturing</v>
      </c>
      <c r="B33" s="97" t="s">
        <v>123</v>
      </c>
      <c r="C33" s="28" t="s">
        <v>395</v>
      </c>
      <c r="D33" s="60" t="s">
        <v>338</v>
      </c>
      <c r="E33" s="60" t="s">
        <v>396</v>
      </c>
      <c r="F33" s="74">
        <v>110007970142</v>
      </c>
      <c r="G33" s="74" t="s">
        <v>814</v>
      </c>
      <c r="H33" s="63" t="s">
        <v>783</v>
      </c>
      <c r="I33" s="74">
        <v>2040206002333</v>
      </c>
      <c r="J33" s="74" t="s">
        <v>265</v>
      </c>
      <c r="K33" s="60">
        <f>VLOOKUP(A33, 'OES Summary'!$A:$B, 2, FALSE)</f>
        <v>350</v>
      </c>
      <c r="L33" s="304" cm="1">
        <f t="array" ref="L33">IF(COUNTIF('Raw Annual DMR Data'!$L:$L,$F33)&gt;0,MEDIAN(IF('Raw Annual DMR Data'!$L:$L=F33,'Raw Annual DMR Data'!$S:$S)),"N/A - Facility Does Not Report DMRs")</f>
        <v>9.6587500000000013</v>
      </c>
      <c r="M33" s="156">
        <f t="shared" si="4"/>
        <v>2.7596428571428574E-2</v>
      </c>
      <c r="N33" s="156">
        <f>IF(COUNTIF('Raw Annual DMR Data'!$L:$L,$F33)&gt;0,_xlfn.MAXIFS('Raw Annual DMR Data'!$S:$S,'Raw Annual DMR Data'!$L:$L,$F33), "N/A - Facility Does Not Report DMRs")</f>
        <v>11.24</v>
      </c>
      <c r="O33" s="156">
        <f t="shared" si="5"/>
        <v>3.2114285714285713E-2</v>
      </c>
      <c r="P33" s="113" cm="1">
        <f t="array" ref="P33">IF(COUNTIF('Raw Annual DMR Data'!$L:$L,$F33)&gt;0,INDEX('Raw Annual DMR Data'!$B:$B,MATCH(1,($F33='Raw Annual DMR Data'!$L:$L)*($N33='Raw Annual DMR Data'!$S:$S),0)), "N/A - Facility Does Not Report DMRs")</f>
        <v>2022</v>
      </c>
      <c r="Q33" s="304" t="str" cm="1">
        <f t="array" ref="Q33">IF(COUNTIF('Raw TRI Data'!$J:$J,$E33)&gt;0,MEDIAN(IF('Raw TRI Data'!$J:$J=E33,'Raw TRI Data'!$S:$S)), "N/A - Facility Does Not Report to TRI")</f>
        <v>N/A - Facility Does Not Report to TRI</v>
      </c>
      <c r="R33" s="156" t="str">
        <f t="shared" si="2"/>
        <v>N/A - Facility Does Not Report to TRI</v>
      </c>
      <c r="S33" s="156" t="str">
        <f>IF(COUNTIF('Raw TRI Data'!$J:$J,$E33)&gt;0,_xlfn.MAXIFS('Raw TRI Data'!$S:$S,'Raw TRI Data'!$J:$J,$E33), "N/A - Facility Does Not Report to TRI")</f>
        <v>N/A - Facility Does Not Report to TRI</v>
      </c>
      <c r="T33" s="156" t="str">
        <f t="shared" si="3"/>
        <v>N/A - Facility Does Not Report to TRI</v>
      </c>
      <c r="U33" s="136" t="str" cm="1">
        <f t="array" ref="U33">IF(COUNTIF('Raw TRI Data'!$J:$J,$E33)&gt;0,INDEX('Raw TRI Data'!$A:$A,MATCH(1,($E33='Raw TRI Data'!$J:$J)*(S33='Raw TRI Data'!$S:$S),0)), "N/A - Facility Does Not Report to TRI")</f>
        <v>N/A - Facility Does Not Report to TRI</v>
      </c>
      <c r="V33" s="156" t="str" cm="1">
        <f t="array" ref="V33">IF(COUNTIFS('Raw Annual DMR Data'!$L:$L,$F33,'Raw Annual DMR Data'!$U:$U,"&gt;0")&gt;0,MEDIAN(IF('Raw Annual DMR Data'!$L:$L=$F33,'Raw Annual DMR Data'!$U:$U,"")),"N/A - Period DMR Data Not Available")</f>
        <v>N/A - Period DMR Data Not Available</v>
      </c>
      <c r="W33" s="156" t="str">
        <f>IF(COUNTIFS('Raw Annual DMR Data'!$L:$L,$F33, 'Raw Annual DMR Data'!$U:$U, "&gt;0")&gt;0,_xlfn.MAXIFS('Raw Annual DMR Data'!$U:$U,'Raw Annual DMR Data'!$L:$L,$F33), "N/A - Period DMR Data Not Available")</f>
        <v>N/A - Period DMR Data Not Available</v>
      </c>
      <c r="X33" s="113" t="str" cm="1">
        <f t="array" ref="X33">+IF(COUNTIFS('Raw Annual DMR Data'!L:L,$F33, 'Raw Annual DMR Data'!U:U, "&gt;0")&gt;0,INDEX('Raw Annual DMR Data'!V:V,MATCH(1,($F33='Raw Annual DMR Data'!L:L)*($W33='Raw Annual DMR Data'!U:U),0)), "N/A - Period DMR Data Not Available")</f>
        <v>N/A - Period DMR Data Not Available</v>
      </c>
      <c r="Y33" s="113" t="str" cm="1">
        <f t="array" ref="Y33">IF(COUNTIFS('Raw Annual DMR Data'!L:L,$F33, 'Raw Annual DMR Data'!U:U, "&gt;0")&gt;0,INDEX('Raw Annual DMR Data'!B:B,MATCH(1,($F33='Raw Annual DMR Data'!L:L)*($W33='Raw Annual DMR Data'!U:U),0)), "N/A - Period DMR Data Not Available")</f>
        <v>N/A - Period DMR Data Not Available</v>
      </c>
      <c r="Z33" s="311" t="str" cm="1">
        <f t="array" ref="Z33">IF(COUNTIF('Raw Annual DMR Data'!K:K,$E33)&gt;0,"N/A - See DMRs",IF(SUMIFS('Raw TRI Data'!$Z:$Z,'Raw TRI Data'!$J:$J,$E33)&gt;0,MEDIAN(IF('Raw TRI Data'!$J:$J=$E33,'Raw TRI Data'!$Z:$Z)), "N/A - Facility Does Not Report to TRI, no surface water releases, or no Generic Factors available"))</f>
        <v>N/A - See DMRs</v>
      </c>
      <c r="AA33" s="156" t="str">
        <f>IF(COUNTIF('Raw Annual DMR Data'!K:K,$E33)&gt;0,"N/A - See DMRs",IF(SUMIFS('Raw TRI Data'!$Z:$Z,'Raw TRI Data'!$J:$J,$E33)&gt;0,_xlfn.MAXIFS('Raw TRI Data'!$Z:$Z,'Raw TRI Data'!$J:$J,$E33), "N/A - Facility Does Not Report to TRI, no surface water releases, or no Generic Factors available"))</f>
        <v>N/A - See DMRs</v>
      </c>
      <c r="AB33" s="113" t="str">
        <f t="shared" si="6"/>
        <v>N/A</v>
      </c>
      <c r="AC33" s="136" t="str" cm="1">
        <f t="array" ref="AC33">IF(COUNTIF('Raw Annual DMR Data'!K:K,$E33)&gt;0,"N/A - See DMRs",IF(SUMIFS('Raw TRI Data'!$Z:$Z,'Raw TRI Data'!$J:$J,$E33)&gt;0,INDEX('Raw TRI Data'!$A:$A,MATCH(1,($E33='Raw TRI Data'!$J:$J)*($AA33='Raw TRI Data'!$Z:$Z),0)), "N/A - Facility Does Not Report to TRI, no surface water releases, or no Generic Factors available"))</f>
        <v>N/A - See DMRs</v>
      </c>
      <c r="AD33" s="96" t="str" cm="1">
        <f t="array" ref="AD33">IF(COUNTIFS('Raw Annual DMR Data'!L:L,$F33,'Raw Annual DMR Data'!W:W, "&gt;0")&gt;0,MEDIAN(IF('Raw Annual DMR Data'!K:K=$F33, 'Raw Annual DMR Data'!W:W)), "N/A - No Daily Max DMR Discharge Data")</f>
        <v>N/A - No Daily Max DMR Discharge Data</v>
      </c>
      <c r="AE33" s="96" t="str">
        <f>IF(COUNTIFS('Raw Annual DMR Data'!L:L,$F33,'Raw Annual DMR Data'!W:W, "&gt;0")&gt;0,_xlfn.MAXIFS('Raw Annual DMR Data'!W:W,'Raw Annual DMR Data'!L:L,$F33), "N/A - No Daily Max DMR Discharge Data")</f>
        <v>N/A - No Daily Max DMR Discharge Data</v>
      </c>
      <c r="AF33" s="60" t="str" cm="1">
        <f t="array" ref="AF33">IF(COUNTIFS('Raw Annual DMR Data'!L:L,$F33,'Raw Annual DMR Data'!W:W, "&gt;0")&gt;0,INDEX('Raw Annual DMR Data'!B:B,MATCH(1,($F33='Raw Annual DMR Data'!L:L)*($AE33='Raw Annual DMR Data'!W:W),0)), "N/A - No Daily Max DMR Discharge Data")</f>
        <v>N/A - No Daily Max DMR Discharge Data</v>
      </c>
      <c r="AG33" s="422"/>
      <c r="AH33" s="422"/>
      <c r="AI33" s="423"/>
    </row>
    <row r="34" spans="1:35" ht="30.75" thickBot="1" x14ac:dyDescent="0.3">
      <c r="A34" s="144" t="str">
        <f>VLOOKUP(F34,'Facility Summary'!J:K,2,FALSE)</f>
        <v>Manufacturing</v>
      </c>
      <c r="B34" s="130" t="s">
        <v>124</v>
      </c>
      <c r="C34" s="84" t="s">
        <v>398</v>
      </c>
      <c r="D34" s="84" t="s">
        <v>303</v>
      </c>
      <c r="E34" s="60" t="s">
        <v>399</v>
      </c>
      <c r="F34" s="74">
        <v>110000575244</v>
      </c>
      <c r="G34" s="74" t="s">
        <v>815</v>
      </c>
      <c r="H34" s="63" t="s">
        <v>816</v>
      </c>
      <c r="I34" s="74">
        <v>8090301004464</v>
      </c>
      <c r="J34" s="74" t="s">
        <v>265</v>
      </c>
      <c r="K34" s="60">
        <f>VLOOKUP(A34, 'OES Summary'!$A:$B, 2, FALSE)</f>
        <v>350</v>
      </c>
      <c r="L34" s="304" cm="1">
        <f t="array" ref="L34">IF(COUNTIF('Raw Annual DMR Data'!$L:$L,$F34)&gt;0,MEDIAN(IF('Raw Annual DMR Data'!$L:$L=F34,'Raw Annual DMR Data'!$S:$S)),"N/A - Facility Does Not Report DMRs")</f>
        <v>3.1064280387500001E-2</v>
      </c>
      <c r="M34" s="156">
        <f t="shared" si="4"/>
        <v>8.8755086821428573E-5</v>
      </c>
      <c r="N34" s="156">
        <f>IF(COUNTIF('Raw Annual DMR Data'!$L:$L,$F34)&gt;0,_xlfn.MAXIFS('Raw Annual DMR Data'!$S:$S,'Raw Annual DMR Data'!$L:$L,$F34), "N/A - Facility Does Not Report DMRs")</f>
        <v>3.1064280387500001E-2</v>
      </c>
      <c r="O34" s="156">
        <f t="shared" si="5"/>
        <v>8.8755086821428573E-5</v>
      </c>
      <c r="P34" s="113" cm="1">
        <f t="array" ref="P34">IF(COUNTIF('Raw Annual DMR Data'!$L:$L,$F34)&gt;0,INDEX('Raw Annual DMR Data'!$B:$B,MATCH(1,($F34='Raw Annual DMR Data'!$L:$L)*($N34='Raw Annual DMR Data'!$S:$S),0)), "N/A - Facility Does Not Report DMRs")</f>
        <v>2020</v>
      </c>
      <c r="Q34" s="304" t="str" cm="1">
        <f t="array" ref="Q34">IF(COUNTIF('Raw TRI Data'!$J:$J,$E34)&gt;0,MEDIAN(IF('Raw TRI Data'!$J:$J=E34,'Raw TRI Data'!$S:$S)), "N/A - Facility Does Not Report to TRI")</f>
        <v>N/A - Facility Does Not Report to TRI</v>
      </c>
      <c r="R34" s="156" t="str">
        <f t="shared" si="2"/>
        <v>N/A - Facility Does Not Report to TRI</v>
      </c>
      <c r="S34" s="156" t="str">
        <f>IF(COUNTIF('Raw TRI Data'!$J:$J,$E34)&gt;0,_xlfn.MAXIFS('Raw TRI Data'!$S:$S,'Raw TRI Data'!$J:$J,$E34), "N/A - Facility Does Not Report to TRI")</f>
        <v>N/A - Facility Does Not Report to TRI</v>
      </c>
      <c r="T34" s="156" t="str">
        <f t="shared" si="3"/>
        <v>N/A - Facility Does Not Report to TRI</v>
      </c>
      <c r="U34" s="136" t="str" cm="1">
        <f t="array" ref="U34">IF(COUNTIF('Raw TRI Data'!$J:$J,$E34)&gt;0,INDEX('Raw TRI Data'!$A:$A,MATCH(1,($E34='Raw TRI Data'!$J:$J)*(S34='Raw TRI Data'!$S:$S),0)), "N/A - Facility Does Not Report to TRI")</f>
        <v>N/A - Facility Does Not Report to TRI</v>
      </c>
      <c r="V34" s="156" t="str" cm="1">
        <f t="array" ref="V34">IF(COUNTIFS('Raw Annual DMR Data'!$L:$L,$F34,'Raw Annual DMR Data'!$U:$U,"&gt;0")&gt;0,MEDIAN(IF('Raw Annual DMR Data'!$L:$L=$F34,'Raw Annual DMR Data'!$U:$U,"")),"N/A - Period DMR Data Not Available")</f>
        <v>N/A - Period DMR Data Not Available</v>
      </c>
      <c r="W34" s="156" t="str">
        <f>IF(COUNTIFS('Raw Annual DMR Data'!$L:$L,$F34, 'Raw Annual DMR Data'!$U:$U, "&gt;0")&gt;0,_xlfn.MAXIFS('Raw Annual DMR Data'!$U:$U,'Raw Annual DMR Data'!$L:$L,$F34), "N/A - Period DMR Data Not Available")</f>
        <v>N/A - Period DMR Data Not Available</v>
      </c>
      <c r="X34" s="113" t="str" cm="1">
        <f t="array" ref="X34">+IF(COUNTIFS('Raw Annual DMR Data'!L:L,$F34, 'Raw Annual DMR Data'!U:U, "&gt;0")&gt;0,INDEX('Raw Annual DMR Data'!V:V,MATCH(1,($F34='Raw Annual DMR Data'!L:L)*($W34='Raw Annual DMR Data'!U:U),0)), "N/A - Period DMR Data Not Available")</f>
        <v>N/A - Period DMR Data Not Available</v>
      </c>
      <c r="Y34" s="113" t="str" cm="1">
        <f t="array" ref="Y34">IF(COUNTIFS('Raw Annual DMR Data'!L:L,$F34, 'Raw Annual DMR Data'!U:U, "&gt;0")&gt;0,INDEX('Raw Annual DMR Data'!B:B,MATCH(1,($F34='Raw Annual DMR Data'!L:L)*($W34='Raw Annual DMR Data'!U:U),0)), "N/A - Period DMR Data Not Available")</f>
        <v>N/A - Period DMR Data Not Available</v>
      </c>
      <c r="Z34" s="311" t="str" cm="1">
        <f t="array" ref="Z34">IF(COUNTIF('Raw Annual DMR Data'!K:K,$E34)&gt;0,"N/A - See DMRs",IF(SUMIFS('Raw TRI Data'!$Z:$Z,'Raw TRI Data'!$J:$J,$E34)&gt;0,MEDIAN(IF('Raw TRI Data'!$J:$J=$E34,'Raw TRI Data'!$Z:$Z)), "N/A - Facility Does Not Report to TRI, no surface water releases, or no Generic Factors available"))</f>
        <v>N/A - See DMRs</v>
      </c>
      <c r="AA34" s="156" t="str">
        <f>IF(COUNTIF('Raw Annual DMR Data'!K:K,$E34)&gt;0,"N/A - See DMRs",IF(SUMIFS('Raw TRI Data'!$Z:$Z,'Raw TRI Data'!$J:$J,$E34)&gt;0,_xlfn.MAXIFS('Raw TRI Data'!$Z:$Z,'Raw TRI Data'!$J:$J,$E34), "N/A - Facility Does Not Report to TRI, no surface water releases, or no Generic Factors available"))</f>
        <v>N/A - See DMRs</v>
      </c>
      <c r="AB34" s="113" t="str">
        <f t="shared" si="6"/>
        <v>N/A</v>
      </c>
      <c r="AC34" s="136" t="str" cm="1">
        <f t="array" ref="AC34">IF(COUNTIF('Raw Annual DMR Data'!K:K,$E34)&gt;0,"N/A - See DMRs",IF(SUMIFS('Raw TRI Data'!$Z:$Z,'Raw TRI Data'!$J:$J,$E34)&gt;0,INDEX('Raw TRI Data'!$A:$A,MATCH(1,($E34='Raw TRI Data'!$J:$J)*($AA34='Raw TRI Data'!$Z:$Z),0)), "N/A - Facility Does Not Report to TRI, no surface water releases, or no Generic Factors available"))</f>
        <v>N/A - See DMRs</v>
      </c>
      <c r="AD34" s="96" t="str" cm="1">
        <f t="array" ref="AD34">IF(COUNTIFS('Raw Annual DMR Data'!L:L,$F34,'Raw Annual DMR Data'!W:W, "&gt;0")&gt;0,MEDIAN(IF('Raw Annual DMR Data'!K:K=$F34, 'Raw Annual DMR Data'!W:W)), "N/A - No Daily Max DMR Discharge Data")</f>
        <v>N/A - No Daily Max DMR Discharge Data</v>
      </c>
      <c r="AE34" s="96" t="str">
        <f>IF(COUNTIFS('Raw Annual DMR Data'!L:L,$F34,'Raw Annual DMR Data'!W:W, "&gt;0")&gt;0,_xlfn.MAXIFS('Raw Annual DMR Data'!W:W,'Raw Annual DMR Data'!L:L,$F34), "N/A - No Daily Max DMR Discharge Data")</f>
        <v>N/A - No Daily Max DMR Discharge Data</v>
      </c>
      <c r="AF34" s="60" t="str" cm="1">
        <f t="array" ref="AF34">IF(COUNTIFS('Raw Annual DMR Data'!L:L,$F34,'Raw Annual DMR Data'!W:W, "&gt;0")&gt;0,INDEX('Raw Annual DMR Data'!B:B,MATCH(1,($F34='Raw Annual DMR Data'!L:L)*($AE34='Raw Annual DMR Data'!W:W),0)), "N/A - No Daily Max DMR Discharge Data")</f>
        <v>N/A - No Daily Max DMR Discharge Data</v>
      </c>
      <c r="AG34" s="422"/>
      <c r="AH34" s="422"/>
      <c r="AI34" s="423"/>
    </row>
    <row r="35" spans="1:35" ht="45.75" thickBot="1" x14ac:dyDescent="0.3">
      <c r="A35" s="144" t="str">
        <f>VLOOKUP(F35,'Facility Summary'!J:K,2,FALSE)</f>
        <v>Processing into formulation, mixture, or reaction product</v>
      </c>
      <c r="B35" s="97" t="s">
        <v>207</v>
      </c>
      <c r="C35" s="28" t="s">
        <v>401</v>
      </c>
      <c r="D35" s="28" t="s">
        <v>385</v>
      </c>
      <c r="E35" s="60" t="s">
        <v>402</v>
      </c>
      <c r="F35" s="74">
        <v>110016678969</v>
      </c>
      <c r="G35" s="74" t="s">
        <v>295</v>
      </c>
      <c r="H35" s="81" t="s">
        <v>295</v>
      </c>
      <c r="I35" s="74" t="s">
        <v>295</v>
      </c>
      <c r="J35" s="74" t="s">
        <v>265</v>
      </c>
      <c r="K35" s="60">
        <f>VLOOKUP(A35, 'OES Summary'!$A:$B, 2, FALSE)</f>
        <v>300</v>
      </c>
      <c r="L35" s="304" t="str" cm="1">
        <f t="array" ref="L35">IF(COUNTIF('Raw Annual DMR Data'!$L:$L,$F35)&gt;0,MEDIAN(IF('Raw Annual DMR Data'!$L:$L=F35,'Raw Annual DMR Data'!$S:$S)),"N/A - Facility Does Not Report DMRs")</f>
        <v>N/A - Facility Does Not Report DMRs</v>
      </c>
      <c r="M35" s="156" t="str">
        <f t="shared" si="4"/>
        <v>N/A - Facility Does Not Report DMRs</v>
      </c>
      <c r="N35" s="156" t="str">
        <f>IF(COUNTIF('Raw Annual DMR Data'!$L:$L,$F35)&gt;0,_xlfn.MAXIFS('Raw Annual DMR Data'!$S:$S,'Raw Annual DMR Data'!$L:$L,$F35), "N/A - Facility Does Not Report DMRs")</f>
        <v>N/A - Facility Does Not Report DMRs</v>
      </c>
      <c r="O35" s="156" t="str">
        <f t="shared" si="5"/>
        <v>N/A - Facility Does Not Report DMRs</v>
      </c>
      <c r="P35" s="113" t="str" cm="1">
        <f t="array" ref="P35">IF(COUNTIF('Raw Annual DMR Data'!$L:$L,$F35)&gt;0,INDEX('Raw Annual DMR Data'!$B:$B,MATCH(1,($F35='Raw Annual DMR Data'!$L:$L)*($N35='Raw Annual DMR Data'!$S:$S),0)), "N/A - Facility Does Not Report DMRs")</f>
        <v>N/A - Facility Does Not Report DMRs</v>
      </c>
      <c r="Q35" s="304" cm="1">
        <f t="array" ref="Q35">IF(COUNTIF('Raw TRI Data'!$J:$J,$E35)&gt;0,MEDIAN(IF('Raw TRI Data'!$J:$J=E35,'Raw TRI Data'!$S:$S)), "N/A - Facility Does Not Report to TRI")</f>
        <v>9.0718474000000021E-2</v>
      </c>
      <c r="R35" s="156">
        <f t="shared" si="2"/>
        <v>3.0239491333333338E-4</v>
      </c>
      <c r="S35" s="156">
        <f>IF(COUNTIF('Raw TRI Data'!$J:$J,$E35)&gt;0,_xlfn.MAXIFS('Raw TRI Data'!$S:$S,'Raw TRI Data'!$J:$J,$E35), "N/A - Facility Does Not Report to TRI")</f>
        <v>9.0718474000000021E-2</v>
      </c>
      <c r="T35" s="156">
        <f t="shared" si="3"/>
        <v>3.0239491333333338E-4</v>
      </c>
      <c r="U35" s="136" cm="1">
        <f t="array" ref="U35">IF(COUNTIF('Raw TRI Data'!$J:$J,$E35)&gt;0,INDEX('Raw TRI Data'!$A:$A,MATCH(1,($E35='Raw TRI Data'!$J:$J)*(S35='Raw TRI Data'!$S:$S),0)), "N/A - Facility Does Not Report to TRI")</f>
        <v>2019</v>
      </c>
      <c r="V35" s="156" t="str" cm="1">
        <f t="array" ref="V35">IF(COUNTIFS('Raw Annual DMR Data'!$L:$L,$F35,'Raw Annual DMR Data'!$U:$U,"&gt;0")&gt;0,MEDIAN(IF('Raw Annual DMR Data'!$L:$L=$F35,'Raw Annual DMR Data'!$U:$U,"")),"N/A - Period DMR Data Not Available")</f>
        <v>N/A - Period DMR Data Not Available</v>
      </c>
      <c r="W35" s="156" t="str">
        <f>IF(COUNTIFS('Raw Annual DMR Data'!$L:$L,$F35, 'Raw Annual DMR Data'!$U:$U, "&gt;0")&gt;0,_xlfn.MAXIFS('Raw Annual DMR Data'!$U:$U,'Raw Annual DMR Data'!$L:$L,$F35), "N/A - Period DMR Data Not Available")</f>
        <v>N/A - Period DMR Data Not Available</v>
      </c>
      <c r="X35" s="113" t="str" cm="1">
        <f t="array" ref="X35">+IF(COUNTIFS('Raw Annual DMR Data'!L:L,$F35, 'Raw Annual DMR Data'!U:U, "&gt;0")&gt;0,INDEX('Raw Annual DMR Data'!V:V,MATCH(1,($F35='Raw Annual DMR Data'!L:L)*($W35='Raw Annual DMR Data'!U:U),0)), "N/A - Period DMR Data Not Available")</f>
        <v>N/A - Period DMR Data Not Available</v>
      </c>
      <c r="Y35" s="113" t="str" cm="1">
        <f t="array" ref="Y35">IF(COUNTIFS('Raw Annual DMR Data'!L:L,$F35, 'Raw Annual DMR Data'!U:U, "&gt;0")&gt;0,INDEX('Raw Annual DMR Data'!B:B,MATCH(1,($F35='Raw Annual DMR Data'!L:L)*($W35='Raw Annual DMR Data'!U:U),0)), "N/A - Period DMR Data Not Available")</f>
        <v>N/A - Period DMR Data Not Available</v>
      </c>
      <c r="Z35" s="311" t="e" cm="1">
        <f t="array" ref="Z35">IF(COUNTIF('Raw Annual DMR Data'!K:K,$E35)&gt;0,"N/A - See DMRs",IF(SUMIFS('Raw TRI Data'!$Z:$Z,'Raw TRI Data'!$J:$J,$E35)&gt;0,MEDIAN(IF('Raw TRI Data'!$J:$J=$E35,'Raw TRI Data'!$Z:$Z)), "N/A - Facility Does Not Report to TRI, no surface water releases, or no Generic Factors available"))</f>
        <v>#N/A</v>
      </c>
      <c r="AA35" s="156" t="e">
        <f>IF(COUNTIF('Raw Annual DMR Data'!K:K,$E35)&gt;0,"N/A - See DMRs",IF(SUMIFS('Raw TRI Data'!$Z:$Z,'Raw TRI Data'!$J:$J,$E35)&gt;0,_xlfn.MAXIFS('Raw TRI Data'!$Z:$Z,'Raw TRI Data'!$J:$J,$E35), "N/A - Facility Does Not Report to TRI, no surface water releases, or no Generic Factors available"))</f>
        <v>#N/A</v>
      </c>
      <c r="AB35" s="113" t="str">
        <f t="shared" si="6"/>
        <v>N/A</v>
      </c>
      <c r="AC35" s="136" t="e" cm="1">
        <f t="array" ref="AC35">IF(COUNTIF('Raw Annual DMR Data'!K:K,$E35)&gt;0,"N/A - See DMRs",IF(SUMIFS('Raw TRI Data'!$Z:$Z,'Raw TRI Data'!$J:$J,$E35)&gt;0,INDEX('Raw TRI Data'!$A:$A,MATCH(1,($E35='Raw TRI Data'!$J:$J)*($AA35='Raw TRI Data'!$Z:$Z),0)), "N/A - Facility Does Not Report to TRI, no surface water releases, or no Generic Factors available"))</f>
        <v>#N/A</v>
      </c>
      <c r="AD35" s="96" t="str" cm="1">
        <f t="array" ref="AD35">IF(COUNTIFS('Raw Annual DMR Data'!L:L,$F35,'Raw Annual DMR Data'!W:W, "&gt;0")&gt;0,MEDIAN(IF('Raw Annual DMR Data'!K:K=$F35, 'Raw Annual DMR Data'!W:W)), "N/A - No Daily Max DMR Discharge Data")</f>
        <v>N/A - No Daily Max DMR Discharge Data</v>
      </c>
      <c r="AE35" s="96" t="str">
        <f>IF(COUNTIFS('Raw Annual DMR Data'!L:L,$F35,'Raw Annual DMR Data'!W:W, "&gt;0")&gt;0,_xlfn.MAXIFS('Raw Annual DMR Data'!W:W,'Raw Annual DMR Data'!L:L,$F35), "N/A - No Daily Max DMR Discharge Data")</f>
        <v>N/A - No Daily Max DMR Discharge Data</v>
      </c>
      <c r="AF35" s="60" t="str" cm="1">
        <f t="array" ref="AF35">IF(COUNTIFS('Raw Annual DMR Data'!L:L,$F35,'Raw Annual DMR Data'!W:W, "&gt;0")&gt;0,INDEX('Raw Annual DMR Data'!B:B,MATCH(1,($F35='Raw Annual DMR Data'!L:L)*($AE35='Raw Annual DMR Data'!W:W),0)), "N/A - No Daily Max DMR Discharge Data")</f>
        <v>N/A - No Daily Max DMR Discharge Data</v>
      </c>
      <c r="AG35" s="422"/>
      <c r="AH35" s="422"/>
      <c r="AI35" s="423"/>
    </row>
    <row r="36" spans="1:35" ht="45.75" thickBot="1" x14ac:dyDescent="0.3">
      <c r="A36" s="144" t="str">
        <f>VLOOKUP(F36,'Facility Summary'!J:K,2,FALSE)</f>
        <v>POTW</v>
      </c>
      <c r="B36" s="97" t="s">
        <v>125</v>
      </c>
      <c r="C36" s="28" t="s">
        <v>404</v>
      </c>
      <c r="D36" s="60" t="s">
        <v>366</v>
      </c>
      <c r="E36" s="60"/>
      <c r="F36" s="74">
        <v>110000730745</v>
      </c>
      <c r="G36" s="74" t="s">
        <v>817</v>
      </c>
      <c r="H36" s="63" t="s">
        <v>818</v>
      </c>
      <c r="I36" s="74">
        <v>18020155005966</v>
      </c>
      <c r="J36" s="74" t="s">
        <v>265</v>
      </c>
      <c r="K36" s="60">
        <f>VLOOKUP(A36, 'OES Summary'!$A:$B, 2, FALSE)</f>
        <v>365</v>
      </c>
      <c r="L36" s="304" cm="1">
        <f t="array" ref="L36">IF(COUNTIF('Raw Annual DMR Data'!$L:$L,$F36)&gt;0,MEDIAN(IF('Raw Annual DMR Data'!$L:$L=F36,'Raw Annual DMR Data'!$S:$S)),"N/A - Facility Does Not Report DMRs")</f>
        <v>7.5336640000000002E-4</v>
      </c>
      <c r="M36" s="156">
        <f t="shared" si="4"/>
        <v>2.0640175342465755E-6</v>
      </c>
      <c r="N36" s="156">
        <f>IF(COUNTIF('Raw Annual DMR Data'!$L:$L,$F36)&gt;0,_xlfn.MAXIFS('Raw Annual DMR Data'!$S:$S,'Raw Annual DMR Data'!$L:$L,$F36), "N/A - Facility Does Not Report DMRs")</f>
        <v>1.1003752000000001E-3</v>
      </c>
      <c r="O36" s="156">
        <f t="shared" si="5"/>
        <v>3.0147265753424661E-6</v>
      </c>
      <c r="P36" s="113" cm="1">
        <f t="array" ref="P36">IF(COUNTIF('Raw Annual DMR Data'!$L:$L,$F36)&gt;0,INDEX('Raw Annual DMR Data'!$B:$B,MATCH(1,($F36='Raw Annual DMR Data'!$L:$L)*($N36='Raw Annual DMR Data'!$S:$S),0)), "N/A - Facility Does Not Report DMRs")</f>
        <v>2020</v>
      </c>
      <c r="Q36" s="304" t="str" cm="1">
        <f t="array" ref="Q36">IF(COUNTIF('Raw TRI Data'!$J:$J,$E36)&gt;0,MEDIAN(IF('Raw TRI Data'!$J:$J=E36,'Raw TRI Data'!$S:$S)), "N/A - Facility Does Not Report to TRI")</f>
        <v>N/A - Facility Does Not Report to TRI</v>
      </c>
      <c r="R36" s="156" t="str">
        <f t="shared" ref="R36:R67" si="7">IFERROR(+Q36/$K36, "N/A - Facility Does Not Report to TRI")</f>
        <v>N/A - Facility Does Not Report to TRI</v>
      </c>
      <c r="S36" s="156" t="str">
        <f>IF(COUNTIF('Raw TRI Data'!$J:$J,$E36)&gt;0,_xlfn.MAXIFS('Raw TRI Data'!$S:$S,'Raw TRI Data'!$J:$J,$E36), "N/A - Facility Does Not Report to TRI")</f>
        <v>N/A - Facility Does Not Report to TRI</v>
      </c>
      <c r="T36" s="156" t="str">
        <f t="shared" ref="T36:T67" si="8">IFERROR(+S36/$K36, "N/A - Facility Does Not Report to TRI")</f>
        <v>N/A - Facility Does Not Report to TRI</v>
      </c>
      <c r="U36" s="136" t="str" cm="1">
        <f t="array" ref="U36">IF(COUNTIF('Raw TRI Data'!$J:$J,$E36)&gt;0,INDEX('Raw TRI Data'!$A:$A,MATCH(1,($E36='Raw TRI Data'!$J:$J)*(S36='Raw TRI Data'!$S:$S),0)), "N/A - Facility Does Not Report to TRI")</f>
        <v>N/A - Facility Does Not Report to TRI</v>
      </c>
      <c r="V36" s="156" t="str" cm="1">
        <f t="array" ref="V36">IF(COUNTIFS('Raw Annual DMR Data'!$L:$L,$F36,'Raw Annual DMR Data'!$U:$U,"&gt;0")&gt;0,MEDIAN(IF('Raw Annual DMR Data'!$L:$L=$F36,'Raw Annual DMR Data'!$U:$U,"")),"N/A - Period DMR Data Not Available")</f>
        <v>N/A - Period DMR Data Not Available</v>
      </c>
      <c r="W36" s="156" t="str">
        <f>IF(COUNTIFS('Raw Annual DMR Data'!$L:$L,$F36, 'Raw Annual DMR Data'!$U:$U, "&gt;0")&gt;0,_xlfn.MAXIFS('Raw Annual DMR Data'!$U:$U,'Raw Annual DMR Data'!$L:$L,$F36), "N/A - Period DMR Data Not Available")</f>
        <v>N/A - Period DMR Data Not Available</v>
      </c>
      <c r="X36" s="113" t="str" cm="1">
        <f t="array" ref="X36">+IF(COUNTIFS('Raw Annual DMR Data'!L:L,$F36, 'Raw Annual DMR Data'!U:U, "&gt;0")&gt;0,INDEX('Raw Annual DMR Data'!V:V,MATCH(1,($F36='Raw Annual DMR Data'!L:L)*($W36='Raw Annual DMR Data'!U:U),0)), "N/A - Period DMR Data Not Available")</f>
        <v>N/A - Period DMR Data Not Available</v>
      </c>
      <c r="Y36" s="113" t="str" cm="1">
        <f t="array" ref="Y36">IF(COUNTIFS('Raw Annual DMR Data'!L:L,$F36, 'Raw Annual DMR Data'!U:U, "&gt;0")&gt;0,INDEX('Raw Annual DMR Data'!B:B,MATCH(1,($F36='Raw Annual DMR Data'!L:L)*($W36='Raw Annual DMR Data'!U:U),0)), "N/A - Period DMR Data Not Available")</f>
        <v>N/A - Period DMR Data Not Available</v>
      </c>
      <c r="Z36" s="311" t="str" cm="1">
        <f t="array" ref="Z36">IF(COUNTIF('Raw Annual DMR Data'!K:K,$E36)&gt;0,"N/A - See DMRs",IF(SUMIFS('Raw TRI Data'!$Z:$Z,'Raw TRI Data'!$J:$J,$E36)&gt;0,MEDIAN(IF('Raw TRI Data'!$J:$J=$E36,'Raw TRI Data'!$Z:$Z)), "N/A - Facility Does Not Report to TRI, no surface water releases, or no Generic Factors available"))</f>
        <v>N/A - Facility Does Not Report to TRI, no surface water releases, or no Generic Factors available</v>
      </c>
      <c r="AA36" s="156" t="str">
        <f>IF(COUNTIF('Raw Annual DMR Data'!K:K,$E36)&gt;0,"N/A - See DMRs",IF(SUMIFS('Raw TRI Data'!$Z:$Z,'Raw TRI Data'!$J:$J,$E36)&gt;0,_xlfn.MAXIFS('Raw TRI Data'!$Z:$Z,'Raw TRI Data'!$J:$J,$E36), "N/A - Facility Does Not Report to TRI, no surface water releases, or no Generic Factors available"))</f>
        <v>N/A - Facility Does Not Report to TRI, no surface water releases, or no Generic Factors available</v>
      </c>
      <c r="AB36" s="113" t="str">
        <f t="shared" si="6"/>
        <v>N/A</v>
      </c>
      <c r="AC36" s="136" t="str" cm="1">
        <f t="array" ref="AC36">IF(COUNTIF('Raw Annual DMR Data'!K:K,$E36)&gt;0,"N/A - See DMRs",IF(SUMIFS('Raw TRI Data'!$Z:$Z,'Raw TRI Data'!$J:$J,$E36)&gt;0,INDEX('Raw TRI Data'!$A:$A,MATCH(1,($E36='Raw TRI Data'!$J:$J)*($AA36='Raw TRI Data'!$Z:$Z),0)), "N/A - Facility Does Not Report to TRI, no surface water releases, or no Generic Factors available"))</f>
        <v>N/A - Facility Does Not Report to TRI, no surface water releases, or no Generic Factors available</v>
      </c>
      <c r="AD36" s="96" t="str" cm="1">
        <f t="array" ref="AD36">IF(COUNTIFS('Raw Annual DMR Data'!L:L,$F36,'Raw Annual DMR Data'!W:W, "&gt;0")&gt;0,MEDIAN(IF('Raw Annual DMR Data'!K:K=$F36, 'Raw Annual DMR Data'!W:W)), "N/A - No Daily Max DMR Discharge Data")</f>
        <v>N/A - No Daily Max DMR Discharge Data</v>
      </c>
      <c r="AE36" s="96" t="str">
        <f>IF(COUNTIFS('Raw Annual DMR Data'!L:L,$F36,'Raw Annual DMR Data'!W:W, "&gt;0")&gt;0,_xlfn.MAXIFS('Raw Annual DMR Data'!W:W,'Raw Annual DMR Data'!L:L,$F36), "N/A - No Daily Max DMR Discharge Data")</f>
        <v>N/A - No Daily Max DMR Discharge Data</v>
      </c>
      <c r="AF36" s="60" t="str" cm="1">
        <f t="array" ref="AF36">IF(COUNTIFS('Raw Annual DMR Data'!L:L,$F36,'Raw Annual DMR Data'!W:W, "&gt;0")&gt;0,INDEX('Raw Annual DMR Data'!B:B,MATCH(1,($F36='Raw Annual DMR Data'!L:L)*($AE36='Raw Annual DMR Data'!W:W),0)), "N/A - No Daily Max DMR Discharge Data")</f>
        <v>N/A - No Daily Max DMR Discharge Data</v>
      </c>
      <c r="AG36" s="422"/>
      <c r="AH36" s="422"/>
      <c r="AI36" s="423"/>
    </row>
    <row r="37" spans="1:35" ht="45.75" thickBot="1" x14ac:dyDescent="0.3">
      <c r="A37" s="144" t="str">
        <f>VLOOKUP(F37,'Facility Summary'!J:K,2,FALSE)</f>
        <v>POTW</v>
      </c>
      <c r="B37" s="97" t="s">
        <v>126</v>
      </c>
      <c r="C37" s="28" t="s">
        <v>407</v>
      </c>
      <c r="D37" s="60" t="s">
        <v>374</v>
      </c>
      <c r="E37" s="60"/>
      <c r="F37" s="74">
        <v>110012330520</v>
      </c>
      <c r="G37" s="74" t="s">
        <v>819</v>
      </c>
      <c r="H37" s="63"/>
      <c r="I37" s="74">
        <v>15050100023719</v>
      </c>
      <c r="J37" s="74" t="s">
        <v>265</v>
      </c>
      <c r="K37" s="60">
        <f>VLOOKUP(A37, 'OES Summary'!$A:$B, 2, FALSE)</f>
        <v>365</v>
      </c>
      <c r="L37" s="304" cm="1">
        <f t="array" ref="L37">IF(COUNTIF('Raw Annual DMR Data'!$L:$L,$F37)&gt;0,MEDIAN(IF('Raw Annual DMR Data'!$L:$L=F37,'Raw Annual DMR Data'!$S:$S)),"N/A - Facility Does Not Report DMRs")</f>
        <v>0.283212625</v>
      </c>
      <c r="M37" s="156">
        <f t="shared" si="4"/>
        <v>7.7592500000000001E-4</v>
      </c>
      <c r="N37" s="156">
        <f>IF(COUNTIF('Raw Annual DMR Data'!$L:$L,$F37)&gt;0,_xlfn.MAXIFS('Raw Annual DMR Data'!$S:$S,'Raw Annual DMR Data'!$L:$L,$F37), "N/A - Facility Does Not Report DMRs")</f>
        <v>0.283212625</v>
      </c>
      <c r="O37" s="156">
        <f t="shared" si="5"/>
        <v>7.7592500000000001E-4</v>
      </c>
      <c r="P37" s="113" cm="1">
        <f t="array" ref="P37">IF(COUNTIF('Raw Annual DMR Data'!$L:$L,$F37)&gt;0,INDEX('Raw Annual DMR Data'!$B:$B,MATCH(1,($F37='Raw Annual DMR Data'!$L:$L)*($N37='Raw Annual DMR Data'!$S:$S),0)), "N/A - Facility Does Not Report DMRs")</f>
        <v>2020</v>
      </c>
      <c r="Q37" s="304" t="str" cm="1">
        <f t="array" ref="Q37">IF(COUNTIF('Raw TRI Data'!$J:$J,$E37)&gt;0,MEDIAN(IF('Raw TRI Data'!$J:$J=E37,'Raw TRI Data'!$S:$S)), "N/A - Facility Does Not Report to TRI")</f>
        <v>N/A - Facility Does Not Report to TRI</v>
      </c>
      <c r="R37" s="156" t="str">
        <f t="shared" si="7"/>
        <v>N/A - Facility Does Not Report to TRI</v>
      </c>
      <c r="S37" s="156" t="str">
        <f>IF(COUNTIF('Raw TRI Data'!$J:$J,$E37)&gt;0,_xlfn.MAXIFS('Raw TRI Data'!$S:$S,'Raw TRI Data'!$J:$J,$E37), "N/A - Facility Does Not Report to TRI")</f>
        <v>N/A - Facility Does Not Report to TRI</v>
      </c>
      <c r="T37" s="156" t="str">
        <f t="shared" si="8"/>
        <v>N/A - Facility Does Not Report to TRI</v>
      </c>
      <c r="U37" s="136" t="str" cm="1">
        <f t="array" ref="U37">IF(COUNTIF('Raw TRI Data'!$J:$J,$E37)&gt;0,INDEX('Raw TRI Data'!$A:$A,MATCH(1,($E37='Raw TRI Data'!$J:$J)*(S37='Raw TRI Data'!$S:$S),0)), "N/A - Facility Does Not Report to TRI")</f>
        <v>N/A - Facility Does Not Report to TRI</v>
      </c>
      <c r="V37" s="156" t="str" cm="1">
        <f t="array" ref="V37">IF(COUNTIFS('Raw Annual DMR Data'!$L:$L,$F37,'Raw Annual DMR Data'!$U:$U,"&gt;0")&gt;0,MEDIAN(IF('Raw Annual DMR Data'!$L:$L=$F37,'Raw Annual DMR Data'!$U:$U,"")),"N/A - Period DMR Data Not Available")</f>
        <v>N/A - Period DMR Data Not Available</v>
      </c>
      <c r="W37" s="156" t="str">
        <f>IF(COUNTIFS('Raw Annual DMR Data'!$L:$L,$F37, 'Raw Annual DMR Data'!$U:$U, "&gt;0")&gt;0,_xlfn.MAXIFS('Raw Annual DMR Data'!$U:$U,'Raw Annual DMR Data'!$L:$L,$F37), "N/A - Period DMR Data Not Available")</f>
        <v>N/A - Period DMR Data Not Available</v>
      </c>
      <c r="X37" s="113" t="str" cm="1">
        <f t="array" ref="X37">+IF(COUNTIFS('Raw Annual DMR Data'!L:L,$F37, 'Raw Annual DMR Data'!U:U, "&gt;0")&gt;0,INDEX('Raw Annual DMR Data'!V:V,MATCH(1,($F37='Raw Annual DMR Data'!L:L)*($W37='Raw Annual DMR Data'!U:U),0)), "N/A - Period DMR Data Not Available")</f>
        <v>N/A - Period DMR Data Not Available</v>
      </c>
      <c r="Y37" s="113" t="str" cm="1">
        <f t="array" ref="Y37">IF(COUNTIFS('Raw Annual DMR Data'!L:L,$F37, 'Raw Annual DMR Data'!U:U, "&gt;0")&gt;0,INDEX('Raw Annual DMR Data'!B:B,MATCH(1,($F37='Raw Annual DMR Data'!L:L)*($W37='Raw Annual DMR Data'!U:U),0)), "N/A - Period DMR Data Not Available")</f>
        <v>N/A - Period DMR Data Not Available</v>
      </c>
      <c r="Z37" s="311" t="str" cm="1">
        <f t="array" ref="Z37">IF(COUNTIF('Raw Annual DMR Data'!K:K,$E37)&gt;0,"N/A - See DMRs",IF(SUMIFS('Raw TRI Data'!$Z:$Z,'Raw TRI Data'!$J:$J,$E37)&gt;0,MEDIAN(IF('Raw TRI Data'!$J:$J=$E37,'Raw TRI Data'!$Z:$Z)), "N/A - Facility Does Not Report to TRI, no surface water releases, or no Generic Factors available"))</f>
        <v>N/A - Facility Does Not Report to TRI, no surface water releases, or no Generic Factors available</v>
      </c>
      <c r="AA37" s="156" t="str">
        <f>IF(COUNTIF('Raw Annual DMR Data'!K:K,$E37)&gt;0,"N/A - See DMRs",IF(SUMIFS('Raw TRI Data'!$Z:$Z,'Raw TRI Data'!$J:$J,$E37)&gt;0,_xlfn.MAXIFS('Raw TRI Data'!$Z:$Z,'Raw TRI Data'!$J:$J,$E37), "N/A - Facility Does Not Report to TRI, no surface water releases, or no Generic Factors available"))</f>
        <v>N/A - Facility Does Not Report to TRI, no surface water releases, or no Generic Factors available</v>
      </c>
      <c r="AB37" s="113" t="str">
        <f t="shared" si="6"/>
        <v>N/A</v>
      </c>
      <c r="AC37" s="136" t="str" cm="1">
        <f t="array" ref="AC37">IF(COUNTIF('Raw Annual DMR Data'!K:K,$E37)&gt;0,"N/A - See DMRs",IF(SUMIFS('Raw TRI Data'!$Z:$Z,'Raw TRI Data'!$J:$J,$E37)&gt;0,INDEX('Raw TRI Data'!$A:$A,MATCH(1,($E37='Raw TRI Data'!$J:$J)*($AA37='Raw TRI Data'!$Z:$Z),0)), "N/A - Facility Does Not Report to TRI, no surface water releases, or no Generic Factors available"))</f>
        <v>N/A - Facility Does Not Report to TRI, no surface water releases, or no Generic Factors available</v>
      </c>
      <c r="AD37" s="96" t="str" cm="1">
        <f t="array" ref="AD37">IF(COUNTIFS('Raw Annual DMR Data'!L:L,$F37,'Raw Annual DMR Data'!W:W, "&gt;0")&gt;0,MEDIAN(IF('Raw Annual DMR Data'!K:K=$F37, 'Raw Annual DMR Data'!W:W)), "N/A - No Daily Max DMR Discharge Data")</f>
        <v>N/A - No Daily Max DMR Discharge Data</v>
      </c>
      <c r="AE37" s="96" t="str">
        <f>IF(COUNTIFS('Raw Annual DMR Data'!L:L,$F37,'Raw Annual DMR Data'!W:W, "&gt;0")&gt;0,_xlfn.MAXIFS('Raw Annual DMR Data'!W:W,'Raw Annual DMR Data'!L:L,$F37), "N/A - No Daily Max DMR Discharge Data")</f>
        <v>N/A - No Daily Max DMR Discharge Data</v>
      </c>
      <c r="AF37" s="60" t="str" cm="1">
        <f t="array" ref="AF37">IF(COUNTIFS('Raw Annual DMR Data'!L:L,$F37,'Raw Annual DMR Data'!W:W, "&gt;0")&gt;0,INDEX('Raw Annual DMR Data'!B:B,MATCH(1,($F37='Raw Annual DMR Data'!L:L)*($AE37='Raw Annual DMR Data'!W:W),0)), "N/A - No Daily Max DMR Discharge Data")</f>
        <v>N/A - No Daily Max DMR Discharge Data</v>
      </c>
      <c r="AG37" s="422"/>
      <c r="AH37" s="422"/>
      <c r="AI37" s="423"/>
    </row>
    <row r="38" spans="1:35" ht="45.75" thickBot="1" x14ac:dyDescent="0.3">
      <c r="A38" s="144" t="str">
        <f>VLOOKUP(F38,'Facility Summary'!J:K,2,FALSE)</f>
        <v>Waste Handling, Disposal and Treatment (non-POTW WWT)</v>
      </c>
      <c r="B38" s="97" t="s">
        <v>127</v>
      </c>
      <c r="C38" s="28" t="s">
        <v>302</v>
      </c>
      <c r="D38" s="60" t="s">
        <v>303</v>
      </c>
      <c r="E38" s="60" t="s">
        <v>409</v>
      </c>
      <c r="F38" s="74">
        <v>110000450039</v>
      </c>
      <c r="G38" s="74" t="s">
        <v>820</v>
      </c>
      <c r="H38" s="63" t="s">
        <v>816</v>
      </c>
      <c r="I38" s="74">
        <v>8070201000273</v>
      </c>
      <c r="J38" s="74" t="s">
        <v>265</v>
      </c>
      <c r="K38" s="60">
        <f>VLOOKUP(A38, 'OES Summary'!$A:$B, 2, FALSE)</f>
        <v>250</v>
      </c>
      <c r="L38" s="304" cm="1">
        <f t="array" ref="L38">IF(COUNTIF('Raw Annual DMR Data'!$L:$L,$F38)&gt;0,MEDIAN(IF('Raw Annual DMR Data'!$L:$L=F38,'Raw Annual DMR Data'!$S:$S)),"N/A - Facility Does Not Report DMRs")</f>
        <v>1.146081863945573</v>
      </c>
      <c r="M38" s="156">
        <f t="shared" si="4"/>
        <v>4.5843274557822921E-3</v>
      </c>
      <c r="N38" s="156">
        <f>IF(COUNTIF('Raw Annual DMR Data'!$L:$L,$F38)&gt;0,_xlfn.MAXIFS('Raw Annual DMR Data'!$S:$S,'Raw Annual DMR Data'!$L:$L,$F38), "N/A - Facility Does Not Report DMRs")</f>
        <v>1.6326530612244801</v>
      </c>
      <c r="O38" s="156">
        <f t="shared" si="5"/>
        <v>6.5306122448979204E-3</v>
      </c>
      <c r="P38" s="113" cm="1">
        <f t="array" ref="P38">IF(COUNTIF('Raw Annual DMR Data'!$L:$L,$F38)&gt;0,INDEX('Raw Annual DMR Data'!$B:$B,MATCH(1,($F38='Raw Annual DMR Data'!$L:$L)*($N38='Raw Annual DMR Data'!$S:$S),0)), "N/A - Facility Does Not Report DMRs")</f>
        <v>2020</v>
      </c>
      <c r="Q38" s="304" t="str" cm="1">
        <f t="array" ref="Q38">IF(COUNTIF('Raw TRI Data'!$J:$J,$E38)&gt;0,MEDIAN(IF('Raw TRI Data'!$J:$J=E38,'Raw TRI Data'!$S:$S)), "N/A - Facility Does Not Report to TRI")</f>
        <v>N/A - Facility Does Not Report to TRI</v>
      </c>
      <c r="R38" s="156" t="str">
        <f t="shared" si="7"/>
        <v>N/A - Facility Does Not Report to TRI</v>
      </c>
      <c r="S38" s="156" t="str">
        <f>IF(COUNTIF('Raw TRI Data'!$J:$J,$E38)&gt;0,_xlfn.MAXIFS('Raw TRI Data'!$S:$S,'Raw TRI Data'!$J:$J,$E38), "N/A - Facility Does Not Report to TRI")</f>
        <v>N/A - Facility Does Not Report to TRI</v>
      </c>
      <c r="T38" s="156" t="str">
        <f t="shared" si="8"/>
        <v>N/A - Facility Does Not Report to TRI</v>
      </c>
      <c r="U38" s="136" t="str" cm="1">
        <f t="array" ref="U38">IF(COUNTIF('Raw TRI Data'!$J:$J,$E38)&gt;0,INDEX('Raw TRI Data'!$A:$A,MATCH(1,($E38='Raw TRI Data'!$J:$J)*(S38='Raw TRI Data'!$S:$S),0)), "N/A - Facility Does Not Report to TRI")</f>
        <v>N/A - Facility Does Not Report to TRI</v>
      </c>
      <c r="V38" s="156" t="str" cm="1">
        <f t="array" ref="V38">IF(COUNTIFS('Raw Annual DMR Data'!$L:$L,$F38,'Raw Annual DMR Data'!$U:$U,"&gt;0")&gt;0,MEDIAN(IF('Raw Annual DMR Data'!$L:$L=$F38,'Raw Annual DMR Data'!$U:$U,"")),"N/A - Period DMR Data Not Available")</f>
        <v>N/A - Period DMR Data Not Available</v>
      </c>
      <c r="W38" s="156" t="str">
        <f>IF(COUNTIFS('Raw Annual DMR Data'!$L:$L,$F38, 'Raw Annual DMR Data'!$U:$U, "&gt;0")&gt;0,_xlfn.MAXIFS('Raw Annual DMR Data'!$U:$U,'Raw Annual DMR Data'!$L:$L,$F38), "N/A - Period DMR Data Not Available")</f>
        <v>N/A - Period DMR Data Not Available</v>
      </c>
      <c r="X38" s="113" t="str" cm="1">
        <f t="array" ref="X38">+IF(COUNTIFS('Raw Annual DMR Data'!L:L,$F38, 'Raw Annual DMR Data'!U:U, "&gt;0")&gt;0,INDEX('Raw Annual DMR Data'!V:V,MATCH(1,($F38='Raw Annual DMR Data'!L:L)*($W38='Raw Annual DMR Data'!U:U),0)), "N/A - Period DMR Data Not Available")</f>
        <v>N/A - Period DMR Data Not Available</v>
      </c>
      <c r="Y38" s="113" t="str" cm="1">
        <f t="array" ref="Y38">IF(COUNTIFS('Raw Annual DMR Data'!L:L,$F38, 'Raw Annual DMR Data'!U:U, "&gt;0")&gt;0,INDEX('Raw Annual DMR Data'!B:B,MATCH(1,($F38='Raw Annual DMR Data'!L:L)*($W38='Raw Annual DMR Data'!U:U),0)), "N/A - Period DMR Data Not Available")</f>
        <v>N/A - Period DMR Data Not Available</v>
      </c>
      <c r="Z38" s="311" t="str" cm="1">
        <f t="array" ref="Z38">IF(COUNTIF('Raw Annual DMR Data'!K:K,$E38)&gt;0,"N/A - See DMRs",IF(SUMIFS('Raw TRI Data'!$Z:$Z,'Raw TRI Data'!$J:$J,$E38)&gt;0,MEDIAN(IF('Raw TRI Data'!$J:$J=$E38,'Raw TRI Data'!$Z:$Z)), "N/A - Facility Does Not Report to TRI, no surface water releases, or no Generic Factors available"))</f>
        <v>N/A - See DMRs</v>
      </c>
      <c r="AA38" s="156" t="str">
        <f>IF(COUNTIF('Raw Annual DMR Data'!K:K,$E38)&gt;0,"N/A - See DMRs",IF(SUMIFS('Raw TRI Data'!$Z:$Z,'Raw TRI Data'!$J:$J,$E38)&gt;0,_xlfn.MAXIFS('Raw TRI Data'!$Z:$Z,'Raw TRI Data'!$J:$J,$E38), "N/A - Facility Does Not Report to TRI, no surface water releases, or no Generic Factors available"))</f>
        <v>N/A - See DMRs</v>
      </c>
      <c r="AB38" s="113" t="str">
        <f t="shared" si="6"/>
        <v>N/A</v>
      </c>
      <c r="AC38" s="136" t="str" cm="1">
        <f t="array" ref="AC38">IF(COUNTIF('Raw Annual DMR Data'!K:K,$E38)&gt;0,"N/A - See DMRs",IF(SUMIFS('Raw TRI Data'!$Z:$Z,'Raw TRI Data'!$J:$J,$E38)&gt;0,INDEX('Raw TRI Data'!$A:$A,MATCH(1,($E38='Raw TRI Data'!$J:$J)*($AA38='Raw TRI Data'!$Z:$Z),0)), "N/A - Facility Does Not Report to TRI, no surface water releases, or no Generic Factors available"))</f>
        <v>N/A - See DMRs</v>
      </c>
      <c r="AD38" s="96" t="str" cm="1">
        <f t="array" ref="AD38">IF(COUNTIFS('Raw Annual DMR Data'!L:L,$F38,'Raw Annual DMR Data'!W:W, "&gt;0")&gt;0,MEDIAN(IF('Raw Annual DMR Data'!K:K=$F38, 'Raw Annual DMR Data'!W:W)), "N/A - No Daily Max DMR Discharge Data")</f>
        <v>N/A - No Daily Max DMR Discharge Data</v>
      </c>
      <c r="AE38" s="96" t="str">
        <f>IF(COUNTIFS('Raw Annual DMR Data'!L:L,$F38,'Raw Annual DMR Data'!W:W, "&gt;0")&gt;0,_xlfn.MAXIFS('Raw Annual DMR Data'!W:W,'Raw Annual DMR Data'!L:L,$F38), "N/A - No Daily Max DMR Discharge Data")</f>
        <v>N/A - No Daily Max DMR Discharge Data</v>
      </c>
      <c r="AF38" s="60" t="str" cm="1">
        <f t="array" ref="AF38">IF(COUNTIFS('Raw Annual DMR Data'!L:L,$F38,'Raw Annual DMR Data'!W:W, "&gt;0")&gt;0,INDEX('Raw Annual DMR Data'!B:B,MATCH(1,($F38='Raw Annual DMR Data'!L:L)*($AE38='Raw Annual DMR Data'!W:W),0)), "N/A - No Daily Max DMR Discharge Data")</f>
        <v>N/A - No Daily Max DMR Discharge Data</v>
      </c>
      <c r="AG38" s="422"/>
      <c r="AH38" s="422"/>
      <c r="AI38" s="423"/>
    </row>
    <row r="39" spans="1:35" ht="45.75" thickBot="1" x14ac:dyDescent="0.3">
      <c r="A39" s="144" t="str">
        <f>VLOOKUP(F39,'Facility Summary'!J:K,2,FALSE)</f>
        <v>Waste Handling, Disposal and Treatment (Incinerator)</v>
      </c>
      <c r="B39" s="97" t="s">
        <v>128</v>
      </c>
      <c r="C39" s="28" t="s">
        <v>412</v>
      </c>
      <c r="D39" s="60" t="s">
        <v>299</v>
      </c>
      <c r="E39" s="60" t="s">
        <v>413</v>
      </c>
      <c r="F39" s="74">
        <v>110000521221</v>
      </c>
      <c r="G39" s="74" t="s">
        <v>821</v>
      </c>
      <c r="H39" s="63" t="s">
        <v>822</v>
      </c>
      <c r="I39" s="74">
        <v>8040202000533</v>
      </c>
      <c r="J39" s="74" t="s">
        <v>265</v>
      </c>
      <c r="K39" s="60">
        <f>VLOOKUP(A39, 'OES Summary'!$A:$B, 2, FALSE)</f>
        <v>250</v>
      </c>
      <c r="L39" s="304" cm="1">
        <f t="array" ref="L39">IF(COUNTIF('Raw Annual DMR Data'!$L:$L,$F39)&gt;0,MEDIAN(IF('Raw Annual DMR Data'!$L:$L=F39,'Raw Annual DMR Data'!$S:$S)),"N/A - Facility Does Not Report DMRs")</f>
        <v>5.8320188399999997E-3</v>
      </c>
      <c r="M39" s="156">
        <f t="shared" si="4"/>
        <v>2.332807536E-5</v>
      </c>
      <c r="N39" s="156">
        <f>IF(COUNTIF('Raw Annual DMR Data'!$L:$L,$F39)&gt;0,_xlfn.MAXIFS('Raw Annual DMR Data'!$S:$S,'Raw Annual DMR Data'!$L:$L,$F39), "N/A - Facility Does Not Report DMRs")</f>
        <v>358.444007935</v>
      </c>
      <c r="O39" s="156">
        <f t="shared" si="5"/>
        <v>1.4337760317399999</v>
      </c>
      <c r="P39" s="113" cm="1">
        <f t="array" ref="P39">IF(COUNTIF('Raw Annual DMR Data'!$L:$L,$F39)&gt;0,INDEX('Raw Annual DMR Data'!$B:$B,MATCH(1,($F39='Raw Annual DMR Data'!$L:$L)*($N39='Raw Annual DMR Data'!$S:$S),0)), "N/A - Facility Does Not Report DMRs")</f>
        <v>2015</v>
      </c>
      <c r="Q39" s="304" cm="1">
        <f t="array" ref="Q39">IF(COUNTIF('Raw TRI Data'!$J:$J,$E39)&gt;0,MEDIAN(IF('Raw TRI Data'!$J:$J=E39,'Raw TRI Data'!$S:$S)), "N/A - Facility Does Not Report to TRI")</f>
        <v>78.562198483999993</v>
      </c>
      <c r="R39" s="156">
        <f t="shared" si="7"/>
        <v>0.31424879393599997</v>
      </c>
      <c r="S39" s="156">
        <f>IF(COUNTIF('Raw TRI Data'!$J:$J,$E39)&gt;0,_xlfn.MAXIFS('Raw TRI Data'!$S:$S,'Raw TRI Data'!$J:$J,$E39), "N/A - Facility Does Not Report to TRI")</f>
        <v>110.22294591000001</v>
      </c>
      <c r="T39" s="156">
        <f t="shared" si="8"/>
        <v>0.44089178364000003</v>
      </c>
      <c r="U39" s="136" cm="1">
        <f t="array" ref="U39">IF(COUNTIF('Raw TRI Data'!$J:$J,$E39)&gt;0,INDEX('Raw TRI Data'!$A:$A,MATCH(1,($E39='Raw TRI Data'!$J:$J)*(S39='Raw TRI Data'!$S:$S),0)), "N/A - Facility Does Not Report to TRI")</f>
        <v>2015</v>
      </c>
      <c r="V39" s="156" cm="1">
        <f t="array" ref="V39">IF(COUNTIFS('Raw Annual DMR Data'!$L:$L,$F39,'Raw Annual DMR Data'!$U:$U,"&gt;0")&gt;0,MEDIAN(IF('Raw Annual DMR Data'!$L:$L=$F39,'Raw Annual DMR Data'!$U:$U,"")),"N/A - Period DMR Data Not Available")</f>
        <v>3.1326174000000004</v>
      </c>
      <c r="W39" s="156">
        <f>IF(COUNTIFS('Raw Annual DMR Data'!$L:$L,$F39, 'Raw Annual DMR Data'!$U:$U, "&gt;0")&gt;0,_xlfn.MAXIFS('Raw Annual DMR Data'!$U:$U,'Raw Annual DMR Data'!$L:$L,$F39), "N/A - Period DMR Data Not Available")</f>
        <v>3.1326174000000004</v>
      </c>
      <c r="X39" s="113" cm="1">
        <f t="array" ref="X39">+IF(COUNTIFS('Raw Annual DMR Data'!L:L,$F39, 'Raw Annual DMR Data'!U:U, "&gt;0")&gt;0,INDEX('Raw Annual DMR Data'!V:V,MATCH(1,($F39='Raw Annual DMR Data'!L:L)*($W39='Raw Annual DMR Data'!U:U),0)), "N/A - Period DMR Data Not Available")</f>
        <v>90</v>
      </c>
      <c r="Y39" s="113" cm="1">
        <f t="array" ref="Y39">IF(COUNTIFS('Raw Annual DMR Data'!L:L,$F39, 'Raw Annual DMR Data'!U:U, "&gt;0")&gt;0,INDEX('Raw Annual DMR Data'!B:B,MATCH(1,($F39='Raw Annual DMR Data'!L:L)*($W39='Raw Annual DMR Data'!U:U),0)), "N/A - Period DMR Data Not Available")</f>
        <v>2015</v>
      </c>
      <c r="Z39" s="311" t="str" cm="1">
        <f t="array" ref="Z39">IF(COUNTIF('Raw Annual DMR Data'!K:K,$E39)&gt;0,"N/A - See DMRs",IF(SUMIFS('Raw TRI Data'!$Z:$Z,'Raw TRI Data'!$J:$J,$E39)&gt;0,MEDIAN(IF('Raw TRI Data'!$J:$J=$E39,'Raw TRI Data'!$Z:$Z)), "N/A - Facility Does Not Report to TRI, no surface water releases, or no Generic Factors available"))</f>
        <v>N/A - See DMRs</v>
      </c>
      <c r="AA39" s="156" t="str">
        <f>IF(COUNTIF('Raw Annual DMR Data'!K:K,$E39)&gt;0,"N/A - See DMRs",IF(SUMIFS('Raw TRI Data'!$Z:$Z,'Raw TRI Data'!$J:$J,$E39)&gt;0,_xlfn.MAXIFS('Raw TRI Data'!$Z:$Z,'Raw TRI Data'!$J:$J,$E39), "N/A - Facility Does Not Report to TRI, no surface water releases, or no Generic Factors available"))</f>
        <v>N/A - See DMRs</v>
      </c>
      <c r="AB39" s="113" t="str">
        <f t="shared" si="6"/>
        <v>N/A</v>
      </c>
      <c r="AC39" s="136" t="str" cm="1">
        <f t="array" ref="AC39">IF(COUNTIF('Raw Annual DMR Data'!K:K,$E39)&gt;0,"N/A - See DMRs",IF(SUMIFS('Raw TRI Data'!$Z:$Z,'Raw TRI Data'!$J:$J,$E39)&gt;0,INDEX('Raw TRI Data'!$A:$A,MATCH(1,($E39='Raw TRI Data'!$J:$J)*($AA39='Raw TRI Data'!$Z:$Z),0)), "N/A - Facility Does Not Report to TRI, no surface water releases, or no Generic Factors available"))</f>
        <v>N/A - See DMRs</v>
      </c>
      <c r="AD39" s="96" t="e" cm="1">
        <f t="array" ref="AD39">IF(COUNTIFS('Raw Annual DMR Data'!L:L,$F39,'Raw Annual DMR Data'!W:W, "&gt;0")&gt;0,MEDIAN(IF('Raw Annual DMR Data'!K:K=$F39, 'Raw Annual DMR Data'!W:W)), "N/A - No Daily Max DMR Discharge Data")</f>
        <v>#NUM!</v>
      </c>
      <c r="AE39" s="96">
        <f>IF(COUNTIFS('Raw Annual DMR Data'!L:L,$F39,'Raw Annual DMR Data'!W:W, "&gt;0")&gt;0,_xlfn.MAXIFS('Raw Annual DMR Data'!W:W,'Raw Annual DMR Data'!L:L,$F39), "N/A - No Daily Max DMR Discharge Data")</f>
        <v>9.123000639999999</v>
      </c>
      <c r="AF39" s="60" cm="1">
        <f t="array" ref="AF39">IF(COUNTIFS('Raw Annual DMR Data'!L:L,$F39,'Raw Annual DMR Data'!W:W, "&gt;0")&gt;0,INDEX('Raw Annual DMR Data'!B:B,MATCH(1,($F39='Raw Annual DMR Data'!L:L)*($AE39='Raw Annual DMR Data'!W:W),0)), "N/A - No Daily Max DMR Discharge Data")</f>
        <v>2015</v>
      </c>
      <c r="AG39" s="422"/>
      <c r="AH39" s="422"/>
      <c r="AI39" s="423"/>
    </row>
    <row r="40" spans="1:35" ht="45.75" thickBot="1" x14ac:dyDescent="0.3">
      <c r="A40" s="144" t="str">
        <f>VLOOKUP(F40,'Facility Summary'!J:K,2,FALSE)</f>
        <v>POTW</v>
      </c>
      <c r="B40" s="97" t="s">
        <v>129</v>
      </c>
      <c r="C40" s="28" t="s">
        <v>415</v>
      </c>
      <c r="D40" s="60" t="s">
        <v>366</v>
      </c>
      <c r="E40" s="60"/>
      <c r="F40" s="74">
        <v>110035769585</v>
      </c>
      <c r="G40" s="74" t="s">
        <v>823</v>
      </c>
      <c r="H40" s="63" t="s">
        <v>824</v>
      </c>
      <c r="I40" s="74">
        <v>18030009008092</v>
      </c>
      <c r="J40" s="74" t="s">
        <v>265</v>
      </c>
      <c r="K40" s="60">
        <f>VLOOKUP(A40, 'OES Summary'!$A:$B, 2, FALSE)</f>
        <v>365</v>
      </c>
      <c r="L40" s="304" cm="1">
        <f t="array" ref="L40">IF(COUNTIF('Raw Annual DMR Data'!$L:$L,$F40)&gt;0,MEDIAN(IF('Raw Annual DMR Data'!$L:$L=F40,'Raw Annual DMR Data'!$S:$S)),"N/A - Facility Does Not Report DMRs")</f>
        <v>11.416740920000001</v>
      </c>
      <c r="M40" s="156">
        <f t="shared" si="4"/>
        <v>3.1278742246575342E-2</v>
      </c>
      <c r="N40" s="156">
        <f>IF(COUNTIF('Raw Annual DMR Data'!$L:$L,$F40)&gt;0,_xlfn.MAXIFS('Raw Annual DMR Data'!$S:$S,'Raw Annual DMR Data'!$L:$L,$F40), "N/A - Facility Does Not Report DMRs")</f>
        <v>11.416740920000001</v>
      </c>
      <c r="O40" s="156">
        <f t="shared" si="5"/>
        <v>3.1278742246575342E-2</v>
      </c>
      <c r="P40" s="113" cm="1">
        <f t="array" ref="P40">IF(COUNTIF('Raw Annual DMR Data'!$L:$L,$F40)&gt;0,INDEX('Raw Annual DMR Data'!$B:$B,MATCH(1,($F40='Raw Annual DMR Data'!$L:$L)*($N40='Raw Annual DMR Data'!$S:$S),0)), "N/A - Facility Does Not Report DMRs")</f>
        <v>2020</v>
      </c>
      <c r="Q40" s="304" t="str" cm="1">
        <f t="array" ref="Q40">IF(COUNTIF('Raw TRI Data'!$J:$J,$E40)&gt;0,MEDIAN(IF('Raw TRI Data'!$J:$J=E40,'Raw TRI Data'!$S:$S)), "N/A - Facility Does Not Report to TRI")</f>
        <v>N/A - Facility Does Not Report to TRI</v>
      </c>
      <c r="R40" s="156" t="str">
        <f t="shared" si="7"/>
        <v>N/A - Facility Does Not Report to TRI</v>
      </c>
      <c r="S40" s="156" t="str">
        <f>IF(COUNTIF('Raw TRI Data'!$J:$J,$E40)&gt;0,_xlfn.MAXIFS('Raw TRI Data'!$S:$S,'Raw TRI Data'!$J:$J,$E40), "N/A - Facility Does Not Report to TRI")</f>
        <v>N/A - Facility Does Not Report to TRI</v>
      </c>
      <c r="T40" s="156" t="str">
        <f t="shared" si="8"/>
        <v>N/A - Facility Does Not Report to TRI</v>
      </c>
      <c r="U40" s="136" t="str" cm="1">
        <f t="array" ref="U40">IF(COUNTIF('Raw TRI Data'!$J:$J,$E40)&gt;0,INDEX('Raw TRI Data'!$A:$A,MATCH(1,($E40='Raw TRI Data'!$J:$J)*(S40='Raw TRI Data'!$S:$S),0)), "N/A - Facility Does Not Report to TRI")</f>
        <v>N/A - Facility Does Not Report to TRI</v>
      </c>
      <c r="V40" s="156" t="str" cm="1">
        <f t="array" ref="V40">IF(COUNTIFS('Raw Annual DMR Data'!$L:$L,$F40,'Raw Annual DMR Data'!$U:$U,"&gt;0")&gt;0,MEDIAN(IF('Raw Annual DMR Data'!$L:$L=$F40,'Raw Annual DMR Data'!$U:$U,"")),"N/A - Period DMR Data Not Available")</f>
        <v>N/A - Period DMR Data Not Available</v>
      </c>
      <c r="W40" s="156" t="str">
        <f>IF(COUNTIFS('Raw Annual DMR Data'!$L:$L,$F40, 'Raw Annual DMR Data'!$U:$U, "&gt;0")&gt;0,_xlfn.MAXIFS('Raw Annual DMR Data'!$U:$U,'Raw Annual DMR Data'!$L:$L,$F40), "N/A - Period DMR Data Not Available")</f>
        <v>N/A - Period DMR Data Not Available</v>
      </c>
      <c r="X40" s="113" t="str" cm="1">
        <f t="array" ref="X40">+IF(COUNTIFS('Raw Annual DMR Data'!L:L,$F40, 'Raw Annual DMR Data'!U:U, "&gt;0")&gt;0,INDEX('Raw Annual DMR Data'!V:V,MATCH(1,($F40='Raw Annual DMR Data'!L:L)*($W40='Raw Annual DMR Data'!U:U),0)), "N/A - Period DMR Data Not Available")</f>
        <v>N/A - Period DMR Data Not Available</v>
      </c>
      <c r="Y40" s="113" t="str" cm="1">
        <f t="array" ref="Y40">IF(COUNTIFS('Raw Annual DMR Data'!L:L,$F40, 'Raw Annual DMR Data'!U:U, "&gt;0")&gt;0,INDEX('Raw Annual DMR Data'!B:B,MATCH(1,($F40='Raw Annual DMR Data'!L:L)*($W40='Raw Annual DMR Data'!U:U),0)), "N/A - Period DMR Data Not Available")</f>
        <v>N/A - Period DMR Data Not Available</v>
      </c>
      <c r="Z40" s="311" t="str" cm="1">
        <f t="array" ref="Z40">IF(COUNTIF('Raw Annual DMR Data'!K:K,$E40)&gt;0,"N/A - See DMRs",IF(SUMIFS('Raw TRI Data'!$Z:$Z,'Raw TRI Data'!$J:$J,$E40)&gt;0,MEDIAN(IF('Raw TRI Data'!$J:$J=$E40,'Raw TRI Data'!$Z:$Z)), "N/A - Facility Does Not Report to TRI, no surface water releases, or no Generic Factors available"))</f>
        <v>N/A - Facility Does Not Report to TRI, no surface water releases, or no Generic Factors available</v>
      </c>
      <c r="AA40" s="156" t="str">
        <f>IF(COUNTIF('Raw Annual DMR Data'!K:K,$E40)&gt;0,"N/A - See DMRs",IF(SUMIFS('Raw TRI Data'!$Z:$Z,'Raw TRI Data'!$J:$J,$E40)&gt;0,_xlfn.MAXIFS('Raw TRI Data'!$Z:$Z,'Raw TRI Data'!$J:$J,$E40), "N/A - Facility Does Not Report to TRI, no surface water releases, or no Generic Factors available"))</f>
        <v>N/A - Facility Does Not Report to TRI, no surface water releases, or no Generic Factors available</v>
      </c>
      <c r="AB40" s="113" t="str">
        <f t="shared" si="6"/>
        <v>N/A</v>
      </c>
      <c r="AC40" s="136" t="str" cm="1">
        <f t="array" ref="AC40">IF(COUNTIF('Raw Annual DMR Data'!K:K,$E40)&gt;0,"N/A - See DMRs",IF(SUMIFS('Raw TRI Data'!$Z:$Z,'Raw TRI Data'!$J:$J,$E40)&gt;0,INDEX('Raw TRI Data'!$A:$A,MATCH(1,($E40='Raw TRI Data'!$J:$J)*($AA40='Raw TRI Data'!$Z:$Z),0)), "N/A - Facility Does Not Report to TRI, no surface water releases, or no Generic Factors available"))</f>
        <v>N/A - Facility Does Not Report to TRI, no surface water releases, or no Generic Factors available</v>
      </c>
      <c r="AD40" s="96" t="str" cm="1">
        <f t="array" ref="AD40">IF(COUNTIFS('Raw Annual DMR Data'!L:L,$F40,'Raw Annual DMR Data'!W:W, "&gt;0")&gt;0,MEDIAN(IF('Raw Annual DMR Data'!K:K=$F40, 'Raw Annual DMR Data'!W:W)), "N/A - No Daily Max DMR Discharge Data")</f>
        <v>N/A - No Daily Max DMR Discharge Data</v>
      </c>
      <c r="AE40" s="96" t="str">
        <f>IF(COUNTIFS('Raw Annual DMR Data'!L:L,$F40,'Raw Annual DMR Data'!W:W, "&gt;0")&gt;0,_xlfn.MAXIFS('Raw Annual DMR Data'!W:W,'Raw Annual DMR Data'!L:L,$F40), "N/A - No Daily Max DMR Discharge Data")</f>
        <v>N/A - No Daily Max DMR Discharge Data</v>
      </c>
      <c r="AF40" s="60" t="str" cm="1">
        <f t="array" ref="AF40">IF(COUNTIFS('Raw Annual DMR Data'!L:L,$F40,'Raw Annual DMR Data'!W:W, "&gt;0")&gt;0,INDEX('Raw Annual DMR Data'!B:B,MATCH(1,($F40='Raw Annual DMR Data'!L:L)*($AE40='Raw Annual DMR Data'!W:W),0)), "N/A - No Daily Max DMR Discharge Data")</f>
        <v>N/A - No Daily Max DMR Discharge Data</v>
      </c>
      <c r="AG40" s="422"/>
      <c r="AH40" s="422"/>
      <c r="AI40" s="423"/>
    </row>
    <row r="41" spans="1:35" ht="45.75" thickBot="1" x14ac:dyDescent="0.3">
      <c r="A41" s="144" t="str">
        <f>VLOOKUP(F41,'Facility Summary'!J:K,2,FALSE)</f>
        <v>Unknown</v>
      </c>
      <c r="B41" s="97" t="s">
        <v>130</v>
      </c>
      <c r="C41" s="28" t="s">
        <v>417</v>
      </c>
      <c r="D41" s="60" t="s">
        <v>418</v>
      </c>
      <c r="E41" s="60"/>
      <c r="F41" s="74">
        <v>110009830273</v>
      </c>
      <c r="G41" s="74" t="s">
        <v>825</v>
      </c>
      <c r="H41" s="63" t="s">
        <v>826</v>
      </c>
      <c r="I41" s="74">
        <v>16050102000406</v>
      </c>
      <c r="J41" s="74" t="s">
        <v>265</v>
      </c>
      <c r="K41" s="60">
        <f>VLOOKUP(A41, 'OES Summary'!$A:$B, 2, FALSE)</f>
        <v>250</v>
      </c>
      <c r="L41" s="304" cm="1">
        <f t="array" ref="L41">IF(COUNTIF('Raw Annual DMR Data'!$L:$L,$F41)&gt;0,MEDIAN(IF('Raw Annual DMR Data'!$L:$L=F41,'Raw Annual DMR Data'!$S:$S)),"N/A - Facility Does Not Report DMRs")</f>
        <v>0.41401495609674999</v>
      </c>
      <c r="M41" s="156">
        <f t="shared" si="4"/>
        <v>1.6560598243869999E-3</v>
      </c>
      <c r="N41" s="156">
        <f>IF(COUNTIF('Raw Annual DMR Data'!$L:$L,$F41)&gt;0,_xlfn.MAXIFS('Raw Annual DMR Data'!$S:$S,'Raw Annual DMR Data'!$L:$L,$F41), "N/A - Facility Does Not Report DMRs")</f>
        <v>0.41401495609674999</v>
      </c>
      <c r="O41" s="156">
        <f t="shared" si="5"/>
        <v>1.6560598243869999E-3</v>
      </c>
      <c r="P41" s="113" cm="1">
        <f t="array" ref="P41">IF(COUNTIF('Raw Annual DMR Data'!$L:$L,$F41)&gt;0,INDEX('Raw Annual DMR Data'!$B:$B,MATCH(1,($F41='Raw Annual DMR Data'!$L:$L)*($N41='Raw Annual DMR Data'!$S:$S),0)), "N/A - Facility Does Not Report DMRs")</f>
        <v>2019</v>
      </c>
      <c r="Q41" s="304" t="str" cm="1">
        <f t="array" ref="Q41">IF(COUNTIF('Raw TRI Data'!$J:$J,$E41)&gt;0,MEDIAN(IF('Raw TRI Data'!$J:$J=E41,'Raw TRI Data'!$S:$S)), "N/A - Facility Does Not Report to TRI")</f>
        <v>N/A - Facility Does Not Report to TRI</v>
      </c>
      <c r="R41" s="156" t="str">
        <f t="shared" si="7"/>
        <v>N/A - Facility Does Not Report to TRI</v>
      </c>
      <c r="S41" s="156" t="str">
        <f>IF(COUNTIF('Raw TRI Data'!$J:$J,$E41)&gt;0,_xlfn.MAXIFS('Raw TRI Data'!$S:$S,'Raw TRI Data'!$J:$J,$E41), "N/A - Facility Does Not Report to TRI")</f>
        <v>N/A - Facility Does Not Report to TRI</v>
      </c>
      <c r="T41" s="156" t="str">
        <f t="shared" si="8"/>
        <v>N/A - Facility Does Not Report to TRI</v>
      </c>
      <c r="U41" s="136" t="str" cm="1">
        <f t="array" ref="U41">IF(COUNTIF('Raw TRI Data'!$J:$J,$E41)&gt;0,INDEX('Raw TRI Data'!$A:$A,MATCH(1,($E41='Raw TRI Data'!$J:$J)*(S41='Raw TRI Data'!$S:$S),0)), "N/A - Facility Does Not Report to TRI")</f>
        <v>N/A - Facility Does Not Report to TRI</v>
      </c>
      <c r="V41" s="156" t="str" cm="1">
        <f t="array" ref="V41">IF(COUNTIFS('Raw Annual DMR Data'!$L:$L,$F41,'Raw Annual DMR Data'!$U:$U,"&gt;0")&gt;0,MEDIAN(IF('Raw Annual DMR Data'!$L:$L=$F41,'Raw Annual DMR Data'!$U:$U,"")),"N/A - Period DMR Data Not Available")</f>
        <v>N/A - Period DMR Data Not Available</v>
      </c>
      <c r="W41" s="156" t="str">
        <f>IF(COUNTIFS('Raw Annual DMR Data'!$L:$L,$F41, 'Raw Annual DMR Data'!$U:$U, "&gt;0")&gt;0,_xlfn.MAXIFS('Raw Annual DMR Data'!$U:$U,'Raw Annual DMR Data'!$L:$L,$F41), "N/A - Period DMR Data Not Available")</f>
        <v>N/A - Period DMR Data Not Available</v>
      </c>
      <c r="X41" s="113" t="str" cm="1">
        <f t="array" ref="X41">+IF(COUNTIFS('Raw Annual DMR Data'!L:L,$F41, 'Raw Annual DMR Data'!U:U, "&gt;0")&gt;0,INDEX('Raw Annual DMR Data'!V:V,MATCH(1,($F41='Raw Annual DMR Data'!L:L)*($W41='Raw Annual DMR Data'!U:U),0)), "N/A - Period DMR Data Not Available")</f>
        <v>N/A - Period DMR Data Not Available</v>
      </c>
      <c r="Y41" s="113" t="str" cm="1">
        <f t="array" ref="Y41">IF(COUNTIFS('Raw Annual DMR Data'!L:L,$F41, 'Raw Annual DMR Data'!U:U, "&gt;0")&gt;0,INDEX('Raw Annual DMR Data'!B:B,MATCH(1,($F41='Raw Annual DMR Data'!L:L)*($W41='Raw Annual DMR Data'!U:U),0)), "N/A - Period DMR Data Not Available")</f>
        <v>N/A - Period DMR Data Not Available</v>
      </c>
      <c r="Z41" s="311" t="str" cm="1">
        <f t="array" ref="Z41">IF(COUNTIF('Raw Annual DMR Data'!K:K,$E41)&gt;0,"N/A - See DMRs",IF(SUMIFS('Raw TRI Data'!$Z:$Z,'Raw TRI Data'!$J:$J,$E41)&gt;0,MEDIAN(IF('Raw TRI Data'!$J:$J=$E41,'Raw TRI Data'!$Z:$Z)), "N/A - Facility Does Not Report to TRI, no surface water releases, or no Generic Factors available"))</f>
        <v>N/A - Facility Does Not Report to TRI, no surface water releases, or no Generic Factors available</v>
      </c>
      <c r="AA41" s="156" t="str">
        <f>IF(COUNTIF('Raw Annual DMR Data'!K:K,$E41)&gt;0,"N/A - See DMRs",IF(SUMIFS('Raw TRI Data'!$Z:$Z,'Raw TRI Data'!$J:$J,$E41)&gt;0,_xlfn.MAXIFS('Raw TRI Data'!$Z:$Z,'Raw TRI Data'!$J:$J,$E41), "N/A - Facility Does Not Report to TRI, no surface water releases, or no Generic Factors available"))</f>
        <v>N/A - Facility Does Not Report to TRI, no surface water releases, or no Generic Factors available</v>
      </c>
      <c r="AB41" s="113" t="str">
        <f t="shared" si="6"/>
        <v>N/A</v>
      </c>
      <c r="AC41" s="136" t="str" cm="1">
        <f t="array" ref="AC41">IF(COUNTIF('Raw Annual DMR Data'!K:K,$E41)&gt;0,"N/A - See DMRs",IF(SUMIFS('Raw TRI Data'!$Z:$Z,'Raw TRI Data'!$J:$J,$E41)&gt;0,INDEX('Raw TRI Data'!$A:$A,MATCH(1,($E41='Raw TRI Data'!$J:$J)*($AA41='Raw TRI Data'!$Z:$Z),0)), "N/A - Facility Does Not Report to TRI, no surface water releases, or no Generic Factors available"))</f>
        <v>N/A - Facility Does Not Report to TRI, no surface water releases, or no Generic Factors available</v>
      </c>
      <c r="AD41" s="96" t="str" cm="1">
        <f t="array" ref="AD41">IF(COUNTIFS('Raw Annual DMR Data'!L:L,$F41,'Raw Annual DMR Data'!W:W, "&gt;0")&gt;0,MEDIAN(IF('Raw Annual DMR Data'!K:K=$F41, 'Raw Annual DMR Data'!W:W)), "N/A - No Daily Max DMR Discharge Data")</f>
        <v>N/A - No Daily Max DMR Discharge Data</v>
      </c>
      <c r="AE41" s="96" t="str">
        <f>IF(COUNTIFS('Raw Annual DMR Data'!L:L,$F41,'Raw Annual DMR Data'!W:W, "&gt;0")&gt;0,_xlfn.MAXIFS('Raw Annual DMR Data'!W:W,'Raw Annual DMR Data'!L:L,$F41), "N/A - No Daily Max DMR Discharge Data")</f>
        <v>N/A - No Daily Max DMR Discharge Data</v>
      </c>
      <c r="AF41" s="60" t="str" cm="1">
        <f t="array" ref="AF41">IF(COUNTIFS('Raw Annual DMR Data'!L:L,$F41,'Raw Annual DMR Data'!W:W, "&gt;0")&gt;0,INDEX('Raw Annual DMR Data'!B:B,MATCH(1,($F41='Raw Annual DMR Data'!L:L)*($AE41='Raw Annual DMR Data'!W:W),0)), "N/A - No Daily Max DMR Discharge Data")</f>
        <v>N/A - No Daily Max DMR Discharge Data</v>
      </c>
      <c r="AG41" s="422"/>
      <c r="AH41" s="422"/>
      <c r="AI41" s="423"/>
    </row>
    <row r="42" spans="1:35" ht="45.75" thickBot="1" x14ac:dyDescent="0.3">
      <c r="A42" s="144" t="str">
        <f>VLOOKUP(F42,'Facility Summary'!J:K,2,FALSE)</f>
        <v>POTW</v>
      </c>
      <c r="B42" s="97" t="s">
        <v>131</v>
      </c>
      <c r="C42" s="28" t="s">
        <v>421</v>
      </c>
      <c r="D42" s="60" t="s">
        <v>366</v>
      </c>
      <c r="E42" s="60"/>
      <c r="F42" s="74">
        <v>110055984957</v>
      </c>
      <c r="G42" s="74" t="s">
        <v>827</v>
      </c>
      <c r="H42" s="63" t="s">
        <v>828</v>
      </c>
      <c r="I42" s="74">
        <v>18020104000844</v>
      </c>
      <c r="J42" s="74" t="s">
        <v>265</v>
      </c>
      <c r="K42" s="60">
        <f>VLOOKUP(A42, 'OES Summary'!$A:$B, 2, FALSE)</f>
        <v>365</v>
      </c>
      <c r="L42" s="304" cm="1">
        <f t="array" ref="L42">IF(COUNTIF('Raw Annual DMR Data'!$L:$L,$F42)&gt;0,MEDIAN(IF('Raw Annual DMR Data'!$L:$L=F42,'Raw Annual DMR Data'!$S:$S)),"N/A - Facility Does Not Report DMRs")</f>
        <v>7.7251345333333304E-2</v>
      </c>
      <c r="M42" s="156">
        <f t="shared" si="4"/>
        <v>2.1164752146118714E-4</v>
      </c>
      <c r="N42" s="156">
        <f>IF(COUNTIF('Raw Annual DMR Data'!$L:$L,$F42)&gt;0,_xlfn.MAXIFS('Raw Annual DMR Data'!$S:$S,'Raw Annual DMR Data'!$L:$L,$F42), "N/A - Facility Does Not Report DMRs")</f>
        <v>7.7251345333333304E-2</v>
      </c>
      <c r="O42" s="156">
        <f t="shared" si="5"/>
        <v>2.1164752146118714E-4</v>
      </c>
      <c r="P42" s="113" cm="1">
        <f t="array" ref="P42">IF(COUNTIF('Raw Annual DMR Data'!$L:$L,$F42)&gt;0,INDEX('Raw Annual DMR Data'!$B:$B,MATCH(1,($F42='Raw Annual DMR Data'!$L:$L)*($N42='Raw Annual DMR Data'!$S:$S),0)), "N/A - Facility Does Not Report DMRs")</f>
        <v>2019</v>
      </c>
      <c r="Q42" s="304" t="str" cm="1">
        <f t="array" ref="Q42">IF(COUNTIF('Raw TRI Data'!$J:$J,$E42)&gt;0,MEDIAN(IF('Raw TRI Data'!$J:$J=E42,'Raw TRI Data'!$S:$S)), "N/A - Facility Does Not Report to TRI")</f>
        <v>N/A - Facility Does Not Report to TRI</v>
      </c>
      <c r="R42" s="156" t="str">
        <f t="shared" si="7"/>
        <v>N/A - Facility Does Not Report to TRI</v>
      </c>
      <c r="S42" s="156" t="str">
        <f>IF(COUNTIF('Raw TRI Data'!$J:$J,$E42)&gt;0,_xlfn.MAXIFS('Raw TRI Data'!$S:$S,'Raw TRI Data'!$J:$J,$E42), "N/A - Facility Does Not Report to TRI")</f>
        <v>N/A - Facility Does Not Report to TRI</v>
      </c>
      <c r="T42" s="156" t="str">
        <f t="shared" si="8"/>
        <v>N/A - Facility Does Not Report to TRI</v>
      </c>
      <c r="U42" s="136" t="str" cm="1">
        <f t="array" ref="U42">IF(COUNTIF('Raw TRI Data'!$J:$J,$E42)&gt;0,INDEX('Raw TRI Data'!$A:$A,MATCH(1,($E42='Raw TRI Data'!$J:$J)*(S42='Raw TRI Data'!$S:$S),0)), "N/A - Facility Does Not Report to TRI")</f>
        <v>N/A - Facility Does Not Report to TRI</v>
      </c>
      <c r="V42" s="156" t="str" cm="1">
        <f t="array" ref="V42">IF(COUNTIFS('Raw Annual DMR Data'!$L:$L,$F42,'Raw Annual DMR Data'!$U:$U,"&gt;0")&gt;0,MEDIAN(IF('Raw Annual DMR Data'!$L:$L=$F42,'Raw Annual DMR Data'!$U:$U,"")),"N/A - Period DMR Data Not Available")</f>
        <v>N/A - Period DMR Data Not Available</v>
      </c>
      <c r="W42" s="156" t="str">
        <f>IF(COUNTIFS('Raw Annual DMR Data'!$L:$L,$F42, 'Raw Annual DMR Data'!$U:$U, "&gt;0")&gt;0,_xlfn.MAXIFS('Raw Annual DMR Data'!$U:$U,'Raw Annual DMR Data'!$L:$L,$F42), "N/A - Period DMR Data Not Available")</f>
        <v>N/A - Period DMR Data Not Available</v>
      </c>
      <c r="X42" s="113" t="str" cm="1">
        <f t="array" ref="X42">+IF(COUNTIFS('Raw Annual DMR Data'!L:L,$F42, 'Raw Annual DMR Data'!U:U, "&gt;0")&gt;0,INDEX('Raw Annual DMR Data'!V:V,MATCH(1,($F42='Raw Annual DMR Data'!L:L)*($W42='Raw Annual DMR Data'!U:U),0)), "N/A - Period DMR Data Not Available")</f>
        <v>N/A - Period DMR Data Not Available</v>
      </c>
      <c r="Y42" s="113" t="str" cm="1">
        <f t="array" ref="Y42">IF(COUNTIFS('Raw Annual DMR Data'!L:L,$F42, 'Raw Annual DMR Data'!U:U, "&gt;0")&gt;0,INDEX('Raw Annual DMR Data'!B:B,MATCH(1,($F42='Raw Annual DMR Data'!L:L)*($W42='Raw Annual DMR Data'!U:U),0)), "N/A - Period DMR Data Not Available")</f>
        <v>N/A - Period DMR Data Not Available</v>
      </c>
      <c r="Z42" s="311" t="str" cm="1">
        <f t="array" ref="Z42">IF(COUNTIF('Raw Annual DMR Data'!K:K,$E42)&gt;0,"N/A - See DMRs",IF(SUMIFS('Raw TRI Data'!$Z:$Z,'Raw TRI Data'!$J:$J,$E42)&gt;0,MEDIAN(IF('Raw TRI Data'!$J:$J=$E42,'Raw TRI Data'!$Z:$Z)), "N/A - Facility Does Not Report to TRI, no surface water releases, or no Generic Factors available"))</f>
        <v>N/A - Facility Does Not Report to TRI, no surface water releases, or no Generic Factors available</v>
      </c>
      <c r="AA42" s="156" t="str">
        <f>IF(COUNTIF('Raw Annual DMR Data'!K:K,$E42)&gt;0,"N/A - See DMRs",IF(SUMIFS('Raw TRI Data'!$Z:$Z,'Raw TRI Data'!$J:$J,$E42)&gt;0,_xlfn.MAXIFS('Raw TRI Data'!$Z:$Z,'Raw TRI Data'!$J:$J,$E42), "N/A - Facility Does Not Report to TRI, no surface water releases, or no Generic Factors available"))</f>
        <v>N/A - Facility Does Not Report to TRI, no surface water releases, or no Generic Factors available</v>
      </c>
      <c r="AB42" s="113" t="str">
        <f t="shared" si="6"/>
        <v>N/A</v>
      </c>
      <c r="AC42" s="136" t="str" cm="1">
        <f t="array" ref="AC42">IF(COUNTIF('Raw Annual DMR Data'!K:K,$E42)&gt;0,"N/A - See DMRs",IF(SUMIFS('Raw TRI Data'!$Z:$Z,'Raw TRI Data'!$J:$J,$E42)&gt;0,INDEX('Raw TRI Data'!$A:$A,MATCH(1,($E42='Raw TRI Data'!$J:$J)*($AA42='Raw TRI Data'!$Z:$Z),0)), "N/A - Facility Does Not Report to TRI, no surface water releases, or no Generic Factors available"))</f>
        <v>N/A - Facility Does Not Report to TRI, no surface water releases, or no Generic Factors available</v>
      </c>
      <c r="AD42" s="96" t="str" cm="1">
        <f t="array" ref="AD42">IF(COUNTIFS('Raw Annual DMR Data'!L:L,$F42,'Raw Annual DMR Data'!W:W, "&gt;0")&gt;0,MEDIAN(IF('Raw Annual DMR Data'!K:K=$F42, 'Raw Annual DMR Data'!W:W)), "N/A - No Daily Max DMR Discharge Data")</f>
        <v>N/A - No Daily Max DMR Discharge Data</v>
      </c>
      <c r="AE42" s="96" t="str">
        <f>IF(COUNTIFS('Raw Annual DMR Data'!L:L,$F42,'Raw Annual DMR Data'!W:W, "&gt;0")&gt;0,_xlfn.MAXIFS('Raw Annual DMR Data'!W:W,'Raw Annual DMR Data'!L:L,$F42), "N/A - No Daily Max DMR Discharge Data")</f>
        <v>N/A - No Daily Max DMR Discharge Data</v>
      </c>
      <c r="AF42" s="60" t="str" cm="1">
        <f t="array" ref="AF42">IF(COUNTIFS('Raw Annual DMR Data'!L:L,$F42,'Raw Annual DMR Data'!W:W, "&gt;0")&gt;0,INDEX('Raw Annual DMR Data'!B:B,MATCH(1,($F42='Raw Annual DMR Data'!L:L)*($AE42='Raw Annual DMR Data'!W:W),0)), "N/A - No Daily Max DMR Discharge Data")</f>
        <v>N/A - No Daily Max DMR Discharge Data</v>
      </c>
      <c r="AG42" s="422"/>
      <c r="AH42" s="422"/>
      <c r="AI42" s="423"/>
    </row>
    <row r="43" spans="1:35" ht="30.75" thickBot="1" x14ac:dyDescent="0.3">
      <c r="A43" s="144" t="str">
        <f>VLOOKUP(F43,'Facility Summary'!J:K,2,FALSE)</f>
        <v>Manufacturing</v>
      </c>
      <c r="B43" s="97" t="s">
        <v>132</v>
      </c>
      <c r="C43" s="28" t="s">
        <v>423</v>
      </c>
      <c r="D43" s="60" t="s">
        <v>311</v>
      </c>
      <c r="E43" s="60" t="s">
        <v>424</v>
      </c>
      <c r="F43" s="74">
        <v>110000344850</v>
      </c>
      <c r="G43" s="74" t="s">
        <v>829</v>
      </c>
      <c r="H43" s="63" t="s">
        <v>830</v>
      </c>
      <c r="I43" s="74">
        <v>5030201001962</v>
      </c>
      <c r="J43" s="74" t="s">
        <v>265</v>
      </c>
      <c r="K43" s="60">
        <f>VLOOKUP(A43, 'OES Summary'!$A:$B, 2, FALSE)</f>
        <v>350</v>
      </c>
      <c r="L43" s="304" cm="1">
        <f t="array" ref="L43">IF(COUNTIF('Raw Annual DMR Data'!$L:$L,$F43)&gt;0,MEDIAN(IF('Raw Annual DMR Data'!$L:$L=F43,'Raw Annual DMR Data'!$S:$S)),"N/A - Facility Does Not Report DMRs")</f>
        <v>1.0759637188208599</v>
      </c>
      <c r="M43" s="156">
        <f t="shared" si="4"/>
        <v>3.0741820537738855E-3</v>
      </c>
      <c r="N43" s="156">
        <f>IF(COUNTIF('Raw Annual DMR Data'!$L:$L,$F43)&gt;0,_xlfn.MAXIFS('Raw Annual DMR Data'!$S:$S,'Raw Annual DMR Data'!$L:$L,$F43), "N/A - Facility Does Not Report DMRs")</f>
        <v>1.0759637188208599</v>
      </c>
      <c r="O43" s="156">
        <f t="shared" si="5"/>
        <v>3.0741820537738855E-3</v>
      </c>
      <c r="P43" s="113" cm="1">
        <f t="array" ref="P43">IF(COUNTIF('Raw Annual DMR Data'!$L:$L,$F43)&gt;0,INDEX('Raw Annual DMR Data'!$B:$B,MATCH(1,($F43='Raw Annual DMR Data'!$L:$L)*($N43='Raw Annual DMR Data'!$S:$S),0)), "N/A - Facility Does Not Report DMRs")</f>
        <v>2015</v>
      </c>
      <c r="Q43" s="304" t="str" cm="1">
        <f t="array" ref="Q43">IF(COUNTIF('Raw TRI Data'!$J:$J,$E43)&gt;0,MEDIAN(IF('Raw TRI Data'!$J:$J=E43,'Raw TRI Data'!$S:$S)), "N/A - Facility Does Not Report to TRI")</f>
        <v>N/A - Facility Does Not Report to TRI</v>
      </c>
      <c r="R43" s="156" t="str">
        <f t="shared" si="7"/>
        <v>N/A - Facility Does Not Report to TRI</v>
      </c>
      <c r="S43" s="156" t="str">
        <f>IF(COUNTIF('Raw TRI Data'!$J:$J,$E43)&gt;0,_xlfn.MAXIFS('Raw TRI Data'!$S:$S,'Raw TRI Data'!$J:$J,$E43), "N/A - Facility Does Not Report to TRI")</f>
        <v>N/A - Facility Does Not Report to TRI</v>
      </c>
      <c r="T43" s="156" t="str">
        <f t="shared" si="8"/>
        <v>N/A - Facility Does Not Report to TRI</v>
      </c>
      <c r="U43" s="136" t="str" cm="1">
        <f t="array" ref="U43">IF(COUNTIF('Raw TRI Data'!$J:$J,$E43)&gt;0,INDEX('Raw TRI Data'!$A:$A,MATCH(1,($E43='Raw TRI Data'!$J:$J)*(S43='Raw TRI Data'!$S:$S),0)), "N/A - Facility Does Not Report to TRI")</f>
        <v>N/A - Facility Does Not Report to TRI</v>
      </c>
      <c r="V43" s="156" t="str" cm="1">
        <f t="array" ref="V43">IF(COUNTIFS('Raw Annual DMR Data'!$L:$L,$F43,'Raw Annual DMR Data'!$U:$U,"&gt;0")&gt;0,MEDIAN(IF('Raw Annual DMR Data'!$L:$L=$F43,'Raw Annual DMR Data'!$U:$U,"")),"N/A - Period DMR Data Not Available")</f>
        <v>N/A - Period DMR Data Not Available</v>
      </c>
      <c r="W43" s="156" t="str">
        <f>IF(COUNTIFS('Raw Annual DMR Data'!$L:$L,$F43, 'Raw Annual DMR Data'!$U:$U, "&gt;0")&gt;0,_xlfn.MAXIFS('Raw Annual DMR Data'!$U:$U,'Raw Annual DMR Data'!$L:$L,$F43), "N/A - Period DMR Data Not Available")</f>
        <v>N/A - Period DMR Data Not Available</v>
      </c>
      <c r="X43" s="113" t="str" cm="1">
        <f t="array" ref="X43">+IF(COUNTIFS('Raw Annual DMR Data'!L:L,$F43, 'Raw Annual DMR Data'!U:U, "&gt;0")&gt;0,INDEX('Raw Annual DMR Data'!V:V,MATCH(1,($F43='Raw Annual DMR Data'!L:L)*($W43='Raw Annual DMR Data'!U:U),0)), "N/A - Period DMR Data Not Available")</f>
        <v>N/A - Period DMR Data Not Available</v>
      </c>
      <c r="Y43" s="113" t="str" cm="1">
        <f t="array" ref="Y43">IF(COUNTIFS('Raw Annual DMR Data'!L:L,$F43, 'Raw Annual DMR Data'!U:U, "&gt;0")&gt;0,INDEX('Raw Annual DMR Data'!B:B,MATCH(1,($F43='Raw Annual DMR Data'!L:L)*($W43='Raw Annual DMR Data'!U:U),0)), "N/A - Period DMR Data Not Available")</f>
        <v>N/A - Period DMR Data Not Available</v>
      </c>
      <c r="Z43" s="311" t="str" cm="1">
        <f t="array" ref="Z43">IF(COUNTIF('Raw Annual DMR Data'!K:K,$E43)&gt;0,"N/A - See DMRs",IF(SUMIFS('Raw TRI Data'!$Z:$Z,'Raw TRI Data'!$J:$J,$E43)&gt;0,MEDIAN(IF('Raw TRI Data'!$J:$J=$E43,'Raw TRI Data'!$Z:$Z)), "N/A - Facility Does Not Report to TRI, no surface water releases, or no Generic Factors available"))</f>
        <v>N/A - See DMRs</v>
      </c>
      <c r="AA43" s="156" t="str">
        <f>IF(COUNTIF('Raw Annual DMR Data'!K:K,$E43)&gt;0,"N/A - See DMRs",IF(SUMIFS('Raw TRI Data'!$Z:$Z,'Raw TRI Data'!$J:$J,$E43)&gt;0,_xlfn.MAXIFS('Raw TRI Data'!$Z:$Z,'Raw TRI Data'!$J:$J,$E43), "N/A - Facility Does Not Report to TRI, no surface water releases, or no Generic Factors available"))</f>
        <v>N/A - See DMRs</v>
      </c>
      <c r="AB43" s="113" t="str">
        <f t="shared" si="6"/>
        <v>N/A</v>
      </c>
      <c r="AC43" s="136" t="str" cm="1">
        <f t="array" ref="AC43">IF(COUNTIF('Raw Annual DMR Data'!K:K,$E43)&gt;0,"N/A - See DMRs",IF(SUMIFS('Raw TRI Data'!$Z:$Z,'Raw TRI Data'!$J:$J,$E43)&gt;0,INDEX('Raw TRI Data'!$A:$A,MATCH(1,($E43='Raw TRI Data'!$J:$J)*($AA43='Raw TRI Data'!$Z:$Z),0)), "N/A - Facility Does Not Report to TRI, no surface water releases, or no Generic Factors available"))</f>
        <v>N/A - See DMRs</v>
      </c>
      <c r="AD43" s="96" t="str" cm="1">
        <f t="array" ref="AD43">IF(COUNTIFS('Raw Annual DMR Data'!L:L,$F43,'Raw Annual DMR Data'!W:W, "&gt;0")&gt;0,MEDIAN(IF('Raw Annual DMR Data'!K:K=$F43, 'Raw Annual DMR Data'!W:W)), "N/A - No Daily Max DMR Discharge Data")</f>
        <v>N/A - No Daily Max DMR Discharge Data</v>
      </c>
      <c r="AE43" s="96" t="str">
        <f>IF(COUNTIFS('Raw Annual DMR Data'!L:L,$F43,'Raw Annual DMR Data'!W:W, "&gt;0")&gt;0,_xlfn.MAXIFS('Raw Annual DMR Data'!W:W,'Raw Annual DMR Data'!L:L,$F43), "N/A - No Daily Max DMR Discharge Data")</f>
        <v>N/A - No Daily Max DMR Discharge Data</v>
      </c>
      <c r="AF43" s="60" t="str" cm="1">
        <f t="array" ref="AF43">IF(COUNTIFS('Raw Annual DMR Data'!L:L,$F43,'Raw Annual DMR Data'!W:W, "&gt;0")&gt;0,INDEX('Raw Annual DMR Data'!B:B,MATCH(1,($F43='Raw Annual DMR Data'!L:L)*($AE43='Raw Annual DMR Data'!W:W),0)), "N/A - No Daily Max DMR Discharge Data")</f>
        <v>N/A - No Daily Max DMR Discharge Data</v>
      </c>
      <c r="AG43" s="422"/>
      <c r="AH43" s="422"/>
      <c r="AI43" s="423"/>
    </row>
    <row r="44" spans="1:35" ht="30.75" thickBot="1" x14ac:dyDescent="0.3">
      <c r="A44" s="144" t="str">
        <f>VLOOKUP(F44,'Facility Summary'!J:K,2,FALSE)</f>
        <v>Processing as a Reactant</v>
      </c>
      <c r="B44" s="97" t="s">
        <v>208</v>
      </c>
      <c r="C44" s="28" t="s">
        <v>426</v>
      </c>
      <c r="D44" s="28" t="s">
        <v>427</v>
      </c>
      <c r="E44" s="60" t="s">
        <v>428</v>
      </c>
      <c r="F44" s="74">
        <v>110070788638</v>
      </c>
      <c r="G44" s="74" t="s">
        <v>295</v>
      </c>
      <c r="H44" s="81" t="s">
        <v>295</v>
      </c>
      <c r="I44" s="74" t="s">
        <v>295</v>
      </c>
      <c r="J44" s="74" t="s">
        <v>265</v>
      </c>
      <c r="K44" s="60">
        <f>VLOOKUP(A44, 'OES Summary'!$A:$B, 2, FALSE)</f>
        <v>350</v>
      </c>
      <c r="L44" s="304" t="str" cm="1">
        <f t="array" ref="L44">IF(COUNTIF('Raw Annual DMR Data'!$L:$L,$F44)&gt;0,MEDIAN(IF('Raw Annual DMR Data'!$L:$L=F44,'Raw Annual DMR Data'!$S:$S)),"N/A - Facility Does Not Report DMRs")</f>
        <v>N/A - Facility Does Not Report DMRs</v>
      </c>
      <c r="M44" s="156" t="str">
        <f t="shared" si="4"/>
        <v>N/A - Facility Does Not Report DMRs</v>
      </c>
      <c r="N44" s="156" t="str">
        <f>IF(COUNTIF('Raw Annual DMR Data'!$L:$L,$F44)&gt;0,_xlfn.MAXIFS('Raw Annual DMR Data'!$S:$S,'Raw Annual DMR Data'!$L:$L,$F44), "N/A - Facility Does Not Report DMRs")</f>
        <v>N/A - Facility Does Not Report DMRs</v>
      </c>
      <c r="O44" s="156" t="str">
        <f t="shared" si="5"/>
        <v>N/A - Facility Does Not Report DMRs</v>
      </c>
      <c r="P44" s="113" t="str" cm="1">
        <f t="array" ref="P44">IF(COUNTIF('Raw Annual DMR Data'!$L:$L,$F44)&gt;0,INDEX('Raw Annual DMR Data'!$B:$B,MATCH(1,($F44='Raw Annual DMR Data'!$L:$L)*($N44='Raw Annual DMR Data'!$S:$S),0)), "N/A - Facility Does Not Report DMRs")</f>
        <v>N/A - Facility Does Not Report DMRs</v>
      </c>
      <c r="Q44" s="304" cm="1">
        <f t="array" ref="Q44">IF(COUNTIF('Raw TRI Data'!$J:$J,$E44)&gt;0,MEDIAN(IF('Raw TRI Data'!$J:$J=E44,'Raw TRI Data'!$S:$S)), "N/A - Facility Does Not Report to TRI")</f>
        <v>0</v>
      </c>
      <c r="R44" s="156">
        <f t="shared" si="7"/>
        <v>0</v>
      </c>
      <c r="S44" s="156">
        <f>IF(COUNTIF('Raw TRI Data'!$J:$J,$E44)&gt;0,_xlfn.MAXIFS('Raw TRI Data'!$S:$S,'Raw TRI Data'!$J:$J,$E44), "N/A - Facility Does Not Report to TRI")</f>
        <v>0</v>
      </c>
      <c r="T44" s="156">
        <f t="shared" si="8"/>
        <v>0</v>
      </c>
      <c r="U44" s="136" cm="1">
        <f t="array" ref="U44">IF(COUNTIF('Raw TRI Data'!$J:$J,$E44)&gt;0,INDEX('Raw TRI Data'!$A:$A,MATCH(1,($E44='Raw TRI Data'!$J:$J)*(S44='Raw TRI Data'!$S:$S),0)), "N/A - Facility Does Not Report to TRI")</f>
        <v>2019</v>
      </c>
      <c r="V44" s="156" t="str" cm="1">
        <f t="array" ref="V44">IF(COUNTIFS('Raw Annual DMR Data'!$L:$L,$F44,'Raw Annual DMR Data'!$U:$U,"&gt;0")&gt;0,MEDIAN(IF('Raw Annual DMR Data'!$L:$L=$F44,'Raw Annual DMR Data'!$U:$U,"")),"N/A - Period DMR Data Not Available")</f>
        <v>N/A - Period DMR Data Not Available</v>
      </c>
      <c r="W44" s="156" t="str">
        <f>IF(COUNTIFS('Raw Annual DMR Data'!$L:$L,$F44, 'Raw Annual DMR Data'!$U:$U, "&gt;0")&gt;0,_xlfn.MAXIFS('Raw Annual DMR Data'!$U:$U,'Raw Annual DMR Data'!$L:$L,$F44), "N/A - Period DMR Data Not Available")</f>
        <v>N/A - Period DMR Data Not Available</v>
      </c>
      <c r="X44" s="113" t="str" cm="1">
        <f t="array" ref="X44">+IF(COUNTIFS('Raw Annual DMR Data'!L:L,$F44, 'Raw Annual DMR Data'!U:U, "&gt;0")&gt;0,INDEX('Raw Annual DMR Data'!V:V,MATCH(1,($F44='Raw Annual DMR Data'!L:L)*($W44='Raw Annual DMR Data'!U:U),0)), "N/A - Period DMR Data Not Available")</f>
        <v>N/A - Period DMR Data Not Available</v>
      </c>
      <c r="Y44" s="113" t="str" cm="1">
        <f t="array" ref="Y44">IF(COUNTIFS('Raw Annual DMR Data'!L:L,$F44, 'Raw Annual DMR Data'!U:U, "&gt;0")&gt;0,INDEX('Raw Annual DMR Data'!B:B,MATCH(1,($F44='Raw Annual DMR Data'!L:L)*($W44='Raw Annual DMR Data'!U:U),0)), "N/A - Period DMR Data Not Available")</f>
        <v>N/A - Period DMR Data Not Available</v>
      </c>
      <c r="Z44" s="311" t="e" cm="1">
        <f t="array" ref="Z44">IF(COUNTIF('Raw Annual DMR Data'!K:K,$E44)&gt;0,"N/A - See DMRs",IF(SUMIFS('Raw TRI Data'!$Z:$Z,'Raw TRI Data'!$J:$J,$E44)&gt;0,MEDIAN(IF('Raw TRI Data'!$J:$J=$E44,'Raw TRI Data'!$Z:$Z)), "N/A - Facility Does Not Report to TRI, no surface water releases, or no Generic Factors available"))</f>
        <v>#N/A</v>
      </c>
      <c r="AA44" s="156" t="e">
        <f>IF(COUNTIF('Raw Annual DMR Data'!K:K,$E44)&gt;0,"N/A - See DMRs",IF(SUMIFS('Raw TRI Data'!$Z:$Z,'Raw TRI Data'!$J:$J,$E44)&gt;0,_xlfn.MAXIFS('Raw TRI Data'!$Z:$Z,'Raw TRI Data'!$J:$J,$E44), "N/A - Facility Does Not Report to TRI, no surface water releases, or no Generic Factors available"))</f>
        <v>#N/A</v>
      </c>
      <c r="AB44" s="113" t="str">
        <f t="shared" si="6"/>
        <v>N/A</v>
      </c>
      <c r="AC44" s="136" t="e" cm="1">
        <f t="array" ref="AC44">IF(COUNTIF('Raw Annual DMR Data'!K:K,$E44)&gt;0,"N/A - See DMRs",IF(SUMIFS('Raw TRI Data'!$Z:$Z,'Raw TRI Data'!$J:$J,$E44)&gt;0,INDEX('Raw TRI Data'!$A:$A,MATCH(1,($E44='Raw TRI Data'!$J:$J)*($AA44='Raw TRI Data'!$Z:$Z),0)), "N/A - Facility Does Not Report to TRI, no surface water releases, or no Generic Factors available"))</f>
        <v>#N/A</v>
      </c>
      <c r="AD44" s="96" t="str" cm="1">
        <f t="array" ref="AD44">IF(COUNTIFS('Raw Annual DMR Data'!L:L,$F44,'Raw Annual DMR Data'!W:W, "&gt;0")&gt;0,MEDIAN(IF('Raw Annual DMR Data'!K:K=$F44, 'Raw Annual DMR Data'!W:W)), "N/A - No Daily Max DMR Discharge Data")</f>
        <v>N/A - No Daily Max DMR Discharge Data</v>
      </c>
      <c r="AE44" s="96" t="str">
        <f>IF(COUNTIFS('Raw Annual DMR Data'!L:L,$F44,'Raw Annual DMR Data'!W:W, "&gt;0")&gt;0,_xlfn.MAXIFS('Raw Annual DMR Data'!W:W,'Raw Annual DMR Data'!L:L,$F44), "N/A - No Daily Max DMR Discharge Data")</f>
        <v>N/A - No Daily Max DMR Discharge Data</v>
      </c>
      <c r="AF44" s="60" t="str" cm="1">
        <f t="array" ref="AF44">IF(COUNTIFS('Raw Annual DMR Data'!L:L,$F44,'Raw Annual DMR Data'!W:W, "&gt;0")&gt;0,INDEX('Raw Annual DMR Data'!B:B,MATCH(1,($F44='Raw Annual DMR Data'!L:L)*($AE44='Raw Annual DMR Data'!W:W),0)), "N/A - No Daily Max DMR Discharge Data")</f>
        <v>N/A - No Daily Max DMR Discharge Data</v>
      </c>
      <c r="AG44" s="422"/>
      <c r="AH44" s="422"/>
      <c r="AI44" s="423"/>
    </row>
    <row r="45" spans="1:35" ht="45.75" thickBot="1" x14ac:dyDescent="0.3">
      <c r="A45" s="144" t="str">
        <f>VLOOKUP(F45,'Facility Summary'!J:K,2,FALSE)</f>
        <v>Repackaging</v>
      </c>
      <c r="B45" s="97" t="s">
        <v>133</v>
      </c>
      <c r="C45" s="28" t="s">
        <v>430</v>
      </c>
      <c r="D45" s="60" t="s">
        <v>366</v>
      </c>
      <c r="E45" s="60"/>
      <c r="F45" s="74">
        <v>110000781609</v>
      </c>
      <c r="G45" s="74" t="s">
        <v>831</v>
      </c>
      <c r="H45" s="63" t="s">
        <v>832</v>
      </c>
      <c r="I45" s="74">
        <v>18070106000652</v>
      </c>
      <c r="J45" s="74" t="s">
        <v>265</v>
      </c>
      <c r="K45" s="60">
        <f>VLOOKUP(A45, 'OES Summary'!$A:$B, 2, FALSE)</f>
        <v>250</v>
      </c>
      <c r="L45" s="304" cm="1">
        <f t="array" ref="L45">IF(COUNTIF('Raw Annual DMR Data'!$L:$L,$F45)&gt;0,MEDIAN(IF('Raw Annual DMR Data'!$L:$L=F45,'Raw Annual DMR Data'!$S:$S)),"N/A - Facility Does Not Report DMRs")</f>
        <v>7.2374974232117001E-4</v>
      </c>
      <c r="M45" s="156">
        <f t="shared" si="4"/>
        <v>2.8949989692846799E-6</v>
      </c>
      <c r="N45" s="156">
        <f>IF(COUNTIF('Raw Annual DMR Data'!$L:$L,$F45)&gt;0,_xlfn.MAXIFS('Raw Annual DMR Data'!$S:$S,'Raw Annual DMR Data'!$L:$L,$F45), "N/A - Facility Does Not Report DMRs")</f>
        <v>1.86712018140589E-3</v>
      </c>
      <c r="O45" s="156">
        <f t="shared" si="5"/>
        <v>7.4684807256235603E-6</v>
      </c>
      <c r="P45" s="113" cm="1">
        <f t="array" ref="P45">IF(COUNTIF('Raw Annual DMR Data'!$L:$L,$F45)&gt;0,INDEX('Raw Annual DMR Data'!$B:$B,MATCH(1,($F45='Raw Annual DMR Data'!$L:$L)*($N45='Raw Annual DMR Data'!$S:$S),0)), "N/A - Facility Does Not Report DMRs")</f>
        <v>2018</v>
      </c>
      <c r="Q45" s="304" t="str" cm="1">
        <f t="array" ref="Q45">IF(COUNTIF('Raw TRI Data'!$J:$J,$E45)&gt;0,MEDIAN(IF('Raw TRI Data'!$J:$J=E45,'Raw TRI Data'!$S:$S)), "N/A - Facility Does Not Report to TRI")</f>
        <v>N/A - Facility Does Not Report to TRI</v>
      </c>
      <c r="R45" s="156" t="str">
        <f t="shared" si="7"/>
        <v>N/A - Facility Does Not Report to TRI</v>
      </c>
      <c r="S45" s="156" t="str">
        <f>IF(COUNTIF('Raw TRI Data'!$J:$J,$E45)&gt;0,_xlfn.MAXIFS('Raw TRI Data'!$S:$S,'Raw TRI Data'!$J:$J,$E45), "N/A - Facility Does Not Report to TRI")</f>
        <v>N/A - Facility Does Not Report to TRI</v>
      </c>
      <c r="T45" s="156" t="str">
        <f t="shared" si="8"/>
        <v>N/A - Facility Does Not Report to TRI</v>
      </c>
      <c r="U45" s="136" t="str" cm="1">
        <f t="array" ref="U45">IF(COUNTIF('Raw TRI Data'!$J:$J,$E45)&gt;0,INDEX('Raw TRI Data'!$A:$A,MATCH(1,($E45='Raw TRI Data'!$J:$J)*(S45='Raw TRI Data'!$S:$S),0)), "N/A - Facility Does Not Report to TRI")</f>
        <v>N/A - Facility Does Not Report to TRI</v>
      </c>
      <c r="V45" s="156" t="str" cm="1">
        <f t="array" ref="V45">IF(COUNTIFS('Raw Annual DMR Data'!$L:$L,$F45,'Raw Annual DMR Data'!$U:$U,"&gt;0")&gt;0,MEDIAN(IF('Raw Annual DMR Data'!$L:$L=$F45,'Raw Annual DMR Data'!$U:$U,"")),"N/A - Period DMR Data Not Available")</f>
        <v>N/A - Period DMR Data Not Available</v>
      </c>
      <c r="W45" s="156" t="str">
        <f>IF(COUNTIFS('Raw Annual DMR Data'!$L:$L,$F45, 'Raw Annual DMR Data'!$U:$U, "&gt;0")&gt;0,_xlfn.MAXIFS('Raw Annual DMR Data'!$U:$U,'Raw Annual DMR Data'!$L:$L,$F45), "N/A - Period DMR Data Not Available")</f>
        <v>N/A - Period DMR Data Not Available</v>
      </c>
      <c r="X45" s="113" t="str" cm="1">
        <f t="array" ref="X45">+IF(COUNTIFS('Raw Annual DMR Data'!L:L,$F45, 'Raw Annual DMR Data'!U:U, "&gt;0")&gt;0,INDEX('Raw Annual DMR Data'!V:V,MATCH(1,($F45='Raw Annual DMR Data'!L:L)*($W45='Raw Annual DMR Data'!U:U),0)), "N/A - Period DMR Data Not Available")</f>
        <v>N/A - Period DMR Data Not Available</v>
      </c>
      <c r="Y45" s="113" t="str" cm="1">
        <f t="array" ref="Y45">IF(COUNTIFS('Raw Annual DMR Data'!L:L,$F45, 'Raw Annual DMR Data'!U:U, "&gt;0")&gt;0,INDEX('Raw Annual DMR Data'!B:B,MATCH(1,($F45='Raw Annual DMR Data'!L:L)*($W45='Raw Annual DMR Data'!U:U),0)), "N/A - Period DMR Data Not Available")</f>
        <v>N/A - Period DMR Data Not Available</v>
      </c>
      <c r="Z45" s="311" t="str" cm="1">
        <f t="array" ref="Z45">IF(COUNTIF('Raw Annual DMR Data'!K:K,$E45)&gt;0,"N/A - See DMRs",IF(SUMIFS('Raw TRI Data'!$Z:$Z,'Raw TRI Data'!$J:$J,$E45)&gt;0,MEDIAN(IF('Raw TRI Data'!$J:$J=$E45,'Raw TRI Data'!$Z:$Z)), "N/A - Facility Does Not Report to TRI, no surface water releases, or no Generic Factors available"))</f>
        <v>N/A - Facility Does Not Report to TRI, no surface water releases, or no Generic Factors available</v>
      </c>
      <c r="AA45" s="156" t="str">
        <f>IF(COUNTIF('Raw Annual DMR Data'!K:K,$E45)&gt;0,"N/A - See DMRs",IF(SUMIFS('Raw TRI Data'!$Z:$Z,'Raw TRI Data'!$J:$J,$E45)&gt;0,_xlfn.MAXIFS('Raw TRI Data'!$Z:$Z,'Raw TRI Data'!$J:$J,$E45), "N/A - Facility Does Not Report to TRI, no surface water releases, or no Generic Factors available"))</f>
        <v>N/A - Facility Does Not Report to TRI, no surface water releases, or no Generic Factors available</v>
      </c>
      <c r="AB45" s="113" t="str">
        <f t="shared" si="6"/>
        <v>N/A</v>
      </c>
      <c r="AC45" s="136" t="str" cm="1">
        <f t="array" ref="AC45">IF(COUNTIF('Raw Annual DMR Data'!K:K,$E45)&gt;0,"N/A - See DMRs",IF(SUMIFS('Raw TRI Data'!$Z:$Z,'Raw TRI Data'!$J:$J,$E45)&gt;0,INDEX('Raw TRI Data'!$A:$A,MATCH(1,($E45='Raw TRI Data'!$J:$J)*($AA45='Raw TRI Data'!$Z:$Z),0)), "N/A - Facility Does Not Report to TRI, no surface water releases, or no Generic Factors available"))</f>
        <v>N/A - Facility Does Not Report to TRI, no surface water releases, or no Generic Factors available</v>
      </c>
      <c r="AD45" s="96" t="str" cm="1">
        <f t="array" ref="AD45">IF(COUNTIFS('Raw Annual DMR Data'!L:L,$F45,'Raw Annual DMR Data'!W:W, "&gt;0")&gt;0,MEDIAN(IF('Raw Annual DMR Data'!K:K=$F45, 'Raw Annual DMR Data'!W:W)), "N/A - No Daily Max DMR Discharge Data")</f>
        <v>N/A - No Daily Max DMR Discharge Data</v>
      </c>
      <c r="AE45" s="96" t="str">
        <f>IF(COUNTIFS('Raw Annual DMR Data'!L:L,$F45,'Raw Annual DMR Data'!W:W, "&gt;0")&gt;0,_xlfn.MAXIFS('Raw Annual DMR Data'!W:W,'Raw Annual DMR Data'!L:L,$F45), "N/A - No Daily Max DMR Discharge Data")</f>
        <v>N/A - No Daily Max DMR Discharge Data</v>
      </c>
      <c r="AF45" s="60" t="str" cm="1">
        <f t="array" ref="AF45">IF(COUNTIFS('Raw Annual DMR Data'!L:L,$F45,'Raw Annual DMR Data'!W:W, "&gt;0")&gt;0,INDEX('Raw Annual DMR Data'!B:B,MATCH(1,($F45='Raw Annual DMR Data'!L:L)*($AE45='Raw Annual DMR Data'!W:W),0)), "N/A - No Daily Max DMR Discharge Data")</f>
        <v>N/A - No Daily Max DMR Discharge Data</v>
      </c>
      <c r="AG45" s="422"/>
      <c r="AH45" s="422"/>
      <c r="AI45" s="423"/>
    </row>
    <row r="46" spans="1:35" ht="45.75" thickBot="1" x14ac:dyDescent="0.3">
      <c r="A46" s="144" t="str">
        <f>VLOOKUP(F46,'Facility Summary'!J:K,2,FALSE)</f>
        <v>Remediation</v>
      </c>
      <c r="B46" s="97" t="s">
        <v>134</v>
      </c>
      <c r="C46" s="28" t="s">
        <v>434</v>
      </c>
      <c r="D46" s="60" t="s">
        <v>435</v>
      </c>
      <c r="E46" s="60"/>
      <c r="F46" s="74">
        <v>110070048003</v>
      </c>
      <c r="G46" s="74" t="s">
        <v>833</v>
      </c>
      <c r="H46" s="63" t="s">
        <v>834</v>
      </c>
      <c r="I46" s="74">
        <v>3050103000259</v>
      </c>
      <c r="J46" s="74" t="s">
        <v>265</v>
      </c>
      <c r="K46" s="60">
        <f>VLOOKUP(A46, 'OES Summary'!$A:$B, 2, FALSE)</f>
        <v>365</v>
      </c>
      <c r="L46" s="304" cm="1">
        <f t="array" ref="L46">IF(COUNTIF('Raw Annual DMR Data'!$L:$L,$F46)&gt;0,MEDIAN(IF('Raw Annual DMR Data'!$L:$L=F46,'Raw Annual DMR Data'!$S:$S)),"N/A - Facility Does Not Report DMRs")</f>
        <v>4.5456336E-2</v>
      </c>
      <c r="M46" s="156">
        <f t="shared" si="4"/>
        <v>1.2453790684931507E-4</v>
      </c>
      <c r="N46" s="156">
        <f>IF(COUNTIF('Raw Annual DMR Data'!$L:$L,$F46)&gt;0,_xlfn.MAXIFS('Raw Annual DMR Data'!$S:$S,'Raw Annual DMR Data'!$L:$L,$F46), "N/A - Facility Does Not Report DMRs")</f>
        <v>5.0678591340000002E-2</v>
      </c>
      <c r="O46" s="156">
        <f t="shared" si="5"/>
        <v>1.3884545572602741E-4</v>
      </c>
      <c r="P46" s="113" cm="1">
        <f t="array" ref="P46">IF(COUNTIF('Raw Annual DMR Data'!$L:$L,$F46)&gt;0,INDEX('Raw Annual DMR Data'!$B:$B,MATCH(1,($F46='Raw Annual DMR Data'!$L:$L)*($N46='Raw Annual DMR Data'!$S:$S),0)), "N/A - Facility Does Not Report DMRs")</f>
        <v>2021</v>
      </c>
      <c r="Q46" s="304" t="str" cm="1">
        <f t="array" ref="Q46">IF(COUNTIF('Raw TRI Data'!$J:$J,$E46)&gt;0,MEDIAN(IF('Raw TRI Data'!$J:$J=E46,'Raw TRI Data'!$S:$S)), "N/A - Facility Does Not Report to TRI")</f>
        <v>N/A - Facility Does Not Report to TRI</v>
      </c>
      <c r="R46" s="156" t="str">
        <f t="shared" si="7"/>
        <v>N/A - Facility Does Not Report to TRI</v>
      </c>
      <c r="S46" s="156" t="str">
        <f>IF(COUNTIF('Raw TRI Data'!$J:$J,$E46)&gt;0,_xlfn.MAXIFS('Raw TRI Data'!$S:$S,'Raw TRI Data'!$J:$J,$E46), "N/A - Facility Does Not Report to TRI")</f>
        <v>N/A - Facility Does Not Report to TRI</v>
      </c>
      <c r="T46" s="156" t="str">
        <f t="shared" si="8"/>
        <v>N/A - Facility Does Not Report to TRI</v>
      </c>
      <c r="U46" s="136" t="str" cm="1">
        <f t="array" ref="U46">IF(COUNTIF('Raw TRI Data'!$J:$J,$E46)&gt;0,INDEX('Raw TRI Data'!$A:$A,MATCH(1,($E46='Raw TRI Data'!$J:$J)*(S46='Raw TRI Data'!$S:$S),0)), "N/A - Facility Does Not Report to TRI")</f>
        <v>N/A - Facility Does Not Report to TRI</v>
      </c>
      <c r="V46" s="156" t="str" cm="1">
        <f t="array" ref="V46">IF(COUNTIFS('Raw Annual DMR Data'!$L:$L,$F46,'Raw Annual DMR Data'!$U:$U,"&gt;0")&gt;0,MEDIAN(IF('Raw Annual DMR Data'!$L:$L=$F46,'Raw Annual DMR Data'!$U:$U,"")),"N/A - Period DMR Data Not Available")</f>
        <v>N/A - Period DMR Data Not Available</v>
      </c>
      <c r="W46" s="156" t="str">
        <f>IF(COUNTIFS('Raw Annual DMR Data'!$L:$L,$F46, 'Raw Annual DMR Data'!$U:$U, "&gt;0")&gt;0,_xlfn.MAXIFS('Raw Annual DMR Data'!$U:$U,'Raw Annual DMR Data'!$L:$L,$F46), "N/A - Period DMR Data Not Available")</f>
        <v>N/A - Period DMR Data Not Available</v>
      </c>
      <c r="X46" s="113" t="str" cm="1">
        <f t="array" ref="X46">+IF(COUNTIFS('Raw Annual DMR Data'!L:L,$F46, 'Raw Annual DMR Data'!U:U, "&gt;0")&gt;0,INDEX('Raw Annual DMR Data'!V:V,MATCH(1,($F46='Raw Annual DMR Data'!L:L)*($W46='Raw Annual DMR Data'!U:U),0)), "N/A - Period DMR Data Not Available")</f>
        <v>N/A - Period DMR Data Not Available</v>
      </c>
      <c r="Y46" s="113" t="str" cm="1">
        <f t="array" ref="Y46">IF(COUNTIFS('Raw Annual DMR Data'!L:L,$F46, 'Raw Annual DMR Data'!U:U, "&gt;0")&gt;0,INDEX('Raw Annual DMR Data'!B:B,MATCH(1,($F46='Raw Annual DMR Data'!L:L)*($W46='Raw Annual DMR Data'!U:U),0)), "N/A - Period DMR Data Not Available")</f>
        <v>N/A - Period DMR Data Not Available</v>
      </c>
      <c r="Z46" s="311" t="str" cm="1">
        <f t="array" ref="Z46">IF(COUNTIF('Raw Annual DMR Data'!K:K,$E46)&gt;0,"N/A - See DMRs",IF(SUMIFS('Raw TRI Data'!$Z:$Z,'Raw TRI Data'!$J:$J,$E46)&gt;0,MEDIAN(IF('Raw TRI Data'!$J:$J=$E46,'Raw TRI Data'!$Z:$Z)), "N/A - Facility Does Not Report to TRI, no surface water releases, or no Generic Factors available"))</f>
        <v>N/A - Facility Does Not Report to TRI, no surface water releases, or no Generic Factors available</v>
      </c>
      <c r="AA46" s="156" t="str">
        <f>IF(COUNTIF('Raw Annual DMR Data'!K:K,$E46)&gt;0,"N/A - See DMRs",IF(SUMIFS('Raw TRI Data'!$Z:$Z,'Raw TRI Data'!$J:$J,$E46)&gt;0,_xlfn.MAXIFS('Raw TRI Data'!$Z:$Z,'Raw TRI Data'!$J:$J,$E46), "N/A - Facility Does Not Report to TRI, no surface water releases, or no Generic Factors available"))</f>
        <v>N/A - Facility Does Not Report to TRI, no surface water releases, or no Generic Factors available</v>
      </c>
      <c r="AB46" s="113" t="str">
        <f t="shared" si="6"/>
        <v>N/A</v>
      </c>
      <c r="AC46" s="136" t="str" cm="1">
        <f t="array" ref="AC46">IF(COUNTIF('Raw Annual DMR Data'!K:K,$E46)&gt;0,"N/A - See DMRs",IF(SUMIFS('Raw TRI Data'!$Z:$Z,'Raw TRI Data'!$J:$J,$E46)&gt;0,INDEX('Raw TRI Data'!$A:$A,MATCH(1,($E46='Raw TRI Data'!$J:$J)*($AA46='Raw TRI Data'!$Z:$Z),0)), "N/A - Facility Does Not Report to TRI, no surface water releases, or no Generic Factors available"))</f>
        <v>N/A - Facility Does Not Report to TRI, no surface water releases, or no Generic Factors available</v>
      </c>
      <c r="AD46" s="96" t="str" cm="1">
        <f t="array" ref="AD46">IF(COUNTIFS('Raw Annual DMR Data'!L:L,$F46,'Raw Annual DMR Data'!W:W, "&gt;0")&gt;0,MEDIAN(IF('Raw Annual DMR Data'!K:K=$F46, 'Raw Annual DMR Data'!W:W)), "N/A - No Daily Max DMR Discharge Data")</f>
        <v>N/A - No Daily Max DMR Discharge Data</v>
      </c>
      <c r="AE46" s="96" t="str">
        <f>IF(COUNTIFS('Raw Annual DMR Data'!L:L,$F46,'Raw Annual DMR Data'!W:W, "&gt;0")&gt;0,_xlfn.MAXIFS('Raw Annual DMR Data'!W:W,'Raw Annual DMR Data'!L:L,$F46), "N/A - No Daily Max DMR Discharge Data")</f>
        <v>N/A - No Daily Max DMR Discharge Data</v>
      </c>
      <c r="AF46" s="60" t="str" cm="1">
        <f t="array" ref="AF46">IF(COUNTIFS('Raw Annual DMR Data'!L:L,$F46,'Raw Annual DMR Data'!W:W, "&gt;0")&gt;0,INDEX('Raw Annual DMR Data'!B:B,MATCH(1,($F46='Raw Annual DMR Data'!L:L)*($AE46='Raw Annual DMR Data'!W:W),0)), "N/A - No Daily Max DMR Discharge Data")</f>
        <v>N/A - No Daily Max DMR Discharge Data</v>
      </c>
      <c r="AG46" s="422"/>
      <c r="AH46" s="422"/>
      <c r="AI46" s="423"/>
    </row>
    <row r="47" spans="1:35" ht="30.75" thickBot="1" x14ac:dyDescent="0.3">
      <c r="A47" s="144" t="str">
        <f>VLOOKUP(F47,'Facility Summary'!J:K,2,FALSE)</f>
        <v>Processing as a Reactant</v>
      </c>
      <c r="B47" s="97" t="s">
        <v>209</v>
      </c>
      <c r="C47" s="28" t="s">
        <v>437</v>
      </c>
      <c r="D47" s="28" t="s">
        <v>362</v>
      </c>
      <c r="E47" s="60" t="s">
        <v>438</v>
      </c>
      <c r="F47" s="74">
        <v>110008170237</v>
      </c>
      <c r="G47" s="74" t="s">
        <v>295</v>
      </c>
      <c r="H47" s="81" t="s">
        <v>295</v>
      </c>
      <c r="I47" s="74" t="s">
        <v>295</v>
      </c>
      <c r="J47" s="74" t="s">
        <v>265</v>
      </c>
      <c r="K47" s="60">
        <f>VLOOKUP(A47, 'OES Summary'!$A:$B, 2, FALSE)</f>
        <v>350</v>
      </c>
      <c r="L47" s="304" t="str" cm="1">
        <f t="array" ref="L47">IF(COUNTIF('Raw Annual DMR Data'!$L:$L,$F47)&gt;0,MEDIAN(IF('Raw Annual DMR Data'!$L:$L=F47,'Raw Annual DMR Data'!$S:$S)),"N/A - Facility Does Not Report DMRs")</f>
        <v>N/A - Facility Does Not Report DMRs</v>
      </c>
      <c r="M47" s="156" t="str">
        <f t="shared" si="4"/>
        <v>N/A - Facility Does Not Report DMRs</v>
      </c>
      <c r="N47" s="156" t="str">
        <f>IF(COUNTIF('Raw Annual DMR Data'!$L:$L,$F47)&gt;0,_xlfn.MAXIFS('Raw Annual DMR Data'!$S:$S,'Raw Annual DMR Data'!$L:$L,$F47), "N/A - Facility Does Not Report DMRs")</f>
        <v>N/A - Facility Does Not Report DMRs</v>
      </c>
      <c r="O47" s="156" t="str">
        <f t="shared" si="5"/>
        <v>N/A - Facility Does Not Report DMRs</v>
      </c>
      <c r="P47" s="113" t="str" cm="1">
        <f t="array" ref="P47">IF(COUNTIF('Raw Annual DMR Data'!$L:$L,$F47)&gt;0,INDEX('Raw Annual DMR Data'!$B:$B,MATCH(1,($F47='Raw Annual DMR Data'!$L:$L)*($N47='Raw Annual DMR Data'!$S:$S),0)), "N/A - Facility Does Not Report DMRs")</f>
        <v>N/A - Facility Does Not Report DMRs</v>
      </c>
      <c r="Q47" s="304" cm="1">
        <f t="array" ref="Q47">IF(COUNTIF('Raw TRI Data'!$J:$J,$E47)&gt;0,MEDIAN(IF('Raw TRI Data'!$J:$J=E47,'Raw TRI Data'!$S:$S)), "N/A - Facility Does Not Report to TRI")</f>
        <v>94.574009145000019</v>
      </c>
      <c r="R47" s="156">
        <f t="shared" si="7"/>
        <v>0.27021145470000008</v>
      </c>
      <c r="S47" s="156">
        <f>IF(COUNTIF('Raw TRI Data'!$J:$J,$E47)&gt;0,_xlfn.MAXIFS('Raw TRI Data'!$S:$S,'Raw TRI Data'!$J:$J,$E47), "N/A - Facility Does Not Report to TRI")</f>
        <v>744.79867153999999</v>
      </c>
      <c r="T47" s="156">
        <f t="shared" si="8"/>
        <v>2.1279962044</v>
      </c>
      <c r="U47" s="136" cm="1">
        <f t="array" ref="U47">IF(COUNTIF('Raw TRI Data'!$J:$J,$E47)&gt;0,INDEX('Raw TRI Data'!$A:$A,MATCH(1,($E47='Raw TRI Data'!$J:$J)*(S47='Raw TRI Data'!$S:$S),0)), "N/A - Facility Does Not Report to TRI")</f>
        <v>2021</v>
      </c>
      <c r="V47" s="156" t="str" cm="1">
        <f t="array" ref="V47">IF(COUNTIFS('Raw Annual DMR Data'!$L:$L,$F47,'Raw Annual DMR Data'!$U:$U,"&gt;0")&gt;0,MEDIAN(IF('Raw Annual DMR Data'!$L:$L=$F47,'Raw Annual DMR Data'!$U:$U,"")),"N/A - Period DMR Data Not Available")</f>
        <v>N/A - Period DMR Data Not Available</v>
      </c>
      <c r="W47" s="156" t="str">
        <f>IF(COUNTIFS('Raw Annual DMR Data'!$L:$L,$F47, 'Raw Annual DMR Data'!$U:$U, "&gt;0")&gt;0,_xlfn.MAXIFS('Raw Annual DMR Data'!$U:$U,'Raw Annual DMR Data'!$L:$L,$F47), "N/A - Period DMR Data Not Available")</f>
        <v>N/A - Period DMR Data Not Available</v>
      </c>
      <c r="X47" s="113" t="str" cm="1">
        <f t="array" ref="X47">+IF(COUNTIFS('Raw Annual DMR Data'!L:L,$F47, 'Raw Annual DMR Data'!U:U, "&gt;0")&gt;0,INDEX('Raw Annual DMR Data'!V:V,MATCH(1,($F47='Raw Annual DMR Data'!L:L)*($W47='Raw Annual DMR Data'!U:U),0)), "N/A - Period DMR Data Not Available")</f>
        <v>N/A - Period DMR Data Not Available</v>
      </c>
      <c r="Y47" s="113" t="str" cm="1">
        <f t="array" ref="Y47">IF(COUNTIFS('Raw Annual DMR Data'!L:L,$F47, 'Raw Annual DMR Data'!U:U, "&gt;0")&gt;0,INDEX('Raw Annual DMR Data'!B:B,MATCH(1,($F47='Raw Annual DMR Data'!L:L)*($W47='Raw Annual DMR Data'!U:U),0)), "N/A - Period DMR Data Not Available")</f>
        <v>N/A - Period DMR Data Not Available</v>
      </c>
      <c r="Z47" s="311" t="e" cm="1">
        <f t="array" ref="Z47">IF(COUNTIF('Raw Annual DMR Data'!K:K,$E47)&gt;0,"N/A - See DMRs",IF(SUMIFS('Raw TRI Data'!$Z:$Z,'Raw TRI Data'!$J:$J,$E47)&gt;0,MEDIAN(IF('Raw TRI Data'!$J:$J=$E47,'Raw TRI Data'!$Z:$Z)), "N/A - Facility Does Not Report to TRI, no surface water releases, or no Generic Factors available"))</f>
        <v>#N/A</v>
      </c>
      <c r="AA47" s="156" t="e">
        <f>IF(COUNTIF('Raw Annual DMR Data'!K:K,$E47)&gt;0,"N/A - See DMRs",IF(SUMIFS('Raw TRI Data'!$Z:$Z,'Raw TRI Data'!$J:$J,$E47)&gt;0,_xlfn.MAXIFS('Raw TRI Data'!$Z:$Z,'Raw TRI Data'!$J:$J,$E47), "N/A - Facility Does Not Report to TRI, no surface water releases, or no Generic Factors available"))</f>
        <v>#N/A</v>
      </c>
      <c r="AB47" s="113" t="str">
        <f t="shared" si="6"/>
        <v>N/A</v>
      </c>
      <c r="AC47" s="136" t="e" cm="1">
        <f t="array" ref="AC47">IF(COUNTIF('Raw Annual DMR Data'!K:K,$E47)&gt;0,"N/A - See DMRs",IF(SUMIFS('Raw TRI Data'!$Z:$Z,'Raw TRI Data'!$J:$J,$E47)&gt;0,INDEX('Raw TRI Data'!$A:$A,MATCH(1,($E47='Raw TRI Data'!$J:$J)*($AA47='Raw TRI Data'!$Z:$Z),0)), "N/A - Facility Does Not Report to TRI, no surface water releases, or no Generic Factors available"))</f>
        <v>#N/A</v>
      </c>
      <c r="AD47" s="96" t="str" cm="1">
        <f t="array" ref="AD47">IF(COUNTIFS('Raw Annual DMR Data'!L:L,$F47,'Raw Annual DMR Data'!W:W, "&gt;0")&gt;0,MEDIAN(IF('Raw Annual DMR Data'!K:K=$F47, 'Raw Annual DMR Data'!W:W)), "N/A - No Daily Max DMR Discharge Data")</f>
        <v>N/A - No Daily Max DMR Discharge Data</v>
      </c>
      <c r="AE47" s="96" t="str">
        <f>IF(COUNTIFS('Raw Annual DMR Data'!L:L,$F47,'Raw Annual DMR Data'!W:W, "&gt;0")&gt;0,_xlfn.MAXIFS('Raw Annual DMR Data'!W:W,'Raw Annual DMR Data'!L:L,$F47), "N/A - No Daily Max DMR Discharge Data")</f>
        <v>N/A - No Daily Max DMR Discharge Data</v>
      </c>
      <c r="AF47" s="60" t="str" cm="1">
        <f t="array" ref="AF47">IF(COUNTIFS('Raw Annual DMR Data'!L:L,$F47,'Raw Annual DMR Data'!W:W, "&gt;0")&gt;0,INDEX('Raw Annual DMR Data'!B:B,MATCH(1,($F47='Raw Annual DMR Data'!L:L)*($AE47='Raw Annual DMR Data'!W:W),0)), "N/A - No Daily Max DMR Discharge Data")</f>
        <v>N/A - No Daily Max DMR Discharge Data</v>
      </c>
      <c r="AG47" s="422"/>
      <c r="AH47" s="422"/>
      <c r="AI47" s="423"/>
    </row>
    <row r="48" spans="1:35" ht="45.75" thickBot="1" x14ac:dyDescent="0.3">
      <c r="A48" s="144" t="str">
        <f>VLOOKUP(F48,'Facility Summary'!J:K,2,FALSE)</f>
        <v>Manufacturing</v>
      </c>
      <c r="B48" s="97" t="s">
        <v>135</v>
      </c>
      <c r="C48" s="28" t="s">
        <v>426</v>
      </c>
      <c r="D48" s="60" t="s">
        <v>427</v>
      </c>
      <c r="E48" s="60"/>
      <c r="F48" s="74">
        <v>110027360629</v>
      </c>
      <c r="G48" s="74" t="s">
        <v>835</v>
      </c>
      <c r="H48" s="63" t="s">
        <v>836</v>
      </c>
      <c r="I48" s="74">
        <v>4080201000005</v>
      </c>
      <c r="J48" s="74" t="s">
        <v>265</v>
      </c>
      <c r="K48" s="60">
        <f>VLOOKUP(A48, 'OES Summary'!$A:$B, 2, FALSE)</f>
        <v>350</v>
      </c>
      <c r="L48" s="304" cm="1">
        <f t="array" ref="L48">IF(COUNTIF('Raw Annual DMR Data'!$L:$L,$F48)&gt;0,MEDIAN(IF('Raw Annual DMR Data'!$L:$L=F48,'Raw Annual DMR Data'!$S:$S)),"N/A - Facility Does Not Report DMRs")</f>
        <v>72.614188532555801</v>
      </c>
      <c r="M48" s="156">
        <f t="shared" si="4"/>
        <v>0.20746911009301658</v>
      </c>
      <c r="N48" s="156">
        <f>IF(COUNTIF('Raw Annual DMR Data'!$L:$L,$F48)&gt;0,_xlfn.MAXIFS('Raw Annual DMR Data'!$S:$S,'Raw Annual DMR Data'!$L:$L,$F48), "N/A - Facility Does Not Report DMRs")</f>
        <v>188.027210884353</v>
      </c>
      <c r="O48" s="156">
        <f t="shared" si="5"/>
        <v>0.53722060252672288</v>
      </c>
      <c r="P48" s="113" cm="1">
        <f t="array" ref="P48">IF(COUNTIF('Raw Annual DMR Data'!$L:$L,$F48)&gt;0,INDEX('Raw Annual DMR Data'!$B:$B,MATCH(1,($F48='Raw Annual DMR Data'!$L:$L)*($N48='Raw Annual DMR Data'!$S:$S),0)), "N/A - Facility Does Not Report DMRs")</f>
        <v>2019</v>
      </c>
      <c r="Q48" s="304" t="str" cm="1">
        <f t="array" ref="Q48">IF(COUNTIF('Raw TRI Data'!$J:$J,$E48)&gt;0,MEDIAN(IF('Raw TRI Data'!$J:$J=E48,'Raw TRI Data'!$S:$S)), "N/A - Facility Does Not Report to TRI")</f>
        <v>N/A - Facility Does Not Report to TRI</v>
      </c>
      <c r="R48" s="156" t="str">
        <f t="shared" si="7"/>
        <v>N/A - Facility Does Not Report to TRI</v>
      </c>
      <c r="S48" s="156" t="str">
        <f>IF(COUNTIF('Raw TRI Data'!$J:$J,$E48)&gt;0,_xlfn.MAXIFS('Raw TRI Data'!$S:$S,'Raw TRI Data'!$J:$J,$E48), "N/A - Facility Does Not Report to TRI")</f>
        <v>N/A - Facility Does Not Report to TRI</v>
      </c>
      <c r="T48" s="156" t="str">
        <f t="shared" si="8"/>
        <v>N/A - Facility Does Not Report to TRI</v>
      </c>
      <c r="U48" s="136" t="str" cm="1">
        <f t="array" ref="U48">IF(COUNTIF('Raw TRI Data'!$J:$J,$E48)&gt;0,INDEX('Raw TRI Data'!$A:$A,MATCH(1,($E48='Raw TRI Data'!$J:$J)*(S48='Raw TRI Data'!$S:$S),0)), "N/A - Facility Does Not Report to TRI")</f>
        <v>N/A - Facility Does Not Report to TRI</v>
      </c>
      <c r="V48" s="156" cm="1">
        <f t="array" ref="V48">IF(COUNTIFS('Raw Annual DMR Data'!$L:$L,$F48,'Raw Annual DMR Data'!$U:$U,"&gt;0")&gt;0,MEDIAN(IF('Raw Annual DMR Data'!$L:$L=$F48,'Raw Annual DMR Data'!$U:$U,"")),"N/A - Period DMR Data Not Available")</f>
        <v>0.40635759999999999</v>
      </c>
      <c r="W48" s="156">
        <f>IF(COUNTIFS('Raw Annual DMR Data'!$L:$L,$F48, 'Raw Annual DMR Data'!$U:$U, "&gt;0")&gt;0,_xlfn.MAXIFS('Raw Annual DMR Data'!$U:$U,'Raw Annual DMR Data'!$L:$L,$F48), "N/A - Period DMR Data Not Available")</f>
        <v>1.0264163000000002</v>
      </c>
      <c r="X48" s="113" cm="1">
        <f t="array" ref="X48">+IF(COUNTIFS('Raw Annual DMR Data'!L:L,$F48, 'Raw Annual DMR Data'!U:U, "&gt;0")&gt;0,INDEX('Raw Annual DMR Data'!V:V,MATCH(1,($F48='Raw Annual DMR Data'!L:L)*($W48='Raw Annual DMR Data'!U:U),0)), "N/A - Period DMR Data Not Available")</f>
        <v>28</v>
      </c>
      <c r="Y48" s="113" cm="1">
        <f t="array" ref="Y48">IF(COUNTIFS('Raw Annual DMR Data'!L:L,$F48, 'Raw Annual DMR Data'!U:U, "&gt;0")&gt;0,INDEX('Raw Annual DMR Data'!B:B,MATCH(1,($F48='Raw Annual DMR Data'!L:L)*($W48='Raw Annual DMR Data'!U:U),0)), "N/A - Period DMR Data Not Available")</f>
        <v>2019</v>
      </c>
      <c r="Z48" s="311" t="str" cm="1">
        <f t="array" ref="Z48">IF(COUNTIF('Raw Annual DMR Data'!K:K,$E48)&gt;0,"N/A - See DMRs",IF(SUMIFS('Raw TRI Data'!$Z:$Z,'Raw TRI Data'!$J:$J,$E48)&gt;0,MEDIAN(IF('Raw TRI Data'!$J:$J=$E48,'Raw TRI Data'!$Z:$Z)), "N/A - Facility Does Not Report to TRI, no surface water releases, or no Generic Factors available"))</f>
        <v>N/A - Facility Does Not Report to TRI, no surface water releases, or no Generic Factors available</v>
      </c>
      <c r="AA48" s="156" t="str">
        <f>IF(COUNTIF('Raw Annual DMR Data'!K:K,$E48)&gt;0,"N/A - See DMRs",IF(SUMIFS('Raw TRI Data'!$Z:$Z,'Raw TRI Data'!$J:$J,$E48)&gt;0,_xlfn.MAXIFS('Raw TRI Data'!$Z:$Z,'Raw TRI Data'!$J:$J,$E48), "N/A - Facility Does Not Report to TRI, no surface water releases, or no Generic Factors available"))</f>
        <v>N/A - Facility Does Not Report to TRI, no surface water releases, or no Generic Factors available</v>
      </c>
      <c r="AB48" s="113" t="str">
        <f t="shared" si="6"/>
        <v>N/A</v>
      </c>
      <c r="AC48" s="136" t="str" cm="1">
        <f t="array" ref="AC48">IF(COUNTIF('Raw Annual DMR Data'!K:K,$E48)&gt;0,"N/A - See DMRs",IF(SUMIFS('Raw TRI Data'!$Z:$Z,'Raw TRI Data'!$J:$J,$E48)&gt;0,INDEX('Raw TRI Data'!$A:$A,MATCH(1,($E48='Raw TRI Data'!$J:$J)*($AA48='Raw TRI Data'!$Z:$Z),0)), "N/A - Facility Does Not Report to TRI, no surface water releases, or no Generic Factors available"))</f>
        <v>N/A - Facility Does Not Report to TRI, no surface water releases, or no Generic Factors available</v>
      </c>
      <c r="AD48" s="96" t="e" cm="1">
        <f t="array" ref="AD48">IF(COUNTIFS('Raw Annual DMR Data'!L:L,$F48,'Raw Annual DMR Data'!W:W, "&gt;0")&gt;0,MEDIAN(IF('Raw Annual DMR Data'!K:K=$F48, 'Raw Annual DMR Data'!W:W)), "N/A - No Daily Max DMR Discharge Data")</f>
        <v>#NUM!</v>
      </c>
      <c r="AE48" s="96">
        <f>IF(COUNTIFS('Raw Annual DMR Data'!L:L,$F48,'Raw Annual DMR Data'!W:W, "&gt;0")&gt;0,_xlfn.MAXIFS('Raw Annual DMR Data'!W:W,'Raw Annual DMR Data'!L:L,$F48), "N/A - No Daily Max DMR Discharge Data")</f>
        <v>1.2171802999999999</v>
      </c>
      <c r="AF48" s="60" cm="1">
        <f t="array" ref="AF48">IF(COUNTIFS('Raw Annual DMR Data'!L:L,$F48,'Raw Annual DMR Data'!W:W, "&gt;0")&gt;0,INDEX('Raw Annual DMR Data'!B:B,MATCH(1,($F48='Raw Annual DMR Data'!L:L)*($AE48='Raw Annual DMR Data'!W:W),0)), "N/A - No Daily Max DMR Discharge Data")</f>
        <v>2019</v>
      </c>
      <c r="AG48" s="422"/>
      <c r="AH48" s="422"/>
      <c r="AI48" s="423"/>
    </row>
    <row r="49" spans="1:35" ht="45.75" thickBot="1" x14ac:dyDescent="0.3">
      <c r="A49" s="144" t="str">
        <f>VLOOKUP(F49,'Facility Summary'!J:K,2,FALSE)</f>
        <v>Processing into formulation, mixture, or reaction product</v>
      </c>
      <c r="B49" s="97" t="s">
        <v>136</v>
      </c>
      <c r="C49" s="28" t="s">
        <v>441</v>
      </c>
      <c r="D49" s="60" t="s">
        <v>338</v>
      </c>
      <c r="E49" s="60" t="s">
        <v>443</v>
      </c>
      <c r="F49" s="74">
        <v>110040963286</v>
      </c>
      <c r="G49" s="74" t="s">
        <v>837</v>
      </c>
      <c r="H49" s="63" t="s">
        <v>838</v>
      </c>
      <c r="I49" s="74">
        <v>2040105000142</v>
      </c>
      <c r="J49" s="74" t="s">
        <v>265</v>
      </c>
      <c r="K49" s="60">
        <f>VLOOKUP(A49, 'OES Summary'!$A:$B, 2, FALSE)</f>
        <v>300</v>
      </c>
      <c r="L49" s="304" cm="1">
        <f t="array" ref="L49">IF(COUNTIF('Raw Annual DMR Data'!$L:$L,$F49)&gt;0,MEDIAN(IF('Raw Annual DMR Data'!$L:$L=F49,'Raw Annual DMR Data'!$S:$S)),"N/A - Facility Does Not Report DMRs")</f>
        <v>0.16792833800000001</v>
      </c>
      <c r="M49" s="156">
        <f t="shared" si="4"/>
        <v>5.5976112666666672E-4</v>
      </c>
      <c r="N49" s="156">
        <f>IF(COUNTIF('Raw Annual DMR Data'!$L:$L,$F49)&gt;0,_xlfn.MAXIFS('Raw Annual DMR Data'!$S:$S,'Raw Annual DMR Data'!$L:$L,$F49), "N/A - Facility Does Not Report DMRs")</f>
        <v>3.2528293027999999</v>
      </c>
      <c r="O49" s="156">
        <f t="shared" si="5"/>
        <v>1.0842764342666667E-2</v>
      </c>
      <c r="P49" s="113" cm="1">
        <f t="array" ref="P49">IF(COUNTIF('Raw Annual DMR Data'!$L:$L,$F49)&gt;0,INDEX('Raw Annual DMR Data'!$B:$B,MATCH(1,($F49='Raw Annual DMR Data'!$L:$L)*($N49='Raw Annual DMR Data'!$S:$S),0)), "N/A - Facility Does Not Report DMRs")</f>
        <v>2017</v>
      </c>
      <c r="Q49" s="304" t="str" cm="1">
        <f t="array" ref="Q49">IF(COUNTIF('Raw TRI Data'!$J:$J,$E49)&gt;0,MEDIAN(IF('Raw TRI Data'!$J:$J=E49,'Raw TRI Data'!$S:$S)), "N/A - Facility Does Not Report to TRI")</f>
        <v>N/A - Facility Does Not Report to TRI</v>
      </c>
      <c r="R49" s="156" t="str">
        <f t="shared" si="7"/>
        <v>N/A - Facility Does Not Report to TRI</v>
      </c>
      <c r="S49" s="156" t="str">
        <f>IF(COUNTIF('Raw TRI Data'!$J:$J,$E49)&gt;0,_xlfn.MAXIFS('Raw TRI Data'!$S:$S,'Raw TRI Data'!$J:$J,$E49), "N/A - Facility Does Not Report to TRI")</f>
        <v>N/A - Facility Does Not Report to TRI</v>
      </c>
      <c r="T49" s="156" t="str">
        <f t="shared" si="8"/>
        <v>N/A - Facility Does Not Report to TRI</v>
      </c>
      <c r="U49" s="136" t="str" cm="1">
        <f t="array" ref="U49">IF(COUNTIF('Raw TRI Data'!$J:$J,$E49)&gt;0,INDEX('Raw TRI Data'!$A:$A,MATCH(1,($E49='Raw TRI Data'!$J:$J)*(S49='Raw TRI Data'!$S:$S),0)), "N/A - Facility Does Not Report to TRI")</f>
        <v>N/A - Facility Does Not Report to TRI</v>
      </c>
      <c r="V49" s="156" t="str" cm="1">
        <f t="array" ref="V49">IF(COUNTIFS('Raw Annual DMR Data'!$L:$L,$F49,'Raw Annual DMR Data'!$U:$U,"&gt;0")&gt;0,MEDIAN(IF('Raw Annual DMR Data'!$L:$L=$F49,'Raw Annual DMR Data'!$U:$U,"")),"N/A - Period DMR Data Not Available")</f>
        <v>N/A - Period DMR Data Not Available</v>
      </c>
      <c r="W49" s="156" t="str">
        <f>IF(COUNTIFS('Raw Annual DMR Data'!$L:$L,$F49, 'Raw Annual DMR Data'!$U:$U, "&gt;0")&gt;0,_xlfn.MAXIFS('Raw Annual DMR Data'!$U:$U,'Raw Annual DMR Data'!$L:$L,$F49), "N/A - Period DMR Data Not Available")</f>
        <v>N/A - Period DMR Data Not Available</v>
      </c>
      <c r="X49" s="113" t="str" cm="1">
        <f t="array" ref="X49">+IF(COUNTIFS('Raw Annual DMR Data'!L:L,$F49, 'Raw Annual DMR Data'!U:U, "&gt;0")&gt;0,INDEX('Raw Annual DMR Data'!V:V,MATCH(1,($F49='Raw Annual DMR Data'!L:L)*($W49='Raw Annual DMR Data'!U:U),0)), "N/A - Period DMR Data Not Available")</f>
        <v>N/A - Period DMR Data Not Available</v>
      </c>
      <c r="Y49" s="113" t="str" cm="1">
        <f t="array" ref="Y49">IF(COUNTIFS('Raw Annual DMR Data'!L:L,$F49, 'Raw Annual DMR Data'!U:U, "&gt;0")&gt;0,INDEX('Raw Annual DMR Data'!B:B,MATCH(1,($F49='Raw Annual DMR Data'!L:L)*($W49='Raw Annual DMR Data'!U:U),0)), "N/A - Period DMR Data Not Available")</f>
        <v>N/A - Period DMR Data Not Available</v>
      </c>
      <c r="Z49" s="311" t="str" cm="1">
        <f t="array" ref="Z49">IF(COUNTIF('Raw Annual DMR Data'!K:K,$E49)&gt;0,"N/A - See DMRs",IF(SUMIFS('Raw TRI Data'!$Z:$Z,'Raw TRI Data'!$J:$J,$E49)&gt;0,MEDIAN(IF('Raw TRI Data'!$J:$J=$E49,'Raw TRI Data'!$Z:$Z)), "N/A - Facility Does Not Report to TRI, no surface water releases, or no Generic Factors available"))</f>
        <v>N/A - See DMRs</v>
      </c>
      <c r="AA49" s="156" t="str">
        <f>IF(COUNTIF('Raw Annual DMR Data'!K:K,$E49)&gt;0,"N/A - See DMRs",IF(SUMIFS('Raw TRI Data'!$Z:$Z,'Raw TRI Data'!$J:$J,$E49)&gt;0,_xlfn.MAXIFS('Raw TRI Data'!$Z:$Z,'Raw TRI Data'!$J:$J,$E49), "N/A - Facility Does Not Report to TRI, no surface water releases, or no Generic Factors available"))</f>
        <v>N/A - See DMRs</v>
      </c>
      <c r="AB49" s="113" t="str">
        <f t="shared" si="6"/>
        <v>N/A</v>
      </c>
      <c r="AC49" s="136" t="str" cm="1">
        <f t="array" ref="AC49">IF(COUNTIF('Raw Annual DMR Data'!K:K,$E49)&gt;0,"N/A - See DMRs",IF(SUMIFS('Raw TRI Data'!$Z:$Z,'Raw TRI Data'!$J:$J,$E49)&gt;0,INDEX('Raw TRI Data'!$A:$A,MATCH(1,($E49='Raw TRI Data'!$J:$J)*($AA49='Raw TRI Data'!$Z:$Z),0)), "N/A - Facility Does Not Report to TRI, no surface water releases, or no Generic Factors available"))</f>
        <v>N/A - See DMRs</v>
      </c>
      <c r="AD49" s="96" t="str" cm="1">
        <f t="array" ref="AD49">IF(COUNTIFS('Raw Annual DMR Data'!L:L,$F49,'Raw Annual DMR Data'!W:W, "&gt;0")&gt;0,MEDIAN(IF('Raw Annual DMR Data'!K:K=$F49, 'Raw Annual DMR Data'!W:W)), "N/A - No Daily Max DMR Discharge Data")</f>
        <v>N/A - No Daily Max DMR Discharge Data</v>
      </c>
      <c r="AE49" s="96" t="str">
        <f>IF(COUNTIFS('Raw Annual DMR Data'!L:L,$F49,'Raw Annual DMR Data'!W:W, "&gt;0")&gt;0,_xlfn.MAXIFS('Raw Annual DMR Data'!W:W,'Raw Annual DMR Data'!L:L,$F49), "N/A - No Daily Max DMR Discharge Data")</f>
        <v>N/A - No Daily Max DMR Discharge Data</v>
      </c>
      <c r="AF49" s="60" t="str" cm="1">
        <f t="array" ref="AF49">IF(COUNTIFS('Raw Annual DMR Data'!L:L,$F49,'Raw Annual DMR Data'!W:W, "&gt;0")&gt;0,INDEX('Raw Annual DMR Data'!B:B,MATCH(1,($F49='Raw Annual DMR Data'!L:L)*($AE49='Raw Annual DMR Data'!W:W),0)), "N/A - No Daily Max DMR Discharge Data")</f>
        <v>N/A - No Daily Max DMR Discharge Data</v>
      </c>
      <c r="AG49" s="422"/>
      <c r="AH49" s="422"/>
      <c r="AI49" s="423"/>
    </row>
    <row r="50" spans="1:35" ht="15.75" thickBot="1" x14ac:dyDescent="0.3">
      <c r="A50" s="144" t="str">
        <f>VLOOKUP(F50,'Facility Summary'!J:K,2,FALSE)</f>
        <v>Manufacturing</v>
      </c>
      <c r="B50" s="97" t="s">
        <v>137</v>
      </c>
      <c r="C50" s="28" t="s">
        <v>446</v>
      </c>
      <c r="D50" s="60" t="s">
        <v>303</v>
      </c>
      <c r="E50" s="60" t="s">
        <v>447</v>
      </c>
      <c r="F50" s="74">
        <v>110000494894</v>
      </c>
      <c r="G50" s="74" t="s">
        <v>839</v>
      </c>
      <c r="H50" s="63" t="s">
        <v>840</v>
      </c>
      <c r="I50" s="74">
        <v>8080206001241</v>
      </c>
      <c r="J50" s="74" t="s">
        <v>265</v>
      </c>
      <c r="K50" s="60">
        <f>VLOOKUP(A50, 'OES Summary'!$A:$B, 2, FALSE)</f>
        <v>350</v>
      </c>
      <c r="L50" s="304" cm="1">
        <f t="array" ref="L50">IF(COUNTIF('Raw Annual DMR Data'!$L:$L,$F50)&gt;0,MEDIAN(IF('Raw Annual DMR Data'!$L:$L=F50,'Raw Annual DMR Data'!$S:$S)),"N/A - Facility Does Not Report DMRs")</f>
        <v>782.57510359999992</v>
      </c>
      <c r="M50" s="156">
        <f t="shared" si="4"/>
        <v>2.2359288674285711</v>
      </c>
      <c r="N50" s="156">
        <f>IF(COUNTIF('Raw Annual DMR Data'!$L:$L,$F50)&gt;0,_xlfn.MAXIFS('Raw Annual DMR Data'!$S:$S,'Raw Annual DMR Data'!$L:$L,$F50), "N/A - Facility Does Not Report DMRs")</f>
        <v>64273.493855699999</v>
      </c>
      <c r="O50" s="156">
        <f t="shared" si="5"/>
        <v>183.63855387342858</v>
      </c>
      <c r="P50" s="113" cm="1">
        <f t="array" ref="P50">IF(COUNTIF('Raw Annual DMR Data'!$L:$L,$F50)&gt;0,INDEX('Raw Annual DMR Data'!$B:$B,MATCH(1,($F50='Raw Annual DMR Data'!$L:$L)*($N50='Raw Annual DMR Data'!$S:$S),0)), "N/A - Facility Does Not Report DMRs")</f>
        <v>2020</v>
      </c>
      <c r="Q50" s="304" cm="1">
        <f t="array" ref="Q50">IF(COUNTIF('Raw TRI Data'!$J:$J,$E50)&gt;0,MEDIAN(IF('Raw TRI Data'!$J:$J=E50,'Raw TRI Data'!$S:$S)), "N/A - Facility Does Not Report to TRI")</f>
        <v>81.646626600000005</v>
      </c>
      <c r="R50" s="156">
        <f t="shared" si="7"/>
        <v>0.23327607600000003</v>
      </c>
      <c r="S50" s="156">
        <f>IF(COUNTIF('Raw TRI Data'!$J:$J,$E50)&gt;0,_xlfn.MAXIFS('Raw TRI Data'!$S:$S,'Raw TRI Data'!$J:$J,$E50), "N/A - Facility Does Not Report to TRI")</f>
        <v>2902.991168</v>
      </c>
      <c r="T50" s="156">
        <f t="shared" si="8"/>
        <v>8.2942604800000002</v>
      </c>
      <c r="U50" s="136" cm="1">
        <f t="array" ref="U50">IF(COUNTIF('Raw TRI Data'!$J:$J,$E50)&gt;0,INDEX('Raw TRI Data'!$A:$A,MATCH(1,($E50='Raw TRI Data'!$J:$J)*(S50='Raw TRI Data'!$S:$S),0)), "N/A - Facility Does Not Report to TRI")</f>
        <v>2020</v>
      </c>
      <c r="V50" s="156" cm="1">
        <f t="array" ref="V50">IF(COUNTIFS('Raw Annual DMR Data'!$L:$L,$F50,'Raw Annual DMR Data'!$U:$U,"&gt;0")&gt;0,MEDIAN(IF('Raw Annual DMR Data'!$L:$L=$F50,'Raw Annual DMR Data'!$U:$U,"")),"N/A - Period DMR Data Not Available")</f>
        <v>564.00190375</v>
      </c>
      <c r="W50" s="156">
        <f>IF(COUNTIFS('Raw Annual DMR Data'!$L:$L,$F50, 'Raw Annual DMR Data'!$U:$U, "&gt;0")&gt;0,_xlfn.MAXIFS('Raw Annual DMR Data'!$U:$U,'Raw Annual DMR Data'!$L:$L,$F50), "N/A - Period DMR Data Not Available")</f>
        <v>1053.55475</v>
      </c>
      <c r="X50" s="113" cm="1">
        <f t="array" ref="X50">+IF(COUNTIFS('Raw Annual DMR Data'!L:L,$F50, 'Raw Annual DMR Data'!U:U, "&gt;0")&gt;0,INDEX('Raw Annual DMR Data'!V:V,MATCH(1,($F50='Raw Annual DMR Data'!L:L)*($W50='Raw Annual DMR Data'!U:U),0)), "N/A - Period DMR Data Not Available")</f>
        <v>61</v>
      </c>
      <c r="Y50" s="113" cm="1">
        <f t="array" ref="Y50">IF(COUNTIFS('Raw Annual DMR Data'!L:L,$F50, 'Raw Annual DMR Data'!U:U, "&gt;0")&gt;0,INDEX('Raw Annual DMR Data'!B:B,MATCH(1,($F50='Raw Annual DMR Data'!L:L)*($W50='Raw Annual DMR Data'!U:U),0)), "N/A - Period DMR Data Not Available")</f>
        <v>2020</v>
      </c>
      <c r="Z50" s="311" t="str" cm="1">
        <f t="array" ref="Z50">IF(COUNTIF('Raw Annual DMR Data'!K:K,$E50)&gt;0,"N/A - See DMRs",IF(SUMIFS('Raw TRI Data'!$Z:$Z,'Raw TRI Data'!$J:$J,$E50)&gt;0,MEDIAN(IF('Raw TRI Data'!$J:$J=$E50,'Raw TRI Data'!$Z:$Z)), "N/A - Facility Does Not Report to TRI, no surface water releases, or no Generic Factors available"))</f>
        <v>N/A - See DMRs</v>
      </c>
      <c r="AA50" s="156" t="str">
        <f>IF(COUNTIF('Raw Annual DMR Data'!K:K,$E50)&gt;0,"N/A - See DMRs",IF(SUMIFS('Raw TRI Data'!$Z:$Z,'Raw TRI Data'!$J:$J,$E50)&gt;0,_xlfn.MAXIFS('Raw TRI Data'!$Z:$Z,'Raw TRI Data'!$J:$J,$E50), "N/A - Facility Does Not Report to TRI, no surface water releases, or no Generic Factors available"))</f>
        <v>N/A - See DMRs</v>
      </c>
      <c r="AB50" s="113" t="str">
        <f t="shared" si="6"/>
        <v>N/A</v>
      </c>
      <c r="AC50" s="136" t="str" cm="1">
        <f t="array" ref="AC50">IF(COUNTIF('Raw Annual DMR Data'!K:K,$E50)&gt;0,"N/A - See DMRs",IF(SUMIFS('Raw TRI Data'!$Z:$Z,'Raw TRI Data'!$J:$J,$E50)&gt;0,INDEX('Raw TRI Data'!$A:$A,MATCH(1,($E50='Raw TRI Data'!$J:$J)*($AA50='Raw TRI Data'!$Z:$Z),0)), "N/A - Facility Does Not Report to TRI, no surface water releases, or no Generic Factors available"))</f>
        <v>N/A - See DMRs</v>
      </c>
      <c r="AD50" s="96" t="e" cm="1">
        <f t="array" ref="AD50">IF(COUNTIFS('Raw Annual DMR Data'!L:L,$F50,'Raw Annual DMR Data'!W:W, "&gt;0")&gt;0,MEDIAN(IF('Raw Annual DMR Data'!K:K=$F50, 'Raw Annual DMR Data'!W:W)), "N/A - No Daily Max DMR Discharge Data")</f>
        <v>#NUM!</v>
      </c>
      <c r="AE50" s="96">
        <f>IF(COUNTIFS('Raw Annual DMR Data'!L:L,$F50,'Raw Annual DMR Data'!W:W, "&gt;0")&gt;0,_xlfn.MAXIFS('Raw Annual DMR Data'!W:W,'Raw Annual DMR Data'!L:L,$F50), "N/A - No Daily Max DMR Discharge Data")</f>
        <v>1947.7610000000002</v>
      </c>
      <c r="AF50" s="60" cm="1">
        <f t="array" ref="AF50">IF(COUNTIFS('Raw Annual DMR Data'!L:L,$F50,'Raw Annual DMR Data'!W:W, "&gt;0")&gt;0,INDEX('Raw Annual DMR Data'!B:B,MATCH(1,($F50='Raw Annual DMR Data'!L:L)*($AE50='Raw Annual DMR Data'!W:W),0)), "N/A - No Daily Max DMR Discharge Data")</f>
        <v>2020</v>
      </c>
      <c r="AG50" s="422"/>
      <c r="AH50" s="422"/>
      <c r="AI50" s="423"/>
    </row>
    <row r="51" spans="1:35" ht="30.75" thickBot="1" x14ac:dyDescent="0.3">
      <c r="A51" s="144" t="str">
        <f>VLOOKUP(F51,'Facility Summary'!J:K,2,FALSE)</f>
        <v>Unknown</v>
      </c>
      <c r="B51" s="97" t="s">
        <v>138</v>
      </c>
      <c r="C51" s="28" t="s">
        <v>449</v>
      </c>
      <c r="D51" s="60" t="s">
        <v>450</v>
      </c>
      <c r="E51" s="60" t="s">
        <v>451</v>
      </c>
      <c r="F51" s="74">
        <v>110000492173</v>
      </c>
      <c r="G51" s="74" t="s">
        <v>841</v>
      </c>
      <c r="H51" s="63" t="s">
        <v>842</v>
      </c>
      <c r="I51" s="74">
        <v>4130003000001</v>
      </c>
      <c r="J51" s="74" t="s">
        <v>265</v>
      </c>
      <c r="K51" s="60">
        <f>VLOOKUP(A51, 'OES Summary'!$A:$B, 2, FALSE)</f>
        <v>250</v>
      </c>
      <c r="L51" s="304" cm="1">
        <f t="array" ref="L51">IF(COUNTIF('Raw Annual DMR Data'!$L:$L,$F51)&gt;0,MEDIAN(IF('Raw Annual DMR Data'!$L:$L=F51,'Raw Annual DMR Data'!$S:$S)),"N/A - Facility Does Not Report DMRs")</f>
        <v>3.2407169999999999E-2</v>
      </c>
      <c r="M51" s="156">
        <f t="shared" si="4"/>
        <v>1.2962868000000001E-4</v>
      </c>
      <c r="N51" s="156">
        <f>IF(COUNTIF('Raw Annual DMR Data'!$L:$L,$F51)&gt;0,_xlfn.MAXIFS('Raw Annual DMR Data'!$S:$S,'Raw Annual DMR Data'!$L:$L,$F51), "N/A - Facility Does Not Report DMRs")</f>
        <v>3.6713364499999998E-2</v>
      </c>
      <c r="O51" s="156">
        <f t="shared" si="5"/>
        <v>1.46853458E-4</v>
      </c>
      <c r="P51" s="113" cm="1">
        <f t="array" ref="P51">IF(COUNTIF('Raw Annual DMR Data'!$L:$L,$F51)&gt;0,INDEX('Raw Annual DMR Data'!$B:$B,MATCH(1,($F51='Raw Annual DMR Data'!$L:$L)*($N51='Raw Annual DMR Data'!$S:$S),0)), "N/A - Facility Does Not Report DMRs")</f>
        <v>2015</v>
      </c>
      <c r="Q51" s="304" t="str" cm="1">
        <f t="array" ref="Q51">IF(COUNTIF('Raw TRI Data'!$J:$J,$E51)&gt;0,MEDIAN(IF('Raw TRI Data'!$J:$J=E51,'Raw TRI Data'!$S:$S)), "N/A - Facility Does Not Report to TRI")</f>
        <v>N/A - Facility Does Not Report to TRI</v>
      </c>
      <c r="R51" s="156" t="str">
        <f t="shared" si="7"/>
        <v>N/A - Facility Does Not Report to TRI</v>
      </c>
      <c r="S51" s="156" t="str">
        <f>IF(COUNTIF('Raw TRI Data'!$J:$J,$E51)&gt;0,_xlfn.MAXIFS('Raw TRI Data'!$S:$S,'Raw TRI Data'!$J:$J,$E51), "N/A - Facility Does Not Report to TRI")</f>
        <v>N/A - Facility Does Not Report to TRI</v>
      </c>
      <c r="T51" s="156" t="str">
        <f t="shared" si="8"/>
        <v>N/A - Facility Does Not Report to TRI</v>
      </c>
      <c r="U51" s="136" t="str" cm="1">
        <f t="array" ref="U51">IF(COUNTIF('Raw TRI Data'!$J:$J,$E51)&gt;0,INDEX('Raw TRI Data'!$A:$A,MATCH(1,($E51='Raw TRI Data'!$J:$J)*(S51='Raw TRI Data'!$S:$S),0)), "N/A - Facility Does Not Report to TRI")</f>
        <v>N/A - Facility Does Not Report to TRI</v>
      </c>
      <c r="V51" s="156" t="str" cm="1">
        <f t="array" ref="V51">IF(COUNTIFS('Raw Annual DMR Data'!$L:$L,$F51,'Raw Annual DMR Data'!$U:$U,"&gt;0")&gt;0,MEDIAN(IF('Raw Annual DMR Data'!$L:$L=$F51,'Raw Annual DMR Data'!$U:$U,"")),"N/A - Period DMR Data Not Available")</f>
        <v>N/A - Period DMR Data Not Available</v>
      </c>
      <c r="W51" s="156" t="str">
        <f>IF(COUNTIFS('Raw Annual DMR Data'!$L:$L,$F51, 'Raw Annual DMR Data'!$U:$U, "&gt;0")&gt;0,_xlfn.MAXIFS('Raw Annual DMR Data'!$U:$U,'Raw Annual DMR Data'!$L:$L,$F51), "N/A - Period DMR Data Not Available")</f>
        <v>N/A - Period DMR Data Not Available</v>
      </c>
      <c r="X51" s="113" t="str" cm="1">
        <f t="array" ref="X51">+IF(COUNTIFS('Raw Annual DMR Data'!L:L,$F51, 'Raw Annual DMR Data'!U:U, "&gt;0")&gt;0,INDEX('Raw Annual DMR Data'!V:V,MATCH(1,($F51='Raw Annual DMR Data'!L:L)*($W51='Raw Annual DMR Data'!U:U),0)), "N/A - Period DMR Data Not Available")</f>
        <v>N/A - Period DMR Data Not Available</v>
      </c>
      <c r="Y51" s="113" t="str" cm="1">
        <f t="array" ref="Y51">IF(COUNTIFS('Raw Annual DMR Data'!L:L,$F51, 'Raw Annual DMR Data'!U:U, "&gt;0")&gt;0,INDEX('Raw Annual DMR Data'!B:B,MATCH(1,($F51='Raw Annual DMR Data'!L:L)*($W51='Raw Annual DMR Data'!U:U),0)), "N/A - Period DMR Data Not Available")</f>
        <v>N/A - Period DMR Data Not Available</v>
      </c>
      <c r="Z51" s="311" t="str" cm="1">
        <f t="array" ref="Z51">IF(COUNTIF('Raw Annual DMR Data'!K:K,$E51)&gt;0,"N/A - See DMRs",IF(SUMIFS('Raw TRI Data'!$Z:$Z,'Raw TRI Data'!$J:$J,$E51)&gt;0,MEDIAN(IF('Raw TRI Data'!$J:$J=$E51,'Raw TRI Data'!$Z:$Z)), "N/A - Facility Does Not Report to TRI, no surface water releases, or no Generic Factors available"))</f>
        <v>N/A - See DMRs</v>
      </c>
      <c r="AA51" s="156" t="str">
        <f>IF(COUNTIF('Raw Annual DMR Data'!K:K,$E51)&gt;0,"N/A - See DMRs",IF(SUMIFS('Raw TRI Data'!$Z:$Z,'Raw TRI Data'!$J:$J,$E51)&gt;0,_xlfn.MAXIFS('Raw TRI Data'!$Z:$Z,'Raw TRI Data'!$J:$J,$E51), "N/A - Facility Does Not Report to TRI, no surface water releases, or no Generic Factors available"))</f>
        <v>N/A - See DMRs</v>
      </c>
      <c r="AB51" s="113" t="str">
        <f t="shared" si="6"/>
        <v>N/A</v>
      </c>
      <c r="AC51" s="136" t="str" cm="1">
        <f t="array" ref="AC51">IF(COUNTIF('Raw Annual DMR Data'!K:K,$E51)&gt;0,"N/A - See DMRs",IF(SUMIFS('Raw TRI Data'!$Z:$Z,'Raw TRI Data'!$J:$J,$E51)&gt;0,INDEX('Raw TRI Data'!$A:$A,MATCH(1,($E51='Raw TRI Data'!$J:$J)*($AA51='Raw TRI Data'!$Z:$Z),0)), "N/A - Facility Does Not Report to TRI, no surface water releases, or no Generic Factors available"))</f>
        <v>N/A - See DMRs</v>
      </c>
      <c r="AD51" s="96" t="str" cm="1">
        <f t="array" ref="AD51">IF(COUNTIFS('Raw Annual DMR Data'!L:L,$F51,'Raw Annual DMR Data'!W:W, "&gt;0")&gt;0,MEDIAN(IF('Raw Annual DMR Data'!K:K=$F51, 'Raw Annual DMR Data'!W:W)), "N/A - No Daily Max DMR Discharge Data")</f>
        <v>N/A - No Daily Max DMR Discharge Data</v>
      </c>
      <c r="AE51" s="96" t="str">
        <f>IF(COUNTIFS('Raw Annual DMR Data'!L:L,$F51,'Raw Annual DMR Data'!W:W, "&gt;0")&gt;0,_xlfn.MAXIFS('Raw Annual DMR Data'!W:W,'Raw Annual DMR Data'!L:L,$F51), "N/A - No Daily Max DMR Discharge Data")</f>
        <v>N/A - No Daily Max DMR Discharge Data</v>
      </c>
      <c r="AF51" s="60" t="str" cm="1">
        <f t="array" ref="AF51">IF(COUNTIFS('Raw Annual DMR Data'!L:L,$F51,'Raw Annual DMR Data'!W:W, "&gt;0")&gt;0,INDEX('Raw Annual DMR Data'!B:B,MATCH(1,($F51='Raw Annual DMR Data'!L:L)*($AE51='Raw Annual DMR Data'!W:W),0)), "N/A - No Daily Max DMR Discharge Data")</f>
        <v>N/A - No Daily Max DMR Discharge Data</v>
      </c>
      <c r="AG51" s="422"/>
      <c r="AH51" s="422"/>
      <c r="AI51" s="423"/>
    </row>
    <row r="52" spans="1:35" ht="45.75" thickBot="1" x14ac:dyDescent="0.3">
      <c r="A52" s="144" t="str">
        <f>VLOOKUP(F52,'Facility Summary'!J:K,2,FALSE)</f>
        <v>Unknown</v>
      </c>
      <c r="B52" s="97" t="s">
        <v>139</v>
      </c>
      <c r="C52" s="28" t="s">
        <v>454</v>
      </c>
      <c r="D52" s="60" t="s">
        <v>349</v>
      </c>
      <c r="E52" s="60"/>
      <c r="F52" s="74">
        <v>110000614791</v>
      </c>
      <c r="G52" s="74" t="s">
        <v>843</v>
      </c>
      <c r="H52" s="63" t="s">
        <v>844</v>
      </c>
      <c r="I52" s="74">
        <v>11070207001158</v>
      </c>
      <c r="J52" s="74" t="s">
        <v>265</v>
      </c>
      <c r="K52" s="60">
        <f>VLOOKUP(A52, 'OES Summary'!$A:$B, 2, FALSE)</f>
        <v>250</v>
      </c>
      <c r="L52" s="304" cm="1">
        <f t="array" ref="L52">IF(COUNTIF('Raw Annual DMR Data'!$L:$L,$F52)&gt;0,MEDIAN(IF('Raw Annual DMR Data'!$L:$L=F52,'Raw Annual DMR Data'!$S:$S)),"N/A - Facility Does Not Report DMRs")</f>
        <v>7.6722752382149997E-2</v>
      </c>
      <c r="M52" s="156">
        <f t="shared" si="4"/>
        <v>3.0689100952859997E-4</v>
      </c>
      <c r="N52" s="156">
        <f>IF(COUNTIF('Raw Annual DMR Data'!$L:$L,$F52)&gt;0,_xlfn.MAXIFS('Raw Annual DMR Data'!$S:$S,'Raw Annual DMR Data'!$L:$L,$F52), "N/A - Facility Does Not Report DMRs")</f>
        <v>0.13468049224799999</v>
      </c>
      <c r="O52" s="156">
        <f t="shared" si="5"/>
        <v>5.3872196899199996E-4</v>
      </c>
      <c r="P52" s="113" cm="1">
        <f t="array" ref="P52">IF(COUNTIF('Raw Annual DMR Data'!$L:$L,$F52)&gt;0,INDEX('Raw Annual DMR Data'!$B:$B,MATCH(1,($F52='Raw Annual DMR Data'!$L:$L)*($N52='Raw Annual DMR Data'!$S:$S),0)), "N/A - Facility Does Not Report DMRs")</f>
        <v>2017</v>
      </c>
      <c r="Q52" s="304" t="str" cm="1">
        <f t="array" ref="Q52">IF(COUNTIF('Raw TRI Data'!$J:$J,$E52)&gt;0,MEDIAN(IF('Raw TRI Data'!$J:$J=E52,'Raw TRI Data'!$S:$S)), "N/A - Facility Does Not Report to TRI")</f>
        <v>N/A - Facility Does Not Report to TRI</v>
      </c>
      <c r="R52" s="156" t="str">
        <f t="shared" si="7"/>
        <v>N/A - Facility Does Not Report to TRI</v>
      </c>
      <c r="S52" s="156" t="str">
        <f>IF(COUNTIF('Raw TRI Data'!$J:$J,$E52)&gt;0,_xlfn.MAXIFS('Raw TRI Data'!$S:$S,'Raw TRI Data'!$J:$J,$E52), "N/A - Facility Does Not Report to TRI")</f>
        <v>N/A - Facility Does Not Report to TRI</v>
      </c>
      <c r="T52" s="156" t="str">
        <f t="shared" si="8"/>
        <v>N/A - Facility Does Not Report to TRI</v>
      </c>
      <c r="U52" s="136" t="str" cm="1">
        <f t="array" ref="U52">IF(COUNTIF('Raw TRI Data'!$J:$J,$E52)&gt;0,INDEX('Raw TRI Data'!$A:$A,MATCH(1,($E52='Raw TRI Data'!$J:$J)*(S52='Raw TRI Data'!$S:$S),0)), "N/A - Facility Does Not Report to TRI")</f>
        <v>N/A - Facility Does Not Report to TRI</v>
      </c>
      <c r="V52" s="156" t="str" cm="1">
        <f t="array" ref="V52">IF(COUNTIFS('Raw Annual DMR Data'!$L:$L,$F52,'Raw Annual DMR Data'!$U:$U,"&gt;0")&gt;0,MEDIAN(IF('Raw Annual DMR Data'!$L:$L=$F52,'Raw Annual DMR Data'!$U:$U,"")),"N/A - Period DMR Data Not Available")</f>
        <v>N/A - Period DMR Data Not Available</v>
      </c>
      <c r="W52" s="156" t="str">
        <f>IF(COUNTIFS('Raw Annual DMR Data'!$L:$L,$F52, 'Raw Annual DMR Data'!$U:$U, "&gt;0")&gt;0,_xlfn.MAXIFS('Raw Annual DMR Data'!$U:$U,'Raw Annual DMR Data'!$L:$L,$F52), "N/A - Period DMR Data Not Available")</f>
        <v>N/A - Period DMR Data Not Available</v>
      </c>
      <c r="X52" s="113" t="str" cm="1">
        <f t="array" ref="X52">+IF(COUNTIFS('Raw Annual DMR Data'!L:L,$F52, 'Raw Annual DMR Data'!U:U, "&gt;0")&gt;0,INDEX('Raw Annual DMR Data'!V:V,MATCH(1,($F52='Raw Annual DMR Data'!L:L)*($W52='Raw Annual DMR Data'!U:U),0)), "N/A - Period DMR Data Not Available")</f>
        <v>N/A - Period DMR Data Not Available</v>
      </c>
      <c r="Y52" s="113" t="str" cm="1">
        <f t="array" ref="Y52">IF(COUNTIFS('Raw Annual DMR Data'!L:L,$F52, 'Raw Annual DMR Data'!U:U, "&gt;0")&gt;0,INDEX('Raw Annual DMR Data'!B:B,MATCH(1,($F52='Raw Annual DMR Data'!L:L)*($W52='Raw Annual DMR Data'!U:U),0)), "N/A - Period DMR Data Not Available")</f>
        <v>N/A - Period DMR Data Not Available</v>
      </c>
      <c r="Z52" s="311" t="str" cm="1">
        <f t="array" ref="Z52">IF(COUNTIF('Raw Annual DMR Data'!K:K,$E52)&gt;0,"N/A - See DMRs",IF(SUMIFS('Raw TRI Data'!$Z:$Z,'Raw TRI Data'!$J:$J,$E52)&gt;0,MEDIAN(IF('Raw TRI Data'!$J:$J=$E52,'Raw TRI Data'!$Z:$Z)), "N/A - Facility Does Not Report to TRI, no surface water releases, or no Generic Factors available"))</f>
        <v>N/A - Facility Does Not Report to TRI, no surface water releases, or no Generic Factors available</v>
      </c>
      <c r="AA52" s="156" t="str">
        <f>IF(COUNTIF('Raw Annual DMR Data'!K:K,$E52)&gt;0,"N/A - See DMRs",IF(SUMIFS('Raw TRI Data'!$Z:$Z,'Raw TRI Data'!$J:$J,$E52)&gt;0,_xlfn.MAXIFS('Raw TRI Data'!$Z:$Z,'Raw TRI Data'!$J:$J,$E52), "N/A - Facility Does Not Report to TRI, no surface water releases, or no Generic Factors available"))</f>
        <v>N/A - Facility Does Not Report to TRI, no surface water releases, or no Generic Factors available</v>
      </c>
      <c r="AB52" s="113" t="str">
        <f t="shared" si="6"/>
        <v>N/A</v>
      </c>
      <c r="AC52" s="136" t="str" cm="1">
        <f t="array" ref="AC52">IF(COUNTIF('Raw Annual DMR Data'!K:K,$E52)&gt;0,"N/A - See DMRs",IF(SUMIFS('Raw TRI Data'!$Z:$Z,'Raw TRI Data'!$J:$J,$E52)&gt;0,INDEX('Raw TRI Data'!$A:$A,MATCH(1,($E52='Raw TRI Data'!$J:$J)*($AA52='Raw TRI Data'!$Z:$Z),0)), "N/A - Facility Does Not Report to TRI, no surface water releases, or no Generic Factors available"))</f>
        <v>N/A - Facility Does Not Report to TRI, no surface water releases, or no Generic Factors available</v>
      </c>
      <c r="AD52" s="96" t="str" cm="1">
        <f t="array" ref="AD52">IF(COUNTIFS('Raw Annual DMR Data'!L:L,$F52,'Raw Annual DMR Data'!W:W, "&gt;0")&gt;0,MEDIAN(IF('Raw Annual DMR Data'!K:K=$F52, 'Raw Annual DMR Data'!W:W)), "N/A - No Daily Max DMR Discharge Data")</f>
        <v>N/A - No Daily Max DMR Discharge Data</v>
      </c>
      <c r="AE52" s="96" t="str">
        <f>IF(COUNTIFS('Raw Annual DMR Data'!L:L,$F52,'Raw Annual DMR Data'!W:W, "&gt;0")&gt;0,_xlfn.MAXIFS('Raw Annual DMR Data'!W:W,'Raw Annual DMR Data'!L:L,$F52), "N/A - No Daily Max DMR Discharge Data")</f>
        <v>N/A - No Daily Max DMR Discharge Data</v>
      </c>
      <c r="AF52" s="60" t="str" cm="1">
        <f t="array" ref="AF52">IF(COUNTIFS('Raw Annual DMR Data'!L:L,$F52,'Raw Annual DMR Data'!W:W, "&gt;0")&gt;0,INDEX('Raw Annual DMR Data'!B:B,MATCH(1,($F52='Raw Annual DMR Data'!L:L)*($AE52='Raw Annual DMR Data'!W:W),0)), "N/A - No Daily Max DMR Discharge Data")</f>
        <v>N/A - No Daily Max DMR Discharge Data</v>
      </c>
      <c r="AG52" s="422"/>
      <c r="AH52" s="422"/>
      <c r="AI52" s="423"/>
    </row>
    <row r="53" spans="1:35" ht="45.75" thickBot="1" x14ac:dyDescent="0.3">
      <c r="A53" s="144" t="str">
        <f>VLOOKUP(F53,'Facility Summary'!J:K,2,FALSE)</f>
        <v>Unknown</v>
      </c>
      <c r="B53" s="97" t="s">
        <v>140</v>
      </c>
      <c r="C53" s="28" t="s">
        <v>457</v>
      </c>
      <c r="D53" s="60" t="s">
        <v>366</v>
      </c>
      <c r="E53" s="60"/>
      <c r="F53" s="74">
        <v>110002672484</v>
      </c>
      <c r="G53" s="74" t="s">
        <v>845</v>
      </c>
      <c r="H53" s="63" t="s">
        <v>846</v>
      </c>
      <c r="I53" s="74">
        <v>18100204011431</v>
      </c>
      <c r="J53" s="74" t="s">
        <v>265</v>
      </c>
      <c r="K53" s="60">
        <f>VLOOKUP(A53, 'OES Summary'!$A:$B, 2, FALSE)</f>
        <v>250</v>
      </c>
      <c r="L53" s="304" cm="1">
        <f t="array" ref="L53">IF(COUNTIF('Raw Annual DMR Data'!$L:$L,$F53)&gt;0,MEDIAN(IF('Raw Annual DMR Data'!$L:$L=F53,'Raw Annual DMR Data'!$S:$S)),"N/A - Facility Does Not Report DMRs")</f>
        <v>7.2322833750000006E-3</v>
      </c>
      <c r="M53" s="156">
        <f t="shared" si="4"/>
        <v>2.8929133500000002E-5</v>
      </c>
      <c r="N53" s="156">
        <f>IF(COUNTIF('Raw Annual DMR Data'!$L:$L,$F53)&gt;0,_xlfn.MAXIFS('Raw Annual DMR Data'!$S:$S,'Raw Annual DMR Data'!$L:$L,$F53), "N/A - Facility Does Not Report DMRs")</f>
        <v>0.92064826</v>
      </c>
      <c r="O53" s="156">
        <f t="shared" si="5"/>
        <v>3.6825930399999999E-3</v>
      </c>
      <c r="P53" s="113" cm="1">
        <f t="array" ref="P53">IF(COUNTIF('Raw Annual DMR Data'!$L:$L,$F53)&gt;0,INDEX('Raw Annual DMR Data'!$B:$B,MATCH(1,($F53='Raw Annual DMR Data'!$L:$L)*($N53='Raw Annual DMR Data'!$S:$S),0)), "N/A - Facility Does Not Report DMRs")</f>
        <v>2020</v>
      </c>
      <c r="Q53" s="304" t="str" cm="1">
        <f t="array" ref="Q53">IF(COUNTIF('Raw TRI Data'!$J:$J,$E53)&gt;0,MEDIAN(IF('Raw TRI Data'!$J:$J=E53,'Raw TRI Data'!$S:$S)), "N/A - Facility Does Not Report to TRI")</f>
        <v>N/A - Facility Does Not Report to TRI</v>
      </c>
      <c r="R53" s="156" t="str">
        <f t="shared" si="7"/>
        <v>N/A - Facility Does Not Report to TRI</v>
      </c>
      <c r="S53" s="156" t="str">
        <f>IF(COUNTIF('Raw TRI Data'!$J:$J,$E53)&gt;0,_xlfn.MAXIFS('Raw TRI Data'!$S:$S,'Raw TRI Data'!$J:$J,$E53), "N/A - Facility Does Not Report to TRI")</f>
        <v>N/A - Facility Does Not Report to TRI</v>
      </c>
      <c r="T53" s="156" t="str">
        <f t="shared" si="8"/>
        <v>N/A - Facility Does Not Report to TRI</v>
      </c>
      <c r="U53" s="136" t="str" cm="1">
        <f t="array" ref="U53">IF(COUNTIF('Raw TRI Data'!$J:$J,$E53)&gt;0,INDEX('Raw TRI Data'!$A:$A,MATCH(1,($E53='Raw TRI Data'!$J:$J)*(S53='Raw TRI Data'!$S:$S),0)), "N/A - Facility Does Not Report to TRI")</f>
        <v>N/A - Facility Does Not Report to TRI</v>
      </c>
      <c r="V53" s="156" t="str" cm="1">
        <f t="array" ref="V53">IF(COUNTIFS('Raw Annual DMR Data'!$L:$L,$F53,'Raw Annual DMR Data'!$U:$U,"&gt;0")&gt;0,MEDIAN(IF('Raw Annual DMR Data'!$L:$L=$F53,'Raw Annual DMR Data'!$U:$U,"")),"N/A - Period DMR Data Not Available")</f>
        <v>N/A - Period DMR Data Not Available</v>
      </c>
      <c r="W53" s="156" t="str">
        <f>IF(COUNTIFS('Raw Annual DMR Data'!$L:$L,$F53, 'Raw Annual DMR Data'!$U:$U, "&gt;0")&gt;0,_xlfn.MAXIFS('Raw Annual DMR Data'!$U:$U,'Raw Annual DMR Data'!$L:$L,$F53), "N/A - Period DMR Data Not Available")</f>
        <v>N/A - Period DMR Data Not Available</v>
      </c>
      <c r="X53" s="113" t="str" cm="1">
        <f t="array" ref="X53">+IF(COUNTIFS('Raw Annual DMR Data'!L:L,$F53, 'Raw Annual DMR Data'!U:U, "&gt;0")&gt;0,INDEX('Raw Annual DMR Data'!V:V,MATCH(1,($F53='Raw Annual DMR Data'!L:L)*($W53='Raw Annual DMR Data'!U:U),0)), "N/A - Period DMR Data Not Available")</f>
        <v>N/A - Period DMR Data Not Available</v>
      </c>
      <c r="Y53" s="113" t="str" cm="1">
        <f t="array" ref="Y53">IF(COUNTIFS('Raw Annual DMR Data'!L:L,$F53, 'Raw Annual DMR Data'!U:U, "&gt;0")&gt;0,INDEX('Raw Annual DMR Data'!B:B,MATCH(1,($F53='Raw Annual DMR Data'!L:L)*($W53='Raw Annual DMR Data'!U:U),0)), "N/A - Period DMR Data Not Available")</f>
        <v>N/A - Period DMR Data Not Available</v>
      </c>
      <c r="Z53" s="311" t="str" cm="1">
        <f t="array" ref="Z53">IF(COUNTIF('Raw Annual DMR Data'!K:K,$E53)&gt;0,"N/A - See DMRs",IF(SUMIFS('Raw TRI Data'!$Z:$Z,'Raw TRI Data'!$J:$J,$E53)&gt;0,MEDIAN(IF('Raw TRI Data'!$J:$J=$E53,'Raw TRI Data'!$Z:$Z)), "N/A - Facility Does Not Report to TRI, no surface water releases, or no Generic Factors available"))</f>
        <v>N/A - Facility Does Not Report to TRI, no surface water releases, or no Generic Factors available</v>
      </c>
      <c r="AA53" s="156" t="str">
        <f>IF(COUNTIF('Raw Annual DMR Data'!K:K,$E53)&gt;0,"N/A - See DMRs",IF(SUMIFS('Raw TRI Data'!$Z:$Z,'Raw TRI Data'!$J:$J,$E53)&gt;0,_xlfn.MAXIFS('Raw TRI Data'!$Z:$Z,'Raw TRI Data'!$J:$J,$E53), "N/A - Facility Does Not Report to TRI, no surface water releases, or no Generic Factors available"))</f>
        <v>N/A - Facility Does Not Report to TRI, no surface water releases, or no Generic Factors available</v>
      </c>
      <c r="AB53" s="113" t="str">
        <f t="shared" si="6"/>
        <v>N/A</v>
      </c>
      <c r="AC53" s="136" t="str" cm="1">
        <f t="array" ref="AC53">IF(COUNTIF('Raw Annual DMR Data'!K:K,$E53)&gt;0,"N/A - See DMRs",IF(SUMIFS('Raw TRI Data'!$Z:$Z,'Raw TRI Data'!$J:$J,$E53)&gt;0,INDEX('Raw TRI Data'!$A:$A,MATCH(1,($E53='Raw TRI Data'!$J:$J)*($AA53='Raw TRI Data'!$Z:$Z),0)), "N/A - Facility Does Not Report to TRI, no surface water releases, or no Generic Factors available"))</f>
        <v>N/A - Facility Does Not Report to TRI, no surface water releases, or no Generic Factors available</v>
      </c>
      <c r="AD53" s="96" t="str" cm="1">
        <f t="array" ref="AD53">IF(COUNTIFS('Raw Annual DMR Data'!L:L,$F53,'Raw Annual DMR Data'!W:W, "&gt;0")&gt;0,MEDIAN(IF('Raw Annual DMR Data'!K:K=$F53, 'Raw Annual DMR Data'!W:W)), "N/A - No Daily Max DMR Discharge Data")</f>
        <v>N/A - No Daily Max DMR Discharge Data</v>
      </c>
      <c r="AE53" s="96" t="str">
        <f>IF(COUNTIFS('Raw Annual DMR Data'!L:L,$F53,'Raw Annual DMR Data'!W:W, "&gt;0")&gt;0,_xlfn.MAXIFS('Raw Annual DMR Data'!W:W,'Raw Annual DMR Data'!L:L,$F53), "N/A - No Daily Max DMR Discharge Data")</f>
        <v>N/A - No Daily Max DMR Discharge Data</v>
      </c>
      <c r="AF53" s="60" t="str" cm="1">
        <f t="array" ref="AF53">IF(COUNTIFS('Raw Annual DMR Data'!L:L,$F53,'Raw Annual DMR Data'!W:W, "&gt;0")&gt;0,INDEX('Raw Annual DMR Data'!B:B,MATCH(1,($F53='Raw Annual DMR Data'!L:L)*($AE53='Raw Annual DMR Data'!W:W),0)), "N/A - No Daily Max DMR Discharge Data")</f>
        <v>N/A - No Daily Max DMR Discharge Data</v>
      </c>
      <c r="AG53" s="422"/>
      <c r="AH53" s="422"/>
      <c r="AI53" s="423"/>
    </row>
    <row r="54" spans="1:35" ht="45.75" thickBot="1" x14ac:dyDescent="0.3">
      <c r="A54" s="144" t="str">
        <f>VLOOKUP(F54,'Facility Summary'!J:K,2,FALSE)</f>
        <v>Processing into formulation, mixture, or reaction product</v>
      </c>
      <c r="B54" s="97" t="s">
        <v>141</v>
      </c>
      <c r="C54" s="28" t="s">
        <v>460</v>
      </c>
      <c r="D54" s="60" t="s">
        <v>311</v>
      </c>
      <c r="E54" s="60"/>
      <c r="F54" s="74">
        <v>110001929904</v>
      </c>
      <c r="G54" s="74" t="s">
        <v>847</v>
      </c>
      <c r="H54" s="63" t="s">
        <v>771</v>
      </c>
      <c r="I54" s="74">
        <v>5050008000062</v>
      </c>
      <c r="J54" s="74" t="s">
        <v>265</v>
      </c>
      <c r="K54" s="60">
        <f>VLOOKUP(A54, 'OES Summary'!$A:$B, 2, FALSE)</f>
        <v>300</v>
      </c>
      <c r="L54" s="304" cm="1">
        <f t="array" ref="L54">IF(COUNTIF('Raw Annual DMR Data'!$L:$L,$F54)&gt;0,MEDIAN(IF('Raw Annual DMR Data'!$L:$L=F54,'Raw Annual DMR Data'!$S:$S)),"N/A - Facility Does Not Report DMRs")</f>
        <v>0.21456916099773199</v>
      </c>
      <c r="M54" s="156">
        <f t="shared" si="4"/>
        <v>7.1523053665910666E-4</v>
      </c>
      <c r="N54" s="156">
        <f>IF(COUNTIF('Raw Annual DMR Data'!$L:$L,$F54)&gt;0,_xlfn.MAXIFS('Raw Annual DMR Data'!$S:$S,'Raw Annual DMR Data'!$L:$L,$F54), "N/A - Facility Does Not Report DMRs")</f>
        <v>0.267120181405895</v>
      </c>
      <c r="O54" s="156">
        <f t="shared" si="5"/>
        <v>8.904006046863166E-4</v>
      </c>
      <c r="P54" s="113" cm="1">
        <f t="array" ref="P54">IF(COUNTIF('Raw Annual DMR Data'!$L:$L,$F54)&gt;0,INDEX('Raw Annual DMR Data'!$B:$B,MATCH(1,($F54='Raw Annual DMR Data'!$L:$L)*($N54='Raw Annual DMR Data'!$S:$S),0)), "N/A - Facility Does Not Report DMRs")</f>
        <v>2017</v>
      </c>
      <c r="Q54" s="304" t="str" cm="1">
        <f t="array" ref="Q54">IF(COUNTIF('Raw TRI Data'!$J:$J,$E54)&gt;0,MEDIAN(IF('Raw TRI Data'!$J:$J=E54,'Raw TRI Data'!$S:$S)), "N/A - Facility Does Not Report to TRI")</f>
        <v>N/A - Facility Does Not Report to TRI</v>
      </c>
      <c r="R54" s="156" t="str">
        <f t="shared" si="7"/>
        <v>N/A - Facility Does Not Report to TRI</v>
      </c>
      <c r="S54" s="156" t="str">
        <f>IF(COUNTIF('Raw TRI Data'!$J:$J,$E54)&gt;0,_xlfn.MAXIFS('Raw TRI Data'!$S:$S,'Raw TRI Data'!$J:$J,$E54), "N/A - Facility Does Not Report to TRI")</f>
        <v>N/A - Facility Does Not Report to TRI</v>
      </c>
      <c r="T54" s="156" t="str">
        <f t="shared" si="8"/>
        <v>N/A - Facility Does Not Report to TRI</v>
      </c>
      <c r="U54" s="136" t="str" cm="1">
        <f t="array" ref="U54">IF(COUNTIF('Raw TRI Data'!$J:$J,$E54)&gt;0,INDEX('Raw TRI Data'!$A:$A,MATCH(1,($E54='Raw TRI Data'!$J:$J)*(S54='Raw TRI Data'!$S:$S),0)), "N/A - Facility Does Not Report to TRI")</f>
        <v>N/A - Facility Does Not Report to TRI</v>
      </c>
      <c r="V54" s="156" t="str" cm="1">
        <f t="array" ref="V54">IF(COUNTIFS('Raw Annual DMR Data'!$L:$L,$F54,'Raw Annual DMR Data'!$U:$U,"&gt;0")&gt;0,MEDIAN(IF('Raw Annual DMR Data'!$L:$L=$F54,'Raw Annual DMR Data'!$U:$U,"")),"N/A - Period DMR Data Not Available")</f>
        <v>N/A - Period DMR Data Not Available</v>
      </c>
      <c r="W54" s="156" t="str">
        <f>IF(COUNTIFS('Raw Annual DMR Data'!$L:$L,$F54, 'Raw Annual DMR Data'!$U:$U, "&gt;0")&gt;0,_xlfn.MAXIFS('Raw Annual DMR Data'!$U:$U,'Raw Annual DMR Data'!$L:$L,$F54), "N/A - Period DMR Data Not Available")</f>
        <v>N/A - Period DMR Data Not Available</v>
      </c>
      <c r="X54" s="113" t="str" cm="1">
        <f t="array" ref="X54">+IF(COUNTIFS('Raw Annual DMR Data'!L:L,$F54, 'Raw Annual DMR Data'!U:U, "&gt;0")&gt;0,INDEX('Raw Annual DMR Data'!V:V,MATCH(1,($F54='Raw Annual DMR Data'!L:L)*($W54='Raw Annual DMR Data'!U:U),0)), "N/A - Period DMR Data Not Available")</f>
        <v>N/A - Period DMR Data Not Available</v>
      </c>
      <c r="Y54" s="113" t="str" cm="1">
        <f t="array" ref="Y54">IF(COUNTIFS('Raw Annual DMR Data'!L:L,$F54, 'Raw Annual DMR Data'!U:U, "&gt;0")&gt;0,INDEX('Raw Annual DMR Data'!B:B,MATCH(1,($F54='Raw Annual DMR Data'!L:L)*($W54='Raw Annual DMR Data'!U:U),0)), "N/A - Period DMR Data Not Available")</f>
        <v>N/A - Period DMR Data Not Available</v>
      </c>
      <c r="Z54" s="311" t="str" cm="1">
        <f t="array" ref="Z54">IF(COUNTIF('Raw Annual DMR Data'!K:K,$E54)&gt;0,"N/A - See DMRs",IF(SUMIFS('Raw TRI Data'!$Z:$Z,'Raw TRI Data'!$J:$J,$E54)&gt;0,MEDIAN(IF('Raw TRI Data'!$J:$J=$E54,'Raw TRI Data'!$Z:$Z)), "N/A - Facility Does Not Report to TRI, no surface water releases, or no Generic Factors available"))</f>
        <v>N/A - Facility Does Not Report to TRI, no surface water releases, or no Generic Factors available</v>
      </c>
      <c r="AA54" s="156" t="str">
        <f>IF(COUNTIF('Raw Annual DMR Data'!K:K,$E54)&gt;0,"N/A - See DMRs",IF(SUMIFS('Raw TRI Data'!$Z:$Z,'Raw TRI Data'!$J:$J,$E54)&gt;0,_xlfn.MAXIFS('Raw TRI Data'!$Z:$Z,'Raw TRI Data'!$J:$J,$E54), "N/A - Facility Does Not Report to TRI, no surface water releases, or no Generic Factors available"))</f>
        <v>N/A - Facility Does Not Report to TRI, no surface water releases, or no Generic Factors available</v>
      </c>
      <c r="AB54" s="113" t="str">
        <f t="shared" si="6"/>
        <v>N/A</v>
      </c>
      <c r="AC54" s="136" t="str" cm="1">
        <f t="array" ref="AC54">IF(COUNTIF('Raw Annual DMR Data'!K:K,$E54)&gt;0,"N/A - See DMRs",IF(SUMIFS('Raw TRI Data'!$Z:$Z,'Raw TRI Data'!$J:$J,$E54)&gt;0,INDEX('Raw TRI Data'!$A:$A,MATCH(1,($E54='Raw TRI Data'!$J:$J)*($AA54='Raw TRI Data'!$Z:$Z),0)), "N/A - Facility Does Not Report to TRI, no surface water releases, or no Generic Factors available"))</f>
        <v>N/A - Facility Does Not Report to TRI, no surface water releases, or no Generic Factors available</v>
      </c>
      <c r="AD54" s="96" t="str" cm="1">
        <f t="array" ref="AD54">IF(COUNTIFS('Raw Annual DMR Data'!L:L,$F54,'Raw Annual DMR Data'!W:W, "&gt;0")&gt;0,MEDIAN(IF('Raw Annual DMR Data'!K:K=$F54, 'Raw Annual DMR Data'!W:W)), "N/A - No Daily Max DMR Discharge Data")</f>
        <v>N/A - No Daily Max DMR Discharge Data</v>
      </c>
      <c r="AE54" s="96" t="str">
        <f>IF(COUNTIFS('Raw Annual DMR Data'!L:L,$F54,'Raw Annual DMR Data'!W:W, "&gt;0")&gt;0,_xlfn.MAXIFS('Raw Annual DMR Data'!W:W,'Raw Annual DMR Data'!L:L,$F54), "N/A - No Daily Max DMR Discharge Data")</f>
        <v>N/A - No Daily Max DMR Discharge Data</v>
      </c>
      <c r="AF54" s="60" t="str" cm="1">
        <f t="array" ref="AF54">IF(COUNTIFS('Raw Annual DMR Data'!L:L,$F54,'Raw Annual DMR Data'!W:W, "&gt;0")&gt;0,INDEX('Raw Annual DMR Data'!B:B,MATCH(1,($F54='Raw Annual DMR Data'!L:L)*($AE54='Raw Annual DMR Data'!W:W),0)), "N/A - No Daily Max DMR Discharge Data")</f>
        <v>N/A - No Daily Max DMR Discharge Data</v>
      </c>
      <c r="AG54" s="422"/>
      <c r="AH54" s="422"/>
      <c r="AI54" s="423"/>
    </row>
    <row r="55" spans="1:35" ht="45.75" thickBot="1" x14ac:dyDescent="0.3">
      <c r="A55" s="144" t="str">
        <f>VLOOKUP(F55,'Facility Summary'!J:K,2,FALSE)</f>
        <v>Manufacturing</v>
      </c>
      <c r="B55" s="97" t="s">
        <v>142</v>
      </c>
      <c r="C55" s="28" t="s">
        <v>463</v>
      </c>
      <c r="D55" s="60" t="s">
        <v>362</v>
      </c>
      <c r="E55" s="60"/>
      <c r="F55" s="74">
        <v>110060340162</v>
      </c>
      <c r="G55" s="74" t="s">
        <v>848</v>
      </c>
      <c r="H55" s="63" t="s">
        <v>849</v>
      </c>
      <c r="I55" s="74">
        <v>12040104000620</v>
      </c>
      <c r="J55" s="74" t="s">
        <v>265</v>
      </c>
      <c r="K55" s="60">
        <f>VLOOKUP(A55, 'OES Summary'!$A:$B, 2, FALSE)</f>
        <v>350</v>
      </c>
      <c r="L55" s="304" cm="1">
        <f t="array" ref="L55">IF(COUNTIF('Raw Annual DMR Data'!$L:$L,$F55)&gt;0,MEDIAN(IF('Raw Annual DMR Data'!$L:$L=F55,'Raw Annual DMR Data'!$S:$S)),"N/A - Facility Does Not Report DMRs")</f>
        <v>0.71839299999999995</v>
      </c>
      <c r="M55" s="156">
        <f t="shared" si="4"/>
        <v>2.0525514285714285E-3</v>
      </c>
      <c r="N55" s="156">
        <f>IF(COUNTIF('Raw Annual DMR Data'!$L:$L,$F55)&gt;0,_xlfn.MAXIFS('Raw Annual DMR Data'!$S:$S,'Raw Annual DMR Data'!$L:$L,$F55), "N/A - Facility Does Not Report DMRs")</f>
        <v>0.82891499999999996</v>
      </c>
      <c r="O55" s="156">
        <f t="shared" si="5"/>
        <v>2.3683285714285714E-3</v>
      </c>
      <c r="P55" s="113" cm="1">
        <f t="array" ref="P55">IF(COUNTIF('Raw Annual DMR Data'!$L:$L,$F55)&gt;0,INDEX('Raw Annual DMR Data'!$B:$B,MATCH(1,($F55='Raw Annual DMR Data'!$L:$L)*($N55='Raw Annual DMR Data'!$S:$S),0)), "N/A - Facility Does Not Report DMRs")</f>
        <v>2019</v>
      </c>
      <c r="Q55" s="304" t="str" cm="1">
        <f t="array" ref="Q55">IF(COUNTIF('Raw TRI Data'!$J:$J,$E55)&gt;0,MEDIAN(IF('Raw TRI Data'!$J:$J=E55,'Raw TRI Data'!$S:$S)), "N/A - Facility Does Not Report to TRI")</f>
        <v>N/A - Facility Does Not Report to TRI</v>
      </c>
      <c r="R55" s="156" t="str">
        <f t="shared" si="7"/>
        <v>N/A - Facility Does Not Report to TRI</v>
      </c>
      <c r="S55" s="156" t="str">
        <f>IF(COUNTIF('Raw TRI Data'!$J:$J,$E55)&gt;0,_xlfn.MAXIFS('Raw TRI Data'!$S:$S,'Raw TRI Data'!$J:$J,$E55), "N/A - Facility Does Not Report to TRI")</f>
        <v>N/A - Facility Does Not Report to TRI</v>
      </c>
      <c r="T55" s="156" t="str">
        <f t="shared" si="8"/>
        <v>N/A - Facility Does Not Report to TRI</v>
      </c>
      <c r="U55" s="136" t="str" cm="1">
        <f t="array" ref="U55">IF(COUNTIF('Raw TRI Data'!$J:$J,$E55)&gt;0,INDEX('Raw TRI Data'!$A:$A,MATCH(1,($E55='Raw TRI Data'!$J:$J)*(S55='Raw TRI Data'!$S:$S),0)), "N/A - Facility Does Not Report to TRI")</f>
        <v>N/A - Facility Does Not Report to TRI</v>
      </c>
      <c r="V55" s="156" t="str" cm="1">
        <f t="array" ref="V55">IF(COUNTIFS('Raw Annual DMR Data'!$L:$L,$F55,'Raw Annual DMR Data'!$U:$U,"&gt;0")&gt;0,MEDIAN(IF('Raw Annual DMR Data'!$L:$L=$F55,'Raw Annual DMR Data'!$U:$U,"")),"N/A - Period DMR Data Not Available")</f>
        <v>N/A - Period DMR Data Not Available</v>
      </c>
      <c r="W55" s="156" t="str">
        <f>IF(COUNTIFS('Raw Annual DMR Data'!$L:$L,$F55, 'Raw Annual DMR Data'!$U:$U, "&gt;0")&gt;0,_xlfn.MAXIFS('Raw Annual DMR Data'!$U:$U,'Raw Annual DMR Data'!$L:$L,$F55), "N/A - Period DMR Data Not Available")</f>
        <v>N/A - Period DMR Data Not Available</v>
      </c>
      <c r="X55" s="113" t="str" cm="1">
        <f t="array" ref="X55">+IF(COUNTIFS('Raw Annual DMR Data'!L:L,$F55, 'Raw Annual DMR Data'!U:U, "&gt;0")&gt;0,INDEX('Raw Annual DMR Data'!V:V,MATCH(1,($F55='Raw Annual DMR Data'!L:L)*($W55='Raw Annual DMR Data'!U:U),0)), "N/A - Period DMR Data Not Available")</f>
        <v>N/A - Period DMR Data Not Available</v>
      </c>
      <c r="Y55" s="113" t="str" cm="1">
        <f t="array" ref="Y55">IF(COUNTIFS('Raw Annual DMR Data'!L:L,$F55, 'Raw Annual DMR Data'!U:U, "&gt;0")&gt;0,INDEX('Raw Annual DMR Data'!B:B,MATCH(1,($F55='Raw Annual DMR Data'!L:L)*($W55='Raw Annual DMR Data'!U:U),0)), "N/A - Period DMR Data Not Available")</f>
        <v>N/A - Period DMR Data Not Available</v>
      </c>
      <c r="Z55" s="311" t="str" cm="1">
        <f t="array" ref="Z55">IF(COUNTIF('Raw Annual DMR Data'!K:K,$E55)&gt;0,"N/A - See DMRs",IF(SUMIFS('Raw TRI Data'!$Z:$Z,'Raw TRI Data'!$J:$J,$E55)&gt;0,MEDIAN(IF('Raw TRI Data'!$J:$J=$E55,'Raw TRI Data'!$Z:$Z)), "N/A - Facility Does Not Report to TRI, no surface water releases, or no Generic Factors available"))</f>
        <v>N/A - Facility Does Not Report to TRI, no surface water releases, or no Generic Factors available</v>
      </c>
      <c r="AA55" s="156" t="str">
        <f>IF(COUNTIF('Raw Annual DMR Data'!K:K,$E55)&gt;0,"N/A - See DMRs",IF(SUMIFS('Raw TRI Data'!$Z:$Z,'Raw TRI Data'!$J:$J,$E55)&gt;0,_xlfn.MAXIFS('Raw TRI Data'!$Z:$Z,'Raw TRI Data'!$J:$J,$E55), "N/A - Facility Does Not Report to TRI, no surface water releases, or no Generic Factors available"))</f>
        <v>N/A - Facility Does Not Report to TRI, no surface water releases, or no Generic Factors available</v>
      </c>
      <c r="AB55" s="113" t="str">
        <f t="shared" si="6"/>
        <v>N/A</v>
      </c>
      <c r="AC55" s="136" t="str" cm="1">
        <f t="array" ref="AC55">IF(COUNTIF('Raw Annual DMR Data'!K:K,$E55)&gt;0,"N/A - See DMRs",IF(SUMIFS('Raw TRI Data'!$Z:$Z,'Raw TRI Data'!$J:$J,$E55)&gt;0,INDEX('Raw TRI Data'!$A:$A,MATCH(1,($E55='Raw TRI Data'!$J:$J)*($AA55='Raw TRI Data'!$Z:$Z),0)), "N/A - Facility Does Not Report to TRI, no surface water releases, or no Generic Factors available"))</f>
        <v>N/A - Facility Does Not Report to TRI, no surface water releases, or no Generic Factors available</v>
      </c>
      <c r="AD55" s="96" t="str" cm="1">
        <f t="array" ref="AD55">IF(COUNTIFS('Raw Annual DMR Data'!L:L,$F55,'Raw Annual DMR Data'!W:W, "&gt;0")&gt;0,MEDIAN(IF('Raw Annual DMR Data'!K:K=$F55, 'Raw Annual DMR Data'!W:W)), "N/A - No Daily Max DMR Discharge Data")</f>
        <v>N/A - No Daily Max DMR Discharge Data</v>
      </c>
      <c r="AE55" s="96" t="str">
        <f>IF(COUNTIFS('Raw Annual DMR Data'!L:L,$F55,'Raw Annual DMR Data'!W:W, "&gt;0")&gt;0,_xlfn.MAXIFS('Raw Annual DMR Data'!W:W,'Raw Annual DMR Data'!L:L,$F55), "N/A - No Daily Max DMR Discharge Data")</f>
        <v>N/A - No Daily Max DMR Discharge Data</v>
      </c>
      <c r="AF55" s="60" t="str" cm="1">
        <f t="array" ref="AF55">IF(COUNTIFS('Raw Annual DMR Data'!L:L,$F55,'Raw Annual DMR Data'!W:W, "&gt;0")&gt;0,INDEX('Raw Annual DMR Data'!B:B,MATCH(1,($F55='Raw Annual DMR Data'!L:L)*($AE55='Raw Annual DMR Data'!W:W),0)), "N/A - No Daily Max DMR Discharge Data")</f>
        <v>N/A - No Daily Max DMR Discharge Data</v>
      </c>
      <c r="AG55" s="422"/>
      <c r="AH55" s="422"/>
      <c r="AI55" s="423"/>
    </row>
    <row r="56" spans="1:35" ht="30.75" thickBot="1" x14ac:dyDescent="0.3">
      <c r="A56" s="144" t="str">
        <f>VLOOKUP(F56,'Facility Summary'!J:K,2,FALSE)</f>
        <v>Manufacturing</v>
      </c>
      <c r="B56" s="97" t="s">
        <v>143</v>
      </c>
      <c r="C56" s="28" t="s">
        <v>465</v>
      </c>
      <c r="D56" s="60" t="s">
        <v>362</v>
      </c>
      <c r="E56" s="60" t="s">
        <v>466</v>
      </c>
      <c r="F56" s="74">
        <v>110034641635</v>
      </c>
      <c r="G56" s="74" t="s">
        <v>850</v>
      </c>
      <c r="H56" s="63" t="s">
        <v>851</v>
      </c>
      <c r="I56" s="74">
        <v>12040104000907</v>
      </c>
      <c r="J56" s="74" t="s">
        <v>265</v>
      </c>
      <c r="K56" s="60">
        <f>VLOOKUP(A56, 'OES Summary'!$A:$B, 2, FALSE)</f>
        <v>350</v>
      </c>
      <c r="L56" s="304" cm="1">
        <f t="array" ref="L56">IF(COUNTIF('Raw Annual DMR Data'!$L:$L,$F56)&gt;0,MEDIAN(IF('Raw Annual DMR Data'!$L:$L=F56,'Raw Annual DMR Data'!$S:$S)),"N/A - Facility Does Not Report DMRs")</f>
        <v>1.3242630385487499</v>
      </c>
      <c r="M56" s="156">
        <f t="shared" si="4"/>
        <v>3.7836086815678568E-3</v>
      </c>
      <c r="N56" s="156">
        <f>IF(COUNTIF('Raw Annual DMR Data'!$L:$L,$F56)&gt;0,_xlfn.MAXIFS('Raw Annual DMR Data'!$S:$S,'Raw Annual DMR Data'!$L:$L,$F56), "N/A - Facility Does Not Report DMRs")</f>
        <v>24.167016825000001</v>
      </c>
      <c r="O56" s="156">
        <f t="shared" si="5"/>
        <v>6.9048619500000005E-2</v>
      </c>
      <c r="P56" s="113" cm="1">
        <f t="array" ref="P56">IF(COUNTIF('Raw Annual DMR Data'!$L:$L,$F56)&gt;0,INDEX('Raw Annual DMR Data'!$B:$B,MATCH(1,($F56='Raw Annual DMR Data'!$L:$L)*($N56='Raw Annual DMR Data'!$S:$S),0)), "N/A - Facility Does Not Report DMRs")</f>
        <v>2018</v>
      </c>
      <c r="Q56" s="304" t="str" cm="1">
        <f t="array" ref="Q56">IF(COUNTIF('Raw TRI Data'!$J:$J,$E56)&gt;0,MEDIAN(IF('Raw TRI Data'!$J:$J=E56,'Raw TRI Data'!$S:$S)), "N/A - Facility Does Not Report to TRI")</f>
        <v>N/A - Facility Does Not Report to TRI</v>
      </c>
      <c r="R56" s="156" t="str">
        <f t="shared" si="7"/>
        <v>N/A - Facility Does Not Report to TRI</v>
      </c>
      <c r="S56" s="156" t="str">
        <f>IF(COUNTIF('Raw TRI Data'!$J:$J,$E56)&gt;0,_xlfn.MAXIFS('Raw TRI Data'!$S:$S,'Raw TRI Data'!$J:$J,$E56), "N/A - Facility Does Not Report to TRI")</f>
        <v>N/A - Facility Does Not Report to TRI</v>
      </c>
      <c r="T56" s="156" t="str">
        <f t="shared" si="8"/>
        <v>N/A - Facility Does Not Report to TRI</v>
      </c>
      <c r="U56" s="136" t="str" cm="1">
        <f t="array" ref="U56">IF(COUNTIF('Raw TRI Data'!$J:$J,$E56)&gt;0,INDEX('Raw TRI Data'!$A:$A,MATCH(1,($E56='Raw TRI Data'!$J:$J)*(S56='Raw TRI Data'!$S:$S),0)), "N/A - Facility Does Not Report to TRI")</f>
        <v>N/A - Facility Does Not Report to TRI</v>
      </c>
      <c r="V56" s="156" t="str" cm="1">
        <f t="array" ref="V56">IF(COUNTIFS('Raw Annual DMR Data'!$L:$L,$F56,'Raw Annual DMR Data'!$U:$U,"&gt;0")&gt;0,MEDIAN(IF('Raw Annual DMR Data'!$L:$L=$F56,'Raw Annual DMR Data'!$U:$U,"")),"N/A - Period DMR Data Not Available")</f>
        <v>N/A - Period DMR Data Not Available</v>
      </c>
      <c r="W56" s="156" t="str">
        <f>IF(COUNTIFS('Raw Annual DMR Data'!$L:$L,$F56, 'Raw Annual DMR Data'!$U:$U, "&gt;0")&gt;0,_xlfn.MAXIFS('Raw Annual DMR Data'!$U:$U,'Raw Annual DMR Data'!$L:$L,$F56), "N/A - Period DMR Data Not Available")</f>
        <v>N/A - Period DMR Data Not Available</v>
      </c>
      <c r="X56" s="113" t="str" cm="1">
        <f t="array" ref="X56">+IF(COUNTIFS('Raw Annual DMR Data'!L:L,$F56, 'Raw Annual DMR Data'!U:U, "&gt;0")&gt;0,INDEX('Raw Annual DMR Data'!V:V,MATCH(1,($F56='Raw Annual DMR Data'!L:L)*($W56='Raw Annual DMR Data'!U:U),0)), "N/A - Period DMR Data Not Available")</f>
        <v>N/A - Period DMR Data Not Available</v>
      </c>
      <c r="Y56" s="113" t="str" cm="1">
        <f t="array" ref="Y56">IF(COUNTIFS('Raw Annual DMR Data'!L:L,$F56, 'Raw Annual DMR Data'!U:U, "&gt;0")&gt;0,INDEX('Raw Annual DMR Data'!B:B,MATCH(1,($F56='Raw Annual DMR Data'!L:L)*($W56='Raw Annual DMR Data'!U:U),0)), "N/A - Period DMR Data Not Available")</f>
        <v>N/A - Period DMR Data Not Available</v>
      </c>
      <c r="Z56" s="311" t="str" cm="1">
        <f t="array" ref="Z56">IF(COUNTIF('Raw Annual DMR Data'!K:K,$E56)&gt;0,"N/A - See DMRs",IF(SUMIFS('Raw TRI Data'!$Z:$Z,'Raw TRI Data'!$J:$J,$E56)&gt;0,MEDIAN(IF('Raw TRI Data'!$J:$J=$E56,'Raw TRI Data'!$Z:$Z)), "N/A - Facility Does Not Report to TRI, no surface water releases, or no Generic Factors available"))</f>
        <v>N/A - See DMRs</v>
      </c>
      <c r="AA56" s="156" t="str">
        <f>IF(COUNTIF('Raw Annual DMR Data'!K:K,$E56)&gt;0,"N/A - See DMRs",IF(SUMIFS('Raw TRI Data'!$Z:$Z,'Raw TRI Data'!$J:$J,$E56)&gt;0,_xlfn.MAXIFS('Raw TRI Data'!$Z:$Z,'Raw TRI Data'!$J:$J,$E56), "N/A - Facility Does Not Report to TRI, no surface water releases, or no Generic Factors available"))</f>
        <v>N/A - See DMRs</v>
      </c>
      <c r="AB56" s="113" t="str">
        <f t="shared" si="6"/>
        <v>N/A</v>
      </c>
      <c r="AC56" s="136" t="str" cm="1">
        <f t="array" ref="AC56">IF(COUNTIF('Raw Annual DMR Data'!K:K,$E56)&gt;0,"N/A - See DMRs",IF(SUMIFS('Raw TRI Data'!$Z:$Z,'Raw TRI Data'!$J:$J,$E56)&gt;0,INDEX('Raw TRI Data'!$A:$A,MATCH(1,($E56='Raw TRI Data'!$J:$J)*($AA56='Raw TRI Data'!$Z:$Z),0)), "N/A - Facility Does Not Report to TRI, no surface water releases, or no Generic Factors available"))</f>
        <v>N/A - See DMRs</v>
      </c>
      <c r="AD56" s="96" t="str" cm="1">
        <f t="array" ref="AD56">IF(COUNTIFS('Raw Annual DMR Data'!L:L,$F56,'Raw Annual DMR Data'!W:W, "&gt;0")&gt;0,MEDIAN(IF('Raw Annual DMR Data'!K:K=$F56, 'Raw Annual DMR Data'!W:W)), "N/A - No Daily Max DMR Discharge Data")</f>
        <v>N/A - No Daily Max DMR Discharge Data</v>
      </c>
      <c r="AE56" s="96" t="str">
        <f>IF(COUNTIFS('Raw Annual DMR Data'!L:L,$F56,'Raw Annual DMR Data'!W:W, "&gt;0")&gt;0,_xlfn.MAXIFS('Raw Annual DMR Data'!W:W,'Raw Annual DMR Data'!L:L,$F56), "N/A - No Daily Max DMR Discharge Data")</f>
        <v>N/A - No Daily Max DMR Discharge Data</v>
      </c>
      <c r="AF56" s="60" t="str" cm="1">
        <f t="array" ref="AF56">IF(COUNTIFS('Raw Annual DMR Data'!L:L,$F56,'Raw Annual DMR Data'!W:W, "&gt;0")&gt;0,INDEX('Raw Annual DMR Data'!B:B,MATCH(1,($F56='Raw Annual DMR Data'!L:L)*($AE56='Raw Annual DMR Data'!W:W),0)), "N/A - No Daily Max DMR Discharge Data")</f>
        <v>N/A - No Daily Max DMR Discharge Data</v>
      </c>
      <c r="AG56" s="422"/>
      <c r="AH56" s="422"/>
      <c r="AI56" s="423"/>
    </row>
    <row r="57" spans="1:35" ht="45.75" thickBot="1" x14ac:dyDescent="0.3">
      <c r="A57" s="144" t="str">
        <f>VLOOKUP(F57,'Facility Summary'!J:K,2,FALSE)</f>
        <v>Processing into formulation, mixture, or reaction product</v>
      </c>
      <c r="B57" s="97" t="s">
        <v>144</v>
      </c>
      <c r="C57" s="28" t="s">
        <v>302</v>
      </c>
      <c r="D57" s="60" t="s">
        <v>303</v>
      </c>
      <c r="E57" s="60"/>
      <c r="F57" s="74">
        <v>110001143584</v>
      </c>
      <c r="G57" s="74" t="s">
        <v>852</v>
      </c>
      <c r="H57" s="63">
        <v>701</v>
      </c>
      <c r="I57" s="74">
        <v>8070201006480</v>
      </c>
      <c r="J57" s="74" t="s">
        <v>265</v>
      </c>
      <c r="K57" s="60">
        <f>VLOOKUP(A57, 'OES Summary'!$A:$B, 2, FALSE)</f>
        <v>300</v>
      </c>
      <c r="L57" s="304" cm="1">
        <f t="array" ref="L57">IF(COUNTIF('Raw Annual DMR Data'!$L:$L,$F57)&gt;0,MEDIAN(IF('Raw Annual DMR Data'!$L:$L=F57,'Raw Annual DMR Data'!$S:$S)),"N/A - Facility Does Not Report DMRs")</f>
        <v>0.27163620249999998</v>
      </c>
      <c r="M57" s="156">
        <f t="shared" si="4"/>
        <v>9.0545400833333324E-4</v>
      </c>
      <c r="N57" s="156">
        <f>IF(COUNTIF('Raw Annual DMR Data'!$L:$L,$F57)&gt;0,_xlfn.MAXIFS('Raw Annual DMR Data'!$S:$S,'Raw Annual DMR Data'!$L:$L,$F57), "N/A - Facility Does Not Report DMRs")</f>
        <v>7.8759831849999999</v>
      </c>
      <c r="O57" s="156">
        <f t="shared" si="5"/>
        <v>2.6253277283333334E-2</v>
      </c>
      <c r="P57" s="113" cm="1">
        <f t="array" ref="P57">IF(COUNTIF('Raw Annual DMR Data'!$L:$L,$F57)&gt;0,INDEX('Raw Annual DMR Data'!$B:$B,MATCH(1,($F57='Raw Annual DMR Data'!$L:$L)*($N57='Raw Annual DMR Data'!$S:$S),0)), "N/A - Facility Does Not Report DMRs")</f>
        <v>2022</v>
      </c>
      <c r="Q57" s="304" t="str" cm="1">
        <f t="array" ref="Q57">IF(COUNTIF('Raw TRI Data'!$J:$J,$E57)&gt;0,MEDIAN(IF('Raw TRI Data'!$J:$J=E57,'Raw TRI Data'!$S:$S)), "N/A - Facility Does Not Report to TRI")</f>
        <v>N/A - Facility Does Not Report to TRI</v>
      </c>
      <c r="R57" s="156" t="str">
        <f t="shared" si="7"/>
        <v>N/A - Facility Does Not Report to TRI</v>
      </c>
      <c r="S57" s="156" t="str">
        <f>IF(COUNTIF('Raw TRI Data'!$J:$J,$E57)&gt;0,_xlfn.MAXIFS('Raw TRI Data'!$S:$S,'Raw TRI Data'!$J:$J,$E57), "N/A - Facility Does Not Report to TRI")</f>
        <v>N/A - Facility Does Not Report to TRI</v>
      </c>
      <c r="T57" s="156" t="str">
        <f t="shared" si="8"/>
        <v>N/A - Facility Does Not Report to TRI</v>
      </c>
      <c r="U57" s="136" t="str" cm="1">
        <f t="array" ref="U57">IF(COUNTIF('Raw TRI Data'!$J:$J,$E57)&gt;0,INDEX('Raw TRI Data'!$A:$A,MATCH(1,($E57='Raw TRI Data'!$J:$J)*(S57='Raw TRI Data'!$S:$S),0)), "N/A - Facility Does Not Report to TRI")</f>
        <v>N/A - Facility Does Not Report to TRI</v>
      </c>
      <c r="V57" s="156" t="str" cm="1">
        <f t="array" ref="V57">IF(COUNTIFS('Raw Annual DMR Data'!$L:$L,$F57,'Raw Annual DMR Data'!$U:$U,"&gt;0")&gt;0,MEDIAN(IF('Raw Annual DMR Data'!$L:$L=$F57,'Raw Annual DMR Data'!$U:$U,"")),"N/A - Period DMR Data Not Available")</f>
        <v>N/A - Period DMR Data Not Available</v>
      </c>
      <c r="W57" s="156" t="str">
        <f>IF(COUNTIFS('Raw Annual DMR Data'!$L:$L,$F57, 'Raw Annual DMR Data'!$U:$U, "&gt;0")&gt;0,_xlfn.MAXIFS('Raw Annual DMR Data'!$U:$U,'Raw Annual DMR Data'!$L:$L,$F57), "N/A - Period DMR Data Not Available")</f>
        <v>N/A - Period DMR Data Not Available</v>
      </c>
      <c r="X57" s="113" t="str" cm="1">
        <f t="array" ref="X57">+IF(COUNTIFS('Raw Annual DMR Data'!L:L,$F57, 'Raw Annual DMR Data'!U:U, "&gt;0")&gt;0,INDEX('Raw Annual DMR Data'!V:V,MATCH(1,($F57='Raw Annual DMR Data'!L:L)*($W57='Raw Annual DMR Data'!U:U),0)), "N/A - Period DMR Data Not Available")</f>
        <v>N/A - Period DMR Data Not Available</v>
      </c>
      <c r="Y57" s="113" t="str" cm="1">
        <f t="array" ref="Y57">IF(COUNTIFS('Raw Annual DMR Data'!L:L,$F57, 'Raw Annual DMR Data'!U:U, "&gt;0")&gt;0,INDEX('Raw Annual DMR Data'!B:B,MATCH(1,($F57='Raw Annual DMR Data'!L:L)*($W57='Raw Annual DMR Data'!U:U),0)), "N/A - Period DMR Data Not Available")</f>
        <v>N/A - Period DMR Data Not Available</v>
      </c>
      <c r="Z57" s="311" t="str" cm="1">
        <f t="array" ref="Z57">IF(COUNTIF('Raw Annual DMR Data'!K:K,$E57)&gt;0,"N/A - See DMRs",IF(SUMIFS('Raw TRI Data'!$Z:$Z,'Raw TRI Data'!$J:$J,$E57)&gt;0,MEDIAN(IF('Raw TRI Data'!$J:$J=$E57,'Raw TRI Data'!$Z:$Z)), "N/A - Facility Does Not Report to TRI, no surface water releases, or no Generic Factors available"))</f>
        <v>N/A - Facility Does Not Report to TRI, no surface water releases, or no Generic Factors available</v>
      </c>
      <c r="AA57" s="156" t="str">
        <f>IF(COUNTIF('Raw Annual DMR Data'!K:K,$E57)&gt;0,"N/A - See DMRs",IF(SUMIFS('Raw TRI Data'!$Z:$Z,'Raw TRI Data'!$J:$J,$E57)&gt;0,_xlfn.MAXIFS('Raw TRI Data'!$Z:$Z,'Raw TRI Data'!$J:$J,$E57), "N/A - Facility Does Not Report to TRI, no surface water releases, or no Generic Factors available"))</f>
        <v>N/A - Facility Does Not Report to TRI, no surface water releases, or no Generic Factors available</v>
      </c>
      <c r="AB57" s="113" t="str">
        <f t="shared" si="6"/>
        <v>N/A</v>
      </c>
      <c r="AC57" s="136" t="str" cm="1">
        <f t="array" ref="AC57">IF(COUNTIF('Raw Annual DMR Data'!K:K,$E57)&gt;0,"N/A - See DMRs",IF(SUMIFS('Raw TRI Data'!$Z:$Z,'Raw TRI Data'!$J:$J,$E57)&gt;0,INDEX('Raw TRI Data'!$A:$A,MATCH(1,($E57='Raw TRI Data'!$J:$J)*($AA57='Raw TRI Data'!$Z:$Z),0)), "N/A - Facility Does Not Report to TRI, no surface water releases, or no Generic Factors available"))</f>
        <v>N/A - Facility Does Not Report to TRI, no surface water releases, or no Generic Factors available</v>
      </c>
      <c r="AD57" s="96" t="str" cm="1">
        <f t="array" ref="AD57">IF(COUNTIFS('Raw Annual DMR Data'!L:L,$F57,'Raw Annual DMR Data'!W:W, "&gt;0")&gt;0,MEDIAN(IF('Raw Annual DMR Data'!K:K=$F57, 'Raw Annual DMR Data'!W:W)), "N/A - No Daily Max DMR Discharge Data")</f>
        <v>N/A - No Daily Max DMR Discharge Data</v>
      </c>
      <c r="AE57" s="96" t="str">
        <f>IF(COUNTIFS('Raw Annual DMR Data'!L:L,$F57,'Raw Annual DMR Data'!W:W, "&gt;0")&gt;0,_xlfn.MAXIFS('Raw Annual DMR Data'!W:W,'Raw Annual DMR Data'!L:L,$F57), "N/A - No Daily Max DMR Discharge Data")</f>
        <v>N/A - No Daily Max DMR Discharge Data</v>
      </c>
      <c r="AF57" s="60" t="str" cm="1">
        <f t="array" ref="AF57">IF(COUNTIFS('Raw Annual DMR Data'!L:L,$F57,'Raw Annual DMR Data'!W:W, "&gt;0")&gt;0,INDEX('Raw Annual DMR Data'!B:B,MATCH(1,($F57='Raw Annual DMR Data'!L:L)*($AE57='Raw Annual DMR Data'!W:W),0)), "N/A - No Daily Max DMR Discharge Data")</f>
        <v>N/A - No Daily Max DMR Discharge Data</v>
      </c>
      <c r="AG57" s="422"/>
      <c r="AH57" s="422"/>
      <c r="AI57" s="423"/>
    </row>
    <row r="58" spans="1:35" ht="45.75" thickBot="1" x14ac:dyDescent="0.3">
      <c r="A58" s="144" t="str">
        <f>VLOOKUP(F58,'Facility Summary'!J:K,2,FALSE)</f>
        <v>Processing into formulation, mixture, or reaction product</v>
      </c>
      <c r="B58" s="97" t="s">
        <v>145</v>
      </c>
      <c r="C58" s="28" t="s">
        <v>314</v>
      </c>
      <c r="D58" s="60" t="s">
        <v>469</v>
      </c>
      <c r="E58" s="60" t="s">
        <v>470</v>
      </c>
      <c r="F58" s="74">
        <v>110000404296</v>
      </c>
      <c r="G58" s="74" t="s">
        <v>853</v>
      </c>
      <c r="H58" s="63" t="s">
        <v>854</v>
      </c>
      <c r="I58" s="74">
        <v>5120108000208</v>
      </c>
      <c r="J58" s="74" t="s">
        <v>265</v>
      </c>
      <c r="K58" s="60">
        <f>VLOOKUP(A58, 'OES Summary'!$A:$B, 2, FALSE)</f>
        <v>300</v>
      </c>
      <c r="L58" s="304" cm="1">
        <f t="array" ref="L58">IF(COUNTIF('Raw Annual DMR Data'!$L:$L,$F58)&gt;0,MEDIAN(IF('Raw Annual DMR Data'!$L:$L=F58,'Raw Annual DMR Data'!$S:$S)),"N/A - Facility Does Not Report DMRs")</f>
        <v>0.20727370000000001</v>
      </c>
      <c r="M58" s="156">
        <f t="shared" si="4"/>
        <v>6.9091233333333339E-4</v>
      </c>
      <c r="N58" s="156">
        <f>IF(COUNTIF('Raw Annual DMR Data'!$L:$L,$F58)&gt;0,_xlfn.MAXIFS('Raw Annual DMR Data'!$S:$S,'Raw Annual DMR Data'!$L:$L,$F58), "N/A - Facility Does Not Report DMRs")</f>
        <v>0.72459863945578196</v>
      </c>
      <c r="O58" s="156">
        <f t="shared" si="5"/>
        <v>2.4153287981859397E-3</v>
      </c>
      <c r="P58" s="113" cm="1">
        <f t="array" ref="P58">IF(COUNTIF('Raw Annual DMR Data'!$L:$L,$F58)&gt;0,INDEX('Raw Annual DMR Data'!$B:$B,MATCH(1,($F58='Raw Annual DMR Data'!$L:$L)*($N58='Raw Annual DMR Data'!$S:$S),0)), "N/A - Facility Does Not Report DMRs")</f>
        <v>2020</v>
      </c>
      <c r="Q58" s="304" t="str" cm="1">
        <f t="array" ref="Q58">IF(COUNTIF('Raw TRI Data'!$J:$J,$E58)&gt;0,MEDIAN(IF('Raw TRI Data'!$J:$J=E58,'Raw TRI Data'!$S:$S)), "N/A - Facility Does Not Report to TRI")</f>
        <v>N/A - Facility Does Not Report to TRI</v>
      </c>
      <c r="R58" s="156" t="str">
        <f t="shared" si="7"/>
        <v>N/A - Facility Does Not Report to TRI</v>
      </c>
      <c r="S58" s="156" t="str">
        <f>IF(COUNTIF('Raw TRI Data'!$J:$J,$E58)&gt;0,_xlfn.MAXIFS('Raw TRI Data'!$S:$S,'Raw TRI Data'!$J:$J,$E58), "N/A - Facility Does Not Report to TRI")</f>
        <v>N/A - Facility Does Not Report to TRI</v>
      </c>
      <c r="T58" s="156" t="str">
        <f t="shared" si="8"/>
        <v>N/A - Facility Does Not Report to TRI</v>
      </c>
      <c r="U58" s="136" t="str" cm="1">
        <f t="array" ref="U58">IF(COUNTIF('Raw TRI Data'!$J:$J,$E58)&gt;0,INDEX('Raw TRI Data'!$A:$A,MATCH(1,($E58='Raw TRI Data'!$J:$J)*(S58='Raw TRI Data'!$S:$S),0)), "N/A - Facility Does Not Report to TRI")</f>
        <v>N/A - Facility Does Not Report to TRI</v>
      </c>
      <c r="V58" s="156" t="str" cm="1">
        <f t="array" ref="V58">IF(COUNTIFS('Raw Annual DMR Data'!$L:$L,$F58,'Raw Annual DMR Data'!$U:$U,"&gt;0")&gt;0,MEDIAN(IF('Raw Annual DMR Data'!$L:$L=$F58,'Raw Annual DMR Data'!$U:$U,"")),"N/A - Period DMR Data Not Available")</f>
        <v>N/A - Period DMR Data Not Available</v>
      </c>
      <c r="W58" s="156" t="str">
        <f>IF(COUNTIFS('Raw Annual DMR Data'!$L:$L,$F58, 'Raw Annual DMR Data'!$U:$U, "&gt;0")&gt;0,_xlfn.MAXIFS('Raw Annual DMR Data'!$U:$U,'Raw Annual DMR Data'!$L:$L,$F58), "N/A - Period DMR Data Not Available")</f>
        <v>N/A - Period DMR Data Not Available</v>
      </c>
      <c r="X58" s="113" t="str" cm="1">
        <f t="array" ref="X58">+IF(COUNTIFS('Raw Annual DMR Data'!L:L,$F58, 'Raw Annual DMR Data'!U:U, "&gt;0")&gt;0,INDEX('Raw Annual DMR Data'!V:V,MATCH(1,($F58='Raw Annual DMR Data'!L:L)*($W58='Raw Annual DMR Data'!U:U),0)), "N/A - Period DMR Data Not Available")</f>
        <v>N/A - Period DMR Data Not Available</v>
      </c>
      <c r="Y58" s="113" t="str" cm="1">
        <f t="array" ref="Y58">IF(COUNTIFS('Raw Annual DMR Data'!L:L,$F58, 'Raw Annual DMR Data'!U:U, "&gt;0")&gt;0,INDEX('Raw Annual DMR Data'!B:B,MATCH(1,($F58='Raw Annual DMR Data'!L:L)*($W58='Raw Annual DMR Data'!U:U),0)), "N/A - Period DMR Data Not Available")</f>
        <v>N/A - Period DMR Data Not Available</v>
      </c>
      <c r="Z58" s="311" t="str" cm="1">
        <f t="array" ref="Z58">IF(COUNTIF('Raw Annual DMR Data'!K:K,$E58)&gt;0,"N/A - See DMRs",IF(SUMIFS('Raw TRI Data'!$Z:$Z,'Raw TRI Data'!$J:$J,$E58)&gt;0,MEDIAN(IF('Raw TRI Data'!$J:$J=$E58,'Raw TRI Data'!$Z:$Z)), "N/A - Facility Does Not Report to TRI, no surface water releases, or no Generic Factors available"))</f>
        <v>N/A - See DMRs</v>
      </c>
      <c r="AA58" s="156" t="str">
        <f>IF(COUNTIF('Raw Annual DMR Data'!K:K,$E58)&gt;0,"N/A - See DMRs",IF(SUMIFS('Raw TRI Data'!$Z:$Z,'Raw TRI Data'!$J:$J,$E58)&gt;0,_xlfn.MAXIFS('Raw TRI Data'!$Z:$Z,'Raw TRI Data'!$J:$J,$E58), "N/A - Facility Does Not Report to TRI, no surface water releases, or no Generic Factors available"))</f>
        <v>N/A - See DMRs</v>
      </c>
      <c r="AB58" s="113" t="str">
        <f t="shared" si="6"/>
        <v>N/A</v>
      </c>
      <c r="AC58" s="136" t="str" cm="1">
        <f t="array" ref="AC58">IF(COUNTIF('Raw Annual DMR Data'!K:K,$E58)&gt;0,"N/A - See DMRs",IF(SUMIFS('Raw TRI Data'!$Z:$Z,'Raw TRI Data'!$J:$J,$E58)&gt;0,INDEX('Raw TRI Data'!$A:$A,MATCH(1,($E58='Raw TRI Data'!$J:$J)*($AA58='Raw TRI Data'!$Z:$Z),0)), "N/A - Facility Does Not Report to TRI, no surface water releases, or no Generic Factors available"))</f>
        <v>N/A - See DMRs</v>
      </c>
      <c r="AD58" s="96" t="str" cm="1">
        <f t="array" ref="AD58">IF(COUNTIFS('Raw Annual DMR Data'!L:L,$F58,'Raw Annual DMR Data'!W:W, "&gt;0")&gt;0,MEDIAN(IF('Raw Annual DMR Data'!K:K=$F58, 'Raw Annual DMR Data'!W:W)), "N/A - No Daily Max DMR Discharge Data")</f>
        <v>N/A - No Daily Max DMR Discharge Data</v>
      </c>
      <c r="AE58" s="96" t="str">
        <f>IF(COUNTIFS('Raw Annual DMR Data'!L:L,$F58,'Raw Annual DMR Data'!W:W, "&gt;0")&gt;0,_xlfn.MAXIFS('Raw Annual DMR Data'!W:W,'Raw Annual DMR Data'!L:L,$F58), "N/A - No Daily Max DMR Discharge Data")</f>
        <v>N/A - No Daily Max DMR Discharge Data</v>
      </c>
      <c r="AF58" s="60" t="str" cm="1">
        <f t="array" ref="AF58">IF(COUNTIFS('Raw Annual DMR Data'!L:L,$F58,'Raw Annual DMR Data'!W:W, "&gt;0")&gt;0,INDEX('Raw Annual DMR Data'!B:B,MATCH(1,($F58='Raw Annual DMR Data'!L:L)*($AE58='Raw Annual DMR Data'!W:W),0)), "N/A - No Daily Max DMR Discharge Data")</f>
        <v>N/A - No Daily Max DMR Discharge Data</v>
      </c>
      <c r="AG58" s="422"/>
      <c r="AH58" s="422"/>
      <c r="AI58" s="423"/>
    </row>
    <row r="59" spans="1:35" ht="45.75" thickBot="1" x14ac:dyDescent="0.3">
      <c r="A59" s="144" t="str">
        <f>VLOOKUP(F59,'Facility Summary'!J:K,2,FALSE)</f>
        <v>Remediation</v>
      </c>
      <c r="B59" s="97" t="s">
        <v>146</v>
      </c>
      <c r="C59" s="28" t="s">
        <v>472</v>
      </c>
      <c r="D59" s="60" t="s">
        <v>450</v>
      </c>
      <c r="E59" s="60"/>
      <c r="F59" s="74">
        <v>110037107154</v>
      </c>
      <c r="G59" s="74" t="s">
        <v>855</v>
      </c>
      <c r="H59" s="63" t="s">
        <v>856</v>
      </c>
      <c r="I59" s="74">
        <v>2030101001969</v>
      </c>
      <c r="J59" s="74" t="s">
        <v>265</v>
      </c>
      <c r="K59" s="60">
        <f>VLOOKUP(A59, 'OES Summary'!$A:$B, 2, FALSE)</f>
        <v>365</v>
      </c>
      <c r="L59" s="304" cm="1">
        <f t="array" ref="L59">IF(COUNTIF('Raw Annual DMR Data'!$L:$L,$F59)&gt;0,MEDIAN(IF('Raw Annual DMR Data'!$L:$L=F59,'Raw Annual DMR Data'!$S:$S)),"N/A - Facility Does Not Report DMRs")</f>
        <v>0.329626092875</v>
      </c>
      <c r="M59" s="156">
        <f t="shared" si="4"/>
        <v>9.0308518595890407E-4</v>
      </c>
      <c r="N59" s="156">
        <f>IF(COUNTIF('Raw Annual DMR Data'!$L:$L,$F59)&gt;0,_xlfn.MAXIFS('Raw Annual DMR Data'!$S:$S,'Raw Annual DMR Data'!$L:$L,$F59), "N/A - Facility Does Not Report DMRs")</f>
        <v>0.78810844187499995</v>
      </c>
      <c r="O59" s="156">
        <f t="shared" si="5"/>
        <v>2.1592012106164383E-3</v>
      </c>
      <c r="P59" s="113" cm="1">
        <f t="array" ref="P59">IF(COUNTIF('Raw Annual DMR Data'!$L:$L,$F59)&gt;0,INDEX('Raw Annual DMR Data'!$B:$B,MATCH(1,($F59='Raw Annual DMR Data'!$L:$L)*($N59='Raw Annual DMR Data'!$S:$S),0)), "N/A - Facility Does Not Report DMRs")</f>
        <v>2023</v>
      </c>
      <c r="Q59" s="304" t="str" cm="1">
        <f t="array" ref="Q59">IF(COUNTIF('Raw TRI Data'!$J:$J,$E59)&gt;0,MEDIAN(IF('Raw TRI Data'!$J:$J=E59,'Raw TRI Data'!$S:$S)), "N/A - Facility Does Not Report to TRI")</f>
        <v>N/A - Facility Does Not Report to TRI</v>
      </c>
      <c r="R59" s="156" t="str">
        <f t="shared" si="7"/>
        <v>N/A - Facility Does Not Report to TRI</v>
      </c>
      <c r="S59" s="156" t="str">
        <f>IF(COUNTIF('Raw TRI Data'!$J:$J,$E59)&gt;0,_xlfn.MAXIFS('Raw TRI Data'!$S:$S,'Raw TRI Data'!$J:$J,$E59), "N/A - Facility Does Not Report to TRI")</f>
        <v>N/A - Facility Does Not Report to TRI</v>
      </c>
      <c r="T59" s="156" t="str">
        <f t="shared" si="8"/>
        <v>N/A - Facility Does Not Report to TRI</v>
      </c>
      <c r="U59" s="136" t="str" cm="1">
        <f t="array" ref="U59">IF(COUNTIF('Raw TRI Data'!$J:$J,$E59)&gt;0,INDEX('Raw TRI Data'!$A:$A,MATCH(1,($E59='Raw TRI Data'!$J:$J)*(S59='Raw TRI Data'!$S:$S),0)), "N/A - Facility Does Not Report to TRI")</f>
        <v>N/A - Facility Does Not Report to TRI</v>
      </c>
      <c r="V59" s="156" t="str" cm="1">
        <f t="array" ref="V59">IF(COUNTIFS('Raw Annual DMR Data'!$L:$L,$F59,'Raw Annual DMR Data'!$U:$U,"&gt;0")&gt;0,MEDIAN(IF('Raw Annual DMR Data'!$L:$L=$F59,'Raw Annual DMR Data'!$U:$U,"")),"N/A - Period DMR Data Not Available")</f>
        <v>N/A - Period DMR Data Not Available</v>
      </c>
      <c r="W59" s="156" t="str">
        <f>IF(COUNTIFS('Raw Annual DMR Data'!$L:$L,$F59, 'Raw Annual DMR Data'!$U:$U, "&gt;0")&gt;0,_xlfn.MAXIFS('Raw Annual DMR Data'!$U:$U,'Raw Annual DMR Data'!$L:$L,$F59), "N/A - Period DMR Data Not Available")</f>
        <v>N/A - Period DMR Data Not Available</v>
      </c>
      <c r="X59" s="113" t="str" cm="1">
        <f t="array" ref="X59">+IF(COUNTIFS('Raw Annual DMR Data'!L:L,$F59, 'Raw Annual DMR Data'!U:U, "&gt;0")&gt;0,INDEX('Raw Annual DMR Data'!V:V,MATCH(1,($F59='Raw Annual DMR Data'!L:L)*($W59='Raw Annual DMR Data'!U:U),0)), "N/A - Period DMR Data Not Available")</f>
        <v>N/A - Period DMR Data Not Available</v>
      </c>
      <c r="Y59" s="113" t="str" cm="1">
        <f t="array" ref="Y59">IF(COUNTIFS('Raw Annual DMR Data'!L:L,$F59, 'Raw Annual DMR Data'!U:U, "&gt;0")&gt;0,INDEX('Raw Annual DMR Data'!B:B,MATCH(1,($F59='Raw Annual DMR Data'!L:L)*($W59='Raw Annual DMR Data'!U:U),0)), "N/A - Period DMR Data Not Available")</f>
        <v>N/A - Period DMR Data Not Available</v>
      </c>
      <c r="Z59" s="311" t="str" cm="1">
        <f t="array" ref="Z59">IF(COUNTIF('Raw Annual DMR Data'!K:K,$E59)&gt;0,"N/A - See DMRs",IF(SUMIFS('Raw TRI Data'!$Z:$Z,'Raw TRI Data'!$J:$J,$E59)&gt;0,MEDIAN(IF('Raw TRI Data'!$J:$J=$E59,'Raw TRI Data'!$Z:$Z)), "N/A - Facility Does Not Report to TRI, no surface water releases, or no Generic Factors available"))</f>
        <v>N/A - Facility Does Not Report to TRI, no surface water releases, or no Generic Factors available</v>
      </c>
      <c r="AA59" s="156" t="str">
        <f>IF(COUNTIF('Raw Annual DMR Data'!K:K,$E59)&gt;0,"N/A - See DMRs",IF(SUMIFS('Raw TRI Data'!$Z:$Z,'Raw TRI Data'!$J:$J,$E59)&gt;0,_xlfn.MAXIFS('Raw TRI Data'!$Z:$Z,'Raw TRI Data'!$J:$J,$E59), "N/A - Facility Does Not Report to TRI, no surface water releases, or no Generic Factors available"))</f>
        <v>N/A - Facility Does Not Report to TRI, no surface water releases, or no Generic Factors available</v>
      </c>
      <c r="AB59" s="113" t="str">
        <f t="shared" si="6"/>
        <v>N/A</v>
      </c>
      <c r="AC59" s="136" t="str" cm="1">
        <f t="array" ref="AC59">IF(COUNTIF('Raw Annual DMR Data'!K:K,$E59)&gt;0,"N/A - See DMRs",IF(SUMIFS('Raw TRI Data'!$Z:$Z,'Raw TRI Data'!$J:$J,$E59)&gt;0,INDEX('Raw TRI Data'!$A:$A,MATCH(1,($E59='Raw TRI Data'!$J:$J)*($AA59='Raw TRI Data'!$Z:$Z),0)), "N/A - Facility Does Not Report to TRI, no surface water releases, or no Generic Factors available"))</f>
        <v>N/A - Facility Does Not Report to TRI, no surface water releases, or no Generic Factors available</v>
      </c>
      <c r="AD59" s="96" t="str" cm="1">
        <f t="array" ref="AD59">IF(COUNTIFS('Raw Annual DMR Data'!L:L,$F59,'Raw Annual DMR Data'!W:W, "&gt;0")&gt;0,MEDIAN(IF('Raw Annual DMR Data'!K:K=$F59, 'Raw Annual DMR Data'!W:W)), "N/A - No Daily Max DMR Discharge Data")</f>
        <v>N/A - No Daily Max DMR Discharge Data</v>
      </c>
      <c r="AE59" s="96" t="str">
        <f>IF(COUNTIFS('Raw Annual DMR Data'!L:L,$F59,'Raw Annual DMR Data'!W:W, "&gt;0")&gt;0,_xlfn.MAXIFS('Raw Annual DMR Data'!W:W,'Raw Annual DMR Data'!L:L,$F59), "N/A - No Daily Max DMR Discharge Data")</f>
        <v>N/A - No Daily Max DMR Discharge Data</v>
      </c>
      <c r="AF59" s="60" t="str" cm="1">
        <f t="array" ref="AF59">IF(COUNTIFS('Raw Annual DMR Data'!L:L,$F59,'Raw Annual DMR Data'!W:W, "&gt;0")&gt;0,INDEX('Raw Annual DMR Data'!B:B,MATCH(1,($F59='Raw Annual DMR Data'!L:L)*($AE59='Raw Annual DMR Data'!W:W),0)), "N/A - No Daily Max DMR Discharge Data")</f>
        <v>N/A - No Daily Max DMR Discharge Data</v>
      </c>
      <c r="AG59" s="422"/>
      <c r="AH59" s="422"/>
      <c r="AI59" s="423"/>
    </row>
    <row r="60" spans="1:35" ht="45.75" thickBot="1" x14ac:dyDescent="0.3">
      <c r="A60" s="144" t="str">
        <f>VLOOKUP(F60,'Facility Summary'!J:K,2,FALSE)</f>
        <v>Unknown</v>
      </c>
      <c r="B60" s="36" t="s">
        <v>147</v>
      </c>
      <c r="C60" s="36" t="s">
        <v>474</v>
      </c>
      <c r="D60" s="87" t="s">
        <v>338</v>
      </c>
      <c r="E60" s="87"/>
      <c r="F60" s="74">
        <v>110070213656</v>
      </c>
      <c r="G60" s="74" t="s">
        <v>857</v>
      </c>
      <c r="H60" s="63" t="s">
        <v>858</v>
      </c>
      <c r="I60" s="74">
        <v>2030103000043</v>
      </c>
      <c r="J60" s="74" t="s">
        <v>265</v>
      </c>
      <c r="K60" s="60">
        <f>VLOOKUP(A60, 'OES Summary'!$A:$B, 2, FALSE)</f>
        <v>250</v>
      </c>
      <c r="L60" s="304" cm="1">
        <f t="array" ref="L60">IF(COUNTIF('Raw Annual DMR Data'!$L:$L,$F60)&gt;0,MEDIAN(IF('Raw Annual DMR Data'!$L:$L=F60,'Raw Annual DMR Data'!$S:$S)),"N/A - Facility Does Not Report DMRs")</f>
        <v>8.4153541066249904E-4</v>
      </c>
      <c r="M60" s="156">
        <f t="shared" si="4"/>
        <v>3.3661416426499961E-6</v>
      </c>
      <c r="N60" s="156">
        <f>IF(COUNTIF('Raw Annual DMR Data'!$L:$L,$F60)&gt;0,_xlfn.MAXIFS('Raw Annual DMR Data'!$S:$S,'Raw Annual DMR Data'!$L:$L,$F60), "N/A - Facility Does Not Report DMRs")</f>
        <v>1.13149056842499E-3</v>
      </c>
      <c r="O60" s="156">
        <f t="shared" si="5"/>
        <v>4.5259622736999603E-6</v>
      </c>
      <c r="P60" s="113" cm="1">
        <f t="array" ref="P60">IF(COUNTIF('Raw Annual DMR Data'!$L:$L,$F60)&gt;0,INDEX('Raw Annual DMR Data'!$B:$B,MATCH(1,($F60='Raw Annual DMR Data'!$L:$L)*($N60='Raw Annual DMR Data'!$S:$S),0)), "N/A - Facility Does Not Report DMRs")</f>
        <v>2019</v>
      </c>
      <c r="Q60" s="304" t="str" cm="1">
        <f t="array" ref="Q60">IF(COUNTIF('Raw TRI Data'!$J:$J,$E60)&gt;0,MEDIAN(IF('Raw TRI Data'!$J:$J=E60,'Raw TRI Data'!$S:$S)), "N/A - Facility Does Not Report to TRI")</f>
        <v>N/A - Facility Does Not Report to TRI</v>
      </c>
      <c r="R60" s="156" t="str">
        <f t="shared" si="7"/>
        <v>N/A - Facility Does Not Report to TRI</v>
      </c>
      <c r="S60" s="156" t="str">
        <f>IF(COUNTIF('Raw TRI Data'!$J:$J,$E60)&gt;0,_xlfn.MAXIFS('Raw TRI Data'!$S:$S,'Raw TRI Data'!$J:$J,$E60), "N/A - Facility Does Not Report to TRI")</f>
        <v>N/A - Facility Does Not Report to TRI</v>
      </c>
      <c r="T60" s="156" t="str">
        <f t="shared" si="8"/>
        <v>N/A - Facility Does Not Report to TRI</v>
      </c>
      <c r="U60" s="136" t="str" cm="1">
        <f t="array" ref="U60">IF(COUNTIF('Raw TRI Data'!$J:$J,$E60)&gt;0,INDEX('Raw TRI Data'!$A:$A,MATCH(1,($E60='Raw TRI Data'!$J:$J)*(S60='Raw TRI Data'!$S:$S),0)), "N/A - Facility Does Not Report to TRI")</f>
        <v>N/A - Facility Does Not Report to TRI</v>
      </c>
      <c r="V60" s="156" t="str" cm="1">
        <f t="array" ref="V60">IF(COUNTIFS('Raw Annual DMR Data'!$L:$L,$F60,'Raw Annual DMR Data'!$U:$U,"&gt;0")&gt;0,MEDIAN(IF('Raw Annual DMR Data'!$L:$L=$F60,'Raw Annual DMR Data'!$U:$U,"")),"N/A - Period DMR Data Not Available")</f>
        <v>N/A - Period DMR Data Not Available</v>
      </c>
      <c r="W60" s="156" t="str">
        <f>IF(COUNTIFS('Raw Annual DMR Data'!$L:$L,$F60, 'Raw Annual DMR Data'!$U:$U, "&gt;0")&gt;0,_xlfn.MAXIFS('Raw Annual DMR Data'!$U:$U,'Raw Annual DMR Data'!$L:$L,$F60), "N/A - Period DMR Data Not Available")</f>
        <v>N/A - Period DMR Data Not Available</v>
      </c>
      <c r="X60" s="113" t="str" cm="1">
        <f t="array" ref="X60">+IF(COUNTIFS('Raw Annual DMR Data'!L:L,$F60, 'Raw Annual DMR Data'!U:U, "&gt;0")&gt;0,INDEX('Raw Annual DMR Data'!V:V,MATCH(1,($F60='Raw Annual DMR Data'!L:L)*($W60='Raw Annual DMR Data'!U:U),0)), "N/A - Period DMR Data Not Available")</f>
        <v>N/A - Period DMR Data Not Available</v>
      </c>
      <c r="Y60" s="113" t="str" cm="1">
        <f t="array" ref="Y60">IF(COUNTIFS('Raw Annual DMR Data'!L:L,$F60, 'Raw Annual DMR Data'!U:U, "&gt;0")&gt;0,INDEX('Raw Annual DMR Data'!B:B,MATCH(1,($F60='Raw Annual DMR Data'!L:L)*($W60='Raw Annual DMR Data'!U:U),0)), "N/A - Period DMR Data Not Available")</f>
        <v>N/A - Period DMR Data Not Available</v>
      </c>
      <c r="Z60" s="311" t="str" cm="1">
        <f t="array" ref="Z60">IF(COUNTIF('Raw Annual DMR Data'!K:K,$E60)&gt;0,"N/A - See DMRs",IF(SUMIFS('Raw TRI Data'!$Z:$Z,'Raw TRI Data'!$J:$J,$E60)&gt;0,MEDIAN(IF('Raw TRI Data'!$J:$J=$E60,'Raw TRI Data'!$Z:$Z)), "N/A - Facility Does Not Report to TRI, no surface water releases, or no Generic Factors available"))</f>
        <v>N/A - Facility Does Not Report to TRI, no surface water releases, or no Generic Factors available</v>
      </c>
      <c r="AA60" s="156" t="str">
        <f>IF(COUNTIF('Raw Annual DMR Data'!K:K,$E60)&gt;0,"N/A - See DMRs",IF(SUMIFS('Raw TRI Data'!$Z:$Z,'Raw TRI Data'!$J:$J,$E60)&gt;0,_xlfn.MAXIFS('Raw TRI Data'!$Z:$Z,'Raw TRI Data'!$J:$J,$E60), "N/A - Facility Does Not Report to TRI, no surface water releases, or no Generic Factors available"))</f>
        <v>N/A - Facility Does Not Report to TRI, no surface water releases, or no Generic Factors available</v>
      </c>
      <c r="AB60" s="113" t="str">
        <f t="shared" si="6"/>
        <v>N/A</v>
      </c>
      <c r="AC60" s="136" t="str" cm="1">
        <f t="array" ref="AC60">IF(COUNTIF('Raw Annual DMR Data'!K:K,$E60)&gt;0,"N/A - See DMRs",IF(SUMIFS('Raw TRI Data'!$Z:$Z,'Raw TRI Data'!$J:$J,$E60)&gt;0,INDEX('Raw TRI Data'!$A:$A,MATCH(1,($E60='Raw TRI Data'!$J:$J)*($AA60='Raw TRI Data'!$Z:$Z),0)), "N/A - Facility Does Not Report to TRI, no surface water releases, or no Generic Factors available"))</f>
        <v>N/A - Facility Does Not Report to TRI, no surface water releases, or no Generic Factors available</v>
      </c>
      <c r="AD60" s="96" t="str" cm="1">
        <f t="array" ref="AD60">IF(COUNTIFS('Raw Annual DMR Data'!L:L,$F60,'Raw Annual DMR Data'!W:W, "&gt;0")&gt;0,MEDIAN(IF('Raw Annual DMR Data'!K:K=$F60, 'Raw Annual DMR Data'!W:W)), "N/A - No Daily Max DMR Discharge Data")</f>
        <v>N/A - No Daily Max DMR Discharge Data</v>
      </c>
      <c r="AE60" s="96" t="str">
        <f>IF(COUNTIFS('Raw Annual DMR Data'!L:L,$F60,'Raw Annual DMR Data'!W:W, "&gt;0")&gt;0,_xlfn.MAXIFS('Raw Annual DMR Data'!W:W,'Raw Annual DMR Data'!L:L,$F60), "N/A - No Daily Max DMR Discharge Data")</f>
        <v>N/A - No Daily Max DMR Discharge Data</v>
      </c>
      <c r="AF60" s="60" t="str" cm="1">
        <f t="array" ref="AF60">IF(COUNTIFS('Raw Annual DMR Data'!L:L,$F60,'Raw Annual DMR Data'!W:W, "&gt;0")&gt;0,INDEX('Raw Annual DMR Data'!B:B,MATCH(1,($F60='Raw Annual DMR Data'!L:L)*($AE60='Raw Annual DMR Data'!W:W),0)), "N/A - No Daily Max DMR Discharge Data")</f>
        <v>N/A - No Daily Max DMR Discharge Data</v>
      </c>
      <c r="AG60" s="422"/>
      <c r="AH60" s="422"/>
      <c r="AI60" s="423"/>
    </row>
    <row r="61" spans="1:35" ht="45.75" thickBot="1" x14ac:dyDescent="0.3">
      <c r="A61" s="144" t="str">
        <f>VLOOKUP(F61,'Facility Summary'!J:K,2,FALSE)</f>
        <v>Processing as a Reactant</v>
      </c>
      <c r="B61" s="28" t="s">
        <v>148</v>
      </c>
      <c r="C61" s="28" t="s">
        <v>477</v>
      </c>
      <c r="D61" s="60" t="s">
        <v>478</v>
      </c>
      <c r="E61" s="60"/>
      <c r="F61" s="74">
        <v>110000338536</v>
      </c>
      <c r="G61" s="74" t="s">
        <v>859</v>
      </c>
      <c r="H61" s="63" t="s">
        <v>783</v>
      </c>
      <c r="I61" s="74">
        <v>2040205000476</v>
      </c>
      <c r="J61" s="74" t="s">
        <v>265</v>
      </c>
      <c r="K61" s="60">
        <f>VLOOKUP(A61, 'OES Summary'!$A:$B, 2, FALSE)</f>
        <v>350</v>
      </c>
      <c r="L61" s="304" cm="1">
        <f t="array" ref="L61">IF(COUNTIF('Raw Annual DMR Data'!$L:$L,$F61)&gt;0,MEDIAN(IF('Raw Annual DMR Data'!$L:$L=F61,'Raw Annual DMR Data'!$S:$S)),"N/A - Facility Does Not Report DMRs")</f>
        <v>7.1360544217687005E-2</v>
      </c>
      <c r="M61" s="156">
        <f t="shared" si="4"/>
        <v>2.0388726919339144E-4</v>
      </c>
      <c r="N61" s="156">
        <f>IF(COUNTIF('Raw Annual DMR Data'!$L:$L,$F61)&gt;0,_xlfn.MAXIFS('Raw Annual DMR Data'!$S:$S,'Raw Annual DMR Data'!$L:$L,$F61), "N/A - Facility Does Not Report DMRs")</f>
        <v>0.14126984126984099</v>
      </c>
      <c r="O61" s="156">
        <f t="shared" si="5"/>
        <v>4.0362811791383137E-4</v>
      </c>
      <c r="P61" s="113" cm="1">
        <f t="array" ref="P61">IF(COUNTIF('Raw Annual DMR Data'!$L:$L,$F61)&gt;0,INDEX('Raw Annual DMR Data'!$B:$B,MATCH(1,($F61='Raw Annual DMR Data'!$L:$L)*($N61='Raw Annual DMR Data'!$S:$S),0)), "N/A - Facility Does Not Report DMRs")</f>
        <v>2018</v>
      </c>
      <c r="Q61" s="304" t="str" cm="1">
        <f t="array" ref="Q61">IF(COUNTIF('Raw TRI Data'!$J:$J,$E61)&gt;0,MEDIAN(IF('Raw TRI Data'!$J:$J=E61,'Raw TRI Data'!$S:$S)), "N/A - Facility Does Not Report to TRI")</f>
        <v>N/A - Facility Does Not Report to TRI</v>
      </c>
      <c r="R61" s="156" t="str">
        <f t="shared" si="7"/>
        <v>N/A - Facility Does Not Report to TRI</v>
      </c>
      <c r="S61" s="156" t="str">
        <f>IF(COUNTIF('Raw TRI Data'!$J:$J,$E61)&gt;0,_xlfn.MAXIFS('Raw TRI Data'!$S:$S,'Raw TRI Data'!$J:$J,$E61), "N/A - Facility Does Not Report to TRI")</f>
        <v>N/A - Facility Does Not Report to TRI</v>
      </c>
      <c r="T61" s="156" t="str">
        <f t="shared" si="8"/>
        <v>N/A - Facility Does Not Report to TRI</v>
      </c>
      <c r="U61" s="136" t="str" cm="1">
        <f t="array" ref="U61">IF(COUNTIF('Raw TRI Data'!$J:$J,$E61)&gt;0,INDEX('Raw TRI Data'!$A:$A,MATCH(1,($E61='Raw TRI Data'!$J:$J)*(S61='Raw TRI Data'!$S:$S),0)), "N/A - Facility Does Not Report to TRI")</f>
        <v>N/A - Facility Does Not Report to TRI</v>
      </c>
      <c r="V61" s="156" t="str" cm="1">
        <f t="array" ref="V61">IF(COUNTIFS('Raw Annual DMR Data'!$L:$L,$F61,'Raw Annual DMR Data'!$U:$U,"&gt;0")&gt;0,MEDIAN(IF('Raw Annual DMR Data'!$L:$L=$F61,'Raw Annual DMR Data'!$U:$U,"")),"N/A - Period DMR Data Not Available")</f>
        <v>N/A - Period DMR Data Not Available</v>
      </c>
      <c r="W61" s="156" t="str">
        <f>IF(COUNTIFS('Raw Annual DMR Data'!$L:$L,$F61, 'Raw Annual DMR Data'!$U:$U, "&gt;0")&gt;0,_xlfn.MAXIFS('Raw Annual DMR Data'!$U:$U,'Raw Annual DMR Data'!$L:$L,$F61), "N/A - Period DMR Data Not Available")</f>
        <v>N/A - Period DMR Data Not Available</v>
      </c>
      <c r="X61" s="113" t="str" cm="1">
        <f t="array" ref="X61">+IF(COUNTIFS('Raw Annual DMR Data'!L:L,$F61, 'Raw Annual DMR Data'!U:U, "&gt;0")&gt;0,INDEX('Raw Annual DMR Data'!V:V,MATCH(1,($F61='Raw Annual DMR Data'!L:L)*($W61='Raw Annual DMR Data'!U:U),0)), "N/A - Period DMR Data Not Available")</f>
        <v>N/A - Period DMR Data Not Available</v>
      </c>
      <c r="Y61" s="113" t="str" cm="1">
        <f t="array" ref="Y61">IF(COUNTIFS('Raw Annual DMR Data'!L:L,$F61, 'Raw Annual DMR Data'!U:U, "&gt;0")&gt;0,INDEX('Raw Annual DMR Data'!B:B,MATCH(1,($F61='Raw Annual DMR Data'!L:L)*($W61='Raw Annual DMR Data'!U:U),0)), "N/A - Period DMR Data Not Available")</f>
        <v>N/A - Period DMR Data Not Available</v>
      </c>
      <c r="Z61" s="311" t="str" cm="1">
        <f t="array" ref="Z61">IF(COUNTIF('Raw Annual DMR Data'!K:K,$E61)&gt;0,"N/A - See DMRs",IF(SUMIFS('Raw TRI Data'!$Z:$Z,'Raw TRI Data'!$J:$J,$E61)&gt;0,MEDIAN(IF('Raw TRI Data'!$J:$J=$E61,'Raw TRI Data'!$Z:$Z)), "N/A - Facility Does Not Report to TRI, no surface water releases, or no Generic Factors available"))</f>
        <v>N/A - Facility Does Not Report to TRI, no surface water releases, or no Generic Factors available</v>
      </c>
      <c r="AA61" s="156" t="str">
        <f>IF(COUNTIF('Raw Annual DMR Data'!K:K,$E61)&gt;0,"N/A - See DMRs",IF(SUMIFS('Raw TRI Data'!$Z:$Z,'Raw TRI Data'!$J:$J,$E61)&gt;0,_xlfn.MAXIFS('Raw TRI Data'!$Z:$Z,'Raw TRI Data'!$J:$J,$E61), "N/A - Facility Does Not Report to TRI, no surface water releases, or no Generic Factors available"))</f>
        <v>N/A - Facility Does Not Report to TRI, no surface water releases, or no Generic Factors available</v>
      </c>
      <c r="AB61" s="113" t="str">
        <f t="shared" si="6"/>
        <v>N/A</v>
      </c>
      <c r="AC61" s="136" t="str" cm="1">
        <f t="array" ref="AC61">IF(COUNTIF('Raw Annual DMR Data'!K:K,$E61)&gt;0,"N/A - See DMRs",IF(SUMIFS('Raw TRI Data'!$Z:$Z,'Raw TRI Data'!$J:$J,$E61)&gt;0,INDEX('Raw TRI Data'!$A:$A,MATCH(1,($E61='Raw TRI Data'!$J:$J)*($AA61='Raw TRI Data'!$Z:$Z),0)), "N/A - Facility Does Not Report to TRI, no surface water releases, or no Generic Factors available"))</f>
        <v>N/A - Facility Does Not Report to TRI, no surface water releases, or no Generic Factors available</v>
      </c>
      <c r="AD61" s="96" t="str" cm="1">
        <f t="array" ref="AD61">IF(COUNTIFS('Raw Annual DMR Data'!L:L,$F61,'Raw Annual DMR Data'!W:W, "&gt;0")&gt;0,MEDIAN(IF('Raw Annual DMR Data'!K:K=$F61, 'Raw Annual DMR Data'!W:W)), "N/A - No Daily Max DMR Discharge Data")</f>
        <v>N/A - No Daily Max DMR Discharge Data</v>
      </c>
      <c r="AE61" s="96" t="str">
        <f>IF(COUNTIFS('Raw Annual DMR Data'!L:L,$F61,'Raw Annual DMR Data'!W:W, "&gt;0")&gt;0,_xlfn.MAXIFS('Raw Annual DMR Data'!W:W,'Raw Annual DMR Data'!L:L,$F61), "N/A - No Daily Max DMR Discharge Data")</f>
        <v>N/A - No Daily Max DMR Discharge Data</v>
      </c>
      <c r="AF61" s="60" t="str" cm="1">
        <f t="array" ref="AF61">IF(COUNTIFS('Raw Annual DMR Data'!L:L,$F61,'Raw Annual DMR Data'!W:W, "&gt;0")&gt;0,INDEX('Raw Annual DMR Data'!B:B,MATCH(1,($F61='Raw Annual DMR Data'!L:L)*($AE61='Raw Annual DMR Data'!W:W),0)), "N/A - No Daily Max DMR Discharge Data")</f>
        <v>N/A - No Daily Max DMR Discharge Data</v>
      </c>
      <c r="AG61" s="422"/>
      <c r="AH61" s="422"/>
      <c r="AI61" s="423"/>
    </row>
    <row r="62" spans="1:35" ht="15.75" thickBot="1" x14ac:dyDescent="0.3">
      <c r="A62" s="144" t="str">
        <f>VLOOKUP(F62,'Facility Summary'!J:K,2,FALSE)</f>
        <v>Manufacturing</v>
      </c>
      <c r="B62" s="28" t="s">
        <v>149</v>
      </c>
      <c r="C62" s="28" t="s">
        <v>480</v>
      </c>
      <c r="D62" s="60" t="s">
        <v>362</v>
      </c>
      <c r="E62" s="60" t="s">
        <v>481</v>
      </c>
      <c r="F62" s="74">
        <v>110018925957</v>
      </c>
      <c r="G62" s="74" t="s">
        <v>860</v>
      </c>
      <c r="H62" s="63" t="s">
        <v>861</v>
      </c>
      <c r="I62" s="74">
        <v>12100401000758</v>
      </c>
      <c r="J62" s="74" t="s">
        <v>265</v>
      </c>
      <c r="K62" s="60">
        <f>VLOOKUP(A62, 'OES Summary'!$A:$B, 2, FALSE)</f>
        <v>350</v>
      </c>
      <c r="L62" s="304" cm="1">
        <f t="array" ref="L62">IF(COUNTIF('Raw Annual DMR Data'!$L:$L,$F62)&gt;0,MEDIAN(IF('Raw Annual DMR Data'!$L:$L=F62,'Raw Annual DMR Data'!$S:$S)),"N/A - Facility Does Not Report DMRs")</f>
        <v>24.816326530612201</v>
      </c>
      <c r="M62" s="156">
        <f t="shared" si="4"/>
        <v>7.0903790087463434E-2</v>
      </c>
      <c r="N62" s="156">
        <f>IF(COUNTIF('Raw Annual DMR Data'!$L:$L,$F62)&gt;0,_xlfn.MAXIFS('Raw Annual DMR Data'!$S:$S,'Raw Annual DMR Data'!$L:$L,$F62), "N/A - Facility Does Not Report DMRs")</f>
        <v>5989.5353999999998</v>
      </c>
      <c r="O62" s="156">
        <f t="shared" si="5"/>
        <v>17.112958285714285</v>
      </c>
      <c r="P62" s="113" cm="1">
        <f t="array" ref="P62">IF(COUNTIF('Raw Annual DMR Data'!$L:$L,$F62)&gt;0,INDEX('Raw Annual DMR Data'!$B:$B,MATCH(1,($F62='Raw Annual DMR Data'!$L:$L)*($N62='Raw Annual DMR Data'!$S:$S),0)), "N/A - Facility Does Not Report DMRs")</f>
        <v>2017</v>
      </c>
      <c r="Q62" s="304" cm="1">
        <f t="array" ref="Q62">IF(COUNTIF('Raw TRI Data'!$J:$J,$E62)&gt;0,MEDIAN(IF('Raw TRI Data'!$J:$J=E62,'Raw TRI Data'!$S:$S)), "N/A - Facility Does Not Report to TRI")</f>
        <v>17.69010243</v>
      </c>
      <c r="R62" s="156">
        <f t="shared" si="7"/>
        <v>5.0543149799999999E-2</v>
      </c>
      <c r="S62" s="156">
        <f>IF(COUNTIF('Raw TRI Data'!$J:$J,$E62)&gt;0,_xlfn.MAXIFS('Raw TRI Data'!$S:$S,'Raw TRI Data'!$J:$J,$E62), "N/A - Facility Does Not Report to TRI")</f>
        <v>73.935556309999996</v>
      </c>
      <c r="T62" s="156">
        <f t="shared" si="8"/>
        <v>0.2112444466</v>
      </c>
      <c r="U62" s="136" cm="1">
        <f t="array" ref="U62">IF(COUNTIF('Raw TRI Data'!$J:$J,$E62)&gt;0,INDEX('Raw TRI Data'!$A:$A,MATCH(1,($E62='Raw TRI Data'!$J:$J)*(S62='Raw TRI Data'!$S:$S),0)), "N/A - Facility Does Not Report to TRI")</f>
        <v>2017</v>
      </c>
      <c r="V62" s="156" cm="1">
        <f t="array" ref="V62">IF(COUNTIFS('Raw Annual DMR Data'!$L:$L,$F62,'Raw Annual DMR Data'!$U:$U,"&gt;0")&gt;0,MEDIAN(IF('Raw Annual DMR Data'!$L:$L=$F62,'Raw Annual DMR Data'!$U:$U,"")),"N/A - Period DMR Data Not Available")</f>
        <v>1.2187700000000001</v>
      </c>
      <c r="W62" s="156">
        <f>IF(COUNTIFS('Raw Annual DMR Data'!$L:$L,$F62, 'Raw Annual DMR Data'!$U:$U, "&gt;0")&gt;0,_xlfn.MAXIFS('Raw Annual DMR Data'!$U:$U,'Raw Annual DMR Data'!$L:$L,$F62), "N/A - Period DMR Data Not Available")</f>
        <v>20.363299999999999</v>
      </c>
      <c r="X62" s="113" cm="1">
        <f t="array" ref="X62">+IF(COUNTIFS('Raw Annual DMR Data'!L:L,$F62, 'Raw Annual DMR Data'!U:U, "&gt;0")&gt;0,INDEX('Raw Annual DMR Data'!V:V,MATCH(1,($F62='Raw Annual DMR Data'!L:L)*($W62='Raw Annual DMR Data'!U:U),0)), "N/A - Period DMR Data Not Available")</f>
        <v>28</v>
      </c>
      <c r="Y62" s="113" cm="1">
        <f t="array" ref="Y62">IF(COUNTIFS('Raw Annual DMR Data'!L:L,$F62, 'Raw Annual DMR Data'!U:U, "&gt;0")&gt;0,INDEX('Raw Annual DMR Data'!B:B,MATCH(1,($F62='Raw Annual DMR Data'!L:L)*($W62='Raw Annual DMR Data'!U:U),0)), "N/A - Period DMR Data Not Available")</f>
        <v>2017</v>
      </c>
      <c r="Z62" s="311" t="str" cm="1">
        <f t="array" ref="Z62">IF(COUNTIF('Raw Annual DMR Data'!K:K,$E62)&gt;0,"N/A - See DMRs",IF(SUMIFS('Raw TRI Data'!$Z:$Z,'Raw TRI Data'!$J:$J,$E62)&gt;0,MEDIAN(IF('Raw TRI Data'!$J:$J=$E62,'Raw TRI Data'!$Z:$Z)), "N/A - Facility Does Not Report to TRI, no surface water releases, or no Generic Factors available"))</f>
        <v>N/A - See DMRs</v>
      </c>
      <c r="AA62" s="156" t="str">
        <f>IF(COUNTIF('Raw Annual DMR Data'!K:K,$E62)&gt;0,"N/A - See DMRs",IF(SUMIFS('Raw TRI Data'!$Z:$Z,'Raw TRI Data'!$J:$J,$E62)&gt;0,_xlfn.MAXIFS('Raw TRI Data'!$Z:$Z,'Raw TRI Data'!$J:$J,$E62), "N/A - Facility Does Not Report to TRI, no surface water releases, or no Generic Factors available"))</f>
        <v>N/A - See DMRs</v>
      </c>
      <c r="AB62" s="113" t="str">
        <f t="shared" si="6"/>
        <v>N/A</v>
      </c>
      <c r="AC62" s="136" t="str" cm="1">
        <f t="array" ref="AC62">IF(COUNTIF('Raw Annual DMR Data'!K:K,$E62)&gt;0,"N/A - See DMRs",IF(SUMIFS('Raw TRI Data'!$Z:$Z,'Raw TRI Data'!$J:$J,$E62)&gt;0,INDEX('Raw TRI Data'!$A:$A,MATCH(1,($E62='Raw TRI Data'!$J:$J)*($AA62='Raw TRI Data'!$Z:$Z),0)), "N/A - Facility Does Not Report to TRI, no surface water releases, or no Generic Factors available"))</f>
        <v>N/A - See DMRs</v>
      </c>
      <c r="AD62" s="96" t="e" cm="1">
        <f t="array" ref="AD62">IF(COUNTIFS('Raw Annual DMR Data'!L:L,$F62,'Raw Annual DMR Data'!W:W, "&gt;0")&gt;0,MEDIAN(IF('Raw Annual DMR Data'!K:K=$F62, 'Raw Annual DMR Data'!W:W)), "N/A - No Daily Max DMR Discharge Data")</f>
        <v>#NUM!</v>
      </c>
      <c r="AE62" s="96">
        <f>IF(COUNTIFS('Raw Annual DMR Data'!L:L,$F62,'Raw Annual DMR Data'!W:W, "&gt;0")&gt;0,_xlfn.MAXIFS('Raw Annual DMR Data'!W:W,'Raw Annual DMR Data'!L:L,$F62), "N/A - No Daily Max DMR Discharge Data")</f>
        <v>31.037000000000006</v>
      </c>
      <c r="AF62" s="60" cm="1">
        <f t="array" ref="AF62">IF(COUNTIFS('Raw Annual DMR Data'!L:L,$F62,'Raw Annual DMR Data'!W:W, "&gt;0")&gt;0,INDEX('Raw Annual DMR Data'!B:B,MATCH(1,($F62='Raw Annual DMR Data'!L:L)*($AE62='Raw Annual DMR Data'!W:W),0)), "N/A - No Daily Max DMR Discharge Data")</f>
        <v>2017</v>
      </c>
      <c r="AG62" s="422"/>
      <c r="AH62" s="422"/>
      <c r="AI62" s="423"/>
    </row>
    <row r="63" spans="1:35" ht="30.75" thickBot="1" x14ac:dyDescent="0.3">
      <c r="A63" s="144" t="str">
        <f>VLOOKUP(F63,'Facility Summary'!J:K,2,FALSE)</f>
        <v>Manufacturing</v>
      </c>
      <c r="B63" s="28" t="s">
        <v>150</v>
      </c>
      <c r="C63" s="28" t="s">
        <v>302</v>
      </c>
      <c r="D63" s="60" t="s">
        <v>303</v>
      </c>
      <c r="E63" s="60" t="s">
        <v>483</v>
      </c>
      <c r="F63" s="74">
        <v>110000597444</v>
      </c>
      <c r="G63" s="74" t="s">
        <v>862</v>
      </c>
      <c r="H63" s="63" t="s">
        <v>863</v>
      </c>
      <c r="I63" s="74">
        <v>8070201006480</v>
      </c>
      <c r="J63" s="74" t="s">
        <v>265</v>
      </c>
      <c r="K63" s="60">
        <f>VLOOKUP(A63, 'OES Summary'!$A:$B, 2, FALSE)</f>
        <v>350</v>
      </c>
      <c r="L63" s="304" cm="1">
        <f t="array" ref="L63">IF(COUNTIF('Raw Annual DMR Data'!$L:$L,$F63)&gt;0,MEDIAN(IF('Raw Annual DMR Data'!$L:$L=F63,'Raw Annual DMR Data'!$S:$S)),"N/A - Facility Does Not Report DMRs")</f>
        <v>49.576799999999999</v>
      </c>
      <c r="M63" s="156">
        <f t="shared" si="4"/>
        <v>0.141648</v>
      </c>
      <c r="N63" s="156">
        <f>IF(COUNTIF('Raw Annual DMR Data'!$L:$L,$F63)&gt;0,_xlfn.MAXIFS('Raw Annual DMR Data'!$S:$S,'Raw Annual DMR Data'!$L:$L,$F63), "N/A - Facility Does Not Report DMRs")</f>
        <v>97.959183673469298</v>
      </c>
      <c r="O63" s="156">
        <f t="shared" si="5"/>
        <v>0.27988338192419798</v>
      </c>
      <c r="P63" s="113" cm="1">
        <f t="array" ref="P63">IF(COUNTIF('Raw Annual DMR Data'!$L:$L,$F63)&gt;0,INDEX('Raw Annual DMR Data'!$B:$B,MATCH(1,($F63='Raw Annual DMR Data'!$L:$L)*($N63='Raw Annual DMR Data'!$S:$S),0)), "N/A - Facility Does Not Report DMRs")</f>
        <v>2015</v>
      </c>
      <c r="Q63" s="304" cm="1">
        <f t="array" ref="Q63">IF(COUNTIF('Raw TRI Data'!$J:$J,$E63)&gt;0,MEDIAN(IF('Raw TRI Data'!$J:$J=E63,'Raw TRI Data'!$S:$S)), "N/A - Facility Does Not Report to TRI")</f>
        <v>7.7110702900000003</v>
      </c>
      <c r="R63" s="156">
        <f t="shared" si="7"/>
        <v>2.2031629400000002E-2</v>
      </c>
      <c r="S63" s="156">
        <f>IF(COUNTIF('Raw TRI Data'!$J:$J,$E63)&gt;0,_xlfn.MAXIFS('Raw TRI Data'!$S:$S,'Raw TRI Data'!$J:$J,$E63), "N/A - Facility Does Not Report to TRI")</f>
        <v>48.080791220000002</v>
      </c>
      <c r="T63" s="156">
        <f t="shared" si="8"/>
        <v>0.13737368920000001</v>
      </c>
      <c r="U63" s="136" cm="1">
        <f t="array" ref="U63">IF(COUNTIF('Raw TRI Data'!$J:$J,$E63)&gt;0,INDEX('Raw TRI Data'!$A:$A,MATCH(1,($E63='Raw TRI Data'!$J:$J)*(S63='Raw TRI Data'!$S:$S),0)), "N/A - Facility Does Not Report to TRI")</f>
        <v>2024</v>
      </c>
      <c r="V63" s="156" t="str" cm="1">
        <f t="array" ref="V63">IF(COUNTIFS('Raw Annual DMR Data'!$L:$L,$F63,'Raw Annual DMR Data'!$U:$U,"&gt;0")&gt;0,MEDIAN(IF('Raw Annual DMR Data'!$L:$L=$F63,'Raw Annual DMR Data'!$U:$U,"")),"N/A - Period DMR Data Not Available")</f>
        <v>N/A - Period DMR Data Not Available</v>
      </c>
      <c r="W63" s="156" t="str">
        <f>IF(COUNTIFS('Raw Annual DMR Data'!$L:$L,$F63, 'Raw Annual DMR Data'!$U:$U, "&gt;0")&gt;0,_xlfn.MAXIFS('Raw Annual DMR Data'!$U:$U,'Raw Annual DMR Data'!$L:$L,$F63), "N/A - Period DMR Data Not Available")</f>
        <v>N/A - Period DMR Data Not Available</v>
      </c>
      <c r="X63" s="113" t="str" cm="1">
        <f t="array" ref="X63">+IF(COUNTIFS('Raw Annual DMR Data'!L:L,$F63, 'Raw Annual DMR Data'!U:U, "&gt;0")&gt;0,INDEX('Raw Annual DMR Data'!V:V,MATCH(1,($F63='Raw Annual DMR Data'!L:L)*($W63='Raw Annual DMR Data'!U:U),0)), "N/A - Period DMR Data Not Available")</f>
        <v>N/A - Period DMR Data Not Available</v>
      </c>
      <c r="Y63" s="113" t="str" cm="1">
        <f t="array" ref="Y63">IF(COUNTIFS('Raw Annual DMR Data'!L:L,$F63, 'Raw Annual DMR Data'!U:U, "&gt;0")&gt;0,INDEX('Raw Annual DMR Data'!B:B,MATCH(1,($F63='Raw Annual DMR Data'!L:L)*($W63='Raw Annual DMR Data'!U:U),0)), "N/A - Period DMR Data Not Available")</f>
        <v>N/A - Period DMR Data Not Available</v>
      </c>
      <c r="Z63" s="311" t="str" cm="1">
        <f t="array" ref="Z63">IF(COUNTIF('Raw Annual DMR Data'!K:K,$E63)&gt;0,"N/A - See DMRs",IF(SUMIFS('Raw TRI Data'!$Z:$Z,'Raw TRI Data'!$J:$J,$E63)&gt;0,MEDIAN(IF('Raw TRI Data'!$J:$J=$E63,'Raw TRI Data'!$Z:$Z)), "N/A - Facility Does Not Report to TRI, no surface water releases, or no Generic Factors available"))</f>
        <v>N/A - See DMRs</v>
      </c>
      <c r="AA63" s="156" t="str">
        <f>IF(COUNTIF('Raw Annual DMR Data'!K:K,$E63)&gt;0,"N/A - See DMRs",IF(SUMIFS('Raw TRI Data'!$Z:$Z,'Raw TRI Data'!$J:$J,$E63)&gt;0,_xlfn.MAXIFS('Raw TRI Data'!$Z:$Z,'Raw TRI Data'!$J:$J,$E63), "N/A - Facility Does Not Report to TRI, no surface water releases, or no Generic Factors available"))</f>
        <v>N/A - See DMRs</v>
      </c>
      <c r="AB63" s="113" t="str">
        <f t="shared" si="6"/>
        <v>N/A</v>
      </c>
      <c r="AC63" s="136" t="str" cm="1">
        <f t="array" ref="AC63">IF(COUNTIF('Raw Annual DMR Data'!K:K,$E63)&gt;0,"N/A - See DMRs",IF(SUMIFS('Raw TRI Data'!$Z:$Z,'Raw TRI Data'!$J:$J,$E63)&gt;0,INDEX('Raw TRI Data'!$A:$A,MATCH(1,($E63='Raw TRI Data'!$J:$J)*($AA63='Raw TRI Data'!$Z:$Z),0)), "N/A - Facility Does Not Report to TRI, no surface water releases, or no Generic Factors available"))</f>
        <v>N/A - See DMRs</v>
      </c>
      <c r="AD63" s="96" t="str" cm="1">
        <f t="array" ref="AD63">IF(COUNTIFS('Raw Annual DMR Data'!L:L,$F63,'Raw Annual DMR Data'!W:W, "&gt;0")&gt;0,MEDIAN(IF('Raw Annual DMR Data'!K:K=$F63, 'Raw Annual DMR Data'!W:W)), "N/A - No Daily Max DMR Discharge Data")</f>
        <v>N/A - No Daily Max DMR Discharge Data</v>
      </c>
      <c r="AE63" s="96" t="str">
        <f>IF(COUNTIFS('Raw Annual DMR Data'!L:L,$F63,'Raw Annual DMR Data'!W:W, "&gt;0")&gt;0,_xlfn.MAXIFS('Raw Annual DMR Data'!W:W,'Raw Annual DMR Data'!L:L,$F63), "N/A - No Daily Max DMR Discharge Data")</f>
        <v>N/A - No Daily Max DMR Discharge Data</v>
      </c>
      <c r="AF63" s="60" t="str" cm="1">
        <f t="array" ref="AF63">IF(COUNTIFS('Raw Annual DMR Data'!L:L,$F63,'Raw Annual DMR Data'!W:W, "&gt;0")&gt;0,INDEX('Raw Annual DMR Data'!B:B,MATCH(1,($F63='Raw Annual DMR Data'!L:L)*($AE63='Raw Annual DMR Data'!W:W),0)), "N/A - No Daily Max DMR Discharge Data")</f>
        <v>N/A - No Daily Max DMR Discharge Data</v>
      </c>
      <c r="AG63" s="422"/>
      <c r="AH63" s="422"/>
      <c r="AI63" s="423"/>
    </row>
    <row r="64" spans="1:35" ht="30.75" thickBot="1" x14ac:dyDescent="0.3">
      <c r="A64" s="144" t="str">
        <f>VLOOKUP(F64,'Facility Summary'!J:K,2,FALSE)</f>
        <v>Manufacturing</v>
      </c>
      <c r="B64" s="28" t="s">
        <v>210</v>
      </c>
      <c r="C64" s="28" t="s">
        <v>437</v>
      </c>
      <c r="D64" s="28" t="s">
        <v>362</v>
      </c>
      <c r="E64" s="60" t="s">
        <v>484</v>
      </c>
      <c r="F64" s="74">
        <v>110066943605</v>
      </c>
      <c r="G64" s="74" t="s">
        <v>295</v>
      </c>
      <c r="H64" s="81" t="s">
        <v>295</v>
      </c>
      <c r="I64" s="74" t="s">
        <v>295</v>
      </c>
      <c r="J64" s="74" t="s">
        <v>265</v>
      </c>
      <c r="K64" s="60">
        <f>VLOOKUP(A64, 'OES Summary'!$A:$B, 2, FALSE)</f>
        <v>350</v>
      </c>
      <c r="L64" s="304" t="str" cm="1">
        <f t="array" ref="L64">IF(COUNTIF('Raw Annual DMR Data'!$L:$L,$F64)&gt;0,MEDIAN(IF('Raw Annual DMR Data'!$L:$L=F64,'Raw Annual DMR Data'!$S:$S)),"N/A - Facility Does Not Report DMRs")</f>
        <v>N/A - Facility Does Not Report DMRs</v>
      </c>
      <c r="M64" s="156" t="str">
        <f t="shared" si="4"/>
        <v>N/A - Facility Does Not Report DMRs</v>
      </c>
      <c r="N64" s="156" t="str">
        <f>IF(COUNTIF('Raw Annual DMR Data'!$L:$L,$F64)&gt;0,_xlfn.MAXIFS('Raw Annual DMR Data'!$S:$S,'Raw Annual DMR Data'!$L:$L,$F64), "N/A - Facility Does Not Report DMRs")</f>
        <v>N/A - Facility Does Not Report DMRs</v>
      </c>
      <c r="O64" s="156" t="str">
        <f t="shared" si="5"/>
        <v>N/A - Facility Does Not Report DMRs</v>
      </c>
      <c r="P64" s="113" t="str" cm="1">
        <f t="array" ref="P64">IF(COUNTIF('Raw Annual DMR Data'!$L:$L,$F64)&gt;0,INDEX('Raw Annual DMR Data'!$B:$B,MATCH(1,($F64='Raw Annual DMR Data'!$L:$L)*($N64='Raw Annual DMR Data'!$S:$S),0)), "N/A - Facility Does Not Report DMRs")</f>
        <v>N/A - Facility Does Not Report DMRs</v>
      </c>
      <c r="Q64" s="304" cm="1">
        <f t="array" ref="Q64">IF(COUNTIF('Raw TRI Data'!$J:$J,$E64)&gt;0,MEDIAN(IF('Raw TRI Data'!$J:$J=E64,'Raw TRI Data'!$S:$S)), "N/A - Facility Does Not Report to TRI")</f>
        <v>0</v>
      </c>
      <c r="R64" s="156">
        <f t="shared" si="7"/>
        <v>0</v>
      </c>
      <c r="S64" s="156">
        <f>IF(COUNTIF('Raw TRI Data'!$J:$J,$E64)&gt;0,_xlfn.MAXIFS('Raw TRI Data'!$S:$S,'Raw TRI Data'!$J:$J,$E64), "N/A - Facility Does Not Report to TRI")</f>
        <v>3.1751465900000002</v>
      </c>
      <c r="T64" s="156">
        <f t="shared" si="8"/>
        <v>9.0718474000000011E-3</v>
      </c>
      <c r="U64" s="136" cm="1">
        <f t="array" ref="U64">IF(COUNTIF('Raw TRI Data'!$J:$J,$E64)&gt;0,INDEX('Raw TRI Data'!$A:$A,MATCH(1,($E64='Raw TRI Data'!$J:$J)*(S64='Raw TRI Data'!$S:$S),0)), "N/A - Facility Does Not Report to TRI")</f>
        <v>2015</v>
      </c>
      <c r="V64" s="156" t="str" cm="1">
        <f t="array" ref="V64">IF(COUNTIFS('Raw Annual DMR Data'!$L:$L,$F64,'Raw Annual DMR Data'!$U:$U,"&gt;0")&gt;0,MEDIAN(IF('Raw Annual DMR Data'!$L:$L=$F64,'Raw Annual DMR Data'!$U:$U,"")),"N/A - Period DMR Data Not Available")</f>
        <v>N/A - Period DMR Data Not Available</v>
      </c>
      <c r="W64" s="156" t="str">
        <f>IF(COUNTIFS('Raw Annual DMR Data'!$L:$L,$F64, 'Raw Annual DMR Data'!$U:$U, "&gt;0")&gt;0,_xlfn.MAXIFS('Raw Annual DMR Data'!$U:$U,'Raw Annual DMR Data'!$L:$L,$F64), "N/A - Period DMR Data Not Available")</f>
        <v>N/A - Period DMR Data Not Available</v>
      </c>
      <c r="X64" s="113" t="str" cm="1">
        <f t="array" ref="X64">+IF(COUNTIFS('Raw Annual DMR Data'!L:L,$F64, 'Raw Annual DMR Data'!U:U, "&gt;0")&gt;0,INDEX('Raw Annual DMR Data'!V:V,MATCH(1,($F64='Raw Annual DMR Data'!L:L)*($W64='Raw Annual DMR Data'!U:U),0)), "N/A - Period DMR Data Not Available")</f>
        <v>N/A - Period DMR Data Not Available</v>
      </c>
      <c r="Y64" s="113" t="str" cm="1">
        <f t="array" ref="Y64">IF(COUNTIFS('Raw Annual DMR Data'!L:L,$F64, 'Raw Annual DMR Data'!U:U, "&gt;0")&gt;0,INDEX('Raw Annual DMR Data'!B:B,MATCH(1,($F64='Raw Annual DMR Data'!L:L)*($W64='Raw Annual DMR Data'!U:U),0)), "N/A - Period DMR Data Not Available")</f>
        <v>N/A - Period DMR Data Not Available</v>
      </c>
      <c r="Z64" s="311" t="e" cm="1">
        <f t="array" ref="Z64">IF(COUNTIF('Raw Annual DMR Data'!K:K,$E64)&gt;0,"N/A - See DMRs",IF(SUMIFS('Raw TRI Data'!$Z:$Z,'Raw TRI Data'!$J:$J,$E64)&gt;0,MEDIAN(IF('Raw TRI Data'!$J:$J=$E64,'Raw TRI Data'!$Z:$Z)), "N/A - Facility Does Not Report to TRI, no surface water releases, or no Generic Factors available"))</f>
        <v>#N/A</v>
      </c>
      <c r="AA64" s="156" t="e">
        <f>IF(COUNTIF('Raw Annual DMR Data'!K:K,$E64)&gt;0,"N/A - See DMRs",IF(SUMIFS('Raw TRI Data'!$Z:$Z,'Raw TRI Data'!$J:$J,$E64)&gt;0,_xlfn.MAXIFS('Raw TRI Data'!$Z:$Z,'Raw TRI Data'!$J:$J,$E64), "N/A - Facility Does Not Report to TRI, no surface water releases, or no Generic Factors available"))</f>
        <v>#N/A</v>
      </c>
      <c r="AB64" s="113" t="str">
        <f t="shared" si="6"/>
        <v>N/A</v>
      </c>
      <c r="AC64" s="136" t="e" cm="1">
        <f t="array" ref="AC64">IF(COUNTIF('Raw Annual DMR Data'!K:K,$E64)&gt;0,"N/A - See DMRs",IF(SUMIFS('Raw TRI Data'!$Z:$Z,'Raw TRI Data'!$J:$J,$E64)&gt;0,INDEX('Raw TRI Data'!$A:$A,MATCH(1,($E64='Raw TRI Data'!$J:$J)*($AA64='Raw TRI Data'!$Z:$Z),0)), "N/A - Facility Does Not Report to TRI, no surface water releases, or no Generic Factors available"))</f>
        <v>#N/A</v>
      </c>
      <c r="AD64" s="96" t="str" cm="1">
        <f t="array" ref="AD64">IF(COUNTIFS('Raw Annual DMR Data'!L:L,$F64,'Raw Annual DMR Data'!W:W, "&gt;0")&gt;0,MEDIAN(IF('Raw Annual DMR Data'!K:K=$F64, 'Raw Annual DMR Data'!W:W)), "N/A - No Daily Max DMR Discharge Data")</f>
        <v>N/A - No Daily Max DMR Discharge Data</v>
      </c>
      <c r="AE64" s="96" t="str">
        <f>IF(COUNTIFS('Raw Annual DMR Data'!L:L,$F64,'Raw Annual DMR Data'!W:W, "&gt;0")&gt;0,_xlfn.MAXIFS('Raw Annual DMR Data'!W:W,'Raw Annual DMR Data'!L:L,$F64), "N/A - No Daily Max DMR Discharge Data")</f>
        <v>N/A - No Daily Max DMR Discharge Data</v>
      </c>
      <c r="AF64" s="60" t="str" cm="1">
        <f t="array" ref="AF64">IF(COUNTIFS('Raw Annual DMR Data'!L:L,$F64,'Raw Annual DMR Data'!W:W, "&gt;0")&gt;0,INDEX('Raw Annual DMR Data'!B:B,MATCH(1,($F64='Raw Annual DMR Data'!L:L)*($AE64='Raw Annual DMR Data'!W:W),0)), "N/A - No Daily Max DMR Discharge Data")</f>
        <v>N/A - No Daily Max DMR Discharge Data</v>
      </c>
      <c r="AG64" s="422"/>
      <c r="AH64" s="422"/>
      <c r="AI64" s="423"/>
    </row>
    <row r="65" spans="1:35" ht="30.75" thickBot="1" x14ac:dyDescent="0.3">
      <c r="A65" s="144" t="str">
        <f>VLOOKUP(F65,'Facility Summary'!J:K,2,FALSE)</f>
        <v>Unknown</v>
      </c>
      <c r="B65" s="28" t="s">
        <v>151</v>
      </c>
      <c r="C65" s="28" t="s">
        <v>486</v>
      </c>
      <c r="D65" s="60" t="s">
        <v>308</v>
      </c>
      <c r="E65" s="60" t="s">
        <v>487</v>
      </c>
      <c r="F65" s="74">
        <v>110000310191</v>
      </c>
      <c r="G65" s="74" t="s">
        <v>864</v>
      </c>
      <c r="H65" s="63" t="s">
        <v>865</v>
      </c>
      <c r="I65" s="74">
        <v>1090001001195</v>
      </c>
      <c r="J65" s="74" t="s">
        <v>265</v>
      </c>
      <c r="K65" s="60">
        <f>VLOOKUP(A65, 'OES Summary'!$A:$B, 2, FALSE)</f>
        <v>250</v>
      </c>
      <c r="L65" s="304" cm="1">
        <f t="array" ref="L65">IF(COUNTIF('Raw Annual DMR Data'!$L:$L,$F65)&gt;0,MEDIAN(IF('Raw Annual DMR Data'!$L:$L=F65,'Raw Annual DMR Data'!$S:$S)),"N/A - Facility Does Not Report DMRs")</f>
        <v>4.4621365000000003E-2</v>
      </c>
      <c r="M65" s="156">
        <f t="shared" si="4"/>
        <v>1.7848546000000001E-4</v>
      </c>
      <c r="N65" s="156">
        <f>IF(COUNTIF('Raw Annual DMR Data'!$L:$L,$F65)&gt;0,_xlfn.MAXIFS('Raw Annual DMR Data'!$S:$S,'Raw Annual DMR Data'!$L:$L,$F65), "N/A - Facility Does Not Report DMRs")</f>
        <v>0.60590279999999996</v>
      </c>
      <c r="O65" s="156">
        <f t="shared" si="5"/>
        <v>2.4236112000000001E-3</v>
      </c>
      <c r="P65" s="113" cm="1">
        <f t="array" ref="P65">IF(COUNTIF('Raw Annual DMR Data'!$L:$L,$F65)&gt;0,INDEX('Raw Annual DMR Data'!$B:$B,MATCH(1,($F65='Raw Annual DMR Data'!$L:$L)*($N65='Raw Annual DMR Data'!$S:$S),0)), "N/A - Facility Does Not Report DMRs")</f>
        <v>2015</v>
      </c>
      <c r="Q65" s="304" t="str" cm="1">
        <f t="array" ref="Q65">IF(COUNTIF('Raw TRI Data'!$J:$J,$E65)&gt;0,MEDIAN(IF('Raw TRI Data'!$J:$J=E65,'Raw TRI Data'!$S:$S)), "N/A - Facility Does Not Report to TRI")</f>
        <v>N/A - Facility Does Not Report to TRI</v>
      </c>
      <c r="R65" s="156" t="str">
        <f t="shared" si="7"/>
        <v>N/A - Facility Does Not Report to TRI</v>
      </c>
      <c r="S65" s="156" t="str">
        <f>IF(COUNTIF('Raw TRI Data'!$J:$J,$E65)&gt;0,_xlfn.MAXIFS('Raw TRI Data'!$S:$S,'Raw TRI Data'!$J:$J,$E65), "N/A - Facility Does Not Report to TRI")</f>
        <v>N/A - Facility Does Not Report to TRI</v>
      </c>
      <c r="T65" s="156" t="str">
        <f t="shared" si="8"/>
        <v>N/A - Facility Does Not Report to TRI</v>
      </c>
      <c r="U65" s="136" t="str" cm="1">
        <f t="array" ref="U65">IF(COUNTIF('Raw TRI Data'!$J:$J,$E65)&gt;0,INDEX('Raw TRI Data'!$A:$A,MATCH(1,($E65='Raw TRI Data'!$J:$J)*(S65='Raw TRI Data'!$S:$S),0)), "N/A - Facility Does Not Report to TRI")</f>
        <v>N/A - Facility Does Not Report to TRI</v>
      </c>
      <c r="V65" s="156" t="str" cm="1">
        <f t="array" ref="V65">IF(COUNTIFS('Raw Annual DMR Data'!$L:$L,$F65,'Raw Annual DMR Data'!$U:$U,"&gt;0")&gt;0,MEDIAN(IF('Raw Annual DMR Data'!$L:$L=$F65,'Raw Annual DMR Data'!$U:$U,"")),"N/A - Period DMR Data Not Available")</f>
        <v>N/A - Period DMR Data Not Available</v>
      </c>
      <c r="W65" s="156" t="str">
        <f>IF(COUNTIFS('Raw Annual DMR Data'!$L:$L,$F65, 'Raw Annual DMR Data'!$U:$U, "&gt;0")&gt;0,_xlfn.MAXIFS('Raw Annual DMR Data'!$U:$U,'Raw Annual DMR Data'!$L:$L,$F65), "N/A - Period DMR Data Not Available")</f>
        <v>N/A - Period DMR Data Not Available</v>
      </c>
      <c r="X65" s="113" t="str" cm="1">
        <f t="array" ref="X65">+IF(COUNTIFS('Raw Annual DMR Data'!L:L,$F65, 'Raw Annual DMR Data'!U:U, "&gt;0")&gt;0,INDEX('Raw Annual DMR Data'!V:V,MATCH(1,($F65='Raw Annual DMR Data'!L:L)*($W65='Raw Annual DMR Data'!U:U),0)), "N/A - Period DMR Data Not Available")</f>
        <v>N/A - Period DMR Data Not Available</v>
      </c>
      <c r="Y65" s="113" t="str" cm="1">
        <f t="array" ref="Y65">IF(COUNTIFS('Raw Annual DMR Data'!L:L,$F65, 'Raw Annual DMR Data'!U:U, "&gt;0")&gt;0,INDEX('Raw Annual DMR Data'!B:B,MATCH(1,($F65='Raw Annual DMR Data'!L:L)*($W65='Raw Annual DMR Data'!U:U),0)), "N/A - Period DMR Data Not Available")</f>
        <v>N/A - Period DMR Data Not Available</v>
      </c>
      <c r="Z65" s="311" t="str" cm="1">
        <f t="array" ref="Z65">IF(COUNTIF('Raw Annual DMR Data'!K:K,$E65)&gt;0,"N/A - See DMRs",IF(SUMIFS('Raw TRI Data'!$Z:$Z,'Raw TRI Data'!$J:$J,$E65)&gt;0,MEDIAN(IF('Raw TRI Data'!$J:$J=$E65,'Raw TRI Data'!$Z:$Z)), "N/A - Facility Does Not Report to TRI, no surface water releases, or no Generic Factors available"))</f>
        <v>N/A - See DMRs</v>
      </c>
      <c r="AA65" s="156" t="str">
        <f>IF(COUNTIF('Raw Annual DMR Data'!K:K,$E65)&gt;0,"N/A - See DMRs",IF(SUMIFS('Raw TRI Data'!$Z:$Z,'Raw TRI Data'!$J:$J,$E65)&gt;0,_xlfn.MAXIFS('Raw TRI Data'!$Z:$Z,'Raw TRI Data'!$J:$J,$E65), "N/A - Facility Does Not Report to TRI, no surface water releases, or no Generic Factors available"))</f>
        <v>N/A - See DMRs</v>
      </c>
      <c r="AB65" s="113" t="str">
        <f t="shared" si="6"/>
        <v>N/A</v>
      </c>
      <c r="AC65" s="136" t="str" cm="1">
        <f t="array" ref="AC65">IF(COUNTIF('Raw Annual DMR Data'!K:K,$E65)&gt;0,"N/A - See DMRs",IF(SUMIFS('Raw TRI Data'!$Z:$Z,'Raw TRI Data'!$J:$J,$E65)&gt;0,INDEX('Raw TRI Data'!$A:$A,MATCH(1,($E65='Raw TRI Data'!$J:$J)*($AA65='Raw TRI Data'!$Z:$Z),0)), "N/A - Facility Does Not Report to TRI, no surface water releases, or no Generic Factors available"))</f>
        <v>N/A - See DMRs</v>
      </c>
      <c r="AD65" s="96" t="str" cm="1">
        <f t="array" ref="AD65">IF(COUNTIFS('Raw Annual DMR Data'!L:L,$F65,'Raw Annual DMR Data'!W:W, "&gt;0")&gt;0,MEDIAN(IF('Raw Annual DMR Data'!K:K=$F65, 'Raw Annual DMR Data'!W:W)), "N/A - No Daily Max DMR Discharge Data")</f>
        <v>N/A - No Daily Max DMR Discharge Data</v>
      </c>
      <c r="AE65" s="96" t="str">
        <f>IF(COUNTIFS('Raw Annual DMR Data'!L:L,$F65,'Raw Annual DMR Data'!W:W, "&gt;0")&gt;0,_xlfn.MAXIFS('Raw Annual DMR Data'!W:W,'Raw Annual DMR Data'!L:L,$F65), "N/A - No Daily Max DMR Discharge Data")</f>
        <v>N/A - No Daily Max DMR Discharge Data</v>
      </c>
      <c r="AF65" s="60" t="str" cm="1">
        <f t="array" ref="AF65">IF(COUNTIFS('Raw Annual DMR Data'!L:L,$F65,'Raw Annual DMR Data'!W:W, "&gt;0")&gt;0,INDEX('Raw Annual DMR Data'!B:B,MATCH(1,($F65='Raw Annual DMR Data'!L:L)*($AE65='Raw Annual DMR Data'!W:W),0)), "N/A - No Daily Max DMR Discharge Data")</f>
        <v>N/A - No Daily Max DMR Discharge Data</v>
      </c>
      <c r="AG65" s="422"/>
      <c r="AH65" s="422"/>
      <c r="AI65" s="423"/>
    </row>
    <row r="66" spans="1:35" ht="30.75" thickBot="1" x14ac:dyDescent="0.3">
      <c r="A66" s="144" t="str">
        <f>VLOOKUP(F66,'Facility Summary'!J:K,2,FALSE)</f>
        <v>Unknown</v>
      </c>
      <c r="B66" s="28" t="s">
        <v>152</v>
      </c>
      <c r="C66" s="28" t="s">
        <v>490</v>
      </c>
      <c r="D66" s="60" t="s">
        <v>491</v>
      </c>
      <c r="E66" s="60" t="s">
        <v>492</v>
      </c>
      <c r="F66" s="74">
        <v>110000333318</v>
      </c>
      <c r="G66" s="74" t="s">
        <v>866</v>
      </c>
      <c r="H66" s="63" t="s">
        <v>867</v>
      </c>
      <c r="I66" s="74">
        <v>2050306000429</v>
      </c>
      <c r="J66" s="74" t="s">
        <v>265</v>
      </c>
      <c r="K66" s="60">
        <f>VLOOKUP(A66, 'OES Summary'!$A:$B, 2, FALSE)</f>
        <v>250</v>
      </c>
      <c r="L66" s="304" cm="1">
        <f t="array" ref="L66">IF(COUNTIF('Raw Annual DMR Data'!$L:$L,$F66)&gt;0,MEDIAN(IF('Raw Annual DMR Data'!$L:$L=F66,'Raw Annual DMR Data'!$S:$S)),"N/A - Facility Does Not Report DMRs")</f>
        <v>2.3856855E-3</v>
      </c>
      <c r="M66" s="156">
        <f t="shared" si="4"/>
        <v>9.5427419999999992E-6</v>
      </c>
      <c r="N66" s="156">
        <f>IF(COUNTIF('Raw Annual DMR Data'!$L:$L,$F66)&gt;0,_xlfn.MAXIFS('Raw Annual DMR Data'!$S:$S,'Raw Annual DMR Data'!$L:$L,$F66), "N/A - Facility Does Not Report DMRs")</f>
        <v>4.5268599999999999E-2</v>
      </c>
      <c r="O66" s="156">
        <f t="shared" si="5"/>
        <v>1.8107440000000001E-4</v>
      </c>
      <c r="P66" s="113" cm="1">
        <f t="array" ref="P66">IF(COUNTIF('Raw Annual DMR Data'!$L:$L,$F66)&gt;0,INDEX('Raw Annual DMR Data'!$B:$B,MATCH(1,($F66='Raw Annual DMR Data'!$L:$L)*($N66='Raw Annual DMR Data'!$S:$S),0)), "N/A - Facility Does Not Report DMRs")</f>
        <v>2016</v>
      </c>
      <c r="Q66" s="304" t="str" cm="1">
        <f t="array" ref="Q66">IF(COUNTIF('Raw TRI Data'!$J:$J,$E66)&gt;0,MEDIAN(IF('Raw TRI Data'!$J:$J=E66,'Raw TRI Data'!$S:$S)), "N/A - Facility Does Not Report to TRI")</f>
        <v>N/A - Facility Does Not Report to TRI</v>
      </c>
      <c r="R66" s="156" t="str">
        <f t="shared" si="7"/>
        <v>N/A - Facility Does Not Report to TRI</v>
      </c>
      <c r="S66" s="156" t="str">
        <f>IF(COUNTIF('Raw TRI Data'!$J:$J,$E66)&gt;0,_xlfn.MAXIFS('Raw TRI Data'!$S:$S,'Raw TRI Data'!$J:$J,$E66), "N/A - Facility Does Not Report to TRI")</f>
        <v>N/A - Facility Does Not Report to TRI</v>
      </c>
      <c r="T66" s="156" t="str">
        <f t="shared" si="8"/>
        <v>N/A - Facility Does Not Report to TRI</v>
      </c>
      <c r="U66" s="136" t="str" cm="1">
        <f t="array" ref="U66">IF(COUNTIF('Raw TRI Data'!$J:$J,$E66)&gt;0,INDEX('Raw TRI Data'!$A:$A,MATCH(1,($E66='Raw TRI Data'!$J:$J)*(S66='Raw TRI Data'!$S:$S),0)), "N/A - Facility Does Not Report to TRI")</f>
        <v>N/A - Facility Does Not Report to TRI</v>
      </c>
      <c r="V66" s="156" t="str" cm="1">
        <f t="array" ref="V66">IF(COUNTIFS('Raw Annual DMR Data'!$L:$L,$F66,'Raw Annual DMR Data'!$U:$U,"&gt;0")&gt;0,MEDIAN(IF('Raw Annual DMR Data'!$L:$L=$F66,'Raw Annual DMR Data'!$U:$U,"")),"N/A - Period DMR Data Not Available")</f>
        <v>N/A - Period DMR Data Not Available</v>
      </c>
      <c r="W66" s="156" t="str">
        <f>IF(COUNTIFS('Raw Annual DMR Data'!$L:$L,$F66, 'Raw Annual DMR Data'!$U:$U, "&gt;0")&gt;0,_xlfn.MAXIFS('Raw Annual DMR Data'!$U:$U,'Raw Annual DMR Data'!$L:$L,$F66), "N/A - Period DMR Data Not Available")</f>
        <v>N/A - Period DMR Data Not Available</v>
      </c>
      <c r="X66" s="113" t="str" cm="1">
        <f t="array" ref="X66">+IF(COUNTIFS('Raw Annual DMR Data'!L:L,$F66, 'Raw Annual DMR Data'!U:U, "&gt;0")&gt;0,INDEX('Raw Annual DMR Data'!V:V,MATCH(1,($F66='Raw Annual DMR Data'!L:L)*($W66='Raw Annual DMR Data'!U:U),0)), "N/A - Period DMR Data Not Available")</f>
        <v>N/A - Period DMR Data Not Available</v>
      </c>
      <c r="Y66" s="113" t="str" cm="1">
        <f t="array" ref="Y66">IF(COUNTIFS('Raw Annual DMR Data'!L:L,$F66, 'Raw Annual DMR Data'!U:U, "&gt;0")&gt;0,INDEX('Raw Annual DMR Data'!B:B,MATCH(1,($F66='Raw Annual DMR Data'!L:L)*($W66='Raw Annual DMR Data'!U:U),0)), "N/A - Period DMR Data Not Available")</f>
        <v>N/A - Period DMR Data Not Available</v>
      </c>
      <c r="Z66" s="311" t="str" cm="1">
        <f t="array" ref="Z66">IF(COUNTIF('Raw Annual DMR Data'!K:K,$E66)&gt;0,"N/A - See DMRs",IF(SUMIFS('Raw TRI Data'!$Z:$Z,'Raw TRI Data'!$J:$J,$E66)&gt;0,MEDIAN(IF('Raw TRI Data'!$J:$J=$E66,'Raw TRI Data'!$Z:$Z)), "N/A - Facility Does Not Report to TRI, no surface water releases, or no Generic Factors available"))</f>
        <v>N/A - See DMRs</v>
      </c>
      <c r="AA66" s="156" t="str">
        <f>IF(COUNTIF('Raw Annual DMR Data'!K:K,$E66)&gt;0,"N/A - See DMRs",IF(SUMIFS('Raw TRI Data'!$Z:$Z,'Raw TRI Data'!$J:$J,$E66)&gt;0,_xlfn.MAXIFS('Raw TRI Data'!$Z:$Z,'Raw TRI Data'!$J:$J,$E66), "N/A - Facility Does Not Report to TRI, no surface water releases, or no Generic Factors available"))</f>
        <v>N/A - See DMRs</v>
      </c>
      <c r="AB66" s="113" t="str">
        <f t="shared" si="6"/>
        <v>N/A</v>
      </c>
      <c r="AC66" s="136" t="str" cm="1">
        <f t="array" ref="AC66">IF(COUNTIF('Raw Annual DMR Data'!K:K,$E66)&gt;0,"N/A - See DMRs",IF(SUMIFS('Raw TRI Data'!$Z:$Z,'Raw TRI Data'!$J:$J,$E66)&gt;0,INDEX('Raw TRI Data'!$A:$A,MATCH(1,($E66='Raw TRI Data'!$J:$J)*($AA66='Raw TRI Data'!$Z:$Z),0)), "N/A - Facility Does Not Report to TRI, no surface water releases, or no Generic Factors available"))</f>
        <v>N/A - See DMRs</v>
      </c>
      <c r="AD66" s="96" t="str" cm="1">
        <f t="array" ref="AD66">IF(COUNTIFS('Raw Annual DMR Data'!L:L,$F66,'Raw Annual DMR Data'!W:W, "&gt;0")&gt;0,MEDIAN(IF('Raw Annual DMR Data'!K:K=$F66, 'Raw Annual DMR Data'!W:W)), "N/A - No Daily Max DMR Discharge Data")</f>
        <v>N/A - No Daily Max DMR Discharge Data</v>
      </c>
      <c r="AE66" s="96" t="str">
        <f>IF(COUNTIFS('Raw Annual DMR Data'!L:L,$F66,'Raw Annual DMR Data'!W:W, "&gt;0")&gt;0,_xlfn.MAXIFS('Raw Annual DMR Data'!W:W,'Raw Annual DMR Data'!L:L,$F66), "N/A - No Daily Max DMR Discharge Data")</f>
        <v>N/A - No Daily Max DMR Discharge Data</v>
      </c>
      <c r="AF66" s="60" t="str" cm="1">
        <f t="array" ref="AF66">IF(COUNTIFS('Raw Annual DMR Data'!L:L,$F66,'Raw Annual DMR Data'!W:W, "&gt;0")&gt;0,INDEX('Raw Annual DMR Data'!B:B,MATCH(1,($F66='Raw Annual DMR Data'!L:L)*($AE66='Raw Annual DMR Data'!W:W),0)), "N/A - No Daily Max DMR Discharge Data")</f>
        <v>N/A - No Daily Max DMR Discharge Data</v>
      </c>
      <c r="AG66" s="422"/>
      <c r="AH66" s="422"/>
      <c r="AI66" s="423"/>
    </row>
    <row r="67" spans="1:35" ht="45.75" thickBot="1" x14ac:dyDescent="0.3">
      <c r="A67" s="144" t="str">
        <f>VLOOKUP(F67,'Facility Summary'!J:K,2,FALSE)</f>
        <v>Laboratory Use</v>
      </c>
      <c r="B67" s="28" t="s">
        <v>153</v>
      </c>
      <c r="C67" s="28" t="s">
        <v>495</v>
      </c>
      <c r="D67" s="60" t="s">
        <v>427</v>
      </c>
      <c r="E67" s="60"/>
      <c r="F67" s="74">
        <v>110017422733</v>
      </c>
      <c r="G67" s="74" t="s">
        <v>868</v>
      </c>
      <c r="H67" s="63" t="s">
        <v>869</v>
      </c>
      <c r="I67" s="74">
        <v>4090005002033</v>
      </c>
      <c r="J67" s="74" t="s">
        <v>265</v>
      </c>
      <c r="K67" s="60">
        <f>VLOOKUP(A67, 'OES Summary'!$A:$B, 2, FALSE)</f>
        <v>260</v>
      </c>
      <c r="L67" s="304" cm="1">
        <f t="array" ref="L67">IF(COUNTIF('Raw Annual DMR Data'!$L:$L,$F67)&gt;0,MEDIAN(IF('Raw Annual DMR Data'!$L:$L=F67,'Raw Annual DMR Data'!$S:$S)),"N/A - Facility Does Not Report DMRs")</f>
        <v>1.7608766249999998E-2</v>
      </c>
      <c r="M67" s="156">
        <f t="shared" si="4"/>
        <v>6.7726024038461524E-5</v>
      </c>
      <c r="N67" s="156">
        <f>IF(COUNTIF('Raw Annual DMR Data'!$L:$L,$F67)&gt;0,_xlfn.MAXIFS('Raw Annual DMR Data'!$S:$S,'Raw Annual DMR Data'!$L:$L,$F67), "N/A - Facility Does Not Report DMRs")</f>
        <v>0.25451097</v>
      </c>
      <c r="O67" s="156">
        <f t="shared" si="5"/>
        <v>9.7888834615384606E-4</v>
      </c>
      <c r="P67" s="113" cm="1">
        <f t="array" ref="P67">IF(COUNTIF('Raw Annual DMR Data'!$L:$L,$F67)&gt;0,INDEX('Raw Annual DMR Data'!$B:$B,MATCH(1,($F67='Raw Annual DMR Data'!$L:$L)*($N67='Raw Annual DMR Data'!$S:$S),0)), "N/A - Facility Does Not Report DMRs")</f>
        <v>2015</v>
      </c>
      <c r="Q67" s="304" t="str" cm="1">
        <f t="array" ref="Q67">IF(COUNTIF('Raw TRI Data'!$J:$J,$E67)&gt;0,MEDIAN(IF('Raw TRI Data'!$J:$J=E67,'Raw TRI Data'!$S:$S)), "N/A - Facility Does Not Report to TRI")</f>
        <v>N/A - Facility Does Not Report to TRI</v>
      </c>
      <c r="R67" s="156" t="str">
        <f t="shared" si="7"/>
        <v>N/A - Facility Does Not Report to TRI</v>
      </c>
      <c r="S67" s="156" t="str">
        <f>IF(COUNTIF('Raw TRI Data'!$J:$J,$E67)&gt;0,_xlfn.MAXIFS('Raw TRI Data'!$S:$S,'Raw TRI Data'!$J:$J,$E67), "N/A - Facility Does Not Report to TRI")</f>
        <v>N/A - Facility Does Not Report to TRI</v>
      </c>
      <c r="T67" s="156" t="str">
        <f t="shared" si="8"/>
        <v>N/A - Facility Does Not Report to TRI</v>
      </c>
      <c r="U67" s="136" t="str" cm="1">
        <f t="array" ref="U67">IF(COUNTIF('Raw TRI Data'!$J:$J,$E67)&gt;0,INDEX('Raw TRI Data'!$A:$A,MATCH(1,($E67='Raw TRI Data'!$J:$J)*(S67='Raw TRI Data'!$S:$S),0)), "N/A - Facility Does Not Report to TRI")</f>
        <v>N/A - Facility Does Not Report to TRI</v>
      </c>
      <c r="V67" s="156" t="str" cm="1">
        <f t="array" ref="V67">IF(COUNTIFS('Raw Annual DMR Data'!$L:$L,$F67,'Raw Annual DMR Data'!$U:$U,"&gt;0")&gt;0,MEDIAN(IF('Raw Annual DMR Data'!$L:$L=$F67,'Raw Annual DMR Data'!$U:$U,"")),"N/A - Period DMR Data Not Available")</f>
        <v>N/A - Period DMR Data Not Available</v>
      </c>
      <c r="W67" s="156" t="str">
        <f>IF(COUNTIFS('Raw Annual DMR Data'!$L:$L,$F67, 'Raw Annual DMR Data'!$U:$U, "&gt;0")&gt;0,_xlfn.MAXIFS('Raw Annual DMR Data'!$U:$U,'Raw Annual DMR Data'!$L:$L,$F67), "N/A - Period DMR Data Not Available")</f>
        <v>N/A - Period DMR Data Not Available</v>
      </c>
      <c r="X67" s="113" t="str" cm="1">
        <f t="array" ref="X67">+IF(COUNTIFS('Raw Annual DMR Data'!L:L,$F67, 'Raw Annual DMR Data'!U:U, "&gt;0")&gt;0,INDEX('Raw Annual DMR Data'!V:V,MATCH(1,($F67='Raw Annual DMR Data'!L:L)*($W67='Raw Annual DMR Data'!U:U),0)), "N/A - Period DMR Data Not Available")</f>
        <v>N/A - Period DMR Data Not Available</v>
      </c>
      <c r="Y67" s="113" t="str" cm="1">
        <f t="array" ref="Y67">IF(COUNTIFS('Raw Annual DMR Data'!L:L,$F67, 'Raw Annual DMR Data'!U:U, "&gt;0")&gt;0,INDEX('Raw Annual DMR Data'!B:B,MATCH(1,($F67='Raw Annual DMR Data'!L:L)*($W67='Raw Annual DMR Data'!U:U),0)), "N/A - Period DMR Data Not Available")</f>
        <v>N/A - Period DMR Data Not Available</v>
      </c>
      <c r="Z67" s="311" t="str" cm="1">
        <f t="array" ref="Z67">IF(COUNTIF('Raw Annual DMR Data'!K:K,$E67)&gt;0,"N/A - See DMRs",IF(SUMIFS('Raw TRI Data'!$Z:$Z,'Raw TRI Data'!$J:$J,$E67)&gt;0,MEDIAN(IF('Raw TRI Data'!$J:$J=$E67,'Raw TRI Data'!$Z:$Z)), "N/A - Facility Does Not Report to TRI, no surface water releases, or no Generic Factors available"))</f>
        <v>N/A - Facility Does Not Report to TRI, no surface water releases, or no Generic Factors available</v>
      </c>
      <c r="AA67" s="156" t="str">
        <f>IF(COUNTIF('Raw Annual DMR Data'!K:K,$E67)&gt;0,"N/A - See DMRs",IF(SUMIFS('Raw TRI Data'!$Z:$Z,'Raw TRI Data'!$J:$J,$E67)&gt;0,_xlfn.MAXIFS('Raw TRI Data'!$Z:$Z,'Raw TRI Data'!$J:$J,$E67), "N/A - Facility Does Not Report to TRI, no surface water releases, or no Generic Factors available"))</f>
        <v>N/A - Facility Does Not Report to TRI, no surface water releases, or no Generic Factors available</v>
      </c>
      <c r="AB67" s="113" t="str">
        <f t="shared" si="6"/>
        <v>N/A</v>
      </c>
      <c r="AC67" s="136" t="str" cm="1">
        <f t="array" ref="AC67">IF(COUNTIF('Raw Annual DMR Data'!K:K,$E67)&gt;0,"N/A - See DMRs",IF(SUMIFS('Raw TRI Data'!$Z:$Z,'Raw TRI Data'!$J:$J,$E67)&gt;0,INDEX('Raw TRI Data'!$A:$A,MATCH(1,($E67='Raw TRI Data'!$J:$J)*($AA67='Raw TRI Data'!$Z:$Z),0)), "N/A - Facility Does Not Report to TRI, no surface water releases, or no Generic Factors available"))</f>
        <v>N/A - Facility Does Not Report to TRI, no surface water releases, or no Generic Factors available</v>
      </c>
      <c r="AD67" s="96" t="str" cm="1">
        <f t="array" ref="AD67">IF(COUNTIFS('Raw Annual DMR Data'!L:L,$F67,'Raw Annual DMR Data'!W:W, "&gt;0")&gt;0,MEDIAN(IF('Raw Annual DMR Data'!K:K=$F67, 'Raw Annual DMR Data'!W:W)), "N/A - No Daily Max DMR Discharge Data")</f>
        <v>N/A - No Daily Max DMR Discharge Data</v>
      </c>
      <c r="AE67" s="96" t="str">
        <f>IF(COUNTIFS('Raw Annual DMR Data'!L:L,$F67,'Raw Annual DMR Data'!W:W, "&gt;0")&gt;0,_xlfn.MAXIFS('Raw Annual DMR Data'!W:W,'Raw Annual DMR Data'!L:L,$F67), "N/A - No Daily Max DMR Discharge Data")</f>
        <v>N/A - No Daily Max DMR Discharge Data</v>
      </c>
      <c r="AF67" s="60" t="str" cm="1">
        <f t="array" ref="AF67">IF(COUNTIFS('Raw Annual DMR Data'!L:L,$F67,'Raw Annual DMR Data'!W:W, "&gt;0")&gt;0,INDEX('Raw Annual DMR Data'!B:B,MATCH(1,($F67='Raw Annual DMR Data'!L:L)*($AE67='Raw Annual DMR Data'!W:W),0)), "N/A - No Daily Max DMR Discharge Data")</f>
        <v>N/A - No Daily Max DMR Discharge Data</v>
      </c>
      <c r="AG67" s="422"/>
      <c r="AH67" s="422"/>
      <c r="AI67" s="423"/>
    </row>
    <row r="68" spans="1:35" ht="45.75" thickBot="1" x14ac:dyDescent="0.3">
      <c r="A68" s="144" t="str">
        <f>VLOOKUP(F68,'Facility Summary'!J:K,2,FALSE)</f>
        <v>POTW</v>
      </c>
      <c r="B68" s="84" t="s">
        <v>154</v>
      </c>
      <c r="C68" s="84" t="s">
        <v>498</v>
      </c>
      <c r="D68" s="84" t="s">
        <v>338</v>
      </c>
      <c r="E68" s="60"/>
      <c r="F68" s="74">
        <v>110064625730</v>
      </c>
      <c r="G68" s="74" t="s">
        <v>870</v>
      </c>
      <c r="H68" s="63" t="s">
        <v>871</v>
      </c>
      <c r="I68" s="74">
        <v>2040202000030</v>
      </c>
      <c r="J68" s="74" t="s">
        <v>265</v>
      </c>
      <c r="K68" s="60">
        <f>VLOOKUP(A68, 'OES Summary'!$A:$B, 2, FALSE)</f>
        <v>365</v>
      </c>
      <c r="L68" s="304" cm="1">
        <f t="array" ref="L68">IF(COUNTIF('Raw Annual DMR Data'!$L:$L,$F68)&gt;0,MEDIAN(IF('Raw Annual DMR Data'!$L:$L=F68,'Raw Annual DMR Data'!$S:$S)),"N/A - Facility Does Not Report DMRs")</f>
        <v>4.9015500000000003</v>
      </c>
      <c r="M68" s="156">
        <f t="shared" si="4"/>
        <v>1.3428904109589041E-2</v>
      </c>
      <c r="N68" s="156">
        <f>IF(COUNTIF('Raw Annual DMR Data'!$L:$L,$F68)&gt;0,_xlfn.MAXIFS('Raw Annual DMR Data'!$S:$S,'Raw Annual DMR Data'!$L:$L,$F68), "N/A - Facility Does Not Report DMRs")</f>
        <v>17.557500000000001</v>
      </c>
      <c r="O68" s="156">
        <f t="shared" si="5"/>
        <v>4.8102739726027403E-2</v>
      </c>
      <c r="P68" s="113" cm="1">
        <f t="array" ref="P68">IF(COUNTIF('Raw Annual DMR Data'!$L:$L,$F68)&gt;0,INDEX('Raw Annual DMR Data'!$B:$B,MATCH(1,($F68='Raw Annual DMR Data'!$L:$L)*($N68='Raw Annual DMR Data'!$S:$S),0)), "N/A - Facility Does Not Report DMRs")</f>
        <v>2023</v>
      </c>
      <c r="Q68" s="304" t="str" cm="1">
        <f t="array" ref="Q68">IF(COUNTIF('Raw TRI Data'!$J:$J,$E68)&gt;0,MEDIAN(IF('Raw TRI Data'!$J:$J=E68,'Raw TRI Data'!$S:$S)), "N/A - Facility Does Not Report to TRI")</f>
        <v>N/A - Facility Does Not Report to TRI</v>
      </c>
      <c r="R68" s="156" t="str">
        <f t="shared" ref="R68:R99" si="9">IFERROR(+Q68/$K68, "N/A - Facility Does Not Report to TRI")</f>
        <v>N/A - Facility Does Not Report to TRI</v>
      </c>
      <c r="S68" s="156" t="str">
        <f>IF(COUNTIF('Raw TRI Data'!$J:$J,$E68)&gt;0,_xlfn.MAXIFS('Raw TRI Data'!$S:$S,'Raw TRI Data'!$J:$J,$E68), "N/A - Facility Does Not Report to TRI")</f>
        <v>N/A - Facility Does Not Report to TRI</v>
      </c>
      <c r="T68" s="156" t="str">
        <f t="shared" ref="T68:T99" si="10">IFERROR(+S68/$K68, "N/A - Facility Does Not Report to TRI")</f>
        <v>N/A - Facility Does Not Report to TRI</v>
      </c>
      <c r="U68" s="136" t="str" cm="1">
        <f t="array" ref="U68">IF(COUNTIF('Raw TRI Data'!$J:$J,$E68)&gt;0,INDEX('Raw TRI Data'!$A:$A,MATCH(1,($E68='Raw TRI Data'!$J:$J)*(S68='Raw TRI Data'!$S:$S),0)), "N/A - Facility Does Not Report to TRI")</f>
        <v>N/A - Facility Does Not Report to TRI</v>
      </c>
      <c r="V68" s="156" t="str" cm="1">
        <f t="array" ref="V68">IF(COUNTIFS('Raw Annual DMR Data'!$L:$L,$F68,'Raw Annual DMR Data'!$U:$U,"&gt;0")&gt;0,MEDIAN(IF('Raw Annual DMR Data'!$L:$L=$F68,'Raw Annual DMR Data'!$U:$U,"")),"N/A - Period DMR Data Not Available")</f>
        <v>N/A - Period DMR Data Not Available</v>
      </c>
      <c r="W68" s="156" t="str">
        <f>IF(COUNTIFS('Raw Annual DMR Data'!$L:$L,$F68, 'Raw Annual DMR Data'!$U:$U, "&gt;0")&gt;0,_xlfn.MAXIFS('Raw Annual DMR Data'!$U:$U,'Raw Annual DMR Data'!$L:$L,$F68), "N/A - Period DMR Data Not Available")</f>
        <v>N/A - Period DMR Data Not Available</v>
      </c>
      <c r="X68" s="113" t="str" cm="1">
        <f t="array" ref="X68">+IF(COUNTIFS('Raw Annual DMR Data'!L:L,$F68, 'Raw Annual DMR Data'!U:U, "&gt;0")&gt;0,INDEX('Raw Annual DMR Data'!V:V,MATCH(1,($F68='Raw Annual DMR Data'!L:L)*($W68='Raw Annual DMR Data'!U:U),0)), "N/A - Period DMR Data Not Available")</f>
        <v>N/A - Period DMR Data Not Available</v>
      </c>
      <c r="Y68" s="113" t="str" cm="1">
        <f t="array" ref="Y68">IF(COUNTIFS('Raw Annual DMR Data'!L:L,$F68, 'Raw Annual DMR Data'!U:U, "&gt;0")&gt;0,INDEX('Raw Annual DMR Data'!B:B,MATCH(1,($F68='Raw Annual DMR Data'!L:L)*($W68='Raw Annual DMR Data'!U:U),0)), "N/A - Period DMR Data Not Available")</f>
        <v>N/A - Period DMR Data Not Available</v>
      </c>
      <c r="Z68" s="311" t="str" cm="1">
        <f t="array" ref="Z68">IF(COUNTIF('Raw Annual DMR Data'!K:K,$E68)&gt;0,"N/A - See DMRs",IF(SUMIFS('Raw TRI Data'!$Z:$Z,'Raw TRI Data'!$J:$J,$E68)&gt;0,MEDIAN(IF('Raw TRI Data'!$J:$J=$E68,'Raw TRI Data'!$Z:$Z)), "N/A - Facility Does Not Report to TRI, no surface water releases, or no Generic Factors available"))</f>
        <v>N/A - Facility Does Not Report to TRI, no surface water releases, or no Generic Factors available</v>
      </c>
      <c r="AA68" s="156" t="str">
        <f>IF(COUNTIF('Raw Annual DMR Data'!K:K,$E68)&gt;0,"N/A - See DMRs",IF(SUMIFS('Raw TRI Data'!$Z:$Z,'Raw TRI Data'!$J:$J,$E68)&gt;0,_xlfn.MAXIFS('Raw TRI Data'!$Z:$Z,'Raw TRI Data'!$J:$J,$E68), "N/A - Facility Does Not Report to TRI, no surface water releases, or no Generic Factors available"))</f>
        <v>N/A - Facility Does Not Report to TRI, no surface water releases, or no Generic Factors available</v>
      </c>
      <c r="AB68" s="113" t="str">
        <f t="shared" si="6"/>
        <v>N/A</v>
      </c>
      <c r="AC68" s="136" t="str" cm="1">
        <f t="array" ref="AC68">IF(COUNTIF('Raw Annual DMR Data'!K:K,$E68)&gt;0,"N/A - See DMRs",IF(SUMIFS('Raw TRI Data'!$Z:$Z,'Raw TRI Data'!$J:$J,$E68)&gt;0,INDEX('Raw TRI Data'!$A:$A,MATCH(1,($E68='Raw TRI Data'!$J:$J)*($AA68='Raw TRI Data'!$Z:$Z),0)), "N/A - Facility Does Not Report to TRI, no surface water releases, or no Generic Factors available"))</f>
        <v>N/A - Facility Does Not Report to TRI, no surface water releases, or no Generic Factors available</v>
      </c>
      <c r="AD68" s="96" t="str" cm="1">
        <f t="array" ref="AD68">IF(COUNTIFS('Raw Annual DMR Data'!L:L,$F68,'Raw Annual DMR Data'!W:W, "&gt;0")&gt;0,MEDIAN(IF('Raw Annual DMR Data'!K:K=$F68, 'Raw Annual DMR Data'!W:W)), "N/A - No Daily Max DMR Discharge Data")</f>
        <v>N/A - No Daily Max DMR Discharge Data</v>
      </c>
      <c r="AE68" s="96" t="str">
        <f>IF(COUNTIFS('Raw Annual DMR Data'!L:L,$F68,'Raw Annual DMR Data'!W:W, "&gt;0")&gt;0,_xlfn.MAXIFS('Raw Annual DMR Data'!W:W,'Raw Annual DMR Data'!L:L,$F68), "N/A - No Daily Max DMR Discharge Data")</f>
        <v>N/A - No Daily Max DMR Discharge Data</v>
      </c>
      <c r="AF68" s="60" t="str" cm="1">
        <f t="array" ref="AF68">IF(COUNTIFS('Raw Annual DMR Data'!L:L,$F68,'Raw Annual DMR Data'!W:W, "&gt;0")&gt;0,INDEX('Raw Annual DMR Data'!B:B,MATCH(1,($F68='Raw Annual DMR Data'!L:L)*($AE68='Raw Annual DMR Data'!W:W),0)), "N/A - No Daily Max DMR Discharge Data")</f>
        <v>N/A - No Daily Max DMR Discharge Data</v>
      </c>
      <c r="AG68" s="422"/>
      <c r="AH68" s="422"/>
      <c r="AI68" s="423"/>
    </row>
    <row r="69" spans="1:35" ht="45.75" thickBot="1" x14ac:dyDescent="0.3">
      <c r="A69" s="144" t="str">
        <f>VLOOKUP(F69,'Facility Summary'!J:K,2,FALSE)</f>
        <v>Repackaging</v>
      </c>
      <c r="B69" s="85" t="s">
        <v>155</v>
      </c>
      <c r="C69" s="84" t="s">
        <v>500</v>
      </c>
      <c r="D69" s="84" t="s">
        <v>303</v>
      </c>
      <c r="E69" s="60"/>
      <c r="F69" s="74">
        <v>110012254363</v>
      </c>
      <c r="G69" s="74" t="s">
        <v>872</v>
      </c>
      <c r="H69" s="63"/>
      <c r="I69" s="74">
        <v>8070201006484</v>
      </c>
      <c r="J69" s="74" t="s">
        <v>265</v>
      </c>
      <c r="K69" s="60">
        <f>VLOOKUP(A69, 'OES Summary'!$A:$B, 2, FALSE)</f>
        <v>250</v>
      </c>
      <c r="L69" s="304" cm="1">
        <f t="array" ref="L69">IF(COUNTIF('Raw Annual DMR Data'!$L:$L,$F69)&gt;0,MEDIAN(IF('Raw Annual DMR Data'!$L:$L=F69,'Raw Annual DMR Data'!$S:$S)),"N/A - Facility Does Not Report DMRs")</f>
        <v>6.6026959374999901E-5</v>
      </c>
      <c r="M69" s="156">
        <f t="shared" ref="M69:M132" si="11">IFERROR(+L69/$K69, "N/A - Facility Does Not Report DMRs")</f>
        <v>2.6410783749999962E-7</v>
      </c>
      <c r="N69" s="156">
        <f>IF(COUNTIF('Raw Annual DMR Data'!$L:$L,$F69)&gt;0,_xlfn.MAXIFS('Raw Annual DMR Data'!$S:$S,'Raw Annual DMR Data'!$L:$L,$F69), "N/A - Facility Does Not Report DMRs")</f>
        <v>0.176281811047</v>
      </c>
      <c r="O69" s="156">
        <f t="shared" ref="O69:O132" si="12">IFERROR(+N69/$K69, "N/A - Facility Does Not Report DMRs")</f>
        <v>7.0512724418799995E-4</v>
      </c>
      <c r="P69" s="113" cm="1">
        <f t="array" ref="P69">IF(COUNTIF('Raw Annual DMR Data'!$L:$L,$F69)&gt;0,INDEX('Raw Annual DMR Data'!$B:$B,MATCH(1,($F69='Raw Annual DMR Data'!$L:$L)*($N69='Raw Annual DMR Data'!$S:$S),0)), "N/A - Facility Does Not Report DMRs")</f>
        <v>2024</v>
      </c>
      <c r="Q69" s="304" t="str" cm="1">
        <f t="array" ref="Q69">IF(COUNTIF('Raw TRI Data'!$J:$J,$E69)&gt;0,MEDIAN(IF('Raw TRI Data'!$J:$J=E69,'Raw TRI Data'!$S:$S)), "N/A - Facility Does Not Report to TRI")</f>
        <v>N/A - Facility Does Not Report to TRI</v>
      </c>
      <c r="R69" s="156" t="str">
        <f t="shared" si="9"/>
        <v>N/A - Facility Does Not Report to TRI</v>
      </c>
      <c r="S69" s="156" t="str">
        <f>IF(COUNTIF('Raw TRI Data'!$J:$J,$E69)&gt;0,_xlfn.MAXIFS('Raw TRI Data'!$S:$S,'Raw TRI Data'!$J:$J,$E69), "N/A - Facility Does Not Report to TRI")</f>
        <v>N/A - Facility Does Not Report to TRI</v>
      </c>
      <c r="T69" s="156" t="str">
        <f t="shared" si="10"/>
        <v>N/A - Facility Does Not Report to TRI</v>
      </c>
      <c r="U69" s="136" t="str" cm="1">
        <f t="array" ref="U69">IF(COUNTIF('Raw TRI Data'!$J:$J,$E69)&gt;0,INDEX('Raw TRI Data'!$A:$A,MATCH(1,($E69='Raw TRI Data'!$J:$J)*(S69='Raw TRI Data'!$S:$S),0)), "N/A - Facility Does Not Report to TRI")</f>
        <v>N/A - Facility Does Not Report to TRI</v>
      </c>
      <c r="V69" s="156" t="str" cm="1">
        <f t="array" ref="V69">IF(COUNTIFS('Raw Annual DMR Data'!$L:$L,$F69,'Raw Annual DMR Data'!$U:$U,"&gt;0")&gt;0,MEDIAN(IF('Raw Annual DMR Data'!$L:$L=$F69,'Raw Annual DMR Data'!$U:$U,"")),"N/A - Period DMR Data Not Available")</f>
        <v>N/A - Period DMR Data Not Available</v>
      </c>
      <c r="W69" s="156" t="str">
        <f>IF(COUNTIFS('Raw Annual DMR Data'!$L:$L,$F69, 'Raw Annual DMR Data'!$U:$U, "&gt;0")&gt;0,_xlfn.MAXIFS('Raw Annual DMR Data'!$U:$U,'Raw Annual DMR Data'!$L:$L,$F69), "N/A - Period DMR Data Not Available")</f>
        <v>N/A - Period DMR Data Not Available</v>
      </c>
      <c r="X69" s="113" t="str" cm="1">
        <f t="array" ref="X69">+IF(COUNTIFS('Raw Annual DMR Data'!L:L,$F69, 'Raw Annual DMR Data'!U:U, "&gt;0")&gt;0,INDEX('Raw Annual DMR Data'!V:V,MATCH(1,($F69='Raw Annual DMR Data'!L:L)*($W69='Raw Annual DMR Data'!U:U),0)), "N/A - Period DMR Data Not Available")</f>
        <v>N/A - Period DMR Data Not Available</v>
      </c>
      <c r="Y69" s="113" t="str" cm="1">
        <f t="array" ref="Y69">IF(COUNTIFS('Raw Annual DMR Data'!L:L,$F69, 'Raw Annual DMR Data'!U:U, "&gt;0")&gt;0,INDEX('Raw Annual DMR Data'!B:B,MATCH(1,($F69='Raw Annual DMR Data'!L:L)*($W69='Raw Annual DMR Data'!U:U),0)), "N/A - Period DMR Data Not Available")</f>
        <v>N/A - Period DMR Data Not Available</v>
      </c>
      <c r="Z69" s="311" t="str" cm="1">
        <f t="array" ref="Z69">IF(COUNTIF('Raw Annual DMR Data'!K:K,$E69)&gt;0,"N/A - See DMRs",IF(SUMIFS('Raw TRI Data'!$Z:$Z,'Raw TRI Data'!$J:$J,$E69)&gt;0,MEDIAN(IF('Raw TRI Data'!$J:$J=$E69,'Raw TRI Data'!$Z:$Z)), "N/A - Facility Does Not Report to TRI, no surface water releases, or no Generic Factors available"))</f>
        <v>N/A - Facility Does Not Report to TRI, no surface water releases, or no Generic Factors available</v>
      </c>
      <c r="AA69" s="156" t="str">
        <f>IF(COUNTIF('Raw Annual DMR Data'!K:K,$E69)&gt;0,"N/A - See DMRs",IF(SUMIFS('Raw TRI Data'!$Z:$Z,'Raw TRI Data'!$J:$J,$E69)&gt;0,_xlfn.MAXIFS('Raw TRI Data'!$Z:$Z,'Raw TRI Data'!$J:$J,$E69), "N/A - Facility Does Not Report to TRI, no surface water releases, or no Generic Factors available"))</f>
        <v>N/A - Facility Does Not Report to TRI, no surface water releases, or no Generic Factors available</v>
      </c>
      <c r="AB69" s="113" t="str">
        <f t="shared" ref="AB69:AB132" si="13">IF(ISNUMBER(AA69),30,"N/A")</f>
        <v>N/A</v>
      </c>
      <c r="AC69" s="136" t="str" cm="1">
        <f t="array" ref="AC69">IF(COUNTIF('Raw Annual DMR Data'!K:K,$E69)&gt;0,"N/A - See DMRs",IF(SUMIFS('Raw TRI Data'!$Z:$Z,'Raw TRI Data'!$J:$J,$E69)&gt;0,INDEX('Raw TRI Data'!$A:$A,MATCH(1,($E69='Raw TRI Data'!$J:$J)*($AA69='Raw TRI Data'!$Z:$Z),0)), "N/A - Facility Does Not Report to TRI, no surface water releases, or no Generic Factors available"))</f>
        <v>N/A - Facility Does Not Report to TRI, no surface water releases, or no Generic Factors available</v>
      </c>
      <c r="AD69" s="96" t="str" cm="1">
        <f t="array" ref="AD69">IF(COUNTIFS('Raw Annual DMR Data'!L:L,$F69,'Raw Annual DMR Data'!W:W, "&gt;0")&gt;0,MEDIAN(IF('Raw Annual DMR Data'!K:K=$F69, 'Raw Annual DMR Data'!W:W)), "N/A - No Daily Max DMR Discharge Data")</f>
        <v>N/A - No Daily Max DMR Discharge Data</v>
      </c>
      <c r="AE69" s="96" t="str">
        <f>IF(COUNTIFS('Raw Annual DMR Data'!L:L,$F69,'Raw Annual DMR Data'!W:W, "&gt;0")&gt;0,_xlfn.MAXIFS('Raw Annual DMR Data'!W:W,'Raw Annual DMR Data'!L:L,$F69), "N/A - No Daily Max DMR Discharge Data")</f>
        <v>N/A - No Daily Max DMR Discharge Data</v>
      </c>
      <c r="AF69" s="60" t="str" cm="1">
        <f t="array" ref="AF69">IF(COUNTIFS('Raw Annual DMR Data'!L:L,$F69,'Raw Annual DMR Data'!W:W, "&gt;0")&gt;0,INDEX('Raw Annual DMR Data'!B:B,MATCH(1,($F69='Raw Annual DMR Data'!L:L)*($AE69='Raw Annual DMR Data'!W:W),0)), "N/A - No Daily Max DMR Discharge Data")</f>
        <v>N/A - No Daily Max DMR Discharge Data</v>
      </c>
      <c r="AG69" s="422"/>
      <c r="AH69" s="422"/>
      <c r="AI69" s="423"/>
    </row>
    <row r="70" spans="1:35" ht="45.75" thickBot="1" x14ac:dyDescent="0.3">
      <c r="A70" s="144" t="str">
        <f>VLOOKUP(F70,'Facility Summary'!J:K,2,FALSE)</f>
        <v>Repackaging</v>
      </c>
      <c r="B70" s="85" t="s">
        <v>156</v>
      </c>
      <c r="C70" s="84" t="s">
        <v>502</v>
      </c>
      <c r="D70" s="84" t="s">
        <v>303</v>
      </c>
      <c r="E70" s="60"/>
      <c r="F70" s="74">
        <v>110070117180</v>
      </c>
      <c r="G70" s="74" t="s">
        <v>873</v>
      </c>
      <c r="H70" s="63"/>
      <c r="I70" s="74">
        <v>8090100000658</v>
      </c>
      <c r="J70" s="74" t="s">
        <v>265</v>
      </c>
      <c r="K70" s="60">
        <f>VLOOKUP(A70, 'OES Summary'!$A:$B, 2, FALSE)</f>
        <v>250</v>
      </c>
      <c r="L70" s="304" cm="1">
        <f t="array" ref="L70">IF(COUNTIF('Raw Annual DMR Data'!$L:$L,$F70)&gt;0,MEDIAN(IF('Raw Annual DMR Data'!$L:$L=F70,'Raw Annual DMR Data'!$S:$S)),"N/A - Facility Does Not Report DMRs")</f>
        <v>2.5006738000000001E-2</v>
      </c>
      <c r="M70" s="156">
        <f t="shared" si="11"/>
        <v>1.00026952E-4</v>
      </c>
      <c r="N70" s="156">
        <f>IF(COUNTIF('Raw Annual DMR Data'!$L:$L,$F70)&gt;0,_xlfn.MAXIFS('Raw Annual DMR Data'!$S:$S,'Raw Annual DMR Data'!$L:$L,$F70), "N/A - Facility Does Not Report DMRs")</f>
        <v>7.9553640975000006E-2</v>
      </c>
      <c r="O70" s="156">
        <f t="shared" si="12"/>
        <v>3.1821456390000003E-4</v>
      </c>
      <c r="P70" s="113" cm="1">
        <f t="array" ref="P70">IF(COUNTIF('Raw Annual DMR Data'!$L:$L,$F70)&gt;0,INDEX('Raw Annual DMR Data'!$B:$B,MATCH(1,($F70='Raw Annual DMR Data'!$L:$L)*($N70='Raw Annual DMR Data'!$S:$S),0)), "N/A - Facility Does Not Report DMRs")</f>
        <v>2019</v>
      </c>
      <c r="Q70" s="304" t="str" cm="1">
        <f t="array" ref="Q70">IF(COUNTIF('Raw TRI Data'!$J:$J,$E70)&gt;0,MEDIAN(IF('Raw TRI Data'!$J:$J=E70,'Raw TRI Data'!$S:$S)), "N/A - Facility Does Not Report to TRI")</f>
        <v>N/A - Facility Does Not Report to TRI</v>
      </c>
      <c r="R70" s="156" t="str">
        <f t="shared" si="9"/>
        <v>N/A - Facility Does Not Report to TRI</v>
      </c>
      <c r="S70" s="156" t="str">
        <f>IF(COUNTIF('Raw TRI Data'!$J:$J,$E70)&gt;0,_xlfn.MAXIFS('Raw TRI Data'!$S:$S,'Raw TRI Data'!$J:$J,$E70), "N/A - Facility Does Not Report to TRI")</f>
        <v>N/A - Facility Does Not Report to TRI</v>
      </c>
      <c r="T70" s="156" t="str">
        <f t="shared" si="10"/>
        <v>N/A - Facility Does Not Report to TRI</v>
      </c>
      <c r="U70" s="136" t="str" cm="1">
        <f t="array" ref="U70">IF(COUNTIF('Raw TRI Data'!$J:$J,$E70)&gt;0,INDEX('Raw TRI Data'!$A:$A,MATCH(1,($E70='Raw TRI Data'!$J:$J)*(S70='Raw TRI Data'!$S:$S),0)), "N/A - Facility Does Not Report to TRI")</f>
        <v>N/A - Facility Does Not Report to TRI</v>
      </c>
      <c r="V70" s="156" t="str" cm="1">
        <f t="array" ref="V70">IF(COUNTIFS('Raw Annual DMR Data'!$L:$L,$F70,'Raw Annual DMR Data'!$U:$U,"&gt;0")&gt;0,MEDIAN(IF('Raw Annual DMR Data'!$L:$L=$F70,'Raw Annual DMR Data'!$U:$U,"")),"N/A - Period DMR Data Not Available")</f>
        <v>N/A - Period DMR Data Not Available</v>
      </c>
      <c r="W70" s="156" t="str">
        <f>IF(COUNTIFS('Raw Annual DMR Data'!$L:$L,$F70, 'Raw Annual DMR Data'!$U:$U, "&gt;0")&gt;0,_xlfn.MAXIFS('Raw Annual DMR Data'!$U:$U,'Raw Annual DMR Data'!$L:$L,$F70), "N/A - Period DMR Data Not Available")</f>
        <v>N/A - Period DMR Data Not Available</v>
      </c>
      <c r="X70" s="113" t="str" cm="1">
        <f t="array" ref="X70">+IF(COUNTIFS('Raw Annual DMR Data'!L:L,$F70, 'Raw Annual DMR Data'!U:U, "&gt;0")&gt;0,INDEX('Raw Annual DMR Data'!V:V,MATCH(1,($F70='Raw Annual DMR Data'!L:L)*($W70='Raw Annual DMR Data'!U:U),0)), "N/A - Period DMR Data Not Available")</f>
        <v>N/A - Period DMR Data Not Available</v>
      </c>
      <c r="Y70" s="113" t="str" cm="1">
        <f t="array" ref="Y70">IF(COUNTIFS('Raw Annual DMR Data'!L:L,$F70, 'Raw Annual DMR Data'!U:U, "&gt;0")&gt;0,INDEX('Raw Annual DMR Data'!B:B,MATCH(1,($F70='Raw Annual DMR Data'!L:L)*($W70='Raw Annual DMR Data'!U:U),0)), "N/A - Period DMR Data Not Available")</f>
        <v>N/A - Period DMR Data Not Available</v>
      </c>
      <c r="Z70" s="311" t="str" cm="1">
        <f t="array" ref="Z70">IF(COUNTIF('Raw Annual DMR Data'!K:K,$E70)&gt;0,"N/A - See DMRs",IF(SUMIFS('Raw TRI Data'!$Z:$Z,'Raw TRI Data'!$J:$J,$E70)&gt;0,MEDIAN(IF('Raw TRI Data'!$J:$J=$E70,'Raw TRI Data'!$Z:$Z)), "N/A - Facility Does Not Report to TRI, no surface water releases, or no Generic Factors available"))</f>
        <v>N/A - Facility Does Not Report to TRI, no surface water releases, or no Generic Factors available</v>
      </c>
      <c r="AA70" s="156" t="str">
        <f>IF(COUNTIF('Raw Annual DMR Data'!K:K,$E70)&gt;0,"N/A - See DMRs",IF(SUMIFS('Raw TRI Data'!$Z:$Z,'Raw TRI Data'!$J:$J,$E70)&gt;0,_xlfn.MAXIFS('Raw TRI Data'!$Z:$Z,'Raw TRI Data'!$J:$J,$E70), "N/A - Facility Does Not Report to TRI, no surface water releases, or no Generic Factors available"))</f>
        <v>N/A - Facility Does Not Report to TRI, no surface water releases, or no Generic Factors available</v>
      </c>
      <c r="AB70" s="113" t="str">
        <f t="shared" si="13"/>
        <v>N/A</v>
      </c>
      <c r="AC70" s="136" t="str" cm="1">
        <f t="array" ref="AC70">IF(COUNTIF('Raw Annual DMR Data'!K:K,$E70)&gt;0,"N/A - See DMRs",IF(SUMIFS('Raw TRI Data'!$Z:$Z,'Raw TRI Data'!$J:$J,$E70)&gt;0,INDEX('Raw TRI Data'!$A:$A,MATCH(1,($E70='Raw TRI Data'!$J:$J)*($AA70='Raw TRI Data'!$Z:$Z),0)), "N/A - Facility Does Not Report to TRI, no surface water releases, or no Generic Factors available"))</f>
        <v>N/A - Facility Does Not Report to TRI, no surface water releases, or no Generic Factors available</v>
      </c>
      <c r="AD70" s="96" t="str" cm="1">
        <f t="array" ref="AD70">IF(COUNTIFS('Raw Annual DMR Data'!L:L,$F70,'Raw Annual DMR Data'!W:W, "&gt;0")&gt;0,MEDIAN(IF('Raw Annual DMR Data'!K:K=$F70, 'Raw Annual DMR Data'!W:W)), "N/A - No Daily Max DMR Discharge Data")</f>
        <v>N/A - No Daily Max DMR Discharge Data</v>
      </c>
      <c r="AE70" s="96" t="str">
        <f>IF(COUNTIFS('Raw Annual DMR Data'!L:L,$F70,'Raw Annual DMR Data'!W:W, "&gt;0")&gt;0,_xlfn.MAXIFS('Raw Annual DMR Data'!W:W,'Raw Annual DMR Data'!L:L,$F70), "N/A - No Daily Max DMR Discharge Data")</f>
        <v>N/A - No Daily Max DMR Discharge Data</v>
      </c>
      <c r="AF70" s="60" t="str" cm="1">
        <f t="array" ref="AF70">IF(COUNTIFS('Raw Annual DMR Data'!L:L,$F70,'Raw Annual DMR Data'!W:W, "&gt;0")&gt;0,INDEX('Raw Annual DMR Data'!B:B,MATCH(1,($F70='Raw Annual DMR Data'!L:L)*($AE70='Raw Annual DMR Data'!W:W),0)), "N/A - No Daily Max DMR Discharge Data")</f>
        <v>N/A - No Daily Max DMR Discharge Data</v>
      </c>
      <c r="AG70" s="422"/>
      <c r="AH70" s="422"/>
      <c r="AI70" s="423"/>
    </row>
    <row r="71" spans="1:35" ht="45.75" thickBot="1" x14ac:dyDescent="0.3">
      <c r="A71" s="144" t="str">
        <f>VLOOKUP(F71,'Facility Summary'!J:K,2,FALSE)</f>
        <v>Remediation</v>
      </c>
      <c r="B71" s="86" t="s">
        <v>157</v>
      </c>
      <c r="C71" s="84" t="s">
        <v>505</v>
      </c>
      <c r="D71" s="84" t="s">
        <v>506</v>
      </c>
      <c r="E71" s="60"/>
      <c r="F71" s="74">
        <v>110037096674</v>
      </c>
      <c r="G71" s="74" t="s">
        <v>874</v>
      </c>
      <c r="H71" s="63" t="s">
        <v>875</v>
      </c>
      <c r="I71" s="74">
        <v>2070010000088</v>
      </c>
      <c r="J71" s="74" t="s">
        <v>265</v>
      </c>
      <c r="K71" s="60">
        <f>VLOOKUP(A71, 'OES Summary'!$A:$B, 2, FALSE)</f>
        <v>365</v>
      </c>
      <c r="L71" s="304" cm="1">
        <f t="array" ref="L71">IF(COUNTIF('Raw Annual DMR Data'!$L:$L,$F71)&gt;0,MEDIAN(IF('Raw Annual DMR Data'!$L:$L=F71,'Raw Annual DMR Data'!$S:$S)),"N/A - Facility Does Not Report DMRs")</f>
        <v>0.79768324827539905</v>
      </c>
      <c r="M71" s="156">
        <f t="shared" si="11"/>
        <v>2.1854335569189017E-3</v>
      </c>
      <c r="N71" s="156">
        <f>IF(COUNTIF('Raw Annual DMR Data'!$L:$L,$F71)&gt;0,_xlfn.MAXIFS('Raw Annual DMR Data'!$S:$S,'Raw Annual DMR Data'!$L:$L,$F71), "N/A - Facility Does Not Report DMRs")</f>
        <v>1.71789521117399</v>
      </c>
      <c r="O71" s="156">
        <f t="shared" si="12"/>
        <v>4.7065622223944935E-3</v>
      </c>
      <c r="P71" s="113" cm="1">
        <f t="array" ref="P71">IF(COUNTIF('Raw Annual DMR Data'!$L:$L,$F71)&gt;0,INDEX('Raw Annual DMR Data'!$B:$B,MATCH(1,($F71='Raw Annual DMR Data'!$L:$L)*($N71='Raw Annual DMR Data'!$S:$S),0)), "N/A - Facility Does Not Report DMRs")</f>
        <v>2020</v>
      </c>
      <c r="Q71" s="304" t="str" cm="1">
        <f t="array" ref="Q71">IF(COUNTIF('Raw TRI Data'!$J:$J,$E71)&gt;0,MEDIAN(IF('Raw TRI Data'!$J:$J=E71,'Raw TRI Data'!$S:$S)), "N/A - Facility Does Not Report to TRI")</f>
        <v>N/A - Facility Does Not Report to TRI</v>
      </c>
      <c r="R71" s="156" t="str">
        <f t="shared" si="9"/>
        <v>N/A - Facility Does Not Report to TRI</v>
      </c>
      <c r="S71" s="156" t="str">
        <f>IF(COUNTIF('Raw TRI Data'!$J:$J,$E71)&gt;0,_xlfn.MAXIFS('Raw TRI Data'!$S:$S,'Raw TRI Data'!$J:$J,$E71), "N/A - Facility Does Not Report to TRI")</f>
        <v>N/A - Facility Does Not Report to TRI</v>
      </c>
      <c r="T71" s="156" t="str">
        <f t="shared" si="10"/>
        <v>N/A - Facility Does Not Report to TRI</v>
      </c>
      <c r="U71" s="136" t="str" cm="1">
        <f t="array" ref="U71">IF(COUNTIF('Raw TRI Data'!$J:$J,$E71)&gt;0,INDEX('Raw TRI Data'!$A:$A,MATCH(1,($E71='Raw TRI Data'!$J:$J)*(S71='Raw TRI Data'!$S:$S),0)), "N/A - Facility Does Not Report to TRI")</f>
        <v>N/A - Facility Does Not Report to TRI</v>
      </c>
      <c r="V71" s="156" t="str" cm="1">
        <f t="array" ref="V71">IF(COUNTIFS('Raw Annual DMR Data'!$L:$L,$F71,'Raw Annual DMR Data'!$U:$U,"&gt;0")&gt;0,MEDIAN(IF('Raw Annual DMR Data'!$L:$L=$F71,'Raw Annual DMR Data'!$U:$U,"")),"N/A - Period DMR Data Not Available")</f>
        <v>N/A - Period DMR Data Not Available</v>
      </c>
      <c r="W71" s="156" t="str">
        <f>IF(COUNTIFS('Raw Annual DMR Data'!$L:$L,$F71, 'Raw Annual DMR Data'!$U:$U, "&gt;0")&gt;0,_xlfn.MAXIFS('Raw Annual DMR Data'!$U:$U,'Raw Annual DMR Data'!$L:$L,$F71), "N/A - Period DMR Data Not Available")</f>
        <v>N/A - Period DMR Data Not Available</v>
      </c>
      <c r="X71" s="113" t="str" cm="1">
        <f t="array" ref="X71">+IF(COUNTIFS('Raw Annual DMR Data'!L:L,$F71, 'Raw Annual DMR Data'!U:U, "&gt;0")&gt;0,INDEX('Raw Annual DMR Data'!V:V,MATCH(1,($F71='Raw Annual DMR Data'!L:L)*($W71='Raw Annual DMR Data'!U:U),0)), "N/A - Period DMR Data Not Available")</f>
        <v>N/A - Period DMR Data Not Available</v>
      </c>
      <c r="Y71" s="113" t="str" cm="1">
        <f t="array" ref="Y71">IF(COUNTIFS('Raw Annual DMR Data'!L:L,$F71, 'Raw Annual DMR Data'!U:U, "&gt;0")&gt;0,INDEX('Raw Annual DMR Data'!B:B,MATCH(1,($F71='Raw Annual DMR Data'!L:L)*($W71='Raw Annual DMR Data'!U:U),0)), "N/A - Period DMR Data Not Available")</f>
        <v>N/A - Period DMR Data Not Available</v>
      </c>
      <c r="Z71" s="311" t="str" cm="1">
        <f t="array" ref="Z71">IF(COUNTIF('Raw Annual DMR Data'!K:K,$E71)&gt;0,"N/A - See DMRs",IF(SUMIFS('Raw TRI Data'!$Z:$Z,'Raw TRI Data'!$J:$J,$E71)&gt;0,MEDIAN(IF('Raw TRI Data'!$J:$J=$E71,'Raw TRI Data'!$Z:$Z)), "N/A - Facility Does Not Report to TRI, no surface water releases, or no Generic Factors available"))</f>
        <v>N/A - Facility Does Not Report to TRI, no surface water releases, or no Generic Factors available</v>
      </c>
      <c r="AA71" s="156" t="str">
        <f>IF(COUNTIF('Raw Annual DMR Data'!K:K,$E71)&gt;0,"N/A - See DMRs",IF(SUMIFS('Raw TRI Data'!$Z:$Z,'Raw TRI Data'!$J:$J,$E71)&gt;0,_xlfn.MAXIFS('Raw TRI Data'!$Z:$Z,'Raw TRI Data'!$J:$J,$E71), "N/A - Facility Does Not Report to TRI, no surface water releases, or no Generic Factors available"))</f>
        <v>N/A - Facility Does Not Report to TRI, no surface water releases, or no Generic Factors available</v>
      </c>
      <c r="AB71" s="113" t="str">
        <f t="shared" si="13"/>
        <v>N/A</v>
      </c>
      <c r="AC71" s="136" t="str" cm="1">
        <f t="array" ref="AC71">IF(COUNTIF('Raw Annual DMR Data'!K:K,$E71)&gt;0,"N/A - See DMRs",IF(SUMIFS('Raw TRI Data'!$Z:$Z,'Raw TRI Data'!$J:$J,$E71)&gt;0,INDEX('Raw TRI Data'!$A:$A,MATCH(1,($E71='Raw TRI Data'!$J:$J)*($AA71='Raw TRI Data'!$Z:$Z),0)), "N/A - Facility Does Not Report to TRI, no surface water releases, or no Generic Factors available"))</f>
        <v>N/A - Facility Does Not Report to TRI, no surface water releases, or no Generic Factors available</v>
      </c>
      <c r="AD71" s="96" t="str" cm="1">
        <f t="array" ref="AD71">IF(COUNTIFS('Raw Annual DMR Data'!L:L,$F71,'Raw Annual DMR Data'!W:W, "&gt;0")&gt;0,MEDIAN(IF('Raw Annual DMR Data'!K:K=$F71, 'Raw Annual DMR Data'!W:W)), "N/A - No Daily Max DMR Discharge Data")</f>
        <v>N/A - No Daily Max DMR Discharge Data</v>
      </c>
      <c r="AE71" s="96" t="str">
        <f>IF(COUNTIFS('Raw Annual DMR Data'!L:L,$F71,'Raw Annual DMR Data'!W:W, "&gt;0")&gt;0,_xlfn.MAXIFS('Raw Annual DMR Data'!W:W,'Raw Annual DMR Data'!L:L,$F71), "N/A - No Daily Max DMR Discharge Data")</f>
        <v>N/A - No Daily Max DMR Discharge Data</v>
      </c>
      <c r="AF71" s="60" t="str" cm="1">
        <f t="array" ref="AF71">IF(COUNTIFS('Raw Annual DMR Data'!L:L,$F71,'Raw Annual DMR Data'!W:W, "&gt;0")&gt;0,INDEX('Raw Annual DMR Data'!B:B,MATCH(1,($F71='Raw Annual DMR Data'!L:L)*($AE71='Raw Annual DMR Data'!W:W),0)), "N/A - No Daily Max DMR Discharge Data")</f>
        <v>N/A - No Daily Max DMR Discharge Data</v>
      </c>
      <c r="AG71" s="422"/>
      <c r="AH71" s="422"/>
      <c r="AI71" s="423"/>
    </row>
    <row r="72" spans="1:35" ht="45.75" thickBot="1" x14ac:dyDescent="0.3">
      <c r="A72" s="144" t="str">
        <f>VLOOKUP(F72,'Facility Summary'!J:K,2,FALSE)</f>
        <v>Remediation</v>
      </c>
      <c r="B72" s="86" t="s">
        <v>158</v>
      </c>
      <c r="C72" s="84" t="s">
        <v>509</v>
      </c>
      <c r="D72" s="84" t="s">
        <v>294</v>
      </c>
      <c r="E72" s="60"/>
      <c r="F72" s="74">
        <v>110070544907</v>
      </c>
      <c r="G72" s="74" t="s">
        <v>876</v>
      </c>
      <c r="H72" s="63" t="s">
        <v>877</v>
      </c>
      <c r="I72" s="74">
        <v>0</v>
      </c>
      <c r="J72" s="74" t="s">
        <v>265</v>
      </c>
      <c r="K72" s="60">
        <f>VLOOKUP(A72, 'OES Summary'!$A:$B, 2, FALSE)</f>
        <v>365</v>
      </c>
      <c r="L72" s="304" cm="1">
        <f t="array" ref="L72">IF(COUNTIF('Raw Annual DMR Data'!$L:$L,$F72)&gt;0,MEDIAN(IF('Raw Annual DMR Data'!$L:$L=F72,'Raw Annual DMR Data'!$S:$S)),"N/A - Facility Does Not Report DMRs")</f>
        <v>1.4003383424999946E-3</v>
      </c>
      <c r="M72" s="156">
        <f t="shared" si="11"/>
        <v>3.8365434041095747E-6</v>
      </c>
      <c r="N72" s="156">
        <f>IF(COUNTIF('Raw Annual DMR Data'!$L:$L,$F72)&gt;0,_xlfn.MAXIFS('Raw Annual DMR Data'!$S:$S,'Raw Annual DMR Data'!$L:$L,$F72), "N/A - Facility Does Not Report DMRs")</f>
        <v>2.1119789024999901E-3</v>
      </c>
      <c r="O72" s="156">
        <f t="shared" si="12"/>
        <v>5.7862435684931234E-6</v>
      </c>
      <c r="P72" s="113" cm="1">
        <f t="array" ref="P72">IF(COUNTIF('Raw Annual DMR Data'!$L:$L,$F72)&gt;0,INDEX('Raw Annual DMR Data'!$B:$B,MATCH(1,($F72='Raw Annual DMR Data'!$L:$L)*($N72='Raw Annual DMR Data'!$S:$S),0)), "N/A - Facility Does Not Report DMRs")</f>
        <v>2019</v>
      </c>
      <c r="Q72" s="304" t="str" cm="1">
        <f t="array" ref="Q72">IF(COUNTIF('Raw TRI Data'!$J:$J,$E72)&gt;0,MEDIAN(IF('Raw TRI Data'!$J:$J=E72,'Raw TRI Data'!$S:$S)), "N/A - Facility Does Not Report to TRI")</f>
        <v>N/A - Facility Does Not Report to TRI</v>
      </c>
      <c r="R72" s="156" t="str">
        <f t="shared" si="9"/>
        <v>N/A - Facility Does Not Report to TRI</v>
      </c>
      <c r="S72" s="156" t="str">
        <f>IF(COUNTIF('Raw TRI Data'!$J:$J,$E72)&gt;0,_xlfn.MAXIFS('Raw TRI Data'!$S:$S,'Raw TRI Data'!$J:$J,$E72), "N/A - Facility Does Not Report to TRI")</f>
        <v>N/A - Facility Does Not Report to TRI</v>
      </c>
      <c r="T72" s="156" t="str">
        <f t="shared" si="10"/>
        <v>N/A - Facility Does Not Report to TRI</v>
      </c>
      <c r="U72" s="136" t="str" cm="1">
        <f t="array" ref="U72">IF(COUNTIF('Raw TRI Data'!$J:$J,$E72)&gt;0,INDEX('Raw TRI Data'!$A:$A,MATCH(1,($E72='Raw TRI Data'!$J:$J)*(S72='Raw TRI Data'!$S:$S),0)), "N/A - Facility Does Not Report to TRI")</f>
        <v>N/A - Facility Does Not Report to TRI</v>
      </c>
      <c r="V72" s="156" t="str" cm="1">
        <f t="array" ref="V72">IF(COUNTIFS('Raw Annual DMR Data'!$L:$L,$F72,'Raw Annual DMR Data'!$U:$U,"&gt;0")&gt;0,MEDIAN(IF('Raw Annual DMR Data'!$L:$L=$F72,'Raw Annual DMR Data'!$U:$U,"")),"N/A - Period DMR Data Not Available")</f>
        <v>N/A - Period DMR Data Not Available</v>
      </c>
      <c r="W72" s="156" t="str">
        <f>IF(COUNTIFS('Raw Annual DMR Data'!$L:$L,$F72, 'Raw Annual DMR Data'!$U:$U, "&gt;0")&gt;0,_xlfn.MAXIFS('Raw Annual DMR Data'!$U:$U,'Raw Annual DMR Data'!$L:$L,$F72), "N/A - Period DMR Data Not Available")</f>
        <v>N/A - Period DMR Data Not Available</v>
      </c>
      <c r="X72" s="113" t="str" cm="1">
        <f t="array" ref="X72">+IF(COUNTIFS('Raw Annual DMR Data'!L:L,$F72, 'Raw Annual DMR Data'!U:U, "&gt;0")&gt;0,INDEX('Raw Annual DMR Data'!V:V,MATCH(1,($F72='Raw Annual DMR Data'!L:L)*($W72='Raw Annual DMR Data'!U:U),0)), "N/A - Period DMR Data Not Available")</f>
        <v>N/A - Period DMR Data Not Available</v>
      </c>
      <c r="Y72" s="113" t="str" cm="1">
        <f t="array" ref="Y72">IF(COUNTIFS('Raw Annual DMR Data'!L:L,$F72, 'Raw Annual DMR Data'!U:U, "&gt;0")&gt;0,INDEX('Raw Annual DMR Data'!B:B,MATCH(1,($F72='Raw Annual DMR Data'!L:L)*($W72='Raw Annual DMR Data'!U:U),0)), "N/A - Period DMR Data Not Available")</f>
        <v>N/A - Period DMR Data Not Available</v>
      </c>
      <c r="Z72" s="311" t="str" cm="1">
        <f t="array" ref="Z72">IF(COUNTIF('Raw Annual DMR Data'!K:K,$E72)&gt;0,"N/A - See DMRs",IF(SUMIFS('Raw TRI Data'!$Z:$Z,'Raw TRI Data'!$J:$J,$E72)&gt;0,MEDIAN(IF('Raw TRI Data'!$J:$J=$E72,'Raw TRI Data'!$Z:$Z)), "N/A - Facility Does Not Report to TRI, no surface water releases, or no Generic Factors available"))</f>
        <v>N/A - Facility Does Not Report to TRI, no surface water releases, or no Generic Factors available</v>
      </c>
      <c r="AA72" s="156" t="str">
        <f>IF(COUNTIF('Raw Annual DMR Data'!K:K,$E72)&gt;0,"N/A - See DMRs",IF(SUMIFS('Raw TRI Data'!$Z:$Z,'Raw TRI Data'!$J:$J,$E72)&gt;0,_xlfn.MAXIFS('Raw TRI Data'!$Z:$Z,'Raw TRI Data'!$J:$J,$E72), "N/A - Facility Does Not Report to TRI, no surface water releases, or no Generic Factors available"))</f>
        <v>N/A - Facility Does Not Report to TRI, no surface water releases, or no Generic Factors available</v>
      </c>
      <c r="AB72" s="113" t="str">
        <f t="shared" si="13"/>
        <v>N/A</v>
      </c>
      <c r="AC72" s="136" t="str" cm="1">
        <f t="array" ref="AC72">IF(COUNTIF('Raw Annual DMR Data'!K:K,$E72)&gt;0,"N/A - See DMRs",IF(SUMIFS('Raw TRI Data'!$Z:$Z,'Raw TRI Data'!$J:$J,$E72)&gt;0,INDEX('Raw TRI Data'!$A:$A,MATCH(1,($E72='Raw TRI Data'!$J:$J)*($AA72='Raw TRI Data'!$Z:$Z),0)), "N/A - Facility Does Not Report to TRI, no surface water releases, or no Generic Factors available"))</f>
        <v>N/A - Facility Does Not Report to TRI, no surface water releases, or no Generic Factors available</v>
      </c>
      <c r="AD72" s="96" t="str" cm="1">
        <f t="array" ref="AD72">IF(COUNTIFS('Raw Annual DMR Data'!L:L,$F72,'Raw Annual DMR Data'!W:W, "&gt;0")&gt;0,MEDIAN(IF('Raw Annual DMR Data'!K:K=$F72, 'Raw Annual DMR Data'!W:W)), "N/A - No Daily Max DMR Discharge Data")</f>
        <v>N/A - No Daily Max DMR Discharge Data</v>
      </c>
      <c r="AE72" s="96" t="str">
        <f>IF(COUNTIFS('Raw Annual DMR Data'!L:L,$F72,'Raw Annual DMR Data'!W:W, "&gt;0")&gt;0,_xlfn.MAXIFS('Raw Annual DMR Data'!W:W,'Raw Annual DMR Data'!L:L,$F72), "N/A - No Daily Max DMR Discharge Data")</f>
        <v>N/A - No Daily Max DMR Discharge Data</v>
      </c>
      <c r="AF72" s="60" t="str" cm="1">
        <f t="array" ref="AF72">IF(COUNTIFS('Raw Annual DMR Data'!L:L,$F72,'Raw Annual DMR Data'!W:W, "&gt;0")&gt;0,INDEX('Raw Annual DMR Data'!B:B,MATCH(1,($F72='Raw Annual DMR Data'!L:L)*($AE72='Raw Annual DMR Data'!W:W),0)), "N/A - No Daily Max DMR Discharge Data")</f>
        <v>N/A - No Daily Max DMR Discharge Data</v>
      </c>
      <c r="AG72" s="422"/>
      <c r="AH72" s="422"/>
      <c r="AI72" s="423"/>
    </row>
    <row r="73" spans="1:35" ht="45.75" thickBot="1" x14ac:dyDescent="0.3">
      <c r="A73" s="144" t="str">
        <f>VLOOKUP(F73,'Facility Summary'!J:K,2,FALSE)</f>
        <v>Waste Handling, Disposal and Treatment (Incinerator)</v>
      </c>
      <c r="B73" s="161" t="s">
        <v>211</v>
      </c>
      <c r="C73" s="28" t="s">
        <v>511</v>
      </c>
      <c r="D73" s="28" t="s">
        <v>319</v>
      </c>
      <c r="E73" s="60" t="s">
        <v>512</v>
      </c>
      <c r="F73" s="74">
        <v>110027242320</v>
      </c>
      <c r="G73" s="74" t="s">
        <v>295</v>
      </c>
      <c r="H73" s="81" t="s">
        <v>295</v>
      </c>
      <c r="I73" s="74" t="s">
        <v>295</v>
      </c>
      <c r="J73" s="74" t="s">
        <v>265</v>
      </c>
      <c r="K73" s="60">
        <f>VLOOKUP(A73, 'OES Summary'!$A:$B, 2, FALSE)</f>
        <v>250</v>
      </c>
      <c r="L73" s="304" t="str" cm="1">
        <f t="array" ref="L73">IF(COUNTIF('Raw Annual DMR Data'!$L:$L,$F73)&gt;0,MEDIAN(IF('Raw Annual DMR Data'!$L:$L=F73,'Raw Annual DMR Data'!$S:$S)),"N/A - Facility Does Not Report DMRs")</f>
        <v>N/A - Facility Does Not Report DMRs</v>
      </c>
      <c r="M73" s="156" t="str">
        <f t="shared" si="11"/>
        <v>N/A - Facility Does Not Report DMRs</v>
      </c>
      <c r="N73" s="156" t="str">
        <f>IF(COUNTIF('Raw Annual DMR Data'!$L:$L,$F73)&gt;0,_xlfn.MAXIFS('Raw Annual DMR Data'!$S:$S,'Raw Annual DMR Data'!$L:$L,$F73), "N/A - Facility Does Not Report DMRs")</f>
        <v>N/A - Facility Does Not Report DMRs</v>
      </c>
      <c r="O73" s="156" t="str">
        <f t="shared" si="12"/>
        <v>N/A - Facility Does Not Report DMRs</v>
      </c>
      <c r="P73" s="113" t="str" cm="1">
        <f t="array" ref="P73">IF(COUNTIF('Raw Annual DMR Data'!$L:$L,$F73)&gt;0,INDEX('Raw Annual DMR Data'!$B:$B,MATCH(1,($F73='Raw Annual DMR Data'!$L:$L)*($N73='Raw Annual DMR Data'!$S:$S),0)), "N/A - Facility Does Not Report DMRs")</f>
        <v>N/A - Facility Does Not Report DMRs</v>
      </c>
      <c r="Q73" s="304" cm="1">
        <f t="array" ref="Q73">IF(COUNTIF('Raw TRI Data'!$J:$J,$E73)&gt;0,MEDIAN(IF('Raw TRI Data'!$J:$J=E73,'Raw TRI Data'!$S:$S)), "N/A - Facility Does Not Report to TRI")</f>
        <v>2.2679618500000002E-4</v>
      </c>
      <c r="R73" s="156">
        <f t="shared" si="9"/>
        <v>9.071847400000001E-7</v>
      </c>
      <c r="S73" s="156">
        <f>IF(COUNTIF('Raw TRI Data'!$J:$J,$E73)&gt;0,_xlfn.MAXIFS('Raw TRI Data'!$S:$S,'Raw TRI Data'!$J:$J,$E73), "N/A - Facility Does Not Report to TRI")</f>
        <v>4.5359237000000004E-4</v>
      </c>
      <c r="T73" s="156">
        <f t="shared" si="10"/>
        <v>1.8143694800000002E-6</v>
      </c>
      <c r="U73" s="136" cm="1">
        <f t="array" ref="U73">IF(COUNTIF('Raw TRI Data'!$J:$J,$E73)&gt;0,INDEX('Raw TRI Data'!$A:$A,MATCH(1,($E73='Raw TRI Data'!$J:$J)*(S73='Raw TRI Data'!$S:$S),0)), "N/A - Facility Does Not Report to TRI")</f>
        <v>2015</v>
      </c>
      <c r="V73" s="156" t="str" cm="1">
        <f t="array" ref="V73">IF(COUNTIFS('Raw Annual DMR Data'!$L:$L,$F73,'Raw Annual DMR Data'!$U:$U,"&gt;0")&gt;0,MEDIAN(IF('Raw Annual DMR Data'!$L:$L=$F73,'Raw Annual DMR Data'!$U:$U,"")),"N/A - Period DMR Data Not Available")</f>
        <v>N/A - Period DMR Data Not Available</v>
      </c>
      <c r="W73" s="156" t="str">
        <f>IF(COUNTIFS('Raw Annual DMR Data'!$L:$L,$F73, 'Raw Annual DMR Data'!$U:$U, "&gt;0")&gt;0,_xlfn.MAXIFS('Raw Annual DMR Data'!$U:$U,'Raw Annual DMR Data'!$L:$L,$F73), "N/A - Period DMR Data Not Available")</f>
        <v>N/A - Period DMR Data Not Available</v>
      </c>
      <c r="X73" s="113" t="str" cm="1">
        <f t="array" ref="X73">+IF(COUNTIFS('Raw Annual DMR Data'!L:L,$F73, 'Raw Annual DMR Data'!U:U, "&gt;0")&gt;0,INDEX('Raw Annual DMR Data'!V:V,MATCH(1,($F73='Raw Annual DMR Data'!L:L)*($W73='Raw Annual DMR Data'!U:U),0)), "N/A - Period DMR Data Not Available")</f>
        <v>N/A - Period DMR Data Not Available</v>
      </c>
      <c r="Y73" s="113" t="str" cm="1">
        <f t="array" ref="Y73">IF(COUNTIFS('Raw Annual DMR Data'!L:L,$F73, 'Raw Annual DMR Data'!U:U, "&gt;0")&gt;0,INDEX('Raw Annual DMR Data'!B:B,MATCH(1,($F73='Raw Annual DMR Data'!L:L)*($W73='Raw Annual DMR Data'!U:U),0)), "N/A - Period DMR Data Not Available")</f>
        <v>N/A - Period DMR Data Not Available</v>
      </c>
      <c r="Z73" s="311" t="e" cm="1">
        <f t="array" ref="Z73">IF(COUNTIF('Raw Annual DMR Data'!K:K,$E73)&gt;0,"N/A - See DMRs",IF(SUMIFS('Raw TRI Data'!$Z:$Z,'Raw TRI Data'!$J:$J,$E73)&gt;0,MEDIAN(IF('Raw TRI Data'!$J:$J=$E73,'Raw TRI Data'!$Z:$Z)), "N/A - Facility Does Not Report to TRI, no surface water releases, or no Generic Factors available"))</f>
        <v>#N/A</v>
      </c>
      <c r="AA73" s="156" t="e">
        <f>IF(COUNTIF('Raw Annual DMR Data'!K:K,$E73)&gt;0,"N/A - See DMRs",IF(SUMIFS('Raw TRI Data'!$Z:$Z,'Raw TRI Data'!$J:$J,$E73)&gt;0,_xlfn.MAXIFS('Raw TRI Data'!$Z:$Z,'Raw TRI Data'!$J:$J,$E73), "N/A - Facility Does Not Report to TRI, no surface water releases, or no Generic Factors available"))</f>
        <v>#N/A</v>
      </c>
      <c r="AB73" s="113" t="str">
        <f t="shared" si="13"/>
        <v>N/A</v>
      </c>
      <c r="AC73" s="136" t="e" cm="1">
        <f t="array" ref="AC73">IF(COUNTIF('Raw Annual DMR Data'!K:K,$E73)&gt;0,"N/A - See DMRs",IF(SUMIFS('Raw TRI Data'!$Z:$Z,'Raw TRI Data'!$J:$J,$E73)&gt;0,INDEX('Raw TRI Data'!$A:$A,MATCH(1,($E73='Raw TRI Data'!$J:$J)*($AA73='Raw TRI Data'!$Z:$Z),0)), "N/A - Facility Does Not Report to TRI, no surface water releases, or no Generic Factors available"))</f>
        <v>#N/A</v>
      </c>
      <c r="AD73" s="96" t="str" cm="1">
        <f t="array" ref="AD73">IF(COUNTIFS('Raw Annual DMR Data'!L:L,$F73,'Raw Annual DMR Data'!W:W, "&gt;0")&gt;0,MEDIAN(IF('Raw Annual DMR Data'!K:K=$F73, 'Raw Annual DMR Data'!W:W)), "N/A - No Daily Max DMR Discharge Data")</f>
        <v>N/A - No Daily Max DMR Discharge Data</v>
      </c>
      <c r="AE73" s="96" t="str">
        <f>IF(COUNTIFS('Raw Annual DMR Data'!L:L,$F73,'Raw Annual DMR Data'!W:W, "&gt;0")&gt;0,_xlfn.MAXIFS('Raw Annual DMR Data'!W:W,'Raw Annual DMR Data'!L:L,$F73), "N/A - No Daily Max DMR Discharge Data")</f>
        <v>N/A - No Daily Max DMR Discharge Data</v>
      </c>
      <c r="AF73" s="60" t="str" cm="1">
        <f t="array" ref="AF73">IF(COUNTIFS('Raw Annual DMR Data'!L:L,$F73,'Raw Annual DMR Data'!W:W, "&gt;0")&gt;0,INDEX('Raw Annual DMR Data'!B:B,MATCH(1,($F73='Raw Annual DMR Data'!L:L)*($AE73='Raw Annual DMR Data'!W:W),0)), "N/A - No Daily Max DMR Discharge Data")</f>
        <v>N/A - No Daily Max DMR Discharge Data</v>
      </c>
      <c r="AG73" s="422"/>
      <c r="AH73" s="422"/>
      <c r="AI73" s="423"/>
    </row>
    <row r="74" spans="1:35" ht="45.75" thickBot="1" x14ac:dyDescent="0.3">
      <c r="A74" s="144" t="str">
        <f>VLOOKUP(F74,'Facility Summary'!J:K,2,FALSE)</f>
        <v>Processing into formulation, mixture, or reaction product</v>
      </c>
      <c r="B74" s="86" t="s">
        <v>159</v>
      </c>
      <c r="C74" s="84" t="s">
        <v>302</v>
      </c>
      <c r="D74" s="84" t="s">
        <v>303</v>
      </c>
      <c r="E74" s="60" t="s">
        <v>514</v>
      </c>
      <c r="F74" s="74">
        <v>110003266849</v>
      </c>
      <c r="G74" s="74" t="s">
        <v>878</v>
      </c>
      <c r="H74" s="63" t="s">
        <v>816</v>
      </c>
      <c r="I74" s="74">
        <v>8070100000180</v>
      </c>
      <c r="J74" s="74" t="s">
        <v>265</v>
      </c>
      <c r="K74" s="60">
        <f>VLOOKUP(A74, 'OES Summary'!$A:$B, 2, FALSE)</f>
        <v>300</v>
      </c>
      <c r="L74" s="304" cm="1">
        <f t="array" ref="L74">IF(COUNTIF('Raw Annual DMR Data'!$L:$L,$F74)&gt;0,MEDIAN(IF('Raw Annual DMR Data'!$L:$L=F74,'Raw Annual DMR Data'!$S:$S)),"N/A - Facility Does Not Report DMRs")</f>
        <v>6.414965986394555</v>
      </c>
      <c r="M74" s="156">
        <f t="shared" si="11"/>
        <v>2.1383219954648515E-2</v>
      </c>
      <c r="N74" s="156">
        <f>IF(COUNTIF('Raw Annual DMR Data'!$L:$L,$F74)&gt;0,_xlfn.MAXIFS('Raw Annual DMR Data'!$S:$S,'Raw Annual DMR Data'!$L:$L,$F74), "N/A - Facility Does Not Report DMRs")</f>
        <v>11.341496598639401</v>
      </c>
      <c r="O74" s="156">
        <f t="shared" si="12"/>
        <v>3.7804988662131334E-2</v>
      </c>
      <c r="P74" s="113" cm="1">
        <f t="array" ref="P74">IF(COUNTIF('Raw Annual DMR Data'!$L:$L,$F74)&gt;0,INDEX('Raw Annual DMR Data'!$B:$B,MATCH(1,($F74='Raw Annual DMR Data'!$L:$L)*($N74='Raw Annual DMR Data'!$S:$S),0)), "N/A - Facility Does Not Report DMRs")</f>
        <v>2016</v>
      </c>
      <c r="Q74" s="304" cm="1">
        <f t="array" ref="Q74">IF(COUNTIF('Raw TRI Data'!$J:$J,$E74)&gt;0,MEDIAN(IF('Raw TRI Data'!$J:$J=E74,'Raw TRI Data'!$S:$S)), "N/A - Facility Does Not Report to TRI")</f>
        <v>4.3091275150000001</v>
      </c>
      <c r="R74" s="156">
        <f t="shared" si="9"/>
        <v>1.4363758383333335E-2</v>
      </c>
      <c r="S74" s="156">
        <f>IF(COUNTIF('Raw TRI Data'!$J:$J,$E74)&gt;0,_xlfn.MAXIFS('Raw TRI Data'!$S:$S,'Raw TRI Data'!$J:$J,$E74), "N/A - Facility Does Not Report to TRI")</f>
        <v>27.669134570000001</v>
      </c>
      <c r="T74" s="156">
        <f t="shared" si="10"/>
        <v>9.2230448566666665E-2</v>
      </c>
      <c r="U74" s="136" cm="1">
        <f t="array" ref="U74">IF(COUNTIF('Raw TRI Data'!$J:$J,$E74)&gt;0,INDEX('Raw TRI Data'!$A:$A,MATCH(1,($E74='Raw TRI Data'!$J:$J)*(S74='Raw TRI Data'!$S:$S),0)), "N/A - Facility Does Not Report to TRI")</f>
        <v>2016</v>
      </c>
      <c r="V74" s="156" t="str" cm="1">
        <f t="array" ref="V74">IF(COUNTIFS('Raw Annual DMR Data'!$L:$L,$F74,'Raw Annual DMR Data'!$U:$U,"&gt;0")&gt;0,MEDIAN(IF('Raw Annual DMR Data'!$L:$L=$F74,'Raw Annual DMR Data'!$U:$U,"")),"N/A - Period DMR Data Not Available")</f>
        <v>N/A - Period DMR Data Not Available</v>
      </c>
      <c r="W74" s="156" t="str">
        <f>IF(COUNTIFS('Raw Annual DMR Data'!$L:$L,$F74, 'Raw Annual DMR Data'!$U:$U, "&gt;0")&gt;0,_xlfn.MAXIFS('Raw Annual DMR Data'!$U:$U,'Raw Annual DMR Data'!$L:$L,$F74), "N/A - Period DMR Data Not Available")</f>
        <v>N/A - Period DMR Data Not Available</v>
      </c>
      <c r="X74" s="113" t="str" cm="1">
        <f t="array" ref="X74">+IF(COUNTIFS('Raw Annual DMR Data'!L:L,$F74, 'Raw Annual DMR Data'!U:U, "&gt;0")&gt;0,INDEX('Raw Annual DMR Data'!V:V,MATCH(1,($F74='Raw Annual DMR Data'!L:L)*($W74='Raw Annual DMR Data'!U:U),0)), "N/A - Period DMR Data Not Available")</f>
        <v>N/A - Period DMR Data Not Available</v>
      </c>
      <c r="Y74" s="113" t="str" cm="1">
        <f t="array" ref="Y74">IF(COUNTIFS('Raw Annual DMR Data'!L:L,$F74, 'Raw Annual DMR Data'!U:U, "&gt;0")&gt;0,INDEX('Raw Annual DMR Data'!B:B,MATCH(1,($F74='Raw Annual DMR Data'!L:L)*($W74='Raw Annual DMR Data'!U:U),0)), "N/A - Period DMR Data Not Available")</f>
        <v>N/A - Period DMR Data Not Available</v>
      </c>
      <c r="Z74" s="311" t="str" cm="1">
        <f t="array" ref="Z74">IF(COUNTIF('Raw Annual DMR Data'!K:K,$E74)&gt;0,"N/A - See DMRs",IF(SUMIFS('Raw TRI Data'!$Z:$Z,'Raw TRI Data'!$J:$J,$E74)&gt;0,MEDIAN(IF('Raw TRI Data'!$J:$J=$E74,'Raw TRI Data'!$Z:$Z)), "N/A - Facility Does Not Report to TRI, no surface water releases, or no Generic Factors available"))</f>
        <v>N/A - See DMRs</v>
      </c>
      <c r="AA74" s="156" t="str">
        <f>IF(COUNTIF('Raw Annual DMR Data'!K:K,$E74)&gt;0,"N/A - See DMRs",IF(SUMIFS('Raw TRI Data'!$Z:$Z,'Raw TRI Data'!$J:$J,$E74)&gt;0,_xlfn.MAXIFS('Raw TRI Data'!$Z:$Z,'Raw TRI Data'!$J:$J,$E74), "N/A - Facility Does Not Report to TRI, no surface water releases, or no Generic Factors available"))</f>
        <v>N/A - See DMRs</v>
      </c>
      <c r="AB74" s="113" t="str">
        <f t="shared" si="13"/>
        <v>N/A</v>
      </c>
      <c r="AC74" s="136" t="str" cm="1">
        <f t="array" ref="AC74">IF(COUNTIF('Raw Annual DMR Data'!K:K,$E74)&gt;0,"N/A - See DMRs",IF(SUMIFS('Raw TRI Data'!$Z:$Z,'Raw TRI Data'!$J:$J,$E74)&gt;0,INDEX('Raw TRI Data'!$A:$A,MATCH(1,($E74='Raw TRI Data'!$J:$J)*($AA74='Raw TRI Data'!$Z:$Z),0)), "N/A - Facility Does Not Report to TRI, no surface water releases, or no Generic Factors available"))</f>
        <v>N/A - See DMRs</v>
      </c>
      <c r="AD74" s="96" t="str" cm="1">
        <f t="array" ref="AD74">IF(COUNTIFS('Raw Annual DMR Data'!L:L,$F74,'Raw Annual DMR Data'!W:W, "&gt;0")&gt;0,MEDIAN(IF('Raw Annual DMR Data'!K:K=$F74, 'Raw Annual DMR Data'!W:W)), "N/A - No Daily Max DMR Discharge Data")</f>
        <v>N/A - No Daily Max DMR Discharge Data</v>
      </c>
      <c r="AE74" s="96" t="str">
        <f>IF(COUNTIFS('Raw Annual DMR Data'!L:L,$F74,'Raw Annual DMR Data'!W:W, "&gt;0")&gt;0,_xlfn.MAXIFS('Raw Annual DMR Data'!W:W,'Raw Annual DMR Data'!L:L,$F74), "N/A - No Daily Max DMR Discharge Data")</f>
        <v>N/A - No Daily Max DMR Discharge Data</v>
      </c>
      <c r="AF74" s="60" t="str" cm="1">
        <f t="array" ref="AF74">IF(COUNTIFS('Raw Annual DMR Data'!L:L,$F74,'Raw Annual DMR Data'!W:W, "&gt;0")&gt;0,INDEX('Raw Annual DMR Data'!B:B,MATCH(1,($F74='Raw Annual DMR Data'!L:L)*($AE74='Raw Annual DMR Data'!W:W),0)), "N/A - No Daily Max DMR Discharge Data")</f>
        <v>N/A - No Daily Max DMR Discharge Data</v>
      </c>
      <c r="AG74" s="422"/>
      <c r="AH74" s="422"/>
      <c r="AI74" s="423"/>
    </row>
    <row r="75" spans="1:35" ht="30.75" thickBot="1" x14ac:dyDescent="0.3">
      <c r="A75" s="144" t="str">
        <f>VLOOKUP(F75,'Facility Summary'!J:K,2,FALSE)</f>
        <v>Manufacturing</v>
      </c>
      <c r="B75" s="86" t="s">
        <v>160</v>
      </c>
      <c r="C75" s="84" t="s">
        <v>516</v>
      </c>
      <c r="D75" s="84" t="s">
        <v>303</v>
      </c>
      <c r="E75" s="60" t="s">
        <v>518</v>
      </c>
      <c r="F75" s="74">
        <v>110033659878</v>
      </c>
      <c r="G75" s="74" t="s">
        <v>879</v>
      </c>
      <c r="H75" s="63" t="s">
        <v>880</v>
      </c>
      <c r="I75" s="74">
        <v>8070202002309</v>
      </c>
      <c r="J75" s="74" t="s">
        <v>265</v>
      </c>
      <c r="K75" s="60">
        <f>VLOOKUP(A75, 'OES Summary'!$A:$B, 2, FALSE)</f>
        <v>350</v>
      </c>
      <c r="L75" s="304" cm="1">
        <f t="array" ref="L75">IF(COUNTIF('Raw Annual DMR Data'!$L:$L,$F75)&gt;0,MEDIAN(IF('Raw Annual DMR Data'!$L:$L=F75,'Raw Annual DMR Data'!$S:$S)),"N/A - Facility Does Not Report DMRs")</f>
        <v>3.9770400000000001</v>
      </c>
      <c r="M75" s="156">
        <f t="shared" si="11"/>
        <v>1.136297142857143E-2</v>
      </c>
      <c r="N75" s="156">
        <f>IF(COUNTIF('Raw Annual DMR Data'!$L:$L,$F75)&gt;0,_xlfn.MAXIFS('Raw Annual DMR Data'!$S:$S,'Raw Annual DMR Data'!$L:$L,$F75), "N/A - Facility Does Not Report DMRs")</f>
        <v>4.9659863945578202</v>
      </c>
      <c r="O75" s="156">
        <f t="shared" si="12"/>
        <v>1.4188532555879487E-2</v>
      </c>
      <c r="P75" s="113" cm="1">
        <f t="array" ref="P75">IF(COUNTIF('Raw Annual DMR Data'!$L:$L,$F75)&gt;0,INDEX('Raw Annual DMR Data'!$B:$B,MATCH(1,($F75='Raw Annual DMR Data'!$L:$L)*($N75='Raw Annual DMR Data'!$S:$S),0)), "N/A - Facility Does Not Report DMRs")</f>
        <v>2017</v>
      </c>
      <c r="Q75" s="304" t="str" cm="1">
        <f t="array" ref="Q75">IF(COUNTIF('Raw TRI Data'!$J:$J,$E75)&gt;0,MEDIAN(IF('Raw TRI Data'!$J:$J=E75,'Raw TRI Data'!$S:$S)), "N/A - Facility Does Not Report to TRI")</f>
        <v>N/A - Facility Does Not Report to TRI</v>
      </c>
      <c r="R75" s="156" t="str">
        <f t="shared" si="9"/>
        <v>N/A - Facility Does Not Report to TRI</v>
      </c>
      <c r="S75" s="156" t="str">
        <f>IF(COUNTIF('Raw TRI Data'!$J:$J,$E75)&gt;0,_xlfn.MAXIFS('Raw TRI Data'!$S:$S,'Raw TRI Data'!$J:$J,$E75), "N/A - Facility Does Not Report to TRI")</f>
        <v>N/A - Facility Does Not Report to TRI</v>
      </c>
      <c r="T75" s="156" t="str">
        <f t="shared" si="10"/>
        <v>N/A - Facility Does Not Report to TRI</v>
      </c>
      <c r="U75" s="136" t="str" cm="1">
        <f t="array" ref="U75">IF(COUNTIF('Raw TRI Data'!$J:$J,$E75)&gt;0,INDEX('Raw TRI Data'!$A:$A,MATCH(1,($E75='Raw TRI Data'!$J:$J)*(S75='Raw TRI Data'!$S:$S),0)), "N/A - Facility Does Not Report to TRI")</f>
        <v>N/A - Facility Does Not Report to TRI</v>
      </c>
      <c r="V75" s="156" t="str" cm="1">
        <f t="array" ref="V75">IF(COUNTIFS('Raw Annual DMR Data'!$L:$L,$F75,'Raw Annual DMR Data'!$U:$U,"&gt;0")&gt;0,MEDIAN(IF('Raw Annual DMR Data'!$L:$L=$F75,'Raw Annual DMR Data'!$U:$U,"")),"N/A - Period DMR Data Not Available")</f>
        <v>N/A - Period DMR Data Not Available</v>
      </c>
      <c r="W75" s="156" t="str">
        <f>IF(COUNTIFS('Raw Annual DMR Data'!$L:$L,$F75, 'Raw Annual DMR Data'!$U:$U, "&gt;0")&gt;0,_xlfn.MAXIFS('Raw Annual DMR Data'!$U:$U,'Raw Annual DMR Data'!$L:$L,$F75), "N/A - Period DMR Data Not Available")</f>
        <v>N/A - Period DMR Data Not Available</v>
      </c>
      <c r="X75" s="113" t="str" cm="1">
        <f t="array" ref="X75">+IF(COUNTIFS('Raw Annual DMR Data'!L:L,$F75, 'Raw Annual DMR Data'!U:U, "&gt;0")&gt;0,INDEX('Raw Annual DMR Data'!V:V,MATCH(1,($F75='Raw Annual DMR Data'!L:L)*($W75='Raw Annual DMR Data'!U:U),0)), "N/A - Period DMR Data Not Available")</f>
        <v>N/A - Period DMR Data Not Available</v>
      </c>
      <c r="Y75" s="113" t="str" cm="1">
        <f t="array" ref="Y75">IF(COUNTIFS('Raw Annual DMR Data'!L:L,$F75, 'Raw Annual DMR Data'!U:U, "&gt;0")&gt;0,INDEX('Raw Annual DMR Data'!B:B,MATCH(1,($F75='Raw Annual DMR Data'!L:L)*($W75='Raw Annual DMR Data'!U:U),0)), "N/A - Period DMR Data Not Available")</f>
        <v>N/A - Period DMR Data Not Available</v>
      </c>
      <c r="Z75" s="311" t="str" cm="1">
        <f t="array" ref="Z75">IF(COUNTIF('Raw Annual DMR Data'!K:K,$E75)&gt;0,"N/A - See DMRs",IF(SUMIFS('Raw TRI Data'!$Z:$Z,'Raw TRI Data'!$J:$J,$E75)&gt;0,MEDIAN(IF('Raw TRI Data'!$J:$J=$E75,'Raw TRI Data'!$Z:$Z)), "N/A - Facility Does Not Report to TRI, no surface water releases, or no Generic Factors available"))</f>
        <v>N/A - See DMRs</v>
      </c>
      <c r="AA75" s="156" t="str">
        <f>IF(COUNTIF('Raw Annual DMR Data'!K:K,$E75)&gt;0,"N/A - See DMRs",IF(SUMIFS('Raw TRI Data'!$Z:$Z,'Raw TRI Data'!$J:$J,$E75)&gt;0,_xlfn.MAXIFS('Raw TRI Data'!$Z:$Z,'Raw TRI Data'!$J:$J,$E75), "N/A - Facility Does Not Report to TRI, no surface water releases, or no Generic Factors available"))</f>
        <v>N/A - See DMRs</v>
      </c>
      <c r="AB75" s="113" t="str">
        <f t="shared" si="13"/>
        <v>N/A</v>
      </c>
      <c r="AC75" s="136" t="str" cm="1">
        <f t="array" ref="AC75">IF(COUNTIF('Raw Annual DMR Data'!K:K,$E75)&gt;0,"N/A - See DMRs",IF(SUMIFS('Raw TRI Data'!$Z:$Z,'Raw TRI Data'!$J:$J,$E75)&gt;0,INDEX('Raw TRI Data'!$A:$A,MATCH(1,($E75='Raw TRI Data'!$J:$J)*($AA75='Raw TRI Data'!$Z:$Z),0)), "N/A - Facility Does Not Report to TRI, no surface water releases, or no Generic Factors available"))</f>
        <v>N/A - See DMRs</v>
      </c>
      <c r="AD75" s="96" t="str" cm="1">
        <f t="array" ref="AD75">IF(COUNTIFS('Raw Annual DMR Data'!L:L,$F75,'Raw Annual DMR Data'!W:W, "&gt;0")&gt;0,MEDIAN(IF('Raw Annual DMR Data'!K:K=$F75, 'Raw Annual DMR Data'!W:W)), "N/A - No Daily Max DMR Discharge Data")</f>
        <v>N/A - No Daily Max DMR Discharge Data</v>
      </c>
      <c r="AE75" s="96" t="str">
        <f>IF(COUNTIFS('Raw Annual DMR Data'!L:L,$F75,'Raw Annual DMR Data'!W:W, "&gt;0")&gt;0,_xlfn.MAXIFS('Raw Annual DMR Data'!W:W,'Raw Annual DMR Data'!L:L,$F75), "N/A - No Daily Max DMR Discharge Data")</f>
        <v>N/A - No Daily Max DMR Discharge Data</v>
      </c>
      <c r="AF75" s="60" t="str" cm="1">
        <f t="array" ref="AF75">IF(COUNTIFS('Raw Annual DMR Data'!L:L,$F75,'Raw Annual DMR Data'!W:W, "&gt;0")&gt;0,INDEX('Raw Annual DMR Data'!B:B,MATCH(1,($F75='Raw Annual DMR Data'!L:L)*($AE75='Raw Annual DMR Data'!W:W),0)), "N/A - No Daily Max DMR Discharge Data")</f>
        <v>N/A - No Daily Max DMR Discharge Data</v>
      </c>
      <c r="AG75" s="424"/>
      <c r="AH75" s="424"/>
      <c r="AI75" s="425"/>
    </row>
    <row r="76" spans="1:35" ht="45.75" thickBot="1" x14ac:dyDescent="0.3">
      <c r="A76" s="144" t="str">
        <f>VLOOKUP(F76,'Facility Summary'!J:K,2,FALSE)</f>
        <v>Processing into formulation, mixture, or reaction product</v>
      </c>
      <c r="B76" s="85" t="s">
        <v>161</v>
      </c>
      <c r="C76" s="157" t="s">
        <v>520</v>
      </c>
      <c r="D76" s="157" t="s">
        <v>362</v>
      </c>
      <c r="E76" s="215" t="s">
        <v>521</v>
      </c>
      <c r="F76" s="158">
        <v>110000460901</v>
      </c>
      <c r="G76" s="74" t="s">
        <v>881</v>
      </c>
      <c r="H76" s="159" t="s">
        <v>882</v>
      </c>
      <c r="I76" s="74">
        <v>12040104000084</v>
      </c>
      <c r="J76" s="74" t="s">
        <v>265</v>
      </c>
      <c r="K76" s="60">
        <f>VLOOKUP(A76, 'OES Summary'!$A:$B, 2, FALSE)</f>
        <v>300</v>
      </c>
      <c r="L76" s="304" cm="1">
        <f t="array" ref="L76">IF(COUNTIF('Raw Annual DMR Data'!$L:$L,$F76)&gt;0,MEDIAN(IF('Raw Annual DMR Data'!$L:$L=F76,'Raw Annual DMR Data'!$S:$S)),"N/A - Facility Does Not Report DMRs")</f>
        <v>11.962900000000001</v>
      </c>
      <c r="M76" s="156">
        <f t="shared" si="11"/>
        <v>3.987633333333334E-2</v>
      </c>
      <c r="N76" s="156">
        <f>IF(COUNTIF('Raw Annual DMR Data'!$L:$L,$F76)&gt;0,_xlfn.MAXIFS('Raw Annual DMR Data'!$S:$S,'Raw Annual DMR Data'!$L:$L,$F76), "N/A - Facility Does Not Report DMRs")</f>
        <v>14.064920000000001</v>
      </c>
      <c r="O76" s="156">
        <f t="shared" si="12"/>
        <v>4.6883066666666667E-2</v>
      </c>
      <c r="P76" s="113" cm="1">
        <f t="array" ref="P76">IF(COUNTIF('Raw Annual DMR Data'!$L:$L,$F76)&gt;0,INDEX('Raw Annual DMR Data'!$B:$B,MATCH(1,($F76='Raw Annual DMR Data'!$L:$L)*($N76='Raw Annual DMR Data'!$S:$S),0)), "N/A - Facility Does Not Report DMRs")</f>
        <v>2021</v>
      </c>
      <c r="Q76" s="304" t="str" cm="1">
        <f t="array" ref="Q76">IF(COUNTIF('Raw TRI Data'!$J:$J,$E76)&gt;0,MEDIAN(IF('Raw TRI Data'!$J:$J=E76,'Raw TRI Data'!$S:$S)), "N/A - Facility Does Not Report to TRI")</f>
        <v>N/A - Facility Does Not Report to TRI</v>
      </c>
      <c r="R76" s="156" t="str">
        <f t="shared" si="9"/>
        <v>N/A - Facility Does Not Report to TRI</v>
      </c>
      <c r="S76" s="156" t="str">
        <f>IF(COUNTIF('Raw TRI Data'!$J:$J,$E76)&gt;0,_xlfn.MAXIFS('Raw TRI Data'!$S:$S,'Raw TRI Data'!$J:$J,$E76), "N/A - Facility Does Not Report to TRI")</f>
        <v>N/A - Facility Does Not Report to TRI</v>
      </c>
      <c r="T76" s="156" t="str">
        <f t="shared" si="10"/>
        <v>N/A - Facility Does Not Report to TRI</v>
      </c>
      <c r="U76" s="136" t="str" cm="1">
        <f t="array" ref="U76">IF(COUNTIF('Raw TRI Data'!$J:$J,$E76)&gt;0,INDEX('Raw TRI Data'!$A:$A,MATCH(1,($E76='Raw TRI Data'!$J:$J)*(S76='Raw TRI Data'!$S:$S),0)), "N/A - Facility Does Not Report to TRI")</f>
        <v>N/A - Facility Does Not Report to TRI</v>
      </c>
      <c r="V76" s="156" t="str" cm="1">
        <f t="array" ref="V76">IF(COUNTIFS('Raw Annual DMR Data'!$L:$L,$F76,'Raw Annual DMR Data'!$U:$U,"&gt;0")&gt;0,MEDIAN(IF('Raw Annual DMR Data'!$L:$L=$F76,'Raw Annual DMR Data'!$U:$U,"")),"N/A - Period DMR Data Not Available")</f>
        <v>N/A - Period DMR Data Not Available</v>
      </c>
      <c r="W76" s="156" t="str">
        <f>IF(COUNTIFS('Raw Annual DMR Data'!$L:$L,$F76, 'Raw Annual DMR Data'!$U:$U, "&gt;0")&gt;0,_xlfn.MAXIFS('Raw Annual DMR Data'!$U:$U,'Raw Annual DMR Data'!$L:$L,$F76), "N/A - Period DMR Data Not Available")</f>
        <v>N/A - Period DMR Data Not Available</v>
      </c>
      <c r="X76" s="113" t="str" cm="1">
        <f t="array" ref="X76">+IF(COUNTIFS('Raw Annual DMR Data'!L:L,$F76, 'Raw Annual DMR Data'!U:U, "&gt;0")&gt;0,INDEX('Raw Annual DMR Data'!V:V,MATCH(1,($F76='Raw Annual DMR Data'!L:L)*($W76='Raw Annual DMR Data'!U:U),0)), "N/A - Period DMR Data Not Available")</f>
        <v>N/A - Period DMR Data Not Available</v>
      </c>
      <c r="Y76" s="113" t="str" cm="1">
        <f t="array" ref="Y76">IF(COUNTIFS('Raw Annual DMR Data'!L:L,$F76, 'Raw Annual DMR Data'!U:U, "&gt;0")&gt;0,INDEX('Raw Annual DMR Data'!B:B,MATCH(1,($F76='Raw Annual DMR Data'!L:L)*($W76='Raw Annual DMR Data'!U:U),0)), "N/A - Period DMR Data Not Available")</f>
        <v>N/A - Period DMR Data Not Available</v>
      </c>
      <c r="Z76" s="311" t="str" cm="1">
        <f t="array" ref="Z76">IF(COUNTIF('Raw Annual DMR Data'!K:K,$E76)&gt;0,"N/A - See DMRs",IF(SUMIFS('Raw TRI Data'!$Z:$Z,'Raw TRI Data'!$J:$J,$E76)&gt;0,MEDIAN(IF('Raw TRI Data'!$J:$J=$E76,'Raw TRI Data'!$Z:$Z)), "N/A - Facility Does Not Report to TRI, no surface water releases, or no Generic Factors available"))</f>
        <v>N/A - See DMRs</v>
      </c>
      <c r="AA76" s="156" t="str">
        <f>IF(COUNTIF('Raw Annual DMR Data'!K:K,$E76)&gt;0,"N/A - See DMRs",IF(SUMIFS('Raw TRI Data'!$Z:$Z,'Raw TRI Data'!$J:$J,$E76)&gt;0,_xlfn.MAXIFS('Raw TRI Data'!$Z:$Z,'Raw TRI Data'!$J:$J,$E76), "N/A - Facility Does Not Report to TRI, no surface water releases, or no Generic Factors available"))</f>
        <v>N/A - See DMRs</v>
      </c>
      <c r="AB76" s="113" t="str">
        <f t="shared" si="13"/>
        <v>N/A</v>
      </c>
      <c r="AC76" s="136" t="str" cm="1">
        <f t="array" ref="AC76">IF(COUNTIF('Raw Annual DMR Data'!K:K,$E76)&gt;0,"N/A - See DMRs",IF(SUMIFS('Raw TRI Data'!$Z:$Z,'Raw TRI Data'!$J:$J,$E76)&gt;0,INDEX('Raw TRI Data'!$A:$A,MATCH(1,($E76='Raw TRI Data'!$J:$J)*($AA76='Raw TRI Data'!$Z:$Z),0)), "N/A - Facility Does Not Report to TRI, no surface water releases, or no Generic Factors available"))</f>
        <v>N/A - See DMRs</v>
      </c>
      <c r="AD76" s="96" t="str" cm="1">
        <f t="array" ref="AD76">IF(COUNTIFS('Raw Annual DMR Data'!L:L,$F76,'Raw Annual DMR Data'!W:W, "&gt;0")&gt;0,MEDIAN(IF('Raw Annual DMR Data'!K:K=$F76, 'Raw Annual DMR Data'!W:W)), "N/A - No Daily Max DMR Discharge Data")</f>
        <v>N/A - No Daily Max DMR Discharge Data</v>
      </c>
      <c r="AE76" s="96" t="str">
        <f>IF(COUNTIFS('Raw Annual DMR Data'!L:L,$F76,'Raw Annual DMR Data'!W:W, "&gt;0")&gt;0,_xlfn.MAXIFS('Raw Annual DMR Data'!W:W,'Raw Annual DMR Data'!L:L,$F76), "N/A - No Daily Max DMR Discharge Data")</f>
        <v>N/A - No Daily Max DMR Discharge Data</v>
      </c>
      <c r="AF76" s="60" t="str" cm="1">
        <f t="array" ref="AF76">IF(COUNTIFS('Raw Annual DMR Data'!L:L,$F76,'Raw Annual DMR Data'!W:W, "&gt;0")&gt;0,INDEX('Raw Annual DMR Data'!B:B,MATCH(1,($F76='Raw Annual DMR Data'!L:L)*($AE76='Raw Annual DMR Data'!W:W),0)), "N/A - No Daily Max DMR Discharge Data")</f>
        <v>N/A - No Daily Max DMR Discharge Data</v>
      </c>
      <c r="AG76" s="424"/>
      <c r="AH76" s="424"/>
      <c r="AI76" s="425"/>
    </row>
    <row r="77" spans="1:35" ht="30.75" thickBot="1" x14ac:dyDescent="0.3">
      <c r="A77" s="144" t="str">
        <f>VLOOKUP(F77,'Facility Summary'!J:K,2,FALSE)</f>
        <v>Processing as a Reactant</v>
      </c>
      <c r="B77" s="28" t="s">
        <v>212</v>
      </c>
      <c r="C77" s="28" t="s">
        <v>437</v>
      </c>
      <c r="D77" s="28" t="s">
        <v>362</v>
      </c>
      <c r="E77" s="60" t="s">
        <v>524</v>
      </c>
      <c r="F77" s="74">
        <v>110012256076</v>
      </c>
      <c r="G77" s="74" t="s">
        <v>295</v>
      </c>
      <c r="H77" s="28" t="s">
        <v>295</v>
      </c>
      <c r="I77" s="74" t="s">
        <v>295</v>
      </c>
      <c r="J77" s="74" t="s">
        <v>265</v>
      </c>
      <c r="K77" s="60">
        <f>VLOOKUP(A77, 'OES Summary'!$A:$B, 2, FALSE)</f>
        <v>350</v>
      </c>
      <c r="L77" s="304" t="str" cm="1">
        <f t="array" ref="L77">IF(COUNTIF('Raw Annual DMR Data'!$L:$L,$F77)&gt;0,MEDIAN(IF('Raw Annual DMR Data'!$L:$L=F77,'Raw Annual DMR Data'!$S:$S)),"N/A - Facility Does Not Report DMRs")</f>
        <v>N/A - Facility Does Not Report DMRs</v>
      </c>
      <c r="M77" s="156" t="str">
        <f t="shared" si="11"/>
        <v>N/A - Facility Does Not Report DMRs</v>
      </c>
      <c r="N77" s="156" t="str">
        <f>IF(COUNTIF('Raw Annual DMR Data'!$L:$L,$F77)&gt;0,_xlfn.MAXIFS('Raw Annual DMR Data'!$S:$S,'Raw Annual DMR Data'!$L:$L,$F77), "N/A - Facility Does Not Report DMRs")</f>
        <v>N/A - Facility Does Not Report DMRs</v>
      </c>
      <c r="O77" s="156" t="str">
        <f t="shared" si="12"/>
        <v>N/A - Facility Does Not Report DMRs</v>
      </c>
      <c r="P77" s="113" t="str" cm="1">
        <f t="array" ref="P77">IF(COUNTIF('Raw Annual DMR Data'!$L:$L,$F77)&gt;0,INDEX('Raw Annual DMR Data'!$B:$B,MATCH(1,($F77='Raw Annual DMR Data'!$L:$L)*($N77='Raw Annual DMR Data'!$S:$S),0)), "N/A - Facility Does Not Report DMRs")</f>
        <v>N/A - Facility Does Not Report DMRs</v>
      </c>
      <c r="Q77" s="304" cm="1">
        <f t="array" ref="Q77">IF(COUNTIF('Raw TRI Data'!$J:$J,$E77)&gt;0,MEDIAN(IF('Raw TRI Data'!$J:$J=E77,'Raw TRI Data'!$S:$S)), "N/A - Facility Does Not Report to TRI")</f>
        <v>2.2679618500000003</v>
      </c>
      <c r="R77" s="156">
        <f t="shared" si="9"/>
        <v>6.4798910000000006E-3</v>
      </c>
      <c r="S77" s="156">
        <f>IF(COUNTIF('Raw TRI Data'!$J:$J,$E77)&gt;0,_xlfn.MAXIFS('Raw TRI Data'!$S:$S,'Raw TRI Data'!$J:$J,$E77), "N/A - Facility Does Not Report to TRI")</f>
        <v>2.2679618500000003</v>
      </c>
      <c r="T77" s="156">
        <f t="shared" si="10"/>
        <v>6.4798910000000006E-3</v>
      </c>
      <c r="U77" s="136" cm="1">
        <f t="array" ref="U77">IF(COUNTIF('Raw TRI Data'!$J:$J,$E77)&gt;0,INDEX('Raw TRI Data'!$A:$A,MATCH(1,($E77='Raw TRI Data'!$J:$J)*(S77='Raw TRI Data'!$S:$S),0)), "N/A - Facility Does Not Report to TRI")</f>
        <v>2015</v>
      </c>
      <c r="V77" s="156" t="str" cm="1">
        <f t="array" ref="V77">IF(COUNTIFS('Raw Annual DMR Data'!$L:$L,$F77,'Raw Annual DMR Data'!$U:$U,"&gt;0")&gt;0,MEDIAN(IF('Raw Annual DMR Data'!$L:$L=$F77,'Raw Annual DMR Data'!$U:$U,"")),"N/A - Period DMR Data Not Available")</f>
        <v>N/A - Period DMR Data Not Available</v>
      </c>
      <c r="W77" s="156" t="str">
        <f>IF(COUNTIFS('Raw Annual DMR Data'!$L:$L,$F77, 'Raw Annual DMR Data'!$U:$U, "&gt;0")&gt;0,_xlfn.MAXIFS('Raw Annual DMR Data'!$U:$U,'Raw Annual DMR Data'!$L:$L,$F77), "N/A - Period DMR Data Not Available")</f>
        <v>N/A - Period DMR Data Not Available</v>
      </c>
      <c r="X77" s="113" t="str" cm="1">
        <f t="array" ref="X77">+IF(COUNTIFS('Raw Annual DMR Data'!L:L,$F77, 'Raw Annual DMR Data'!U:U, "&gt;0")&gt;0,INDEX('Raw Annual DMR Data'!V:V,MATCH(1,($F77='Raw Annual DMR Data'!L:L)*($W77='Raw Annual DMR Data'!U:U),0)), "N/A - Period DMR Data Not Available")</f>
        <v>N/A - Period DMR Data Not Available</v>
      </c>
      <c r="Y77" s="113" t="str" cm="1">
        <f t="array" ref="Y77">IF(COUNTIFS('Raw Annual DMR Data'!L:L,$F77, 'Raw Annual DMR Data'!U:U, "&gt;0")&gt;0,INDEX('Raw Annual DMR Data'!B:B,MATCH(1,($F77='Raw Annual DMR Data'!L:L)*($W77='Raw Annual DMR Data'!U:U),0)), "N/A - Period DMR Data Not Available")</f>
        <v>N/A - Period DMR Data Not Available</v>
      </c>
      <c r="Z77" s="311" t="e" cm="1">
        <f t="array" ref="Z77">IF(COUNTIF('Raw Annual DMR Data'!K:K,$E77)&gt;0,"N/A - See DMRs",IF(SUMIFS('Raw TRI Data'!$Z:$Z,'Raw TRI Data'!$J:$J,$E77)&gt;0,MEDIAN(IF('Raw TRI Data'!$J:$J=$E77,'Raw TRI Data'!$Z:$Z)), "N/A - Facility Does Not Report to TRI, no surface water releases, or no Generic Factors available"))</f>
        <v>#N/A</v>
      </c>
      <c r="AA77" s="156" t="e">
        <f>IF(COUNTIF('Raw Annual DMR Data'!K:K,$E77)&gt;0,"N/A - See DMRs",IF(SUMIFS('Raw TRI Data'!$Z:$Z,'Raw TRI Data'!$J:$J,$E77)&gt;0,_xlfn.MAXIFS('Raw TRI Data'!$Z:$Z,'Raw TRI Data'!$J:$J,$E77), "N/A - Facility Does Not Report to TRI, no surface water releases, or no Generic Factors available"))</f>
        <v>#N/A</v>
      </c>
      <c r="AB77" s="113" t="str">
        <f t="shared" si="13"/>
        <v>N/A</v>
      </c>
      <c r="AC77" s="136" t="e" cm="1">
        <f t="array" ref="AC77">IF(COUNTIF('Raw Annual DMR Data'!K:K,$E77)&gt;0,"N/A - See DMRs",IF(SUMIFS('Raw TRI Data'!$Z:$Z,'Raw TRI Data'!$J:$J,$E77)&gt;0,INDEX('Raw TRI Data'!$A:$A,MATCH(1,($E77='Raw TRI Data'!$J:$J)*($AA77='Raw TRI Data'!$Z:$Z),0)), "N/A - Facility Does Not Report to TRI, no surface water releases, or no Generic Factors available"))</f>
        <v>#N/A</v>
      </c>
      <c r="AD77" s="96" t="str" cm="1">
        <f t="array" ref="AD77">IF(COUNTIFS('Raw Annual DMR Data'!L:L,$F77,'Raw Annual DMR Data'!W:W, "&gt;0")&gt;0,MEDIAN(IF('Raw Annual DMR Data'!K:K=$F77, 'Raw Annual DMR Data'!W:W)), "N/A - No Daily Max DMR Discharge Data")</f>
        <v>N/A - No Daily Max DMR Discharge Data</v>
      </c>
      <c r="AE77" s="96" t="str">
        <f>IF(COUNTIFS('Raw Annual DMR Data'!L:L,$F77,'Raw Annual DMR Data'!W:W, "&gt;0")&gt;0,_xlfn.MAXIFS('Raw Annual DMR Data'!W:W,'Raw Annual DMR Data'!L:L,$F77), "N/A - No Daily Max DMR Discharge Data")</f>
        <v>N/A - No Daily Max DMR Discharge Data</v>
      </c>
      <c r="AF77" s="60" t="str" cm="1">
        <f t="array" ref="AF77">IF(COUNTIFS('Raw Annual DMR Data'!L:L,$F77,'Raw Annual DMR Data'!W:W, "&gt;0")&gt;0,INDEX('Raw Annual DMR Data'!B:B,MATCH(1,($F77='Raw Annual DMR Data'!L:L)*($AE77='Raw Annual DMR Data'!W:W),0)), "N/A - No Daily Max DMR Discharge Data")</f>
        <v>N/A - No Daily Max DMR Discharge Data</v>
      </c>
      <c r="AG77" s="426"/>
      <c r="AH77" s="426"/>
      <c r="AI77" s="427"/>
    </row>
    <row r="78" spans="1:35" ht="30.75" thickBot="1" x14ac:dyDescent="0.3">
      <c r="A78" s="144" t="str">
        <f>VLOOKUP(F78,'Facility Summary'!J:K,2,FALSE)</f>
        <v>Manufacturing</v>
      </c>
      <c r="B78" s="84" t="s">
        <v>162</v>
      </c>
      <c r="C78" s="84" t="s">
        <v>526</v>
      </c>
      <c r="D78" s="84" t="s">
        <v>362</v>
      </c>
      <c r="E78" s="60" t="s">
        <v>527</v>
      </c>
      <c r="F78" s="74">
        <v>110000748095</v>
      </c>
      <c r="G78" s="74" t="s">
        <v>883</v>
      </c>
      <c r="H78" s="61" t="s">
        <v>884</v>
      </c>
      <c r="I78" s="74">
        <v>12040101000196</v>
      </c>
      <c r="J78" s="74" t="s">
        <v>265</v>
      </c>
      <c r="K78" s="60">
        <f>VLOOKUP(A78, 'OES Summary'!$A:$B, 2, FALSE)</f>
        <v>350</v>
      </c>
      <c r="L78" s="304" cm="1">
        <f t="array" ref="L78">IF(COUNTIF('Raw Annual DMR Data'!$L:$L,$F78)&gt;0,MEDIAN(IF('Raw Annual DMR Data'!$L:$L=F78,'Raw Annual DMR Data'!$S:$S)),"N/A - Facility Does Not Report DMRs")</f>
        <v>0.78628117913831852</v>
      </c>
      <c r="M78" s="156">
        <f t="shared" si="11"/>
        <v>2.2465176546809101E-3</v>
      </c>
      <c r="N78" s="156">
        <f>IF(COUNTIF('Raw Annual DMR Data'!$L:$L,$F78)&gt;0,_xlfn.MAXIFS('Raw Annual DMR Data'!$S:$S,'Raw Annual DMR Data'!$L:$L,$F78), "N/A - Facility Does Not Report DMRs")</f>
        <v>4.0184674999999999</v>
      </c>
      <c r="O78" s="156">
        <f t="shared" si="12"/>
        <v>1.1481335714285714E-2</v>
      </c>
      <c r="P78" s="113" cm="1">
        <f t="array" ref="P78">IF(COUNTIF('Raw Annual DMR Data'!$L:$L,$F78)&gt;0,INDEX('Raw Annual DMR Data'!$B:$B,MATCH(1,($F78='Raw Annual DMR Data'!$L:$L)*($N78='Raw Annual DMR Data'!$S:$S),0)), "N/A - Facility Does Not Report DMRs")</f>
        <v>2021</v>
      </c>
      <c r="Q78" s="304" t="str" cm="1">
        <f t="array" ref="Q78">IF(COUNTIF('Raw TRI Data'!$J:$J,$E78)&gt;0,MEDIAN(IF('Raw TRI Data'!$J:$J=E78,'Raw TRI Data'!$S:$S)), "N/A - Facility Does Not Report to TRI")</f>
        <v>N/A - Facility Does Not Report to TRI</v>
      </c>
      <c r="R78" s="156" t="str">
        <f t="shared" si="9"/>
        <v>N/A - Facility Does Not Report to TRI</v>
      </c>
      <c r="S78" s="156" t="str">
        <f>IF(COUNTIF('Raw TRI Data'!$J:$J,$E78)&gt;0,_xlfn.MAXIFS('Raw TRI Data'!$S:$S,'Raw TRI Data'!$J:$J,$E78), "N/A - Facility Does Not Report to TRI")</f>
        <v>N/A - Facility Does Not Report to TRI</v>
      </c>
      <c r="T78" s="156" t="str">
        <f t="shared" si="10"/>
        <v>N/A - Facility Does Not Report to TRI</v>
      </c>
      <c r="U78" s="136" t="str" cm="1">
        <f t="array" ref="U78">IF(COUNTIF('Raw TRI Data'!$J:$J,$E78)&gt;0,INDEX('Raw TRI Data'!$A:$A,MATCH(1,($E78='Raw TRI Data'!$J:$J)*(S78='Raw TRI Data'!$S:$S),0)), "N/A - Facility Does Not Report to TRI")</f>
        <v>N/A - Facility Does Not Report to TRI</v>
      </c>
      <c r="V78" s="156" t="str" cm="1">
        <f t="array" ref="V78">IF(COUNTIFS('Raw Annual DMR Data'!$L:$L,$F78,'Raw Annual DMR Data'!$U:$U,"&gt;0")&gt;0,MEDIAN(IF('Raw Annual DMR Data'!$L:$L=$F78,'Raw Annual DMR Data'!$U:$U,"")),"N/A - Period DMR Data Not Available")</f>
        <v>N/A - Period DMR Data Not Available</v>
      </c>
      <c r="W78" s="156" t="str">
        <f>IF(COUNTIFS('Raw Annual DMR Data'!$L:$L,$F78, 'Raw Annual DMR Data'!$U:$U, "&gt;0")&gt;0,_xlfn.MAXIFS('Raw Annual DMR Data'!$U:$U,'Raw Annual DMR Data'!$L:$L,$F78), "N/A - Period DMR Data Not Available")</f>
        <v>N/A - Period DMR Data Not Available</v>
      </c>
      <c r="X78" s="113" t="str" cm="1">
        <f t="array" ref="X78">+IF(COUNTIFS('Raw Annual DMR Data'!L:L,$F78, 'Raw Annual DMR Data'!U:U, "&gt;0")&gt;0,INDEX('Raw Annual DMR Data'!V:V,MATCH(1,($F78='Raw Annual DMR Data'!L:L)*($W78='Raw Annual DMR Data'!U:U),0)), "N/A - Period DMR Data Not Available")</f>
        <v>N/A - Period DMR Data Not Available</v>
      </c>
      <c r="Y78" s="113" t="str" cm="1">
        <f t="array" ref="Y78">IF(COUNTIFS('Raw Annual DMR Data'!L:L,$F78, 'Raw Annual DMR Data'!U:U, "&gt;0")&gt;0,INDEX('Raw Annual DMR Data'!B:B,MATCH(1,($F78='Raw Annual DMR Data'!L:L)*($W78='Raw Annual DMR Data'!U:U),0)), "N/A - Period DMR Data Not Available")</f>
        <v>N/A - Period DMR Data Not Available</v>
      </c>
      <c r="Z78" s="311" t="str" cm="1">
        <f t="array" ref="Z78">IF(COUNTIF('Raw Annual DMR Data'!K:K,$E78)&gt;0,"N/A - See DMRs",IF(SUMIFS('Raw TRI Data'!$Z:$Z,'Raw TRI Data'!$J:$J,$E78)&gt;0,MEDIAN(IF('Raw TRI Data'!$J:$J=$E78,'Raw TRI Data'!$Z:$Z)), "N/A - Facility Does Not Report to TRI, no surface water releases, or no Generic Factors available"))</f>
        <v>N/A - See DMRs</v>
      </c>
      <c r="AA78" s="156" t="str">
        <f>IF(COUNTIF('Raw Annual DMR Data'!K:K,$E78)&gt;0,"N/A - See DMRs",IF(SUMIFS('Raw TRI Data'!$Z:$Z,'Raw TRI Data'!$J:$J,$E78)&gt;0,_xlfn.MAXIFS('Raw TRI Data'!$Z:$Z,'Raw TRI Data'!$J:$J,$E78), "N/A - Facility Does Not Report to TRI, no surface water releases, or no Generic Factors available"))</f>
        <v>N/A - See DMRs</v>
      </c>
      <c r="AB78" s="113" t="str">
        <f t="shared" si="13"/>
        <v>N/A</v>
      </c>
      <c r="AC78" s="136" t="str" cm="1">
        <f t="array" ref="AC78">IF(COUNTIF('Raw Annual DMR Data'!K:K,$E78)&gt;0,"N/A - See DMRs",IF(SUMIFS('Raw TRI Data'!$Z:$Z,'Raw TRI Data'!$J:$J,$E78)&gt;0,INDEX('Raw TRI Data'!$A:$A,MATCH(1,($E78='Raw TRI Data'!$J:$J)*($AA78='Raw TRI Data'!$Z:$Z),0)), "N/A - Facility Does Not Report to TRI, no surface water releases, or no Generic Factors available"))</f>
        <v>N/A - See DMRs</v>
      </c>
      <c r="AD78" s="96" t="str" cm="1">
        <f t="array" ref="AD78">IF(COUNTIFS('Raw Annual DMR Data'!L:L,$F78,'Raw Annual DMR Data'!W:W, "&gt;0")&gt;0,MEDIAN(IF('Raw Annual DMR Data'!K:K=$F78, 'Raw Annual DMR Data'!W:W)), "N/A - No Daily Max DMR Discharge Data")</f>
        <v>N/A - No Daily Max DMR Discharge Data</v>
      </c>
      <c r="AE78" s="96" t="str">
        <f>IF(COUNTIFS('Raw Annual DMR Data'!L:L,$F78,'Raw Annual DMR Data'!W:W, "&gt;0")&gt;0,_xlfn.MAXIFS('Raw Annual DMR Data'!W:W,'Raw Annual DMR Data'!L:L,$F78), "N/A - No Daily Max DMR Discharge Data")</f>
        <v>N/A - No Daily Max DMR Discharge Data</v>
      </c>
      <c r="AF78" s="60" t="str" cm="1">
        <f t="array" ref="AF78">IF(COUNTIFS('Raw Annual DMR Data'!L:L,$F78,'Raw Annual DMR Data'!W:W, "&gt;0")&gt;0,INDEX('Raw Annual DMR Data'!B:B,MATCH(1,($F78='Raw Annual DMR Data'!L:L)*($AE78='Raw Annual DMR Data'!W:W),0)), "N/A - No Daily Max DMR Discharge Data")</f>
        <v>N/A - No Daily Max DMR Discharge Data</v>
      </c>
    </row>
    <row r="79" spans="1:35" ht="30.75" thickBot="1" x14ac:dyDescent="0.3">
      <c r="A79" s="144" t="str">
        <f>VLOOKUP(F79,'Facility Summary'!J:K,2,FALSE)</f>
        <v>Processing as a Reactant</v>
      </c>
      <c r="B79" s="84" t="s">
        <v>163</v>
      </c>
      <c r="C79" s="84" t="s">
        <v>529</v>
      </c>
      <c r="D79" s="84" t="s">
        <v>311</v>
      </c>
      <c r="E79" s="60" t="s">
        <v>531</v>
      </c>
      <c r="F79" s="74">
        <v>110000607772</v>
      </c>
      <c r="G79" s="74" t="s">
        <v>885</v>
      </c>
      <c r="H79" s="61" t="s">
        <v>830</v>
      </c>
      <c r="I79" s="74">
        <v>5090101001861</v>
      </c>
      <c r="J79" s="74" t="s">
        <v>265</v>
      </c>
      <c r="K79" s="60">
        <f>VLOOKUP(A79, 'OES Summary'!$A:$B, 2, FALSE)</f>
        <v>350</v>
      </c>
      <c r="L79" s="304" cm="1">
        <f t="array" ref="L79">IF(COUNTIF('Raw Annual DMR Data'!$L:$L,$F79)&gt;0,MEDIAN(IF('Raw Annual DMR Data'!$L:$L=F79,'Raw Annual DMR Data'!$S:$S)),"N/A - Facility Does Not Report DMRs")</f>
        <v>0.110132653061224</v>
      </c>
      <c r="M79" s="156">
        <f t="shared" si="11"/>
        <v>3.1466472303206855E-4</v>
      </c>
      <c r="N79" s="156">
        <f>IF(COUNTIF('Raw Annual DMR Data'!$L:$L,$F79)&gt;0,_xlfn.MAXIFS('Raw Annual DMR Data'!$S:$S,'Raw Annual DMR Data'!$L:$L,$F79), "N/A - Facility Does Not Report DMRs")</f>
        <v>0.82587301587301498</v>
      </c>
      <c r="O79" s="156">
        <f t="shared" si="12"/>
        <v>2.3596371882086144E-3</v>
      </c>
      <c r="P79" s="113" cm="1">
        <f t="array" ref="P79">IF(COUNTIF('Raw Annual DMR Data'!$L:$L,$F79)&gt;0,INDEX('Raw Annual DMR Data'!$B:$B,MATCH(1,($F79='Raw Annual DMR Data'!$L:$L)*($N79='Raw Annual DMR Data'!$S:$S),0)), "N/A - Facility Does Not Report DMRs")</f>
        <v>2019</v>
      </c>
      <c r="Q79" s="304" t="str" cm="1">
        <f t="array" ref="Q79">IF(COUNTIF('Raw TRI Data'!$J:$J,$E79)&gt;0,MEDIAN(IF('Raw TRI Data'!$J:$J=E79,'Raw TRI Data'!$S:$S)), "N/A - Facility Does Not Report to TRI")</f>
        <v>N/A - Facility Does Not Report to TRI</v>
      </c>
      <c r="R79" s="156" t="str">
        <f t="shared" si="9"/>
        <v>N/A - Facility Does Not Report to TRI</v>
      </c>
      <c r="S79" s="156" t="str">
        <f>IF(COUNTIF('Raw TRI Data'!$J:$J,$E79)&gt;0,_xlfn.MAXIFS('Raw TRI Data'!$S:$S,'Raw TRI Data'!$J:$J,$E79), "N/A - Facility Does Not Report to TRI")</f>
        <v>N/A - Facility Does Not Report to TRI</v>
      </c>
      <c r="T79" s="156" t="str">
        <f t="shared" si="10"/>
        <v>N/A - Facility Does Not Report to TRI</v>
      </c>
      <c r="U79" s="136" t="str" cm="1">
        <f t="array" ref="U79">IF(COUNTIF('Raw TRI Data'!$J:$J,$E79)&gt;0,INDEX('Raw TRI Data'!$A:$A,MATCH(1,($E79='Raw TRI Data'!$J:$J)*(S79='Raw TRI Data'!$S:$S),0)), "N/A - Facility Does Not Report to TRI")</f>
        <v>N/A - Facility Does Not Report to TRI</v>
      </c>
      <c r="V79" s="156" t="str" cm="1">
        <f t="array" ref="V79">IF(COUNTIFS('Raw Annual DMR Data'!$L:$L,$F79,'Raw Annual DMR Data'!$U:$U,"&gt;0")&gt;0,MEDIAN(IF('Raw Annual DMR Data'!$L:$L=$F79,'Raw Annual DMR Data'!$U:$U,"")),"N/A - Period DMR Data Not Available")</f>
        <v>N/A - Period DMR Data Not Available</v>
      </c>
      <c r="W79" s="156" t="str">
        <f>IF(COUNTIFS('Raw Annual DMR Data'!$L:$L,$F79, 'Raw Annual DMR Data'!$U:$U, "&gt;0")&gt;0,_xlfn.MAXIFS('Raw Annual DMR Data'!$U:$U,'Raw Annual DMR Data'!$L:$L,$F79), "N/A - Period DMR Data Not Available")</f>
        <v>N/A - Period DMR Data Not Available</v>
      </c>
      <c r="X79" s="113" t="str" cm="1">
        <f t="array" ref="X79">+IF(COUNTIFS('Raw Annual DMR Data'!L:L,$F79, 'Raw Annual DMR Data'!U:U, "&gt;0")&gt;0,INDEX('Raw Annual DMR Data'!V:V,MATCH(1,($F79='Raw Annual DMR Data'!L:L)*($W79='Raw Annual DMR Data'!U:U),0)), "N/A - Period DMR Data Not Available")</f>
        <v>N/A - Period DMR Data Not Available</v>
      </c>
      <c r="Y79" s="113" t="str" cm="1">
        <f t="array" ref="Y79">IF(COUNTIFS('Raw Annual DMR Data'!L:L,$F79, 'Raw Annual DMR Data'!U:U, "&gt;0")&gt;0,INDEX('Raw Annual DMR Data'!B:B,MATCH(1,($F79='Raw Annual DMR Data'!L:L)*($W79='Raw Annual DMR Data'!U:U),0)), "N/A - Period DMR Data Not Available")</f>
        <v>N/A - Period DMR Data Not Available</v>
      </c>
      <c r="Z79" s="311" t="str" cm="1">
        <f t="array" ref="Z79">IF(COUNTIF('Raw Annual DMR Data'!K:K,$E79)&gt;0,"N/A - See DMRs",IF(SUMIFS('Raw TRI Data'!$Z:$Z,'Raw TRI Data'!$J:$J,$E79)&gt;0,MEDIAN(IF('Raw TRI Data'!$J:$J=$E79,'Raw TRI Data'!$Z:$Z)), "N/A - Facility Does Not Report to TRI, no surface water releases, or no Generic Factors available"))</f>
        <v>N/A - See DMRs</v>
      </c>
      <c r="AA79" s="156" t="str">
        <f>IF(COUNTIF('Raw Annual DMR Data'!K:K,$E79)&gt;0,"N/A - See DMRs",IF(SUMIFS('Raw TRI Data'!$Z:$Z,'Raw TRI Data'!$J:$J,$E79)&gt;0,_xlfn.MAXIFS('Raw TRI Data'!$Z:$Z,'Raw TRI Data'!$J:$J,$E79), "N/A - Facility Does Not Report to TRI, no surface water releases, or no Generic Factors available"))</f>
        <v>N/A - See DMRs</v>
      </c>
      <c r="AB79" s="113" t="str">
        <f t="shared" si="13"/>
        <v>N/A</v>
      </c>
      <c r="AC79" s="136" t="str" cm="1">
        <f t="array" ref="AC79">IF(COUNTIF('Raw Annual DMR Data'!K:K,$E79)&gt;0,"N/A - See DMRs",IF(SUMIFS('Raw TRI Data'!$Z:$Z,'Raw TRI Data'!$J:$J,$E79)&gt;0,INDEX('Raw TRI Data'!$A:$A,MATCH(1,($E79='Raw TRI Data'!$J:$J)*($AA79='Raw TRI Data'!$Z:$Z),0)), "N/A - Facility Does Not Report to TRI, no surface water releases, or no Generic Factors available"))</f>
        <v>N/A - See DMRs</v>
      </c>
      <c r="AD79" s="96" t="str" cm="1">
        <f t="array" ref="AD79">IF(COUNTIFS('Raw Annual DMR Data'!L:L,$F79,'Raw Annual DMR Data'!W:W, "&gt;0")&gt;0,MEDIAN(IF('Raw Annual DMR Data'!K:K=$F79, 'Raw Annual DMR Data'!W:W)), "N/A - No Daily Max DMR Discharge Data")</f>
        <v>N/A - No Daily Max DMR Discharge Data</v>
      </c>
      <c r="AE79" s="96" t="str">
        <f>IF(COUNTIFS('Raw Annual DMR Data'!L:L,$F79,'Raw Annual DMR Data'!W:W, "&gt;0")&gt;0,_xlfn.MAXIFS('Raw Annual DMR Data'!W:W,'Raw Annual DMR Data'!L:L,$F79), "N/A - No Daily Max DMR Discharge Data")</f>
        <v>N/A - No Daily Max DMR Discharge Data</v>
      </c>
      <c r="AF79" s="60" t="str" cm="1">
        <f t="array" ref="AF79">IF(COUNTIFS('Raw Annual DMR Data'!L:L,$F79,'Raw Annual DMR Data'!W:W, "&gt;0")&gt;0,INDEX('Raw Annual DMR Data'!B:B,MATCH(1,($F79='Raw Annual DMR Data'!L:L)*($AE79='Raw Annual DMR Data'!W:W),0)), "N/A - No Daily Max DMR Discharge Data")</f>
        <v>N/A - No Daily Max DMR Discharge Data</v>
      </c>
    </row>
    <row r="80" spans="1:35" ht="45.75" thickBot="1" x14ac:dyDescent="0.3">
      <c r="A80" s="144" t="str">
        <f>VLOOKUP(F80,'Facility Summary'!J:K,2,FALSE)</f>
        <v>Repackaging</v>
      </c>
      <c r="B80" s="84" t="s">
        <v>164</v>
      </c>
      <c r="C80" s="84" t="s">
        <v>533</v>
      </c>
      <c r="D80" s="84" t="s">
        <v>338</v>
      </c>
      <c r="E80" s="60"/>
      <c r="F80" s="74">
        <v>110070220480</v>
      </c>
      <c r="G80" s="74" t="s">
        <v>886</v>
      </c>
      <c r="H80" s="61" t="s">
        <v>887</v>
      </c>
      <c r="I80" s="74">
        <v>2030104000585</v>
      </c>
      <c r="J80" s="74" t="s">
        <v>265</v>
      </c>
      <c r="K80" s="60">
        <f>VLOOKUP(A80, 'OES Summary'!$A:$B, 2, FALSE)</f>
        <v>250</v>
      </c>
      <c r="L80" s="304" cm="1">
        <f t="array" ref="L80">IF(COUNTIF('Raw Annual DMR Data'!$L:$L,$F80)&gt;0,MEDIAN(IF('Raw Annual DMR Data'!$L:$L=F80,'Raw Annual DMR Data'!$S:$S)),"N/A - Facility Does Not Report DMRs")</f>
        <v>1.573682918982495E-3</v>
      </c>
      <c r="M80" s="156">
        <f t="shared" si="11"/>
        <v>6.2947316759299802E-6</v>
      </c>
      <c r="N80" s="156">
        <f>IF(COUNTIF('Raw Annual DMR Data'!$L:$L,$F80)&gt;0,_xlfn.MAXIFS('Raw Annual DMR Data'!$S:$S,'Raw Annual DMR Data'!$L:$L,$F80), "N/A - Facility Does Not Report DMRs")</f>
        <v>3.14736266991999E-3</v>
      </c>
      <c r="O80" s="156">
        <f t="shared" si="12"/>
        <v>1.2589450679679961E-5</v>
      </c>
      <c r="P80" s="113" cm="1">
        <f t="array" ref="P80">IF(COUNTIF('Raw Annual DMR Data'!$L:$L,$F80)&gt;0,INDEX('Raw Annual DMR Data'!$B:$B,MATCH(1,($F80='Raw Annual DMR Data'!$L:$L)*($N80='Raw Annual DMR Data'!$S:$S),0)), "N/A - Facility Does Not Report DMRs")</f>
        <v>2018</v>
      </c>
      <c r="Q80" s="304" t="str" cm="1">
        <f t="array" ref="Q80">IF(COUNTIF('Raw TRI Data'!$J:$J,$E80)&gt;0,MEDIAN(IF('Raw TRI Data'!$J:$J=E80,'Raw TRI Data'!$S:$S)), "N/A - Facility Does Not Report to TRI")</f>
        <v>N/A - Facility Does Not Report to TRI</v>
      </c>
      <c r="R80" s="156" t="str">
        <f t="shared" si="9"/>
        <v>N/A - Facility Does Not Report to TRI</v>
      </c>
      <c r="S80" s="156" t="str">
        <f>IF(COUNTIF('Raw TRI Data'!$J:$J,$E80)&gt;0,_xlfn.MAXIFS('Raw TRI Data'!$S:$S,'Raw TRI Data'!$J:$J,$E80), "N/A - Facility Does Not Report to TRI")</f>
        <v>N/A - Facility Does Not Report to TRI</v>
      </c>
      <c r="T80" s="156" t="str">
        <f t="shared" si="10"/>
        <v>N/A - Facility Does Not Report to TRI</v>
      </c>
      <c r="U80" s="136" t="str" cm="1">
        <f t="array" ref="U80">IF(COUNTIF('Raw TRI Data'!$J:$J,$E80)&gt;0,INDEX('Raw TRI Data'!$A:$A,MATCH(1,($E80='Raw TRI Data'!$J:$J)*(S80='Raw TRI Data'!$S:$S),0)), "N/A - Facility Does Not Report to TRI")</f>
        <v>N/A - Facility Does Not Report to TRI</v>
      </c>
      <c r="V80" s="156" t="str" cm="1">
        <f t="array" ref="V80">IF(COUNTIFS('Raw Annual DMR Data'!$L:$L,$F80,'Raw Annual DMR Data'!$U:$U,"&gt;0")&gt;0,MEDIAN(IF('Raw Annual DMR Data'!$L:$L=$F80,'Raw Annual DMR Data'!$U:$U,"")),"N/A - Period DMR Data Not Available")</f>
        <v>N/A - Period DMR Data Not Available</v>
      </c>
      <c r="W80" s="156" t="str">
        <f>IF(COUNTIFS('Raw Annual DMR Data'!$L:$L,$F80, 'Raw Annual DMR Data'!$U:$U, "&gt;0")&gt;0,_xlfn.MAXIFS('Raw Annual DMR Data'!$U:$U,'Raw Annual DMR Data'!$L:$L,$F80), "N/A - Period DMR Data Not Available")</f>
        <v>N/A - Period DMR Data Not Available</v>
      </c>
      <c r="X80" s="113" t="str" cm="1">
        <f t="array" ref="X80">+IF(COUNTIFS('Raw Annual DMR Data'!L:L,$F80, 'Raw Annual DMR Data'!U:U, "&gt;0")&gt;0,INDEX('Raw Annual DMR Data'!V:V,MATCH(1,($F80='Raw Annual DMR Data'!L:L)*($W80='Raw Annual DMR Data'!U:U),0)), "N/A - Period DMR Data Not Available")</f>
        <v>N/A - Period DMR Data Not Available</v>
      </c>
      <c r="Y80" s="113" t="str" cm="1">
        <f t="array" ref="Y80">IF(COUNTIFS('Raw Annual DMR Data'!L:L,$F80, 'Raw Annual DMR Data'!U:U, "&gt;0")&gt;0,INDEX('Raw Annual DMR Data'!B:B,MATCH(1,($F80='Raw Annual DMR Data'!L:L)*($W80='Raw Annual DMR Data'!U:U),0)), "N/A - Period DMR Data Not Available")</f>
        <v>N/A - Period DMR Data Not Available</v>
      </c>
      <c r="Z80" s="311" t="str" cm="1">
        <f t="array" ref="Z80">IF(COUNTIF('Raw Annual DMR Data'!K:K,$E80)&gt;0,"N/A - See DMRs",IF(SUMIFS('Raw TRI Data'!$Z:$Z,'Raw TRI Data'!$J:$J,$E80)&gt;0,MEDIAN(IF('Raw TRI Data'!$J:$J=$E80,'Raw TRI Data'!$Z:$Z)), "N/A - Facility Does Not Report to TRI, no surface water releases, or no Generic Factors available"))</f>
        <v>N/A - Facility Does Not Report to TRI, no surface water releases, or no Generic Factors available</v>
      </c>
      <c r="AA80" s="156" t="str">
        <f>IF(COUNTIF('Raw Annual DMR Data'!K:K,$E80)&gt;0,"N/A - See DMRs",IF(SUMIFS('Raw TRI Data'!$Z:$Z,'Raw TRI Data'!$J:$J,$E80)&gt;0,_xlfn.MAXIFS('Raw TRI Data'!$Z:$Z,'Raw TRI Data'!$J:$J,$E80), "N/A - Facility Does Not Report to TRI, no surface water releases, or no Generic Factors available"))</f>
        <v>N/A - Facility Does Not Report to TRI, no surface water releases, or no Generic Factors available</v>
      </c>
      <c r="AB80" s="113" t="str">
        <f t="shared" si="13"/>
        <v>N/A</v>
      </c>
      <c r="AC80" s="136" t="str" cm="1">
        <f t="array" ref="AC80">IF(COUNTIF('Raw Annual DMR Data'!K:K,$E80)&gt;0,"N/A - See DMRs",IF(SUMIFS('Raw TRI Data'!$Z:$Z,'Raw TRI Data'!$J:$J,$E80)&gt;0,INDEX('Raw TRI Data'!$A:$A,MATCH(1,($E80='Raw TRI Data'!$J:$J)*($AA80='Raw TRI Data'!$Z:$Z),0)), "N/A - Facility Does Not Report to TRI, no surface water releases, or no Generic Factors available"))</f>
        <v>N/A - Facility Does Not Report to TRI, no surface water releases, or no Generic Factors available</v>
      </c>
      <c r="AD80" s="96" t="str" cm="1">
        <f t="array" ref="AD80">IF(COUNTIFS('Raw Annual DMR Data'!L:L,$F80,'Raw Annual DMR Data'!W:W, "&gt;0")&gt;0,MEDIAN(IF('Raw Annual DMR Data'!K:K=$F80, 'Raw Annual DMR Data'!W:W)), "N/A - No Daily Max DMR Discharge Data")</f>
        <v>N/A - No Daily Max DMR Discharge Data</v>
      </c>
      <c r="AE80" s="96" t="str">
        <f>IF(COUNTIFS('Raw Annual DMR Data'!L:L,$F80,'Raw Annual DMR Data'!W:W, "&gt;0")&gt;0,_xlfn.MAXIFS('Raw Annual DMR Data'!W:W,'Raw Annual DMR Data'!L:L,$F80), "N/A - No Daily Max DMR Discharge Data")</f>
        <v>N/A - No Daily Max DMR Discharge Data</v>
      </c>
      <c r="AF80" s="60" t="str" cm="1">
        <f t="array" ref="AF80">IF(COUNTIFS('Raw Annual DMR Data'!L:L,$F80,'Raw Annual DMR Data'!W:W, "&gt;0")&gt;0,INDEX('Raw Annual DMR Data'!B:B,MATCH(1,($F80='Raw Annual DMR Data'!L:L)*($AE80='Raw Annual DMR Data'!W:W),0)), "N/A - No Daily Max DMR Discharge Data")</f>
        <v>N/A - No Daily Max DMR Discharge Data</v>
      </c>
    </row>
    <row r="81" spans="1:32" ht="30.75" thickBot="1" x14ac:dyDescent="0.3">
      <c r="A81" s="144" t="str">
        <f>VLOOKUP(F81,'Facility Summary'!J:K,2,FALSE)</f>
        <v>Manufacturing</v>
      </c>
      <c r="B81" s="84" t="s">
        <v>165</v>
      </c>
      <c r="C81" s="84" t="s">
        <v>535</v>
      </c>
      <c r="D81" s="84" t="s">
        <v>303</v>
      </c>
      <c r="E81" s="60" t="s">
        <v>536</v>
      </c>
      <c r="F81" s="74">
        <v>110000748040</v>
      </c>
      <c r="G81" s="74" t="s">
        <v>888</v>
      </c>
      <c r="H81" s="61" t="s">
        <v>889</v>
      </c>
      <c r="I81" s="74">
        <v>8080206000067</v>
      </c>
      <c r="J81" s="74" t="s">
        <v>265</v>
      </c>
      <c r="K81" s="60">
        <f>VLOOKUP(A81, 'OES Summary'!$A:$B, 2, FALSE)</f>
        <v>350</v>
      </c>
      <c r="L81" s="304" cm="1">
        <f t="array" ref="L81">IF(COUNTIF('Raw Annual DMR Data'!$L:$L,$F81)&gt;0,MEDIAN(IF('Raw Annual DMR Data'!$L:$L=F81,'Raw Annual DMR Data'!$S:$S)),"N/A - Facility Does Not Report DMRs")</f>
        <v>6.5300050125000004E-3</v>
      </c>
      <c r="M81" s="156">
        <f t="shared" si="11"/>
        <v>1.8657157178571429E-5</v>
      </c>
      <c r="N81" s="156">
        <f>IF(COUNTIF('Raw Annual DMR Data'!$L:$L,$F81)&gt;0,_xlfn.MAXIFS('Raw Annual DMR Data'!$S:$S,'Raw Annual DMR Data'!$L:$L,$F81), "N/A - Facility Does Not Report DMRs")</f>
        <v>3.0871882086167699</v>
      </c>
      <c r="O81" s="156">
        <f t="shared" si="12"/>
        <v>8.8205377389050568E-3</v>
      </c>
      <c r="P81" s="113" cm="1">
        <f t="array" ref="P81">IF(COUNTIF('Raw Annual DMR Data'!$L:$L,$F81)&gt;0,INDEX('Raw Annual DMR Data'!$B:$B,MATCH(1,($F81='Raw Annual DMR Data'!$L:$L)*($N81='Raw Annual DMR Data'!$S:$S),0)), "N/A - Facility Does Not Report DMRs")</f>
        <v>2018</v>
      </c>
      <c r="Q81" s="304" t="str" cm="1">
        <f t="array" ref="Q81">IF(COUNTIF('Raw TRI Data'!$J:$J,$E81)&gt;0,MEDIAN(IF('Raw TRI Data'!$J:$J=E81,'Raw TRI Data'!$S:$S)), "N/A - Facility Does Not Report to TRI")</f>
        <v>N/A - Facility Does Not Report to TRI</v>
      </c>
      <c r="R81" s="156" t="str">
        <f t="shared" si="9"/>
        <v>N/A - Facility Does Not Report to TRI</v>
      </c>
      <c r="S81" s="156" t="str">
        <f>IF(COUNTIF('Raw TRI Data'!$J:$J,$E81)&gt;0,_xlfn.MAXIFS('Raw TRI Data'!$S:$S,'Raw TRI Data'!$J:$J,$E81), "N/A - Facility Does Not Report to TRI")</f>
        <v>N/A - Facility Does Not Report to TRI</v>
      </c>
      <c r="T81" s="156" t="str">
        <f t="shared" si="10"/>
        <v>N/A - Facility Does Not Report to TRI</v>
      </c>
      <c r="U81" s="136" t="str" cm="1">
        <f t="array" ref="U81">IF(COUNTIF('Raw TRI Data'!$J:$J,$E81)&gt;0,INDEX('Raw TRI Data'!$A:$A,MATCH(1,($E81='Raw TRI Data'!$J:$J)*(S81='Raw TRI Data'!$S:$S),0)), "N/A - Facility Does Not Report to TRI")</f>
        <v>N/A - Facility Does Not Report to TRI</v>
      </c>
      <c r="V81" s="156" t="str" cm="1">
        <f t="array" ref="V81">IF(COUNTIFS('Raw Annual DMR Data'!$L:$L,$F81,'Raw Annual DMR Data'!$U:$U,"&gt;0")&gt;0,MEDIAN(IF('Raw Annual DMR Data'!$L:$L=$F81,'Raw Annual DMR Data'!$U:$U,"")),"N/A - Period DMR Data Not Available")</f>
        <v>N/A - Period DMR Data Not Available</v>
      </c>
      <c r="W81" s="156" t="str">
        <f>IF(COUNTIFS('Raw Annual DMR Data'!$L:$L,$F81, 'Raw Annual DMR Data'!$U:$U, "&gt;0")&gt;0,_xlfn.MAXIFS('Raw Annual DMR Data'!$U:$U,'Raw Annual DMR Data'!$L:$L,$F81), "N/A - Period DMR Data Not Available")</f>
        <v>N/A - Period DMR Data Not Available</v>
      </c>
      <c r="X81" s="113" t="str" cm="1">
        <f t="array" ref="X81">+IF(COUNTIFS('Raw Annual DMR Data'!L:L,$F81, 'Raw Annual DMR Data'!U:U, "&gt;0")&gt;0,INDEX('Raw Annual DMR Data'!V:V,MATCH(1,($F81='Raw Annual DMR Data'!L:L)*($W81='Raw Annual DMR Data'!U:U),0)), "N/A - Period DMR Data Not Available")</f>
        <v>N/A - Period DMR Data Not Available</v>
      </c>
      <c r="Y81" s="113" t="str" cm="1">
        <f t="array" ref="Y81">IF(COUNTIFS('Raw Annual DMR Data'!L:L,$F81, 'Raw Annual DMR Data'!U:U, "&gt;0")&gt;0,INDEX('Raw Annual DMR Data'!B:B,MATCH(1,($F81='Raw Annual DMR Data'!L:L)*($W81='Raw Annual DMR Data'!U:U),0)), "N/A - Period DMR Data Not Available")</f>
        <v>N/A - Period DMR Data Not Available</v>
      </c>
      <c r="Z81" s="311" t="str" cm="1">
        <f t="array" ref="Z81">IF(COUNTIF('Raw Annual DMR Data'!K:K,$E81)&gt;0,"N/A - See DMRs",IF(SUMIFS('Raw TRI Data'!$Z:$Z,'Raw TRI Data'!$J:$J,$E81)&gt;0,MEDIAN(IF('Raw TRI Data'!$J:$J=$E81,'Raw TRI Data'!$Z:$Z)), "N/A - Facility Does Not Report to TRI, no surface water releases, or no Generic Factors available"))</f>
        <v>N/A - See DMRs</v>
      </c>
      <c r="AA81" s="156" t="str">
        <f>IF(COUNTIF('Raw Annual DMR Data'!K:K,$E81)&gt;0,"N/A - See DMRs",IF(SUMIFS('Raw TRI Data'!$Z:$Z,'Raw TRI Data'!$J:$J,$E81)&gt;0,_xlfn.MAXIFS('Raw TRI Data'!$Z:$Z,'Raw TRI Data'!$J:$J,$E81), "N/A - Facility Does Not Report to TRI, no surface water releases, or no Generic Factors available"))</f>
        <v>N/A - See DMRs</v>
      </c>
      <c r="AB81" s="113" t="str">
        <f t="shared" si="13"/>
        <v>N/A</v>
      </c>
      <c r="AC81" s="136" t="str" cm="1">
        <f t="array" ref="AC81">IF(COUNTIF('Raw Annual DMR Data'!K:K,$E81)&gt;0,"N/A - See DMRs",IF(SUMIFS('Raw TRI Data'!$Z:$Z,'Raw TRI Data'!$J:$J,$E81)&gt;0,INDEX('Raw TRI Data'!$A:$A,MATCH(1,($E81='Raw TRI Data'!$J:$J)*($AA81='Raw TRI Data'!$Z:$Z),0)), "N/A - Facility Does Not Report to TRI, no surface water releases, or no Generic Factors available"))</f>
        <v>N/A - See DMRs</v>
      </c>
      <c r="AD81" s="96" t="str" cm="1">
        <f t="array" ref="AD81">IF(COUNTIFS('Raw Annual DMR Data'!L:L,$F81,'Raw Annual DMR Data'!W:W, "&gt;0")&gt;0,MEDIAN(IF('Raw Annual DMR Data'!K:K=$F81, 'Raw Annual DMR Data'!W:W)), "N/A - No Daily Max DMR Discharge Data")</f>
        <v>N/A - No Daily Max DMR Discharge Data</v>
      </c>
      <c r="AE81" s="96" t="str">
        <f>IF(COUNTIFS('Raw Annual DMR Data'!L:L,$F81,'Raw Annual DMR Data'!W:W, "&gt;0")&gt;0,_xlfn.MAXIFS('Raw Annual DMR Data'!W:W,'Raw Annual DMR Data'!L:L,$F81), "N/A - No Daily Max DMR Discharge Data")</f>
        <v>N/A - No Daily Max DMR Discharge Data</v>
      </c>
      <c r="AF81" s="60" t="str" cm="1">
        <f t="array" ref="AF81">IF(COUNTIFS('Raw Annual DMR Data'!L:L,$F81,'Raw Annual DMR Data'!W:W, "&gt;0")&gt;0,INDEX('Raw Annual DMR Data'!B:B,MATCH(1,($F81='Raw Annual DMR Data'!L:L)*($AE81='Raw Annual DMR Data'!W:W),0)), "N/A - No Daily Max DMR Discharge Data")</f>
        <v>N/A - No Daily Max DMR Discharge Data</v>
      </c>
    </row>
    <row r="82" spans="1:32" ht="30.75" thickBot="1" x14ac:dyDescent="0.3">
      <c r="A82" s="144" t="str">
        <f>VLOOKUP(F82,'Facility Summary'!J:K,2,FALSE)</f>
        <v>Manufacturing</v>
      </c>
      <c r="B82" s="84" t="s">
        <v>166</v>
      </c>
      <c r="C82" s="84" t="s">
        <v>538</v>
      </c>
      <c r="D82" s="84" t="s">
        <v>362</v>
      </c>
      <c r="E82" s="60" t="s">
        <v>539</v>
      </c>
      <c r="F82" s="74">
        <v>110000599479</v>
      </c>
      <c r="G82" s="74" t="s">
        <v>890</v>
      </c>
      <c r="H82" s="61" t="s">
        <v>891</v>
      </c>
      <c r="I82" s="74">
        <v>12040204000953</v>
      </c>
      <c r="J82" s="74" t="s">
        <v>265</v>
      </c>
      <c r="K82" s="60">
        <f>VLOOKUP(A82, 'OES Summary'!$A:$B, 2, FALSE)</f>
        <v>350</v>
      </c>
      <c r="L82" s="304" cm="1">
        <f t="array" ref="L82">IF(COUNTIF('Raw Annual DMR Data'!$L:$L,$F82)&gt;0,MEDIAN(IF('Raw Annual DMR Data'!$L:$L=F82,'Raw Annual DMR Data'!$S:$S)),"N/A - Facility Does Not Report DMRs")</f>
        <v>1.4913900000000001E-2</v>
      </c>
      <c r="M82" s="156">
        <f t="shared" si="11"/>
        <v>4.2611142857142859E-5</v>
      </c>
      <c r="N82" s="156">
        <f>IF(COUNTIF('Raw Annual DMR Data'!$L:$L,$F82)&gt;0,_xlfn.MAXIFS('Raw Annual DMR Data'!$S:$S,'Raw Annual DMR Data'!$L:$L,$F82), "N/A - Facility Does Not Report DMRs")</f>
        <v>1.6553287981859399E-2</v>
      </c>
      <c r="O82" s="156">
        <f t="shared" si="12"/>
        <v>4.7295108519598283E-5</v>
      </c>
      <c r="P82" s="113" cm="1">
        <f t="array" ref="P82">IF(COUNTIF('Raw Annual DMR Data'!$L:$L,$F82)&gt;0,INDEX('Raw Annual DMR Data'!$B:$B,MATCH(1,($F82='Raw Annual DMR Data'!$L:$L)*($N82='Raw Annual DMR Data'!$S:$S),0)), "N/A - Facility Does Not Report DMRs")</f>
        <v>2015</v>
      </c>
      <c r="Q82" s="304" t="str" cm="1">
        <f t="array" ref="Q82">IF(COUNTIF('Raw TRI Data'!$J:$J,$E82)&gt;0,MEDIAN(IF('Raw TRI Data'!$J:$J=E82,'Raw TRI Data'!$S:$S)), "N/A - Facility Does Not Report to TRI")</f>
        <v>N/A - Facility Does Not Report to TRI</v>
      </c>
      <c r="R82" s="156" t="str">
        <f t="shared" si="9"/>
        <v>N/A - Facility Does Not Report to TRI</v>
      </c>
      <c r="S82" s="156" t="str">
        <f>IF(COUNTIF('Raw TRI Data'!$J:$J,$E82)&gt;0,_xlfn.MAXIFS('Raw TRI Data'!$S:$S,'Raw TRI Data'!$J:$J,$E82), "N/A - Facility Does Not Report to TRI")</f>
        <v>N/A - Facility Does Not Report to TRI</v>
      </c>
      <c r="T82" s="156" t="str">
        <f t="shared" si="10"/>
        <v>N/A - Facility Does Not Report to TRI</v>
      </c>
      <c r="U82" s="136" t="str" cm="1">
        <f t="array" ref="U82">IF(COUNTIF('Raw TRI Data'!$J:$J,$E82)&gt;0,INDEX('Raw TRI Data'!$A:$A,MATCH(1,($E82='Raw TRI Data'!$J:$J)*(S82='Raw TRI Data'!$S:$S),0)), "N/A - Facility Does Not Report to TRI")</f>
        <v>N/A - Facility Does Not Report to TRI</v>
      </c>
      <c r="V82" s="156" t="str" cm="1">
        <f t="array" ref="V82">IF(COUNTIFS('Raw Annual DMR Data'!$L:$L,$F82,'Raw Annual DMR Data'!$U:$U,"&gt;0")&gt;0,MEDIAN(IF('Raw Annual DMR Data'!$L:$L=$F82,'Raw Annual DMR Data'!$U:$U,"")),"N/A - Period DMR Data Not Available")</f>
        <v>N/A - Period DMR Data Not Available</v>
      </c>
      <c r="W82" s="156" t="str">
        <f>IF(COUNTIFS('Raw Annual DMR Data'!$L:$L,$F82, 'Raw Annual DMR Data'!$U:$U, "&gt;0")&gt;0,_xlfn.MAXIFS('Raw Annual DMR Data'!$U:$U,'Raw Annual DMR Data'!$L:$L,$F82), "N/A - Period DMR Data Not Available")</f>
        <v>N/A - Period DMR Data Not Available</v>
      </c>
      <c r="X82" s="113" t="str" cm="1">
        <f t="array" ref="X82">+IF(COUNTIFS('Raw Annual DMR Data'!L:L,$F82, 'Raw Annual DMR Data'!U:U, "&gt;0")&gt;0,INDEX('Raw Annual DMR Data'!V:V,MATCH(1,($F82='Raw Annual DMR Data'!L:L)*($W82='Raw Annual DMR Data'!U:U),0)), "N/A - Period DMR Data Not Available")</f>
        <v>N/A - Period DMR Data Not Available</v>
      </c>
      <c r="Y82" s="113" t="str" cm="1">
        <f t="array" ref="Y82">IF(COUNTIFS('Raw Annual DMR Data'!L:L,$F82, 'Raw Annual DMR Data'!U:U, "&gt;0")&gt;0,INDEX('Raw Annual DMR Data'!B:B,MATCH(1,($F82='Raw Annual DMR Data'!L:L)*($W82='Raw Annual DMR Data'!U:U),0)), "N/A - Period DMR Data Not Available")</f>
        <v>N/A - Period DMR Data Not Available</v>
      </c>
      <c r="Z82" s="311" t="str" cm="1">
        <f t="array" ref="Z82">IF(COUNTIF('Raw Annual DMR Data'!K:K,$E82)&gt;0,"N/A - See DMRs",IF(SUMIFS('Raw TRI Data'!$Z:$Z,'Raw TRI Data'!$J:$J,$E82)&gt;0,MEDIAN(IF('Raw TRI Data'!$J:$J=$E82,'Raw TRI Data'!$Z:$Z)), "N/A - Facility Does Not Report to TRI, no surface water releases, or no Generic Factors available"))</f>
        <v>N/A - See DMRs</v>
      </c>
      <c r="AA82" s="156" t="str">
        <f>IF(COUNTIF('Raw Annual DMR Data'!K:K,$E82)&gt;0,"N/A - See DMRs",IF(SUMIFS('Raw TRI Data'!$Z:$Z,'Raw TRI Data'!$J:$J,$E82)&gt;0,_xlfn.MAXIFS('Raw TRI Data'!$Z:$Z,'Raw TRI Data'!$J:$J,$E82), "N/A - Facility Does Not Report to TRI, no surface water releases, or no Generic Factors available"))</f>
        <v>N/A - See DMRs</v>
      </c>
      <c r="AB82" s="113" t="str">
        <f t="shared" si="13"/>
        <v>N/A</v>
      </c>
      <c r="AC82" s="136" t="str" cm="1">
        <f t="array" ref="AC82">IF(COUNTIF('Raw Annual DMR Data'!K:K,$E82)&gt;0,"N/A - See DMRs",IF(SUMIFS('Raw TRI Data'!$Z:$Z,'Raw TRI Data'!$J:$J,$E82)&gt;0,INDEX('Raw TRI Data'!$A:$A,MATCH(1,($E82='Raw TRI Data'!$J:$J)*($AA82='Raw TRI Data'!$Z:$Z),0)), "N/A - Facility Does Not Report to TRI, no surface water releases, or no Generic Factors available"))</f>
        <v>N/A - See DMRs</v>
      </c>
      <c r="AD82" s="96" t="str" cm="1">
        <f t="array" ref="AD82">IF(COUNTIFS('Raw Annual DMR Data'!L:L,$F82,'Raw Annual DMR Data'!W:W, "&gt;0")&gt;0,MEDIAN(IF('Raw Annual DMR Data'!K:K=$F82, 'Raw Annual DMR Data'!W:W)), "N/A - No Daily Max DMR Discharge Data")</f>
        <v>N/A - No Daily Max DMR Discharge Data</v>
      </c>
      <c r="AE82" s="96" t="str">
        <f>IF(COUNTIFS('Raw Annual DMR Data'!L:L,$F82,'Raw Annual DMR Data'!W:W, "&gt;0")&gt;0,_xlfn.MAXIFS('Raw Annual DMR Data'!W:W,'Raw Annual DMR Data'!L:L,$F82), "N/A - No Daily Max DMR Discharge Data")</f>
        <v>N/A - No Daily Max DMR Discharge Data</v>
      </c>
      <c r="AF82" s="60" t="str" cm="1">
        <f t="array" ref="AF82">IF(COUNTIFS('Raw Annual DMR Data'!L:L,$F82,'Raw Annual DMR Data'!W:W, "&gt;0")&gt;0,INDEX('Raw Annual DMR Data'!B:B,MATCH(1,($F82='Raw Annual DMR Data'!L:L)*($AE82='Raw Annual DMR Data'!W:W),0)), "N/A - No Daily Max DMR Discharge Data")</f>
        <v>N/A - No Daily Max DMR Discharge Data</v>
      </c>
    </row>
    <row r="83" spans="1:32" ht="30.75" thickBot="1" x14ac:dyDescent="0.3">
      <c r="A83" s="144" t="str">
        <f>VLOOKUP(F83,'Facility Summary'!J:K,2,FALSE)</f>
        <v>Manufacturing</v>
      </c>
      <c r="B83" s="28" t="s">
        <v>213</v>
      </c>
      <c r="C83" s="28" t="s">
        <v>460</v>
      </c>
      <c r="D83" s="28" t="s">
        <v>541</v>
      </c>
      <c r="E83" s="60" t="s">
        <v>542</v>
      </c>
      <c r="F83" s="74">
        <v>110017326963</v>
      </c>
      <c r="G83" s="74" t="s">
        <v>295</v>
      </c>
      <c r="H83" s="28" t="s">
        <v>295</v>
      </c>
      <c r="I83" s="74" t="s">
        <v>295</v>
      </c>
      <c r="J83" s="74" t="s">
        <v>265</v>
      </c>
      <c r="K83" s="60">
        <f>VLOOKUP(A83, 'OES Summary'!$A:$B, 2, FALSE)</f>
        <v>350</v>
      </c>
      <c r="L83" s="304" t="str" cm="1">
        <f t="array" ref="L83">IF(COUNTIF('Raw Annual DMR Data'!$L:$L,$F83)&gt;0,MEDIAN(IF('Raw Annual DMR Data'!$L:$L=F83,'Raw Annual DMR Data'!$S:$S)),"N/A - Facility Does Not Report DMRs")</f>
        <v>N/A - Facility Does Not Report DMRs</v>
      </c>
      <c r="M83" s="156" t="str">
        <f t="shared" si="11"/>
        <v>N/A - Facility Does Not Report DMRs</v>
      </c>
      <c r="N83" s="156" t="str">
        <f>IF(COUNTIF('Raw Annual DMR Data'!$L:$L,$F83)&gt;0,_xlfn.MAXIFS('Raw Annual DMR Data'!$S:$S,'Raw Annual DMR Data'!$L:$L,$F83), "N/A - Facility Does Not Report DMRs")</f>
        <v>N/A - Facility Does Not Report DMRs</v>
      </c>
      <c r="O83" s="156" t="str">
        <f t="shared" si="12"/>
        <v>N/A - Facility Does Not Report DMRs</v>
      </c>
      <c r="P83" s="113" t="str" cm="1">
        <f t="array" ref="P83">IF(COUNTIF('Raw Annual DMR Data'!$L:$L,$F83)&gt;0,INDEX('Raw Annual DMR Data'!$B:$B,MATCH(1,($F83='Raw Annual DMR Data'!$L:$L)*($N83='Raw Annual DMR Data'!$S:$S),0)), "N/A - Facility Does Not Report DMRs")</f>
        <v>N/A - Facility Does Not Report DMRs</v>
      </c>
      <c r="Q83" s="304" cm="1">
        <f t="array" ref="Q83">IF(COUNTIF('Raw TRI Data'!$J:$J,$E83)&gt;0,MEDIAN(IF('Raw TRI Data'!$J:$J=E83,'Raw TRI Data'!$S:$S)), "N/A - Facility Does Not Report to TRI")</f>
        <v>0</v>
      </c>
      <c r="R83" s="156">
        <f t="shared" si="9"/>
        <v>0</v>
      </c>
      <c r="S83" s="156">
        <f>IF(COUNTIF('Raw TRI Data'!$J:$J,$E83)&gt;0,_xlfn.MAXIFS('Raw TRI Data'!$S:$S,'Raw TRI Data'!$J:$J,$E83), "N/A - Facility Does Not Report to TRI")</f>
        <v>0</v>
      </c>
      <c r="T83" s="156">
        <f t="shared" si="10"/>
        <v>0</v>
      </c>
      <c r="U83" s="136" cm="1">
        <f t="array" ref="U83">IF(COUNTIF('Raw TRI Data'!$J:$J,$E83)&gt;0,INDEX('Raw TRI Data'!$A:$A,MATCH(1,($E83='Raw TRI Data'!$J:$J)*(S83='Raw TRI Data'!$S:$S),0)), "N/A - Facility Does Not Report to TRI")</f>
        <v>2015</v>
      </c>
      <c r="V83" s="156" t="str" cm="1">
        <f t="array" ref="V83">IF(COUNTIFS('Raw Annual DMR Data'!$L:$L,$F83,'Raw Annual DMR Data'!$U:$U,"&gt;0")&gt;0,MEDIAN(IF('Raw Annual DMR Data'!$L:$L=$F83,'Raw Annual DMR Data'!$U:$U,"")),"N/A - Period DMR Data Not Available")</f>
        <v>N/A - Period DMR Data Not Available</v>
      </c>
      <c r="W83" s="156" t="str">
        <f>IF(COUNTIFS('Raw Annual DMR Data'!$L:$L,$F83, 'Raw Annual DMR Data'!$U:$U, "&gt;0")&gt;0,_xlfn.MAXIFS('Raw Annual DMR Data'!$U:$U,'Raw Annual DMR Data'!$L:$L,$F83), "N/A - Period DMR Data Not Available")</f>
        <v>N/A - Period DMR Data Not Available</v>
      </c>
      <c r="X83" s="113" t="str" cm="1">
        <f t="array" ref="X83">+IF(COUNTIFS('Raw Annual DMR Data'!L:L,$F83, 'Raw Annual DMR Data'!U:U, "&gt;0")&gt;0,INDEX('Raw Annual DMR Data'!V:V,MATCH(1,($F83='Raw Annual DMR Data'!L:L)*($W83='Raw Annual DMR Data'!U:U),0)), "N/A - Period DMR Data Not Available")</f>
        <v>N/A - Period DMR Data Not Available</v>
      </c>
      <c r="Y83" s="113" t="str" cm="1">
        <f t="array" ref="Y83">IF(COUNTIFS('Raw Annual DMR Data'!L:L,$F83, 'Raw Annual DMR Data'!U:U, "&gt;0")&gt;0,INDEX('Raw Annual DMR Data'!B:B,MATCH(1,($F83='Raw Annual DMR Data'!L:L)*($W83='Raw Annual DMR Data'!U:U),0)), "N/A - Period DMR Data Not Available")</f>
        <v>N/A - Period DMR Data Not Available</v>
      </c>
      <c r="Z83" s="311" t="e" cm="1">
        <f t="array" ref="Z83">IF(COUNTIF('Raw Annual DMR Data'!K:K,$E83)&gt;0,"N/A - See DMRs",IF(SUMIFS('Raw TRI Data'!$Z:$Z,'Raw TRI Data'!$J:$J,$E83)&gt;0,MEDIAN(IF('Raw TRI Data'!$J:$J=$E83,'Raw TRI Data'!$Z:$Z)), "N/A - Facility Does Not Report to TRI, no surface water releases, or no Generic Factors available"))</f>
        <v>#N/A</v>
      </c>
      <c r="AA83" s="156" t="e">
        <f>IF(COUNTIF('Raw Annual DMR Data'!K:K,$E83)&gt;0,"N/A - See DMRs",IF(SUMIFS('Raw TRI Data'!$Z:$Z,'Raw TRI Data'!$J:$J,$E83)&gt;0,_xlfn.MAXIFS('Raw TRI Data'!$Z:$Z,'Raw TRI Data'!$J:$J,$E83), "N/A - Facility Does Not Report to TRI, no surface water releases, or no Generic Factors available"))</f>
        <v>#N/A</v>
      </c>
      <c r="AB83" s="113" t="str">
        <f t="shared" si="13"/>
        <v>N/A</v>
      </c>
      <c r="AC83" s="136" t="e" cm="1">
        <f t="array" ref="AC83">IF(COUNTIF('Raw Annual DMR Data'!K:K,$E83)&gt;0,"N/A - See DMRs",IF(SUMIFS('Raw TRI Data'!$Z:$Z,'Raw TRI Data'!$J:$J,$E83)&gt;0,INDEX('Raw TRI Data'!$A:$A,MATCH(1,($E83='Raw TRI Data'!$J:$J)*($AA83='Raw TRI Data'!$Z:$Z),0)), "N/A - Facility Does Not Report to TRI, no surface water releases, or no Generic Factors available"))</f>
        <v>#N/A</v>
      </c>
      <c r="AD83" s="96" t="str" cm="1">
        <f t="array" ref="AD83">IF(COUNTIFS('Raw Annual DMR Data'!L:L,$F83,'Raw Annual DMR Data'!W:W, "&gt;0")&gt;0,MEDIAN(IF('Raw Annual DMR Data'!K:K=$F83, 'Raw Annual DMR Data'!W:W)), "N/A - No Daily Max DMR Discharge Data")</f>
        <v>N/A - No Daily Max DMR Discharge Data</v>
      </c>
      <c r="AE83" s="96" t="str">
        <f>IF(COUNTIFS('Raw Annual DMR Data'!L:L,$F83,'Raw Annual DMR Data'!W:W, "&gt;0")&gt;0,_xlfn.MAXIFS('Raw Annual DMR Data'!W:W,'Raw Annual DMR Data'!L:L,$F83), "N/A - No Daily Max DMR Discharge Data")</f>
        <v>N/A - No Daily Max DMR Discharge Data</v>
      </c>
      <c r="AF83" s="60" t="str" cm="1">
        <f t="array" ref="AF83">IF(COUNTIFS('Raw Annual DMR Data'!L:L,$F83,'Raw Annual DMR Data'!W:W, "&gt;0")&gt;0,INDEX('Raw Annual DMR Data'!B:B,MATCH(1,($F83='Raw Annual DMR Data'!L:L)*($AE83='Raw Annual DMR Data'!W:W),0)), "N/A - No Daily Max DMR Discharge Data")</f>
        <v>N/A - No Daily Max DMR Discharge Data</v>
      </c>
    </row>
    <row r="84" spans="1:32" ht="45.75" thickBot="1" x14ac:dyDescent="0.3">
      <c r="A84" s="144" t="str">
        <f>VLOOKUP(F84,'Facility Summary'!J:K,2,FALSE)</f>
        <v>Industrial and commercial non-aerosol cleaning/degreasing</v>
      </c>
      <c r="B84" s="84" t="s">
        <v>167</v>
      </c>
      <c r="C84" s="84" t="s">
        <v>544</v>
      </c>
      <c r="D84" s="84" t="s">
        <v>338</v>
      </c>
      <c r="E84" s="60"/>
      <c r="F84" s="74">
        <v>110002468669</v>
      </c>
      <c r="G84" s="74" t="s">
        <v>892</v>
      </c>
      <c r="H84" s="61" t="s">
        <v>893</v>
      </c>
      <c r="I84" s="74">
        <v>2030104000564</v>
      </c>
      <c r="J84" s="74" t="s">
        <v>265</v>
      </c>
      <c r="K84" s="60">
        <f>VLOOKUP(A84, 'OES Summary'!$A:$B, 2, FALSE)</f>
        <v>250</v>
      </c>
      <c r="L84" s="304" cm="1">
        <f t="array" ref="L84">IF(COUNTIF('Raw Annual DMR Data'!$L:$L,$F84)&gt;0,MEDIAN(IF('Raw Annual DMR Data'!$L:$L=F84,'Raw Annual DMR Data'!$S:$S)),"N/A - Facility Does Not Report DMRs")</f>
        <v>0.33974538500000001</v>
      </c>
      <c r="M84" s="156">
        <f t="shared" si="11"/>
        <v>1.35898154E-3</v>
      </c>
      <c r="N84" s="156">
        <f>IF(COUNTIF('Raw Annual DMR Data'!$L:$L,$F84)&gt;0,_xlfn.MAXIFS('Raw Annual DMR Data'!$S:$S,'Raw Annual DMR Data'!$L:$L,$F84), "N/A - Facility Does Not Report DMRs")</f>
        <v>0.59396743333333302</v>
      </c>
      <c r="O84" s="156">
        <f t="shared" si="12"/>
        <v>2.3758697333333321E-3</v>
      </c>
      <c r="P84" s="113" cm="1">
        <f t="array" ref="P84">IF(COUNTIF('Raw Annual DMR Data'!$L:$L,$F84)&gt;0,INDEX('Raw Annual DMR Data'!$B:$B,MATCH(1,($F84='Raw Annual DMR Data'!$L:$L)*($N84='Raw Annual DMR Data'!$S:$S),0)), "N/A - Facility Does Not Report DMRs")</f>
        <v>2017</v>
      </c>
      <c r="Q84" s="304" t="str" cm="1">
        <f t="array" ref="Q84">IF(COUNTIF('Raw TRI Data'!$J:$J,$E84)&gt;0,MEDIAN(IF('Raw TRI Data'!$J:$J=E84,'Raw TRI Data'!$S:$S)), "N/A - Facility Does Not Report to TRI")</f>
        <v>N/A - Facility Does Not Report to TRI</v>
      </c>
      <c r="R84" s="156" t="str">
        <f t="shared" si="9"/>
        <v>N/A - Facility Does Not Report to TRI</v>
      </c>
      <c r="S84" s="156" t="str">
        <f>IF(COUNTIF('Raw TRI Data'!$J:$J,$E84)&gt;0,_xlfn.MAXIFS('Raw TRI Data'!$S:$S,'Raw TRI Data'!$J:$J,$E84), "N/A - Facility Does Not Report to TRI")</f>
        <v>N/A - Facility Does Not Report to TRI</v>
      </c>
      <c r="T84" s="156" t="str">
        <f t="shared" si="10"/>
        <v>N/A - Facility Does Not Report to TRI</v>
      </c>
      <c r="U84" s="136" t="str" cm="1">
        <f t="array" ref="U84">IF(COUNTIF('Raw TRI Data'!$J:$J,$E84)&gt;0,INDEX('Raw TRI Data'!$A:$A,MATCH(1,($E84='Raw TRI Data'!$J:$J)*(S84='Raw TRI Data'!$S:$S),0)), "N/A - Facility Does Not Report to TRI")</f>
        <v>N/A - Facility Does Not Report to TRI</v>
      </c>
      <c r="V84" s="156" t="str" cm="1">
        <f t="array" ref="V84">IF(COUNTIFS('Raw Annual DMR Data'!$L:$L,$F84,'Raw Annual DMR Data'!$U:$U,"&gt;0")&gt;0,MEDIAN(IF('Raw Annual DMR Data'!$L:$L=$F84,'Raw Annual DMR Data'!$U:$U,"")),"N/A - Period DMR Data Not Available")</f>
        <v>N/A - Period DMR Data Not Available</v>
      </c>
      <c r="W84" s="156" t="str">
        <f>IF(COUNTIFS('Raw Annual DMR Data'!$L:$L,$F84, 'Raw Annual DMR Data'!$U:$U, "&gt;0")&gt;0,_xlfn.MAXIFS('Raw Annual DMR Data'!$U:$U,'Raw Annual DMR Data'!$L:$L,$F84), "N/A - Period DMR Data Not Available")</f>
        <v>N/A - Period DMR Data Not Available</v>
      </c>
      <c r="X84" s="113" t="str" cm="1">
        <f t="array" ref="X84">+IF(COUNTIFS('Raw Annual DMR Data'!L:L,$F84, 'Raw Annual DMR Data'!U:U, "&gt;0")&gt;0,INDEX('Raw Annual DMR Data'!V:V,MATCH(1,($F84='Raw Annual DMR Data'!L:L)*($W84='Raw Annual DMR Data'!U:U),0)), "N/A - Period DMR Data Not Available")</f>
        <v>N/A - Period DMR Data Not Available</v>
      </c>
      <c r="Y84" s="113" t="str" cm="1">
        <f t="array" ref="Y84">IF(COUNTIFS('Raw Annual DMR Data'!L:L,$F84, 'Raw Annual DMR Data'!U:U, "&gt;0")&gt;0,INDEX('Raw Annual DMR Data'!B:B,MATCH(1,($F84='Raw Annual DMR Data'!L:L)*($W84='Raw Annual DMR Data'!U:U),0)), "N/A - Period DMR Data Not Available")</f>
        <v>N/A - Period DMR Data Not Available</v>
      </c>
      <c r="Z84" s="311" t="str" cm="1">
        <f t="array" ref="Z84">IF(COUNTIF('Raw Annual DMR Data'!K:K,$E84)&gt;0,"N/A - See DMRs",IF(SUMIFS('Raw TRI Data'!$Z:$Z,'Raw TRI Data'!$J:$J,$E84)&gt;0,MEDIAN(IF('Raw TRI Data'!$J:$J=$E84,'Raw TRI Data'!$Z:$Z)), "N/A - Facility Does Not Report to TRI, no surface water releases, or no Generic Factors available"))</f>
        <v>N/A - Facility Does Not Report to TRI, no surface water releases, or no Generic Factors available</v>
      </c>
      <c r="AA84" s="156" t="str">
        <f>IF(COUNTIF('Raw Annual DMR Data'!K:K,$E84)&gt;0,"N/A - See DMRs",IF(SUMIFS('Raw TRI Data'!$Z:$Z,'Raw TRI Data'!$J:$J,$E84)&gt;0,_xlfn.MAXIFS('Raw TRI Data'!$Z:$Z,'Raw TRI Data'!$J:$J,$E84), "N/A - Facility Does Not Report to TRI, no surface water releases, or no Generic Factors available"))</f>
        <v>N/A - Facility Does Not Report to TRI, no surface water releases, or no Generic Factors available</v>
      </c>
      <c r="AB84" s="113" t="str">
        <f t="shared" si="13"/>
        <v>N/A</v>
      </c>
      <c r="AC84" s="136" t="str" cm="1">
        <f t="array" ref="AC84">IF(COUNTIF('Raw Annual DMR Data'!K:K,$E84)&gt;0,"N/A - See DMRs",IF(SUMIFS('Raw TRI Data'!$Z:$Z,'Raw TRI Data'!$J:$J,$E84)&gt;0,INDEX('Raw TRI Data'!$A:$A,MATCH(1,($E84='Raw TRI Data'!$J:$J)*($AA84='Raw TRI Data'!$Z:$Z),0)), "N/A - Facility Does Not Report to TRI, no surface water releases, or no Generic Factors available"))</f>
        <v>N/A - Facility Does Not Report to TRI, no surface water releases, or no Generic Factors available</v>
      </c>
      <c r="AD84" s="96" t="str" cm="1">
        <f t="array" ref="AD84">IF(COUNTIFS('Raw Annual DMR Data'!L:L,$F84,'Raw Annual DMR Data'!W:W, "&gt;0")&gt;0,MEDIAN(IF('Raw Annual DMR Data'!K:K=$F84, 'Raw Annual DMR Data'!W:W)), "N/A - No Daily Max DMR Discharge Data")</f>
        <v>N/A - No Daily Max DMR Discharge Data</v>
      </c>
      <c r="AE84" s="96" t="str">
        <f>IF(COUNTIFS('Raw Annual DMR Data'!L:L,$F84,'Raw Annual DMR Data'!W:W, "&gt;0")&gt;0,_xlfn.MAXIFS('Raw Annual DMR Data'!W:W,'Raw Annual DMR Data'!L:L,$F84), "N/A - No Daily Max DMR Discharge Data")</f>
        <v>N/A - No Daily Max DMR Discharge Data</v>
      </c>
      <c r="AF84" s="60" t="str" cm="1">
        <f t="array" ref="AF84">IF(COUNTIFS('Raw Annual DMR Data'!L:L,$F84,'Raw Annual DMR Data'!W:W, "&gt;0")&gt;0,INDEX('Raw Annual DMR Data'!B:B,MATCH(1,($F84='Raw Annual DMR Data'!L:L)*($AE84='Raw Annual DMR Data'!W:W),0)), "N/A - No Daily Max DMR Discharge Data")</f>
        <v>N/A - No Daily Max DMR Discharge Data</v>
      </c>
    </row>
    <row r="85" spans="1:32" ht="45.75" thickBot="1" x14ac:dyDescent="0.3">
      <c r="A85" s="144" t="str">
        <f>VLOOKUP(F85,'Facility Summary'!J:K,2,FALSE)</f>
        <v>POTW</v>
      </c>
      <c r="B85" s="84" t="s">
        <v>168</v>
      </c>
      <c r="C85" s="84" t="s">
        <v>547</v>
      </c>
      <c r="D85" s="84" t="s">
        <v>366</v>
      </c>
      <c r="E85" s="60"/>
      <c r="F85" s="74">
        <v>110009547222</v>
      </c>
      <c r="G85" s="74" t="s">
        <v>894</v>
      </c>
      <c r="H85" s="61" t="s">
        <v>895</v>
      </c>
      <c r="I85" s="74">
        <v>18060010000006</v>
      </c>
      <c r="J85" s="74" t="s">
        <v>265</v>
      </c>
      <c r="K85" s="60">
        <f>VLOOKUP(A85, 'OES Summary'!$A:$B, 2, FALSE)</f>
        <v>365</v>
      </c>
      <c r="L85" s="304" cm="1">
        <f t="array" ref="L85">IF(COUNTIF('Raw Annual DMR Data'!$L:$L,$F85)&gt;0,MEDIAN(IF('Raw Annual DMR Data'!$L:$L=F85,'Raw Annual DMR Data'!$S:$S)),"N/A - Facility Does Not Report DMRs")</f>
        <v>1.0257823125000001</v>
      </c>
      <c r="M85" s="156">
        <f t="shared" si="11"/>
        <v>2.8103625E-3</v>
      </c>
      <c r="N85" s="156">
        <f>IF(COUNTIF('Raw Annual DMR Data'!$L:$L,$F85)&gt;0,_xlfn.MAXIFS('Raw Annual DMR Data'!$S:$S,'Raw Annual DMR Data'!$L:$L,$F85), "N/A - Facility Does Not Report DMRs")</f>
        <v>2.1620866250000002</v>
      </c>
      <c r="O85" s="156">
        <f t="shared" si="12"/>
        <v>5.9235250000000007E-3</v>
      </c>
      <c r="P85" s="113" cm="1">
        <f t="array" ref="P85">IF(COUNTIF('Raw Annual DMR Data'!$L:$L,$F85)&gt;0,INDEX('Raw Annual DMR Data'!$B:$B,MATCH(1,($F85='Raw Annual DMR Data'!$L:$L)*($N85='Raw Annual DMR Data'!$S:$S),0)), "N/A - Facility Does Not Report DMRs")</f>
        <v>2015</v>
      </c>
      <c r="Q85" s="304" t="str" cm="1">
        <f t="array" ref="Q85">IF(COUNTIF('Raw TRI Data'!$J:$J,$E85)&gt;0,MEDIAN(IF('Raw TRI Data'!$J:$J=E85,'Raw TRI Data'!$S:$S)), "N/A - Facility Does Not Report to TRI")</f>
        <v>N/A - Facility Does Not Report to TRI</v>
      </c>
      <c r="R85" s="156" t="str">
        <f t="shared" si="9"/>
        <v>N/A - Facility Does Not Report to TRI</v>
      </c>
      <c r="S85" s="156" t="str">
        <f>IF(COUNTIF('Raw TRI Data'!$J:$J,$E85)&gt;0,_xlfn.MAXIFS('Raw TRI Data'!$S:$S,'Raw TRI Data'!$J:$J,$E85), "N/A - Facility Does Not Report to TRI")</f>
        <v>N/A - Facility Does Not Report to TRI</v>
      </c>
      <c r="T85" s="156" t="str">
        <f t="shared" si="10"/>
        <v>N/A - Facility Does Not Report to TRI</v>
      </c>
      <c r="U85" s="136" t="str" cm="1">
        <f t="array" ref="U85">IF(COUNTIF('Raw TRI Data'!$J:$J,$E85)&gt;0,INDEX('Raw TRI Data'!$A:$A,MATCH(1,($E85='Raw TRI Data'!$J:$J)*(S85='Raw TRI Data'!$S:$S),0)), "N/A - Facility Does Not Report to TRI")</f>
        <v>N/A - Facility Does Not Report to TRI</v>
      </c>
      <c r="V85" s="156" t="str" cm="1">
        <f t="array" ref="V85">IF(COUNTIFS('Raw Annual DMR Data'!$L:$L,$F85,'Raw Annual DMR Data'!$U:$U,"&gt;0")&gt;0,MEDIAN(IF('Raw Annual DMR Data'!$L:$L=$F85,'Raw Annual DMR Data'!$U:$U,"")),"N/A - Period DMR Data Not Available")</f>
        <v>N/A - Period DMR Data Not Available</v>
      </c>
      <c r="W85" s="156" t="str">
        <f>IF(COUNTIFS('Raw Annual DMR Data'!$L:$L,$F85, 'Raw Annual DMR Data'!$U:$U, "&gt;0")&gt;0,_xlfn.MAXIFS('Raw Annual DMR Data'!$U:$U,'Raw Annual DMR Data'!$L:$L,$F85), "N/A - Period DMR Data Not Available")</f>
        <v>N/A - Period DMR Data Not Available</v>
      </c>
      <c r="X85" s="113" t="str" cm="1">
        <f t="array" ref="X85">+IF(COUNTIFS('Raw Annual DMR Data'!L:L,$F85, 'Raw Annual DMR Data'!U:U, "&gt;0")&gt;0,INDEX('Raw Annual DMR Data'!V:V,MATCH(1,($F85='Raw Annual DMR Data'!L:L)*($W85='Raw Annual DMR Data'!U:U),0)), "N/A - Period DMR Data Not Available")</f>
        <v>N/A - Period DMR Data Not Available</v>
      </c>
      <c r="Y85" s="113" t="str" cm="1">
        <f t="array" ref="Y85">IF(COUNTIFS('Raw Annual DMR Data'!L:L,$F85, 'Raw Annual DMR Data'!U:U, "&gt;0")&gt;0,INDEX('Raw Annual DMR Data'!B:B,MATCH(1,($F85='Raw Annual DMR Data'!L:L)*($W85='Raw Annual DMR Data'!U:U),0)), "N/A - Period DMR Data Not Available")</f>
        <v>N/A - Period DMR Data Not Available</v>
      </c>
      <c r="Z85" s="311" t="str" cm="1">
        <f t="array" ref="Z85">IF(COUNTIF('Raw Annual DMR Data'!K:K,$E85)&gt;0,"N/A - See DMRs",IF(SUMIFS('Raw TRI Data'!$Z:$Z,'Raw TRI Data'!$J:$J,$E85)&gt;0,MEDIAN(IF('Raw TRI Data'!$J:$J=$E85,'Raw TRI Data'!$Z:$Z)), "N/A - Facility Does Not Report to TRI, no surface water releases, or no Generic Factors available"))</f>
        <v>N/A - Facility Does Not Report to TRI, no surface water releases, or no Generic Factors available</v>
      </c>
      <c r="AA85" s="156" t="str">
        <f>IF(COUNTIF('Raw Annual DMR Data'!K:K,$E85)&gt;0,"N/A - See DMRs",IF(SUMIFS('Raw TRI Data'!$Z:$Z,'Raw TRI Data'!$J:$J,$E85)&gt;0,_xlfn.MAXIFS('Raw TRI Data'!$Z:$Z,'Raw TRI Data'!$J:$J,$E85), "N/A - Facility Does Not Report to TRI, no surface water releases, or no Generic Factors available"))</f>
        <v>N/A - Facility Does Not Report to TRI, no surface water releases, or no Generic Factors available</v>
      </c>
      <c r="AB85" s="113" t="str">
        <f t="shared" si="13"/>
        <v>N/A</v>
      </c>
      <c r="AC85" s="136" t="str" cm="1">
        <f t="array" ref="AC85">IF(COUNTIF('Raw Annual DMR Data'!K:K,$E85)&gt;0,"N/A - See DMRs",IF(SUMIFS('Raw TRI Data'!$Z:$Z,'Raw TRI Data'!$J:$J,$E85)&gt;0,INDEX('Raw TRI Data'!$A:$A,MATCH(1,($E85='Raw TRI Data'!$J:$J)*($AA85='Raw TRI Data'!$Z:$Z),0)), "N/A - Facility Does Not Report to TRI, no surface water releases, or no Generic Factors available"))</f>
        <v>N/A - Facility Does Not Report to TRI, no surface water releases, or no Generic Factors available</v>
      </c>
      <c r="AD85" s="96" t="str" cm="1">
        <f t="array" ref="AD85">IF(COUNTIFS('Raw Annual DMR Data'!L:L,$F85,'Raw Annual DMR Data'!W:W, "&gt;0")&gt;0,MEDIAN(IF('Raw Annual DMR Data'!K:K=$F85, 'Raw Annual DMR Data'!W:W)), "N/A - No Daily Max DMR Discharge Data")</f>
        <v>N/A - No Daily Max DMR Discharge Data</v>
      </c>
      <c r="AE85" s="96" t="str">
        <f>IF(COUNTIFS('Raw Annual DMR Data'!L:L,$F85,'Raw Annual DMR Data'!W:W, "&gt;0")&gt;0,_xlfn.MAXIFS('Raw Annual DMR Data'!W:W,'Raw Annual DMR Data'!L:L,$F85), "N/A - No Daily Max DMR Discharge Data")</f>
        <v>N/A - No Daily Max DMR Discharge Data</v>
      </c>
      <c r="AF85" s="60" t="str" cm="1">
        <f t="array" ref="AF85">IF(COUNTIFS('Raw Annual DMR Data'!L:L,$F85,'Raw Annual DMR Data'!W:W, "&gt;0")&gt;0,INDEX('Raw Annual DMR Data'!B:B,MATCH(1,($F85='Raw Annual DMR Data'!L:L)*($AE85='Raw Annual DMR Data'!W:W),0)), "N/A - No Daily Max DMR Discharge Data")</f>
        <v>N/A - No Daily Max DMR Discharge Data</v>
      </c>
    </row>
    <row r="86" spans="1:32" ht="45.75" thickBot="1" x14ac:dyDescent="0.3">
      <c r="A86" s="144" t="str">
        <f>VLOOKUP(F86,'Facility Summary'!J:K,2,FALSE)</f>
        <v>Unknown</v>
      </c>
      <c r="B86" s="84" t="s">
        <v>169</v>
      </c>
      <c r="C86" s="84" t="s">
        <v>549</v>
      </c>
      <c r="D86" s="84" t="s">
        <v>366</v>
      </c>
      <c r="E86" s="60"/>
      <c r="F86" s="74">
        <v>110066354359</v>
      </c>
      <c r="G86" s="74" t="s">
        <v>896</v>
      </c>
      <c r="H86" s="61" t="s">
        <v>897</v>
      </c>
      <c r="I86" s="74">
        <v>18020125001502</v>
      </c>
      <c r="J86" s="74" t="s">
        <v>265</v>
      </c>
      <c r="K86" s="60">
        <f>VLOOKUP(A86, 'OES Summary'!$A:$B, 2, FALSE)</f>
        <v>250</v>
      </c>
      <c r="L86" s="304" cm="1">
        <f t="array" ref="L86">IF(COUNTIF('Raw Annual DMR Data'!$L:$L,$F86)&gt;0,MEDIAN(IF('Raw Annual DMR Data'!$L:$L=F86,'Raw Annual DMR Data'!$S:$S)),"N/A - Facility Does Not Report DMRs")</f>
        <v>1.3065772687500001E-3</v>
      </c>
      <c r="M86" s="156">
        <f t="shared" si="11"/>
        <v>5.2263090750000002E-6</v>
      </c>
      <c r="N86" s="156">
        <f>IF(COUNTIF('Raw Annual DMR Data'!$L:$L,$F86)&gt;0,_xlfn.MAXIFS('Raw Annual DMR Data'!$S:$S,'Raw Annual DMR Data'!$L:$L,$F86), "N/A - Facility Does Not Report DMRs")</f>
        <v>1.56699E-2</v>
      </c>
      <c r="O86" s="156">
        <f t="shared" si="12"/>
        <v>6.2679600000000002E-5</v>
      </c>
      <c r="P86" s="113" cm="1">
        <f t="array" ref="P86">IF(COUNTIF('Raw Annual DMR Data'!$L:$L,$F86)&gt;0,INDEX('Raw Annual DMR Data'!$B:$B,MATCH(1,($F86='Raw Annual DMR Data'!$L:$L)*($N86='Raw Annual DMR Data'!$S:$S),0)), "N/A - Facility Does Not Report DMRs")</f>
        <v>2017</v>
      </c>
      <c r="Q86" s="304" t="str" cm="1">
        <f t="array" ref="Q86">IF(COUNTIF('Raw TRI Data'!$J:$J,$E86)&gt;0,MEDIAN(IF('Raw TRI Data'!$J:$J=E86,'Raw TRI Data'!$S:$S)), "N/A - Facility Does Not Report to TRI")</f>
        <v>N/A - Facility Does Not Report to TRI</v>
      </c>
      <c r="R86" s="156" t="str">
        <f t="shared" si="9"/>
        <v>N/A - Facility Does Not Report to TRI</v>
      </c>
      <c r="S86" s="156" t="str">
        <f>IF(COUNTIF('Raw TRI Data'!$J:$J,$E86)&gt;0,_xlfn.MAXIFS('Raw TRI Data'!$S:$S,'Raw TRI Data'!$J:$J,$E86), "N/A - Facility Does Not Report to TRI")</f>
        <v>N/A - Facility Does Not Report to TRI</v>
      </c>
      <c r="T86" s="156" t="str">
        <f t="shared" si="10"/>
        <v>N/A - Facility Does Not Report to TRI</v>
      </c>
      <c r="U86" s="136" t="str" cm="1">
        <f t="array" ref="U86">IF(COUNTIF('Raw TRI Data'!$J:$J,$E86)&gt;0,INDEX('Raw TRI Data'!$A:$A,MATCH(1,($E86='Raw TRI Data'!$J:$J)*(S86='Raw TRI Data'!$S:$S),0)), "N/A - Facility Does Not Report to TRI")</f>
        <v>N/A - Facility Does Not Report to TRI</v>
      </c>
      <c r="V86" s="156" t="str" cm="1">
        <f t="array" ref="V86">IF(COUNTIFS('Raw Annual DMR Data'!$L:$L,$F86,'Raw Annual DMR Data'!$U:$U,"&gt;0")&gt;0,MEDIAN(IF('Raw Annual DMR Data'!$L:$L=$F86,'Raw Annual DMR Data'!$U:$U,"")),"N/A - Period DMR Data Not Available")</f>
        <v>N/A - Period DMR Data Not Available</v>
      </c>
      <c r="W86" s="156" t="str">
        <f>IF(COUNTIFS('Raw Annual DMR Data'!$L:$L,$F86, 'Raw Annual DMR Data'!$U:$U, "&gt;0")&gt;0,_xlfn.MAXIFS('Raw Annual DMR Data'!$U:$U,'Raw Annual DMR Data'!$L:$L,$F86), "N/A - Period DMR Data Not Available")</f>
        <v>N/A - Period DMR Data Not Available</v>
      </c>
      <c r="X86" s="113" t="str" cm="1">
        <f t="array" ref="X86">+IF(COUNTIFS('Raw Annual DMR Data'!L:L,$F86, 'Raw Annual DMR Data'!U:U, "&gt;0")&gt;0,INDEX('Raw Annual DMR Data'!V:V,MATCH(1,($F86='Raw Annual DMR Data'!L:L)*($W86='Raw Annual DMR Data'!U:U),0)), "N/A - Period DMR Data Not Available")</f>
        <v>N/A - Period DMR Data Not Available</v>
      </c>
      <c r="Y86" s="113" t="str" cm="1">
        <f t="array" ref="Y86">IF(COUNTIFS('Raw Annual DMR Data'!L:L,$F86, 'Raw Annual DMR Data'!U:U, "&gt;0")&gt;0,INDEX('Raw Annual DMR Data'!B:B,MATCH(1,($F86='Raw Annual DMR Data'!L:L)*($W86='Raw Annual DMR Data'!U:U),0)), "N/A - Period DMR Data Not Available")</f>
        <v>N/A - Period DMR Data Not Available</v>
      </c>
      <c r="Z86" s="311" t="str" cm="1">
        <f t="array" ref="Z86">IF(COUNTIF('Raw Annual DMR Data'!K:K,$E86)&gt;0,"N/A - See DMRs",IF(SUMIFS('Raw TRI Data'!$Z:$Z,'Raw TRI Data'!$J:$J,$E86)&gt;0,MEDIAN(IF('Raw TRI Data'!$J:$J=$E86,'Raw TRI Data'!$Z:$Z)), "N/A - Facility Does Not Report to TRI, no surface water releases, or no Generic Factors available"))</f>
        <v>N/A - Facility Does Not Report to TRI, no surface water releases, or no Generic Factors available</v>
      </c>
      <c r="AA86" s="156" t="str">
        <f>IF(COUNTIF('Raw Annual DMR Data'!K:K,$E86)&gt;0,"N/A - See DMRs",IF(SUMIFS('Raw TRI Data'!$Z:$Z,'Raw TRI Data'!$J:$J,$E86)&gt;0,_xlfn.MAXIFS('Raw TRI Data'!$Z:$Z,'Raw TRI Data'!$J:$J,$E86), "N/A - Facility Does Not Report to TRI, no surface water releases, or no Generic Factors available"))</f>
        <v>N/A - Facility Does Not Report to TRI, no surface water releases, or no Generic Factors available</v>
      </c>
      <c r="AB86" s="113" t="str">
        <f t="shared" si="13"/>
        <v>N/A</v>
      </c>
      <c r="AC86" s="136" t="str" cm="1">
        <f t="array" ref="AC86">IF(COUNTIF('Raw Annual DMR Data'!K:K,$E86)&gt;0,"N/A - See DMRs",IF(SUMIFS('Raw TRI Data'!$Z:$Z,'Raw TRI Data'!$J:$J,$E86)&gt;0,INDEX('Raw TRI Data'!$A:$A,MATCH(1,($E86='Raw TRI Data'!$J:$J)*($AA86='Raw TRI Data'!$Z:$Z),0)), "N/A - Facility Does Not Report to TRI, no surface water releases, or no Generic Factors available"))</f>
        <v>N/A - Facility Does Not Report to TRI, no surface water releases, or no Generic Factors available</v>
      </c>
      <c r="AD86" s="96" t="str" cm="1">
        <f t="array" ref="AD86">IF(COUNTIFS('Raw Annual DMR Data'!L:L,$F86,'Raw Annual DMR Data'!W:W, "&gt;0")&gt;0,MEDIAN(IF('Raw Annual DMR Data'!K:K=$F86, 'Raw Annual DMR Data'!W:W)), "N/A - No Daily Max DMR Discharge Data")</f>
        <v>N/A - No Daily Max DMR Discharge Data</v>
      </c>
      <c r="AE86" s="96" t="str">
        <f>IF(COUNTIFS('Raw Annual DMR Data'!L:L,$F86,'Raw Annual DMR Data'!W:W, "&gt;0")&gt;0,_xlfn.MAXIFS('Raw Annual DMR Data'!W:W,'Raw Annual DMR Data'!L:L,$F86), "N/A - No Daily Max DMR Discharge Data")</f>
        <v>N/A - No Daily Max DMR Discharge Data</v>
      </c>
      <c r="AF86" s="60" t="str" cm="1">
        <f t="array" ref="AF86">IF(COUNTIFS('Raw Annual DMR Data'!L:L,$F86,'Raw Annual DMR Data'!W:W, "&gt;0")&gt;0,INDEX('Raw Annual DMR Data'!B:B,MATCH(1,($F86='Raw Annual DMR Data'!L:L)*($AE86='Raw Annual DMR Data'!W:W),0)), "N/A - No Daily Max DMR Discharge Data")</f>
        <v>N/A - No Daily Max DMR Discharge Data</v>
      </c>
    </row>
    <row r="87" spans="1:32" ht="45.75" thickBot="1" x14ac:dyDescent="0.3">
      <c r="A87" s="144" t="str">
        <f>VLOOKUP(F87,'Facility Summary'!J:K,2,FALSE)</f>
        <v>Repackaging</v>
      </c>
      <c r="B87" s="84" t="s">
        <v>170</v>
      </c>
      <c r="C87" s="84" t="s">
        <v>552</v>
      </c>
      <c r="D87" s="84" t="s">
        <v>553</v>
      </c>
      <c r="E87" s="60"/>
      <c r="F87" s="74">
        <v>110070264880</v>
      </c>
      <c r="G87" s="74" t="s">
        <v>898</v>
      </c>
      <c r="H87" s="61" t="s">
        <v>899</v>
      </c>
      <c r="I87" s="74">
        <v>0</v>
      </c>
      <c r="J87" s="74" t="s">
        <v>265</v>
      </c>
      <c r="K87" s="60">
        <f>VLOOKUP(A87, 'OES Summary'!$A:$B, 2, FALSE)</f>
        <v>250</v>
      </c>
      <c r="L87" s="304" cm="1">
        <f t="array" ref="L87">IF(COUNTIF('Raw Annual DMR Data'!$L:$L,$F87)&gt;0,MEDIAN(IF('Raw Annual DMR Data'!$L:$L=F87,'Raw Annual DMR Data'!$S:$S)),"N/A - Facility Does Not Report DMRs")</f>
        <v>1.2425603904E-2</v>
      </c>
      <c r="M87" s="156">
        <f t="shared" si="11"/>
        <v>4.9702415616000003E-5</v>
      </c>
      <c r="N87" s="156">
        <f>IF(COUNTIF('Raw Annual DMR Data'!$L:$L,$F87)&gt;0,_xlfn.MAXIFS('Raw Annual DMR Data'!$S:$S,'Raw Annual DMR Data'!$L:$L,$F87), "N/A - Facility Does Not Report DMRs")</f>
        <v>1.7811035135999999E-2</v>
      </c>
      <c r="O87" s="156">
        <f t="shared" si="12"/>
        <v>7.1244140543999992E-5</v>
      </c>
      <c r="P87" s="113" cm="1">
        <f t="array" ref="P87">IF(COUNTIF('Raw Annual DMR Data'!$L:$L,$F87)&gt;0,INDEX('Raw Annual DMR Data'!$B:$B,MATCH(1,($F87='Raw Annual DMR Data'!$L:$L)*($N87='Raw Annual DMR Data'!$S:$S),0)), "N/A - Facility Does Not Report DMRs")</f>
        <v>2018</v>
      </c>
      <c r="Q87" s="304" t="str" cm="1">
        <f t="array" ref="Q87">IF(COUNTIF('Raw TRI Data'!$J:$J,$E87)&gt;0,MEDIAN(IF('Raw TRI Data'!$J:$J=E87,'Raw TRI Data'!$S:$S)), "N/A - Facility Does Not Report to TRI")</f>
        <v>N/A - Facility Does Not Report to TRI</v>
      </c>
      <c r="R87" s="156" t="str">
        <f t="shared" si="9"/>
        <v>N/A - Facility Does Not Report to TRI</v>
      </c>
      <c r="S87" s="156" t="str">
        <f>IF(COUNTIF('Raw TRI Data'!$J:$J,$E87)&gt;0,_xlfn.MAXIFS('Raw TRI Data'!$S:$S,'Raw TRI Data'!$J:$J,$E87), "N/A - Facility Does Not Report to TRI")</f>
        <v>N/A - Facility Does Not Report to TRI</v>
      </c>
      <c r="T87" s="156" t="str">
        <f t="shared" si="10"/>
        <v>N/A - Facility Does Not Report to TRI</v>
      </c>
      <c r="U87" s="136" t="str" cm="1">
        <f t="array" ref="U87">IF(COUNTIF('Raw TRI Data'!$J:$J,$E87)&gt;0,INDEX('Raw TRI Data'!$A:$A,MATCH(1,($E87='Raw TRI Data'!$J:$J)*(S87='Raw TRI Data'!$S:$S),0)), "N/A - Facility Does Not Report to TRI")</f>
        <v>N/A - Facility Does Not Report to TRI</v>
      </c>
      <c r="V87" s="156" t="str" cm="1">
        <f t="array" ref="V87">IF(COUNTIFS('Raw Annual DMR Data'!$L:$L,$F87,'Raw Annual DMR Data'!$U:$U,"&gt;0")&gt;0,MEDIAN(IF('Raw Annual DMR Data'!$L:$L=$F87,'Raw Annual DMR Data'!$U:$U,"")),"N/A - Period DMR Data Not Available")</f>
        <v>N/A - Period DMR Data Not Available</v>
      </c>
      <c r="W87" s="156" t="str">
        <f>IF(COUNTIFS('Raw Annual DMR Data'!$L:$L,$F87, 'Raw Annual DMR Data'!$U:$U, "&gt;0")&gt;0,_xlfn.MAXIFS('Raw Annual DMR Data'!$U:$U,'Raw Annual DMR Data'!$L:$L,$F87), "N/A - Period DMR Data Not Available")</f>
        <v>N/A - Period DMR Data Not Available</v>
      </c>
      <c r="X87" s="113" t="str" cm="1">
        <f t="array" ref="X87">+IF(COUNTIFS('Raw Annual DMR Data'!L:L,$F87, 'Raw Annual DMR Data'!U:U, "&gt;0")&gt;0,INDEX('Raw Annual DMR Data'!V:V,MATCH(1,($F87='Raw Annual DMR Data'!L:L)*($W87='Raw Annual DMR Data'!U:U),0)), "N/A - Period DMR Data Not Available")</f>
        <v>N/A - Period DMR Data Not Available</v>
      </c>
      <c r="Y87" s="113" t="str" cm="1">
        <f t="array" ref="Y87">IF(COUNTIFS('Raw Annual DMR Data'!L:L,$F87, 'Raw Annual DMR Data'!U:U, "&gt;0")&gt;0,INDEX('Raw Annual DMR Data'!B:B,MATCH(1,($F87='Raw Annual DMR Data'!L:L)*($W87='Raw Annual DMR Data'!U:U),0)), "N/A - Period DMR Data Not Available")</f>
        <v>N/A - Period DMR Data Not Available</v>
      </c>
      <c r="Z87" s="311" t="str" cm="1">
        <f t="array" ref="Z87">IF(COUNTIF('Raw Annual DMR Data'!K:K,$E87)&gt;0,"N/A - See DMRs",IF(SUMIFS('Raw TRI Data'!$Z:$Z,'Raw TRI Data'!$J:$J,$E87)&gt;0,MEDIAN(IF('Raw TRI Data'!$J:$J=$E87,'Raw TRI Data'!$Z:$Z)), "N/A - Facility Does Not Report to TRI, no surface water releases, or no Generic Factors available"))</f>
        <v>N/A - Facility Does Not Report to TRI, no surface water releases, or no Generic Factors available</v>
      </c>
      <c r="AA87" s="156" t="str">
        <f>IF(COUNTIF('Raw Annual DMR Data'!K:K,$E87)&gt;0,"N/A - See DMRs",IF(SUMIFS('Raw TRI Data'!$Z:$Z,'Raw TRI Data'!$J:$J,$E87)&gt;0,_xlfn.MAXIFS('Raw TRI Data'!$Z:$Z,'Raw TRI Data'!$J:$J,$E87), "N/A - Facility Does Not Report to TRI, no surface water releases, or no Generic Factors available"))</f>
        <v>N/A - Facility Does Not Report to TRI, no surface water releases, or no Generic Factors available</v>
      </c>
      <c r="AB87" s="113" t="str">
        <f t="shared" si="13"/>
        <v>N/A</v>
      </c>
      <c r="AC87" s="136" t="str" cm="1">
        <f t="array" ref="AC87">IF(COUNTIF('Raw Annual DMR Data'!K:K,$E87)&gt;0,"N/A - See DMRs",IF(SUMIFS('Raw TRI Data'!$Z:$Z,'Raw TRI Data'!$J:$J,$E87)&gt;0,INDEX('Raw TRI Data'!$A:$A,MATCH(1,($E87='Raw TRI Data'!$J:$J)*($AA87='Raw TRI Data'!$Z:$Z),0)), "N/A - Facility Does Not Report to TRI, no surface water releases, or no Generic Factors available"))</f>
        <v>N/A - Facility Does Not Report to TRI, no surface water releases, or no Generic Factors available</v>
      </c>
      <c r="AD87" s="96" t="str" cm="1">
        <f t="array" ref="AD87">IF(COUNTIFS('Raw Annual DMR Data'!L:L,$F87,'Raw Annual DMR Data'!W:W, "&gt;0")&gt;0,MEDIAN(IF('Raw Annual DMR Data'!K:K=$F87, 'Raw Annual DMR Data'!W:W)), "N/A - No Daily Max DMR Discharge Data")</f>
        <v>N/A - No Daily Max DMR Discharge Data</v>
      </c>
      <c r="AE87" s="96" t="str">
        <f>IF(COUNTIFS('Raw Annual DMR Data'!L:L,$F87,'Raw Annual DMR Data'!W:W, "&gt;0")&gt;0,_xlfn.MAXIFS('Raw Annual DMR Data'!W:W,'Raw Annual DMR Data'!L:L,$F87), "N/A - No Daily Max DMR Discharge Data")</f>
        <v>N/A - No Daily Max DMR Discharge Data</v>
      </c>
      <c r="AF87" s="60" t="str" cm="1">
        <f t="array" ref="AF87">IF(COUNTIFS('Raw Annual DMR Data'!L:L,$F87,'Raw Annual DMR Data'!W:W, "&gt;0")&gt;0,INDEX('Raw Annual DMR Data'!B:B,MATCH(1,($F87='Raw Annual DMR Data'!L:L)*($AE87='Raw Annual DMR Data'!W:W),0)), "N/A - No Daily Max DMR Discharge Data")</f>
        <v>N/A - No Daily Max DMR Discharge Data</v>
      </c>
    </row>
    <row r="88" spans="1:32" ht="45.75" thickBot="1" x14ac:dyDescent="0.3">
      <c r="A88" s="144" t="str">
        <f>VLOOKUP(F88,'Facility Summary'!J:K,2,FALSE)</f>
        <v>Processing into formulation, mixture, or reaction product</v>
      </c>
      <c r="B88" s="28" t="s">
        <v>171</v>
      </c>
      <c r="C88" s="28" t="s">
        <v>556</v>
      </c>
      <c r="D88" s="28" t="s">
        <v>338</v>
      </c>
      <c r="E88" s="60" t="s">
        <v>557</v>
      </c>
      <c r="F88" s="74">
        <v>110000492020</v>
      </c>
      <c r="G88" s="74" t="s">
        <v>900</v>
      </c>
      <c r="H88" s="28" t="s">
        <v>901</v>
      </c>
      <c r="I88" s="74">
        <v>2030104000565</v>
      </c>
      <c r="J88" s="74" t="s">
        <v>265</v>
      </c>
      <c r="K88" s="60">
        <f>VLOOKUP(A88, 'OES Summary'!$A:$B, 2, FALSE)</f>
        <v>300</v>
      </c>
      <c r="L88" s="304" cm="1">
        <f t="array" ref="L88">IF(COUNTIF('Raw Annual DMR Data'!$L:$L,$F88)&gt;0,MEDIAN(IF('Raw Annual DMR Data'!$L:$L=F88,'Raw Annual DMR Data'!$S:$S)),"N/A - Facility Does Not Report DMRs")</f>
        <v>2.8837183359499998</v>
      </c>
      <c r="M88" s="156">
        <f t="shared" si="11"/>
        <v>9.6123944531666655E-3</v>
      </c>
      <c r="N88" s="156">
        <f>IF(COUNTIF('Raw Annual DMR Data'!$L:$L,$F88)&gt;0,_xlfn.MAXIFS('Raw Annual DMR Data'!$S:$S,'Raw Annual DMR Data'!$L:$L,$F88), "N/A - Facility Does Not Report DMRs")</f>
        <v>69.489797964499999</v>
      </c>
      <c r="O88" s="156">
        <f t="shared" si="12"/>
        <v>0.23163265988166667</v>
      </c>
      <c r="P88" s="113" cm="1">
        <f t="array" ref="P88">IF(COUNTIF('Raw Annual DMR Data'!$L:$L,$F88)&gt;0,INDEX('Raw Annual DMR Data'!$B:$B,MATCH(1,($F88='Raw Annual DMR Data'!$L:$L)*($N88='Raw Annual DMR Data'!$S:$S),0)), "N/A - Facility Does Not Report DMRs")</f>
        <v>2024</v>
      </c>
      <c r="Q88" s="304" t="str" cm="1">
        <f t="array" ref="Q88">IF(COUNTIF('Raw TRI Data'!$J:$J,$E88)&gt;0,MEDIAN(IF('Raw TRI Data'!$J:$J=E88,'Raw TRI Data'!$S:$S)), "N/A - Facility Does Not Report to TRI")</f>
        <v>N/A - Facility Does Not Report to TRI</v>
      </c>
      <c r="R88" s="156" t="str">
        <f t="shared" si="9"/>
        <v>N/A - Facility Does Not Report to TRI</v>
      </c>
      <c r="S88" s="156" t="str">
        <f>IF(COUNTIF('Raw TRI Data'!$J:$J,$E88)&gt;0,_xlfn.MAXIFS('Raw TRI Data'!$S:$S,'Raw TRI Data'!$J:$J,$E88), "N/A - Facility Does Not Report to TRI")</f>
        <v>N/A - Facility Does Not Report to TRI</v>
      </c>
      <c r="T88" s="156" t="str">
        <f t="shared" si="10"/>
        <v>N/A - Facility Does Not Report to TRI</v>
      </c>
      <c r="U88" s="136" t="str" cm="1">
        <f t="array" ref="U88">IF(COUNTIF('Raw TRI Data'!$J:$J,$E88)&gt;0,INDEX('Raw TRI Data'!$A:$A,MATCH(1,($E88='Raw TRI Data'!$J:$J)*(S88='Raw TRI Data'!$S:$S),0)), "N/A - Facility Does Not Report to TRI")</f>
        <v>N/A - Facility Does Not Report to TRI</v>
      </c>
      <c r="V88" s="156" t="str" cm="1">
        <f t="array" ref="V88">IF(COUNTIFS('Raw Annual DMR Data'!$L:$L,$F88,'Raw Annual DMR Data'!$U:$U,"&gt;0")&gt;0,MEDIAN(IF('Raw Annual DMR Data'!$L:$L=$F88,'Raw Annual DMR Data'!$U:$U,"")),"N/A - Period DMR Data Not Available")</f>
        <v>N/A - Period DMR Data Not Available</v>
      </c>
      <c r="W88" s="156" t="str">
        <f>IF(COUNTIFS('Raw Annual DMR Data'!$L:$L,$F88, 'Raw Annual DMR Data'!$U:$U, "&gt;0")&gt;0,_xlfn.MAXIFS('Raw Annual DMR Data'!$U:$U,'Raw Annual DMR Data'!$L:$L,$F88), "N/A - Period DMR Data Not Available")</f>
        <v>N/A - Period DMR Data Not Available</v>
      </c>
      <c r="X88" s="113" t="str" cm="1">
        <f t="array" ref="X88">+IF(COUNTIFS('Raw Annual DMR Data'!L:L,$F88, 'Raw Annual DMR Data'!U:U, "&gt;0")&gt;0,INDEX('Raw Annual DMR Data'!V:V,MATCH(1,($F88='Raw Annual DMR Data'!L:L)*($W88='Raw Annual DMR Data'!U:U),0)), "N/A - Period DMR Data Not Available")</f>
        <v>N/A - Period DMR Data Not Available</v>
      </c>
      <c r="Y88" s="113" t="str" cm="1">
        <f t="array" ref="Y88">IF(COUNTIFS('Raw Annual DMR Data'!L:L,$F88, 'Raw Annual DMR Data'!U:U, "&gt;0")&gt;0,INDEX('Raw Annual DMR Data'!B:B,MATCH(1,($F88='Raw Annual DMR Data'!L:L)*($W88='Raw Annual DMR Data'!U:U),0)), "N/A - Period DMR Data Not Available")</f>
        <v>N/A - Period DMR Data Not Available</v>
      </c>
      <c r="Z88" s="311" t="str" cm="1">
        <f t="array" ref="Z88">IF(COUNTIF('Raw Annual DMR Data'!K:K,$E88)&gt;0,"N/A - See DMRs",IF(SUMIFS('Raw TRI Data'!$Z:$Z,'Raw TRI Data'!$J:$J,$E88)&gt;0,MEDIAN(IF('Raw TRI Data'!$J:$J=$E88,'Raw TRI Data'!$Z:$Z)), "N/A - Facility Does Not Report to TRI, no surface water releases, or no Generic Factors available"))</f>
        <v>N/A - See DMRs</v>
      </c>
      <c r="AA88" s="156" t="str">
        <f>IF(COUNTIF('Raw Annual DMR Data'!K:K,$E88)&gt;0,"N/A - See DMRs",IF(SUMIFS('Raw TRI Data'!$Z:$Z,'Raw TRI Data'!$J:$J,$E88)&gt;0,_xlfn.MAXIFS('Raw TRI Data'!$Z:$Z,'Raw TRI Data'!$J:$J,$E88), "N/A - Facility Does Not Report to TRI, no surface water releases, or no Generic Factors available"))</f>
        <v>N/A - See DMRs</v>
      </c>
      <c r="AB88" s="113" t="str">
        <f t="shared" si="13"/>
        <v>N/A</v>
      </c>
      <c r="AC88" s="136" t="str" cm="1">
        <f t="array" ref="AC88">IF(COUNTIF('Raw Annual DMR Data'!K:K,$E88)&gt;0,"N/A - See DMRs",IF(SUMIFS('Raw TRI Data'!$Z:$Z,'Raw TRI Data'!$J:$J,$E88)&gt;0,INDEX('Raw TRI Data'!$A:$A,MATCH(1,($E88='Raw TRI Data'!$J:$J)*($AA88='Raw TRI Data'!$Z:$Z),0)), "N/A - Facility Does Not Report to TRI, no surface water releases, or no Generic Factors available"))</f>
        <v>N/A - See DMRs</v>
      </c>
      <c r="AD88" s="96" t="str" cm="1">
        <f t="array" ref="AD88">IF(COUNTIFS('Raw Annual DMR Data'!L:L,$F88,'Raw Annual DMR Data'!W:W, "&gt;0")&gt;0,MEDIAN(IF('Raw Annual DMR Data'!K:K=$F88, 'Raw Annual DMR Data'!W:W)), "N/A - No Daily Max DMR Discharge Data")</f>
        <v>N/A - No Daily Max DMR Discharge Data</v>
      </c>
      <c r="AE88" s="96" t="str">
        <f>IF(COUNTIFS('Raw Annual DMR Data'!L:L,$F88,'Raw Annual DMR Data'!W:W, "&gt;0")&gt;0,_xlfn.MAXIFS('Raw Annual DMR Data'!W:W,'Raw Annual DMR Data'!L:L,$F88), "N/A - No Daily Max DMR Discharge Data")</f>
        <v>N/A - No Daily Max DMR Discharge Data</v>
      </c>
      <c r="AF88" s="60" t="str" cm="1">
        <f t="array" ref="AF88">IF(COUNTIFS('Raw Annual DMR Data'!L:L,$F88,'Raw Annual DMR Data'!W:W, "&gt;0")&gt;0,INDEX('Raw Annual DMR Data'!B:B,MATCH(1,($F88='Raw Annual DMR Data'!L:L)*($AE88='Raw Annual DMR Data'!W:W),0)), "N/A - No Daily Max DMR Discharge Data")</f>
        <v>N/A - No Daily Max DMR Discharge Data</v>
      </c>
    </row>
    <row r="89" spans="1:32" ht="30.75" thickBot="1" x14ac:dyDescent="0.3">
      <c r="A89" s="144" t="str">
        <f>VLOOKUP(F89,'Facility Summary'!J:K,2,FALSE)</f>
        <v>Processing as a Reactant</v>
      </c>
      <c r="B89" s="28" t="s">
        <v>172</v>
      </c>
      <c r="C89" s="28" t="s">
        <v>559</v>
      </c>
      <c r="D89" s="28" t="s">
        <v>338</v>
      </c>
      <c r="E89" s="60" t="s">
        <v>561</v>
      </c>
      <c r="F89" s="74">
        <v>110041022274</v>
      </c>
      <c r="G89" s="74" t="s">
        <v>902</v>
      </c>
      <c r="H89" s="28" t="s">
        <v>783</v>
      </c>
      <c r="I89" s="74">
        <v>2040206001666</v>
      </c>
      <c r="J89" s="74" t="s">
        <v>265</v>
      </c>
      <c r="K89" s="60">
        <f>VLOOKUP(A89, 'OES Summary'!$A:$B, 2, FALSE)</f>
        <v>350</v>
      </c>
      <c r="L89" s="304" cm="1">
        <f t="array" ref="L89">IF(COUNTIF('Raw Annual DMR Data'!$L:$L,$F89)&gt;0,MEDIAN(IF('Raw Annual DMR Data'!$L:$L=F89,'Raw Annual DMR Data'!$S:$S)),"N/A - Facility Does Not Report DMRs")</f>
        <v>1.7950000000000003E-5</v>
      </c>
      <c r="M89" s="156">
        <f t="shared" si="11"/>
        <v>5.1285714285714293E-8</v>
      </c>
      <c r="N89" s="156">
        <f>IF(COUNTIF('Raw Annual DMR Data'!$L:$L,$F89)&gt;0,_xlfn.MAXIFS('Raw Annual DMR Data'!$S:$S,'Raw Annual DMR Data'!$L:$L,$F89), "N/A - Facility Does Not Report DMRs")</f>
        <v>5.27E-5</v>
      </c>
      <c r="O89" s="156">
        <f t="shared" si="12"/>
        <v>1.5057142857142857E-7</v>
      </c>
      <c r="P89" s="113" cm="1">
        <f t="array" ref="P89">IF(COUNTIF('Raw Annual DMR Data'!$L:$L,$F89)&gt;0,INDEX('Raw Annual DMR Data'!$B:$B,MATCH(1,($F89='Raw Annual DMR Data'!$L:$L)*($N89='Raw Annual DMR Data'!$S:$S),0)), "N/A - Facility Does Not Report DMRs")</f>
        <v>2019</v>
      </c>
      <c r="Q89" s="304" t="str" cm="1">
        <f t="array" ref="Q89">IF(COUNTIF('Raw TRI Data'!$J:$J,$E89)&gt;0,MEDIAN(IF('Raw TRI Data'!$J:$J=E89,'Raw TRI Data'!$S:$S)), "N/A - Facility Does Not Report to TRI")</f>
        <v>N/A - Facility Does Not Report to TRI</v>
      </c>
      <c r="R89" s="156" t="str">
        <f t="shared" si="9"/>
        <v>N/A - Facility Does Not Report to TRI</v>
      </c>
      <c r="S89" s="156" t="str">
        <f>IF(COUNTIF('Raw TRI Data'!$J:$J,$E89)&gt;0,_xlfn.MAXIFS('Raw TRI Data'!$S:$S,'Raw TRI Data'!$J:$J,$E89), "N/A - Facility Does Not Report to TRI")</f>
        <v>N/A - Facility Does Not Report to TRI</v>
      </c>
      <c r="T89" s="156" t="str">
        <f t="shared" si="10"/>
        <v>N/A - Facility Does Not Report to TRI</v>
      </c>
      <c r="U89" s="136" t="str" cm="1">
        <f t="array" ref="U89">IF(COUNTIF('Raw TRI Data'!$J:$J,$E89)&gt;0,INDEX('Raw TRI Data'!$A:$A,MATCH(1,($E89='Raw TRI Data'!$J:$J)*(S89='Raw TRI Data'!$S:$S),0)), "N/A - Facility Does Not Report to TRI")</f>
        <v>N/A - Facility Does Not Report to TRI</v>
      </c>
      <c r="V89" s="156" t="str" cm="1">
        <f t="array" ref="V89">IF(COUNTIFS('Raw Annual DMR Data'!$L:$L,$F89,'Raw Annual DMR Data'!$U:$U,"&gt;0")&gt;0,MEDIAN(IF('Raw Annual DMR Data'!$L:$L=$F89,'Raw Annual DMR Data'!$U:$U,"")),"N/A - Period DMR Data Not Available")</f>
        <v>N/A - Period DMR Data Not Available</v>
      </c>
      <c r="W89" s="156" t="str">
        <f>IF(COUNTIFS('Raw Annual DMR Data'!$L:$L,$F89, 'Raw Annual DMR Data'!$U:$U, "&gt;0")&gt;0,_xlfn.MAXIFS('Raw Annual DMR Data'!$U:$U,'Raw Annual DMR Data'!$L:$L,$F89), "N/A - Period DMR Data Not Available")</f>
        <v>N/A - Period DMR Data Not Available</v>
      </c>
      <c r="X89" s="113" t="str" cm="1">
        <f t="array" ref="X89">+IF(COUNTIFS('Raw Annual DMR Data'!L:L,$F89, 'Raw Annual DMR Data'!U:U, "&gt;0")&gt;0,INDEX('Raw Annual DMR Data'!V:V,MATCH(1,($F89='Raw Annual DMR Data'!L:L)*($W89='Raw Annual DMR Data'!U:U),0)), "N/A - Period DMR Data Not Available")</f>
        <v>N/A - Period DMR Data Not Available</v>
      </c>
      <c r="Y89" s="113" t="str" cm="1">
        <f t="array" ref="Y89">IF(COUNTIFS('Raw Annual DMR Data'!L:L,$F89, 'Raw Annual DMR Data'!U:U, "&gt;0")&gt;0,INDEX('Raw Annual DMR Data'!B:B,MATCH(1,($F89='Raw Annual DMR Data'!L:L)*($W89='Raw Annual DMR Data'!U:U),0)), "N/A - Period DMR Data Not Available")</f>
        <v>N/A - Period DMR Data Not Available</v>
      </c>
      <c r="Z89" s="311" t="str" cm="1">
        <f t="array" ref="Z89">IF(COUNTIF('Raw Annual DMR Data'!K:K,$E89)&gt;0,"N/A - See DMRs",IF(SUMIFS('Raw TRI Data'!$Z:$Z,'Raw TRI Data'!$J:$J,$E89)&gt;0,MEDIAN(IF('Raw TRI Data'!$J:$J=$E89,'Raw TRI Data'!$Z:$Z)), "N/A - Facility Does Not Report to TRI, no surface water releases, or no Generic Factors available"))</f>
        <v>N/A - See DMRs</v>
      </c>
      <c r="AA89" s="156" t="str">
        <f>IF(COUNTIF('Raw Annual DMR Data'!K:K,$E89)&gt;0,"N/A - See DMRs",IF(SUMIFS('Raw TRI Data'!$Z:$Z,'Raw TRI Data'!$J:$J,$E89)&gt;0,_xlfn.MAXIFS('Raw TRI Data'!$Z:$Z,'Raw TRI Data'!$J:$J,$E89), "N/A - Facility Does Not Report to TRI, no surface water releases, or no Generic Factors available"))</f>
        <v>N/A - See DMRs</v>
      </c>
      <c r="AB89" s="113" t="str">
        <f t="shared" si="13"/>
        <v>N/A</v>
      </c>
      <c r="AC89" s="136" t="str" cm="1">
        <f t="array" ref="AC89">IF(COUNTIF('Raw Annual DMR Data'!K:K,$E89)&gt;0,"N/A - See DMRs",IF(SUMIFS('Raw TRI Data'!$Z:$Z,'Raw TRI Data'!$J:$J,$E89)&gt;0,INDEX('Raw TRI Data'!$A:$A,MATCH(1,($E89='Raw TRI Data'!$J:$J)*($AA89='Raw TRI Data'!$Z:$Z),0)), "N/A - Facility Does Not Report to TRI, no surface water releases, or no Generic Factors available"))</f>
        <v>N/A - See DMRs</v>
      </c>
      <c r="AD89" s="96" t="str" cm="1">
        <f t="array" ref="AD89">IF(COUNTIFS('Raw Annual DMR Data'!L:L,$F89,'Raw Annual DMR Data'!W:W, "&gt;0")&gt;0,MEDIAN(IF('Raw Annual DMR Data'!K:K=$F89, 'Raw Annual DMR Data'!W:W)), "N/A - No Daily Max DMR Discharge Data")</f>
        <v>N/A - No Daily Max DMR Discharge Data</v>
      </c>
      <c r="AE89" s="96" t="str">
        <f>IF(COUNTIFS('Raw Annual DMR Data'!L:L,$F89,'Raw Annual DMR Data'!W:W, "&gt;0")&gt;0,_xlfn.MAXIFS('Raw Annual DMR Data'!W:W,'Raw Annual DMR Data'!L:L,$F89), "N/A - No Daily Max DMR Discharge Data")</f>
        <v>N/A - No Daily Max DMR Discharge Data</v>
      </c>
      <c r="AF89" s="60" t="str" cm="1">
        <f t="array" ref="AF89">IF(COUNTIFS('Raw Annual DMR Data'!L:L,$F89,'Raw Annual DMR Data'!W:W, "&gt;0")&gt;0,INDEX('Raw Annual DMR Data'!B:B,MATCH(1,($F89='Raw Annual DMR Data'!L:L)*($AE89='Raw Annual DMR Data'!W:W),0)), "N/A - No Daily Max DMR Discharge Data")</f>
        <v>N/A - No Daily Max DMR Discharge Data</v>
      </c>
    </row>
    <row r="90" spans="1:32" ht="45.75" thickBot="1" x14ac:dyDescent="0.3">
      <c r="A90" s="144" t="str">
        <f>VLOOKUP(F90,'Facility Summary'!J:K,2,FALSE)</f>
        <v>Processing into formulation, mixture, or reaction product</v>
      </c>
      <c r="B90" s="28" t="s">
        <v>214</v>
      </c>
      <c r="C90" s="28" t="s">
        <v>563</v>
      </c>
      <c r="D90" s="28" t="s">
        <v>564</v>
      </c>
      <c r="E90" s="60" t="s">
        <v>565</v>
      </c>
      <c r="F90" s="74">
        <v>110018869474</v>
      </c>
      <c r="G90" s="74" t="s">
        <v>295</v>
      </c>
      <c r="H90" s="28" t="s">
        <v>295</v>
      </c>
      <c r="I90" s="74" t="s">
        <v>295</v>
      </c>
      <c r="J90" s="74" t="s">
        <v>265</v>
      </c>
      <c r="K90" s="60">
        <f>VLOOKUP(A90, 'OES Summary'!$A:$B, 2, FALSE)</f>
        <v>300</v>
      </c>
      <c r="L90" s="304" t="str" cm="1">
        <f t="array" ref="L90">IF(COUNTIF('Raw Annual DMR Data'!$L:$L,$F90)&gt;0,MEDIAN(IF('Raw Annual DMR Data'!$L:$L=F90,'Raw Annual DMR Data'!$S:$S)),"N/A - Facility Does Not Report DMRs")</f>
        <v>N/A - Facility Does Not Report DMRs</v>
      </c>
      <c r="M90" s="156" t="str">
        <f t="shared" si="11"/>
        <v>N/A - Facility Does Not Report DMRs</v>
      </c>
      <c r="N90" s="156" t="str">
        <f>IF(COUNTIF('Raw Annual DMR Data'!$L:$L,$F90)&gt;0,_xlfn.MAXIFS('Raw Annual DMR Data'!$S:$S,'Raw Annual DMR Data'!$L:$L,$F90), "N/A - Facility Does Not Report DMRs")</f>
        <v>N/A - Facility Does Not Report DMRs</v>
      </c>
      <c r="O90" s="156" t="str">
        <f t="shared" si="12"/>
        <v>N/A - Facility Does Not Report DMRs</v>
      </c>
      <c r="P90" s="113" t="str" cm="1">
        <f t="array" ref="P90">IF(COUNTIF('Raw Annual DMR Data'!$L:$L,$F90)&gt;0,INDEX('Raw Annual DMR Data'!$B:$B,MATCH(1,($F90='Raw Annual DMR Data'!$L:$L)*($N90='Raw Annual DMR Data'!$S:$S),0)), "N/A - Facility Does Not Report DMRs")</f>
        <v>N/A - Facility Does Not Report DMRs</v>
      </c>
      <c r="Q90" s="304" cm="1">
        <f t="array" ref="Q90">IF(COUNTIF('Raw TRI Data'!$J:$J,$E90)&gt;0,MEDIAN(IF('Raw TRI Data'!$J:$J=E90,'Raw TRI Data'!$S:$S)), "N/A - Facility Does Not Report to TRI")</f>
        <v>14.514955840000001</v>
      </c>
      <c r="R90" s="156">
        <f t="shared" si="9"/>
        <v>4.8383186133333339E-2</v>
      </c>
      <c r="S90" s="156">
        <f>IF(COUNTIF('Raw TRI Data'!$J:$J,$E90)&gt;0,_xlfn.MAXIFS('Raw TRI Data'!$S:$S,'Raw TRI Data'!$J:$J,$E90), "N/A - Facility Does Not Report to TRI")</f>
        <v>22.6796185</v>
      </c>
      <c r="T90" s="156">
        <f t="shared" si="10"/>
        <v>7.5598728333333337E-2</v>
      </c>
      <c r="U90" s="136" cm="1">
        <f t="array" ref="U90">IF(COUNTIF('Raw TRI Data'!$J:$J,$E90)&gt;0,INDEX('Raw TRI Data'!$A:$A,MATCH(1,($E90='Raw TRI Data'!$J:$J)*(S90='Raw TRI Data'!$S:$S),0)), "N/A - Facility Does Not Report to TRI")</f>
        <v>2015</v>
      </c>
      <c r="V90" s="156" t="str" cm="1">
        <f t="array" ref="V90">IF(COUNTIFS('Raw Annual DMR Data'!$L:$L,$F90,'Raw Annual DMR Data'!$U:$U,"&gt;0")&gt;0,MEDIAN(IF('Raw Annual DMR Data'!$L:$L=$F90,'Raw Annual DMR Data'!$U:$U,"")),"N/A - Period DMR Data Not Available")</f>
        <v>N/A - Period DMR Data Not Available</v>
      </c>
      <c r="W90" s="156" t="str">
        <f>IF(COUNTIFS('Raw Annual DMR Data'!$L:$L,$F90, 'Raw Annual DMR Data'!$U:$U, "&gt;0")&gt;0,_xlfn.MAXIFS('Raw Annual DMR Data'!$U:$U,'Raw Annual DMR Data'!$L:$L,$F90), "N/A - Period DMR Data Not Available")</f>
        <v>N/A - Period DMR Data Not Available</v>
      </c>
      <c r="X90" s="113" t="str" cm="1">
        <f t="array" ref="X90">+IF(COUNTIFS('Raw Annual DMR Data'!L:L,$F90, 'Raw Annual DMR Data'!U:U, "&gt;0")&gt;0,INDEX('Raw Annual DMR Data'!V:V,MATCH(1,($F90='Raw Annual DMR Data'!L:L)*($W90='Raw Annual DMR Data'!U:U),0)), "N/A - Period DMR Data Not Available")</f>
        <v>N/A - Period DMR Data Not Available</v>
      </c>
      <c r="Y90" s="113" t="str" cm="1">
        <f t="array" ref="Y90">IF(COUNTIFS('Raw Annual DMR Data'!L:L,$F90, 'Raw Annual DMR Data'!U:U, "&gt;0")&gt;0,INDEX('Raw Annual DMR Data'!B:B,MATCH(1,($F90='Raw Annual DMR Data'!L:L)*($W90='Raw Annual DMR Data'!U:U),0)), "N/A - Period DMR Data Not Available")</f>
        <v>N/A - Period DMR Data Not Available</v>
      </c>
      <c r="Z90" s="311" t="e" cm="1">
        <f t="array" ref="Z90">IF(COUNTIF('Raw Annual DMR Data'!K:K,$E90)&gt;0,"N/A - See DMRs",IF(SUMIFS('Raw TRI Data'!$Z:$Z,'Raw TRI Data'!$J:$J,$E90)&gt;0,MEDIAN(IF('Raw TRI Data'!$J:$J=$E90,'Raw TRI Data'!$Z:$Z)), "N/A - Facility Does Not Report to TRI, no surface water releases, or no Generic Factors available"))</f>
        <v>#N/A</v>
      </c>
      <c r="AA90" s="156" t="e">
        <f>IF(COUNTIF('Raw Annual DMR Data'!K:K,$E90)&gt;0,"N/A - See DMRs",IF(SUMIFS('Raw TRI Data'!$Z:$Z,'Raw TRI Data'!$J:$J,$E90)&gt;0,_xlfn.MAXIFS('Raw TRI Data'!$Z:$Z,'Raw TRI Data'!$J:$J,$E90), "N/A - Facility Does Not Report to TRI, no surface water releases, or no Generic Factors available"))</f>
        <v>#N/A</v>
      </c>
      <c r="AB90" s="113" t="str">
        <f t="shared" si="13"/>
        <v>N/A</v>
      </c>
      <c r="AC90" s="136" t="e" cm="1">
        <f t="array" ref="AC90">IF(COUNTIF('Raw Annual DMR Data'!K:K,$E90)&gt;0,"N/A - See DMRs",IF(SUMIFS('Raw TRI Data'!$Z:$Z,'Raw TRI Data'!$J:$J,$E90)&gt;0,INDEX('Raw TRI Data'!$A:$A,MATCH(1,($E90='Raw TRI Data'!$J:$J)*($AA90='Raw TRI Data'!$Z:$Z),0)), "N/A - Facility Does Not Report to TRI, no surface water releases, or no Generic Factors available"))</f>
        <v>#N/A</v>
      </c>
      <c r="AD90" s="96" t="str" cm="1">
        <f t="array" ref="AD90">IF(COUNTIFS('Raw Annual DMR Data'!L:L,$F90,'Raw Annual DMR Data'!W:W, "&gt;0")&gt;0,MEDIAN(IF('Raw Annual DMR Data'!K:K=$F90, 'Raw Annual DMR Data'!W:W)), "N/A - No Daily Max DMR Discharge Data")</f>
        <v>N/A - No Daily Max DMR Discharge Data</v>
      </c>
      <c r="AE90" s="96" t="str">
        <f>IF(COUNTIFS('Raw Annual DMR Data'!L:L,$F90,'Raw Annual DMR Data'!W:W, "&gt;0")&gt;0,_xlfn.MAXIFS('Raw Annual DMR Data'!W:W,'Raw Annual DMR Data'!L:L,$F90), "N/A - No Daily Max DMR Discharge Data")</f>
        <v>N/A - No Daily Max DMR Discharge Data</v>
      </c>
      <c r="AF90" s="60" t="str" cm="1">
        <f t="array" ref="AF90">IF(COUNTIFS('Raw Annual DMR Data'!L:L,$F90,'Raw Annual DMR Data'!W:W, "&gt;0")&gt;0,INDEX('Raw Annual DMR Data'!B:B,MATCH(1,($F90='Raw Annual DMR Data'!L:L)*($AE90='Raw Annual DMR Data'!W:W),0)), "N/A - No Daily Max DMR Discharge Data")</f>
        <v>N/A - No Daily Max DMR Discharge Data</v>
      </c>
    </row>
    <row r="91" spans="1:32" ht="30.75" thickBot="1" x14ac:dyDescent="0.3">
      <c r="A91" s="144" t="str">
        <f>VLOOKUP(F91,'Facility Summary'!J:K,2,FALSE)</f>
        <v>Manufacturing</v>
      </c>
      <c r="B91" s="28" t="s">
        <v>173</v>
      </c>
      <c r="C91" s="28" t="s">
        <v>520</v>
      </c>
      <c r="D91" s="28" t="s">
        <v>362</v>
      </c>
      <c r="E91" s="60" t="s">
        <v>567</v>
      </c>
      <c r="F91" s="74">
        <v>110000460983</v>
      </c>
      <c r="G91" s="74" t="s">
        <v>903</v>
      </c>
      <c r="H91" s="28" t="s">
        <v>904</v>
      </c>
      <c r="I91" s="74">
        <v>12040104000012</v>
      </c>
      <c r="J91" s="74" t="s">
        <v>265</v>
      </c>
      <c r="K91" s="60">
        <f>VLOOKUP(A91, 'OES Summary'!$A:$B, 2, FALSE)</f>
        <v>350</v>
      </c>
      <c r="L91" s="304" cm="1">
        <f t="array" ref="L91">IF(COUNTIF('Raw Annual DMR Data'!$L:$L,$F91)&gt;0,MEDIAN(IF('Raw Annual DMR Data'!$L:$L=F91,'Raw Annual DMR Data'!$S:$S)),"N/A - Facility Does Not Report DMRs")</f>
        <v>0.182281</v>
      </c>
      <c r="M91" s="156">
        <f t="shared" si="11"/>
        <v>5.2080285714285713E-4</v>
      </c>
      <c r="N91" s="156">
        <f>IF(COUNTIF('Raw Annual DMR Data'!$L:$L,$F91)&gt;0,_xlfn.MAXIFS('Raw Annual DMR Data'!$S:$S,'Raw Annual DMR Data'!$L:$L,$F91), "N/A - Facility Does Not Report DMRs")</f>
        <v>0.37450460000000002</v>
      </c>
      <c r="O91" s="156">
        <f t="shared" si="12"/>
        <v>1.0700131428571429E-3</v>
      </c>
      <c r="P91" s="113" cm="1">
        <f t="array" ref="P91">IF(COUNTIF('Raw Annual DMR Data'!$L:$L,$F91)&gt;0,INDEX('Raw Annual DMR Data'!$B:$B,MATCH(1,($F91='Raw Annual DMR Data'!$L:$L)*($N91='Raw Annual DMR Data'!$S:$S),0)), "N/A - Facility Does Not Report DMRs")</f>
        <v>2021</v>
      </c>
      <c r="Q91" s="304" t="str" cm="1">
        <f t="array" ref="Q91">IF(COUNTIF('Raw TRI Data'!$J:$J,$E91)&gt;0,MEDIAN(IF('Raw TRI Data'!$J:$J=E91,'Raw TRI Data'!$S:$S)), "N/A - Facility Does Not Report to TRI")</f>
        <v>N/A - Facility Does Not Report to TRI</v>
      </c>
      <c r="R91" s="156" t="str">
        <f t="shared" si="9"/>
        <v>N/A - Facility Does Not Report to TRI</v>
      </c>
      <c r="S91" s="156" t="str">
        <f>IF(COUNTIF('Raw TRI Data'!$J:$J,$E91)&gt;0,_xlfn.MAXIFS('Raw TRI Data'!$S:$S,'Raw TRI Data'!$J:$J,$E91), "N/A - Facility Does Not Report to TRI")</f>
        <v>N/A - Facility Does Not Report to TRI</v>
      </c>
      <c r="T91" s="156" t="str">
        <f t="shared" si="10"/>
        <v>N/A - Facility Does Not Report to TRI</v>
      </c>
      <c r="U91" s="136" t="str" cm="1">
        <f t="array" ref="U91">IF(COUNTIF('Raw TRI Data'!$J:$J,$E91)&gt;0,INDEX('Raw TRI Data'!$A:$A,MATCH(1,($E91='Raw TRI Data'!$J:$J)*(S91='Raw TRI Data'!$S:$S),0)), "N/A - Facility Does Not Report to TRI")</f>
        <v>N/A - Facility Does Not Report to TRI</v>
      </c>
      <c r="V91" s="156" t="str" cm="1">
        <f t="array" ref="V91">IF(COUNTIFS('Raw Annual DMR Data'!$L:$L,$F91,'Raw Annual DMR Data'!$U:$U,"&gt;0")&gt;0,MEDIAN(IF('Raw Annual DMR Data'!$L:$L=$F91,'Raw Annual DMR Data'!$U:$U,"")),"N/A - Period DMR Data Not Available")</f>
        <v>N/A - Period DMR Data Not Available</v>
      </c>
      <c r="W91" s="156" t="str">
        <f>IF(COUNTIFS('Raw Annual DMR Data'!$L:$L,$F91, 'Raw Annual DMR Data'!$U:$U, "&gt;0")&gt;0,_xlfn.MAXIFS('Raw Annual DMR Data'!$U:$U,'Raw Annual DMR Data'!$L:$L,$F91), "N/A - Period DMR Data Not Available")</f>
        <v>N/A - Period DMR Data Not Available</v>
      </c>
      <c r="X91" s="113" t="str" cm="1">
        <f t="array" ref="X91">+IF(COUNTIFS('Raw Annual DMR Data'!L:L,$F91, 'Raw Annual DMR Data'!U:U, "&gt;0")&gt;0,INDEX('Raw Annual DMR Data'!V:V,MATCH(1,($F91='Raw Annual DMR Data'!L:L)*($W91='Raw Annual DMR Data'!U:U),0)), "N/A - Period DMR Data Not Available")</f>
        <v>N/A - Period DMR Data Not Available</v>
      </c>
      <c r="Y91" s="113" t="str" cm="1">
        <f t="array" ref="Y91">IF(COUNTIFS('Raw Annual DMR Data'!L:L,$F91, 'Raw Annual DMR Data'!U:U, "&gt;0")&gt;0,INDEX('Raw Annual DMR Data'!B:B,MATCH(1,($F91='Raw Annual DMR Data'!L:L)*($W91='Raw Annual DMR Data'!U:U),0)), "N/A - Period DMR Data Not Available")</f>
        <v>N/A - Period DMR Data Not Available</v>
      </c>
      <c r="Z91" s="311" t="str" cm="1">
        <f t="array" ref="Z91">IF(COUNTIF('Raw Annual DMR Data'!K:K,$E91)&gt;0,"N/A - See DMRs",IF(SUMIFS('Raw TRI Data'!$Z:$Z,'Raw TRI Data'!$J:$J,$E91)&gt;0,MEDIAN(IF('Raw TRI Data'!$J:$J=$E91,'Raw TRI Data'!$Z:$Z)), "N/A - Facility Does Not Report to TRI, no surface water releases, or no Generic Factors available"))</f>
        <v>N/A - See DMRs</v>
      </c>
      <c r="AA91" s="156" t="str">
        <f>IF(COUNTIF('Raw Annual DMR Data'!K:K,$E91)&gt;0,"N/A - See DMRs",IF(SUMIFS('Raw TRI Data'!$Z:$Z,'Raw TRI Data'!$J:$J,$E91)&gt;0,_xlfn.MAXIFS('Raw TRI Data'!$Z:$Z,'Raw TRI Data'!$J:$J,$E91), "N/A - Facility Does Not Report to TRI, no surface water releases, or no Generic Factors available"))</f>
        <v>N/A - See DMRs</v>
      </c>
      <c r="AB91" s="113" t="str">
        <f t="shared" si="13"/>
        <v>N/A</v>
      </c>
      <c r="AC91" s="136" t="str" cm="1">
        <f t="array" ref="AC91">IF(COUNTIF('Raw Annual DMR Data'!K:K,$E91)&gt;0,"N/A - See DMRs",IF(SUMIFS('Raw TRI Data'!$Z:$Z,'Raw TRI Data'!$J:$J,$E91)&gt;0,INDEX('Raw TRI Data'!$A:$A,MATCH(1,($E91='Raw TRI Data'!$J:$J)*($AA91='Raw TRI Data'!$Z:$Z),0)), "N/A - Facility Does Not Report to TRI, no surface water releases, or no Generic Factors available"))</f>
        <v>N/A - See DMRs</v>
      </c>
      <c r="AD91" s="96" t="str" cm="1">
        <f t="array" ref="AD91">IF(COUNTIFS('Raw Annual DMR Data'!L:L,$F91,'Raw Annual DMR Data'!W:W, "&gt;0")&gt;0,MEDIAN(IF('Raw Annual DMR Data'!K:K=$F91, 'Raw Annual DMR Data'!W:W)), "N/A - No Daily Max DMR Discharge Data")</f>
        <v>N/A - No Daily Max DMR Discharge Data</v>
      </c>
      <c r="AE91" s="96" t="str">
        <f>IF(COUNTIFS('Raw Annual DMR Data'!L:L,$F91,'Raw Annual DMR Data'!W:W, "&gt;0")&gt;0,_xlfn.MAXIFS('Raw Annual DMR Data'!W:W,'Raw Annual DMR Data'!L:L,$F91), "N/A - No Daily Max DMR Discharge Data")</f>
        <v>N/A - No Daily Max DMR Discharge Data</v>
      </c>
      <c r="AF91" s="60" t="str" cm="1">
        <f t="array" ref="AF91">IF(COUNTIFS('Raw Annual DMR Data'!L:L,$F91,'Raw Annual DMR Data'!W:W, "&gt;0")&gt;0,INDEX('Raw Annual DMR Data'!B:B,MATCH(1,($F91='Raw Annual DMR Data'!L:L)*($AE91='Raw Annual DMR Data'!W:W),0)), "N/A - No Daily Max DMR Discharge Data")</f>
        <v>N/A - No Daily Max DMR Discharge Data</v>
      </c>
    </row>
    <row r="92" spans="1:32" ht="30.75" thickBot="1" x14ac:dyDescent="0.3">
      <c r="A92" s="144" t="str">
        <f>VLOOKUP(F92,'Facility Summary'!J:K,2,FALSE)</f>
        <v>Manufacturing</v>
      </c>
      <c r="B92" s="28" t="s">
        <v>174</v>
      </c>
      <c r="C92" s="28" t="s">
        <v>569</v>
      </c>
      <c r="D92" s="28" t="s">
        <v>311</v>
      </c>
      <c r="E92" s="60" t="s">
        <v>570</v>
      </c>
      <c r="F92" s="74">
        <v>110000344814</v>
      </c>
      <c r="G92" s="74" t="s">
        <v>905</v>
      </c>
      <c r="H92" s="28" t="s">
        <v>906</v>
      </c>
      <c r="I92" s="74">
        <v>5030201001622</v>
      </c>
      <c r="J92" s="74" t="s">
        <v>265</v>
      </c>
      <c r="K92" s="60">
        <f>VLOOKUP(A92, 'OES Summary'!$A:$B, 2, FALSE)</f>
        <v>350</v>
      </c>
      <c r="L92" s="304" cm="1">
        <f t="array" ref="L92">IF(COUNTIF('Raw Annual DMR Data'!$L:$L,$F92)&gt;0,MEDIAN(IF('Raw Annual DMR Data'!$L:$L=F92,'Raw Annual DMR Data'!$S:$S)),"N/A - Facility Does Not Report DMRs")</f>
        <v>1.2366780045351402</v>
      </c>
      <c r="M92" s="156">
        <f t="shared" si="11"/>
        <v>3.5333657272432579E-3</v>
      </c>
      <c r="N92" s="156">
        <f>IF(COUNTIF('Raw Annual DMR Data'!$L:$L,$F92)&gt;0,_xlfn.MAXIFS('Raw Annual DMR Data'!$S:$S,'Raw Annual DMR Data'!$L:$L,$F92), "N/A - Facility Does Not Report DMRs")</f>
        <v>2.1282539682539601</v>
      </c>
      <c r="O92" s="156">
        <f t="shared" si="12"/>
        <v>6.0807256235827431E-3</v>
      </c>
      <c r="P92" s="113" cm="1">
        <f t="array" ref="P92">IF(COUNTIF('Raw Annual DMR Data'!$L:$L,$F92)&gt;0,INDEX('Raw Annual DMR Data'!$B:$B,MATCH(1,($F92='Raw Annual DMR Data'!$L:$L)*($N92='Raw Annual DMR Data'!$S:$S),0)), "N/A - Facility Does Not Report DMRs")</f>
        <v>2016</v>
      </c>
      <c r="Q92" s="304" t="str" cm="1">
        <f t="array" ref="Q92">IF(COUNTIF('Raw TRI Data'!$J:$J,$E92)&gt;0,MEDIAN(IF('Raw TRI Data'!$J:$J=E92,'Raw TRI Data'!$S:$S)), "N/A - Facility Does Not Report to TRI")</f>
        <v>N/A - Facility Does Not Report to TRI</v>
      </c>
      <c r="R92" s="156" t="str">
        <f t="shared" si="9"/>
        <v>N/A - Facility Does Not Report to TRI</v>
      </c>
      <c r="S92" s="156" t="str">
        <f>IF(COUNTIF('Raw TRI Data'!$J:$J,$E92)&gt;0,_xlfn.MAXIFS('Raw TRI Data'!$S:$S,'Raw TRI Data'!$J:$J,$E92), "N/A - Facility Does Not Report to TRI")</f>
        <v>N/A - Facility Does Not Report to TRI</v>
      </c>
      <c r="T92" s="156" t="str">
        <f t="shared" si="10"/>
        <v>N/A - Facility Does Not Report to TRI</v>
      </c>
      <c r="U92" s="136" t="str" cm="1">
        <f t="array" ref="U92">IF(COUNTIF('Raw TRI Data'!$J:$J,$E92)&gt;0,INDEX('Raw TRI Data'!$A:$A,MATCH(1,($E92='Raw TRI Data'!$J:$J)*(S92='Raw TRI Data'!$S:$S),0)), "N/A - Facility Does Not Report to TRI")</f>
        <v>N/A - Facility Does Not Report to TRI</v>
      </c>
      <c r="V92" s="156" t="str" cm="1">
        <f t="array" ref="V92">IF(COUNTIFS('Raw Annual DMR Data'!$L:$L,$F92,'Raw Annual DMR Data'!$U:$U,"&gt;0")&gt;0,MEDIAN(IF('Raw Annual DMR Data'!$L:$L=$F92,'Raw Annual DMR Data'!$U:$U,"")),"N/A - Period DMR Data Not Available")</f>
        <v>N/A - Period DMR Data Not Available</v>
      </c>
      <c r="W92" s="156" t="str">
        <f>IF(COUNTIFS('Raw Annual DMR Data'!$L:$L,$F92, 'Raw Annual DMR Data'!$U:$U, "&gt;0")&gt;0,_xlfn.MAXIFS('Raw Annual DMR Data'!$U:$U,'Raw Annual DMR Data'!$L:$L,$F92), "N/A - Period DMR Data Not Available")</f>
        <v>N/A - Period DMR Data Not Available</v>
      </c>
      <c r="X92" s="113" t="str" cm="1">
        <f t="array" ref="X92">+IF(COUNTIFS('Raw Annual DMR Data'!L:L,$F92, 'Raw Annual DMR Data'!U:U, "&gt;0")&gt;0,INDEX('Raw Annual DMR Data'!V:V,MATCH(1,($F92='Raw Annual DMR Data'!L:L)*($W92='Raw Annual DMR Data'!U:U),0)), "N/A - Period DMR Data Not Available")</f>
        <v>N/A - Period DMR Data Not Available</v>
      </c>
      <c r="Y92" s="113" t="str" cm="1">
        <f t="array" ref="Y92">IF(COUNTIFS('Raw Annual DMR Data'!L:L,$F92, 'Raw Annual DMR Data'!U:U, "&gt;0")&gt;0,INDEX('Raw Annual DMR Data'!B:B,MATCH(1,($F92='Raw Annual DMR Data'!L:L)*($W92='Raw Annual DMR Data'!U:U),0)), "N/A - Period DMR Data Not Available")</f>
        <v>N/A - Period DMR Data Not Available</v>
      </c>
      <c r="Z92" s="311" t="str" cm="1">
        <f t="array" ref="Z92">IF(COUNTIF('Raw Annual DMR Data'!K:K,$E92)&gt;0,"N/A - See DMRs",IF(SUMIFS('Raw TRI Data'!$Z:$Z,'Raw TRI Data'!$J:$J,$E92)&gt;0,MEDIAN(IF('Raw TRI Data'!$J:$J=$E92,'Raw TRI Data'!$Z:$Z)), "N/A - Facility Does Not Report to TRI, no surface water releases, or no Generic Factors available"))</f>
        <v>N/A - See DMRs</v>
      </c>
      <c r="AA92" s="156" t="str">
        <f>IF(COUNTIF('Raw Annual DMR Data'!K:K,$E92)&gt;0,"N/A - See DMRs",IF(SUMIFS('Raw TRI Data'!$Z:$Z,'Raw TRI Data'!$J:$J,$E92)&gt;0,_xlfn.MAXIFS('Raw TRI Data'!$Z:$Z,'Raw TRI Data'!$J:$J,$E92), "N/A - Facility Does Not Report to TRI, no surface water releases, or no Generic Factors available"))</f>
        <v>N/A - See DMRs</v>
      </c>
      <c r="AB92" s="113" t="str">
        <f t="shared" si="13"/>
        <v>N/A</v>
      </c>
      <c r="AC92" s="136" t="str" cm="1">
        <f t="array" ref="AC92">IF(COUNTIF('Raw Annual DMR Data'!K:K,$E92)&gt;0,"N/A - See DMRs",IF(SUMIFS('Raw TRI Data'!$Z:$Z,'Raw TRI Data'!$J:$J,$E92)&gt;0,INDEX('Raw TRI Data'!$A:$A,MATCH(1,($E92='Raw TRI Data'!$J:$J)*($AA92='Raw TRI Data'!$Z:$Z),0)), "N/A - Facility Does Not Report to TRI, no surface water releases, or no Generic Factors available"))</f>
        <v>N/A - See DMRs</v>
      </c>
      <c r="AD92" s="96" t="str" cm="1">
        <f t="array" ref="AD92">IF(COUNTIFS('Raw Annual DMR Data'!L:L,$F92,'Raw Annual DMR Data'!W:W, "&gt;0")&gt;0,MEDIAN(IF('Raw Annual DMR Data'!K:K=$F92, 'Raw Annual DMR Data'!W:W)), "N/A - No Daily Max DMR Discharge Data")</f>
        <v>N/A - No Daily Max DMR Discharge Data</v>
      </c>
      <c r="AE92" s="96" t="str">
        <f>IF(COUNTIFS('Raw Annual DMR Data'!L:L,$F92,'Raw Annual DMR Data'!W:W, "&gt;0")&gt;0,_xlfn.MAXIFS('Raw Annual DMR Data'!W:W,'Raw Annual DMR Data'!L:L,$F92), "N/A - No Daily Max DMR Discharge Data")</f>
        <v>N/A - No Daily Max DMR Discharge Data</v>
      </c>
      <c r="AF92" s="60" t="str" cm="1">
        <f t="array" ref="AF92">IF(COUNTIFS('Raw Annual DMR Data'!L:L,$F92,'Raw Annual DMR Data'!W:W, "&gt;0")&gt;0,INDEX('Raw Annual DMR Data'!B:B,MATCH(1,($F92='Raw Annual DMR Data'!L:L)*($AE92='Raw Annual DMR Data'!W:W),0)), "N/A - No Daily Max DMR Discharge Data")</f>
        <v>N/A - No Daily Max DMR Discharge Data</v>
      </c>
    </row>
    <row r="93" spans="1:32" ht="30.75" thickBot="1" x14ac:dyDescent="0.3">
      <c r="A93" s="144" t="str">
        <f>VLOOKUP(F93,'Facility Summary'!J:K,2,FALSE)</f>
        <v>Manufacturing</v>
      </c>
      <c r="B93" s="28" t="s">
        <v>175</v>
      </c>
      <c r="C93" s="28" t="s">
        <v>572</v>
      </c>
      <c r="D93" s="28" t="s">
        <v>303</v>
      </c>
      <c r="E93" s="60" t="s">
        <v>573</v>
      </c>
      <c r="F93" s="74">
        <v>110007015871</v>
      </c>
      <c r="G93" s="74" t="s">
        <v>907</v>
      </c>
      <c r="H93" s="28" t="s">
        <v>816</v>
      </c>
      <c r="I93" s="74">
        <v>8070204000715</v>
      </c>
      <c r="J93" s="74" t="s">
        <v>265</v>
      </c>
      <c r="K93" s="60">
        <f>VLOOKUP(A93, 'OES Summary'!$A:$B, 2, FALSE)</f>
        <v>350</v>
      </c>
      <c r="L93" s="304" cm="1">
        <f t="array" ref="L93">IF(COUNTIF('Raw Annual DMR Data'!$L:$L,$F93)&gt;0,MEDIAN(IF('Raw Annual DMR Data'!$L:$L=F93,'Raw Annual DMR Data'!$S:$S)),"N/A - Facility Does Not Report DMRs")</f>
        <v>8.2854999999999998E-2</v>
      </c>
      <c r="M93" s="156">
        <f t="shared" si="11"/>
        <v>2.3672857142857141E-4</v>
      </c>
      <c r="N93" s="156">
        <f>IF(COUNTIF('Raw Annual DMR Data'!$L:$L,$F93)&gt;0,_xlfn.MAXIFS('Raw Annual DMR Data'!$S:$S,'Raw Annual DMR Data'!$L:$L,$F93), "N/A - Facility Does Not Report DMRs")</f>
        <v>0.16571</v>
      </c>
      <c r="O93" s="156">
        <f t="shared" si="12"/>
        <v>4.7345714285714283E-4</v>
      </c>
      <c r="P93" s="113" cm="1">
        <f t="array" ref="P93">IF(COUNTIF('Raw Annual DMR Data'!$L:$L,$F93)&gt;0,INDEX('Raw Annual DMR Data'!$B:$B,MATCH(1,($F93='Raw Annual DMR Data'!$L:$L)*($N93='Raw Annual DMR Data'!$S:$S),0)), "N/A - Facility Does Not Report DMRs")</f>
        <v>2021</v>
      </c>
      <c r="Q93" s="304" t="str" cm="1">
        <f t="array" ref="Q93">IF(COUNTIF('Raw TRI Data'!$J:$J,$E93)&gt;0,MEDIAN(IF('Raw TRI Data'!$J:$J=E93,'Raw TRI Data'!$S:$S)), "N/A - Facility Does Not Report to TRI")</f>
        <v>N/A - Facility Does Not Report to TRI</v>
      </c>
      <c r="R93" s="156" t="str">
        <f t="shared" si="9"/>
        <v>N/A - Facility Does Not Report to TRI</v>
      </c>
      <c r="S93" s="156" t="str">
        <f>IF(COUNTIF('Raw TRI Data'!$J:$J,$E93)&gt;0,_xlfn.MAXIFS('Raw TRI Data'!$S:$S,'Raw TRI Data'!$J:$J,$E93), "N/A - Facility Does Not Report to TRI")</f>
        <v>N/A - Facility Does Not Report to TRI</v>
      </c>
      <c r="T93" s="156" t="str">
        <f t="shared" si="10"/>
        <v>N/A - Facility Does Not Report to TRI</v>
      </c>
      <c r="U93" s="136" t="str" cm="1">
        <f t="array" ref="U93">IF(COUNTIF('Raw TRI Data'!$J:$J,$E93)&gt;0,INDEX('Raw TRI Data'!$A:$A,MATCH(1,($E93='Raw TRI Data'!$J:$J)*(S93='Raw TRI Data'!$S:$S),0)), "N/A - Facility Does Not Report to TRI")</f>
        <v>N/A - Facility Does Not Report to TRI</v>
      </c>
      <c r="V93" s="156" t="str" cm="1">
        <f t="array" ref="V93">IF(COUNTIFS('Raw Annual DMR Data'!$L:$L,$F93,'Raw Annual DMR Data'!$U:$U,"&gt;0")&gt;0,MEDIAN(IF('Raw Annual DMR Data'!$L:$L=$F93,'Raw Annual DMR Data'!$U:$U,"")),"N/A - Period DMR Data Not Available")</f>
        <v>N/A - Period DMR Data Not Available</v>
      </c>
      <c r="W93" s="156" t="str">
        <f>IF(COUNTIFS('Raw Annual DMR Data'!$L:$L,$F93, 'Raw Annual DMR Data'!$U:$U, "&gt;0")&gt;0,_xlfn.MAXIFS('Raw Annual DMR Data'!$U:$U,'Raw Annual DMR Data'!$L:$L,$F93), "N/A - Period DMR Data Not Available")</f>
        <v>N/A - Period DMR Data Not Available</v>
      </c>
      <c r="X93" s="113" t="str" cm="1">
        <f t="array" ref="X93">+IF(COUNTIFS('Raw Annual DMR Data'!L:L,$F93, 'Raw Annual DMR Data'!U:U, "&gt;0")&gt;0,INDEX('Raw Annual DMR Data'!V:V,MATCH(1,($F93='Raw Annual DMR Data'!L:L)*($W93='Raw Annual DMR Data'!U:U),0)), "N/A - Period DMR Data Not Available")</f>
        <v>N/A - Period DMR Data Not Available</v>
      </c>
      <c r="Y93" s="113" t="str" cm="1">
        <f t="array" ref="Y93">IF(COUNTIFS('Raw Annual DMR Data'!L:L,$F93, 'Raw Annual DMR Data'!U:U, "&gt;0")&gt;0,INDEX('Raw Annual DMR Data'!B:B,MATCH(1,($F93='Raw Annual DMR Data'!L:L)*($W93='Raw Annual DMR Data'!U:U),0)), "N/A - Period DMR Data Not Available")</f>
        <v>N/A - Period DMR Data Not Available</v>
      </c>
      <c r="Z93" s="311" t="str" cm="1">
        <f t="array" ref="Z93">IF(COUNTIF('Raw Annual DMR Data'!K:K,$E93)&gt;0,"N/A - See DMRs",IF(SUMIFS('Raw TRI Data'!$Z:$Z,'Raw TRI Data'!$J:$J,$E93)&gt;0,MEDIAN(IF('Raw TRI Data'!$J:$J=$E93,'Raw TRI Data'!$Z:$Z)), "N/A - Facility Does Not Report to TRI, no surface water releases, or no Generic Factors available"))</f>
        <v>N/A - See DMRs</v>
      </c>
      <c r="AA93" s="156" t="str">
        <f>IF(COUNTIF('Raw Annual DMR Data'!K:K,$E93)&gt;0,"N/A - See DMRs",IF(SUMIFS('Raw TRI Data'!$Z:$Z,'Raw TRI Data'!$J:$J,$E93)&gt;0,_xlfn.MAXIFS('Raw TRI Data'!$Z:$Z,'Raw TRI Data'!$J:$J,$E93), "N/A - Facility Does Not Report to TRI, no surface water releases, or no Generic Factors available"))</f>
        <v>N/A - See DMRs</v>
      </c>
      <c r="AB93" s="113" t="str">
        <f t="shared" si="13"/>
        <v>N/A</v>
      </c>
      <c r="AC93" s="136" t="str" cm="1">
        <f t="array" ref="AC93">IF(COUNTIF('Raw Annual DMR Data'!K:K,$E93)&gt;0,"N/A - See DMRs",IF(SUMIFS('Raw TRI Data'!$Z:$Z,'Raw TRI Data'!$J:$J,$E93)&gt;0,INDEX('Raw TRI Data'!$A:$A,MATCH(1,($E93='Raw TRI Data'!$J:$J)*($AA93='Raw TRI Data'!$Z:$Z),0)), "N/A - Facility Does Not Report to TRI, no surface water releases, or no Generic Factors available"))</f>
        <v>N/A - See DMRs</v>
      </c>
      <c r="AD93" s="96" t="str" cm="1">
        <f t="array" ref="AD93">IF(COUNTIFS('Raw Annual DMR Data'!L:L,$F93,'Raw Annual DMR Data'!W:W, "&gt;0")&gt;0,MEDIAN(IF('Raw Annual DMR Data'!K:K=$F93, 'Raw Annual DMR Data'!W:W)), "N/A - No Daily Max DMR Discharge Data")</f>
        <v>N/A - No Daily Max DMR Discharge Data</v>
      </c>
      <c r="AE93" s="96" t="str">
        <f>IF(COUNTIFS('Raw Annual DMR Data'!L:L,$F93,'Raw Annual DMR Data'!W:W, "&gt;0")&gt;0,_xlfn.MAXIFS('Raw Annual DMR Data'!W:W,'Raw Annual DMR Data'!L:L,$F93), "N/A - No Daily Max DMR Discharge Data")</f>
        <v>N/A - No Daily Max DMR Discharge Data</v>
      </c>
      <c r="AF93" s="60" t="str" cm="1">
        <f t="array" ref="AF93">IF(COUNTIFS('Raw Annual DMR Data'!L:L,$F93,'Raw Annual DMR Data'!W:W, "&gt;0")&gt;0,INDEX('Raw Annual DMR Data'!B:B,MATCH(1,($F93='Raw Annual DMR Data'!L:L)*($AE93='Raw Annual DMR Data'!W:W),0)), "N/A - No Daily Max DMR Discharge Data")</f>
        <v>N/A - No Daily Max DMR Discharge Data</v>
      </c>
    </row>
    <row r="94" spans="1:32" ht="45.75" thickBot="1" x14ac:dyDescent="0.3">
      <c r="A94" s="144" t="str">
        <f>VLOOKUP(F94,'Facility Summary'!J:K,2,FALSE)</f>
        <v>Processing into formulation, mixture, or reaction product</v>
      </c>
      <c r="B94" s="28" t="s">
        <v>215</v>
      </c>
      <c r="C94" s="28" t="s">
        <v>575</v>
      </c>
      <c r="D94" s="28" t="s">
        <v>435</v>
      </c>
      <c r="E94" s="60" t="s">
        <v>576</v>
      </c>
      <c r="F94" s="74">
        <v>110000348936</v>
      </c>
      <c r="G94" s="74" t="s">
        <v>295</v>
      </c>
      <c r="H94" s="28" t="s">
        <v>295</v>
      </c>
      <c r="I94" s="74" t="s">
        <v>295</v>
      </c>
      <c r="J94" s="74" t="s">
        <v>265</v>
      </c>
      <c r="K94" s="60">
        <f>VLOOKUP(A94, 'OES Summary'!$A:$B, 2, FALSE)</f>
        <v>300</v>
      </c>
      <c r="L94" s="304" t="str" cm="1">
        <f t="array" ref="L94">IF(COUNTIF('Raw Annual DMR Data'!$L:$L,$F94)&gt;0,MEDIAN(IF('Raw Annual DMR Data'!$L:$L=F94,'Raw Annual DMR Data'!$S:$S)),"N/A - Facility Does Not Report DMRs")</f>
        <v>N/A - Facility Does Not Report DMRs</v>
      </c>
      <c r="M94" s="156" t="str">
        <f t="shared" si="11"/>
        <v>N/A - Facility Does Not Report DMRs</v>
      </c>
      <c r="N94" s="156" t="str">
        <f>IF(COUNTIF('Raw Annual DMR Data'!$L:$L,$F94)&gt;0,_xlfn.MAXIFS('Raw Annual DMR Data'!$S:$S,'Raw Annual DMR Data'!$L:$L,$F94), "N/A - Facility Does Not Report DMRs")</f>
        <v>N/A - Facility Does Not Report DMRs</v>
      </c>
      <c r="O94" s="156" t="str">
        <f t="shared" si="12"/>
        <v>N/A - Facility Does Not Report DMRs</v>
      </c>
      <c r="P94" s="113" t="str" cm="1">
        <f t="array" ref="P94">IF(COUNTIF('Raw Annual DMR Data'!$L:$L,$F94)&gt;0,INDEX('Raw Annual DMR Data'!$B:$B,MATCH(1,($F94='Raw Annual DMR Data'!$L:$L)*($N94='Raw Annual DMR Data'!$S:$S),0)), "N/A - Facility Does Not Report DMRs")</f>
        <v>N/A - Facility Does Not Report DMRs</v>
      </c>
      <c r="Q94" s="304" cm="1">
        <f t="array" ref="Q94">IF(COUNTIF('Raw TRI Data'!$J:$J,$E94)&gt;0,MEDIAN(IF('Raw TRI Data'!$J:$J=E94,'Raw TRI Data'!$S:$S)), "N/A - Facility Does Not Report to TRI")</f>
        <v>0</v>
      </c>
      <c r="R94" s="156">
        <f t="shared" si="9"/>
        <v>0</v>
      </c>
      <c r="S94" s="156">
        <f>IF(COUNTIF('Raw TRI Data'!$J:$J,$E94)&gt;0,_xlfn.MAXIFS('Raw TRI Data'!$S:$S,'Raw TRI Data'!$J:$J,$E94), "N/A - Facility Does Not Report to TRI")</f>
        <v>0</v>
      </c>
      <c r="T94" s="156">
        <f t="shared" si="10"/>
        <v>0</v>
      </c>
      <c r="U94" s="136" cm="1">
        <f t="array" ref="U94">IF(COUNTIF('Raw TRI Data'!$J:$J,$E94)&gt;0,INDEX('Raw TRI Data'!$A:$A,MATCH(1,($E94='Raw TRI Data'!$J:$J)*(S94='Raw TRI Data'!$S:$S),0)), "N/A - Facility Does Not Report to TRI")</f>
        <v>2015</v>
      </c>
      <c r="V94" s="156" t="str" cm="1">
        <f t="array" ref="V94">IF(COUNTIFS('Raw Annual DMR Data'!$L:$L,$F94,'Raw Annual DMR Data'!$U:$U,"&gt;0")&gt;0,MEDIAN(IF('Raw Annual DMR Data'!$L:$L=$F94,'Raw Annual DMR Data'!$U:$U,"")),"N/A - Period DMR Data Not Available")</f>
        <v>N/A - Period DMR Data Not Available</v>
      </c>
      <c r="W94" s="156" t="str">
        <f>IF(COUNTIFS('Raw Annual DMR Data'!$L:$L,$F94, 'Raw Annual DMR Data'!$U:$U, "&gt;0")&gt;0,_xlfn.MAXIFS('Raw Annual DMR Data'!$U:$U,'Raw Annual DMR Data'!$L:$L,$F94), "N/A - Period DMR Data Not Available")</f>
        <v>N/A - Period DMR Data Not Available</v>
      </c>
      <c r="X94" s="113" t="str" cm="1">
        <f t="array" ref="X94">+IF(COUNTIFS('Raw Annual DMR Data'!L:L,$F94, 'Raw Annual DMR Data'!U:U, "&gt;0")&gt;0,INDEX('Raw Annual DMR Data'!V:V,MATCH(1,($F94='Raw Annual DMR Data'!L:L)*($W94='Raw Annual DMR Data'!U:U),0)), "N/A - Period DMR Data Not Available")</f>
        <v>N/A - Period DMR Data Not Available</v>
      </c>
      <c r="Y94" s="113" t="str" cm="1">
        <f t="array" ref="Y94">IF(COUNTIFS('Raw Annual DMR Data'!L:L,$F94, 'Raw Annual DMR Data'!U:U, "&gt;0")&gt;0,INDEX('Raw Annual DMR Data'!B:B,MATCH(1,($F94='Raw Annual DMR Data'!L:L)*($W94='Raw Annual DMR Data'!U:U),0)), "N/A - Period DMR Data Not Available")</f>
        <v>N/A - Period DMR Data Not Available</v>
      </c>
      <c r="Z94" s="311" t="e" cm="1">
        <f t="array" ref="Z94">IF(COUNTIF('Raw Annual DMR Data'!K:K,$E94)&gt;0,"N/A - See DMRs",IF(SUMIFS('Raw TRI Data'!$Z:$Z,'Raw TRI Data'!$J:$J,$E94)&gt;0,MEDIAN(IF('Raw TRI Data'!$J:$J=$E94,'Raw TRI Data'!$Z:$Z)), "N/A - Facility Does Not Report to TRI, no surface water releases, or no Generic Factors available"))</f>
        <v>#N/A</v>
      </c>
      <c r="AA94" s="156" t="e">
        <f>IF(COUNTIF('Raw Annual DMR Data'!K:K,$E94)&gt;0,"N/A - See DMRs",IF(SUMIFS('Raw TRI Data'!$Z:$Z,'Raw TRI Data'!$J:$J,$E94)&gt;0,_xlfn.MAXIFS('Raw TRI Data'!$Z:$Z,'Raw TRI Data'!$J:$J,$E94), "N/A - Facility Does Not Report to TRI, no surface water releases, or no Generic Factors available"))</f>
        <v>#N/A</v>
      </c>
      <c r="AB94" s="113" t="str">
        <f t="shared" si="13"/>
        <v>N/A</v>
      </c>
      <c r="AC94" s="136" t="e" cm="1">
        <f t="array" ref="AC94">IF(COUNTIF('Raw Annual DMR Data'!K:K,$E94)&gt;0,"N/A - See DMRs",IF(SUMIFS('Raw TRI Data'!$Z:$Z,'Raw TRI Data'!$J:$J,$E94)&gt;0,INDEX('Raw TRI Data'!$A:$A,MATCH(1,($E94='Raw TRI Data'!$J:$J)*($AA94='Raw TRI Data'!$Z:$Z),0)), "N/A - Facility Does Not Report to TRI, no surface water releases, or no Generic Factors available"))</f>
        <v>#N/A</v>
      </c>
      <c r="AD94" s="96" t="str" cm="1">
        <f t="array" ref="AD94">IF(COUNTIFS('Raw Annual DMR Data'!L:L,$F94,'Raw Annual DMR Data'!W:W, "&gt;0")&gt;0,MEDIAN(IF('Raw Annual DMR Data'!K:K=$F94, 'Raw Annual DMR Data'!W:W)), "N/A - No Daily Max DMR Discharge Data")</f>
        <v>N/A - No Daily Max DMR Discharge Data</v>
      </c>
      <c r="AE94" s="96" t="str">
        <f>IF(COUNTIFS('Raw Annual DMR Data'!L:L,$F94,'Raw Annual DMR Data'!W:W, "&gt;0")&gt;0,_xlfn.MAXIFS('Raw Annual DMR Data'!W:W,'Raw Annual DMR Data'!L:L,$F94), "N/A - No Daily Max DMR Discharge Data")</f>
        <v>N/A - No Daily Max DMR Discharge Data</v>
      </c>
      <c r="AF94" s="60" t="str" cm="1">
        <f t="array" ref="AF94">IF(COUNTIFS('Raw Annual DMR Data'!L:L,$F94,'Raw Annual DMR Data'!W:W, "&gt;0")&gt;0,INDEX('Raw Annual DMR Data'!B:B,MATCH(1,($F94='Raw Annual DMR Data'!L:L)*($AE94='Raw Annual DMR Data'!W:W),0)), "N/A - No Daily Max DMR Discharge Data")</f>
        <v>N/A - No Daily Max DMR Discharge Data</v>
      </c>
    </row>
    <row r="95" spans="1:32" ht="30.75" thickBot="1" x14ac:dyDescent="0.3">
      <c r="A95" s="144" t="str">
        <f>VLOOKUP(F95,'Facility Summary'!J:K,2,FALSE)</f>
        <v>Remediation</v>
      </c>
      <c r="B95" s="28" t="s">
        <v>176</v>
      </c>
      <c r="C95" s="28" t="s">
        <v>578</v>
      </c>
      <c r="D95" s="28" t="s">
        <v>450</v>
      </c>
      <c r="E95" s="60" t="s">
        <v>579</v>
      </c>
      <c r="F95" s="74">
        <v>110000327361</v>
      </c>
      <c r="G95" s="74" t="s">
        <v>908</v>
      </c>
      <c r="H95" s="28" t="s">
        <v>909</v>
      </c>
      <c r="I95" s="74">
        <v>4120104000901</v>
      </c>
      <c r="J95" s="74" t="s">
        <v>265</v>
      </c>
      <c r="K95" s="60">
        <f>VLOOKUP(A95, 'OES Summary'!$A:$B, 2, FALSE)</f>
        <v>365</v>
      </c>
      <c r="L95" s="304" cm="1">
        <f t="array" ref="L95">IF(COUNTIF('Raw Annual DMR Data'!$L:$L,$F95)&gt;0,MEDIAN(IF('Raw Annual DMR Data'!$L:$L=F95,'Raw Annual DMR Data'!$S:$S)),"N/A - Facility Does Not Report DMRs")</f>
        <v>1.08843537414965</v>
      </c>
      <c r="M95" s="156">
        <f t="shared" si="11"/>
        <v>2.9820147236976711E-3</v>
      </c>
      <c r="N95" s="156">
        <f>IF(COUNTIF('Raw Annual DMR Data'!$L:$L,$F95)&gt;0,_xlfn.MAXIFS('Raw Annual DMR Data'!$S:$S,'Raw Annual DMR Data'!$L:$L,$F95), "N/A - Facility Does Not Report DMRs")</f>
        <v>1.08843537414965</v>
      </c>
      <c r="O95" s="156">
        <f t="shared" si="12"/>
        <v>2.9820147236976711E-3</v>
      </c>
      <c r="P95" s="113" cm="1">
        <f t="array" ref="P95">IF(COUNTIF('Raw Annual DMR Data'!$L:$L,$F95)&gt;0,INDEX('Raw Annual DMR Data'!$B:$B,MATCH(1,($F95='Raw Annual DMR Data'!$L:$L)*($N95='Raw Annual DMR Data'!$S:$S),0)), "N/A - Facility Does Not Report DMRs")</f>
        <v>2018</v>
      </c>
      <c r="Q95" s="304" t="str" cm="1">
        <f t="array" ref="Q95">IF(COUNTIF('Raw TRI Data'!$J:$J,$E95)&gt;0,MEDIAN(IF('Raw TRI Data'!$J:$J=E95,'Raw TRI Data'!$S:$S)), "N/A - Facility Does Not Report to TRI")</f>
        <v>N/A - Facility Does Not Report to TRI</v>
      </c>
      <c r="R95" s="156" t="str">
        <f t="shared" si="9"/>
        <v>N/A - Facility Does Not Report to TRI</v>
      </c>
      <c r="S95" s="156" t="str">
        <f>IF(COUNTIF('Raw TRI Data'!$J:$J,$E95)&gt;0,_xlfn.MAXIFS('Raw TRI Data'!$S:$S,'Raw TRI Data'!$J:$J,$E95), "N/A - Facility Does Not Report to TRI")</f>
        <v>N/A - Facility Does Not Report to TRI</v>
      </c>
      <c r="T95" s="156" t="str">
        <f t="shared" si="10"/>
        <v>N/A - Facility Does Not Report to TRI</v>
      </c>
      <c r="U95" s="136" t="str" cm="1">
        <f t="array" ref="U95">IF(COUNTIF('Raw TRI Data'!$J:$J,$E95)&gt;0,INDEX('Raw TRI Data'!$A:$A,MATCH(1,($E95='Raw TRI Data'!$J:$J)*(S95='Raw TRI Data'!$S:$S),0)), "N/A - Facility Does Not Report to TRI")</f>
        <v>N/A - Facility Does Not Report to TRI</v>
      </c>
      <c r="V95" s="156" t="str" cm="1">
        <f t="array" ref="V95">IF(COUNTIFS('Raw Annual DMR Data'!$L:$L,$F95,'Raw Annual DMR Data'!$U:$U,"&gt;0")&gt;0,MEDIAN(IF('Raw Annual DMR Data'!$L:$L=$F95,'Raw Annual DMR Data'!$U:$U,"")),"N/A - Period DMR Data Not Available")</f>
        <v>N/A - Period DMR Data Not Available</v>
      </c>
      <c r="W95" s="156" t="str">
        <f>IF(COUNTIFS('Raw Annual DMR Data'!$L:$L,$F95, 'Raw Annual DMR Data'!$U:$U, "&gt;0")&gt;0,_xlfn.MAXIFS('Raw Annual DMR Data'!$U:$U,'Raw Annual DMR Data'!$L:$L,$F95), "N/A - Period DMR Data Not Available")</f>
        <v>N/A - Period DMR Data Not Available</v>
      </c>
      <c r="X95" s="113" t="str" cm="1">
        <f t="array" ref="X95">+IF(COUNTIFS('Raw Annual DMR Data'!L:L,$F95, 'Raw Annual DMR Data'!U:U, "&gt;0")&gt;0,INDEX('Raw Annual DMR Data'!V:V,MATCH(1,($F95='Raw Annual DMR Data'!L:L)*($W95='Raw Annual DMR Data'!U:U),0)), "N/A - Period DMR Data Not Available")</f>
        <v>N/A - Period DMR Data Not Available</v>
      </c>
      <c r="Y95" s="113" t="str" cm="1">
        <f t="array" ref="Y95">IF(COUNTIFS('Raw Annual DMR Data'!L:L,$F95, 'Raw Annual DMR Data'!U:U, "&gt;0")&gt;0,INDEX('Raw Annual DMR Data'!B:B,MATCH(1,($F95='Raw Annual DMR Data'!L:L)*($W95='Raw Annual DMR Data'!U:U),0)), "N/A - Period DMR Data Not Available")</f>
        <v>N/A - Period DMR Data Not Available</v>
      </c>
      <c r="Z95" s="311" t="str" cm="1">
        <f t="array" ref="Z95">IF(COUNTIF('Raw Annual DMR Data'!K:K,$E95)&gt;0,"N/A - See DMRs",IF(SUMIFS('Raw TRI Data'!$Z:$Z,'Raw TRI Data'!$J:$J,$E95)&gt;0,MEDIAN(IF('Raw TRI Data'!$J:$J=$E95,'Raw TRI Data'!$Z:$Z)), "N/A - Facility Does Not Report to TRI, no surface water releases, or no Generic Factors available"))</f>
        <v>N/A - See DMRs</v>
      </c>
      <c r="AA95" s="156" t="str">
        <f>IF(COUNTIF('Raw Annual DMR Data'!K:K,$E95)&gt;0,"N/A - See DMRs",IF(SUMIFS('Raw TRI Data'!$Z:$Z,'Raw TRI Data'!$J:$J,$E95)&gt;0,_xlfn.MAXIFS('Raw TRI Data'!$Z:$Z,'Raw TRI Data'!$J:$J,$E95), "N/A - Facility Does Not Report to TRI, no surface water releases, or no Generic Factors available"))</f>
        <v>N/A - See DMRs</v>
      </c>
      <c r="AB95" s="113" t="str">
        <f t="shared" si="13"/>
        <v>N/A</v>
      </c>
      <c r="AC95" s="136" t="str" cm="1">
        <f t="array" ref="AC95">IF(COUNTIF('Raw Annual DMR Data'!K:K,$E95)&gt;0,"N/A - See DMRs",IF(SUMIFS('Raw TRI Data'!$Z:$Z,'Raw TRI Data'!$J:$J,$E95)&gt;0,INDEX('Raw TRI Data'!$A:$A,MATCH(1,($E95='Raw TRI Data'!$J:$J)*($AA95='Raw TRI Data'!$Z:$Z),0)), "N/A - Facility Does Not Report to TRI, no surface water releases, or no Generic Factors available"))</f>
        <v>N/A - See DMRs</v>
      </c>
      <c r="AD95" s="96" t="str" cm="1">
        <f t="array" ref="AD95">IF(COUNTIFS('Raw Annual DMR Data'!L:L,$F95,'Raw Annual DMR Data'!W:W, "&gt;0")&gt;0,MEDIAN(IF('Raw Annual DMR Data'!K:K=$F95, 'Raw Annual DMR Data'!W:W)), "N/A - No Daily Max DMR Discharge Data")</f>
        <v>N/A - No Daily Max DMR Discharge Data</v>
      </c>
      <c r="AE95" s="96" t="str">
        <f>IF(COUNTIFS('Raw Annual DMR Data'!L:L,$F95,'Raw Annual DMR Data'!W:W, "&gt;0")&gt;0,_xlfn.MAXIFS('Raw Annual DMR Data'!W:W,'Raw Annual DMR Data'!L:L,$F95), "N/A - No Daily Max DMR Discharge Data")</f>
        <v>N/A - No Daily Max DMR Discharge Data</v>
      </c>
      <c r="AF95" s="60" t="str" cm="1">
        <f t="array" ref="AF95">IF(COUNTIFS('Raw Annual DMR Data'!L:L,$F95,'Raw Annual DMR Data'!W:W, "&gt;0")&gt;0,INDEX('Raw Annual DMR Data'!B:B,MATCH(1,($F95='Raw Annual DMR Data'!L:L)*($AE95='Raw Annual DMR Data'!W:W),0)), "N/A - No Daily Max DMR Discharge Data")</f>
        <v>N/A - No Daily Max DMR Discharge Data</v>
      </c>
    </row>
    <row r="96" spans="1:32" ht="30.75" thickBot="1" x14ac:dyDescent="0.3">
      <c r="A96" s="144" t="str">
        <f>VLOOKUP(F96,'Facility Summary'!J:K,2,FALSE)</f>
        <v>Manufacturing</v>
      </c>
      <c r="B96" s="28" t="s">
        <v>177</v>
      </c>
      <c r="C96" s="28" t="s">
        <v>582</v>
      </c>
      <c r="D96" s="28" t="s">
        <v>362</v>
      </c>
      <c r="E96" s="60" t="s">
        <v>583</v>
      </c>
      <c r="F96" s="74">
        <v>110000599807</v>
      </c>
      <c r="G96" s="74" t="s">
        <v>910</v>
      </c>
      <c r="H96" s="28" t="s">
        <v>911</v>
      </c>
      <c r="I96" s="74">
        <v>12110201000002</v>
      </c>
      <c r="J96" s="74" t="s">
        <v>265</v>
      </c>
      <c r="K96" s="60">
        <f>VLOOKUP(A96, 'OES Summary'!$A:$B, 2, FALSE)</f>
        <v>350</v>
      </c>
      <c r="L96" s="304" cm="1">
        <f t="array" ref="L96">IF(COUNTIF('Raw Annual DMR Data'!$L:$L,$F96)&gt;0,MEDIAN(IF('Raw Annual DMR Data'!$L:$L=F96,'Raw Annual DMR Data'!$S:$S)),"N/A - Facility Does Not Report DMRs")</f>
        <v>50.598639455782298</v>
      </c>
      <c r="M96" s="156">
        <f t="shared" si="11"/>
        <v>0.14456754130223515</v>
      </c>
      <c r="N96" s="156">
        <f>IF(COUNTIF('Raw Annual DMR Data'!$L:$L,$F96)&gt;0,_xlfn.MAXIFS('Raw Annual DMR Data'!$S:$S,'Raw Annual DMR Data'!$L:$L,$F96), "N/A - Facility Does Not Report DMRs")</f>
        <v>76.734693877550995</v>
      </c>
      <c r="O96" s="156">
        <f t="shared" si="12"/>
        <v>0.21924198250728855</v>
      </c>
      <c r="P96" s="113" cm="1">
        <f t="array" ref="P96">IF(COUNTIF('Raw Annual DMR Data'!$L:$L,$F96)&gt;0,INDEX('Raw Annual DMR Data'!$B:$B,MATCH(1,($F96='Raw Annual DMR Data'!$L:$L)*($N96='Raw Annual DMR Data'!$S:$S),0)), "N/A - Facility Does Not Report DMRs")</f>
        <v>2017</v>
      </c>
      <c r="Q96" s="304" cm="1">
        <f t="array" ref="Q96">IF(COUNTIF('Raw TRI Data'!$J:$J,$E96)&gt;0,MEDIAN(IF('Raw TRI Data'!$J:$J=E96,'Raw TRI Data'!$S:$S)), "N/A - Facility Does Not Report to TRI")</f>
        <v>1.8143694800000001</v>
      </c>
      <c r="R96" s="156">
        <f t="shared" si="9"/>
        <v>5.1839128E-3</v>
      </c>
      <c r="S96" s="156">
        <f>IF(COUNTIF('Raw TRI Data'!$J:$J,$E96)&gt;0,_xlfn.MAXIFS('Raw TRI Data'!$S:$S,'Raw TRI Data'!$J:$J,$E96), "N/A - Facility Does Not Report to TRI")</f>
        <v>107.50139169000001</v>
      </c>
      <c r="T96" s="156">
        <f t="shared" si="10"/>
        <v>0.30714683340000004</v>
      </c>
      <c r="U96" s="136" cm="1">
        <f t="array" ref="U96">IF(COUNTIF('Raw TRI Data'!$J:$J,$E96)&gt;0,INDEX('Raw TRI Data'!$A:$A,MATCH(1,($E96='Raw TRI Data'!$J:$J)*(S96='Raw TRI Data'!$S:$S),0)), "N/A - Facility Does Not Report to TRI")</f>
        <v>2022</v>
      </c>
      <c r="V96" s="156" t="str" cm="1">
        <f t="array" ref="V96">IF(COUNTIFS('Raw Annual DMR Data'!$L:$L,$F96,'Raw Annual DMR Data'!$U:$U,"&gt;0")&gt;0,MEDIAN(IF('Raw Annual DMR Data'!$L:$L=$F96,'Raw Annual DMR Data'!$U:$U,"")),"N/A - Period DMR Data Not Available")</f>
        <v>N/A - Period DMR Data Not Available</v>
      </c>
      <c r="W96" s="156" t="str">
        <f>IF(COUNTIFS('Raw Annual DMR Data'!$L:$L,$F96, 'Raw Annual DMR Data'!$U:$U, "&gt;0")&gt;0,_xlfn.MAXIFS('Raw Annual DMR Data'!$U:$U,'Raw Annual DMR Data'!$L:$L,$F96), "N/A - Period DMR Data Not Available")</f>
        <v>N/A - Period DMR Data Not Available</v>
      </c>
      <c r="X96" s="113" t="str" cm="1">
        <f t="array" ref="X96">+IF(COUNTIFS('Raw Annual DMR Data'!L:L,$F96, 'Raw Annual DMR Data'!U:U, "&gt;0")&gt;0,INDEX('Raw Annual DMR Data'!V:V,MATCH(1,($F96='Raw Annual DMR Data'!L:L)*($W96='Raw Annual DMR Data'!U:U),0)), "N/A - Period DMR Data Not Available")</f>
        <v>N/A - Period DMR Data Not Available</v>
      </c>
      <c r="Y96" s="113" t="str" cm="1">
        <f t="array" ref="Y96">IF(COUNTIFS('Raw Annual DMR Data'!L:L,$F96, 'Raw Annual DMR Data'!U:U, "&gt;0")&gt;0,INDEX('Raw Annual DMR Data'!B:B,MATCH(1,($F96='Raw Annual DMR Data'!L:L)*($W96='Raw Annual DMR Data'!U:U),0)), "N/A - Period DMR Data Not Available")</f>
        <v>N/A - Period DMR Data Not Available</v>
      </c>
      <c r="Z96" s="311" t="str" cm="1">
        <f t="array" ref="Z96">IF(COUNTIF('Raw Annual DMR Data'!K:K,$E96)&gt;0,"N/A - See DMRs",IF(SUMIFS('Raw TRI Data'!$Z:$Z,'Raw TRI Data'!$J:$J,$E96)&gt;0,MEDIAN(IF('Raw TRI Data'!$J:$J=$E96,'Raw TRI Data'!$Z:$Z)), "N/A - Facility Does Not Report to TRI, no surface water releases, or no Generic Factors available"))</f>
        <v>N/A - See DMRs</v>
      </c>
      <c r="AA96" s="156" t="str">
        <f>IF(COUNTIF('Raw Annual DMR Data'!K:K,$E96)&gt;0,"N/A - See DMRs",IF(SUMIFS('Raw TRI Data'!$Z:$Z,'Raw TRI Data'!$J:$J,$E96)&gt;0,_xlfn.MAXIFS('Raw TRI Data'!$Z:$Z,'Raw TRI Data'!$J:$J,$E96), "N/A - Facility Does Not Report to TRI, no surface water releases, or no Generic Factors available"))</f>
        <v>N/A - See DMRs</v>
      </c>
      <c r="AB96" s="113" t="str">
        <f t="shared" si="13"/>
        <v>N/A</v>
      </c>
      <c r="AC96" s="136" t="str" cm="1">
        <f t="array" ref="AC96">IF(COUNTIF('Raw Annual DMR Data'!K:K,$E96)&gt;0,"N/A - See DMRs",IF(SUMIFS('Raw TRI Data'!$Z:$Z,'Raw TRI Data'!$J:$J,$E96)&gt;0,INDEX('Raw TRI Data'!$A:$A,MATCH(1,($E96='Raw TRI Data'!$J:$J)*($AA96='Raw TRI Data'!$Z:$Z),0)), "N/A - Facility Does Not Report to TRI, no surface water releases, or no Generic Factors available"))</f>
        <v>N/A - See DMRs</v>
      </c>
      <c r="AD96" s="96" t="str" cm="1">
        <f t="array" ref="AD96">IF(COUNTIFS('Raw Annual DMR Data'!L:L,$F96,'Raw Annual DMR Data'!W:W, "&gt;0")&gt;0,MEDIAN(IF('Raw Annual DMR Data'!K:K=$F96, 'Raw Annual DMR Data'!W:W)), "N/A - No Daily Max DMR Discharge Data")</f>
        <v>N/A - No Daily Max DMR Discharge Data</v>
      </c>
      <c r="AE96" s="96" t="str">
        <f>IF(COUNTIFS('Raw Annual DMR Data'!L:L,$F96,'Raw Annual DMR Data'!W:W, "&gt;0")&gt;0,_xlfn.MAXIFS('Raw Annual DMR Data'!W:W,'Raw Annual DMR Data'!L:L,$F96), "N/A - No Daily Max DMR Discharge Data")</f>
        <v>N/A - No Daily Max DMR Discharge Data</v>
      </c>
      <c r="AF96" s="60" t="str" cm="1">
        <f t="array" ref="AF96">IF(COUNTIFS('Raw Annual DMR Data'!L:L,$F96,'Raw Annual DMR Data'!W:W, "&gt;0")&gt;0,INDEX('Raw Annual DMR Data'!B:B,MATCH(1,($F96='Raw Annual DMR Data'!L:L)*($AE96='Raw Annual DMR Data'!W:W),0)), "N/A - No Daily Max DMR Discharge Data")</f>
        <v>N/A - No Daily Max DMR Discharge Data</v>
      </c>
    </row>
    <row r="97" spans="1:32" ht="15.75" thickBot="1" x14ac:dyDescent="0.3">
      <c r="A97" s="144" t="str">
        <f>VLOOKUP(F97,'Facility Summary'!J:K,2,FALSE)</f>
        <v>Manufacturing</v>
      </c>
      <c r="B97" s="28" t="s">
        <v>178</v>
      </c>
      <c r="C97" s="28" t="s">
        <v>516</v>
      </c>
      <c r="D97" s="28" t="s">
        <v>303</v>
      </c>
      <c r="E97" s="60" t="s">
        <v>585</v>
      </c>
      <c r="F97" s="74">
        <v>110000449774</v>
      </c>
      <c r="G97" s="74" t="s">
        <v>912</v>
      </c>
      <c r="H97" s="28">
        <v>701</v>
      </c>
      <c r="I97" s="74">
        <v>8090302006735</v>
      </c>
      <c r="J97" s="74" t="s">
        <v>265</v>
      </c>
      <c r="K97" s="60">
        <f>VLOOKUP(A97, 'OES Summary'!$A:$B, 2, FALSE)</f>
        <v>350</v>
      </c>
      <c r="L97" s="304" cm="1">
        <f t="array" ref="L97">IF(COUNTIF('Raw Annual DMR Data'!$L:$L,$F97)&gt;0,MEDIAN(IF('Raw Annual DMR Data'!$L:$L=F97,'Raw Annual DMR Data'!$S:$S)),"N/A - Facility Does Not Report DMRs")</f>
        <v>25.306122448979501</v>
      </c>
      <c r="M97" s="156">
        <f t="shared" si="11"/>
        <v>7.2303206997084285E-2</v>
      </c>
      <c r="N97" s="156">
        <f>IF(COUNTIF('Raw Annual DMR Data'!$L:$L,$F97)&gt;0,_xlfn.MAXIFS('Raw Annual DMR Data'!$S:$S,'Raw Annual DMR Data'!$L:$L,$F97), "N/A - Facility Does Not Report DMRs")</f>
        <v>94.693877551020407</v>
      </c>
      <c r="O97" s="156">
        <f t="shared" si="12"/>
        <v>0.27055393586005833</v>
      </c>
      <c r="P97" s="113" cm="1">
        <f t="array" ref="P97">IF(COUNTIF('Raw Annual DMR Data'!$L:$L,$F97)&gt;0,INDEX('Raw Annual DMR Data'!$B:$B,MATCH(1,($F97='Raw Annual DMR Data'!$L:$L)*($N97='Raw Annual DMR Data'!$S:$S),0)), "N/A - Facility Does Not Report DMRs")</f>
        <v>2020</v>
      </c>
      <c r="Q97" s="304" cm="1">
        <f t="array" ref="Q97">IF(COUNTIF('Raw TRI Data'!$J:$J,$E97)&gt;0,MEDIAN(IF('Raw TRI Data'!$J:$J=E97,'Raw TRI Data'!$S:$S)), "N/A - Facility Does Not Report to TRI")</f>
        <v>6.1439086516500003</v>
      </c>
      <c r="R97" s="156">
        <f t="shared" si="9"/>
        <v>1.7554024719E-2</v>
      </c>
      <c r="S97" s="156">
        <f>IF(COUNTIF('Raw TRI Data'!$J:$J,$E97)&gt;0,_xlfn.MAXIFS('Raw TRI Data'!$S:$S,'Raw TRI Data'!$J:$J,$E97), "N/A - Facility Does Not Report to TRI")</f>
        <v>17.69010243</v>
      </c>
      <c r="T97" s="156">
        <f t="shared" si="10"/>
        <v>5.0543149799999999E-2</v>
      </c>
      <c r="U97" s="136" cm="1">
        <f t="array" ref="U97">IF(COUNTIF('Raw TRI Data'!$J:$J,$E97)&gt;0,INDEX('Raw TRI Data'!$A:$A,MATCH(1,($E97='Raw TRI Data'!$J:$J)*(S97='Raw TRI Data'!$S:$S),0)), "N/A - Facility Does Not Report to TRI")</f>
        <v>2022</v>
      </c>
      <c r="V97" s="156" cm="1">
        <f t="array" ref="V97">IF(COUNTIFS('Raw Annual DMR Data'!$L:$L,$F97,'Raw Annual DMR Data'!$U:$U,"&gt;0")&gt;0,MEDIAN(IF('Raw Annual DMR Data'!$L:$L=$F97,'Raw Annual DMR Data'!$U:$U,"")),"N/A - Period DMR Data Not Available")</f>
        <v>0.33050619999999997</v>
      </c>
      <c r="W97" s="156">
        <f>IF(COUNTIFS('Raw Annual DMR Data'!$L:$L,$F97, 'Raw Annual DMR Data'!$U:$U, "&gt;0")&gt;0,_xlfn.MAXIFS('Raw Annual DMR Data'!$U:$U,'Raw Annual DMR Data'!$L:$L,$F97), "N/A - Period DMR Data Not Available")</f>
        <v>0.33050619999999997</v>
      </c>
      <c r="X97" s="113" cm="1">
        <f t="array" ref="X97">+IF(COUNTIFS('Raw Annual DMR Data'!L:L,$F97, 'Raw Annual DMR Data'!U:U, "&gt;0")&gt;0,INDEX('Raw Annual DMR Data'!V:V,MATCH(1,($F97='Raw Annual DMR Data'!L:L)*($W97='Raw Annual DMR Data'!U:U),0)), "N/A - Period DMR Data Not Available")</f>
        <v>31</v>
      </c>
      <c r="Y97" s="113" cm="1">
        <f t="array" ref="Y97">IF(COUNTIFS('Raw Annual DMR Data'!L:L,$F97, 'Raw Annual DMR Data'!U:U, "&gt;0")&gt;0,INDEX('Raw Annual DMR Data'!B:B,MATCH(1,($F97='Raw Annual DMR Data'!L:L)*($W97='Raw Annual DMR Data'!U:U),0)), "N/A - Period DMR Data Not Available")</f>
        <v>2018</v>
      </c>
      <c r="Z97" s="311" t="str" cm="1">
        <f t="array" ref="Z97">IF(COUNTIF('Raw Annual DMR Data'!K:K,$E97)&gt;0,"N/A - See DMRs",IF(SUMIFS('Raw TRI Data'!$Z:$Z,'Raw TRI Data'!$J:$J,$E97)&gt;0,MEDIAN(IF('Raw TRI Data'!$J:$J=$E97,'Raw TRI Data'!$Z:$Z)), "N/A - Facility Does Not Report to TRI, no surface water releases, or no Generic Factors available"))</f>
        <v>N/A - See DMRs</v>
      </c>
      <c r="AA97" s="156" t="str">
        <f>IF(COUNTIF('Raw Annual DMR Data'!K:K,$E97)&gt;0,"N/A - See DMRs",IF(SUMIFS('Raw TRI Data'!$Z:$Z,'Raw TRI Data'!$J:$J,$E97)&gt;0,_xlfn.MAXIFS('Raw TRI Data'!$Z:$Z,'Raw TRI Data'!$J:$J,$E97), "N/A - Facility Does Not Report to TRI, no surface water releases, or no Generic Factors available"))</f>
        <v>N/A - See DMRs</v>
      </c>
      <c r="AB97" s="113" t="str">
        <f t="shared" si="13"/>
        <v>N/A</v>
      </c>
      <c r="AC97" s="136" t="str" cm="1">
        <f t="array" ref="AC97">IF(COUNTIF('Raw Annual DMR Data'!K:K,$E97)&gt;0,"N/A - See DMRs",IF(SUMIFS('Raw TRI Data'!$Z:$Z,'Raw TRI Data'!$J:$J,$E97)&gt;0,INDEX('Raw TRI Data'!$A:$A,MATCH(1,($E97='Raw TRI Data'!$J:$J)*($AA97='Raw TRI Data'!$Z:$Z),0)), "N/A - Facility Does Not Report to TRI, no surface water releases, or no Generic Factors available"))</f>
        <v>N/A - See DMRs</v>
      </c>
      <c r="AD97" s="96" t="e" cm="1">
        <f t="array" ref="AD97">IF(COUNTIFS('Raw Annual DMR Data'!L:L,$F97,'Raw Annual DMR Data'!W:W, "&gt;0")&gt;0,MEDIAN(IF('Raw Annual DMR Data'!K:K=$F97, 'Raw Annual DMR Data'!W:W)), "N/A - No Daily Max DMR Discharge Data")</f>
        <v>#NUM!</v>
      </c>
      <c r="AE97" s="96">
        <f>IF(COUNTIFS('Raw Annual DMR Data'!L:L,$F97,'Raw Annual DMR Data'!W:W, "&gt;0")&gt;0,_xlfn.MAXIFS('Raw Annual DMR Data'!W:W,'Raw Annual DMR Data'!L:L,$F97), "N/A - No Daily Max DMR Discharge Data")</f>
        <v>0.35730400000000001</v>
      </c>
      <c r="AF97" s="60" cm="1">
        <f t="array" ref="AF97">IF(COUNTIFS('Raw Annual DMR Data'!L:L,$F97,'Raw Annual DMR Data'!W:W, "&gt;0")&gt;0,INDEX('Raw Annual DMR Data'!B:B,MATCH(1,($F97='Raw Annual DMR Data'!L:L)*($AE97='Raw Annual DMR Data'!W:W),0)), "N/A - No Daily Max DMR Discharge Data")</f>
        <v>2018</v>
      </c>
    </row>
    <row r="98" spans="1:32" ht="30.75" thickBot="1" x14ac:dyDescent="0.3">
      <c r="A98" s="144" t="str">
        <f>VLOOKUP(F98,'Facility Summary'!J:K,2,FALSE)</f>
        <v>Manufacturing</v>
      </c>
      <c r="B98" s="28" t="s">
        <v>216</v>
      </c>
      <c r="C98" s="28" t="s">
        <v>587</v>
      </c>
      <c r="D98" s="28" t="s">
        <v>303</v>
      </c>
      <c r="E98" s="60" t="s">
        <v>588</v>
      </c>
      <c r="F98" s="74">
        <v>110000597328</v>
      </c>
      <c r="G98" s="74" t="s">
        <v>295</v>
      </c>
      <c r="H98" s="28" t="s">
        <v>295</v>
      </c>
      <c r="I98" s="74" t="s">
        <v>295</v>
      </c>
      <c r="J98" s="74" t="s">
        <v>265</v>
      </c>
      <c r="K98" s="60">
        <f>VLOOKUP(A98, 'OES Summary'!$A:$B, 2, FALSE)</f>
        <v>350</v>
      </c>
      <c r="L98" s="304" t="str" cm="1">
        <f t="array" ref="L98">IF(COUNTIF('Raw Annual DMR Data'!$L:$L,$F98)&gt;0,MEDIAN(IF('Raw Annual DMR Data'!$L:$L=F98,'Raw Annual DMR Data'!$S:$S)),"N/A - Facility Does Not Report DMRs")</f>
        <v>N/A - Facility Does Not Report DMRs</v>
      </c>
      <c r="M98" s="156" t="str">
        <f t="shared" si="11"/>
        <v>N/A - Facility Does Not Report DMRs</v>
      </c>
      <c r="N98" s="156" t="str">
        <f>IF(COUNTIF('Raw Annual DMR Data'!$L:$L,$F98)&gt;0,_xlfn.MAXIFS('Raw Annual DMR Data'!$S:$S,'Raw Annual DMR Data'!$L:$L,$F98), "N/A - Facility Does Not Report DMRs")</f>
        <v>N/A - Facility Does Not Report DMRs</v>
      </c>
      <c r="O98" s="156" t="str">
        <f t="shared" si="12"/>
        <v>N/A - Facility Does Not Report DMRs</v>
      </c>
      <c r="P98" s="113" t="str" cm="1">
        <f t="array" ref="P98">IF(COUNTIF('Raw Annual DMR Data'!$L:$L,$F98)&gt;0,INDEX('Raw Annual DMR Data'!$B:$B,MATCH(1,($F98='Raw Annual DMR Data'!$L:$L)*($N98='Raw Annual DMR Data'!$S:$S),0)), "N/A - Facility Does Not Report DMRs")</f>
        <v>N/A - Facility Does Not Report DMRs</v>
      </c>
      <c r="Q98" s="304" cm="1">
        <f t="array" ref="Q98">IF(COUNTIF('Raw TRI Data'!$J:$J,$E98)&gt;0,MEDIAN(IF('Raw TRI Data'!$J:$J=E98,'Raw TRI Data'!$S:$S)), "N/A - Facility Does Not Report to TRI")</f>
        <v>0.51255937810000007</v>
      </c>
      <c r="R98" s="156">
        <f t="shared" si="9"/>
        <v>1.4644553660000002E-3</v>
      </c>
      <c r="S98" s="156">
        <f>IF(COUNTIF('Raw TRI Data'!$J:$J,$E98)&gt;0,_xlfn.MAXIFS('Raw TRI Data'!$S:$S,'Raw TRI Data'!$J:$J,$E98), "N/A - Facility Does Not Report to TRI")</f>
        <v>11.33980925</v>
      </c>
      <c r="T98" s="156">
        <f t="shared" si="10"/>
        <v>3.2399455000000001E-2</v>
      </c>
      <c r="U98" s="136" cm="1">
        <f t="array" ref="U98">IF(COUNTIF('Raw TRI Data'!$J:$J,$E98)&gt;0,INDEX('Raw TRI Data'!$A:$A,MATCH(1,($E98='Raw TRI Data'!$J:$J)*(S98='Raw TRI Data'!$S:$S),0)), "N/A - Facility Does Not Report to TRI")</f>
        <v>2021</v>
      </c>
      <c r="V98" s="156" t="str" cm="1">
        <f t="array" ref="V98">IF(COUNTIFS('Raw Annual DMR Data'!$L:$L,$F98,'Raw Annual DMR Data'!$U:$U,"&gt;0")&gt;0,MEDIAN(IF('Raw Annual DMR Data'!$L:$L=$F98,'Raw Annual DMR Data'!$U:$U,"")),"N/A - Period DMR Data Not Available")</f>
        <v>N/A - Period DMR Data Not Available</v>
      </c>
      <c r="W98" s="156" t="str">
        <f>IF(COUNTIFS('Raw Annual DMR Data'!$L:$L,$F98, 'Raw Annual DMR Data'!$U:$U, "&gt;0")&gt;0,_xlfn.MAXIFS('Raw Annual DMR Data'!$U:$U,'Raw Annual DMR Data'!$L:$L,$F98), "N/A - Period DMR Data Not Available")</f>
        <v>N/A - Period DMR Data Not Available</v>
      </c>
      <c r="X98" s="113" t="str" cm="1">
        <f t="array" ref="X98">+IF(COUNTIFS('Raw Annual DMR Data'!L:L,$F98, 'Raw Annual DMR Data'!U:U, "&gt;0")&gt;0,INDEX('Raw Annual DMR Data'!V:V,MATCH(1,($F98='Raw Annual DMR Data'!L:L)*($W98='Raw Annual DMR Data'!U:U),0)), "N/A - Period DMR Data Not Available")</f>
        <v>N/A - Period DMR Data Not Available</v>
      </c>
      <c r="Y98" s="113" t="str" cm="1">
        <f t="array" ref="Y98">IF(COUNTIFS('Raw Annual DMR Data'!L:L,$F98, 'Raw Annual DMR Data'!U:U, "&gt;0")&gt;0,INDEX('Raw Annual DMR Data'!B:B,MATCH(1,($F98='Raw Annual DMR Data'!L:L)*($W98='Raw Annual DMR Data'!U:U),0)), "N/A - Period DMR Data Not Available")</f>
        <v>N/A - Period DMR Data Not Available</v>
      </c>
      <c r="Z98" s="311" t="e" cm="1">
        <f t="array" ref="Z98">IF(COUNTIF('Raw Annual DMR Data'!K:K,$E98)&gt;0,"N/A - See DMRs",IF(SUMIFS('Raw TRI Data'!$Z:$Z,'Raw TRI Data'!$J:$J,$E98)&gt;0,MEDIAN(IF('Raw TRI Data'!$J:$J=$E98,'Raw TRI Data'!$Z:$Z)), "N/A - Facility Does Not Report to TRI, no surface water releases, or no Generic Factors available"))</f>
        <v>#N/A</v>
      </c>
      <c r="AA98" s="156" t="e">
        <f>IF(COUNTIF('Raw Annual DMR Data'!K:K,$E98)&gt;0,"N/A - See DMRs",IF(SUMIFS('Raw TRI Data'!$Z:$Z,'Raw TRI Data'!$J:$J,$E98)&gt;0,_xlfn.MAXIFS('Raw TRI Data'!$Z:$Z,'Raw TRI Data'!$J:$J,$E98), "N/A - Facility Does Not Report to TRI, no surface water releases, or no Generic Factors available"))</f>
        <v>#N/A</v>
      </c>
      <c r="AB98" s="113" t="str">
        <f t="shared" si="13"/>
        <v>N/A</v>
      </c>
      <c r="AC98" s="136" t="e" cm="1">
        <f t="array" ref="AC98">IF(COUNTIF('Raw Annual DMR Data'!K:K,$E98)&gt;0,"N/A - See DMRs",IF(SUMIFS('Raw TRI Data'!$Z:$Z,'Raw TRI Data'!$J:$J,$E98)&gt;0,INDEX('Raw TRI Data'!$A:$A,MATCH(1,($E98='Raw TRI Data'!$J:$J)*($AA98='Raw TRI Data'!$Z:$Z),0)), "N/A - Facility Does Not Report to TRI, no surface water releases, or no Generic Factors available"))</f>
        <v>#N/A</v>
      </c>
      <c r="AD98" s="96" t="str" cm="1">
        <f t="array" ref="AD98">IF(COUNTIFS('Raw Annual DMR Data'!L:L,$F98,'Raw Annual DMR Data'!W:W, "&gt;0")&gt;0,MEDIAN(IF('Raw Annual DMR Data'!K:K=$F98, 'Raw Annual DMR Data'!W:W)), "N/A - No Daily Max DMR Discharge Data")</f>
        <v>N/A - No Daily Max DMR Discharge Data</v>
      </c>
      <c r="AE98" s="96" t="str">
        <f>IF(COUNTIFS('Raw Annual DMR Data'!L:L,$F98,'Raw Annual DMR Data'!W:W, "&gt;0")&gt;0,_xlfn.MAXIFS('Raw Annual DMR Data'!W:W,'Raw Annual DMR Data'!L:L,$F98), "N/A - No Daily Max DMR Discharge Data")</f>
        <v>N/A - No Daily Max DMR Discharge Data</v>
      </c>
      <c r="AF98" s="60" t="str" cm="1">
        <f t="array" ref="AF98">IF(COUNTIFS('Raw Annual DMR Data'!L:L,$F98,'Raw Annual DMR Data'!W:W, "&gt;0")&gt;0,INDEX('Raw Annual DMR Data'!B:B,MATCH(1,($F98='Raw Annual DMR Data'!L:L)*($AE98='Raw Annual DMR Data'!W:W),0)), "N/A - No Daily Max DMR Discharge Data")</f>
        <v>N/A - No Daily Max DMR Discharge Data</v>
      </c>
    </row>
    <row r="99" spans="1:32" ht="30.75" thickBot="1" x14ac:dyDescent="0.3">
      <c r="A99" s="144" t="str">
        <f>VLOOKUP(F99,'Facility Summary'!J:K,2,FALSE)</f>
        <v>Processing as a Reactant</v>
      </c>
      <c r="B99" s="28" t="s">
        <v>179</v>
      </c>
      <c r="C99" s="28" t="s">
        <v>590</v>
      </c>
      <c r="D99" s="28" t="s">
        <v>362</v>
      </c>
      <c r="E99" s="60" t="s">
        <v>591</v>
      </c>
      <c r="F99" s="74">
        <v>110043782788</v>
      </c>
      <c r="G99" s="74" t="s">
        <v>913</v>
      </c>
      <c r="H99" s="28" t="s">
        <v>914</v>
      </c>
      <c r="I99" s="74">
        <v>12040104000662</v>
      </c>
      <c r="J99" s="74" t="s">
        <v>265</v>
      </c>
      <c r="K99" s="60">
        <f>VLOOKUP(A99, 'OES Summary'!$A:$B, 2, FALSE)</f>
        <v>350</v>
      </c>
      <c r="L99" s="304" cm="1">
        <f t="array" ref="L99">IF(COUNTIF('Raw Annual DMR Data'!$L:$L,$F99)&gt;0,MEDIAN(IF('Raw Annual DMR Data'!$L:$L=F99,'Raw Annual DMR Data'!$S:$S)),"N/A - Facility Does Not Report DMRs")</f>
        <v>57.4163304</v>
      </c>
      <c r="M99" s="156">
        <f t="shared" si="11"/>
        <v>0.1640466582857143</v>
      </c>
      <c r="N99" s="156">
        <f>IF(COUNTIF('Raw Annual DMR Data'!$L:$L,$F99)&gt;0,_xlfn.MAXIFS('Raw Annual DMR Data'!$S:$S,'Raw Annual DMR Data'!$L:$L,$F99), "N/A - Facility Does Not Report DMRs")</f>
        <v>77.259987749999993</v>
      </c>
      <c r="O99" s="156">
        <f t="shared" si="12"/>
        <v>0.22074282214285712</v>
      </c>
      <c r="P99" s="113" cm="1">
        <f t="array" ref="P99">IF(COUNTIF('Raw Annual DMR Data'!$L:$L,$F99)&gt;0,INDEX('Raw Annual DMR Data'!$B:$B,MATCH(1,($F99='Raw Annual DMR Data'!$L:$L)*($N99='Raw Annual DMR Data'!$S:$S),0)), "N/A - Facility Does Not Report DMRs")</f>
        <v>2016</v>
      </c>
      <c r="Q99" s="304" t="str" cm="1">
        <f t="array" ref="Q99">IF(COUNTIF('Raw TRI Data'!$J:$J,$E99)&gt;0,MEDIAN(IF('Raw TRI Data'!$J:$J=E99,'Raw TRI Data'!$S:$S)), "N/A - Facility Does Not Report to TRI")</f>
        <v>N/A - Facility Does Not Report to TRI</v>
      </c>
      <c r="R99" s="156" t="str">
        <f t="shared" si="9"/>
        <v>N/A - Facility Does Not Report to TRI</v>
      </c>
      <c r="S99" s="156" t="str">
        <f>IF(COUNTIF('Raw TRI Data'!$J:$J,$E99)&gt;0,_xlfn.MAXIFS('Raw TRI Data'!$S:$S,'Raw TRI Data'!$J:$J,$E99), "N/A - Facility Does Not Report to TRI")</f>
        <v>N/A - Facility Does Not Report to TRI</v>
      </c>
      <c r="T99" s="156" t="str">
        <f t="shared" si="10"/>
        <v>N/A - Facility Does Not Report to TRI</v>
      </c>
      <c r="U99" s="136" t="str" cm="1">
        <f t="array" ref="U99">IF(COUNTIF('Raw TRI Data'!$J:$J,$E99)&gt;0,INDEX('Raw TRI Data'!$A:$A,MATCH(1,($E99='Raw TRI Data'!$J:$J)*(S99='Raw TRI Data'!$S:$S),0)), "N/A - Facility Does Not Report to TRI")</f>
        <v>N/A - Facility Does Not Report to TRI</v>
      </c>
      <c r="V99" s="156" cm="1">
        <f t="array" ref="V99">IF(COUNTIFS('Raw Annual DMR Data'!$L:$L,$F99,'Raw Annual DMR Data'!$U:$U,"&gt;0")&gt;0,MEDIAN(IF('Raw Annual DMR Data'!$L:$L=$F99,'Raw Annual DMR Data'!$U:$U,"")),"N/A - Period DMR Data Not Available")</f>
        <v>0.29522999999999999</v>
      </c>
      <c r="W99" s="156">
        <f>IF(COUNTIFS('Raw Annual DMR Data'!$L:$L,$F99, 'Raw Annual DMR Data'!$U:$U, "&gt;0")&gt;0,_xlfn.MAXIFS('Raw Annual DMR Data'!$U:$U,'Raw Annual DMR Data'!$L:$L,$F99), "N/A - Period DMR Data Not Available")</f>
        <v>0.37789440000000007</v>
      </c>
      <c r="X99" s="113" cm="1">
        <f t="array" ref="X99">+IF(COUNTIFS('Raw Annual DMR Data'!L:L,$F99, 'Raw Annual DMR Data'!U:U, "&gt;0")&gt;0,INDEX('Raw Annual DMR Data'!V:V,MATCH(1,($F99='Raw Annual DMR Data'!L:L)*($W99='Raw Annual DMR Data'!U:U),0)), "N/A - Period DMR Data Not Available")</f>
        <v>31</v>
      </c>
      <c r="Y99" s="113" cm="1">
        <f t="array" ref="Y99">IF(COUNTIFS('Raw Annual DMR Data'!L:L,$F99, 'Raw Annual DMR Data'!U:U, "&gt;0")&gt;0,INDEX('Raw Annual DMR Data'!B:B,MATCH(1,($F99='Raw Annual DMR Data'!L:L)*($W99='Raw Annual DMR Data'!U:U),0)), "N/A - Period DMR Data Not Available")</f>
        <v>2018</v>
      </c>
      <c r="Z99" s="311" t="str" cm="1">
        <f t="array" ref="Z99">IF(COUNTIF('Raw Annual DMR Data'!K:K,$E99)&gt;0,"N/A - See DMRs",IF(SUMIFS('Raw TRI Data'!$Z:$Z,'Raw TRI Data'!$J:$J,$E99)&gt;0,MEDIAN(IF('Raw TRI Data'!$J:$J=$E99,'Raw TRI Data'!$Z:$Z)), "N/A - Facility Does Not Report to TRI, no surface water releases, or no Generic Factors available"))</f>
        <v>N/A - See DMRs</v>
      </c>
      <c r="AA99" s="156" t="str">
        <f>IF(COUNTIF('Raw Annual DMR Data'!K:K,$E99)&gt;0,"N/A - See DMRs",IF(SUMIFS('Raw TRI Data'!$Z:$Z,'Raw TRI Data'!$J:$J,$E99)&gt;0,_xlfn.MAXIFS('Raw TRI Data'!$Z:$Z,'Raw TRI Data'!$J:$J,$E99), "N/A - Facility Does Not Report to TRI, no surface water releases, or no Generic Factors available"))</f>
        <v>N/A - See DMRs</v>
      </c>
      <c r="AB99" s="113" t="str">
        <f t="shared" si="13"/>
        <v>N/A</v>
      </c>
      <c r="AC99" s="136" t="str" cm="1">
        <f t="array" ref="AC99">IF(COUNTIF('Raw Annual DMR Data'!K:K,$E99)&gt;0,"N/A - See DMRs",IF(SUMIFS('Raw TRI Data'!$Z:$Z,'Raw TRI Data'!$J:$J,$E99)&gt;0,INDEX('Raw TRI Data'!$A:$A,MATCH(1,($E99='Raw TRI Data'!$J:$J)*($AA99='Raw TRI Data'!$Z:$Z),0)), "N/A - Facility Does Not Report to TRI, no surface water releases, or no Generic Factors available"))</f>
        <v>N/A - See DMRs</v>
      </c>
      <c r="AD99" s="96" t="e" cm="1">
        <f t="array" ref="AD99">IF(COUNTIFS('Raw Annual DMR Data'!L:L,$F99,'Raw Annual DMR Data'!W:W, "&gt;0")&gt;0,MEDIAN(IF('Raw Annual DMR Data'!K:K=$F99, 'Raw Annual DMR Data'!W:W)), "N/A - No Daily Max DMR Discharge Data")</f>
        <v>#NUM!</v>
      </c>
      <c r="AE99" s="96">
        <f>IF(COUNTIFS('Raw Annual DMR Data'!L:L,$F99,'Raw Annual DMR Data'!W:W, "&gt;0")&gt;0,_xlfn.MAXIFS('Raw Annual DMR Data'!W:W,'Raw Annual DMR Data'!L:L,$F99), "N/A - No Daily Max DMR Discharge Data")</f>
        <v>0.62679599999999991</v>
      </c>
      <c r="AF99" s="60" cm="1">
        <f t="array" ref="AF99">IF(COUNTIFS('Raw Annual DMR Data'!L:L,$F99,'Raw Annual DMR Data'!W:W, "&gt;0")&gt;0,INDEX('Raw Annual DMR Data'!B:B,MATCH(1,($F99='Raw Annual DMR Data'!L:L)*($AE99='Raw Annual DMR Data'!W:W),0)), "N/A - No Daily Max DMR Discharge Data")</f>
        <v>2015</v>
      </c>
    </row>
    <row r="100" spans="1:32" ht="30.75" thickBot="1" x14ac:dyDescent="0.3">
      <c r="A100" s="144" t="str">
        <f>VLOOKUP(F100,'Facility Summary'!J:K,2,FALSE)</f>
        <v>Manufacturing</v>
      </c>
      <c r="B100" s="28" t="s">
        <v>217</v>
      </c>
      <c r="C100" s="28" t="s">
        <v>590</v>
      </c>
      <c r="D100" s="28" t="s">
        <v>362</v>
      </c>
      <c r="E100" s="60" t="s">
        <v>593</v>
      </c>
      <c r="F100" s="74">
        <v>110015742204</v>
      </c>
      <c r="G100" s="74" t="s">
        <v>295</v>
      </c>
      <c r="H100" s="28" t="s">
        <v>295</v>
      </c>
      <c r="I100" s="74" t="s">
        <v>295</v>
      </c>
      <c r="J100" s="74" t="s">
        <v>265</v>
      </c>
      <c r="K100" s="60">
        <f>VLOOKUP(A100, 'OES Summary'!$A:$B, 2, FALSE)</f>
        <v>350</v>
      </c>
      <c r="L100" s="304" t="str" cm="1">
        <f t="array" ref="L100">IF(COUNTIF('Raw Annual DMR Data'!$L:$L,$F100)&gt;0,MEDIAN(IF('Raw Annual DMR Data'!$L:$L=F100,'Raw Annual DMR Data'!$S:$S)),"N/A - Facility Does Not Report DMRs")</f>
        <v>N/A - Facility Does Not Report DMRs</v>
      </c>
      <c r="M100" s="156" t="str">
        <f t="shared" si="11"/>
        <v>N/A - Facility Does Not Report DMRs</v>
      </c>
      <c r="N100" s="156" t="str">
        <f>IF(COUNTIF('Raw Annual DMR Data'!$L:$L,$F100)&gt;0,_xlfn.MAXIFS('Raw Annual DMR Data'!$S:$S,'Raw Annual DMR Data'!$L:$L,$F100), "N/A - Facility Does Not Report DMRs")</f>
        <v>N/A - Facility Does Not Report DMRs</v>
      </c>
      <c r="O100" s="156" t="str">
        <f t="shared" si="12"/>
        <v>N/A - Facility Does Not Report DMRs</v>
      </c>
      <c r="P100" s="113" t="str" cm="1">
        <f t="array" ref="P100">IF(COUNTIF('Raw Annual DMR Data'!$L:$L,$F100)&gt;0,INDEX('Raw Annual DMR Data'!$B:$B,MATCH(1,($F100='Raw Annual DMR Data'!$L:$L)*($N100='Raw Annual DMR Data'!$S:$S),0)), "N/A - Facility Does Not Report DMRs")</f>
        <v>N/A - Facility Does Not Report DMRs</v>
      </c>
      <c r="Q100" s="304" cm="1">
        <f t="array" ref="Q100">IF(COUNTIF('Raw TRI Data'!$J:$J,$E100)&gt;0,MEDIAN(IF('Raw TRI Data'!$J:$J=E100,'Raw TRI Data'!$S:$S)), "N/A - Facility Does Not Report to TRI")</f>
        <v>0</v>
      </c>
      <c r="R100" s="156">
        <f t="shared" ref="R100:R129" si="14">IFERROR(+Q100/$K100, "N/A - Facility Does Not Report to TRI")</f>
        <v>0</v>
      </c>
      <c r="S100" s="156">
        <f>IF(COUNTIF('Raw TRI Data'!$J:$J,$E100)&gt;0,_xlfn.MAXIFS('Raw TRI Data'!$S:$S,'Raw TRI Data'!$J:$J,$E100), "N/A - Facility Does Not Report to TRI")</f>
        <v>0</v>
      </c>
      <c r="T100" s="156">
        <f t="shared" ref="T100:T129" si="15">IFERROR(+S100/$K100, "N/A - Facility Does Not Report to TRI")</f>
        <v>0</v>
      </c>
      <c r="U100" s="136" cm="1">
        <f t="array" ref="U100">IF(COUNTIF('Raw TRI Data'!$J:$J,$E100)&gt;0,INDEX('Raw TRI Data'!$A:$A,MATCH(1,($E100='Raw TRI Data'!$J:$J)*(S100='Raw TRI Data'!$S:$S),0)), "N/A - Facility Does Not Report to TRI")</f>
        <v>2015</v>
      </c>
      <c r="V100" s="156" t="str" cm="1">
        <f t="array" ref="V100">IF(COUNTIFS('Raw Annual DMR Data'!$L:$L,$F100,'Raw Annual DMR Data'!$U:$U,"&gt;0")&gt;0,MEDIAN(IF('Raw Annual DMR Data'!$L:$L=$F100,'Raw Annual DMR Data'!$U:$U,"")),"N/A - Period DMR Data Not Available")</f>
        <v>N/A - Period DMR Data Not Available</v>
      </c>
      <c r="W100" s="156" t="str">
        <f>IF(COUNTIFS('Raw Annual DMR Data'!$L:$L,$F100, 'Raw Annual DMR Data'!$U:$U, "&gt;0")&gt;0,_xlfn.MAXIFS('Raw Annual DMR Data'!$U:$U,'Raw Annual DMR Data'!$L:$L,$F100), "N/A - Period DMR Data Not Available")</f>
        <v>N/A - Period DMR Data Not Available</v>
      </c>
      <c r="X100" s="113" t="str" cm="1">
        <f t="array" ref="X100">+IF(COUNTIFS('Raw Annual DMR Data'!L:L,$F100, 'Raw Annual DMR Data'!U:U, "&gt;0")&gt;0,INDEX('Raw Annual DMR Data'!V:V,MATCH(1,($F100='Raw Annual DMR Data'!L:L)*($W100='Raw Annual DMR Data'!U:U),0)), "N/A - Period DMR Data Not Available")</f>
        <v>N/A - Period DMR Data Not Available</v>
      </c>
      <c r="Y100" s="113" t="str" cm="1">
        <f t="array" ref="Y100">IF(COUNTIFS('Raw Annual DMR Data'!L:L,$F100, 'Raw Annual DMR Data'!U:U, "&gt;0")&gt;0,INDEX('Raw Annual DMR Data'!B:B,MATCH(1,($F100='Raw Annual DMR Data'!L:L)*($W100='Raw Annual DMR Data'!U:U),0)), "N/A - Period DMR Data Not Available")</f>
        <v>N/A - Period DMR Data Not Available</v>
      </c>
      <c r="Z100" s="311" t="e" cm="1">
        <f t="array" ref="Z100">IF(COUNTIF('Raw Annual DMR Data'!K:K,$E100)&gt;0,"N/A - See DMRs",IF(SUMIFS('Raw TRI Data'!$Z:$Z,'Raw TRI Data'!$J:$J,$E100)&gt;0,MEDIAN(IF('Raw TRI Data'!$J:$J=$E100,'Raw TRI Data'!$Z:$Z)), "N/A - Facility Does Not Report to TRI, no surface water releases, or no Generic Factors available"))</f>
        <v>#N/A</v>
      </c>
      <c r="AA100" s="156" t="e">
        <f>IF(COUNTIF('Raw Annual DMR Data'!K:K,$E100)&gt;0,"N/A - See DMRs",IF(SUMIFS('Raw TRI Data'!$Z:$Z,'Raw TRI Data'!$J:$J,$E100)&gt;0,_xlfn.MAXIFS('Raw TRI Data'!$Z:$Z,'Raw TRI Data'!$J:$J,$E100), "N/A - Facility Does Not Report to TRI, no surface water releases, or no Generic Factors available"))</f>
        <v>#N/A</v>
      </c>
      <c r="AB100" s="113" t="str">
        <f t="shared" si="13"/>
        <v>N/A</v>
      </c>
      <c r="AC100" s="136" t="e" cm="1">
        <f t="array" ref="AC100">IF(COUNTIF('Raw Annual DMR Data'!K:K,$E100)&gt;0,"N/A - See DMRs",IF(SUMIFS('Raw TRI Data'!$Z:$Z,'Raw TRI Data'!$J:$J,$E100)&gt;0,INDEX('Raw TRI Data'!$A:$A,MATCH(1,($E100='Raw TRI Data'!$J:$J)*($AA100='Raw TRI Data'!$Z:$Z),0)), "N/A - Facility Does Not Report to TRI, no surface water releases, or no Generic Factors available"))</f>
        <v>#N/A</v>
      </c>
      <c r="AD100" s="96" t="str" cm="1">
        <f t="array" ref="AD100">IF(COUNTIFS('Raw Annual DMR Data'!L:L,$F100,'Raw Annual DMR Data'!W:W, "&gt;0")&gt;0,MEDIAN(IF('Raw Annual DMR Data'!K:K=$F100, 'Raw Annual DMR Data'!W:W)), "N/A - No Daily Max DMR Discharge Data")</f>
        <v>N/A - No Daily Max DMR Discharge Data</v>
      </c>
      <c r="AE100" s="96" t="str">
        <f>IF(COUNTIFS('Raw Annual DMR Data'!L:L,$F100,'Raw Annual DMR Data'!W:W, "&gt;0")&gt;0,_xlfn.MAXIFS('Raw Annual DMR Data'!W:W,'Raw Annual DMR Data'!L:L,$F100), "N/A - No Daily Max DMR Discharge Data")</f>
        <v>N/A - No Daily Max DMR Discharge Data</v>
      </c>
      <c r="AF100" s="60" t="str" cm="1">
        <f t="array" ref="AF100">IF(COUNTIFS('Raw Annual DMR Data'!L:L,$F100,'Raw Annual DMR Data'!W:W, "&gt;0")&gt;0,INDEX('Raw Annual DMR Data'!B:B,MATCH(1,($F100='Raw Annual DMR Data'!L:L)*($AE100='Raw Annual DMR Data'!W:W),0)), "N/A - No Daily Max DMR Discharge Data")</f>
        <v>N/A - No Daily Max DMR Discharge Data</v>
      </c>
    </row>
    <row r="101" spans="1:32" ht="30.75" thickBot="1" x14ac:dyDescent="0.3">
      <c r="A101" s="144" t="str">
        <f>VLOOKUP(F101,'Facility Summary'!J:K,2,FALSE)</f>
        <v>Manufacturing</v>
      </c>
      <c r="B101" s="28" t="s">
        <v>218</v>
      </c>
      <c r="C101" s="28" t="s">
        <v>361</v>
      </c>
      <c r="D101" s="28" t="s">
        <v>362</v>
      </c>
      <c r="E101" s="60" t="s">
        <v>595</v>
      </c>
      <c r="F101" s="74">
        <v>110017769734</v>
      </c>
      <c r="G101" s="74" t="s">
        <v>295</v>
      </c>
      <c r="H101" s="28" t="s">
        <v>295</v>
      </c>
      <c r="I101" s="74" t="s">
        <v>295</v>
      </c>
      <c r="J101" s="74" t="s">
        <v>265</v>
      </c>
      <c r="K101" s="60">
        <f>VLOOKUP(A101, 'OES Summary'!$A:$B, 2, FALSE)</f>
        <v>350</v>
      </c>
      <c r="L101" s="304" t="str" cm="1">
        <f t="array" ref="L101">IF(COUNTIF('Raw Annual DMR Data'!$L:$L,$F101)&gt;0,MEDIAN(IF('Raw Annual DMR Data'!$L:$L=F101,'Raw Annual DMR Data'!$S:$S)),"N/A - Facility Does Not Report DMRs")</f>
        <v>N/A - Facility Does Not Report DMRs</v>
      </c>
      <c r="M101" s="156" t="str">
        <f t="shared" si="11"/>
        <v>N/A - Facility Does Not Report DMRs</v>
      </c>
      <c r="N101" s="156" t="str">
        <f>IF(COUNTIF('Raw Annual DMR Data'!$L:$L,$F101)&gt;0,_xlfn.MAXIFS('Raw Annual DMR Data'!$S:$S,'Raw Annual DMR Data'!$L:$L,$F101), "N/A - Facility Does Not Report DMRs")</f>
        <v>N/A - Facility Does Not Report DMRs</v>
      </c>
      <c r="O101" s="156" t="str">
        <f t="shared" si="12"/>
        <v>N/A - Facility Does Not Report DMRs</v>
      </c>
      <c r="P101" s="113" t="str" cm="1">
        <f t="array" ref="P101">IF(COUNTIF('Raw Annual DMR Data'!$L:$L,$F101)&gt;0,INDEX('Raw Annual DMR Data'!$B:$B,MATCH(1,($F101='Raw Annual DMR Data'!$L:$L)*($N101='Raw Annual DMR Data'!$S:$S),0)), "N/A - Facility Does Not Report DMRs")</f>
        <v>N/A - Facility Does Not Report DMRs</v>
      </c>
      <c r="Q101" s="304" cm="1">
        <f t="array" ref="Q101">IF(COUNTIF('Raw TRI Data'!$J:$J,$E101)&gt;0,MEDIAN(IF('Raw TRI Data'!$J:$J=E101,'Raw TRI Data'!$S:$S)), "N/A - Facility Does Not Report to TRI")</f>
        <v>1.5195344395000001</v>
      </c>
      <c r="R101" s="156">
        <f t="shared" si="14"/>
        <v>4.3415269700000005E-3</v>
      </c>
      <c r="S101" s="156">
        <f>IF(COUNTIF('Raw TRI Data'!$J:$J,$E101)&gt;0,_xlfn.MAXIFS('Raw TRI Data'!$S:$S,'Raw TRI Data'!$J:$J,$E101), "N/A - Facility Does Not Report to TRI")</f>
        <v>6.8719244055000006</v>
      </c>
      <c r="T101" s="156">
        <f t="shared" si="15"/>
        <v>1.9634069730000002E-2</v>
      </c>
      <c r="U101" s="136" cm="1">
        <f t="array" ref="U101">IF(COUNTIF('Raw TRI Data'!$J:$J,$E101)&gt;0,INDEX('Raw TRI Data'!$A:$A,MATCH(1,($E101='Raw TRI Data'!$J:$J)*(S101='Raw TRI Data'!$S:$S),0)), "N/A - Facility Does Not Report to TRI")</f>
        <v>2024</v>
      </c>
      <c r="V101" s="156" t="str" cm="1">
        <f t="array" ref="V101">IF(COUNTIFS('Raw Annual DMR Data'!$L:$L,$F101,'Raw Annual DMR Data'!$U:$U,"&gt;0")&gt;0,MEDIAN(IF('Raw Annual DMR Data'!$L:$L=$F101,'Raw Annual DMR Data'!$U:$U,"")),"N/A - Period DMR Data Not Available")</f>
        <v>N/A - Period DMR Data Not Available</v>
      </c>
      <c r="W101" s="156" t="str">
        <f>IF(COUNTIFS('Raw Annual DMR Data'!$L:$L,$F101, 'Raw Annual DMR Data'!$U:$U, "&gt;0")&gt;0,_xlfn.MAXIFS('Raw Annual DMR Data'!$U:$U,'Raw Annual DMR Data'!$L:$L,$F101), "N/A - Period DMR Data Not Available")</f>
        <v>N/A - Period DMR Data Not Available</v>
      </c>
      <c r="X101" s="113" t="str" cm="1">
        <f t="array" ref="X101">+IF(COUNTIFS('Raw Annual DMR Data'!L:L,$F101, 'Raw Annual DMR Data'!U:U, "&gt;0")&gt;0,INDEX('Raw Annual DMR Data'!V:V,MATCH(1,($F101='Raw Annual DMR Data'!L:L)*($W101='Raw Annual DMR Data'!U:U),0)), "N/A - Period DMR Data Not Available")</f>
        <v>N/A - Period DMR Data Not Available</v>
      </c>
      <c r="Y101" s="113" t="str" cm="1">
        <f t="array" ref="Y101">IF(COUNTIFS('Raw Annual DMR Data'!L:L,$F101, 'Raw Annual DMR Data'!U:U, "&gt;0")&gt;0,INDEX('Raw Annual DMR Data'!B:B,MATCH(1,($F101='Raw Annual DMR Data'!L:L)*($W101='Raw Annual DMR Data'!U:U),0)), "N/A - Period DMR Data Not Available")</f>
        <v>N/A - Period DMR Data Not Available</v>
      </c>
      <c r="Z101" s="311" t="e" cm="1">
        <f t="array" ref="Z101">IF(COUNTIF('Raw Annual DMR Data'!K:K,$E101)&gt;0,"N/A - See DMRs",IF(SUMIFS('Raw TRI Data'!$Z:$Z,'Raw TRI Data'!$J:$J,$E101)&gt;0,MEDIAN(IF('Raw TRI Data'!$J:$J=$E101,'Raw TRI Data'!$Z:$Z)), "N/A - Facility Does Not Report to TRI, no surface water releases, or no Generic Factors available"))</f>
        <v>#N/A</v>
      </c>
      <c r="AA101" s="156" t="e">
        <f>IF(COUNTIF('Raw Annual DMR Data'!K:K,$E101)&gt;0,"N/A - See DMRs",IF(SUMIFS('Raw TRI Data'!$Z:$Z,'Raw TRI Data'!$J:$J,$E101)&gt;0,_xlfn.MAXIFS('Raw TRI Data'!$Z:$Z,'Raw TRI Data'!$J:$J,$E101), "N/A - Facility Does Not Report to TRI, no surface water releases, or no Generic Factors available"))</f>
        <v>#N/A</v>
      </c>
      <c r="AB101" s="113" t="str">
        <f t="shared" si="13"/>
        <v>N/A</v>
      </c>
      <c r="AC101" s="136" t="e" cm="1">
        <f t="array" ref="AC101">IF(COUNTIF('Raw Annual DMR Data'!K:K,$E101)&gt;0,"N/A - See DMRs",IF(SUMIFS('Raw TRI Data'!$Z:$Z,'Raw TRI Data'!$J:$J,$E101)&gt;0,INDEX('Raw TRI Data'!$A:$A,MATCH(1,($E101='Raw TRI Data'!$J:$J)*($AA101='Raw TRI Data'!$Z:$Z),0)), "N/A - Facility Does Not Report to TRI, no surface water releases, or no Generic Factors available"))</f>
        <v>#N/A</v>
      </c>
      <c r="AD101" s="96" t="str" cm="1">
        <f t="array" ref="AD101">IF(COUNTIFS('Raw Annual DMR Data'!L:L,$F101,'Raw Annual DMR Data'!W:W, "&gt;0")&gt;0,MEDIAN(IF('Raw Annual DMR Data'!K:K=$F101, 'Raw Annual DMR Data'!W:W)), "N/A - No Daily Max DMR Discharge Data")</f>
        <v>N/A - No Daily Max DMR Discharge Data</v>
      </c>
      <c r="AE101" s="96" t="str">
        <f>IF(COUNTIFS('Raw Annual DMR Data'!L:L,$F101,'Raw Annual DMR Data'!W:W, "&gt;0")&gt;0,_xlfn.MAXIFS('Raw Annual DMR Data'!W:W,'Raw Annual DMR Data'!L:L,$F101), "N/A - No Daily Max DMR Discharge Data")</f>
        <v>N/A - No Daily Max DMR Discharge Data</v>
      </c>
      <c r="AF101" s="60" t="str" cm="1">
        <f t="array" ref="AF101">IF(COUNTIFS('Raw Annual DMR Data'!L:L,$F101,'Raw Annual DMR Data'!W:W, "&gt;0")&gt;0,INDEX('Raw Annual DMR Data'!B:B,MATCH(1,($F101='Raw Annual DMR Data'!L:L)*($AE101='Raw Annual DMR Data'!W:W),0)), "N/A - No Daily Max DMR Discharge Data")</f>
        <v>N/A - No Daily Max DMR Discharge Data</v>
      </c>
    </row>
    <row r="102" spans="1:32" ht="45.75" thickBot="1" x14ac:dyDescent="0.3">
      <c r="A102" s="144" t="str">
        <f>VLOOKUP(F102,'Facility Summary'!J:K,2,FALSE)</f>
        <v>Processing into formulation, mixture, or reaction product</v>
      </c>
      <c r="B102" s="28" t="s">
        <v>180</v>
      </c>
      <c r="C102" s="28" t="s">
        <v>597</v>
      </c>
      <c r="D102" s="28" t="s">
        <v>338</v>
      </c>
      <c r="E102" s="60"/>
      <c r="F102" s="74">
        <v>110070217974</v>
      </c>
      <c r="G102" s="74" t="s">
        <v>915</v>
      </c>
      <c r="H102" s="28" t="s">
        <v>916</v>
      </c>
      <c r="I102" s="74">
        <v>2030105000369</v>
      </c>
      <c r="J102" s="74" t="s">
        <v>265</v>
      </c>
      <c r="K102" s="60">
        <f>VLOOKUP(A102, 'OES Summary'!$A:$B, 2, FALSE)</f>
        <v>300</v>
      </c>
      <c r="L102" s="304" cm="1">
        <f t="array" ref="L102">IF(COUNTIF('Raw Annual DMR Data'!$L:$L,$F102)&gt;0,MEDIAN(IF('Raw Annual DMR Data'!$L:$L=F102,'Raw Annual DMR Data'!$S:$S)),"N/A - Facility Does Not Report DMRs")</f>
        <v>9.4243068725454501E-4</v>
      </c>
      <c r="M102" s="156">
        <f t="shared" si="11"/>
        <v>3.1414356241818166E-6</v>
      </c>
      <c r="N102" s="156">
        <f>IF(COUNTIF('Raw Annual DMR Data'!$L:$L,$F102)&gt;0,_xlfn.MAXIFS('Raw Annual DMR Data'!$S:$S,'Raw Annual DMR Data'!$L:$L,$F102), "N/A - Facility Does Not Report DMRs")</f>
        <v>2.4142252327000002E-3</v>
      </c>
      <c r="O102" s="156">
        <f t="shared" si="12"/>
        <v>8.0474174423333343E-6</v>
      </c>
      <c r="P102" s="113" cm="1">
        <f t="array" ref="P102">IF(COUNTIF('Raw Annual DMR Data'!$L:$L,$F102)&gt;0,INDEX('Raw Annual DMR Data'!$B:$B,MATCH(1,($F102='Raw Annual DMR Data'!$L:$L)*($N102='Raw Annual DMR Data'!$S:$S),0)), "N/A - Facility Does Not Report DMRs")</f>
        <v>2018</v>
      </c>
      <c r="Q102" s="304" t="str" cm="1">
        <f t="array" ref="Q102">IF(COUNTIF('Raw TRI Data'!$J:$J,$E102)&gt;0,MEDIAN(IF('Raw TRI Data'!$J:$J=E102,'Raw TRI Data'!$S:$S)), "N/A - Facility Does Not Report to TRI")</f>
        <v>N/A - Facility Does Not Report to TRI</v>
      </c>
      <c r="R102" s="156" t="str">
        <f t="shared" si="14"/>
        <v>N/A - Facility Does Not Report to TRI</v>
      </c>
      <c r="S102" s="156" t="str">
        <f>IF(COUNTIF('Raw TRI Data'!$J:$J,$E102)&gt;0,_xlfn.MAXIFS('Raw TRI Data'!$S:$S,'Raw TRI Data'!$J:$J,$E102), "N/A - Facility Does Not Report to TRI")</f>
        <v>N/A - Facility Does Not Report to TRI</v>
      </c>
      <c r="T102" s="156" t="str">
        <f t="shared" si="15"/>
        <v>N/A - Facility Does Not Report to TRI</v>
      </c>
      <c r="U102" s="136" t="str" cm="1">
        <f t="array" ref="U102">IF(COUNTIF('Raw TRI Data'!$J:$J,$E102)&gt;0,INDEX('Raw TRI Data'!$A:$A,MATCH(1,($E102='Raw TRI Data'!$J:$J)*(S102='Raw TRI Data'!$S:$S),0)), "N/A - Facility Does Not Report to TRI")</f>
        <v>N/A - Facility Does Not Report to TRI</v>
      </c>
      <c r="V102" s="156" t="str" cm="1">
        <f t="array" ref="V102">IF(COUNTIFS('Raw Annual DMR Data'!$L:$L,$F102,'Raw Annual DMR Data'!$U:$U,"&gt;0")&gt;0,MEDIAN(IF('Raw Annual DMR Data'!$L:$L=$F102,'Raw Annual DMR Data'!$U:$U,"")),"N/A - Period DMR Data Not Available")</f>
        <v>N/A - Period DMR Data Not Available</v>
      </c>
      <c r="W102" s="156" t="str">
        <f>IF(COUNTIFS('Raw Annual DMR Data'!$L:$L,$F102, 'Raw Annual DMR Data'!$U:$U, "&gt;0")&gt;0,_xlfn.MAXIFS('Raw Annual DMR Data'!$U:$U,'Raw Annual DMR Data'!$L:$L,$F102), "N/A - Period DMR Data Not Available")</f>
        <v>N/A - Period DMR Data Not Available</v>
      </c>
      <c r="X102" s="113" t="str" cm="1">
        <f t="array" ref="X102">+IF(COUNTIFS('Raw Annual DMR Data'!L:L,$F102, 'Raw Annual DMR Data'!U:U, "&gt;0")&gt;0,INDEX('Raw Annual DMR Data'!V:V,MATCH(1,($F102='Raw Annual DMR Data'!L:L)*($W102='Raw Annual DMR Data'!U:U),0)), "N/A - Period DMR Data Not Available")</f>
        <v>N/A - Period DMR Data Not Available</v>
      </c>
      <c r="Y102" s="113" t="str" cm="1">
        <f t="array" ref="Y102">IF(COUNTIFS('Raw Annual DMR Data'!L:L,$F102, 'Raw Annual DMR Data'!U:U, "&gt;0")&gt;0,INDEX('Raw Annual DMR Data'!B:B,MATCH(1,($F102='Raw Annual DMR Data'!L:L)*($W102='Raw Annual DMR Data'!U:U),0)), "N/A - Period DMR Data Not Available")</f>
        <v>N/A - Period DMR Data Not Available</v>
      </c>
      <c r="Z102" s="311" t="str" cm="1">
        <f t="array" ref="Z102">IF(COUNTIF('Raw Annual DMR Data'!K:K,$E102)&gt;0,"N/A - See DMRs",IF(SUMIFS('Raw TRI Data'!$Z:$Z,'Raw TRI Data'!$J:$J,$E102)&gt;0,MEDIAN(IF('Raw TRI Data'!$J:$J=$E102,'Raw TRI Data'!$Z:$Z)), "N/A - Facility Does Not Report to TRI, no surface water releases, or no Generic Factors available"))</f>
        <v>N/A - Facility Does Not Report to TRI, no surface water releases, or no Generic Factors available</v>
      </c>
      <c r="AA102" s="156" t="str">
        <f>IF(COUNTIF('Raw Annual DMR Data'!K:K,$E102)&gt;0,"N/A - See DMRs",IF(SUMIFS('Raw TRI Data'!$Z:$Z,'Raw TRI Data'!$J:$J,$E102)&gt;0,_xlfn.MAXIFS('Raw TRI Data'!$Z:$Z,'Raw TRI Data'!$J:$J,$E102), "N/A - Facility Does Not Report to TRI, no surface water releases, or no Generic Factors available"))</f>
        <v>N/A - Facility Does Not Report to TRI, no surface water releases, or no Generic Factors available</v>
      </c>
      <c r="AB102" s="113" t="str">
        <f t="shared" si="13"/>
        <v>N/A</v>
      </c>
      <c r="AC102" s="136" t="str" cm="1">
        <f t="array" ref="AC102">IF(COUNTIF('Raw Annual DMR Data'!K:K,$E102)&gt;0,"N/A - See DMRs",IF(SUMIFS('Raw TRI Data'!$Z:$Z,'Raw TRI Data'!$J:$J,$E102)&gt;0,INDEX('Raw TRI Data'!$A:$A,MATCH(1,($E102='Raw TRI Data'!$J:$J)*($AA102='Raw TRI Data'!$Z:$Z),0)), "N/A - Facility Does Not Report to TRI, no surface water releases, or no Generic Factors available"))</f>
        <v>N/A - Facility Does Not Report to TRI, no surface water releases, or no Generic Factors available</v>
      </c>
      <c r="AD102" s="96" t="str" cm="1">
        <f t="array" ref="AD102">IF(COUNTIFS('Raw Annual DMR Data'!L:L,$F102,'Raw Annual DMR Data'!W:W, "&gt;0")&gt;0,MEDIAN(IF('Raw Annual DMR Data'!K:K=$F102, 'Raw Annual DMR Data'!W:W)), "N/A - No Daily Max DMR Discharge Data")</f>
        <v>N/A - No Daily Max DMR Discharge Data</v>
      </c>
      <c r="AE102" s="96" t="str">
        <f>IF(COUNTIFS('Raw Annual DMR Data'!L:L,$F102,'Raw Annual DMR Data'!W:W, "&gt;0")&gt;0,_xlfn.MAXIFS('Raw Annual DMR Data'!W:W,'Raw Annual DMR Data'!L:L,$F102), "N/A - No Daily Max DMR Discharge Data")</f>
        <v>N/A - No Daily Max DMR Discharge Data</v>
      </c>
      <c r="AF102" s="60" t="str" cm="1">
        <f t="array" ref="AF102">IF(COUNTIFS('Raw Annual DMR Data'!L:L,$F102,'Raw Annual DMR Data'!W:W, "&gt;0")&gt;0,INDEX('Raw Annual DMR Data'!B:B,MATCH(1,($F102='Raw Annual DMR Data'!L:L)*($AE102='Raw Annual DMR Data'!W:W),0)), "N/A - No Daily Max DMR Discharge Data")</f>
        <v>N/A - No Daily Max DMR Discharge Data</v>
      </c>
    </row>
    <row r="103" spans="1:32" ht="45.75" thickBot="1" x14ac:dyDescent="0.3">
      <c r="A103" s="144" t="str">
        <f>VLOOKUP(F103,'Facility Summary'!J:K,2,FALSE)</f>
        <v>Manufacturing</v>
      </c>
      <c r="B103" s="28" t="s">
        <v>181</v>
      </c>
      <c r="C103" s="28" t="s">
        <v>600</v>
      </c>
      <c r="D103" s="28" t="s">
        <v>601</v>
      </c>
      <c r="E103" s="60"/>
      <c r="F103" s="74">
        <v>110000748273</v>
      </c>
      <c r="G103" s="74" t="s">
        <v>917</v>
      </c>
      <c r="H103" s="28" t="s">
        <v>918</v>
      </c>
      <c r="I103" s="74">
        <v>1100004000144</v>
      </c>
      <c r="J103" s="74" t="s">
        <v>265</v>
      </c>
      <c r="K103" s="60">
        <f>VLOOKUP(A103, 'OES Summary'!$A:$B, 2, FALSE)</f>
        <v>350</v>
      </c>
      <c r="L103" s="304" cm="1">
        <f t="array" ref="L103">IF(COUNTIF('Raw Annual DMR Data'!$L:$L,$F103)&gt;0,MEDIAN(IF('Raw Annual DMR Data'!$L:$L=F103,'Raw Annual DMR Data'!$S:$S)),"N/A - Facility Does Not Report DMRs")</f>
        <v>0.30343887014999898</v>
      </c>
      <c r="M103" s="156">
        <f t="shared" si="11"/>
        <v>8.6696820042856857E-4</v>
      </c>
      <c r="N103" s="156">
        <f>IF(COUNTIF('Raw Annual DMR Data'!$L:$L,$F103)&gt;0,_xlfn.MAXIFS('Raw Annual DMR Data'!$S:$S,'Raw Annual DMR Data'!$L:$L,$F103), "N/A - Facility Does Not Report DMRs")</f>
        <v>0.30343887014999898</v>
      </c>
      <c r="O103" s="156">
        <f t="shared" si="12"/>
        <v>8.6696820042856857E-4</v>
      </c>
      <c r="P103" s="113" cm="1">
        <f t="array" ref="P103">IF(COUNTIF('Raw Annual DMR Data'!$L:$L,$F103)&gt;0,INDEX('Raw Annual DMR Data'!$B:$B,MATCH(1,($F103='Raw Annual DMR Data'!$L:$L)*($N103='Raw Annual DMR Data'!$S:$S),0)), "N/A - Facility Does Not Report DMRs")</f>
        <v>2017</v>
      </c>
      <c r="Q103" s="304" t="str" cm="1">
        <f t="array" ref="Q103">IF(COUNTIF('Raw TRI Data'!$J:$J,$E103)&gt;0,MEDIAN(IF('Raw TRI Data'!$J:$J=E103,'Raw TRI Data'!$S:$S)), "N/A - Facility Does Not Report to TRI")</f>
        <v>N/A - Facility Does Not Report to TRI</v>
      </c>
      <c r="R103" s="156" t="str">
        <f t="shared" si="14"/>
        <v>N/A - Facility Does Not Report to TRI</v>
      </c>
      <c r="S103" s="156" t="str">
        <f>IF(COUNTIF('Raw TRI Data'!$J:$J,$E103)&gt;0,_xlfn.MAXIFS('Raw TRI Data'!$S:$S,'Raw TRI Data'!$J:$J,$E103), "N/A - Facility Does Not Report to TRI")</f>
        <v>N/A - Facility Does Not Report to TRI</v>
      </c>
      <c r="T103" s="156" t="str">
        <f t="shared" si="15"/>
        <v>N/A - Facility Does Not Report to TRI</v>
      </c>
      <c r="U103" s="136" t="str" cm="1">
        <f t="array" ref="U103">IF(COUNTIF('Raw TRI Data'!$J:$J,$E103)&gt;0,INDEX('Raw TRI Data'!$A:$A,MATCH(1,($E103='Raw TRI Data'!$J:$J)*(S103='Raw TRI Data'!$S:$S),0)), "N/A - Facility Does Not Report to TRI")</f>
        <v>N/A - Facility Does Not Report to TRI</v>
      </c>
      <c r="V103" s="156" t="str" cm="1">
        <f t="array" ref="V103">IF(COUNTIFS('Raw Annual DMR Data'!$L:$L,$F103,'Raw Annual DMR Data'!$U:$U,"&gt;0")&gt;0,MEDIAN(IF('Raw Annual DMR Data'!$L:$L=$F103,'Raw Annual DMR Data'!$U:$U,"")),"N/A - Period DMR Data Not Available")</f>
        <v>N/A - Period DMR Data Not Available</v>
      </c>
      <c r="W103" s="156" t="str">
        <f>IF(COUNTIFS('Raw Annual DMR Data'!$L:$L,$F103, 'Raw Annual DMR Data'!$U:$U, "&gt;0")&gt;0,_xlfn.MAXIFS('Raw Annual DMR Data'!$U:$U,'Raw Annual DMR Data'!$L:$L,$F103), "N/A - Period DMR Data Not Available")</f>
        <v>N/A - Period DMR Data Not Available</v>
      </c>
      <c r="X103" s="113" t="str" cm="1">
        <f t="array" ref="X103">+IF(COUNTIFS('Raw Annual DMR Data'!L:L,$F103, 'Raw Annual DMR Data'!U:U, "&gt;0")&gt;0,INDEX('Raw Annual DMR Data'!V:V,MATCH(1,($F103='Raw Annual DMR Data'!L:L)*($W103='Raw Annual DMR Data'!U:U),0)), "N/A - Period DMR Data Not Available")</f>
        <v>N/A - Period DMR Data Not Available</v>
      </c>
      <c r="Y103" s="113" t="str" cm="1">
        <f t="array" ref="Y103">IF(COUNTIFS('Raw Annual DMR Data'!L:L,$F103, 'Raw Annual DMR Data'!U:U, "&gt;0")&gt;0,INDEX('Raw Annual DMR Data'!B:B,MATCH(1,($F103='Raw Annual DMR Data'!L:L)*($W103='Raw Annual DMR Data'!U:U),0)), "N/A - Period DMR Data Not Available")</f>
        <v>N/A - Period DMR Data Not Available</v>
      </c>
      <c r="Z103" s="311" t="str" cm="1">
        <f t="array" ref="Z103">IF(COUNTIF('Raw Annual DMR Data'!K:K,$E103)&gt;0,"N/A - See DMRs",IF(SUMIFS('Raw TRI Data'!$Z:$Z,'Raw TRI Data'!$J:$J,$E103)&gt;0,MEDIAN(IF('Raw TRI Data'!$J:$J=$E103,'Raw TRI Data'!$Z:$Z)), "N/A - Facility Does Not Report to TRI, no surface water releases, or no Generic Factors available"))</f>
        <v>N/A - Facility Does Not Report to TRI, no surface water releases, or no Generic Factors available</v>
      </c>
      <c r="AA103" s="156" t="str">
        <f>IF(COUNTIF('Raw Annual DMR Data'!K:K,$E103)&gt;0,"N/A - See DMRs",IF(SUMIFS('Raw TRI Data'!$Z:$Z,'Raw TRI Data'!$J:$J,$E103)&gt;0,_xlfn.MAXIFS('Raw TRI Data'!$Z:$Z,'Raw TRI Data'!$J:$J,$E103), "N/A - Facility Does Not Report to TRI, no surface water releases, or no Generic Factors available"))</f>
        <v>N/A - Facility Does Not Report to TRI, no surface water releases, or no Generic Factors available</v>
      </c>
      <c r="AB103" s="113" t="str">
        <f t="shared" si="13"/>
        <v>N/A</v>
      </c>
      <c r="AC103" s="136" t="str" cm="1">
        <f t="array" ref="AC103">IF(COUNTIF('Raw Annual DMR Data'!K:K,$E103)&gt;0,"N/A - See DMRs",IF(SUMIFS('Raw TRI Data'!$Z:$Z,'Raw TRI Data'!$J:$J,$E103)&gt;0,INDEX('Raw TRI Data'!$A:$A,MATCH(1,($E103='Raw TRI Data'!$J:$J)*($AA103='Raw TRI Data'!$Z:$Z),0)), "N/A - Facility Does Not Report to TRI, no surface water releases, or no Generic Factors available"))</f>
        <v>N/A - Facility Does Not Report to TRI, no surface water releases, or no Generic Factors available</v>
      </c>
      <c r="AD103" s="96" t="str" cm="1">
        <f t="array" ref="AD103">IF(COUNTIFS('Raw Annual DMR Data'!L:L,$F103,'Raw Annual DMR Data'!W:W, "&gt;0")&gt;0,MEDIAN(IF('Raw Annual DMR Data'!K:K=$F103, 'Raw Annual DMR Data'!W:W)), "N/A - No Daily Max DMR Discharge Data")</f>
        <v>N/A - No Daily Max DMR Discharge Data</v>
      </c>
      <c r="AE103" s="96" t="str">
        <f>IF(COUNTIFS('Raw Annual DMR Data'!L:L,$F103,'Raw Annual DMR Data'!W:W, "&gt;0")&gt;0,_xlfn.MAXIFS('Raw Annual DMR Data'!W:W,'Raw Annual DMR Data'!L:L,$F103), "N/A - No Daily Max DMR Discharge Data")</f>
        <v>N/A - No Daily Max DMR Discharge Data</v>
      </c>
      <c r="AF103" s="60" t="str" cm="1">
        <f t="array" ref="AF103">IF(COUNTIFS('Raw Annual DMR Data'!L:L,$F103,'Raw Annual DMR Data'!W:W, "&gt;0")&gt;0,INDEX('Raw Annual DMR Data'!B:B,MATCH(1,($F103='Raw Annual DMR Data'!L:L)*($AE103='Raw Annual DMR Data'!W:W),0)), "N/A - No Daily Max DMR Discharge Data")</f>
        <v>N/A - No Daily Max DMR Discharge Data</v>
      </c>
    </row>
    <row r="104" spans="1:32" ht="45.75" thickBot="1" x14ac:dyDescent="0.3">
      <c r="A104" s="144" t="str">
        <f>VLOOKUP(F104,'Facility Summary'!J:K,2,FALSE)</f>
        <v>Unknown</v>
      </c>
      <c r="B104" s="28" t="s">
        <v>182</v>
      </c>
      <c r="C104" s="28" t="s">
        <v>603</v>
      </c>
      <c r="D104" s="28" t="s">
        <v>362</v>
      </c>
      <c r="E104" s="60"/>
      <c r="F104" s="74">
        <v>110009773192</v>
      </c>
      <c r="G104" s="74" t="s">
        <v>919</v>
      </c>
      <c r="H104" s="28" t="s">
        <v>920</v>
      </c>
      <c r="I104" s="74">
        <v>12060201000042</v>
      </c>
      <c r="J104" s="74" t="s">
        <v>265</v>
      </c>
      <c r="K104" s="60">
        <f>VLOOKUP(A104, 'OES Summary'!$A:$B, 2, FALSE)</f>
        <v>250</v>
      </c>
      <c r="L104" s="304" cm="1">
        <f t="array" ref="L104">IF(COUNTIF('Raw Annual DMR Data'!$L:$L,$F104)&gt;0,MEDIAN(IF('Raw Annual DMR Data'!$L:$L=F104,'Raw Annual DMR Data'!$S:$S)),"N/A - Facility Does Not Report DMRs")</f>
        <v>8.1632653061224393E-3</v>
      </c>
      <c r="M104" s="156">
        <f t="shared" si="11"/>
        <v>3.2653061224489759E-5</v>
      </c>
      <c r="N104" s="156">
        <f>IF(COUNTIF('Raw Annual DMR Data'!$L:$L,$F104)&gt;0,_xlfn.MAXIFS('Raw Annual DMR Data'!$S:$S,'Raw Annual DMR Data'!$L:$L,$F104), "N/A - Facility Does Not Report DMRs")</f>
        <v>8.1632653061224393E-3</v>
      </c>
      <c r="O104" s="156">
        <f t="shared" si="12"/>
        <v>3.2653061224489759E-5</v>
      </c>
      <c r="P104" s="113" cm="1">
        <f t="array" ref="P104">IF(COUNTIF('Raw Annual DMR Data'!$L:$L,$F104)&gt;0,INDEX('Raw Annual DMR Data'!$B:$B,MATCH(1,($F104='Raw Annual DMR Data'!$L:$L)*($N104='Raw Annual DMR Data'!$S:$S),0)), "N/A - Facility Does Not Report DMRs")</f>
        <v>2016</v>
      </c>
      <c r="Q104" s="304" t="str" cm="1">
        <f t="array" ref="Q104">IF(COUNTIF('Raw TRI Data'!$J:$J,$E104)&gt;0,MEDIAN(IF('Raw TRI Data'!$J:$J=E104,'Raw TRI Data'!$S:$S)), "N/A - Facility Does Not Report to TRI")</f>
        <v>N/A - Facility Does Not Report to TRI</v>
      </c>
      <c r="R104" s="156" t="str">
        <f t="shared" si="14"/>
        <v>N/A - Facility Does Not Report to TRI</v>
      </c>
      <c r="S104" s="156" t="str">
        <f>IF(COUNTIF('Raw TRI Data'!$J:$J,$E104)&gt;0,_xlfn.MAXIFS('Raw TRI Data'!$S:$S,'Raw TRI Data'!$J:$J,$E104), "N/A - Facility Does Not Report to TRI")</f>
        <v>N/A - Facility Does Not Report to TRI</v>
      </c>
      <c r="T104" s="156" t="str">
        <f t="shared" si="15"/>
        <v>N/A - Facility Does Not Report to TRI</v>
      </c>
      <c r="U104" s="136" t="str" cm="1">
        <f t="array" ref="U104">IF(COUNTIF('Raw TRI Data'!$J:$J,$E104)&gt;0,INDEX('Raw TRI Data'!$A:$A,MATCH(1,($E104='Raw TRI Data'!$J:$J)*(S104='Raw TRI Data'!$S:$S),0)), "N/A - Facility Does Not Report to TRI")</f>
        <v>N/A - Facility Does Not Report to TRI</v>
      </c>
      <c r="V104" s="156" t="str" cm="1">
        <f t="array" ref="V104">IF(COUNTIFS('Raw Annual DMR Data'!$L:$L,$F104,'Raw Annual DMR Data'!$U:$U,"&gt;0")&gt;0,MEDIAN(IF('Raw Annual DMR Data'!$L:$L=$F104,'Raw Annual DMR Data'!$U:$U,"")),"N/A - Period DMR Data Not Available")</f>
        <v>N/A - Period DMR Data Not Available</v>
      </c>
      <c r="W104" s="156" t="str">
        <f>IF(COUNTIFS('Raw Annual DMR Data'!$L:$L,$F104, 'Raw Annual DMR Data'!$U:$U, "&gt;0")&gt;0,_xlfn.MAXIFS('Raw Annual DMR Data'!$U:$U,'Raw Annual DMR Data'!$L:$L,$F104), "N/A - Period DMR Data Not Available")</f>
        <v>N/A - Period DMR Data Not Available</v>
      </c>
      <c r="X104" s="113" t="str" cm="1">
        <f t="array" ref="X104">+IF(COUNTIFS('Raw Annual DMR Data'!L:L,$F104, 'Raw Annual DMR Data'!U:U, "&gt;0")&gt;0,INDEX('Raw Annual DMR Data'!V:V,MATCH(1,($F104='Raw Annual DMR Data'!L:L)*($W104='Raw Annual DMR Data'!U:U),0)), "N/A - Period DMR Data Not Available")</f>
        <v>N/A - Period DMR Data Not Available</v>
      </c>
      <c r="Y104" s="113" t="str" cm="1">
        <f t="array" ref="Y104">IF(COUNTIFS('Raw Annual DMR Data'!L:L,$F104, 'Raw Annual DMR Data'!U:U, "&gt;0")&gt;0,INDEX('Raw Annual DMR Data'!B:B,MATCH(1,($F104='Raw Annual DMR Data'!L:L)*($W104='Raw Annual DMR Data'!U:U),0)), "N/A - Period DMR Data Not Available")</f>
        <v>N/A - Period DMR Data Not Available</v>
      </c>
      <c r="Z104" s="311" t="str" cm="1">
        <f t="array" ref="Z104">IF(COUNTIF('Raw Annual DMR Data'!K:K,$E104)&gt;0,"N/A - See DMRs",IF(SUMIFS('Raw TRI Data'!$Z:$Z,'Raw TRI Data'!$J:$J,$E104)&gt;0,MEDIAN(IF('Raw TRI Data'!$J:$J=$E104,'Raw TRI Data'!$Z:$Z)), "N/A - Facility Does Not Report to TRI, no surface water releases, or no Generic Factors available"))</f>
        <v>N/A - Facility Does Not Report to TRI, no surface water releases, or no Generic Factors available</v>
      </c>
      <c r="AA104" s="156" t="str">
        <f>IF(COUNTIF('Raw Annual DMR Data'!K:K,$E104)&gt;0,"N/A - See DMRs",IF(SUMIFS('Raw TRI Data'!$Z:$Z,'Raw TRI Data'!$J:$J,$E104)&gt;0,_xlfn.MAXIFS('Raw TRI Data'!$Z:$Z,'Raw TRI Data'!$J:$J,$E104), "N/A - Facility Does Not Report to TRI, no surface water releases, or no Generic Factors available"))</f>
        <v>N/A - Facility Does Not Report to TRI, no surface water releases, or no Generic Factors available</v>
      </c>
      <c r="AB104" s="113" t="str">
        <f t="shared" si="13"/>
        <v>N/A</v>
      </c>
      <c r="AC104" s="136" t="str" cm="1">
        <f t="array" ref="AC104">IF(COUNTIF('Raw Annual DMR Data'!K:K,$E104)&gt;0,"N/A - See DMRs",IF(SUMIFS('Raw TRI Data'!$Z:$Z,'Raw TRI Data'!$J:$J,$E104)&gt;0,INDEX('Raw TRI Data'!$A:$A,MATCH(1,($E104='Raw TRI Data'!$J:$J)*($AA104='Raw TRI Data'!$Z:$Z),0)), "N/A - Facility Does Not Report to TRI, no surface water releases, or no Generic Factors available"))</f>
        <v>N/A - Facility Does Not Report to TRI, no surface water releases, or no Generic Factors available</v>
      </c>
      <c r="AD104" s="96" t="str" cm="1">
        <f t="array" ref="AD104">IF(COUNTIFS('Raw Annual DMR Data'!L:L,$F104,'Raw Annual DMR Data'!W:W, "&gt;0")&gt;0,MEDIAN(IF('Raw Annual DMR Data'!K:K=$F104, 'Raw Annual DMR Data'!W:W)), "N/A - No Daily Max DMR Discharge Data")</f>
        <v>N/A - No Daily Max DMR Discharge Data</v>
      </c>
      <c r="AE104" s="96" t="str">
        <f>IF(COUNTIFS('Raw Annual DMR Data'!L:L,$F104,'Raw Annual DMR Data'!W:W, "&gt;0")&gt;0,_xlfn.MAXIFS('Raw Annual DMR Data'!W:W,'Raw Annual DMR Data'!L:L,$F104), "N/A - No Daily Max DMR Discharge Data")</f>
        <v>N/A - No Daily Max DMR Discharge Data</v>
      </c>
      <c r="AF104" s="60" t="str" cm="1">
        <f t="array" ref="AF104">IF(COUNTIFS('Raw Annual DMR Data'!L:L,$F104,'Raw Annual DMR Data'!W:W, "&gt;0")&gt;0,INDEX('Raw Annual DMR Data'!B:B,MATCH(1,($F104='Raw Annual DMR Data'!L:L)*($AE104='Raw Annual DMR Data'!W:W),0)), "N/A - No Daily Max DMR Discharge Data")</f>
        <v>N/A - No Daily Max DMR Discharge Data</v>
      </c>
    </row>
    <row r="105" spans="1:32" ht="30.75" thickBot="1" x14ac:dyDescent="0.3">
      <c r="A105" s="144" t="str">
        <f>VLOOKUP(F105,'Facility Summary'!J:K,2,FALSE)</f>
        <v>Repackaging</v>
      </c>
      <c r="B105" s="28" t="s">
        <v>183</v>
      </c>
      <c r="C105" s="28" t="s">
        <v>446</v>
      </c>
      <c r="D105" s="28" t="s">
        <v>303</v>
      </c>
      <c r="E105" s="60" t="s">
        <v>605</v>
      </c>
      <c r="F105" s="74">
        <v>110000539757</v>
      </c>
      <c r="G105" s="74" t="s">
        <v>921</v>
      </c>
      <c r="H105" s="28" t="s">
        <v>922</v>
      </c>
      <c r="I105" s="74">
        <v>8080206001238</v>
      </c>
      <c r="J105" s="74" t="s">
        <v>265</v>
      </c>
      <c r="K105" s="60">
        <f>VLOOKUP(A105, 'OES Summary'!$A:$B, 2, FALSE)</f>
        <v>250</v>
      </c>
      <c r="L105" s="304" cm="1">
        <f t="array" ref="L105">IF(COUNTIF('Raw Annual DMR Data'!$L:$L,$F105)&gt;0,MEDIAN(IF('Raw Annual DMR Data'!$L:$L=F105,'Raw Annual DMR Data'!$S:$S)),"N/A - Facility Does Not Report DMRs")</f>
        <v>2.815283</v>
      </c>
      <c r="M105" s="156">
        <f t="shared" si="11"/>
        <v>1.1261132E-2</v>
      </c>
      <c r="N105" s="156">
        <f>IF(COUNTIF('Raw Annual DMR Data'!$L:$L,$F105)&gt;0,_xlfn.MAXIFS('Raw Annual DMR Data'!$S:$S,'Raw Annual DMR Data'!$L:$L,$F105), "N/A - Facility Does Not Report DMRs")</f>
        <v>13.979519</v>
      </c>
      <c r="O105" s="156">
        <f t="shared" si="12"/>
        <v>5.5918075999999997E-2</v>
      </c>
      <c r="P105" s="113" cm="1">
        <f t="array" ref="P105">IF(COUNTIF('Raw Annual DMR Data'!$L:$L,$F105)&gt;0,INDEX('Raw Annual DMR Data'!$B:$B,MATCH(1,($F105='Raw Annual DMR Data'!$L:$L)*($N105='Raw Annual DMR Data'!$S:$S),0)), "N/A - Facility Does Not Report DMRs")</f>
        <v>2020</v>
      </c>
      <c r="Q105" s="304" t="str" cm="1">
        <f t="array" ref="Q105">IF(COUNTIF('Raw TRI Data'!$J:$J,$E105)&gt;0,MEDIAN(IF('Raw TRI Data'!$J:$J=E105,'Raw TRI Data'!$S:$S)), "N/A - Facility Does Not Report to TRI")</f>
        <v>N/A - Facility Does Not Report to TRI</v>
      </c>
      <c r="R105" s="156" t="str">
        <f t="shared" si="14"/>
        <v>N/A - Facility Does Not Report to TRI</v>
      </c>
      <c r="S105" s="156" t="str">
        <f>IF(COUNTIF('Raw TRI Data'!$J:$J,$E105)&gt;0,_xlfn.MAXIFS('Raw TRI Data'!$S:$S,'Raw TRI Data'!$J:$J,$E105), "N/A - Facility Does Not Report to TRI")</f>
        <v>N/A - Facility Does Not Report to TRI</v>
      </c>
      <c r="T105" s="156" t="str">
        <f t="shared" si="15"/>
        <v>N/A - Facility Does Not Report to TRI</v>
      </c>
      <c r="U105" s="136" t="str" cm="1">
        <f t="array" ref="U105">IF(COUNTIF('Raw TRI Data'!$J:$J,$E105)&gt;0,INDEX('Raw TRI Data'!$A:$A,MATCH(1,($E105='Raw TRI Data'!$J:$J)*(S105='Raw TRI Data'!$S:$S),0)), "N/A - Facility Does Not Report to TRI")</f>
        <v>N/A - Facility Does Not Report to TRI</v>
      </c>
      <c r="V105" s="156" cm="1">
        <f t="array" ref="V105">IF(COUNTIFS('Raw Annual DMR Data'!$L:$L,$F105,'Raw Annual DMR Data'!$U:$U,"&gt;0")&gt;0,MEDIAN(IF('Raw Annual DMR Data'!$L:$L=$F105,'Raw Annual DMR Data'!$U:$U,"")),"N/A - Period DMR Data Not Available")</f>
        <v>6.6616000000000009E-2</v>
      </c>
      <c r="W105" s="156">
        <f>IF(COUNTIFS('Raw Annual DMR Data'!$L:$L,$F105, 'Raw Annual DMR Data'!$U:$U, "&gt;0")&gt;0,_xlfn.MAXIFS('Raw Annual DMR Data'!$U:$U,'Raw Annual DMR Data'!$L:$L,$F105), "N/A - Period DMR Data Not Available")</f>
        <v>6.6616000000000009E-2</v>
      </c>
      <c r="X105" s="113" cm="1">
        <f t="array" ref="X105">+IF(COUNTIFS('Raw Annual DMR Data'!L:L,$F105, 'Raw Annual DMR Data'!U:U, "&gt;0")&gt;0,INDEX('Raw Annual DMR Data'!V:V,MATCH(1,($F105='Raw Annual DMR Data'!L:L)*($W105='Raw Annual DMR Data'!U:U),0)), "N/A - Period DMR Data Not Available")</f>
        <v>92</v>
      </c>
      <c r="Y105" s="113" cm="1">
        <f t="array" ref="Y105">IF(COUNTIFS('Raw Annual DMR Data'!L:L,$F105, 'Raw Annual DMR Data'!U:U, "&gt;0")&gt;0,INDEX('Raw Annual DMR Data'!B:B,MATCH(1,($F105='Raw Annual DMR Data'!L:L)*($W105='Raw Annual DMR Data'!U:U),0)), "N/A - Period DMR Data Not Available")</f>
        <v>2020</v>
      </c>
      <c r="Z105" s="311" t="str" cm="1">
        <f t="array" ref="Z105">IF(COUNTIF('Raw Annual DMR Data'!K:K,$E105)&gt;0,"N/A - See DMRs",IF(SUMIFS('Raw TRI Data'!$Z:$Z,'Raw TRI Data'!$J:$J,$E105)&gt;0,MEDIAN(IF('Raw TRI Data'!$J:$J=$E105,'Raw TRI Data'!$Z:$Z)), "N/A - Facility Does Not Report to TRI, no surface water releases, or no Generic Factors available"))</f>
        <v>N/A - See DMRs</v>
      </c>
      <c r="AA105" s="156" t="str">
        <f>IF(COUNTIF('Raw Annual DMR Data'!K:K,$E105)&gt;0,"N/A - See DMRs",IF(SUMIFS('Raw TRI Data'!$Z:$Z,'Raw TRI Data'!$J:$J,$E105)&gt;0,_xlfn.MAXIFS('Raw TRI Data'!$Z:$Z,'Raw TRI Data'!$J:$J,$E105), "N/A - Facility Does Not Report to TRI, no surface water releases, or no Generic Factors available"))</f>
        <v>N/A - See DMRs</v>
      </c>
      <c r="AB105" s="113" t="str">
        <f t="shared" si="13"/>
        <v>N/A</v>
      </c>
      <c r="AC105" s="136" t="str" cm="1">
        <f t="array" ref="AC105">IF(COUNTIF('Raw Annual DMR Data'!K:K,$E105)&gt;0,"N/A - See DMRs",IF(SUMIFS('Raw TRI Data'!$Z:$Z,'Raw TRI Data'!$J:$J,$E105)&gt;0,INDEX('Raw TRI Data'!$A:$A,MATCH(1,($E105='Raw TRI Data'!$J:$J)*($AA105='Raw TRI Data'!$Z:$Z),0)), "N/A - Facility Does Not Report to TRI, no surface water releases, or no Generic Factors available"))</f>
        <v>N/A - See DMRs</v>
      </c>
      <c r="AD105" s="96" t="e" cm="1">
        <f t="array" ref="AD105">IF(COUNTIFS('Raw Annual DMR Data'!L:L,$F105,'Raw Annual DMR Data'!W:W, "&gt;0")&gt;0,MEDIAN(IF('Raw Annual DMR Data'!K:K=$F105, 'Raw Annual DMR Data'!W:W)), "N/A - No Daily Max DMR Discharge Data")</f>
        <v>#NUM!</v>
      </c>
      <c r="AE105" s="96">
        <f>IF(COUNTIFS('Raw Annual DMR Data'!L:L,$F105,'Raw Annual DMR Data'!W:W, "&gt;0")&gt;0,_xlfn.MAXIFS('Raw Annual DMR Data'!W:W,'Raw Annual DMR Data'!L:L,$F105), "N/A - No Daily Max DMR Discharge Data")</f>
        <v>6.6616000000000009E-2</v>
      </c>
      <c r="AF105" s="60" cm="1">
        <f t="array" ref="AF105">IF(COUNTIFS('Raw Annual DMR Data'!L:L,$F105,'Raw Annual DMR Data'!W:W, "&gt;0")&gt;0,INDEX('Raw Annual DMR Data'!B:B,MATCH(1,($F105='Raw Annual DMR Data'!L:L)*($AE105='Raw Annual DMR Data'!W:W),0)), "N/A - No Daily Max DMR Discharge Data")</f>
        <v>2020</v>
      </c>
    </row>
    <row r="106" spans="1:32" ht="45.75" thickBot="1" x14ac:dyDescent="0.3">
      <c r="A106" s="144" t="str">
        <f>VLOOKUP(F106,'Facility Summary'!J:K,2,FALSE)</f>
        <v>POTW</v>
      </c>
      <c r="B106" s="28" t="s">
        <v>184</v>
      </c>
      <c r="C106" s="28" t="s">
        <v>608</v>
      </c>
      <c r="D106" s="28" t="s">
        <v>324</v>
      </c>
      <c r="E106" s="60"/>
      <c r="F106" s="74">
        <v>110009933484</v>
      </c>
      <c r="G106" s="74" t="s">
        <v>923</v>
      </c>
      <c r="H106" s="28" t="s">
        <v>924</v>
      </c>
      <c r="I106" s="74">
        <v>5100205000153</v>
      </c>
      <c r="J106" s="74" t="s">
        <v>265</v>
      </c>
      <c r="K106" s="60">
        <f>VLOOKUP(A106, 'OES Summary'!$A:$B, 2, FALSE)</f>
        <v>365</v>
      </c>
      <c r="L106" s="304" cm="1">
        <f t="array" ref="L106">IF(COUNTIF('Raw Annual DMR Data'!$L:$L,$F106)&gt;0,MEDIAN(IF('Raw Annual DMR Data'!$L:$L=F106,'Raw Annual DMR Data'!$S:$S)),"N/A - Facility Does Not Report DMRs")</f>
        <v>3.1982303750000001</v>
      </c>
      <c r="M106" s="156">
        <f t="shared" si="11"/>
        <v>8.7622749999999999E-3</v>
      </c>
      <c r="N106" s="156">
        <f>IF(COUNTIF('Raw Annual DMR Data'!$L:$L,$F106)&gt;0,_xlfn.MAXIFS('Raw Annual DMR Data'!$S:$S,'Raw Annual DMR Data'!$L:$L,$F106), "N/A - Facility Does Not Report DMRs")</f>
        <v>3.2327685000000002</v>
      </c>
      <c r="O106" s="156">
        <f t="shared" si="12"/>
        <v>8.8569000000000009E-3</v>
      </c>
      <c r="P106" s="113" cm="1">
        <f t="array" ref="P106">IF(COUNTIF('Raw Annual DMR Data'!$L:$L,$F106)&gt;0,INDEX('Raw Annual DMR Data'!$B:$B,MATCH(1,($F106='Raw Annual DMR Data'!$L:$L)*($N106='Raw Annual DMR Data'!$S:$S),0)), "N/A - Facility Does Not Report DMRs")</f>
        <v>2019</v>
      </c>
      <c r="Q106" s="304" t="str" cm="1">
        <f t="array" ref="Q106">IF(COUNTIF('Raw TRI Data'!$J:$J,$E106)&gt;0,MEDIAN(IF('Raw TRI Data'!$J:$J=E106,'Raw TRI Data'!$S:$S)), "N/A - Facility Does Not Report to TRI")</f>
        <v>N/A - Facility Does Not Report to TRI</v>
      </c>
      <c r="R106" s="156" t="str">
        <f t="shared" si="14"/>
        <v>N/A - Facility Does Not Report to TRI</v>
      </c>
      <c r="S106" s="156" t="str">
        <f>IF(COUNTIF('Raw TRI Data'!$J:$J,$E106)&gt;0,_xlfn.MAXIFS('Raw TRI Data'!$S:$S,'Raw TRI Data'!$J:$J,$E106), "N/A - Facility Does Not Report to TRI")</f>
        <v>N/A - Facility Does Not Report to TRI</v>
      </c>
      <c r="T106" s="156" t="str">
        <f t="shared" si="15"/>
        <v>N/A - Facility Does Not Report to TRI</v>
      </c>
      <c r="U106" s="136" t="str" cm="1">
        <f t="array" ref="U106">IF(COUNTIF('Raw TRI Data'!$J:$J,$E106)&gt;0,INDEX('Raw TRI Data'!$A:$A,MATCH(1,($E106='Raw TRI Data'!$J:$J)*(S106='Raw TRI Data'!$S:$S),0)), "N/A - Facility Does Not Report to TRI")</f>
        <v>N/A - Facility Does Not Report to TRI</v>
      </c>
      <c r="V106" s="156" t="str" cm="1">
        <f t="array" ref="V106">IF(COUNTIFS('Raw Annual DMR Data'!$L:$L,$F106,'Raw Annual DMR Data'!$U:$U,"&gt;0")&gt;0,MEDIAN(IF('Raw Annual DMR Data'!$L:$L=$F106,'Raw Annual DMR Data'!$U:$U,"")),"N/A - Period DMR Data Not Available")</f>
        <v>N/A - Period DMR Data Not Available</v>
      </c>
      <c r="W106" s="156" t="str">
        <f>IF(COUNTIFS('Raw Annual DMR Data'!$L:$L,$F106, 'Raw Annual DMR Data'!$U:$U, "&gt;0")&gt;0,_xlfn.MAXIFS('Raw Annual DMR Data'!$U:$U,'Raw Annual DMR Data'!$L:$L,$F106), "N/A - Period DMR Data Not Available")</f>
        <v>N/A - Period DMR Data Not Available</v>
      </c>
      <c r="X106" s="113" t="str" cm="1">
        <f t="array" ref="X106">+IF(COUNTIFS('Raw Annual DMR Data'!L:L,$F106, 'Raw Annual DMR Data'!U:U, "&gt;0")&gt;0,INDEX('Raw Annual DMR Data'!V:V,MATCH(1,($F106='Raw Annual DMR Data'!L:L)*($W106='Raw Annual DMR Data'!U:U),0)), "N/A - Period DMR Data Not Available")</f>
        <v>N/A - Period DMR Data Not Available</v>
      </c>
      <c r="Y106" s="113" t="str" cm="1">
        <f t="array" ref="Y106">IF(COUNTIFS('Raw Annual DMR Data'!L:L,$F106, 'Raw Annual DMR Data'!U:U, "&gt;0")&gt;0,INDEX('Raw Annual DMR Data'!B:B,MATCH(1,($F106='Raw Annual DMR Data'!L:L)*($W106='Raw Annual DMR Data'!U:U),0)), "N/A - Period DMR Data Not Available")</f>
        <v>N/A - Period DMR Data Not Available</v>
      </c>
      <c r="Z106" s="311" t="str" cm="1">
        <f t="array" ref="Z106">IF(COUNTIF('Raw Annual DMR Data'!K:K,$E106)&gt;0,"N/A - See DMRs",IF(SUMIFS('Raw TRI Data'!$Z:$Z,'Raw TRI Data'!$J:$J,$E106)&gt;0,MEDIAN(IF('Raw TRI Data'!$J:$J=$E106,'Raw TRI Data'!$Z:$Z)), "N/A - Facility Does Not Report to TRI, no surface water releases, or no Generic Factors available"))</f>
        <v>N/A - Facility Does Not Report to TRI, no surface water releases, or no Generic Factors available</v>
      </c>
      <c r="AA106" s="156" t="str">
        <f>IF(COUNTIF('Raw Annual DMR Data'!K:K,$E106)&gt;0,"N/A - See DMRs",IF(SUMIFS('Raw TRI Data'!$Z:$Z,'Raw TRI Data'!$J:$J,$E106)&gt;0,_xlfn.MAXIFS('Raw TRI Data'!$Z:$Z,'Raw TRI Data'!$J:$J,$E106), "N/A - Facility Does Not Report to TRI, no surface water releases, or no Generic Factors available"))</f>
        <v>N/A - Facility Does Not Report to TRI, no surface water releases, or no Generic Factors available</v>
      </c>
      <c r="AB106" s="113" t="str">
        <f t="shared" si="13"/>
        <v>N/A</v>
      </c>
      <c r="AC106" s="136" t="str" cm="1">
        <f t="array" ref="AC106">IF(COUNTIF('Raw Annual DMR Data'!K:K,$E106)&gt;0,"N/A - See DMRs",IF(SUMIFS('Raw TRI Data'!$Z:$Z,'Raw TRI Data'!$J:$J,$E106)&gt;0,INDEX('Raw TRI Data'!$A:$A,MATCH(1,($E106='Raw TRI Data'!$J:$J)*($AA106='Raw TRI Data'!$Z:$Z),0)), "N/A - Facility Does Not Report to TRI, no surface water releases, or no Generic Factors available"))</f>
        <v>N/A - Facility Does Not Report to TRI, no surface water releases, or no Generic Factors available</v>
      </c>
      <c r="AD106" s="96" t="str" cm="1">
        <f t="array" ref="AD106">IF(COUNTIFS('Raw Annual DMR Data'!L:L,$F106,'Raw Annual DMR Data'!W:W, "&gt;0")&gt;0,MEDIAN(IF('Raw Annual DMR Data'!K:K=$F106, 'Raw Annual DMR Data'!W:W)), "N/A - No Daily Max DMR Discharge Data")</f>
        <v>N/A - No Daily Max DMR Discharge Data</v>
      </c>
      <c r="AE106" s="96" t="str">
        <f>IF(COUNTIFS('Raw Annual DMR Data'!L:L,$F106,'Raw Annual DMR Data'!W:W, "&gt;0")&gt;0,_xlfn.MAXIFS('Raw Annual DMR Data'!W:W,'Raw Annual DMR Data'!L:L,$F106), "N/A - No Daily Max DMR Discharge Data")</f>
        <v>N/A - No Daily Max DMR Discharge Data</v>
      </c>
      <c r="AF106" s="60" t="str" cm="1">
        <f t="array" ref="AF106">IF(COUNTIFS('Raw Annual DMR Data'!L:L,$F106,'Raw Annual DMR Data'!W:W, "&gt;0")&gt;0,INDEX('Raw Annual DMR Data'!B:B,MATCH(1,($F106='Raw Annual DMR Data'!L:L)*($AE106='Raw Annual DMR Data'!W:W),0)), "N/A - No Daily Max DMR Discharge Data")</f>
        <v>N/A - No Daily Max DMR Discharge Data</v>
      </c>
    </row>
    <row r="107" spans="1:32" ht="45.75" thickBot="1" x14ac:dyDescent="0.3">
      <c r="A107" s="144" t="str">
        <f>VLOOKUP(F107,'Facility Summary'!J:K,2,FALSE)</f>
        <v>POTW</v>
      </c>
      <c r="B107" s="28" t="s">
        <v>185</v>
      </c>
      <c r="C107" s="28" t="s">
        <v>610</v>
      </c>
      <c r="D107" s="28" t="s">
        <v>366</v>
      </c>
      <c r="E107" s="60"/>
      <c r="F107" s="74">
        <v>110055984546</v>
      </c>
      <c r="G107" s="74" t="s">
        <v>925</v>
      </c>
      <c r="H107" s="28" t="s">
        <v>926</v>
      </c>
      <c r="I107" s="74">
        <v>18060006000118</v>
      </c>
      <c r="J107" s="74" t="s">
        <v>265</v>
      </c>
      <c r="K107" s="60">
        <f>VLOOKUP(A107, 'OES Summary'!$A:$B, 2, FALSE)</f>
        <v>365</v>
      </c>
      <c r="L107" s="304" cm="1">
        <f t="array" ref="L107">IF(COUNTIF('Raw Annual DMR Data'!$L:$L,$F107)&gt;0,MEDIAN(IF('Raw Annual DMR Data'!$L:$L=F107,'Raw Annual DMR Data'!$S:$S)),"N/A - Facility Does Not Report DMRs")</f>
        <v>7.1685818250000005E-2</v>
      </c>
      <c r="M107" s="156">
        <f t="shared" si="11"/>
        <v>1.9639950205479454E-4</v>
      </c>
      <c r="N107" s="156">
        <f>IF(COUNTIF('Raw Annual DMR Data'!$L:$L,$F107)&gt;0,_xlfn.MAXIFS('Raw Annual DMR Data'!$S:$S,'Raw Annual DMR Data'!$L:$L,$F107), "N/A - Facility Does Not Report DMRs")</f>
        <v>7.1685818250000005E-2</v>
      </c>
      <c r="O107" s="156">
        <f t="shared" si="12"/>
        <v>1.9639950205479454E-4</v>
      </c>
      <c r="P107" s="113" cm="1">
        <f t="array" ref="P107">IF(COUNTIF('Raw Annual DMR Data'!$L:$L,$F107)&gt;0,INDEX('Raw Annual DMR Data'!$B:$B,MATCH(1,($F107='Raw Annual DMR Data'!$L:$L)*($N107='Raw Annual DMR Data'!$S:$S),0)), "N/A - Facility Does Not Report DMRs")</f>
        <v>2018</v>
      </c>
      <c r="Q107" s="304" t="str" cm="1">
        <f t="array" ref="Q107">IF(COUNTIF('Raw TRI Data'!$J:$J,$E107)&gt;0,MEDIAN(IF('Raw TRI Data'!$J:$J=E107,'Raw TRI Data'!$S:$S)), "N/A - Facility Does Not Report to TRI")</f>
        <v>N/A - Facility Does Not Report to TRI</v>
      </c>
      <c r="R107" s="156" t="str">
        <f t="shared" si="14"/>
        <v>N/A - Facility Does Not Report to TRI</v>
      </c>
      <c r="S107" s="156" t="str">
        <f>IF(COUNTIF('Raw TRI Data'!$J:$J,$E107)&gt;0,_xlfn.MAXIFS('Raw TRI Data'!$S:$S,'Raw TRI Data'!$J:$J,$E107), "N/A - Facility Does Not Report to TRI")</f>
        <v>N/A - Facility Does Not Report to TRI</v>
      </c>
      <c r="T107" s="156" t="str">
        <f t="shared" si="15"/>
        <v>N/A - Facility Does Not Report to TRI</v>
      </c>
      <c r="U107" s="136" t="str" cm="1">
        <f t="array" ref="U107">IF(COUNTIF('Raw TRI Data'!$J:$J,$E107)&gt;0,INDEX('Raw TRI Data'!$A:$A,MATCH(1,($E107='Raw TRI Data'!$J:$J)*(S107='Raw TRI Data'!$S:$S),0)), "N/A - Facility Does Not Report to TRI")</f>
        <v>N/A - Facility Does Not Report to TRI</v>
      </c>
      <c r="V107" s="156" t="str" cm="1">
        <f t="array" ref="V107">IF(COUNTIFS('Raw Annual DMR Data'!$L:$L,$F107,'Raw Annual DMR Data'!$U:$U,"&gt;0")&gt;0,MEDIAN(IF('Raw Annual DMR Data'!$L:$L=$F107,'Raw Annual DMR Data'!$U:$U,"")),"N/A - Period DMR Data Not Available")</f>
        <v>N/A - Period DMR Data Not Available</v>
      </c>
      <c r="W107" s="156" t="str">
        <f>IF(COUNTIFS('Raw Annual DMR Data'!$L:$L,$F107, 'Raw Annual DMR Data'!$U:$U, "&gt;0")&gt;0,_xlfn.MAXIFS('Raw Annual DMR Data'!$U:$U,'Raw Annual DMR Data'!$L:$L,$F107), "N/A - Period DMR Data Not Available")</f>
        <v>N/A - Period DMR Data Not Available</v>
      </c>
      <c r="X107" s="113" t="str" cm="1">
        <f t="array" ref="X107">+IF(COUNTIFS('Raw Annual DMR Data'!L:L,$F107, 'Raw Annual DMR Data'!U:U, "&gt;0")&gt;0,INDEX('Raw Annual DMR Data'!V:V,MATCH(1,($F107='Raw Annual DMR Data'!L:L)*($W107='Raw Annual DMR Data'!U:U),0)), "N/A - Period DMR Data Not Available")</f>
        <v>N/A - Period DMR Data Not Available</v>
      </c>
      <c r="Y107" s="113" t="str" cm="1">
        <f t="array" ref="Y107">IF(COUNTIFS('Raw Annual DMR Data'!L:L,$F107, 'Raw Annual DMR Data'!U:U, "&gt;0")&gt;0,INDEX('Raw Annual DMR Data'!B:B,MATCH(1,($F107='Raw Annual DMR Data'!L:L)*($W107='Raw Annual DMR Data'!U:U),0)), "N/A - Period DMR Data Not Available")</f>
        <v>N/A - Period DMR Data Not Available</v>
      </c>
      <c r="Z107" s="311" t="str" cm="1">
        <f t="array" ref="Z107">IF(COUNTIF('Raw Annual DMR Data'!K:K,$E107)&gt;0,"N/A - See DMRs",IF(SUMIFS('Raw TRI Data'!$Z:$Z,'Raw TRI Data'!$J:$J,$E107)&gt;0,MEDIAN(IF('Raw TRI Data'!$J:$J=$E107,'Raw TRI Data'!$Z:$Z)), "N/A - Facility Does Not Report to TRI, no surface water releases, or no Generic Factors available"))</f>
        <v>N/A - Facility Does Not Report to TRI, no surface water releases, or no Generic Factors available</v>
      </c>
      <c r="AA107" s="156" t="str">
        <f>IF(COUNTIF('Raw Annual DMR Data'!K:K,$E107)&gt;0,"N/A - See DMRs",IF(SUMIFS('Raw TRI Data'!$Z:$Z,'Raw TRI Data'!$J:$J,$E107)&gt;0,_xlfn.MAXIFS('Raw TRI Data'!$Z:$Z,'Raw TRI Data'!$J:$J,$E107), "N/A - Facility Does Not Report to TRI, no surface water releases, or no Generic Factors available"))</f>
        <v>N/A - Facility Does Not Report to TRI, no surface water releases, or no Generic Factors available</v>
      </c>
      <c r="AB107" s="113" t="str">
        <f t="shared" si="13"/>
        <v>N/A</v>
      </c>
      <c r="AC107" s="136" t="str" cm="1">
        <f t="array" ref="AC107">IF(COUNTIF('Raw Annual DMR Data'!K:K,$E107)&gt;0,"N/A - See DMRs",IF(SUMIFS('Raw TRI Data'!$Z:$Z,'Raw TRI Data'!$J:$J,$E107)&gt;0,INDEX('Raw TRI Data'!$A:$A,MATCH(1,($E107='Raw TRI Data'!$J:$J)*($AA107='Raw TRI Data'!$Z:$Z),0)), "N/A - Facility Does Not Report to TRI, no surface water releases, or no Generic Factors available"))</f>
        <v>N/A - Facility Does Not Report to TRI, no surface water releases, or no Generic Factors available</v>
      </c>
      <c r="AD107" s="96" t="str" cm="1">
        <f t="array" ref="AD107">IF(COUNTIFS('Raw Annual DMR Data'!L:L,$F107,'Raw Annual DMR Data'!W:W, "&gt;0")&gt;0,MEDIAN(IF('Raw Annual DMR Data'!K:K=$F107, 'Raw Annual DMR Data'!W:W)), "N/A - No Daily Max DMR Discharge Data")</f>
        <v>N/A - No Daily Max DMR Discharge Data</v>
      </c>
      <c r="AE107" s="96" t="str">
        <f>IF(COUNTIFS('Raw Annual DMR Data'!L:L,$F107,'Raw Annual DMR Data'!W:W, "&gt;0")&gt;0,_xlfn.MAXIFS('Raw Annual DMR Data'!W:W,'Raw Annual DMR Data'!L:L,$F107), "N/A - No Daily Max DMR Discharge Data")</f>
        <v>N/A - No Daily Max DMR Discharge Data</v>
      </c>
      <c r="AF107" s="60" t="str" cm="1">
        <f t="array" ref="AF107">IF(COUNTIFS('Raw Annual DMR Data'!L:L,$F107,'Raw Annual DMR Data'!W:W, "&gt;0")&gt;0,INDEX('Raw Annual DMR Data'!B:B,MATCH(1,($F107='Raw Annual DMR Data'!L:L)*($AE107='Raw Annual DMR Data'!W:W),0)), "N/A - No Daily Max DMR Discharge Data")</f>
        <v>N/A - No Daily Max DMR Discharge Data</v>
      </c>
    </row>
    <row r="108" spans="1:32" ht="45.75" thickBot="1" x14ac:dyDescent="0.3">
      <c r="A108" s="144" t="str">
        <f>VLOOKUP(F108,'Facility Summary'!J:K,2,FALSE)</f>
        <v>Waste Handling, Disposal and Treatment (non-POTW WWT)</v>
      </c>
      <c r="B108" s="28" t="s">
        <v>186</v>
      </c>
      <c r="C108" s="28" t="s">
        <v>612</v>
      </c>
      <c r="D108" s="28" t="s">
        <v>366</v>
      </c>
      <c r="E108" s="60"/>
      <c r="F108" s="74">
        <v>110017860894</v>
      </c>
      <c r="G108" s="74" t="s">
        <v>927</v>
      </c>
      <c r="H108" s="28" t="s">
        <v>928</v>
      </c>
      <c r="I108" s="74">
        <v>18070304000120</v>
      </c>
      <c r="J108" s="74" t="s">
        <v>265</v>
      </c>
      <c r="K108" s="60">
        <f>VLOOKUP(A108, 'OES Summary'!$A:$B, 2, FALSE)</f>
        <v>250</v>
      </c>
      <c r="L108" s="304" cm="1">
        <f t="array" ref="L108">IF(COUNTIF('Raw Annual DMR Data'!$L:$L,$F108)&gt;0,MEDIAN(IF('Raw Annual DMR Data'!$L:$L=F108,'Raw Annual DMR Data'!$S:$S)),"N/A - Facility Does Not Report DMRs")</f>
        <v>3.1451247165532847</v>
      </c>
      <c r="M108" s="156">
        <f t="shared" si="11"/>
        <v>1.2580498866213138E-2</v>
      </c>
      <c r="N108" s="156">
        <f>IF(COUNTIF('Raw Annual DMR Data'!$L:$L,$F108)&gt;0,_xlfn.MAXIFS('Raw Annual DMR Data'!$S:$S,'Raw Annual DMR Data'!$L:$L,$F108), "N/A - Facility Does Not Report DMRs")</f>
        <v>4.1383219954648496</v>
      </c>
      <c r="O108" s="156">
        <f t="shared" si="12"/>
        <v>1.6553287981859399E-2</v>
      </c>
      <c r="P108" s="113" cm="1">
        <f t="array" ref="P108">IF(COUNTIF('Raw Annual DMR Data'!$L:$L,$F108)&gt;0,INDEX('Raw Annual DMR Data'!$B:$B,MATCH(1,($F108='Raw Annual DMR Data'!$L:$L)*($N108='Raw Annual DMR Data'!$S:$S),0)), "N/A - Facility Does Not Report DMRs")</f>
        <v>2015</v>
      </c>
      <c r="Q108" s="304" t="str" cm="1">
        <f t="array" ref="Q108">IF(COUNTIF('Raw TRI Data'!$J:$J,$E108)&gt;0,MEDIAN(IF('Raw TRI Data'!$J:$J=E108,'Raw TRI Data'!$S:$S)), "N/A - Facility Does Not Report to TRI")</f>
        <v>N/A - Facility Does Not Report to TRI</v>
      </c>
      <c r="R108" s="156" t="str">
        <f t="shared" si="14"/>
        <v>N/A - Facility Does Not Report to TRI</v>
      </c>
      <c r="S108" s="156" t="str">
        <f>IF(COUNTIF('Raw TRI Data'!$J:$J,$E108)&gt;0,_xlfn.MAXIFS('Raw TRI Data'!$S:$S,'Raw TRI Data'!$J:$J,$E108), "N/A - Facility Does Not Report to TRI")</f>
        <v>N/A - Facility Does Not Report to TRI</v>
      </c>
      <c r="T108" s="156" t="str">
        <f t="shared" si="15"/>
        <v>N/A - Facility Does Not Report to TRI</v>
      </c>
      <c r="U108" s="136" t="str" cm="1">
        <f t="array" ref="U108">IF(COUNTIF('Raw TRI Data'!$J:$J,$E108)&gt;0,INDEX('Raw TRI Data'!$A:$A,MATCH(1,($E108='Raw TRI Data'!$J:$J)*(S108='Raw TRI Data'!$S:$S),0)), "N/A - Facility Does Not Report to TRI")</f>
        <v>N/A - Facility Does Not Report to TRI</v>
      </c>
      <c r="V108" s="156" t="str" cm="1">
        <f t="array" ref="V108">IF(COUNTIFS('Raw Annual DMR Data'!$L:$L,$F108,'Raw Annual DMR Data'!$U:$U,"&gt;0")&gt;0,MEDIAN(IF('Raw Annual DMR Data'!$L:$L=$F108,'Raw Annual DMR Data'!$U:$U,"")),"N/A - Period DMR Data Not Available")</f>
        <v>N/A - Period DMR Data Not Available</v>
      </c>
      <c r="W108" s="156" t="str">
        <f>IF(COUNTIFS('Raw Annual DMR Data'!$L:$L,$F108, 'Raw Annual DMR Data'!$U:$U, "&gt;0")&gt;0,_xlfn.MAXIFS('Raw Annual DMR Data'!$U:$U,'Raw Annual DMR Data'!$L:$L,$F108), "N/A - Period DMR Data Not Available")</f>
        <v>N/A - Period DMR Data Not Available</v>
      </c>
      <c r="X108" s="113" t="str" cm="1">
        <f t="array" ref="X108">+IF(COUNTIFS('Raw Annual DMR Data'!L:L,$F108, 'Raw Annual DMR Data'!U:U, "&gt;0")&gt;0,INDEX('Raw Annual DMR Data'!V:V,MATCH(1,($F108='Raw Annual DMR Data'!L:L)*($W108='Raw Annual DMR Data'!U:U),0)), "N/A - Period DMR Data Not Available")</f>
        <v>N/A - Period DMR Data Not Available</v>
      </c>
      <c r="Y108" s="113" t="str" cm="1">
        <f t="array" ref="Y108">IF(COUNTIFS('Raw Annual DMR Data'!L:L,$F108, 'Raw Annual DMR Data'!U:U, "&gt;0")&gt;0,INDEX('Raw Annual DMR Data'!B:B,MATCH(1,($F108='Raw Annual DMR Data'!L:L)*($W108='Raw Annual DMR Data'!U:U),0)), "N/A - Period DMR Data Not Available")</f>
        <v>N/A - Period DMR Data Not Available</v>
      </c>
      <c r="Z108" s="311" t="str" cm="1">
        <f t="array" ref="Z108">IF(COUNTIF('Raw Annual DMR Data'!K:K,$E108)&gt;0,"N/A - See DMRs",IF(SUMIFS('Raw TRI Data'!$Z:$Z,'Raw TRI Data'!$J:$J,$E108)&gt;0,MEDIAN(IF('Raw TRI Data'!$J:$J=$E108,'Raw TRI Data'!$Z:$Z)), "N/A - Facility Does Not Report to TRI, no surface water releases, or no Generic Factors available"))</f>
        <v>N/A - Facility Does Not Report to TRI, no surface water releases, or no Generic Factors available</v>
      </c>
      <c r="AA108" s="156" t="str">
        <f>IF(COUNTIF('Raw Annual DMR Data'!K:K,$E108)&gt;0,"N/A - See DMRs",IF(SUMIFS('Raw TRI Data'!$Z:$Z,'Raw TRI Data'!$J:$J,$E108)&gt;0,_xlfn.MAXIFS('Raw TRI Data'!$Z:$Z,'Raw TRI Data'!$J:$J,$E108), "N/A - Facility Does Not Report to TRI, no surface water releases, or no Generic Factors available"))</f>
        <v>N/A - Facility Does Not Report to TRI, no surface water releases, or no Generic Factors available</v>
      </c>
      <c r="AB108" s="113" t="str">
        <f t="shared" si="13"/>
        <v>N/A</v>
      </c>
      <c r="AC108" s="136" t="str" cm="1">
        <f t="array" ref="AC108">IF(COUNTIF('Raw Annual DMR Data'!K:K,$E108)&gt;0,"N/A - See DMRs",IF(SUMIFS('Raw TRI Data'!$Z:$Z,'Raw TRI Data'!$J:$J,$E108)&gt;0,INDEX('Raw TRI Data'!$A:$A,MATCH(1,($E108='Raw TRI Data'!$J:$J)*($AA108='Raw TRI Data'!$Z:$Z),0)), "N/A - Facility Does Not Report to TRI, no surface water releases, or no Generic Factors available"))</f>
        <v>N/A - Facility Does Not Report to TRI, no surface water releases, or no Generic Factors available</v>
      </c>
      <c r="AD108" s="96" t="str" cm="1">
        <f t="array" ref="AD108">IF(COUNTIFS('Raw Annual DMR Data'!L:L,$F108,'Raw Annual DMR Data'!W:W, "&gt;0")&gt;0,MEDIAN(IF('Raw Annual DMR Data'!K:K=$F108, 'Raw Annual DMR Data'!W:W)), "N/A - No Daily Max DMR Discharge Data")</f>
        <v>N/A - No Daily Max DMR Discharge Data</v>
      </c>
      <c r="AE108" s="96" t="str">
        <f>IF(COUNTIFS('Raw Annual DMR Data'!L:L,$F108,'Raw Annual DMR Data'!W:W, "&gt;0")&gt;0,_xlfn.MAXIFS('Raw Annual DMR Data'!W:W,'Raw Annual DMR Data'!L:L,$F108), "N/A - No Daily Max DMR Discharge Data")</f>
        <v>N/A - No Daily Max DMR Discharge Data</v>
      </c>
      <c r="AF108" s="60" t="str" cm="1">
        <f t="array" ref="AF108">IF(COUNTIFS('Raw Annual DMR Data'!L:L,$F108,'Raw Annual DMR Data'!W:W, "&gt;0")&gt;0,INDEX('Raw Annual DMR Data'!B:B,MATCH(1,($F108='Raw Annual DMR Data'!L:L)*($AE108='Raw Annual DMR Data'!W:W),0)), "N/A - No Daily Max DMR Discharge Data")</f>
        <v>N/A - No Daily Max DMR Discharge Data</v>
      </c>
    </row>
    <row r="109" spans="1:32" ht="30.75" thickBot="1" x14ac:dyDescent="0.3">
      <c r="A109" s="144" t="str">
        <f>VLOOKUP(F109,'Facility Summary'!J:K,2,FALSE)</f>
        <v>Manufacturing</v>
      </c>
      <c r="B109" s="28" t="s">
        <v>187</v>
      </c>
      <c r="C109" s="28" t="s">
        <v>615</v>
      </c>
      <c r="D109" s="28" t="s">
        <v>362</v>
      </c>
      <c r="E109" s="60" t="s">
        <v>616</v>
      </c>
      <c r="F109" s="74">
        <v>110000501519</v>
      </c>
      <c r="G109" s="74" t="s">
        <v>929</v>
      </c>
      <c r="H109" s="28" t="s">
        <v>930</v>
      </c>
      <c r="I109" s="74">
        <v>12040104015035</v>
      </c>
      <c r="J109" s="74" t="s">
        <v>265</v>
      </c>
      <c r="K109" s="60">
        <f>VLOOKUP(A109, 'OES Summary'!$A:$B, 2, FALSE)</f>
        <v>350</v>
      </c>
      <c r="L109" s="304" cm="1">
        <f t="array" ref="L109">IF(COUNTIF('Raw Annual DMR Data'!$L:$L,$F109)&gt;0,MEDIAN(IF('Raw Annual DMR Data'!$L:$L=F109,'Raw Annual DMR Data'!$S:$S)),"N/A - Facility Does Not Report DMRs")</f>
        <v>9.8364579999999995E-5</v>
      </c>
      <c r="M109" s="156">
        <f t="shared" si="11"/>
        <v>2.8104165714285715E-7</v>
      </c>
      <c r="N109" s="156">
        <f>IF(COUNTIF('Raw Annual DMR Data'!$L:$L,$F109)&gt;0,_xlfn.MAXIFS('Raw Annual DMR Data'!$S:$S,'Raw Annual DMR Data'!$L:$L,$F109), "N/A - Facility Does Not Report DMRs")</f>
        <v>3.8544547499999998E-3</v>
      </c>
      <c r="O109" s="156">
        <f t="shared" si="12"/>
        <v>1.1012727857142857E-5</v>
      </c>
      <c r="P109" s="113" cm="1">
        <f t="array" ref="P109">IF(COUNTIF('Raw Annual DMR Data'!$L:$L,$F109)&gt;0,INDEX('Raw Annual DMR Data'!$B:$B,MATCH(1,($F109='Raw Annual DMR Data'!$L:$L)*($N109='Raw Annual DMR Data'!$S:$S),0)), "N/A - Facility Does Not Report DMRs")</f>
        <v>2023</v>
      </c>
      <c r="Q109" s="304" t="str" cm="1">
        <f t="array" ref="Q109">IF(COUNTIF('Raw TRI Data'!$J:$J,$E109)&gt;0,MEDIAN(IF('Raw TRI Data'!$J:$J=E109,'Raw TRI Data'!$S:$S)), "N/A - Facility Does Not Report to TRI")</f>
        <v>N/A - Facility Does Not Report to TRI</v>
      </c>
      <c r="R109" s="156" t="str">
        <f t="shared" si="14"/>
        <v>N/A - Facility Does Not Report to TRI</v>
      </c>
      <c r="S109" s="156" t="str">
        <f>IF(COUNTIF('Raw TRI Data'!$J:$J,$E109)&gt;0,_xlfn.MAXIFS('Raw TRI Data'!$S:$S,'Raw TRI Data'!$J:$J,$E109), "N/A - Facility Does Not Report to TRI")</f>
        <v>N/A - Facility Does Not Report to TRI</v>
      </c>
      <c r="T109" s="156" t="str">
        <f t="shared" si="15"/>
        <v>N/A - Facility Does Not Report to TRI</v>
      </c>
      <c r="U109" s="136" t="str" cm="1">
        <f t="array" ref="U109">IF(COUNTIF('Raw TRI Data'!$J:$J,$E109)&gt;0,INDEX('Raw TRI Data'!$A:$A,MATCH(1,($E109='Raw TRI Data'!$J:$J)*(S109='Raw TRI Data'!$S:$S),0)), "N/A - Facility Does Not Report to TRI")</f>
        <v>N/A - Facility Does Not Report to TRI</v>
      </c>
      <c r="V109" s="156" t="str" cm="1">
        <f t="array" ref="V109">IF(COUNTIFS('Raw Annual DMR Data'!$L:$L,$F109,'Raw Annual DMR Data'!$U:$U,"&gt;0")&gt;0,MEDIAN(IF('Raw Annual DMR Data'!$L:$L=$F109,'Raw Annual DMR Data'!$U:$U,"")),"N/A - Period DMR Data Not Available")</f>
        <v>N/A - Period DMR Data Not Available</v>
      </c>
      <c r="W109" s="156" t="str">
        <f>IF(COUNTIFS('Raw Annual DMR Data'!$L:$L,$F109, 'Raw Annual DMR Data'!$U:$U, "&gt;0")&gt;0,_xlfn.MAXIFS('Raw Annual DMR Data'!$U:$U,'Raw Annual DMR Data'!$L:$L,$F109), "N/A - Period DMR Data Not Available")</f>
        <v>N/A - Period DMR Data Not Available</v>
      </c>
      <c r="X109" s="113" t="str" cm="1">
        <f t="array" ref="X109">+IF(COUNTIFS('Raw Annual DMR Data'!L:L,$F109, 'Raw Annual DMR Data'!U:U, "&gt;0")&gt;0,INDEX('Raw Annual DMR Data'!V:V,MATCH(1,($F109='Raw Annual DMR Data'!L:L)*($W109='Raw Annual DMR Data'!U:U),0)), "N/A - Period DMR Data Not Available")</f>
        <v>N/A - Period DMR Data Not Available</v>
      </c>
      <c r="Y109" s="113" t="str" cm="1">
        <f t="array" ref="Y109">IF(COUNTIFS('Raw Annual DMR Data'!L:L,$F109, 'Raw Annual DMR Data'!U:U, "&gt;0")&gt;0,INDEX('Raw Annual DMR Data'!B:B,MATCH(1,($F109='Raw Annual DMR Data'!L:L)*($W109='Raw Annual DMR Data'!U:U),0)), "N/A - Period DMR Data Not Available")</f>
        <v>N/A - Period DMR Data Not Available</v>
      </c>
      <c r="Z109" s="311" t="str" cm="1">
        <f t="array" ref="Z109">IF(COUNTIF('Raw Annual DMR Data'!K:K,$E109)&gt;0,"N/A - See DMRs",IF(SUMIFS('Raw TRI Data'!$Z:$Z,'Raw TRI Data'!$J:$J,$E109)&gt;0,MEDIAN(IF('Raw TRI Data'!$J:$J=$E109,'Raw TRI Data'!$Z:$Z)), "N/A - Facility Does Not Report to TRI, no surface water releases, or no Generic Factors available"))</f>
        <v>N/A - See DMRs</v>
      </c>
      <c r="AA109" s="156" t="str">
        <f>IF(COUNTIF('Raw Annual DMR Data'!K:K,$E109)&gt;0,"N/A - See DMRs",IF(SUMIFS('Raw TRI Data'!$Z:$Z,'Raw TRI Data'!$J:$J,$E109)&gt;0,_xlfn.MAXIFS('Raw TRI Data'!$Z:$Z,'Raw TRI Data'!$J:$J,$E109), "N/A - Facility Does Not Report to TRI, no surface water releases, or no Generic Factors available"))</f>
        <v>N/A - See DMRs</v>
      </c>
      <c r="AB109" s="113" t="str">
        <f t="shared" si="13"/>
        <v>N/A</v>
      </c>
      <c r="AC109" s="136" t="str" cm="1">
        <f t="array" ref="AC109">IF(COUNTIF('Raw Annual DMR Data'!K:K,$E109)&gt;0,"N/A - See DMRs",IF(SUMIFS('Raw TRI Data'!$Z:$Z,'Raw TRI Data'!$J:$J,$E109)&gt;0,INDEX('Raw TRI Data'!$A:$A,MATCH(1,($E109='Raw TRI Data'!$J:$J)*($AA109='Raw TRI Data'!$Z:$Z),0)), "N/A - Facility Does Not Report to TRI, no surface water releases, or no Generic Factors available"))</f>
        <v>N/A - See DMRs</v>
      </c>
      <c r="AD109" s="96" t="str" cm="1">
        <f t="array" ref="AD109">IF(COUNTIFS('Raw Annual DMR Data'!L:L,$F109,'Raw Annual DMR Data'!W:W, "&gt;0")&gt;0,MEDIAN(IF('Raw Annual DMR Data'!K:K=$F109, 'Raw Annual DMR Data'!W:W)), "N/A - No Daily Max DMR Discharge Data")</f>
        <v>N/A - No Daily Max DMR Discharge Data</v>
      </c>
      <c r="AE109" s="96" t="str">
        <f>IF(COUNTIFS('Raw Annual DMR Data'!L:L,$F109,'Raw Annual DMR Data'!W:W, "&gt;0")&gt;0,_xlfn.MAXIFS('Raw Annual DMR Data'!W:W,'Raw Annual DMR Data'!L:L,$F109), "N/A - No Daily Max DMR Discharge Data")</f>
        <v>N/A - No Daily Max DMR Discharge Data</v>
      </c>
      <c r="AF109" s="60" t="str" cm="1">
        <f t="array" ref="AF109">IF(COUNTIFS('Raw Annual DMR Data'!L:L,$F109,'Raw Annual DMR Data'!W:W, "&gt;0")&gt;0,INDEX('Raw Annual DMR Data'!B:B,MATCH(1,($F109='Raw Annual DMR Data'!L:L)*($AE109='Raw Annual DMR Data'!W:W),0)), "N/A - No Daily Max DMR Discharge Data")</f>
        <v>N/A - No Daily Max DMR Discharge Data</v>
      </c>
    </row>
    <row r="110" spans="1:32" ht="30.75" thickBot="1" x14ac:dyDescent="0.3">
      <c r="A110" s="144" t="str">
        <f>VLOOKUP(F110,'Facility Summary'!J:K,2,FALSE)</f>
        <v>Manufacturing</v>
      </c>
      <c r="B110" s="28" t="s">
        <v>188</v>
      </c>
      <c r="C110" s="28" t="s">
        <v>618</v>
      </c>
      <c r="D110" s="28" t="s">
        <v>311</v>
      </c>
      <c r="E110" s="60" t="s">
        <v>619</v>
      </c>
      <c r="F110" s="74">
        <v>110000572782</v>
      </c>
      <c r="G110" s="74" t="s">
        <v>931</v>
      </c>
      <c r="H110" s="28" t="s">
        <v>932</v>
      </c>
      <c r="I110" s="74">
        <v>5020003000026</v>
      </c>
      <c r="J110" s="74" t="s">
        <v>265</v>
      </c>
      <c r="K110" s="60">
        <f>VLOOKUP(A110, 'OES Summary'!$A:$B, 2, FALSE)</f>
        <v>350</v>
      </c>
      <c r="L110" s="304" cm="1">
        <f t="array" ref="L110">IF(COUNTIF('Raw Annual DMR Data'!$L:$L,$F110)&gt;0,MEDIAN(IF('Raw Annual DMR Data'!$L:$L=F110,'Raw Annual DMR Data'!$S:$S)),"N/A - Facility Does Not Report DMRs")</f>
        <v>2.551932953514735E-2</v>
      </c>
      <c r="M110" s="156">
        <f t="shared" si="11"/>
        <v>7.2912370100420995E-5</v>
      </c>
      <c r="N110" s="156">
        <f>IF(COUNTIF('Raw Annual DMR Data'!$L:$L,$F110)&gt;0,_xlfn.MAXIFS('Raw Annual DMR Data'!$S:$S,'Raw Annual DMR Data'!$L:$L,$F110), "N/A - Facility Does Not Report DMRs")</f>
        <v>0.32747888130000002</v>
      </c>
      <c r="O110" s="156">
        <f t="shared" si="12"/>
        <v>9.356539465714286E-4</v>
      </c>
      <c r="P110" s="113" cm="1">
        <f t="array" ref="P110">IF(COUNTIF('Raw Annual DMR Data'!$L:$L,$F110)&gt;0,INDEX('Raw Annual DMR Data'!$B:$B,MATCH(1,($F110='Raw Annual DMR Data'!$L:$L)*($N110='Raw Annual DMR Data'!$S:$S),0)), "N/A - Facility Does Not Report DMRs")</f>
        <v>2021</v>
      </c>
      <c r="Q110" s="304" t="str" cm="1">
        <f t="array" ref="Q110">IF(COUNTIF('Raw TRI Data'!$J:$J,$E110)&gt;0,MEDIAN(IF('Raw TRI Data'!$J:$J=E110,'Raw TRI Data'!$S:$S)), "N/A - Facility Does Not Report to TRI")</f>
        <v>N/A - Facility Does Not Report to TRI</v>
      </c>
      <c r="R110" s="156" t="str">
        <f t="shared" si="14"/>
        <v>N/A - Facility Does Not Report to TRI</v>
      </c>
      <c r="S110" s="156" t="str">
        <f>IF(COUNTIF('Raw TRI Data'!$J:$J,$E110)&gt;0,_xlfn.MAXIFS('Raw TRI Data'!$S:$S,'Raw TRI Data'!$J:$J,$E110), "N/A - Facility Does Not Report to TRI")</f>
        <v>N/A - Facility Does Not Report to TRI</v>
      </c>
      <c r="T110" s="156" t="str">
        <f t="shared" si="15"/>
        <v>N/A - Facility Does Not Report to TRI</v>
      </c>
      <c r="U110" s="136" t="str" cm="1">
        <f t="array" ref="U110">IF(COUNTIF('Raw TRI Data'!$J:$J,$E110)&gt;0,INDEX('Raw TRI Data'!$A:$A,MATCH(1,($E110='Raw TRI Data'!$J:$J)*(S110='Raw TRI Data'!$S:$S),0)), "N/A - Facility Does Not Report to TRI")</f>
        <v>N/A - Facility Does Not Report to TRI</v>
      </c>
      <c r="V110" s="156" t="str" cm="1">
        <f t="array" ref="V110">IF(COUNTIFS('Raw Annual DMR Data'!$L:$L,$F110,'Raw Annual DMR Data'!$U:$U,"&gt;0")&gt;0,MEDIAN(IF('Raw Annual DMR Data'!$L:$L=$F110,'Raw Annual DMR Data'!$U:$U,"")),"N/A - Period DMR Data Not Available")</f>
        <v>N/A - Period DMR Data Not Available</v>
      </c>
      <c r="W110" s="156" t="str">
        <f>IF(COUNTIFS('Raw Annual DMR Data'!$L:$L,$F110, 'Raw Annual DMR Data'!$U:$U, "&gt;0")&gt;0,_xlfn.MAXIFS('Raw Annual DMR Data'!$U:$U,'Raw Annual DMR Data'!$L:$L,$F110), "N/A - Period DMR Data Not Available")</f>
        <v>N/A - Period DMR Data Not Available</v>
      </c>
      <c r="X110" s="113" t="str" cm="1">
        <f t="array" ref="X110">+IF(COUNTIFS('Raw Annual DMR Data'!L:L,$F110, 'Raw Annual DMR Data'!U:U, "&gt;0")&gt;0,INDEX('Raw Annual DMR Data'!V:V,MATCH(1,($F110='Raw Annual DMR Data'!L:L)*($W110='Raw Annual DMR Data'!U:U),0)), "N/A - Period DMR Data Not Available")</f>
        <v>N/A - Period DMR Data Not Available</v>
      </c>
      <c r="Y110" s="113" t="str" cm="1">
        <f t="array" ref="Y110">IF(COUNTIFS('Raw Annual DMR Data'!L:L,$F110, 'Raw Annual DMR Data'!U:U, "&gt;0")&gt;0,INDEX('Raw Annual DMR Data'!B:B,MATCH(1,($F110='Raw Annual DMR Data'!L:L)*($W110='Raw Annual DMR Data'!U:U),0)), "N/A - Period DMR Data Not Available")</f>
        <v>N/A - Period DMR Data Not Available</v>
      </c>
      <c r="Z110" s="311" t="str" cm="1">
        <f t="array" ref="Z110">IF(COUNTIF('Raw Annual DMR Data'!K:K,$E110)&gt;0,"N/A - See DMRs",IF(SUMIFS('Raw TRI Data'!$Z:$Z,'Raw TRI Data'!$J:$J,$E110)&gt;0,MEDIAN(IF('Raw TRI Data'!$J:$J=$E110,'Raw TRI Data'!$Z:$Z)), "N/A - Facility Does Not Report to TRI, no surface water releases, or no Generic Factors available"))</f>
        <v>N/A - See DMRs</v>
      </c>
      <c r="AA110" s="156" t="str">
        <f>IF(COUNTIF('Raw Annual DMR Data'!K:K,$E110)&gt;0,"N/A - See DMRs",IF(SUMIFS('Raw TRI Data'!$Z:$Z,'Raw TRI Data'!$J:$J,$E110)&gt;0,_xlfn.MAXIFS('Raw TRI Data'!$Z:$Z,'Raw TRI Data'!$J:$J,$E110), "N/A - Facility Does Not Report to TRI, no surface water releases, or no Generic Factors available"))</f>
        <v>N/A - See DMRs</v>
      </c>
      <c r="AB110" s="113" t="str">
        <f t="shared" si="13"/>
        <v>N/A</v>
      </c>
      <c r="AC110" s="136" t="str" cm="1">
        <f t="array" ref="AC110">IF(COUNTIF('Raw Annual DMR Data'!K:K,$E110)&gt;0,"N/A - See DMRs",IF(SUMIFS('Raw TRI Data'!$Z:$Z,'Raw TRI Data'!$J:$J,$E110)&gt;0,INDEX('Raw TRI Data'!$A:$A,MATCH(1,($E110='Raw TRI Data'!$J:$J)*($AA110='Raw TRI Data'!$Z:$Z),0)), "N/A - Facility Does Not Report to TRI, no surface water releases, or no Generic Factors available"))</f>
        <v>N/A - See DMRs</v>
      </c>
      <c r="AD110" s="96" t="str" cm="1">
        <f t="array" ref="AD110">IF(COUNTIFS('Raw Annual DMR Data'!L:L,$F110,'Raw Annual DMR Data'!W:W, "&gt;0")&gt;0,MEDIAN(IF('Raw Annual DMR Data'!K:K=$F110, 'Raw Annual DMR Data'!W:W)), "N/A - No Daily Max DMR Discharge Data")</f>
        <v>N/A - No Daily Max DMR Discharge Data</v>
      </c>
      <c r="AE110" s="96" t="str">
        <f>IF(COUNTIFS('Raw Annual DMR Data'!L:L,$F110,'Raw Annual DMR Data'!W:W, "&gt;0")&gt;0,_xlfn.MAXIFS('Raw Annual DMR Data'!W:W,'Raw Annual DMR Data'!L:L,$F110), "N/A - No Daily Max DMR Discharge Data")</f>
        <v>N/A - No Daily Max DMR Discharge Data</v>
      </c>
      <c r="AF110" s="60" t="str" cm="1">
        <f t="array" ref="AF110">IF(COUNTIFS('Raw Annual DMR Data'!L:L,$F110,'Raw Annual DMR Data'!W:W, "&gt;0")&gt;0,INDEX('Raw Annual DMR Data'!B:B,MATCH(1,($F110='Raw Annual DMR Data'!L:L)*($AE110='Raw Annual DMR Data'!W:W),0)), "N/A - No Daily Max DMR Discharge Data")</f>
        <v>N/A - No Daily Max DMR Discharge Data</v>
      </c>
    </row>
    <row r="111" spans="1:32" ht="45.75" thickBot="1" x14ac:dyDescent="0.3">
      <c r="A111" s="144" t="str">
        <f>VLOOKUP(F111,'Facility Summary'!J:K,2,FALSE)</f>
        <v>Remediation</v>
      </c>
      <c r="B111" s="28" t="s">
        <v>189</v>
      </c>
      <c r="C111" s="28" t="s">
        <v>621</v>
      </c>
      <c r="D111" s="28" t="s">
        <v>311</v>
      </c>
      <c r="E111" s="60"/>
      <c r="F111" s="74">
        <v>110022421002</v>
      </c>
      <c r="G111" s="74" t="s">
        <v>933</v>
      </c>
      <c r="H111" s="28" t="s">
        <v>771</v>
      </c>
      <c r="I111" s="74">
        <v>5050008000042</v>
      </c>
      <c r="J111" s="74" t="s">
        <v>265</v>
      </c>
      <c r="K111" s="60">
        <f>VLOOKUP(A111, 'OES Summary'!$A:$B, 2, FALSE)</f>
        <v>365</v>
      </c>
      <c r="L111" s="304" cm="1">
        <f t="array" ref="L111">IF(COUNTIF('Raw Annual DMR Data'!$L:$L,$F111)&gt;0,MEDIAN(IF('Raw Annual DMR Data'!$L:$L=F111,'Raw Annual DMR Data'!$S:$S)),"N/A - Facility Does Not Report DMRs")</f>
        <v>6.1993133475000003E-2</v>
      </c>
      <c r="M111" s="156">
        <f t="shared" si="11"/>
        <v>1.6984420130136988E-4</v>
      </c>
      <c r="N111" s="156">
        <f>IF(COUNTIF('Raw Annual DMR Data'!$L:$L,$F111)&gt;0,_xlfn.MAXIFS('Raw Annual DMR Data'!$S:$S,'Raw Annual DMR Data'!$L:$L,$F111), "N/A - Facility Does Not Report DMRs")</f>
        <v>8.5099479749999998E-2</v>
      </c>
      <c r="O111" s="156">
        <f t="shared" si="12"/>
        <v>2.3314925958904109E-4</v>
      </c>
      <c r="P111" s="113" cm="1">
        <f t="array" ref="P111">IF(COUNTIF('Raw Annual DMR Data'!$L:$L,$F111)&gt;0,INDEX('Raw Annual DMR Data'!$B:$B,MATCH(1,($F111='Raw Annual DMR Data'!$L:$L)*($N111='Raw Annual DMR Data'!$S:$S),0)), "N/A - Facility Does Not Report DMRs")</f>
        <v>2015</v>
      </c>
      <c r="Q111" s="304" t="str" cm="1">
        <f t="array" ref="Q111">IF(COUNTIF('Raw TRI Data'!$J:$J,$E111)&gt;0,MEDIAN(IF('Raw TRI Data'!$J:$J=E111,'Raw TRI Data'!$S:$S)), "N/A - Facility Does Not Report to TRI")</f>
        <v>N/A - Facility Does Not Report to TRI</v>
      </c>
      <c r="R111" s="156" t="str">
        <f t="shared" si="14"/>
        <v>N/A - Facility Does Not Report to TRI</v>
      </c>
      <c r="S111" s="156" t="str">
        <f>IF(COUNTIF('Raw TRI Data'!$J:$J,$E111)&gt;0,_xlfn.MAXIFS('Raw TRI Data'!$S:$S,'Raw TRI Data'!$J:$J,$E111), "N/A - Facility Does Not Report to TRI")</f>
        <v>N/A - Facility Does Not Report to TRI</v>
      </c>
      <c r="T111" s="156" t="str">
        <f t="shared" si="15"/>
        <v>N/A - Facility Does Not Report to TRI</v>
      </c>
      <c r="U111" s="136" t="str" cm="1">
        <f t="array" ref="U111">IF(COUNTIF('Raw TRI Data'!$J:$J,$E111)&gt;0,INDEX('Raw TRI Data'!$A:$A,MATCH(1,($E111='Raw TRI Data'!$J:$J)*(S111='Raw TRI Data'!$S:$S),0)), "N/A - Facility Does Not Report to TRI")</f>
        <v>N/A - Facility Does Not Report to TRI</v>
      </c>
      <c r="V111" s="156" t="str" cm="1">
        <f t="array" ref="V111">IF(COUNTIFS('Raw Annual DMR Data'!$L:$L,$F111,'Raw Annual DMR Data'!$U:$U,"&gt;0")&gt;0,MEDIAN(IF('Raw Annual DMR Data'!$L:$L=$F111,'Raw Annual DMR Data'!$U:$U,"")),"N/A - Period DMR Data Not Available")</f>
        <v>N/A - Period DMR Data Not Available</v>
      </c>
      <c r="W111" s="156" t="str">
        <f>IF(COUNTIFS('Raw Annual DMR Data'!$L:$L,$F111, 'Raw Annual DMR Data'!$U:$U, "&gt;0")&gt;0,_xlfn.MAXIFS('Raw Annual DMR Data'!$U:$U,'Raw Annual DMR Data'!$L:$L,$F111), "N/A - Period DMR Data Not Available")</f>
        <v>N/A - Period DMR Data Not Available</v>
      </c>
      <c r="X111" s="113" t="str" cm="1">
        <f t="array" ref="X111">+IF(COUNTIFS('Raw Annual DMR Data'!L:L,$F111, 'Raw Annual DMR Data'!U:U, "&gt;0")&gt;0,INDEX('Raw Annual DMR Data'!V:V,MATCH(1,($F111='Raw Annual DMR Data'!L:L)*($W111='Raw Annual DMR Data'!U:U),0)), "N/A - Period DMR Data Not Available")</f>
        <v>N/A - Period DMR Data Not Available</v>
      </c>
      <c r="Y111" s="113" t="str" cm="1">
        <f t="array" ref="Y111">IF(COUNTIFS('Raw Annual DMR Data'!L:L,$F111, 'Raw Annual DMR Data'!U:U, "&gt;0")&gt;0,INDEX('Raw Annual DMR Data'!B:B,MATCH(1,($F111='Raw Annual DMR Data'!L:L)*($W111='Raw Annual DMR Data'!U:U),0)), "N/A - Period DMR Data Not Available")</f>
        <v>N/A - Period DMR Data Not Available</v>
      </c>
      <c r="Z111" s="311" t="str" cm="1">
        <f t="array" ref="Z111">IF(COUNTIF('Raw Annual DMR Data'!K:K,$E111)&gt;0,"N/A - See DMRs",IF(SUMIFS('Raw TRI Data'!$Z:$Z,'Raw TRI Data'!$J:$J,$E111)&gt;0,MEDIAN(IF('Raw TRI Data'!$J:$J=$E111,'Raw TRI Data'!$Z:$Z)), "N/A - Facility Does Not Report to TRI, no surface water releases, or no Generic Factors available"))</f>
        <v>N/A - Facility Does Not Report to TRI, no surface water releases, or no Generic Factors available</v>
      </c>
      <c r="AA111" s="156" t="str">
        <f>IF(COUNTIF('Raw Annual DMR Data'!K:K,$E111)&gt;0,"N/A - See DMRs",IF(SUMIFS('Raw TRI Data'!$Z:$Z,'Raw TRI Data'!$J:$J,$E111)&gt;0,_xlfn.MAXIFS('Raw TRI Data'!$Z:$Z,'Raw TRI Data'!$J:$J,$E111), "N/A - Facility Does Not Report to TRI, no surface water releases, or no Generic Factors available"))</f>
        <v>N/A - Facility Does Not Report to TRI, no surface water releases, or no Generic Factors available</v>
      </c>
      <c r="AB111" s="113" t="str">
        <f t="shared" si="13"/>
        <v>N/A</v>
      </c>
      <c r="AC111" s="136" t="str" cm="1">
        <f t="array" ref="AC111">IF(COUNTIF('Raw Annual DMR Data'!K:K,$E111)&gt;0,"N/A - See DMRs",IF(SUMIFS('Raw TRI Data'!$Z:$Z,'Raw TRI Data'!$J:$J,$E111)&gt;0,INDEX('Raw TRI Data'!$A:$A,MATCH(1,($E111='Raw TRI Data'!$J:$J)*($AA111='Raw TRI Data'!$Z:$Z),0)), "N/A - Facility Does Not Report to TRI, no surface water releases, or no Generic Factors available"))</f>
        <v>N/A - Facility Does Not Report to TRI, no surface water releases, or no Generic Factors available</v>
      </c>
      <c r="AD111" s="96" t="str" cm="1">
        <f t="array" ref="AD111">IF(COUNTIFS('Raw Annual DMR Data'!L:L,$F111,'Raw Annual DMR Data'!W:W, "&gt;0")&gt;0,MEDIAN(IF('Raw Annual DMR Data'!K:K=$F111, 'Raw Annual DMR Data'!W:W)), "N/A - No Daily Max DMR Discharge Data")</f>
        <v>N/A - No Daily Max DMR Discharge Data</v>
      </c>
      <c r="AE111" s="96" t="str">
        <f>IF(COUNTIFS('Raw Annual DMR Data'!L:L,$F111,'Raw Annual DMR Data'!W:W, "&gt;0")&gt;0,_xlfn.MAXIFS('Raw Annual DMR Data'!W:W,'Raw Annual DMR Data'!L:L,$F111), "N/A - No Daily Max DMR Discharge Data")</f>
        <v>N/A - No Daily Max DMR Discharge Data</v>
      </c>
      <c r="AF111" s="60" t="str" cm="1">
        <f t="array" ref="AF111">IF(COUNTIFS('Raw Annual DMR Data'!L:L,$F111,'Raw Annual DMR Data'!W:W, "&gt;0")&gt;0,INDEX('Raw Annual DMR Data'!B:B,MATCH(1,($F111='Raw Annual DMR Data'!L:L)*($AE111='Raw Annual DMR Data'!W:W),0)), "N/A - No Daily Max DMR Discharge Data")</f>
        <v>N/A - No Daily Max DMR Discharge Data</v>
      </c>
    </row>
    <row r="112" spans="1:32" ht="30.75" thickBot="1" x14ac:dyDescent="0.3">
      <c r="A112" s="144" t="str">
        <f>VLOOKUP(F112,'Facility Summary'!J:K,2,FALSE)</f>
        <v>Processing as a Reactant</v>
      </c>
      <c r="B112" s="28" t="s">
        <v>190</v>
      </c>
      <c r="C112" s="28" t="s">
        <v>623</v>
      </c>
      <c r="D112" s="28" t="s">
        <v>338</v>
      </c>
      <c r="E112" s="60" t="s">
        <v>624</v>
      </c>
      <c r="F112" s="74">
        <v>110013317614</v>
      </c>
      <c r="G112" s="74" t="s">
        <v>934</v>
      </c>
      <c r="H112" s="28" t="s">
        <v>935</v>
      </c>
      <c r="I112" s="74">
        <v>2040202001763</v>
      </c>
      <c r="J112" s="74" t="s">
        <v>265</v>
      </c>
      <c r="K112" s="60">
        <f>VLOOKUP(A112, 'OES Summary'!$A:$B, 2, FALSE)</f>
        <v>350</v>
      </c>
      <c r="L112" s="304" cm="1">
        <f t="array" ref="L112">IF(COUNTIF('Raw Annual DMR Data'!$L:$L,$F112)&gt;0,MEDIAN(IF('Raw Annual DMR Data'!$L:$L=F112,'Raw Annual DMR Data'!$S:$S)),"N/A - Facility Does Not Report DMRs")</f>
        <v>3.8391300000000003E-2</v>
      </c>
      <c r="M112" s="156">
        <f t="shared" si="11"/>
        <v>1.0968942857142858E-4</v>
      </c>
      <c r="N112" s="156">
        <f>IF(COUNTIF('Raw Annual DMR Data'!$L:$L,$F112)&gt;0,_xlfn.MAXIFS('Raw Annual DMR Data'!$S:$S,'Raw Annual DMR Data'!$L:$L,$F112), "N/A - Facility Does Not Report DMRs")</f>
        <v>6.8153499999999996</v>
      </c>
      <c r="O112" s="156">
        <f t="shared" si="12"/>
        <v>1.9472428571428571E-2</v>
      </c>
      <c r="P112" s="113" cm="1">
        <f t="array" ref="P112">IF(COUNTIF('Raw Annual DMR Data'!$L:$L,$F112)&gt;0,INDEX('Raw Annual DMR Data'!$B:$B,MATCH(1,($F112='Raw Annual DMR Data'!$L:$L)*($N112='Raw Annual DMR Data'!$S:$S),0)), "N/A - Facility Does Not Report DMRs")</f>
        <v>2015</v>
      </c>
      <c r="Q112" s="304" t="str" cm="1">
        <f t="array" ref="Q112">IF(COUNTIF('Raw TRI Data'!$J:$J,$E112)&gt;0,MEDIAN(IF('Raw TRI Data'!$J:$J=E112,'Raw TRI Data'!$S:$S)), "N/A - Facility Does Not Report to TRI")</f>
        <v>N/A - Facility Does Not Report to TRI</v>
      </c>
      <c r="R112" s="156" t="str">
        <f t="shared" si="14"/>
        <v>N/A - Facility Does Not Report to TRI</v>
      </c>
      <c r="S112" s="156" t="str">
        <f>IF(COUNTIF('Raw TRI Data'!$J:$J,$E112)&gt;0,_xlfn.MAXIFS('Raw TRI Data'!$S:$S,'Raw TRI Data'!$J:$J,$E112), "N/A - Facility Does Not Report to TRI")</f>
        <v>N/A - Facility Does Not Report to TRI</v>
      </c>
      <c r="T112" s="156" t="str">
        <f t="shared" si="15"/>
        <v>N/A - Facility Does Not Report to TRI</v>
      </c>
      <c r="U112" s="136" t="str" cm="1">
        <f t="array" ref="U112">IF(COUNTIF('Raw TRI Data'!$J:$J,$E112)&gt;0,INDEX('Raw TRI Data'!$A:$A,MATCH(1,($E112='Raw TRI Data'!$J:$J)*(S112='Raw TRI Data'!$S:$S),0)), "N/A - Facility Does Not Report to TRI")</f>
        <v>N/A - Facility Does Not Report to TRI</v>
      </c>
      <c r="V112" s="156" t="str" cm="1">
        <f t="array" ref="V112">IF(COUNTIFS('Raw Annual DMR Data'!$L:$L,$F112,'Raw Annual DMR Data'!$U:$U,"&gt;0")&gt;0,MEDIAN(IF('Raw Annual DMR Data'!$L:$L=$F112,'Raw Annual DMR Data'!$U:$U,"")),"N/A - Period DMR Data Not Available")</f>
        <v>N/A - Period DMR Data Not Available</v>
      </c>
      <c r="W112" s="156" t="str">
        <f>IF(COUNTIFS('Raw Annual DMR Data'!$L:$L,$F112, 'Raw Annual DMR Data'!$U:$U, "&gt;0")&gt;0,_xlfn.MAXIFS('Raw Annual DMR Data'!$U:$U,'Raw Annual DMR Data'!$L:$L,$F112), "N/A - Period DMR Data Not Available")</f>
        <v>N/A - Period DMR Data Not Available</v>
      </c>
      <c r="X112" s="113" t="str" cm="1">
        <f t="array" ref="X112">+IF(COUNTIFS('Raw Annual DMR Data'!L:L,$F112, 'Raw Annual DMR Data'!U:U, "&gt;0")&gt;0,INDEX('Raw Annual DMR Data'!V:V,MATCH(1,($F112='Raw Annual DMR Data'!L:L)*($W112='Raw Annual DMR Data'!U:U),0)), "N/A - Period DMR Data Not Available")</f>
        <v>N/A - Period DMR Data Not Available</v>
      </c>
      <c r="Y112" s="113" t="str" cm="1">
        <f t="array" ref="Y112">IF(COUNTIFS('Raw Annual DMR Data'!L:L,$F112, 'Raw Annual DMR Data'!U:U, "&gt;0")&gt;0,INDEX('Raw Annual DMR Data'!B:B,MATCH(1,($F112='Raw Annual DMR Data'!L:L)*($W112='Raw Annual DMR Data'!U:U),0)), "N/A - Period DMR Data Not Available")</f>
        <v>N/A - Period DMR Data Not Available</v>
      </c>
      <c r="Z112" s="311" t="str" cm="1">
        <f t="array" ref="Z112">IF(COUNTIF('Raw Annual DMR Data'!K:K,$E112)&gt;0,"N/A - See DMRs",IF(SUMIFS('Raw TRI Data'!$Z:$Z,'Raw TRI Data'!$J:$J,$E112)&gt;0,MEDIAN(IF('Raw TRI Data'!$J:$J=$E112,'Raw TRI Data'!$Z:$Z)), "N/A - Facility Does Not Report to TRI, no surface water releases, or no Generic Factors available"))</f>
        <v>N/A - See DMRs</v>
      </c>
      <c r="AA112" s="156" t="str">
        <f>IF(COUNTIF('Raw Annual DMR Data'!K:K,$E112)&gt;0,"N/A - See DMRs",IF(SUMIFS('Raw TRI Data'!$Z:$Z,'Raw TRI Data'!$J:$J,$E112)&gt;0,_xlfn.MAXIFS('Raw TRI Data'!$Z:$Z,'Raw TRI Data'!$J:$J,$E112), "N/A - Facility Does Not Report to TRI, no surface water releases, or no Generic Factors available"))</f>
        <v>N/A - See DMRs</v>
      </c>
      <c r="AB112" s="113" t="str">
        <f t="shared" si="13"/>
        <v>N/A</v>
      </c>
      <c r="AC112" s="136" t="str" cm="1">
        <f t="array" ref="AC112">IF(COUNTIF('Raw Annual DMR Data'!K:K,$E112)&gt;0,"N/A - See DMRs",IF(SUMIFS('Raw TRI Data'!$Z:$Z,'Raw TRI Data'!$J:$J,$E112)&gt;0,INDEX('Raw TRI Data'!$A:$A,MATCH(1,($E112='Raw TRI Data'!$J:$J)*($AA112='Raw TRI Data'!$Z:$Z),0)), "N/A - Facility Does Not Report to TRI, no surface water releases, or no Generic Factors available"))</f>
        <v>N/A - See DMRs</v>
      </c>
      <c r="AD112" s="96" t="str" cm="1">
        <f t="array" ref="AD112">IF(COUNTIFS('Raw Annual DMR Data'!L:L,$F112,'Raw Annual DMR Data'!W:W, "&gt;0")&gt;0,MEDIAN(IF('Raw Annual DMR Data'!K:K=$F112, 'Raw Annual DMR Data'!W:W)), "N/A - No Daily Max DMR Discharge Data")</f>
        <v>N/A - No Daily Max DMR Discharge Data</v>
      </c>
      <c r="AE112" s="96" t="str">
        <f>IF(COUNTIFS('Raw Annual DMR Data'!L:L,$F112,'Raw Annual DMR Data'!W:W, "&gt;0")&gt;0,_xlfn.MAXIFS('Raw Annual DMR Data'!W:W,'Raw Annual DMR Data'!L:L,$F112), "N/A - No Daily Max DMR Discharge Data")</f>
        <v>N/A - No Daily Max DMR Discharge Data</v>
      </c>
      <c r="AF112" s="60" t="str" cm="1">
        <f t="array" ref="AF112">IF(COUNTIFS('Raw Annual DMR Data'!L:L,$F112,'Raw Annual DMR Data'!W:W, "&gt;0")&gt;0,INDEX('Raw Annual DMR Data'!B:B,MATCH(1,($F112='Raw Annual DMR Data'!L:L)*($AE112='Raw Annual DMR Data'!W:W),0)), "N/A - No Daily Max DMR Discharge Data")</f>
        <v>N/A - No Daily Max DMR Discharge Data</v>
      </c>
    </row>
    <row r="113" spans="1:32" ht="45.75" thickBot="1" x14ac:dyDescent="0.3">
      <c r="A113" s="144" t="str">
        <f>VLOOKUP(F113,'Facility Summary'!J:K,2,FALSE)</f>
        <v>Unknown</v>
      </c>
      <c r="B113" s="28" t="s">
        <v>191</v>
      </c>
      <c r="C113" s="28" t="s">
        <v>626</v>
      </c>
      <c r="D113" s="28" t="s">
        <v>324</v>
      </c>
      <c r="E113" s="60"/>
      <c r="F113" s="74">
        <v>110046299778</v>
      </c>
      <c r="G113" s="74" t="s">
        <v>936</v>
      </c>
      <c r="H113" s="28" t="s">
        <v>937</v>
      </c>
      <c r="I113" s="74">
        <v>5110003000734</v>
      </c>
      <c r="J113" s="74" t="s">
        <v>265</v>
      </c>
      <c r="K113" s="60">
        <f>VLOOKUP(A113, 'OES Summary'!$A:$B, 2, FALSE)</f>
        <v>250</v>
      </c>
      <c r="L113" s="304" cm="1">
        <f t="array" ref="L113">IF(COUNTIF('Raw Annual DMR Data'!$L:$L,$F113)&gt;0,MEDIAN(IF('Raw Annual DMR Data'!$L:$L=F113,'Raw Annual DMR Data'!$S:$S)),"N/A - Facility Does Not Report DMRs")</f>
        <v>2.7504333333333302E-3</v>
      </c>
      <c r="M113" s="156">
        <f t="shared" si="11"/>
        <v>1.100173333333332E-5</v>
      </c>
      <c r="N113" s="156">
        <f>IF(COUNTIF('Raw Annual DMR Data'!$L:$L,$F113)&gt;0,_xlfn.MAXIFS('Raw Annual DMR Data'!$S:$S,'Raw Annual DMR Data'!$L:$L,$F113), "N/A - Facility Does Not Report DMRs")</f>
        <v>2.7251999999999998E-2</v>
      </c>
      <c r="O113" s="156">
        <f t="shared" si="12"/>
        <v>1.09008E-4</v>
      </c>
      <c r="P113" s="113" cm="1">
        <f t="array" ref="P113">IF(COUNTIF('Raw Annual DMR Data'!$L:$L,$F113)&gt;0,INDEX('Raw Annual DMR Data'!$B:$B,MATCH(1,($F113='Raw Annual DMR Data'!$L:$L)*($N113='Raw Annual DMR Data'!$S:$S),0)), "N/A - Facility Does Not Report DMRs")</f>
        <v>2017</v>
      </c>
      <c r="Q113" s="304" t="str" cm="1">
        <f t="array" ref="Q113">IF(COUNTIF('Raw TRI Data'!$J:$J,$E113)&gt;0,MEDIAN(IF('Raw TRI Data'!$J:$J=E113,'Raw TRI Data'!$S:$S)), "N/A - Facility Does Not Report to TRI")</f>
        <v>N/A - Facility Does Not Report to TRI</v>
      </c>
      <c r="R113" s="156" t="str">
        <f t="shared" si="14"/>
        <v>N/A - Facility Does Not Report to TRI</v>
      </c>
      <c r="S113" s="156" t="str">
        <f>IF(COUNTIF('Raw TRI Data'!$J:$J,$E113)&gt;0,_xlfn.MAXIFS('Raw TRI Data'!$S:$S,'Raw TRI Data'!$J:$J,$E113), "N/A - Facility Does Not Report to TRI")</f>
        <v>N/A - Facility Does Not Report to TRI</v>
      </c>
      <c r="T113" s="156" t="str">
        <f t="shared" si="15"/>
        <v>N/A - Facility Does Not Report to TRI</v>
      </c>
      <c r="U113" s="136" t="str" cm="1">
        <f t="array" ref="U113">IF(COUNTIF('Raw TRI Data'!$J:$J,$E113)&gt;0,INDEX('Raw TRI Data'!$A:$A,MATCH(1,($E113='Raw TRI Data'!$J:$J)*(S113='Raw TRI Data'!$S:$S),0)), "N/A - Facility Does Not Report to TRI")</f>
        <v>N/A - Facility Does Not Report to TRI</v>
      </c>
      <c r="V113" s="156" t="str" cm="1">
        <f t="array" ref="V113">IF(COUNTIFS('Raw Annual DMR Data'!$L:$L,$F113,'Raw Annual DMR Data'!$U:$U,"&gt;0")&gt;0,MEDIAN(IF('Raw Annual DMR Data'!$L:$L=$F113,'Raw Annual DMR Data'!$U:$U,"")),"N/A - Period DMR Data Not Available")</f>
        <v>N/A - Period DMR Data Not Available</v>
      </c>
      <c r="W113" s="156" t="str">
        <f>IF(COUNTIFS('Raw Annual DMR Data'!$L:$L,$F113, 'Raw Annual DMR Data'!$U:$U, "&gt;0")&gt;0,_xlfn.MAXIFS('Raw Annual DMR Data'!$U:$U,'Raw Annual DMR Data'!$L:$L,$F113), "N/A - Period DMR Data Not Available")</f>
        <v>N/A - Period DMR Data Not Available</v>
      </c>
      <c r="X113" s="113" t="str" cm="1">
        <f t="array" ref="X113">+IF(COUNTIFS('Raw Annual DMR Data'!L:L,$F113, 'Raw Annual DMR Data'!U:U, "&gt;0")&gt;0,INDEX('Raw Annual DMR Data'!V:V,MATCH(1,($F113='Raw Annual DMR Data'!L:L)*($W113='Raw Annual DMR Data'!U:U),0)), "N/A - Period DMR Data Not Available")</f>
        <v>N/A - Period DMR Data Not Available</v>
      </c>
      <c r="Y113" s="113" t="str" cm="1">
        <f t="array" ref="Y113">IF(COUNTIFS('Raw Annual DMR Data'!L:L,$F113, 'Raw Annual DMR Data'!U:U, "&gt;0")&gt;0,INDEX('Raw Annual DMR Data'!B:B,MATCH(1,($F113='Raw Annual DMR Data'!L:L)*($W113='Raw Annual DMR Data'!U:U),0)), "N/A - Period DMR Data Not Available")</f>
        <v>N/A - Period DMR Data Not Available</v>
      </c>
      <c r="Z113" s="311" t="str" cm="1">
        <f t="array" ref="Z113">IF(COUNTIF('Raw Annual DMR Data'!K:K,$E113)&gt;0,"N/A - See DMRs",IF(SUMIFS('Raw TRI Data'!$Z:$Z,'Raw TRI Data'!$J:$J,$E113)&gt;0,MEDIAN(IF('Raw TRI Data'!$J:$J=$E113,'Raw TRI Data'!$Z:$Z)), "N/A - Facility Does Not Report to TRI, no surface water releases, or no Generic Factors available"))</f>
        <v>N/A - Facility Does Not Report to TRI, no surface water releases, or no Generic Factors available</v>
      </c>
      <c r="AA113" s="156" t="str">
        <f>IF(COUNTIF('Raw Annual DMR Data'!K:K,$E113)&gt;0,"N/A - See DMRs",IF(SUMIFS('Raw TRI Data'!$Z:$Z,'Raw TRI Data'!$J:$J,$E113)&gt;0,_xlfn.MAXIFS('Raw TRI Data'!$Z:$Z,'Raw TRI Data'!$J:$J,$E113), "N/A - Facility Does Not Report to TRI, no surface water releases, or no Generic Factors available"))</f>
        <v>N/A - Facility Does Not Report to TRI, no surface water releases, or no Generic Factors available</v>
      </c>
      <c r="AB113" s="113" t="str">
        <f t="shared" si="13"/>
        <v>N/A</v>
      </c>
      <c r="AC113" s="136" t="str" cm="1">
        <f t="array" ref="AC113">IF(COUNTIF('Raw Annual DMR Data'!K:K,$E113)&gt;0,"N/A - See DMRs",IF(SUMIFS('Raw TRI Data'!$Z:$Z,'Raw TRI Data'!$J:$J,$E113)&gt;0,INDEX('Raw TRI Data'!$A:$A,MATCH(1,($E113='Raw TRI Data'!$J:$J)*($AA113='Raw TRI Data'!$Z:$Z),0)), "N/A - Facility Does Not Report to TRI, no surface water releases, or no Generic Factors available"))</f>
        <v>N/A - Facility Does Not Report to TRI, no surface water releases, or no Generic Factors available</v>
      </c>
      <c r="AD113" s="96" t="str" cm="1">
        <f t="array" ref="AD113">IF(COUNTIFS('Raw Annual DMR Data'!L:L,$F113,'Raw Annual DMR Data'!W:W, "&gt;0")&gt;0,MEDIAN(IF('Raw Annual DMR Data'!K:K=$F113, 'Raw Annual DMR Data'!W:W)), "N/A - No Daily Max DMR Discharge Data")</f>
        <v>N/A - No Daily Max DMR Discharge Data</v>
      </c>
      <c r="AE113" s="96" t="str">
        <f>IF(COUNTIFS('Raw Annual DMR Data'!L:L,$F113,'Raw Annual DMR Data'!W:W, "&gt;0")&gt;0,_xlfn.MAXIFS('Raw Annual DMR Data'!W:W,'Raw Annual DMR Data'!L:L,$F113), "N/A - No Daily Max DMR Discharge Data")</f>
        <v>N/A - No Daily Max DMR Discharge Data</v>
      </c>
      <c r="AF113" s="60" t="str" cm="1">
        <f t="array" ref="AF113">IF(COUNTIFS('Raw Annual DMR Data'!L:L,$F113,'Raw Annual DMR Data'!W:W, "&gt;0")&gt;0,INDEX('Raw Annual DMR Data'!B:B,MATCH(1,($F113='Raw Annual DMR Data'!L:L)*($AE113='Raw Annual DMR Data'!W:W),0)), "N/A - No Daily Max DMR Discharge Data")</f>
        <v>N/A - No Daily Max DMR Discharge Data</v>
      </c>
    </row>
    <row r="114" spans="1:32" ht="45.75" thickBot="1" x14ac:dyDescent="0.3">
      <c r="A114" s="144" t="str">
        <f>VLOOKUP(F114,'Facility Summary'!J:K,2,FALSE)</f>
        <v>Processing into formulation, mixture, or reaction product</v>
      </c>
      <c r="B114" s="28" t="s">
        <v>192</v>
      </c>
      <c r="C114" s="28" t="s">
        <v>629</v>
      </c>
      <c r="D114" s="28" t="s">
        <v>345</v>
      </c>
      <c r="E114" s="60" t="s">
        <v>631</v>
      </c>
      <c r="F114" s="74">
        <v>110000432504</v>
      </c>
      <c r="G114" s="74" t="s">
        <v>938</v>
      </c>
      <c r="H114" s="28" t="s">
        <v>939</v>
      </c>
      <c r="I114" s="74">
        <v>7120004000886</v>
      </c>
      <c r="J114" s="74" t="s">
        <v>265</v>
      </c>
      <c r="K114" s="60">
        <f>VLOOKUP(A114, 'OES Summary'!$A:$B, 2, FALSE)</f>
        <v>300</v>
      </c>
      <c r="L114" s="304" cm="1">
        <f t="array" ref="L114">IF(COUNTIF('Raw Annual DMR Data'!$L:$L,$F114)&gt;0,MEDIAN(IF('Raw Annual DMR Data'!$L:$L=F114,'Raw Annual DMR Data'!$S:$S)),"N/A - Facility Does Not Report DMRs")</f>
        <v>0.53790740362811751</v>
      </c>
      <c r="M114" s="156">
        <f t="shared" si="11"/>
        <v>1.7930246787603917E-3</v>
      </c>
      <c r="N114" s="156">
        <f>IF(COUNTIF('Raw Annual DMR Data'!$L:$L,$F114)&gt;0,_xlfn.MAXIFS('Raw Annual DMR Data'!$S:$S,'Raw Annual DMR Data'!$L:$L,$F114), "N/A - Facility Does Not Report DMRs")</f>
        <v>1.15464852607709</v>
      </c>
      <c r="O114" s="156">
        <f t="shared" si="12"/>
        <v>3.8488284202569667E-3</v>
      </c>
      <c r="P114" s="113" cm="1">
        <f t="array" ref="P114">IF(COUNTIF('Raw Annual DMR Data'!$L:$L,$F114)&gt;0,INDEX('Raw Annual DMR Data'!$B:$B,MATCH(1,($F114='Raw Annual DMR Data'!$L:$L)*($N114='Raw Annual DMR Data'!$S:$S),0)), "N/A - Facility Does Not Report DMRs")</f>
        <v>2015</v>
      </c>
      <c r="Q114" s="304" t="str" cm="1">
        <f t="array" ref="Q114">IF(COUNTIF('Raw TRI Data'!$J:$J,$E114)&gt;0,MEDIAN(IF('Raw TRI Data'!$J:$J=E114,'Raw TRI Data'!$S:$S)), "N/A - Facility Does Not Report to TRI")</f>
        <v>N/A - Facility Does Not Report to TRI</v>
      </c>
      <c r="R114" s="156" t="str">
        <f t="shared" si="14"/>
        <v>N/A - Facility Does Not Report to TRI</v>
      </c>
      <c r="S114" s="156" t="str">
        <f>IF(COUNTIF('Raw TRI Data'!$J:$J,$E114)&gt;0,_xlfn.MAXIFS('Raw TRI Data'!$S:$S,'Raw TRI Data'!$J:$J,$E114), "N/A - Facility Does Not Report to TRI")</f>
        <v>N/A - Facility Does Not Report to TRI</v>
      </c>
      <c r="T114" s="156" t="str">
        <f t="shared" si="15"/>
        <v>N/A - Facility Does Not Report to TRI</v>
      </c>
      <c r="U114" s="136" t="str" cm="1">
        <f t="array" ref="U114">IF(COUNTIF('Raw TRI Data'!$J:$J,$E114)&gt;0,INDEX('Raw TRI Data'!$A:$A,MATCH(1,($E114='Raw TRI Data'!$J:$J)*(S114='Raw TRI Data'!$S:$S),0)), "N/A - Facility Does Not Report to TRI")</f>
        <v>N/A - Facility Does Not Report to TRI</v>
      </c>
      <c r="V114" s="156" t="str" cm="1">
        <f t="array" ref="V114">IF(COUNTIFS('Raw Annual DMR Data'!$L:$L,$F114,'Raw Annual DMR Data'!$U:$U,"&gt;0")&gt;0,MEDIAN(IF('Raw Annual DMR Data'!$L:$L=$F114,'Raw Annual DMR Data'!$U:$U,"")),"N/A - Period DMR Data Not Available")</f>
        <v>N/A - Period DMR Data Not Available</v>
      </c>
      <c r="W114" s="156" t="str">
        <f>IF(COUNTIFS('Raw Annual DMR Data'!$L:$L,$F114, 'Raw Annual DMR Data'!$U:$U, "&gt;0")&gt;0,_xlfn.MAXIFS('Raw Annual DMR Data'!$U:$U,'Raw Annual DMR Data'!$L:$L,$F114), "N/A - Period DMR Data Not Available")</f>
        <v>N/A - Period DMR Data Not Available</v>
      </c>
      <c r="X114" s="113" t="str" cm="1">
        <f t="array" ref="X114">+IF(COUNTIFS('Raw Annual DMR Data'!L:L,$F114, 'Raw Annual DMR Data'!U:U, "&gt;0")&gt;0,INDEX('Raw Annual DMR Data'!V:V,MATCH(1,($F114='Raw Annual DMR Data'!L:L)*($W114='Raw Annual DMR Data'!U:U),0)), "N/A - Period DMR Data Not Available")</f>
        <v>N/A - Period DMR Data Not Available</v>
      </c>
      <c r="Y114" s="113" t="str" cm="1">
        <f t="array" ref="Y114">IF(COUNTIFS('Raw Annual DMR Data'!L:L,$F114, 'Raw Annual DMR Data'!U:U, "&gt;0")&gt;0,INDEX('Raw Annual DMR Data'!B:B,MATCH(1,($F114='Raw Annual DMR Data'!L:L)*($W114='Raw Annual DMR Data'!U:U),0)), "N/A - Period DMR Data Not Available")</f>
        <v>N/A - Period DMR Data Not Available</v>
      </c>
      <c r="Z114" s="311" t="str" cm="1">
        <f t="array" ref="Z114">IF(COUNTIF('Raw Annual DMR Data'!K:K,$E114)&gt;0,"N/A - See DMRs",IF(SUMIFS('Raw TRI Data'!$Z:$Z,'Raw TRI Data'!$J:$J,$E114)&gt;0,MEDIAN(IF('Raw TRI Data'!$J:$J=$E114,'Raw TRI Data'!$Z:$Z)), "N/A - Facility Does Not Report to TRI, no surface water releases, or no Generic Factors available"))</f>
        <v>N/A - See DMRs</v>
      </c>
      <c r="AA114" s="156" t="str">
        <f>IF(COUNTIF('Raw Annual DMR Data'!K:K,$E114)&gt;0,"N/A - See DMRs",IF(SUMIFS('Raw TRI Data'!$Z:$Z,'Raw TRI Data'!$J:$J,$E114)&gt;0,_xlfn.MAXIFS('Raw TRI Data'!$Z:$Z,'Raw TRI Data'!$J:$J,$E114), "N/A - Facility Does Not Report to TRI, no surface water releases, or no Generic Factors available"))</f>
        <v>N/A - See DMRs</v>
      </c>
      <c r="AB114" s="113" t="str">
        <f t="shared" si="13"/>
        <v>N/A</v>
      </c>
      <c r="AC114" s="136" t="str" cm="1">
        <f t="array" ref="AC114">IF(COUNTIF('Raw Annual DMR Data'!K:K,$E114)&gt;0,"N/A - See DMRs",IF(SUMIFS('Raw TRI Data'!$Z:$Z,'Raw TRI Data'!$J:$J,$E114)&gt;0,INDEX('Raw TRI Data'!$A:$A,MATCH(1,($E114='Raw TRI Data'!$J:$J)*($AA114='Raw TRI Data'!$Z:$Z),0)), "N/A - Facility Does Not Report to TRI, no surface water releases, or no Generic Factors available"))</f>
        <v>N/A - See DMRs</v>
      </c>
      <c r="AD114" s="96" t="str" cm="1">
        <f t="array" ref="AD114">IF(COUNTIFS('Raw Annual DMR Data'!L:L,$F114,'Raw Annual DMR Data'!W:W, "&gt;0")&gt;0,MEDIAN(IF('Raw Annual DMR Data'!K:K=$F114, 'Raw Annual DMR Data'!W:W)), "N/A - No Daily Max DMR Discharge Data")</f>
        <v>N/A - No Daily Max DMR Discharge Data</v>
      </c>
      <c r="AE114" s="96" t="str">
        <f>IF(COUNTIFS('Raw Annual DMR Data'!L:L,$F114,'Raw Annual DMR Data'!W:W, "&gt;0")&gt;0,_xlfn.MAXIFS('Raw Annual DMR Data'!W:W,'Raw Annual DMR Data'!L:L,$F114), "N/A - No Daily Max DMR Discharge Data")</f>
        <v>N/A - No Daily Max DMR Discharge Data</v>
      </c>
      <c r="AF114" s="60" t="str" cm="1">
        <f t="array" ref="AF114">IF(COUNTIFS('Raw Annual DMR Data'!L:L,$F114,'Raw Annual DMR Data'!W:W, "&gt;0")&gt;0,INDEX('Raw Annual DMR Data'!B:B,MATCH(1,($F114='Raw Annual DMR Data'!L:L)*($AE114='Raw Annual DMR Data'!W:W),0)), "N/A - No Daily Max DMR Discharge Data")</f>
        <v>N/A - No Daily Max DMR Discharge Data</v>
      </c>
    </row>
    <row r="115" spans="1:32" ht="30.75" thickBot="1" x14ac:dyDescent="0.3">
      <c r="A115" s="144" t="str">
        <f>VLOOKUP(F115,'Facility Summary'!J:K,2,FALSE)</f>
        <v>Processing as a Reactant</v>
      </c>
      <c r="B115" s="28" t="s">
        <v>193</v>
      </c>
      <c r="C115" s="28" t="s">
        <v>634</v>
      </c>
      <c r="D115" s="28" t="s">
        <v>345</v>
      </c>
      <c r="E115" s="60" t="s">
        <v>636</v>
      </c>
      <c r="F115" s="74">
        <v>110008458597</v>
      </c>
      <c r="G115" s="74" t="s">
        <v>940</v>
      </c>
      <c r="H115" s="28" t="s">
        <v>941</v>
      </c>
      <c r="I115" s="74">
        <v>7120004000957</v>
      </c>
      <c r="J115" s="74" t="s">
        <v>265</v>
      </c>
      <c r="K115" s="60">
        <f>VLOOKUP(A115, 'OES Summary'!$A:$B, 2, FALSE)</f>
        <v>350</v>
      </c>
      <c r="L115" s="304" cm="1">
        <f t="array" ref="L115">IF(COUNTIF('Raw Annual DMR Data'!$L:$L,$F115)&gt;0,MEDIAN(IF('Raw Annual DMR Data'!$L:$L=F115,'Raw Annual DMR Data'!$S:$S)),"N/A - Facility Does Not Report DMRs")</f>
        <v>0.33106575963718798</v>
      </c>
      <c r="M115" s="156">
        <f t="shared" si="11"/>
        <v>9.4590217039196571E-4</v>
      </c>
      <c r="N115" s="156">
        <f>IF(COUNTIF('Raw Annual DMR Data'!$L:$L,$F115)&gt;0,_xlfn.MAXIFS('Raw Annual DMR Data'!$S:$S,'Raw Annual DMR Data'!$L:$L,$F115), "N/A - Facility Does Not Report DMRs")</f>
        <v>0.33106575963718798</v>
      </c>
      <c r="O115" s="156">
        <f t="shared" si="12"/>
        <v>9.4590217039196571E-4</v>
      </c>
      <c r="P115" s="113" cm="1">
        <f t="array" ref="P115">IF(COUNTIF('Raw Annual DMR Data'!$L:$L,$F115)&gt;0,INDEX('Raw Annual DMR Data'!$B:$B,MATCH(1,($F115='Raw Annual DMR Data'!$L:$L)*($N115='Raw Annual DMR Data'!$S:$S),0)), "N/A - Facility Does Not Report DMRs")</f>
        <v>2016</v>
      </c>
      <c r="Q115" s="304" t="str" cm="1">
        <f t="array" ref="Q115">IF(COUNTIF('Raw TRI Data'!$J:$J,$E115)&gt;0,MEDIAN(IF('Raw TRI Data'!$J:$J=E115,'Raw TRI Data'!$S:$S)), "N/A - Facility Does Not Report to TRI")</f>
        <v>N/A - Facility Does Not Report to TRI</v>
      </c>
      <c r="R115" s="156" t="str">
        <f t="shared" si="14"/>
        <v>N/A - Facility Does Not Report to TRI</v>
      </c>
      <c r="S115" s="156" t="str">
        <f>IF(COUNTIF('Raw TRI Data'!$J:$J,$E115)&gt;0,_xlfn.MAXIFS('Raw TRI Data'!$S:$S,'Raw TRI Data'!$J:$J,$E115), "N/A - Facility Does Not Report to TRI")</f>
        <v>N/A - Facility Does Not Report to TRI</v>
      </c>
      <c r="T115" s="156" t="str">
        <f t="shared" si="15"/>
        <v>N/A - Facility Does Not Report to TRI</v>
      </c>
      <c r="U115" s="136" t="str" cm="1">
        <f t="array" ref="U115">IF(COUNTIF('Raw TRI Data'!$J:$J,$E115)&gt;0,INDEX('Raw TRI Data'!$A:$A,MATCH(1,($E115='Raw TRI Data'!$J:$J)*(S115='Raw TRI Data'!$S:$S),0)), "N/A - Facility Does Not Report to TRI")</f>
        <v>N/A - Facility Does Not Report to TRI</v>
      </c>
      <c r="V115" s="156" t="str" cm="1">
        <f t="array" ref="V115">IF(COUNTIFS('Raw Annual DMR Data'!$L:$L,$F115,'Raw Annual DMR Data'!$U:$U,"&gt;0")&gt;0,MEDIAN(IF('Raw Annual DMR Data'!$L:$L=$F115,'Raw Annual DMR Data'!$U:$U,"")),"N/A - Period DMR Data Not Available")</f>
        <v>N/A - Period DMR Data Not Available</v>
      </c>
      <c r="W115" s="156" t="str">
        <f>IF(COUNTIFS('Raw Annual DMR Data'!$L:$L,$F115, 'Raw Annual DMR Data'!$U:$U, "&gt;0")&gt;0,_xlfn.MAXIFS('Raw Annual DMR Data'!$U:$U,'Raw Annual DMR Data'!$L:$L,$F115), "N/A - Period DMR Data Not Available")</f>
        <v>N/A - Period DMR Data Not Available</v>
      </c>
      <c r="X115" s="113" t="str" cm="1">
        <f t="array" ref="X115">+IF(COUNTIFS('Raw Annual DMR Data'!L:L,$F115, 'Raw Annual DMR Data'!U:U, "&gt;0")&gt;0,INDEX('Raw Annual DMR Data'!V:V,MATCH(1,($F115='Raw Annual DMR Data'!L:L)*($W115='Raw Annual DMR Data'!U:U),0)), "N/A - Period DMR Data Not Available")</f>
        <v>N/A - Period DMR Data Not Available</v>
      </c>
      <c r="Y115" s="113" t="str" cm="1">
        <f t="array" ref="Y115">IF(COUNTIFS('Raw Annual DMR Data'!L:L,$F115, 'Raw Annual DMR Data'!U:U, "&gt;0")&gt;0,INDEX('Raw Annual DMR Data'!B:B,MATCH(1,($F115='Raw Annual DMR Data'!L:L)*($W115='Raw Annual DMR Data'!U:U),0)), "N/A - Period DMR Data Not Available")</f>
        <v>N/A - Period DMR Data Not Available</v>
      </c>
      <c r="Z115" s="311" t="str" cm="1">
        <f t="array" ref="Z115">IF(COUNTIF('Raw Annual DMR Data'!K:K,$E115)&gt;0,"N/A - See DMRs",IF(SUMIFS('Raw TRI Data'!$Z:$Z,'Raw TRI Data'!$J:$J,$E115)&gt;0,MEDIAN(IF('Raw TRI Data'!$J:$J=$E115,'Raw TRI Data'!$Z:$Z)), "N/A - Facility Does Not Report to TRI, no surface water releases, or no Generic Factors available"))</f>
        <v>N/A - See DMRs</v>
      </c>
      <c r="AA115" s="156" t="str">
        <f>IF(COUNTIF('Raw Annual DMR Data'!K:K,$E115)&gt;0,"N/A - See DMRs",IF(SUMIFS('Raw TRI Data'!$Z:$Z,'Raw TRI Data'!$J:$J,$E115)&gt;0,_xlfn.MAXIFS('Raw TRI Data'!$Z:$Z,'Raw TRI Data'!$J:$J,$E115), "N/A - Facility Does Not Report to TRI, no surface water releases, or no Generic Factors available"))</f>
        <v>N/A - See DMRs</v>
      </c>
      <c r="AB115" s="113" t="str">
        <f t="shared" si="13"/>
        <v>N/A</v>
      </c>
      <c r="AC115" s="136" t="str" cm="1">
        <f t="array" ref="AC115">IF(COUNTIF('Raw Annual DMR Data'!K:K,$E115)&gt;0,"N/A - See DMRs",IF(SUMIFS('Raw TRI Data'!$Z:$Z,'Raw TRI Data'!$J:$J,$E115)&gt;0,INDEX('Raw TRI Data'!$A:$A,MATCH(1,($E115='Raw TRI Data'!$J:$J)*($AA115='Raw TRI Data'!$Z:$Z),0)), "N/A - Facility Does Not Report to TRI, no surface water releases, or no Generic Factors available"))</f>
        <v>N/A - See DMRs</v>
      </c>
      <c r="AD115" s="96" t="str" cm="1">
        <f t="array" ref="AD115">IF(COUNTIFS('Raw Annual DMR Data'!L:L,$F115,'Raw Annual DMR Data'!W:W, "&gt;0")&gt;0,MEDIAN(IF('Raw Annual DMR Data'!K:K=$F115, 'Raw Annual DMR Data'!W:W)), "N/A - No Daily Max DMR Discharge Data")</f>
        <v>N/A - No Daily Max DMR Discharge Data</v>
      </c>
      <c r="AE115" s="96" t="str">
        <f>IF(COUNTIFS('Raw Annual DMR Data'!L:L,$F115,'Raw Annual DMR Data'!W:W, "&gt;0")&gt;0,_xlfn.MAXIFS('Raw Annual DMR Data'!W:W,'Raw Annual DMR Data'!L:L,$F115), "N/A - No Daily Max DMR Discharge Data")</f>
        <v>N/A - No Daily Max DMR Discharge Data</v>
      </c>
      <c r="AF115" s="60" t="str" cm="1">
        <f t="array" ref="AF115">IF(COUNTIFS('Raw Annual DMR Data'!L:L,$F115,'Raw Annual DMR Data'!W:W, "&gt;0")&gt;0,INDEX('Raw Annual DMR Data'!B:B,MATCH(1,($F115='Raw Annual DMR Data'!L:L)*($AE115='Raw Annual DMR Data'!W:W),0)), "N/A - No Daily Max DMR Discharge Data")</f>
        <v>N/A - No Daily Max DMR Discharge Data</v>
      </c>
    </row>
    <row r="116" spans="1:32" ht="45.75" thickBot="1" x14ac:dyDescent="0.3">
      <c r="A116" s="144" t="str">
        <f>VLOOKUP(F116,'Facility Summary'!J:K,2,FALSE)</f>
        <v>Repackaging</v>
      </c>
      <c r="B116" s="28" t="s">
        <v>637</v>
      </c>
      <c r="C116" s="28" t="s">
        <v>437</v>
      </c>
      <c r="D116" s="28" t="s">
        <v>362</v>
      </c>
      <c r="E116" s="28" t="s">
        <v>639</v>
      </c>
      <c r="F116" s="61">
        <v>110020774740</v>
      </c>
      <c r="G116" s="74" t="s">
        <v>942</v>
      </c>
      <c r="H116" s="28"/>
      <c r="I116" s="74"/>
      <c r="J116" s="74" t="s">
        <v>265</v>
      </c>
      <c r="K116" s="60">
        <f>VLOOKUP(A116, 'OES Summary'!$A:$B, 2, FALSE)</f>
        <v>250</v>
      </c>
      <c r="L116" s="304" t="str" cm="1">
        <f t="array" ref="L116">IF(COUNTIF('Raw Annual DMR Data'!$L:$L,$F116)&gt;0,MEDIAN(IF('Raw Annual DMR Data'!$L:$L=F116,'Raw Annual DMR Data'!$S:$S)),"N/A - Facility Does Not Report DMRs")</f>
        <v>N/A - Facility Does Not Report DMRs</v>
      </c>
      <c r="M116" s="156" t="str">
        <f t="shared" si="11"/>
        <v>N/A - Facility Does Not Report DMRs</v>
      </c>
      <c r="N116" s="156" t="str">
        <f>IF(COUNTIF('Raw Annual DMR Data'!$L:$L,$F116)&gt;0,_xlfn.MAXIFS('Raw Annual DMR Data'!$S:$S,'Raw Annual DMR Data'!$L:$L,$F116), "N/A - Facility Does Not Report DMRs")</f>
        <v>N/A - Facility Does Not Report DMRs</v>
      </c>
      <c r="O116" s="156" t="str">
        <f t="shared" si="12"/>
        <v>N/A - Facility Does Not Report DMRs</v>
      </c>
      <c r="P116" s="113" t="str" cm="1">
        <f t="array" ref="P116">IF(COUNTIF('Raw Annual DMR Data'!$L:$L,$F116)&gt;0,INDEX('Raw Annual DMR Data'!$B:$B,MATCH(1,($F116='Raw Annual DMR Data'!$L:$L)*($N116='Raw Annual DMR Data'!$S:$S),0)), "N/A - Facility Does Not Report DMRs")</f>
        <v>N/A - Facility Does Not Report DMRs</v>
      </c>
      <c r="Q116" s="304" cm="1">
        <f t="array" ref="Q116">IF(COUNTIF('Raw TRI Data'!$J:$J,$E116)&gt;0,MEDIAN(IF('Raw TRI Data'!$J:$J=E116,'Raw TRI Data'!$S:$S)), "N/A - Facility Does Not Report to TRI")</f>
        <v>0</v>
      </c>
      <c r="R116" s="156">
        <f>IFERROR(+Q116/$K116, "N/A - Facility Does Not Report to TRI")</f>
        <v>0</v>
      </c>
      <c r="S116" s="156">
        <f>IF(COUNTIF('Raw TRI Data'!$J:$J,$E116)&gt;0,_xlfn.MAXIFS('Raw TRI Data'!$S:$S,'Raw TRI Data'!$J:$J,$E116), "N/A - Facility Does Not Report to TRI")</f>
        <v>0</v>
      </c>
      <c r="T116" s="156">
        <f>IFERROR(+S116/$K116, "N/A - Facility Does Not Report to TRI")</f>
        <v>0</v>
      </c>
      <c r="U116" s="136" cm="1">
        <f t="array" ref="U116">IF(COUNTIF('Raw TRI Data'!$J:$J,$E116)&gt;0,INDEX('Raw TRI Data'!$A:$A,MATCH(1,($E116='Raw TRI Data'!$J:$J)*(S116='Raw TRI Data'!$S:$S),0)), "N/A - Facility Does Not Report to TRI")</f>
        <v>2015</v>
      </c>
      <c r="V116" s="156" t="str" cm="1">
        <f t="array" ref="V116">IF(COUNTIFS('Raw Annual DMR Data'!$L:$L,$F116,'Raw Annual DMR Data'!$U:$U,"&gt;0")&gt;0,MEDIAN(IF('Raw Annual DMR Data'!$L:$L=$F116,'Raw Annual DMR Data'!$U:$U,"")),"N/A - Period DMR Data Not Available")</f>
        <v>N/A - Period DMR Data Not Available</v>
      </c>
      <c r="W116" s="156" t="str">
        <f>IF(COUNTIFS('Raw Annual DMR Data'!$L:$L,$F116, 'Raw Annual DMR Data'!$U:$U, "&gt;0")&gt;0,_xlfn.MAXIFS('Raw Annual DMR Data'!$U:$U,'Raw Annual DMR Data'!$L:$L,$F116), "N/A - Period DMR Data Not Available")</f>
        <v>N/A - Period DMR Data Not Available</v>
      </c>
      <c r="X116" s="113" t="str" cm="1">
        <f t="array" ref="X116">+IF(COUNTIFS('Raw Annual DMR Data'!L:L,$F116, 'Raw Annual DMR Data'!U:U, "&gt;0")&gt;0,INDEX('Raw Annual DMR Data'!V:V,MATCH(1,($F116='Raw Annual DMR Data'!L:L)*($W116='Raw Annual DMR Data'!U:U),0)), "N/A - Period DMR Data Not Available")</f>
        <v>N/A - Period DMR Data Not Available</v>
      </c>
      <c r="Y116" s="113" t="str" cm="1">
        <f t="array" ref="Y116">IF(COUNTIFS('Raw Annual DMR Data'!L:L,$F116, 'Raw Annual DMR Data'!U:U, "&gt;0")&gt;0,INDEX('Raw Annual DMR Data'!B:B,MATCH(1,($F116='Raw Annual DMR Data'!L:L)*($W116='Raw Annual DMR Data'!U:U),0)), "N/A - Period DMR Data Not Available")</f>
        <v>N/A - Period DMR Data Not Available</v>
      </c>
      <c r="Z116" s="311" t="str" cm="1">
        <f t="array" ref="Z116">IF(COUNTIF('Raw Annual DMR Data'!K:K,$E116)&gt;0,"N/A - See DMRs",IF(SUMIFS('Raw TRI Data'!$Z:$Z,'Raw TRI Data'!$J:$J,$E116)&gt;0,MEDIAN(IF('Raw TRI Data'!$J:$J=$E116,'Raw TRI Data'!$Z:$Z)), "N/A - Facility Does Not Report to TRI, no surface water releases, or no Generic Factors available"))</f>
        <v>N/A - Facility Does Not Report to TRI, no surface water releases, or no Generic Factors available</v>
      </c>
      <c r="AA116" s="156" t="str">
        <f>IF(COUNTIF('Raw Annual DMR Data'!K:K,$E116)&gt;0,"N/A - See DMRs",IF(SUMIFS('Raw TRI Data'!$Z:$Z,'Raw TRI Data'!$J:$J,$E116)&gt;0,_xlfn.MAXIFS('Raw TRI Data'!$Z:$Z,'Raw TRI Data'!$J:$J,$E116), "N/A - Facility Does Not Report to TRI, no surface water releases, or no Generic Factors available"))</f>
        <v>N/A - Facility Does Not Report to TRI, no surface water releases, or no Generic Factors available</v>
      </c>
      <c r="AB116" s="113" t="str">
        <f t="shared" si="13"/>
        <v>N/A</v>
      </c>
      <c r="AC116" s="136" t="str" cm="1">
        <f t="array" ref="AC116">IF(COUNTIF('Raw Annual DMR Data'!K:K,$E116)&gt;0,"N/A - See DMRs",IF(SUMIFS('Raw TRI Data'!$Z:$Z,'Raw TRI Data'!$J:$J,$E116)&gt;0,INDEX('Raw TRI Data'!$A:$A,MATCH(1,($E116='Raw TRI Data'!$J:$J)*($AA116='Raw TRI Data'!$Z:$Z),0)), "N/A - Facility Does Not Report to TRI, no surface water releases, or no Generic Factors available"))</f>
        <v>N/A - Facility Does Not Report to TRI, no surface water releases, or no Generic Factors available</v>
      </c>
      <c r="AD116" s="96" t="str" cm="1">
        <f t="array" ref="AD116">IF(COUNTIFS('Raw Annual DMR Data'!L:L,$F116,'Raw Annual DMR Data'!W:W, "&gt;0")&gt;0,MEDIAN(IF('Raw Annual DMR Data'!K:K=$F116, 'Raw Annual DMR Data'!W:W)), "N/A - No Daily Max DMR Discharge Data")</f>
        <v>N/A - No Daily Max DMR Discharge Data</v>
      </c>
      <c r="AE116" s="96" t="str">
        <f>IF(COUNTIFS('Raw Annual DMR Data'!L:L,$F116,'Raw Annual DMR Data'!W:W, "&gt;0")&gt;0,_xlfn.MAXIFS('Raw Annual DMR Data'!W:W,'Raw Annual DMR Data'!L:L,$F116), "N/A - No Daily Max DMR Discharge Data")</f>
        <v>N/A - No Daily Max DMR Discharge Data</v>
      </c>
      <c r="AF116" s="60" t="str" cm="1">
        <f t="array" ref="AF116">IF(COUNTIFS('Raw Annual DMR Data'!L:L,$F116,'Raw Annual DMR Data'!W:W, "&gt;0")&gt;0,INDEX('Raw Annual DMR Data'!B:B,MATCH(1,($F116='Raw Annual DMR Data'!L:L)*($AE116='Raw Annual DMR Data'!W:W),0)), "N/A - No Daily Max DMR Discharge Data")</f>
        <v>N/A - No Daily Max DMR Discharge Data</v>
      </c>
    </row>
    <row r="117" spans="1:32" ht="45.75" thickBot="1" x14ac:dyDescent="0.3">
      <c r="A117" s="144" t="str">
        <f>VLOOKUP(F117,'Facility Summary'!J:K,2,FALSE)</f>
        <v>Processing into formulation, mixture, or reaction product</v>
      </c>
      <c r="B117" s="28" t="s">
        <v>219</v>
      </c>
      <c r="C117" s="28" t="s">
        <v>426</v>
      </c>
      <c r="D117" s="28" t="s">
        <v>427</v>
      </c>
      <c r="E117" s="60" t="s">
        <v>642</v>
      </c>
      <c r="F117" s="74">
        <v>110043787408</v>
      </c>
      <c r="G117" s="74" t="s">
        <v>295</v>
      </c>
      <c r="H117" s="28" t="s">
        <v>295</v>
      </c>
      <c r="I117" s="74" t="s">
        <v>295</v>
      </c>
      <c r="J117" s="74" t="s">
        <v>265</v>
      </c>
      <c r="K117" s="60">
        <f>VLOOKUP(A117, 'OES Summary'!$A:$B, 2, FALSE)</f>
        <v>300</v>
      </c>
      <c r="L117" s="304" t="str" cm="1">
        <f t="array" ref="L117">IF(COUNTIF('Raw Annual DMR Data'!$L:$L,$F117)&gt;0,MEDIAN(IF('Raw Annual DMR Data'!$L:$L=F117,'Raw Annual DMR Data'!$S:$S)),"N/A - Facility Does Not Report DMRs")</f>
        <v>N/A - Facility Does Not Report DMRs</v>
      </c>
      <c r="M117" s="156" t="str">
        <f t="shared" si="11"/>
        <v>N/A - Facility Does Not Report DMRs</v>
      </c>
      <c r="N117" s="156" t="str">
        <f>IF(COUNTIF('Raw Annual DMR Data'!$L:$L,$F117)&gt;0,_xlfn.MAXIFS('Raw Annual DMR Data'!$S:$S,'Raw Annual DMR Data'!$L:$L,$F117), "N/A - Facility Does Not Report DMRs")</f>
        <v>N/A - Facility Does Not Report DMRs</v>
      </c>
      <c r="O117" s="156" t="str">
        <f t="shared" si="12"/>
        <v>N/A - Facility Does Not Report DMRs</v>
      </c>
      <c r="P117" s="113" t="str" cm="1">
        <f t="array" ref="P117">IF(COUNTIF('Raw Annual DMR Data'!$L:$L,$F117)&gt;0,INDEX('Raw Annual DMR Data'!$B:$B,MATCH(1,($F117='Raw Annual DMR Data'!$L:$L)*($N117='Raw Annual DMR Data'!$S:$S),0)), "N/A - Facility Does Not Report DMRs")</f>
        <v>N/A - Facility Does Not Report DMRs</v>
      </c>
      <c r="Q117" s="304" cm="1">
        <f t="array" ref="Q117">IF(COUNTIF('Raw TRI Data'!$J:$J,$E117)&gt;0,MEDIAN(IF('Raw TRI Data'!$J:$J=E117,'Raw TRI Data'!$S:$S)), "N/A - Facility Does Not Report to TRI")</f>
        <v>42.637682780000006</v>
      </c>
      <c r="R117" s="156">
        <f t="shared" si="14"/>
        <v>0.14212560926666667</v>
      </c>
      <c r="S117" s="156">
        <f>IF(COUNTIF('Raw TRI Data'!$J:$J,$E117)&gt;0,_xlfn.MAXIFS('Raw TRI Data'!$S:$S,'Raw TRI Data'!$J:$J,$E117), "N/A - Facility Does Not Report to TRI")</f>
        <v>63.502931800000006</v>
      </c>
      <c r="T117" s="156">
        <f t="shared" si="15"/>
        <v>0.21167643933333335</v>
      </c>
      <c r="U117" s="136" cm="1">
        <f t="array" ref="U117">IF(COUNTIF('Raw TRI Data'!$J:$J,$E117)&gt;0,INDEX('Raw TRI Data'!$A:$A,MATCH(1,($E117='Raw TRI Data'!$J:$J)*(S117='Raw TRI Data'!$S:$S),0)), "N/A - Facility Does Not Report to TRI")</f>
        <v>2015</v>
      </c>
      <c r="V117" s="156" t="str" cm="1">
        <f t="array" ref="V117">IF(COUNTIFS('Raw Annual DMR Data'!$L:$L,$F117,'Raw Annual DMR Data'!$U:$U,"&gt;0")&gt;0,MEDIAN(IF('Raw Annual DMR Data'!$L:$L=$F117,'Raw Annual DMR Data'!$U:$U,"")),"N/A - Period DMR Data Not Available")</f>
        <v>N/A - Period DMR Data Not Available</v>
      </c>
      <c r="W117" s="156" t="str">
        <f>IF(COUNTIFS('Raw Annual DMR Data'!$L:$L,$F117, 'Raw Annual DMR Data'!$U:$U, "&gt;0")&gt;0,_xlfn.MAXIFS('Raw Annual DMR Data'!$U:$U,'Raw Annual DMR Data'!$L:$L,$F117), "N/A - Period DMR Data Not Available")</f>
        <v>N/A - Period DMR Data Not Available</v>
      </c>
      <c r="X117" s="113" t="str" cm="1">
        <f t="array" ref="X117">+IF(COUNTIFS('Raw Annual DMR Data'!L:L,$F117, 'Raw Annual DMR Data'!U:U, "&gt;0")&gt;0,INDEX('Raw Annual DMR Data'!V:V,MATCH(1,($F117='Raw Annual DMR Data'!L:L)*($W117='Raw Annual DMR Data'!U:U),0)), "N/A - Period DMR Data Not Available")</f>
        <v>N/A - Period DMR Data Not Available</v>
      </c>
      <c r="Y117" s="113" t="str" cm="1">
        <f t="array" ref="Y117">IF(COUNTIFS('Raw Annual DMR Data'!L:L,$F117, 'Raw Annual DMR Data'!U:U, "&gt;0")&gt;0,INDEX('Raw Annual DMR Data'!B:B,MATCH(1,($F117='Raw Annual DMR Data'!L:L)*($W117='Raw Annual DMR Data'!U:U),0)), "N/A - Period DMR Data Not Available")</f>
        <v>N/A - Period DMR Data Not Available</v>
      </c>
      <c r="Z117" s="311" t="e" cm="1">
        <f t="array" ref="Z117">IF(COUNTIF('Raw Annual DMR Data'!K:K,$E117)&gt;0,"N/A - See DMRs",IF(SUMIFS('Raw TRI Data'!$Z:$Z,'Raw TRI Data'!$J:$J,$E117)&gt;0,MEDIAN(IF('Raw TRI Data'!$J:$J=$E117,'Raw TRI Data'!$Z:$Z)), "N/A - Facility Does Not Report to TRI, no surface water releases, or no Generic Factors available"))</f>
        <v>#N/A</v>
      </c>
      <c r="AA117" s="156" t="e">
        <f>IF(COUNTIF('Raw Annual DMR Data'!K:K,$E117)&gt;0,"N/A - See DMRs",IF(SUMIFS('Raw TRI Data'!$Z:$Z,'Raw TRI Data'!$J:$J,$E117)&gt;0,_xlfn.MAXIFS('Raw TRI Data'!$Z:$Z,'Raw TRI Data'!$J:$J,$E117), "N/A - Facility Does Not Report to TRI, no surface water releases, or no Generic Factors available"))</f>
        <v>#N/A</v>
      </c>
      <c r="AB117" s="113" t="str">
        <f t="shared" si="13"/>
        <v>N/A</v>
      </c>
      <c r="AC117" s="136" t="e" cm="1">
        <f t="array" ref="AC117">IF(COUNTIF('Raw Annual DMR Data'!K:K,$E117)&gt;0,"N/A - See DMRs",IF(SUMIFS('Raw TRI Data'!$Z:$Z,'Raw TRI Data'!$J:$J,$E117)&gt;0,INDEX('Raw TRI Data'!$A:$A,MATCH(1,($E117='Raw TRI Data'!$J:$J)*($AA117='Raw TRI Data'!$Z:$Z),0)), "N/A - Facility Does Not Report to TRI, no surface water releases, or no Generic Factors available"))</f>
        <v>#N/A</v>
      </c>
      <c r="AD117" s="96" t="str" cm="1">
        <f t="array" ref="AD117">IF(COUNTIFS('Raw Annual DMR Data'!L:L,$F117,'Raw Annual DMR Data'!W:W, "&gt;0")&gt;0,MEDIAN(IF('Raw Annual DMR Data'!K:K=$F117, 'Raw Annual DMR Data'!W:W)), "N/A - No Daily Max DMR Discharge Data")</f>
        <v>N/A - No Daily Max DMR Discharge Data</v>
      </c>
      <c r="AE117" s="96" t="str">
        <f>IF(COUNTIFS('Raw Annual DMR Data'!L:L,$F117,'Raw Annual DMR Data'!W:W, "&gt;0")&gt;0,_xlfn.MAXIFS('Raw Annual DMR Data'!W:W,'Raw Annual DMR Data'!L:L,$F117), "N/A - No Daily Max DMR Discharge Data")</f>
        <v>N/A - No Daily Max DMR Discharge Data</v>
      </c>
      <c r="AF117" s="60" t="str" cm="1">
        <f t="array" ref="AF117">IF(COUNTIFS('Raw Annual DMR Data'!L:L,$F117,'Raw Annual DMR Data'!W:W, "&gt;0")&gt;0,INDEX('Raw Annual DMR Data'!B:B,MATCH(1,($F117='Raw Annual DMR Data'!L:L)*($AE117='Raw Annual DMR Data'!W:W),0)), "N/A - No Daily Max DMR Discharge Data")</f>
        <v>N/A - No Daily Max DMR Discharge Data</v>
      </c>
    </row>
    <row r="118" spans="1:32" ht="30.75" thickBot="1" x14ac:dyDescent="0.3">
      <c r="A118" s="144" t="str">
        <f>VLOOKUP(F118,'Facility Summary'!J:K,2,FALSE)</f>
        <v>Processing as a Reactant</v>
      </c>
      <c r="B118" s="28" t="s">
        <v>220</v>
      </c>
      <c r="C118" s="28" t="s">
        <v>334</v>
      </c>
      <c r="D118" s="28" t="s">
        <v>303</v>
      </c>
      <c r="E118" s="60" t="s">
        <v>644</v>
      </c>
      <c r="F118" s="74">
        <v>110001244724</v>
      </c>
      <c r="G118" s="74" t="s">
        <v>295</v>
      </c>
      <c r="H118" s="28" t="s">
        <v>295</v>
      </c>
      <c r="I118" s="74" t="s">
        <v>295</v>
      </c>
      <c r="J118" s="74" t="s">
        <v>265</v>
      </c>
      <c r="K118" s="60">
        <f>VLOOKUP(A118, 'OES Summary'!$A:$B, 2, FALSE)</f>
        <v>350</v>
      </c>
      <c r="L118" s="304" t="str" cm="1">
        <f t="array" ref="L118">IF(COUNTIF('Raw Annual DMR Data'!$L:$L,$F118)&gt;0,MEDIAN(IF('Raw Annual DMR Data'!$L:$L=F118,'Raw Annual DMR Data'!$S:$S)),"N/A - Facility Does Not Report DMRs")</f>
        <v>N/A - Facility Does Not Report DMRs</v>
      </c>
      <c r="M118" s="156" t="str">
        <f t="shared" si="11"/>
        <v>N/A - Facility Does Not Report DMRs</v>
      </c>
      <c r="N118" s="156" t="str">
        <f>IF(COUNTIF('Raw Annual DMR Data'!$L:$L,$F118)&gt;0,_xlfn.MAXIFS('Raw Annual DMR Data'!$S:$S,'Raw Annual DMR Data'!$L:$L,$F118), "N/A - Facility Does Not Report DMRs")</f>
        <v>N/A - Facility Does Not Report DMRs</v>
      </c>
      <c r="O118" s="156" t="str">
        <f t="shared" si="12"/>
        <v>N/A - Facility Does Not Report DMRs</v>
      </c>
      <c r="P118" s="113" t="str" cm="1">
        <f t="array" ref="P118">IF(COUNTIF('Raw Annual DMR Data'!$L:$L,$F118)&gt;0,INDEX('Raw Annual DMR Data'!$B:$B,MATCH(1,($F118='Raw Annual DMR Data'!$L:$L)*($N118='Raw Annual DMR Data'!$S:$S),0)), "N/A - Facility Does Not Report DMRs")</f>
        <v>N/A - Facility Does Not Report DMRs</v>
      </c>
      <c r="Q118" s="304" cm="1">
        <f t="array" ref="Q118">IF(COUNTIF('Raw TRI Data'!$J:$J,$E118)&gt;0,MEDIAN(IF('Raw TRI Data'!$J:$J=E118,'Raw TRI Data'!$S:$S)), "N/A - Facility Does Not Report to TRI")</f>
        <v>329.76165299000002</v>
      </c>
      <c r="R118" s="156">
        <f t="shared" si="14"/>
        <v>0.94217615139999999</v>
      </c>
      <c r="S118" s="156">
        <f>IF(COUNTIF('Raw TRI Data'!$J:$J,$E118)&gt;0,_xlfn.MAXIFS('Raw TRI Data'!$S:$S,'Raw TRI Data'!$J:$J,$E118), "N/A - Facility Does Not Report to TRI")</f>
        <v>329.76165299000002</v>
      </c>
      <c r="T118" s="156">
        <f t="shared" si="15"/>
        <v>0.94217615139999999</v>
      </c>
      <c r="U118" s="136" cm="1">
        <f t="array" ref="U118">IF(COUNTIF('Raw TRI Data'!$J:$J,$E118)&gt;0,INDEX('Raw TRI Data'!$A:$A,MATCH(1,($E118='Raw TRI Data'!$J:$J)*(S118='Raw TRI Data'!$S:$S),0)), "N/A - Facility Does Not Report to TRI")</f>
        <v>2017</v>
      </c>
      <c r="V118" s="156" t="str" cm="1">
        <f t="array" ref="V118">IF(COUNTIFS('Raw Annual DMR Data'!$L:$L,$F118,'Raw Annual DMR Data'!$U:$U,"&gt;0")&gt;0,MEDIAN(IF('Raw Annual DMR Data'!$L:$L=$F118,'Raw Annual DMR Data'!$U:$U,"")),"N/A - Period DMR Data Not Available")</f>
        <v>N/A - Period DMR Data Not Available</v>
      </c>
      <c r="W118" s="156" t="str">
        <f>IF(COUNTIFS('Raw Annual DMR Data'!$L:$L,$F118, 'Raw Annual DMR Data'!$U:$U, "&gt;0")&gt;0,_xlfn.MAXIFS('Raw Annual DMR Data'!$U:$U,'Raw Annual DMR Data'!$L:$L,$F118), "N/A - Period DMR Data Not Available")</f>
        <v>N/A - Period DMR Data Not Available</v>
      </c>
      <c r="X118" s="113" t="str" cm="1">
        <f t="array" ref="X118">+IF(COUNTIFS('Raw Annual DMR Data'!L:L,$F118, 'Raw Annual DMR Data'!U:U, "&gt;0")&gt;0,INDEX('Raw Annual DMR Data'!V:V,MATCH(1,($F118='Raw Annual DMR Data'!L:L)*($W118='Raw Annual DMR Data'!U:U),0)), "N/A - Period DMR Data Not Available")</f>
        <v>N/A - Period DMR Data Not Available</v>
      </c>
      <c r="Y118" s="113" t="str" cm="1">
        <f t="array" ref="Y118">IF(COUNTIFS('Raw Annual DMR Data'!L:L,$F118, 'Raw Annual DMR Data'!U:U, "&gt;0")&gt;0,INDEX('Raw Annual DMR Data'!B:B,MATCH(1,($F118='Raw Annual DMR Data'!L:L)*($W118='Raw Annual DMR Data'!U:U),0)), "N/A - Period DMR Data Not Available")</f>
        <v>N/A - Period DMR Data Not Available</v>
      </c>
      <c r="Z118" s="311" t="e" cm="1">
        <f t="array" ref="Z118">IF(COUNTIF('Raw Annual DMR Data'!K:K,$E118)&gt;0,"N/A - See DMRs",IF(SUMIFS('Raw TRI Data'!$Z:$Z,'Raw TRI Data'!$J:$J,$E118)&gt;0,MEDIAN(IF('Raw TRI Data'!$J:$J=$E118,'Raw TRI Data'!$Z:$Z)), "N/A - Facility Does Not Report to TRI, no surface water releases, or no Generic Factors available"))</f>
        <v>#N/A</v>
      </c>
      <c r="AA118" s="156" t="e">
        <f>IF(COUNTIF('Raw Annual DMR Data'!K:K,$E118)&gt;0,"N/A - See DMRs",IF(SUMIFS('Raw TRI Data'!$Z:$Z,'Raw TRI Data'!$J:$J,$E118)&gt;0,_xlfn.MAXIFS('Raw TRI Data'!$Z:$Z,'Raw TRI Data'!$J:$J,$E118), "N/A - Facility Does Not Report to TRI, no surface water releases, or no Generic Factors available"))</f>
        <v>#N/A</v>
      </c>
      <c r="AB118" s="113" t="str">
        <f t="shared" si="13"/>
        <v>N/A</v>
      </c>
      <c r="AC118" s="136" t="e" cm="1">
        <f t="array" ref="AC118">IF(COUNTIF('Raw Annual DMR Data'!K:K,$E118)&gt;0,"N/A - See DMRs",IF(SUMIFS('Raw TRI Data'!$Z:$Z,'Raw TRI Data'!$J:$J,$E118)&gt;0,INDEX('Raw TRI Data'!$A:$A,MATCH(1,($E118='Raw TRI Data'!$J:$J)*($AA118='Raw TRI Data'!$Z:$Z),0)), "N/A - Facility Does Not Report to TRI, no surface water releases, or no Generic Factors available"))</f>
        <v>#N/A</v>
      </c>
      <c r="AD118" s="96" t="str" cm="1">
        <f t="array" ref="AD118">IF(COUNTIFS('Raw Annual DMR Data'!L:L,$F118,'Raw Annual DMR Data'!W:W, "&gt;0")&gt;0,MEDIAN(IF('Raw Annual DMR Data'!K:K=$F118, 'Raw Annual DMR Data'!W:W)), "N/A - No Daily Max DMR Discharge Data")</f>
        <v>N/A - No Daily Max DMR Discharge Data</v>
      </c>
      <c r="AE118" s="96" t="str">
        <f>IF(COUNTIFS('Raw Annual DMR Data'!L:L,$F118,'Raw Annual DMR Data'!W:W, "&gt;0")&gt;0,_xlfn.MAXIFS('Raw Annual DMR Data'!W:W,'Raw Annual DMR Data'!L:L,$F118), "N/A - No Daily Max DMR Discharge Data")</f>
        <v>N/A - No Daily Max DMR Discharge Data</v>
      </c>
      <c r="AF118" s="60" t="str" cm="1">
        <f t="array" ref="AF118">IF(COUNTIFS('Raw Annual DMR Data'!L:L,$F118,'Raw Annual DMR Data'!W:W, "&gt;0")&gt;0,INDEX('Raw Annual DMR Data'!B:B,MATCH(1,($F118='Raw Annual DMR Data'!L:L)*($AE118='Raw Annual DMR Data'!W:W),0)), "N/A - No Daily Max DMR Discharge Data")</f>
        <v>N/A - No Daily Max DMR Discharge Data</v>
      </c>
    </row>
    <row r="119" spans="1:32" ht="30.75" thickBot="1" x14ac:dyDescent="0.3">
      <c r="A119" s="144" t="str">
        <f>VLOOKUP(F119,'Facility Summary'!J:K,2,FALSE)</f>
        <v>Processing as a Reactant</v>
      </c>
      <c r="B119" s="28" t="s">
        <v>194</v>
      </c>
      <c r="C119" s="28" t="s">
        <v>590</v>
      </c>
      <c r="D119" s="28" t="s">
        <v>362</v>
      </c>
      <c r="E119" s="60" t="s">
        <v>646</v>
      </c>
      <c r="F119" s="74">
        <v>110000619652</v>
      </c>
      <c r="G119" s="74" t="s">
        <v>943</v>
      </c>
      <c r="H119" s="28" t="s">
        <v>944</v>
      </c>
      <c r="I119" s="74">
        <v>12040104000661</v>
      </c>
      <c r="J119" s="74" t="s">
        <v>265</v>
      </c>
      <c r="K119" s="60">
        <f>VLOOKUP(A119, 'OES Summary'!$A:$B, 2, FALSE)</f>
        <v>350</v>
      </c>
      <c r="L119" s="304" cm="1">
        <f t="array" ref="L119">IF(COUNTIF('Raw Annual DMR Data'!$L:$L,$F119)&gt;0,MEDIAN(IF('Raw Annual DMR Data'!$L:$L=F119,'Raw Annual DMR Data'!$S:$S)),"N/A - Facility Does Not Report DMRs")</f>
        <v>0.16553287981859399</v>
      </c>
      <c r="M119" s="156">
        <f t="shared" si="11"/>
        <v>4.7295108519598286E-4</v>
      </c>
      <c r="N119" s="156">
        <f>IF(COUNTIF('Raw Annual DMR Data'!$L:$L,$F119)&gt;0,_xlfn.MAXIFS('Raw Annual DMR Data'!$S:$S,'Raw Annual DMR Data'!$L:$L,$F119), "N/A - Facility Does Not Report DMRs")</f>
        <v>0.16553287981859399</v>
      </c>
      <c r="O119" s="156">
        <f t="shared" si="12"/>
        <v>4.7295108519598286E-4</v>
      </c>
      <c r="P119" s="113" cm="1">
        <f t="array" ref="P119">IF(COUNTIF('Raw Annual DMR Data'!$L:$L,$F119)&gt;0,INDEX('Raw Annual DMR Data'!$B:$B,MATCH(1,($F119='Raw Annual DMR Data'!$L:$L)*($N119='Raw Annual DMR Data'!$S:$S),0)), "N/A - Facility Does Not Report DMRs")</f>
        <v>2020</v>
      </c>
      <c r="Q119" s="304" t="str" cm="1">
        <f t="array" ref="Q119">IF(COUNTIF('Raw TRI Data'!$J:$J,$E119)&gt;0,MEDIAN(IF('Raw TRI Data'!$J:$J=E119,'Raw TRI Data'!$S:$S)), "N/A - Facility Does Not Report to TRI")</f>
        <v>N/A - Facility Does Not Report to TRI</v>
      </c>
      <c r="R119" s="156" t="str">
        <f t="shared" si="14"/>
        <v>N/A - Facility Does Not Report to TRI</v>
      </c>
      <c r="S119" s="156" t="str">
        <f>IF(COUNTIF('Raw TRI Data'!$J:$J,$E119)&gt;0,_xlfn.MAXIFS('Raw TRI Data'!$S:$S,'Raw TRI Data'!$J:$J,$E119), "N/A - Facility Does Not Report to TRI")</f>
        <v>N/A - Facility Does Not Report to TRI</v>
      </c>
      <c r="T119" s="156" t="str">
        <f t="shared" si="15"/>
        <v>N/A - Facility Does Not Report to TRI</v>
      </c>
      <c r="U119" s="136" t="str" cm="1">
        <f t="array" ref="U119">IF(COUNTIF('Raw TRI Data'!$J:$J,$E119)&gt;0,INDEX('Raw TRI Data'!$A:$A,MATCH(1,($E119='Raw TRI Data'!$J:$J)*(S119='Raw TRI Data'!$S:$S),0)), "N/A - Facility Does Not Report to TRI")</f>
        <v>N/A - Facility Does Not Report to TRI</v>
      </c>
      <c r="V119" s="156" t="str" cm="1">
        <f t="array" ref="V119">IF(COUNTIFS('Raw Annual DMR Data'!$L:$L,$F119,'Raw Annual DMR Data'!$U:$U,"&gt;0")&gt;0,MEDIAN(IF('Raw Annual DMR Data'!$L:$L=$F119,'Raw Annual DMR Data'!$U:$U,"")),"N/A - Period DMR Data Not Available")</f>
        <v>N/A - Period DMR Data Not Available</v>
      </c>
      <c r="W119" s="156" t="str">
        <f>IF(COUNTIFS('Raw Annual DMR Data'!$L:$L,$F119, 'Raw Annual DMR Data'!$U:$U, "&gt;0")&gt;0,_xlfn.MAXIFS('Raw Annual DMR Data'!$U:$U,'Raw Annual DMR Data'!$L:$L,$F119), "N/A - Period DMR Data Not Available")</f>
        <v>N/A - Period DMR Data Not Available</v>
      </c>
      <c r="X119" s="113" t="str" cm="1">
        <f t="array" ref="X119">+IF(COUNTIFS('Raw Annual DMR Data'!L:L,$F119, 'Raw Annual DMR Data'!U:U, "&gt;0")&gt;0,INDEX('Raw Annual DMR Data'!V:V,MATCH(1,($F119='Raw Annual DMR Data'!L:L)*($W119='Raw Annual DMR Data'!U:U),0)), "N/A - Period DMR Data Not Available")</f>
        <v>N/A - Period DMR Data Not Available</v>
      </c>
      <c r="Y119" s="113" t="str" cm="1">
        <f t="array" ref="Y119">IF(COUNTIFS('Raw Annual DMR Data'!L:L,$F119, 'Raw Annual DMR Data'!U:U, "&gt;0")&gt;0,INDEX('Raw Annual DMR Data'!B:B,MATCH(1,($F119='Raw Annual DMR Data'!L:L)*($W119='Raw Annual DMR Data'!U:U),0)), "N/A - Period DMR Data Not Available")</f>
        <v>N/A - Period DMR Data Not Available</v>
      </c>
      <c r="Z119" s="311" t="str" cm="1">
        <f t="array" ref="Z119">IF(COUNTIF('Raw Annual DMR Data'!K:K,$E119)&gt;0,"N/A - See DMRs",IF(SUMIFS('Raw TRI Data'!$Z:$Z,'Raw TRI Data'!$J:$J,$E119)&gt;0,MEDIAN(IF('Raw TRI Data'!$J:$J=$E119,'Raw TRI Data'!$Z:$Z)), "N/A - Facility Does Not Report to TRI, no surface water releases, or no Generic Factors available"))</f>
        <v>N/A - See DMRs</v>
      </c>
      <c r="AA119" s="156" t="str">
        <f>IF(COUNTIF('Raw Annual DMR Data'!K:K,$E119)&gt;0,"N/A - See DMRs",IF(SUMIFS('Raw TRI Data'!$Z:$Z,'Raw TRI Data'!$J:$J,$E119)&gt;0,_xlfn.MAXIFS('Raw TRI Data'!$Z:$Z,'Raw TRI Data'!$J:$J,$E119), "N/A - Facility Does Not Report to TRI, no surface water releases, or no Generic Factors available"))</f>
        <v>N/A - See DMRs</v>
      </c>
      <c r="AB119" s="113" t="str">
        <f t="shared" si="13"/>
        <v>N/A</v>
      </c>
      <c r="AC119" s="136" t="str" cm="1">
        <f t="array" ref="AC119">IF(COUNTIF('Raw Annual DMR Data'!K:K,$E119)&gt;0,"N/A - See DMRs",IF(SUMIFS('Raw TRI Data'!$Z:$Z,'Raw TRI Data'!$J:$J,$E119)&gt;0,INDEX('Raw TRI Data'!$A:$A,MATCH(1,($E119='Raw TRI Data'!$J:$J)*($AA119='Raw TRI Data'!$Z:$Z),0)), "N/A - Facility Does Not Report to TRI, no surface water releases, or no Generic Factors available"))</f>
        <v>N/A - See DMRs</v>
      </c>
      <c r="AD119" s="96" t="str" cm="1">
        <f t="array" ref="AD119">IF(COUNTIFS('Raw Annual DMR Data'!L:L,$F119,'Raw Annual DMR Data'!W:W, "&gt;0")&gt;0,MEDIAN(IF('Raw Annual DMR Data'!K:K=$F119, 'Raw Annual DMR Data'!W:W)), "N/A - No Daily Max DMR Discharge Data")</f>
        <v>N/A - No Daily Max DMR Discharge Data</v>
      </c>
      <c r="AE119" s="96" t="str">
        <f>IF(COUNTIFS('Raw Annual DMR Data'!L:L,$F119,'Raw Annual DMR Data'!W:W, "&gt;0")&gt;0,_xlfn.MAXIFS('Raw Annual DMR Data'!W:W,'Raw Annual DMR Data'!L:L,$F119), "N/A - No Daily Max DMR Discharge Data")</f>
        <v>N/A - No Daily Max DMR Discharge Data</v>
      </c>
      <c r="AF119" s="60" t="str" cm="1">
        <f t="array" ref="AF119">IF(COUNTIFS('Raw Annual DMR Data'!L:L,$F119,'Raw Annual DMR Data'!W:W, "&gt;0")&gt;0,INDEX('Raw Annual DMR Data'!B:B,MATCH(1,($F119='Raw Annual DMR Data'!L:L)*($AE119='Raw Annual DMR Data'!W:W),0)), "N/A - No Daily Max DMR Discharge Data")</f>
        <v>N/A - No Daily Max DMR Discharge Data</v>
      </c>
    </row>
    <row r="120" spans="1:32" ht="30.75" thickBot="1" x14ac:dyDescent="0.3">
      <c r="A120" s="144" t="str">
        <f>VLOOKUP(F120,'Facility Summary'!J:K,2,FALSE)</f>
        <v>Processing as a Reactant</v>
      </c>
      <c r="B120" s="28" t="s">
        <v>195</v>
      </c>
      <c r="C120" s="28" t="s">
        <v>648</v>
      </c>
      <c r="D120" s="28" t="s">
        <v>328</v>
      </c>
      <c r="E120" s="60" t="s">
        <v>649</v>
      </c>
      <c r="F120" s="74">
        <v>110000611703</v>
      </c>
      <c r="G120" s="74" t="s">
        <v>945</v>
      </c>
      <c r="H120" s="28" t="s">
        <v>946</v>
      </c>
      <c r="I120" s="74">
        <v>3150101000005</v>
      </c>
      <c r="J120" s="74" t="s">
        <v>265</v>
      </c>
      <c r="K120" s="60">
        <f>VLOOKUP(A120, 'OES Summary'!$A:$B, 2, FALSE)</f>
        <v>350</v>
      </c>
      <c r="L120" s="304" cm="1">
        <f t="array" ref="L120">IF(COUNTIF('Raw Annual DMR Data'!$L:$L,$F120)&gt;0,MEDIAN(IF('Raw Annual DMR Data'!$L:$L=F120,'Raw Annual DMR Data'!$S:$S)),"N/A - Facility Does Not Report DMRs")</f>
        <v>1.7573696145124648E-2</v>
      </c>
      <c r="M120" s="156">
        <f t="shared" si="11"/>
        <v>5.0210560414641853E-5</v>
      </c>
      <c r="N120" s="156">
        <f>IF(COUNTIF('Raw Annual DMR Data'!$L:$L,$F120)&gt;0,_xlfn.MAXIFS('Raw Annual DMR Data'!$S:$S,'Raw Annual DMR Data'!$L:$L,$F120), "N/A - Facility Does Not Report DMRs")</f>
        <v>5.0612244897959097E-2</v>
      </c>
      <c r="O120" s="156">
        <f t="shared" si="12"/>
        <v>1.4460641399416884E-4</v>
      </c>
      <c r="P120" s="113" cm="1">
        <f t="array" ref="P120">IF(COUNTIF('Raw Annual DMR Data'!$L:$L,$F120)&gt;0,INDEX('Raw Annual DMR Data'!$B:$B,MATCH(1,($F120='Raw Annual DMR Data'!$L:$L)*($N120='Raw Annual DMR Data'!$S:$S),0)), "N/A - Facility Does Not Report DMRs")</f>
        <v>2017</v>
      </c>
      <c r="Q120" s="304" t="str" cm="1">
        <f t="array" ref="Q120">IF(COUNTIF('Raw TRI Data'!$J:$J,$E120)&gt;0,MEDIAN(IF('Raw TRI Data'!$J:$J=E120,'Raw TRI Data'!$S:$S)), "N/A - Facility Does Not Report to TRI")</f>
        <v>N/A - Facility Does Not Report to TRI</v>
      </c>
      <c r="R120" s="156" t="str">
        <f t="shared" si="14"/>
        <v>N/A - Facility Does Not Report to TRI</v>
      </c>
      <c r="S120" s="156" t="str">
        <f>IF(COUNTIF('Raw TRI Data'!$J:$J,$E120)&gt;0,_xlfn.MAXIFS('Raw TRI Data'!$S:$S,'Raw TRI Data'!$J:$J,$E120), "N/A - Facility Does Not Report to TRI")</f>
        <v>N/A - Facility Does Not Report to TRI</v>
      </c>
      <c r="T120" s="156" t="str">
        <f t="shared" si="15"/>
        <v>N/A - Facility Does Not Report to TRI</v>
      </c>
      <c r="U120" s="136" t="str" cm="1">
        <f t="array" ref="U120">IF(COUNTIF('Raw TRI Data'!$J:$J,$E120)&gt;0,INDEX('Raw TRI Data'!$A:$A,MATCH(1,($E120='Raw TRI Data'!$J:$J)*(S120='Raw TRI Data'!$S:$S),0)), "N/A - Facility Does Not Report to TRI")</f>
        <v>N/A - Facility Does Not Report to TRI</v>
      </c>
      <c r="V120" s="156" t="str" cm="1">
        <f t="array" ref="V120">IF(COUNTIFS('Raw Annual DMR Data'!$L:$L,$F120,'Raw Annual DMR Data'!$U:$U,"&gt;0")&gt;0,MEDIAN(IF('Raw Annual DMR Data'!$L:$L=$F120,'Raw Annual DMR Data'!$U:$U,"")),"N/A - Period DMR Data Not Available")</f>
        <v>N/A - Period DMR Data Not Available</v>
      </c>
      <c r="W120" s="156" t="str">
        <f>IF(COUNTIFS('Raw Annual DMR Data'!$L:$L,$F120, 'Raw Annual DMR Data'!$U:$U, "&gt;0")&gt;0,_xlfn.MAXIFS('Raw Annual DMR Data'!$U:$U,'Raw Annual DMR Data'!$L:$L,$F120), "N/A - Period DMR Data Not Available")</f>
        <v>N/A - Period DMR Data Not Available</v>
      </c>
      <c r="X120" s="113" t="str" cm="1">
        <f t="array" ref="X120">+IF(COUNTIFS('Raw Annual DMR Data'!L:L,$F120, 'Raw Annual DMR Data'!U:U, "&gt;0")&gt;0,INDEX('Raw Annual DMR Data'!V:V,MATCH(1,($F120='Raw Annual DMR Data'!L:L)*($W120='Raw Annual DMR Data'!U:U),0)), "N/A - Period DMR Data Not Available")</f>
        <v>N/A - Period DMR Data Not Available</v>
      </c>
      <c r="Y120" s="113" t="str" cm="1">
        <f t="array" ref="Y120">IF(COUNTIFS('Raw Annual DMR Data'!L:L,$F120, 'Raw Annual DMR Data'!U:U, "&gt;0")&gt;0,INDEX('Raw Annual DMR Data'!B:B,MATCH(1,($F120='Raw Annual DMR Data'!L:L)*($W120='Raw Annual DMR Data'!U:U),0)), "N/A - Period DMR Data Not Available")</f>
        <v>N/A - Period DMR Data Not Available</v>
      </c>
      <c r="Z120" s="311" t="str" cm="1">
        <f t="array" ref="Z120">IF(COUNTIF('Raw Annual DMR Data'!K:K,$E120)&gt;0,"N/A - See DMRs",IF(SUMIFS('Raw TRI Data'!$Z:$Z,'Raw TRI Data'!$J:$J,$E120)&gt;0,MEDIAN(IF('Raw TRI Data'!$J:$J=$E120,'Raw TRI Data'!$Z:$Z)), "N/A - Facility Does Not Report to TRI, no surface water releases, or no Generic Factors available"))</f>
        <v>N/A - See DMRs</v>
      </c>
      <c r="AA120" s="156" t="str">
        <f>IF(COUNTIF('Raw Annual DMR Data'!K:K,$E120)&gt;0,"N/A - See DMRs",IF(SUMIFS('Raw TRI Data'!$Z:$Z,'Raw TRI Data'!$J:$J,$E120)&gt;0,_xlfn.MAXIFS('Raw TRI Data'!$Z:$Z,'Raw TRI Data'!$J:$J,$E120), "N/A - Facility Does Not Report to TRI, no surface water releases, or no Generic Factors available"))</f>
        <v>N/A - See DMRs</v>
      </c>
      <c r="AB120" s="113" t="str">
        <f t="shared" si="13"/>
        <v>N/A</v>
      </c>
      <c r="AC120" s="136" t="str" cm="1">
        <f t="array" ref="AC120">IF(COUNTIF('Raw Annual DMR Data'!K:K,$E120)&gt;0,"N/A - See DMRs",IF(SUMIFS('Raw TRI Data'!$Z:$Z,'Raw TRI Data'!$J:$J,$E120)&gt;0,INDEX('Raw TRI Data'!$A:$A,MATCH(1,($E120='Raw TRI Data'!$J:$J)*($AA120='Raw TRI Data'!$Z:$Z),0)), "N/A - Facility Does Not Report to TRI, no surface water releases, or no Generic Factors available"))</f>
        <v>N/A - See DMRs</v>
      </c>
      <c r="AD120" s="96" t="str" cm="1">
        <f t="array" ref="AD120">IF(COUNTIFS('Raw Annual DMR Data'!L:L,$F120,'Raw Annual DMR Data'!W:W, "&gt;0")&gt;0,MEDIAN(IF('Raw Annual DMR Data'!K:K=$F120, 'Raw Annual DMR Data'!W:W)), "N/A - No Daily Max DMR Discharge Data")</f>
        <v>N/A - No Daily Max DMR Discharge Data</v>
      </c>
      <c r="AE120" s="96" t="str">
        <f>IF(COUNTIFS('Raw Annual DMR Data'!L:L,$F120,'Raw Annual DMR Data'!W:W, "&gt;0")&gt;0,_xlfn.MAXIFS('Raw Annual DMR Data'!W:W,'Raw Annual DMR Data'!L:L,$F120), "N/A - No Daily Max DMR Discharge Data")</f>
        <v>N/A - No Daily Max DMR Discharge Data</v>
      </c>
      <c r="AF120" s="60" t="str" cm="1">
        <f t="array" ref="AF120">IF(COUNTIFS('Raw Annual DMR Data'!L:L,$F120,'Raw Annual DMR Data'!W:W, "&gt;0")&gt;0,INDEX('Raw Annual DMR Data'!B:B,MATCH(1,($F120='Raw Annual DMR Data'!L:L)*($AE120='Raw Annual DMR Data'!W:W),0)), "N/A - No Daily Max DMR Discharge Data")</f>
        <v>N/A - No Daily Max DMR Discharge Data</v>
      </c>
    </row>
    <row r="121" spans="1:32" ht="30.75" thickBot="1" x14ac:dyDescent="0.3">
      <c r="A121" s="144" t="str">
        <f>VLOOKUP(F121,'Facility Summary'!J:K,2,FALSE)</f>
        <v>Remediation</v>
      </c>
      <c r="B121" s="28" t="s">
        <v>196</v>
      </c>
      <c r="C121" s="28" t="s">
        <v>651</v>
      </c>
      <c r="D121" s="28" t="s">
        <v>418</v>
      </c>
      <c r="E121" s="60" t="s">
        <v>652</v>
      </c>
      <c r="F121" s="74">
        <v>110043808467</v>
      </c>
      <c r="G121" s="74" t="s">
        <v>947</v>
      </c>
      <c r="H121" s="28" t="s">
        <v>948</v>
      </c>
      <c r="I121" s="74">
        <v>15010015000957</v>
      </c>
      <c r="J121" s="74" t="s">
        <v>265</v>
      </c>
      <c r="K121" s="60">
        <f>VLOOKUP(A121, 'OES Summary'!$A:$B, 2, FALSE)</f>
        <v>365</v>
      </c>
      <c r="L121" s="304" cm="1">
        <f t="array" ref="L121">IF(COUNTIF('Raw Annual DMR Data'!$L:$L,$F121)&gt;0,MEDIAN(IF('Raw Annual DMR Data'!$L:$L=F121,'Raw Annual DMR Data'!$S:$S)),"N/A - Facility Does Not Report DMRs")</f>
        <v>0.33667480374999997</v>
      </c>
      <c r="M121" s="156">
        <f t="shared" si="11"/>
        <v>9.223967226027396E-4</v>
      </c>
      <c r="N121" s="156">
        <f>IF(COUNTIF('Raw Annual DMR Data'!$L:$L,$F121)&gt;0,_xlfn.MAXIFS('Raw Annual DMR Data'!$S:$S,'Raw Annual DMR Data'!$L:$L,$F121), "N/A - Facility Does Not Report DMRs")</f>
        <v>1.71427589425</v>
      </c>
      <c r="O121" s="156">
        <f t="shared" si="12"/>
        <v>4.6966462856164381E-3</v>
      </c>
      <c r="P121" s="113" cm="1">
        <f t="array" ref="P121">IF(COUNTIF('Raw Annual DMR Data'!$L:$L,$F121)&gt;0,INDEX('Raw Annual DMR Data'!$B:$B,MATCH(1,($F121='Raw Annual DMR Data'!$L:$L)*($N121='Raw Annual DMR Data'!$S:$S),0)), "N/A - Facility Does Not Report DMRs")</f>
        <v>2022</v>
      </c>
      <c r="Q121" s="304" t="str" cm="1">
        <f t="array" ref="Q121">IF(COUNTIF('Raw TRI Data'!$J:$J,$E121)&gt;0,MEDIAN(IF('Raw TRI Data'!$J:$J=E121,'Raw TRI Data'!$S:$S)), "N/A - Facility Does Not Report to TRI")</f>
        <v>N/A - Facility Does Not Report to TRI</v>
      </c>
      <c r="R121" s="156" t="str">
        <f t="shared" si="14"/>
        <v>N/A - Facility Does Not Report to TRI</v>
      </c>
      <c r="S121" s="156" t="str">
        <f>IF(COUNTIF('Raw TRI Data'!$J:$J,$E121)&gt;0,_xlfn.MAXIFS('Raw TRI Data'!$S:$S,'Raw TRI Data'!$J:$J,$E121), "N/A - Facility Does Not Report to TRI")</f>
        <v>N/A - Facility Does Not Report to TRI</v>
      </c>
      <c r="T121" s="156" t="str">
        <f t="shared" si="15"/>
        <v>N/A - Facility Does Not Report to TRI</v>
      </c>
      <c r="U121" s="136" t="str" cm="1">
        <f t="array" ref="U121">IF(COUNTIF('Raw TRI Data'!$J:$J,$E121)&gt;0,INDEX('Raw TRI Data'!$A:$A,MATCH(1,($E121='Raw TRI Data'!$J:$J)*(S121='Raw TRI Data'!$S:$S),0)), "N/A - Facility Does Not Report to TRI")</f>
        <v>N/A - Facility Does Not Report to TRI</v>
      </c>
      <c r="V121" s="156" t="str" cm="1">
        <f t="array" ref="V121">IF(COUNTIFS('Raw Annual DMR Data'!$L:$L,$F121,'Raw Annual DMR Data'!$U:$U,"&gt;0")&gt;0,MEDIAN(IF('Raw Annual DMR Data'!$L:$L=$F121,'Raw Annual DMR Data'!$U:$U,"")),"N/A - Period DMR Data Not Available")</f>
        <v>N/A - Period DMR Data Not Available</v>
      </c>
      <c r="W121" s="156" t="str">
        <f>IF(COUNTIFS('Raw Annual DMR Data'!$L:$L,$F121, 'Raw Annual DMR Data'!$U:$U, "&gt;0")&gt;0,_xlfn.MAXIFS('Raw Annual DMR Data'!$U:$U,'Raw Annual DMR Data'!$L:$L,$F121), "N/A - Period DMR Data Not Available")</f>
        <v>N/A - Period DMR Data Not Available</v>
      </c>
      <c r="X121" s="113" t="str" cm="1">
        <f t="array" ref="X121">+IF(COUNTIFS('Raw Annual DMR Data'!L:L,$F121, 'Raw Annual DMR Data'!U:U, "&gt;0")&gt;0,INDEX('Raw Annual DMR Data'!V:V,MATCH(1,($F121='Raw Annual DMR Data'!L:L)*($W121='Raw Annual DMR Data'!U:U),0)), "N/A - Period DMR Data Not Available")</f>
        <v>N/A - Period DMR Data Not Available</v>
      </c>
      <c r="Y121" s="113" t="str" cm="1">
        <f t="array" ref="Y121">IF(COUNTIFS('Raw Annual DMR Data'!L:L,$F121, 'Raw Annual DMR Data'!U:U, "&gt;0")&gt;0,INDEX('Raw Annual DMR Data'!B:B,MATCH(1,($F121='Raw Annual DMR Data'!L:L)*($W121='Raw Annual DMR Data'!U:U),0)), "N/A - Period DMR Data Not Available")</f>
        <v>N/A - Period DMR Data Not Available</v>
      </c>
      <c r="Z121" s="311" t="str" cm="1">
        <f t="array" ref="Z121">IF(COUNTIF('Raw Annual DMR Data'!K:K,$E121)&gt;0,"N/A - See DMRs",IF(SUMIFS('Raw TRI Data'!$Z:$Z,'Raw TRI Data'!$J:$J,$E121)&gt;0,MEDIAN(IF('Raw TRI Data'!$J:$J=$E121,'Raw TRI Data'!$Z:$Z)), "N/A - Facility Does Not Report to TRI, no surface water releases, or no Generic Factors available"))</f>
        <v>N/A - See DMRs</v>
      </c>
      <c r="AA121" s="156" t="str">
        <f>IF(COUNTIF('Raw Annual DMR Data'!K:K,$E121)&gt;0,"N/A - See DMRs",IF(SUMIFS('Raw TRI Data'!$Z:$Z,'Raw TRI Data'!$J:$J,$E121)&gt;0,_xlfn.MAXIFS('Raw TRI Data'!$Z:$Z,'Raw TRI Data'!$J:$J,$E121), "N/A - Facility Does Not Report to TRI, no surface water releases, or no Generic Factors available"))</f>
        <v>N/A - See DMRs</v>
      </c>
      <c r="AB121" s="113" t="str">
        <f t="shared" si="13"/>
        <v>N/A</v>
      </c>
      <c r="AC121" s="136" t="str" cm="1">
        <f t="array" ref="AC121">IF(COUNTIF('Raw Annual DMR Data'!K:K,$E121)&gt;0,"N/A - See DMRs",IF(SUMIFS('Raw TRI Data'!$Z:$Z,'Raw TRI Data'!$J:$J,$E121)&gt;0,INDEX('Raw TRI Data'!$A:$A,MATCH(1,($E121='Raw TRI Data'!$J:$J)*($AA121='Raw TRI Data'!$Z:$Z),0)), "N/A - Facility Does Not Report to TRI, no surface water releases, or no Generic Factors available"))</f>
        <v>N/A - See DMRs</v>
      </c>
      <c r="AD121" s="96" t="str" cm="1">
        <f t="array" ref="AD121">IF(COUNTIFS('Raw Annual DMR Data'!L:L,$F121,'Raw Annual DMR Data'!W:W, "&gt;0")&gt;0,MEDIAN(IF('Raw Annual DMR Data'!K:K=$F121, 'Raw Annual DMR Data'!W:W)), "N/A - No Daily Max DMR Discharge Data")</f>
        <v>N/A - No Daily Max DMR Discharge Data</v>
      </c>
      <c r="AE121" s="96" t="str">
        <f>IF(COUNTIFS('Raw Annual DMR Data'!L:L,$F121,'Raw Annual DMR Data'!W:W, "&gt;0")&gt;0,_xlfn.MAXIFS('Raw Annual DMR Data'!W:W,'Raw Annual DMR Data'!L:L,$F121), "N/A - No Daily Max DMR Discharge Data")</f>
        <v>N/A - No Daily Max DMR Discharge Data</v>
      </c>
      <c r="AF121" s="60" t="str" cm="1">
        <f t="array" ref="AF121">IF(COUNTIFS('Raw Annual DMR Data'!L:L,$F121,'Raw Annual DMR Data'!W:W, "&gt;0")&gt;0,INDEX('Raw Annual DMR Data'!B:B,MATCH(1,($F121='Raw Annual DMR Data'!L:L)*($AE121='Raw Annual DMR Data'!W:W),0)), "N/A - No Daily Max DMR Discharge Data")</f>
        <v>N/A - No Daily Max DMR Discharge Data</v>
      </c>
    </row>
    <row r="122" spans="1:32" ht="45.75" thickBot="1" x14ac:dyDescent="0.3">
      <c r="A122" s="144" t="str">
        <f>VLOOKUP(F122,'Facility Summary'!J:K,2,FALSE)</f>
        <v>Remediation</v>
      </c>
      <c r="B122" s="28" t="s">
        <v>197</v>
      </c>
      <c r="C122" s="28" t="s">
        <v>434</v>
      </c>
      <c r="D122" s="28" t="s">
        <v>435</v>
      </c>
      <c r="E122" s="60"/>
      <c r="F122" s="74">
        <v>110004018731</v>
      </c>
      <c r="G122" s="74" t="s">
        <v>949</v>
      </c>
      <c r="H122" s="28" t="s">
        <v>950</v>
      </c>
      <c r="I122" s="74">
        <v>3050101002046</v>
      </c>
      <c r="J122" s="74" t="s">
        <v>265</v>
      </c>
      <c r="K122" s="60">
        <f>VLOOKUP(A122, 'OES Summary'!$A:$B, 2, FALSE)</f>
        <v>365</v>
      </c>
      <c r="L122" s="304" cm="1">
        <f t="array" ref="L122">IF(COUNTIF('Raw Annual DMR Data'!$L:$L,$F122)&gt;0,MEDIAN(IF('Raw Annual DMR Data'!$L:$L=F122,'Raw Annual DMR Data'!$S:$S)),"N/A - Facility Does Not Report DMRs")</f>
        <v>2.0100166800000002E-3</v>
      </c>
      <c r="M122" s="156">
        <f t="shared" si="11"/>
        <v>5.5068950136986304E-6</v>
      </c>
      <c r="N122" s="156">
        <f>IF(COUNTIF('Raw Annual DMR Data'!$L:$L,$F122)&gt;0,_xlfn.MAXIFS('Raw Annual DMR Data'!$S:$S,'Raw Annual DMR Data'!$L:$L,$F122), "N/A - Facility Does Not Report DMRs")</f>
        <v>2.0100166800000002E-3</v>
      </c>
      <c r="O122" s="156">
        <f t="shared" si="12"/>
        <v>5.5068950136986304E-6</v>
      </c>
      <c r="P122" s="113" cm="1">
        <f t="array" ref="P122">IF(COUNTIF('Raw Annual DMR Data'!$L:$L,$F122)&gt;0,INDEX('Raw Annual DMR Data'!$B:$B,MATCH(1,($F122='Raw Annual DMR Data'!$L:$L)*($N122='Raw Annual DMR Data'!$S:$S),0)), "N/A - Facility Does Not Report DMRs")</f>
        <v>2015</v>
      </c>
      <c r="Q122" s="304" t="str" cm="1">
        <f t="array" ref="Q122">IF(COUNTIF('Raw TRI Data'!$J:$J,$E122)&gt;0,MEDIAN(IF('Raw TRI Data'!$J:$J=E122,'Raw TRI Data'!$S:$S)), "N/A - Facility Does Not Report to TRI")</f>
        <v>N/A - Facility Does Not Report to TRI</v>
      </c>
      <c r="R122" s="156" t="str">
        <f t="shared" si="14"/>
        <v>N/A - Facility Does Not Report to TRI</v>
      </c>
      <c r="S122" s="156" t="str">
        <f>IF(COUNTIF('Raw TRI Data'!$J:$J,$E122)&gt;0,_xlfn.MAXIFS('Raw TRI Data'!$S:$S,'Raw TRI Data'!$J:$J,$E122), "N/A - Facility Does Not Report to TRI")</f>
        <v>N/A - Facility Does Not Report to TRI</v>
      </c>
      <c r="T122" s="156" t="str">
        <f t="shared" si="15"/>
        <v>N/A - Facility Does Not Report to TRI</v>
      </c>
      <c r="U122" s="136" t="str" cm="1">
        <f t="array" ref="U122">IF(COUNTIF('Raw TRI Data'!$J:$J,$E122)&gt;0,INDEX('Raw TRI Data'!$A:$A,MATCH(1,($E122='Raw TRI Data'!$J:$J)*(S122='Raw TRI Data'!$S:$S),0)), "N/A - Facility Does Not Report to TRI")</f>
        <v>N/A - Facility Does Not Report to TRI</v>
      </c>
      <c r="V122" s="156" t="str" cm="1">
        <f t="array" ref="V122">IF(COUNTIFS('Raw Annual DMR Data'!$L:$L,$F122,'Raw Annual DMR Data'!$U:$U,"&gt;0")&gt;0,MEDIAN(IF('Raw Annual DMR Data'!$L:$L=$F122,'Raw Annual DMR Data'!$U:$U,"")),"N/A - Period DMR Data Not Available")</f>
        <v>N/A - Period DMR Data Not Available</v>
      </c>
      <c r="W122" s="156" t="str">
        <f>IF(COUNTIFS('Raw Annual DMR Data'!$L:$L,$F122, 'Raw Annual DMR Data'!$U:$U, "&gt;0")&gt;0,_xlfn.MAXIFS('Raw Annual DMR Data'!$U:$U,'Raw Annual DMR Data'!$L:$L,$F122), "N/A - Period DMR Data Not Available")</f>
        <v>N/A - Period DMR Data Not Available</v>
      </c>
      <c r="X122" s="113" t="str" cm="1">
        <f t="array" ref="X122">+IF(COUNTIFS('Raw Annual DMR Data'!L:L,$F122, 'Raw Annual DMR Data'!U:U, "&gt;0")&gt;0,INDEX('Raw Annual DMR Data'!V:V,MATCH(1,($F122='Raw Annual DMR Data'!L:L)*($W122='Raw Annual DMR Data'!U:U),0)), "N/A - Period DMR Data Not Available")</f>
        <v>N/A - Period DMR Data Not Available</v>
      </c>
      <c r="Y122" s="113" t="str" cm="1">
        <f t="array" ref="Y122">IF(COUNTIFS('Raw Annual DMR Data'!L:L,$F122, 'Raw Annual DMR Data'!U:U, "&gt;0")&gt;0,INDEX('Raw Annual DMR Data'!B:B,MATCH(1,($F122='Raw Annual DMR Data'!L:L)*($W122='Raw Annual DMR Data'!U:U),0)), "N/A - Period DMR Data Not Available")</f>
        <v>N/A - Period DMR Data Not Available</v>
      </c>
      <c r="Z122" s="311" t="str" cm="1">
        <f t="array" ref="Z122">IF(COUNTIF('Raw Annual DMR Data'!K:K,$E122)&gt;0,"N/A - See DMRs",IF(SUMIFS('Raw TRI Data'!$Z:$Z,'Raw TRI Data'!$J:$J,$E122)&gt;0,MEDIAN(IF('Raw TRI Data'!$J:$J=$E122,'Raw TRI Data'!$Z:$Z)), "N/A - Facility Does Not Report to TRI, no surface water releases, or no Generic Factors available"))</f>
        <v>N/A - Facility Does Not Report to TRI, no surface water releases, or no Generic Factors available</v>
      </c>
      <c r="AA122" s="156" t="str">
        <f>IF(COUNTIF('Raw Annual DMR Data'!K:K,$E122)&gt;0,"N/A - See DMRs",IF(SUMIFS('Raw TRI Data'!$Z:$Z,'Raw TRI Data'!$J:$J,$E122)&gt;0,_xlfn.MAXIFS('Raw TRI Data'!$Z:$Z,'Raw TRI Data'!$J:$J,$E122), "N/A - Facility Does Not Report to TRI, no surface water releases, or no Generic Factors available"))</f>
        <v>N/A - Facility Does Not Report to TRI, no surface water releases, or no Generic Factors available</v>
      </c>
      <c r="AB122" s="113" t="str">
        <f t="shared" si="13"/>
        <v>N/A</v>
      </c>
      <c r="AC122" s="136" t="str" cm="1">
        <f t="array" ref="AC122">IF(COUNTIF('Raw Annual DMR Data'!K:K,$E122)&gt;0,"N/A - See DMRs",IF(SUMIFS('Raw TRI Data'!$Z:$Z,'Raw TRI Data'!$J:$J,$E122)&gt;0,INDEX('Raw TRI Data'!$A:$A,MATCH(1,($E122='Raw TRI Data'!$J:$J)*($AA122='Raw TRI Data'!$Z:$Z),0)), "N/A - Facility Does Not Report to TRI, no surface water releases, or no Generic Factors available"))</f>
        <v>N/A - Facility Does Not Report to TRI, no surface water releases, or no Generic Factors available</v>
      </c>
      <c r="AD122" s="96" t="str" cm="1">
        <f t="array" ref="AD122">IF(COUNTIFS('Raw Annual DMR Data'!L:L,$F122,'Raw Annual DMR Data'!W:W, "&gt;0")&gt;0,MEDIAN(IF('Raw Annual DMR Data'!K:K=$F122, 'Raw Annual DMR Data'!W:W)), "N/A - No Daily Max DMR Discharge Data")</f>
        <v>N/A - No Daily Max DMR Discharge Data</v>
      </c>
      <c r="AE122" s="96" t="str">
        <f>IF(COUNTIFS('Raw Annual DMR Data'!L:L,$F122,'Raw Annual DMR Data'!W:W, "&gt;0")&gt;0,_xlfn.MAXIFS('Raw Annual DMR Data'!W:W,'Raw Annual DMR Data'!L:L,$F122), "N/A - No Daily Max DMR Discharge Data")</f>
        <v>N/A - No Daily Max DMR Discharge Data</v>
      </c>
      <c r="AF122" s="60" t="str" cm="1">
        <f t="array" ref="AF122">IF(COUNTIFS('Raw Annual DMR Data'!L:L,$F122,'Raw Annual DMR Data'!W:W, "&gt;0")&gt;0,INDEX('Raw Annual DMR Data'!B:B,MATCH(1,($F122='Raw Annual DMR Data'!L:L)*($AE122='Raw Annual DMR Data'!W:W),0)), "N/A - No Daily Max DMR Discharge Data")</f>
        <v>N/A - No Daily Max DMR Discharge Data</v>
      </c>
    </row>
    <row r="123" spans="1:32" ht="45.75" thickBot="1" x14ac:dyDescent="0.3">
      <c r="A123" s="144" t="str">
        <f>VLOOKUP(F123,'Facility Summary'!J:K,2,FALSE)</f>
        <v>Unknown</v>
      </c>
      <c r="B123" s="28" t="s">
        <v>198</v>
      </c>
      <c r="C123" s="28" t="s">
        <v>657</v>
      </c>
      <c r="D123" s="28" t="s">
        <v>418</v>
      </c>
      <c r="E123" s="60"/>
      <c r="F123" s="74">
        <v>110004306938</v>
      </c>
      <c r="G123" s="74" t="s">
        <v>951</v>
      </c>
      <c r="H123" s="28" t="s">
        <v>952</v>
      </c>
      <c r="I123" s="74">
        <v>15010015000432</v>
      </c>
      <c r="J123" s="74" t="s">
        <v>265</v>
      </c>
      <c r="K123" s="60">
        <f>VLOOKUP(A123, 'OES Summary'!$A:$B, 2, FALSE)</f>
        <v>250</v>
      </c>
      <c r="L123" s="304" cm="1">
        <f t="array" ref="L123">IF(COUNTIF('Raw Annual DMR Data'!$L:$L,$F123)&gt;0,MEDIAN(IF('Raw Annual DMR Data'!$L:$L=F123,'Raw Annual DMR Data'!$S:$S)),"N/A - Facility Does Not Report DMRs")</f>
        <v>1.9861148781249997E-2</v>
      </c>
      <c r="M123" s="156">
        <f t="shared" si="11"/>
        <v>7.9444595124999987E-5</v>
      </c>
      <c r="N123" s="156">
        <f>IF(COUNTIF('Raw Annual DMR Data'!$L:$L,$F123)&gt;0,_xlfn.MAXIFS('Raw Annual DMR Data'!$S:$S,'Raw Annual DMR Data'!$L:$L,$F123), "N/A - Facility Does Not Report DMRs")</f>
        <v>0.67920949718750001</v>
      </c>
      <c r="O123" s="156">
        <f t="shared" si="12"/>
        <v>2.71683798875E-3</v>
      </c>
      <c r="P123" s="113" cm="1">
        <f t="array" ref="P123">IF(COUNTIF('Raw Annual DMR Data'!$L:$L,$F123)&gt;0,INDEX('Raw Annual DMR Data'!$B:$B,MATCH(1,($F123='Raw Annual DMR Data'!$L:$L)*($N123='Raw Annual DMR Data'!$S:$S),0)), "N/A - Facility Does Not Report DMRs")</f>
        <v>2024</v>
      </c>
      <c r="Q123" s="304" t="str" cm="1">
        <f t="array" ref="Q123">IF(COUNTIF('Raw TRI Data'!$J:$J,$E123)&gt;0,MEDIAN(IF('Raw TRI Data'!$J:$J=E123,'Raw TRI Data'!$S:$S)), "N/A - Facility Does Not Report to TRI")</f>
        <v>N/A - Facility Does Not Report to TRI</v>
      </c>
      <c r="R123" s="156" t="str">
        <f t="shared" si="14"/>
        <v>N/A - Facility Does Not Report to TRI</v>
      </c>
      <c r="S123" s="156" t="str">
        <f>IF(COUNTIF('Raw TRI Data'!$J:$J,$E123)&gt;0,_xlfn.MAXIFS('Raw TRI Data'!$S:$S,'Raw TRI Data'!$J:$J,$E123), "N/A - Facility Does Not Report to TRI")</f>
        <v>N/A - Facility Does Not Report to TRI</v>
      </c>
      <c r="T123" s="156" t="str">
        <f t="shared" si="15"/>
        <v>N/A - Facility Does Not Report to TRI</v>
      </c>
      <c r="U123" s="136" t="str" cm="1">
        <f t="array" ref="U123">IF(COUNTIF('Raw TRI Data'!$J:$J,$E123)&gt;0,INDEX('Raw TRI Data'!$A:$A,MATCH(1,($E123='Raw TRI Data'!$J:$J)*(S123='Raw TRI Data'!$S:$S),0)), "N/A - Facility Does Not Report to TRI")</f>
        <v>N/A - Facility Does Not Report to TRI</v>
      </c>
      <c r="V123" s="156" t="str" cm="1">
        <f t="array" ref="V123">IF(COUNTIFS('Raw Annual DMR Data'!$L:$L,$F123,'Raw Annual DMR Data'!$U:$U,"&gt;0")&gt;0,MEDIAN(IF('Raw Annual DMR Data'!$L:$L=$F123,'Raw Annual DMR Data'!$U:$U,"")),"N/A - Period DMR Data Not Available")</f>
        <v>N/A - Period DMR Data Not Available</v>
      </c>
      <c r="W123" s="156" t="str">
        <f>IF(COUNTIFS('Raw Annual DMR Data'!$L:$L,$F123, 'Raw Annual DMR Data'!$U:$U, "&gt;0")&gt;0,_xlfn.MAXIFS('Raw Annual DMR Data'!$U:$U,'Raw Annual DMR Data'!$L:$L,$F123), "N/A - Period DMR Data Not Available")</f>
        <v>N/A - Period DMR Data Not Available</v>
      </c>
      <c r="X123" s="113" t="str" cm="1">
        <f t="array" ref="X123">+IF(COUNTIFS('Raw Annual DMR Data'!L:L,$F123, 'Raw Annual DMR Data'!U:U, "&gt;0")&gt;0,INDEX('Raw Annual DMR Data'!V:V,MATCH(1,($F123='Raw Annual DMR Data'!L:L)*($W123='Raw Annual DMR Data'!U:U),0)), "N/A - Period DMR Data Not Available")</f>
        <v>N/A - Period DMR Data Not Available</v>
      </c>
      <c r="Y123" s="113" t="str" cm="1">
        <f t="array" ref="Y123">IF(COUNTIFS('Raw Annual DMR Data'!L:L,$F123, 'Raw Annual DMR Data'!U:U, "&gt;0")&gt;0,INDEX('Raw Annual DMR Data'!B:B,MATCH(1,($F123='Raw Annual DMR Data'!L:L)*($W123='Raw Annual DMR Data'!U:U),0)), "N/A - Period DMR Data Not Available")</f>
        <v>N/A - Period DMR Data Not Available</v>
      </c>
      <c r="Z123" s="311" t="str" cm="1">
        <f t="array" ref="Z123">IF(COUNTIF('Raw Annual DMR Data'!K:K,$E123)&gt;0,"N/A - See DMRs",IF(SUMIFS('Raw TRI Data'!$Z:$Z,'Raw TRI Data'!$J:$J,$E123)&gt;0,MEDIAN(IF('Raw TRI Data'!$J:$J=$E123,'Raw TRI Data'!$Z:$Z)), "N/A - Facility Does Not Report to TRI, no surface water releases, or no Generic Factors available"))</f>
        <v>N/A - Facility Does Not Report to TRI, no surface water releases, or no Generic Factors available</v>
      </c>
      <c r="AA123" s="156" t="str">
        <f>IF(COUNTIF('Raw Annual DMR Data'!K:K,$E123)&gt;0,"N/A - See DMRs",IF(SUMIFS('Raw TRI Data'!$Z:$Z,'Raw TRI Data'!$J:$J,$E123)&gt;0,_xlfn.MAXIFS('Raw TRI Data'!$Z:$Z,'Raw TRI Data'!$J:$J,$E123), "N/A - Facility Does Not Report to TRI, no surface water releases, or no Generic Factors available"))</f>
        <v>N/A - Facility Does Not Report to TRI, no surface water releases, or no Generic Factors available</v>
      </c>
      <c r="AB123" s="113" t="str">
        <f t="shared" si="13"/>
        <v>N/A</v>
      </c>
      <c r="AC123" s="136" t="str" cm="1">
        <f t="array" ref="AC123">IF(COUNTIF('Raw Annual DMR Data'!K:K,$E123)&gt;0,"N/A - See DMRs",IF(SUMIFS('Raw TRI Data'!$Z:$Z,'Raw TRI Data'!$J:$J,$E123)&gt;0,INDEX('Raw TRI Data'!$A:$A,MATCH(1,($E123='Raw TRI Data'!$J:$J)*($AA123='Raw TRI Data'!$Z:$Z),0)), "N/A - Facility Does Not Report to TRI, no surface water releases, or no Generic Factors available"))</f>
        <v>N/A - Facility Does Not Report to TRI, no surface water releases, or no Generic Factors available</v>
      </c>
      <c r="AD123" s="96" t="str" cm="1">
        <f t="array" ref="AD123">IF(COUNTIFS('Raw Annual DMR Data'!L:L,$F123,'Raw Annual DMR Data'!W:W, "&gt;0")&gt;0,MEDIAN(IF('Raw Annual DMR Data'!K:K=$F123, 'Raw Annual DMR Data'!W:W)), "N/A - No Daily Max DMR Discharge Data")</f>
        <v>N/A - No Daily Max DMR Discharge Data</v>
      </c>
      <c r="AE123" s="96" t="str">
        <f>IF(COUNTIFS('Raw Annual DMR Data'!L:L,$F123,'Raw Annual DMR Data'!W:W, "&gt;0")&gt;0,_xlfn.MAXIFS('Raw Annual DMR Data'!W:W,'Raw Annual DMR Data'!L:L,$F123), "N/A - No Daily Max DMR Discharge Data")</f>
        <v>N/A - No Daily Max DMR Discharge Data</v>
      </c>
      <c r="AF123" s="60" t="str" cm="1">
        <f t="array" ref="AF123">IF(COUNTIFS('Raw Annual DMR Data'!L:L,$F123,'Raw Annual DMR Data'!W:W, "&gt;0")&gt;0,INDEX('Raw Annual DMR Data'!B:B,MATCH(1,($F123='Raw Annual DMR Data'!L:L)*($AE123='Raw Annual DMR Data'!W:W),0)), "N/A - No Daily Max DMR Discharge Data")</f>
        <v>N/A - No Daily Max DMR Discharge Data</v>
      </c>
    </row>
    <row r="124" spans="1:32" ht="45.75" thickBot="1" x14ac:dyDescent="0.3">
      <c r="A124" s="144" t="str">
        <f>VLOOKUP(F124,'Facility Summary'!J:K,2,FALSE)</f>
        <v>Repackaging</v>
      </c>
      <c r="B124" s="28" t="s">
        <v>199</v>
      </c>
      <c r="C124" s="28" t="s">
        <v>659</v>
      </c>
      <c r="D124" s="28" t="s">
        <v>303</v>
      </c>
      <c r="E124" s="60"/>
      <c r="F124" s="74">
        <v>110000834688</v>
      </c>
      <c r="G124" s="74" t="s">
        <v>953</v>
      </c>
      <c r="H124" s="28"/>
      <c r="I124" s="74">
        <v>8090100000652</v>
      </c>
      <c r="J124" s="74" t="s">
        <v>265</v>
      </c>
      <c r="K124" s="60">
        <f>VLOOKUP(A124, 'OES Summary'!$A:$B, 2, FALSE)</f>
        <v>250</v>
      </c>
      <c r="L124" s="304" cm="1">
        <f t="array" ref="L124">IF(COUNTIF('Raw Annual DMR Data'!$L:$L,$F124)&gt;0,MEDIAN(IF('Raw Annual DMR Data'!$L:$L=F124,'Raw Annual DMR Data'!$S:$S)),"N/A - Facility Does Not Report DMRs")</f>
        <v>0.50139005525000002</v>
      </c>
      <c r="M124" s="156">
        <f t="shared" si="11"/>
        <v>2.005560221E-3</v>
      </c>
      <c r="N124" s="156">
        <f>IF(COUNTIF('Raw Annual DMR Data'!$L:$L,$F124)&gt;0,_xlfn.MAXIFS('Raw Annual DMR Data'!$S:$S,'Raw Annual DMR Data'!$L:$L,$F124), "N/A - Facility Does Not Report DMRs")</f>
        <v>0.50139005525000002</v>
      </c>
      <c r="O124" s="156">
        <f t="shared" si="12"/>
        <v>2.005560221E-3</v>
      </c>
      <c r="P124" s="113" cm="1">
        <f t="array" ref="P124">IF(COUNTIF('Raw Annual DMR Data'!$L:$L,$F124)&gt;0,INDEX('Raw Annual DMR Data'!$B:$B,MATCH(1,($F124='Raw Annual DMR Data'!$L:$L)*($N124='Raw Annual DMR Data'!$S:$S),0)), "N/A - Facility Does Not Report DMRs")</f>
        <v>2019</v>
      </c>
      <c r="Q124" s="304" t="str" cm="1">
        <f t="array" ref="Q124">IF(COUNTIF('Raw TRI Data'!$J:$J,$E124)&gt;0,MEDIAN(IF('Raw TRI Data'!$J:$J=E124,'Raw TRI Data'!$S:$S)), "N/A - Facility Does Not Report to TRI")</f>
        <v>N/A - Facility Does Not Report to TRI</v>
      </c>
      <c r="R124" s="156" t="str">
        <f t="shared" si="14"/>
        <v>N/A - Facility Does Not Report to TRI</v>
      </c>
      <c r="S124" s="156" t="str">
        <f>IF(COUNTIF('Raw TRI Data'!$J:$J,$E124)&gt;0,_xlfn.MAXIFS('Raw TRI Data'!$S:$S,'Raw TRI Data'!$J:$J,$E124), "N/A - Facility Does Not Report to TRI")</f>
        <v>N/A - Facility Does Not Report to TRI</v>
      </c>
      <c r="T124" s="156" t="str">
        <f t="shared" si="15"/>
        <v>N/A - Facility Does Not Report to TRI</v>
      </c>
      <c r="U124" s="136" t="str" cm="1">
        <f t="array" ref="U124">IF(COUNTIF('Raw TRI Data'!$J:$J,$E124)&gt;0,INDEX('Raw TRI Data'!$A:$A,MATCH(1,($E124='Raw TRI Data'!$J:$J)*(S124='Raw TRI Data'!$S:$S),0)), "N/A - Facility Does Not Report to TRI")</f>
        <v>N/A - Facility Does Not Report to TRI</v>
      </c>
      <c r="V124" s="156" t="str" cm="1">
        <f t="array" ref="V124">IF(COUNTIFS('Raw Annual DMR Data'!$L:$L,$F124,'Raw Annual DMR Data'!$U:$U,"&gt;0")&gt;0,MEDIAN(IF('Raw Annual DMR Data'!$L:$L=$F124,'Raw Annual DMR Data'!$U:$U,"")),"N/A - Period DMR Data Not Available")</f>
        <v>N/A - Period DMR Data Not Available</v>
      </c>
      <c r="W124" s="156" t="str">
        <f>IF(COUNTIFS('Raw Annual DMR Data'!$L:$L,$F124, 'Raw Annual DMR Data'!$U:$U, "&gt;0")&gt;0,_xlfn.MAXIFS('Raw Annual DMR Data'!$U:$U,'Raw Annual DMR Data'!$L:$L,$F124), "N/A - Period DMR Data Not Available")</f>
        <v>N/A - Period DMR Data Not Available</v>
      </c>
      <c r="X124" s="113" t="str" cm="1">
        <f t="array" ref="X124">+IF(COUNTIFS('Raw Annual DMR Data'!L:L,$F124, 'Raw Annual DMR Data'!U:U, "&gt;0")&gt;0,INDEX('Raw Annual DMR Data'!V:V,MATCH(1,($F124='Raw Annual DMR Data'!L:L)*($W124='Raw Annual DMR Data'!U:U),0)), "N/A - Period DMR Data Not Available")</f>
        <v>N/A - Period DMR Data Not Available</v>
      </c>
      <c r="Y124" s="113" t="str" cm="1">
        <f t="array" ref="Y124">IF(COUNTIFS('Raw Annual DMR Data'!L:L,$F124, 'Raw Annual DMR Data'!U:U, "&gt;0")&gt;0,INDEX('Raw Annual DMR Data'!B:B,MATCH(1,($F124='Raw Annual DMR Data'!L:L)*($W124='Raw Annual DMR Data'!U:U),0)), "N/A - Period DMR Data Not Available")</f>
        <v>N/A - Period DMR Data Not Available</v>
      </c>
      <c r="Z124" s="311" t="str" cm="1">
        <f t="array" ref="Z124">IF(COUNTIF('Raw Annual DMR Data'!K:K,$E124)&gt;0,"N/A - See DMRs",IF(SUMIFS('Raw TRI Data'!$Z:$Z,'Raw TRI Data'!$J:$J,$E124)&gt;0,MEDIAN(IF('Raw TRI Data'!$J:$J=$E124,'Raw TRI Data'!$Z:$Z)), "N/A - Facility Does Not Report to TRI, no surface water releases, or no Generic Factors available"))</f>
        <v>N/A - Facility Does Not Report to TRI, no surface water releases, or no Generic Factors available</v>
      </c>
      <c r="AA124" s="156" t="str">
        <f>IF(COUNTIF('Raw Annual DMR Data'!K:K,$E124)&gt;0,"N/A - See DMRs",IF(SUMIFS('Raw TRI Data'!$Z:$Z,'Raw TRI Data'!$J:$J,$E124)&gt;0,_xlfn.MAXIFS('Raw TRI Data'!$Z:$Z,'Raw TRI Data'!$J:$J,$E124), "N/A - Facility Does Not Report to TRI, no surface water releases, or no Generic Factors available"))</f>
        <v>N/A - Facility Does Not Report to TRI, no surface water releases, or no Generic Factors available</v>
      </c>
      <c r="AB124" s="113" t="str">
        <f t="shared" si="13"/>
        <v>N/A</v>
      </c>
      <c r="AC124" s="136" t="str" cm="1">
        <f t="array" ref="AC124">IF(COUNTIF('Raw Annual DMR Data'!K:K,$E124)&gt;0,"N/A - See DMRs",IF(SUMIFS('Raw TRI Data'!$Z:$Z,'Raw TRI Data'!$J:$J,$E124)&gt;0,INDEX('Raw TRI Data'!$A:$A,MATCH(1,($E124='Raw TRI Data'!$J:$J)*($AA124='Raw TRI Data'!$Z:$Z),0)), "N/A - Facility Does Not Report to TRI, no surface water releases, or no Generic Factors available"))</f>
        <v>N/A - Facility Does Not Report to TRI, no surface water releases, or no Generic Factors available</v>
      </c>
      <c r="AD124" s="96" t="str" cm="1">
        <f t="array" ref="AD124">IF(COUNTIFS('Raw Annual DMR Data'!L:L,$F124,'Raw Annual DMR Data'!W:W, "&gt;0")&gt;0,MEDIAN(IF('Raw Annual DMR Data'!K:K=$F124, 'Raw Annual DMR Data'!W:W)), "N/A - No Daily Max DMR Discharge Data")</f>
        <v>N/A - No Daily Max DMR Discharge Data</v>
      </c>
      <c r="AE124" s="96" t="str">
        <f>IF(COUNTIFS('Raw Annual DMR Data'!L:L,$F124,'Raw Annual DMR Data'!W:W, "&gt;0")&gt;0,_xlfn.MAXIFS('Raw Annual DMR Data'!W:W,'Raw Annual DMR Data'!L:L,$F124), "N/A - No Daily Max DMR Discharge Data")</f>
        <v>N/A - No Daily Max DMR Discharge Data</v>
      </c>
      <c r="AF124" s="60" t="str" cm="1">
        <f t="array" ref="AF124">IF(COUNTIFS('Raw Annual DMR Data'!L:L,$F124,'Raw Annual DMR Data'!W:W, "&gt;0")&gt;0,INDEX('Raw Annual DMR Data'!B:B,MATCH(1,($F124='Raw Annual DMR Data'!L:L)*($AE124='Raw Annual DMR Data'!W:W),0)), "N/A - No Daily Max DMR Discharge Data")</f>
        <v>N/A - No Daily Max DMR Discharge Data</v>
      </c>
    </row>
    <row r="125" spans="1:32" ht="45.75" thickBot="1" x14ac:dyDescent="0.3">
      <c r="A125" s="144" t="str">
        <f>VLOOKUP(F125,'Facility Summary'!J:K,2,FALSE)</f>
        <v>POTW</v>
      </c>
      <c r="B125" s="28" t="s">
        <v>200</v>
      </c>
      <c r="C125" s="28" t="s">
        <v>463</v>
      </c>
      <c r="D125" s="28" t="s">
        <v>362</v>
      </c>
      <c r="E125" s="60"/>
      <c r="F125" s="74">
        <v>110001869899</v>
      </c>
      <c r="G125" s="74" t="s">
        <v>954</v>
      </c>
      <c r="H125" s="28" t="s">
        <v>955</v>
      </c>
      <c r="I125" s="74">
        <v>12040104000891</v>
      </c>
      <c r="J125" s="74" t="s">
        <v>265</v>
      </c>
      <c r="K125" s="60">
        <f>VLOOKUP(A125, 'OES Summary'!$A:$B, 2, FALSE)</f>
        <v>365</v>
      </c>
      <c r="L125" s="304" cm="1">
        <f t="array" ref="L125">IF(COUNTIF('Raw Annual DMR Data'!$L:$L,$F125)&gt;0,MEDIAN(IF('Raw Annual DMR Data'!$L:$L=F125,'Raw Annual DMR Data'!$S:$S)),"N/A - Facility Does Not Report DMRs")</f>
        <v>1118.5306122448901</v>
      </c>
      <c r="M125" s="156">
        <f t="shared" si="11"/>
        <v>3.0644674308079183</v>
      </c>
      <c r="N125" s="156">
        <f>IF(COUNTIF('Raw Annual DMR Data'!$L:$L,$F125)&gt;0,_xlfn.MAXIFS('Raw Annual DMR Data'!$S:$S,'Raw Annual DMR Data'!$L:$L,$F125), "N/A - Facility Does Not Report DMRs")</f>
        <v>1118.5306122448901</v>
      </c>
      <c r="O125" s="156">
        <f t="shared" si="12"/>
        <v>3.0644674308079183</v>
      </c>
      <c r="P125" s="113" cm="1">
        <f t="array" ref="P125">IF(COUNTIF('Raw Annual DMR Data'!$L:$L,$F125)&gt;0,INDEX('Raw Annual DMR Data'!$B:$B,MATCH(1,($F125='Raw Annual DMR Data'!$L:$L)*($N125='Raw Annual DMR Data'!$S:$S),0)), "N/A - Facility Does Not Report DMRs")</f>
        <v>2017</v>
      </c>
      <c r="Q125" s="304" t="str" cm="1">
        <f t="array" ref="Q125">IF(COUNTIF('Raw TRI Data'!$J:$J,$E125)&gt;0,MEDIAN(IF('Raw TRI Data'!$J:$J=E125,'Raw TRI Data'!$S:$S)), "N/A - Facility Does Not Report to TRI")</f>
        <v>N/A - Facility Does Not Report to TRI</v>
      </c>
      <c r="R125" s="156" t="str">
        <f t="shared" si="14"/>
        <v>N/A - Facility Does Not Report to TRI</v>
      </c>
      <c r="S125" s="156" t="str">
        <f>IF(COUNTIF('Raw TRI Data'!$J:$J,$E125)&gt;0,_xlfn.MAXIFS('Raw TRI Data'!$S:$S,'Raw TRI Data'!$J:$J,$E125), "N/A - Facility Does Not Report to TRI")</f>
        <v>N/A - Facility Does Not Report to TRI</v>
      </c>
      <c r="T125" s="156" t="str">
        <f t="shared" si="15"/>
        <v>N/A - Facility Does Not Report to TRI</v>
      </c>
      <c r="U125" s="136" t="str" cm="1">
        <f t="array" ref="U125">IF(COUNTIF('Raw TRI Data'!$J:$J,$E125)&gt;0,INDEX('Raw TRI Data'!$A:$A,MATCH(1,($E125='Raw TRI Data'!$J:$J)*(S125='Raw TRI Data'!$S:$S),0)), "N/A - Facility Does Not Report to TRI")</f>
        <v>N/A - Facility Does Not Report to TRI</v>
      </c>
      <c r="V125" s="156" t="str" cm="1">
        <f t="array" ref="V125">IF(COUNTIFS('Raw Annual DMR Data'!$L:$L,$F125,'Raw Annual DMR Data'!$U:$U,"&gt;0")&gt;0,MEDIAN(IF('Raw Annual DMR Data'!$L:$L=$F125,'Raw Annual DMR Data'!$U:$U,"")),"N/A - Period DMR Data Not Available")</f>
        <v>N/A - Period DMR Data Not Available</v>
      </c>
      <c r="W125" s="156" t="str">
        <f>IF(COUNTIFS('Raw Annual DMR Data'!$L:$L,$F125, 'Raw Annual DMR Data'!$U:$U, "&gt;0")&gt;0,_xlfn.MAXIFS('Raw Annual DMR Data'!$U:$U,'Raw Annual DMR Data'!$L:$L,$F125), "N/A - Period DMR Data Not Available")</f>
        <v>N/A - Period DMR Data Not Available</v>
      </c>
      <c r="X125" s="113" t="str" cm="1">
        <f t="array" ref="X125">+IF(COUNTIFS('Raw Annual DMR Data'!L:L,$F125, 'Raw Annual DMR Data'!U:U, "&gt;0")&gt;0,INDEX('Raw Annual DMR Data'!V:V,MATCH(1,($F125='Raw Annual DMR Data'!L:L)*($W125='Raw Annual DMR Data'!U:U),0)), "N/A - Period DMR Data Not Available")</f>
        <v>N/A - Period DMR Data Not Available</v>
      </c>
      <c r="Y125" s="113" t="str" cm="1">
        <f t="array" ref="Y125">IF(COUNTIFS('Raw Annual DMR Data'!L:L,$F125, 'Raw Annual DMR Data'!U:U, "&gt;0")&gt;0,INDEX('Raw Annual DMR Data'!B:B,MATCH(1,($F125='Raw Annual DMR Data'!L:L)*($W125='Raw Annual DMR Data'!U:U),0)), "N/A - Period DMR Data Not Available")</f>
        <v>N/A - Period DMR Data Not Available</v>
      </c>
      <c r="Z125" s="311" t="str" cm="1">
        <f t="array" ref="Z125">IF(COUNTIF('Raw Annual DMR Data'!K:K,$E125)&gt;0,"N/A - See DMRs",IF(SUMIFS('Raw TRI Data'!$Z:$Z,'Raw TRI Data'!$J:$J,$E125)&gt;0,MEDIAN(IF('Raw TRI Data'!$J:$J=$E125,'Raw TRI Data'!$Z:$Z)), "N/A - Facility Does Not Report to TRI, no surface water releases, or no Generic Factors available"))</f>
        <v>N/A - Facility Does Not Report to TRI, no surface water releases, or no Generic Factors available</v>
      </c>
      <c r="AA125" s="156" t="str">
        <f>IF(COUNTIF('Raw Annual DMR Data'!K:K,$E125)&gt;0,"N/A - See DMRs",IF(SUMIFS('Raw TRI Data'!$Z:$Z,'Raw TRI Data'!$J:$J,$E125)&gt;0,_xlfn.MAXIFS('Raw TRI Data'!$Z:$Z,'Raw TRI Data'!$J:$J,$E125), "N/A - Facility Does Not Report to TRI, no surface water releases, or no Generic Factors available"))</f>
        <v>N/A - Facility Does Not Report to TRI, no surface water releases, or no Generic Factors available</v>
      </c>
      <c r="AB125" s="113" t="str">
        <f t="shared" si="13"/>
        <v>N/A</v>
      </c>
      <c r="AC125" s="136" t="str" cm="1">
        <f t="array" ref="AC125">IF(COUNTIF('Raw Annual DMR Data'!K:K,$E125)&gt;0,"N/A - See DMRs",IF(SUMIFS('Raw TRI Data'!$Z:$Z,'Raw TRI Data'!$J:$J,$E125)&gt;0,INDEX('Raw TRI Data'!$A:$A,MATCH(1,($E125='Raw TRI Data'!$J:$J)*($AA125='Raw TRI Data'!$Z:$Z),0)), "N/A - Facility Does Not Report to TRI, no surface water releases, or no Generic Factors available"))</f>
        <v>N/A - Facility Does Not Report to TRI, no surface water releases, or no Generic Factors available</v>
      </c>
      <c r="AD125" s="96" t="str" cm="1">
        <f t="array" ref="AD125">IF(COUNTIFS('Raw Annual DMR Data'!L:L,$F125,'Raw Annual DMR Data'!W:W, "&gt;0")&gt;0,MEDIAN(IF('Raw Annual DMR Data'!K:K=$F125, 'Raw Annual DMR Data'!W:W)), "N/A - No Daily Max DMR Discharge Data")</f>
        <v>N/A - No Daily Max DMR Discharge Data</v>
      </c>
      <c r="AE125" s="96" t="str">
        <f>IF(COUNTIFS('Raw Annual DMR Data'!L:L,$F125,'Raw Annual DMR Data'!W:W, "&gt;0")&gt;0,_xlfn.MAXIFS('Raw Annual DMR Data'!W:W,'Raw Annual DMR Data'!L:L,$F125), "N/A - No Daily Max DMR Discharge Data")</f>
        <v>N/A - No Daily Max DMR Discharge Data</v>
      </c>
      <c r="AF125" s="60" t="str" cm="1">
        <f t="array" ref="AF125">IF(COUNTIFS('Raw Annual DMR Data'!L:L,$F125,'Raw Annual DMR Data'!W:W, "&gt;0")&gt;0,INDEX('Raw Annual DMR Data'!B:B,MATCH(1,($F125='Raw Annual DMR Data'!L:L)*($AE125='Raw Annual DMR Data'!W:W),0)), "N/A - No Daily Max DMR Discharge Data")</f>
        <v>N/A - No Daily Max DMR Discharge Data</v>
      </c>
    </row>
    <row r="126" spans="1:32" ht="30.75" thickBot="1" x14ac:dyDescent="0.3">
      <c r="A126" s="144" t="str">
        <f>VLOOKUP(F126,'Facility Summary'!J:K,2,FALSE)</f>
        <v>Manufacturing</v>
      </c>
      <c r="B126" s="28" t="s">
        <v>221</v>
      </c>
      <c r="C126" s="28" t="s">
        <v>446</v>
      </c>
      <c r="D126" s="28" t="s">
        <v>303</v>
      </c>
      <c r="E126" s="60" t="s">
        <v>664</v>
      </c>
      <c r="F126" s="74">
        <v>110002054482</v>
      </c>
      <c r="G126" s="74" t="s">
        <v>295</v>
      </c>
      <c r="H126" s="28" t="s">
        <v>295</v>
      </c>
      <c r="I126" s="74" t="s">
        <v>295</v>
      </c>
      <c r="J126" s="74" t="s">
        <v>265</v>
      </c>
      <c r="K126" s="60">
        <f>VLOOKUP(A126, 'OES Summary'!$A:$B, 2, FALSE)</f>
        <v>350</v>
      </c>
      <c r="L126" s="304" t="str" cm="1">
        <f t="array" ref="L126">IF(COUNTIF('Raw Annual DMR Data'!$L:$L,$F126)&gt;0,MEDIAN(IF('Raw Annual DMR Data'!$L:$L=F126,'Raw Annual DMR Data'!$S:$S)),"N/A - Facility Does Not Report DMRs")</f>
        <v>N/A - Facility Does Not Report DMRs</v>
      </c>
      <c r="M126" s="156" t="str">
        <f t="shared" si="11"/>
        <v>N/A - Facility Does Not Report DMRs</v>
      </c>
      <c r="N126" s="156" t="str">
        <f>IF(COUNTIF('Raw Annual DMR Data'!$L:$L,$F126)&gt;0,_xlfn.MAXIFS('Raw Annual DMR Data'!$S:$S,'Raw Annual DMR Data'!$L:$L,$F126), "N/A - Facility Does Not Report DMRs")</f>
        <v>N/A - Facility Does Not Report DMRs</v>
      </c>
      <c r="O126" s="156" t="str">
        <f t="shared" si="12"/>
        <v>N/A - Facility Does Not Report DMRs</v>
      </c>
      <c r="P126" s="113" t="str" cm="1">
        <f t="array" ref="P126">IF(COUNTIF('Raw Annual DMR Data'!$L:$L,$F126)&gt;0,INDEX('Raw Annual DMR Data'!$B:$B,MATCH(1,($F126='Raw Annual DMR Data'!$L:$L)*($N126='Raw Annual DMR Data'!$S:$S),0)), "N/A - Facility Does Not Report DMRs")</f>
        <v>N/A - Facility Does Not Report DMRs</v>
      </c>
      <c r="Q126" s="304" cm="1">
        <f t="array" ref="Q126">IF(COUNTIF('Raw TRI Data'!$J:$J,$E126)&gt;0,MEDIAN(IF('Raw TRI Data'!$J:$J=E126,'Raw TRI Data'!$S:$S)), "N/A - Facility Does Not Report to TRI")</f>
        <v>0</v>
      </c>
      <c r="R126" s="156">
        <f t="shared" si="14"/>
        <v>0</v>
      </c>
      <c r="S126" s="156">
        <f>IF(COUNTIF('Raw TRI Data'!$J:$J,$E126)&gt;0,_xlfn.MAXIFS('Raw TRI Data'!$S:$S,'Raw TRI Data'!$J:$J,$E126), "N/A - Facility Does Not Report to TRI")</f>
        <v>0</v>
      </c>
      <c r="T126" s="156">
        <f t="shared" si="15"/>
        <v>0</v>
      </c>
      <c r="U126" s="136" cm="1">
        <f t="array" ref="U126">IF(COUNTIF('Raw TRI Data'!$J:$J,$E126)&gt;0,INDEX('Raw TRI Data'!$A:$A,MATCH(1,($E126='Raw TRI Data'!$J:$J)*(S126='Raw TRI Data'!$S:$S),0)), "N/A - Facility Does Not Report to TRI")</f>
        <v>2015</v>
      </c>
      <c r="V126" s="156" t="str" cm="1">
        <f t="array" ref="V126">IF(COUNTIFS('Raw Annual DMR Data'!$L:$L,$F126,'Raw Annual DMR Data'!$U:$U,"&gt;0")&gt;0,MEDIAN(IF('Raw Annual DMR Data'!$L:$L=$F126,'Raw Annual DMR Data'!$U:$U,"")),"N/A - Period DMR Data Not Available")</f>
        <v>N/A - Period DMR Data Not Available</v>
      </c>
      <c r="W126" s="156" t="str">
        <f>IF(COUNTIFS('Raw Annual DMR Data'!$L:$L,$F126, 'Raw Annual DMR Data'!$U:$U, "&gt;0")&gt;0,_xlfn.MAXIFS('Raw Annual DMR Data'!$U:$U,'Raw Annual DMR Data'!$L:$L,$F126), "N/A - Period DMR Data Not Available")</f>
        <v>N/A - Period DMR Data Not Available</v>
      </c>
      <c r="X126" s="113" t="str" cm="1">
        <f t="array" ref="X126">+IF(COUNTIFS('Raw Annual DMR Data'!L:L,$F126, 'Raw Annual DMR Data'!U:U, "&gt;0")&gt;0,INDEX('Raw Annual DMR Data'!V:V,MATCH(1,($F126='Raw Annual DMR Data'!L:L)*($W126='Raw Annual DMR Data'!U:U),0)), "N/A - Period DMR Data Not Available")</f>
        <v>N/A - Period DMR Data Not Available</v>
      </c>
      <c r="Y126" s="113" t="str" cm="1">
        <f t="array" ref="Y126">IF(COUNTIFS('Raw Annual DMR Data'!L:L,$F126, 'Raw Annual DMR Data'!U:U, "&gt;0")&gt;0,INDEX('Raw Annual DMR Data'!B:B,MATCH(1,($F126='Raw Annual DMR Data'!L:L)*($W126='Raw Annual DMR Data'!U:U),0)), "N/A - Period DMR Data Not Available")</f>
        <v>N/A - Period DMR Data Not Available</v>
      </c>
      <c r="Z126" s="311" t="e" cm="1">
        <f t="array" ref="Z126">IF(COUNTIF('Raw Annual DMR Data'!K:K,$E126)&gt;0,"N/A - See DMRs",IF(SUMIFS('Raw TRI Data'!$Z:$Z,'Raw TRI Data'!$J:$J,$E126)&gt;0,MEDIAN(IF('Raw TRI Data'!$J:$J=$E126,'Raw TRI Data'!$Z:$Z)), "N/A - Facility Does Not Report to TRI, no surface water releases, or no Generic Factors available"))</f>
        <v>#N/A</v>
      </c>
      <c r="AA126" s="156" t="e">
        <f>IF(COUNTIF('Raw Annual DMR Data'!K:K,$E126)&gt;0,"N/A - See DMRs",IF(SUMIFS('Raw TRI Data'!$Z:$Z,'Raw TRI Data'!$J:$J,$E126)&gt;0,_xlfn.MAXIFS('Raw TRI Data'!$Z:$Z,'Raw TRI Data'!$J:$J,$E126), "N/A - Facility Does Not Report to TRI, no surface water releases, or no Generic Factors available"))</f>
        <v>#N/A</v>
      </c>
      <c r="AB126" s="113" t="str">
        <f t="shared" si="13"/>
        <v>N/A</v>
      </c>
      <c r="AC126" s="136" t="e" cm="1">
        <f t="array" ref="AC126">IF(COUNTIF('Raw Annual DMR Data'!K:K,$E126)&gt;0,"N/A - See DMRs",IF(SUMIFS('Raw TRI Data'!$Z:$Z,'Raw TRI Data'!$J:$J,$E126)&gt;0,INDEX('Raw TRI Data'!$A:$A,MATCH(1,($E126='Raw TRI Data'!$J:$J)*($AA126='Raw TRI Data'!$Z:$Z),0)), "N/A - Facility Does Not Report to TRI, no surface water releases, or no Generic Factors available"))</f>
        <v>#N/A</v>
      </c>
      <c r="AD126" s="96" t="str" cm="1">
        <f t="array" ref="AD126">IF(COUNTIFS('Raw Annual DMR Data'!L:L,$F126,'Raw Annual DMR Data'!W:W, "&gt;0")&gt;0,MEDIAN(IF('Raw Annual DMR Data'!K:K=$F126, 'Raw Annual DMR Data'!W:W)), "N/A - No Daily Max DMR Discharge Data")</f>
        <v>N/A - No Daily Max DMR Discharge Data</v>
      </c>
      <c r="AE126" s="96" t="str">
        <f>IF(COUNTIFS('Raw Annual DMR Data'!L:L,$F126,'Raw Annual DMR Data'!W:W, "&gt;0")&gt;0,_xlfn.MAXIFS('Raw Annual DMR Data'!W:W,'Raw Annual DMR Data'!L:L,$F126), "N/A - No Daily Max DMR Discharge Data")</f>
        <v>N/A - No Daily Max DMR Discharge Data</v>
      </c>
      <c r="AF126" s="60" t="str" cm="1">
        <f t="array" ref="AF126">IF(COUNTIFS('Raw Annual DMR Data'!L:L,$F126,'Raw Annual DMR Data'!W:W, "&gt;0")&gt;0,INDEX('Raw Annual DMR Data'!B:B,MATCH(1,($F126='Raw Annual DMR Data'!L:L)*($AE126='Raw Annual DMR Data'!W:W),0)), "N/A - No Daily Max DMR Discharge Data")</f>
        <v>N/A - No Daily Max DMR Discharge Data</v>
      </c>
    </row>
    <row r="127" spans="1:32" ht="30.75" thickBot="1" x14ac:dyDescent="0.3">
      <c r="A127" s="144" t="str">
        <f>VLOOKUP(F127,'Facility Summary'!J:K,2,FALSE)</f>
        <v>Manufacturing</v>
      </c>
      <c r="B127" s="28" t="s">
        <v>201</v>
      </c>
      <c r="C127" s="28" t="s">
        <v>516</v>
      </c>
      <c r="D127" s="28" t="s">
        <v>303</v>
      </c>
      <c r="E127" s="60" t="s">
        <v>666</v>
      </c>
      <c r="F127" s="74">
        <v>110000746328</v>
      </c>
      <c r="G127" s="74" t="s">
        <v>956</v>
      </c>
      <c r="H127" s="28" t="s">
        <v>816</v>
      </c>
      <c r="I127" s="74">
        <v>8070204000982</v>
      </c>
      <c r="J127" s="74" t="s">
        <v>265</v>
      </c>
      <c r="K127" s="60">
        <f>VLOOKUP(A127, 'OES Summary'!$A:$B, 2, FALSE)</f>
        <v>350</v>
      </c>
      <c r="L127" s="304" cm="1">
        <f t="array" ref="L127">IF(COUNTIF('Raw Annual DMR Data'!$L:$L,$F127)&gt;0,MEDIAN(IF('Raw Annual DMR Data'!$L:$L=F127,'Raw Annual DMR Data'!$S:$S)),"N/A - Facility Does Not Report DMRs")</f>
        <v>12.8028</v>
      </c>
      <c r="M127" s="156">
        <f t="shared" si="11"/>
        <v>3.6579428571428568E-2</v>
      </c>
      <c r="N127" s="156">
        <f>IF(COUNTIF('Raw Annual DMR Data'!$L:$L,$F127)&gt;0,_xlfn.MAXIFS('Raw Annual DMR Data'!$S:$S,'Raw Annual DMR Data'!$L:$L,$F127), "N/A - Facility Does Not Report DMRs")</f>
        <v>45.667638483965</v>
      </c>
      <c r="O127" s="156">
        <f t="shared" si="12"/>
        <v>0.13047896709704285</v>
      </c>
      <c r="P127" s="113" cm="1">
        <f t="array" ref="P127">IF(COUNTIF('Raw Annual DMR Data'!$L:$L,$F127)&gt;0,INDEX('Raw Annual DMR Data'!$B:$B,MATCH(1,($F127='Raw Annual DMR Data'!$L:$L)*($N127='Raw Annual DMR Data'!$S:$S),0)), "N/A - Facility Does Not Report DMRs")</f>
        <v>2018</v>
      </c>
      <c r="Q127" s="304" cm="1">
        <f t="array" ref="Q127">IF(COUNTIF('Raw TRI Data'!$J:$J,$E127)&gt;0,MEDIAN(IF('Raw TRI Data'!$J:$J=E127,'Raw TRI Data'!$S:$S)), "N/A - Facility Does Not Report to TRI")</f>
        <v>4.0823313299999997</v>
      </c>
      <c r="R127" s="156">
        <f t="shared" si="14"/>
        <v>1.1663803799999999E-2</v>
      </c>
      <c r="S127" s="156">
        <f>IF(COUNTIF('Raw TRI Data'!$J:$J,$E127)&gt;0,_xlfn.MAXIFS('Raw TRI Data'!$S:$S,'Raw TRI Data'!$J:$J,$E127), "N/A - Facility Does Not Report to TRI")</f>
        <v>27.215542200000002</v>
      </c>
      <c r="T127" s="156">
        <f t="shared" si="15"/>
        <v>7.7758692000000004E-2</v>
      </c>
      <c r="U127" s="136" cm="1">
        <f t="array" ref="U127">IF(COUNTIF('Raw TRI Data'!$J:$J,$E127)&gt;0,INDEX('Raw TRI Data'!$A:$A,MATCH(1,($E127='Raw TRI Data'!$J:$J)*(S127='Raw TRI Data'!$S:$S),0)), "N/A - Facility Does Not Report to TRI")</f>
        <v>2018</v>
      </c>
      <c r="V127" s="156" t="str" cm="1">
        <f t="array" ref="V127">IF(COUNTIFS('Raw Annual DMR Data'!$L:$L,$F127,'Raw Annual DMR Data'!$U:$U,"&gt;0")&gt;0,MEDIAN(IF('Raw Annual DMR Data'!$L:$L=$F127,'Raw Annual DMR Data'!$U:$U,"")),"N/A - Period DMR Data Not Available")</f>
        <v>N/A - Period DMR Data Not Available</v>
      </c>
      <c r="W127" s="156" t="str">
        <f>IF(COUNTIFS('Raw Annual DMR Data'!$L:$L,$F127, 'Raw Annual DMR Data'!$U:$U, "&gt;0")&gt;0,_xlfn.MAXIFS('Raw Annual DMR Data'!$U:$U,'Raw Annual DMR Data'!$L:$L,$F127), "N/A - Period DMR Data Not Available")</f>
        <v>N/A - Period DMR Data Not Available</v>
      </c>
      <c r="X127" s="113" t="str" cm="1">
        <f t="array" ref="X127">+IF(COUNTIFS('Raw Annual DMR Data'!L:L,$F127, 'Raw Annual DMR Data'!U:U, "&gt;0")&gt;0,INDEX('Raw Annual DMR Data'!V:V,MATCH(1,($F127='Raw Annual DMR Data'!L:L)*($W127='Raw Annual DMR Data'!U:U),0)), "N/A - Period DMR Data Not Available")</f>
        <v>N/A - Period DMR Data Not Available</v>
      </c>
      <c r="Y127" s="113" t="str" cm="1">
        <f t="array" ref="Y127">IF(COUNTIFS('Raw Annual DMR Data'!L:L,$F127, 'Raw Annual DMR Data'!U:U, "&gt;0")&gt;0,INDEX('Raw Annual DMR Data'!B:B,MATCH(1,($F127='Raw Annual DMR Data'!L:L)*($W127='Raw Annual DMR Data'!U:U),0)), "N/A - Period DMR Data Not Available")</f>
        <v>N/A - Period DMR Data Not Available</v>
      </c>
      <c r="Z127" s="311" t="str" cm="1">
        <f t="array" ref="Z127">IF(COUNTIF('Raw Annual DMR Data'!K:K,$E127)&gt;0,"N/A - See DMRs",IF(SUMIFS('Raw TRI Data'!$Z:$Z,'Raw TRI Data'!$J:$J,$E127)&gt;0,MEDIAN(IF('Raw TRI Data'!$J:$J=$E127,'Raw TRI Data'!$Z:$Z)), "N/A - Facility Does Not Report to TRI, no surface water releases, or no Generic Factors available"))</f>
        <v>N/A - See DMRs</v>
      </c>
      <c r="AA127" s="156" t="str">
        <f>IF(COUNTIF('Raw Annual DMR Data'!K:K,$E127)&gt;0,"N/A - See DMRs",IF(SUMIFS('Raw TRI Data'!$Z:$Z,'Raw TRI Data'!$J:$J,$E127)&gt;0,_xlfn.MAXIFS('Raw TRI Data'!$Z:$Z,'Raw TRI Data'!$J:$J,$E127), "N/A - Facility Does Not Report to TRI, no surface water releases, or no Generic Factors available"))</f>
        <v>N/A - See DMRs</v>
      </c>
      <c r="AB127" s="113" t="str">
        <f t="shared" si="13"/>
        <v>N/A</v>
      </c>
      <c r="AC127" s="136" t="str" cm="1">
        <f t="array" ref="AC127">IF(COUNTIF('Raw Annual DMR Data'!K:K,$E127)&gt;0,"N/A - See DMRs",IF(SUMIFS('Raw TRI Data'!$Z:$Z,'Raw TRI Data'!$J:$J,$E127)&gt;0,INDEX('Raw TRI Data'!$A:$A,MATCH(1,($E127='Raw TRI Data'!$J:$J)*($AA127='Raw TRI Data'!$Z:$Z),0)), "N/A - Facility Does Not Report to TRI, no surface water releases, or no Generic Factors available"))</f>
        <v>N/A - See DMRs</v>
      </c>
      <c r="AD127" s="96" t="str" cm="1">
        <f t="array" ref="AD127">IF(COUNTIFS('Raw Annual DMR Data'!L:L,$F127,'Raw Annual DMR Data'!W:W, "&gt;0")&gt;0,MEDIAN(IF('Raw Annual DMR Data'!K:K=$F127, 'Raw Annual DMR Data'!W:W)), "N/A - No Daily Max DMR Discharge Data")</f>
        <v>N/A - No Daily Max DMR Discharge Data</v>
      </c>
      <c r="AE127" s="96" t="str">
        <f>IF(COUNTIFS('Raw Annual DMR Data'!L:L,$F127,'Raw Annual DMR Data'!W:W, "&gt;0")&gt;0,_xlfn.MAXIFS('Raw Annual DMR Data'!W:W,'Raw Annual DMR Data'!L:L,$F127), "N/A - No Daily Max DMR Discharge Data")</f>
        <v>N/A - No Daily Max DMR Discharge Data</v>
      </c>
      <c r="AF127" s="60" t="str" cm="1">
        <f t="array" ref="AF127">IF(COUNTIFS('Raw Annual DMR Data'!L:L,$F127,'Raw Annual DMR Data'!W:W, "&gt;0")&gt;0,INDEX('Raw Annual DMR Data'!B:B,MATCH(1,($F127='Raw Annual DMR Data'!L:L)*($AE127='Raw Annual DMR Data'!W:W),0)), "N/A - No Daily Max DMR Discharge Data")</f>
        <v>N/A - No Daily Max DMR Discharge Data</v>
      </c>
    </row>
    <row r="128" spans="1:32" ht="15.75" thickBot="1" x14ac:dyDescent="0.3">
      <c r="A128" s="144" t="str">
        <f>VLOOKUP(F128,'Facility Summary'!J:K,2,FALSE)</f>
        <v>Manufacturing</v>
      </c>
      <c r="B128" s="28" t="s">
        <v>202</v>
      </c>
      <c r="C128" s="28" t="s">
        <v>323</v>
      </c>
      <c r="D128" s="28" t="s">
        <v>324</v>
      </c>
      <c r="E128" s="60" t="s">
        <v>668</v>
      </c>
      <c r="F128" s="74">
        <v>110027373072</v>
      </c>
      <c r="G128" s="74" t="s">
        <v>957</v>
      </c>
      <c r="H128" s="28" t="s">
        <v>958</v>
      </c>
      <c r="I128" s="74">
        <v>6040006000172</v>
      </c>
      <c r="J128" s="74" t="s">
        <v>265</v>
      </c>
      <c r="K128" s="60">
        <f>VLOOKUP(A128, 'OES Summary'!$A:$B, 2, FALSE)</f>
        <v>350</v>
      </c>
      <c r="L128" s="304" cm="1">
        <f t="array" ref="L128">IF(COUNTIF('Raw Annual DMR Data'!$L:$L,$F128)&gt;0,MEDIAN(IF('Raw Annual DMR Data'!$L:$L=F128,'Raw Annual DMR Data'!$S:$S)),"N/A - Facility Does Not Report DMRs")</f>
        <v>25.6008965104308</v>
      </c>
      <c r="M128" s="156">
        <f t="shared" si="11"/>
        <v>7.314541860123086E-2</v>
      </c>
      <c r="N128" s="156">
        <f>IF(COUNTIF('Raw Annual DMR Data'!$L:$L,$F128)&gt;0,_xlfn.MAXIFS('Raw Annual DMR Data'!$S:$S,'Raw Annual DMR Data'!$L:$L,$F128), "N/A - Facility Does Not Report DMRs")</f>
        <v>1190.0702053274999</v>
      </c>
      <c r="O128" s="156">
        <f t="shared" si="12"/>
        <v>3.40020058665</v>
      </c>
      <c r="P128" s="113" cm="1">
        <f t="array" ref="P128">IF(COUNTIF('Raw Annual DMR Data'!$L:$L,$F128)&gt;0,INDEX('Raw Annual DMR Data'!$B:$B,MATCH(1,($F128='Raw Annual DMR Data'!$L:$L)*($N128='Raw Annual DMR Data'!$S:$S),0)), "N/A - Facility Does Not Report DMRs")</f>
        <v>2018</v>
      </c>
      <c r="Q128" s="304" cm="1">
        <f t="array" ref="Q128">IF(COUNTIF('Raw TRI Data'!$J:$J,$E128)&gt;0,MEDIAN(IF('Raw TRI Data'!$J:$J=E128,'Raw TRI Data'!$S:$S)), "N/A - Facility Does Not Report to TRI")</f>
        <v>377.37479047652999</v>
      </c>
      <c r="R128" s="156">
        <f t="shared" si="14"/>
        <v>1.0782136870757999</v>
      </c>
      <c r="S128" s="156">
        <f>IF(COUNTIF('Raw TRI Data'!$J:$J,$E128)&gt;0,_xlfn.MAXIFS('Raw TRI Data'!$S:$S,'Raw TRI Data'!$J:$J,$E128), "N/A - Facility Does Not Report to TRI")</f>
        <v>1127.1770394499999</v>
      </c>
      <c r="T128" s="156">
        <f t="shared" si="15"/>
        <v>3.2205058269999998</v>
      </c>
      <c r="U128" s="136" cm="1">
        <f t="array" ref="U128">IF(COUNTIF('Raw TRI Data'!$J:$J,$E128)&gt;0,INDEX('Raw TRI Data'!$A:$A,MATCH(1,($E128='Raw TRI Data'!$J:$J)*(S128='Raw TRI Data'!$S:$S),0)), "N/A - Facility Does Not Report to TRI")</f>
        <v>2018</v>
      </c>
      <c r="V128" s="156" cm="1">
        <f t="array" ref="V128">IF(COUNTIFS('Raw Annual DMR Data'!$L:$L,$F128,'Raw Annual DMR Data'!$U:$U,"&gt;0")&gt;0,MEDIAN(IF('Raw Annual DMR Data'!$L:$L=$F128,'Raw Annual DMR Data'!$U:$U,"")),"N/A - Period DMR Data Not Available")</f>
        <v>14.295910935</v>
      </c>
      <c r="W128" s="156">
        <f>IF(COUNTIFS('Raw Annual DMR Data'!$L:$L,$F128, 'Raw Annual DMR Data'!$U:$U, "&gt;0")&gt;0,_xlfn.MAXIFS('Raw Annual DMR Data'!$U:$U,'Raw Annual DMR Data'!$L:$L,$F128), "N/A - Period DMR Data Not Available")</f>
        <v>22.233453359999999</v>
      </c>
      <c r="X128" s="113" cm="1">
        <f t="array" ref="X128">+IF(COUNTIFS('Raw Annual DMR Data'!L:L,$F128, 'Raw Annual DMR Data'!U:U, "&gt;0")&gt;0,INDEX('Raw Annual DMR Data'!V:V,MATCH(1,($F128='Raw Annual DMR Data'!L:L)*($W128='Raw Annual DMR Data'!U:U),0)), "N/A - Period DMR Data Not Available")</f>
        <v>31</v>
      </c>
      <c r="Y128" s="113" cm="1">
        <f t="array" ref="Y128">IF(COUNTIFS('Raw Annual DMR Data'!L:L,$F128, 'Raw Annual DMR Data'!U:U, "&gt;0")&gt;0,INDEX('Raw Annual DMR Data'!B:B,MATCH(1,($F128='Raw Annual DMR Data'!L:L)*($W128='Raw Annual DMR Data'!U:U),0)), "N/A - Period DMR Data Not Available")</f>
        <v>2017</v>
      </c>
      <c r="Z128" s="311" t="str" cm="1">
        <f t="array" ref="Z128">IF(COUNTIF('Raw Annual DMR Data'!K:K,$E128)&gt;0,"N/A - See DMRs",IF(SUMIFS('Raw TRI Data'!$Z:$Z,'Raw TRI Data'!$J:$J,$E128)&gt;0,MEDIAN(IF('Raw TRI Data'!$J:$J=$E128,'Raw TRI Data'!$Z:$Z)), "N/A - Facility Does Not Report to TRI, no surface water releases, or no Generic Factors available"))</f>
        <v>N/A - See DMRs</v>
      </c>
      <c r="AA128" s="156" t="str">
        <f>IF(COUNTIF('Raw Annual DMR Data'!K:K,$E128)&gt;0,"N/A - See DMRs",IF(SUMIFS('Raw TRI Data'!$Z:$Z,'Raw TRI Data'!$J:$J,$E128)&gt;0,_xlfn.MAXIFS('Raw TRI Data'!$Z:$Z,'Raw TRI Data'!$J:$J,$E128), "N/A - Facility Does Not Report to TRI, no surface water releases, or no Generic Factors available"))</f>
        <v>N/A - See DMRs</v>
      </c>
      <c r="AB128" s="113" t="str">
        <f t="shared" si="13"/>
        <v>N/A</v>
      </c>
      <c r="AC128" s="136" t="str" cm="1">
        <f t="array" ref="AC128">IF(COUNTIF('Raw Annual DMR Data'!K:K,$E128)&gt;0,"N/A - See DMRs",IF(SUMIFS('Raw TRI Data'!$Z:$Z,'Raw TRI Data'!$J:$J,$E128)&gt;0,INDEX('Raw TRI Data'!$A:$A,MATCH(1,($E128='Raw TRI Data'!$J:$J)*($AA128='Raw TRI Data'!$Z:$Z),0)), "N/A - Facility Does Not Report to TRI, no surface water releases, or no Generic Factors available"))</f>
        <v>N/A - See DMRs</v>
      </c>
      <c r="AD128" s="96" t="e" cm="1">
        <f t="array" ref="AD128">IF(COUNTIFS('Raw Annual DMR Data'!L:L,$F128,'Raw Annual DMR Data'!W:W, "&gt;0")&gt;0,MEDIAN(IF('Raw Annual DMR Data'!K:K=$F128, 'Raw Annual DMR Data'!W:W)), "N/A - No Daily Max DMR Discharge Data")</f>
        <v>#NUM!</v>
      </c>
      <c r="AE128" s="96">
        <f>IF(COUNTIFS('Raw Annual DMR Data'!L:L,$F128,'Raw Annual DMR Data'!W:W, "&gt;0")&gt;0,_xlfn.MAXIFS('Raw Annual DMR Data'!W:W,'Raw Annual DMR Data'!L:L,$F128), "N/A - No Daily Max DMR Discharge Data")</f>
        <v>35.59504840000001</v>
      </c>
      <c r="AF128" s="60" cm="1">
        <f t="array" ref="AF128">IF(COUNTIFS('Raw Annual DMR Data'!L:L,$F128,'Raw Annual DMR Data'!W:W, "&gt;0")&gt;0,INDEX('Raw Annual DMR Data'!B:B,MATCH(1,($F128='Raw Annual DMR Data'!L:L)*($AE128='Raw Annual DMR Data'!W:W),0)), "N/A - No Daily Max DMR Discharge Data")</f>
        <v>2020</v>
      </c>
    </row>
    <row r="129" spans="1:32" ht="45.75" thickBot="1" x14ac:dyDescent="0.3">
      <c r="A129" s="144" t="str">
        <f>VLOOKUP(F129,'Facility Summary'!J:K,2,FALSE)</f>
        <v>Unknown</v>
      </c>
      <c r="B129" s="28" t="s">
        <v>203</v>
      </c>
      <c r="C129" s="28" t="s">
        <v>348</v>
      </c>
      <c r="D129" s="28" t="s">
        <v>349</v>
      </c>
      <c r="E129" s="60"/>
      <c r="F129" s="74">
        <v>110040330718</v>
      </c>
      <c r="G129" s="74" t="s">
        <v>959</v>
      </c>
      <c r="H129" s="28" t="s">
        <v>960</v>
      </c>
      <c r="I129" s="74">
        <v>7110004001360</v>
      </c>
      <c r="J129" s="74" t="s">
        <v>265</v>
      </c>
      <c r="K129" s="60">
        <f>VLOOKUP(A129, 'OES Summary'!$A:$B, 2, FALSE)</f>
        <v>250</v>
      </c>
      <c r="L129" s="304" cm="1">
        <f t="array" ref="L129">IF(COUNTIF('Raw Annual DMR Data'!$L:$L,$F129)&gt;0,MEDIAN(IF('Raw Annual DMR Data'!$L:$L=F129,'Raw Annual DMR Data'!$S:$S)),"N/A - Facility Does Not Report DMRs")</f>
        <v>0.24225964759090898</v>
      </c>
      <c r="M129" s="156">
        <f t="shared" si="11"/>
        <v>9.6903859036363588E-4</v>
      </c>
      <c r="N129" s="156">
        <f>IF(COUNTIF('Raw Annual DMR Data'!$L:$L,$F129)&gt;0,_xlfn.MAXIFS('Raw Annual DMR Data'!$S:$S,'Raw Annual DMR Data'!$L:$L,$F129), "N/A - Facility Does Not Report DMRs")</f>
        <v>0.73822110100000005</v>
      </c>
      <c r="O129" s="156">
        <f t="shared" si="12"/>
        <v>2.9528844040000004E-3</v>
      </c>
      <c r="P129" s="113" cm="1">
        <f t="array" ref="P129">IF(COUNTIF('Raw Annual DMR Data'!$L:$L,$F129)&gt;0,INDEX('Raw Annual DMR Data'!$B:$B,MATCH(1,($F129='Raw Annual DMR Data'!$L:$L)*($N129='Raw Annual DMR Data'!$S:$S),0)), "N/A - Facility Does Not Report DMRs")</f>
        <v>2020</v>
      </c>
      <c r="Q129" s="304" t="str" cm="1">
        <f t="array" ref="Q129">IF(COUNTIF('Raw TRI Data'!$J:$J,$E129)&gt;0,MEDIAN(IF('Raw TRI Data'!$J:$J=E129,'Raw TRI Data'!$S:$S)), "N/A - Facility Does Not Report to TRI")</f>
        <v>N/A - Facility Does Not Report to TRI</v>
      </c>
      <c r="R129" s="156" t="str">
        <f t="shared" si="14"/>
        <v>N/A - Facility Does Not Report to TRI</v>
      </c>
      <c r="S129" s="156" t="str">
        <f>IF(COUNTIF('Raw TRI Data'!$J:$J,$E129)&gt;0,_xlfn.MAXIFS('Raw TRI Data'!$S:$S,'Raw TRI Data'!$J:$J,$E129), "N/A - Facility Does Not Report to TRI")</f>
        <v>N/A - Facility Does Not Report to TRI</v>
      </c>
      <c r="T129" s="156" t="str">
        <f t="shared" si="15"/>
        <v>N/A - Facility Does Not Report to TRI</v>
      </c>
      <c r="U129" s="136" t="str" cm="1">
        <f t="array" ref="U129">IF(COUNTIF('Raw TRI Data'!$J:$J,$E129)&gt;0,INDEX('Raw TRI Data'!$A:$A,MATCH(1,($E129='Raw TRI Data'!$J:$J)*(S129='Raw TRI Data'!$S:$S),0)), "N/A - Facility Does Not Report to TRI")</f>
        <v>N/A - Facility Does Not Report to TRI</v>
      </c>
      <c r="V129" s="156" t="str" cm="1">
        <f t="array" ref="V129">IF(COUNTIFS('Raw Annual DMR Data'!$L:$L,$F129,'Raw Annual DMR Data'!$U:$U,"&gt;0")&gt;0,MEDIAN(IF('Raw Annual DMR Data'!$L:$L=$F129,'Raw Annual DMR Data'!$U:$U,"")),"N/A - Period DMR Data Not Available")</f>
        <v>N/A - Period DMR Data Not Available</v>
      </c>
      <c r="W129" s="156" t="str">
        <f>IF(COUNTIFS('Raw Annual DMR Data'!$L:$L,$F129, 'Raw Annual DMR Data'!$U:$U, "&gt;0")&gt;0,_xlfn.MAXIFS('Raw Annual DMR Data'!$U:$U,'Raw Annual DMR Data'!$L:$L,$F129), "N/A - Period DMR Data Not Available")</f>
        <v>N/A - Period DMR Data Not Available</v>
      </c>
      <c r="X129" s="113" t="str" cm="1">
        <f t="array" ref="X129">+IF(COUNTIFS('Raw Annual DMR Data'!L:L,$F129, 'Raw Annual DMR Data'!U:U, "&gt;0")&gt;0,INDEX('Raw Annual DMR Data'!V:V,MATCH(1,($F129='Raw Annual DMR Data'!L:L)*($W129='Raw Annual DMR Data'!U:U),0)), "N/A - Period DMR Data Not Available")</f>
        <v>N/A - Period DMR Data Not Available</v>
      </c>
      <c r="Y129" s="113" t="str" cm="1">
        <f t="array" ref="Y129">IF(COUNTIFS('Raw Annual DMR Data'!L:L,$F129, 'Raw Annual DMR Data'!U:U, "&gt;0")&gt;0,INDEX('Raw Annual DMR Data'!B:B,MATCH(1,($F129='Raw Annual DMR Data'!L:L)*($W129='Raw Annual DMR Data'!U:U),0)), "N/A - Period DMR Data Not Available")</f>
        <v>N/A - Period DMR Data Not Available</v>
      </c>
      <c r="Z129" s="311" t="str" cm="1">
        <f t="array" ref="Z129">IF(COUNTIF('Raw Annual DMR Data'!K:K,$E129)&gt;0,"N/A - See DMRs",IF(SUMIFS('Raw TRI Data'!$Z:$Z,'Raw TRI Data'!$J:$J,$E129)&gt;0,MEDIAN(IF('Raw TRI Data'!$J:$J=$E129,'Raw TRI Data'!$Z:$Z)), "N/A - Facility Does Not Report to TRI, no surface water releases, or no Generic Factors available"))</f>
        <v>N/A - Facility Does Not Report to TRI, no surface water releases, or no Generic Factors available</v>
      </c>
      <c r="AA129" s="156" t="str">
        <f>IF(COUNTIF('Raw Annual DMR Data'!K:K,$E129)&gt;0,"N/A - See DMRs",IF(SUMIFS('Raw TRI Data'!$Z:$Z,'Raw TRI Data'!$J:$J,$E129)&gt;0,_xlfn.MAXIFS('Raw TRI Data'!$Z:$Z,'Raw TRI Data'!$J:$J,$E129), "N/A - Facility Does Not Report to TRI, no surface water releases, or no Generic Factors available"))</f>
        <v>N/A - Facility Does Not Report to TRI, no surface water releases, or no Generic Factors available</v>
      </c>
      <c r="AB129" s="113" t="str">
        <f t="shared" si="13"/>
        <v>N/A</v>
      </c>
      <c r="AC129" s="136" t="str" cm="1">
        <f t="array" ref="AC129">IF(COUNTIF('Raw Annual DMR Data'!K:K,$E129)&gt;0,"N/A - See DMRs",IF(SUMIFS('Raw TRI Data'!$Z:$Z,'Raw TRI Data'!$J:$J,$E129)&gt;0,INDEX('Raw TRI Data'!$A:$A,MATCH(1,($E129='Raw TRI Data'!$J:$J)*($AA129='Raw TRI Data'!$Z:$Z),0)), "N/A - Facility Does Not Report to TRI, no surface water releases, or no Generic Factors available"))</f>
        <v>N/A - Facility Does Not Report to TRI, no surface water releases, or no Generic Factors available</v>
      </c>
      <c r="AD129" s="96" t="str" cm="1">
        <f t="array" ref="AD129">IF(COUNTIFS('Raw Annual DMR Data'!L:L,$F129,'Raw Annual DMR Data'!W:W, "&gt;0")&gt;0,MEDIAN(IF('Raw Annual DMR Data'!K:K=$F129, 'Raw Annual DMR Data'!W:W)), "N/A - No Daily Max DMR Discharge Data")</f>
        <v>N/A - No Daily Max DMR Discharge Data</v>
      </c>
      <c r="AE129" s="96" t="str">
        <f>IF(COUNTIFS('Raw Annual DMR Data'!L:L,$F129,'Raw Annual DMR Data'!W:W, "&gt;0")&gt;0,_xlfn.MAXIFS('Raw Annual DMR Data'!W:W,'Raw Annual DMR Data'!L:L,$F129), "N/A - No Daily Max DMR Discharge Data")</f>
        <v>N/A - No Daily Max DMR Discharge Data</v>
      </c>
      <c r="AF129" s="60" t="str" cm="1">
        <f t="array" ref="AF129">IF(COUNTIFS('Raw Annual DMR Data'!L:L,$F129,'Raw Annual DMR Data'!W:W, "&gt;0")&gt;0,INDEX('Raw Annual DMR Data'!B:B,MATCH(1,($F129='Raw Annual DMR Data'!L:L)*($AE129='Raw Annual DMR Data'!W:W),0)), "N/A - No Daily Max DMR Discharge Data")</f>
        <v>N/A - No Daily Max DMR Discharge Data</v>
      </c>
    </row>
    <row r="130" spans="1:32" ht="45.75" thickBot="1" x14ac:dyDescent="0.3">
      <c r="A130" s="144" t="str">
        <f>VLOOKUP(F130,'Facility Summary'!J:K,2,FALSE)</f>
        <v>POTW</v>
      </c>
      <c r="B130" s="28" t="s">
        <v>961</v>
      </c>
      <c r="C130" s="28" t="s">
        <v>962</v>
      </c>
      <c r="D130" s="28" t="s">
        <v>374</v>
      </c>
      <c r="E130" s="28"/>
      <c r="F130" s="61">
        <v>110000509851</v>
      </c>
      <c r="G130" s="60" t="str">
        <f>VLOOKUP($F130, 'Raw Annual DMR Data'!$A:$Z, 24, FALSE)</f>
        <v>AZ0020559</v>
      </c>
      <c r="H130" s="60">
        <f>VLOOKUP($F130, 'Raw Annual DMR Data'!$A:$Z, 25, FALSE)</f>
        <v>0</v>
      </c>
      <c r="I130" s="74">
        <f>VLOOKUP($F130, 'Raw Annual DMR Data'!$A:$Z, 26, FALSE)</f>
        <v>15070102009185</v>
      </c>
      <c r="J130" s="74" t="s">
        <v>265</v>
      </c>
      <c r="K130" s="60">
        <f>VLOOKUP(A130, 'OES Summary'!$A:$B, 2, FALSE)</f>
        <v>365</v>
      </c>
      <c r="L130" s="304" cm="1">
        <f t="array" ref="L130">IF(COUNTIF('Raw Annual DMR Data'!$L:$L,$F130)&gt;0,MEDIAN(IF('Raw Annual DMR Data'!$L:$L=F130,'Raw Annual DMR Data'!$S:$S)),"N/A - Facility Does Not Report DMRs")</f>
        <v>5.9317545362500006</v>
      </c>
      <c r="M130" s="156">
        <f t="shared" si="11"/>
        <v>1.6251382291095892E-2</v>
      </c>
      <c r="N130" s="156">
        <f>IF(COUNTIF('Raw Annual DMR Data'!$L:$L,$F130)&gt;0,_xlfn.MAXIFS('Raw Annual DMR Data'!$S:$S,'Raw Annual DMR Data'!$L:$L,$F130), "N/A - Facility Does Not Report DMRs")</f>
        <v>6.5850173380000001</v>
      </c>
      <c r="O130" s="156">
        <f t="shared" si="12"/>
        <v>1.8041143391780822E-2</v>
      </c>
      <c r="P130" s="113" cm="1">
        <f t="array" ref="P130">IF(COUNTIF('Raw Annual DMR Data'!$L:$L,$F130)&gt;0,INDEX('Raw Annual DMR Data'!$B:$B,MATCH(1,($F130='Raw Annual DMR Data'!$L:$L)*($N130='Raw Annual DMR Data'!$S:$S),0)), "N/A - Facility Does Not Report DMRs")</f>
        <v>2015</v>
      </c>
      <c r="Q130" s="304" t="str" cm="1">
        <f t="array" ref="Q130">IF(COUNTIF('Raw TRI Data'!$J:$J,$E130)&gt;0,MEDIAN(IF('Raw TRI Data'!$J:$J=E130,'Raw TRI Data'!$S:$S)), "N/A - Facility Does Not Report to TRI")</f>
        <v>N/A - Facility Does Not Report to TRI</v>
      </c>
      <c r="R130" s="156" t="str">
        <f t="shared" ref="R130:R193" si="16">IFERROR(+Q130/$K130, "N/A - Facility Does Not Report to TRI")</f>
        <v>N/A - Facility Does Not Report to TRI</v>
      </c>
      <c r="S130" s="156" t="str">
        <f>IF(COUNTIF('Raw TRI Data'!$J:$J,$E130)&gt;0,_xlfn.MAXIFS('Raw TRI Data'!$S:$S,'Raw TRI Data'!$J:$J,$E130), "N/A - Facility Does Not Report to TRI")</f>
        <v>N/A - Facility Does Not Report to TRI</v>
      </c>
      <c r="T130" s="156" t="str">
        <f t="shared" ref="T130:T193" si="17">IFERROR(+S130/$K130, "N/A - Facility Does Not Report to TRI")</f>
        <v>N/A - Facility Does Not Report to TRI</v>
      </c>
      <c r="U130" s="136" t="str" cm="1">
        <f t="array" ref="U130">IF(COUNTIF('Raw TRI Data'!$J:$J,$E130)&gt;0,INDEX('Raw TRI Data'!$A:$A,MATCH(1,($E130='Raw TRI Data'!$J:$J)*(S130='Raw TRI Data'!$S:$S),0)), "N/A - Facility Does Not Report to TRI")</f>
        <v>N/A - Facility Does Not Report to TRI</v>
      </c>
      <c r="V130" s="156" t="str" cm="1">
        <f t="array" ref="V130">IF(COUNTIFS('Raw Annual DMR Data'!$L:$L,$F130,'Raw Annual DMR Data'!$U:$U,"&gt;0")&gt;0,MEDIAN(IF('Raw Annual DMR Data'!$L:$L=$F130,'Raw Annual DMR Data'!$U:$U,"")),"N/A - Period DMR Data Not Available")</f>
        <v>N/A - Period DMR Data Not Available</v>
      </c>
      <c r="W130" s="156" t="str">
        <f>IF(COUNTIFS('Raw Annual DMR Data'!$L:$L,$F130, 'Raw Annual DMR Data'!$U:$U, "&gt;0")&gt;0,_xlfn.MAXIFS('Raw Annual DMR Data'!$U:$U,'Raw Annual DMR Data'!$L:$L,$F130), "N/A - Period DMR Data Not Available")</f>
        <v>N/A - Period DMR Data Not Available</v>
      </c>
      <c r="X130" s="113" t="str" cm="1">
        <f t="array" ref="X130">+IF(COUNTIFS('Raw Annual DMR Data'!L:L,$F130, 'Raw Annual DMR Data'!U:U, "&gt;0")&gt;0,INDEX('Raw Annual DMR Data'!V:V,MATCH(1,($F130='Raw Annual DMR Data'!L:L)*($W130='Raw Annual DMR Data'!U:U),0)), "N/A - Period DMR Data Not Available")</f>
        <v>N/A - Period DMR Data Not Available</v>
      </c>
      <c r="Y130" s="113" t="str" cm="1">
        <f t="array" ref="Y130">IF(COUNTIFS('Raw Annual DMR Data'!L:L,$F130, 'Raw Annual DMR Data'!U:U, "&gt;0")&gt;0,INDEX('Raw Annual DMR Data'!B:B,MATCH(1,($F130='Raw Annual DMR Data'!L:L)*($W130='Raw Annual DMR Data'!U:U),0)), "N/A - Period DMR Data Not Available")</f>
        <v>N/A - Period DMR Data Not Available</v>
      </c>
      <c r="Z130" s="311" t="str" cm="1">
        <f t="array" ref="Z130">IF(COUNTIF('Raw Annual DMR Data'!K:K,$E130)&gt;0,"N/A - See DMRs",IF(SUMIFS('Raw TRI Data'!$Z:$Z,'Raw TRI Data'!$J:$J,$E130)&gt;0,MEDIAN(IF('Raw TRI Data'!$J:$J=$E130,'Raw TRI Data'!$Z:$Z)), "N/A - Facility Does Not Report to TRI, no surface water releases, or no Generic Factors available"))</f>
        <v>N/A - Facility Does Not Report to TRI, no surface water releases, or no Generic Factors available</v>
      </c>
      <c r="AA130" s="156" t="str">
        <f>IF(COUNTIF('Raw Annual DMR Data'!K:K,$E130)&gt;0,"N/A - See DMRs",IF(SUMIFS('Raw TRI Data'!$Z:$Z,'Raw TRI Data'!$J:$J,$E130)&gt;0,_xlfn.MAXIFS('Raw TRI Data'!$Z:$Z,'Raw TRI Data'!$J:$J,$E130), "N/A - Facility Does Not Report to TRI, no surface water releases, or no Generic Factors available"))</f>
        <v>N/A - Facility Does Not Report to TRI, no surface water releases, or no Generic Factors available</v>
      </c>
      <c r="AB130" s="113" t="str">
        <f t="shared" si="13"/>
        <v>N/A</v>
      </c>
      <c r="AC130" s="136" t="str" cm="1">
        <f t="array" ref="AC130">IF(COUNTIF('Raw Annual DMR Data'!K:K,$E130)&gt;0,"N/A - See DMRs",IF(SUMIFS('Raw TRI Data'!$Z:$Z,'Raw TRI Data'!$J:$J,$E130)&gt;0,INDEX('Raw TRI Data'!$A:$A,MATCH(1,($E130='Raw TRI Data'!$J:$J)*($AA130='Raw TRI Data'!$Z:$Z),0)), "N/A - Facility Does Not Report to TRI, no surface water releases, or no Generic Factors available"))</f>
        <v>N/A - Facility Does Not Report to TRI, no surface water releases, or no Generic Factors available</v>
      </c>
      <c r="AD130" s="96" t="str" cm="1">
        <f t="array" ref="AD130">IF(COUNTIFS('Raw Annual DMR Data'!L:L,$F130,'Raw Annual DMR Data'!W:W, "&gt;0")&gt;0,MEDIAN(IF('Raw Annual DMR Data'!K:K=$F130, 'Raw Annual DMR Data'!W:W)), "N/A - No Daily Max DMR Discharge Data")</f>
        <v>N/A - No Daily Max DMR Discharge Data</v>
      </c>
      <c r="AE130" s="96" t="str">
        <f>IF(COUNTIFS('Raw Annual DMR Data'!L:L,$F130,'Raw Annual DMR Data'!W:W, "&gt;0")&gt;0,_xlfn.MAXIFS('Raw Annual DMR Data'!W:W,'Raw Annual DMR Data'!L:L,$F130), "N/A - No Daily Max DMR Discharge Data")</f>
        <v>N/A - No Daily Max DMR Discharge Data</v>
      </c>
      <c r="AF130" s="60" t="str" cm="1">
        <f t="array" ref="AF130">IF(COUNTIFS('Raw Annual DMR Data'!L:L,$F130,'Raw Annual DMR Data'!W:W, "&gt;0")&gt;0,INDEX('Raw Annual DMR Data'!B:B,MATCH(1,($F130='Raw Annual DMR Data'!L:L)*($AE130='Raw Annual DMR Data'!W:W),0)), "N/A - No Daily Max DMR Discharge Data")</f>
        <v>N/A - No Daily Max DMR Discharge Data</v>
      </c>
    </row>
    <row r="131" spans="1:32" ht="45.75" thickBot="1" x14ac:dyDescent="0.3">
      <c r="A131" s="144" t="str">
        <f>VLOOKUP(F131,'Facility Summary'!J:K,2,FALSE)</f>
        <v>POTW</v>
      </c>
      <c r="B131" s="28" t="s">
        <v>963</v>
      </c>
      <c r="C131" s="28" t="s">
        <v>964</v>
      </c>
      <c r="D131" s="28" t="s">
        <v>374</v>
      </c>
      <c r="E131" s="28"/>
      <c r="F131" s="61">
        <v>110002042021</v>
      </c>
      <c r="G131" s="60" t="str">
        <f>VLOOKUP($F131, 'Raw Annual DMR Data'!$A:$Z, 24, FALSE)</f>
        <v>AZ0026107</v>
      </c>
      <c r="H131" s="60">
        <f>VLOOKUP($F131, 'Raw Annual DMR Data'!$A:$Z, 25, FALSE)</f>
        <v>0</v>
      </c>
      <c r="I131" s="74">
        <f>VLOOKUP($F131, 'Raw Annual DMR Data'!$A:$Z, 26, FALSE)</f>
        <v>15050301001090</v>
      </c>
      <c r="J131" s="74" t="s">
        <v>265</v>
      </c>
      <c r="K131" s="60">
        <f>VLOOKUP(A131, 'OES Summary'!$A:$B, 2, FALSE)</f>
        <v>365</v>
      </c>
      <c r="L131" s="304" cm="1">
        <f t="array" ref="L131">IF(COUNTIF('Raw Annual DMR Data'!$L:$L,$F131)&gt;0,MEDIAN(IF('Raw Annual DMR Data'!$L:$L=F131,'Raw Annual DMR Data'!$S:$S)),"N/A - Facility Does Not Report DMRs")</f>
        <v>0.35862610049999999</v>
      </c>
      <c r="M131" s="156">
        <f t="shared" si="11"/>
        <v>9.8253726164383563E-4</v>
      </c>
      <c r="N131" s="156">
        <f>IF(COUNTIF('Raw Annual DMR Data'!$L:$L,$F131)&gt;0,_xlfn.MAXIFS('Raw Annual DMR Data'!$S:$S,'Raw Annual DMR Data'!$L:$L,$F131), "N/A - Facility Does Not Report DMRs")</f>
        <v>0.80570447160000003</v>
      </c>
      <c r="O131" s="156">
        <f t="shared" si="12"/>
        <v>2.2074095112328768E-3</v>
      </c>
      <c r="P131" s="113" cm="1">
        <f t="array" ref="P131">IF(COUNTIF('Raw Annual DMR Data'!$L:$L,$F131)&gt;0,INDEX('Raw Annual DMR Data'!$B:$B,MATCH(1,($F131='Raw Annual DMR Data'!$L:$L)*($N131='Raw Annual DMR Data'!$S:$S),0)), "N/A - Facility Does Not Report DMRs")</f>
        <v>2018</v>
      </c>
      <c r="Q131" s="304" t="str" cm="1">
        <f t="array" ref="Q131">IF(COUNTIF('Raw TRI Data'!$J:$J,$E131)&gt;0,MEDIAN(IF('Raw TRI Data'!$J:$J=E131,'Raw TRI Data'!$S:$S)), "N/A - Facility Does Not Report to TRI")</f>
        <v>N/A - Facility Does Not Report to TRI</v>
      </c>
      <c r="R131" s="156" t="str">
        <f t="shared" si="16"/>
        <v>N/A - Facility Does Not Report to TRI</v>
      </c>
      <c r="S131" s="156" t="str">
        <f>IF(COUNTIF('Raw TRI Data'!$J:$J,$E131)&gt;0,_xlfn.MAXIFS('Raw TRI Data'!$S:$S,'Raw TRI Data'!$J:$J,$E131), "N/A - Facility Does Not Report to TRI")</f>
        <v>N/A - Facility Does Not Report to TRI</v>
      </c>
      <c r="T131" s="156" t="str">
        <f t="shared" si="17"/>
        <v>N/A - Facility Does Not Report to TRI</v>
      </c>
      <c r="U131" s="136" t="str" cm="1">
        <f t="array" ref="U131">IF(COUNTIF('Raw TRI Data'!$J:$J,$E131)&gt;0,INDEX('Raw TRI Data'!$A:$A,MATCH(1,($E131='Raw TRI Data'!$J:$J)*(S131='Raw TRI Data'!$S:$S),0)), "N/A - Facility Does Not Report to TRI")</f>
        <v>N/A - Facility Does Not Report to TRI</v>
      </c>
      <c r="V131" s="156" t="str" cm="1">
        <f t="array" ref="V131">IF(COUNTIFS('Raw Annual DMR Data'!$L:$L,$F131,'Raw Annual DMR Data'!$U:$U,"&gt;0")&gt;0,MEDIAN(IF('Raw Annual DMR Data'!$L:$L=$F131,'Raw Annual DMR Data'!$U:$U,"")),"N/A - Period DMR Data Not Available")</f>
        <v>N/A - Period DMR Data Not Available</v>
      </c>
      <c r="W131" s="156" t="str">
        <f>IF(COUNTIFS('Raw Annual DMR Data'!$L:$L,$F131, 'Raw Annual DMR Data'!$U:$U, "&gt;0")&gt;0,_xlfn.MAXIFS('Raw Annual DMR Data'!$U:$U,'Raw Annual DMR Data'!$L:$L,$F131), "N/A - Period DMR Data Not Available")</f>
        <v>N/A - Period DMR Data Not Available</v>
      </c>
      <c r="X131" s="113" t="str" cm="1">
        <f t="array" ref="X131">+IF(COUNTIFS('Raw Annual DMR Data'!L:L,$F131, 'Raw Annual DMR Data'!U:U, "&gt;0")&gt;0,INDEX('Raw Annual DMR Data'!V:V,MATCH(1,($F131='Raw Annual DMR Data'!L:L)*($W131='Raw Annual DMR Data'!U:U),0)), "N/A - Period DMR Data Not Available")</f>
        <v>N/A - Period DMR Data Not Available</v>
      </c>
      <c r="Y131" s="113" t="str" cm="1">
        <f t="array" ref="Y131">IF(COUNTIFS('Raw Annual DMR Data'!L:L,$F131, 'Raw Annual DMR Data'!U:U, "&gt;0")&gt;0,INDEX('Raw Annual DMR Data'!B:B,MATCH(1,($F131='Raw Annual DMR Data'!L:L)*($W131='Raw Annual DMR Data'!U:U),0)), "N/A - Period DMR Data Not Available")</f>
        <v>N/A - Period DMR Data Not Available</v>
      </c>
      <c r="Z131" s="311" t="str" cm="1">
        <f t="array" ref="Z131">IF(COUNTIF('Raw Annual DMR Data'!K:K,$E131)&gt;0,"N/A - See DMRs",IF(SUMIFS('Raw TRI Data'!$Z:$Z,'Raw TRI Data'!$J:$J,$E131)&gt;0,MEDIAN(IF('Raw TRI Data'!$J:$J=$E131,'Raw TRI Data'!$Z:$Z)), "N/A - Facility Does Not Report to TRI, no surface water releases, or no Generic Factors available"))</f>
        <v>N/A - Facility Does Not Report to TRI, no surface water releases, or no Generic Factors available</v>
      </c>
      <c r="AA131" s="156" t="str">
        <f>IF(COUNTIF('Raw Annual DMR Data'!K:K,$E131)&gt;0,"N/A - See DMRs",IF(SUMIFS('Raw TRI Data'!$Z:$Z,'Raw TRI Data'!$J:$J,$E131)&gt;0,_xlfn.MAXIFS('Raw TRI Data'!$Z:$Z,'Raw TRI Data'!$J:$J,$E131), "N/A - Facility Does Not Report to TRI, no surface water releases, or no Generic Factors available"))</f>
        <v>N/A - Facility Does Not Report to TRI, no surface water releases, or no Generic Factors available</v>
      </c>
      <c r="AB131" s="113" t="str">
        <f t="shared" si="13"/>
        <v>N/A</v>
      </c>
      <c r="AC131" s="136" t="str" cm="1">
        <f t="array" ref="AC131">IF(COUNTIF('Raw Annual DMR Data'!K:K,$E131)&gt;0,"N/A - See DMRs",IF(SUMIFS('Raw TRI Data'!$Z:$Z,'Raw TRI Data'!$J:$J,$E131)&gt;0,INDEX('Raw TRI Data'!$A:$A,MATCH(1,($E131='Raw TRI Data'!$J:$J)*($AA131='Raw TRI Data'!$Z:$Z),0)), "N/A - Facility Does Not Report to TRI, no surface water releases, or no Generic Factors available"))</f>
        <v>N/A - Facility Does Not Report to TRI, no surface water releases, or no Generic Factors available</v>
      </c>
      <c r="AD131" s="96" t="str" cm="1">
        <f t="array" ref="AD131">IF(COUNTIFS('Raw Annual DMR Data'!L:L,$F131,'Raw Annual DMR Data'!W:W, "&gt;0")&gt;0,MEDIAN(IF('Raw Annual DMR Data'!K:K=$F131, 'Raw Annual DMR Data'!W:W)), "N/A - No Daily Max DMR Discharge Data")</f>
        <v>N/A - No Daily Max DMR Discharge Data</v>
      </c>
      <c r="AE131" s="96" t="str">
        <f>IF(COUNTIFS('Raw Annual DMR Data'!L:L,$F131,'Raw Annual DMR Data'!W:W, "&gt;0")&gt;0,_xlfn.MAXIFS('Raw Annual DMR Data'!W:W,'Raw Annual DMR Data'!L:L,$F131), "N/A - No Daily Max DMR Discharge Data")</f>
        <v>N/A - No Daily Max DMR Discharge Data</v>
      </c>
      <c r="AF131" s="60" t="str" cm="1">
        <f t="array" ref="AF131">IF(COUNTIFS('Raw Annual DMR Data'!L:L,$F131,'Raw Annual DMR Data'!W:W, "&gt;0")&gt;0,INDEX('Raw Annual DMR Data'!B:B,MATCH(1,($F131='Raw Annual DMR Data'!L:L)*($AE131='Raw Annual DMR Data'!W:W),0)), "N/A - No Daily Max DMR Discharge Data")</f>
        <v>N/A - No Daily Max DMR Discharge Data</v>
      </c>
    </row>
    <row r="132" spans="1:32" ht="45.75" thickBot="1" x14ac:dyDescent="0.3">
      <c r="A132" s="144" t="str">
        <f>VLOOKUP(F132,'Facility Summary'!J:K,2,FALSE)</f>
        <v>Unknown</v>
      </c>
      <c r="B132" s="28" t="s">
        <v>965</v>
      </c>
      <c r="C132" s="28" t="s">
        <v>966</v>
      </c>
      <c r="D132" s="28" t="s">
        <v>491</v>
      </c>
      <c r="E132" s="28"/>
      <c r="F132" s="61">
        <v>110006368206</v>
      </c>
      <c r="G132" s="60" t="str">
        <f>VLOOKUP($F132, 'Raw Annual DMR Data'!$A:$Z, 24, FALSE)</f>
        <v>PA0057690</v>
      </c>
      <c r="H132" s="60" t="str">
        <f>VLOOKUP($F132, 'Raw Annual DMR Data'!$A:$Z, 25, FALSE)</f>
        <v>DELAWARE RIVER, SCHUYLKILL RIVER</v>
      </c>
      <c r="I132" s="74">
        <f>VLOOKUP($F132, 'Raw Annual DMR Data'!$A:$Z, 26, FALSE)</f>
        <v>2040203000001</v>
      </c>
      <c r="J132" s="74" t="s">
        <v>265</v>
      </c>
      <c r="K132" s="60">
        <f>VLOOKUP(A132, 'OES Summary'!$A:$B, 2, FALSE)</f>
        <v>250</v>
      </c>
      <c r="L132" s="304" cm="1">
        <f t="array" ref="L132">IF(COUNTIF('Raw Annual DMR Data'!$L:$L,$F132)&gt;0,MEDIAN(IF('Raw Annual DMR Data'!$L:$L=F132,'Raw Annual DMR Data'!$S:$S)),"N/A - Facility Does Not Report DMRs")</f>
        <v>0.3882720197376</v>
      </c>
      <c r="M132" s="156">
        <f t="shared" si="11"/>
        <v>1.5530880789504E-3</v>
      </c>
      <c r="N132" s="156">
        <f>IF(COUNTIF('Raw Annual DMR Data'!$L:$L,$F132)&gt;0,_xlfn.MAXIFS('Raw Annual DMR Data'!$S:$S,'Raw Annual DMR Data'!$L:$L,$F132), "N/A - Facility Does Not Report DMRs")</f>
        <v>10.5959264256</v>
      </c>
      <c r="O132" s="156">
        <f t="shared" si="12"/>
        <v>4.23837057024E-2</v>
      </c>
      <c r="P132" s="113" cm="1">
        <f t="array" ref="P132">IF(COUNTIF('Raw Annual DMR Data'!$L:$L,$F132)&gt;0,INDEX('Raw Annual DMR Data'!$B:$B,MATCH(1,($F132='Raw Annual DMR Data'!$L:$L)*($N132='Raw Annual DMR Data'!$S:$S),0)), "N/A - Facility Does Not Report DMRs")</f>
        <v>2022</v>
      </c>
      <c r="Q132" s="304" t="str" cm="1">
        <f t="array" ref="Q132">IF(COUNTIF('Raw TRI Data'!$J:$J,$E132)&gt;0,MEDIAN(IF('Raw TRI Data'!$J:$J=E132,'Raw TRI Data'!$S:$S)), "N/A - Facility Does Not Report to TRI")</f>
        <v>N/A - Facility Does Not Report to TRI</v>
      </c>
      <c r="R132" s="156" t="str">
        <f t="shared" si="16"/>
        <v>N/A - Facility Does Not Report to TRI</v>
      </c>
      <c r="S132" s="156" t="str">
        <f>IF(COUNTIF('Raw TRI Data'!$J:$J,$E132)&gt;0,_xlfn.MAXIFS('Raw TRI Data'!$S:$S,'Raw TRI Data'!$J:$J,$E132), "N/A - Facility Does Not Report to TRI")</f>
        <v>N/A - Facility Does Not Report to TRI</v>
      </c>
      <c r="T132" s="156" t="str">
        <f t="shared" si="17"/>
        <v>N/A - Facility Does Not Report to TRI</v>
      </c>
      <c r="U132" s="136" t="str" cm="1">
        <f t="array" ref="U132">IF(COUNTIF('Raw TRI Data'!$J:$J,$E132)&gt;0,INDEX('Raw TRI Data'!$A:$A,MATCH(1,($E132='Raw TRI Data'!$J:$J)*(S132='Raw TRI Data'!$S:$S),0)), "N/A - Facility Does Not Report to TRI")</f>
        <v>N/A - Facility Does Not Report to TRI</v>
      </c>
      <c r="V132" s="156" t="str" cm="1">
        <f t="array" ref="V132">IF(COUNTIFS('Raw Annual DMR Data'!$L:$L,$F132,'Raw Annual DMR Data'!$U:$U,"&gt;0")&gt;0,MEDIAN(IF('Raw Annual DMR Data'!$L:$L=$F132,'Raw Annual DMR Data'!$U:$U,"")),"N/A - Period DMR Data Not Available")</f>
        <v>N/A - Period DMR Data Not Available</v>
      </c>
      <c r="W132" s="156" t="str">
        <f>IF(COUNTIFS('Raw Annual DMR Data'!$L:$L,$F132, 'Raw Annual DMR Data'!$U:$U, "&gt;0")&gt;0,_xlfn.MAXIFS('Raw Annual DMR Data'!$U:$U,'Raw Annual DMR Data'!$L:$L,$F132), "N/A - Period DMR Data Not Available")</f>
        <v>N/A - Period DMR Data Not Available</v>
      </c>
      <c r="X132" s="113" t="str" cm="1">
        <f t="array" ref="X132">+IF(COUNTIFS('Raw Annual DMR Data'!L:L,$F132, 'Raw Annual DMR Data'!U:U, "&gt;0")&gt;0,INDEX('Raw Annual DMR Data'!V:V,MATCH(1,($F132='Raw Annual DMR Data'!L:L)*($W132='Raw Annual DMR Data'!U:U),0)), "N/A - Period DMR Data Not Available")</f>
        <v>N/A - Period DMR Data Not Available</v>
      </c>
      <c r="Y132" s="113" t="str" cm="1">
        <f t="array" ref="Y132">IF(COUNTIFS('Raw Annual DMR Data'!L:L,$F132, 'Raw Annual DMR Data'!U:U, "&gt;0")&gt;0,INDEX('Raw Annual DMR Data'!B:B,MATCH(1,($F132='Raw Annual DMR Data'!L:L)*($W132='Raw Annual DMR Data'!U:U),0)), "N/A - Period DMR Data Not Available")</f>
        <v>N/A - Period DMR Data Not Available</v>
      </c>
      <c r="Z132" s="311" t="str" cm="1">
        <f t="array" ref="Z132">IF(COUNTIF('Raw Annual DMR Data'!K:K,$E132)&gt;0,"N/A - See DMRs",IF(SUMIFS('Raw TRI Data'!$Z:$Z,'Raw TRI Data'!$J:$J,$E132)&gt;0,MEDIAN(IF('Raw TRI Data'!$J:$J=$E132,'Raw TRI Data'!$Z:$Z)), "N/A - Facility Does Not Report to TRI, no surface water releases, or no Generic Factors available"))</f>
        <v>N/A - Facility Does Not Report to TRI, no surface water releases, or no Generic Factors available</v>
      </c>
      <c r="AA132" s="156" t="str">
        <f>IF(COUNTIF('Raw Annual DMR Data'!K:K,$E132)&gt;0,"N/A - See DMRs",IF(SUMIFS('Raw TRI Data'!$Z:$Z,'Raw TRI Data'!$J:$J,$E132)&gt;0,_xlfn.MAXIFS('Raw TRI Data'!$Z:$Z,'Raw TRI Data'!$J:$J,$E132), "N/A - Facility Does Not Report to TRI, no surface water releases, or no Generic Factors available"))</f>
        <v>N/A - Facility Does Not Report to TRI, no surface water releases, or no Generic Factors available</v>
      </c>
      <c r="AB132" s="113" t="str">
        <f t="shared" si="13"/>
        <v>N/A</v>
      </c>
      <c r="AC132" s="136" t="str" cm="1">
        <f t="array" ref="AC132">IF(COUNTIF('Raw Annual DMR Data'!K:K,$E132)&gt;0,"N/A - See DMRs",IF(SUMIFS('Raw TRI Data'!$Z:$Z,'Raw TRI Data'!$J:$J,$E132)&gt;0,INDEX('Raw TRI Data'!$A:$A,MATCH(1,($E132='Raw TRI Data'!$J:$J)*($AA132='Raw TRI Data'!$Z:$Z),0)), "N/A - Facility Does Not Report to TRI, no surface water releases, or no Generic Factors available"))</f>
        <v>N/A - Facility Does Not Report to TRI, no surface water releases, or no Generic Factors available</v>
      </c>
      <c r="AD132" s="96" t="str" cm="1">
        <f t="array" ref="AD132">IF(COUNTIFS('Raw Annual DMR Data'!L:L,$F132,'Raw Annual DMR Data'!W:W, "&gt;0")&gt;0,MEDIAN(IF('Raw Annual DMR Data'!K:K=$F132, 'Raw Annual DMR Data'!W:W)), "N/A - No Daily Max DMR Discharge Data")</f>
        <v>N/A - No Daily Max DMR Discharge Data</v>
      </c>
      <c r="AE132" s="96" t="str">
        <f>IF(COUNTIFS('Raw Annual DMR Data'!L:L,$F132,'Raw Annual DMR Data'!W:W, "&gt;0")&gt;0,_xlfn.MAXIFS('Raw Annual DMR Data'!W:W,'Raw Annual DMR Data'!L:L,$F132), "N/A - No Daily Max DMR Discharge Data")</f>
        <v>N/A - No Daily Max DMR Discharge Data</v>
      </c>
      <c r="AF132" s="60" t="str" cm="1">
        <f t="array" ref="AF132">IF(COUNTIFS('Raw Annual DMR Data'!L:L,$F132,'Raw Annual DMR Data'!W:W, "&gt;0")&gt;0,INDEX('Raw Annual DMR Data'!B:B,MATCH(1,($F132='Raw Annual DMR Data'!L:L)*($AE132='Raw Annual DMR Data'!W:W),0)), "N/A - No Daily Max DMR Discharge Data")</f>
        <v>N/A - No Daily Max DMR Discharge Data</v>
      </c>
    </row>
    <row r="133" spans="1:32" ht="45.75" thickBot="1" x14ac:dyDescent="0.3">
      <c r="A133" s="144" t="str">
        <f>VLOOKUP(F133,'Facility Summary'!J:K,2,FALSE)</f>
        <v>Unknown</v>
      </c>
      <c r="B133" s="28" t="s">
        <v>967</v>
      </c>
      <c r="C133" s="28" t="s">
        <v>968</v>
      </c>
      <c r="D133" s="28" t="s">
        <v>294</v>
      </c>
      <c r="E133" s="28"/>
      <c r="F133" s="61">
        <v>110070885683</v>
      </c>
      <c r="G133" s="60" t="str">
        <f>VLOOKUP($F133, 'Raw Annual DMR Data'!$A:$Z, 24, FALSE)</f>
        <v>VAG830554</v>
      </c>
      <c r="H133" s="60" t="str">
        <f>VLOOKUP($F133, 'Raw Annual DMR Data'!$A:$Z, 25, FALSE)</f>
        <v>POTOMAC RIVER-FOURMILE RUN</v>
      </c>
      <c r="I133" s="74">
        <f>VLOOKUP($F133, 'Raw Annual DMR Data'!$A:$Z, 26, FALSE)</f>
        <v>0</v>
      </c>
      <c r="J133" s="74" t="s">
        <v>265</v>
      </c>
      <c r="K133" s="60">
        <f>VLOOKUP(A133, 'OES Summary'!$A:$B, 2, FALSE)</f>
        <v>250</v>
      </c>
      <c r="L133" s="304" cm="1">
        <f t="array" ref="L133">IF(COUNTIF('Raw Annual DMR Data'!$L:$L,$F133)&gt;0,MEDIAN(IF('Raw Annual DMR Data'!$L:$L=F133,'Raw Annual DMR Data'!$S:$S)),"N/A - Facility Does Not Report DMRs")</f>
        <v>0.24413116692299899</v>
      </c>
      <c r="M133" s="156">
        <f t="shared" ref="M133:M196" si="18">IFERROR(+L133/$K133, "N/A - Facility Does Not Report DMRs")</f>
        <v>9.7652466769199598E-4</v>
      </c>
      <c r="N133" s="156">
        <f>IF(COUNTIF('Raw Annual DMR Data'!$L:$L,$F133)&gt;0,_xlfn.MAXIFS('Raw Annual DMR Data'!$S:$S,'Raw Annual DMR Data'!$L:$L,$F133), "N/A - Facility Does Not Report DMRs")</f>
        <v>0.24413116692299899</v>
      </c>
      <c r="O133" s="156">
        <f t="shared" ref="O133:O196" si="19">IFERROR(+N133/$K133, "N/A - Facility Does Not Report DMRs")</f>
        <v>9.7652466769199598E-4</v>
      </c>
      <c r="P133" s="113" cm="1">
        <f t="array" ref="P133">IF(COUNTIF('Raw Annual DMR Data'!$L:$L,$F133)&gt;0,INDEX('Raw Annual DMR Data'!$B:$B,MATCH(1,($F133='Raw Annual DMR Data'!$L:$L)*($N133='Raw Annual DMR Data'!$S:$S),0)), "N/A - Facility Does Not Report DMRs")</f>
        <v>2020</v>
      </c>
      <c r="Q133" s="304" t="str" cm="1">
        <f t="array" ref="Q133">IF(COUNTIF('Raw TRI Data'!$J:$J,$E133)&gt;0,MEDIAN(IF('Raw TRI Data'!$J:$J=E133,'Raw TRI Data'!$S:$S)), "N/A - Facility Does Not Report to TRI")</f>
        <v>N/A - Facility Does Not Report to TRI</v>
      </c>
      <c r="R133" s="156" t="str">
        <f t="shared" si="16"/>
        <v>N/A - Facility Does Not Report to TRI</v>
      </c>
      <c r="S133" s="156" t="str">
        <f>IF(COUNTIF('Raw TRI Data'!$J:$J,$E133)&gt;0,_xlfn.MAXIFS('Raw TRI Data'!$S:$S,'Raw TRI Data'!$J:$J,$E133), "N/A - Facility Does Not Report to TRI")</f>
        <v>N/A - Facility Does Not Report to TRI</v>
      </c>
      <c r="T133" s="156" t="str">
        <f t="shared" si="17"/>
        <v>N/A - Facility Does Not Report to TRI</v>
      </c>
      <c r="U133" s="136" t="str" cm="1">
        <f t="array" ref="U133">IF(COUNTIF('Raw TRI Data'!$J:$J,$E133)&gt;0,INDEX('Raw TRI Data'!$A:$A,MATCH(1,($E133='Raw TRI Data'!$J:$J)*(S133='Raw TRI Data'!$S:$S),0)), "N/A - Facility Does Not Report to TRI")</f>
        <v>N/A - Facility Does Not Report to TRI</v>
      </c>
      <c r="V133" s="156" t="str" cm="1">
        <f t="array" ref="V133">IF(COUNTIFS('Raw Annual DMR Data'!$L:$L,$F133,'Raw Annual DMR Data'!$U:$U,"&gt;0")&gt;0,MEDIAN(IF('Raw Annual DMR Data'!$L:$L=$F133,'Raw Annual DMR Data'!$U:$U,"")),"N/A - Period DMR Data Not Available")</f>
        <v>N/A - Period DMR Data Not Available</v>
      </c>
      <c r="W133" s="156" t="str">
        <f>IF(COUNTIFS('Raw Annual DMR Data'!$L:$L,$F133, 'Raw Annual DMR Data'!$U:$U, "&gt;0")&gt;0,_xlfn.MAXIFS('Raw Annual DMR Data'!$U:$U,'Raw Annual DMR Data'!$L:$L,$F133), "N/A - Period DMR Data Not Available")</f>
        <v>N/A - Period DMR Data Not Available</v>
      </c>
      <c r="X133" s="113" t="str" cm="1">
        <f t="array" ref="X133">+IF(COUNTIFS('Raw Annual DMR Data'!L:L,$F133, 'Raw Annual DMR Data'!U:U, "&gt;0")&gt;0,INDEX('Raw Annual DMR Data'!V:V,MATCH(1,($F133='Raw Annual DMR Data'!L:L)*($W133='Raw Annual DMR Data'!U:U),0)), "N/A - Period DMR Data Not Available")</f>
        <v>N/A - Period DMR Data Not Available</v>
      </c>
      <c r="Y133" s="113" t="str" cm="1">
        <f t="array" ref="Y133">IF(COUNTIFS('Raw Annual DMR Data'!L:L,$F133, 'Raw Annual DMR Data'!U:U, "&gt;0")&gt;0,INDEX('Raw Annual DMR Data'!B:B,MATCH(1,($F133='Raw Annual DMR Data'!L:L)*($W133='Raw Annual DMR Data'!U:U),0)), "N/A - Period DMR Data Not Available")</f>
        <v>N/A - Period DMR Data Not Available</v>
      </c>
      <c r="Z133" s="311" t="str" cm="1">
        <f t="array" ref="Z133">IF(COUNTIF('Raw Annual DMR Data'!K:K,$E133)&gt;0,"N/A - See DMRs",IF(SUMIFS('Raw TRI Data'!$Z:$Z,'Raw TRI Data'!$J:$J,$E133)&gt;0,MEDIAN(IF('Raw TRI Data'!$J:$J=$E133,'Raw TRI Data'!$Z:$Z)), "N/A - Facility Does Not Report to TRI, no surface water releases, or no Generic Factors available"))</f>
        <v>N/A - Facility Does Not Report to TRI, no surface water releases, or no Generic Factors available</v>
      </c>
      <c r="AA133" s="156" t="str">
        <f>IF(COUNTIF('Raw Annual DMR Data'!K:K,$E133)&gt;0,"N/A - See DMRs",IF(SUMIFS('Raw TRI Data'!$Z:$Z,'Raw TRI Data'!$J:$J,$E133)&gt;0,_xlfn.MAXIFS('Raw TRI Data'!$Z:$Z,'Raw TRI Data'!$J:$J,$E133), "N/A - Facility Does Not Report to TRI, no surface water releases, or no Generic Factors available"))</f>
        <v>N/A - Facility Does Not Report to TRI, no surface water releases, or no Generic Factors available</v>
      </c>
      <c r="AB133" s="113" t="str">
        <f t="shared" ref="AB133:AB196" si="20">IF(ISNUMBER(AA133),30,"N/A")</f>
        <v>N/A</v>
      </c>
      <c r="AC133" s="136" t="str" cm="1">
        <f t="array" ref="AC133">IF(COUNTIF('Raw Annual DMR Data'!K:K,$E133)&gt;0,"N/A - See DMRs",IF(SUMIFS('Raw TRI Data'!$Z:$Z,'Raw TRI Data'!$J:$J,$E133)&gt;0,INDEX('Raw TRI Data'!$A:$A,MATCH(1,($E133='Raw TRI Data'!$J:$J)*($AA133='Raw TRI Data'!$Z:$Z),0)), "N/A - Facility Does Not Report to TRI, no surface water releases, or no Generic Factors available"))</f>
        <v>N/A - Facility Does Not Report to TRI, no surface water releases, or no Generic Factors available</v>
      </c>
      <c r="AD133" s="96" t="str" cm="1">
        <f t="array" ref="AD133">IF(COUNTIFS('Raw Annual DMR Data'!L:L,$F133,'Raw Annual DMR Data'!W:W, "&gt;0")&gt;0,MEDIAN(IF('Raw Annual DMR Data'!K:K=$F133, 'Raw Annual DMR Data'!W:W)), "N/A - No Daily Max DMR Discharge Data")</f>
        <v>N/A - No Daily Max DMR Discharge Data</v>
      </c>
      <c r="AE133" s="96" t="str">
        <f>IF(COUNTIFS('Raw Annual DMR Data'!L:L,$F133,'Raw Annual DMR Data'!W:W, "&gt;0")&gt;0,_xlfn.MAXIFS('Raw Annual DMR Data'!W:W,'Raw Annual DMR Data'!L:L,$F133), "N/A - No Daily Max DMR Discharge Data")</f>
        <v>N/A - No Daily Max DMR Discharge Data</v>
      </c>
      <c r="AF133" s="60" t="str" cm="1">
        <f t="array" ref="AF133">IF(COUNTIFS('Raw Annual DMR Data'!L:L,$F133,'Raw Annual DMR Data'!W:W, "&gt;0")&gt;0,INDEX('Raw Annual DMR Data'!B:B,MATCH(1,($F133='Raw Annual DMR Data'!L:L)*($AE133='Raw Annual DMR Data'!W:W),0)), "N/A - No Daily Max DMR Discharge Data")</f>
        <v>N/A - No Daily Max DMR Discharge Data</v>
      </c>
    </row>
    <row r="134" spans="1:32" ht="45.75" thickBot="1" x14ac:dyDescent="0.3">
      <c r="A134" s="144" t="str">
        <f>VLOOKUP(F134,'Facility Summary'!J:K,2,FALSE)</f>
        <v>Unknown</v>
      </c>
      <c r="B134" s="28" t="s">
        <v>969</v>
      </c>
      <c r="C134" s="28" t="s">
        <v>293</v>
      </c>
      <c r="D134" s="28" t="s">
        <v>294</v>
      </c>
      <c r="E134" s="28"/>
      <c r="F134" s="61">
        <v>110070545578</v>
      </c>
      <c r="G134" s="60" t="str">
        <f>VLOOKUP($F134, 'Raw Annual DMR Data'!$A:$Z, 24, FALSE)</f>
        <v>VAG830544</v>
      </c>
      <c r="H134" s="60" t="str">
        <f>VLOOKUP($F134, 'Raw Annual DMR Data'!$A:$Z, 25, FALSE)</f>
        <v>POTOMAC RIVER-FOURMILE RUN</v>
      </c>
      <c r="I134" s="74">
        <f>VLOOKUP($F134, 'Raw Annual DMR Data'!$A:$Z, 26, FALSE)</f>
        <v>0</v>
      </c>
      <c r="J134" s="74" t="s">
        <v>265</v>
      </c>
      <c r="K134" s="60">
        <f>VLOOKUP(A134, 'OES Summary'!$A:$B, 2, FALSE)</f>
        <v>250</v>
      </c>
      <c r="L134" s="304" cm="1">
        <f t="array" ref="L134">IF(COUNTIF('Raw Annual DMR Data'!$L:$L,$F134)&gt;0,MEDIAN(IF('Raw Annual DMR Data'!$L:$L=F134,'Raw Annual DMR Data'!$S:$S)),"N/A - Facility Does Not Report DMRs")</f>
        <v>0.30441761153624952</v>
      </c>
      <c r="M134" s="156">
        <f t="shared" si="18"/>
        <v>1.217670446144998E-3</v>
      </c>
      <c r="N134" s="156">
        <f>IF(COUNTIF('Raw Annual DMR Data'!$L:$L,$F134)&gt;0,_xlfn.MAXIFS('Raw Annual DMR Data'!$S:$S,'Raw Annual DMR Data'!$L:$L,$F134), "N/A - Facility Does Not Report DMRs")</f>
        <v>0.60161238705749898</v>
      </c>
      <c r="O134" s="156">
        <f t="shared" si="19"/>
        <v>2.4064495482299959E-3</v>
      </c>
      <c r="P134" s="113" cm="1">
        <f t="array" ref="P134">IF(COUNTIF('Raw Annual DMR Data'!$L:$L,$F134)&gt;0,INDEX('Raw Annual DMR Data'!$B:$B,MATCH(1,($F134='Raw Annual DMR Data'!$L:$L)*($N134='Raw Annual DMR Data'!$S:$S),0)), "N/A - Facility Does Not Report DMRs")</f>
        <v>2019</v>
      </c>
      <c r="Q134" s="304" t="str" cm="1">
        <f t="array" ref="Q134">IF(COUNTIF('Raw TRI Data'!$J:$J,$E134)&gt;0,MEDIAN(IF('Raw TRI Data'!$J:$J=E134,'Raw TRI Data'!$S:$S)), "N/A - Facility Does Not Report to TRI")</f>
        <v>N/A - Facility Does Not Report to TRI</v>
      </c>
      <c r="R134" s="156" t="str">
        <f t="shared" si="16"/>
        <v>N/A - Facility Does Not Report to TRI</v>
      </c>
      <c r="S134" s="156" t="str">
        <f>IF(COUNTIF('Raw TRI Data'!$J:$J,$E134)&gt;0,_xlfn.MAXIFS('Raw TRI Data'!$S:$S,'Raw TRI Data'!$J:$J,$E134), "N/A - Facility Does Not Report to TRI")</f>
        <v>N/A - Facility Does Not Report to TRI</v>
      </c>
      <c r="T134" s="156" t="str">
        <f t="shared" si="17"/>
        <v>N/A - Facility Does Not Report to TRI</v>
      </c>
      <c r="U134" s="136" t="str" cm="1">
        <f t="array" ref="U134">IF(COUNTIF('Raw TRI Data'!$J:$J,$E134)&gt;0,INDEX('Raw TRI Data'!$A:$A,MATCH(1,($E134='Raw TRI Data'!$J:$J)*(S134='Raw TRI Data'!$S:$S),0)), "N/A - Facility Does Not Report to TRI")</f>
        <v>N/A - Facility Does Not Report to TRI</v>
      </c>
      <c r="V134" s="156" t="str" cm="1">
        <f t="array" ref="V134">IF(COUNTIFS('Raw Annual DMR Data'!$L:$L,$F134,'Raw Annual DMR Data'!$U:$U,"&gt;0")&gt;0,MEDIAN(IF('Raw Annual DMR Data'!$L:$L=$F134,'Raw Annual DMR Data'!$U:$U,"")),"N/A - Period DMR Data Not Available")</f>
        <v>N/A - Period DMR Data Not Available</v>
      </c>
      <c r="W134" s="156" t="str">
        <f>IF(COUNTIFS('Raw Annual DMR Data'!$L:$L,$F134, 'Raw Annual DMR Data'!$U:$U, "&gt;0")&gt;0,_xlfn.MAXIFS('Raw Annual DMR Data'!$U:$U,'Raw Annual DMR Data'!$L:$L,$F134), "N/A - Period DMR Data Not Available")</f>
        <v>N/A - Period DMR Data Not Available</v>
      </c>
      <c r="X134" s="113" t="str" cm="1">
        <f t="array" ref="X134">+IF(COUNTIFS('Raw Annual DMR Data'!L:L,$F134, 'Raw Annual DMR Data'!U:U, "&gt;0")&gt;0,INDEX('Raw Annual DMR Data'!V:V,MATCH(1,($F134='Raw Annual DMR Data'!L:L)*($W134='Raw Annual DMR Data'!U:U),0)), "N/A - Period DMR Data Not Available")</f>
        <v>N/A - Period DMR Data Not Available</v>
      </c>
      <c r="Y134" s="113" t="str" cm="1">
        <f t="array" ref="Y134">IF(COUNTIFS('Raw Annual DMR Data'!L:L,$F134, 'Raw Annual DMR Data'!U:U, "&gt;0")&gt;0,INDEX('Raw Annual DMR Data'!B:B,MATCH(1,($F134='Raw Annual DMR Data'!L:L)*($W134='Raw Annual DMR Data'!U:U),0)), "N/A - Period DMR Data Not Available")</f>
        <v>N/A - Period DMR Data Not Available</v>
      </c>
      <c r="Z134" s="311" t="str" cm="1">
        <f t="array" ref="Z134">IF(COUNTIF('Raw Annual DMR Data'!K:K,$E134)&gt;0,"N/A - See DMRs",IF(SUMIFS('Raw TRI Data'!$Z:$Z,'Raw TRI Data'!$J:$J,$E134)&gt;0,MEDIAN(IF('Raw TRI Data'!$J:$J=$E134,'Raw TRI Data'!$Z:$Z)), "N/A - Facility Does Not Report to TRI, no surface water releases, or no Generic Factors available"))</f>
        <v>N/A - Facility Does Not Report to TRI, no surface water releases, or no Generic Factors available</v>
      </c>
      <c r="AA134" s="156" t="str">
        <f>IF(COUNTIF('Raw Annual DMR Data'!K:K,$E134)&gt;0,"N/A - See DMRs",IF(SUMIFS('Raw TRI Data'!$Z:$Z,'Raw TRI Data'!$J:$J,$E134)&gt;0,_xlfn.MAXIFS('Raw TRI Data'!$Z:$Z,'Raw TRI Data'!$J:$J,$E134), "N/A - Facility Does Not Report to TRI, no surface water releases, or no Generic Factors available"))</f>
        <v>N/A - Facility Does Not Report to TRI, no surface water releases, or no Generic Factors available</v>
      </c>
      <c r="AB134" s="113" t="str">
        <f t="shared" si="20"/>
        <v>N/A</v>
      </c>
      <c r="AC134" s="136" t="str" cm="1">
        <f t="array" ref="AC134">IF(COUNTIF('Raw Annual DMR Data'!K:K,$E134)&gt;0,"N/A - See DMRs",IF(SUMIFS('Raw TRI Data'!$Z:$Z,'Raw TRI Data'!$J:$J,$E134)&gt;0,INDEX('Raw TRI Data'!$A:$A,MATCH(1,($E134='Raw TRI Data'!$J:$J)*($AA134='Raw TRI Data'!$Z:$Z),0)), "N/A - Facility Does Not Report to TRI, no surface water releases, or no Generic Factors available"))</f>
        <v>N/A - Facility Does Not Report to TRI, no surface water releases, or no Generic Factors available</v>
      </c>
      <c r="AD134" s="96" t="str" cm="1">
        <f t="array" ref="AD134">IF(COUNTIFS('Raw Annual DMR Data'!L:L,$F134,'Raw Annual DMR Data'!W:W, "&gt;0")&gt;0,MEDIAN(IF('Raw Annual DMR Data'!K:K=$F134, 'Raw Annual DMR Data'!W:W)), "N/A - No Daily Max DMR Discharge Data")</f>
        <v>N/A - No Daily Max DMR Discharge Data</v>
      </c>
      <c r="AE134" s="96" t="str">
        <f>IF(COUNTIFS('Raw Annual DMR Data'!L:L,$F134,'Raw Annual DMR Data'!W:W, "&gt;0")&gt;0,_xlfn.MAXIFS('Raw Annual DMR Data'!W:W,'Raw Annual DMR Data'!L:L,$F134), "N/A - No Daily Max DMR Discharge Data")</f>
        <v>N/A - No Daily Max DMR Discharge Data</v>
      </c>
      <c r="AF134" s="60" t="str" cm="1">
        <f t="array" ref="AF134">IF(COUNTIFS('Raw Annual DMR Data'!L:L,$F134,'Raw Annual DMR Data'!W:W, "&gt;0")&gt;0,INDEX('Raw Annual DMR Data'!B:B,MATCH(1,($F134='Raw Annual DMR Data'!L:L)*($AE134='Raw Annual DMR Data'!W:W),0)), "N/A - No Daily Max DMR Discharge Data")</f>
        <v>N/A - No Daily Max DMR Discharge Data</v>
      </c>
    </row>
    <row r="135" spans="1:32" ht="45.75" thickBot="1" x14ac:dyDescent="0.3">
      <c r="A135" s="144" t="str">
        <f>VLOOKUP(F135,'Facility Summary'!J:K,2,FALSE)</f>
        <v>POTW</v>
      </c>
      <c r="B135" s="28" t="s">
        <v>970</v>
      </c>
      <c r="C135" s="28" t="s">
        <v>962</v>
      </c>
      <c r="D135" s="28" t="s">
        <v>374</v>
      </c>
      <c r="E135" s="28"/>
      <c r="F135" s="61">
        <v>110015943559</v>
      </c>
      <c r="G135" s="60" t="str">
        <f>VLOOKUP($F135, 'Raw Annual DMR Data'!$A:$Z, 24, FALSE)</f>
        <v>AZ0025429</v>
      </c>
      <c r="H135" s="60">
        <f>VLOOKUP($F135, 'Raw Annual DMR Data'!$A:$Z, 25, FALSE)</f>
        <v>0</v>
      </c>
      <c r="I135" s="74">
        <f>VLOOKUP($F135, 'Raw Annual DMR Data'!$A:$Z, 26, FALSE)</f>
        <v>15070104000290</v>
      </c>
      <c r="J135" s="74" t="s">
        <v>265</v>
      </c>
      <c r="K135" s="60">
        <f>VLOOKUP(A135, 'OES Summary'!$A:$B, 2, FALSE)</f>
        <v>365</v>
      </c>
      <c r="L135" s="304" cm="1">
        <f t="array" ref="L135">IF(COUNTIF('Raw Annual DMR Data'!$L:$L,$F135)&gt;0,MEDIAN(IF('Raw Annual DMR Data'!$L:$L=F135,'Raw Annual DMR Data'!$S:$S)),"N/A - Facility Does Not Report DMRs")</f>
        <v>0.40510855000000001</v>
      </c>
      <c r="M135" s="156">
        <f t="shared" si="18"/>
        <v>1.1098864383561643E-3</v>
      </c>
      <c r="N135" s="156">
        <f>IF(COUNTIF('Raw Annual DMR Data'!$L:$L,$F135)&gt;0,_xlfn.MAXIFS('Raw Annual DMR Data'!$S:$S,'Raw Annual DMR Data'!$L:$L,$F135), "N/A - Facility Does Not Report DMRs")</f>
        <v>0.40510855000000001</v>
      </c>
      <c r="O135" s="156">
        <f t="shared" si="19"/>
        <v>1.1098864383561643E-3</v>
      </c>
      <c r="P135" s="113" cm="1">
        <f t="array" ref="P135">IF(COUNTIF('Raw Annual DMR Data'!$L:$L,$F135)&gt;0,INDEX('Raw Annual DMR Data'!$B:$B,MATCH(1,($F135='Raw Annual DMR Data'!$L:$L)*($N135='Raw Annual DMR Data'!$S:$S),0)), "N/A - Facility Does Not Report DMRs")</f>
        <v>2016</v>
      </c>
      <c r="Q135" s="304" t="str" cm="1">
        <f t="array" ref="Q135">IF(COUNTIF('Raw TRI Data'!$J:$J,$E135)&gt;0,MEDIAN(IF('Raw TRI Data'!$J:$J=E135,'Raw TRI Data'!$S:$S)), "N/A - Facility Does Not Report to TRI")</f>
        <v>N/A - Facility Does Not Report to TRI</v>
      </c>
      <c r="R135" s="156" t="str">
        <f t="shared" si="16"/>
        <v>N/A - Facility Does Not Report to TRI</v>
      </c>
      <c r="S135" s="156" t="str">
        <f>IF(COUNTIF('Raw TRI Data'!$J:$J,$E135)&gt;0,_xlfn.MAXIFS('Raw TRI Data'!$S:$S,'Raw TRI Data'!$J:$J,$E135), "N/A - Facility Does Not Report to TRI")</f>
        <v>N/A - Facility Does Not Report to TRI</v>
      </c>
      <c r="T135" s="156" t="str">
        <f t="shared" si="17"/>
        <v>N/A - Facility Does Not Report to TRI</v>
      </c>
      <c r="U135" s="136" t="str" cm="1">
        <f t="array" ref="U135">IF(COUNTIF('Raw TRI Data'!$J:$J,$E135)&gt;0,INDEX('Raw TRI Data'!$A:$A,MATCH(1,($E135='Raw TRI Data'!$J:$J)*(S135='Raw TRI Data'!$S:$S),0)), "N/A - Facility Does Not Report to TRI")</f>
        <v>N/A - Facility Does Not Report to TRI</v>
      </c>
      <c r="V135" s="156" t="str" cm="1">
        <f t="array" ref="V135">IF(COUNTIFS('Raw Annual DMR Data'!$L:$L,$F135,'Raw Annual DMR Data'!$U:$U,"&gt;0")&gt;0,MEDIAN(IF('Raw Annual DMR Data'!$L:$L=$F135,'Raw Annual DMR Data'!$U:$U,"")),"N/A - Period DMR Data Not Available")</f>
        <v>N/A - Period DMR Data Not Available</v>
      </c>
      <c r="W135" s="156" t="str">
        <f>IF(COUNTIFS('Raw Annual DMR Data'!$L:$L,$F135, 'Raw Annual DMR Data'!$U:$U, "&gt;0")&gt;0,_xlfn.MAXIFS('Raw Annual DMR Data'!$U:$U,'Raw Annual DMR Data'!$L:$L,$F135), "N/A - Period DMR Data Not Available")</f>
        <v>N/A - Period DMR Data Not Available</v>
      </c>
      <c r="X135" s="113" t="str" cm="1">
        <f t="array" ref="X135">+IF(COUNTIFS('Raw Annual DMR Data'!L:L,$F135, 'Raw Annual DMR Data'!U:U, "&gt;0")&gt;0,INDEX('Raw Annual DMR Data'!V:V,MATCH(1,($F135='Raw Annual DMR Data'!L:L)*($W135='Raw Annual DMR Data'!U:U),0)), "N/A - Period DMR Data Not Available")</f>
        <v>N/A - Period DMR Data Not Available</v>
      </c>
      <c r="Y135" s="113" t="str" cm="1">
        <f t="array" ref="Y135">IF(COUNTIFS('Raw Annual DMR Data'!L:L,$F135, 'Raw Annual DMR Data'!U:U, "&gt;0")&gt;0,INDEX('Raw Annual DMR Data'!B:B,MATCH(1,($F135='Raw Annual DMR Data'!L:L)*($W135='Raw Annual DMR Data'!U:U),0)), "N/A - Period DMR Data Not Available")</f>
        <v>N/A - Period DMR Data Not Available</v>
      </c>
      <c r="Z135" s="311" t="str" cm="1">
        <f t="array" ref="Z135">IF(COUNTIF('Raw Annual DMR Data'!K:K,$E135)&gt;0,"N/A - See DMRs",IF(SUMIFS('Raw TRI Data'!$Z:$Z,'Raw TRI Data'!$J:$J,$E135)&gt;0,MEDIAN(IF('Raw TRI Data'!$J:$J=$E135,'Raw TRI Data'!$Z:$Z)), "N/A - Facility Does Not Report to TRI, no surface water releases, or no Generic Factors available"))</f>
        <v>N/A - Facility Does Not Report to TRI, no surface water releases, or no Generic Factors available</v>
      </c>
      <c r="AA135" s="156" t="str">
        <f>IF(COUNTIF('Raw Annual DMR Data'!K:K,$E135)&gt;0,"N/A - See DMRs",IF(SUMIFS('Raw TRI Data'!$Z:$Z,'Raw TRI Data'!$J:$J,$E135)&gt;0,_xlfn.MAXIFS('Raw TRI Data'!$Z:$Z,'Raw TRI Data'!$J:$J,$E135), "N/A - Facility Does Not Report to TRI, no surface water releases, or no Generic Factors available"))</f>
        <v>N/A - Facility Does Not Report to TRI, no surface water releases, or no Generic Factors available</v>
      </c>
      <c r="AB135" s="113" t="str">
        <f t="shared" si="20"/>
        <v>N/A</v>
      </c>
      <c r="AC135" s="136" t="str" cm="1">
        <f t="array" ref="AC135">IF(COUNTIF('Raw Annual DMR Data'!K:K,$E135)&gt;0,"N/A - See DMRs",IF(SUMIFS('Raw TRI Data'!$Z:$Z,'Raw TRI Data'!$J:$J,$E135)&gt;0,INDEX('Raw TRI Data'!$A:$A,MATCH(1,($E135='Raw TRI Data'!$J:$J)*($AA135='Raw TRI Data'!$Z:$Z),0)), "N/A - Facility Does Not Report to TRI, no surface water releases, or no Generic Factors available"))</f>
        <v>N/A - Facility Does Not Report to TRI, no surface water releases, or no Generic Factors available</v>
      </c>
      <c r="AD135" s="96" t="str" cm="1">
        <f t="array" ref="AD135">IF(COUNTIFS('Raw Annual DMR Data'!L:L,$F135,'Raw Annual DMR Data'!W:W, "&gt;0")&gt;0,MEDIAN(IF('Raw Annual DMR Data'!K:K=$F135, 'Raw Annual DMR Data'!W:W)), "N/A - No Daily Max DMR Discharge Data")</f>
        <v>N/A - No Daily Max DMR Discharge Data</v>
      </c>
      <c r="AE135" s="96" t="str">
        <f>IF(COUNTIFS('Raw Annual DMR Data'!L:L,$F135,'Raw Annual DMR Data'!W:W, "&gt;0")&gt;0,_xlfn.MAXIFS('Raw Annual DMR Data'!W:W,'Raw Annual DMR Data'!L:L,$F135), "N/A - No Daily Max DMR Discharge Data")</f>
        <v>N/A - No Daily Max DMR Discharge Data</v>
      </c>
      <c r="AF135" s="60" t="str" cm="1">
        <f t="array" ref="AF135">IF(COUNTIFS('Raw Annual DMR Data'!L:L,$F135,'Raw Annual DMR Data'!W:W, "&gt;0")&gt;0,INDEX('Raw Annual DMR Data'!B:B,MATCH(1,($F135='Raw Annual DMR Data'!L:L)*($AE135='Raw Annual DMR Data'!W:W),0)), "N/A - No Daily Max DMR Discharge Data")</f>
        <v>N/A - No Daily Max DMR Discharge Data</v>
      </c>
    </row>
    <row r="136" spans="1:32" ht="45.75" thickBot="1" x14ac:dyDescent="0.3">
      <c r="A136" s="144" t="str">
        <f>VLOOKUP(F136,'Facility Summary'!J:K,2,FALSE)</f>
        <v>POTW</v>
      </c>
      <c r="B136" s="28" t="s">
        <v>971</v>
      </c>
      <c r="C136" s="28" t="s">
        <v>972</v>
      </c>
      <c r="D136" s="28" t="s">
        <v>374</v>
      </c>
      <c r="E136" s="28"/>
      <c r="F136" s="61">
        <v>110010062314</v>
      </c>
      <c r="G136" s="60" t="str">
        <f>VLOOKUP($F136, 'Raw Annual DMR Data'!$A:$Z, 24, FALSE)</f>
        <v>AZ0023931</v>
      </c>
      <c r="H136" s="60">
        <f>VLOOKUP($F136, 'Raw Annual DMR Data'!$A:$Z, 25, FALSE)</f>
        <v>0</v>
      </c>
      <c r="I136" s="74">
        <f>VLOOKUP($F136, 'Raw Annual DMR Data'!$A:$Z, 26, FALSE)</f>
        <v>15070102000561</v>
      </c>
      <c r="J136" s="74" t="s">
        <v>265</v>
      </c>
      <c r="K136" s="60">
        <f>VLOOKUP(A136, 'OES Summary'!$A:$B, 2, FALSE)</f>
        <v>365</v>
      </c>
      <c r="L136" s="304" cm="1">
        <f t="array" ref="L136">IF(COUNTIF('Raw Annual DMR Data'!$L:$L,$F136)&gt;0,MEDIAN(IF('Raw Annual DMR Data'!$L:$L=F136,'Raw Annual DMR Data'!$S:$S)),"N/A - Facility Does Not Report DMRs")</f>
        <v>0.22698455749999999</v>
      </c>
      <c r="M136" s="156">
        <f t="shared" si="18"/>
        <v>6.2187549999999999E-4</v>
      </c>
      <c r="N136" s="156">
        <f>IF(COUNTIF('Raw Annual DMR Data'!$L:$L,$F136)&gt;0,_xlfn.MAXIFS('Raw Annual DMR Data'!$S:$S,'Raw Annual DMR Data'!$L:$L,$F136), "N/A - Facility Does Not Report DMRs")</f>
        <v>0.24411546749999999</v>
      </c>
      <c r="O136" s="156">
        <f t="shared" si="19"/>
        <v>6.6880949999999998E-4</v>
      </c>
      <c r="P136" s="113" cm="1">
        <f t="array" ref="P136">IF(COUNTIF('Raw Annual DMR Data'!$L:$L,$F136)&gt;0,INDEX('Raw Annual DMR Data'!$B:$B,MATCH(1,($F136='Raw Annual DMR Data'!$L:$L)*($N136='Raw Annual DMR Data'!$S:$S),0)), "N/A - Facility Does Not Report DMRs")</f>
        <v>2017</v>
      </c>
      <c r="Q136" s="304" t="str" cm="1">
        <f t="array" ref="Q136">IF(COUNTIF('Raw TRI Data'!$J:$J,$E136)&gt;0,MEDIAN(IF('Raw TRI Data'!$J:$J=E136,'Raw TRI Data'!$S:$S)), "N/A - Facility Does Not Report to TRI")</f>
        <v>N/A - Facility Does Not Report to TRI</v>
      </c>
      <c r="R136" s="156" t="str">
        <f t="shared" si="16"/>
        <v>N/A - Facility Does Not Report to TRI</v>
      </c>
      <c r="S136" s="156" t="str">
        <f>IF(COUNTIF('Raw TRI Data'!$J:$J,$E136)&gt;0,_xlfn.MAXIFS('Raw TRI Data'!$S:$S,'Raw TRI Data'!$J:$J,$E136), "N/A - Facility Does Not Report to TRI")</f>
        <v>N/A - Facility Does Not Report to TRI</v>
      </c>
      <c r="T136" s="156" t="str">
        <f t="shared" si="17"/>
        <v>N/A - Facility Does Not Report to TRI</v>
      </c>
      <c r="U136" s="136" t="str" cm="1">
        <f t="array" ref="U136">IF(COUNTIF('Raw TRI Data'!$J:$J,$E136)&gt;0,INDEX('Raw TRI Data'!$A:$A,MATCH(1,($E136='Raw TRI Data'!$J:$J)*(S136='Raw TRI Data'!$S:$S),0)), "N/A - Facility Does Not Report to TRI")</f>
        <v>N/A - Facility Does Not Report to TRI</v>
      </c>
      <c r="V136" s="156" t="str" cm="1">
        <f t="array" ref="V136">IF(COUNTIFS('Raw Annual DMR Data'!$L:$L,$F136,'Raw Annual DMR Data'!$U:$U,"&gt;0")&gt;0,MEDIAN(IF('Raw Annual DMR Data'!$L:$L=$F136,'Raw Annual DMR Data'!$U:$U,"")),"N/A - Period DMR Data Not Available")</f>
        <v>N/A - Period DMR Data Not Available</v>
      </c>
      <c r="W136" s="156" t="str">
        <f>IF(COUNTIFS('Raw Annual DMR Data'!$L:$L,$F136, 'Raw Annual DMR Data'!$U:$U, "&gt;0")&gt;0,_xlfn.MAXIFS('Raw Annual DMR Data'!$U:$U,'Raw Annual DMR Data'!$L:$L,$F136), "N/A - Period DMR Data Not Available")</f>
        <v>N/A - Period DMR Data Not Available</v>
      </c>
      <c r="X136" s="113" t="str" cm="1">
        <f t="array" ref="X136">+IF(COUNTIFS('Raw Annual DMR Data'!L:L,$F136, 'Raw Annual DMR Data'!U:U, "&gt;0")&gt;0,INDEX('Raw Annual DMR Data'!V:V,MATCH(1,($F136='Raw Annual DMR Data'!L:L)*($W136='Raw Annual DMR Data'!U:U),0)), "N/A - Period DMR Data Not Available")</f>
        <v>N/A - Period DMR Data Not Available</v>
      </c>
      <c r="Y136" s="113" t="str" cm="1">
        <f t="array" ref="Y136">IF(COUNTIFS('Raw Annual DMR Data'!L:L,$F136, 'Raw Annual DMR Data'!U:U, "&gt;0")&gt;0,INDEX('Raw Annual DMR Data'!B:B,MATCH(1,($F136='Raw Annual DMR Data'!L:L)*($W136='Raw Annual DMR Data'!U:U),0)), "N/A - Period DMR Data Not Available")</f>
        <v>N/A - Period DMR Data Not Available</v>
      </c>
      <c r="Z136" s="311" t="str" cm="1">
        <f t="array" ref="Z136">IF(COUNTIF('Raw Annual DMR Data'!K:K,$E136)&gt;0,"N/A - See DMRs",IF(SUMIFS('Raw TRI Data'!$Z:$Z,'Raw TRI Data'!$J:$J,$E136)&gt;0,MEDIAN(IF('Raw TRI Data'!$J:$J=$E136,'Raw TRI Data'!$Z:$Z)), "N/A - Facility Does Not Report to TRI, no surface water releases, or no Generic Factors available"))</f>
        <v>N/A - Facility Does Not Report to TRI, no surface water releases, or no Generic Factors available</v>
      </c>
      <c r="AA136" s="156" t="str">
        <f>IF(COUNTIF('Raw Annual DMR Data'!K:K,$E136)&gt;0,"N/A - See DMRs",IF(SUMIFS('Raw TRI Data'!$Z:$Z,'Raw TRI Data'!$J:$J,$E136)&gt;0,_xlfn.MAXIFS('Raw TRI Data'!$Z:$Z,'Raw TRI Data'!$J:$J,$E136), "N/A - Facility Does Not Report to TRI, no surface water releases, or no Generic Factors available"))</f>
        <v>N/A - Facility Does Not Report to TRI, no surface water releases, or no Generic Factors available</v>
      </c>
      <c r="AB136" s="113" t="str">
        <f t="shared" si="20"/>
        <v>N/A</v>
      </c>
      <c r="AC136" s="136" t="str" cm="1">
        <f t="array" ref="AC136">IF(COUNTIF('Raw Annual DMR Data'!K:K,$E136)&gt;0,"N/A - See DMRs",IF(SUMIFS('Raw TRI Data'!$Z:$Z,'Raw TRI Data'!$J:$J,$E136)&gt;0,INDEX('Raw TRI Data'!$A:$A,MATCH(1,($E136='Raw TRI Data'!$J:$J)*($AA136='Raw TRI Data'!$Z:$Z),0)), "N/A - Facility Does Not Report to TRI, no surface water releases, or no Generic Factors available"))</f>
        <v>N/A - Facility Does Not Report to TRI, no surface water releases, or no Generic Factors available</v>
      </c>
      <c r="AD136" s="96" t="str" cm="1">
        <f t="array" ref="AD136">IF(COUNTIFS('Raw Annual DMR Data'!L:L,$F136,'Raw Annual DMR Data'!W:W, "&gt;0")&gt;0,MEDIAN(IF('Raw Annual DMR Data'!K:K=$F136, 'Raw Annual DMR Data'!W:W)), "N/A - No Daily Max DMR Discharge Data")</f>
        <v>N/A - No Daily Max DMR Discharge Data</v>
      </c>
      <c r="AE136" s="96" t="str">
        <f>IF(COUNTIFS('Raw Annual DMR Data'!L:L,$F136,'Raw Annual DMR Data'!W:W, "&gt;0")&gt;0,_xlfn.MAXIFS('Raw Annual DMR Data'!W:W,'Raw Annual DMR Data'!L:L,$F136), "N/A - No Daily Max DMR Discharge Data")</f>
        <v>N/A - No Daily Max DMR Discharge Data</v>
      </c>
      <c r="AF136" s="60" t="str" cm="1">
        <f t="array" ref="AF136">IF(COUNTIFS('Raw Annual DMR Data'!L:L,$F136,'Raw Annual DMR Data'!W:W, "&gt;0")&gt;0,INDEX('Raw Annual DMR Data'!B:B,MATCH(1,($F136='Raw Annual DMR Data'!L:L)*($AE136='Raw Annual DMR Data'!W:W),0)), "N/A - No Daily Max DMR Discharge Data")</f>
        <v>N/A - No Daily Max DMR Discharge Data</v>
      </c>
    </row>
    <row r="137" spans="1:32" ht="30.75" thickBot="1" x14ac:dyDescent="0.3">
      <c r="A137" s="144" t="str">
        <f>VLOOKUP(F137,'Facility Summary'!J:K,2,FALSE)</f>
        <v>Unknown</v>
      </c>
      <c r="B137" s="28" t="s">
        <v>973</v>
      </c>
      <c r="C137" s="28" t="s">
        <v>974</v>
      </c>
      <c r="D137" s="28" t="s">
        <v>541</v>
      </c>
      <c r="E137" s="28" t="s">
        <v>698</v>
      </c>
      <c r="F137" s="61">
        <v>110000604490</v>
      </c>
      <c r="G137" s="60" t="str">
        <f>VLOOKUP($F137, 'Raw Annual DMR Data'!$A:$Z, 24, FALSE)</f>
        <v>SC0042803</v>
      </c>
      <c r="H137" s="60" t="str">
        <f>VLOOKUP($F137, 'Raw Annual DMR Data'!$A:$Z, 25, FALSE)</f>
        <v>SAVANNAH RIVER</v>
      </c>
      <c r="I137" s="74">
        <f>VLOOKUP($F137, 'Raw Annual DMR Data'!$A:$Z, 26, FALSE)</f>
        <v>3060106002119</v>
      </c>
      <c r="J137" s="74" t="s">
        <v>265</v>
      </c>
      <c r="K137" s="60">
        <f>VLOOKUP(A137, 'OES Summary'!$A:$B, 2, FALSE)</f>
        <v>250</v>
      </c>
      <c r="L137" s="304" cm="1">
        <f t="array" ref="L137">IF(COUNTIF('Raw Annual DMR Data'!$L:$L,$F137)&gt;0,MEDIAN(IF('Raw Annual DMR Data'!$L:$L=F137,'Raw Annual DMR Data'!$S:$S)),"N/A - Facility Does Not Report DMRs")</f>
        <v>0.82766439909296996</v>
      </c>
      <c r="M137" s="156">
        <f t="shared" si="18"/>
        <v>3.3106575963718797E-3</v>
      </c>
      <c r="N137" s="156">
        <f>IF(COUNTIF('Raw Annual DMR Data'!$L:$L,$F137)&gt;0,_xlfn.MAXIFS('Raw Annual DMR Data'!$S:$S,'Raw Annual DMR Data'!$L:$L,$F137), "N/A - Facility Does Not Report DMRs")</f>
        <v>0.82766439909296996</v>
      </c>
      <c r="O137" s="156">
        <f t="shared" si="19"/>
        <v>3.3106575963718797E-3</v>
      </c>
      <c r="P137" s="113" cm="1">
        <f t="array" ref="P137">IF(COUNTIF('Raw Annual DMR Data'!$L:$L,$F137)&gt;0,INDEX('Raw Annual DMR Data'!$B:$B,MATCH(1,($F137='Raw Annual DMR Data'!$L:$L)*($N137='Raw Annual DMR Data'!$S:$S),0)), "N/A - Facility Does Not Report DMRs")</f>
        <v>2015</v>
      </c>
      <c r="Q137" s="304" t="str" cm="1">
        <f t="array" ref="Q137">IF(COUNTIF('Raw TRI Data'!$J:$J,$E137)&gt;0,MEDIAN(IF('Raw TRI Data'!$J:$J=E137,'Raw TRI Data'!$S:$S)), "N/A - Facility Does Not Report to TRI")</f>
        <v>N/A - Facility Does Not Report to TRI</v>
      </c>
      <c r="R137" s="156" t="str">
        <f t="shared" si="16"/>
        <v>N/A - Facility Does Not Report to TRI</v>
      </c>
      <c r="S137" s="156" t="str">
        <f>IF(COUNTIF('Raw TRI Data'!$J:$J,$E137)&gt;0,_xlfn.MAXIFS('Raw TRI Data'!$S:$S,'Raw TRI Data'!$J:$J,$E137), "N/A - Facility Does Not Report to TRI")</f>
        <v>N/A - Facility Does Not Report to TRI</v>
      </c>
      <c r="T137" s="156" t="str">
        <f t="shared" si="17"/>
        <v>N/A - Facility Does Not Report to TRI</v>
      </c>
      <c r="U137" s="136" t="str" cm="1">
        <f t="array" ref="U137">IF(COUNTIF('Raw TRI Data'!$J:$J,$E137)&gt;0,INDEX('Raw TRI Data'!$A:$A,MATCH(1,($E137='Raw TRI Data'!$J:$J)*(S137='Raw TRI Data'!$S:$S),0)), "N/A - Facility Does Not Report to TRI")</f>
        <v>N/A - Facility Does Not Report to TRI</v>
      </c>
      <c r="V137" s="156" t="str" cm="1">
        <f t="array" ref="V137">IF(COUNTIFS('Raw Annual DMR Data'!$L:$L,$F137,'Raw Annual DMR Data'!$U:$U,"&gt;0")&gt;0,MEDIAN(IF('Raw Annual DMR Data'!$L:$L=$F137,'Raw Annual DMR Data'!$U:$U,"")),"N/A - Period DMR Data Not Available")</f>
        <v>N/A - Period DMR Data Not Available</v>
      </c>
      <c r="W137" s="156" t="str">
        <f>IF(COUNTIFS('Raw Annual DMR Data'!$L:$L,$F137, 'Raw Annual DMR Data'!$U:$U, "&gt;0")&gt;0,_xlfn.MAXIFS('Raw Annual DMR Data'!$U:$U,'Raw Annual DMR Data'!$L:$L,$F137), "N/A - Period DMR Data Not Available")</f>
        <v>N/A - Period DMR Data Not Available</v>
      </c>
      <c r="X137" s="113" t="str" cm="1">
        <f t="array" ref="X137">+IF(COUNTIFS('Raw Annual DMR Data'!L:L,$F137, 'Raw Annual DMR Data'!U:U, "&gt;0")&gt;0,INDEX('Raw Annual DMR Data'!V:V,MATCH(1,($F137='Raw Annual DMR Data'!L:L)*($W137='Raw Annual DMR Data'!U:U),0)), "N/A - Period DMR Data Not Available")</f>
        <v>N/A - Period DMR Data Not Available</v>
      </c>
      <c r="Y137" s="113" t="str" cm="1">
        <f t="array" ref="Y137">IF(COUNTIFS('Raw Annual DMR Data'!L:L,$F137, 'Raw Annual DMR Data'!U:U, "&gt;0")&gt;0,INDEX('Raw Annual DMR Data'!B:B,MATCH(1,($F137='Raw Annual DMR Data'!L:L)*($W137='Raw Annual DMR Data'!U:U),0)), "N/A - Period DMR Data Not Available")</f>
        <v>N/A - Period DMR Data Not Available</v>
      </c>
      <c r="Z137" s="311" t="str" cm="1">
        <f t="array" ref="Z137">IF(COUNTIF('Raw Annual DMR Data'!K:K,$E137)&gt;0,"N/A - See DMRs",IF(SUMIFS('Raw TRI Data'!$Z:$Z,'Raw TRI Data'!$J:$J,$E137)&gt;0,MEDIAN(IF('Raw TRI Data'!$J:$J=$E137,'Raw TRI Data'!$Z:$Z)), "N/A - Facility Does Not Report to TRI, no surface water releases, or no Generic Factors available"))</f>
        <v>N/A - See DMRs</v>
      </c>
      <c r="AA137" s="156" t="str">
        <f>IF(COUNTIF('Raw Annual DMR Data'!K:K,$E137)&gt;0,"N/A - See DMRs",IF(SUMIFS('Raw TRI Data'!$Z:$Z,'Raw TRI Data'!$J:$J,$E137)&gt;0,_xlfn.MAXIFS('Raw TRI Data'!$Z:$Z,'Raw TRI Data'!$J:$J,$E137), "N/A - Facility Does Not Report to TRI, no surface water releases, or no Generic Factors available"))</f>
        <v>N/A - See DMRs</v>
      </c>
      <c r="AB137" s="113" t="str">
        <f t="shared" si="20"/>
        <v>N/A</v>
      </c>
      <c r="AC137" s="136" t="str" cm="1">
        <f t="array" ref="AC137">IF(COUNTIF('Raw Annual DMR Data'!K:K,$E137)&gt;0,"N/A - See DMRs",IF(SUMIFS('Raw TRI Data'!$Z:$Z,'Raw TRI Data'!$J:$J,$E137)&gt;0,INDEX('Raw TRI Data'!$A:$A,MATCH(1,($E137='Raw TRI Data'!$J:$J)*($AA137='Raw TRI Data'!$Z:$Z),0)), "N/A - Facility Does Not Report to TRI, no surface water releases, or no Generic Factors available"))</f>
        <v>N/A - See DMRs</v>
      </c>
      <c r="AD137" s="96" t="str" cm="1">
        <f t="array" ref="AD137">IF(COUNTIFS('Raw Annual DMR Data'!L:L,$F137,'Raw Annual DMR Data'!W:W, "&gt;0")&gt;0,MEDIAN(IF('Raw Annual DMR Data'!K:K=$F137, 'Raw Annual DMR Data'!W:W)), "N/A - No Daily Max DMR Discharge Data")</f>
        <v>N/A - No Daily Max DMR Discharge Data</v>
      </c>
      <c r="AE137" s="96" t="str">
        <f>IF(COUNTIFS('Raw Annual DMR Data'!L:L,$F137,'Raw Annual DMR Data'!W:W, "&gt;0")&gt;0,_xlfn.MAXIFS('Raw Annual DMR Data'!W:W,'Raw Annual DMR Data'!L:L,$F137), "N/A - No Daily Max DMR Discharge Data")</f>
        <v>N/A - No Daily Max DMR Discharge Data</v>
      </c>
      <c r="AF137" s="60" t="str" cm="1">
        <f t="array" ref="AF137">IF(COUNTIFS('Raw Annual DMR Data'!L:L,$F137,'Raw Annual DMR Data'!W:W, "&gt;0")&gt;0,INDEX('Raw Annual DMR Data'!B:B,MATCH(1,($F137='Raw Annual DMR Data'!L:L)*($AE137='Raw Annual DMR Data'!W:W),0)), "N/A - No Daily Max DMR Discharge Data")</f>
        <v>N/A - No Daily Max DMR Discharge Data</v>
      </c>
    </row>
    <row r="138" spans="1:32" ht="30.75" thickBot="1" x14ac:dyDescent="0.3">
      <c r="A138" s="144" t="str">
        <f>VLOOKUP(F138,'Facility Summary'!J:K,2,FALSE)</f>
        <v>Unknown</v>
      </c>
      <c r="B138" s="28" t="s">
        <v>975</v>
      </c>
      <c r="C138" s="28" t="s">
        <v>976</v>
      </c>
      <c r="D138" s="28" t="s">
        <v>303</v>
      </c>
      <c r="E138" s="28" t="s">
        <v>699</v>
      </c>
      <c r="F138" s="61">
        <v>110000597596</v>
      </c>
      <c r="G138" s="60" t="str">
        <f>VLOOKUP($F138, 'Raw Annual DMR Data'!$A:$Z, 24, FALSE)</f>
        <v>LA0007501</v>
      </c>
      <c r="H138" s="60" t="str">
        <f>VLOOKUP($F138, 'Raw Annual DMR Data'!$A:$Z, 25, FALSE)</f>
        <v>SEG 081402_OUACHITA RIVER BASIN</v>
      </c>
      <c r="I138" s="74">
        <f>VLOOKUP($F138, 'Raw Annual DMR Data'!$A:$Z, 26, FALSE)</f>
        <v>8040303000231</v>
      </c>
      <c r="J138" s="74" t="s">
        <v>265</v>
      </c>
      <c r="K138" s="60">
        <f>VLOOKUP(A138, 'OES Summary'!$A:$B, 2, FALSE)</f>
        <v>250</v>
      </c>
      <c r="L138" s="304" cm="1">
        <f t="array" ref="L138">IF(COUNTIF('Raw Annual DMR Data'!$L:$L,$F138)&gt;0,MEDIAN(IF('Raw Annual DMR Data'!$L:$L=F138,'Raw Annual DMR Data'!$S:$S)),"N/A - Facility Does Not Report DMRs")</f>
        <v>0.29795918367346902</v>
      </c>
      <c r="M138" s="156">
        <f t="shared" si="18"/>
        <v>1.191836734693876E-3</v>
      </c>
      <c r="N138" s="156">
        <f>IF(COUNTIF('Raw Annual DMR Data'!$L:$L,$F138)&gt;0,_xlfn.MAXIFS('Raw Annual DMR Data'!$S:$S,'Raw Annual DMR Data'!$L:$L,$F138), "N/A - Facility Does Not Report DMRs")</f>
        <v>0.29795918367346902</v>
      </c>
      <c r="O138" s="156">
        <f t="shared" si="19"/>
        <v>1.191836734693876E-3</v>
      </c>
      <c r="P138" s="113" cm="1">
        <f t="array" ref="P138">IF(COUNTIF('Raw Annual DMR Data'!$L:$L,$F138)&gt;0,INDEX('Raw Annual DMR Data'!$B:$B,MATCH(1,($F138='Raw Annual DMR Data'!$L:$L)*($N138='Raw Annual DMR Data'!$S:$S),0)), "N/A - Facility Does Not Report DMRs")</f>
        <v>2015</v>
      </c>
      <c r="Q138" s="304" t="str" cm="1">
        <f t="array" ref="Q138">IF(COUNTIF('Raw TRI Data'!$J:$J,$E138)&gt;0,MEDIAN(IF('Raw TRI Data'!$J:$J=E138,'Raw TRI Data'!$S:$S)), "N/A - Facility Does Not Report to TRI")</f>
        <v>N/A - Facility Does Not Report to TRI</v>
      </c>
      <c r="R138" s="156" t="str">
        <f t="shared" si="16"/>
        <v>N/A - Facility Does Not Report to TRI</v>
      </c>
      <c r="S138" s="156" t="str">
        <f>IF(COUNTIF('Raw TRI Data'!$J:$J,$E138)&gt;0,_xlfn.MAXIFS('Raw TRI Data'!$S:$S,'Raw TRI Data'!$J:$J,$E138), "N/A - Facility Does Not Report to TRI")</f>
        <v>N/A - Facility Does Not Report to TRI</v>
      </c>
      <c r="T138" s="156" t="str">
        <f t="shared" si="17"/>
        <v>N/A - Facility Does Not Report to TRI</v>
      </c>
      <c r="U138" s="136" t="str" cm="1">
        <f t="array" ref="U138">IF(COUNTIF('Raw TRI Data'!$J:$J,$E138)&gt;0,INDEX('Raw TRI Data'!$A:$A,MATCH(1,($E138='Raw TRI Data'!$J:$J)*(S138='Raw TRI Data'!$S:$S),0)), "N/A - Facility Does Not Report to TRI")</f>
        <v>N/A - Facility Does Not Report to TRI</v>
      </c>
      <c r="V138" s="156" t="str" cm="1">
        <f t="array" ref="V138">IF(COUNTIFS('Raw Annual DMR Data'!$L:$L,$F138,'Raw Annual DMR Data'!$U:$U,"&gt;0")&gt;0,MEDIAN(IF('Raw Annual DMR Data'!$L:$L=$F138,'Raw Annual DMR Data'!$U:$U,"")),"N/A - Period DMR Data Not Available")</f>
        <v>N/A - Period DMR Data Not Available</v>
      </c>
      <c r="W138" s="156" t="str">
        <f>IF(COUNTIFS('Raw Annual DMR Data'!$L:$L,$F138, 'Raw Annual DMR Data'!$U:$U, "&gt;0")&gt;0,_xlfn.MAXIFS('Raw Annual DMR Data'!$U:$U,'Raw Annual DMR Data'!$L:$L,$F138), "N/A - Period DMR Data Not Available")</f>
        <v>N/A - Period DMR Data Not Available</v>
      </c>
      <c r="X138" s="113" t="str" cm="1">
        <f t="array" ref="X138">+IF(COUNTIFS('Raw Annual DMR Data'!L:L,$F138, 'Raw Annual DMR Data'!U:U, "&gt;0")&gt;0,INDEX('Raw Annual DMR Data'!V:V,MATCH(1,($F138='Raw Annual DMR Data'!L:L)*($W138='Raw Annual DMR Data'!U:U),0)), "N/A - Period DMR Data Not Available")</f>
        <v>N/A - Period DMR Data Not Available</v>
      </c>
      <c r="Y138" s="113" t="str" cm="1">
        <f t="array" ref="Y138">IF(COUNTIFS('Raw Annual DMR Data'!L:L,$F138, 'Raw Annual DMR Data'!U:U, "&gt;0")&gt;0,INDEX('Raw Annual DMR Data'!B:B,MATCH(1,($F138='Raw Annual DMR Data'!L:L)*($W138='Raw Annual DMR Data'!U:U),0)), "N/A - Period DMR Data Not Available")</f>
        <v>N/A - Period DMR Data Not Available</v>
      </c>
      <c r="Z138" s="311" t="str" cm="1">
        <f t="array" ref="Z138">IF(COUNTIF('Raw Annual DMR Data'!K:K,$E138)&gt;0,"N/A - See DMRs",IF(SUMIFS('Raw TRI Data'!$Z:$Z,'Raw TRI Data'!$J:$J,$E138)&gt;0,MEDIAN(IF('Raw TRI Data'!$J:$J=$E138,'Raw TRI Data'!$Z:$Z)), "N/A - Facility Does Not Report to TRI, no surface water releases, or no Generic Factors available"))</f>
        <v>N/A - See DMRs</v>
      </c>
      <c r="AA138" s="156" t="str">
        <f>IF(COUNTIF('Raw Annual DMR Data'!K:K,$E138)&gt;0,"N/A - See DMRs",IF(SUMIFS('Raw TRI Data'!$Z:$Z,'Raw TRI Data'!$J:$J,$E138)&gt;0,_xlfn.MAXIFS('Raw TRI Data'!$Z:$Z,'Raw TRI Data'!$J:$J,$E138), "N/A - Facility Does Not Report to TRI, no surface water releases, or no Generic Factors available"))</f>
        <v>N/A - See DMRs</v>
      </c>
      <c r="AB138" s="113" t="str">
        <f t="shared" si="20"/>
        <v>N/A</v>
      </c>
      <c r="AC138" s="136" t="str" cm="1">
        <f t="array" ref="AC138">IF(COUNTIF('Raw Annual DMR Data'!K:K,$E138)&gt;0,"N/A - See DMRs",IF(SUMIFS('Raw TRI Data'!$Z:$Z,'Raw TRI Data'!$J:$J,$E138)&gt;0,INDEX('Raw TRI Data'!$A:$A,MATCH(1,($E138='Raw TRI Data'!$J:$J)*($AA138='Raw TRI Data'!$Z:$Z),0)), "N/A - Facility Does Not Report to TRI, no surface water releases, or no Generic Factors available"))</f>
        <v>N/A - See DMRs</v>
      </c>
      <c r="AD138" s="96" t="str" cm="1">
        <f t="array" ref="AD138">IF(COUNTIFS('Raw Annual DMR Data'!L:L,$F138,'Raw Annual DMR Data'!W:W, "&gt;0")&gt;0,MEDIAN(IF('Raw Annual DMR Data'!K:K=$F138, 'Raw Annual DMR Data'!W:W)), "N/A - No Daily Max DMR Discharge Data")</f>
        <v>N/A - No Daily Max DMR Discharge Data</v>
      </c>
      <c r="AE138" s="96" t="str">
        <f>IF(COUNTIFS('Raw Annual DMR Data'!L:L,$F138,'Raw Annual DMR Data'!W:W, "&gt;0")&gt;0,_xlfn.MAXIFS('Raw Annual DMR Data'!W:W,'Raw Annual DMR Data'!L:L,$F138), "N/A - No Daily Max DMR Discharge Data")</f>
        <v>N/A - No Daily Max DMR Discharge Data</v>
      </c>
      <c r="AF138" s="60" t="str" cm="1">
        <f t="array" ref="AF138">IF(COUNTIFS('Raw Annual DMR Data'!L:L,$F138,'Raw Annual DMR Data'!W:W, "&gt;0")&gt;0,INDEX('Raw Annual DMR Data'!B:B,MATCH(1,($F138='Raw Annual DMR Data'!L:L)*($AE138='Raw Annual DMR Data'!W:W),0)), "N/A - No Daily Max DMR Discharge Data")</f>
        <v>N/A - No Daily Max DMR Discharge Data</v>
      </c>
    </row>
    <row r="139" spans="1:32" ht="45.75" thickBot="1" x14ac:dyDescent="0.3">
      <c r="A139" s="144" t="str">
        <f>VLOOKUP(F139,'Facility Summary'!J:K,2,FALSE)</f>
        <v>Waste Handling, Disposal and Treatment (Landfill)</v>
      </c>
      <c r="B139" s="28" t="s">
        <v>977</v>
      </c>
      <c r="C139" s="28" t="s">
        <v>978</v>
      </c>
      <c r="D139" s="28" t="s">
        <v>979</v>
      </c>
      <c r="E139" s="28" t="s">
        <v>700</v>
      </c>
      <c r="F139" s="61">
        <v>110017413217</v>
      </c>
      <c r="G139" s="60" t="str">
        <f>VLOOKUP($F139, 'Raw Annual DMR Data'!$A:$Z, 24, FALSE)</f>
        <v>TN0003751</v>
      </c>
      <c r="H139" s="60" t="str">
        <f>VLOOKUP($F139, 'Raw Annual DMR Data'!$A:$Z, 25, FALSE)</f>
        <v>BRADLEY CREEK, BRUMALOW CREEK, ELK-UPPER, ROWLAND DITCH, SPRING CREEK</v>
      </c>
      <c r="I139" s="74">
        <f>VLOOKUP($F139, 'Raw Annual DMR Data'!$A:$Z, 26, FALSE)</f>
        <v>6030003000915</v>
      </c>
      <c r="J139" s="74" t="s">
        <v>265</v>
      </c>
      <c r="K139" s="60">
        <f>VLOOKUP(A139, 'OES Summary'!$A:$B, 2, FALSE)</f>
        <v>250</v>
      </c>
      <c r="L139" s="304" cm="1">
        <f t="array" ref="L139">IF(COUNTIF('Raw Annual DMR Data'!$L:$L,$F139)&gt;0,MEDIAN(IF('Raw Annual DMR Data'!$L:$L=F139,'Raw Annual DMR Data'!$S:$S)),"N/A - Facility Does Not Report DMRs")</f>
        <v>12.1396127105</v>
      </c>
      <c r="M139" s="156">
        <f t="shared" si="18"/>
        <v>4.8558450842000001E-2</v>
      </c>
      <c r="N139" s="156">
        <f>IF(COUNTIF('Raw Annual DMR Data'!$L:$L,$F139)&gt;0,_xlfn.MAXIFS('Raw Annual DMR Data'!$S:$S,'Raw Annual DMR Data'!$L:$L,$F139), "N/A - Facility Does Not Report DMRs")</f>
        <v>14.0861662955</v>
      </c>
      <c r="O139" s="156">
        <f t="shared" si="19"/>
        <v>5.6344665182000001E-2</v>
      </c>
      <c r="P139" s="113" cm="1">
        <f t="array" ref="P139">IF(COUNTIF('Raw Annual DMR Data'!$L:$L,$F139)&gt;0,INDEX('Raw Annual DMR Data'!$B:$B,MATCH(1,($F139='Raw Annual DMR Data'!$L:$L)*($N139='Raw Annual DMR Data'!$S:$S),0)), "N/A - Facility Does Not Report DMRs")</f>
        <v>2019</v>
      </c>
      <c r="Q139" s="304" t="str" cm="1">
        <f t="array" ref="Q139">IF(COUNTIF('Raw TRI Data'!$J:$J,$E139)&gt;0,MEDIAN(IF('Raw TRI Data'!$J:$J=E139,'Raw TRI Data'!$S:$S)), "N/A - Facility Does Not Report to TRI")</f>
        <v>N/A - Facility Does Not Report to TRI</v>
      </c>
      <c r="R139" s="156" t="str">
        <f t="shared" si="16"/>
        <v>N/A - Facility Does Not Report to TRI</v>
      </c>
      <c r="S139" s="156" t="str">
        <f>IF(COUNTIF('Raw TRI Data'!$J:$J,$E139)&gt;0,_xlfn.MAXIFS('Raw TRI Data'!$S:$S,'Raw TRI Data'!$J:$J,$E139), "N/A - Facility Does Not Report to TRI")</f>
        <v>N/A - Facility Does Not Report to TRI</v>
      </c>
      <c r="T139" s="156" t="str">
        <f t="shared" si="17"/>
        <v>N/A - Facility Does Not Report to TRI</v>
      </c>
      <c r="U139" s="136" t="str" cm="1">
        <f t="array" ref="U139">IF(COUNTIF('Raw TRI Data'!$J:$J,$E139)&gt;0,INDEX('Raw TRI Data'!$A:$A,MATCH(1,($E139='Raw TRI Data'!$J:$J)*(S139='Raw TRI Data'!$S:$S),0)), "N/A - Facility Does Not Report to TRI")</f>
        <v>N/A - Facility Does Not Report to TRI</v>
      </c>
      <c r="V139" s="156" t="str" cm="1">
        <f t="array" ref="V139">IF(COUNTIFS('Raw Annual DMR Data'!$L:$L,$F139,'Raw Annual DMR Data'!$U:$U,"&gt;0")&gt;0,MEDIAN(IF('Raw Annual DMR Data'!$L:$L=$F139,'Raw Annual DMR Data'!$U:$U,"")),"N/A - Period DMR Data Not Available")</f>
        <v>N/A - Period DMR Data Not Available</v>
      </c>
      <c r="W139" s="156" t="str">
        <f>IF(COUNTIFS('Raw Annual DMR Data'!$L:$L,$F139, 'Raw Annual DMR Data'!$U:$U, "&gt;0")&gt;0,_xlfn.MAXIFS('Raw Annual DMR Data'!$U:$U,'Raw Annual DMR Data'!$L:$L,$F139), "N/A - Period DMR Data Not Available")</f>
        <v>N/A - Period DMR Data Not Available</v>
      </c>
      <c r="X139" s="113" t="str" cm="1">
        <f t="array" ref="X139">+IF(COUNTIFS('Raw Annual DMR Data'!L:L,$F139, 'Raw Annual DMR Data'!U:U, "&gt;0")&gt;0,INDEX('Raw Annual DMR Data'!V:V,MATCH(1,($F139='Raw Annual DMR Data'!L:L)*($W139='Raw Annual DMR Data'!U:U),0)), "N/A - Period DMR Data Not Available")</f>
        <v>N/A - Period DMR Data Not Available</v>
      </c>
      <c r="Y139" s="113" t="str" cm="1">
        <f t="array" ref="Y139">IF(COUNTIFS('Raw Annual DMR Data'!L:L,$F139, 'Raw Annual DMR Data'!U:U, "&gt;0")&gt;0,INDEX('Raw Annual DMR Data'!B:B,MATCH(1,($F139='Raw Annual DMR Data'!L:L)*($W139='Raw Annual DMR Data'!U:U),0)), "N/A - Period DMR Data Not Available")</f>
        <v>N/A - Period DMR Data Not Available</v>
      </c>
      <c r="Z139" s="311" t="str" cm="1">
        <f t="array" ref="Z139">IF(COUNTIF('Raw Annual DMR Data'!K:K,$E139)&gt;0,"N/A - See DMRs",IF(SUMIFS('Raw TRI Data'!$Z:$Z,'Raw TRI Data'!$J:$J,$E139)&gt;0,MEDIAN(IF('Raw TRI Data'!$J:$J=$E139,'Raw TRI Data'!$Z:$Z)), "N/A - Facility Does Not Report to TRI, no surface water releases, or no Generic Factors available"))</f>
        <v>N/A - See DMRs</v>
      </c>
      <c r="AA139" s="156" t="str">
        <f>IF(COUNTIF('Raw Annual DMR Data'!K:K,$E139)&gt;0,"N/A - See DMRs",IF(SUMIFS('Raw TRI Data'!$Z:$Z,'Raw TRI Data'!$J:$J,$E139)&gt;0,_xlfn.MAXIFS('Raw TRI Data'!$Z:$Z,'Raw TRI Data'!$J:$J,$E139), "N/A - Facility Does Not Report to TRI, no surface water releases, or no Generic Factors available"))</f>
        <v>N/A - See DMRs</v>
      </c>
      <c r="AB139" s="113" t="str">
        <f t="shared" si="20"/>
        <v>N/A</v>
      </c>
      <c r="AC139" s="136" t="str" cm="1">
        <f t="array" ref="AC139">IF(COUNTIF('Raw Annual DMR Data'!K:K,$E139)&gt;0,"N/A - See DMRs",IF(SUMIFS('Raw TRI Data'!$Z:$Z,'Raw TRI Data'!$J:$J,$E139)&gt;0,INDEX('Raw TRI Data'!$A:$A,MATCH(1,($E139='Raw TRI Data'!$J:$J)*($AA139='Raw TRI Data'!$Z:$Z),0)), "N/A - Facility Does Not Report to TRI, no surface water releases, or no Generic Factors available"))</f>
        <v>N/A - See DMRs</v>
      </c>
      <c r="AD139" s="96" t="str" cm="1">
        <f t="array" ref="AD139">IF(COUNTIFS('Raw Annual DMR Data'!L:L,$F139,'Raw Annual DMR Data'!W:W, "&gt;0")&gt;0,MEDIAN(IF('Raw Annual DMR Data'!K:K=$F139, 'Raw Annual DMR Data'!W:W)), "N/A - No Daily Max DMR Discharge Data")</f>
        <v>N/A - No Daily Max DMR Discharge Data</v>
      </c>
      <c r="AE139" s="96" t="str">
        <f>IF(COUNTIFS('Raw Annual DMR Data'!L:L,$F139,'Raw Annual DMR Data'!W:W, "&gt;0")&gt;0,_xlfn.MAXIFS('Raw Annual DMR Data'!W:W,'Raw Annual DMR Data'!L:L,$F139), "N/A - No Daily Max DMR Discharge Data")</f>
        <v>N/A - No Daily Max DMR Discharge Data</v>
      </c>
      <c r="AF139" s="60" t="str" cm="1">
        <f t="array" ref="AF139">IF(COUNTIFS('Raw Annual DMR Data'!L:L,$F139,'Raw Annual DMR Data'!W:W, "&gt;0")&gt;0,INDEX('Raw Annual DMR Data'!B:B,MATCH(1,($F139='Raw Annual DMR Data'!L:L)*($AE139='Raw Annual DMR Data'!W:W),0)), "N/A - No Daily Max DMR Discharge Data")</f>
        <v>N/A - No Daily Max DMR Discharge Data</v>
      </c>
    </row>
    <row r="140" spans="1:32" ht="45.75" thickBot="1" x14ac:dyDescent="0.3">
      <c r="A140" s="144" t="str">
        <f>VLOOKUP(F140,'Facility Summary'!J:K,2,FALSE)</f>
        <v>POTW</v>
      </c>
      <c r="B140" s="28" t="s">
        <v>980</v>
      </c>
      <c r="C140" s="28" t="s">
        <v>981</v>
      </c>
      <c r="D140" s="28" t="s">
        <v>324</v>
      </c>
      <c r="E140" s="28"/>
      <c r="F140" s="61">
        <v>110003250277</v>
      </c>
      <c r="G140" s="60" t="str">
        <f>VLOOKUP($F140, 'Raw Annual DMR Data'!$A:$Z, 24, FALSE)</f>
        <v>KY0021202</v>
      </c>
      <c r="H140" s="60" t="str">
        <f>VLOOKUP($F140, 'Raw Annual DMR Data'!$A:$Z, 25, FALSE)</f>
        <v>BLACK LICK CREEK, BLACKLICK CRK</v>
      </c>
      <c r="I140" s="74">
        <f>VLOOKUP($F140, 'Raw Annual DMR Data'!$A:$Z, 26, FALSE)</f>
        <v>5110002001791</v>
      </c>
      <c r="J140" s="74" t="s">
        <v>265</v>
      </c>
      <c r="K140" s="60">
        <f>VLOOKUP(A140, 'OES Summary'!$A:$B, 2, FALSE)</f>
        <v>365</v>
      </c>
      <c r="L140" s="304" cm="1">
        <f t="array" ref="L140">IF(COUNTIF('Raw Annual DMR Data'!$L:$L,$F140)&gt;0,MEDIAN(IF('Raw Annual DMR Data'!$L:$L=F140,'Raw Annual DMR Data'!$S:$S)),"N/A - Facility Does Not Report DMRs")</f>
        <v>0.15162236875000001</v>
      </c>
      <c r="M140" s="156">
        <f t="shared" si="18"/>
        <v>4.1540375000000005E-4</v>
      </c>
      <c r="N140" s="156">
        <f>IF(COUNTIF('Raw Annual DMR Data'!$L:$L,$F140)&gt;0,_xlfn.MAXIFS('Raw Annual DMR Data'!$S:$S,'Raw Annual DMR Data'!$L:$L,$F140), "N/A - Facility Does Not Report DMRs")</f>
        <v>0.22104399999999999</v>
      </c>
      <c r="O140" s="156">
        <f t="shared" si="19"/>
        <v>6.0559999999999998E-4</v>
      </c>
      <c r="P140" s="113" cm="1">
        <f t="array" ref="P140">IF(COUNTIF('Raw Annual DMR Data'!$L:$L,$F140)&gt;0,INDEX('Raw Annual DMR Data'!$B:$B,MATCH(1,($F140='Raw Annual DMR Data'!$L:$L)*($N140='Raw Annual DMR Data'!$S:$S),0)), "N/A - Facility Does Not Report DMRs")</f>
        <v>2019</v>
      </c>
      <c r="Q140" s="304" t="str" cm="1">
        <f t="array" ref="Q140">IF(COUNTIF('Raw TRI Data'!$J:$J,$E140)&gt;0,MEDIAN(IF('Raw TRI Data'!$J:$J=E140,'Raw TRI Data'!$S:$S)), "N/A - Facility Does Not Report to TRI")</f>
        <v>N/A - Facility Does Not Report to TRI</v>
      </c>
      <c r="R140" s="156" t="str">
        <f t="shared" si="16"/>
        <v>N/A - Facility Does Not Report to TRI</v>
      </c>
      <c r="S140" s="156" t="str">
        <f>IF(COUNTIF('Raw TRI Data'!$J:$J,$E140)&gt;0,_xlfn.MAXIFS('Raw TRI Data'!$S:$S,'Raw TRI Data'!$J:$J,$E140), "N/A - Facility Does Not Report to TRI")</f>
        <v>N/A - Facility Does Not Report to TRI</v>
      </c>
      <c r="T140" s="156" t="str">
        <f t="shared" si="17"/>
        <v>N/A - Facility Does Not Report to TRI</v>
      </c>
      <c r="U140" s="136" t="str" cm="1">
        <f t="array" ref="U140">IF(COUNTIF('Raw TRI Data'!$J:$J,$E140)&gt;0,INDEX('Raw TRI Data'!$A:$A,MATCH(1,($E140='Raw TRI Data'!$J:$J)*(S140='Raw TRI Data'!$S:$S),0)), "N/A - Facility Does Not Report to TRI")</f>
        <v>N/A - Facility Does Not Report to TRI</v>
      </c>
      <c r="V140" s="156" t="str" cm="1">
        <f t="array" ref="V140">IF(COUNTIFS('Raw Annual DMR Data'!$L:$L,$F140,'Raw Annual DMR Data'!$U:$U,"&gt;0")&gt;0,MEDIAN(IF('Raw Annual DMR Data'!$L:$L=$F140,'Raw Annual DMR Data'!$U:$U,"")),"N/A - Period DMR Data Not Available")</f>
        <v>N/A - Period DMR Data Not Available</v>
      </c>
      <c r="W140" s="156" t="str">
        <f>IF(COUNTIFS('Raw Annual DMR Data'!$L:$L,$F140, 'Raw Annual DMR Data'!$U:$U, "&gt;0")&gt;0,_xlfn.MAXIFS('Raw Annual DMR Data'!$U:$U,'Raw Annual DMR Data'!$L:$L,$F140), "N/A - Period DMR Data Not Available")</f>
        <v>N/A - Period DMR Data Not Available</v>
      </c>
      <c r="X140" s="113" t="str" cm="1">
        <f t="array" ref="X140">+IF(COUNTIFS('Raw Annual DMR Data'!L:L,$F140, 'Raw Annual DMR Data'!U:U, "&gt;0")&gt;0,INDEX('Raw Annual DMR Data'!V:V,MATCH(1,($F140='Raw Annual DMR Data'!L:L)*($W140='Raw Annual DMR Data'!U:U),0)), "N/A - Period DMR Data Not Available")</f>
        <v>N/A - Period DMR Data Not Available</v>
      </c>
      <c r="Y140" s="113" t="str" cm="1">
        <f t="array" ref="Y140">IF(COUNTIFS('Raw Annual DMR Data'!L:L,$F140, 'Raw Annual DMR Data'!U:U, "&gt;0")&gt;0,INDEX('Raw Annual DMR Data'!B:B,MATCH(1,($F140='Raw Annual DMR Data'!L:L)*($W140='Raw Annual DMR Data'!U:U),0)), "N/A - Period DMR Data Not Available")</f>
        <v>N/A - Period DMR Data Not Available</v>
      </c>
      <c r="Z140" s="311" t="str" cm="1">
        <f t="array" ref="Z140">IF(COUNTIF('Raw Annual DMR Data'!K:K,$E140)&gt;0,"N/A - See DMRs",IF(SUMIFS('Raw TRI Data'!$Z:$Z,'Raw TRI Data'!$J:$J,$E140)&gt;0,MEDIAN(IF('Raw TRI Data'!$J:$J=$E140,'Raw TRI Data'!$Z:$Z)), "N/A - Facility Does Not Report to TRI, no surface water releases, or no Generic Factors available"))</f>
        <v>N/A - Facility Does Not Report to TRI, no surface water releases, or no Generic Factors available</v>
      </c>
      <c r="AA140" s="156" t="str">
        <f>IF(COUNTIF('Raw Annual DMR Data'!K:K,$E140)&gt;0,"N/A - See DMRs",IF(SUMIFS('Raw TRI Data'!$Z:$Z,'Raw TRI Data'!$J:$J,$E140)&gt;0,_xlfn.MAXIFS('Raw TRI Data'!$Z:$Z,'Raw TRI Data'!$J:$J,$E140), "N/A - Facility Does Not Report to TRI, no surface water releases, or no Generic Factors available"))</f>
        <v>N/A - Facility Does Not Report to TRI, no surface water releases, or no Generic Factors available</v>
      </c>
      <c r="AB140" s="113" t="str">
        <f t="shared" si="20"/>
        <v>N/A</v>
      </c>
      <c r="AC140" s="136" t="str" cm="1">
        <f t="array" ref="AC140">IF(COUNTIF('Raw Annual DMR Data'!K:K,$E140)&gt;0,"N/A - See DMRs",IF(SUMIFS('Raw TRI Data'!$Z:$Z,'Raw TRI Data'!$J:$J,$E140)&gt;0,INDEX('Raw TRI Data'!$A:$A,MATCH(1,($E140='Raw TRI Data'!$J:$J)*($AA140='Raw TRI Data'!$Z:$Z),0)), "N/A - Facility Does Not Report to TRI, no surface water releases, or no Generic Factors available"))</f>
        <v>N/A - Facility Does Not Report to TRI, no surface water releases, or no Generic Factors available</v>
      </c>
      <c r="AD140" s="96" t="str" cm="1">
        <f t="array" ref="AD140">IF(COUNTIFS('Raw Annual DMR Data'!L:L,$F140,'Raw Annual DMR Data'!W:W, "&gt;0")&gt;0,MEDIAN(IF('Raw Annual DMR Data'!K:K=$F140, 'Raw Annual DMR Data'!W:W)), "N/A - No Daily Max DMR Discharge Data")</f>
        <v>N/A - No Daily Max DMR Discharge Data</v>
      </c>
      <c r="AE140" s="96" t="str">
        <f>IF(COUNTIFS('Raw Annual DMR Data'!L:L,$F140,'Raw Annual DMR Data'!W:W, "&gt;0")&gt;0,_xlfn.MAXIFS('Raw Annual DMR Data'!W:W,'Raw Annual DMR Data'!L:L,$F140), "N/A - No Daily Max DMR Discharge Data")</f>
        <v>N/A - No Daily Max DMR Discharge Data</v>
      </c>
      <c r="AF140" s="60" t="str" cm="1">
        <f t="array" ref="AF140">IF(COUNTIFS('Raw Annual DMR Data'!L:L,$F140,'Raw Annual DMR Data'!W:W, "&gt;0")&gt;0,INDEX('Raw Annual DMR Data'!B:B,MATCH(1,($F140='Raw Annual DMR Data'!L:L)*($AE140='Raw Annual DMR Data'!W:W),0)), "N/A - No Daily Max DMR Discharge Data")</f>
        <v>N/A - No Daily Max DMR Discharge Data</v>
      </c>
    </row>
    <row r="141" spans="1:32" ht="45.75" thickBot="1" x14ac:dyDescent="0.3">
      <c r="A141" s="144" t="str">
        <f>VLOOKUP(F141,'Facility Summary'!J:K,2,FALSE)</f>
        <v>POTW</v>
      </c>
      <c r="B141" s="28" t="s">
        <v>982</v>
      </c>
      <c r="C141" s="28" t="s">
        <v>983</v>
      </c>
      <c r="D141" s="28" t="s">
        <v>374</v>
      </c>
      <c r="E141" s="28"/>
      <c r="F141" s="61">
        <v>110022421789</v>
      </c>
      <c r="G141" s="60" t="str">
        <f>VLOOKUP($F141, 'Raw Annual DMR Data'!$A:$Z, 24, FALSE)</f>
        <v>AZ0023281</v>
      </c>
      <c r="H141" s="60">
        <f>VLOOKUP($F141, 'Raw Annual DMR Data'!$A:$Z, 25, FALSE)</f>
        <v>0</v>
      </c>
      <c r="I141" s="74">
        <f>VLOOKUP($F141, 'Raw Annual DMR Data'!$A:$Z, 26, FALSE)</f>
        <v>15050100000998</v>
      </c>
      <c r="J141" s="74" t="s">
        <v>265</v>
      </c>
      <c r="K141" s="60">
        <f>VLOOKUP(A141, 'OES Summary'!$A:$B, 2, FALSE)</f>
        <v>365</v>
      </c>
      <c r="L141" s="304" cm="1">
        <f t="array" ref="L141">IF(COUNTIF('Raw Annual DMR Data'!$L:$L,$F141)&gt;0,MEDIAN(IF('Raw Annual DMR Data'!$L:$L=F141,'Raw Annual DMR Data'!$S:$S)),"N/A - Facility Does Not Report DMRs")</f>
        <v>7.8905800374999995</v>
      </c>
      <c r="M141" s="156">
        <f t="shared" si="18"/>
        <v>2.1618027499999998E-2</v>
      </c>
      <c r="N141" s="156">
        <f>IF(COUNTIF('Raw Annual DMR Data'!$L:$L,$F141)&gt;0,_xlfn.MAXIFS('Raw Annual DMR Data'!$S:$S,'Raw Annual DMR Data'!$L:$L,$F141), "N/A - Facility Does Not Report DMRs")</f>
        <v>7.9092306250000002</v>
      </c>
      <c r="O141" s="156">
        <f t="shared" si="19"/>
        <v>2.1669125000000001E-2</v>
      </c>
      <c r="P141" s="113" cm="1">
        <f t="array" ref="P141">IF(COUNTIF('Raw Annual DMR Data'!$L:$L,$F141)&gt;0,INDEX('Raw Annual DMR Data'!$B:$B,MATCH(1,($F141='Raw Annual DMR Data'!$L:$L)*($N141='Raw Annual DMR Data'!$S:$S),0)), "N/A - Facility Does Not Report DMRs")</f>
        <v>2017</v>
      </c>
      <c r="Q141" s="304" t="str" cm="1">
        <f t="array" ref="Q141">IF(COUNTIF('Raw TRI Data'!$J:$J,$E141)&gt;0,MEDIAN(IF('Raw TRI Data'!$J:$J=E141,'Raw TRI Data'!$S:$S)), "N/A - Facility Does Not Report to TRI")</f>
        <v>N/A - Facility Does Not Report to TRI</v>
      </c>
      <c r="R141" s="156" t="str">
        <f t="shared" si="16"/>
        <v>N/A - Facility Does Not Report to TRI</v>
      </c>
      <c r="S141" s="156" t="str">
        <f>IF(COUNTIF('Raw TRI Data'!$J:$J,$E141)&gt;0,_xlfn.MAXIFS('Raw TRI Data'!$S:$S,'Raw TRI Data'!$J:$J,$E141), "N/A - Facility Does Not Report to TRI")</f>
        <v>N/A - Facility Does Not Report to TRI</v>
      </c>
      <c r="T141" s="156" t="str">
        <f t="shared" si="17"/>
        <v>N/A - Facility Does Not Report to TRI</v>
      </c>
      <c r="U141" s="136" t="str" cm="1">
        <f t="array" ref="U141">IF(COUNTIF('Raw TRI Data'!$J:$J,$E141)&gt;0,INDEX('Raw TRI Data'!$A:$A,MATCH(1,($E141='Raw TRI Data'!$J:$J)*(S141='Raw TRI Data'!$S:$S),0)), "N/A - Facility Does Not Report to TRI")</f>
        <v>N/A - Facility Does Not Report to TRI</v>
      </c>
      <c r="V141" s="156" t="str" cm="1">
        <f t="array" ref="V141">IF(COUNTIFS('Raw Annual DMR Data'!$L:$L,$F141,'Raw Annual DMR Data'!$U:$U,"&gt;0")&gt;0,MEDIAN(IF('Raw Annual DMR Data'!$L:$L=$F141,'Raw Annual DMR Data'!$U:$U,"")),"N/A - Period DMR Data Not Available")</f>
        <v>N/A - Period DMR Data Not Available</v>
      </c>
      <c r="W141" s="156" t="str">
        <f>IF(COUNTIFS('Raw Annual DMR Data'!$L:$L,$F141, 'Raw Annual DMR Data'!$U:$U, "&gt;0")&gt;0,_xlfn.MAXIFS('Raw Annual DMR Data'!$U:$U,'Raw Annual DMR Data'!$L:$L,$F141), "N/A - Period DMR Data Not Available")</f>
        <v>N/A - Period DMR Data Not Available</v>
      </c>
      <c r="X141" s="113" t="str" cm="1">
        <f t="array" ref="X141">+IF(COUNTIFS('Raw Annual DMR Data'!L:L,$F141, 'Raw Annual DMR Data'!U:U, "&gt;0")&gt;0,INDEX('Raw Annual DMR Data'!V:V,MATCH(1,($F141='Raw Annual DMR Data'!L:L)*($W141='Raw Annual DMR Data'!U:U),0)), "N/A - Period DMR Data Not Available")</f>
        <v>N/A - Period DMR Data Not Available</v>
      </c>
      <c r="Y141" s="113" t="str" cm="1">
        <f t="array" ref="Y141">IF(COUNTIFS('Raw Annual DMR Data'!L:L,$F141, 'Raw Annual DMR Data'!U:U, "&gt;0")&gt;0,INDEX('Raw Annual DMR Data'!B:B,MATCH(1,($F141='Raw Annual DMR Data'!L:L)*($W141='Raw Annual DMR Data'!U:U),0)), "N/A - Period DMR Data Not Available")</f>
        <v>N/A - Period DMR Data Not Available</v>
      </c>
      <c r="Z141" s="311" t="str" cm="1">
        <f t="array" ref="Z141">IF(COUNTIF('Raw Annual DMR Data'!K:K,$E141)&gt;0,"N/A - See DMRs",IF(SUMIFS('Raw TRI Data'!$Z:$Z,'Raw TRI Data'!$J:$J,$E141)&gt;0,MEDIAN(IF('Raw TRI Data'!$J:$J=$E141,'Raw TRI Data'!$Z:$Z)), "N/A - Facility Does Not Report to TRI, no surface water releases, or no Generic Factors available"))</f>
        <v>N/A - Facility Does Not Report to TRI, no surface water releases, or no Generic Factors available</v>
      </c>
      <c r="AA141" s="156" t="str">
        <f>IF(COUNTIF('Raw Annual DMR Data'!K:K,$E141)&gt;0,"N/A - See DMRs",IF(SUMIFS('Raw TRI Data'!$Z:$Z,'Raw TRI Data'!$J:$J,$E141)&gt;0,_xlfn.MAXIFS('Raw TRI Data'!$Z:$Z,'Raw TRI Data'!$J:$J,$E141), "N/A - Facility Does Not Report to TRI, no surface water releases, or no Generic Factors available"))</f>
        <v>N/A - Facility Does Not Report to TRI, no surface water releases, or no Generic Factors available</v>
      </c>
      <c r="AB141" s="113" t="str">
        <f t="shared" si="20"/>
        <v>N/A</v>
      </c>
      <c r="AC141" s="136" t="str" cm="1">
        <f t="array" ref="AC141">IF(COUNTIF('Raw Annual DMR Data'!K:K,$E141)&gt;0,"N/A - See DMRs",IF(SUMIFS('Raw TRI Data'!$Z:$Z,'Raw TRI Data'!$J:$J,$E141)&gt;0,INDEX('Raw TRI Data'!$A:$A,MATCH(1,($E141='Raw TRI Data'!$J:$J)*($AA141='Raw TRI Data'!$Z:$Z),0)), "N/A - Facility Does Not Report to TRI, no surface water releases, or no Generic Factors available"))</f>
        <v>N/A - Facility Does Not Report to TRI, no surface water releases, or no Generic Factors available</v>
      </c>
      <c r="AD141" s="96" t="str" cm="1">
        <f t="array" ref="AD141">IF(COUNTIFS('Raw Annual DMR Data'!L:L,$F141,'Raw Annual DMR Data'!W:W, "&gt;0")&gt;0,MEDIAN(IF('Raw Annual DMR Data'!K:K=$F141, 'Raw Annual DMR Data'!W:W)), "N/A - No Daily Max DMR Discharge Data")</f>
        <v>N/A - No Daily Max DMR Discharge Data</v>
      </c>
      <c r="AE141" s="96" t="str">
        <f>IF(COUNTIFS('Raw Annual DMR Data'!L:L,$F141,'Raw Annual DMR Data'!W:W, "&gt;0")&gt;0,_xlfn.MAXIFS('Raw Annual DMR Data'!W:W,'Raw Annual DMR Data'!L:L,$F141), "N/A - No Daily Max DMR Discharge Data")</f>
        <v>N/A - No Daily Max DMR Discharge Data</v>
      </c>
      <c r="AF141" s="60" t="str" cm="1">
        <f t="array" ref="AF141">IF(COUNTIFS('Raw Annual DMR Data'!L:L,$F141,'Raw Annual DMR Data'!W:W, "&gt;0")&gt;0,INDEX('Raw Annual DMR Data'!B:B,MATCH(1,($F141='Raw Annual DMR Data'!L:L)*($AE141='Raw Annual DMR Data'!W:W),0)), "N/A - No Daily Max DMR Discharge Data")</f>
        <v>N/A - No Daily Max DMR Discharge Data</v>
      </c>
    </row>
    <row r="142" spans="1:32" ht="45.75" thickBot="1" x14ac:dyDescent="0.3">
      <c r="A142" s="144" t="str">
        <f>VLOOKUP(F142,'Facility Summary'!J:K,2,FALSE)</f>
        <v>Unknown</v>
      </c>
      <c r="B142" s="28" t="s">
        <v>984</v>
      </c>
      <c r="C142" s="28" t="s">
        <v>985</v>
      </c>
      <c r="D142" s="28" t="s">
        <v>979</v>
      </c>
      <c r="E142" s="28"/>
      <c r="F142" s="61">
        <v>110070828339</v>
      </c>
      <c r="G142" s="60" t="str">
        <f>VLOOKUP($F142, 'Raw Annual DMR Data'!$A:$Z, 24, FALSE)</f>
        <v>TN0003671</v>
      </c>
      <c r="H142" s="60" t="str">
        <f>VLOOKUP($F142, 'Raw Annual DMR Data'!$A:$Z, 25, FALSE)</f>
        <v>AFG STREAM, ARNOTT CREEK, HOLSTON, HOLSTON RIVER, HOLSTON RV, MADD BRANCH, SOUTH FORK HOLSTON RIVER</v>
      </c>
      <c r="I142" s="74">
        <f>VLOOKUP($F142, 'Raw Annual DMR Data'!$A:$Z, 26, FALSE)</f>
        <v>6010104000630</v>
      </c>
      <c r="J142" s="74" t="s">
        <v>265</v>
      </c>
      <c r="K142" s="60">
        <f>VLOOKUP(A142, 'OES Summary'!$A:$B, 2, FALSE)</f>
        <v>250</v>
      </c>
      <c r="L142" s="304" cm="1">
        <f t="array" ref="L142">IF(COUNTIF('Raw Annual DMR Data'!$L:$L,$F142)&gt;0,MEDIAN(IF('Raw Annual DMR Data'!$L:$L=F142,'Raw Annual DMR Data'!$S:$S)),"N/A - Facility Does Not Report DMRs")</f>
        <v>1.2414965986394499</v>
      </c>
      <c r="M142" s="156">
        <f t="shared" si="18"/>
        <v>4.9659863945578E-3</v>
      </c>
      <c r="N142" s="156">
        <f>IF(COUNTIF('Raw Annual DMR Data'!$L:$L,$F142)&gt;0,_xlfn.MAXIFS('Raw Annual DMR Data'!$S:$S,'Raw Annual DMR Data'!$L:$L,$F142), "N/A - Facility Does Not Report DMRs")</f>
        <v>4.5521541950113296</v>
      </c>
      <c r="O142" s="156">
        <f t="shared" si="19"/>
        <v>1.8208616780045317E-2</v>
      </c>
      <c r="P142" s="113" cm="1">
        <f t="array" ref="P142">IF(COUNTIF('Raw Annual DMR Data'!$L:$L,$F142)&gt;0,INDEX('Raw Annual DMR Data'!$B:$B,MATCH(1,($F142='Raw Annual DMR Data'!$L:$L)*($N142='Raw Annual DMR Data'!$S:$S),0)), "N/A - Facility Does Not Report DMRs")</f>
        <v>2019</v>
      </c>
      <c r="Q142" s="304" t="str" cm="1">
        <f t="array" ref="Q142">IF(COUNTIF('Raw TRI Data'!$J:$J,$E142)&gt;0,MEDIAN(IF('Raw TRI Data'!$J:$J=E142,'Raw TRI Data'!$S:$S)), "N/A - Facility Does Not Report to TRI")</f>
        <v>N/A - Facility Does Not Report to TRI</v>
      </c>
      <c r="R142" s="156" t="str">
        <f t="shared" si="16"/>
        <v>N/A - Facility Does Not Report to TRI</v>
      </c>
      <c r="S142" s="156" t="str">
        <f>IF(COUNTIF('Raw TRI Data'!$J:$J,$E142)&gt;0,_xlfn.MAXIFS('Raw TRI Data'!$S:$S,'Raw TRI Data'!$J:$J,$E142), "N/A - Facility Does Not Report to TRI")</f>
        <v>N/A - Facility Does Not Report to TRI</v>
      </c>
      <c r="T142" s="156" t="str">
        <f t="shared" si="17"/>
        <v>N/A - Facility Does Not Report to TRI</v>
      </c>
      <c r="U142" s="136" t="str" cm="1">
        <f t="array" ref="U142">IF(COUNTIF('Raw TRI Data'!$J:$J,$E142)&gt;0,INDEX('Raw TRI Data'!$A:$A,MATCH(1,($E142='Raw TRI Data'!$J:$J)*(S142='Raw TRI Data'!$S:$S),0)), "N/A - Facility Does Not Report to TRI")</f>
        <v>N/A - Facility Does Not Report to TRI</v>
      </c>
      <c r="V142" s="156" t="str" cm="1">
        <f t="array" ref="V142">IF(COUNTIFS('Raw Annual DMR Data'!$L:$L,$F142,'Raw Annual DMR Data'!$U:$U,"&gt;0")&gt;0,MEDIAN(IF('Raw Annual DMR Data'!$L:$L=$F142,'Raw Annual DMR Data'!$U:$U,"")),"N/A - Period DMR Data Not Available")</f>
        <v>N/A - Period DMR Data Not Available</v>
      </c>
      <c r="W142" s="156" t="str">
        <f>IF(COUNTIFS('Raw Annual DMR Data'!$L:$L,$F142, 'Raw Annual DMR Data'!$U:$U, "&gt;0")&gt;0,_xlfn.MAXIFS('Raw Annual DMR Data'!$U:$U,'Raw Annual DMR Data'!$L:$L,$F142), "N/A - Period DMR Data Not Available")</f>
        <v>N/A - Period DMR Data Not Available</v>
      </c>
      <c r="X142" s="113" t="str" cm="1">
        <f t="array" ref="X142">+IF(COUNTIFS('Raw Annual DMR Data'!L:L,$F142, 'Raw Annual DMR Data'!U:U, "&gt;0")&gt;0,INDEX('Raw Annual DMR Data'!V:V,MATCH(1,($F142='Raw Annual DMR Data'!L:L)*($W142='Raw Annual DMR Data'!U:U),0)), "N/A - Period DMR Data Not Available")</f>
        <v>N/A - Period DMR Data Not Available</v>
      </c>
      <c r="Y142" s="113" t="str" cm="1">
        <f t="array" ref="Y142">IF(COUNTIFS('Raw Annual DMR Data'!L:L,$F142, 'Raw Annual DMR Data'!U:U, "&gt;0")&gt;0,INDEX('Raw Annual DMR Data'!B:B,MATCH(1,($F142='Raw Annual DMR Data'!L:L)*($W142='Raw Annual DMR Data'!U:U),0)), "N/A - Period DMR Data Not Available")</f>
        <v>N/A - Period DMR Data Not Available</v>
      </c>
      <c r="Z142" s="311" t="str" cm="1">
        <f t="array" ref="Z142">IF(COUNTIF('Raw Annual DMR Data'!K:K,$E142)&gt;0,"N/A - See DMRs",IF(SUMIFS('Raw TRI Data'!$Z:$Z,'Raw TRI Data'!$J:$J,$E142)&gt;0,MEDIAN(IF('Raw TRI Data'!$J:$J=$E142,'Raw TRI Data'!$Z:$Z)), "N/A - Facility Does Not Report to TRI, no surface water releases, or no Generic Factors available"))</f>
        <v>N/A - Facility Does Not Report to TRI, no surface water releases, or no Generic Factors available</v>
      </c>
      <c r="AA142" s="156" t="str">
        <f>IF(COUNTIF('Raw Annual DMR Data'!K:K,$E142)&gt;0,"N/A - See DMRs",IF(SUMIFS('Raw TRI Data'!$Z:$Z,'Raw TRI Data'!$J:$J,$E142)&gt;0,_xlfn.MAXIFS('Raw TRI Data'!$Z:$Z,'Raw TRI Data'!$J:$J,$E142), "N/A - Facility Does Not Report to TRI, no surface water releases, or no Generic Factors available"))</f>
        <v>N/A - Facility Does Not Report to TRI, no surface water releases, or no Generic Factors available</v>
      </c>
      <c r="AB142" s="113" t="str">
        <f t="shared" si="20"/>
        <v>N/A</v>
      </c>
      <c r="AC142" s="136" t="str" cm="1">
        <f t="array" ref="AC142">IF(COUNTIF('Raw Annual DMR Data'!K:K,$E142)&gt;0,"N/A - See DMRs",IF(SUMIFS('Raw TRI Data'!$Z:$Z,'Raw TRI Data'!$J:$J,$E142)&gt;0,INDEX('Raw TRI Data'!$A:$A,MATCH(1,($E142='Raw TRI Data'!$J:$J)*($AA142='Raw TRI Data'!$Z:$Z),0)), "N/A - Facility Does Not Report to TRI, no surface water releases, or no Generic Factors available"))</f>
        <v>N/A - Facility Does Not Report to TRI, no surface water releases, or no Generic Factors available</v>
      </c>
      <c r="AD142" s="96" t="str" cm="1">
        <f t="array" ref="AD142">IF(COUNTIFS('Raw Annual DMR Data'!L:L,$F142,'Raw Annual DMR Data'!W:W, "&gt;0")&gt;0,MEDIAN(IF('Raw Annual DMR Data'!K:K=$F142, 'Raw Annual DMR Data'!W:W)), "N/A - No Daily Max DMR Discharge Data")</f>
        <v>N/A - No Daily Max DMR Discharge Data</v>
      </c>
      <c r="AE142" s="96" t="str">
        <f>IF(COUNTIFS('Raw Annual DMR Data'!L:L,$F142,'Raw Annual DMR Data'!W:W, "&gt;0")&gt;0,_xlfn.MAXIFS('Raw Annual DMR Data'!W:W,'Raw Annual DMR Data'!L:L,$F142), "N/A - No Daily Max DMR Discharge Data")</f>
        <v>N/A - No Daily Max DMR Discharge Data</v>
      </c>
      <c r="AF142" s="60" t="str" cm="1">
        <f t="array" ref="AF142">IF(COUNTIFS('Raw Annual DMR Data'!L:L,$F142,'Raw Annual DMR Data'!W:W, "&gt;0")&gt;0,INDEX('Raw Annual DMR Data'!B:B,MATCH(1,($F142='Raw Annual DMR Data'!L:L)*($AE142='Raw Annual DMR Data'!W:W),0)), "N/A - No Daily Max DMR Discharge Data")</f>
        <v>N/A - No Daily Max DMR Discharge Data</v>
      </c>
    </row>
    <row r="143" spans="1:32" ht="30.75" thickBot="1" x14ac:dyDescent="0.3">
      <c r="A143" s="144" t="str">
        <f>VLOOKUP(F143,'Facility Summary'!J:K,2,FALSE)</f>
        <v>Unknown</v>
      </c>
      <c r="B143" s="28" t="s">
        <v>986</v>
      </c>
      <c r="C143" s="28" t="s">
        <v>987</v>
      </c>
      <c r="D143" s="28" t="s">
        <v>324</v>
      </c>
      <c r="E143" s="28" t="s">
        <v>701</v>
      </c>
      <c r="F143" s="61">
        <v>110000378467</v>
      </c>
      <c r="G143" s="60" t="str">
        <f>VLOOKUP($F143, 'Raw Annual DMR Data'!$A:$Z, 24, FALSE)</f>
        <v>KY0001112</v>
      </c>
      <c r="H143" s="60" t="str">
        <f>VLOOKUP($F143, 'Raw Annual DMR Data'!$A:$Z, 25, FALSE)</f>
        <v>OHIO RIVER</v>
      </c>
      <c r="I143" s="74">
        <f>VLOOKUP($F143, 'Raw Annual DMR Data'!$A:$Z, 26, FALSE)</f>
        <v>5140101000007</v>
      </c>
      <c r="J143" s="74" t="s">
        <v>265</v>
      </c>
      <c r="K143" s="60">
        <f>VLOOKUP(A143, 'OES Summary'!$A:$B, 2, FALSE)</f>
        <v>250</v>
      </c>
      <c r="L143" s="304" cm="1">
        <f t="array" ref="L143">IF(COUNTIF('Raw Annual DMR Data'!$L:$L,$F143)&gt;0,MEDIAN(IF('Raw Annual DMR Data'!$L:$L=F143,'Raw Annual DMR Data'!$S:$S)),"N/A - Facility Does Not Report DMRs")</f>
        <v>0.57936507936507897</v>
      </c>
      <c r="M143" s="156">
        <f t="shared" si="18"/>
        <v>2.3174603174603158E-3</v>
      </c>
      <c r="N143" s="156">
        <f>IF(COUNTIF('Raw Annual DMR Data'!$L:$L,$F143)&gt;0,_xlfn.MAXIFS('Raw Annual DMR Data'!$S:$S,'Raw Annual DMR Data'!$L:$L,$F143), "N/A - Facility Does Not Report DMRs")</f>
        <v>0.91140500000000002</v>
      </c>
      <c r="O143" s="156">
        <f t="shared" si="19"/>
        <v>3.64562E-3</v>
      </c>
      <c r="P143" s="113" cm="1">
        <f t="array" ref="P143">IF(COUNTIF('Raw Annual DMR Data'!$L:$L,$F143)&gt;0,INDEX('Raw Annual DMR Data'!$B:$B,MATCH(1,($F143='Raw Annual DMR Data'!$L:$L)*($N143='Raw Annual DMR Data'!$S:$S),0)), "N/A - Facility Does Not Report DMRs")</f>
        <v>2023</v>
      </c>
      <c r="Q143" s="304" t="str" cm="1">
        <f t="array" ref="Q143">IF(COUNTIF('Raw TRI Data'!$J:$J,$E143)&gt;0,MEDIAN(IF('Raw TRI Data'!$J:$J=E143,'Raw TRI Data'!$S:$S)), "N/A - Facility Does Not Report to TRI")</f>
        <v>N/A - Facility Does Not Report to TRI</v>
      </c>
      <c r="R143" s="156" t="str">
        <f t="shared" si="16"/>
        <v>N/A - Facility Does Not Report to TRI</v>
      </c>
      <c r="S143" s="156" t="str">
        <f>IF(COUNTIF('Raw TRI Data'!$J:$J,$E143)&gt;0,_xlfn.MAXIFS('Raw TRI Data'!$S:$S,'Raw TRI Data'!$J:$J,$E143), "N/A - Facility Does Not Report to TRI")</f>
        <v>N/A - Facility Does Not Report to TRI</v>
      </c>
      <c r="T143" s="156" t="str">
        <f t="shared" si="17"/>
        <v>N/A - Facility Does Not Report to TRI</v>
      </c>
      <c r="U143" s="136" t="str" cm="1">
        <f t="array" ref="U143">IF(COUNTIF('Raw TRI Data'!$J:$J,$E143)&gt;0,INDEX('Raw TRI Data'!$A:$A,MATCH(1,($E143='Raw TRI Data'!$J:$J)*(S143='Raw TRI Data'!$S:$S),0)), "N/A - Facility Does Not Report to TRI")</f>
        <v>N/A - Facility Does Not Report to TRI</v>
      </c>
      <c r="V143" s="156" t="str" cm="1">
        <f t="array" ref="V143">IF(COUNTIFS('Raw Annual DMR Data'!$L:$L,$F143,'Raw Annual DMR Data'!$U:$U,"&gt;0")&gt;0,MEDIAN(IF('Raw Annual DMR Data'!$L:$L=$F143,'Raw Annual DMR Data'!$U:$U,"")),"N/A - Period DMR Data Not Available")</f>
        <v>N/A - Period DMR Data Not Available</v>
      </c>
      <c r="W143" s="156" t="str">
        <f>IF(COUNTIFS('Raw Annual DMR Data'!$L:$L,$F143, 'Raw Annual DMR Data'!$U:$U, "&gt;0")&gt;0,_xlfn.MAXIFS('Raw Annual DMR Data'!$U:$U,'Raw Annual DMR Data'!$L:$L,$F143), "N/A - Period DMR Data Not Available")</f>
        <v>N/A - Period DMR Data Not Available</v>
      </c>
      <c r="X143" s="113" t="str" cm="1">
        <f t="array" ref="X143">+IF(COUNTIFS('Raw Annual DMR Data'!L:L,$F143, 'Raw Annual DMR Data'!U:U, "&gt;0")&gt;0,INDEX('Raw Annual DMR Data'!V:V,MATCH(1,($F143='Raw Annual DMR Data'!L:L)*($W143='Raw Annual DMR Data'!U:U),0)), "N/A - Period DMR Data Not Available")</f>
        <v>N/A - Period DMR Data Not Available</v>
      </c>
      <c r="Y143" s="113" t="str" cm="1">
        <f t="array" ref="Y143">IF(COUNTIFS('Raw Annual DMR Data'!L:L,$F143, 'Raw Annual DMR Data'!U:U, "&gt;0")&gt;0,INDEX('Raw Annual DMR Data'!B:B,MATCH(1,($F143='Raw Annual DMR Data'!L:L)*($W143='Raw Annual DMR Data'!U:U),0)), "N/A - Period DMR Data Not Available")</f>
        <v>N/A - Period DMR Data Not Available</v>
      </c>
      <c r="Z143" s="311" t="str" cm="1">
        <f t="array" ref="Z143">IF(COUNTIF('Raw Annual DMR Data'!K:K,$E143)&gt;0,"N/A - See DMRs",IF(SUMIFS('Raw TRI Data'!$Z:$Z,'Raw TRI Data'!$J:$J,$E143)&gt;0,MEDIAN(IF('Raw TRI Data'!$J:$J=$E143,'Raw TRI Data'!$Z:$Z)), "N/A - Facility Does Not Report to TRI, no surface water releases, or no Generic Factors available"))</f>
        <v>N/A - See DMRs</v>
      </c>
      <c r="AA143" s="156" t="str">
        <f>IF(COUNTIF('Raw Annual DMR Data'!K:K,$E143)&gt;0,"N/A - See DMRs",IF(SUMIFS('Raw TRI Data'!$Z:$Z,'Raw TRI Data'!$J:$J,$E143)&gt;0,_xlfn.MAXIFS('Raw TRI Data'!$Z:$Z,'Raw TRI Data'!$J:$J,$E143), "N/A - Facility Does Not Report to TRI, no surface water releases, or no Generic Factors available"))</f>
        <v>N/A - See DMRs</v>
      </c>
      <c r="AB143" s="113" t="str">
        <f t="shared" si="20"/>
        <v>N/A</v>
      </c>
      <c r="AC143" s="136" t="str" cm="1">
        <f t="array" ref="AC143">IF(COUNTIF('Raw Annual DMR Data'!K:K,$E143)&gt;0,"N/A - See DMRs",IF(SUMIFS('Raw TRI Data'!$Z:$Z,'Raw TRI Data'!$J:$J,$E143)&gt;0,INDEX('Raw TRI Data'!$A:$A,MATCH(1,($E143='Raw TRI Data'!$J:$J)*($AA143='Raw TRI Data'!$Z:$Z),0)), "N/A - Facility Does Not Report to TRI, no surface water releases, or no Generic Factors available"))</f>
        <v>N/A - See DMRs</v>
      </c>
      <c r="AD143" s="96" t="str" cm="1">
        <f t="array" ref="AD143">IF(COUNTIFS('Raw Annual DMR Data'!L:L,$F143,'Raw Annual DMR Data'!W:W, "&gt;0")&gt;0,MEDIAN(IF('Raw Annual DMR Data'!K:K=$F143, 'Raw Annual DMR Data'!W:W)), "N/A - No Daily Max DMR Discharge Data")</f>
        <v>N/A - No Daily Max DMR Discharge Data</v>
      </c>
      <c r="AE143" s="96" t="str">
        <f>IF(COUNTIFS('Raw Annual DMR Data'!L:L,$F143,'Raw Annual DMR Data'!W:W, "&gt;0")&gt;0,_xlfn.MAXIFS('Raw Annual DMR Data'!W:W,'Raw Annual DMR Data'!L:L,$F143), "N/A - No Daily Max DMR Discharge Data")</f>
        <v>N/A - No Daily Max DMR Discharge Data</v>
      </c>
      <c r="AF143" s="60" t="str" cm="1">
        <f t="array" ref="AF143">IF(COUNTIFS('Raw Annual DMR Data'!L:L,$F143,'Raw Annual DMR Data'!W:W, "&gt;0")&gt;0,INDEX('Raw Annual DMR Data'!B:B,MATCH(1,($F143='Raw Annual DMR Data'!L:L)*($AE143='Raw Annual DMR Data'!W:W),0)), "N/A - No Daily Max DMR Discharge Data")</f>
        <v>N/A - No Daily Max DMR Discharge Data</v>
      </c>
    </row>
    <row r="144" spans="1:32" ht="30.75" thickBot="1" x14ac:dyDescent="0.3">
      <c r="A144" s="144" t="str">
        <f>VLOOKUP(F144,'Facility Summary'!J:K,2,FALSE)</f>
        <v>POTW</v>
      </c>
      <c r="B144" s="28" t="s">
        <v>988</v>
      </c>
      <c r="C144" s="28" t="s">
        <v>314</v>
      </c>
      <c r="D144" s="28" t="s">
        <v>303</v>
      </c>
      <c r="E144" s="28" t="s">
        <v>702</v>
      </c>
      <c r="F144" s="61">
        <v>110000449266</v>
      </c>
      <c r="G144" s="60" t="str">
        <f>VLOOKUP($F144, 'Raw Annual DMR Data'!$A:$Z, 24, FALSE)</f>
        <v>LAG480201</v>
      </c>
      <c r="H144" s="60">
        <f>VLOOKUP($F144, 'Raw Annual DMR Data'!$A:$Z, 25, FALSE)</f>
        <v>0</v>
      </c>
      <c r="I144" s="74">
        <f>VLOOKUP($F144, 'Raw Annual DMR Data'!$A:$Z, 26, FALSE)</f>
        <v>8080103002791</v>
      </c>
      <c r="J144" s="74" t="s">
        <v>265</v>
      </c>
      <c r="K144" s="60">
        <f>VLOOKUP(A144, 'OES Summary'!$A:$B, 2, FALSE)</f>
        <v>365</v>
      </c>
      <c r="L144" s="304" cm="1">
        <f t="array" ref="L144">IF(COUNTIF('Raw Annual DMR Data'!$L:$L,$F144)&gt;0,MEDIAN(IF('Raw Annual DMR Data'!$L:$L=F144,'Raw Annual DMR Data'!$S:$S)),"N/A - Facility Does Not Report DMRs")</f>
        <v>3.0147525000000001E-2</v>
      </c>
      <c r="M144" s="156">
        <f t="shared" si="18"/>
        <v>8.259595890410959E-5</v>
      </c>
      <c r="N144" s="156">
        <f>IF(COUNTIF('Raw Annual DMR Data'!$L:$L,$F144)&gt;0,_xlfn.MAXIFS('Raw Annual DMR Data'!$S:$S,'Raw Annual DMR Data'!$L:$L,$F144), "N/A - Facility Does Not Report DMRs")</f>
        <v>3.0147525000000001E-2</v>
      </c>
      <c r="O144" s="156">
        <f t="shared" si="19"/>
        <v>8.259595890410959E-5</v>
      </c>
      <c r="P144" s="113" cm="1">
        <f t="array" ref="P144">IF(COUNTIF('Raw Annual DMR Data'!$L:$L,$F144)&gt;0,INDEX('Raw Annual DMR Data'!$B:$B,MATCH(1,($F144='Raw Annual DMR Data'!$L:$L)*($N144='Raw Annual DMR Data'!$S:$S),0)), "N/A - Facility Does Not Report DMRs")</f>
        <v>2015</v>
      </c>
      <c r="Q144" s="304" t="str" cm="1">
        <f t="array" ref="Q144">IF(COUNTIF('Raw TRI Data'!$J:$J,$E144)&gt;0,MEDIAN(IF('Raw TRI Data'!$J:$J=E144,'Raw TRI Data'!$S:$S)), "N/A - Facility Does Not Report to TRI")</f>
        <v>N/A - Facility Does Not Report to TRI</v>
      </c>
      <c r="R144" s="156" t="str">
        <f t="shared" si="16"/>
        <v>N/A - Facility Does Not Report to TRI</v>
      </c>
      <c r="S144" s="156" t="str">
        <f>IF(COUNTIF('Raw TRI Data'!$J:$J,$E144)&gt;0,_xlfn.MAXIFS('Raw TRI Data'!$S:$S,'Raw TRI Data'!$J:$J,$E144), "N/A - Facility Does Not Report to TRI")</f>
        <v>N/A - Facility Does Not Report to TRI</v>
      </c>
      <c r="T144" s="156" t="str">
        <f t="shared" si="17"/>
        <v>N/A - Facility Does Not Report to TRI</v>
      </c>
      <c r="U144" s="136" t="str" cm="1">
        <f t="array" ref="U144">IF(COUNTIF('Raw TRI Data'!$J:$J,$E144)&gt;0,INDEX('Raw TRI Data'!$A:$A,MATCH(1,($E144='Raw TRI Data'!$J:$J)*(S144='Raw TRI Data'!$S:$S),0)), "N/A - Facility Does Not Report to TRI")</f>
        <v>N/A - Facility Does Not Report to TRI</v>
      </c>
      <c r="V144" s="156" t="str" cm="1">
        <f t="array" ref="V144">IF(COUNTIFS('Raw Annual DMR Data'!$L:$L,$F144,'Raw Annual DMR Data'!$U:$U,"&gt;0")&gt;0,MEDIAN(IF('Raw Annual DMR Data'!$L:$L=$F144,'Raw Annual DMR Data'!$U:$U,"")),"N/A - Period DMR Data Not Available")</f>
        <v>N/A - Period DMR Data Not Available</v>
      </c>
      <c r="W144" s="156" t="str">
        <f>IF(COUNTIFS('Raw Annual DMR Data'!$L:$L,$F144, 'Raw Annual DMR Data'!$U:$U, "&gt;0")&gt;0,_xlfn.MAXIFS('Raw Annual DMR Data'!$U:$U,'Raw Annual DMR Data'!$L:$L,$F144), "N/A - Period DMR Data Not Available")</f>
        <v>N/A - Period DMR Data Not Available</v>
      </c>
      <c r="X144" s="113" t="str" cm="1">
        <f t="array" ref="X144">+IF(COUNTIFS('Raw Annual DMR Data'!L:L,$F144, 'Raw Annual DMR Data'!U:U, "&gt;0")&gt;0,INDEX('Raw Annual DMR Data'!V:V,MATCH(1,($F144='Raw Annual DMR Data'!L:L)*($W144='Raw Annual DMR Data'!U:U),0)), "N/A - Period DMR Data Not Available")</f>
        <v>N/A - Period DMR Data Not Available</v>
      </c>
      <c r="Y144" s="113" t="str" cm="1">
        <f t="array" ref="Y144">IF(COUNTIFS('Raw Annual DMR Data'!L:L,$F144, 'Raw Annual DMR Data'!U:U, "&gt;0")&gt;0,INDEX('Raw Annual DMR Data'!B:B,MATCH(1,($F144='Raw Annual DMR Data'!L:L)*($W144='Raw Annual DMR Data'!U:U),0)), "N/A - Period DMR Data Not Available")</f>
        <v>N/A - Period DMR Data Not Available</v>
      </c>
      <c r="Z144" s="311" t="str" cm="1">
        <f t="array" ref="Z144">IF(COUNTIF('Raw Annual DMR Data'!K:K,$E144)&gt;0,"N/A - See DMRs",IF(SUMIFS('Raw TRI Data'!$Z:$Z,'Raw TRI Data'!$J:$J,$E144)&gt;0,MEDIAN(IF('Raw TRI Data'!$J:$J=$E144,'Raw TRI Data'!$Z:$Z)), "N/A - Facility Does Not Report to TRI, no surface water releases, or no Generic Factors available"))</f>
        <v>N/A - See DMRs</v>
      </c>
      <c r="AA144" s="156" t="str">
        <f>IF(COUNTIF('Raw Annual DMR Data'!K:K,$E144)&gt;0,"N/A - See DMRs",IF(SUMIFS('Raw TRI Data'!$Z:$Z,'Raw TRI Data'!$J:$J,$E144)&gt;0,_xlfn.MAXIFS('Raw TRI Data'!$Z:$Z,'Raw TRI Data'!$J:$J,$E144), "N/A - Facility Does Not Report to TRI, no surface water releases, or no Generic Factors available"))</f>
        <v>N/A - See DMRs</v>
      </c>
      <c r="AB144" s="113" t="str">
        <f t="shared" si="20"/>
        <v>N/A</v>
      </c>
      <c r="AC144" s="136" t="str" cm="1">
        <f t="array" ref="AC144">IF(COUNTIF('Raw Annual DMR Data'!K:K,$E144)&gt;0,"N/A - See DMRs",IF(SUMIFS('Raw TRI Data'!$Z:$Z,'Raw TRI Data'!$J:$J,$E144)&gt;0,INDEX('Raw TRI Data'!$A:$A,MATCH(1,($E144='Raw TRI Data'!$J:$J)*($AA144='Raw TRI Data'!$Z:$Z),0)), "N/A - Facility Does Not Report to TRI, no surface water releases, or no Generic Factors available"))</f>
        <v>N/A - See DMRs</v>
      </c>
      <c r="AD144" s="96" t="str" cm="1">
        <f t="array" ref="AD144">IF(COUNTIFS('Raw Annual DMR Data'!L:L,$F144,'Raw Annual DMR Data'!W:W, "&gt;0")&gt;0,MEDIAN(IF('Raw Annual DMR Data'!K:K=$F144, 'Raw Annual DMR Data'!W:W)), "N/A - No Daily Max DMR Discharge Data")</f>
        <v>N/A - No Daily Max DMR Discharge Data</v>
      </c>
      <c r="AE144" s="96" t="str">
        <f>IF(COUNTIFS('Raw Annual DMR Data'!L:L,$F144,'Raw Annual DMR Data'!W:W, "&gt;0")&gt;0,_xlfn.MAXIFS('Raw Annual DMR Data'!W:W,'Raw Annual DMR Data'!L:L,$F144), "N/A - No Daily Max DMR Discharge Data")</f>
        <v>N/A - No Daily Max DMR Discharge Data</v>
      </c>
      <c r="AF144" s="60" t="str" cm="1">
        <f t="array" ref="AF144">IF(COUNTIFS('Raw Annual DMR Data'!L:L,$F144,'Raw Annual DMR Data'!W:W, "&gt;0")&gt;0,INDEX('Raw Annual DMR Data'!B:B,MATCH(1,($F144='Raw Annual DMR Data'!L:L)*($AE144='Raw Annual DMR Data'!W:W),0)), "N/A - No Daily Max DMR Discharge Data")</f>
        <v>N/A - No Daily Max DMR Discharge Data</v>
      </c>
    </row>
    <row r="145" spans="1:32" ht="30.75" thickBot="1" x14ac:dyDescent="0.3">
      <c r="A145" s="144" t="str">
        <f>VLOOKUP(F145,'Facility Summary'!J:K,2,FALSE)</f>
        <v>Unknown</v>
      </c>
      <c r="B145" s="28" t="s">
        <v>989</v>
      </c>
      <c r="C145" s="28" t="s">
        <v>990</v>
      </c>
      <c r="D145" s="28" t="s">
        <v>362</v>
      </c>
      <c r="E145" s="28" t="s">
        <v>703</v>
      </c>
      <c r="F145" s="61">
        <v>110000463533</v>
      </c>
      <c r="G145" s="60" t="str">
        <f>VLOOKUP($F145, 'Raw Annual DMR Data'!$A:$Z, 24, FALSE)</f>
        <v>TX0092282</v>
      </c>
      <c r="H145" s="60" t="str">
        <f>VLOOKUP($F145, 'Raw Annual DMR Data'!$A:$Z, 25, FALSE)</f>
        <v>DIRECTLY HOUSTON SHIP CHANNEL/SAN JACINTO RV, SEG NO 1005 SAN JACINTO RIVER BASIN</v>
      </c>
      <c r="I145" s="74">
        <f>VLOOKUP($F145, 'Raw Annual DMR Data'!$A:$Z, 26, FALSE)</f>
        <v>12040104000885</v>
      </c>
      <c r="J145" s="74" t="s">
        <v>265</v>
      </c>
      <c r="K145" s="60">
        <f>VLOOKUP(A145, 'OES Summary'!$A:$B, 2, FALSE)</f>
        <v>250</v>
      </c>
      <c r="L145" s="304" cm="1">
        <f t="array" ref="L145">IF(COUNTIF('Raw Annual DMR Data'!$L:$L,$F145)&gt;0,MEDIAN(IF('Raw Annual DMR Data'!$L:$L=F145,'Raw Annual DMR Data'!$S:$S)),"N/A - Facility Does Not Report DMRs")</f>
        <v>3.5758976750000004E-2</v>
      </c>
      <c r="M145" s="156">
        <f t="shared" si="18"/>
        <v>1.4303590700000002E-4</v>
      </c>
      <c r="N145" s="156">
        <f>IF(COUNTIF('Raw Annual DMR Data'!$L:$L,$F145)&gt;0,_xlfn.MAXIFS('Raw Annual DMR Data'!$S:$S,'Raw Annual DMR Data'!$L:$L,$F145), "N/A - Facility Does Not Report DMRs")</f>
        <v>3.8456735499999999E-2</v>
      </c>
      <c r="O145" s="156">
        <f t="shared" si="19"/>
        <v>1.53826942E-4</v>
      </c>
      <c r="P145" s="113" cm="1">
        <f t="array" ref="P145">IF(COUNTIF('Raw Annual DMR Data'!$L:$L,$F145)&gt;0,INDEX('Raw Annual DMR Data'!$B:$B,MATCH(1,($F145='Raw Annual DMR Data'!$L:$L)*($N145='Raw Annual DMR Data'!$S:$S),0)), "N/A - Facility Does Not Report DMRs")</f>
        <v>2015</v>
      </c>
      <c r="Q145" s="304" t="str" cm="1">
        <f t="array" ref="Q145">IF(COUNTIF('Raw TRI Data'!$J:$J,$E145)&gt;0,MEDIAN(IF('Raw TRI Data'!$J:$J=E145,'Raw TRI Data'!$S:$S)), "N/A - Facility Does Not Report to TRI")</f>
        <v>N/A - Facility Does Not Report to TRI</v>
      </c>
      <c r="R145" s="156" t="str">
        <f t="shared" si="16"/>
        <v>N/A - Facility Does Not Report to TRI</v>
      </c>
      <c r="S145" s="156" t="str">
        <f>IF(COUNTIF('Raw TRI Data'!$J:$J,$E145)&gt;0,_xlfn.MAXIFS('Raw TRI Data'!$S:$S,'Raw TRI Data'!$J:$J,$E145), "N/A - Facility Does Not Report to TRI")</f>
        <v>N/A - Facility Does Not Report to TRI</v>
      </c>
      <c r="T145" s="156" t="str">
        <f t="shared" si="17"/>
        <v>N/A - Facility Does Not Report to TRI</v>
      </c>
      <c r="U145" s="136" t="str" cm="1">
        <f t="array" ref="U145">IF(COUNTIF('Raw TRI Data'!$J:$J,$E145)&gt;0,INDEX('Raw TRI Data'!$A:$A,MATCH(1,($E145='Raw TRI Data'!$J:$J)*(S145='Raw TRI Data'!$S:$S),0)), "N/A - Facility Does Not Report to TRI")</f>
        <v>N/A - Facility Does Not Report to TRI</v>
      </c>
      <c r="V145" s="156" t="str" cm="1">
        <f t="array" ref="V145">IF(COUNTIFS('Raw Annual DMR Data'!$L:$L,$F145,'Raw Annual DMR Data'!$U:$U,"&gt;0")&gt;0,MEDIAN(IF('Raw Annual DMR Data'!$L:$L=$F145,'Raw Annual DMR Data'!$U:$U,"")),"N/A - Period DMR Data Not Available")</f>
        <v>N/A - Period DMR Data Not Available</v>
      </c>
      <c r="W145" s="156" t="str">
        <f>IF(COUNTIFS('Raw Annual DMR Data'!$L:$L,$F145, 'Raw Annual DMR Data'!$U:$U, "&gt;0")&gt;0,_xlfn.MAXIFS('Raw Annual DMR Data'!$U:$U,'Raw Annual DMR Data'!$L:$L,$F145), "N/A - Period DMR Data Not Available")</f>
        <v>N/A - Period DMR Data Not Available</v>
      </c>
      <c r="X145" s="113" t="str" cm="1">
        <f t="array" ref="X145">+IF(COUNTIFS('Raw Annual DMR Data'!L:L,$F145, 'Raw Annual DMR Data'!U:U, "&gt;0")&gt;0,INDEX('Raw Annual DMR Data'!V:V,MATCH(1,($F145='Raw Annual DMR Data'!L:L)*($W145='Raw Annual DMR Data'!U:U),0)), "N/A - Period DMR Data Not Available")</f>
        <v>N/A - Period DMR Data Not Available</v>
      </c>
      <c r="Y145" s="113" t="str" cm="1">
        <f t="array" ref="Y145">IF(COUNTIFS('Raw Annual DMR Data'!L:L,$F145, 'Raw Annual DMR Data'!U:U, "&gt;0")&gt;0,INDEX('Raw Annual DMR Data'!B:B,MATCH(1,($F145='Raw Annual DMR Data'!L:L)*($W145='Raw Annual DMR Data'!U:U),0)), "N/A - Period DMR Data Not Available")</f>
        <v>N/A - Period DMR Data Not Available</v>
      </c>
      <c r="Z145" s="311" t="str" cm="1">
        <f t="array" ref="Z145">IF(COUNTIF('Raw Annual DMR Data'!K:K,$E145)&gt;0,"N/A - See DMRs",IF(SUMIFS('Raw TRI Data'!$Z:$Z,'Raw TRI Data'!$J:$J,$E145)&gt;0,MEDIAN(IF('Raw TRI Data'!$J:$J=$E145,'Raw TRI Data'!$Z:$Z)), "N/A - Facility Does Not Report to TRI, no surface water releases, or no Generic Factors available"))</f>
        <v>N/A - See DMRs</v>
      </c>
      <c r="AA145" s="156" t="str">
        <f>IF(COUNTIF('Raw Annual DMR Data'!K:K,$E145)&gt;0,"N/A - See DMRs",IF(SUMIFS('Raw TRI Data'!$Z:$Z,'Raw TRI Data'!$J:$J,$E145)&gt;0,_xlfn.MAXIFS('Raw TRI Data'!$Z:$Z,'Raw TRI Data'!$J:$J,$E145), "N/A - Facility Does Not Report to TRI, no surface water releases, or no Generic Factors available"))</f>
        <v>N/A - See DMRs</v>
      </c>
      <c r="AB145" s="113" t="str">
        <f t="shared" si="20"/>
        <v>N/A</v>
      </c>
      <c r="AC145" s="136" t="str" cm="1">
        <f t="array" ref="AC145">IF(COUNTIF('Raw Annual DMR Data'!K:K,$E145)&gt;0,"N/A - See DMRs",IF(SUMIFS('Raw TRI Data'!$Z:$Z,'Raw TRI Data'!$J:$J,$E145)&gt;0,INDEX('Raw TRI Data'!$A:$A,MATCH(1,($E145='Raw TRI Data'!$J:$J)*($AA145='Raw TRI Data'!$Z:$Z),0)), "N/A - Facility Does Not Report to TRI, no surface water releases, or no Generic Factors available"))</f>
        <v>N/A - See DMRs</v>
      </c>
      <c r="AD145" s="96" t="str" cm="1">
        <f t="array" ref="AD145">IF(COUNTIFS('Raw Annual DMR Data'!L:L,$F145,'Raw Annual DMR Data'!W:W, "&gt;0")&gt;0,MEDIAN(IF('Raw Annual DMR Data'!K:K=$F145, 'Raw Annual DMR Data'!W:W)), "N/A - No Daily Max DMR Discharge Data")</f>
        <v>N/A - No Daily Max DMR Discharge Data</v>
      </c>
      <c r="AE145" s="96" t="str">
        <f>IF(COUNTIFS('Raw Annual DMR Data'!L:L,$F145,'Raw Annual DMR Data'!W:W, "&gt;0")&gt;0,_xlfn.MAXIFS('Raw Annual DMR Data'!W:W,'Raw Annual DMR Data'!L:L,$F145), "N/A - No Daily Max DMR Discharge Data")</f>
        <v>N/A - No Daily Max DMR Discharge Data</v>
      </c>
      <c r="AF145" s="60" t="str" cm="1">
        <f t="array" ref="AF145">IF(COUNTIFS('Raw Annual DMR Data'!L:L,$F145,'Raw Annual DMR Data'!W:W, "&gt;0")&gt;0,INDEX('Raw Annual DMR Data'!B:B,MATCH(1,($F145='Raw Annual DMR Data'!L:L)*($AE145='Raw Annual DMR Data'!W:W),0)), "N/A - No Daily Max DMR Discharge Data")</f>
        <v>N/A - No Daily Max DMR Discharge Data</v>
      </c>
    </row>
    <row r="146" spans="1:32" ht="45.75" thickBot="1" x14ac:dyDescent="0.3">
      <c r="A146" s="144" t="str">
        <f>VLOOKUP(F146,'Facility Summary'!J:K,2,FALSE)</f>
        <v>Processing into formulation, mixture, or reaction product</v>
      </c>
      <c r="B146" s="28" t="s">
        <v>991</v>
      </c>
      <c r="C146" s="28" t="s">
        <v>992</v>
      </c>
      <c r="D146" s="28" t="s">
        <v>299</v>
      </c>
      <c r="E146" s="28" t="s">
        <v>704</v>
      </c>
      <c r="F146" s="61">
        <v>110000452082</v>
      </c>
      <c r="G146" s="60" t="str">
        <f>VLOOKUP($F146, 'Raw Annual DMR Data'!$A:$Z, 24, FALSE)</f>
        <v>AR0037770</v>
      </c>
      <c r="H146" s="60" t="str">
        <f>VLOOKUP($F146, 'Raw Annual DMR Data'!$A:$Z, 25, FALSE)</f>
        <v>MISSISSIPPI R</v>
      </c>
      <c r="I146" s="74">
        <f>VLOOKUP($F146, 'Raw Annual DMR Data'!$A:$Z, 26, FALSE)</f>
        <v>8010100000818</v>
      </c>
      <c r="J146" s="74" t="s">
        <v>265</v>
      </c>
      <c r="K146" s="60">
        <f>VLOOKUP(A146, 'OES Summary'!$A:$B, 2, FALSE)</f>
        <v>300</v>
      </c>
      <c r="L146" s="304" cm="1">
        <f t="array" ref="L146">IF(COUNTIF('Raw Annual DMR Data'!$L:$L,$F146)&gt;0,MEDIAN(IF('Raw Annual DMR Data'!$L:$L=F146,'Raw Annual DMR Data'!$S:$S)),"N/A - Facility Does Not Report DMRs")</f>
        <v>4.1723356009070199E-2</v>
      </c>
      <c r="M146" s="156">
        <f t="shared" si="18"/>
        <v>1.3907785336356732E-4</v>
      </c>
      <c r="N146" s="156">
        <f>IF(COUNTIF('Raw Annual DMR Data'!$L:$L,$F146)&gt;0,_xlfn.MAXIFS('Raw Annual DMR Data'!$S:$S,'Raw Annual DMR Data'!$L:$L,$F146), "N/A - Facility Does Not Report DMRs")</f>
        <v>0.21866213151927399</v>
      </c>
      <c r="O146" s="156">
        <f t="shared" si="19"/>
        <v>7.2887377173091333E-4</v>
      </c>
      <c r="P146" s="113" cm="1">
        <f t="array" ref="P146">IF(COUNTIF('Raw Annual DMR Data'!$L:$L,$F146)&gt;0,INDEX('Raw Annual DMR Data'!$B:$B,MATCH(1,($F146='Raw Annual DMR Data'!$L:$L)*($N146='Raw Annual DMR Data'!$S:$S),0)), "N/A - Facility Does Not Report DMRs")</f>
        <v>2017</v>
      </c>
      <c r="Q146" s="304" t="str" cm="1">
        <f t="array" ref="Q146">IF(COUNTIF('Raw TRI Data'!$J:$J,$E146)&gt;0,MEDIAN(IF('Raw TRI Data'!$J:$J=E146,'Raw TRI Data'!$S:$S)), "N/A - Facility Does Not Report to TRI")</f>
        <v>N/A - Facility Does Not Report to TRI</v>
      </c>
      <c r="R146" s="156" t="str">
        <f t="shared" si="16"/>
        <v>N/A - Facility Does Not Report to TRI</v>
      </c>
      <c r="S146" s="156" t="str">
        <f>IF(COUNTIF('Raw TRI Data'!$J:$J,$E146)&gt;0,_xlfn.MAXIFS('Raw TRI Data'!$S:$S,'Raw TRI Data'!$J:$J,$E146), "N/A - Facility Does Not Report to TRI")</f>
        <v>N/A - Facility Does Not Report to TRI</v>
      </c>
      <c r="T146" s="156" t="str">
        <f t="shared" si="17"/>
        <v>N/A - Facility Does Not Report to TRI</v>
      </c>
      <c r="U146" s="136" t="str" cm="1">
        <f t="array" ref="U146">IF(COUNTIF('Raw TRI Data'!$J:$J,$E146)&gt;0,INDEX('Raw TRI Data'!$A:$A,MATCH(1,($E146='Raw TRI Data'!$J:$J)*(S146='Raw TRI Data'!$S:$S),0)), "N/A - Facility Does Not Report to TRI")</f>
        <v>N/A - Facility Does Not Report to TRI</v>
      </c>
      <c r="V146" s="156" t="str" cm="1">
        <f t="array" ref="V146">IF(COUNTIFS('Raw Annual DMR Data'!$L:$L,$F146,'Raw Annual DMR Data'!$U:$U,"&gt;0")&gt;0,MEDIAN(IF('Raw Annual DMR Data'!$L:$L=$F146,'Raw Annual DMR Data'!$U:$U,"")),"N/A - Period DMR Data Not Available")</f>
        <v>N/A - Period DMR Data Not Available</v>
      </c>
      <c r="W146" s="156" t="str">
        <f>IF(COUNTIFS('Raw Annual DMR Data'!$L:$L,$F146, 'Raw Annual DMR Data'!$U:$U, "&gt;0")&gt;0,_xlfn.MAXIFS('Raw Annual DMR Data'!$U:$U,'Raw Annual DMR Data'!$L:$L,$F146), "N/A - Period DMR Data Not Available")</f>
        <v>N/A - Period DMR Data Not Available</v>
      </c>
      <c r="X146" s="113" t="str" cm="1">
        <f t="array" ref="X146">+IF(COUNTIFS('Raw Annual DMR Data'!L:L,$F146, 'Raw Annual DMR Data'!U:U, "&gt;0")&gt;0,INDEX('Raw Annual DMR Data'!V:V,MATCH(1,($F146='Raw Annual DMR Data'!L:L)*($W146='Raw Annual DMR Data'!U:U),0)), "N/A - Period DMR Data Not Available")</f>
        <v>N/A - Period DMR Data Not Available</v>
      </c>
      <c r="Y146" s="113" t="str" cm="1">
        <f t="array" ref="Y146">IF(COUNTIFS('Raw Annual DMR Data'!L:L,$F146, 'Raw Annual DMR Data'!U:U, "&gt;0")&gt;0,INDEX('Raw Annual DMR Data'!B:B,MATCH(1,($F146='Raw Annual DMR Data'!L:L)*($W146='Raw Annual DMR Data'!U:U),0)), "N/A - Period DMR Data Not Available")</f>
        <v>N/A - Period DMR Data Not Available</v>
      </c>
      <c r="Z146" s="311" t="str" cm="1">
        <f t="array" ref="Z146">IF(COUNTIF('Raw Annual DMR Data'!K:K,$E146)&gt;0,"N/A - See DMRs",IF(SUMIFS('Raw TRI Data'!$Z:$Z,'Raw TRI Data'!$J:$J,$E146)&gt;0,MEDIAN(IF('Raw TRI Data'!$J:$J=$E146,'Raw TRI Data'!$Z:$Z)), "N/A - Facility Does Not Report to TRI, no surface water releases, or no Generic Factors available"))</f>
        <v>N/A - See DMRs</v>
      </c>
      <c r="AA146" s="156" t="str">
        <f>IF(COUNTIF('Raw Annual DMR Data'!K:K,$E146)&gt;0,"N/A - See DMRs",IF(SUMIFS('Raw TRI Data'!$Z:$Z,'Raw TRI Data'!$J:$J,$E146)&gt;0,_xlfn.MAXIFS('Raw TRI Data'!$Z:$Z,'Raw TRI Data'!$J:$J,$E146), "N/A - Facility Does Not Report to TRI, no surface water releases, or no Generic Factors available"))</f>
        <v>N/A - See DMRs</v>
      </c>
      <c r="AB146" s="113" t="str">
        <f t="shared" si="20"/>
        <v>N/A</v>
      </c>
      <c r="AC146" s="136" t="str" cm="1">
        <f t="array" ref="AC146">IF(COUNTIF('Raw Annual DMR Data'!K:K,$E146)&gt;0,"N/A - See DMRs",IF(SUMIFS('Raw TRI Data'!$Z:$Z,'Raw TRI Data'!$J:$J,$E146)&gt;0,INDEX('Raw TRI Data'!$A:$A,MATCH(1,($E146='Raw TRI Data'!$J:$J)*($AA146='Raw TRI Data'!$Z:$Z),0)), "N/A - Facility Does Not Report to TRI, no surface water releases, or no Generic Factors available"))</f>
        <v>N/A - See DMRs</v>
      </c>
      <c r="AD146" s="96" t="str" cm="1">
        <f t="array" ref="AD146">IF(COUNTIFS('Raw Annual DMR Data'!L:L,$F146,'Raw Annual DMR Data'!W:W, "&gt;0")&gt;0,MEDIAN(IF('Raw Annual DMR Data'!K:K=$F146, 'Raw Annual DMR Data'!W:W)), "N/A - No Daily Max DMR Discharge Data")</f>
        <v>N/A - No Daily Max DMR Discharge Data</v>
      </c>
      <c r="AE146" s="96" t="str">
        <f>IF(COUNTIFS('Raw Annual DMR Data'!L:L,$F146,'Raw Annual DMR Data'!W:W, "&gt;0")&gt;0,_xlfn.MAXIFS('Raw Annual DMR Data'!W:W,'Raw Annual DMR Data'!L:L,$F146), "N/A - No Daily Max DMR Discharge Data")</f>
        <v>N/A - No Daily Max DMR Discharge Data</v>
      </c>
      <c r="AF146" s="60" t="str" cm="1">
        <f t="array" ref="AF146">IF(COUNTIFS('Raw Annual DMR Data'!L:L,$F146,'Raw Annual DMR Data'!W:W, "&gt;0")&gt;0,INDEX('Raw Annual DMR Data'!B:B,MATCH(1,($F146='Raw Annual DMR Data'!L:L)*($AE146='Raw Annual DMR Data'!W:W),0)), "N/A - No Daily Max DMR Discharge Data")</f>
        <v>N/A - No Daily Max DMR Discharge Data</v>
      </c>
    </row>
    <row r="147" spans="1:32" ht="45.75" thickBot="1" x14ac:dyDescent="0.3">
      <c r="A147" s="144" t="str">
        <f>VLOOKUP(F147,'Facility Summary'!J:K,2,FALSE)</f>
        <v>POTW</v>
      </c>
      <c r="B147" s="28" t="s">
        <v>993</v>
      </c>
      <c r="C147" s="28" t="s">
        <v>994</v>
      </c>
      <c r="D147" s="28" t="s">
        <v>324</v>
      </c>
      <c r="E147" s="28"/>
      <c r="F147" s="61">
        <v>110030443544</v>
      </c>
      <c r="G147" s="60" t="str">
        <f>VLOOKUP($F147, 'Raw Annual DMR Data'!$A:$Z, 24, FALSE)</f>
        <v>KY0106887</v>
      </c>
      <c r="H147" s="60" t="str">
        <f>VLOOKUP($F147, 'Raw Annual DMR Data'!$A:$Z, 25, FALSE)</f>
        <v>SLATE CREEK, SLATE CRK</v>
      </c>
      <c r="I147" s="74">
        <f>VLOOKUP($F147, 'Raw Annual DMR Data'!$A:$Z, 26, FALSE)</f>
        <v>5100101000134</v>
      </c>
      <c r="J147" s="74" t="s">
        <v>265</v>
      </c>
      <c r="K147" s="60">
        <f>VLOOKUP(A147, 'OES Summary'!$A:$B, 2, FALSE)</f>
        <v>365</v>
      </c>
      <c r="L147" s="304" cm="1">
        <f t="array" ref="L147">IF(COUNTIF('Raw Annual DMR Data'!$L:$L,$F147)&gt;0,MEDIAN(IF('Raw Annual DMR Data'!$L:$L=F147,'Raw Annual DMR Data'!$S:$S)),"N/A - Facility Does Not Report DMRs")</f>
        <v>8.6345312499999993E-2</v>
      </c>
      <c r="M147" s="156">
        <f t="shared" si="18"/>
        <v>2.3656249999999998E-4</v>
      </c>
      <c r="N147" s="156">
        <f>IF(COUNTIF('Raw Annual DMR Data'!$L:$L,$F147)&gt;0,_xlfn.MAXIFS('Raw Annual DMR Data'!$S:$S,'Raw Annual DMR Data'!$L:$L,$F147), "N/A - Facility Does Not Report DMRs")</f>
        <v>8.6345312499999993E-2</v>
      </c>
      <c r="O147" s="156">
        <f t="shared" si="19"/>
        <v>2.3656249999999998E-4</v>
      </c>
      <c r="P147" s="113" cm="1">
        <f t="array" ref="P147">IF(COUNTIF('Raw Annual DMR Data'!$L:$L,$F147)&gt;0,INDEX('Raw Annual DMR Data'!$B:$B,MATCH(1,($F147='Raw Annual DMR Data'!$L:$L)*($N147='Raw Annual DMR Data'!$S:$S),0)), "N/A - Facility Does Not Report DMRs")</f>
        <v>2020</v>
      </c>
      <c r="Q147" s="304" t="str" cm="1">
        <f t="array" ref="Q147">IF(COUNTIF('Raw TRI Data'!$J:$J,$E147)&gt;0,MEDIAN(IF('Raw TRI Data'!$J:$J=E147,'Raw TRI Data'!$S:$S)), "N/A - Facility Does Not Report to TRI")</f>
        <v>N/A - Facility Does Not Report to TRI</v>
      </c>
      <c r="R147" s="156" t="str">
        <f t="shared" si="16"/>
        <v>N/A - Facility Does Not Report to TRI</v>
      </c>
      <c r="S147" s="156" t="str">
        <f>IF(COUNTIF('Raw TRI Data'!$J:$J,$E147)&gt;0,_xlfn.MAXIFS('Raw TRI Data'!$S:$S,'Raw TRI Data'!$J:$J,$E147), "N/A - Facility Does Not Report to TRI")</f>
        <v>N/A - Facility Does Not Report to TRI</v>
      </c>
      <c r="T147" s="156" t="str">
        <f t="shared" si="17"/>
        <v>N/A - Facility Does Not Report to TRI</v>
      </c>
      <c r="U147" s="136" t="str" cm="1">
        <f t="array" ref="U147">IF(COUNTIF('Raw TRI Data'!$J:$J,$E147)&gt;0,INDEX('Raw TRI Data'!$A:$A,MATCH(1,($E147='Raw TRI Data'!$J:$J)*(S147='Raw TRI Data'!$S:$S),0)), "N/A - Facility Does Not Report to TRI")</f>
        <v>N/A - Facility Does Not Report to TRI</v>
      </c>
      <c r="V147" s="156" t="str" cm="1">
        <f t="array" ref="V147">IF(COUNTIFS('Raw Annual DMR Data'!$L:$L,$F147,'Raw Annual DMR Data'!$U:$U,"&gt;0")&gt;0,MEDIAN(IF('Raw Annual DMR Data'!$L:$L=$F147,'Raw Annual DMR Data'!$U:$U,"")),"N/A - Period DMR Data Not Available")</f>
        <v>N/A - Period DMR Data Not Available</v>
      </c>
      <c r="W147" s="156" t="str">
        <f>IF(COUNTIFS('Raw Annual DMR Data'!$L:$L,$F147, 'Raw Annual DMR Data'!$U:$U, "&gt;0")&gt;0,_xlfn.MAXIFS('Raw Annual DMR Data'!$U:$U,'Raw Annual DMR Data'!$L:$L,$F147), "N/A - Period DMR Data Not Available")</f>
        <v>N/A - Period DMR Data Not Available</v>
      </c>
      <c r="X147" s="113" t="str" cm="1">
        <f t="array" ref="X147">+IF(COUNTIFS('Raw Annual DMR Data'!L:L,$F147, 'Raw Annual DMR Data'!U:U, "&gt;0")&gt;0,INDEX('Raw Annual DMR Data'!V:V,MATCH(1,($F147='Raw Annual DMR Data'!L:L)*($W147='Raw Annual DMR Data'!U:U),0)), "N/A - Period DMR Data Not Available")</f>
        <v>N/A - Period DMR Data Not Available</v>
      </c>
      <c r="Y147" s="113" t="str" cm="1">
        <f t="array" ref="Y147">IF(COUNTIFS('Raw Annual DMR Data'!L:L,$F147, 'Raw Annual DMR Data'!U:U, "&gt;0")&gt;0,INDEX('Raw Annual DMR Data'!B:B,MATCH(1,($F147='Raw Annual DMR Data'!L:L)*($W147='Raw Annual DMR Data'!U:U),0)), "N/A - Period DMR Data Not Available")</f>
        <v>N/A - Period DMR Data Not Available</v>
      </c>
      <c r="Z147" s="311" t="str" cm="1">
        <f t="array" ref="Z147">IF(COUNTIF('Raw Annual DMR Data'!K:K,$E147)&gt;0,"N/A - See DMRs",IF(SUMIFS('Raw TRI Data'!$Z:$Z,'Raw TRI Data'!$J:$J,$E147)&gt;0,MEDIAN(IF('Raw TRI Data'!$J:$J=$E147,'Raw TRI Data'!$Z:$Z)), "N/A - Facility Does Not Report to TRI, no surface water releases, or no Generic Factors available"))</f>
        <v>N/A - Facility Does Not Report to TRI, no surface water releases, or no Generic Factors available</v>
      </c>
      <c r="AA147" s="156" t="str">
        <f>IF(COUNTIF('Raw Annual DMR Data'!K:K,$E147)&gt;0,"N/A - See DMRs",IF(SUMIFS('Raw TRI Data'!$Z:$Z,'Raw TRI Data'!$J:$J,$E147)&gt;0,_xlfn.MAXIFS('Raw TRI Data'!$Z:$Z,'Raw TRI Data'!$J:$J,$E147), "N/A - Facility Does Not Report to TRI, no surface water releases, or no Generic Factors available"))</f>
        <v>N/A - Facility Does Not Report to TRI, no surface water releases, or no Generic Factors available</v>
      </c>
      <c r="AB147" s="113" t="str">
        <f t="shared" si="20"/>
        <v>N/A</v>
      </c>
      <c r="AC147" s="136" t="str" cm="1">
        <f t="array" ref="AC147">IF(COUNTIF('Raw Annual DMR Data'!K:K,$E147)&gt;0,"N/A - See DMRs",IF(SUMIFS('Raw TRI Data'!$Z:$Z,'Raw TRI Data'!$J:$J,$E147)&gt;0,INDEX('Raw TRI Data'!$A:$A,MATCH(1,($E147='Raw TRI Data'!$J:$J)*($AA147='Raw TRI Data'!$Z:$Z),0)), "N/A - Facility Does Not Report to TRI, no surface water releases, or no Generic Factors available"))</f>
        <v>N/A - Facility Does Not Report to TRI, no surface water releases, or no Generic Factors available</v>
      </c>
      <c r="AD147" s="96" t="str" cm="1">
        <f t="array" ref="AD147">IF(COUNTIFS('Raw Annual DMR Data'!L:L,$F147,'Raw Annual DMR Data'!W:W, "&gt;0")&gt;0,MEDIAN(IF('Raw Annual DMR Data'!K:K=$F147, 'Raw Annual DMR Data'!W:W)), "N/A - No Daily Max DMR Discharge Data")</f>
        <v>N/A - No Daily Max DMR Discharge Data</v>
      </c>
      <c r="AE147" s="96" t="str">
        <f>IF(COUNTIFS('Raw Annual DMR Data'!L:L,$F147,'Raw Annual DMR Data'!W:W, "&gt;0")&gt;0,_xlfn.MAXIFS('Raw Annual DMR Data'!W:W,'Raw Annual DMR Data'!L:L,$F147), "N/A - No Daily Max DMR Discharge Data")</f>
        <v>N/A - No Daily Max DMR Discharge Data</v>
      </c>
      <c r="AF147" s="60" t="str" cm="1">
        <f t="array" ref="AF147">IF(COUNTIFS('Raw Annual DMR Data'!L:L,$F147,'Raw Annual DMR Data'!W:W, "&gt;0")&gt;0,INDEX('Raw Annual DMR Data'!B:B,MATCH(1,($F147='Raw Annual DMR Data'!L:L)*($AE147='Raw Annual DMR Data'!W:W),0)), "N/A - No Daily Max DMR Discharge Data")</f>
        <v>N/A - No Daily Max DMR Discharge Data</v>
      </c>
    </row>
    <row r="148" spans="1:32" ht="30.75" thickBot="1" x14ac:dyDescent="0.3">
      <c r="A148" s="144" t="str">
        <f>VLOOKUP(F148,'Facility Summary'!J:K,2,FALSE)</f>
        <v>Unknown</v>
      </c>
      <c r="B148" s="28" t="s">
        <v>995</v>
      </c>
      <c r="C148" s="28" t="s">
        <v>615</v>
      </c>
      <c r="D148" s="28" t="s">
        <v>362</v>
      </c>
      <c r="E148" s="28" t="s">
        <v>705</v>
      </c>
      <c r="F148" s="61">
        <v>110000463178</v>
      </c>
      <c r="G148" s="60" t="str">
        <f>VLOOKUP($F148, 'Raw Annual DMR Data'!$A:$Z, 24, FALSE)</f>
        <v>TX0007013</v>
      </c>
      <c r="H148" s="60" t="str">
        <f>VLOOKUP($F148, 'Raw Annual DMR Data'!$A:$Z, 25, FALSE)</f>
        <v>NINE-FOOT DIAMETER PIPE</v>
      </c>
      <c r="I148" s="74">
        <f>VLOOKUP($F148, 'Raw Annual DMR Data'!$A:$Z, 26, FALSE)</f>
        <v>12040104000831</v>
      </c>
      <c r="J148" s="74" t="s">
        <v>265</v>
      </c>
      <c r="K148" s="60">
        <f>VLOOKUP(A148, 'OES Summary'!$A:$B, 2, FALSE)</f>
        <v>250</v>
      </c>
      <c r="L148" s="304" cm="1">
        <f t="array" ref="L148">IF(COUNTIF('Raw Annual DMR Data'!$L:$L,$F148)&gt;0,MEDIAN(IF('Raw Annual DMR Data'!$L:$L=F148,'Raw Annual DMR Data'!$S:$S)),"N/A - Facility Does Not Report DMRs")</f>
        <v>16.785528750000001</v>
      </c>
      <c r="M148" s="156">
        <f t="shared" si="18"/>
        <v>6.7142115000000002E-2</v>
      </c>
      <c r="N148" s="156">
        <f>IF(COUNTIF('Raw Annual DMR Data'!$L:$L,$F148)&gt;0,_xlfn.MAXIFS('Raw Annual DMR Data'!$S:$S,'Raw Annual DMR Data'!$L:$L,$F148), "N/A - Facility Does Not Report DMRs")</f>
        <v>16.785528750000001</v>
      </c>
      <c r="O148" s="156">
        <f t="shared" si="19"/>
        <v>6.7142115000000002E-2</v>
      </c>
      <c r="P148" s="113" cm="1">
        <f t="array" ref="P148">IF(COUNTIF('Raw Annual DMR Data'!$L:$L,$F148)&gt;0,INDEX('Raw Annual DMR Data'!$B:$B,MATCH(1,($F148='Raw Annual DMR Data'!$L:$L)*($N148='Raw Annual DMR Data'!$S:$S),0)), "N/A - Facility Does Not Report DMRs")</f>
        <v>2015</v>
      </c>
      <c r="Q148" s="304" t="str" cm="1">
        <f t="array" ref="Q148">IF(COUNTIF('Raw TRI Data'!$J:$J,$E148)&gt;0,MEDIAN(IF('Raw TRI Data'!$J:$J=E148,'Raw TRI Data'!$S:$S)), "N/A - Facility Does Not Report to TRI")</f>
        <v>N/A - Facility Does Not Report to TRI</v>
      </c>
      <c r="R148" s="156" t="str">
        <f t="shared" si="16"/>
        <v>N/A - Facility Does Not Report to TRI</v>
      </c>
      <c r="S148" s="156" t="str">
        <f>IF(COUNTIF('Raw TRI Data'!$J:$J,$E148)&gt;0,_xlfn.MAXIFS('Raw TRI Data'!$S:$S,'Raw TRI Data'!$J:$J,$E148), "N/A - Facility Does Not Report to TRI")</f>
        <v>N/A - Facility Does Not Report to TRI</v>
      </c>
      <c r="T148" s="156" t="str">
        <f t="shared" si="17"/>
        <v>N/A - Facility Does Not Report to TRI</v>
      </c>
      <c r="U148" s="136" t="str" cm="1">
        <f t="array" ref="U148">IF(COUNTIF('Raw TRI Data'!$J:$J,$E148)&gt;0,INDEX('Raw TRI Data'!$A:$A,MATCH(1,($E148='Raw TRI Data'!$J:$J)*(S148='Raw TRI Data'!$S:$S),0)), "N/A - Facility Does Not Report to TRI")</f>
        <v>N/A - Facility Does Not Report to TRI</v>
      </c>
      <c r="V148" s="156" t="str" cm="1">
        <f t="array" ref="V148">IF(COUNTIFS('Raw Annual DMR Data'!$L:$L,$F148,'Raw Annual DMR Data'!$U:$U,"&gt;0")&gt;0,MEDIAN(IF('Raw Annual DMR Data'!$L:$L=$F148,'Raw Annual DMR Data'!$U:$U,"")),"N/A - Period DMR Data Not Available")</f>
        <v>N/A - Period DMR Data Not Available</v>
      </c>
      <c r="W148" s="156" t="str">
        <f>IF(COUNTIFS('Raw Annual DMR Data'!$L:$L,$F148, 'Raw Annual DMR Data'!$U:$U, "&gt;0")&gt;0,_xlfn.MAXIFS('Raw Annual DMR Data'!$U:$U,'Raw Annual DMR Data'!$L:$L,$F148), "N/A - Period DMR Data Not Available")</f>
        <v>N/A - Period DMR Data Not Available</v>
      </c>
      <c r="X148" s="113" t="str" cm="1">
        <f t="array" ref="X148">+IF(COUNTIFS('Raw Annual DMR Data'!L:L,$F148, 'Raw Annual DMR Data'!U:U, "&gt;0")&gt;0,INDEX('Raw Annual DMR Data'!V:V,MATCH(1,($F148='Raw Annual DMR Data'!L:L)*($W148='Raw Annual DMR Data'!U:U),0)), "N/A - Period DMR Data Not Available")</f>
        <v>N/A - Period DMR Data Not Available</v>
      </c>
      <c r="Y148" s="113" t="str" cm="1">
        <f t="array" ref="Y148">IF(COUNTIFS('Raw Annual DMR Data'!L:L,$F148, 'Raw Annual DMR Data'!U:U, "&gt;0")&gt;0,INDEX('Raw Annual DMR Data'!B:B,MATCH(1,($F148='Raw Annual DMR Data'!L:L)*($W148='Raw Annual DMR Data'!U:U),0)), "N/A - Period DMR Data Not Available")</f>
        <v>N/A - Period DMR Data Not Available</v>
      </c>
      <c r="Z148" s="311" t="str" cm="1">
        <f t="array" ref="Z148">IF(COUNTIF('Raw Annual DMR Data'!K:K,$E148)&gt;0,"N/A - See DMRs",IF(SUMIFS('Raw TRI Data'!$Z:$Z,'Raw TRI Data'!$J:$J,$E148)&gt;0,MEDIAN(IF('Raw TRI Data'!$J:$J=$E148,'Raw TRI Data'!$Z:$Z)), "N/A - Facility Does Not Report to TRI, no surface water releases, or no Generic Factors available"))</f>
        <v>N/A - See DMRs</v>
      </c>
      <c r="AA148" s="156" t="str">
        <f>IF(COUNTIF('Raw Annual DMR Data'!K:K,$E148)&gt;0,"N/A - See DMRs",IF(SUMIFS('Raw TRI Data'!$Z:$Z,'Raw TRI Data'!$J:$J,$E148)&gt;0,_xlfn.MAXIFS('Raw TRI Data'!$Z:$Z,'Raw TRI Data'!$J:$J,$E148), "N/A - Facility Does Not Report to TRI, no surface water releases, or no Generic Factors available"))</f>
        <v>N/A - See DMRs</v>
      </c>
      <c r="AB148" s="113" t="str">
        <f t="shared" si="20"/>
        <v>N/A</v>
      </c>
      <c r="AC148" s="136" t="str" cm="1">
        <f t="array" ref="AC148">IF(COUNTIF('Raw Annual DMR Data'!K:K,$E148)&gt;0,"N/A - See DMRs",IF(SUMIFS('Raw TRI Data'!$Z:$Z,'Raw TRI Data'!$J:$J,$E148)&gt;0,INDEX('Raw TRI Data'!$A:$A,MATCH(1,($E148='Raw TRI Data'!$J:$J)*($AA148='Raw TRI Data'!$Z:$Z),0)), "N/A - Facility Does Not Report to TRI, no surface water releases, or no Generic Factors available"))</f>
        <v>N/A - See DMRs</v>
      </c>
      <c r="AD148" s="96" t="str" cm="1">
        <f t="array" ref="AD148">IF(COUNTIFS('Raw Annual DMR Data'!L:L,$F148,'Raw Annual DMR Data'!W:W, "&gt;0")&gt;0,MEDIAN(IF('Raw Annual DMR Data'!K:K=$F148, 'Raw Annual DMR Data'!W:W)), "N/A - No Daily Max DMR Discharge Data")</f>
        <v>N/A - No Daily Max DMR Discharge Data</v>
      </c>
      <c r="AE148" s="96" t="str">
        <f>IF(COUNTIFS('Raw Annual DMR Data'!L:L,$F148,'Raw Annual DMR Data'!W:W, "&gt;0")&gt;0,_xlfn.MAXIFS('Raw Annual DMR Data'!W:W,'Raw Annual DMR Data'!L:L,$F148), "N/A - No Daily Max DMR Discharge Data")</f>
        <v>N/A - No Daily Max DMR Discharge Data</v>
      </c>
      <c r="AF148" s="60" t="str" cm="1">
        <f t="array" ref="AF148">IF(COUNTIFS('Raw Annual DMR Data'!L:L,$F148,'Raw Annual DMR Data'!W:W, "&gt;0")&gt;0,INDEX('Raw Annual DMR Data'!B:B,MATCH(1,($F148='Raw Annual DMR Data'!L:L)*($AE148='Raw Annual DMR Data'!W:W),0)), "N/A - No Daily Max DMR Discharge Data")</f>
        <v>N/A - No Daily Max DMR Discharge Data</v>
      </c>
    </row>
    <row r="149" spans="1:32" ht="45.75" thickBot="1" x14ac:dyDescent="0.3">
      <c r="A149" s="144" t="str">
        <f>VLOOKUP(F149,'Facility Summary'!J:K,2,FALSE)</f>
        <v>POTW</v>
      </c>
      <c r="B149" s="28" t="s">
        <v>996</v>
      </c>
      <c r="C149" s="28" t="s">
        <v>388</v>
      </c>
      <c r="D149" s="28" t="s">
        <v>366</v>
      </c>
      <c r="E149" s="28"/>
      <c r="F149" s="61">
        <v>110055992993</v>
      </c>
      <c r="G149" s="60" t="str">
        <f>VLOOKUP($F149, 'Raw Annual DMR Data'!$A:$Z, 24, FALSE)</f>
        <v>CA0105376</v>
      </c>
      <c r="H149" s="60" t="str">
        <f>VLOOKUP($F149, 'Raw Annual DMR Data'!$A:$Z, 25, FALSE)</f>
        <v>COOPER'S CREEK</v>
      </c>
      <c r="I149" s="74">
        <f>VLOOKUP($F149, 'Raw Annual DMR Data'!$A:$Z, 26, FALSE)</f>
        <v>18070203002360</v>
      </c>
      <c r="J149" s="74" t="s">
        <v>265</v>
      </c>
      <c r="K149" s="60">
        <f>VLOOKUP(A149, 'OES Summary'!$A:$B, 2, FALSE)</f>
        <v>365</v>
      </c>
      <c r="L149" s="304" cm="1">
        <f t="array" ref="L149">IF(COUNTIF('Raw Annual DMR Data'!$L:$L,$F149)&gt;0,MEDIAN(IF('Raw Annual DMR Data'!$L:$L=F149,'Raw Annual DMR Data'!$S:$S)),"N/A - Facility Does Not Report DMRs")</f>
        <v>0.1574144123125</v>
      </c>
      <c r="M149" s="156">
        <f t="shared" si="18"/>
        <v>4.3127236250000003E-4</v>
      </c>
      <c r="N149" s="156">
        <f>IF(COUNTIF('Raw Annual DMR Data'!$L:$L,$F149)&gt;0,_xlfn.MAXIFS('Raw Annual DMR Data'!$S:$S,'Raw Annual DMR Data'!$L:$L,$F149), "N/A - Facility Does Not Report DMRs")</f>
        <v>1.178440825</v>
      </c>
      <c r="O149" s="156">
        <f t="shared" si="19"/>
        <v>3.2286050000000003E-3</v>
      </c>
      <c r="P149" s="113" cm="1">
        <f t="array" ref="P149">IF(COUNTIF('Raw Annual DMR Data'!$L:$L,$F149)&gt;0,INDEX('Raw Annual DMR Data'!$B:$B,MATCH(1,($F149='Raw Annual DMR Data'!$L:$L)*($N149='Raw Annual DMR Data'!$S:$S),0)), "N/A - Facility Does Not Report DMRs")</f>
        <v>2023</v>
      </c>
      <c r="Q149" s="304" t="str" cm="1">
        <f t="array" ref="Q149">IF(COUNTIF('Raw TRI Data'!$J:$J,$E149)&gt;0,MEDIAN(IF('Raw TRI Data'!$J:$J=E149,'Raw TRI Data'!$S:$S)), "N/A - Facility Does Not Report to TRI")</f>
        <v>N/A - Facility Does Not Report to TRI</v>
      </c>
      <c r="R149" s="156" t="str">
        <f t="shared" si="16"/>
        <v>N/A - Facility Does Not Report to TRI</v>
      </c>
      <c r="S149" s="156" t="str">
        <f>IF(COUNTIF('Raw TRI Data'!$J:$J,$E149)&gt;0,_xlfn.MAXIFS('Raw TRI Data'!$S:$S,'Raw TRI Data'!$J:$J,$E149), "N/A - Facility Does Not Report to TRI")</f>
        <v>N/A - Facility Does Not Report to TRI</v>
      </c>
      <c r="T149" s="156" t="str">
        <f t="shared" si="17"/>
        <v>N/A - Facility Does Not Report to TRI</v>
      </c>
      <c r="U149" s="136" t="str" cm="1">
        <f t="array" ref="U149">IF(COUNTIF('Raw TRI Data'!$J:$J,$E149)&gt;0,INDEX('Raw TRI Data'!$A:$A,MATCH(1,($E149='Raw TRI Data'!$J:$J)*(S149='Raw TRI Data'!$S:$S),0)), "N/A - Facility Does Not Report to TRI")</f>
        <v>N/A - Facility Does Not Report to TRI</v>
      </c>
      <c r="V149" s="156" t="str" cm="1">
        <f t="array" ref="V149">IF(COUNTIFS('Raw Annual DMR Data'!$L:$L,$F149,'Raw Annual DMR Data'!$U:$U,"&gt;0")&gt;0,MEDIAN(IF('Raw Annual DMR Data'!$L:$L=$F149,'Raw Annual DMR Data'!$U:$U,"")),"N/A - Period DMR Data Not Available")</f>
        <v>N/A - Period DMR Data Not Available</v>
      </c>
      <c r="W149" s="156" t="str">
        <f>IF(COUNTIFS('Raw Annual DMR Data'!$L:$L,$F149, 'Raw Annual DMR Data'!$U:$U, "&gt;0")&gt;0,_xlfn.MAXIFS('Raw Annual DMR Data'!$U:$U,'Raw Annual DMR Data'!$L:$L,$F149), "N/A - Period DMR Data Not Available")</f>
        <v>N/A - Period DMR Data Not Available</v>
      </c>
      <c r="X149" s="113" t="str" cm="1">
        <f t="array" ref="X149">+IF(COUNTIFS('Raw Annual DMR Data'!L:L,$F149, 'Raw Annual DMR Data'!U:U, "&gt;0")&gt;0,INDEX('Raw Annual DMR Data'!V:V,MATCH(1,($F149='Raw Annual DMR Data'!L:L)*($W149='Raw Annual DMR Data'!U:U),0)), "N/A - Period DMR Data Not Available")</f>
        <v>N/A - Period DMR Data Not Available</v>
      </c>
      <c r="Y149" s="113" t="str" cm="1">
        <f t="array" ref="Y149">IF(COUNTIFS('Raw Annual DMR Data'!L:L,$F149, 'Raw Annual DMR Data'!U:U, "&gt;0")&gt;0,INDEX('Raw Annual DMR Data'!B:B,MATCH(1,($F149='Raw Annual DMR Data'!L:L)*($W149='Raw Annual DMR Data'!U:U),0)), "N/A - Period DMR Data Not Available")</f>
        <v>N/A - Period DMR Data Not Available</v>
      </c>
      <c r="Z149" s="311" t="str" cm="1">
        <f t="array" ref="Z149">IF(COUNTIF('Raw Annual DMR Data'!K:K,$E149)&gt;0,"N/A - See DMRs",IF(SUMIFS('Raw TRI Data'!$Z:$Z,'Raw TRI Data'!$J:$J,$E149)&gt;0,MEDIAN(IF('Raw TRI Data'!$J:$J=$E149,'Raw TRI Data'!$Z:$Z)), "N/A - Facility Does Not Report to TRI, no surface water releases, or no Generic Factors available"))</f>
        <v>N/A - Facility Does Not Report to TRI, no surface water releases, or no Generic Factors available</v>
      </c>
      <c r="AA149" s="156" t="str">
        <f>IF(COUNTIF('Raw Annual DMR Data'!K:K,$E149)&gt;0,"N/A - See DMRs",IF(SUMIFS('Raw TRI Data'!$Z:$Z,'Raw TRI Data'!$J:$J,$E149)&gt;0,_xlfn.MAXIFS('Raw TRI Data'!$Z:$Z,'Raw TRI Data'!$J:$J,$E149), "N/A - Facility Does Not Report to TRI, no surface water releases, or no Generic Factors available"))</f>
        <v>N/A - Facility Does Not Report to TRI, no surface water releases, or no Generic Factors available</v>
      </c>
      <c r="AB149" s="113" t="str">
        <f t="shared" si="20"/>
        <v>N/A</v>
      </c>
      <c r="AC149" s="136" t="str" cm="1">
        <f t="array" ref="AC149">IF(COUNTIF('Raw Annual DMR Data'!K:K,$E149)&gt;0,"N/A - See DMRs",IF(SUMIFS('Raw TRI Data'!$Z:$Z,'Raw TRI Data'!$J:$J,$E149)&gt;0,INDEX('Raw TRI Data'!$A:$A,MATCH(1,($E149='Raw TRI Data'!$J:$J)*($AA149='Raw TRI Data'!$Z:$Z),0)), "N/A - Facility Does Not Report to TRI, no surface water releases, or no Generic Factors available"))</f>
        <v>N/A - Facility Does Not Report to TRI, no surface water releases, or no Generic Factors available</v>
      </c>
      <c r="AD149" s="96" t="str" cm="1">
        <f t="array" ref="AD149">IF(COUNTIFS('Raw Annual DMR Data'!L:L,$F149,'Raw Annual DMR Data'!W:W, "&gt;0")&gt;0,MEDIAN(IF('Raw Annual DMR Data'!K:K=$F149, 'Raw Annual DMR Data'!W:W)), "N/A - No Daily Max DMR Discharge Data")</f>
        <v>N/A - No Daily Max DMR Discharge Data</v>
      </c>
      <c r="AE149" s="96" t="str">
        <f>IF(COUNTIFS('Raw Annual DMR Data'!L:L,$F149,'Raw Annual DMR Data'!W:W, "&gt;0")&gt;0,_xlfn.MAXIFS('Raw Annual DMR Data'!W:W,'Raw Annual DMR Data'!L:L,$F149), "N/A - No Daily Max DMR Discharge Data")</f>
        <v>N/A - No Daily Max DMR Discharge Data</v>
      </c>
      <c r="AF149" s="60" t="str" cm="1">
        <f t="array" ref="AF149">IF(COUNTIFS('Raw Annual DMR Data'!L:L,$F149,'Raw Annual DMR Data'!W:W, "&gt;0")&gt;0,INDEX('Raw Annual DMR Data'!B:B,MATCH(1,($F149='Raw Annual DMR Data'!L:L)*($AE149='Raw Annual DMR Data'!W:W),0)), "N/A - No Daily Max DMR Discharge Data")</f>
        <v>N/A - No Daily Max DMR Discharge Data</v>
      </c>
    </row>
    <row r="150" spans="1:32" ht="45.75" thickBot="1" x14ac:dyDescent="0.3">
      <c r="A150" s="144" t="str">
        <f>VLOOKUP(F150,'Facility Summary'!J:K,2,FALSE)</f>
        <v>Unknown</v>
      </c>
      <c r="B150" s="28" t="s">
        <v>997</v>
      </c>
      <c r="C150" s="28" t="s">
        <v>998</v>
      </c>
      <c r="D150" s="28" t="s">
        <v>999</v>
      </c>
      <c r="E150" s="28"/>
      <c r="F150" s="61">
        <v>110004087880</v>
      </c>
      <c r="G150" s="60" t="str">
        <f>VLOOKUP($F150, 'Raw Annual DMR Data'!$A:$Z, 24, FALSE)</f>
        <v>NHG910003</v>
      </c>
      <c r="H150" s="60" t="str">
        <f>VLOOKUP($F150, 'Raw Annual DMR Data'!$A:$Z, 25, FALSE)</f>
        <v>HOYT BROOK</v>
      </c>
      <c r="I150" s="74">
        <f>VLOOKUP($F150, 'Raw Annual DMR Data'!$A:$Z, 26, FALSE)</f>
        <v>1070006001950</v>
      </c>
      <c r="J150" s="74" t="s">
        <v>265</v>
      </c>
      <c r="K150" s="60">
        <f>VLOOKUP(A150, 'OES Summary'!$A:$B, 2, FALSE)</f>
        <v>250</v>
      </c>
      <c r="L150" s="304" cm="1">
        <f t="array" ref="L150">IF(COUNTIF('Raw Annual DMR Data'!$L:$L,$F150)&gt;0,MEDIAN(IF('Raw Annual DMR Data'!$L:$L=F150,'Raw Annual DMR Data'!$S:$S)),"N/A - Facility Does Not Report DMRs")</f>
        <v>6.6573229499999999E-3</v>
      </c>
      <c r="M150" s="156">
        <f t="shared" si="18"/>
        <v>2.6629291800000001E-5</v>
      </c>
      <c r="N150" s="156">
        <f>IF(COUNTIF('Raw Annual DMR Data'!$L:$L,$F150)&gt;0,_xlfn.MAXIFS('Raw Annual DMR Data'!$S:$S,'Raw Annual DMR Data'!$L:$L,$F150), "N/A - Facility Does Not Report DMRs")</f>
        <v>3.4048213525000003E-2</v>
      </c>
      <c r="O150" s="156">
        <f t="shared" si="19"/>
        <v>1.3619285410000002E-4</v>
      </c>
      <c r="P150" s="113" cm="1">
        <f t="array" ref="P150">IF(COUNTIF('Raw Annual DMR Data'!$L:$L,$F150)&gt;0,INDEX('Raw Annual DMR Data'!$B:$B,MATCH(1,($F150='Raw Annual DMR Data'!$L:$L)*($N150='Raw Annual DMR Data'!$S:$S),0)), "N/A - Facility Does Not Report DMRs")</f>
        <v>2024</v>
      </c>
      <c r="Q150" s="304" t="str" cm="1">
        <f t="array" ref="Q150">IF(COUNTIF('Raw TRI Data'!$J:$J,$E150)&gt;0,MEDIAN(IF('Raw TRI Data'!$J:$J=E150,'Raw TRI Data'!$S:$S)), "N/A - Facility Does Not Report to TRI")</f>
        <v>N/A - Facility Does Not Report to TRI</v>
      </c>
      <c r="R150" s="156" t="str">
        <f t="shared" si="16"/>
        <v>N/A - Facility Does Not Report to TRI</v>
      </c>
      <c r="S150" s="156" t="str">
        <f>IF(COUNTIF('Raw TRI Data'!$J:$J,$E150)&gt;0,_xlfn.MAXIFS('Raw TRI Data'!$S:$S,'Raw TRI Data'!$J:$J,$E150), "N/A - Facility Does Not Report to TRI")</f>
        <v>N/A - Facility Does Not Report to TRI</v>
      </c>
      <c r="T150" s="156" t="str">
        <f t="shared" si="17"/>
        <v>N/A - Facility Does Not Report to TRI</v>
      </c>
      <c r="U150" s="136" t="str" cm="1">
        <f t="array" ref="U150">IF(COUNTIF('Raw TRI Data'!$J:$J,$E150)&gt;0,INDEX('Raw TRI Data'!$A:$A,MATCH(1,($E150='Raw TRI Data'!$J:$J)*(S150='Raw TRI Data'!$S:$S),0)), "N/A - Facility Does Not Report to TRI")</f>
        <v>N/A - Facility Does Not Report to TRI</v>
      </c>
      <c r="V150" s="156" t="str" cm="1">
        <f t="array" ref="V150">IF(COUNTIFS('Raw Annual DMR Data'!$L:$L,$F150,'Raw Annual DMR Data'!$U:$U,"&gt;0")&gt;0,MEDIAN(IF('Raw Annual DMR Data'!$L:$L=$F150,'Raw Annual DMR Data'!$U:$U,"")),"N/A - Period DMR Data Not Available")</f>
        <v>N/A - Period DMR Data Not Available</v>
      </c>
      <c r="W150" s="156" t="str">
        <f>IF(COUNTIFS('Raw Annual DMR Data'!$L:$L,$F150, 'Raw Annual DMR Data'!$U:$U, "&gt;0")&gt;0,_xlfn.MAXIFS('Raw Annual DMR Data'!$U:$U,'Raw Annual DMR Data'!$L:$L,$F150), "N/A - Period DMR Data Not Available")</f>
        <v>N/A - Period DMR Data Not Available</v>
      </c>
      <c r="X150" s="113" t="str" cm="1">
        <f t="array" ref="X150">+IF(COUNTIFS('Raw Annual DMR Data'!L:L,$F150, 'Raw Annual DMR Data'!U:U, "&gt;0")&gt;0,INDEX('Raw Annual DMR Data'!V:V,MATCH(1,($F150='Raw Annual DMR Data'!L:L)*($W150='Raw Annual DMR Data'!U:U),0)), "N/A - Period DMR Data Not Available")</f>
        <v>N/A - Period DMR Data Not Available</v>
      </c>
      <c r="Y150" s="113" t="str" cm="1">
        <f t="array" ref="Y150">IF(COUNTIFS('Raw Annual DMR Data'!L:L,$F150, 'Raw Annual DMR Data'!U:U, "&gt;0")&gt;0,INDEX('Raw Annual DMR Data'!B:B,MATCH(1,($F150='Raw Annual DMR Data'!L:L)*($W150='Raw Annual DMR Data'!U:U),0)), "N/A - Period DMR Data Not Available")</f>
        <v>N/A - Period DMR Data Not Available</v>
      </c>
      <c r="Z150" s="311" t="str" cm="1">
        <f t="array" ref="Z150">IF(COUNTIF('Raw Annual DMR Data'!K:K,$E150)&gt;0,"N/A - See DMRs",IF(SUMIFS('Raw TRI Data'!$Z:$Z,'Raw TRI Data'!$J:$J,$E150)&gt;0,MEDIAN(IF('Raw TRI Data'!$J:$J=$E150,'Raw TRI Data'!$Z:$Z)), "N/A - Facility Does Not Report to TRI, no surface water releases, or no Generic Factors available"))</f>
        <v>N/A - Facility Does Not Report to TRI, no surface water releases, or no Generic Factors available</v>
      </c>
      <c r="AA150" s="156" t="str">
        <f>IF(COUNTIF('Raw Annual DMR Data'!K:K,$E150)&gt;0,"N/A - See DMRs",IF(SUMIFS('Raw TRI Data'!$Z:$Z,'Raw TRI Data'!$J:$J,$E150)&gt;0,_xlfn.MAXIFS('Raw TRI Data'!$Z:$Z,'Raw TRI Data'!$J:$J,$E150), "N/A - Facility Does Not Report to TRI, no surface water releases, or no Generic Factors available"))</f>
        <v>N/A - Facility Does Not Report to TRI, no surface water releases, or no Generic Factors available</v>
      </c>
      <c r="AB150" s="113" t="str">
        <f t="shared" si="20"/>
        <v>N/A</v>
      </c>
      <c r="AC150" s="136" t="str" cm="1">
        <f t="array" ref="AC150">IF(COUNTIF('Raw Annual DMR Data'!K:K,$E150)&gt;0,"N/A - See DMRs",IF(SUMIFS('Raw TRI Data'!$Z:$Z,'Raw TRI Data'!$J:$J,$E150)&gt;0,INDEX('Raw TRI Data'!$A:$A,MATCH(1,($E150='Raw TRI Data'!$J:$J)*($AA150='Raw TRI Data'!$Z:$Z),0)), "N/A - Facility Does Not Report to TRI, no surface water releases, or no Generic Factors available"))</f>
        <v>N/A - Facility Does Not Report to TRI, no surface water releases, or no Generic Factors available</v>
      </c>
      <c r="AD150" s="96" t="str" cm="1">
        <f t="array" ref="AD150">IF(COUNTIFS('Raw Annual DMR Data'!L:L,$F150,'Raw Annual DMR Data'!W:W, "&gt;0")&gt;0,MEDIAN(IF('Raw Annual DMR Data'!K:K=$F150, 'Raw Annual DMR Data'!W:W)), "N/A - No Daily Max DMR Discharge Data")</f>
        <v>N/A - No Daily Max DMR Discharge Data</v>
      </c>
      <c r="AE150" s="96" t="str">
        <f>IF(COUNTIFS('Raw Annual DMR Data'!L:L,$F150,'Raw Annual DMR Data'!W:W, "&gt;0")&gt;0,_xlfn.MAXIFS('Raw Annual DMR Data'!W:W,'Raw Annual DMR Data'!L:L,$F150), "N/A - No Daily Max DMR Discharge Data")</f>
        <v>N/A - No Daily Max DMR Discharge Data</v>
      </c>
      <c r="AF150" s="60" t="str" cm="1">
        <f t="array" ref="AF150">IF(COUNTIFS('Raw Annual DMR Data'!L:L,$F150,'Raw Annual DMR Data'!W:W, "&gt;0")&gt;0,INDEX('Raw Annual DMR Data'!B:B,MATCH(1,($F150='Raw Annual DMR Data'!L:L)*($AE150='Raw Annual DMR Data'!W:W),0)), "N/A - No Daily Max DMR Discharge Data")</f>
        <v>N/A - No Daily Max DMR Discharge Data</v>
      </c>
    </row>
    <row r="151" spans="1:32" ht="45.75" thickBot="1" x14ac:dyDescent="0.3">
      <c r="A151" s="144" t="str">
        <f>VLOOKUP(F151,'Facility Summary'!J:K,2,FALSE)</f>
        <v>POTW</v>
      </c>
      <c r="B151" s="28" t="s">
        <v>1000</v>
      </c>
      <c r="C151" s="28" t="s">
        <v>1001</v>
      </c>
      <c r="D151" s="28" t="s">
        <v>324</v>
      </c>
      <c r="E151" s="28"/>
      <c r="F151" s="61">
        <v>110001855635</v>
      </c>
      <c r="G151" s="60" t="str">
        <f>VLOOKUP($F151, 'Raw Annual DMR Data'!$A:$Z, 24, FALSE)</f>
        <v>KY0021172</v>
      </c>
      <c r="H151" s="60" t="str">
        <f>VLOOKUP($F151, 'Raw Annual DMR Data'!$A:$Z, 25, FALSE)</f>
        <v>CLARKS RIVER / EAST FORK, DITCH TO UT TO CLARKS RIVER</v>
      </c>
      <c r="I151" s="74">
        <f>VLOOKUP($F151, 'Raw Annual DMR Data'!$A:$Z, 26, FALSE)</f>
        <v>6040006000045</v>
      </c>
      <c r="J151" s="74" t="s">
        <v>265</v>
      </c>
      <c r="K151" s="60">
        <f>VLOOKUP(A151, 'OES Summary'!$A:$B, 2, FALSE)</f>
        <v>365</v>
      </c>
      <c r="L151" s="304" cm="1">
        <f t="array" ref="L151">IF(COUNTIF('Raw Annual DMR Data'!$L:$L,$F151)&gt;0,MEDIAN(IF('Raw Annual DMR Data'!$L:$L=F151,'Raw Annual DMR Data'!$S:$S)),"N/A - Facility Does Not Report DMRs")</f>
        <v>3.4641739375</v>
      </c>
      <c r="M151" s="156">
        <f t="shared" si="18"/>
        <v>9.4908874999999997E-3</v>
      </c>
      <c r="N151" s="156">
        <f>IF(COUNTIF('Raw Annual DMR Data'!$L:$L,$F151)&gt;0,_xlfn.MAXIFS('Raw Annual DMR Data'!$S:$S,'Raw Annual DMR Data'!$L:$L,$F151), "N/A - Facility Does Not Report DMRs")</f>
        <v>4.0568481624999997</v>
      </c>
      <c r="O151" s="156">
        <f t="shared" si="19"/>
        <v>1.1114652499999999E-2</v>
      </c>
      <c r="P151" s="113" cm="1">
        <f t="array" ref="P151">IF(COUNTIF('Raw Annual DMR Data'!$L:$L,$F151)&gt;0,INDEX('Raw Annual DMR Data'!$B:$B,MATCH(1,($F151='Raw Annual DMR Data'!$L:$L)*($N151='Raw Annual DMR Data'!$S:$S),0)), "N/A - Facility Does Not Report DMRs")</f>
        <v>2021</v>
      </c>
      <c r="Q151" s="304" t="str" cm="1">
        <f t="array" ref="Q151">IF(COUNTIF('Raw TRI Data'!$J:$J,$E151)&gt;0,MEDIAN(IF('Raw TRI Data'!$J:$J=E151,'Raw TRI Data'!$S:$S)), "N/A - Facility Does Not Report to TRI")</f>
        <v>N/A - Facility Does Not Report to TRI</v>
      </c>
      <c r="R151" s="156" t="str">
        <f t="shared" si="16"/>
        <v>N/A - Facility Does Not Report to TRI</v>
      </c>
      <c r="S151" s="156" t="str">
        <f>IF(COUNTIF('Raw TRI Data'!$J:$J,$E151)&gt;0,_xlfn.MAXIFS('Raw TRI Data'!$S:$S,'Raw TRI Data'!$J:$J,$E151), "N/A - Facility Does Not Report to TRI")</f>
        <v>N/A - Facility Does Not Report to TRI</v>
      </c>
      <c r="T151" s="156" t="str">
        <f t="shared" si="17"/>
        <v>N/A - Facility Does Not Report to TRI</v>
      </c>
      <c r="U151" s="136" t="str" cm="1">
        <f t="array" ref="U151">IF(COUNTIF('Raw TRI Data'!$J:$J,$E151)&gt;0,INDEX('Raw TRI Data'!$A:$A,MATCH(1,($E151='Raw TRI Data'!$J:$J)*(S151='Raw TRI Data'!$S:$S),0)), "N/A - Facility Does Not Report to TRI")</f>
        <v>N/A - Facility Does Not Report to TRI</v>
      </c>
      <c r="V151" s="156" t="str" cm="1">
        <f t="array" ref="V151">IF(COUNTIFS('Raw Annual DMR Data'!$L:$L,$F151,'Raw Annual DMR Data'!$U:$U,"&gt;0")&gt;0,MEDIAN(IF('Raw Annual DMR Data'!$L:$L=$F151,'Raw Annual DMR Data'!$U:$U,"")),"N/A - Period DMR Data Not Available")</f>
        <v>N/A - Period DMR Data Not Available</v>
      </c>
      <c r="W151" s="156" t="str">
        <f>IF(COUNTIFS('Raw Annual DMR Data'!$L:$L,$F151, 'Raw Annual DMR Data'!$U:$U, "&gt;0")&gt;0,_xlfn.MAXIFS('Raw Annual DMR Data'!$U:$U,'Raw Annual DMR Data'!$L:$L,$F151), "N/A - Period DMR Data Not Available")</f>
        <v>N/A - Period DMR Data Not Available</v>
      </c>
      <c r="X151" s="113" t="str" cm="1">
        <f t="array" ref="X151">+IF(COUNTIFS('Raw Annual DMR Data'!L:L,$F151, 'Raw Annual DMR Data'!U:U, "&gt;0")&gt;0,INDEX('Raw Annual DMR Data'!V:V,MATCH(1,($F151='Raw Annual DMR Data'!L:L)*($W151='Raw Annual DMR Data'!U:U),0)), "N/A - Period DMR Data Not Available")</f>
        <v>N/A - Period DMR Data Not Available</v>
      </c>
      <c r="Y151" s="113" t="str" cm="1">
        <f t="array" ref="Y151">IF(COUNTIFS('Raw Annual DMR Data'!L:L,$F151, 'Raw Annual DMR Data'!U:U, "&gt;0")&gt;0,INDEX('Raw Annual DMR Data'!B:B,MATCH(1,($F151='Raw Annual DMR Data'!L:L)*($W151='Raw Annual DMR Data'!U:U),0)), "N/A - Period DMR Data Not Available")</f>
        <v>N/A - Period DMR Data Not Available</v>
      </c>
      <c r="Z151" s="311" t="str" cm="1">
        <f t="array" ref="Z151">IF(COUNTIF('Raw Annual DMR Data'!K:K,$E151)&gt;0,"N/A - See DMRs",IF(SUMIFS('Raw TRI Data'!$Z:$Z,'Raw TRI Data'!$J:$J,$E151)&gt;0,MEDIAN(IF('Raw TRI Data'!$J:$J=$E151,'Raw TRI Data'!$Z:$Z)), "N/A - Facility Does Not Report to TRI, no surface water releases, or no Generic Factors available"))</f>
        <v>N/A - Facility Does Not Report to TRI, no surface water releases, or no Generic Factors available</v>
      </c>
      <c r="AA151" s="156" t="str">
        <f>IF(COUNTIF('Raw Annual DMR Data'!K:K,$E151)&gt;0,"N/A - See DMRs",IF(SUMIFS('Raw TRI Data'!$Z:$Z,'Raw TRI Data'!$J:$J,$E151)&gt;0,_xlfn.MAXIFS('Raw TRI Data'!$Z:$Z,'Raw TRI Data'!$J:$J,$E151), "N/A - Facility Does Not Report to TRI, no surface water releases, or no Generic Factors available"))</f>
        <v>N/A - Facility Does Not Report to TRI, no surface water releases, or no Generic Factors available</v>
      </c>
      <c r="AB151" s="113" t="str">
        <f t="shared" si="20"/>
        <v>N/A</v>
      </c>
      <c r="AC151" s="136" t="str" cm="1">
        <f t="array" ref="AC151">IF(COUNTIF('Raw Annual DMR Data'!K:K,$E151)&gt;0,"N/A - See DMRs",IF(SUMIFS('Raw TRI Data'!$Z:$Z,'Raw TRI Data'!$J:$J,$E151)&gt;0,INDEX('Raw TRI Data'!$A:$A,MATCH(1,($E151='Raw TRI Data'!$J:$J)*($AA151='Raw TRI Data'!$Z:$Z),0)), "N/A - Facility Does Not Report to TRI, no surface water releases, or no Generic Factors available"))</f>
        <v>N/A - Facility Does Not Report to TRI, no surface water releases, or no Generic Factors available</v>
      </c>
      <c r="AD151" s="96" t="str" cm="1">
        <f t="array" ref="AD151">IF(COUNTIFS('Raw Annual DMR Data'!L:L,$F151,'Raw Annual DMR Data'!W:W, "&gt;0")&gt;0,MEDIAN(IF('Raw Annual DMR Data'!K:K=$F151, 'Raw Annual DMR Data'!W:W)), "N/A - No Daily Max DMR Discharge Data")</f>
        <v>N/A - No Daily Max DMR Discharge Data</v>
      </c>
      <c r="AE151" s="96" t="str">
        <f>IF(COUNTIFS('Raw Annual DMR Data'!L:L,$F151,'Raw Annual DMR Data'!W:W, "&gt;0")&gt;0,_xlfn.MAXIFS('Raw Annual DMR Data'!W:W,'Raw Annual DMR Data'!L:L,$F151), "N/A - No Daily Max DMR Discharge Data")</f>
        <v>N/A - No Daily Max DMR Discharge Data</v>
      </c>
      <c r="AF151" s="60" t="str" cm="1">
        <f t="array" ref="AF151">IF(COUNTIFS('Raw Annual DMR Data'!L:L,$F151,'Raw Annual DMR Data'!W:W, "&gt;0")&gt;0,INDEX('Raw Annual DMR Data'!B:B,MATCH(1,($F151='Raw Annual DMR Data'!L:L)*($AE151='Raw Annual DMR Data'!W:W),0)), "N/A - No Daily Max DMR Discharge Data")</f>
        <v>N/A - No Daily Max DMR Discharge Data</v>
      </c>
    </row>
    <row r="152" spans="1:32" ht="30.75" thickBot="1" x14ac:dyDescent="0.3">
      <c r="A152" s="144" t="str">
        <f>VLOOKUP(F152,'Facility Summary'!J:K,2,FALSE)</f>
        <v>Unknown</v>
      </c>
      <c r="B152" s="28" t="s">
        <v>1002</v>
      </c>
      <c r="C152" s="28" t="s">
        <v>1003</v>
      </c>
      <c r="D152" s="28" t="s">
        <v>303</v>
      </c>
      <c r="E152" s="28" t="s">
        <v>706</v>
      </c>
      <c r="F152" s="61">
        <v>110000597355</v>
      </c>
      <c r="G152" s="60" t="str">
        <f>VLOOKUP($F152, 'Raw Annual DMR Data'!$A:$Z, 24, FALSE)</f>
        <v>LA0048704</v>
      </c>
      <c r="H152" s="60" t="str">
        <f>VLOOKUP($F152, 'Raw Annual DMR Data'!$A:$Z, 25, FALSE)</f>
        <v>DIXON CANAL GRAYS CREEK</v>
      </c>
      <c r="I152" s="74">
        <f>VLOOKUP($F152, 'Raw Annual DMR Data'!$A:$Z, 26, FALSE)</f>
        <v>8070202000867</v>
      </c>
      <c r="J152" s="74" t="s">
        <v>265</v>
      </c>
      <c r="K152" s="60">
        <f>VLOOKUP(A152, 'OES Summary'!$A:$B, 2, FALSE)</f>
        <v>250</v>
      </c>
      <c r="L152" s="304" cm="1">
        <f t="array" ref="L152">IF(COUNTIF('Raw Annual DMR Data'!$L:$L,$F152)&gt;0,MEDIAN(IF('Raw Annual DMR Data'!$L:$L=F152,'Raw Annual DMR Data'!$S:$S)),"N/A - Facility Does Not Report DMRs")</f>
        <v>1.6570999999999999E-2</v>
      </c>
      <c r="M152" s="156">
        <f t="shared" si="18"/>
        <v>6.6283999999999991E-5</v>
      </c>
      <c r="N152" s="156">
        <f>IF(COUNTIF('Raw Annual DMR Data'!$L:$L,$F152)&gt;0,_xlfn.MAXIFS('Raw Annual DMR Data'!$S:$S,'Raw Annual DMR Data'!$L:$L,$F152), "N/A - Facility Does Not Report DMRs")</f>
        <v>3.3106575963718798E-2</v>
      </c>
      <c r="O152" s="156">
        <f t="shared" si="19"/>
        <v>1.324263038548752E-4</v>
      </c>
      <c r="P152" s="113" cm="1">
        <f t="array" ref="P152">IF(COUNTIF('Raw Annual DMR Data'!$L:$L,$F152)&gt;0,INDEX('Raw Annual DMR Data'!$B:$B,MATCH(1,($F152='Raw Annual DMR Data'!$L:$L)*($N152='Raw Annual DMR Data'!$S:$S),0)), "N/A - Facility Does Not Report DMRs")</f>
        <v>2019</v>
      </c>
      <c r="Q152" s="304" t="str" cm="1">
        <f t="array" ref="Q152">IF(COUNTIF('Raw TRI Data'!$J:$J,$E152)&gt;0,MEDIAN(IF('Raw TRI Data'!$J:$J=E152,'Raw TRI Data'!$S:$S)), "N/A - Facility Does Not Report to TRI")</f>
        <v>N/A - Facility Does Not Report to TRI</v>
      </c>
      <c r="R152" s="156" t="str">
        <f t="shared" si="16"/>
        <v>N/A - Facility Does Not Report to TRI</v>
      </c>
      <c r="S152" s="156" t="str">
        <f>IF(COUNTIF('Raw TRI Data'!$J:$J,$E152)&gt;0,_xlfn.MAXIFS('Raw TRI Data'!$S:$S,'Raw TRI Data'!$J:$J,$E152), "N/A - Facility Does Not Report to TRI")</f>
        <v>N/A - Facility Does Not Report to TRI</v>
      </c>
      <c r="T152" s="156" t="str">
        <f t="shared" si="17"/>
        <v>N/A - Facility Does Not Report to TRI</v>
      </c>
      <c r="U152" s="136" t="str" cm="1">
        <f t="array" ref="U152">IF(COUNTIF('Raw TRI Data'!$J:$J,$E152)&gt;0,INDEX('Raw TRI Data'!$A:$A,MATCH(1,($E152='Raw TRI Data'!$J:$J)*(S152='Raw TRI Data'!$S:$S),0)), "N/A - Facility Does Not Report to TRI")</f>
        <v>N/A - Facility Does Not Report to TRI</v>
      </c>
      <c r="V152" s="156" t="str" cm="1">
        <f t="array" ref="V152">IF(COUNTIFS('Raw Annual DMR Data'!$L:$L,$F152,'Raw Annual DMR Data'!$U:$U,"&gt;0")&gt;0,MEDIAN(IF('Raw Annual DMR Data'!$L:$L=$F152,'Raw Annual DMR Data'!$U:$U,"")),"N/A - Period DMR Data Not Available")</f>
        <v>N/A - Period DMR Data Not Available</v>
      </c>
      <c r="W152" s="156" t="str">
        <f>IF(COUNTIFS('Raw Annual DMR Data'!$L:$L,$F152, 'Raw Annual DMR Data'!$U:$U, "&gt;0")&gt;0,_xlfn.MAXIFS('Raw Annual DMR Data'!$U:$U,'Raw Annual DMR Data'!$L:$L,$F152), "N/A - Period DMR Data Not Available")</f>
        <v>N/A - Period DMR Data Not Available</v>
      </c>
      <c r="X152" s="113" t="str" cm="1">
        <f t="array" ref="X152">+IF(COUNTIFS('Raw Annual DMR Data'!L:L,$F152, 'Raw Annual DMR Data'!U:U, "&gt;0")&gt;0,INDEX('Raw Annual DMR Data'!V:V,MATCH(1,($F152='Raw Annual DMR Data'!L:L)*($W152='Raw Annual DMR Data'!U:U),0)), "N/A - Period DMR Data Not Available")</f>
        <v>N/A - Period DMR Data Not Available</v>
      </c>
      <c r="Y152" s="113" t="str" cm="1">
        <f t="array" ref="Y152">IF(COUNTIFS('Raw Annual DMR Data'!L:L,$F152, 'Raw Annual DMR Data'!U:U, "&gt;0")&gt;0,INDEX('Raw Annual DMR Data'!B:B,MATCH(1,($F152='Raw Annual DMR Data'!L:L)*($W152='Raw Annual DMR Data'!U:U),0)), "N/A - Period DMR Data Not Available")</f>
        <v>N/A - Period DMR Data Not Available</v>
      </c>
      <c r="Z152" s="311" t="str" cm="1">
        <f t="array" ref="Z152">IF(COUNTIF('Raw Annual DMR Data'!K:K,$E152)&gt;0,"N/A - See DMRs",IF(SUMIFS('Raw TRI Data'!$Z:$Z,'Raw TRI Data'!$J:$J,$E152)&gt;0,MEDIAN(IF('Raw TRI Data'!$J:$J=$E152,'Raw TRI Data'!$Z:$Z)), "N/A - Facility Does Not Report to TRI, no surface water releases, or no Generic Factors available"))</f>
        <v>N/A - See DMRs</v>
      </c>
      <c r="AA152" s="156" t="str">
        <f>IF(COUNTIF('Raw Annual DMR Data'!K:K,$E152)&gt;0,"N/A - See DMRs",IF(SUMIFS('Raw TRI Data'!$Z:$Z,'Raw TRI Data'!$J:$J,$E152)&gt;0,_xlfn.MAXIFS('Raw TRI Data'!$Z:$Z,'Raw TRI Data'!$J:$J,$E152), "N/A - Facility Does Not Report to TRI, no surface water releases, or no Generic Factors available"))</f>
        <v>N/A - See DMRs</v>
      </c>
      <c r="AB152" s="113" t="str">
        <f t="shared" si="20"/>
        <v>N/A</v>
      </c>
      <c r="AC152" s="136" t="str" cm="1">
        <f t="array" ref="AC152">IF(COUNTIF('Raw Annual DMR Data'!K:K,$E152)&gt;0,"N/A - See DMRs",IF(SUMIFS('Raw TRI Data'!$Z:$Z,'Raw TRI Data'!$J:$J,$E152)&gt;0,INDEX('Raw TRI Data'!$A:$A,MATCH(1,($E152='Raw TRI Data'!$J:$J)*($AA152='Raw TRI Data'!$Z:$Z),0)), "N/A - Facility Does Not Report to TRI, no surface water releases, or no Generic Factors available"))</f>
        <v>N/A - See DMRs</v>
      </c>
      <c r="AD152" s="96" t="str" cm="1">
        <f t="array" ref="AD152">IF(COUNTIFS('Raw Annual DMR Data'!L:L,$F152,'Raw Annual DMR Data'!W:W, "&gt;0")&gt;0,MEDIAN(IF('Raw Annual DMR Data'!K:K=$F152, 'Raw Annual DMR Data'!W:W)), "N/A - No Daily Max DMR Discharge Data")</f>
        <v>N/A - No Daily Max DMR Discharge Data</v>
      </c>
      <c r="AE152" s="96" t="str">
        <f>IF(COUNTIFS('Raw Annual DMR Data'!L:L,$F152,'Raw Annual DMR Data'!W:W, "&gt;0")&gt;0,_xlfn.MAXIFS('Raw Annual DMR Data'!W:W,'Raw Annual DMR Data'!L:L,$F152), "N/A - No Daily Max DMR Discharge Data")</f>
        <v>N/A - No Daily Max DMR Discharge Data</v>
      </c>
      <c r="AF152" s="60" t="str" cm="1">
        <f t="array" ref="AF152">IF(COUNTIFS('Raw Annual DMR Data'!L:L,$F152,'Raw Annual DMR Data'!W:W, "&gt;0")&gt;0,INDEX('Raw Annual DMR Data'!B:B,MATCH(1,($F152='Raw Annual DMR Data'!L:L)*($AE152='Raw Annual DMR Data'!W:W),0)), "N/A - No Daily Max DMR Discharge Data")</f>
        <v>N/A - No Daily Max DMR Discharge Data</v>
      </c>
    </row>
    <row r="153" spans="1:32" ht="45.75" thickBot="1" x14ac:dyDescent="0.3">
      <c r="A153" s="144" t="str">
        <f>VLOOKUP(F153,'Facility Summary'!J:K,2,FALSE)</f>
        <v>POTW</v>
      </c>
      <c r="B153" s="28" t="s">
        <v>1004</v>
      </c>
      <c r="C153" s="28" t="s">
        <v>608</v>
      </c>
      <c r="D153" s="28" t="s">
        <v>324</v>
      </c>
      <c r="E153" s="28"/>
      <c r="F153" s="61">
        <v>110040000398</v>
      </c>
      <c r="G153" s="60" t="str">
        <f>VLOOKUP($F153, 'Raw Annual DMR Data'!$A:$Z, 24, FALSE)</f>
        <v>KY0079898</v>
      </c>
      <c r="H153" s="60" t="str">
        <f>VLOOKUP($F153, 'Raw Annual DMR Data'!$A:$Z, 25, FALSE)</f>
        <v>SILVER CREEK, SILVER CRK</v>
      </c>
      <c r="I153" s="74">
        <f>VLOOKUP($F153, 'Raw Annual DMR Data'!$A:$Z, 26, FALSE)</f>
        <v>5100205000154</v>
      </c>
      <c r="J153" s="74" t="s">
        <v>265</v>
      </c>
      <c r="K153" s="60">
        <f>VLOOKUP(A153, 'OES Summary'!$A:$B, 2, FALSE)</f>
        <v>365</v>
      </c>
      <c r="L153" s="304" cm="1">
        <f t="array" ref="L153">IF(COUNTIF('Raw Annual DMR Data'!$L:$L,$F153)&gt;0,MEDIAN(IF('Raw Annual DMR Data'!$L:$L=F153,'Raw Annual DMR Data'!$S:$S)),"N/A - Facility Does Not Report DMRs")</f>
        <v>2.8017326999999996</v>
      </c>
      <c r="M153" s="156">
        <f t="shared" si="18"/>
        <v>7.6759799999999989E-3</v>
      </c>
      <c r="N153" s="156">
        <f>IF(COUNTIF('Raw Annual DMR Data'!$L:$L,$F153)&gt;0,_xlfn.MAXIFS('Raw Annual DMR Data'!$S:$S,'Raw Annual DMR Data'!$L:$L,$F153), "N/A - Facility Does Not Report DMRs")</f>
        <v>2.8480137874999998</v>
      </c>
      <c r="O153" s="156">
        <f t="shared" si="19"/>
        <v>7.8027774999999992E-3</v>
      </c>
      <c r="P153" s="113" cm="1">
        <f t="array" ref="P153">IF(COUNTIF('Raw Annual DMR Data'!$L:$L,$F153)&gt;0,INDEX('Raw Annual DMR Data'!$B:$B,MATCH(1,($F153='Raw Annual DMR Data'!$L:$L)*($N153='Raw Annual DMR Data'!$S:$S),0)), "N/A - Facility Does Not Report DMRs")</f>
        <v>2020</v>
      </c>
      <c r="Q153" s="304" t="str" cm="1">
        <f t="array" ref="Q153">IF(COUNTIF('Raw TRI Data'!$J:$J,$E153)&gt;0,MEDIAN(IF('Raw TRI Data'!$J:$J=E153,'Raw TRI Data'!$S:$S)), "N/A - Facility Does Not Report to TRI")</f>
        <v>N/A - Facility Does Not Report to TRI</v>
      </c>
      <c r="R153" s="156" t="str">
        <f t="shared" si="16"/>
        <v>N/A - Facility Does Not Report to TRI</v>
      </c>
      <c r="S153" s="156" t="str">
        <f>IF(COUNTIF('Raw TRI Data'!$J:$J,$E153)&gt;0,_xlfn.MAXIFS('Raw TRI Data'!$S:$S,'Raw TRI Data'!$J:$J,$E153), "N/A - Facility Does Not Report to TRI")</f>
        <v>N/A - Facility Does Not Report to TRI</v>
      </c>
      <c r="T153" s="156" t="str">
        <f t="shared" si="17"/>
        <v>N/A - Facility Does Not Report to TRI</v>
      </c>
      <c r="U153" s="136" t="str" cm="1">
        <f t="array" ref="U153">IF(COUNTIF('Raw TRI Data'!$J:$J,$E153)&gt;0,INDEX('Raw TRI Data'!$A:$A,MATCH(1,($E153='Raw TRI Data'!$J:$J)*(S153='Raw TRI Data'!$S:$S),0)), "N/A - Facility Does Not Report to TRI")</f>
        <v>N/A - Facility Does Not Report to TRI</v>
      </c>
      <c r="V153" s="156" t="str" cm="1">
        <f t="array" ref="V153">IF(COUNTIFS('Raw Annual DMR Data'!$L:$L,$F153,'Raw Annual DMR Data'!$U:$U,"&gt;0")&gt;0,MEDIAN(IF('Raw Annual DMR Data'!$L:$L=$F153,'Raw Annual DMR Data'!$U:$U,"")),"N/A - Period DMR Data Not Available")</f>
        <v>N/A - Period DMR Data Not Available</v>
      </c>
      <c r="W153" s="156" t="str">
        <f>IF(COUNTIFS('Raw Annual DMR Data'!$L:$L,$F153, 'Raw Annual DMR Data'!$U:$U, "&gt;0")&gt;0,_xlfn.MAXIFS('Raw Annual DMR Data'!$U:$U,'Raw Annual DMR Data'!$L:$L,$F153), "N/A - Period DMR Data Not Available")</f>
        <v>N/A - Period DMR Data Not Available</v>
      </c>
      <c r="X153" s="113" t="str" cm="1">
        <f t="array" ref="X153">+IF(COUNTIFS('Raw Annual DMR Data'!L:L,$F153, 'Raw Annual DMR Data'!U:U, "&gt;0")&gt;0,INDEX('Raw Annual DMR Data'!V:V,MATCH(1,($F153='Raw Annual DMR Data'!L:L)*($W153='Raw Annual DMR Data'!U:U),0)), "N/A - Period DMR Data Not Available")</f>
        <v>N/A - Period DMR Data Not Available</v>
      </c>
      <c r="Y153" s="113" t="str" cm="1">
        <f t="array" ref="Y153">IF(COUNTIFS('Raw Annual DMR Data'!L:L,$F153, 'Raw Annual DMR Data'!U:U, "&gt;0")&gt;0,INDEX('Raw Annual DMR Data'!B:B,MATCH(1,($F153='Raw Annual DMR Data'!L:L)*($W153='Raw Annual DMR Data'!U:U),0)), "N/A - Period DMR Data Not Available")</f>
        <v>N/A - Period DMR Data Not Available</v>
      </c>
      <c r="Z153" s="311" t="str" cm="1">
        <f t="array" ref="Z153">IF(COUNTIF('Raw Annual DMR Data'!K:K,$E153)&gt;0,"N/A - See DMRs",IF(SUMIFS('Raw TRI Data'!$Z:$Z,'Raw TRI Data'!$J:$J,$E153)&gt;0,MEDIAN(IF('Raw TRI Data'!$J:$J=$E153,'Raw TRI Data'!$Z:$Z)), "N/A - Facility Does Not Report to TRI, no surface water releases, or no Generic Factors available"))</f>
        <v>N/A - Facility Does Not Report to TRI, no surface water releases, or no Generic Factors available</v>
      </c>
      <c r="AA153" s="156" t="str">
        <f>IF(COUNTIF('Raw Annual DMR Data'!K:K,$E153)&gt;0,"N/A - See DMRs",IF(SUMIFS('Raw TRI Data'!$Z:$Z,'Raw TRI Data'!$J:$J,$E153)&gt;0,_xlfn.MAXIFS('Raw TRI Data'!$Z:$Z,'Raw TRI Data'!$J:$J,$E153), "N/A - Facility Does Not Report to TRI, no surface water releases, or no Generic Factors available"))</f>
        <v>N/A - Facility Does Not Report to TRI, no surface water releases, or no Generic Factors available</v>
      </c>
      <c r="AB153" s="113" t="str">
        <f t="shared" si="20"/>
        <v>N/A</v>
      </c>
      <c r="AC153" s="136" t="str" cm="1">
        <f t="array" ref="AC153">IF(COUNTIF('Raw Annual DMR Data'!K:K,$E153)&gt;0,"N/A - See DMRs",IF(SUMIFS('Raw TRI Data'!$Z:$Z,'Raw TRI Data'!$J:$J,$E153)&gt;0,INDEX('Raw TRI Data'!$A:$A,MATCH(1,($E153='Raw TRI Data'!$J:$J)*($AA153='Raw TRI Data'!$Z:$Z),0)), "N/A - Facility Does Not Report to TRI, no surface water releases, or no Generic Factors available"))</f>
        <v>N/A - Facility Does Not Report to TRI, no surface water releases, or no Generic Factors available</v>
      </c>
      <c r="AD153" s="96" t="str" cm="1">
        <f t="array" ref="AD153">IF(COUNTIFS('Raw Annual DMR Data'!L:L,$F153,'Raw Annual DMR Data'!W:W, "&gt;0")&gt;0,MEDIAN(IF('Raw Annual DMR Data'!K:K=$F153, 'Raw Annual DMR Data'!W:W)), "N/A - No Daily Max DMR Discharge Data")</f>
        <v>N/A - No Daily Max DMR Discharge Data</v>
      </c>
      <c r="AE153" s="96" t="str">
        <f>IF(COUNTIFS('Raw Annual DMR Data'!L:L,$F153,'Raw Annual DMR Data'!W:W, "&gt;0")&gt;0,_xlfn.MAXIFS('Raw Annual DMR Data'!W:W,'Raw Annual DMR Data'!L:L,$F153), "N/A - No Daily Max DMR Discharge Data")</f>
        <v>N/A - No Daily Max DMR Discharge Data</v>
      </c>
      <c r="AF153" s="60" t="str" cm="1">
        <f t="array" ref="AF153">IF(COUNTIFS('Raw Annual DMR Data'!L:L,$F153,'Raw Annual DMR Data'!W:W, "&gt;0")&gt;0,INDEX('Raw Annual DMR Data'!B:B,MATCH(1,($F153='Raw Annual DMR Data'!L:L)*($AE153='Raw Annual DMR Data'!W:W),0)), "N/A - No Daily Max DMR Discharge Data")</f>
        <v>N/A - No Daily Max DMR Discharge Data</v>
      </c>
    </row>
    <row r="154" spans="1:32" ht="45.75" thickBot="1" x14ac:dyDescent="0.3">
      <c r="A154" s="144" t="str">
        <f>VLOOKUP(F154,'Facility Summary'!J:K,2,FALSE)</f>
        <v>Unknown</v>
      </c>
      <c r="B154" s="28" t="s">
        <v>1005</v>
      </c>
      <c r="C154" s="28" t="s">
        <v>446</v>
      </c>
      <c r="D154" s="28" t="s">
        <v>303</v>
      </c>
      <c r="E154" s="28"/>
      <c r="F154" s="61">
        <v>110064611969</v>
      </c>
      <c r="G154" s="60" t="str">
        <f>VLOOKUP($F154, 'Raw Annual DMR Data'!$A:$Z, 24, FALSE)</f>
        <v>LA0125041</v>
      </c>
      <c r="H154" s="60">
        <f>VLOOKUP($F154, 'Raw Annual DMR Data'!$A:$Z, 25, FALSE)</f>
        <v>0</v>
      </c>
      <c r="I154" s="74">
        <f>VLOOKUP($F154, 'Raw Annual DMR Data'!$A:$Z, 26, FALSE)</f>
        <v>8080206001241</v>
      </c>
      <c r="J154" s="74" t="s">
        <v>265</v>
      </c>
      <c r="K154" s="60">
        <f>VLOOKUP(A154, 'OES Summary'!$A:$B, 2, FALSE)</f>
        <v>250</v>
      </c>
      <c r="L154" s="304" cm="1">
        <f t="array" ref="L154">IF(COUNTIF('Raw Annual DMR Data'!$L:$L,$F154)&gt;0,MEDIAN(IF('Raw Annual DMR Data'!$L:$L=F154,'Raw Annual DMR Data'!$S:$S)),"N/A - Facility Does Not Report DMRs")</f>
        <v>3.0130492499999999</v>
      </c>
      <c r="M154" s="156">
        <f t="shared" si="18"/>
        <v>1.2052196999999999E-2</v>
      </c>
      <c r="N154" s="156">
        <f>IF(COUNTIF('Raw Annual DMR Data'!$L:$L,$F154)&gt;0,_xlfn.MAXIFS('Raw Annual DMR Data'!$S:$S,'Raw Annual DMR Data'!$L:$L,$F154), "N/A - Facility Does Not Report DMRs")</f>
        <v>10.411128</v>
      </c>
      <c r="O154" s="156">
        <f t="shared" si="19"/>
        <v>4.1644512000000002E-2</v>
      </c>
      <c r="P154" s="113" cm="1">
        <f t="array" ref="P154">IF(COUNTIF('Raw Annual DMR Data'!$L:$L,$F154)&gt;0,INDEX('Raw Annual DMR Data'!$B:$B,MATCH(1,($F154='Raw Annual DMR Data'!$L:$L)*($N154='Raw Annual DMR Data'!$S:$S),0)), "N/A - Facility Does Not Report DMRs")</f>
        <v>2024</v>
      </c>
      <c r="Q154" s="304" t="str" cm="1">
        <f t="array" ref="Q154">IF(COUNTIF('Raw TRI Data'!$J:$J,$E154)&gt;0,MEDIAN(IF('Raw TRI Data'!$J:$J=E154,'Raw TRI Data'!$S:$S)), "N/A - Facility Does Not Report to TRI")</f>
        <v>N/A - Facility Does Not Report to TRI</v>
      </c>
      <c r="R154" s="156" t="str">
        <f t="shared" si="16"/>
        <v>N/A - Facility Does Not Report to TRI</v>
      </c>
      <c r="S154" s="156" t="str">
        <f>IF(COUNTIF('Raw TRI Data'!$J:$J,$E154)&gt;0,_xlfn.MAXIFS('Raw TRI Data'!$S:$S,'Raw TRI Data'!$J:$J,$E154), "N/A - Facility Does Not Report to TRI")</f>
        <v>N/A - Facility Does Not Report to TRI</v>
      </c>
      <c r="T154" s="156" t="str">
        <f t="shared" si="17"/>
        <v>N/A - Facility Does Not Report to TRI</v>
      </c>
      <c r="U154" s="136" t="str" cm="1">
        <f t="array" ref="U154">IF(COUNTIF('Raw TRI Data'!$J:$J,$E154)&gt;0,INDEX('Raw TRI Data'!$A:$A,MATCH(1,($E154='Raw TRI Data'!$J:$J)*(S154='Raw TRI Data'!$S:$S),0)), "N/A - Facility Does Not Report to TRI")</f>
        <v>N/A - Facility Does Not Report to TRI</v>
      </c>
      <c r="V154" s="156" t="str" cm="1">
        <f t="array" ref="V154">IF(COUNTIFS('Raw Annual DMR Data'!$L:$L,$F154,'Raw Annual DMR Data'!$U:$U,"&gt;0")&gt;0,MEDIAN(IF('Raw Annual DMR Data'!$L:$L=$F154,'Raw Annual DMR Data'!$U:$U,"")),"N/A - Period DMR Data Not Available")</f>
        <v>N/A - Period DMR Data Not Available</v>
      </c>
      <c r="W154" s="156" t="str">
        <f>IF(COUNTIFS('Raw Annual DMR Data'!$L:$L,$F154, 'Raw Annual DMR Data'!$U:$U, "&gt;0")&gt;0,_xlfn.MAXIFS('Raw Annual DMR Data'!$U:$U,'Raw Annual DMR Data'!$L:$L,$F154), "N/A - Period DMR Data Not Available")</f>
        <v>N/A - Period DMR Data Not Available</v>
      </c>
      <c r="X154" s="113" t="str" cm="1">
        <f t="array" ref="X154">+IF(COUNTIFS('Raw Annual DMR Data'!L:L,$F154, 'Raw Annual DMR Data'!U:U, "&gt;0")&gt;0,INDEX('Raw Annual DMR Data'!V:V,MATCH(1,($F154='Raw Annual DMR Data'!L:L)*($W154='Raw Annual DMR Data'!U:U),0)), "N/A - Period DMR Data Not Available")</f>
        <v>N/A - Period DMR Data Not Available</v>
      </c>
      <c r="Y154" s="113" t="str" cm="1">
        <f t="array" ref="Y154">IF(COUNTIFS('Raw Annual DMR Data'!L:L,$F154, 'Raw Annual DMR Data'!U:U, "&gt;0")&gt;0,INDEX('Raw Annual DMR Data'!B:B,MATCH(1,($F154='Raw Annual DMR Data'!L:L)*($W154='Raw Annual DMR Data'!U:U),0)), "N/A - Period DMR Data Not Available")</f>
        <v>N/A - Period DMR Data Not Available</v>
      </c>
      <c r="Z154" s="311" t="str" cm="1">
        <f t="array" ref="Z154">IF(COUNTIF('Raw Annual DMR Data'!K:K,$E154)&gt;0,"N/A - See DMRs",IF(SUMIFS('Raw TRI Data'!$Z:$Z,'Raw TRI Data'!$J:$J,$E154)&gt;0,MEDIAN(IF('Raw TRI Data'!$J:$J=$E154,'Raw TRI Data'!$Z:$Z)), "N/A - Facility Does Not Report to TRI, no surface water releases, or no Generic Factors available"))</f>
        <v>N/A - Facility Does Not Report to TRI, no surface water releases, or no Generic Factors available</v>
      </c>
      <c r="AA154" s="156" t="str">
        <f>IF(COUNTIF('Raw Annual DMR Data'!K:K,$E154)&gt;0,"N/A - See DMRs",IF(SUMIFS('Raw TRI Data'!$Z:$Z,'Raw TRI Data'!$J:$J,$E154)&gt;0,_xlfn.MAXIFS('Raw TRI Data'!$Z:$Z,'Raw TRI Data'!$J:$J,$E154), "N/A - Facility Does Not Report to TRI, no surface water releases, or no Generic Factors available"))</f>
        <v>N/A - Facility Does Not Report to TRI, no surface water releases, or no Generic Factors available</v>
      </c>
      <c r="AB154" s="113" t="str">
        <f t="shared" si="20"/>
        <v>N/A</v>
      </c>
      <c r="AC154" s="136" t="str" cm="1">
        <f t="array" ref="AC154">IF(COUNTIF('Raw Annual DMR Data'!K:K,$E154)&gt;0,"N/A - See DMRs",IF(SUMIFS('Raw TRI Data'!$Z:$Z,'Raw TRI Data'!$J:$J,$E154)&gt;0,INDEX('Raw TRI Data'!$A:$A,MATCH(1,($E154='Raw TRI Data'!$J:$J)*($AA154='Raw TRI Data'!$Z:$Z),0)), "N/A - Facility Does Not Report to TRI, no surface water releases, or no Generic Factors available"))</f>
        <v>N/A - Facility Does Not Report to TRI, no surface water releases, or no Generic Factors available</v>
      </c>
      <c r="AD154" s="96" t="str" cm="1">
        <f t="array" ref="AD154">IF(COUNTIFS('Raw Annual DMR Data'!L:L,$F154,'Raw Annual DMR Data'!W:W, "&gt;0")&gt;0,MEDIAN(IF('Raw Annual DMR Data'!K:K=$F154, 'Raw Annual DMR Data'!W:W)), "N/A - No Daily Max DMR Discharge Data")</f>
        <v>N/A - No Daily Max DMR Discharge Data</v>
      </c>
      <c r="AE154" s="96" t="str">
        <f>IF(COUNTIFS('Raw Annual DMR Data'!L:L,$F154,'Raw Annual DMR Data'!W:W, "&gt;0")&gt;0,_xlfn.MAXIFS('Raw Annual DMR Data'!W:W,'Raw Annual DMR Data'!L:L,$F154), "N/A - No Daily Max DMR Discharge Data")</f>
        <v>N/A - No Daily Max DMR Discharge Data</v>
      </c>
      <c r="AF154" s="60" t="str" cm="1">
        <f t="array" ref="AF154">IF(COUNTIFS('Raw Annual DMR Data'!L:L,$F154,'Raw Annual DMR Data'!W:W, "&gt;0")&gt;0,INDEX('Raw Annual DMR Data'!B:B,MATCH(1,($F154='Raw Annual DMR Data'!L:L)*($AE154='Raw Annual DMR Data'!W:W),0)), "N/A - No Daily Max DMR Discharge Data")</f>
        <v>N/A - No Daily Max DMR Discharge Data</v>
      </c>
    </row>
    <row r="155" spans="1:32" ht="30.75" thickBot="1" x14ac:dyDescent="0.3">
      <c r="A155" s="144" t="str">
        <f>VLOOKUP(F155,'Facility Summary'!J:K,2,FALSE)</f>
        <v>Unknown</v>
      </c>
      <c r="B155" s="28" t="s">
        <v>1006</v>
      </c>
      <c r="C155" s="28" t="s">
        <v>1007</v>
      </c>
      <c r="D155" s="28" t="s">
        <v>1008</v>
      </c>
      <c r="E155" s="28" t="s">
        <v>707</v>
      </c>
      <c r="F155" s="61">
        <v>110000487633</v>
      </c>
      <c r="G155" s="60" t="str">
        <f>VLOOKUP($F155, 'Raw Annual DMR Data'!$A:$Z, 24, FALSE)</f>
        <v>OR0031828</v>
      </c>
      <c r="H155" s="60" t="str">
        <f>VLOOKUP($F155, 'Raw Annual DMR Data'!$A:$Z, 25, FALSE)</f>
        <v>COLUMBIA SLOUGH</v>
      </c>
      <c r="I155" s="74">
        <f>VLOOKUP($F155, 'Raw Annual DMR Data'!$A:$Z, 26, FALSE)</f>
        <v>17090012000380</v>
      </c>
      <c r="J155" s="74" t="s">
        <v>265</v>
      </c>
      <c r="K155" s="60">
        <f>VLOOKUP(A155, 'OES Summary'!$A:$B, 2, FALSE)</f>
        <v>250</v>
      </c>
      <c r="L155" s="304" cm="1">
        <f t="array" ref="L155">IF(COUNTIF('Raw Annual DMR Data'!$L:$L,$F155)&gt;0,MEDIAN(IF('Raw Annual DMR Data'!$L:$L=F155,'Raw Annual DMR Data'!$S:$S)),"N/A - Facility Does Not Report DMRs")</f>
        <v>1.3229483399999999E-2</v>
      </c>
      <c r="M155" s="156">
        <f t="shared" si="18"/>
        <v>5.2917933599999997E-5</v>
      </c>
      <c r="N155" s="156">
        <f>IF(COUNTIF('Raw Annual DMR Data'!$L:$L,$F155)&gt;0,_xlfn.MAXIFS('Raw Annual DMR Data'!$S:$S,'Raw Annual DMR Data'!$L:$L,$F155), "N/A - Facility Does Not Report DMRs")</f>
        <v>3.1332987E-2</v>
      </c>
      <c r="O155" s="156">
        <f t="shared" si="19"/>
        <v>1.2533194799999999E-4</v>
      </c>
      <c r="P155" s="113" cm="1">
        <f t="array" ref="P155">IF(COUNTIF('Raw Annual DMR Data'!$L:$L,$F155)&gt;0,INDEX('Raw Annual DMR Data'!$B:$B,MATCH(1,($F155='Raw Annual DMR Data'!$L:$L)*($N155='Raw Annual DMR Data'!$S:$S),0)), "N/A - Facility Does Not Report DMRs")</f>
        <v>2021</v>
      </c>
      <c r="Q155" s="304" t="str" cm="1">
        <f t="array" ref="Q155">IF(COUNTIF('Raw TRI Data'!$J:$J,$E155)&gt;0,MEDIAN(IF('Raw TRI Data'!$J:$J=E155,'Raw TRI Data'!$S:$S)), "N/A - Facility Does Not Report to TRI")</f>
        <v>N/A - Facility Does Not Report to TRI</v>
      </c>
      <c r="R155" s="156" t="str">
        <f t="shared" si="16"/>
        <v>N/A - Facility Does Not Report to TRI</v>
      </c>
      <c r="S155" s="156" t="str">
        <f>IF(COUNTIF('Raw TRI Data'!$J:$J,$E155)&gt;0,_xlfn.MAXIFS('Raw TRI Data'!$S:$S,'Raw TRI Data'!$J:$J,$E155), "N/A - Facility Does Not Report to TRI")</f>
        <v>N/A - Facility Does Not Report to TRI</v>
      </c>
      <c r="T155" s="156" t="str">
        <f t="shared" si="17"/>
        <v>N/A - Facility Does Not Report to TRI</v>
      </c>
      <c r="U155" s="136" t="str" cm="1">
        <f t="array" ref="U155">IF(COUNTIF('Raw TRI Data'!$J:$J,$E155)&gt;0,INDEX('Raw TRI Data'!$A:$A,MATCH(1,($E155='Raw TRI Data'!$J:$J)*(S155='Raw TRI Data'!$S:$S),0)), "N/A - Facility Does Not Report to TRI")</f>
        <v>N/A - Facility Does Not Report to TRI</v>
      </c>
      <c r="V155" s="156" t="str" cm="1">
        <f t="array" ref="V155">IF(COUNTIFS('Raw Annual DMR Data'!$L:$L,$F155,'Raw Annual DMR Data'!$U:$U,"&gt;0")&gt;0,MEDIAN(IF('Raw Annual DMR Data'!$L:$L=$F155,'Raw Annual DMR Data'!$U:$U,"")),"N/A - Period DMR Data Not Available")</f>
        <v>N/A - Period DMR Data Not Available</v>
      </c>
      <c r="W155" s="156" t="str">
        <f>IF(COUNTIFS('Raw Annual DMR Data'!$L:$L,$F155, 'Raw Annual DMR Data'!$U:$U, "&gt;0")&gt;0,_xlfn.MAXIFS('Raw Annual DMR Data'!$U:$U,'Raw Annual DMR Data'!$L:$L,$F155), "N/A - Period DMR Data Not Available")</f>
        <v>N/A - Period DMR Data Not Available</v>
      </c>
      <c r="X155" s="113" t="str" cm="1">
        <f t="array" ref="X155">+IF(COUNTIFS('Raw Annual DMR Data'!L:L,$F155, 'Raw Annual DMR Data'!U:U, "&gt;0")&gt;0,INDEX('Raw Annual DMR Data'!V:V,MATCH(1,($F155='Raw Annual DMR Data'!L:L)*($W155='Raw Annual DMR Data'!U:U),0)), "N/A - Period DMR Data Not Available")</f>
        <v>N/A - Period DMR Data Not Available</v>
      </c>
      <c r="Y155" s="113" t="str" cm="1">
        <f t="array" ref="Y155">IF(COUNTIFS('Raw Annual DMR Data'!L:L,$F155, 'Raw Annual DMR Data'!U:U, "&gt;0")&gt;0,INDEX('Raw Annual DMR Data'!B:B,MATCH(1,($F155='Raw Annual DMR Data'!L:L)*($W155='Raw Annual DMR Data'!U:U),0)), "N/A - Period DMR Data Not Available")</f>
        <v>N/A - Period DMR Data Not Available</v>
      </c>
      <c r="Z155" s="311" t="str" cm="1">
        <f t="array" ref="Z155">IF(COUNTIF('Raw Annual DMR Data'!K:K,$E155)&gt;0,"N/A - See DMRs",IF(SUMIFS('Raw TRI Data'!$Z:$Z,'Raw TRI Data'!$J:$J,$E155)&gt;0,MEDIAN(IF('Raw TRI Data'!$J:$J=$E155,'Raw TRI Data'!$Z:$Z)), "N/A - Facility Does Not Report to TRI, no surface water releases, or no Generic Factors available"))</f>
        <v>N/A - See DMRs</v>
      </c>
      <c r="AA155" s="156" t="str">
        <f>IF(COUNTIF('Raw Annual DMR Data'!K:K,$E155)&gt;0,"N/A - See DMRs",IF(SUMIFS('Raw TRI Data'!$Z:$Z,'Raw TRI Data'!$J:$J,$E155)&gt;0,_xlfn.MAXIFS('Raw TRI Data'!$Z:$Z,'Raw TRI Data'!$J:$J,$E155), "N/A - Facility Does Not Report to TRI, no surface water releases, or no Generic Factors available"))</f>
        <v>N/A - See DMRs</v>
      </c>
      <c r="AB155" s="113" t="str">
        <f t="shared" si="20"/>
        <v>N/A</v>
      </c>
      <c r="AC155" s="136" t="str" cm="1">
        <f t="array" ref="AC155">IF(COUNTIF('Raw Annual DMR Data'!K:K,$E155)&gt;0,"N/A - See DMRs",IF(SUMIFS('Raw TRI Data'!$Z:$Z,'Raw TRI Data'!$J:$J,$E155)&gt;0,INDEX('Raw TRI Data'!$A:$A,MATCH(1,($E155='Raw TRI Data'!$J:$J)*($AA155='Raw TRI Data'!$Z:$Z),0)), "N/A - Facility Does Not Report to TRI, no surface water releases, or no Generic Factors available"))</f>
        <v>N/A - See DMRs</v>
      </c>
      <c r="AD155" s="96" t="str" cm="1">
        <f t="array" ref="AD155">IF(COUNTIFS('Raw Annual DMR Data'!L:L,$F155,'Raw Annual DMR Data'!W:W, "&gt;0")&gt;0,MEDIAN(IF('Raw Annual DMR Data'!K:K=$F155, 'Raw Annual DMR Data'!W:W)), "N/A - No Daily Max DMR Discharge Data")</f>
        <v>N/A - No Daily Max DMR Discharge Data</v>
      </c>
      <c r="AE155" s="96" t="str">
        <f>IF(COUNTIFS('Raw Annual DMR Data'!L:L,$F155,'Raw Annual DMR Data'!W:W, "&gt;0")&gt;0,_xlfn.MAXIFS('Raw Annual DMR Data'!W:W,'Raw Annual DMR Data'!L:L,$F155), "N/A - No Daily Max DMR Discharge Data")</f>
        <v>N/A - No Daily Max DMR Discharge Data</v>
      </c>
      <c r="AF155" s="60" t="str" cm="1">
        <f t="array" ref="AF155">IF(COUNTIFS('Raw Annual DMR Data'!L:L,$F155,'Raw Annual DMR Data'!W:W, "&gt;0")&gt;0,INDEX('Raw Annual DMR Data'!B:B,MATCH(1,($F155='Raw Annual DMR Data'!L:L)*($AE155='Raw Annual DMR Data'!W:W),0)), "N/A - No Daily Max DMR Discharge Data")</f>
        <v>N/A - No Daily Max DMR Discharge Data</v>
      </c>
    </row>
    <row r="156" spans="1:32" ht="45.75" thickBot="1" x14ac:dyDescent="0.3">
      <c r="A156" s="144" t="str">
        <f>VLOOKUP(F156,'Facility Summary'!J:K,2,FALSE)</f>
        <v>Unknown</v>
      </c>
      <c r="B156" s="28" t="s">
        <v>1009</v>
      </c>
      <c r="C156" s="28" t="s">
        <v>1010</v>
      </c>
      <c r="D156" s="28" t="s">
        <v>366</v>
      </c>
      <c r="E156" s="28"/>
      <c r="F156" s="61">
        <v>110013682942</v>
      </c>
      <c r="G156" s="60" t="str">
        <f>VLOOKUP($F156, 'Raw Annual DMR Data'!$A:$Z, 24, FALSE)</f>
        <v>CA0084891</v>
      </c>
      <c r="H156" s="60" t="str">
        <f>VLOOKUP($F156, 'Raw Annual DMR Data'!$A:$Z, 25, FALSE)</f>
        <v>MORRISON CREEK, MORRISON CREEK AND SOUTH BRANCH MORRISON CREEK, SOUTHERN BRANCH OF MORRISON CREEK, UNNAMED DRAINAGE CHANNEL TO MORRISON CREEK</v>
      </c>
      <c r="I156" s="74">
        <f>VLOOKUP($F156, 'Raw Annual DMR Data'!$A:$Z, 26, FALSE)</f>
        <v>18020163016075</v>
      </c>
      <c r="J156" s="74" t="s">
        <v>265</v>
      </c>
      <c r="K156" s="60">
        <f>VLOOKUP(A156, 'OES Summary'!$A:$B, 2, FALSE)</f>
        <v>250</v>
      </c>
      <c r="L156" s="304" cm="1">
        <f t="array" ref="L156">IF(COUNTIF('Raw Annual DMR Data'!$L:$L,$F156)&gt;0,MEDIAN(IF('Raw Annual DMR Data'!$L:$L=F156,'Raw Annual DMR Data'!$S:$S)),"N/A - Facility Does Not Report DMRs")</f>
        <v>0.120646875</v>
      </c>
      <c r="M156" s="156">
        <f t="shared" si="18"/>
        <v>4.8258749999999999E-4</v>
      </c>
      <c r="N156" s="156">
        <f>IF(COUNTIF('Raw Annual DMR Data'!$L:$L,$F156)&gt;0,_xlfn.MAXIFS('Raw Annual DMR Data'!$S:$S,'Raw Annual DMR Data'!$L:$L,$F156), "N/A - Facility Does Not Report DMRs")</f>
        <v>0.120646875</v>
      </c>
      <c r="O156" s="156">
        <f t="shared" si="19"/>
        <v>4.8258749999999999E-4</v>
      </c>
      <c r="P156" s="113" cm="1">
        <f t="array" ref="P156">IF(COUNTIF('Raw Annual DMR Data'!$L:$L,$F156)&gt;0,INDEX('Raw Annual DMR Data'!$B:$B,MATCH(1,($F156='Raw Annual DMR Data'!$L:$L)*($N156='Raw Annual DMR Data'!$S:$S),0)), "N/A - Facility Does Not Report DMRs")</f>
        <v>2018</v>
      </c>
      <c r="Q156" s="304" t="str" cm="1">
        <f t="array" ref="Q156">IF(COUNTIF('Raw TRI Data'!$J:$J,$E156)&gt;0,MEDIAN(IF('Raw TRI Data'!$J:$J=E156,'Raw TRI Data'!$S:$S)), "N/A - Facility Does Not Report to TRI")</f>
        <v>N/A - Facility Does Not Report to TRI</v>
      </c>
      <c r="R156" s="156" t="str">
        <f t="shared" si="16"/>
        <v>N/A - Facility Does Not Report to TRI</v>
      </c>
      <c r="S156" s="156" t="str">
        <f>IF(COUNTIF('Raw TRI Data'!$J:$J,$E156)&gt;0,_xlfn.MAXIFS('Raw TRI Data'!$S:$S,'Raw TRI Data'!$J:$J,$E156), "N/A - Facility Does Not Report to TRI")</f>
        <v>N/A - Facility Does Not Report to TRI</v>
      </c>
      <c r="T156" s="156" t="str">
        <f t="shared" si="17"/>
        <v>N/A - Facility Does Not Report to TRI</v>
      </c>
      <c r="U156" s="136" t="str" cm="1">
        <f t="array" ref="U156">IF(COUNTIF('Raw TRI Data'!$J:$J,$E156)&gt;0,INDEX('Raw TRI Data'!$A:$A,MATCH(1,($E156='Raw TRI Data'!$J:$J)*(S156='Raw TRI Data'!$S:$S),0)), "N/A - Facility Does Not Report to TRI")</f>
        <v>N/A - Facility Does Not Report to TRI</v>
      </c>
      <c r="V156" s="156" t="str" cm="1">
        <f t="array" ref="V156">IF(COUNTIFS('Raw Annual DMR Data'!$L:$L,$F156,'Raw Annual DMR Data'!$U:$U,"&gt;0")&gt;0,MEDIAN(IF('Raw Annual DMR Data'!$L:$L=$F156,'Raw Annual DMR Data'!$U:$U,"")),"N/A - Period DMR Data Not Available")</f>
        <v>N/A - Period DMR Data Not Available</v>
      </c>
      <c r="W156" s="156" t="str">
        <f>IF(COUNTIFS('Raw Annual DMR Data'!$L:$L,$F156, 'Raw Annual DMR Data'!$U:$U, "&gt;0")&gt;0,_xlfn.MAXIFS('Raw Annual DMR Data'!$U:$U,'Raw Annual DMR Data'!$L:$L,$F156), "N/A - Period DMR Data Not Available")</f>
        <v>N/A - Period DMR Data Not Available</v>
      </c>
      <c r="X156" s="113" t="str" cm="1">
        <f t="array" ref="X156">+IF(COUNTIFS('Raw Annual DMR Data'!L:L,$F156, 'Raw Annual DMR Data'!U:U, "&gt;0")&gt;0,INDEX('Raw Annual DMR Data'!V:V,MATCH(1,($F156='Raw Annual DMR Data'!L:L)*($W156='Raw Annual DMR Data'!U:U),0)), "N/A - Period DMR Data Not Available")</f>
        <v>N/A - Period DMR Data Not Available</v>
      </c>
      <c r="Y156" s="113" t="str" cm="1">
        <f t="array" ref="Y156">IF(COUNTIFS('Raw Annual DMR Data'!L:L,$F156, 'Raw Annual DMR Data'!U:U, "&gt;0")&gt;0,INDEX('Raw Annual DMR Data'!B:B,MATCH(1,($F156='Raw Annual DMR Data'!L:L)*($W156='Raw Annual DMR Data'!U:U),0)), "N/A - Period DMR Data Not Available")</f>
        <v>N/A - Period DMR Data Not Available</v>
      </c>
      <c r="Z156" s="311" t="str" cm="1">
        <f t="array" ref="Z156">IF(COUNTIF('Raw Annual DMR Data'!K:K,$E156)&gt;0,"N/A - See DMRs",IF(SUMIFS('Raw TRI Data'!$Z:$Z,'Raw TRI Data'!$J:$J,$E156)&gt;0,MEDIAN(IF('Raw TRI Data'!$J:$J=$E156,'Raw TRI Data'!$Z:$Z)), "N/A - Facility Does Not Report to TRI, no surface water releases, or no Generic Factors available"))</f>
        <v>N/A - Facility Does Not Report to TRI, no surface water releases, or no Generic Factors available</v>
      </c>
      <c r="AA156" s="156" t="str">
        <f>IF(COUNTIF('Raw Annual DMR Data'!K:K,$E156)&gt;0,"N/A - See DMRs",IF(SUMIFS('Raw TRI Data'!$Z:$Z,'Raw TRI Data'!$J:$J,$E156)&gt;0,_xlfn.MAXIFS('Raw TRI Data'!$Z:$Z,'Raw TRI Data'!$J:$J,$E156), "N/A - Facility Does Not Report to TRI, no surface water releases, or no Generic Factors available"))</f>
        <v>N/A - Facility Does Not Report to TRI, no surface water releases, or no Generic Factors available</v>
      </c>
      <c r="AB156" s="113" t="str">
        <f t="shared" si="20"/>
        <v>N/A</v>
      </c>
      <c r="AC156" s="136" t="str" cm="1">
        <f t="array" ref="AC156">IF(COUNTIF('Raw Annual DMR Data'!K:K,$E156)&gt;0,"N/A - See DMRs",IF(SUMIFS('Raw TRI Data'!$Z:$Z,'Raw TRI Data'!$J:$J,$E156)&gt;0,INDEX('Raw TRI Data'!$A:$A,MATCH(1,($E156='Raw TRI Data'!$J:$J)*($AA156='Raw TRI Data'!$Z:$Z),0)), "N/A - Facility Does Not Report to TRI, no surface water releases, or no Generic Factors available"))</f>
        <v>N/A - Facility Does Not Report to TRI, no surface water releases, or no Generic Factors available</v>
      </c>
      <c r="AD156" s="96" t="str" cm="1">
        <f t="array" ref="AD156">IF(COUNTIFS('Raw Annual DMR Data'!L:L,$F156,'Raw Annual DMR Data'!W:W, "&gt;0")&gt;0,MEDIAN(IF('Raw Annual DMR Data'!K:K=$F156, 'Raw Annual DMR Data'!W:W)), "N/A - No Daily Max DMR Discharge Data")</f>
        <v>N/A - No Daily Max DMR Discharge Data</v>
      </c>
      <c r="AE156" s="96" t="str">
        <f>IF(COUNTIFS('Raw Annual DMR Data'!L:L,$F156,'Raw Annual DMR Data'!W:W, "&gt;0")&gt;0,_xlfn.MAXIFS('Raw Annual DMR Data'!W:W,'Raw Annual DMR Data'!L:L,$F156), "N/A - No Daily Max DMR Discharge Data")</f>
        <v>N/A - No Daily Max DMR Discharge Data</v>
      </c>
      <c r="AF156" s="60" t="str" cm="1">
        <f t="array" ref="AF156">IF(COUNTIFS('Raw Annual DMR Data'!L:L,$F156,'Raw Annual DMR Data'!W:W, "&gt;0")&gt;0,INDEX('Raw Annual DMR Data'!B:B,MATCH(1,($F156='Raw Annual DMR Data'!L:L)*($AE156='Raw Annual DMR Data'!W:W),0)), "N/A - No Daily Max DMR Discharge Data")</f>
        <v>N/A - No Daily Max DMR Discharge Data</v>
      </c>
    </row>
    <row r="157" spans="1:32" ht="45.75" thickBot="1" x14ac:dyDescent="0.3">
      <c r="A157" s="144" t="str">
        <f>VLOOKUP(F157,'Facility Summary'!J:K,2,FALSE)</f>
        <v>Unknown</v>
      </c>
      <c r="B157" s="28" t="s">
        <v>1011</v>
      </c>
      <c r="C157" s="28" t="s">
        <v>1012</v>
      </c>
      <c r="D157" s="28" t="s">
        <v>366</v>
      </c>
      <c r="E157" s="28"/>
      <c r="F157" s="61">
        <v>110000746649</v>
      </c>
      <c r="G157" s="60" t="str">
        <f>VLOOKUP($F157, 'Raw Annual DMR Data'!$A:$Z, 24, FALSE)</f>
        <v>CA0060232</v>
      </c>
      <c r="H157" s="60" t="str">
        <f>VLOOKUP($F157, 'Raw Annual DMR Data'!$A:$Z, 25, FALSE)</f>
        <v>DOMINGUEZ CHANNEL ESTUARY</v>
      </c>
      <c r="I157" s="74">
        <f>VLOOKUP($F157, 'Raw Annual DMR Data'!$A:$Z, 26, FALSE)</f>
        <v>18070106002149</v>
      </c>
      <c r="J157" s="74" t="s">
        <v>265</v>
      </c>
      <c r="K157" s="60">
        <f>VLOOKUP(A157, 'OES Summary'!$A:$B, 2, FALSE)</f>
        <v>250</v>
      </c>
      <c r="L157" s="304" cm="1">
        <f t="array" ref="L157">IF(COUNTIF('Raw Annual DMR Data'!$L:$L,$F157)&gt;0,MEDIAN(IF('Raw Annual DMR Data'!$L:$L=F157,'Raw Annual DMR Data'!$S:$S)),"N/A - Facility Does Not Report DMRs")</f>
        <v>7.034835538125E-3</v>
      </c>
      <c r="M157" s="156">
        <f t="shared" si="18"/>
        <v>2.81393421525E-5</v>
      </c>
      <c r="N157" s="156">
        <f>IF(COUNTIF('Raw Annual DMR Data'!$L:$L,$F157)&gt;0,_xlfn.MAXIFS('Raw Annual DMR Data'!$S:$S,'Raw Annual DMR Data'!$L:$L,$F157), "N/A - Facility Does Not Report DMRs")</f>
        <v>7.034835538125E-3</v>
      </c>
      <c r="O157" s="156">
        <f t="shared" si="19"/>
        <v>2.81393421525E-5</v>
      </c>
      <c r="P157" s="113" cm="1">
        <f t="array" ref="P157">IF(COUNTIF('Raw Annual DMR Data'!$L:$L,$F157)&gt;0,INDEX('Raw Annual DMR Data'!$B:$B,MATCH(1,($F157='Raw Annual DMR Data'!$L:$L)*($N157='Raw Annual DMR Data'!$S:$S),0)), "N/A - Facility Does Not Report DMRs")</f>
        <v>2019</v>
      </c>
      <c r="Q157" s="304" t="str" cm="1">
        <f t="array" ref="Q157">IF(COUNTIF('Raw TRI Data'!$J:$J,$E157)&gt;0,MEDIAN(IF('Raw TRI Data'!$J:$J=E157,'Raw TRI Data'!$S:$S)), "N/A - Facility Does Not Report to TRI")</f>
        <v>N/A - Facility Does Not Report to TRI</v>
      </c>
      <c r="R157" s="156" t="str">
        <f t="shared" si="16"/>
        <v>N/A - Facility Does Not Report to TRI</v>
      </c>
      <c r="S157" s="156" t="str">
        <f>IF(COUNTIF('Raw TRI Data'!$J:$J,$E157)&gt;0,_xlfn.MAXIFS('Raw TRI Data'!$S:$S,'Raw TRI Data'!$J:$J,$E157), "N/A - Facility Does Not Report to TRI")</f>
        <v>N/A - Facility Does Not Report to TRI</v>
      </c>
      <c r="T157" s="156" t="str">
        <f t="shared" si="17"/>
        <v>N/A - Facility Does Not Report to TRI</v>
      </c>
      <c r="U157" s="136" t="str" cm="1">
        <f t="array" ref="U157">IF(COUNTIF('Raw TRI Data'!$J:$J,$E157)&gt;0,INDEX('Raw TRI Data'!$A:$A,MATCH(1,($E157='Raw TRI Data'!$J:$J)*(S157='Raw TRI Data'!$S:$S),0)), "N/A - Facility Does Not Report to TRI")</f>
        <v>N/A - Facility Does Not Report to TRI</v>
      </c>
      <c r="V157" s="156" t="str" cm="1">
        <f t="array" ref="V157">IF(COUNTIFS('Raw Annual DMR Data'!$L:$L,$F157,'Raw Annual DMR Data'!$U:$U,"&gt;0")&gt;0,MEDIAN(IF('Raw Annual DMR Data'!$L:$L=$F157,'Raw Annual DMR Data'!$U:$U,"")),"N/A - Period DMR Data Not Available")</f>
        <v>N/A - Period DMR Data Not Available</v>
      </c>
      <c r="W157" s="156" t="str">
        <f>IF(COUNTIFS('Raw Annual DMR Data'!$L:$L,$F157, 'Raw Annual DMR Data'!$U:$U, "&gt;0")&gt;0,_xlfn.MAXIFS('Raw Annual DMR Data'!$U:$U,'Raw Annual DMR Data'!$L:$L,$F157), "N/A - Period DMR Data Not Available")</f>
        <v>N/A - Period DMR Data Not Available</v>
      </c>
      <c r="X157" s="113" t="str" cm="1">
        <f t="array" ref="X157">+IF(COUNTIFS('Raw Annual DMR Data'!L:L,$F157, 'Raw Annual DMR Data'!U:U, "&gt;0")&gt;0,INDEX('Raw Annual DMR Data'!V:V,MATCH(1,($F157='Raw Annual DMR Data'!L:L)*($W157='Raw Annual DMR Data'!U:U),0)), "N/A - Period DMR Data Not Available")</f>
        <v>N/A - Period DMR Data Not Available</v>
      </c>
      <c r="Y157" s="113" t="str" cm="1">
        <f t="array" ref="Y157">IF(COUNTIFS('Raw Annual DMR Data'!L:L,$F157, 'Raw Annual DMR Data'!U:U, "&gt;0")&gt;0,INDEX('Raw Annual DMR Data'!B:B,MATCH(1,($F157='Raw Annual DMR Data'!L:L)*($W157='Raw Annual DMR Data'!U:U),0)), "N/A - Period DMR Data Not Available")</f>
        <v>N/A - Period DMR Data Not Available</v>
      </c>
      <c r="Z157" s="311" t="str" cm="1">
        <f t="array" ref="Z157">IF(COUNTIF('Raw Annual DMR Data'!K:K,$E157)&gt;0,"N/A - See DMRs",IF(SUMIFS('Raw TRI Data'!$Z:$Z,'Raw TRI Data'!$J:$J,$E157)&gt;0,MEDIAN(IF('Raw TRI Data'!$J:$J=$E157,'Raw TRI Data'!$Z:$Z)), "N/A - Facility Does Not Report to TRI, no surface water releases, or no Generic Factors available"))</f>
        <v>N/A - Facility Does Not Report to TRI, no surface water releases, or no Generic Factors available</v>
      </c>
      <c r="AA157" s="156" t="str">
        <f>IF(COUNTIF('Raw Annual DMR Data'!K:K,$E157)&gt;0,"N/A - See DMRs",IF(SUMIFS('Raw TRI Data'!$Z:$Z,'Raw TRI Data'!$J:$J,$E157)&gt;0,_xlfn.MAXIFS('Raw TRI Data'!$Z:$Z,'Raw TRI Data'!$J:$J,$E157), "N/A - Facility Does Not Report to TRI, no surface water releases, or no Generic Factors available"))</f>
        <v>N/A - Facility Does Not Report to TRI, no surface water releases, or no Generic Factors available</v>
      </c>
      <c r="AB157" s="113" t="str">
        <f t="shared" si="20"/>
        <v>N/A</v>
      </c>
      <c r="AC157" s="136" t="str" cm="1">
        <f t="array" ref="AC157">IF(COUNTIF('Raw Annual DMR Data'!K:K,$E157)&gt;0,"N/A - See DMRs",IF(SUMIFS('Raw TRI Data'!$Z:$Z,'Raw TRI Data'!$J:$J,$E157)&gt;0,INDEX('Raw TRI Data'!$A:$A,MATCH(1,($E157='Raw TRI Data'!$J:$J)*($AA157='Raw TRI Data'!$Z:$Z),0)), "N/A - Facility Does Not Report to TRI, no surface water releases, or no Generic Factors available"))</f>
        <v>N/A - Facility Does Not Report to TRI, no surface water releases, or no Generic Factors available</v>
      </c>
      <c r="AD157" s="96" t="str" cm="1">
        <f t="array" ref="AD157">IF(COUNTIFS('Raw Annual DMR Data'!L:L,$F157,'Raw Annual DMR Data'!W:W, "&gt;0")&gt;0,MEDIAN(IF('Raw Annual DMR Data'!K:K=$F157, 'Raw Annual DMR Data'!W:W)), "N/A - No Daily Max DMR Discharge Data")</f>
        <v>N/A - No Daily Max DMR Discharge Data</v>
      </c>
      <c r="AE157" s="96" t="str">
        <f>IF(COUNTIFS('Raw Annual DMR Data'!L:L,$F157,'Raw Annual DMR Data'!W:W, "&gt;0")&gt;0,_xlfn.MAXIFS('Raw Annual DMR Data'!W:W,'Raw Annual DMR Data'!L:L,$F157), "N/A - No Daily Max DMR Discharge Data")</f>
        <v>N/A - No Daily Max DMR Discharge Data</v>
      </c>
      <c r="AF157" s="60" t="str" cm="1">
        <f t="array" ref="AF157">IF(COUNTIFS('Raw Annual DMR Data'!L:L,$F157,'Raw Annual DMR Data'!W:W, "&gt;0")&gt;0,INDEX('Raw Annual DMR Data'!B:B,MATCH(1,($F157='Raw Annual DMR Data'!L:L)*($AE157='Raw Annual DMR Data'!W:W),0)), "N/A - No Daily Max DMR Discharge Data")</f>
        <v>N/A - No Daily Max DMR Discharge Data</v>
      </c>
    </row>
    <row r="158" spans="1:32" ht="45.75" thickBot="1" x14ac:dyDescent="0.3">
      <c r="A158" s="144" t="str">
        <f>VLOOKUP(F158,'Facility Summary'!J:K,2,FALSE)</f>
        <v>Waste Handling, Disposal and Treatment (Landfill)</v>
      </c>
      <c r="B158" s="28" t="s">
        <v>1013</v>
      </c>
      <c r="C158" s="28" t="s">
        <v>1014</v>
      </c>
      <c r="D158" s="28" t="s">
        <v>349</v>
      </c>
      <c r="E158" s="28"/>
      <c r="F158" s="61">
        <v>110000614746</v>
      </c>
      <c r="G158" s="60" t="str">
        <f>VLOOKUP($F158, 'Raw Annual DMR Data'!$A:$Z, 24, FALSE)</f>
        <v>MO0099503</v>
      </c>
      <c r="H158" s="60" t="str">
        <f>VLOOKUP($F158, 'Raw Annual DMR Data'!$A:$Z, 25, FALSE)</f>
        <v>TRIBUTARY TO COOLEY LAKE, TRIBUTARY TO MISSOURI R.</v>
      </c>
      <c r="I158" s="74">
        <f>VLOOKUP($F158, 'Raw Annual DMR Data'!$A:$Z, 26, FALSE)</f>
        <v>10300101002099</v>
      </c>
      <c r="J158" s="74" t="s">
        <v>265</v>
      </c>
      <c r="K158" s="60">
        <f>VLOOKUP(A158, 'OES Summary'!$A:$B, 2, FALSE)</f>
        <v>250</v>
      </c>
      <c r="L158" s="304" cm="1">
        <f t="array" ref="L158">IF(COUNTIF('Raw Annual DMR Data'!$L:$L,$F158)&gt;0,MEDIAN(IF('Raw Annual DMR Data'!$L:$L=F158,'Raw Annual DMR Data'!$S:$S)),"N/A - Facility Does Not Report DMRs")</f>
        <v>1.342494621255E-2</v>
      </c>
      <c r="M158" s="156">
        <f t="shared" si="18"/>
        <v>5.3699784850200003E-5</v>
      </c>
      <c r="N158" s="156">
        <f>IF(COUNTIF('Raw Annual DMR Data'!$L:$L,$F158)&gt;0,_xlfn.MAXIFS('Raw Annual DMR Data'!$S:$S,'Raw Annual DMR Data'!$L:$L,$F158), "N/A - Facility Does Not Report DMRs")</f>
        <v>3.6966123961249903E-2</v>
      </c>
      <c r="O158" s="156">
        <f t="shared" si="19"/>
        <v>1.478644958449996E-4</v>
      </c>
      <c r="P158" s="113" cm="1">
        <f t="array" ref="P158">IF(COUNTIF('Raw Annual DMR Data'!$L:$L,$F158)&gt;0,INDEX('Raw Annual DMR Data'!$B:$B,MATCH(1,($F158='Raw Annual DMR Data'!$L:$L)*($N158='Raw Annual DMR Data'!$S:$S),0)), "N/A - Facility Does Not Report DMRs")</f>
        <v>2019</v>
      </c>
      <c r="Q158" s="304" t="str" cm="1">
        <f t="array" ref="Q158">IF(COUNTIF('Raw TRI Data'!$J:$J,$E158)&gt;0,MEDIAN(IF('Raw TRI Data'!$J:$J=E158,'Raw TRI Data'!$S:$S)), "N/A - Facility Does Not Report to TRI")</f>
        <v>N/A - Facility Does Not Report to TRI</v>
      </c>
      <c r="R158" s="156" t="str">
        <f t="shared" si="16"/>
        <v>N/A - Facility Does Not Report to TRI</v>
      </c>
      <c r="S158" s="156" t="str">
        <f>IF(COUNTIF('Raw TRI Data'!$J:$J,$E158)&gt;0,_xlfn.MAXIFS('Raw TRI Data'!$S:$S,'Raw TRI Data'!$J:$J,$E158), "N/A - Facility Does Not Report to TRI")</f>
        <v>N/A - Facility Does Not Report to TRI</v>
      </c>
      <c r="T158" s="156" t="str">
        <f t="shared" si="17"/>
        <v>N/A - Facility Does Not Report to TRI</v>
      </c>
      <c r="U158" s="136" t="str" cm="1">
        <f t="array" ref="U158">IF(COUNTIF('Raw TRI Data'!$J:$J,$E158)&gt;0,INDEX('Raw TRI Data'!$A:$A,MATCH(1,($E158='Raw TRI Data'!$J:$J)*(S158='Raw TRI Data'!$S:$S),0)), "N/A - Facility Does Not Report to TRI")</f>
        <v>N/A - Facility Does Not Report to TRI</v>
      </c>
      <c r="V158" s="156" t="str" cm="1">
        <f t="array" ref="V158">IF(COUNTIFS('Raw Annual DMR Data'!$L:$L,$F158,'Raw Annual DMR Data'!$U:$U,"&gt;0")&gt;0,MEDIAN(IF('Raw Annual DMR Data'!$L:$L=$F158,'Raw Annual DMR Data'!$U:$U,"")),"N/A - Period DMR Data Not Available")</f>
        <v>N/A - Period DMR Data Not Available</v>
      </c>
      <c r="W158" s="156" t="str">
        <f>IF(COUNTIFS('Raw Annual DMR Data'!$L:$L,$F158, 'Raw Annual DMR Data'!$U:$U, "&gt;0")&gt;0,_xlfn.MAXIFS('Raw Annual DMR Data'!$U:$U,'Raw Annual DMR Data'!$L:$L,$F158), "N/A - Period DMR Data Not Available")</f>
        <v>N/A - Period DMR Data Not Available</v>
      </c>
      <c r="X158" s="113" t="str" cm="1">
        <f t="array" ref="X158">+IF(COUNTIFS('Raw Annual DMR Data'!L:L,$F158, 'Raw Annual DMR Data'!U:U, "&gt;0")&gt;0,INDEX('Raw Annual DMR Data'!V:V,MATCH(1,($F158='Raw Annual DMR Data'!L:L)*($W158='Raw Annual DMR Data'!U:U),0)), "N/A - Period DMR Data Not Available")</f>
        <v>N/A - Period DMR Data Not Available</v>
      </c>
      <c r="Y158" s="113" t="str" cm="1">
        <f t="array" ref="Y158">IF(COUNTIFS('Raw Annual DMR Data'!L:L,$F158, 'Raw Annual DMR Data'!U:U, "&gt;0")&gt;0,INDEX('Raw Annual DMR Data'!B:B,MATCH(1,($F158='Raw Annual DMR Data'!L:L)*($W158='Raw Annual DMR Data'!U:U),0)), "N/A - Period DMR Data Not Available")</f>
        <v>N/A - Period DMR Data Not Available</v>
      </c>
      <c r="Z158" s="311" t="str" cm="1">
        <f t="array" ref="Z158">IF(COUNTIF('Raw Annual DMR Data'!K:K,$E158)&gt;0,"N/A - See DMRs",IF(SUMIFS('Raw TRI Data'!$Z:$Z,'Raw TRI Data'!$J:$J,$E158)&gt;0,MEDIAN(IF('Raw TRI Data'!$J:$J=$E158,'Raw TRI Data'!$Z:$Z)), "N/A - Facility Does Not Report to TRI, no surface water releases, or no Generic Factors available"))</f>
        <v>N/A - Facility Does Not Report to TRI, no surface water releases, or no Generic Factors available</v>
      </c>
      <c r="AA158" s="156" t="str">
        <f>IF(COUNTIF('Raw Annual DMR Data'!K:K,$E158)&gt;0,"N/A - See DMRs",IF(SUMIFS('Raw TRI Data'!$Z:$Z,'Raw TRI Data'!$J:$J,$E158)&gt;0,_xlfn.MAXIFS('Raw TRI Data'!$Z:$Z,'Raw TRI Data'!$J:$J,$E158), "N/A - Facility Does Not Report to TRI, no surface water releases, or no Generic Factors available"))</f>
        <v>N/A - Facility Does Not Report to TRI, no surface water releases, or no Generic Factors available</v>
      </c>
      <c r="AB158" s="113" t="str">
        <f t="shared" si="20"/>
        <v>N/A</v>
      </c>
      <c r="AC158" s="136" t="str" cm="1">
        <f t="array" ref="AC158">IF(COUNTIF('Raw Annual DMR Data'!K:K,$E158)&gt;0,"N/A - See DMRs",IF(SUMIFS('Raw TRI Data'!$Z:$Z,'Raw TRI Data'!$J:$J,$E158)&gt;0,INDEX('Raw TRI Data'!$A:$A,MATCH(1,($E158='Raw TRI Data'!$J:$J)*($AA158='Raw TRI Data'!$Z:$Z),0)), "N/A - Facility Does Not Report to TRI, no surface water releases, or no Generic Factors available"))</f>
        <v>N/A - Facility Does Not Report to TRI, no surface water releases, or no Generic Factors available</v>
      </c>
      <c r="AD158" s="96" t="str" cm="1">
        <f t="array" ref="AD158">IF(COUNTIFS('Raw Annual DMR Data'!L:L,$F158,'Raw Annual DMR Data'!W:W, "&gt;0")&gt;0,MEDIAN(IF('Raw Annual DMR Data'!K:K=$F158, 'Raw Annual DMR Data'!W:W)), "N/A - No Daily Max DMR Discharge Data")</f>
        <v>N/A - No Daily Max DMR Discharge Data</v>
      </c>
      <c r="AE158" s="96" t="str">
        <f>IF(COUNTIFS('Raw Annual DMR Data'!L:L,$F158,'Raw Annual DMR Data'!W:W, "&gt;0")&gt;0,_xlfn.MAXIFS('Raw Annual DMR Data'!W:W,'Raw Annual DMR Data'!L:L,$F158), "N/A - No Daily Max DMR Discharge Data")</f>
        <v>N/A - No Daily Max DMR Discharge Data</v>
      </c>
      <c r="AF158" s="60" t="str" cm="1">
        <f t="array" ref="AF158">IF(COUNTIFS('Raw Annual DMR Data'!L:L,$F158,'Raw Annual DMR Data'!W:W, "&gt;0")&gt;0,INDEX('Raw Annual DMR Data'!B:B,MATCH(1,($F158='Raw Annual DMR Data'!L:L)*($AE158='Raw Annual DMR Data'!W:W),0)), "N/A - No Daily Max DMR Discharge Data")</f>
        <v>N/A - No Daily Max DMR Discharge Data</v>
      </c>
    </row>
    <row r="159" spans="1:32" ht="45.75" thickBot="1" x14ac:dyDescent="0.3">
      <c r="A159" s="144" t="str">
        <f>VLOOKUP(F159,'Facility Summary'!J:K,2,FALSE)</f>
        <v>Waste Handling, Disposal and Treatment (Landfill)</v>
      </c>
      <c r="B159" s="28" t="s">
        <v>1015</v>
      </c>
      <c r="C159" s="28" t="s">
        <v>1016</v>
      </c>
      <c r="D159" s="28" t="s">
        <v>366</v>
      </c>
      <c r="E159" s="28"/>
      <c r="F159" s="61">
        <v>110005972965</v>
      </c>
      <c r="G159" s="60" t="str">
        <f>VLOOKUP($F159, 'Raw Annual DMR Data'!$A:$Z, 24, FALSE)</f>
        <v>CA0029947</v>
      </c>
      <c r="H159" s="60" t="str">
        <f>VLOOKUP($F159, 'Raw Annual DMR Data'!$A:$Z, 25, FALSE)</f>
        <v>CORINDA LOS TRANCOS CREEK</v>
      </c>
      <c r="I159" s="74">
        <f>VLOOKUP($F159, 'Raw Annual DMR Data'!$A:$Z, 26, FALSE)</f>
        <v>18050006000165</v>
      </c>
      <c r="J159" s="74" t="s">
        <v>265</v>
      </c>
      <c r="K159" s="60">
        <f>VLOOKUP(A159, 'OES Summary'!$A:$B, 2, FALSE)</f>
        <v>250</v>
      </c>
      <c r="L159" s="304" cm="1">
        <f t="array" ref="L159">IF(COUNTIF('Raw Annual DMR Data'!$L:$L,$F159)&gt;0,MEDIAN(IF('Raw Annual DMR Data'!$L:$L=F159,'Raw Annual DMR Data'!$S:$S)),"N/A - Facility Does Not Report DMRs")</f>
        <v>2.4279058502499901E-4</v>
      </c>
      <c r="M159" s="156">
        <f t="shared" si="18"/>
        <v>9.7116234009999614E-7</v>
      </c>
      <c r="N159" s="156">
        <f>IF(COUNTIF('Raw Annual DMR Data'!$L:$L,$F159)&gt;0,_xlfn.MAXIFS('Raw Annual DMR Data'!$S:$S,'Raw Annual DMR Data'!$L:$L,$F159), "N/A - Facility Does Not Report DMRs")</f>
        <v>2.4279058502499901E-4</v>
      </c>
      <c r="O159" s="156">
        <f t="shared" si="19"/>
        <v>9.7116234009999614E-7</v>
      </c>
      <c r="P159" s="113" cm="1">
        <f t="array" ref="P159">IF(COUNTIF('Raw Annual DMR Data'!$L:$L,$F159)&gt;0,INDEX('Raw Annual DMR Data'!$B:$B,MATCH(1,($F159='Raw Annual DMR Data'!$L:$L)*($N159='Raw Annual DMR Data'!$S:$S),0)), "N/A - Facility Does Not Report DMRs")</f>
        <v>2019</v>
      </c>
      <c r="Q159" s="304" t="str" cm="1">
        <f t="array" ref="Q159">IF(COUNTIF('Raw TRI Data'!$J:$J,$E159)&gt;0,MEDIAN(IF('Raw TRI Data'!$J:$J=E159,'Raw TRI Data'!$S:$S)), "N/A - Facility Does Not Report to TRI")</f>
        <v>N/A - Facility Does Not Report to TRI</v>
      </c>
      <c r="R159" s="156" t="str">
        <f t="shared" si="16"/>
        <v>N/A - Facility Does Not Report to TRI</v>
      </c>
      <c r="S159" s="156" t="str">
        <f>IF(COUNTIF('Raw TRI Data'!$J:$J,$E159)&gt;0,_xlfn.MAXIFS('Raw TRI Data'!$S:$S,'Raw TRI Data'!$J:$J,$E159), "N/A - Facility Does Not Report to TRI")</f>
        <v>N/A - Facility Does Not Report to TRI</v>
      </c>
      <c r="T159" s="156" t="str">
        <f t="shared" si="17"/>
        <v>N/A - Facility Does Not Report to TRI</v>
      </c>
      <c r="U159" s="136" t="str" cm="1">
        <f t="array" ref="U159">IF(COUNTIF('Raw TRI Data'!$J:$J,$E159)&gt;0,INDEX('Raw TRI Data'!$A:$A,MATCH(1,($E159='Raw TRI Data'!$J:$J)*(S159='Raw TRI Data'!$S:$S),0)), "N/A - Facility Does Not Report to TRI")</f>
        <v>N/A - Facility Does Not Report to TRI</v>
      </c>
      <c r="V159" s="156" t="str" cm="1">
        <f t="array" ref="V159">IF(COUNTIFS('Raw Annual DMR Data'!$L:$L,$F159,'Raw Annual DMR Data'!$U:$U,"&gt;0")&gt;0,MEDIAN(IF('Raw Annual DMR Data'!$L:$L=$F159,'Raw Annual DMR Data'!$U:$U,"")),"N/A - Period DMR Data Not Available")</f>
        <v>N/A - Period DMR Data Not Available</v>
      </c>
      <c r="W159" s="156" t="str">
        <f>IF(COUNTIFS('Raw Annual DMR Data'!$L:$L,$F159, 'Raw Annual DMR Data'!$U:$U, "&gt;0")&gt;0,_xlfn.MAXIFS('Raw Annual DMR Data'!$U:$U,'Raw Annual DMR Data'!$L:$L,$F159), "N/A - Period DMR Data Not Available")</f>
        <v>N/A - Period DMR Data Not Available</v>
      </c>
      <c r="X159" s="113" t="str" cm="1">
        <f t="array" ref="X159">+IF(COUNTIFS('Raw Annual DMR Data'!L:L,$F159, 'Raw Annual DMR Data'!U:U, "&gt;0")&gt;0,INDEX('Raw Annual DMR Data'!V:V,MATCH(1,($F159='Raw Annual DMR Data'!L:L)*($W159='Raw Annual DMR Data'!U:U),0)), "N/A - Period DMR Data Not Available")</f>
        <v>N/A - Period DMR Data Not Available</v>
      </c>
      <c r="Y159" s="113" t="str" cm="1">
        <f t="array" ref="Y159">IF(COUNTIFS('Raw Annual DMR Data'!L:L,$F159, 'Raw Annual DMR Data'!U:U, "&gt;0")&gt;0,INDEX('Raw Annual DMR Data'!B:B,MATCH(1,($F159='Raw Annual DMR Data'!L:L)*($W159='Raw Annual DMR Data'!U:U),0)), "N/A - Period DMR Data Not Available")</f>
        <v>N/A - Period DMR Data Not Available</v>
      </c>
      <c r="Z159" s="311" t="str" cm="1">
        <f t="array" ref="Z159">IF(COUNTIF('Raw Annual DMR Data'!K:K,$E159)&gt;0,"N/A - See DMRs",IF(SUMIFS('Raw TRI Data'!$Z:$Z,'Raw TRI Data'!$J:$J,$E159)&gt;0,MEDIAN(IF('Raw TRI Data'!$J:$J=$E159,'Raw TRI Data'!$Z:$Z)), "N/A - Facility Does Not Report to TRI, no surface water releases, or no Generic Factors available"))</f>
        <v>N/A - Facility Does Not Report to TRI, no surface water releases, or no Generic Factors available</v>
      </c>
      <c r="AA159" s="156" t="str">
        <f>IF(COUNTIF('Raw Annual DMR Data'!K:K,$E159)&gt;0,"N/A - See DMRs",IF(SUMIFS('Raw TRI Data'!$Z:$Z,'Raw TRI Data'!$J:$J,$E159)&gt;0,_xlfn.MAXIFS('Raw TRI Data'!$Z:$Z,'Raw TRI Data'!$J:$J,$E159), "N/A - Facility Does Not Report to TRI, no surface water releases, or no Generic Factors available"))</f>
        <v>N/A - Facility Does Not Report to TRI, no surface water releases, or no Generic Factors available</v>
      </c>
      <c r="AB159" s="113" t="str">
        <f t="shared" si="20"/>
        <v>N/A</v>
      </c>
      <c r="AC159" s="136" t="str" cm="1">
        <f t="array" ref="AC159">IF(COUNTIF('Raw Annual DMR Data'!K:K,$E159)&gt;0,"N/A - See DMRs",IF(SUMIFS('Raw TRI Data'!$Z:$Z,'Raw TRI Data'!$J:$J,$E159)&gt;0,INDEX('Raw TRI Data'!$A:$A,MATCH(1,($E159='Raw TRI Data'!$J:$J)*($AA159='Raw TRI Data'!$Z:$Z),0)), "N/A - Facility Does Not Report to TRI, no surface water releases, or no Generic Factors available"))</f>
        <v>N/A - Facility Does Not Report to TRI, no surface water releases, or no Generic Factors available</v>
      </c>
      <c r="AD159" s="96" t="str" cm="1">
        <f t="array" ref="AD159">IF(COUNTIFS('Raw Annual DMR Data'!L:L,$F159,'Raw Annual DMR Data'!W:W, "&gt;0")&gt;0,MEDIAN(IF('Raw Annual DMR Data'!K:K=$F159, 'Raw Annual DMR Data'!W:W)), "N/A - No Daily Max DMR Discharge Data")</f>
        <v>N/A - No Daily Max DMR Discharge Data</v>
      </c>
      <c r="AE159" s="96" t="str">
        <f>IF(COUNTIFS('Raw Annual DMR Data'!L:L,$F159,'Raw Annual DMR Data'!W:W, "&gt;0")&gt;0,_xlfn.MAXIFS('Raw Annual DMR Data'!W:W,'Raw Annual DMR Data'!L:L,$F159), "N/A - No Daily Max DMR Discharge Data")</f>
        <v>N/A - No Daily Max DMR Discharge Data</v>
      </c>
      <c r="AF159" s="60" t="str" cm="1">
        <f t="array" ref="AF159">IF(COUNTIFS('Raw Annual DMR Data'!L:L,$F159,'Raw Annual DMR Data'!W:W, "&gt;0")&gt;0,INDEX('Raw Annual DMR Data'!B:B,MATCH(1,($F159='Raw Annual DMR Data'!L:L)*($AE159='Raw Annual DMR Data'!W:W),0)), "N/A - No Daily Max DMR Discharge Data")</f>
        <v>N/A - No Daily Max DMR Discharge Data</v>
      </c>
    </row>
    <row r="160" spans="1:32" ht="45.75" thickBot="1" x14ac:dyDescent="0.3">
      <c r="A160" s="144" t="str">
        <f>VLOOKUP(F160,'Facility Summary'!J:K,2,FALSE)</f>
        <v>Unknown</v>
      </c>
      <c r="B160" s="28" t="s">
        <v>1017</v>
      </c>
      <c r="C160" s="28" t="s">
        <v>1018</v>
      </c>
      <c r="D160" s="28" t="s">
        <v>308</v>
      </c>
      <c r="E160" s="28"/>
      <c r="F160" s="61">
        <v>110002014677</v>
      </c>
      <c r="G160" s="60" t="str">
        <f>VLOOKUP($F160, 'Raw Annual DMR Data'!$A:$Z, 24, FALSE)</f>
        <v>MAG910076</v>
      </c>
      <c r="H160" s="60" t="str">
        <f>VLOOKUP($F160, 'Raw Annual DMR Data'!$A:$Z, 25, FALSE)</f>
        <v>CHARLES RIVER</v>
      </c>
      <c r="I160" s="74">
        <f>VLOOKUP($F160, 'Raw Annual DMR Data'!$A:$Z, 26, FALSE)</f>
        <v>1090001000111</v>
      </c>
      <c r="J160" s="74" t="s">
        <v>265</v>
      </c>
      <c r="K160" s="60">
        <f>VLOOKUP(A160, 'OES Summary'!$A:$B, 2, FALSE)</f>
        <v>250</v>
      </c>
      <c r="L160" s="304" cm="1">
        <f t="array" ref="L160">IF(COUNTIF('Raw Annual DMR Data'!$L:$L,$F160)&gt;0,MEDIAN(IF('Raw Annual DMR Data'!$L:$L=F160,'Raw Annual DMR Data'!$S:$S)),"N/A - Facility Does Not Report DMRs")</f>
        <v>7.554379305E-3</v>
      </c>
      <c r="M160" s="156">
        <f t="shared" si="18"/>
        <v>3.0217517219999999E-5</v>
      </c>
      <c r="N160" s="156">
        <f>IF(COUNTIF('Raw Annual DMR Data'!$L:$L,$F160)&gt;0,_xlfn.MAXIFS('Raw Annual DMR Data'!$S:$S,'Raw Annual DMR Data'!$L:$L,$F160), "N/A - Facility Does Not Report DMRs")</f>
        <v>8.2161714149999992E-3</v>
      </c>
      <c r="O160" s="156">
        <f t="shared" si="19"/>
        <v>3.2864685659999998E-5</v>
      </c>
      <c r="P160" s="113" cm="1">
        <f t="array" ref="P160">IF(COUNTIF('Raw Annual DMR Data'!$L:$L,$F160)&gt;0,INDEX('Raw Annual DMR Data'!$B:$B,MATCH(1,($F160='Raw Annual DMR Data'!$L:$L)*($N160='Raw Annual DMR Data'!$S:$S),0)), "N/A - Facility Does Not Report DMRs")</f>
        <v>2021</v>
      </c>
      <c r="Q160" s="304" t="str" cm="1">
        <f t="array" ref="Q160">IF(COUNTIF('Raw TRI Data'!$J:$J,$E160)&gt;0,MEDIAN(IF('Raw TRI Data'!$J:$J=E160,'Raw TRI Data'!$S:$S)), "N/A - Facility Does Not Report to TRI")</f>
        <v>N/A - Facility Does Not Report to TRI</v>
      </c>
      <c r="R160" s="156" t="str">
        <f t="shared" si="16"/>
        <v>N/A - Facility Does Not Report to TRI</v>
      </c>
      <c r="S160" s="156" t="str">
        <f>IF(COUNTIF('Raw TRI Data'!$J:$J,$E160)&gt;0,_xlfn.MAXIFS('Raw TRI Data'!$S:$S,'Raw TRI Data'!$J:$J,$E160), "N/A - Facility Does Not Report to TRI")</f>
        <v>N/A - Facility Does Not Report to TRI</v>
      </c>
      <c r="T160" s="156" t="str">
        <f t="shared" si="17"/>
        <v>N/A - Facility Does Not Report to TRI</v>
      </c>
      <c r="U160" s="136" t="str" cm="1">
        <f t="array" ref="U160">IF(COUNTIF('Raw TRI Data'!$J:$J,$E160)&gt;0,INDEX('Raw TRI Data'!$A:$A,MATCH(1,($E160='Raw TRI Data'!$J:$J)*(S160='Raw TRI Data'!$S:$S),0)), "N/A - Facility Does Not Report to TRI")</f>
        <v>N/A - Facility Does Not Report to TRI</v>
      </c>
      <c r="V160" s="156" t="str" cm="1">
        <f t="array" ref="V160">IF(COUNTIFS('Raw Annual DMR Data'!$L:$L,$F160,'Raw Annual DMR Data'!$U:$U,"&gt;0")&gt;0,MEDIAN(IF('Raw Annual DMR Data'!$L:$L=$F160,'Raw Annual DMR Data'!$U:$U,"")),"N/A - Period DMR Data Not Available")</f>
        <v>N/A - Period DMR Data Not Available</v>
      </c>
      <c r="W160" s="156" t="str">
        <f>IF(COUNTIFS('Raw Annual DMR Data'!$L:$L,$F160, 'Raw Annual DMR Data'!$U:$U, "&gt;0")&gt;0,_xlfn.MAXIFS('Raw Annual DMR Data'!$U:$U,'Raw Annual DMR Data'!$L:$L,$F160), "N/A - Period DMR Data Not Available")</f>
        <v>N/A - Period DMR Data Not Available</v>
      </c>
      <c r="X160" s="113" t="str" cm="1">
        <f t="array" ref="X160">+IF(COUNTIFS('Raw Annual DMR Data'!L:L,$F160, 'Raw Annual DMR Data'!U:U, "&gt;0")&gt;0,INDEX('Raw Annual DMR Data'!V:V,MATCH(1,($F160='Raw Annual DMR Data'!L:L)*($W160='Raw Annual DMR Data'!U:U),0)), "N/A - Period DMR Data Not Available")</f>
        <v>N/A - Period DMR Data Not Available</v>
      </c>
      <c r="Y160" s="113" t="str" cm="1">
        <f t="array" ref="Y160">IF(COUNTIFS('Raw Annual DMR Data'!L:L,$F160, 'Raw Annual DMR Data'!U:U, "&gt;0")&gt;0,INDEX('Raw Annual DMR Data'!B:B,MATCH(1,($F160='Raw Annual DMR Data'!L:L)*($W160='Raw Annual DMR Data'!U:U),0)), "N/A - Period DMR Data Not Available")</f>
        <v>N/A - Period DMR Data Not Available</v>
      </c>
      <c r="Z160" s="311" t="str" cm="1">
        <f t="array" ref="Z160">IF(COUNTIF('Raw Annual DMR Data'!K:K,$E160)&gt;0,"N/A - See DMRs",IF(SUMIFS('Raw TRI Data'!$Z:$Z,'Raw TRI Data'!$J:$J,$E160)&gt;0,MEDIAN(IF('Raw TRI Data'!$J:$J=$E160,'Raw TRI Data'!$Z:$Z)), "N/A - Facility Does Not Report to TRI, no surface water releases, or no Generic Factors available"))</f>
        <v>N/A - Facility Does Not Report to TRI, no surface water releases, or no Generic Factors available</v>
      </c>
      <c r="AA160" s="156" t="str">
        <f>IF(COUNTIF('Raw Annual DMR Data'!K:K,$E160)&gt;0,"N/A - See DMRs",IF(SUMIFS('Raw TRI Data'!$Z:$Z,'Raw TRI Data'!$J:$J,$E160)&gt;0,_xlfn.MAXIFS('Raw TRI Data'!$Z:$Z,'Raw TRI Data'!$J:$J,$E160), "N/A - Facility Does Not Report to TRI, no surface water releases, or no Generic Factors available"))</f>
        <v>N/A - Facility Does Not Report to TRI, no surface water releases, or no Generic Factors available</v>
      </c>
      <c r="AB160" s="113" t="str">
        <f t="shared" si="20"/>
        <v>N/A</v>
      </c>
      <c r="AC160" s="136" t="str" cm="1">
        <f t="array" ref="AC160">IF(COUNTIF('Raw Annual DMR Data'!K:K,$E160)&gt;0,"N/A - See DMRs",IF(SUMIFS('Raw TRI Data'!$Z:$Z,'Raw TRI Data'!$J:$J,$E160)&gt;0,INDEX('Raw TRI Data'!$A:$A,MATCH(1,($E160='Raw TRI Data'!$J:$J)*($AA160='Raw TRI Data'!$Z:$Z),0)), "N/A - Facility Does Not Report to TRI, no surface water releases, or no Generic Factors available"))</f>
        <v>N/A - Facility Does Not Report to TRI, no surface water releases, or no Generic Factors available</v>
      </c>
      <c r="AD160" s="96" t="str" cm="1">
        <f t="array" ref="AD160">IF(COUNTIFS('Raw Annual DMR Data'!L:L,$F160,'Raw Annual DMR Data'!W:W, "&gt;0")&gt;0,MEDIAN(IF('Raw Annual DMR Data'!K:K=$F160, 'Raw Annual DMR Data'!W:W)), "N/A - No Daily Max DMR Discharge Data")</f>
        <v>N/A - No Daily Max DMR Discharge Data</v>
      </c>
      <c r="AE160" s="96" t="str">
        <f>IF(COUNTIFS('Raw Annual DMR Data'!L:L,$F160,'Raw Annual DMR Data'!W:W, "&gt;0")&gt;0,_xlfn.MAXIFS('Raw Annual DMR Data'!W:W,'Raw Annual DMR Data'!L:L,$F160), "N/A - No Daily Max DMR Discharge Data")</f>
        <v>N/A - No Daily Max DMR Discharge Data</v>
      </c>
      <c r="AF160" s="60" t="str" cm="1">
        <f t="array" ref="AF160">IF(COUNTIFS('Raw Annual DMR Data'!L:L,$F160,'Raw Annual DMR Data'!W:W, "&gt;0")&gt;0,INDEX('Raw Annual DMR Data'!B:B,MATCH(1,($F160='Raw Annual DMR Data'!L:L)*($AE160='Raw Annual DMR Data'!W:W),0)), "N/A - No Daily Max DMR Discharge Data")</f>
        <v>N/A - No Daily Max DMR Discharge Data</v>
      </c>
    </row>
    <row r="161" spans="1:32" ht="45.75" thickBot="1" x14ac:dyDescent="0.3">
      <c r="A161" s="144" t="str">
        <f>VLOOKUP(F161,'Facility Summary'!J:K,2,FALSE)</f>
        <v>POTW</v>
      </c>
      <c r="B161" s="28" t="s">
        <v>1019</v>
      </c>
      <c r="C161" s="28" t="s">
        <v>1020</v>
      </c>
      <c r="D161" s="28" t="s">
        <v>324</v>
      </c>
      <c r="E161" s="28"/>
      <c r="F161" s="61">
        <v>110009938265</v>
      </c>
      <c r="G161" s="60" t="str">
        <f>VLOOKUP($F161, 'Raw Annual DMR Data'!$A:$Z, 24, FALSE)</f>
        <v>KY0036854</v>
      </c>
      <c r="H161" s="60" t="str">
        <f>VLOOKUP($F161, 'Raw Annual DMR Data'!$A:$Z, 25, FALSE)</f>
        <v>CUMBERLAND RIVER</v>
      </c>
      <c r="I161" s="74">
        <f>VLOOKUP($F161, 'Raw Annual DMR Data'!$A:$Z, 26, FALSE)</f>
        <v>5130103000018</v>
      </c>
      <c r="J161" s="74" t="s">
        <v>265</v>
      </c>
      <c r="K161" s="60">
        <f>VLOOKUP(A161, 'OES Summary'!$A:$B, 2, FALSE)</f>
        <v>365</v>
      </c>
      <c r="L161" s="304" cm="1">
        <f t="array" ref="L161">IF(COUNTIF('Raw Annual DMR Data'!$L:$L,$F161)&gt;0,MEDIAN(IF('Raw Annual DMR Data'!$L:$L=F161,'Raw Annual DMR Data'!$S:$S)),"N/A - Facility Does Not Report DMRs")</f>
        <v>0.30300297062500003</v>
      </c>
      <c r="M161" s="156">
        <f t="shared" si="18"/>
        <v>8.3014512500000006E-4</v>
      </c>
      <c r="N161" s="156">
        <f>IF(COUNTIF('Raw Annual DMR Data'!$L:$L,$F161)&gt;0,_xlfn.MAXIFS('Raw Annual DMR Data'!$S:$S,'Raw Annual DMR Data'!$L:$L,$F161), "N/A - Facility Does Not Report DMRs")</f>
        <v>0.3134680225</v>
      </c>
      <c r="O161" s="156">
        <f t="shared" si="19"/>
        <v>8.5881650000000005E-4</v>
      </c>
      <c r="P161" s="113" cm="1">
        <f t="array" ref="P161">IF(COUNTIF('Raw Annual DMR Data'!$L:$L,$F161)&gt;0,INDEX('Raw Annual DMR Data'!$B:$B,MATCH(1,($F161='Raw Annual DMR Data'!$L:$L)*($N161='Raw Annual DMR Data'!$S:$S),0)), "N/A - Facility Does Not Report DMRs")</f>
        <v>2019</v>
      </c>
      <c r="Q161" s="304" t="str" cm="1">
        <f t="array" ref="Q161">IF(COUNTIF('Raw TRI Data'!$J:$J,$E161)&gt;0,MEDIAN(IF('Raw TRI Data'!$J:$J=E161,'Raw TRI Data'!$S:$S)), "N/A - Facility Does Not Report to TRI")</f>
        <v>N/A - Facility Does Not Report to TRI</v>
      </c>
      <c r="R161" s="156" t="str">
        <f t="shared" si="16"/>
        <v>N/A - Facility Does Not Report to TRI</v>
      </c>
      <c r="S161" s="156" t="str">
        <f>IF(COUNTIF('Raw TRI Data'!$J:$J,$E161)&gt;0,_xlfn.MAXIFS('Raw TRI Data'!$S:$S,'Raw TRI Data'!$J:$J,$E161), "N/A - Facility Does Not Report to TRI")</f>
        <v>N/A - Facility Does Not Report to TRI</v>
      </c>
      <c r="T161" s="156" t="str">
        <f t="shared" si="17"/>
        <v>N/A - Facility Does Not Report to TRI</v>
      </c>
      <c r="U161" s="136" t="str" cm="1">
        <f t="array" ref="U161">IF(COUNTIF('Raw TRI Data'!$J:$J,$E161)&gt;0,INDEX('Raw TRI Data'!$A:$A,MATCH(1,($E161='Raw TRI Data'!$J:$J)*(S161='Raw TRI Data'!$S:$S),0)), "N/A - Facility Does Not Report to TRI")</f>
        <v>N/A - Facility Does Not Report to TRI</v>
      </c>
      <c r="V161" s="156" t="str" cm="1">
        <f t="array" ref="V161">IF(COUNTIFS('Raw Annual DMR Data'!$L:$L,$F161,'Raw Annual DMR Data'!$U:$U,"&gt;0")&gt;0,MEDIAN(IF('Raw Annual DMR Data'!$L:$L=$F161,'Raw Annual DMR Data'!$U:$U,"")),"N/A - Period DMR Data Not Available")</f>
        <v>N/A - Period DMR Data Not Available</v>
      </c>
      <c r="W161" s="156" t="str">
        <f>IF(COUNTIFS('Raw Annual DMR Data'!$L:$L,$F161, 'Raw Annual DMR Data'!$U:$U, "&gt;0")&gt;0,_xlfn.MAXIFS('Raw Annual DMR Data'!$U:$U,'Raw Annual DMR Data'!$L:$L,$F161), "N/A - Period DMR Data Not Available")</f>
        <v>N/A - Period DMR Data Not Available</v>
      </c>
      <c r="X161" s="113" t="str" cm="1">
        <f t="array" ref="X161">+IF(COUNTIFS('Raw Annual DMR Data'!L:L,$F161, 'Raw Annual DMR Data'!U:U, "&gt;0")&gt;0,INDEX('Raw Annual DMR Data'!V:V,MATCH(1,($F161='Raw Annual DMR Data'!L:L)*($W161='Raw Annual DMR Data'!U:U),0)), "N/A - Period DMR Data Not Available")</f>
        <v>N/A - Period DMR Data Not Available</v>
      </c>
      <c r="Y161" s="113" t="str" cm="1">
        <f t="array" ref="Y161">IF(COUNTIFS('Raw Annual DMR Data'!L:L,$F161, 'Raw Annual DMR Data'!U:U, "&gt;0")&gt;0,INDEX('Raw Annual DMR Data'!B:B,MATCH(1,($F161='Raw Annual DMR Data'!L:L)*($W161='Raw Annual DMR Data'!U:U),0)), "N/A - Period DMR Data Not Available")</f>
        <v>N/A - Period DMR Data Not Available</v>
      </c>
      <c r="Z161" s="311" t="str" cm="1">
        <f t="array" ref="Z161">IF(COUNTIF('Raw Annual DMR Data'!K:K,$E161)&gt;0,"N/A - See DMRs",IF(SUMIFS('Raw TRI Data'!$Z:$Z,'Raw TRI Data'!$J:$J,$E161)&gt;0,MEDIAN(IF('Raw TRI Data'!$J:$J=$E161,'Raw TRI Data'!$Z:$Z)), "N/A - Facility Does Not Report to TRI, no surface water releases, or no Generic Factors available"))</f>
        <v>N/A - Facility Does Not Report to TRI, no surface water releases, or no Generic Factors available</v>
      </c>
      <c r="AA161" s="156" t="str">
        <f>IF(COUNTIF('Raw Annual DMR Data'!K:K,$E161)&gt;0,"N/A - See DMRs",IF(SUMIFS('Raw TRI Data'!$Z:$Z,'Raw TRI Data'!$J:$J,$E161)&gt;0,_xlfn.MAXIFS('Raw TRI Data'!$Z:$Z,'Raw TRI Data'!$J:$J,$E161), "N/A - Facility Does Not Report to TRI, no surface water releases, or no Generic Factors available"))</f>
        <v>N/A - Facility Does Not Report to TRI, no surface water releases, or no Generic Factors available</v>
      </c>
      <c r="AB161" s="113" t="str">
        <f t="shared" si="20"/>
        <v>N/A</v>
      </c>
      <c r="AC161" s="136" t="str" cm="1">
        <f t="array" ref="AC161">IF(COUNTIF('Raw Annual DMR Data'!K:K,$E161)&gt;0,"N/A - See DMRs",IF(SUMIFS('Raw TRI Data'!$Z:$Z,'Raw TRI Data'!$J:$J,$E161)&gt;0,INDEX('Raw TRI Data'!$A:$A,MATCH(1,($E161='Raw TRI Data'!$J:$J)*($AA161='Raw TRI Data'!$Z:$Z),0)), "N/A - Facility Does Not Report to TRI, no surface water releases, or no Generic Factors available"))</f>
        <v>N/A - Facility Does Not Report to TRI, no surface water releases, or no Generic Factors available</v>
      </c>
      <c r="AD161" s="96" t="str" cm="1">
        <f t="array" ref="AD161">IF(COUNTIFS('Raw Annual DMR Data'!L:L,$F161,'Raw Annual DMR Data'!W:W, "&gt;0")&gt;0,MEDIAN(IF('Raw Annual DMR Data'!K:K=$F161, 'Raw Annual DMR Data'!W:W)), "N/A - No Daily Max DMR Discharge Data")</f>
        <v>N/A - No Daily Max DMR Discharge Data</v>
      </c>
      <c r="AE161" s="96" t="str">
        <f>IF(COUNTIFS('Raw Annual DMR Data'!L:L,$F161,'Raw Annual DMR Data'!W:W, "&gt;0")&gt;0,_xlfn.MAXIFS('Raw Annual DMR Data'!W:W,'Raw Annual DMR Data'!L:L,$F161), "N/A - No Daily Max DMR Discharge Data")</f>
        <v>N/A - No Daily Max DMR Discharge Data</v>
      </c>
      <c r="AF161" s="60" t="str" cm="1">
        <f t="array" ref="AF161">IF(COUNTIFS('Raw Annual DMR Data'!L:L,$F161,'Raw Annual DMR Data'!W:W, "&gt;0")&gt;0,INDEX('Raw Annual DMR Data'!B:B,MATCH(1,($F161='Raw Annual DMR Data'!L:L)*($AE161='Raw Annual DMR Data'!W:W),0)), "N/A - No Daily Max DMR Discharge Data")</f>
        <v>N/A - No Daily Max DMR Discharge Data</v>
      </c>
    </row>
    <row r="162" spans="1:32" ht="45.75" thickBot="1" x14ac:dyDescent="0.3">
      <c r="A162" s="144" t="str">
        <f>VLOOKUP(F162,'Facility Summary'!J:K,2,FALSE)</f>
        <v>Remediation</v>
      </c>
      <c r="B162" s="28" t="s">
        <v>1021</v>
      </c>
      <c r="C162" s="28" t="s">
        <v>657</v>
      </c>
      <c r="D162" s="28" t="s">
        <v>418</v>
      </c>
      <c r="E162" s="28"/>
      <c r="F162" s="61">
        <v>110015972562</v>
      </c>
      <c r="G162" s="60" t="str">
        <f>VLOOKUP($F162, 'Raw Annual DMR Data'!$A:$Z, 24, FALSE)</f>
        <v>NV0023191</v>
      </c>
      <c r="H162" s="60" t="str">
        <f>VLOOKUP($F162, 'Raw Annual DMR Data'!$A:$Z, 25, FALSE)</f>
        <v>FLAMINGO WASH</v>
      </c>
      <c r="I162" s="74">
        <f>VLOOKUP($F162, 'Raw Annual DMR Data'!$A:$Z, 26, FALSE)</f>
        <v>15010015000432</v>
      </c>
      <c r="J162" s="74" t="s">
        <v>265</v>
      </c>
      <c r="K162" s="60">
        <f>VLOOKUP(A162, 'OES Summary'!$A:$B, 2, FALSE)</f>
        <v>365</v>
      </c>
      <c r="L162" s="304" cm="1">
        <f t="array" ref="L162">IF(COUNTIF('Raw Annual DMR Data'!$L:$L,$F162)&gt;0,MEDIAN(IF('Raw Annual DMR Data'!$L:$L=F162,'Raw Annual DMR Data'!$S:$S)),"N/A - Facility Does Not Report DMRs")</f>
        <v>5.5926521281249947E-2</v>
      </c>
      <c r="M162" s="156">
        <f t="shared" si="18"/>
        <v>1.5322334597602725E-4</v>
      </c>
      <c r="N162" s="156">
        <f>IF(COUNTIF('Raw Annual DMR Data'!$L:$L,$F162)&gt;0,_xlfn.MAXIFS('Raw Annual DMR Data'!$S:$S,'Raw Annual DMR Data'!$L:$L,$F162), "N/A - Facility Does Not Report DMRs")</f>
        <v>0.28724449216249898</v>
      </c>
      <c r="O162" s="156">
        <f t="shared" si="19"/>
        <v>7.8697121140410681E-4</v>
      </c>
      <c r="P162" s="113" cm="1">
        <f t="array" ref="P162">IF(COUNTIF('Raw Annual DMR Data'!$L:$L,$F162)&gt;0,INDEX('Raw Annual DMR Data'!$B:$B,MATCH(1,($F162='Raw Annual DMR Data'!$L:$L)*($N162='Raw Annual DMR Data'!$S:$S),0)), "N/A - Facility Does Not Report DMRs")</f>
        <v>2020</v>
      </c>
      <c r="Q162" s="304" t="str" cm="1">
        <f t="array" ref="Q162">IF(COUNTIF('Raw TRI Data'!$J:$J,$E162)&gt;0,MEDIAN(IF('Raw TRI Data'!$J:$J=E162,'Raw TRI Data'!$S:$S)), "N/A - Facility Does Not Report to TRI")</f>
        <v>N/A - Facility Does Not Report to TRI</v>
      </c>
      <c r="R162" s="156" t="str">
        <f t="shared" si="16"/>
        <v>N/A - Facility Does Not Report to TRI</v>
      </c>
      <c r="S162" s="156" t="str">
        <f>IF(COUNTIF('Raw TRI Data'!$J:$J,$E162)&gt;0,_xlfn.MAXIFS('Raw TRI Data'!$S:$S,'Raw TRI Data'!$J:$J,$E162), "N/A - Facility Does Not Report to TRI")</f>
        <v>N/A - Facility Does Not Report to TRI</v>
      </c>
      <c r="T162" s="156" t="str">
        <f t="shared" si="17"/>
        <v>N/A - Facility Does Not Report to TRI</v>
      </c>
      <c r="U162" s="136" t="str" cm="1">
        <f t="array" ref="U162">IF(COUNTIF('Raw TRI Data'!$J:$J,$E162)&gt;0,INDEX('Raw TRI Data'!$A:$A,MATCH(1,($E162='Raw TRI Data'!$J:$J)*(S162='Raw TRI Data'!$S:$S),0)), "N/A - Facility Does Not Report to TRI")</f>
        <v>N/A - Facility Does Not Report to TRI</v>
      </c>
      <c r="V162" s="156" t="str" cm="1">
        <f t="array" ref="V162">IF(COUNTIFS('Raw Annual DMR Data'!$L:$L,$F162,'Raw Annual DMR Data'!$U:$U,"&gt;0")&gt;0,MEDIAN(IF('Raw Annual DMR Data'!$L:$L=$F162,'Raw Annual DMR Data'!$U:$U,"")),"N/A - Period DMR Data Not Available")</f>
        <v>N/A - Period DMR Data Not Available</v>
      </c>
      <c r="W162" s="156" t="str">
        <f>IF(COUNTIFS('Raw Annual DMR Data'!$L:$L,$F162, 'Raw Annual DMR Data'!$U:$U, "&gt;0")&gt;0,_xlfn.MAXIFS('Raw Annual DMR Data'!$U:$U,'Raw Annual DMR Data'!$L:$L,$F162), "N/A - Period DMR Data Not Available")</f>
        <v>N/A - Period DMR Data Not Available</v>
      </c>
      <c r="X162" s="113" t="str" cm="1">
        <f t="array" ref="X162">+IF(COUNTIFS('Raw Annual DMR Data'!L:L,$F162, 'Raw Annual DMR Data'!U:U, "&gt;0")&gt;0,INDEX('Raw Annual DMR Data'!V:V,MATCH(1,($F162='Raw Annual DMR Data'!L:L)*($W162='Raw Annual DMR Data'!U:U),0)), "N/A - Period DMR Data Not Available")</f>
        <v>N/A - Period DMR Data Not Available</v>
      </c>
      <c r="Y162" s="113" t="str" cm="1">
        <f t="array" ref="Y162">IF(COUNTIFS('Raw Annual DMR Data'!L:L,$F162, 'Raw Annual DMR Data'!U:U, "&gt;0")&gt;0,INDEX('Raw Annual DMR Data'!B:B,MATCH(1,($F162='Raw Annual DMR Data'!L:L)*($W162='Raw Annual DMR Data'!U:U),0)), "N/A - Period DMR Data Not Available")</f>
        <v>N/A - Period DMR Data Not Available</v>
      </c>
      <c r="Z162" s="311" t="str" cm="1">
        <f t="array" ref="Z162">IF(COUNTIF('Raw Annual DMR Data'!K:K,$E162)&gt;0,"N/A - See DMRs",IF(SUMIFS('Raw TRI Data'!$Z:$Z,'Raw TRI Data'!$J:$J,$E162)&gt;0,MEDIAN(IF('Raw TRI Data'!$J:$J=$E162,'Raw TRI Data'!$Z:$Z)), "N/A - Facility Does Not Report to TRI, no surface water releases, or no Generic Factors available"))</f>
        <v>N/A - Facility Does Not Report to TRI, no surface water releases, or no Generic Factors available</v>
      </c>
      <c r="AA162" s="156" t="str">
        <f>IF(COUNTIF('Raw Annual DMR Data'!K:K,$E162)&gt;0,"N/A - See DMRs",IF(SUMIFS('Raw TRI Data'!$Z:$Z,'Raw TRI Data'!$J:$J,$E162)&gt;0,_xlfn.MAXIFS('Raw TRI Data'!$Z:$Z,'Raw TRI Data'!$J:$J,$E162), "N/A - Facility Does Not Report to TRI, no surface water releases, or no Generic Factors available"))</f>
        <v>N/A - Facility Does Not Report to TRI, no surface water releases, or no Generic Factors available</v>
      </c>
      <c r="AB162" s="113" t="str">
        <f t="shared" si="20"/>
        <v>N/A</v>
      </c>
      <c r="AC162" s="136" t="str" cm="1">
        <f t="array" ref="AC162">IF(COUNTIF('Raw Annual DMR Data'!K:K,$E162)&gt;0,"N/A - See DMRs",IF(SUMIFS('Raw TRI Data'!$Z:$Z,'Raw TRI Data'!$J:$J,$E162)&gt;0,INDEX('Raw TRI Data'!$A:$A,MATCH(1,($E162='Raw TRI Data'!$J:$J)*($AA162='Raw TRI Data'!$Z:$Z),0)), "N/A - Facility Does Not Report to TRI, no surface water releases, or no Generic Factors available"))</f>
        <v>N/A - Facility Does Not Report to TRI, no surface water releases, or no Generic Factors available</v>
      </c>
      <c r="AD162" s="96" t="str" cm="1">
        <f t="array" ref="AD162">IF(COUNTIFS('Raw Annual DMR Data'!L:L,$F162,'Raw Annual DMR Data'!W:W, "&gt;0")&gt;0,MEDIAN(IF('Raw Annual DMR Data'!K:K=$F162, 'Raw Annual DMR Data'!W:W)), "N/A - No Daily Max DMR Discharge Data")</f>
        <v>N/A - No Daily Max DMR Discharge Data</v>
      </c>
      <c r="AE162" s="96" t="str">
        <f>IF(COUNTIFS('Raw Annual DMR Data'!L:L,$F162,'Raw Annual DMR Data'!W:W, "&gt;0")&gt;0,_xlfn.MAXIFS('Raw Annual DMR Data'!W:W,'Raw Annual DMR Data'!L:L,$F162), "N/A - No Daily Max DMR Discharge Data")</f>
        <v>N/A - No Daily Max DMR Discharge Data</v>
      </c>
      <c r="AF162" s="60" t="str" cm="1">
        <f t="array" ref="AF162">IF(COUNTIFS('Raw Annual DMR Data'!L:L,$F162,'Raw Annual DMR Data'!W:W, "&gt;0")&gt;0,INDEX('Raw Annual DMR Data'!B:B,MATCH(1,($F162='Raw Annual DMR Data'!L:L)*($AE162='Raw Annual DMR Data'!W:W),0)), "N/A - No Daily Max DMR Discharge Data")</f>
        <v>N/A - No Daily Max DMR Discharge Data</v>
      </c>
    </row>
    <row r="163" spans="1:32" ht="45.75" thickBot="1" x14ac:dyDescent="0.3">
      <c r="A163" s="144" t="str">
        <f>VLOOKUP(F163,'Facility Summary'!J:K,2,FALSE)</f>
        <v>POTW</v>
      </c>
      <c r="B163" s="28" t="s">
        <v>1022</v>
      </c>
      <c r="C163" s="28" t="s">
        <v>1023</v>
      </c>
      <c r="D163" s="28" t="s">
        <v>366</v>
      </c>
      <c r="E163" s="28"/>
      <c r="F163" s="61">
        <v>110000730825</v>
      </c>
      <c r="G163" s="60" t="str">
        <f>VLOOKUP($F163, 'Raw Annual DMR Data'!$A:$Z, 24, FALSE)</f>
        <v>CA7000009</v>
      </c>
      <c r="H163" s="60" t="str">
        <f>VLOOKUP($F163, 'Raw Annual DMR Data'!$A:$Z, 25, FALSE)</f>
        <v>NEW RIVER</v>
      </c>
      <c r="I163" s="74">
        <f>VLOOKUP($F163, 'Raw Annual DMR Data'!$A:$Z, 26, FALSE)</f>
        <v>18100204012549</v>
      </c>
      <c r="J163" s="74" t="s">
        <v>265</v>
      </c>
      <c r="K163" s="60">
        <f>VLOOKUP(A163, 'OES Summary'!$A:$B, 2, FALSE)</f>
        <v>365</v>
      </c>
      <c r="L163" s="304" cm="1">
        <f t="array" ref="L163">IF(COUNTIF('Raw Annual DMR Data'!$L:$L,$F163)&gt;0,MEDIAN(IF('Raw Annual DMR Data'!$L:$L=F163,'Raw Annual DMR Data'!$S:$S)),"N/A - Facility Does Not Report DMRs")</f>
        <v>0.1535254194375</v>
      </c>
      <c r="M163" s="156">
        <f t="shared" si="18"/>
        <v>4.2061758750000001E-4</v>
      </c>
      <c r="N163" s="156">
        <f>IF(COUNTIF('Raw Annual DMR Data'!$L:$L,$F163)&gt;0,_xlfn.MAXIFS('Raw Annual DMR Data'!$S:$S,'Raw Annual DMR Data'!$L:$L,$F163), "N/A - Facility Does Not Report DMRs")</f>
        <v>1.5573240562499999</v>
      </c>
      <c r="O163" s="156">
        <f t="shared" si="19"/>
        <v>4.2666412499999997E-3</v>
      </c>
      <c r="P163" s="113" cm="1">
        <f t="array" ref="P163">IF(COUNTIF('Raw Annual DMR Data'!$L:$L,$F163)&gt;0,INDEX('Raw Annual DMR Data'!$B:$B,MATCH(1,($F163='Raw Annual DMR Data'!$L:$L)*($N163='Raw Annual DMR Data'!$S:$S),0)), "N/A - Facility Does Not Report DMRs")</f>
        <v>2018</v>
      </c>
      <c r="Q163" s="304" t="str" cm="1">
        <f t="array" ref="Q163">IF(COUNTIF('Raw TRI Data'!$J:$J,$E163)&gt;0,MEDIAN(IF('Raw TRI Data'!$J:$J=E163,'Raw TRI Data'!$S:$S)), "N/A - Facility Does Not Report to TRI")</f>
        <v>N/A - Facility Does Not Report to TRI</v>
      </c>
      <c r="R163" s="156" t="str">
        <f t="shared" si="16"/>
        <v>N/A - Facility Does Not Report to TRI</v>
      </c>
      <c r="S163" s="156" t="str">
        <f>IF(COUNTIF('Raw TRI Data'!$J:$J,$E163)&gt;0,_xlfn.MAXIFS('Raw TRI Data'!$S:$S,'Raw TRI Data'!$J:$J,$E163), "N/A - Facility Does Not Report to TRI")</f>
        <v>N/A - Facility Does Not Report to TRI</v>
      </c>
      <c r="T163" s="156" t="str">
        <f t="shared" si="17"/>
        <v>N/A - Facility Does Not Report to TRI</v>
      </c>
      <c r="U163" s="136" t="str" cm="1">
        <f t="array" ref="U163">IF(COUNTIF('Raw TRI Data'!$J:$J,$E163)&gt;0,INDEX('Raw TRI Data'!$A:$A,MATCH(1,($E163='Raw TRI Data'!$J:$J)*(S163='Raw TRI Data'!$S:$S),0)), "N/A - Facility Does Not Report to TRI")</f>
        <v>N/A - Facility Does Not Report to TRI</v>
      </c>
      <c r="V163" s="156" t="str" cm="1">
        <f t="array" ref="V163">IF(COUNTIFS('Raw Annual DMR Data'!$L:$L,$F163,'Raw Annual DMR Data'!$U:$U,"&gt;0")&gt;0,MEDIAN(IF('Raw Annual DMR Data'!$L:$L=$F163,'Raw Annual DMR Data'!$U:$U,"")),"N/A - Period DMR Data Not Available")</f>
        <v>N/A - Period DMR Data Not Available</v>
      </c>
      <c r="W163" s="156" t="str">
        <f>IF(COUNTIFS('Raw Annual DMR Data'!$L:$L,$F163, 'Raw Annual DMR Data'!$U:$U, "&gt;0")&gt;0,_xlfn.MAXIFS('Raw Annual DMR Data'!$U:$U,'Raw Annual DMR Data'!$L:$L,$F163), "N/A - Period DMR Data Not Available")</f>
        <v>N/A - Period DMR Data Not Available</v>
      </c>
      <c r="X163" s="113" t="str" cm="1">
        <f t="array" ref="X163">+IF(COUNTIFS('Raw Annual DMR Data'!L:L,$F163, 'Raw Annual DMR Data'!U:U, "&gt;0")&gt;0,INDEX('Raw Annual DMR Data'!V:V,MATCH(1,($F163='Raw Annual DMR Data'!L:L)*($W163='Raw Annual DMR Data'!U:U),0)), "N/A - Period DMR Data Not Available")</f>
        <v>N/A - Period DMR Data Not Available</v>
      </c>
      <c r="Y163" s="113" t="str" cm="1">
        <f t="array" ref="Y163">IF(COUNTIFS('Raw Annual DMR Data'!L:L,$F163, 'Raw Annual DMR Data'!U:U, "&gt;0")&gt;0,INDEX('Raw Annual DMR Data'!B:B,MATCH(1,($F163='Raw Annual DMR Data'!L:L)*($W163='Raw Annual DMR Data'!U:U),0)), "N/A - Period DMR Data Not Available")</f>
        <v>N/A - Period DMR Data Not Available</v>
      </c>
      <c r="Z163" s="311" t="str" cm="1">
        <f t="array" ref="Z163">IF(COUNTIF('Raw Annual DMR Data'!K:K,$E163)&gt;0,"N/A - See DMRs",IF(SUMIFS('Raw TRI Data'!$Z:$Z,'Raw TRI Data'!$J:$J,$E163)&gt;0,MEDIAN(IF('Raw TRI Data'!$J:$J=$E163,'Raw TRI Data'!$Z:$Z)), "N/A - Facility Does Not Report to TRI, no surface water releases, or no Generic Factors available"))</f>
        <v>N/A - Facility Does Not Report to TRI, no surface water releases, or no Generic Factors available</v>
      </c>
      <c r="AA163" s="156" t="str">
        <f>IF(COUNTIF('Raw Annual DMR Data'!K:K,$E163)&gt;0,"N/A - See DMRs",IF(SUMIFS('Raw TRI Data'!$Z:$Z,'Raw TRI Data'!$J:$J,$E163)&gt;0,_xlfn.MAXIFS('Raw TRI Data'!$Z:$Z,'Raw TRI Data'!$J:$J,$E163), "N/A - Facility Does Not Report to TRI, no surface water releases, or no Generic Factors available"))</f>
        <v>N/A - Facility Does Not Report to TRI, no surface water releases, or no Generic Factors available</v>
      </c>
      <c r="AB163" s="113" t="str">
        <f t="shared" si="20"/>
        <v>N/A</v>
      </c>
      <c r="AC163" s="136" t="str" cm="1">
        <f t="array" ref="AC163">IF(COUNTIF('Raw Annual DMR Data'!K:K,$E163)&gt;0,"N/A - See DMRs",IF(SUMIFS('Raw TRI Data'!$Z:$Z,'Raw TRI Data'!$J:$J,$E163)&gt;0,INDEX('Raw TRI Data'!$A:$A,MATCH(1,($E163='Raw TRI Data'!$J:$J)*($AA163='Raw TRI Data'!$Z:$Z),0)), "N/A - Facility Does Not Report to TRI, no surface water releases, or no Generic Factors available"))</f>
        <v>N/A - Facility Does Not Report to TRI, no surface water releases, or no Generic Factors available</v>
      </c>
      <c r="AD163" s="96" t="str" cm="1">
        <f t="array" ref="AD163">IF(COUNTIFS('Raw Annual DMR Data'!L:L,$F163,'Raw Annual DMR Data'!W:W, "&gt;0")&gt;0,MEDIAN(IF('Raw Annual DMR Data'!K:K=$F163, 'Raw Annual DMR Data'!W:W)), "N/A - No Daily Max DMR Discharge Data")</f>
        <v>N/A - No Daily Max DMR Discharge Data</v>
      </c>
      <c r="AE163" s="96" t="str">
        <f>IF(COUNTIFS('Raw Annual DMR Data'!L:L,$F163,'Raw Annual DMR Data'!W:W, "&gt;0")&gt;0,_xlfn.MAXIFS('Raw Annual DMR Data'!W:W,'Raw Annual DMR Data'!L:L,$F163), "N/A - No Daily Max DMR Discharge Data")</f>
        <v>N/A - No Daily Max DMR Discharge Data</v>
      </c>
      <c r="AF163" s="60" t="str" cm="1">
        <f t="array" ref="AF163">IF(COUNTIFS('Raw Annual DMR Data'!L:L,$F163,'Raw Annual DMR Data'!W:W, "&gt;0")&gt;0,INDEX('Raw Annual DMR Data'!B:B,MATCH(1,($F163='Raw Annual DMR Data'!L:L)*($AE163='Raw Annual DMR Data'!W:W),0)), "N/A - No Daily Max DMR Discharge Data")</f>
        <v>N/A - No Daily Max DMR Discharge Data</v>
      </c>
    </row>
    <row r="164" spans="1:32" ht="45.75" thickBot="1" x14ac:dyDescent="0.3">
      <c r="A164" s="144" t="str">
        <f>VLOOKUP(F164,'Facility Summary'!J:K,2,FALSE)</f>
        <v>POTW</v>
      </c>
      <c r="B164" s="28" t="s">
        <v>1024</v>
      </c>
      <c r="C164" s="28" t="s">
        <v>1025</v>
      </c>
      <c r="D164" s="28" t="s">
        <v>366</v>
      </c>
      <c r="E164" s="28"/>
      <c r="F164" s="61">
        <v>110002043217</v>
      </c>
      <c r="G164" s="60" t="str">
        <f>VLOOKUP($F164, 'Raw Annual DMR Data'!$A:$Z, 24, FALSE)</f>
        <v>CA0105015</v>
      </c>
      <c r="H164" s="60" t="str">
        <f>VLOOKUP($F164, 'Raw Annual DMR Data'!$A:$Z, 25, FALSE)</f>
        <v>"G" DRAIN, G DRAIN</v>
      </c>
      <c r="I164" s="74">
        <f>VLOOKUP($F164, 'Raw Annual DMR Data'!$A:$Z, 26, FALSE)</f>
        <v>18100204011103</v>
      </c>
      <c r="J164" s="74" t="s">
        <v>265</v>
      </c>
      <c r="K164" s="60">
        <f>VLOOKUP(A164, 'OES Summary'!$A:$B, 2, FALSE)</f>
        <v>365</v>
      </c>
      <c r="L164" s="304" cm="1">
        <f t="array" ref="L164">IF(COUNTIF('Raw Annual DMR Data'!$L:$L,$F164)&gt;0,MEDIAN(IF('Raw Annual DMR Data'!$L:$L=F164,'Raw Annual DMR Data'!$S:$S)),"N/A - Facility Does Not Report DMRs")</f>
        <v>3.9856996250000002E-3</v>
      </c>
      <c r="M164" s="156">
        <f t="shared" si="18"/>
        <v>1.0919725E-5</v>
      </c>
      <c r="N164" s="156">
        <f>IF(COUNTIF('Raw Annual DMR Data'!$L:$L,$F164)&gt;0,_xlfn.MAXIFS('Raw Annual DMR Data'!$S:$S,'Raw Annual DMR Data'!$L:$L,$F164), "N/A - Facility Does Not Report DMRs")</f>
        <v>4.35180375E-3</v>
      </c>
      <c r="O164" s="156">
        <f t="shared" si="19"/>
        <v>1.192275E-5</v>
      </c>
      <c r="P164" s="113" cm="1">
        <f t="array" ref="P164">IF(COUNTIF('Raw Annual DMR Data'!$L:$L,$F164)&gt;0,INDEX('Raw Annual DMR Data'!$B:$B,MATCH(1,($F164='Raw Annual DMR Data'!$L:$L)*($N164='Raw Annual DMR Data'!$S:$S),0)), "N/A - Facility Does Not Report DMRs")</f>
        <v>2016</v>
      </c>
      <c r="Q164" s="304" t="str" cm="1">
        <f t="array" ref="Q164">IF(COUNTIF('Raw TRI Data'!$J:$J,$E164)&gt;0,MEDIAN(IF('Raw TRI Data'!$J:$J=E164,'Raw TRI Data'!$S:$S)), "N/A - Facility Does Not Report to TRI")</f>
        <v>N/A - Facility Does Not Report to TRI</v>
      </c>
      <c r="R164" s="156" t="str">
        <f t="shared" si="16"/>
        <v>N/A - Facility Does Not Report to TRI</v>
      </c>
      <c r="S164" s="156" t="str">
        <f>IF(COUNTIF('Raw TRI Data'!$J:$J,$E164)&gt;0,_xlfn.MAXIFS('Raw TRI Data'!$S:$S,'Raw TRI Data'!$J:$J,$E164), "N/A - Facility Does Not Report to TRI")</f>
        <v>N/A - Facility Does Not Report to TRI</v>
      </c>
      <c r="T164" s="156" t="str">
        <f t="shared" si="17"/>
        <v>N/A - Facility Does Not Report to TRI</v>
      </c>
      <c r="U164" s="136" t="str" cm="1">
        <f t="array" ref="U164">IF(COUNTIF('Raw TRI Data'!$J:$J,$E164)&gt;0,INDEX('Raw TRI Data'!$A:$A,MATCH(1,($E164='Raw TRI Data'!$J:$J)*(S164='Raw TRI Data'!$S:$S),0)), "N/A - Facility Does Not Report to TRI")</f>
        <v>N/A - Facility Does Not Report to TRI</v>
      </c>
      <c r="V164" s="156" t="str" cm="1">
        <f t="array" ref="V164">IF(COUNTIFS('Raw Annual DMR Data'!$L:$L,$F164,'Raw Annual DMR Data'!$U:$U,"&gt;0")&gt;0,MEDIAN(IF('Raw Annual DMR Data'!$L:$L=$F164,'Raw Annual DMR Data'!$U:$U,"")),"N/A - Period DMR Data Not Available")</f>
        <v>N/A - Period DMR Data Not Available</v>
      </c>
      <c r="W164" s="156" t="str">
        <f>IF(COUNTIFS('Raw Annual DMR Data'!$L:$L,$F164, 'Raw Annual DMR Data'!$U:$U, "&gt;0")&gt;0,_xlfn.MAXIFS('Raw Annual DMR Data'!$U:$U,'Raw Annual DMR Data'!$L:$L,$F164), "N/A - Period DMR Data Not Available")</f>
        <v>N/A - Period DMR Data Not Available</v>
      </c>
      <c r="X164" s="113" t="str" cm="1">
        <f t="array" ref="X164">+IF(COUNTIFS('Raw Annual DMR Data'!L:L,$F164, 'Raw Annual DMR Data'!U:U, "&gt;0")&gt;0,INDEX('Raw Annual DMR Data'!V:V,MATCH(1,($F164='Raw Annual DMR Data'!L:L)*($W164='Raw Annual DMR Data'!U:U),0)), "N/A - Period DMR Data Not Available")</f>
        <v>N/A - Period DMR Data Not Available</v>
      </c>
      <c r="Y164" s="113" t="str" cm="1">
        <f t="array" ref="Y164">IF(COUNTIFS('Raw Annual DMR Data'!L:L,$F164, 'Raw Annual DMR Data'!U:U, "&gt;0")&gt;0,INDEX('Raw Annual DMR Data'!B:B,MATCH(1,($F164='Raw Annual DMR Data'!L:L)*($W164='Raw Annual DMR Data'!U:U),0)), "N/A - Period DMR Data Not Available")</f>
        <v>N/A - Period DMR Data Not Available</v>
      </c>
      <c r="Z164" s="311" t="str" cm="1">
        <f t="array" ref="Z164">IF(COUNTIF('Raw Annual DMR Data'!K:K,$E164)&gt;0,"N/A - See DMRs",IF(SUMIFS('Raw TRI Data'!$Z:$Z,'Raw TRI Data'!$J:$J,$E164)&gt;0,MEDIAN(IF('Raw TRI Data'!$J:$J=$E164,'Raw TRI Data'!$Z:$Z)), "N/A - Facility Does Not Report to TRI, no surface water releases, or no Generic Factors available"))</f>
        <v>N/A - Facility Does Not Report to TRI, no surface water releases, or no Generic Factors available</v>
      </c>
      <c r="AA164" s="156" t="str">
        <f>IF(COUNTIF('Raw Annual DMR Data'!K:K,$E164)&gt;0,"N/A - See DMRs",IF(SUMIFS('Raw TRI Data'!$Z:$Z,'Raw TRI Data'!$J:$J,$E164)&gt;0,_xlfn.MAXIFS('Raw TRI Data'!$Z:$Z,'Raw TRI Data'!$J:$J,$E164), "N/A - Facility Does Not Report to TRI, no surface water releases, or no Generic Factors available"))</f>
        <v>N/A - Facility Does Not Report to TRI, no surface water releases, or no Generic Factors available</v>
      </c>
      <c r="AB164" s="113" t="str">
        <f t="shared" si="20"/>
        <v>N/A</v>
      </c>
      <c r="AC164" s="136" t="str" cm="1">
        <f t="array" ref="AC164">IF(COUNTIF('Raw Annual DMR Data'!K:K,$E164)&gt;0,"N/A - See DMRs",IF(SUMIFS('Raw TRI Data'!$Z:$Z,'Raw TRI Data'!$J:$J,$E164)&gt;0,INDEX('Raw TRI Data'!$A:$A,MATCH(1,($E164='Raw TRI Data'!$J:$J)*($AA164='Raw TRI Data'!$Z:$Z),0)), "N/A - Facility Does Not Report to TRI, no surface water releases, or no Generic Factors available"))</f>
        <v>N/A - Facility Does Not Report to TRI, no surface water releases, or no Generic Factors available</v>
      </c>
      <c r="AD164" s="96" t="str" cm="1">
        <f t="array" ref="AD164">IF(COUNTIFS('Raw Annual DMR Data'!L:L,$F164,'Raw Annual DMR Data'!W:W, "&gt;0")&gt;0,MEDIAN(IF('Raw Annual DMR Data'!K:K=$F164, 'Raw Annual DMR Data'!W:W)), "N/A - No Daily Max DMR Discharge Data")</f>
        <v>N/A - No Daily Max DMR Discharge Data</v>
      </c>
      <c r="AE164" s="96" t="str">
        <f>IF(COUNTIFS('Raw Annual DMR Data'!L:L,$F164,'Raw Annual DMR Data'!W:W, "&gt;0")&gt;0,_xlfn.MAXIFS('Raw Annual DMR Data'!W:W,'Raw Annual DMR Data'!L:L,$F164), "N/A - No Daily Max DMR Discharge Data")</f>
        <v>N/A - No Daily Max DMR Discharge Data</v>
      </c>
      <c r="AF164" s="60" t="str" cm="1">
        <f t="array" ref="AF164">IF(COUNTIFS('Raw Annual DMR Data'!L:L,$F164,'Raw Annual DMR Data'!W:W, "&gt;0")&gt;0,INDEX('Raw Annual DMR Data'!B:B,MATCH(1,($F164='Raw Annual DMR Data'!L:L)*($AE164='Raw Annual DMR Data'!W:W),0)), "N/A - No Daily Max DMR Discharge Data")</f>
        <v>N/A - No Daily Max DMR Discharge Data</v>
      </c>
    </row>
    <row r="165" spans="1:32" ht="45.75" thickBot="1" x14ac:dyDescent="0.3">
      <c r="A165" s="144" t="str">
        <f>VLOOKUP(F165,'Facility Summary'!J:K,2,FALSE)</f>
        <v>Unknown</v>
      </c>
      <c r="B165" s="28" t="s">
        <v>1026</v>
      </c>
      <c r="C165" s="28" t="s">
        <v>1027</v>
      </c>
      <c r="D165" s="28" t="s">
        <v>349</v>
      </c>
      <c r="E165" s="28"/>
      <c r="F165" s="61">
        <v>110054612558</v>
      </c>
      <c r="G165" s="60" t="str">
        <f>VLOOKUP($F165, 'Raw Annual DMR Data'!$A:$Z, 24, FALSE)</f>
        <v>MO0137243</v>
      </c>
      <c r="H165" s="60" t="str">
        <f>VLOOKUP($F165, 'Raw Annual DMR Data'!$A:$Z, 25, FALSE)</f>
        <v>TRIBUTARY TO BUFFALO CR.</v>
      </c>
      <c r="I165" s="74">
        <f>VLOOKUP($F165, 'Raw Annual DMR Data'!$A:$Z, 26, FALSE)</f>
        <v>7110004000345</v>
      </c>
      <c r="J165" s="74" t="s">
        <v>265</v>
      </c>
      <c r="K165" s="60">
        <f>VLOOKUP(A165, 'OES Summary'!$A:$B, 2, FALSE)</f>
        <v>250</v>
      </c>
      <c r="L165" s="304" cm="1">
        <f t="array" ref="L165">IF(COUNTIF('Raw Annual DMR Data'!$L:$L,$F165)&gt;0,MEDIAN(IF('Raw Annual DMR Data'!$L:$L=F165,'Raw Annual DMR Data'!$S:$S)),"N/A - Facility Does Not Report DMRs")</f>
        <v>5.3022659999999999E-2</v>
      </c>
      <c r="M165" s="156">
        <f t="shared" si="18"/>
        <v>2.1209064E-4</v>
      </c>
      <c r="N165" s="156">
        <f>IF(COUNTIF('Raw Annual DMR Data'!$L:$L,$F165)&gt;0,_xlfn.MAXIFS('Raw Annual DMR Data'!$S:$S,'Raw Annual DMR Data'!$L:$L,$F165), "N/A - Facility Does Not Report DMRs")</f>
        <v>7.4489795918367296E-2</v>
      </c>
      <c r="O165" s="156">
        <f t="shared" si="19"/>
        <v>2.9795918367346916E-4</v>
      </c>
      <c r="P165" s="113" cm="1">
        <f t="array" ref="P165">IF(COUNTIF('Raw Annual DMR Data'!$L:$L,$F165)&gt;0,INDEX('Raw Annual DMR Data'!$B:$B,MATCH(1,($F165='Raw Annual DMR Data'!$L:$L)*($N165='Raw Annual DMR Data'!$S:$S),0)), "N/A - Facility Does Not Report DMRs")</f>
        <v>2016</v>
      </c>
      <c r="Q165" s="304" t="str" cm="1">
        <f t="array" ref="Q165">IF(COUNTIF('Raw TRI Data'!$J:$J,$E165)&gt;0,MEDIAN(IF('Raw TRI Data'!$J:$J=E165,'Raw TRI Data'!$S:$S)), "N/A - Facility Does Not Report to TRI")</f>
        <v>N/A - Facility Does Not Report to TRI</v>
      </c>
      <c r="R165" s="156" t="str">
        <f t="shared" si="16"/>
        <v>N/A - Facility Does Not Report to TRI</v>
      </c>
      <c r="S165" s="156" t="str">
        <f>IF(COUNTIF('Raw TRI Data'!$J:$J,$E165)&gt;0,_xlfn.MAXIFS('Raw TRI Data'!$S:$S,'Raw TRI Data'!$J:$J,$E165), "N/A - Facility Does Not Report to TRI")</f>
        <v>N/A - Facility Does Not Report to TRI</v>
      </c>
      <c r="T165" s="156" t="str">
        <f t="shared" si="17"/>
        <v>N/A - Facility Does Not Report to TRI</v>
      </c>
      <c r="U165" s="136" t="str" cm="1">
        <f t="array" ref="U165">IF(COUNTIF('Raw TRI Data'!$J:$J,$E165)&gt;0,INDEX('Raw TRI Data'!$A:$A,MATCH(1,($E165='Raw TRI Data'!$J:$J)*(S165='Raw TRI Data'!$S:$S),0)), "N/A - Facility Does Not Report to TRI")</f>
        <v>N/A - Facility Does Not Report to TRI</v>
      </c>
      <c r="V165" s="156" t="str" cm="1">
        <f t="array" ref="V165">IF(COUNTIFS('Raw Annual DMR Data'!$L:$L,$F165,'Raw Annual DMR Data'!$U:$U,"&gt;0")&gt;0,MEDIAN(IF('Raw Annual DMR Data'!$L:$L=$F165,'Raw Annual DMR Data'!$U:$U,"")),"N/A - Period DMR Data Not Available")</f>
        <v>N/A - Period DMR Data Not Available</v>
      </c>
      <c r="W165" s="156" t="str">
        <f>IF(COUNTIFS('Raw Annual DMR Data'!$L:$L,$F165, 'Raw Annual DMR Data'!$U:$U, "&gt;0")&gt;0,_xlfn.MAXIFS('Raw Annual DMR Data'!$U:$U,'Raw Annual DMR Data'!$L:$L,$F165), "N/A - Period DMR Data Not Available")</f>
        <v>N/A - Period DMR Data Not Available</v>
      </c>
      <c r="X165" s="113" t="str" cm="1">
        <f t="array" ref="X165">+IF(COUNTIFS('Raw Annual DMR Data'!L:L,$F165, 'Raw Annual DMR Data'!U:U, "&gt;0")&gt;0,INDEX('Raw Annual DMR Data'!V:V,MATCH(1,($F165='Raw Annual DMR Data'!L:L)*($W165='Raw Annual DMR Data'!U:U),0)), "N/A - Period DMR Data Not Available")</f>
        <v>N/A - Period DMR Data Not Available</v>
      </c>
      <c r="Y165" s="113" t="str" cm="1">
        <f t="array" ref="Y165">IF(COUNTIFS('Raw Annual DMR Data'!L:L,$F165, 'Raw Annual DMR Data'!U:U, "&gt;0")&gt;0,INDEX('Raw Annual DMR Data'!B:B,MATCH(1,($F165='Raw Annual DMR Data'!L:L)*($W165='Raw Annual DMR Data'!U:U),0)), "N/A - Period DMR Data Not Available")</f>
        <v>N/A - Period DMR Data Not Available</v>
      </c>
      <c r="Z165" s="311" t="str" cm="1">
        <f t="array" ref="Z165">IF(COUNTIF('Raw Annual DMR Data'!K:K,$E165)&gt;0,"N/A - See DMRs",IF(SUMIFS('Raw TRI Data'!$Z:$Z,'Raw TRI Data'!$J:$J,$E165)&gt;0,MEDIAN(IF('Raw TRI Data'!$J:$J=$E165,'Raw TRI Data'!$Z:$Z)), "N/A - Facility Does Not Report to TRI, no surface water releases, or no Generic Factors available"))</f>
        <v>N/A - Facility Does Not Report to TRI, no surface water releases, or no Generic Factors available</v>
      </c>
      <c r="AA165" s="156" t="str">
        <f>IF(COUNTIF('Raw Annual DMR Data'!K:K,$E165)&gt;0,"N/A - See DMRs",IF(SUMIFS('Raw TRI Data'!$Z:$Z,'Raw TRI Data'!$J:$J,$E165)&gt;0,_xlfn.MAXIFS('Raw TRI Data'!$Z:$Z,'Raw TRI Data'!$J:$J,$E165), "N/A - Facility Does Not Report to TRI, no surface water releases, or no Generic Factors available"))</f>
        <v>N/A - Facility Does Not Report to TRI, no surface water releases, or no Generic Factors available</v>
      </c>
      <c r="AB165" s="113" t="str">
        <f t="shared" si="20"/>
        <v>N/A</v>
      </c>
      <c r="AC165" s="136" t="str" cm="1">
        <f t="array" ref="AC165">IF(COUNTIF('Raw Annual DMR Data'!K:K,$E165)&gt;0,"N/A - See DMRs",IF(SUMIFS('Raw TRI Data'!$Z:$Z,'Raw TRI Data'!$J:$J,$E165)&gt;0,INDEX('Raw TRI Data'!$A:$A,MATCH(1,($E165='Raw TRI Data'!$J:$J)*($AA165='Raw TRI Data'!$Z:$Z),0)), "N/A - Facility Does Not Report to TRI, no surface water releases, or no Generic Factors available"))</f>
        <v>N/A - Facility Does Not Report to TRI, no surface water releases, or no Generic Factors available</v>
      </c>
      <c r="AD165" s="96" t="str" cm="1">
        <f t="array" ref="AD165">IF(COUNTIFS('Raw Annual DMR Data'!L:L,$F165,'Raw Annual DMR Data'!W:W, "&gt;0")&gt;0,MEDIAN(IF('Raw Annual DMR Data'!K:K=$F165, 'Raw Annual DMR Data'!W:W)), "N/A - No Daily Max DMR Discharge Data")</f>
        <v>N/A - No Daily Max DMR Discharge Data</v>
      </c>
      <c r="AE165" s="96" t="str">
        <f>IF(COUNTIFS('Raw Annual DMR Data'!L:L,$F165,'Raw Annual DMR Data'!W:W, "&gt;0")&gt;0,_xlfn.MAXIFS('Raw Annual DMR Data'!W:W,'Raw Annual DMR Data'!L:L,$F165), "N/A - No Daily Max DMR Discharge Data")</f>
        <v>N/A - No Daily Max DMR Discharge Data</v>
      </c>
      <c r="AF165" s="60" t="str" cm="1">
        <f t="array" ref="AF165">IF(COUNTIFS('Raw Annual DMR Data'!L:L,$F165,'Raw Annual DMR Data'!W:W, "&gt;0")&gt;0,INDEX('Raw Annual DMR Data'!B:B,MATCH(1,($F165='Raw Annual DMR Data'!L:L)*($AE165='Raw Annual DMR Data'!W:W),0)), "N/A - No Daily Max DMR Discharge Data")</f>
        <v>N/A - No Daily Max DMR Discharge Data</v>
      </c>
    </row>
    <row r="166" spans="1:32" ht="45.75" thickBot="1" x14ac:dyDescent="0.3">
      <c r="A166" s="144" t="str">
        <f>VLOOKUP(F166,'Facility Summary'!J:K,2,FALSE)</f>
        <v>POTW</v>
      </c>
      <c r="B166" s="28" t="s">
        <v>1028</v>
      </c>
      <c r="C166" s="28" t="s">
        <v>1029</v>
      </c>
      <c r="D166" s="28" t="s">
        <v>324</v>
      </c>
      <c r="E166" s="28"/>
      <c r="F166" s="61">
        <v>110000736776</v>
      </c>
      <c r="G166" s="60" t="str">
        <f>VLOOKUP($F166, 'Raw Annual DMR Data'!$A:$Z, 24, FALSE)</f>
        <v>KY0054437</v>
      </c>
      <c r="H166" s="60" t="str">
        <f>VLOOKUP($F166, 'Raw Annual DMR Data'!$A:$Z, 25, FALSE)</f>
        <v>BUCK HORN CREEK, LITTLE PITMAN CRK</v>
      </c>
      <c r="I166" s="74">
        <f>VLOOKUP($F166, 'Raw Annual DMR Data'!$A:$Z, 26, FALSE)</f>
        <v>5110001002599</v>
      </c>
      <c r="J166" s="74" t="s">
        <v>265</v>
      </c>
      <c r="K166" s="60">
        <f>VLOOKUP(A166, 'OES Summary'!$A:$B, 2, FALSE)</f>
        <v>365</v>
      </c>
      <c r="L166" s="304" cm="1">
        <f t="array" ref="L166">IF(COUNTIF('Raw Annual DMR Data'!$L:$L,$F166)&gt;0,MEDIAN(IF('Raw Annual DMR Data'!$L:$L=F166,'Raw Annual DMR Data'!$S:$S)),"N/A - Facility Does Not Report DMRs")</f>
        <v>2.0066650625000002</v>
      </c>
      <c r="M166" s="156">
        <f t="shared" si="18"/>
        <v>5.4977125000000007E-3</v>
      </c>
      <c r="N166" s="156">
        <f>IF(COUNTIF('Raw Annual DMR Data'!$L:$L,$F166)&gt;0,_xlfn.MAXIFS('Raw Annual DMR Data'!$S:$S,'Raw Annual DMR Data'!$L:$L,$F166), "N/A - Facility Does Not Report DMRs")</f>
        <v>2.0066650625000002</v>
      </c>
      <c r="O166" s="156">
        <f t="shared" si="19"/>
        <v>5.4977125000000007E-3</v>
      </c>
      <c r="P166" s="113" cm="1">
        <f t="array" ref="P166">IF(COUNTIF('Raw Annual DMR Data'!$L:$L,$F166)&gt;0,INDEX('Raw Annual DMR Data'!$B:$B,MATCH(1,($F166='Raw Annual DMR Data'!$L:$L)*($N166='Raw Annual DMR Data'!$S:$S),0)), "N/A - Facility Does Not Report DMRs")</f>
        <v>2020</v>
      </c>
      <c r="Q166" s="304" t="str" cm="1">
        <f t="array" ref="Q166">IF(COUNTIF('Raw TRI Data'!$J:$J,$E166)&gt;0,MEDIAN(IF('Raw TRI Data'!$J:$J=E166,'Raw TRI Data'!$S:$S)), "N/A - Facility Does Not Report to TRI")</f>
        <v>N/A - Facility Does Not Report to TRI</v>
      </c>
      <c r="R166" s="156" t="str">
        <f t="shared" si="16"/>
        <v>N/A - Facility Does Not Report to TRI</v>
      </c>
      <c r="S166" s="156" t="str">
        <f>IF(COUNTIF('Raw TRI Data'!$J:$J,$E166)&gt;0,_xlfn.MAXIFS('Raw TRI Data'!$S:$S,'Raw TRI Data'!$J:$J,$E166), "N/A - Facility Does Not Report to TRI")</f>
        <v>N/A - Facility Does Not Report to TRI</v>
      </c>
      <c r="T166" s="156" t="str">
        <f t="shared" si="17"/>
        <v>N/A - Facility Does Not Report to TRI</v>
      </c>
      <c r="U166" s="136" t="str" cm="1">
        <f t="array" ref="U166">IF(COUNTIF('Raw TRI Data'!$J:$J,$E166)&gt;0,INDEX('Raw TRI Data'!$A:$A,MATCH(1,($E166='Raw TRI Data'!$J:$J)*(S166='Raw TRI Data'!$S:$S),0)), "N/A - Facility Does Not Report to TRI")</f>
        <v>N/A - Facility Does Not Report to TRI</v>
      </c>
      <c r="V166" s="156" t="str" cm="1">
        <f t="array" ref="V166">IF(COUNTIFS('Raw Annual DMR Data'!$L:$L,$F166,'Raw Annual DMR Data'!$U:$U,"&gt;0")&gt;0,MEDIAN(IF('Raw Annual DMR Data'!$L:$L=$F166,'Raw Annual DMR Data'!$U:$U,"")),"N/A - Period DMR Data Not Available")</f>
        <v>N/A - Period DMR Data Not Available</v>
      </c>
      <c r="W166" s="156" t="str">
        <f>IF(COUNTIFS('Raw Annual DMR Data'!$L:$L,$F166, 'Raw Annual DMR Data'!$U:$U, "&gt;0")&gt;0,_xlfn.MAXIFS('Raw Annual DMR Data'!$U:$U,'Raw Annual DMR Data'!$L:$L,$F166), "N/A - Period DMR Data Not Available")</f>
        <v>N/A - Period DMR Data Not Available</v>
      </c>
      <c r="X166" s="113" t="str" cm="1">
        <f t="array" ref="X166">+IF(COUNTIFS('Raw Annual DMR Data'!L:L,$F166, 'Raw Annual DMR Data'!U:U, "&gt;0")&gt;0,INDEX('Raw Annual DMR Data'!V:V,MATCH(1,($F166='Raw Annual DMR Data'!L:L)*($W166='Raw Annual DMR Data'!U:U),0)), "N/A - Period DMR Data Not Available")</f>
        <v>N/A - Period DMR Data Not Available</v>
      </c>
      <c r="Y166" s="113" t="str" cm="1">
        <f t="array" ref="Y166">IF(COUNTIFS('Raw Annual DMR Data'!L:L,$F166, 'Raw Annual DMR Data'!U:U, "&gt;0")&gt;0,INDEX('Raw Annual DMR Data'!B:B,MATCH(1,($F166='Raw Annual DMR Data'!L:L)*($W166='Raw Annual DMR Data'!U:U),0)), "N/A - Period DMR Data Not Available")</f>
        <v>N/A - Period DMR Data Not Available</v>
      </c>
      <c r="Z166" s="311" t="str" cm="1">
        <f t="array" ref="Z166">IF(COUNTIF('Raw Annual DMR Data'!K:K,$E166)&gt;0,"N/A - See DMRs",IF(SUMIFS('Raw TRI Data'!$Z:$Z,'Raw TRI Data'!$J:$J,$E166)&gt;0,MEDIAN(IF('Raw TRI Data'!$J:$J=$E166,'Raw TRI Data'!$Z:$Z)), "N/A - Facility Does Not Report to TRI, no surface water releases, or no Generic Factors available"))</f>
        <v>N/A - Facility Does Not Report to TRI, no surface water releases, or no Generic Factors available</v>
      </c>
      <c r="AA166" s="156" t="str">
        <f>IF(COUNTIF('Raw Annual DMR Data'!K:K,$E166)&gt;0,"N/A - See DMRs",IF(SUMIFS('Raw TRI Data'!$Z:$Z,'Raw TRI Data'!$J:$J,$E166)&gt;0,_xlfn.MAXIFS('Raw TRI Data'!$Z:$Z,'Raw TRI Data'!$J:$J,$E166), "N/A - Facility Does Not Report to TRI, no surface water releases, or no Generic Factors available"))</f>
        <v>N/A - Facility Does Not Report to TRI, no surface water releases, or no Generic Factors available</v>
      </c>
      <c r="AB166" s="113" t="str">
        <f t="shared" si="20"/>
        <v>N/A</v>
      </c>
      <c r="AC166" s="136" t="str" cm="1">
        <f t="array" ref="AC166">IF(COUNTIF('Raw Annual DMR Data'!K:K,$E166)&gt;0,"N/A - See DMRs",IF(SUMIFS('Raw TRI Data'!$Z:$Z,'Raw TRI Data'!$J:$J,$E166)&gt;0,INDEX('Raw TRI Data'!$A:$A,MATCH(1,($E166='Raw TRI Data'!$J:$J)*($AA166='Raw TRI Data'!$Z:$Z),0)), "N/A - Facility Does Not Report to TRI, no surface water releases, or no Generic Factors available"))</f>
        <v>N/A - Facility Does Not Report to TRI, no surface water releases, or no Generic Factors available</v>
      </c>
      <c r="AD166" s="96" t="str" cm="1">
        <f t="array" ref="AD166">IF(COUNTIFS('Raw Annual DMR Data'!L:L,$F166,'Raw Annual DMR Data'!W:W, "&gt;0")&gt;0,MEDIAN(IF('Raw Annual DMR Data'!K:K=$F166, 'Raw Annual DMR Data'!W:W)), "N/A - No Daily Max DMR Discharge Data")</f>
        <v>N/A - No Daily Max DMR Discharge Data</v>
      </c>
      <c r="AE166" s="96" t="str">
        <f>IF(COUNTIFS('Raw Annual DMR Data'!L:L,$F166,'Raw Annual DMR Data'!W:W, "&gt;0")&gt;0,_xlfn.MAXIFS('Raw Annual DMR Data'!W:W,'Raw Annual DMR Data'!L:L,$F166), "N/A - No Daily Max DMR Discharge Data")</f>
        <v>N/A - No Daily Max DMR Discharge Data</v>
      </c>
      <c r="AF166" s="60" t="str" cm="1">
        <f t="array" ref="AF166">IF(COUNTIFS('Raw Annual DMR Data'!L:L,$F166,'Raw Annual DMR Data'!W:W, "&gt;0")&gt;0,INDEX('Raw Annual DMR Data'!B:B,MATCH(1,($F166='Raw Annual DMR Data'!L:L)*($AE166='Raw Annual DMR Data'!W:W),0)), "N/A - No Daily Max DMR Discharge Data")</f>
        <v>N/A - No Daily Max DMR Discharge Data</v>
      </c>
    </row>
    <row r="167" spans="1:32" ht="45.75" thickBot="1" x14ac:dyDescent="0.3">
      <c r="A167" s="144" t="str">
        <f>VLOOKUP(F167,'Facility Summary'!J:K,2,FALSE)</f>
        <v>Unknown</v>
      </c>
      <c r="B167" s="28" t="s">
        <v>1030</v>
      </c>
      <c r="C167" s="28" t="s">
        <v>1031</v>
      </c>
      <c r="D167" s="28" t="s">
        <v>450</v>
      </c>
      <c r="E167" s="28"/>
      <c r="F167" s="61">
        <v>110006700711</v>
      </c>
      <c r="G167" s="60" t="str">
        <f>VLOOKUP($F167, 'Raw Annual DMR Data'!$A:$Z, 24, FALSE)</f>
        <v>NY0232386</v>
      </c>
      <c r="H167" s="60" t="str">
        <f>VLOOKUP($F167, 'Raw Annual DMR Data'!$A:$Z, 25, FALSE)</f>
        <v>BARGE CANAL TMNL</v>
      </c>
      <c r="I167" s="74">
        <f>VLOOKUP($F167, 'Raw Annual DMR Data'!$A:$Z, 26, FALSE)</f>
        <v>4140201000441</v>
      </c>
      <c r="J167" s="74" t="s">
        <v>265</v>
      </c>
      <c r="K167" s="60">
        <f>VLOOKUP(A167, 'OES Summary'!$A:$B, 2, FALSE)</f>
        <v>250</v>
      </c>
      <c r="L167" s="304" cm="1">
        <f t="array" ref="L167">IF(COUNTIF('Raw Annual DMR Data'!$L:$L,$F167)&gt;0,MEDIAN(IF('Raw Annual DMR Data'!$L:$L=F167,'Raw Annual DMR Data'!$S:$S)),"N/A - Facility Does Not Report DMRs")</f>
        <v>4.3167007137499901E-2</v>
      </c>
      <c r="M167" s="156">
        <f t="shared" si="18"/>
        <v>1.7266802854999961E-4</v>
      </c>
      <c r="N167" s="156">
        <f>IF(COUNTIF('Raw Annual DMR Data'!$L:$L,$F167)&gt;0,_xlfn.MAXIFS('Raw Annual DMR Data'!$S:$S,'Raw Annual DMR Data'!$L:$L,$F167), "N/A - Facility Does Not Report DMRs")</f>
        <v>4.3167007137499901E-2</v>
      </c>
      <c r="O167" s="156">
        <f t="shared" si="19"/>
        <v>1.7266802854999961E-4</v>
      </c>
      <c r="P167" s="113" cm="1">
        <f t="array" ref="P167">IF(COUNTIF('Raw Annual DMR Data'!$L:$L,$F167)&gt;0,INDEX('Raw Annual DMR Data'!$B:$B,MATCH(1,($F167='Raw Annual DMR Data'!$L:$L)*($N167='Raw Annual DMR Data'!$S:$S),0)), "N/A - Facility Does Not Report DMRs")</f>
        <v>2015</v>
      </c>
      <c r="Q167" s="304" t="str" cm="1">
        <f t="array" ref="Q167">IF(COUNTIF('Raw TRI Data'!$J:$J,$E167)&gt;0,MEDIAN(IF('Raw TRI Data'!$J:$J=E167,'Raw TRI Data'!$S:$S)), "N/A - Facility Does Not Report to TRI")</f>
        <v>N/A - Facility Does Not Report to TRI</v>
      </c>
      <c r="R167" s="156" t="str">
        <f t="shared" si="16"/>
        <v>N/A - Facility Does Not Report to TRI</v>
      </c>
      <c r="S167" s="156" t="str">
        <f>IF(COUNTIF('Raw TRI Data'!$J:$J,$E167)&gt;0,_xlfn.MAXIFS('Raw TRI Data'!$S:$S,'Raw TRI Data'!$J:$J,$E167), "N/A - Facility Does Not Report to TRI")</f>
        <v>N/A - Facility Does Not Report to TRI</v>
      </c>
      <c r="T167" s="156" t="str">
        <f t="shared" si="17"/>
        <v>N/A - Facility Does Not Report to TRI</v>
      </c>
      <c r="U167" s="136" t="str" cm="1">
        <f t="array" ref="U167">IF(COUNTIF('Raw TRI Data'!$J:$J,$E167)&gt;0,INDEX('Raw TRI Data'!$A:$A,MATCH(1,($E167='Raw TRI Data'!$J:$J)*(S167='Raw TRI Data'!$S:$S),0)), "N/A - Facility Does Not Report to TRI")</f>
        <v>N/A - Facility Does Not Report to TRI</v>
      </c>
      <c r="V167" s="156" t="str" cm="1">
        <f t="array" ref="V167">IF(COUNTIFS('Raw Annual DMR Data'!$L:$L,$F167,'Raw Annual DMR Data'!$U:$U,"&gt;0")&gt;0,MEDIAN(IF('Raw Annual DMR Data'!$L:$L=$F167,'Raw Annual DMR Data'!$U:$U,"")),"N/A - Period DMR Data Not Available")</f>
        <v>N/A - Period DMR Data Not Available</v>
      </c>
      <c r="W167" s="156" t="str">
        <f>IF(COUNTIFS('Raw Annual DMR Data'!$L:$L,$F167, 'Raw Annual DMR Data'!$U:$U, "&gt;0")&gt;0,_xlfn.MAXIFS('Raw Annual DMR Data'!$U:$U,'Raw Annual DMR Data'!$L:$L,$F167), "N/A - Period DMR Data Not Available")</f>
        <v>N/A - Period DMR Data Not Available</v>
      </c>
      <c r="X167" s="113" t="str" cm="1">
        <f t="array" ref="X167">+IF(COUNTIFS('Raw Annual DMR Data'!L:L,$F167, 'Raw Annual DMR Data'!U:U, "&gt;0")&gt;0,INDEX('Raw Annual DMR Data'!V:V,MATCH(1,($F167='Raw Annual DMR Data'!L:L)*($W167='Raw Annual DMR Data'!U:U),0)), "N/A - Period DMR Data Not Available")</f>
        <v>N/A - Period DMR Data Not Available</v>
      </c>
      <c r="Y167" s="113" t="str" cm="1">
        <f t="array" ref="Y167">IF(COUNTIFS('Raw Annual DMR Data'!L:L,$F167, 'Raw Annual DMR Data'!U:U, "&gt;0")&gt;0,INDEX('Raw Annual DMR Data'!B:B,MATCH(1,($F167='Raw Annual DMR Data'!L:L)*($W167='Raw Annual DMR Data'!U:U),0)), "N/A - Period DMR Data Not Available")</f>
        <v>N/A - Period DMR Data Not Available</v>
      </c>
      <c r="Z167" s="311" t="str" cm="1">
        <f t="array" ref="Z167">IF(COUNTIF('Raw Annual DMR Data'!K:K,$E167)&gt;0,"N/A - See DMRs",IF(SUMIFS('Raw TRI Data'!$Z:$Z,'Raw TRI Data'!$J:$J,$E167)&gt;0,MEDIAN(IF('Raw TRI Data'!$J:$J=$E167,'Raw TRI Data'!$Z:$Z)), "N/A - Facility Does Not Report to TRI, no surface water releases, or no Generic Factors available"))</f>
        <v>N/A - Facility Does Not Report to TRI, no surface water releases, or no Generic Factors available</v>
      </c>
      <c r="AA167" s="156" t="str">
        <f>IF(COUNTIF('Raw Annual DMR Data'!K:K,$E167)&gt;0,"N/A - See DMRs",IF(SUMIFS('Raw TRI Data'!$Z:$Z,'Raw TRI Data'!$J:$J,$E167)&gt;0,_xlfn.MAXIFS('Raw TRI Data'!$Z:$Z,'Raw TRI Data'!$J:$J,$E167), "N/A - Facility Does Not Report to TRI, no surface water releases, or no Generic Factors available"))</f>
        <v>N/A - Facility Does Not Report to TRI, no surface water releases, or no Generic Factors available</v>
      </c>
      <c r="AB167" s="113" t="str">
        <f t="shared" si="20"/>
        <v>N/A</v>
      </c>
      <c r="AC167" s="136" t="str" cm="1">
        <f t="array" ref="AC167">IF(COUNTIF('Raw Annual DMR Data'!K:K,$E167)&gt;0,"N/A - See DMRs",IF(SUMIFS('Raw TRI Data'!$Z:$Z,'Raw TRI Data'!$J:$J,$E167)&gt;0,INDEX('Raw TRI Data'!$A:$A,MATCH(1,($E167='Raw TRI Data'!$J:$J)*($AA167='Raw TRI Data'!$Z:$Z),0)), "N/A - Facility Does Not Report to TRI, no surface water releases, or no Generic Factors available"))</f>
        <v>N/A - Facility Does Not Report to TRI, no surface water releases, or no Generic Factors available</v>
      </c>
      <c r="AD167" s="96" t="str" cm="1">
        <f t="array" ref="AD167">IF(COUNTIFS('Raw Annual DMR Data'!L:L,$F167,'Raw Annual DMR Data'!W:W, "&gt;0")&gt;0,MEDIAN(IF('Raw Annual DMR Data'!K:K=$F167, 'Raw Annual DMR Data'!W:W)), "N/A - No Daily Max DMR Discharge Data")</f>
        <v>N/A - No Daily Max DMR Discharge Data</v>
      </c>
      <c r="AE167" s="96" t="str">
        <f>IF(COUNTIFS('Raw Annual DMR Data'!L:L,$F167,'Raw Annual DMR Data'!W:W, "&gt;0")&gt;0,_xlfn.MAXIFS('Raw Annual DMR Data'!W:W,'Raw Annual DMR Data'!L:L,$F167), "N/A - No Daily Max DMR Discharge Data")</f>
        <v>N/A - No Daily Max DMR Discharge Data</v>
      </c>
      <c r="AF167" s="60" t="str" cm="1">
        <f t="array" ref="AF167">IF(COUNTIFS('Raw Annual DMR Data'!L:L,$F167,'Raw Annual DMR Data'!W:W, "&gt;0")&gt;0,INDEX('Raw Annual DMR Data'!B:B,MATCH(1,($F167='Raw Annual DMR Data'!L:L)*($AE167='Raw Annual DMR Data'!W:W),0)), "N/A - No Daily Max DMR Discharge Data")</f>
        <v>N/A - No Daily Max DMR Discharge Data</v>
      </c>
    </row>
    <row r="168" spans="1:32" ht="45.75" thickBot="1" x14ac:dyDescent="0.3">
      <c r="A168" s="144" t="str">
        <f>VLOOKUP(F168,'Facility Summary'!J:K,2,FALSE)</f>
        <v>POTW</v>
      </c>
      <c r="B168" s="28" t="s">
        <v>1032</v>
      </c>
      <c r="C168" s="28" t="s">
        <v>1033</v>
      </c>
      <c r="D168" s="28" t="s">
        <v>324</v>
      </c>
      <c r="E168" s="28"/>
      <c r="F168" s="61">
        <v>110015632216</v>
      </c>
      <c r="G168" s="60" t="str">
        <f>VLOOKUP($F168, 'Raw Annual DMR Data'!$A:$Z, 24, FALSE)</f>
        <v>KY0104931</v>
      </c>
      <c r="H168" s="60" t="str">
        <f>VLOOKUP($F168, 'Raw Annual DMR Data'!$A:$Z, 25, FALSE)</f>
        <v>KENTUCKY RIVER</v>
      </c>
      <c r="I168" s="74">
        <f>VLOOKUP($F168, 'Raw Annual DMR Data'!$A:$Z, 26, FALSE)</f>
        <v>5100205000002</v>
      </c>
      <c r="J168" s="74" t="s">
        <v>265</v>
      </c>
      <c r="K168" s="60">
        <f>VLOOKUP(A168, 'OES Summary'!$A:$B, 2, FALSE)</f>
        <v>365</v>
      </c>
      <c r="L168" s="304" cm="1">
        <f t="array" ref="L168">IF(COUNTIF('Raw Annual DMR Data'!$L:$L,$F168)&gt;0,MEDIAN(IF('Raw Annual DMR Data'!$L:$L=F168,'Raw Annual DMR Data'!$S:$S)),"N/A - Facility Does Not Report DMRs")</f>
        <v>4.1083099687499995</v>
      </c>
      <c r="M168" s="156">
        <f t="shared" si="18"/>
        <v>1.1255643749999999E-2</v>
      </c>
      <c r="N168" s="156">
        <f>IF(COUNTIF('Raw Annual DMR Data'!$L:$L,$F168)&gt;0,_xlfn.MAXIFS('Raw Annual DMR Data'!$S:$S,'Raw Annual DMR Data'!$L:$L,$F168), "N/A - Facility Does Not Report DMRs")</f>
        <v>5.8714812500000004</v>
      </c>
      <c r="O168" s="156">
        <f t="shared" si="19"/>
        <v>1.608625E-2</v>
      </c>
      <c r="P168" s="113" cm="1">
        <f t="array" ref="P168">IF(COUNTIF('Raw Annual DMR Data'!$L:$L,$F168)&gt;0,INDEX('Raw Annual DMR Data'!$B:$B,MATCH(1,($F168='Raw Annual DMR Data'!$L:$L)*($N168='Raw Annual DMR Data'!$S:$S),0)), "N/A - Facility Does Not Report DMRs")</f>
        <v>2019</v>
      </c>
      <c r="Q168" s="304" t="str" cm="1">
        <f t="array" ref="Q168">IF(COUNTIF('Raw TRI Data'!$J:$J,$E168)&gt;0,MEDIAN(IF('Raw TRI Data'!$J:$J=E168,'Raw TRI Data'!$S:$S)), "N/A - Facility Does Not Report to TRI")</f>
        <v>N/A - Facility Does Not Report to TRI</v>
      </c>
      <c r="R168" s="156" t="str">
        <f t="shared" si="16"/>
        <v>N/A - Facility Does Not Report to TRI</v>
      </c>
      <c r="S168" s="156" t="str">
        <f>IF(COUNTIF('Raw TRI Data'!$J:$J,$E168)&gt;0,_xlfn.MAXIFS('Raw TRI Data'!$S:$S,'Raw TRI Data'!$J:$J,$E168), "N/A - Facility Does Not Report to TRI")</f>
        <v>N/A - Facility Does Not Report to TRI</v>
      </c>
      <c r="T168" s="156" t="str">
        <f t="shared" si="17"/>
        <v>N/A - Facility Does Not Report to TRI</v>
      </c>
      <c r="U168" s="136" t="str" cm="1">
        <f t="array" ref="U168">IF(COUNTIF('Raw TRI Data'!$J:$J,$E168)&gt;0,INDEX('Raw TRI Data'!$A:$A,MATCH(1,($E168='Raw TRI Data'!$J:$J)*(S168='Raw TRI Data'!$S:$S),0)), "N/A - Facility Does Not Report to TRI")</f>
        <v>N/A - Facility Does Not Report to TRI</v>
      </c>
      <c r="V168" s="156" t="str" cm="1">
        <f t="array" ref="V168">IF(COUNTIFS('Raw Annual DMR Data'!$L:$L,$F168,'Raw Annual DMR Data'!$U:$U,"&gt;0")&gt;0,MEDIAN(IF('Raw Annual DMR Data'!$L:$L=$F168,'Raw Annual DMR Data'!$U:$U,"")),"N/A - Period DMR Data Not Available")</f>
        <v>N/A - Period DMR Data Not Available</v>
      </c>
      <c r="W168" s="156" t="str">
        <f>IF(COUNTIFS('Raw Annual DMR Data'!$L:$L,$F168, 'Raw Annual DMR Data'!$U:$U, "&gt;0")&gt;0,_xlfn.MAXIFS('Raw Annual DMR Data'!$U:$U,'Raw Annual DMR Data'!$L:$L,$F168), "N/A - Period DMR Data Not Available")</f>
        <v>N/A - Period DMR Data Not Available</v>
      </c>
      <c r="X168" s="113" t="str" cm="1">
        <f t="array" ref="X168">+IF(COUNTIFS('Raw Annual DMR Data'!L:L,$F168, 'Raw Annual DMR Data'!U:U, "&gt;0")&gt;0,INDEX('Raw Annual DMR Data'!V:V,MATCH(1,($F168='Raw Annual DMR Data'!L:L)*($W168='Raw Annual DMR Data'!U:U),0)), "N/A - Period DMR Data Not Available")</f>
        <v>N/A - Period DMR Data Not Available</v>
      </c>
      <c r="Y168" s="113" t="str" cm="1">
        <f t="array" ref="Y168">IF(COUNTIFS('Raw Annual DMR Data'!L:L,$F168, 'Raw Annual DMR Data'!U:U, "&gt;0")&gt;0,INDEX('Raw Annual DMR Data'!B:B,MATCH(1,($F168='Raw Annual DMR Data'!L:L)*($W168='Raw Annual DMR Data'!U:U),0)), "N/A - Period DMR Data Not Available")</f>
        <v>N/A - Period DMR Data Not Available</v>
      </c>
      <c r="Z168" s="311" t="str" cm="1">
        <f t="array" ref="Z168">IF(COUNTIF('Raw Annual DMR Data'!K:K,$E168)&gt;0,"N/A - See DMRs",IF(SUMIFS('Raw TRI Data'!$Z:$Z,'Raw TRI Data'!$J:$J,$E168)&gt;0,MEDIAN(IF('Raw TRI Data'!$J:$J=$E168,'Raw TRI Data'!$Z:$Z)), "N/A - Facility Does Not Report to TRI, no surface water releases, or no Generic Factors available"))</f>
        <v>N/A - Facility Does Not Report to TRI, no surface water releases, or no Generic Factors available</v>
      </c>
      <c r="AA168" s="156" t="str">
        <f>IF(COUNTIF('Raw Annual DMR Data'!K:K,$E168)&gt;0,"N/A - See DMRs",IF(SUMIFS('Raw TRI Data'!$Z:$Z,'Raw TRI Data'!$J:$J,$E168)&gt;0,_xlfn.MAXIFS('Raw TRI Data'!$Z:$Z,'Raw TRI Data'!$J:$J,$E168), "N/A - Facility Does Not Report to TRI, no surface water releases, or no Generic Factors available"))</f>
        <v>N/A - Facility Does Not Report to TRI, no surface water releases, or no Generic Factors available</v>
      </c>
      <c r="AB168" s="113" t="str">
        <f t="shared" si="20"/>
        <v>N/A</v>
      </c>
      <c r="AC168" s="136" t="str" cm="1">
        <f t="array" ref="AC168">IF(COUNTIF('Raw Annual DMR Data'!K:K,$E168)&gt;0,"N/A - See DMRs",IF(SUMIFS('Raw TRI Data'!$Z:$Z,'Raw TRI Data'!$J:$J,$E168)&gt;0,INDEX('Raw TRI Data'!$A:$A,MATCH(1,($E168='Raw TRI Data'!$J:$J)*($AA168='Raw TRI Data'!$Z:$Z),0)), "N/A - Facility Does Not Report to TRI, no surface water releases, or no Generic Factors available"))</f>
        <v>N/A - Facility Does Not Report to TRI, no surface water releases, or no Generic Factors available</v>
      </c>
      <c r="AD168" s="96" t="str" cm="1">
        <f t="array" ref="AD168">IF(COUNTIFS('Raw Annual DMR Data'!L:L,$F168,'Raw Annual DMR Data'!W:W, "&gt;0")&gt;0,MEDIAN(IF('Raw Annual DMR Data'!K:K=$F168, 'Raw Annual DMR Data'!W:W)), "N/A - No Daily Max DMR Discharge Data")</f>
        <v>N/A - No Daily Max DMR Discharge Data</v>
      </c>
      <c r="AE168" s="96" t="str">
        <f>IF(COUNTIFS('Raw Annual DMR Data'!L:L,$F168,'Raw Annual DMR Data'!W:W, "&gt;0")&gt;0,_xlfn.MAXIFS('Raw Annual DMR Data'!W:W,'Raw Annual DMR Data'!L:L,$F168), "N/A - No Daily Max DMR Discharge Data")</f>
        <v>N/A - No Daily Max DMR Discharge Data</v>
      </c>
      <c r="AF168" s="60" t="str" cm="1">
        <f t="array" ref="AF168">IF(COUNTIFS('Raw Annual DMR Data'!L:L,$F168,'Raw Annual DMR Data'!W:W, "&gt;0")&gt;0,INDEX('Raw Annual DMR Data'!B:B,MATCH(1,($F168='Raw Annual DMR Data'!L:L)*($AE168='Raw Annual DMR Data'!W:W),0)), "N/A - No Daily Max DMR Discharge Data")</f>
        <v>N/A - No Daily Max DMR Discharge Data</v>
      </c>
    </row>
    <row r="169" spans="1:32" ht="45.75" thickBot="1" x14ac:dyDescent="0.3">
      <c r="A169" s="144" t="str">
        <f>VLOOKUP(F169,'Facility Summary'!J:K,2,FALSE)</f>
        <v>POTW</v>
      </c>
      <c r="B169" s="28" t="s">
        <v>1034</v>
      </c>
      <c r="C169" s="28" t="s">
        <v>1035</v>
      </c>
      <c r="D169" s="28" t="s">
        <v>374</v>
      </c>
      <c r="E169" s="28"/>
      <c r="F169" s="61">
        <v>110022287210</v>
      </c>
      <c r="G169" s="60" t="str">
        <f>VLOOKUP($F169, 'Raw Annual DMR Data'!$A:$Z, 24, FALSE)</f>
        <v>AZ0025178</v>
      </c>
      <c r="H169" s="60">
        <f>VLOOKUP($F169, 'Raw Annual DMR Data'!$A:$Z, 25, FALSE)</f>
        <v>0</v>
      </c>
      <c r="I169" s="74">
        <f>VLOOKUP($F169, 'Raw Annual DMR Data'!$A:$Z, 26, FALSE)</f>
        <v>15040005001144</v>
      </c>
      <c r="J169" s="74" t="s">
        <v>265</v>
      </c>
      <c r="K169" s="60">
        <f>VLOOKUP(A169, 'OES Summary'!$A:$B, 2, FALSE)</f>
        <v>365</v>
      </c>
      <c r="L169" s="304" cm="1">
        <f t="array" ref="L169">IF(COUNTIF('Raw Annual DMR Data'!$L:$L,$F169)&gt;0,MEDIAN(IF('Raw Annual DMR Data'!$L:$L=F169,'Raw Annual DMR Data'!$S:$S)),"N/A - Facility Does Not Report DMRs")</f>
        <v>12.212681</v>
      </c>
      <c r="M169" s="156">
        <f t="shared" si="18"/>
        <v>3.34594E-2</v>
      </c>
      <c r="N169" s="156">
        <f>IF(COUNTIF('Raw Annual DMR Data'!$L:$L,$F169)&gt;0,_xlfn.MAXIFS('Raw Annual DMR Data'!$S:$S,'Raw Annual DMR Data'!$L:$L,$F169), "N/A - Facility Does Not Report DMRs")</f>
        <v>12.682399500000001</v>
      </c>
      <c r="O169" s="156">
        <f t="shared" si="19"/>
        <v>3.4746300000000001E-2</v>
      </c>
      <c r="P169" s="113" cm="1">
        <f t="array" ref="P169">IF(COUNTIF('Raw Annual DMR Data'!$L:$L,$F169)&gt;0,INDEX('Raw Annual DMR Data'!$B:$B,MATCH(1,($F169='Raw Annual DMR Data'!$L:$L)*($N169='Raw Annual DMR Data'!$S:$S),0)), "N/A - Facility Does Not Report DMRs")</f>
        <v>2016</v>
      </c>
      <c r="Q169" s="304" t="str" cm="1">
        <f t="array" ref="Q169">IF(COUNTIF('Raw TRI Data'!$J:$J,$E169)&gt;0,MEDIAN(IF('Raw TRI Data'!$J:$J=E169,'Raw TRI Data'!$S:$S)), "N/A - Facility Does Not Report to TRI")</f>
        <v>N/A - Facility Does Not Report to TRI</v>
      </c>
      <c r="R169" s="156" t="str">
        <f t="shared" si="16"/>
        <v>N/A - Facility Does Not Report to TRI</v>
      </c>
      <c r="S169" s="156" t="str">
        <f>IF(COUNTIF('Raw TRI Data'!$J:$J,$E169)&gt;0,_xlfn.MAXIFS('Raw TRI Data'!$S:$S,'Raw TRI Data'!$J:$J,$E169), "N/A - Facility Does Not Report to TRI")</f>
        <v>N/A - Facility Does Not Report to TRI</v>
      </c>
      <c r="T169" s="156" t="str">
        <f t="shared" si="17"/>
        <v>N/A - Facility Does Not Report to TRI</v>
      </c>
      <c r="U169" s="136" t="str" cm="1">
        <f t="array" ref="U169">IF(COUNTIF('Raw TRI Data'!$J:$J,$E169)&gt;0,INDEX('Raw TRI Data'!$A:$A,MATCH(1,($E169='Raw TRI Data'!$J:$J)*(S169='Raw TRI Data'!$S:$S),0)), "N/A - Facility Does Not Report to TRI")</f>
        <v>N/A - Facility Does Not Report to TRI</v>
      </c>
      <c r="V169" s="156" t="str" cm="1">
        <f t="array" ref="V169">IF(COUNTIFS('Raw Annual DMR Data'!$L:$L,$F169,'Raw Annual DMR Data'!$U:$U,"&gt;0")&gt;0,MEDIAN(IF('Raw Annual DMR Data'!$L:$L=$F169,'Raw Annual DMR Data'!$U:$U,"")),"N/A - Period DMR Data Not Available")</f>
        <v>N/A - Period DMR Data Not Available</v>
      </c>
      <c r="W169" s="156" t="str">
        <f>IF(COUNTIFS('Raw Annual DMR Data'!$L:$L,$F169, 'Raw Annual DMR Data'!$U:$U, "&gt;0")&gt;0,_xlfn.MAXIFS('Raw Annual DMR Data'!$U:$U,'Raw Annual DMR Data'!$L:$L,$F169), "N/A - Period DMR Data Not Available")</f>
        <v>N/A - Period DMR Data Not Available</v>
      </c>
      <c r="X169" s="113" t="str" cm="1">
        <f t="array" ref="X169">+IF(COUNTIFS('Raw Annual DMR Data'!L:L,$F169, 'Raw Annual DMR Data'!U:U, "&gt;0")&gt;0,INDEX('Raw Annual DMR Data'!V:V,MATCH(1,($F169='Raw Annual DMR Data'!L:L)*($W169='Raw Annual DMR Data'!U:U),0)), "N/A - Period DMR Data Not Available")</f>
        <v>N/A - Period DMR Data Not Available</v>
      </c>
      <c r="Y169" s="113" t="str" cm="1">
        <f t="array" ref="Y169">IF(COUNTIFS('Raw Annual DMR Data'!L:L,$F169, 'Raw Annual DMR Data'!U:U, "&gt;0")&gt;0,INDEX('Raw Annual DMR Data'!B:B,MATCH(1,($F169='Raw Annual DMR Data'!L:L)*($W169='Raw Annual DMR Data'!U:U),0)), "N/A - Period DMR Data Not Available")</f>
        <v>N/A - Period DMR Data Not Available</v>
      </c>
      <c r="Z169" s="311" t="str" cm="1">
        <f t="array" ref="Z169">IF(COUNTIF('Raw Annual DMR Data'!K:K,$E169)&gt;0,"N/A - See DMRs",IF(SUMIFS('Raw TRI Data'!$Z:$Z,'Raw TRI Data'!$J:$J,$E169)&gt;0,MEDIAN(IF('Raw TRI Data'!$J:$J=$E169,'Raw TRI Data'!$Z:$Z)), "N/A - Facility Does Not Report to TRI, no surface water releases, or no Generic Factors available"))</f>
        <v>N/A - Facility Does Not Report to TRI, no surface water releases, or no Generic Factors available</v>
      </c>
      <c r="AA169" s="156" t="str">
        <f>IF(COUNTIF('Raw Annual DMR Data'!K:K,$E169)&gt;0,"N/A - See DMRs",IF(SUMIFS('Raw TRI Data'!$Z:$Z,'Raw TRI Data'!$J:$J,$E169)&gt;0,_xlfn.MAXIFS('Raw TRI Data'!$Z:$Z,'Raw TRI Data'!$J:$J,$E169), "N/A - Facility Does Not Report to TRI, no surface water releases, or no Generic Factors available"))</f>
        <v>N/A - Facility Does Not Report to TRI, no surface water releases, or no Generic Factors available</v>
      </c>
      <c r="AB169" s="113" t="str">
        <f t="shared" si="20"/>
        <v>N/A</v>
      </c>
      <c r="AC169" s="136" t="str" cm="1">
        <f t="array" ref="AC169">IF(COUNTIF('Raw Annual DMR Data'!K:K,$E169)&gt;0,"N/A - See DMRs",IF(SUMIFS('Raw TRI Data'!$Z:$Z,'Raw TRI Data'!$J:$J,$E169)&gt;0,INDEX('Raw TRI Data'!$A:$A,MATCH(1,($E169='Raw TRI Data'!$J:$J)*($AA169='Raw TRI Data'!$Z:$Z),0)), "N/A - Facility Does Not Report to TRI, no surface water releases, or no Generic Factors available"))</f>
        <v>N/A - Facility Does Not Report to TRI, no surface water releases, or no Generic Factors available</v>
      </c>
      <c r="AD169" s="96" t="str" cm="1">
        <f t="array" ref="AD169">IF(COUNTIFS('Raw Annual DMR Data'!L:L,$F169,'Raw Annual DMR Data'!W:W, "&gt;0")&gt;0,MEDIAN(IF('Raw Annual DMR Data'!K:K=$F169, 'Raw Annual DMR Data'!W:W)), "N/A - No Daily Max DMR Discharge Data")</f>
        <v>N/A - No Daily Max DMR Discharge Data</v>
      </c>
      <c r="AE169" s="96" t="str">
        <f>IF(COUNTIFS('Raw Annual DMR Data'!L:L,$F169,'Raw Annual DMR Data'!W:W, "&gt;0")&gt;0,_xlfn.MAXIFS('Raw Annual DMR Data'!W:W,'Raw Annual DMR Data'!L:L,$F169), "N/A - No Daily Max DMR Discharge Data")</f>
        <v>N/A - No Daily Max DMR Discharge Data</v>
      </c>
      <c r="AF169" s="60" t="str" cm="1">
        <f t="array" ref="AF169">IF(COUNTIFS('Raw Annual DMR Data'!L:L,$F169,'Raw Annual DMR Data'!W:W, "&gt;0")&gt;0,INDEX('Raw Annual DMR Data'!B:B,MATCH(1,($F169='Raw Annual DMR Data'!L:L)*($AE169='Raw Annual DMR Data'!W:W),0)), "N/A - No Daily Max DMR Discharge Data")</f>
        <v>N/A - No Daily Max DMR Discharge Data</v>
      </c>
    </row>
    <row r="170" spans="1:32" ht="45.75" thickBot="1" x14ac:dyDescent="0.3">
      <c r="A170" s="144" t="str">
        <f>VLOOKUP(F170,'Facility Summary'!J:K,2,FALSE)</f>
        <v>Waste Handling, Disposal and Treatment (Landfill)</v>
      </c>
      <c r="B170" s="28" t="s">
        <v>1036</v>
      </c>
      <c r="C170" s="28" t="s">
        <v>446</v>
      </c>
      <c r="D170" s="28" t="s">
        <v>303</v>
      </c>
      <c r="E170" s="28"/>
      <c r="F170" s="61">
        <v>110000613685</v>
      </c>
      <c r="G170" s="60" t="str">
        <f>VLOOKUP($F170, 'Raw Annual DMR Data'!$A:$Z, 24, FALSE)</f>
        <v>LA0058882</v>
      </c>
      <c r="H170" s="60">
        <f>VLOOKUP($F170, 'Raw Annual DMR Data'!$A:$Z, 25, FALSE)</f>
        <v>317</v>
      </c>
      <c r="I170" s="74">
        <f>VLOOKUP($F170, 'Raw Annual DMR Data'!$A:$Z, 26, FALSE)</f>
        <v>8080205000075</v>
      </c>
      <c r="J170" s="74" t="s">
        <v>265</v>
      </c>
      <c r="K170" s="60">
        <f>VLOOKUP(A170, 'OES Summary'!$A:$B, 2, FALSE)</f>
        <v>250</v>
      </c>
      <c r="L170" s="304" cm="1">
        <f t="array" ref="L170">IF(COUNTIF('Raw Annual DMR Data'!$L:$L,$F170)&gt;0,MEDIAN(IF('Raw Annual DMR Data'!$L:$L=F170,'Raw Annual DMR Data'!$S:$S)),"N/A - Facility Does Not Report DMRs")</f>
        <v>0.37646556250000002</v>
      </c>
      <c r="M170" s="156">
        <f t="shared" si="18"/>
        <v>1.50586225E-3</v>
      </c>
      <c r="N170" s="156">
        <f>IF(COUNTIF('Raw Annual DMR Data'!$L:$L,$F170)&gt;0,_xlfn.MAXIFS('Raw Annual DMR Data'!$S:$S,'Raw Annual DMR Data'!$L:$L,$F170), "N/A - Facility Does Not Report DMRs")</f>
        <v>1.4540550624999999</v>
      </c>
      <c r="O170" s="156">
        <f t="shared" si="19"/>
        <v>5.8162202499999994E-3</v>
      </c>
      <c r="P170" s="113" cm="1">
        <f t="array" ref="P170">IF(COUNTIF('Raw Annual DMR Data'!$L:$L,$F170)&gt;0,INDEX('Raw Annual DMR Data'!$B:$B,MATCH(1,($F170='Raw Annual DMR Data'!$L:$L)*($N170='Raw Annual DMR Data'!$S:$S),0)), "N/A - Facility Does Not Report DMRs")</f>
        <v>2016</v>
      </c>
      <c r="Q170" s="304" t="str" cm="1">
        <f t="array" ref="Q170">IF(COUNTIF('Raw TRI Data'!$J:$J,$E170)&gt;0,MEDIAN(IF('Raw TRI Data'!$J:$J=E170,'Raw TRI Data'!$S:$S)), "N/A - Facility Does Not Report to TRI")</f>
        <v>N/A - Facility Does Not Report to TRI</v>
      </c>
      <c r="R170" s="156" t="str">
        <f t="shared" si="16"/>
        <v>N/A - Facility Does Not Report to TRI</v>
      </c>
      <c r="S170" s="156" t="str">
        <f>IF(COUNTIF('Raw TRI Data'!$J:$J,$E170)&gt;0,_xlfn.MAXIFS('Raw TRI Data'!$S:$S,'Raw TRI Data'!$J:$J,$E170), "N/A - Facility Does Not Report to TRI")</f>
        <v>N/A - Facility Does Not Report to TRI</v>
      </c>
      <c r="T170" s="156" t="str">
        <f t="shared" si="17"/>
        <v>N/A - Facility Does Not Report to TRI</v>
      </c>
      <c r="U170" s="136" t="str" cm="1">
        <f t="array" ref="U170">IF(COUNTIF('Raw TRI Data'!$J:$J,$E170)&gt;0,INDEX('Raw TRI Data'!$A:$A,MATCH(1,($E170='Raw TRI Data'!$J:$J)*(S170='Raw TRI Data'!$S:$S),0)), "N/A - Facility Does Not Report to TRI")</f>
        <v>N/A - Facility Does Not Report to TRI</v>
      </c>
      <c r="V170" s="156" t="str" cm="1">
        <f t="array" ref="V170">IF(COUNTIFS('Raw Annual DMR Data'!$L:$L,$F170,'Raw Annual DMR Data'!$U:$U,"&gt;0")&gt;0,MEDIAN(IF('Raw Annual DMR Data'!$L:$L=$F170,'Raw Annual DMR Data'!$U:$U,"")),"N/A - Period DMR Data Not Available")</f>
        <v>N/A - Period DMR Data Not Available</v>
      </c>
      <c r="W170" s="156" t="str">
        <f>IF(COUNTIFS('Raw Annual DMR Data'!$L:$L,$F170, 'Raw Annual DMR Data'!$U:$U, "&gt;0")&gt;0,_xlfn.MAXIFS('Raw Annual DMR Data'!$U:$U,'Raw Annual DMR Data'!$L:$L,$F170), "N/A - Period DMR Data Not Available")</f>
        <v>N/A - Period DMR Data Not Available</v>
      </c>
      <c r="X170" s="113" t="str" cm="1">
        <f t="array" ref="X170">+IF(COUNTIFS('Raw Annual DMR Data'!L:L,$F170, 'Raw Annual DMR Data'!U:U, "&gt;0")&gt;0,INDEX('Raw Annual DMR Data'!V:V,MATCH(1,($F170='Raw Annual DMR Data'!L:L)*($W170='Raw Annual DMR Data'!U:U),0)), "N/A - Period DMR Data Not Available")</f>
        <v>N/A - Period DMR Data Not Available</v>
      </c>
      <c r="Y170" s="113" t="str" cm="1">
        <f t="array" ref="Y170">IF(COUNTIFS('Raw Annual DMR Data'!L:L,$F170, 'Raw Annual DMR Data'!U:U, "&gt;0")&gt;0,INDEX('Raw Annual DMR Data'!B:B,MATCH(1,($F170='Raw Annual DMR Data'!L:L)*($W170='Raw Annual DMR Data'!U:U),0)), "N/A - Period DMR Data Not Available")</f>
        <v>N/A - Period DMR Data Not Available</v>
      </c>
      <c r="Z170" s="311" t="str" cm="1">
        <f t="array" ref="Z170">IF(COUNTIF('Raw Annual DMR Data'!K:K,$E170)&gt;0,"N/A - See DMRs",IF(SUMIFS('Raw TRI Data'!$Z:$Z,'Raw TRI Data'!$J:$J,$E170)&gt;0,MEDIAN(IF('Raw TRI Data'!$J:$J=$E170,'Raw TRI Data'!$Z:$Z)), "N/A - Facility Does Not Report to TRI, no surface water releases, or no Generic Factors available"))</f>
        <v>N/A - Facility Does Not Report to TRI, no surface water releases, or no Generic Factors available</v>
      </c>
      <c r="AA170" s="156" t="str">
        <f>IF(COUNTIF('Raw Annual DMR Data'!K:K,$E170)&gt;0,"N/A - See DMRs",IF(SUMIFS('Raw TRI Data'!$Z:$Z,'Raw TRI Data'!$J:$J,$E170)&gt;0,_xlfn.MAXIFS('Raw TRI Data'!$Z:$Z,'Raw TRI Data'!$J:$J,$E170), "N/A - Facility Does Not Report to TRI, no surface water releases, or no Generic Factors available"))</f>
        <v>N/A - Facility Does Not Report to TRI, no surface water releases, or no Generic Factors available</v>
      </c>
      <c r="AB170" s="113" t="str">
        <f t="shared" si="20"/>
        <v>N/A</v>
      </c>
      <c r="AC170" s="136" t="str" cm="1">
        <f t="array" ref="AC170">IF(COUNTIF('Raw Annual DMR Data'!K:K,$E170)&gt;0,"N/A - See DMRs",IF(SUMIFS('Raw TRI Data'!$Z:$Z,'Raw TRI Data'!$J:$J,$E170)&gt;0,INDEX('Raw TRI Data'!$A:$A,MATCH(1,($E170='Raw TRI Data'!$J:$J)*($AA170='Raw TRI Data'!$Z:$Z),0)), "N/A - Facility Does Not Report to TRI, no surface water releases, or no Generic Factors available"))</f>
        <v>N/A - Facility Does Not Report to TRI, no surface water releases, or no Generic Factors available</v>
      </c>
      <c r="AD170" s="96" t="str" cm="1">
        <f t="array" ref="AD170">IF(COUNTIFS('Raw Annual DMR Data'!L:L,$F170,'Raw Annual DMR Data'!W:W, "&gt;0")&gt;0,MEDIAN(IF('Raw Annual DMR Data'!K:K=$F170, 'Raw Annual DMR Data'!W:W)), "N/A - No Daily Max DMR Discharge Data")</f>
        <v>N/A - No Daily Max DMR Discharge Data</v>
      </c>
      <c r="AE170" s="96" t="str">
        <f>IF(COUNTIFS('Raw Annual DMR Data'!L:L,$F170,'Raw Annual DMR Data'!W:W, "&gt;0")&gt;0,_xlfn.MAXIFS('Raw Annual DMR Data'!W:W,'Raw Annual DMR Data'!L:L,$F170), "N/A - No Daily Max DMR Discharge Data")</f>
        <v>N/A - No Daily Max DMR Discharge Data</v>
      </c>
      <c r="AF170" s="60" t="str" cm="1">
        <f t="array" ref="AF170">IF(COUNTIFS('Raw Annual DMR Data'!L:L,$F170,'Raw Annual DMR Data'!W:W, "&gt;0")&gt;0,INDEX('Raw Annual DMR Data'!B:B,MATCH(1,($F170='Raw Annual DMR Data'!L:L)*($AE170='Raw Annual DMR Data'!W:W),0)), "N/A - No Daily Max DMR Discharge Data")</f>
        <v>N/A - No Daily Max DMR Discharge Data</v>
      </c>
    </row>
    <row r="171" spans="1:32" ht="45.75" thickBot="1" x14ac:dyDescent="0.3">
      <c r="A171" s="144" t="str">
        <f>VLOOKUP(F171,'Facility Summary'!J:K,2,FALSE)</f>
        <v>POTW</v>
      </c>
      <c r="B171" s="28" t="s">
        <v>1037</v>
      </c>
      <c r="C171" s="28" t="s">
        <v>987</v>
      </c>
      <c r="D171" s="28" t="s">
        <v>324</v>
      </c>
      <c r="E171" s="28"/>
      <c r="F171" s="61">
        <v>110043485421</v>
      </c>
      <c r="G171" s="60" t="str">
        <f>VLOOKUP($F171, 'Raw Annual DMR Data'!$A:$Z, 24, FALSE)</f>
        <v>KY0098540</v>
      </c>
      <c r="H171" s="60" t="str">
        <f>VLOOKUP($F171, 'Raw Annual DMR Data'!$A:$Z, 25, FALSE)</f>
        <v>CEDAR CRK</v>
      </c>
      <c r="I171" s="74">
        <f>VLOOKUP($F171, 'Raw Annual DMR Data'!$A:$Z, 26, FALSE)</f>
        <v>5140102000566</v>
      </c>
      <c r="J171" s="74" t="s">
        <v>265</v>
      </c>
      <c r="K171" s="60">
        <f>VLOOKUP(A171, 'OES Summary'!$A:$B, 2, FALSE)</f>
        <v>365</v>
      </c>
      <c r="L171" s="304" cm="1">
        <f t="array" ref="L171">IF(COUNTIF('Raw Annual DMR Data'!$L:$L,$F171)&gt;0,MEDIAN(IF('Raw Annual DMR Data'!$L:$L=F171,'Raw Annual DMR Data'!$S:$S)),"N/A - Facility Does Not Report DMRs")</f>
        <v>22.506769156250002</v>
      </c>
      <c r="M171" s="156">
        <f t="shared" si="18"/>
        <v>6.1662381250000002E-2</v>
      </c>
      <c r="N171" s="156">
        <f>IF(COUNTIF('Raw Annual DMR Data'!$L:$L,$F171)&gt;0,_xlfn.MAXIFS('Raw Annual DMR Data'!$S:$S,'Raw Annual DMR Data'!$L:$L,$F171), "N/A - Facility Does Not Report DMRs")</f>
        <v>27.7651986875</v>
      </c>
      <c r="O171" s="156">
        <f t="shared" si="19"/>
        <v>7.6069037500000006E-2</v>
      </c>
      <c r="P171" s="113" cm="1">
        <f t="array" ref="P171">IF(COUNTIF('Raw Annual DMR Data'!$L:$L,$F171)&gt;0,INDEX('Raw Annual DMR Data'!$B:$B,MATCH(1,($F171='Raw Annual DMR Data'!$L:$L)*($N171='Raw Annual DMR Data'!$S:$S),0)), "N/A - Facility Does Not Report DMRs")</f>
        <v>2019</v>
      </c>
      <c r="Q171" s="304" t="str" cm="1">
        <f t="array" ref="Q171">IF(COUNTIF('Raw TRI Data'!$J:$J,$E171)&gt;0,MEDIAN(IF('Raw TRI Data'!$J:$J=E171,'Raw TRI Data'!$S:$S)), "N/A - Facility Does Not Report to TRI")</f>
        <v>N/A - Facility Does Not Report to TRI</v>
      </c>
      <c r="R171" s="156" t="str">
        <f t="shared" si="16"/>
        <v>N/A - Facility Does Not Report to TRI</v>
      </c>
      <c r="S171" s="156" t="str">
        <f>IF(COUNTIF('Raw TRI Data'!$J:$J,$E171)&gt;0,_xlfn.MAXIFS('Raw TRI Data'!$S:$S,'Raw TRI Data'!$J:$J,$E171), "N/A - Facility Does Not Report to TRI")</f>
        <v>N/A - Facility Does Not Report to TRI</v>
      </c>
      <c r="T171" s="156" t="str">
        <f t="shared" si="17"/>
        <v>N/A - Facility Does Not Report to TRI</v>
      </c>
      <c r="U171" s="136" t="str" cm="1">
        <f t="array" ref="U171">IF(COUNTIF('Raw TRI Data'!$J:$J,$E171)&gt;0,INDEX('Raw TRI Data'!$A:$A,MATCH(1,($E171='Raw TRI Data'!$J:$J)*(S171='Raw TRI Data'!$S:$S),0)), "N/A - Facility Does Not Report to TRI")</f>
        <v>N/A - Facility Does Not Report to TRI</v>
      </c>
      <c r="V171" s="156" t="str" cm="1">
        <f t="array" ref="V171">IF(COUNTIFS('Raw Annual DMR Data'!$L:$L,$F171,'Raw Annual DMR Data'!$U:$U,"&gt;0")&gt;0,MEDIAN(IF('Raw Annual DMR Data'!$L:$L=$F171,'Raw Annual DMR Data'!$U:$U,"")),"N/A - Period DMR Data Not Available")</f>
        <v>N/A - Period DMR Data Not Available</v>
      </c>
      <c r="W171" s="156" t="str">
        <f>IF(COUNTIFS('Raw Annual DMR Data'!$L:$L,$F171, 'Raw Annual DMR Data'!$U:$U, "&gt;0")&gt;0,_xlfn.MAXIFS('Raw Annual DMR Data'!$U:$U,'Raw Annual DMR Data'!$L:$L,$F171), "N/A - Period DMR Data Not Available")</f>
        <v>N/A - Period DMR Data Not Available</v>
      </c>
      <c r="X171" s="113" t="str" cm="1">
        <f t="array" ref="X171">+IF(COUNTIFS('Raw Annual DMR Data'!L:L,$F171, 'Raw Annual DMR Data'!U:U, "&gt;0")&gt;0,INDEX('Raw Annual DMR Data'!V:V,MATCH(1,($F171='Raw Annual DMR Data'!L:L)*($W171='Raw Annual DMR Data'!U:U),0)), "N/A - Period DMR Data Not Available")</f>
        <v>N/A - Period DMR Data Not Available</v>
      </c>
      <c r="Y171" s="113" t="str" cm="1">
        <f t="array" ref="Y171">IF(COUNTIFS('Raw Annual DMR Data'!L:L,$F171, 'Raw Annual DMR Data'!U:U, "&gt;0")&gt;0,INDEX('Raw Annual DMR Data'!B:B,MATCH(1,($F171='Raw Annual DMR Data'!L:L)*($W171='Raw Annual DMR Data'!U:U),0)), "N/A - Period DMR Data Not Available")</f>
        <v>N/A - Period DMR Data Not Available</v>
      </c>
      <c r="Z171" s="311" t="str" cm="1">
        <f t="array" ref="Z171">IF(COUNTIF('Raw Annual DMR Data'!K:K,$E171)&gt;0,"N/A - See DMRs",IF(SUMIFS('Raw TRI Data'!$Z:$Z,'Raw TRI Data'!$J:$J,$E171)&gt;0,MEDIAN(IF('Raw TRI Data'!$J:$J=$E171,'Raw TRI Data'!$Z:$Z)), "N/A - Facility Does Not Report to TRI, no surface water releases, or no Generic Factors available"))</f>
        <v>N/A - Facility Does Not Report to TRI, no surface water releases, or no Generic Factors available</v>
      </c>
      <c r="AA171" s="156" t="str">
        <f>IF(COUNTIF('Raw Annual DMR Data'!K:K,$E171)&gt;0,"N/A - See DMRs",IF(SUMIFS('Raw TRI Data'!$Z:$Z,'Raw TRI Data'!$J:$J,$E171)&gt;0,_xlfn.MAXIFS('Raw TRI Data'!$Z:$Z,'Raw TRI Data'!$J:$J,$E171), "N/A - Facility Does Not Report to TRI, no surface water releases, or no Generic Factors available"))</f>
        <v>N/A - Facility Does Not Report to TRI, no surface water releases, or no Generic Factors available</v>
      </c>
      <c r="AB171" s="113" t="str">
        <f t="shared" si="20"/>
        <v>N/A</v>
      </c>
      <c r="AC171" s="136" t="str" cm="1">
        <f t="array" ref="AC171">IF(COUNTIF('Raw Annual DMR Data'!K:K,$E171)&gt;0,"N/A - See DMRs",IF(SUMIFS('Raw TRI Data'!$Z:$Z,'Raw TRI Data'!$J:$J,$E171)&gt;0,INDEX('Raw TRI Data'!$A:$A,MATCH(1,($E171='Raw TRI Data'!$J:$J)*($AA171='Raw TRI Data'!$Z:$Z),0)), "N/A - Facility Does Not Report to TRI, no surface water releases, or no Generic Factors available"))</f>
        <v>N/A - Facility Does Not Report to TRI, no surface water releases, or no Generic Factors available</v>
      </c>
      <c r="AD171" s="96" t="str" cm="1">
        <f t="array" ref="AD171">IF(COUNTIFS('Raw Annual DMR Data'!L:L,$F171,'Raw Annual DMR Data'!W:W, "&gt;0")&gt;0,MEDIAN(IF('Raw Annual DMR Data'!K:K=$F171, 'Raw Annual DMR Data'!W:W)), "N/A - No Daily Max DMR Discharge Data")</f>
        <v>N/A - No Daily Max DMR Discharge Data</v>
      </c>
      <c r="AE171" s="96" t="str">
        <f>IF(COUNTIFS('Raw Annual DMR Data'!L:L,$F171,'Raw Annual DMR Data'!W:W, "&gt;0")&gt;0,_xlfn.MAXIFS('Raw Annual DMR Data'!W:W,'Raw Annual DMR Data'!L:L,$F171), "N/A - No Daily Max DMR Discharge Data")</f>
        <v>N/A - No Daily Max DMR Discharge Data</v>
      </c>
      <c r="AF171" s="60" t="str" cm="1">
        <f t="array" ref="AF171">IF(COUNTIFS('Raw Annual DMR Data'!L:L,$F171,'Raw Annual DMR Data'!W:W, "&gt;0")&gt;0,INDEX('Raw Annual DMR Data'!B:B,MATCH(1,($F171='Raw Annual DMR Data'!L:L)*($AE171='Raw Annual DMR Data'!W:W),0)), "N/A - No Daily Max DMR Discharge Data")</f>
        <v>N/A - No Daily Max DMR Discharge Data</v>
      </c>
    </row>
    <row r="172" spans="1:32" ht="45.75" thickBot="1" x14ac:dyDescent="0.3">
      <c r="A172" s="144" t="str">
        <f>VLOOKUP(F172,'Facility Summary'!J:K,2,FALSE)</f>
        <v>POTW</v>
      </c>
      <c r="B172" s="28" t="s">
        <v>1038</v>
      </c>
      <c r="C172" s="28" t="s">
        <v>1039</v>
      </c>
      <c r="D172" s="28" t="s">
        <v>324</v>
      </c>
      <c r="E172" s="28"/>
      <c r="F172" s="61">
        <v>110064265496</v>
      </c>
      <c r="G172" s="60" t="str">
        <f>VLOOKUP($F172, 'Raw Annual DMR Data'!$A:$Z, 24, FALSE)</f>
        <v>KY0023540</v>
      </c>
      <c r="H172" s="60" t="str">
        <f>VLOOKUP($F172, 'Raw Annual DMR Data'!$A:$Z, 25, FALSE)</f>
        <v>GREEN RIVER</v>
      </c>
      <c r="I172" s="74">
        <f>VLOOKUP($F172, 'Raw Annual DMR Data'!$A:$Z, 26, FALSE)</f>
        <v>5110003001454</v>
      </c>
      <c r="J172" s="74" t="s">
        <v>265</v>
      </c>
      <c r="K172" s="60">
        <f>VLOOKUP(A172, 'OES Summary'!$A:$B, 2, FALSE)</f>
        <v>365</v>
      </c>
      <c r="L172" s="304" cm="1">
        <f t="array" ref="L172">IF(COUNTIF('Raw Annual DMR Data'!$L:$L,$F172)&gt;0,MEDIAN(IF('Raw Annual DMR Data'!$L:$L=F172,'Raw Annual DMR Data'!$S:$S)),"N/A - Facility Does Not Report DMRs")</f>
        <v>2.8856603437499997</v>
      </c>
      <c r="M172" s="156">
        <f t="shared" si="18"/>
        <v>7.9059187499999992E-3</v>
      </c>
      <c r="N172" s="156">
        <f>IF(COUNTIF('Raw Annual DMR Data'!$L:$L,$F172)&gt;0,_xlfn.MAXIFS('Raw Annual DMR Data'!$S:$S,'Raw Annual DMR Data'!$L:$L,$F172), "N/A - Facility Does Not Report DMRs")</f>
        <v>5.6711601250000001</v>
      </c>
      <c r="O172" s="156">
        <f t="shared" si="19"/>
        <v>1.5537425000000001E-2</v>
      </c>
      <c r="P172" s="113" cm="1">
        <f t="array" ref="P172">IF(COUNTIF('Raw Annual DMR Data'!$L:$L,$F172)&gt;0,INDEX('Raw Annual DMR Data'!$B:$B,MATCH(1,($F172='Raw Annual DMR Data'!$L:$L)*($N172='Raw Annual DMR Data'!$S:$S),0)), "N/A - Facility Does Not Report DMRs")</f>
        <v>2019</v>
      </c>
      <c r="Q172" s="304" t="str" cm="1">
        <f t="array" ref="Q172">IF(COUNTIF('Raw TRI Data'!$J:$J,$E172)&gt;0,MEDIAN(IF('Raw TRI Data'!$J:$J=E172,'Raw TRI Data'!$S:$S)), "N/A - Facility Does Not Report to TRI")</f>
        <v>N/A - Facility Does Not Report to TRI</v>
      </c>
      <c r="R172" s="156" t="str">
        <f t="shared" si="16"/>
        <v>N/A - Facility Does Not Report to TRI</v>
      </c>
      <c r="S172" s="156" t="str">
        <f>IF(COUNTIF('Raw TRI Data'!$J:$J,$E172)&gt;0,_xlfn.MAXIFS('Raw TRI Data'!$S:$S,'Raw TRI Data'!$J:$J,$E172), "N/A - Facility Does Not Report to TRI")</f>
        <v>N/A - Facility Does Not Report to TRI</v>
      </c>
      <c r="T172" s="156" t="str">
        <f t="shared" si="17"/>
        <v>N/A - Facility Does Not Report to TRI</v>
      </c>
      <c r="U172" s="136" t="str" cm="1">
        <f t="array" ref="U172">IF(COUNTIF('Raw TRI Data'!$J:$J,$E172)&gt;0,INDEX('Raw TRI Data'!$A:$A,MATCH(1,($E172='Raw TRI Data'!$J:$J)*(S172='Raw TRI Data'!$S:$S),0)), "N/A - Facility Does Not Report to TRI")</f>
        <v>N/A - Facility Does Not Report to TRI</v>
      </c>
      <c r="V172" s="156" t="str" cm="1">
        <f t="array" ref="V172">IF(COUNTIFS('Raw Annual DMR Data'!$L:$L,$F172,'Raw Annual DMR Data'!$U:$U,"&gt;0")&gt;0,MEDIAN(IF('Raw Annual DMR Data'!$L:$L=$F172,'Raw Annual DMR Data'!$U:$U,"")),"N/A - Period DMR Data Not Available")</f>
        <v>N/A - Period DMR Data Not Available</v>
      </c>
      <c r="W172" s="156" t="str">
        <f>IF(COUNTIFS('Raw Annual DMR Data'!$L:$L,$F172, 'Raw Annual DMR Data'!$U:$U, "&gt;0")&gt;0,_xlfn.MAXIFS('Raw Annual DMR Data'!$U:$U,'Raw Annual DMR Data'!$L:$L,$F172), "N/A - Period DMR Data Not Available")</f>
        <v>N/A - Period DMR Data Not Available</v>
      </c>
      <c r="X172" s="113" t="str" cm="1">
        <f t="array" ref="X172">+IF(COUNTIFS('Raw Annual DMR Data'!L:L,$F172, 'Raw Annual DMR Data'!U:U, "&gt;0")&gt;0,INDEX('Raw Annual DMR Data'!V:V,MATCH(1,($F172='Raw Annual DMR Data'!L:L)*($W172='Raw Annual DMR Data'!U:U),0)), "N/A - Period DMR Data Not Available")</f>
        <v>N/A - Period DMR Data Not Available</v>
      </c>
      <c r="Y172" s="113" t="str" cm="1">
        <f t="array" ref="Y172">IF(COUNTIFS('Raw Annual DMR Data'!L:L,$F172, 'Raw Annual DMR Data'!U:U, "&gt;0")&gt;0,INDEX('Raw Annual DMR Data'!B:B,MATCH(1,($F172='Raw Annual DMR Data'!L:L)*($W172='Raw Annual DMR Data'!U:U),0)), "N/A - Period DMR Data Not Available")</f>
        <v>N/A - Period DMR Data Not Available</v>
      </c>
      <c r="Z172" s="311" t="str" cm="1">
        <f t="array" ref="Z172">IF(COUNTIF('Raw Annual DMR Data'!K:K,$E172)&gt;0,"N/A - See DMRs",IF(SUMIFS('Raw TRI Data'!$Z:$Z,'Raw TRI Data'!$J:$J,$E172)&gt;0,MEDIAN(IF('Raw TRI Data'!$J:$J=$E172,'Raw TRI Data'!$Z:$Z)), "N/A - Facility Does Not Report to TRI, no surface water releases, or no Generic Factors available"))</f>
        <v>N/A - Facility Does Not Report to TRI, no surface water releases, or no Generic Factors available</v>
      </c>
      <c r="AA172" s="156" t="str">
        <f>IF(COUNTIF('Raw Annual DMR Data'!K:K,$E172)&gt;0,"N/A - See DMRs",IF(SUMIFS('Raw TRI Data'!$Z:$Z,'Raw TRI Data'!$J:$J,$E172)&gt;0,_xlfn.MAXIFS('Raw TRI Data'!$Z:$Z,'Raw TRI Data'!$J:$J,$E172), "N/A - Facility Does Not Report to TRI, no surface water releases, or no Generic Factors available"))</f>
        <v>N/A - Facility Does Not Report to TRI, no surface water releases, or no Generic Factors available</v>
      </c>
      <c r="AB172" s="113" t="str">
        <f t="shared" si="20"/>
        <v>N/A</v>
      </c>
      <c r="AC172" s="136" t="str" cm="1">
        <f t="array" ref="AC172">IF(COUNTIF('Raw Annual DMR Data'!K:K,$E172)&gt;0,"N/A - See DMRs",IF(SUMIFS('Raw TRI Data'!$Z:$Z,'Raw TRI Data'!$J:$J,$E172)&gt;0,INDEX('Raw TRI Data'!$A:$A,MATCH(1,($E172='Raw TRI Data'!$J:$J)*($AA172='Raw TRI Data'!$Z:$Z),0)), "N/A - Facility Does Not Report to TRI, no surface water releases, or no Generic Factors available"))</f>
        <v>N/A - Facility Does Not Report to TRI, no surface water releases, or no Generic Factors available</v>
      </c>
      <c r="AD172" s="96" t="str" cm="1">
        <f t="array" ref="AD172">IF(COUNTIFS('Raw Annual DMR Data'!L:L,$F172,'Raw Annual DMR Data'!W:W, "&gt;0")&gt;0,MEDIAN(IF('Raw Annual DMR Data'!K:K=$F172, 'Raw Annual DMR Data'!W:W)), "N/A - No Daily Max DMR Discharge Data")</f>
        <v>N/A - No Daily Max DMR Discharge Data</v>
      </c>
      <c r="AE172" s="96" t="str">
        <f>IF(COUNTIFS('Raw Annual DMR Data'!L:L,$F172,'Raw Annual DMR Data'!W:W, "&gt;0")&gt;0,_xlfn.MAXIFS('Raw Annual DMR Data'!W:W,'Raw Annual DMR Data'!L:L,$F172), "N/A - No Daily Max DMR Discharge Data")</f>
        <v>N/A - No Daily Max DMR Discharge Data</v>
      </c>
      <c r="AF172" s="60" t="str" cm="1">
        <f t="array" ref="AF172">IF(COUNTIFS('Raw Annual DMR Data'!L:L,$F172,'Raw Annual DMR Data'!W:W, "&gt;0")&gt;0,INDEX('Raw Annual DMR Data'!B:B,MATCH(1,($F172='Raw Annual DMR Data'!L:L)*($AE172='Raw Annual DMR Data'!W:W),0)), "N/A - No Daily Max DMR Discharge Data")</f>
        <v>N/A - No Daily Max DMR Discharge Data</v>
      </c>
    </row>
    <row r="173" spans="1:32" ht="45.75" thickBot="1" x14ac:dyDescent="0.3">
      <c r="A173" s="144" t="str">
        <f>VLOOKUP(F173,'Facility Summary'!J:K,2,FALSE)</f>
        <v>Unknown</v>
      </c>
      <c r="B173" s="28" t="s">
        <v>1040</v>
      </c>
      <c r="C173" s="28" t="s">
        <v>1041</v>
      </c>
      <c r="D173" s="28" t="s">
        <v>478</v>
      </c>
      <c r="E173" s="28"/>
      <c r="F173" s="61">
        <v>110000338830</v>
      </c>
      <c r="G173" s="60" t="str">
        <f>VLOOKUP($F173, 'Raw Annual DMR Data'!$A:$Z, 24, FALSE)</f>
        <v>DE0000051</v>
      </c>
      <c r="H173" s="60" t="str">
        <f>VLOOKUP($F173, 'Raw Annual DMR Data'!$A:$Z, 25, FALSE)</f>
        <v>DELAWARE RIVER</v>
      </c>
      <c r="I173" s="74">
        <f>VLOOKUP($F173, 'Raw Annual DMR Data'!$A:$Z, 26, FALSE)</f>
        <v>2040205000834</v>
      </c>
      <c r="J173" s="74" t="s">
        <v>265</v>
      </c>
      <c r="K173" s="60">
        <f>VLOOKUP(A173, 'OES Summary'!$A:$B, 2, FALSE)</f>
        <v>250</v>
      </c>
      <c r="L173" s="304" cm="1">
        <f t="array" ref="L173">IF(COUNTIF('Raw Annual DMR Data'!$L:$L,$F173)&gt;0,MEDIAN(IF('Raw Annual DMR Data'!$L:$L=F173,'Raw Annual DMR Data'!$S:$S)),"N/A - Facility Does Not Report DMRs")</f>
        <v>0.25868480725623499</v>
      </c>
      <c r="M173" s="156">
        <f t="shared" si="18"/>
        <v>1.0347392290249399E-3</v>
      </c>
      <c r="N173" s="156">
        <f>IF(COUNTIF('Raw Annual DMR Data'!$L:$L,$F173)&gt;0,_xlfn.MAXIFS('Raw Annual DMR Data'!$S:$S,'Raw Annual DMR Data'!$L:$L,$F173), "N/A - Facility Does Not Report DMRs")</f>
        <v>0.417233560090702</v>
      </c>
      <c r="O173" s="156">
        <f t="shared" si="19"/>
        <v>1.668934240362808E-3</v>
      </c>
      <c r="P173" s="113" cm="1">
        <f t="array" ref="P173">IF(COUNTIF('Raw Annual DMR Data'!$L:$L,$F173)&gt;0,INDEX('Raw Annual DMR Data'!$B:$B,MATCH(1,($F173='Raw Annual DMR Data'!$L:$L)*($N173='Raw Annual DMR Data'!$S:$S),0)), "N/A - Facility Does Not Report DMRs")</f>
        <v>2015</v>
      </c>
      <c r="Q173" s="304" t="str" cm="1">
        <f t="array" ref="Q173">IF(COUNTIF('Raw TRI Data'!$J:$J,$E173)&gt;0,MEDIAN(IF('Raw TRI Data'!$J:$J=E173,'Raw TRI Data'!$S:$S)), "N/A - Facility Does Not Report to TRI")</f>
        <v>N/A - Facility Does Not Report to TRI</v>
      </c>
      <c r="R173" s="156" t="str">
        <f t="shared" si="16"/>
        <v>N/A - Facility Does Not Report to TRI</v>
      </c>
      <c r="S173" s="156" t="str">
        <f>IF(COUNTIF('Raw TRI Data'!$J:$J,$E173)&gt;0,_xlfn.MAXIFS('Raw TRI Data'!$S:$S,'Raw TRI Data'!$J:$J,$E173), "N/A - Facility Does Not Report to TRI")</f>
        <v>N/A - Facility Does Not Report to TRI</v>
      </c>
      <c r="T173" s="156" t="str">
        <f t="shared" si="17"/>
        <v>N/A - Facility Does Not Report to TRI</v>
      </c>
      <c r="U173" s="136" t="str" cm="1">
        <f t="array" ref="U173">IF(COUNTIF('Raw TRI Data'!$J:$J,$E173)&gt;0,INDEX('Raw TRI Data'!$A:$A,MATCH(1,($E173='Raw TRI Data'!$J:$J)*(S173='Raw TRI Data'!$S:$S),0)), "N/A - Facility Does Not Report to TRI")</f>
        <v>N/A - Facility Does Not Report to TRI</v>
      </c>
      <c r="V173" s="156" t="str" cm="1">
        <f t="array" ref="V173">IF(COUNTIFS('Raw Annual DMR Data'!$L:$L,$F173,'Raw Annual DMR Data'!$U:$U,"&gt;0")&gt;0,MEDIAN(IF('Raw Annual DMR Data'!$L:$L=$F173,'Raw Annual DMR Data'!$U:$U,"")),"N/A - Period DMR Data Not Available")</f>
        <v>N/A - Period DMR Data Not Available</v>
      </c>
      <c r="W173" s="156" t="str">
        <f>IF(COUNTIFS('Raw Annual DMR Data'!$L:$L,$F173, 'Raw Annual DMR Data'!$U:$U, "&gt;0")&gt;0,_xlfn.MAXIFS('Raw Annual DMR Data'!$U:$U,'Raw Annual DMR Data'!$L:$L,$F173), "N/A - Period DMR Data Not Available")</f>
        <v>N/A - Period DMR Data Not Available</v>
      </c>
      <c r="X173" s="113" t="str" cm="1">
        <f t="array" ref="X173">+IF(COUNTIFS('Raw Annual DMR Data'!L:L,$F173, 'Raw Annual DMR Data'!U:U, "&gt;0")&gt;0,INDEX('Raw Annual DMR Data'!V:V,MATCH(1,($F173='Raw Annual DMR Data'!L:L)*($W173='Raw Annual DMR Data'!U:U),0)), "N/A - Period DMR Data Not Available")</f>
        <v>N/A - Period DMR Data Not Available</v>
      </c>
      <c r="Y173" s="113" t="str" cm="1">
        <f t="array" ref="Y173">IF(COUNTIFS('Raw Annual DMR Data'!L:L,$F173, 'Raw Annual DMR Data'!U:U, "&gt;0")&gt;0,INDEX('Raw Annual DMR Data'!B:B,MATCH(1,($F173='Raw Annual DMR Data'!L:L)*($W173='Raw Annual DMR Data'!U:U),0)), "N/A - Period DMR Data Not Available")</f>
        <v>N/A - Period DMR Data Not Available</v>
      </c>
      <c r="Z173" s="311" t="str" cm="1">
        <f t="array" ref="Z173">IF(COUNTIF('Raw Annual DMR Data'!K:K,$E173)&gt;0,"N/A - See DMRs",IF(SUMIFS('Raw TRI Data'!$Z:$Z,'Raw TRI Data'!$J:$J,$E173)&gt;0,MEDIAN(IF('Raw TRI Data'!$J:$J=$E173,'Raw TRI Data'!$Z:$Z)), "N/A - Facility Does Not Report to TRI, no surface water releases, or no Generic Factors available"))</f>
        <v>N/A - Facility Does Not Report to TRI, no surface water releases, or no Generic Factors available</v>
      </c>
      <c r="AA173" s="156" t="str">
        <f>IF(COUNTIF('Raw Annual DMR Data'!K:K,$E173)&gt;0,"N/A - See DMRs",IF(SUMIFS('Raw TRI Data'!$Z:$Z,'Raw TRI Data'!$J:$J,$E173)&gt;0,_xlfn.MAXIFS('Raw TRI Data'!$Z:$Z,'Raw TRI Data'!$J:$J,$E173), "N/A - Facility Does Not Report to TRI, no surface water releases, or no Generic Factors available"))</f>
        <v>N/A - Facility Does Not Report to TRI, no surface water releases, or no Generic Factors available</v>
      </c>
      <c r="AB173" s="113" t="str">
        <f t="shared" si="20"/>
        <v>N/A</v>
      </c>
      <c r="AC173" s="136" t="str" cm="1">
        <f t="array" ref="AC173">IF(COUNTIF('Raw Annual DMR Data'!K:K,$E173)&gt;0,"N/A - See DMRs",IF(SUMIFS('Raw TRI Data'!$Z:$Z,'Raw TRI Data'!$J:$J,$E173)&gt;0,INDEX('Raw TRI Data'!$A:$A,MATCH(1,($E173='Raw TRI Data'!$J:$J)*($AA173='Raw TRI Data'!$Z:$Z),0)), "N/A - Facility Does Not Report to TRI, no surface water releases, or no Generic Factors available"))</f>
        <v>N/A - Facility Does Not Report to TRI, no surface water releases, or no Generic Factors available</v>
      </c>
      <c r="AD173" s="96" t="str" cm="1">
        <f t="array" ref="AD173">IF(COUNTIFS('Raw Annual DMR Data'!L:L,$F173,'Raw Annual DMR Data'!W:W, "&gt;0")&gt;0,MEDIAN(IF('Raw Annual DMR Data'!K:K=$F173, 'Raw Annual DMR Data'!W:W)), "N/A - No Daily Max DMR Discharge Data")</f>
        <v>N/A - No Daily Max DMR Discharge Data</v>
      </c>
      <c r="AE173" s="96" t="str">
        <f>IF(COUNTIFS('Raw Annual DMR Data'!L:L,$F173,'Raw Annual DMR Data'!W:W, "&gt;0")&gt;0,_xlfn.MAXIFS('Raw Annual DMR Data'!W:W,'Raw Annual DMR Data'!L:L,$F173), "N/A - No Daily Max DMR Discharge Data")</f>
        <v>N/A - No Daily Max DMR Discharge Data</v>
      </c>
      <c r="AF173" s="60" t="str" cm="1">
        <f t="array" ref="AF173">IF(COUNTIFS('Raw Annual DMR Data'!L:L,$F173,'Raw Annual DMR Data'!W:W, "&gt;0")&gt;0,INDEX('Raw Annual DMR Data'!B:B,MATCH(1,($F173='Raw Annual DMR Data'!L:L)*($AE173='Raw Annual DMR Data'!W:W),0)), "N/A - No Daily Max DMR Discharge Data")</f>
        <v>N/A - No Daily Max DMR Discharge Data</v>
      </c>
    </row>
    <row r="174" spans="1:32" ht="30.75" thickBot="1" x14ac:dyDescent="0.3">
      <c r="A174" s="144" t="str">
        <f>VLOOKUP(F174,'Facility Summary'!J:K,2,FALSE)</f>
        <v>Unknown</v>
      </c>
      <c r="B174" s="28" t="s">
        <v>1042</v>
      </c>
      <c r="C174" s="28" t="s">
        <v>1043</v>
      </c>
      <c r="D174" s="28" t="s">
        <v>345</v>
      </c>
      <c r="E174" s="28" t="s">
        <v>708</v>
      </c>
      <c r="F174" s="61">
        <v>110000500459</v>
      </c>
      <c r="G174" s="60" t="str">
        <f>VLOOKUP($F174, 'Raw Annual DMR Data'!$A:$Z, 24, FALSE)</f>
        <v>IL0064564</v>
      </c>
      <c r="H174" s="60" t="str">
        <f>VLOOKUP($F174, 'Raw Annual DMR Data'!$A:$Z, 25, FALSE)</f>
        <v>ROCK RIVER</v>
      </c>
      <c r="I174" s="74">
        <f>VLOOKUP($F174, 'Raw Annual DMR Data'!$A:$Z, 26, FALSE)</f>
        <v>7090002008421</v>
      </c>
      <c r="J174" s="74" t="s">
        <v>265</v>
      </c>
      <c r="K174" s="60">
        <f>VLOOKUP(A174, 'OES Summary'!$A:$B, 2, FALSE)</f>
        <v>250</v>
      </c>
      <c r="L174" s="304" cm="1">
        <f t="array" ref="L174">IF(COUNTIF('Raw Annual DMR Data'!$L:$L,$F174)&gt;0,MEDIAN(IF('Raw Annual DMR Data'!$L:$L=F174,'Raw Annual DMR Data'!$S:$S)),"N/A - Facility Does Not Report DMRs")</f>
        <v>0.10504794375</v>
      </c>
      <c r="M174" s="156">
        <f t="shared" si="18"/>
        <v>4.2019177499999998E-4</v>
      </c>
      <c r="N174" s="156">
        <f>IF(COUNTIF('Raw Annual DMR Data'!$L:$L,$F174)&gt;0,_xlfn.MAXIFS('Raw Annual DMR Data'!$S:$S,'Raw Annual DMR Data'!$L:$L,$F174), "N/A - Facility Does Not Report DMRs")</f>
        <v>0.11565446</v>
      </c>
      <c r="O174" s="156">
        <f t="shared" si="19"/>
        <v>4.6261784000000002E-4</v>
      </c>
      <c r="P174" s="113" cm="1">
        <f t="array" ref="P174">IF(COUNTIF('Raw Annual DMR Data'!$L:$L,$F174)&gt;0,INDEX('Raw Annual DMR Data'!$B:$B,MATCH(1,($F174='Raw Annual DMR Data'!$L:$L)*($N174='Raw Annual DMR Data'!$S:$S),0)), "N/A - Facility Does Not Report DMRs")</f>
        <v>2017</v>
      </c>
      <c r="Q174" s="304" t="str" cm="1">
        <f t="array" ref="Q174">IF(COUNTIF('Raw TRI Data'!$J:$J,$E174)&gt;0,MEDIAN(IF('Raw TRI Data'!$J:$J=E174,'Raw TRI Data'!$S:$S)), "N/A - Facility Does Not Report to TRI")</f>
        <v>N/A - Facility Does Not Report to TRI</v>
      </c>
      <c r="R174" s="156" t="str">
        <f t="shared" si="16"/>
        <v>N/A - Facility Does Not Report to TRI</v>
      </c>
      <c r="S174" s="156" t="str">
        <f>IF(COUNTIF('Raw TRI Data'!$J:$J,$E174)&gt;0,_xlfn.MAXIFS('Raw TRI Data'!$S:$S,'Raw TRI Data'!$J:$J,$E174), "N/A - Facility Does Not Report to TRI")</f>
        <v>N/A - Facility Does Not Report to TRI</v>
      </c>
      <c r="T174" s="156" t="str">
        <f t="shared" si="17"/>
        <v>N/A - Facility Does Not Report to TRI</v>
      </c>
      <c r="U174" s="136" t="str" cm="1">
        <f t="array" ref="U174">IF(COUNTIF('Raw TRI Data'!$J:$J,$E174)&gt;0,INDEX('Raw TRI Data'!$A:$A,MATCH(1,($E174='Raw TRI Data'!$J:$J)*(S174='Raw TRI Data'!$S:$S),0)), "N/A - Facility Does Not Report to TRI")</f>
        <v>N/A - Facility Does Not Report to TRI</v>
      </c>
      <c r="V174" s="156" t="str" cm="1">
        <f t="array" ref="V174">IF(COUNTIFS('Raw Annual DMR Data'!$L:$L,$F174,'Raw Annual DMR Data'!$U:$U,"&gt;0")&gt;0,MEDIAN(IF('Raw Annual DMR Data'!$L:$L=$F174,'Raw Annual DMR Data'!$U:$U,"")),"N/A - Period DMR Data Not Available")</f>
        <v>N/A - Period DMR Data Not Available</v>
      </c>
      <c r="W174" s="156" t="str">
        <f>IF(COUNTIFS('Raw Annual DMR Data'!$L:$L,$F174, 'Raw Annual DMR Data'!$U:$U, "&gt;0")&gt;0,_xlfn.MAXIFS('Raw Annual DMR Data'!$U:$U,'Raw Annual DMR Data'!$L:$L,$F174), "N/A - Period DMR Data Not Available")</f>
        <v>N/A - Period DMR Data Not Available</v>
      </c>
      <c r="X174" s="113" t="str" cm="1">
        <f t="array" ref="X174">+IF(COUNTIFS('Raw Annual DMR Data'!L:L,$F174, 'Raw Annual DMR Data'!U:U, "&gt;0")&gt;0,INDEX('Raw Annual DMR Data'!V:V,MATCH(1,($F174='Raw Annual DMR Data'!L:L)*($W174='Raw Annual DMR Data'!U:U),0)), "N/A - Period DMR Data Not Available")</f>
        <v>N/A - Period DMR Data Not Available</v>
      </c>
      <c r="Y174" s="113" t="str" cm="1">
        <f t="array" ref="Y174">IF(COUNTIFS('Raw Annual DMR Data'!L:L,$F174, 'Raw Annual DMR Data'!U:U, "&gt;0")&gt;0,INDEX('Raw Annual DMR Data'!B:B,MATCH(1,($F174='Raw Annual DMR Data'!L:L)*($W174='Raw Annual DMR Data'!U:U),0)), "N/A - Period DMR Data Not Available")</f>
        <v>N/A - Period DMR Data Not Available</v>
      </c>
      <c r="Z174" s="311" t="str" cm="1">
        <f t="array" ref="Z174">IF(COUNTIF('Raw Annual DMR Data'!K:K,$E174)&gt;0,"N/A - See DMRs",IF(SUMIFS('Raw TRI Data'!$Z:$Z,'Raw TRI Data'!$J:$J,$E174)&gt;0,MEDIAN(IF('Raw TRI Data'!$J:$J=$E174,'Raw TRI Data'!$Z:$Z)), "N/A - Facility Does Not Report to TRI, no surface water releases, or no Generic Factors available"))</f>
        <v>N/A - See DMRs</v>
      </c>
      <c r="AA174" s="156" t="str">
        <f>IF(COUNTIF('Raw Annual DMR Data'!K:K,$E174)&gt;0,"N/A - See DMRs",IF(SUMIFS('Raw TRI Data'!$Z:$Z,'Raw TRI Data'!$J:$J,$E174)&gt;0,_xlfn.MAXIFS('Raw TRI Data'!$Z:$Z,'Raw TRI Data'!$J:$J,$E174), "N/A - Facility Does Not Report to TRI, no surface water releases, or no Generic Factors available"))</f>
        <v>N/A - See DMRs</v>
      </c>
      <c r="AB174" s="113" t="str">
        <f t="shared" si="20"/>
        <v>N/A</v>
      </c>
      <c r="AC174" s="136" t="str" cm="1">
        <f t="array" ref="AC174">IF(COUNTIF('Raw Annual DMR Data'!K:K,$E174)&gt;0,"N/A - See DMRs",IF(SUMIFS('Raw TRI Data'!$Z:$Z,'Raw TRI Data'!$J:$J,$E174)&gt;0,INDEX('Raw TRI Data'!$A:$A,MATCH(1,($E174='Raw TRI Data'!$J:$J)*($AA174='Raw TRI Data'!$Z:$Z),0)), "N/A - Facility Does Not Report to TRI, no surface water releases, or no Generic Factors available"))</f>
        <v>N/A - See DMRs</v>
      </c>
      <c r="AD174" s="96" t="str" cm="1">
        <f t="array" ref="AD174">IF(COUNTIFS('Raw Annual DMR Data'!L:L,$F174,'Raw Annual DMR Data'!W:W, "&gt;0")&gt;0,MEDIAN(IF('Raw Annual DMR Data'!K:K=$F174, 'Raw Annual DMR Data'!W:W)), "N/A - No Daily Max DMR Discharge Data")</f>
        <v>N/A - No Daily Max DMR Discharge Data</v>
      </c>
      <c r="AE174" s="96" t="str">
        <f>IF(COUNTIFS('Raw Annual DMR Data'!L:L,$F174,'Raw Annual DMR Data'!W:W, "&gt;0")&gt;0,_xlfn.MAXIFS('Raw Annual DMR Data'!W:W,'Raw Annual DMR Data'!L:L,$F174), "N/A - No Daily Max DMR Discharge Data")</f>
        <v>N/A - No Daily Max DMR Discharge Data</v>
      </c>
      <c r="AF174" s="60" t="str" cm="1">
        <f t="array" ref="AF174">IF(COUNTIFS('Raw Annual DMR Data'!L:L,$F174,'Raw Annual DMR Data'!W:W, "&gt;0")&gt;0,INDEX('Raw Annual DMR Data'!B:B,MATCH(1,($F174='Raw Annual DMR Data'!L:L)*($AE174='Raw Annual DMR Data'!W:W),0)), "N/A - No Daily Max DMR Discharge Data")</f>
        <v>N/A - No Daily Max DMR Discharge Data</v>
      </c>
    </row>
    <row r="175" spans="1:32" ht="45.75" thickBot="1" x14ac:dyDescent="0.3">
      <c r="A175" s="144" t="str">
        <f>VLOOKUP(F175,'Facility Summary'!J:K,2,FALSE)</f>
        <v>Unknown</v>
      </c>
      <c r="B175" s="28" t="s">
        <v>1044</v>
      </c>
      <c r="C175" s="28" t="s">
        <v>1045</v>
      </c>
      <c r="D175" s="28" t="s">
        <v>427</v>
      </c>
      <c r="E175" s="28"/>
      <c r="F175" s="61">
        <v>110000408265</v>
      </c>
      <c r="G175" s="60" t="str">
        <f>VLOOKUP($F175, 'Raw Annual DMR Data'!$A:$Z, 24, FALSE)</f>
        <v>MI0041718</v>
      </c>
      <c r="H175" s="60" t="str">
        <f>VLOOKUP($F175, 'Raw Annual DMR Data'!$A:$Z, 25, FALSE)</f>
        <v>UNNAMED TRIBUTARY TO THE MARION AND GENOA DRAIN</v>
      </c>
      <c r="I175" s="74">
        <f>VLOOKUP($F175, 'Raw Annual DMR Data'!$A:$Z, 26, FALSE)</f>
        <v>4080203000602</v>
      </c>
      <c r="J175" s="74" t="s">
        <v>265</v>
      </c>
      <c r="K175" s="60">
        <f>VLOOKUP(A175, 'OES Summary'!$A:$B, 2, FALSE)</f>
        <v>250</v>
      </c>
      <c r="L175" s="304" cm="1">
        <f t="array" ref="L175">IF(COUNTIF('Raw Annual DMR Data'!$L:$L,$F175)&gt;0,MEDIAN(IF('Raw Annual DMR Data'!$L:$L=F175,'Raw Annual DMR Data'!$S:$S)),"N/A - Facility Does Not Report DMRs")</f>
        <v>7.4984663387499999E-3</v>
      </c>
      <c r="M175" s="156">
        <f t="shared" si="18"/>
        <v>2.9993865355000001E-5</v>
      </c>
      <c r="N175" s="156">
        <f>IF(COUNTIF('Raw Annual DMR Data'!$L:$L,$F175)&gt;0,_xlfn.MAXIFS('Raw Annual DMR Data'!$S:$S,'Raw Annual DMR Data'!$L:$L,$F175), "N/A - Facility Does Not Report DMRs")</f>
        <v>1.0545907045E-2</v>
      </c>
      <c r="O175" s="156">
        <f t="shared" si="19"/>
        <v>4.2183628180000001E-5</v>
      </c>
      <c r="P175" s="113" cm="1">
        <f t="array" ref="P175">IF(COUNTIF('Raw Annual DMR Data'!$L:$L,$F175)&gt;0,INDEX('Raw Annual DMR Data'!$B:$B,MATCH(1,($F175='Raw Annual DMR Data'!$L:$L)*($N175='Raw Annual DMR Data'!$S:$S),0)), "N/A - Facility Does Not Report DMRs")</f>
        <v>2015</v>
      </c>
      <c r="Q175" s="304" t="str" cm="1">
        <f t="array" ref="Q175">IF(COUNTIF('Raw TRI Data'!$J:$J,$E175)&gt;0,MEDIAN(IF('Raw TRI Data'!$J:$J=E175,'Raw TRI Data'!$S:$S)), "N/A - Facility Does Not Report to TRI")</f>
        <v>N/A - Facility Does Not Report to TRI</v>
      </c>
      <c r="R175" s="156" t="str">
        <f t="shared" si="16"/>
        <v>N/A - Facility Does Not Report to TRI</v>
      </c>
      <c r="S175" s="156" t="str">
        <f>IF(COUNTIF('Raw TRI Data'!$J:$J,$E175)&gt;0,_xlfn.MAXIFS('Raw TRI Data'!$S:$S,'Raw TRI Data'!$J:$J,$E175), "N/A - Facility Does Not Report to TRI")</f>
        <v>N/A - Facility Does Not Report to TRI</v>
      </c>
      <c r="T175" s="156" t="str">
        <f t="shared" si="17"/>
        <v>N/A - Facility Does Not Report to TRI</v>
      </c>
      <c r="U175" s="136" t="str" cm="1">
        <f t="array" ref="U175">IF(COUNTIF('Raw TRI Data'!$J:$J,$E175)&gt;0,INDEX('Raw TRI Data'!$A:$A,MATCH(1,($E175='Raw TRI Data'!$J:$J)*(S175='Raw TRI Data'!$S:$S),0)), "N/A - Facility Does Not Report to TRI")</f>
        <v>N/A - Facility Does Not Report to TRI</v>
      </c>
      <c r="V175" s="156" t="str" cm="1">
        <f t="array" ref="V175">IF(COUNTIFS('Raw Annual DMR Data'!$L:$L,$F175,'Raw Annual DMR Data'!$U:$U,"&gt;0")&gt;0,MEDIAN(IF('Raw Annual DMR Data'!$L:$L=$F175,'Raw Annual DMR Data'!$U:$U,"")),"N/A - Period DMR Data Not Available")</f>
        <v>N/A - Period DMR Data Not Available</v>
      </c>
      <c r="W175" s="156" t="str">
        <f>IF(COUNTIFS('Raw Annual DMR Data'!$L:$L,$F175, 'Raw Annual DMR Data'!$U:$U, "&gt;0")&gt;0,_xlfn.MAXIFS('Raw Annual DMR Data'!$U:$U,'Raw Annual DMR Data'!$L:$L,$F175), "N/A - Period DMR Data Not Available")</f>
        <v>N/A - Period DMR Data Not Available</v>
      </c>
      <c r="X175" s="113" t="str" cm="1">
        <f t="array" ref="X175">+IF(COUNTIFS('Raw Annual DMR Data'!L:L,$F175, 'Raw Annual DMR Data'!U:U, "&gt;0")&gt;0,INDEX('Raw Annual DMR Data'!V:V,MATCH(1,($F175='Raw Annual DMR Data'!L:L)*($W175='Raw Annual DMR Data'!U:U),0)), "N/A - Period DMR Data Not Available")</f>
        <v>N/A - Period DMR Data Not Available</v>
      </c>
      <c r="Y175" s="113" t="str" cm="1">
        <f t="array" ref="Y175">IF(COUNTIFS('Raw Annual DMR Data'!L:L,$F175, 'Raw Annual DMR Data'!U:U, "&gt;0")&gt;0,INDEX('Raw Annual DMR Data'!B:B,MATCH(1,($F175='Raw Annual DMR Data'!L:L)*($W175='Raw Annual DMR Data'!U:U),0)), "N/A - Period DMR Data Not Available")</f>
        <v>N/A - Period DMR Data Not Available</v>
      </c>
      <c r="Z175" s="311" t="str" cm="1">
        <f t="array" ref="Z175">IF(COUNTIF('Raw Annual DMR Data'!K:K,$E175)&gt;0,"N/A - See DMRs",IF(SUMIFS('Raw TRI Data'!$Z:$Z,'Raw TRI Data'!$J:$J,$E175)&gt;0,MEDIAN(IF('Raw TRI Data'!$J:$J=$E175,'Raw TRI Data'!$Z:$Z)), "N/A - Facility Does Not Report to TRI, no surface water releases, or no Generic Factors available"))</f>
        <v>N/A - Facility Does Not Report to TRI, no surface water releases, or no Generic Factors available</v>
      </c>
      <c r="AA175" s="156" t="str">
        <f>IF(COUNTIF('Raw Annual DMR Data'!K:K,$E175)&gt;0,"N/A - See DMRs",IF(SUMIFS('Raw TRI Data'!$Z:$Z,'Raw TRI Data'!$J:$J,$E175)&gt;0,_xlfn.MAXIFS('Raw TRI Data'!$Z:$Z,'Raw TRI Data'!$J:$J,$E175), "N/A - Facility Does Not Report to TRI, no surface water releases, or no Generic Factors available"))</f>
        <v>N/A - Facility Does Not Report to TRI, no surface water releases, or no Generic Factors available</v>
      </c>
      <c r="AB175" s="113" t="str">
        <f t="shared" si="20"/>
        <v>N/A</v>
      </c>
      <c r="AC175" s="136" t="str" cm="1">
        <f t="array" ref="AC175">IF(COUNTIF('Raw Annual DMR Data'!K:K,$E175)&gt;0,"N/A - See DMRs",IF(SUMIFS('Raw TRI Data'!$Z:$Z,'Raw TRI Data'!$J:$J,$E175)&gt;0,INDEX('Raw TRI Data'!$A:$A,MATCH(1,($E175='Raw TRI Data'!$J:$J)*($AA175='Raw TRI Data'!$Z:$Z),0)), "N/A - Facility Does Not Report to TRI, no surface water releases, or no Generic Factors available"))</f>
        <v>N/A - Facility Does Not Report to TRI, no surface water releases, or no Generic Factors available</v>
      </c>
      <c r="AD175" s="96" t="str" cm="1">
        <f t="array" ref="AD175">IF(COUNTIFS('Raw Annual DMR Data'!L:L,$F175,'Raw Annual DMR Data'!W:W, "&gt;0")&gt;0,MEDIAN(IF('Raw Annual DMR Data'!K:K=$F175, 'Raw Annual DMR Data'!W:W)), "N/A - No Daily Max DMR Discharge Data")</f>
        <v>N/A - No Daily Max DMR Discharge Data</v>
      </c>
      <c r="AE175" s="96" t="str">
        <f>IF(COUNTIFS('Raw Annual DMR Data'!L:L,$F175,'Raw Annual DMR Data'!W:W, "&gt;0")&gt;0,_xlfn.MAXIFS('Raw Annual DMR Data'!W:W,'Raw Annual DMR Data'!L:L,$F175), "N/A - No Daily Max DMR Discharge Data")</f>
        <v>N/A - No Daily Max DMR Discharge Data</v>
      </c>
      <c r="AF175" s="60" t="str" cm="1">
        <f t="array" ref="AF175">IF(COUNTIFS('Raw Annual DMR Data'!L:L,$F175,'Raw Annual DMR Data'!W:W, "&gt;0")&gt;0,INDEX('Raw Annual DMR Data'!B:B,MATCH(1,($F175='Raw Annual DMR Data'!L:L)*($AE175='Raw Annual DMR Data'!W:W),0)), "N/A - No Daily Max DMR Discharge Data")</f>
        <v>N/A - No Daily Max DMR Discharge Data</v>
      </c>
    </row>
    <row r="176" spans="1:32" ht="45.75" thickBot="1" x14ac:dyDescent="0.3">
      <c r="A176" s="144" t="str">
        <f>VLOOKUP(F176,'Facility Summary'!J:K,2,FALSE)</f>
        <v>POTW</v>
      </c>
      <c r="B176" s="28" t="s">
        <v>1046</v>
      </c>
      <c r="C176" s="28" t="s">
        <v>1047</v>
      </c>
      <c r="D176" s="28" t="s">
        <v>374</v>
      </c>
      <c r="E176" s="28"/>
      <c r="F176" s="61">
        <v>110010062680</v>
      </c>
      <c r="G176" s="60" t="str">
        <f>VLOOKUP($F176, 'Raw Annual DMR Data'!$A:$Z, 24, FALSE)</f>
        <v>NN0020265</v>
      </c>
      <c r="H176" s="60" t="str">
        <f>VLOOKUP($F176, 'Raw Annual DMR Data'!$A:$Z, 25, FALSE)</f>
        <v>CHINLE WASH</v>
      </c>
      <c r="I176" s="74">
        <f>VLOOKUP($F176, 'Raw Annual DMR Data'!$A:$Z, 26, FALSE)</f>
        <v>14080204000110</v>
      </c>
      <c r="J176" s="74" t="s">
        <v>265</v>
      </c>
      <c r="K176" s="60">
        <f>VLOOKUP(A176, 'OES Summary'!$A:$B, 2, FALSE)</f>
        <v>365</v>
      </c>
      <c r="L176" s="304" cm="1">
        <f t="array" ref="L176">IF(COUNTIF('Raw Annual DMR Data'!$L:$L,$F176)&gt;0,MEDIAN(IF('Raw Annual DMR Data'!$L:$L=F176,'Raw Annual DMR Data'!$S:$S)),"N/A - Facility Does Not Report DMRs")</f>
        <v>2.4815974000000001</v>
      </c>
      <c r="M176" s="156">
        <f t="shared" si="18"/>
        <v>6.79889698630137E-3</v>
      </c>
      <c r="N176" s="156">
        <f>IF(COUNTIF('Raw Annual DMR Data'!$L:$L,$F176)&gt;0,_xlfn.MAXIFS('Raw Annual DMR Data'!$S:$S,'Raw Annual DMR Data'!$L:$L,$F176), "N/A - Facility Does Not Report DMRs")</f>
        <v>4.1089960000000003</v>
      </c>
      <c r="O176" s="156">
        <f t="shared" si="19"/>
        <v>1.1257523287671234E-2</v>
      </c>
      <c r="P176" s="113" cm="1">
        <f t="array" ref="P176">IF(COUNTIF('Raw Annual DMR Data'!$L:$L,$F176)&gt;0,INDEX('Raw Annual DMR Data'!$B:$B,MATCH(1,($F176='Raw Annual DMR Data'!$L:$L)*($N176='Raw Annual DMR Data'!$S:$S),0)), "N/A - Facility Does Not Report DMRs")</f>
        <v>2016</v>
      </c>
      <c r="Q176" s="304" t="str" cm="1">
        <f t="array" ref="Q176">IF(COUNTIF('Raw TRI Data'!$J:$J,$E176)&gt;0,MEDIAN(IF('Raw TRI Data'!$J:$J=E176,'Raw TRI Data'!$S:$S)), "N/A - Facility Does Not Report to TRI")</f>
        <v>N/A - Facility Does Not Report to TRI</v>
      </c>
      <c r="R176" s="156" t="str">
        <f t="shared" si="16"/>
        <v>N/A - Facility Does Not Report to TRI</v>
      </c>
      <c r="S176" s="156" t="str">
        <f>IF(COUNTIF('Raw TRI Data'!$J:$J,$E176)&gt;0,_xlfn.MAXIFS('Raw TRI Data'!$S:$S,'Raw TRI Data'!$J:$J,$E176), "N/A - Facility Does Not Report to TRI")</f>
        <v>N/A - Facility Does Not Report to TRI</v>
      </c>
      <c r="T176" s="156" t="str">
        <f t="shared" si="17"/>
        <v>N/A - Facility Does Not Report to TRI</v>
      </c>
      <c r="U176" s="136" t="str" cm="1">
        <f t="array" ref="U176">IF(COUNTIF('Raw TRI Data'!$J:$J,$E176)&gt;0,INDEX('Raw TRI Data'!$A:$A,MATCH(1,($E176='Raw TRI Data'!$J:$J)*(S176='Raw TRI Data'!$S:$S),0)), "N/A - Facility Does Not Report to TRI")</f>
        <v>N/A - Facility Does Not Report to TRI</v>
      </c>
      <c r="V176" s="156" t="str" cm="1">
        <f t="array" ref="V176">IF(COUNTIFS('Raw Annual DMR Data'!$L:$L,$F176,'Raw Annual DMR Data'!$U:$U,"&gt;0")&gt;0,MEDIAN(IF('Raw Annual DMR Data'!$L:$L=$F176,'Raw Annual DMR Data'!$U:$U,"")),"N/A - Period DMR Data Not Available")</f>
        <v>N/A - Period DMR Data Not Available</v>
      </c>
      <c r="W176" s="156" t="str">
        <f>IF(COUNTIFS('Raw Annual DMR Data'!$L:$L,$F176, 'Raw Annual DMR Data'!$U:$U, "&gt;0")&gt;0,_xlfn.MAXIFS('Raw Annual DMR Data'!$U:$U,'Raw Annual DMR Data'!$L:$L,$F176), "N/A - Period DMR Data Not Available")</f>
        <v>N/A - Period DMR Data Not Available</v>
      </c>
      <c r="X176" s="113" t="str" cm="1">
        <f t="array" ref="X176">+IF(COUNTIFS('Raw Annual DMR Data'!L:L,$F176, 'Raw Annual DMR Data'!U:U, "&gt;0")&gt;0,INDEX('Raw Annual DMR Data'!V:V,MATCH(1,($F176='Raw Annual DMR Data'!L:L)*($W176='Raw Annual DMR Data'!U:U),0)), "N/A - Period DMR Data Not Available")</f>
        <v>N/A - Period DMR Data Not Available</v>
      </c>
      <c r="Y176" s="113" t="str" cm="1">
        <f t="array" ref="Y176">IF(COUNTIFS('Raw Annual DMR Data'!L:L,$F176, 'Raw Annual DMR Data'!U:U, "&gt;0")&gt;0,INDEX('Raw Annual DMR Data'!B:B,MATCH(1,($F176='Raw Annual DMR Data'!L:L)*($W176='Raw Annual DMR Data'!U:U),0)), "N/A - Period DMR Data Not Available")</f>
        <v>N/A - Period DMR Data Not Available</v>
      </c>
      <c r="Z176" s="311" t="str" cm="1">
        <f t="array" ref="Z176">IF(COUNTIF('Raw Annual DMR Data'!K:K,$E176)&gt;0,"N/A - See DMRs",IF(SUMIFS('Raw TRI Data'!$Z:$Z,'Raw TRI Data'!$J:$J,$E176)&gt;0,MEDIAN(IF('Raw TRI Data'!$J:$J=$E176,'Raw TRI Data'!$Z:$Z)), "N/A - Facility Does Not Report to TRI, no surface water releases, or no Generic Factors available"))</f>
        <v>N/A - Facility Does Not Report to TRI, no surface water releases, or no Generic Factors available</v>
      </c>
      <c r="AA176" s="156" t="str">
        <f>IF(COUNTIF('Raw Annual DMR Data'!K:K,$E176)&gt;0,"N/A - See DMRs",IF(SUMIFS('Raw TRI Data'!$Z:$Z,'Raw TRI Data'!$J:$J,$E176)&gt;0,_xlfn.MAXIFS('Raw TRI Data'!$Z:$Z,'Raw TRI Data'!$J:$J,$E176), "N/A - Facility Does Not Report to TRI, no surface water releases, or no Generic Factors available"))</f>
        <v>N/A - Facility Does Not Report to TRI, no surface water releases, or no Generic Factors available</v>
      </c>
      <c r="AB176" s="113" t="str">
        <f t="shared" si="20"/>
        <v>N/A</v>
      </c>
      <c r="AC176" s="136" t="str" cm="1">
        <f t="array" ref="AC176">IF(COUNTIF('Raw Annual DMR Data'!K:K,$E176)&gt;0,"N/A - See DMRs",IF(SUMIFS('Raw TRI Data'!$Z:$Z,'Raw TRI Data'!$J:$J,$E176)&gt;0,INDEX('Raw TRI Data'!$A:$A,MATCH(1,($E176='Raw TRI Data'!$J:$J)*($AA176='Raw TRI Data'!$Z:$Z),0)), "N/A - Facility Does Not Report to TRI, no surface water releases, or no Generic Factors available"))</f>
        <v>N/A - Facility Does Not Report to TRI, no surface water releases, or no Generic Factors available</v>
      </c>
      <c r="AD176" s="96" t="str" cm="1">
        <f t="array" ref="AD176">IF(COUNTIFS('Raw Annual DMR Data'!L:L,$F176,'Raw Annual DMR Data'!W:W, "&gt;0")&gt;0,MEDIAN(IF('Raw Annual DMR Data'!K:K=$F176, 'Raw Annual DMR Data'!W:W)), "N/A - No Daily Max DMR Discharge Data")</f>
        <v>N/A - No Daily Max DMR Discharge Data</v>
      </c>
      <c r="AE176" s="96" t="str">
        <f>IF(COUNTIFS('Raw Annual DMR Data'!L:L,$F176,'Raw Annual DMR Data'!W:W, "&gt;0")&gt;0,_xlfn.MAXIFS('Raw Annual DMR Data'!W:W,'Raw Annual DMR Data'!L:L,$F176), "N/A - No Daily Max DMR Discharge Data")</f>
        <v>N/A - No Daily Max DMR Discharge Data</v>
      </c>
      <c r="AF176" s="60" t="str" cm="1">
        <f t="array" ref="AF176">IF(COUNTIFS('Raw Annual DMR Data'!L:L,$F176,'Raw Annual DMR Data'!W:W, "&gt;0")&gt;0,INDEX('Raw Annual DMR Data'!B:B,MATCH(1,($F176='Raw Annual DMR Data'!L:L)*($AE176='Raw Annual DMR Data'!W:W),0)), "N/A - No Daily Max DMR Discharge Data")</f>
        <v>N/A - No Daily Max DMR Discharge Data</v>
      </c>
    </row>
    <row r="177" spans="1:32" ht="45.75" thickBot="1" x14ac:dyDescent="0.3">
      <c r="A177" s="144" t="str">
        <f>VLOOKUP(F177,'Facility Summary'!J:K,2,FALSE)</f>
        <v>POTW</v>
      </c>
      <c r="B177" s="28" t="s">
        <v>1048</v>
      </c>
      <c r="C177" s="28" t="s">
        <v>1049</v>
      </c>
      <c r="D177" s="28" t="s">
        <v>1050</v>
      </c>
      <c r="E177" s="28"/>
      <c r="F177" s="61">
        <v>110064645460</v>
      </c>
      <c r="G177" s="60" t="str">
        <f>VLOOKUP($F177, 'Raw Annual DMR Data'!$A:$Z, 24, FALSE)</f>
        <v>MT0021920</v>
      </c>
      <c r="H177" s="60" t="str">
        <f>VLOOKUP($F177, 'Raw Annual DMR Data'!$A:$Z, 25, FALSE)</f>
        <v>MISSOURI RIVER</v>
      </c>
      <c r="I177" s="74">
        <f>VLOOKUP($F177, 'Raw Annual DMR Data'!$A:$Z, 26, FALSE)</f>
        <v>10030102000105</v>
      </c>
      <c r="J177" s="74" t="s">
        <v>265</v>
      </c>
      <c r="K177" s="60">
        <f>VLOOKUP(A177, 'OES Summary'!$A:$B, 2, FALSE)</f>
        <v>365</v>
      </c>
      <c r="L177" s="304" cm="1">
        <f t="array" ref="L177">IF(COUNTIF('Raw Annual DMR Data'!$L:$L,$F177)&gt;0,MEDIAN(IF('Raw Annual DMR Data'!$L:$L=F177,'Raw Annual DMR Data'!$S:$S)),"N/A - Facility Does Not Report DMRs")</f>
        <v>3.3097276433333298</v>
      </c>
      <c r="M177" s="156">
        <f t="shared" si="18"/>
        <v>9.0677469680365205E-3</v>
      </c>
      <c r="N177" s="156">
        <f>IF(COUNTIF('Raw Annual DMR Data'!$L:$L,$F177)&gt;0,_xlfn.MAXIFS('Raw Annual DMR Data'!$S:$S,'Raw Annual DMR Data'!$L:$L,$F177), "N/A - Facility Does Not Report DMRs")</f>
        <v>11.51133564</v>
      </c>
      <c r="O177" s="156">
        <f t="shared" si="19"/>
        <v>3.15379058630137E-2</v>
      </c>
      <c r="P177" s="113" cm="1">
        <f t="array" ref="P177">IF(COUNTIF('Raw Annual DMR Data'!$L:$L,$F177)&gt;0,INDEX('Raw Annual DMR Data'!$B:$B,MATCH(1,($F177='Raw Annual DMR Data'!$L:$L)*($N177='Raw Annual DMR Data'!$S:$S),0)), "N/A - Facility Does Not Report DMRs")</f>
        <v>2016</v>
      </c>
      <c r="Q177" s="304" t="str" cm="1">
        <f t="array" ref="Q177">IF(COUNTIF('Raw TRI Data'!$J:$J,$E177)&gt;0,MEDIAN(IF('Raw TRI Data'!$J:$J=E177,'Raw TRI Data'!$S:$S)), "N/A - Facility Does Not Report to TRI")</f>
        <v>N/A - Facility Does Not Report to TRI</v>
      </c>
      <c r="R177" s="156" t="str">
        <f t="shared" si="16"/>
        <v>N/A - Facility Does Not Report to TRI</v>
      </c>
      <c r="S177" s="156" t="str">
        <f>IF(COUNTIF('Raw TRI Data'!$J:$J,$E177)&gt;0,_xlfn.MAXIFS('Raw TRI Data'!$S:$S,'Raw TRI Data'!$J:$J,$E177), "N/A - Facility Does Not Report to TRI")</f>
        <v>N/A - Facility Does Not Report to TRI</v>
      </c>
      <c r="T177" s="156" t="str">
        <f t="shared" si="17"/>
        <v>N/A - Facility Does Not Report to TRI</v>
      </c>
      <c r="U177" s="136" t="str" cm="1">
        <f t="array" ref="U177">IF(COUNTIF('Raw TRI Data'!$J:$J,$E177)&gt;0,INDEX('Raw TRI Data'!$A:$A,MATCH(1,($E177='Raw TRI Data'!$J:$J)*(S177='Raw TRI Data'!$S:$S),0)), "N/A - Facility Does Not Report to TRI")</f>
        <v>N/A - Facility Does Not Report to TRI</v>
      </c>
      <c r="V177" s="156" t="str" cm="1">
        <f t="array" ref="V177">IF(COUNTIFS('Raw Annual DMR Data'!$L:$L,$F177,'Raw Annual DMR Data'!$U:$U,"&gt;0")&gt;0,MEDIAN(IF('Raw Annual DMR Data'!$L:$L=$F177,'Raw Annual DMR Data'!$U:$U,"")),"N/A - Period DMR Data Not Available")</f>
        <v>N/A - Period DMR Data Not Available</v>
      </c>
      <c r="W177" s="156" t="str">
        <f>IF(COUNTIFS('Raw Annual DMR Data'!$L:$L,$F177, 'Raw Annual DMR Data'!$U:$U, "&gt;0")&gt;0,_xlfn.MAXIFS('Raw Annual DMR Data'!$U:$U,'Raw Annual DMR Data'!$L:$L,$F177), "N/A - Period DMR Data Not Available")</f>
        <v>N/A - Period DMR Data Not Available</v>
      </c>
      <c r="X177" s="113" t="str" cm="1">
        <f t="array" ref="X177">+IF(COUNTIFS('Raw Annual DMR Data'!L:L,$F177, 'Raw Annual DMR Data'!U:U, "&gt;0")&gt;0,INDEX('Raw Annual DMR Data'!V:V,MATCH(1,($F177='Raw Annual DMR Data'!L:L)*($W177='Raw Annual DMR Data'!U:U),0)), "N/A - Period DMR Data Not Available")</f>
        <v>N/A - Period DMR Data Not Available</v>
      </c>
      <c r="Y177" s="113" t="str" cm="1">
        <f t="array" ref="Y177">IF(COUNTIFS('Raw Annual DMR Data'!L:L,$F177, 'Raw Annual DMR Data'!U:U, "&gt;0")&gt;0,INDEX('Raw Annual DMR Data'!B:B,MATCH(1,($F177='Raw Annual DMR Data'!L:L)*($W177='Raw Annual DMR Data'!U:U),0)), "N/A - Period DMR Data Not Available")</f>
        <v>N/A - Period DMR Data Not Available</v>
      </c>
      <c r="Z177" s="311" t="str" cm="1">
        <f t="array" ref="Z177">IF(COUNTIF('Raw Annual DMR Data'!K:K,$E177)&gt;0,"N/A - See DMRs",IF(SUMIFS('Raw TRI Data'!$Z:$Z,'Raw TRI Data'!$J:$J,$E177)&gt;0,MEDIAN(IF('Raw TRI Data'!$J:$J=$E177,'Raw TRI Data'!$Z:$Z)), "N/A - Facility Does Not Report to TRI, no surface water releases, or no Generic Factors available"))</f>
        <v>N/A - Facility Does Not Report to TRI, no surface water releases, or no Generic Factors available</v>
      </c>
      <c r="AA177" s="156" t="str">
        <f>IF(COUNTIF('Raw Annual DMR Data'!K:K,$E177)&gt;0,"N/A - See DMRs",IF(SUMIFS('Raw TRI Data'!$Z:$Z,'Raw TRI Data'!$J:$J,$E177)&gt;0,_xlfn.MAXIFS('Raw TRI Data'!$Z:$Z,'Raw TRI Data'!$J:$J,$E177), "N/A - Facility Does Not Report to TRI, no surface water releases, or no Generic Factors available"))</f>
        <v>N/A - Facility Does Not Report to TRI, no surface water releases, or no Generic Factors available</v>
      </c>
      <c r="AB177" s="113" t="str">
        <f t="shared" si="20"/>
        <v>N/A</v>
      </c>
      <c r="AC177" s="136" t="str" cm="1">
        <f t="array" ref="AC177">IF(COUNTIF('Raw Annual DMR Data'!K:K,$E177)&gt;0,"N/A - See DMRs",IF(SUMIFS('Raw TRI Data'!$Z:$Z,'Raw TRI Data'!$J:$J,$E177)&gt;0,INDEX('Raw TRI Data'!$A:$A,MATCH(1,($E177='Raw TRI Data'!$J:$J)*($AA177='Raw TRI Data'!$Z:$Z),0)), "N/A - Facility Does Not Report to TRI, no surface water releases, or no Generic Factors available"))</f>
        <v>N/A - Facility Does Not Report to TRI, no surface water releases, or no Generic Factors available</v>
      </c>
      <c r="AD177" s="96" t="str" cm="1">
        <f t="array" ref="AD177">IF(COUNTIFS('Raw Annual DMR Data'!L:L,$F177,'Raw Annual DMR Data'!W:W, "&gt;0")&gt;0,MEDIAN(IF('Raw Annual DMR Data'!K:K=$F177, 'Raw Annual DMR Data'!W:W)), "N/A - No Daily Max DMR Discharge Data")</f>
        <v>N/A - No Daily Max DMR Discharge Data</v>
      </c>
      <c r="AE177" s="96" t="str">
        <f>IF(COUNTIFS('Raw Annual DMR Data'!L:L,$F177,'Raw Annual DMR Data'!W:W, "&gt;0")&gt;0,_xlfn.MAXIFS('Raw Annual DMR Data'!W:W,'Raw Annual DMR Data'!L:L,$F177), "N/A - No Daily Max DMR Discharge Data")</f>
        <v>N/A - No Daily Max DMR Discharge Data</v>
      </c>
      <c r="AF177" s="60" t="str" cm="1">
        <f t="array" ref="AF177">IF(COUNTIFS('Raw Annual DMR Data'!L:L,$F177,'Raw Annual DMR Data'!W:W, "&gt;0")&gt;0,INDEX('Raw Annual DMR Data'!B:B,MATCH(1,($F177='Raw Annual DMR Data'!L:L)*($AE177='Raw Annual DMR Data'!W:W),0)), "N/A - No Daily Max DMR Discharge Data")</f>
        <v>N/A - No Daily Max DMR Discharge Data</v>
      </c>
    </row>
    <row r="178" spans="1:32" ht="45.75" thickBot="1" x14ac:dyDescent="0.3">
      <c r="A178" s="144" t="str">
        <f>VLOOKUP(F178,'Facility Summary'!J:K,2,FALSE)</f>
        <v>POTW</v>
      </c>
      <c r="B178" s="28" t="s">
        <v>1051</v>
      </c>
      <c r="C178" s="28" t="s">
        <v>1052</v>
      </c>
      <c r="D178" s="28" t="s">
        <v>374</v>
      </c>
      <c r="E178" s="28"/>
      <c r="F178" s="61">
        <v>110022853429</v>
      </c>
      <c r="G178" s="60" t="str">
        <f>VLOOKUP($F178, 'Raw Annual DMR Data'!$A:$Z, 24, FALSE)</f>
        <v>AZ0025241</v>
      </c>
      <c r="H178" s="60">
        <f>VLOOKUP($F178, 'Raw Annual DMR Data'!$A:$Z, 25, FALSE)</f>
        <v>0</v>
      </c>
      <c r="I178" s="74">
        <f>VLOOKUP($F178, 'Raw Annual DMR Data'!$A:$Z, 26, FALSE)</f>
        <v>15030101001352</v>
      </c>
      <c r="J178" s="74" t="s">
        <v>265</v>
      </c>
      <c r="K178" s="60">
        <f>VLOOKUP(A178, 'OES Summary'!$A:$B, 2, FALSE)</f>
        <v>365</v>
      </c>
      <c r="L178" s="304" cm="1">
        <f t="array" ref="L178">IF(COUNTIF('Raw Annual DMR Data'!$L:$L,$F178)&gt;0,MEDIAN(IF('Raw Annual DMR Data'!$L:$L=F178,'Raw Annual DMR Data'!$S:$S)),"N/A - Facility Does Not Report DMRs")</f>
        <v>1.2744568125</v>
      </c>
      <c r="M178" s="156">
        <f t="shared" si="18"/>
        <v>3.4916625000000001E-3</v>
      </c>
      <c r="N178" s="156">
        <f>IF(COUNTIF('Raw Annual DMR Data'!$L:$L,$F178)&gt;0,_xlfn.MAXIFS('Raw Annual DMR Data'!$S:$S,'Raw Annual DMR Data'!$L:$L,$F178), "N/A - Facility Does Not Report DMRs")</f>
        <v>1.2744568125</v>
      </c>
      <c r="O178" s="156">
        <f t="shared" si="19"/>
        <v>3.4916625000000001E-3</v>
      </c>
      <c r="P178" s="113" cm="1">
        <f t="array" ref="P178">IF(COUNTIF('Raw Annual DMR Data'!$L:$L,$F178)&gt;0,INDEX('Raw Annual DMR Data'!$B:$B,MATCH(1,($F178='Raw Annual DMR Data'!$L:$L)*($N178='Raw Annual DMR Data'!$S:$S),0)), "N/A - Facility Does Not Report DMRs")</f>
        <v>2016</v>
      </c>
      <c r="Q178" s="304" t="str" cm="1">
        <f t="array" ref="Q178">IF(COUNTIF('Raw TRI Data'!$J:$J,$E178)&gt;0,MEDIAN(IF('Raw TRI Data'!$J:$J=E178,'Raw TRI Data'!$S:$S)), "N/A - Facility Does Not Report to TRI")</f>
        <v>N/A - Facility Does Not Report to TRI</v>
      </c>
      <c r="R178" s="156" t="str">
        <f t="shared" si="16"/>
        <v>N/A - Facility Does Not Report to TRI</v>
      </c>
      <c r="S178" s="156" t="str">
        <f>IF(COUNTIF('Raw TRI Data'!$J:$J,$E178)&gt;0,_xlfn.MAXIFS('Raw TRI Data'!$S:$S,'Raw TRI Data'!$J:$J,$E178), "N/A - Facility Does Not Report to TRI")</f>
        <v>N/A - Facility Does Not Report to TRI</v>
      </c>
      <c r="T178" s="156" t="str">
        <f t="shared" si="17"/>
        <v>N/A - Facility Does Not Report to TRI</v>
      </c>
      <c r="U178" s="136" t="str" cm="1">
        <f t="array" ref="U178">IF(COUNTIF('Raw TRI Data'!$J:$J,$E178)&gt;0,INDEX('Raw TRI Data'!$A:$A,MATCH(1,($E178='Raw TRI Data'!$J:$J)*(S178='Raw TRI Data'!$S:$S),0)), "N/A - Facility Does Not Report to TRI")</f>
        <v>N/A - Facility Does Not Report to TRI</v>
      </c>
      <c r="V178" s="156" t="str" cm="1">
        <f t="array" ref="V178">IF(COUNTIFS('Raw Annual DMR Data'!$L:$L,$F178,'Raw Annual DMR Data'!$U:$U,"&gt;0")&gt;0,MEDIAN(IF('Raw Annual DMR Data'!$L:$L=$F178,'Raw Annual DMR Data'!$U:$U,"")),"N/A - Period DMR Data Not Available")</f>
        <v>N/A - Period DMR Data Not Available</v>
      </c>
      <c r="W178" s="156" t="str">
        <f>IF(COUNTIFS('Raw Annual DMR Data'!$L:$L,$F178, 'Raw Annual DMR Data'!$U:$U, "&gt;0")&gt;0,_xlfn.MAXIFS('Raw Annual DMR Data'!$U:$U,'Raw Annual DMR Data'!$L:$L,$F178), "N/A - Period DMR Data Not Available")</f>
        <v>N/A - Period DMR Data Not Available</v>
      </c>
      <c r="X178" s="113" t="str" cm="1">
        <f t="array" ref="X178">+IF(COUNTIFS('Raw Annual DMR Data'!L:L,$F178, 'Raw Annual DMR Data'!U:U, "&gt;0")&gt;0,INDEX('Raw Annual DMR Data'!V:V,MATCH(1,($F178='Raw Annual DMR Data'!L:L)*($W178='Raw Annual DMR Data'!U:U),0)), "N/A - Period DMR Data Not Available")</f>
        <v>N/A - Period DMR Data Not Available</v>
      </c>
      <c r="Y178" s="113" t="str" cm="1">
        <f t="array" ref="Y178">IF(COUNTIFS('Raw Annual DMR Data'!L:L,$F178, 'Raw Annual DMR Data'!U:U, "&gt;0")&gt;0,INDEX('Raw Annual DMR Data'!B:B,MATCH(1,($F178='Raw Annual DMR Data'!L:L)*($W178='Raw Annual DMR Data'!U:U),0)), "N/A - Period DMR Data Not Available")</f>
        <v>N/A - Period DMR Data Not Available</v>
      </c>
      <c r="Z178" s="311" t="str" cm="1">
        <f t="array" ref="Z178">IF(COUNTIF('Raw Annual DMR Data'!K:K,$E178)&gt;0,"N/A - See DMRs",IF(SUMIFS('Raw TRI Data'!$Z:$Z,'Raw TRI Data'!$J:$J,$E178)&gt;0,MEDIAN(IF('Raw TRI Data'!$J:$J=$E178,'Raw TRI Data'!$Z:$Z)), "N/A - Facility Does Not Report to TRI, no surface water releases, or no Generic Factors available"))</f>
        <v>N/A - Facility Does Not Report to TRI, no surface water releases, or no Generic Factors available</v>
      </c>
      <c r="AA178" s="156" t="str">
        <f>IF(COUNTIF('Raw Annual DMR Data'!K:K,$E178)&gt;0,"N/A - See DMRs",IF(SUMIFS('Raw TRI Data'!$Z:$Z,'Raw TRI Data'!$J:$J,$E178)&gt;0,_xlfn.MAXIFS('Raw TRI Data'!$Z:$Z,'Raw TRI Data'!$J:$J,$E178), "N/A - Facility Does Not Report to TRI, no surface water releases, or no Generic Factors available"))</f>
        <v>N/A - Facility Does Not Report to TRI, no surface water releases, or no Generic Factors available</v>
      </c>
      <c r="AB178" s="113" t="str">
        <f t="shared" si="20"/>
        <v>N/A</v>
      </c>
      <c r="AC178" s="136" t="str" cm="1">
        <f t="array" ref="AC178">IF(COUNTIF('Raw Annual DMR Data'!K:K,$E178)&gt;0,"N/A - See DMRs",IF(SUMIFS('Raw TRI Data'!$Z:$Z,'Raw TRI Data'!$J:$J,$E178)&gt;0,INDEX('Raw TRI Data'!$A:$A,MATCH(1,($E178='Raw TRI Data'!$J:$J)*($AA178='Raw TRI Data'!$Z:$Z),0)), "N/A - Facility Does Not Report to TRI, no surface water releases, or no Generic Factors available"))</f>
        <v>N/A - Facility Does Not Report to TRI, no surface water releases, or no Generic Factors available</v>
      </c>
      <c r="AD178" s="96" t="str" cm="1">
        <f t="array" ref="AD178">IF(COUNTIFS('Raw Annual DMR Data'!L:L,$F178,'Raw Annual DMR Data'!W:W, "&gt;0")&gt;0,MEDIAN(IF('Raw Annual DMR Data'!K:K=$F178, 'Raw Annual DMR Data'!W:W)), "N/A - No Daily Max DMR Discharge Data")</f>
        <v>N/A - No Daily Max DMR Discharge Data</v>
      </c>
      <c r="AE178" s="96" t="str">
        <f>IF(COUNTIFS('Raw Annual DMR Data'!L:L,$F178,'Raw Annual DMR Data'!W:W, "&gt;0")&gt;0,_xlfn.MAXIFS('Raw Annual DMR Data'!W:W,'Raw Annual DMR Data'!L:L,$F178), "N/A - No Daily Max DMR Discharge Data")</f>
        <v>N/A - No Daily Max DMR Discharge Data</v>
      </c>
      <c r="AF178" s="60" t="str" cm="1">
        <f t="array" ref="AF178">IF(COUNTIFS('Raw Annual DMR Data'!L:L,$F178,'Raw Annual DMR Data'!W:W, "&gt;0")&gt;0,INDEX('Raw Annual DMR Data'!B:B,MATCH(1,($F178='Raw Annual DMR Data'!L:L)*($AE178='Raw Annual DMR Data'!W:W),0)), "N/A - No Daily Max DMR Discharge Data")</f>
        <v>N/A - No Daily Max DMR Discharge Data</v>
      </c>
    </row>
    <row r="179" spans="1:32" ht="45.75" thickBot="1" x14ac:dyDescent="0.3">
      <c r="A179" s="144" t="str">
        <f>VLOOKUP(F179,'Facility Summary'!J:K,2,FALSE)</f>
        <v>POTW</v>
      </c>
      <c r="B179" s="28" t="s">
        <v>1053</v>
      </c>
      <c r="C179" s="28" t="s">
        <v>1054</v>
      </c>
      <c r="D179" s="28" t="s">
        <v>374</v>
      </c>
      <c r="E179" s="28"/>
      <c r="F179" s="61">
        <v>110015317423</v>
      </c>
      <c r="G179" s="60" t="str">
        <f>VLOOKUP($F179, 'Raw Annual DMR Data'!$A:$Z, 24, FALSE)</f>
        <v>AZ0024945</v>
      </c>
      <c r="H179" s="60">
        <f>VLOOKUP($F179, 'Raw Annual DMR Data'!$A:$Z, 25, FALSE)</f>
        <v>0</v>
      </c>
      <c r="I179" s="74">
        <f>VLOOKUP($F179, 'Raw Annual DMR Data'!$A:$Z, 26, FALSE)</f>
        <v>15030104003460</v>
      </c>
      <c r="J179" s="74" t="s">
        <v>265</v>
      </c>
      <c r="K179" s="60">
        <f>VLOOKUP(A179, 'OES Summary'!$A:$B, 2, FALSE)</f>
        <v>365</v>
      </c>
      <c r="L179" s="304" cm="1">
        <f t="array" ref="L179">IF(COUNTIF('Raw Annual DMR Data'!$L:$L,$F179)&gt;0,MEDIAN(IF('Raw Annual DMR Data'!$L:$L=F179,'Raw Annual DMR Data'!$S:$S)),"N/A - Facility Does Not Report DMRs")</f>
        <v>1.009894775</v>
      </c>
      <c r="M179" s="156">
        <f t="shared" si="18"/>
        <v>2.766835E-3</v>
      </c>
      <c r="N179" s="156">
        <f>IF(COUNTIF('Raw Annual DMR Data'!$L:$L,$F179)&gt;0,_xlfn.MAXIFS('Raw Annual DMR Data'!$S:$S,'Raw Annual DMR Data'!$L:$L,$F179), "N/A - Facility Does Not Report DMRs")</f>
        <v>1.183966925</v>
      </c>
      <c r="O179" s="156">
        <f t="shared" si="19"/>
        <v>3.2437450000000001E-3</v>
      </c>
      <c r="P179" s="113" cm="1">
        <f t="array" ref="P179">IF(COUNTIF('Raw Annual DMR Data'!$L:$L,$F179)&gt;0,INDEX('Raw Annual DMR Data'!$B:$B,MATCH(1,($F179='Raw Annual DMR Data'!$L:$L)*($N179='Raw Annual DMR Data'!$S:$S),0)), "N/A - Facility Does Not Report DMRs")</f>
        <v>2018</v>
      </c>
      <c r="Q179" s="304" t="str" cm="1">
        <f t="array" ref="Q179">IF(COUNTIF('Raw TRI Data'!$J:$J,$E179)&gt;0,MEDIAN(IF('Raw TRI Data'!$J:$J=E179,'Raw TRI Data'!$S:$S)), "N/A - Facility Does Not Report to TRI")</f>
        <v>N/A - Facility Does Not Report to TRI</v>
      </c>
      <c r="R179" s="156" t="str">
        <f t="shared" si="16"/>
        <v>N/A - Facility Does Not Report to TRI</v>
      </c>
      <c r="S179" s="156" t="str">
        <f>IF(COUNTIF('Raw TRI Data'!$J:$J,$E179)&gt;0,_xlfn.MAXIFS('Raw TRI Data'!$S:$S,'Raw TRI Data'!$J:$J,$E179), "N/A - Facility Does Not Report to TRI")</f>
        <v>N/A - Facility Does Not Report to TRI</v>
      </c>
      <c r="T179" s="156" t="str">
        <f t="shared" si="17"/>
        <v>N/A - Facility Does Not Report to TRI</v>
      </c>
      <c r="U179" s="136" t="str" cm="1">
        <f t="array" ref="U179">IF(COUNTIF('Raw TRI Data'!$J:$J,$E179)&gt;0,INDEX('Raw TRI Data'!$A:$A,MATCH(1,($E179='Raw TRI Data'!$J:$J)*(S179='Raw TRI Data'!$S:$S),0)), "N/A - Facility Does Not Report to TRI")</f>
        <v>N/A - Facility Does Not Report to TRI</v>
      </c>
      <c r="V179" s="156" t="str" cm="1">
        <f t="array" ref="V179">IF(COUNTIFS('Raw Annual DMR Data'!$L:$L,$F179,'Raw Annual DMR Data'!$U:$U,"&gt;0")&gt;0,MEDIAN(IF('Raw Annual DMR Data'!$L:$L=$F179,'Raw Annual DMR Data'!$U:$U,"")),"N/A - Period DMR Data Not Available")</f>
        <v>N/A - Period DMR Data Not Available</v>
      </c>
      <c r="W179" s="156" t="str">
        <f>IF(COUNTIFS('Raw Annual DMR Data'!$L:$L,$F179, 'Raw Annual DMR Data'!$U:$U, "&gt;0")&gt;0,_xlfn.MAXIFS('Raw Annual DMR Data'!$U:$U,'Raw Annual DMR Data'!$L:$L,$F179), "N/A - Period DMR Data Not Available")</f>
        <v>N/A - Period DMR Data Not Available</v>
      </c>
      <c r="X179" s="113" t="str" cm="1">
        <f t="array" ref="X179">+IF(COUNTIFS('Raw Annual DMR Data'!L:L,$F179, 'Raw Annual DMR Data'!U:U, "&gt;0")&gt;0,INDEX('Raw Annual DMR Data'!V:V,MATCH(1,($F179='Raw Annual DMR Data'!L:L)*($W179='Raw Annual DMR Data'!U:U),0)), "N/A - Period DMR Data Not Available")</f>
        <v>N/A - Period DMR Data Not Available</v>
      </c>
      <c r="Y179" s="113" t="str" cm="1">
        <f t="array" ref="Y179">IF(COUNTIFS('Raw Annual DMR Data'!L:L,$F179, 'Raw Annual DMR Data'!U:U, "&gt;0")&gt;0,INDEX('Raw Annual DMR Data'!B:B,MATCH(1,($F179='Raw Annual DMR Data'!L:L)*($W179='Raw Annual DMR Data'!U:U),0)), "N/A - Period DMR Data Not Available")</f>
        <v>N/A - Period DMR Data Not Available</v>
      </c>
      <c r="Z179" s="311" t="str" cm="1">
        <f t="array" ref="Z179">IF(COUNTIF('Raw Annual DMR Data'!K:K,$E179)&gt;0,"N/A - See DMRs",IF(SUMIFS('Raw TRI Data'!$Z:$Z,'Raw TRI Data'!$J:$J,$E179)&gt;0,MEDIAN(IF('Raw TRI Data'!$J:$J=$E179,'Raw TRI Data'!$Z:$Z)), "N/A - Facility Does Not Report to TRI, no surface water releases, or no Generic Factors available"))</f>
        <v>N/A - Facility Does Not Report to TRI, no surface water releases, or no Generic Factors available</v>
      </c>
      <c r="AA179" s="156" t="str">
        <f>IF(COUNTIF('Raw Annual DMR Data'!K:K,$E179)&gt;0,"N/A - See DMRs",IF(SUMIFS('Raw TRI Data'!$Z:$Z,'Raw TRI Data'!$J:$J,$E179)&gt;0,_xlfn.MAXIFS('Raw TRI Data'!$Z:$Z,'Raw TRI Data'!$J:$J,$E179), "N/A - Facility Does Not Report to TRI, no surface water releases, or no Generic Factors available"))</f>
        <v>N/A - Facility Does Not Report to TRI, no surface water releases, or no Generic Factors available</v>
      </c>
      <c r="AB179" s="113" t="str">
        <f t="shared" si="20"/>
        <v>N/A</v>
      </c>
      <c r="AC179" s="136" t="str" cm="1">
        <f t="array" ref="AC179">IF(COUNTIF('Raw Annual DMR Data'!K:K,$E179)&gt;0,"N/A - See DMRs",IF(SUMIFS('Raw TRI Data'!$Z:$Z,'Raw TRI Data'!$J:$J,$E179)&gt;0,INDEX('Raw TRI Data'!$A:$A,MATCH(1,($E179='Raw TRI Data'!$J:$J)*($AA179='Raw TRI Data'!$Z:$Z),0)), "N/A - Facility Does Not Report to TRI, no surface water releases, or no Generic Factors available"))</f>
        <v>N/A - Facility Does Not Report to TRI, no surface water releases, or no Generic Factors available</v>
      </c>
      <c r="AD179" s="96" t="str" cm="1">
        <f t="array" ref="AD179">IF(COUNTIFS('Raw Annual DMR Data'!L:L,$F179,'Raw Annual DMR Data'!W:W, "&gt;0")&gt;0,MEDIAN(IF('Raw Annual DMR Data'!K:K=$F179, 'Raw Annual DMR Data'!W:W)), "N/A - No Daily Max DMR Discharge Data")</f>
        <v>N/A - No Daily Max DMR Discharge Data</v>
      </c>
      <c r="AE179" s="96" t="str">
        <f>IF(COUNTIFS('Raw Annual DMR Data'!L:L,$F179,'Raw Annual DMR Data'!W:W, "&gt;0")&gt;0,_xlfn.MAXIFS('Raw Annual DMR Data'!W:W,'Raw Annual DMR Data'!L:L,$F179), "N/A - No Daily Max DMR Discharge Data")</f>
        <v>N/A - No Daily Max DMR Discharge Data</v>
      </c>
      <c r="AF179" s="60" t="str" cm="1">
        <f t="array" ref="AF179">IF(COUNTIFS('Raw Annual DMR Data'!L:L,$F179,'Raw Annual DMR Data'!W:W, "&gt;0")&gt;0,INDEX('Raw Annual DMR Data'!B:B,MATCH(1,($F179='Raw Annual DMR Data'!L:L)*($AE179='Raw Annual DMR Data'!W:W),0)), "N/A - No Daily Max DMR Discharge Data")</f>
        <v>N/A - No Daily Max DMR Discharge Data</v>
      </c>
    </row>
    <row r="180" spans="1:32" ht="45.75" thickBot="1" x14ac:dyDescent="0.3">
      <c r="A180" s="144" t="str">
        <f>VLOOKUP(F180,'Facility Summary'!J:K,2,FALSE)</f>
        <v>Remediation</v>
      </c>
      <c r="B180" s="28" t="s">
        <v>1055</v>
      </c>
      <c r="C180" s="28" t="s">
        <v>962</v>
      </c>
      <c r="D180" s="28" t="s">
        <v>374</v>
      </c>
      <c r="E180" s="28"/>
      <c r="F180" s="61">
        <v>110009066278</v>
      </c>
      <c r="G180" s="60" t="str">
        <f>VLOOKUP($F180, 'Raw Annual DMR Data'!$A:$Z, 24, FALSE)</f>
        <v>AZ0024554</v>
      </c>
      <c r="H180" s="60">
        <f>VLOOKUP($F180, 'Raw Annual DMR Data'!$A:$Z, 25, FALSE)</f>
        <v>0</v>
      </c>
      <c r="I180" s="74">
        <f>VLOOKUP($F180, 'Raw Annual DMR Data'!$A:$Z, 26, FALSE)</f>
        <v>15050100002987</v>
      </c>
      <c r="J180" s="74" t="s">
        <v>265</v>
      </c>
      <c r="K180" s="60">
        <f>VLOOKUP(A180, 'OES Summary'!$A:$B, 2, FALSE)</f>
        <v>365</v>
      </c>
      <c r="L180" s="304" cm="1">
        <f t="array" ref="L180">IF(COUNTIF('Raw Annual DMR Data'!$L:$L,$F180)&gt;0,MEDIAN(IF('Raw Annual DMR Data'!$L:$L=F180,'Raw Annual DMR Data'!$S:$S)),"N/A - Facility Does Not Report DMRs")</f>
        <v>1.255806225E-2</v>
      </c>
      <c r="M180" s="156">
        <f t="shared" si="18"/>
        <v>3.4405649999999998E-5</v>
      </c>
      <c r="N180" s="156">
        <f>IF(COUNTIF('Raw Annual DMR Data'!$L:$L,$F180)&gt;0,_xlfn.MAXIFS('Raw Annual DMR Data'!$S:$S,'Raw Annual DMR Data'!$L:$L,$F180), "N/A - Facility Does Not Report DMRs")</f>
        <v>2.6359496999999999E-2</v>
      </c>
      <c r="O180" s="156">
        <f t="shared" si="19"/>
        <v>7.2217799999999992E-5</v>
      </c>
      <c r="P180" s="113" cm="1">
        <f t="array" ref="P180">IF(COUNTIF('Raw Annual DMR Data'!$L:$L,$F180)&gt;0,INDEX('Raw Annual DMR Data'!$B:$B,MATCH(1,($F180='Raw Annual DMR Data'!$L:$L)*($N180='Raw Annual DMR Data'!$S:$S),0)), "N/A - Facility Does Not Report DMRs")</f>
        <v>2016</v>
      </c>
      <c r="Q180" s="304" t="str" cm="1">
        <f t="array" ref="Q180">IF(COUNTIF('Raw TRI Data'!$J:$J,$E180)&gt;0,MEDIAN(IF('Raw TRI Data'!$J:$J=E180,'Raw TRI Data'!$S:$S)), "N/A - Facility Does Not Report to TRI")</f>
        <v>N/A - Facility Does Not Report to TRI</v>
      </c>
      <c r="R180" s="156" t="str">
        <f t="shared" si="16"/>
        <v>N/A - Facility Does Not Report to TRI</v>
      </c>
      <c r="S180" s="156" t="str">
        <f>IF(COUNTIF('Raw TRI Data'!$J:$J,$E180)&gt;0,_xlfn.MAXIFS('Raw TRI Data'!$S:$S,'Raw TRI Data'!$J:$J,$E180), "N/A - Facility Does Not Report to TRI")</f>
        <v>N/A - Facility Does Not Report to TRI</v>
      </c>
      <c r="T180" s="156" t="str">
        <f t="shared" si="17"/>
        <v>N/A - Facility Does Not Report to TRI</v>
      </c>
      <c r="U180" s="136" t="str" cm="1">
        <f t="array" ref="U180">IF(COUNTIF('Raw TRI Data'!$J:$J,$E180)&gt;0,INDEX('Raw TRI Data'!$A:$A,MATCH(1,($E180='Raw TRI Data'!$J:$J)*(S180='Raw TRI Data'!$S:$S),0)), "N/A - Facility Does Not Report to TRI")</f>
        <v>N/A - Facility Does Not Report to TRI</v>
      </c>
      <c r="V180" s="156" t="str" cm="1">
        <f t="array" ref="V180">IF(COUNTIFS('Raw Annual DMR Data'!$L:$L,$F180,'Raw Annual DMR Data'!$U:$U,"&gt;0")&gt;0,MEDIAN(IF('Raw Annual DMR Data'!$L:$L=$F180,'Raw Annual DMR Data'!$U:$U,"")),"N/A - Period DMR Data Not Available")</f>
        <v>N/A - Period DMR Data Not Available</v>
      </c>
      <c r="W180" s="156" t="str">
        <f>IF(COUNTIFS('Raw Annual DMR Data'!$L:$L,$F180, 'Raw Annual DMR Data'!$U:$U, "&gt;0")&gt;0,_xlfn.MAXIFS('Raw Annual DMR Data'!$U:$U,'Raw Annual DMR Data'!$L:$L,$F180), "N/A - Period DMR Data Not Available")</f>
        <v>N/A - Period DMR Data Not Available</v>
      </c>
      <c r="X180" s="113" t="str" cm="1">
        <f t="array" ref="X180">+IF(COUNTIFS('Raw Annual DMR Data'!L:L,$F180, 'Raw Annual DMR Data'!U:U, "&gt;0")&gt;0,INDEX('Raw Annual DMR Data'!V:V,MATCH(1,($F180='Raw Annual DMR Data'!L:L)*($W180='Raw Annual DMR Data'!U:U),0)), "N/A - Period DMR Data Not Available")</f>
        <v>N/A - Period DMR Data Not Available</v>
      </c>
      <c r="Y180" s="113" t="str" cm="1">
        <f t="array" ref="Y180">IF(COUNTIFS('Raw Annual DMR Data'!L:L,$F180, 'Raw Annual DMR Data'!U:U, "&gt;0")&gt;0,INDEX('Raw Annual DMR Data'!B:B,MATCH(1,($F180='Raw Annual DMR Data'!L:L)*($W180='Raw Annual DMR Data'!U:U),0)), "N/A - Period DMR Data Not Available")</f>
        <v>N/A - Period DMR Data Not Available</v>
      </c>
      <c r="Z180" s="311" t="str" cm="1">
        <f t="array" ref="Z180">IF(COUNTIF('Raw Annual DMR Data'!K:K,$E180)&gt;0,"N/A - See DMRs",IF(SUMIFS('Raw TRI Data'!$Z:$Z,'Raw TRI Data'!$J:$J,$E180)&gt;0,MEDIAN(IF('Raw TRI Data'!$J:$J=$E180,'Raw TRI Data'!$Z:$Z)), "N/A - Facility Does Not Report to TRI, no surface water releases, or no Generic Factors available"))</f>
        <v>N/A - Facility Does Not Report to TRI, no surface water releases, or no Generic Factors available</v>
      </c>
      <c r="AA180" s="156" t="str">
        <f>IF(COUNTIF('Raw Annual DMR Data'!K:K,$E180)&gt;0,"N/A - See DMRs",IF(SUMIFS('Raw TRI Data'!$Z:$Z,'Raw TRI Data'!$J:$J,$E180)&gt;0,_xlfn.MAXIFS('Raw TRI Data'!$Z:$Z,'Raw TRI Data'!$J:$J,$E180), "N/A - Facility Does Not Report to TRI, no surface water releases, or no Generic Factors available"))</f>
        <v>N/A - Facility Does Not Report to TRI, no surface water releases, or no Generic Factors available</v>
      </c>
      <c r="AB180" s="113" t="str">
        <f t="shared" si="20"/>
        <v>N/A</v>
      </c>
      <c r="AC180" s="136" t="str" cm="1">
        <f t="array" ref="AC180">IF(COUNTIF('Raw Annual DMR Data'!K:K,$E180)&gt;0,"N/A - See DMRs",IF(SUMIFS('Raw TRI Data'!$Z:$Z,'Raw TRI Data'!$J:$J,$E180)&gt;0,INDEX('Raw TRI Data'!$A:$A,MATCH(1,($E180='Raw TRI Data'!$J:$J)*($AA180='Raw TRI Data'!$Z:$Z),0)), "N/A - Facility Does Not Report to TRI, no surface water releases, or no Generic Factors available"))</f>
        <v>N/A - Facility Does Not Report to TRI, no surface water releases, or no Generic Factors available</v>
      </c>
      <c r="AD180" s="96" t="str" cm="1">
        <f t="array" ref="AD180">IF(COUNTIFS('Raw Annual DMR Data'!L:L,$F180,'Raw Annual DMR Data'!W:W, "&gt;0")&gt;0,MEDIAN(IF('Raw Annual DMR Data'!K:K=$F180, 'Raw Annual DMR Data'!W:W)), "N/A - No Daily Max DMR Discharge Data")</f>
        <v>N/A - No Daily Max DMR Discharge Data</v>
      </c>
      <c r="AE180" s="96" t="str">
        <f>IF(COUNTIFS('Raw Annual DMR Data'!L:L,$F180,'Raw Annual DMR Data'!W:W, "&gt;0")&gt;0,_xlfn.MAXIFS('Raw Annual DMR Data'!W:W,'Raw Annual DMR Data'!L:L,$F180), "N/A - No Daily Max DMR Discharge Data")</f>
        <v>N/A - No Daily Max DMR Discharge Data</v>
      </c>
      <c r="AF180" s="60" t="str" cm="1">
        <f t="array" ref="AF180">IF(COUNTIFS('Raw Annual DMR Data'!L:L,$F180,'Raw Annual DMR Data'!W:W, "&gt;0")&gt;0,INDEX('Raw Annual DMR Data'!B:B,MATCH(1,($F180='Raw Annual DMR Data'!L:L)*($AE180='Raw Annual DMR Data'!W:W),0)), "N/A - No Daily Max DMR Discharge Data")</f>
        <v>N/A - No Daily Max DMR Discharge Data</v>
      </c>
    </row>
    <row r="181" spans="1:32" ht="45.75" thickBot="1" x14ac:dyDescent="0.3">
      <c r="A181" s="144" t="str">
        <f>VLOOKUP(F181,'Facility Summary'!J:K,2,FALSE)</f>
        <v>POTW</v>
      </c>
      <c r="B181" s="28" t="s">
        <v>1056</v>
      </c>
      <c r="C181" s="28" t="s">
        <v>1057</v>
      </c>
      <c r="D181" s="28" t="s">
        <v>374</v>
      </c>
      <c r="E181" s="28"/>
      <c r="F181" s="61">
        <v>110006785149</v>
      </c>
      <c r="G181" s="60" t="str">
        <f>VLOOKUP($F181, 'Raw Annual DMR Data'!$A:$Z, 24, FALSE)</f>
        <v>AZ0023841</v>
      </c>
      <c r="H181" s="60" t="str">
        <f>VLOOKUP($F181, 'Raw Annual DMR Data'!$A:$Z, 25, FALSE)</f>
        <v>TELEPHONE LAKE</v>
      </c>
      <c r="I181" s="74">
        <f>VLOOKUP($F181, 'Raw Annual DMR Data'!$A:$Z, 26, FALSE)</f>
        <v>15020005000364</v>
      </c>
      <c r="J181" s="74" t="s">
        <v>265</v>
      </c>
      <c r="K181" s="60">
        <f>VLOOKUP(A181, 'OES Summary'!$A:$B, 2, FALSE)</f>
        <v>365</v>
      </c>
      <c r="L181" s="304" cm="1">
        <f t="array" ref="L181">IF(COUNTIF('Raw Annual DMR Data'!$L:$L,$F181)&gt;0,MEDIAN(IF('Raw Annual DMR Data'!$L:$L=F181,'Raw Annual DMR Data'!$S:$S)),"N/A - Facility Does Not Report DMRs")</f>
        <v>2.7734114375000001</v>
      </c>
      <c r="M181" s="156">
        <f t="shared" si="18"/>
        <v>7.5983875000000005E-3</v>
      </c>
      <c r="N181" s="156">
        <f>IF(COUNTIF('Raw Annual DMR Data'!$L:$L,$F181)&gt;0,_xlfn.MAXIFS('Raw Annual DMR Data'!$S:$S,'Raw Annual DMR Data'!$L:$L,$F181), "N/A - Facility Does Not Report DMRs")</f>
        <v>3.9718843750000001</v>
      </c>
      <c r="O181" s="156">
        <f t="shared" si="19"/>
        <v>1.0881875000000001E-2</v>
      </c>
      <c r="P181" s="113" cm="1">
        <f t="array" ref="P181">IF(COUNTIF('Raw Annual DMR Data'!$L:$L,$F181)&gt;0,INDEX('Raw Annual DMR Data'!$B:$B,MATCH(1,($F181='Raw Annual DMR Data'!$L:$L)*($N181='Raw Annual DMR Data'!$S:$S),0)), "N/A - Facility Does Not Report DMRs")</f>
        <v>2015</v>
      </c>
      <c r="Q181" s="304" t="str" cm="1">
        <f t="array" ref="Q181">IF(COUNTIF('Raw TRI Data'!$J:$J,$E181)&gt;0,MEDIAN(IF('Raw TRI Data'!$J:$J=E181,'Raw TRI Data'!$S:$S)), "N/A - Facility Does Not Report to TRI")</f>
        <v>N/A - Facility Does Not Report to TRI</v>
      </c>
      <c r="R181" s="156" t="str">
        <f t="shared" si="16"/>
        <v>N/A - Facility Does Not Report to TRI</v>
      </c>
      <c r="S181" s="156" t="str">
        <f>IF(COUNTIF('Raw TRI Data'!$J:$J,$E181)&gt;0,_xlfn.MAXIFS('Raw TRI Data'!$S:$S,'Raw TRI Data'!$J:$J,$E181), "N/A - Facility Does Not Report to TRI")</f>
        <v>N/A - Facility Does Not Report to TRI</v>
      </c>
      <c r="T181" s="156" t="str">
        <f t="shared" si="17"/>
        <v>N/A - Facility Does Not Report to TRI</v>
      </c>
      <c r="U181" s="136" t="str" cm="1">
        <f t="array" ref="U181">IF(COUNTIF('Raw TRI Data'!$J:$J,$E181)&gt;0,INDEX('Raw TRI Data'!$A:$A,MATCH(1,($E181='Raw TRI Data'!$J:$J)*(S181='Raw TRI Data'!$S:$S),0)), "N/A - Facility Does Not Report to TRI")</f>
        <v>N/A - Facility Does Not Report to TRI</v>
      </c>
      <c r="V181" s="156" t="str" cm="1">
        <f t="array" ref="V181">IF(COUNTIFS('Raw Annual DMR Data'!$L:$L,$F181,'Raw Annual DMR Data'!$U:$U,"&gt;0")&gt;0,MEDIAN(IF('Raw Annual DMR Data'!$L:$L=$F181,'Raw Annual DMR Data'!$U:$U,"")),"N/A - Period DMR Data Not Available")</f>
        <v>N/A - Period DMR Data Not Available</v>
      </c>
      <c r="W181" s="156" t="str">
        <f>IF(COUNTIFS('Raw Annual DMR Data'!$L:$L,$F181, 'Raw Annual DMR Data'!$U:$U, "&gt;0")&gt;0,_xlfn.MAXIFS('Raw Annual DMR Data'!$U:$U,'Raw Annual DMR Data'!$L:$L,$F181), "N/A - Period DMR Data Not Available")</f>
        <v>N/A - Period DMR Data Not Available</v>
      </c>
      <c r="X181" s="113" t="str" cm="1">
        <f t="array" ref="X181">+IF(COUNTIFS('Raw Annual DMR Data'!L:L,$F181, 'Raw Annual DMR Data'!U:U, "&gt;0")&gt;0,INDEX('Raw Annual DMR Data'!V:V,MATCH(1,($F181='Raw Annual DMR Data'!L:L)*($W181='Raw Annual DMR Data'!U:U),0)), "N/A - Period DMR Data Not Available")</f>
        <v>N/A - Period DMR Data Not Available</v>
      </c>
      <c r="Y181" s="113" t="str" cm="1">
        <f t="array" ref="Y181">IF(COUNTIFS('Raw Annual DMR Data'!L:L,$F181, 'Raw Annual DMR Data'!U:U, "&gt;0")&gt;0,INDEX('Raw Annual DMR Data'!B:B,MATCH(1,($F181='Raw Annual DMR Data'!L:L)*($W181='Raw Annual DMR Data'!U:U),0)), "N/A - Period DMR Data Not Available")</f>
        <v>N/A - Period DMR Data Not Available</v>
      </c>
      <c r="Z181" s="311" t="str" cm="1">
        <f t="array" ref="Z181">IF(COUNTIF('Raw Annual DMR Data'!K:K,$E181)&gt;0,"N/A - See DMRs",IF(SUMIFS('Raw TRI Data'!$Z:$Z,'Raw TRI Data'!$J:$J,$E181)&gt;0,MEDIAN(IF('Raw TRI Data'!$J:$J=$E181,'Raw TRI Data'!$Z:$Z)), "N/A - Facility Does Not Report to TRI, no surface water releases, or no Generic Factors available"))</f>
        <v>N/A - Facility Does Not Report to TRI, no surface water releases, or no Generic Factors available</v>
      </c>
      <c r="AA181" s="156" t="str">
        <f>IF(COUNTIF('Raw Annual DMR Data'!K:K,$E181)&gt;0,"N/A - See DMRs",IF(SUMIFS('Raw TRI Data'!$Z:$Z,'Raw TRI Data'!$J:$J,$E181)&gt;0,_xlfn.MAXIFS('Raw TRI Data'!$Z:$Z,'Raw TRI Data'!$J:$J,$E181), "N/A - Facility Does Not Report to TRI, no surface water releases, or no Generic Factors available"))</f>
        <v>N/A - Facility Does Not Report to TRI, no surface water releases, or no Generic Factors available</v>
      </c>
      <c r="AB181" s="113" t="str">
        <f t="shared" si="20"/>
        <v>N/A</v>
      </c>
      <c r="AC181" s="136" t="str" cm="1">
        <f t="array" ref="AC181">IF(COUNTIF('Raw Annual DMR Data'!K:K,$E181)&gt;0,"N/A - See DMRs",IF(SUMIFS('Raw TRI Data'!$Z:$Z,'Raw TRI Data'!$J:$J,$E181)&gt;0,INDEX('Raw TRI Data'!$A:$A,MATCH(1,($E181='Raw TRI Data'!$J:$J)*($AA181='Raw TRI Data'!$Z:$Z),0)), "N/A - Facility Does Not Report to TRI, no surface water releases, or no Generic Factors available"))</f>
        <v>N/A - Facility Does Not Report to TRI, no surface water releases, or no Generic Factors available</v>
      </c>
      <c r="AD181" s="96" t="str" cm="1">
        <f t="array" ref="AD181">IF(COUNTIFS('Raw Annual DMR Data'!L:L,$F181,'Raw Annual DMR Data'!W:W, "&gt;0")&gt;0,MEDIAN(IF('Raw Annual DMR Data'!K:K=$F181, 'Raw Annual DMR Data'!W:W)), "N/A - No Daily Max DMR Discharge Data")</f>
        <v>N/A - No Daily Max DMR Discharge Data</v>
      </c>
      <c r="AE181" s="96" t="str">
        <f>IF(COUNTIFS('Raw Annual DMR Data'!L:L,$F181,'Raw Annual DMR Data'!W:W, "&gt;0")&gt;0,_xlfn.MAXIFS('Raw Annual DMR Data'!W:W,'Raw Annual DMR Data'!L:L,$F181), "N/A - No Daily Max DMR Discharge Data")</f>
        <v>N/A - No Daily Max DMR Discharge Data</v>
      </c>
      <c r="AF181" s="60" t="str" cm="1">
        <f t="array" ref="AF181">IF(COUNTIFS('Raw Annual DMR Data'!L:L,$F181,'Raw Annual DMR Data'!W:W, "&gt;0")&gt;0,INDEX('Raw Annual DMR Data'!B:B,MATCH(1,($F181='Raw Annual DMR Data'!L:L)*($AE181='Raw Annual DMR Data'!W:W),0)), "N/A - No Daily Max DMR Discharge Data")</f>
        <v>N/A - No Daily Max DMR Discharge Data</v>
      </c>
    </row>
    <row r="182" spans="1:32" ht="45.75" thickBot="1" x14ac:dyDescent="0.3">
      <c r="A182" s="144" t="str">
        <f>VLOOKUP(F182,'Facility Summary'!J:K,2,FALSE)</f>
        <v>POTW</v>
      </c>
      <c r="B182" s="28" t="s">
        <v>1058</v>
      </c>
      <c r="C182" s="28" t="s">
        <v>1059</v>
      </c>
      <c r="D182" s="28" t="s">
        <v>374</v>
      </c>
      <c r="E182" s="28"/>
      <c r="F182" s="61">
        <v>110006785229</v>
      </c>
      <c r="G182" s="60" t="str">
        <f>VLOOKUP($F182, 'Raw Annual DMR Data'!$A:$Z, 24, FALSE)</f>
        <v>AZ0026603</v>
      </c>
      <c r="H182" s="60">
        <f>VLOOKUP($F182, 'Raw Annual DMR Data'!$A:$Z, 25, FALSE)</f>
        <v>0</v>
      </c>
      <c r="I182" s="74">
        <f>VLOOKUP($F182, 'Raw Annual DMR Data'!$A:$Z, 26, FALSE)</f>
        <v>15070102000451</v>
      </c>
      <c r="J182" s="74" t="s">
        <v>265</v>
      </c>
      <c r="K182" s="60">
        <f>VLOOKUP(A182, 'OES Summary'!$A:$B, 2, FALSE)</f>
        <v>365</v>
      </c>
      <c r="L182" s="304" cm="1">
        <f t="array" ref="L182">IF(COUNTIF('Raw Annual DMR Data'!$L:$L,$F182)&gt;0,MEDIAN(IF('Raw Annual DMR Data'!$L:$L=F182,'Raw Annual DMR Data'!$S:$S)),"N/A - Facility Does Not Report DMRs")</f>
        <v>1.178440825</v>
      </c>
      <c r="M182" s="156">
        <f t="shared" si="18"/>
        <v>3.2286050000000003E-3</v>
      </c>
      <c r="N182" s="156">
        <f>IF(COUNTIF('Raw Annual DMR Data'!$L:$L,$F182)&gt;0,_xlfn.MAXIFS('Raw Annual DMR Data'!$S:$S,'Raw Annual DMR Data'!$L:$L,$F182), "N/A - Facility Does Not Report DMRs")</f>
        <v>1.3538945</v>
      </c>
      <c r="O182" s="156">
        <f t="shared" si="19"/>
        <v>3.7093E-3</v>
      </c>
      <c r="P182" s="113" cm="1">
        <f t="array" ref="P182">IF(COUNTIF('Raw Annual DMR Data'!$L:$L,$F182)&gt;0,INDEX('Raw Annual DMR Data'!$B:$B,MATCH(1,($F182='Raw Annual DMR Data'!$L:$L)*($N182='Raw Annual DMR Data'!$S:$S),0)), "N/A - Facility Does Not Report DMRs")</f>
        <v>2016</v>
      </c>
      <c r="Q182" s="304" t="str" cm="1">
        <f t="array" ref="Q182">IF(COUNTIF('Raw TRI Data'!$J:$J,$E182)&gt;0,MEDIAN(IF('Raw TRI Data'!$J:$J=E182,'Raw TRI Data'!$S:$S)), "N/A - Facility Does Not Report to TRI")</f>
        <v>N/A - Facility Does Not Report to TRI</v>
      </c>
      <c r="R182" s="156" t="str">
        <f t="shared" si="16"/>
        <v>N/A - Facility Does Not Report to TRI</v>
      </c>
      <c r="S182" s="156" t="str">
        <f>IF(COUNTIF('Raw TRI Data'!$J:$J,$E182)&gt;0,_xlfn.MAXIFS('Raw TRI Data'!$S:$S,'Raw TRI Data'!$J:$J,$E182), "N/A - Facility Does Not Report to TRI")</f>
        <v>N/A - Facility Does Not Report to TRI</v>
      </c>
      <c r="T182" s="156" t="str">
        <f t="shared" si="17"/>
        <v>N/A - Facility Does Not Report to TRI</v>
      </c>
      <c r="U182" s="136" t="str" cm="1">
        <f t="array" ref="U182">IF(COUNTIF('Raw TRI Data'!$J:$J,$E182)&gt;0,INDEX('Raw TRI Data'!$A:$A,MATCH(1,($E182='Raw TRI Data'!$J:$J)*(S182='Raw TRI Data'!$S:$S),0)), "N/A - Facility Does Not Report to TRI")</f>
        <v>N/A - Facility Does Not Report to TRI</v>
      </c>
      <c r="V182" s="156" t="str" cm="1">
        <f t="array" ref="V182">IF(COUNTIFS('Raw Annual DMR Data'!$L:$L,$F182,'Raw Annual DMR Data'!$U:$U,"&gt;0")&gt;0,MEDIAN(IF('Raw Annual DMR Data'!$L:$L=$F182,'Raw Annual DMR Data'!$U:$U,"")),"N/A - Period DMR Data Not Available")</f>
        <v>N/A - Period DMR Data Not Available</v>
      </c>
      <c r="W182" s="156" t="str">
        <f>IF(COUNTIFS('Raw Annual DMR Data'!$L:$L,$F182, 'Raw Annual DMR Data'!$U:$U, "&gt;0")&gt;0,_xlfn.MAXIFS('Raw Annual DMR Data'!$U:$U,'Raw Annual DMR Data'!$L:$L,$F182), "N/A - Period DMR Data Not Available")</f>
        <v>N/A - Period DMR Data Not Available</v>
      </c>
      <c r="X182" s="113" t="str" cm="1">
        <f t="array" ref="X182">+IF(COUNTIFS('Raw Annual DMR Data'!L:L,$F182, 'Raw Annual DMR Data'!U:U, "&gt;0")&gt;0,INDEX('Raw Annual DMR Data'!V:V,MATCH(1,($F182='Raw Annual DMR Data'!L:L)*($W182='Raw Annual DMR Data'!U:U),0)), "N/A - Period DMR Data Not Available")</f>
        <v>N/A - Period DMR Data Not Available</v>
      </c>
      <c r="Y182" s="113" t="str" cm="1">
        <f t="array" ref="Y182">IF(COUNTIFS('Raw Annual DMR Data'!L:L,$F182, 'Raw Annual DMR Data'!U:U, "&gt;0")&gt;0,INDEX('Raw Annual DMR Data'!B:B,MATCH(1,($F182='Raw Annual DMR Data'!L:L)*($W182='Raw Annual DMR Data'!U:U),0)), "N/A - Period DMR Data Not Available")</f>
        <v>N/A - Period DMR Data Not Available</v>
      </c>
      <c r="Z182" s="311" t="str" cm="1">
        <f t="array" ref="Z182">IF(COUNTIF('Raw Annual DMR Data'!K:K,$E182)&gt;0,"N/A - See DMRs",IF(SUMIFS('Raw TRI Data'!$Z:$Z,'Raw TRI Data'!$J:$J,$E182)&gt;0,MEDIAN(IF('Raw TRI Data'!$J:$J=$E182,'Raw TRI Data'!$Z:$Z)), "N/A - Facility Does Not Report to TRI, no surface water releases, or no Generic Factors available"))</f>
        <v>N/A - Facility Does Not Report to TRI, no surface water releases, or no Generic Factors available</v>
      </c>
      <c r="AA182" s="156" t="str">
        <f>IF(COUNTIF('Raw Annual DMR Data'!K:K,$E182)&gt;0,"N/A - See DMRs",IF(SUMIFS('Raw TRI Data'!$Z:$Z,'Raw TRI Data'!$J:$J,$E182)&gt;0,_xlfn.MAXIFS('Raw TRI Data'!$Z:$Z,'Raw TRI Data'!$J:$J,$E182), "N/A - Facility Does Not Report to TRI, no surface water releases, or no Generic Factors available"))</f>
        <v>N/A - Facility Does Not Report to TRI, no surface water releases, or no Generic Factors available</v>
      </c>
      <c r="AB182" s="113" t="str">
        <f t="shared" si="20"/>
        <v>N/A</v>
      </c>
      <c r="AC182" s="136" t="str" cm="1">
        <f t="array" ref="AC182">IF(COUNTIF('Raw Annual DMR Data'!K:K,$E182)&gt;0,"N/A - See DMRs",IF(SUMIFS('Raw TRI Data'!$Z:$Z,'Raw TRI Data'!$J:$J,$E182)&gt;0,INDEX('Raw TRI Data'!$A:$A,MATCH(1,($E182='Raw TRI Data'!$J:$J)*($AA182='Raw TRI Data'!$Z:$Z),0)), "N/A - Facility Does Not Report to TRI, no surface water releases, or no Generic Factors available"))</f>
        <v>N/A - Facility Does Not Report to TRI, no surface water releases, or no Generic Factors available</v>
      </c>
      <c r="AD182" s="96" t="str" cm="1">
        <f t="array" ref="AD182">IF(COUNTIFS('Raw Annual DMR Data'!L:L,$F182,'Raw Annual DMR Data'!W:W, "&gt;0")&gt;0,MEDIAN(IF('Raw Annual DMR Data'!K:K=$F182, 'Raw Annual DMR Data'!W:W)), "N/A - No Daily Max DMR Discharge Data")</f>
        <v>N/A - No Daily Max DMR Discharge Data</v>
      </c>
      <c r="AE182" s="96" t="str">
        <f>IF(COUNTIFS('Raw Annual DMR Data'!L:L,$F182,'Raw Annual DMR Data'!W:W, "&gt;0")&gt;0,_xlfn.MAXIFS('Raw Annual DMR Data'!W:W,'Raw Annual DMR Data'!L:L,$F182), "N/A - No Daily Max DMR Discharge Data")</f>
        <v>N/A - No Daily Max DMR Discharge Data</v>
      </c>
      <c r="AF182" s="60" t="str" cm="1">
        <f t="array" ref="AF182">IF(COUNTIFS('Raw Annual DMR Data'!L:L,$F182,'Raw Annual DMR Data'!W:W, "&gt;0")&gt;0,INDEX('Raw Annual DMR Data'!B:B,MATCH(1,($F182='Raw Annual DMR Data'!L:L)*($AE182='Raw Annual DMR Data'!W:W),0)), "N/A - No Daily Max DMR Discharge Data")</f>
        <v>N/A - No Daily Max DMR Discharge Data</v>
      </c>
    </row>
    <row r="183" spans="1:32" ht="45.75" thickBot="1" x14ac:dyDescent="0.3">
      <c r="A183" s="144" t="str">
        <f>VLOOKUP(F183,'Facility Summary'!J:K,2,FALSE)</f>
        <v>Unknown</v>
      </c>
      <c r="B183" s="28" t="s">
        <v>1060</v>
      </c>
      <c r="C183" s="28" t="s">
        <v>657</v>
      </c>
      <c r="D183" s="28" t="s">
        <v>418</v>
      </c>
      <c r="E183" s="28"/>
      <c r="F183" s="61">
        <v>110009001828</v>
      </c>
      <c r="G183" s="60" t="str">
        <f>VLOOKUP($F183, 'Raw Annual DMR Data'!$A:$Z, 24, FALSE)</f>
        <v>NV0023159</v>
      </c>
      <c r="H183" s="60" t="str">
        <f>VLOOKUP($F183, 'Raw Annual DMR Data'!$A:$Z, 25, FALSE)</f>
        <v>LAS VEGAS WASH VIA STORM DRAIN SYSTEM</v>
      </c>
      <c r="I183" s="74">
        <f>VLOOKUP($F183, 'Raw Annual DMR Data'!$A:$Z, 26, FALSE)</f>
        <v>15010015000125</v>
      </c>
      <c r="J183" s="74" t="s">
        <v>265</v>
      </c>
      <c r="K183" s="60">
        <f>VLOOKUP(A183, 'OES Summary'!$A:$B, 2, FALSE)</f>
        <v>250</v>
      </c>
      <c r="L183" s="304" cm="1">
        <f t="array" ref="L183">IF(COUNTIF('Raw Annual DMR Data'!$L:$L,$F183)&gt;0,MEDIAN(IF('Raw Annual DMR Data'!$L:$L=F183,'Raw Annual DMR Data'!$S:$S)),"N/A - Facility Does Not Report DMRs")</f>
        <v>2.401273391666665E-2</v>
      </c>
      <c r="M183" s="156">
        <f t="shared" si="18"/>
        <v>9.60509356666666E-5</v>
      </c>
      <c r="N183" s="156">
        <f>IF(COUNTIF('Raw Annual DMR Data'!$L:$L,$F183)&gt;0,_xlfn.MAXIFS('Raw Annual DMR Data'!$S:$S,'Raw Annual DMR Data'!$L:$L,$F183), "N/A - Facility Does Not Report DMRs")</f>
        <v>2.820582E-2</v>
      </c>
      <c r="O183" s="156">
        <f t="shared" si="19"/>
        <v>1.1282327999999999E-4</v>
      </c>
      <c r="P183" s="113" cm="1">
        <f t="array" ref="P183">IF(COUNTIF('Raw Annual DMR Data'!$L:$L,$F183)&gt;0,INDEX('Raw Annual DMR Data'!$B:$B,MATCH(1,($F183='Raw Annual DMR Data'!$L:$L)*($N183='Raw Annual DMR Data'!$S:$S),0)), "N/A - Facility Does Not Report DMRs")</f>
        <v>2016</v>
      </c>
      <c r="Q183" s="304" t="str" cm="1">
        <f t="array" ref="Q183">IF(COUNTIF('Raw TRI Data'!$J:$J,$E183)&gt;0,MEDIAN(IF('Raw TRI Data'!$J:$J=E183,'Raw TRI Data'!$S:$S)), "N/A - Facility Does Not Report to TRI")</f>
        <v>N/A - Facility Does Not Report to TRI</v>
      </c>
      <c r="R183" s="156" t="str">
        <f t="shared" si="16"/>
        <v>N/A - Facility Does Not Report to TRI</v>
      </c>
      <c r="S183" s="156" t="str">
        <f>IF(COUNTIF('Raw TRI Data'!$J:$J,$E183)&gt;0,_xlfn.MAXIFS('Raw TRI Data'!$S:$S,'Raw TRI Data'!$J:$J,$E183), "N/A - Facility Does Not Report to TRI")</f>
        <v>N/A - Facility Does Not Report to TRI</v>
      </c>
      <c r="T183" s="156" t="str">
        <f t="shared" si="17"/>
        <v>N/A - Facility Does Not Report to TRI</v>
      </c>
      <c r="U183" s="136" t="str" cm="1">
        <f t="array" ref="U183">IF(COUNTIF('Raw TRI Data'!$J:$J,$E183)&gt;0,INDEX('Raw TRI Data'!$A:$A,MATCH(1,($E183='Raw TRI Data'!$J:$J)*(S183='Raw TRI Data'!$S:$S),0)), "N/A - Facility Does Not Report to TRI")</f>
        <v>N/A - Facility Does Not Report to TRI</v>
      </c>
      <c r="V183" s="156" t="str" cm="1">
        <f t="array" ref="V183">IF(COUNTIFS('Raw Annual DMR Data'!$L:$L,$F183,'Raw Annual DMR Data'!$U:$U,"&gt;0")&gt;0,MEDIAN(IF('Raw Annual DMR Data'!$L:$L=$F183,'Raw Annual DMR Data'!$U:$U,"")),"N/A - Period DMR Data Not Available")</f>
        <v>N/A - Period DMR Data Not Available</v>
      </c>
      <c r="W183" s="156" t="str">
        <f>IF(COUNTIFS('Raw Annual DMR Data'!$L:$L,$F183, 'Raw Annual DMR Data'!$U:$U, "&gt;0")&gt;0,_xlfn.MAXIFS('Raw Annual DMR Data'!$U:$U,'Raw Annual DMR Data'!$L:$L,$F183), "N/A - Period DMR Data Not Available")</f>
        <v>N/A - Period DMR Data Not Available</v>
      </c>
      <c r="X183" s="113" t="str" cm="1">
        <f t="array" ref="X183">+IF(COUNTIFS('Raw Annual DMR Data'!L:L,$F183, 'Raw Annual DMR Data'!U:U, "&gt;0")&gt;0,INDEX('Raw Annual DMR Data'!V:V,MATCH(1,($F183='Raw Annual DMR Data'!L:L)*($W183='Raw Annual DMR Data'!U:U),0)), "N/A - Period DMR Data Not Available")</f>
        <v>N/A - Period DMR Data Not Available</v>
      </c>
      <c r="Y183" s="113" t="str" cm="1">
        <f t="array" ref="Y183">IF(COUNTIFS('Raw Annual DMR Data'!L:L,$F183, 'Raw Annual DMR Data'!U:U, "&gt;0")&gt;0,INDEX('Raw Annual DMR Data'!B:B,MATCH(1,($F183='Raw Annual DMR Data'!L:L)*($W183='Raw Annual DMR Data'!U:U),0)), "N/A - Period DMR Data Not Available")</f>
        <v>N/A - Period DMR Data Not Available</v>
      </c>
      <c r="Z183" s="311" t="str" cm="1">
        <f t="array" ref="Z183">IF(COUNTIF('Raw Annual DMR Data'!K:K,$E183)&gt;0,"N/A - See DMRs",IF(SUMIFS('Raw TRI Data'!$Z:$Z,'Raw TRI Data'!$J:$J,$E183)&gt;0,MEDIAN(IF('Raw TRI Data'!$J:$J=$E183,'Raw TRI Data'!$Z:$Z)), "N/A - Facility Does Not Report to TRI, no surface water releases, or no Generic Factors available"))</f>
        <v>N/A - Facility Does Not Report to TRI, no surface water releases, or no Generic Factors available</v>
      </c>
      <c r="AA183" s="156" t="str">
        <f>IF(COUNTIF('Raw Annual DMR Data'!K:K,$E183)&gt;0,"N/A - See DMRs",IF(SUMIFS('Raw TRI Data'!$Z:$Z,'Raw TRI Data'!$J:$J,$E183)&gt;0,_xlfn.MAXIFS('Raw TRI Data'!$Z:$Z,'Raw TRI Data'!$J:$J,$E183), "N/A - Facility Does Not Report to TRI, no surface water releases, or no Generic Factors available"))</f>
        <v>N/A - Facility Does Not Report to TRI, no surface water releases, or no Generic Factors available</v>
      </c>
      <c r="AB183" s="113" t="str">
        <f t="shared" si="20"/>
        <v>N/A</v>
      </c>
      <c r="AC183" s="136" t="str" cm="1">
        <f t="array" ref="AC183">IF(COUNTIF('Raw Annual DMR Data'!K:K,$E183)&gt;0,"N/A - See DMRs",IF(SUMIFS('Raw TRI Data'!$Z:$Z,'Raw TRI Data'!$J:$J,$E183)&gt;0,INDEX('Raw TRI Data'!$A:$A,MATCH(1,($E183='Raw TRI Data'!$J:$J)*($AA183='Raw TRI Data'!$Z:$Z),0)), "N/A - Facility Does Not Report to TRI, no surface water releases, or no Generic Factors available"))</f>
        <v>N/A - Facility Does Not Report to TRI, no surface water releases, or no Generic Factors available</v>
      </c>
      <c r="AD183" s="96" t="str" cm="1">
        <f t="array" ref="AD183">IF(COUNTIFS('Raw Annual DMR Data'!L:L,$F183,'Raw Annual DMR Data'!W:W, "&gt;0")&gt;0,MEDIAN(IF('Raw Annual DMR Data'!K:K=$F183, 'Raw Annual DMR Data'!W:W)), "N/A - No Daily Max DMR Discharge Data")</f>
        <v>N/A - No Daily Max DMR Discharge Data</v>
      </c>
      <c r="AE183" s="96" t="str">
        <f>IF(COUNTIFS('Raw Annual DMR Data'!L:L,$F183,'Raw Annual DMR Data'!W:W, "&gt;0")&gt;0,_xlfn.MAXIFS('Raw Annual DMR Data'!W:W,'Raw Annual DMR Data'!L:L,$F183), "N/A - No Daily Max DMR Discharge Data")</f>
        <v>N/A - No Daily Max DMR Discharge Data</v>
      </c>
      <c r="AF183" s="60" t="str" cm="1">
        <f t="array" ref="AF183">IF(COUNTIFS('Raw Annual DMR Data'!L:L,$F183,'Raw Annual DMR Data'!W:W, "&gt;0")&gt;0,INDEX('Raw Annual DMR Data'!B:B,MATCH(1,($F183='Raw Annual DMR Data'!L:L)*($AE183='Raw Annual DMR Data'!W:W),0)), "N/A - No Daily Max DMR Discharge Data")</f>
        <v>N/A - No Daily Max DMR Discharge Data</v>
      </c>
    </row>
    <row r="184" spans="1:32" ht="45.75" thickBot="1" x14ac:dyDescent="0.3">
      <c r="A184" s="144" t="str">
        <f>VLOOKUP(F184,'Facility Summary'!J:K,2,FALSE)</f>
        <v>POTW</v>
      </c>
      <c r="B184" s="28" t="s">
        <v>1061</v>
      </c>
      <c r="C184" s="28" t="s">
        <v>1062</v>
      </c>
      <c r="D184" s="28" t="s">
        <v>366</v>
      </c>
      <c r="E184" s="28"/>
      <c r="F184" s="61">
        <v>110027363252</v>
      </c>
      <c r="G184" s="60" t="str">
        <f>VLOOKUP($F184, 'Raw Annual DMR Data'!$A:$Z, 24, FALSE)</f>
        <v>CA0109223</v>
      </c>
      <c r="H184" s="60" t="str">
        <f>VLOOKUP($F184, 'Raw Annual DMR Data'!$A:$Z, 25, FALSE)</f>
        <v>PACIFIC OCEAN</v>
      </c>
      <c r="I184" s="74">
        <f>VLOOKUP($F184, 'Raw Annual DMR Data'!$A:$Z, 26, FALSE)</f>
        <v>18070303000019</v>
      </c>
      <c r="J184" s="74" t="s">
        <v>265</v>
      </c>
      <c r="K184" s="60">
        <f>VLOOKUP(A184, 'OES Summary'!$A:$B, 2, FALSE)</f>
        <v>365</v>
      </c>
      <c r="L184" s="304" cm="1">
        <f t="array" ref="L184">IF(COUNTIF('Raw Annual DMR Data'!$L:$L,$F184)&gt;0,MEDIAN(IF('Raw Annual DMR Data'!$L:$L=F184,'Raw Annual DMR Data'!$S:$S)),"N/A - Facility Does Not Report DMRs")</f>
        <v>0.67094918491935396</v>
      </c>
      <c r="M184" s="156">
        <f t="shared" si="18"/>
        <v>1.8382169449845313E-3</v>
      </c>
      <c r="N184" s="156">
        <f>IF(COUNTIF('Raw Annual DMR Data'!$L:$L,$F184)&gt;0,_xlfn.MAXIFS('Raw Annual DMR Data'!$S:$S,'Raw Annual DMR Data'!$L:$L,$F184), "N/A - Facility Does Not Report DMRs")</f>
        <v>150.53196324000001</v>
      </c>
      <c r="O184" s="156">
        <f t="shared" si="19"/>
        <v>0.41241633764383562</v>
      </c>
      <c r="P184" s="113" cm="1">
        <f t="array" ref="P184">IF(COUNTIF('Raw Annual DMR Data'!$L:$L,$F184)&gt;0,INDEX('Raw Annual DMR Data'!$B:$B,MATCH(1,($F184='Raw Annual DMR Data'!$L:$L)*($N184='Raw Annual DMR Data'!$S:$S),0)), "N/A - Facility Does Not Report DMRs")</f>
        <v>2015</v>
      </c>
      <c r="Q184" s="304" t="str" cm="1">
        <f t="array" ref="Q184">IF(COUNTIF('Raw TRI Data'!$J:$J,$E184)&gt;0,MEDIAN(IF('Raw TRI Data'!$J:$J=E184,'Raw TRI Data'!$S:$S)), "N/A - Facility Does Not Report to TRI")</f>
        <v>N/A - Facility Does Not Report to TRI</v>
      </c>
      <c r="R184" s="156" t="str">
        <f t="shared" si="16"/>
        <v>N/A - Facility Does Not Report to TRI</v>
      </c>
      <c r="S184" s="156" t="str">
        <f>IF(COUNTIF('Raw TRI Data'!$J:$J,$E184)&gt;0,_xlfn.MAXIFS('Raw TRI Data'!$S:$S,'Raw TRI Data'!$J:$J,$E184), "N/A - Facility Does Not Report to TRI")</f>
        <v>N/A - Facility Does Not Report to TRI</v>
      </c>
      <c r="T184" s="156" t="str">
        <f t="shared" si="17"/>
        <v>N/A - Facility Does Not Report to TRI</v>
      </c>
      <c r="U184" s="136" t="str" cm="1">
        <f t="array" ref="U184">IF(COUNTIF('Raw TRI Data'!$J:$J,$E184)&gt;0,INDEX('Raw TRI Data'!$A:$A,MATCH(1,($E184='Raw TRI Data'!$J:$J)*(S184='Raw TRI Data'!$S:$S),0)), "N/A - Facility Does Not Report to TRI")</f>
        <v>N/A - Facility Does Not Report to TRI</v>
      </c>
      <c r="V184" s="156" t="str" cm="1">
        <f t="array" ref="V184">IF(COUNTIFS('Raw Annual DMR Data'!$L:$L,$F184,'Raw Annual DMR Data'!$U:$U,"&gt;0")&gt;0,MEDIAN(IF('Raw Annual DMR Data'!$L:$L=$F184,'Raw Annual DMR Data'!$U:$U,"")),"N/A - Period DMR Data Not Available")</f>
        <v>N/A - Period DMR Data Not Available</v>
      </c>
      <c r="W184" s="156" t="str">
        <f>IF(COUNTIFS('Raw Annual DMR Data'!$L:$L,$F184, 'Raw Annual DMR Data'!$U:$U, "&gt;0")&gt;0,_xlfn.MAXIFS('Raw Annual DMR Data'!$U:$U,'Raw Annual DMR Data'!$L:$L,$F184), "N/A - Period DMR Data Not Available")</f>
        <v>N/A - Period DMR Data Not Available</v>
      </c>
      <c r="X184" s="113" t="str" cm="1">
        <f t="array" ref="X184">+IF(COUNTIFS('Raw Annual DMR Data'!L:L,$F184, 'Raw Annual DMR Data'!U:U, "&gt;0")&gt;0,INDEX('Raw Annual DMR Data'!V:V,MATCH(1,($F184='Raw Annual DMR Data'!L:L)*($W184='Raw Annual DMR Data'!U:U),0)), "N/A - Period DMR Data Not Available")</f>
        <v>N/A - Period DMR Data Not Available</v>
      </c>
      <c r="Y184" s="113" t="str" cm="1">
        <f t="array" ref="Y184">IF(COUNTIFS('Raw Annual DMR Data'!L:L,$F184, 'Raw Annual DMR Data'!U:U, "&gt;0")&gt;0,INDEX('Raw Annual DMR Data'!B:B,MATCH(1,($F184='Raw Annual DMR Data'!L:L)*($W184='Raw Annual DMR Data'!U:U),0)), "N/A - Period DMR Data Not Available")</f>
        <v>N/A - Period DMR Data Not Available</v>
      </c>
      <c r="Z184" s="311" t="str" cm="1">
        <f t="array" ref="Z184">IF(COUNTIF('Raw Annual DMR Data'!K:K,$E184)&gt;0,"N/A - See DMRs",IF(SUMIFS('Raw TRI Data'!$Z:$Z,'Raw TRI Data'!$J:$J,$E184)&gt;0,MEDIAN(IF('Raw TRI Data'!$J:$J=$E184,'Raw TRI Data'!$Z:$Z)), "N/A - Facility Does Not Report to TRI, no surface water releases, or no Generic Factors available"))</f>
        <v>N/A - Facility Does Not Report to TRI, no surface water releases, or no Generic Factors available</v>
      </c>
      <c r="AA184" s="156" t="str">
        <f>IF(COUNTIF('Raw Annual DMR Data'!K:K,$E184)&gt;0,"N/A - See DMRs",IF(SUMIFS('Raw TRI Data'!$Z:$Z,'Raw TRI Data'!$J:$J,$E184)&gt;0,_xlfn.MAXIFS('Raw TRI Data'!$Z:$Z,'Raw TRI Data'!$J:$J,$E184), "N/A - Facility Does Not Report to TRI, no surface water releases, or no Generic Factors available"))</f>
        <v>N/A - Facility Does Not Report to TRI, no surface water releases, or no Generic Factors available</v>
      </c>
      <c r="AB184" s="113" t="str">
        <f t="shared" si="20"/>
        <v>N/A</v>
      </c>
      <c r="AC184" s="136" t="str" cm="1">
        <f t="array" ref="AC184">IF(COUNTIF('Raw Annual DMR Data'!K:K,$E184)&gt;0,"N/A - See DMRs",IF(SUMIFS('Raw TRI Data'!$Z:$Z,'Raw TRI Data'!$J:$J,$E184)&gt;0,INDEX('Raw TRI Data'!$A:$A,MATCH(1,($E184='Raw TRI Data'!$J:$J)*($AA184='Raw TRI Data'!$Z:$Z),0)), "N/A - Facility Does Not Report to TRI, no surface water releases, or no Generic Factors available"))</f>
        <v>N/A - Facility Does Not Report to TRI, no surface water releases, or no Generic Factors available</v>
      </c>
      <c r="AD184" s="96" t="str" cm="1">
        <f t="array" ref="AD184">IF(COUNTIFS('Raw Annual DMR Data'!L:L,$F184,'Raw Annual DMR Data'!W:W, "&gt;0")&gt;0,MEDIAN(IF('Raw Annual DMR Data'!K:K=$F184, 'Raw Annual DMR Data'!W:W)), "N/A - No Daily Max DMR Discharge Data")</f>
        <v>N/A - No Daily Max DMR Discharge Data</v>
      </c>
      <c r="AE184" s="96" t="str">
        <f>IF(COUNTIFS('Raw Annual DMR Data'!L:L,$F184,'Raw Annual DMR Data'!W:W, "&gt;0")&gt;0,_xlfn.MAXIFS('Raw Annual DMR Data'!W:W,'Raw Annual DMR Data'!L:L,$F184), "N/A - No Daily Max DMR Discharge Data")</f>
        <v>N/A - No Daily Max DMR Discharge Data</v>
      </c>
      <c r="AF184" s="60" t="str" cm="1">
        <f t="array" ref="AF184">IF(COUNTIFS('Raw Annual DMR Data'!L:L,$F184,'Raw Annual DMR Data'!W:W, "&gt;0")&gt;0,INDEX('Raw Annual DMR Data'!B:B,MATCH(1,($F184='Raw Annual DMR Data'!L:L)*($AE184='Raw Annual DMR Data'!W:W),0)), "N/A - No Daily Max DMR Discharge Data")</f>
        <v>N/A - No Daily Max DMR Discharge Data</v>
      </c>
    </row>
    <row r="185" spans="1:32" ht="45.75" thickBot="1" x14ac:dyDescent="0.3">
      <c r="A185" s="144" t="str">
        <f>VLOOKUP(F185,'Facility Summary'!J:K,2,FALSE)</f>
        <v>Unknown</v>
      </c>
      <c r="B185" s="28" t="s">
        <v>1063</v>
      </c>
      <c r="C185" s="28" t="s">
        <v>1064</v>
      </c>
      <c r="D185" s="28" t="s">
        <v>308</v>
      </c>
      <c r="E185" s="28"/>
      <c r="F185" s="61">
        <v>110070670433</v>
      </c>
      <c r="G185" s="60" t="str">
        <f>VLOOKUP($F185, 'Raw Annual DMR Data'!$A:$Z, 24, FALSE)</f>
        <v>MAG910326</v>
      </c>
      <c r="H185" s="60" t="str">
        <f>VLOOKUP($F185, 'Raw Annual DMR Data'!$A:$Z, 25, FALSE)</f>
        <v>MEGONKO BROOK - LAKE COCHITUATE</v>
      </c>
      <c r="I185" s="74">
        <f>VLOOKUP($F185, 'Raw Annual DMR Data'!$A:$Z, 26, FALSE)</f>
        <v>0</v>
      </c>
      <c r="J185" s="74" t="s">
        <v>265</v>
      </c>
      <c r="K185" s="60">
        <f>VLOOKUP(A185, 'OES Summary'!$A:$B, 2, FALSE)</f>
        <v>250</v>
      </c>
      <c r="L185" s="304" cm="1">
        <f t="array" ref="L185">IF(COUNTIF('Raw Annual DMR Data'!$L:$L,$F185)&gt;0,MEDIAN(IF('Raw Annual DMR Data'!$L:$L=F185,'Raw Annual DMR Data'!$S:$S)),"N/A - Facility Does Not Report DMRs")</f>
        <v>1.4463962096250001E-2</v>
      </c>
      <c r="M185" s="156">
        <f t="shared" si="18"/>
        <v>5.7855848385000002E-5</v>
      </c>
      <c r="N185" s="156">
        <f>IF(COUNTIF('Raw Annual DMR Data'!$L:$L,$F185)&gt;0,_xlfn.MAXIFS('Raw Annual DMR Data'!$S:$S,'Raw Annual DMR Data'!$L:$L,$F185), "N/A - Facility Does Not Report DMRs")</f>
        <v>1.54280385E-2</v>
      </c>
      <c r="O185" s="156">
        <f t="shared" si="19"/>
        <v>6.1712154000000003E-5</v>
      </c>
      <c r="P185" s="113" cm="1">
        <f t="array" ref="P185">IF(COUNTIF('Raw Annual DMR Data'!$L:$L,$F185)&gt;0,INDEX('Raw Annual DMR Data'!$B:$B,MATCH(1,($F185='Raw Annual DMR Data'!$L:$L)*($N185='Raw Annual DMR Data'!$S:$S),0)), "N/A - Facility Does Not Report DMRs")</f>
        <v>2019</v>
      </c>
      <c r="Q185" s="304" t="str" cm="1">
        <f t="array" ref="Q185">IF(COUNTIF('Raw TRI Data'!$J:$J,$E185)&gt;0,MEDIAN(IF('Raw TRI Data'!$J:$J=E185,'Raw TRI Data'!$S:$S)), "N/A - Facility Does Not Report to TRI")</f>
        <v>N/A - Facility Does Not Report to TRI</v>
      </c>
      <c r="R185" s="156" t="str">
        <f t="shared" si="16"/>
        <v>N/A - Facility Does Not Report to TRI</v>
      </c>
      <c r="S185" s="156" t="str">
        <f>IF(COUNTIF('Raw TRI Data'!$J:$J,$E185)&gt;0,_xlfn.MAXIFS('Raw TRI Data'!$S:$S,'Raw TRI Data'!$J:$J,$E185), "N/A - Facility Does Not Report to TRI")</f>
        <v>N/A - Facility Does Not Report to TRI</v>
      </c>
      <c r="T185" s="156" t="str">
        <f t="shared" si="17"/>
        <v>N/A - Facility Does Not Report to TRI</v>
      </c>
      <c r="U185" s="136" t="str" cm="1">
        <f t="array" ref="U185">IF(COUNTIF('Raw TRI Data'!$J:$J,$E185)&gt;0,INDEX('Raw TRI Data'!$A:$A,MATCH(1,($E185='Raw TRI Data'!$J:$J)*(S185='Raw TRI Data'!$S:$S),0)), "N/A - Facility Does Not Report to TRI")</f>
        <v>N/A - Facility Does Not Report to TRI</v>
      </c>
      <c r="V185" s="156" t="str" cm="1">
        <f t="array" ref="V185">IF(COUNTIFS('Raw Annual DMR Data'!$L:$L,$F185,'Raw Annual DMR Data'!$U:$U,"&gt;0")&gt;0,MEDIAN(IF('Raw Annual DMR Data'!$L:$L=$F185,'Raw Annual DMR Data'!$U:$U,"")),"N/A - Period DMR Data Not Available")</f>
        <v>N/A - Period DMR Data Not Available</v>
      </c>
      <c r="W185" s="156" t="str">
        <f>IF(COUNTIFS('Raw Annual DMR Data'!$L:$L,$F185, 'Raw Annual DMR Data'!$U:$U, "&gt;0")&gt;0,_xlfn.MAXIFS('Raw Annual DMR Data'!$U:$U,'Raw Annual DMR Data'!$L:$L,$F185), "N/A - Period DMR Data Not Available")</f>
        <v>N/A - Period DMR Data Not Available</v>
      </c>
      <c r="X185" s="113" t="str" cm="1">
        <f t="array" ref="X185">+IF(COUNTIFS('Raw Annual DMR Data'!L:L,$F185, 'Raw Annual DMR Data'!U:U, "&gt;0")&gt;0,INDEX('Raw Annual DMR Data'!V:V,MATCH(1,($F185='Raw Annual DMR Data'!L:L)*($W185='Raw Annual DMR Data'!U:U),0)), "N/A - Period DMR Data Not Available")</f>
        <v>N/A - Period DMR Data Not Available</v>
      </c>
      <c r="Y185" s="113" t="str" cm="1">
        <f t="array" ref="Y185">IF(COUNTIFS('Raw Annual DMR Data'!L:L,$F185, 'Raw Annual DMR Data'!U:U, "&gt;0")&gt;0,INDEX('Raw Annual DMR Data'!B:B,MATCH(1,($F185='Raw Annual DMR Data'!L:L)*($W185='Raw Annual DMR Data'!U:U),0)), "N/A - Period DMR Data Not Available")</f>
        <v>N/A - Period DMR Data Not Available</v>
      </c>
      <c r="Z185" s="311" t="str" cm="1">
        <f t="array" ref="Z185">IF(COUNTIF('Raw Annual DMR Data'!K:K,$E185)&gt;0,"N/A - See DMRs",IF(SUMIFS('Raw TRI Data'!$Z:$Z,'Raw TRI Data'!$J:$J,$E185)&gt;0,MEDIAN(IF('Raw TRI Data'!$J:$J=$E185,'Raw TRI Data'!$Z:$Z)), "N/A - Facility Does Not Report to TRI, no surface water releases, or no Generic Factors available"))</f>
        <v>N/A - Facility Does Not Report to TRI, no surface water releases, or no Generic Factors available</v>
      </c>
      <c r="AA185" s="156" t="str">
        <f>IF(COUNTIF('Raw Annual DMR Data'!K:K,$E185)&gt;0,"N/A - See DMRs",IF(SUMIFS('Raw TRI Data'!$Z:$Z,'Raw TRI Data'!$J:$J,$E185)&gt;0,_xlfn.MAXIFS('Raw TRI Data'!$Z:$Z,'Raw TRI Data'!$J:$J,$E185), "N/A - Facility Does Not Report to TRI, no surface water releases, or no Generic Factors available"))</f>
        <v>N/A - Facility Does Not Report to TRI, no surface water releases, or no Generic Factors available</v>
      </c>
      <c r="AB185" s="113" t="str">
        <f t="shared" si="20"/>
        <v>N/A</v>
      </c>
      <c r="AC185" s="136" t="str" cm="1">
        <f t="array" ref="AC185">IF(COUNTIF('Raw Annual DMR Data'!K:K,$E185)&gt;0,"N/A - See DMRs",IF(SUMIFS('Raw TRI Data'!$Z:$Z,'Raw TRI Data'!$J:$J,$E185)&gt;0,INDEX('Raw TRI Data'!$A:$A,MATCH(1,($E185='Raw TRI Data'!$J:$J)*($AA185='Raw TRI Data'!$Z:$Z),0)), "N/A - Facility Does Not Report to TRI, no surface water releases, or no Generic Factors available"))</f>
        <v>N/A - Facility Does Not Report to TRI, no surface water releases, or no Generic Factors available</v>
      </c>
      <c r="AD185" s="96" t="str" cm="1">
        <f t="array" ref="AD185">IF(COUNTIFS('Raw Annual DMR Data'!L:L,$F185,'Raw Annual DMR Data'!W:W, "&gt;0")&gt;0,MEDIAN(IF('Raw Annual DMR Data'!K:K=$F185, 'Raw Annual DMR Data'!W:W)), "N/A - No Daily Max DMR Discharge Data")</f>
        <v>N/A - No Daily Max DMR Discharge Data</v>
      </c>
      <c r="AE185" s="96" t="str">
        <f>IF(COUNTIFS('Raw Annual DMR Data'!L:L,$F185,'Raw Annual DMR Data'!W:W, "&gt;0")&gt;0,_xlfn.MAXIFS('Raw Annual DMR Data'!W:W,'Raw Annual DMR Data'!L:L,$F185), "N/A - No Daily Max DMR Discharge Data")</f>
        <v>N/A - No Daily Max DMR Discharge Data</v>
      </c>
      <c r="AF185" s="60" t="str" cm="1">
        <f t="array" ref="AF185">IF(COUNTIFS('Raw Annual DMR Data'!L:L,$F185,'Raw Annual DMR Data'!W:W, "&gt;0")&gt;0,INDEX('Raw Annual DMR Data'!B:B,MATCH(1,($F185='Raw Annual DMR Data'!L:L)*($AE185='Raw Annual DMR Data'!W:W),0)), "N/A - No Daily Max DMR Discharge Data")</f>
        <v>N/A - No Daily Max DMR Discharge Data</v>
      </c>
    </row>
    <row r="186" spans="1:32" ht="45.75" thickBot="1" x14ac:dyDescent="0.3">
      <c r="A186" s="144" t="str">
        <f>VLOOKUP(F186,'Facility Summary'!J:K,2,FALSE)</f>
        <v>POTW</v>
      </c>
      <c r="B186" s="28" t="s">
        <v>1065</v>
      </c>
      <c r="C186" s="28" t="s">
        <v>1066</v>
      </c>
      <c r="D186" s="28" t="s">
        <v>324</v>
      </c>
      <c r="E186" s="28"/>
      <c r="F186" s="61">
        <v>110009696356</v>
      </c>
      <c r="G186" s="60" t="str">
        <f>VLOOKUP($F186, 'Raw Annual DMR Data'!$A:$Z, 24, FALSE)</f>
        <v>KY0024317</v>
      </c>
      <c r="H186" s="60" t="str">
        <f>VLOOKUP($F186, 'Raw Annual DMR Data'!$A:$Z, 25, FALSE)</f>
        <v>RUSSELL CREEK, RUSSELL CRK</v>
      </c>
      <c r="I186" s="74">
        <f>VLOOKUP($F186, 'Raw Annual DMR Data'!$A:$Z, 26, FALSE)</f>
        <v>5110001000213</v>
      </c>
      <c r="J186" s="74" t="s">
        <v>265</v>
      </c>
      <c r="K186" s="60">
        <f>VLOOKUP(A186, 'OES Summary'!$A:$B, 2, FALSE)</f>
        <v>365</v>
      </c>
      <c r="L186" s="304" cm="1">
        <f t="array" ref="L186">IF(COUNTIF('Raw Annual DMR Data'!$L:$L,$F186)&gt;0,MEDIAN(IF('Raw Annual DMR Data'!$L:$L=F186,'Raw Annual DMR Data'!$S:$S)),"N/A - Facility Does Not Report DMRs")</f>
        <v>2.8645057421875002</v>
      </c>
      <c r="M186" s="156">
        <f t="shared" si="18"/>
        <v>7.8479609375000006E-3</v>
      </c>
      <c r="N186" s="156">
        <f>IF(COUNTIF('Raw Annual DMR Data'!$L:$L,$F186)&gt;0,_xlfn.MAXIFS('Raw Annual DMR Data'!$S:$S,'Raw Annual DMR Data'!$L:$L,$F186), "N/A - Facility Does Not Report DMRs")</f>
        <v>4.6419240000000004</v>
      </c>
      <c r="O186" s="156">
        <f t="shared" si="19"/>
        <v>1.2717600000000001E-2</v>
      </c>
      <c r="P186" s="113" cm="1">
        <f t="array" ref="P186">IF(COUNTIF('Raw Annual DMR Data'!$L:$L,$F186)&gt;0,INDEX('Raw Annual DMR Data'!$B:$B,MATCH(1,($F186='Raw Annual DMR Data'!$L:$L)*($N186='Raw Annual DMR Data'!$S:$S),0)), "N/A - Facility Does Not Report DMRs")</f>
        <v>2019</v>
      </c>
      <c r="Q186" s="304" t="str" cm="1">
        <f t="array" ref="Q186">IF(COUNTIF('Raw TRI Data'!$J:$J,$E186)&gt;0,MEDIAN(IF('Raw TRI Data'!$J:$J=E186,'Raw TRI Data'!$S:$S)), "N/A - Facility Does Not Report to TRI")</f>
        <v>N/A - Facility Does Not Report to TRI</v>
      </c>
      <c r="R186" s="156" t="str">
        <f t="shared" si="16"/>
        <v>N/A - Facility Does Not Report to TRI</v>
      </c>
      <c r="S186" s="156" t="str">
        <f>IF(COUNTIF('Raw TRI Data'!$J:$J,$E186)&gt;0,_xlfn.MAXIFS('Raw TRI Data'!$S:$S,'Raw TRI Data'!$J:$J,$E186), "N/A - Facility Does Not Report to TRI")</f>
        <v>N/A - Facility Does Not Report to TRI</v>
      </c>
      <c r="T186" s="156" t="str">
        <f t="shared" si="17"/>
        <v>N/A - Facility Does Not Report to TRI</v>
      </c>
      <c r="U186" s="136" t="str" cm="1">
        <f t="array" ref="U186">IF(COUNTIF('Raw TRI Data'!$J:$J,$E186)&gt;0,INDEX('Raw TRI Data'!$A:$A,MATCH(1,($E186='Raw TRI Data'!$J:$J)*(S186='Raw TRI Data'!$S:$S),0)), "N/A - Facility Does Not Report to TRI")</f>
        <v>N/A - Facility Does Not Report to TRI</v>
      </c>
      <c r="V186" s="156" t="str" cm="1">
        <f t="array" ref="V186">IF(COUNTIFS('Raw Annual DMR Data'!$L:$L,$F186,'Raw Annual DMR Data'!$U:$U,"&gt;0")&gt;0,MEDIAN(IF('Raw Annual DMR Data'!$L:$L=$F186,'Raw Annual DMR Data'!$U:$U,"")),"N/A - Period DMR Data Not Available")</f>
        <v>N/A - Period DMR Data Not Available</v>
      </c>
      <c r="W186" s="156" t="str">
        <f>IF(COUNTIFS('Raw Annual DMR Data'!$L:$L,$F186, 'Raw Annual DMR Data'!$U:$U, "&gt;0")&gt;0,_xlfn.MAXIFS('Raw Annual DMR Data'!$U:$U,'Raw Annual DMR Data'!$L:$L,$F186), "N/A - Period DMR Data Not Available")</f>
        <v>N/A - Period DMR Data Not Available</v>
      </c>
      <c r="X186" s="113" t="str" cm="1">
        <f t="array" ref="X186">+IF(COUNTIFS('Raw Annual DMR Data'!L:L,$F186, 'Raw Annual DMR Data'!U:U, "&gt;0")&gt;0,INDEX('Raw Annual DMR Data'!V:V,MATCH(1,($F186='Raw Annual DMR Data'!L:L)*($W186='Raw Annual DMR Data'!U:U),0)), "N/A - Period DMR Data Not Available")</f>
        <v>N/A - Period DMR Data Not Available</v>
      </c>
      <c r="Y186" s="113" t="str" cm="1">
        <f t="array" ref="Y186">IF(COUNTIFS('Raw Annual DMR Data'!L:L,$F186, 'Raw Annual DMR Data'!U:U, "&gt;0")&gt;0,INDEX('Raw Annual DMR Data'!B:B,MATCH(1,($F186='Raw Annual DMR Data'!L:L)*($W186='Raw Annual DMR Data'!U:U),0)), "N/A - Period DMR Data Not Available")</f>
        <v>N/A - Period DMR Data Not Available</v>
      </c>
      <c r="Z186" s="311" t="str" cm="1">
        <f t="array" ref="Z186">IF(COUNTIF('Raw Annual DMR Data'!K:K,$E186)&gt;0,"N/A - See DMRs",IF(SUMIFS('Raw TRI Data'!$Z:$Z,'Raw TRI Data'!$J:$J,$E186)&gt;0,MEDIAN(IF('Raw TRI Data'!$J:$J=$E186,'Raw TRI Data'!$Z:$Z)), "N/A - Facility Does Not Report to TRI, no surface water releases, or no Generic Factors available"))</f>
        <v>N/A - Facility Does Not Report to TRI, no surface water releases, or no Generic Factors available</v>
      </c>
      <c r="AA186" s="156" t="str">
        <f>IF(COUNTIF('Raw Annual DMR Data'!K:K,$E186)&gt;0,"N/A - See DMRs",IF(SUMIFS('Raw TRI Data'!$Z:$Z,'Raw TRI Data'!$J:$J,$E186)&gt;0,_xlfn.MAXIFS('Raw TRI Data'!$Z:$Z,'Raw TRI Data'!$J:$J,$E186), "N/A - Facility Does Not Report to TRI, no surface water releases, or no Generic Factors available"))</f>
        <v>N/A - Facility Does Not Report to TRI, no surface water releases, or no Generic Factors available</v>
      </c>
      <c r="AB186" s="113" t="str">
        <f t="shared" si="20"/>
        <v>N/A</v>
      </c>
      <c r="AC186" s="136" t="str" cm="1">
        <f t="array" ref="AC186">IF(COUNTIF('Raw Annual DMR Data'!K:K,$E186)&gt;0,"N/A - See DMRs",IF(SUMIFS('Raw TRI Data'!$Z:$Z,'Raw TRI Data'!$J:$J,$E186)&gt;0,INDEX('Raw TRI Data'!$A:$A,MATCH(1,($E186='Raw TRI Data'!$J:$J)*($AA186='Raw TRI Data'!$Z:$Z),0)), "N/A - Facility Does Not Report to TRI, no surface water releases, or no Generic Factors available"))</f>
        <v>N/A - Facility Does Not Report to TRI, no surface water releases, or no Generic Factors available</v>
      </c>
      <c r="AD186" s="96" t="str" cm="1">
        <f t="array" ref="AD186">IF(COUNTIFS('Raw Annual DMR Data'!L:L,$F186,'Raw Annual DMR Data'!W:W, "&gt;0")&gt;0,MEDIAN(IF('Raw Annual DMR Data'!K:K=$F186, 'Raw Annual DMR Data'!W:W)), "N/A - No Daily Max DMR Discharge Data")</f>
        <v>N/A - No Daily Max DMR Discharge Data</v>
      </c>
      <c r="AE186" s="96" t="str">
        <f>IF(COUNTIFS('Raw Annual DMR Data'!L:L,$F186,'Raw Annual DMR Data'!W:W, "&gt;0")&gt;0,_xlfn.MAXIFS('Raw Annual DMR Data'!W:W,'Raw Annual DMR Data'!L:L,$F186), "N/A - No Daily Max DMR Discharge Data")</f>
        <v>N/A - No Daily Max DMR Discharge Data</v>
      </c>
      <c r="AF186" s="60" t="str" cm="1">
        <f t="array" ref="AF186">IF(COUNTIFS('Raw Annual DMR Data'!L:L,$F186,'Raw Annual DMR Data'!W:W, "&gt;0")&gt;0,INDEX('Raw Annual DMR Data'!B:B,MATCH(1,($F186='Raw Annual DMR Data'!L:L)*($AE186='Raw Annual DMR Data'!W:W),0)), "N/A - No Daily Max DMR Discharge Data")</f>
        <v>N/A - No Daily Max DMR Discharge Data</v>
      </c>
    </row>
    <row r="187" spans="1:32" ht="30.75" thickBot="1" x14ac:dyDescent="0.3">
      <c r="A187" s="144" t="str">
        <f>VLOOKUP(F187,'Facility Summary'!J:K,2,FALSE)</f>
        <v>Unknown</v>
      </c>
      <c r="B187" s="28" t="s">
        <v>1067</v>
      </c>
      <c r="C187" s="28" t="s">
        <v>1068</v>
      </c>
      <c r="D187" s="28" t="s">
        <v>349</v>
      </c>
      <c r="E187" s="28" t="s">
        <v>709</v>
      </c>
      <c r="F187" s="61">
        <v>110000595981</v>
      </c>
      <c r="G187" s="60" t="str">
        <f>VLOOKUP($F187, 'Raw Annual DMR Data'!$A:$Z, 24, FALSE)</f>
        <v>MO0111686</v>
      </c>
      <c r="H187" s="60" t="str">
        <f>VLOOKUP($F187, 'Raw Annual DMR Data'!$A:$Z, 25, FALSE)</f>
        <v>MISSISSIPPI RIVER, TRIBUTARY TO FALL CREEK, TRIBUTARY TO MARBLE CREEK, TRIBUTARY TO MISSISSIPPI R.</v>
      </c>
      <c r="I187" s="74" t="str">
        <f>VLOOKUP($F187, 'Raw Annual DMR Data'!$A:$Z, 26, FALSE)</f>
        <v>07110004001311</v>
      </c>
      <c r="J187" s="74" t="s">
        <v>265</v>
      </c>
      <c r="K187" s="60">
        <f>VLOOKUP(A187, 'OES Summary'!$A:$B, 2, FALSE)</f>
        <v>250</v>
      </c>
      <c r="L187" s="304" cm="1">
        <f t="array" ref="L187">IF(COUNTIF('Raw Annual DMR Data'!$L:$L,$F187)&gt;0,MEDIAN(IF('Raw Annual DMR Data'!$L:$L=F187,'Raw Annual DMR Data'!$S:$S)),"N/A - Facility Does Not Report DMRs")</f>
        <v>0.12433725</v>
      </c>
      <c r="M187" s="156">
        <f t="shared" si="18"/>
        <v>4.9734900000000001E-4</v>
      </c>
      <c r="N187" s="156">
        <f>IF(COUNTIF('Raw Annual DMR Data'!$L:$L,$F187)&gt;0,_xlfn.MAXIFS('Raw Annual DMR Data'!$S:$S,'Raw Annual DMR Data'!$L:$L,$F187), "N/A - Facility Does Not Report DMRs")</f>
        <v>0.92907556250000001</v>
      </c>
      <c r="O187" s="156">
        <f t="shared" si="19"/>
        <v>3.7163022500000002E-3</v>
      </c>
      <c r="P187" s="113" cm="1">
        <f t="array" ref="P187">IF(COUNTIF('Raw Annual DMR Data'!$L:$L,$F187)&gt;0,INDEX('Raw Annual DMR Data'!$B:$B,MATCH(1,($F187='Raw Annual DMR Data'!$L:$L)*($N187='Raw Annual DMR Data'!$S:$S),0)), "N/A - Facility Does Not Report DMRs")</f>
        <v>2021</v>
      </c>
      <c r="Q187" s="304" t="str" cm="1">
        <f t="array" ref="Q187">IF(COUNTIF('Raw TRI Data'!$J:$J,$E187)&gt;0,MEDIAN(IF('Raw TRI Data'!$J:$J=E187,'Raw TRI Data'!$S:$S)), "N/A - Facility Does Not Report to TRI")</f>
        <v>N/A - Facility Does Not Report to TRI</v>
      </c>
      <c r="R187" s="156" t="str">
        <f t="shared" si="16"/>
        <v>N/A - Facility Does Not Report to TRI</v>
      </c>
      <c r="S187" s="156" t="str">
        <f>IF(COUNTIF('Raw TRI Data'!$J:$J,$E187)&gt;0,_xlfn.MAXIFS('Raw TRI Data'!$S:$S,'Raw TRI Data'!$J:$J,$E187), "N/A - Facility Does Not Report to TRI")</f>
        <v>N/A - Facility Does Not Report to TRI</v>
      </c>
      <c r="T187" s="156" t="str">
        <f t="shared" si="17"/>
        <v>N/A - Facility Does Not Report to TRI</v>
      </c>
      <c r="U187" s="136" t="str" cm="1">
        <f t="array" ref="U187">IF(COUNTIF('Raw TRI Data'!$J:$J,$E187)&gt;0,INDEX('Raw TRI Data'!$A:$A,MATCH(1,($E187='Raw TRI Data'!$J:$J)*(S187='Raw TRI Data'!$S:$S),0)), "N/A - Facility Does Not Report to TRI")</f>
        <v>N/A - Facility Does Not Report to TRI</v>
      </c>
      <c r="V187" s="156" t="str" cm="1">
        <f t="array" ref="V187">IF(COUNTIFS('Raw Annual DMR Data'!$L:$L,$F187,'Raw Annual DMR Data'!$U:$U,"&gt;0")&gt;0,MEDIAN(IF('Raw Annual DMR Data'!$L:$L=$F187,'Raw Annual DMR Data'!$U:$U,"")),"N/A - Period DMR Data Not Available")</f>
        <v>N/A - Period DMR Data Not Available</v>
      </c>
      <c r="W187" s="156" t="str">
        <f>IF(COUNTIFS('Raw Annual DMR Data'!$L:$L,$F187, 'Raw Annual DMR Data'!$U:$U, "&gt;0")&gt;0,_xlfn.MAXIFS('Raw Annual DMR Data'!$U:$U,'Raw Annual DMR Data'!$L:$L,$F187), "N/A - Period DMR Data Not Available")</f>
        <v>N/A - Period DMR Data Not Available</v>
      </c>
      <c r="X187" s="113" t="str" cm="1">
        <f t="array" ref="X187">+IF(COUNTIFS('Raw Annual DMR Data'!L:L,$F187, 'Raw Annual DMR Data'!U:U, "&gt;0")&gt;0,INDEX('Raw Annual DMR Data'!V:V,MATCH(1,($F187='Raw Annual DMR Data'!L:L)*($W187='Raw Annual DMR Data'!U:U),0)), "N/A - Period DMR Data Not Available")</f>
        <v>N/A - Period DMR Data Not Available</v>
      </c>
      <c r="Y187" s="113" t="str" cm="1">
        <f t="array" ref="Y187">IF(COUNTIFS('Raw Annual DMR Data'!L:L,$F187, 'Raw Annual DMR Data'!U:U, "&gt;0")&gt;0,INDEX('Raw Annual DMR Data'!B:B,MATCH(1,($F187='Raw Annual DMR Data'!L:L)*($W187='Raw Annual DMR Data'!U:U),0)), "N/A - Period DMR Data Not Available")</f>
        <v>N/A - Period DMR Data Not Available</v>
      </c>
      <c r="Z187" s="311" t="str" cm="1">
        <f t="array" ref="Z187">IF(COUNTIF('Raw Annual DMR Data'!K:K,$E187)&gt;0,"N/A - See DMRs",IF(SUMIFS('Raw TRI Data'!$Z:$Z,'Raw TRI Data'!$J:$J,$E187)&gt;0,MEDIAN(IF('Raw TRI Data'!$J:$J=$E187,'Raw TRI Data'!$Z:$Z)), "N/A - Facility Does Not Report to TRI, no surface water releases, or no Generic Factors available"))</f>
        <v>N/A - See DMRs</v>
      </c>
      <c r="AA187" s="156" t="str">
        <f>IF(COUNTIF('Raw Annual DMR Data'!K:K,$E187)&gt;0,"N/A - See DMRs",IF(SUMIFS('Raw TRI Data'!$Z:$Z,'Raw TRI Data'!$J:$J,$E187)&gt;0,_xlfn.MAXIFS('Raw TRI Data'!$Z:$Z,'Raw TRI Data'!$J:$J,$E187), "N/A - Facility Does Not Report to TRI, no surface water releases, or no Generic Factors available"))</f>
        <v>N/A - See DMRs</v>
      </c>
      <c r="AB187" s="113" t="str">
        <f t="shared" si="20"/>
        <v>N/A</v>
      </c>
      <c r="AC187" s="136" t="str" cm="1">
        <f t="array" ref="AC187">IF(COUNTIF('Raw Annual DMR Data'!K:K,$E187)&gt;0,"N/A - See DMRs",IF(SUMIFS('Raw TRI Data'!$Z:$Z,'Raw TRI Data'!$J:$J,$E187)&gt;0,INDEX('Raw TRI Data'!$A:$A,MATCH(1,($E187='Raw TRI Data'!$J:$J)*($AA187='Raw TRI Data'!$Z:$Z),0)), "N/A - Facility Does Not Report to TRI, no surface water releases, or no Generic Factors available"))</f>
        <v>N/A - See DMRs</v>
      </c>
      <c r="AD187" s="96" t="str" cm="1">
        <f t="array" ref="AD187">IF(COUNTIFS('Raw Annual DMR Data'!L:L,$F187,'Raw Annual DMR Data'!W:W, "&gt;0")&gt;0,MEDIAN(IF('Raw Annual DMR Data'!K:K=$F187, 'Raw Annual DMR Data'!W:W)), "N/A - No Daily Max DMR Discharge Data")</f>
        <v>N/A - No Daily Max DMR Discharge Data</v>
      </c>
      <c r="AE187" s="96" t="str">
        <f>IF(COUNTIFS('Raw Annual DMR Data'!L:L,$F187,'Raw Annual DMR Data'!W:W, "&gt;0")&gt;0,_xlfn.MAXIFS('Raw Annual DMR Data'!W:W,'Raw Annual DMR Data'!L:L,$F187), "N/A - No Daily Max DMR Discharge Data")</f>
        <v>N/A - No Daily Max DMR Discharge Data</v>
      </c>
      <c r="AF187" s="60" t="str" cm="1">
        <f t="array" ref="AF187">IF(COUNTIFS('Raw Annual DMR Data'!L:L,$F187,'Raw Annual DMR Data'!W:W, "&gt;0")&gt;0,INDEX('Raw Annual DMR Data'!B:B,MATCH(1,($F187='Raw Annual DMR Data'!L:L)*($AE187='Raw Annual DMR Data'!W:W),0)), "N/A - No Daily Max DMR Discharge Data")</f>
        <v>N/A - No Daily Max DMR Discharge Data</v>
      </c>
    </row>
    <row r="188" spans="1:32" ht="45.75" thickBot="1" x14ac:dyDescent="0.3">
      <c r="A188" s="144" t="str">
        <f>VLOOKUP(F188,'Facility Summary'!J:K,2,FALSE)</f>
        <v>Unknown</v>
      </c>
      <c r="B188" s="28" t="s">
        <v>1069</v>
      </c>
      <c r="C188" s="28" t="s">
        <v>1070</v>
      </c>
      <c r="D188" s="28" t="s">
        <v>338</v>
      </c>
      <c r="E188" s="28"/>
      <c r="F188" s="61">
        <v>110000616049</v>
      </c>
      <c r="G188" s="60" t="str">
        <f>VLOOKUP($F188, 'Raw Annual DMR Data'!$A:$Z, 24, FALSE)</f>
        <v>NJ0109479</v>
      </c>
      <c r="H188" s="60" t="str">
        <f>VLOOKUP($F188, 'Raw Annual DMR Data'!$A:$Z, 25, FALSE)</f>
        <v>LAMINGTON RIVER</v>
      </c>
      <c r="I188" s="74">
        <f>VLOOKUP($F188, 'Raw Annual DMR Data'!$A:$Z, 26, FALSE)</f>
        <v>2030105000068</v>
      </c>
      <c r="J188" s="74" t="s">
        <v>265</v>
      </c>
      <c r="K188" s="60">
        <f>VLOOKUP(A188, 'OES Summary'!$A:$B, 2, FALSE)</f>
        <v>250</v>
      </c>
      <c r="L188" s="304" cm="1">
        <f t="array" ref="L188">IF(COUNTIF('Raw Annual DMR Data'!$L:$L,$F188)&gt;0,MEDIAN(IF('Raw Annual DMR Data'!$L:$L=F188,'Raw Annual DMR Data'!$S:$S)),"N/A - Facility Does Not Report DMRs")</f>
        <v>4.4704634999999998E-3</v>
      </c>
      <c r="M188" s="156">
        <f t="shared" si="18"/>
        <v>1.7881854E-5</v>
      </c>
      <c r="N188" s="156">
        <f>IF(COUNTIF('Raw Annual DMR Data'!$L:$L,$F188)&gt;0,_xlfn.MAXIFS('Raw Annual DMR Data'!$S:$S,'Raw Annual DMR Data'!$L:$L,$F188), "N/A - Facility Does Not Report DMRs")</f>
        <v>8.5101410099999997E-3</v>
      </c>
      <c r="O188" s="156">
        <f t="shared" si="19"/>
        <v>3.4040564040000002E-5</v>
      </c>
      <c r="P188" s="113" cm="1">
        <f t="array" ref="P188">IF(COUNTIF('Raw Annual DMR Data'!$L:$L,$F188)&gt;0,INDEX('Raw Annual DMR Data'!$B:$B,MATCH(1,($F188='Raw Annual DMR Data'!$L:$L)*($N188='Raw Annual DMR Data'!$S:$S),0)), "N/A - Facility Does Not Report DMRs")</f>
        <v>2023</v>
      </c>
      <c r="Q188" s="304" t="str" cm="1">
        <f t="array" ref="Q188">IF(COUNTIF('Raw TRI Data'!$J:$J,$E188)&gt;0,MEDIAN(IF('Raw TRI Data'!$J:$J=E188,'Raw TRI Data'!$S:$S)), "N/A - Facility Does Not Report to TRI")</f>
        <v>N/A - Facility Does Not Report to TRI</v>
      </c>
      <c r="R188" s="156" t="str">
        <f t="shared" si="16"/>
        <v>N/A - Facility Does Not Report to TRI</v>
      </c>
      <c r="S188" s="156" t="str">
        <f>IF(COUNTIF('Raw TRI Data'!$J:$J,$E188)&gt;0,_xlfn.MAXIFS('Raw TRI Data'!$S:$S,'Raw TRI Data'!$J:$J,$E188), "N/A - Facility Does Not Report to TRI")</f>
        <v>N/A - Facility Does Not Report to TRI</v>
      </c>
      <c r="T188" s="156" t="str">
        <f t="shared" si="17"/>
        <v>N/A - Facility Does Not Report to TRI</v>
      </c>
      <c r="U188" s="136" t="str" cm="1">
        <f t="array" ref="U188">IF(COUNTIF('Raw TRI Data'!$J:$J,$E188)&gt;0,INDEX('Raw TRI Data'!$A:$A,MATCH(1,($E188='Raw TRI Data'!$J:$J)*(S188='Raw TRI Data'!$S:$S),0)), "N/A - Facility Does Not Report to TRI")</f>
        <v>N/A - Facility Does Not Report to TRI</v>
      </c>
      <c r="V188" s="156" t="str" cm="1">
        <f t="array" ref="V188">IF(COUNTIFS('Raw Annual DMR Data'!$L:$L,$F188,'Raw Annual DMR Data'!$U:$U,"&gt;0")&gt;0,MEDIAN(IF('Raw Annual DMR Data'!$L:$L=$F188,'Raw Annual DMR Data'!$U:$U,"")),"N/A - Period DMR Data Not Available")</f>
        <v>N/A - Period DMR Data Not Available</v>
      </c>
      <c r="W188" s="156" t="str">
        <f>IF(COUNTIFS('Raw Annual DMR Data'!$L:$L,$F188, 'Raw Annual DMR Data'!$U:$U, "&gt;0")&gt;0,_xlfn.MAXIFS('Raw Annual DMR Data'!$U:$U,'Raw Annual DMR Data'!$L:$L,$F188), "N/A - Period DMR Data Not Available")</f>
        <v>N/A - Period DMR Data Not Available</v>
      </c>
      <c r="X188" s="113" t="str" cm="1">
        <f t="array" ref="X188">+IF(COUNTIFS('Raw Annual DMR Data'!L:L,$F188, 'Raw Annual DMR Data'!U:U, "&gt;0")&gt;0,INDEX('Raw Annual DMR Data'!V:V,MATCH(1,($F188='Raw Annual DMR Data'!L:L)*($W188='Raw Annual DMR Data'!U:U),0)), "N/A - Period DMR Data Not Available")</f>
        <v>N/A - Period DMR Data Not Available</v>
      </c>
      <c r="Y188" s="113" t="str" cm="1">
        <f t="array" ref="Y188">IF(COUNTIFS('Raw Annual DMR Data'!L:L,$F188, 'Raw Annual DMR Data'!U:U, "&gt;0")&gt;0,INDEX('Raw Annual DMR Data'!B:B,MATCH(1,($F188='Raw Annual DMR Data'!L:L)*($W188='Raw Annual DMR Data'!U:U),0)), "N/A - Period DMR Data Not Available")</f>
        <v>N/A - Period DMR Data Not Available</v>
      </c>
      <c r="Z188" s="311" t="str" cm="1">
        <f t="array" ref="Z188">IF(COUNTIF('Raw Annual DMR Data'!K:K,$E188)&gt;0,"N/A - See DMRs",IF(SUMIFS('Raw TRI Data'!$Z:$Z,'Raw TRI Data'!$J:$J,$E188)&gt;0,MEDIAN(IF('Raw TRI Data'!$J:$J=$E188,'Raw TRI Data'!$Z:$Z)), "N/A - Facility Does Not Report to TRI, no surface water releases, or no Generic Factors available"))</f>
        <v>N/A - Facility Does Not Report to TRI, no surface water releases, or no Generic Factors available</v>
      </c>
      <c r="AA188" s="156" t="str">
        <f>IF(COUNTIF('Raw Annual DMR Data'!K:K,$E188)&gt;0,"N/A - See DMRs",IF(SUMIFS('Raw TRI Data'!$Z:$Z,'Raw TRI Data'!$J:$J,$E188)&gt;0,_xlfn.MAXIFS('Raw TRI Data'!$Z:$Z,'Raw TRI Data'!$J:$J,$E188), "N/A - Facility Does Not Report to TRI, no surface water releases, or no Generic Factors available"))</f>
        <v>N/A - Facility Does Not Report to TRI, no surface water releases, or no Generic Factors available</v>
      </c>
      <c r="AB188" s="113" t="str">
        <f t="shared" si="20"/>
        <v>N/A</v>
      </c>
      <c r="AC188" s="136" t="str" cm="1">
        <f t="array" ref="AC188">IF(COUNTIF('Raw Annual DMR Data'!K:K,$E188)&gt;0,"N/A - See DMRs",IF(SUMIFS('Raw TRI Data'!$Z:$Z,'Raw TRI Data'!$J:$J,$E188)&gt;0,INDEX('Raw TRI Data'!$A:$A,MATCH(1,($E188='Raw TRI Data'!$J:$J)*($AA188='Raw TRI Data'!$Z:$Z),0)), "N/A - Facility Does Not Report to TRI, no surface water releases, or no Generic Factors available"))</f>
        <v>N/A - Facility Does Not Report to TRI, no surface water releases, or no Generic Factors available</v>
      </c>
      <c r="AD188" s="96" t="str" cm="1">
        <f t="array" ref="AD188">IF(COUNTIFS('Raw Annual DMR Data'!L:L,$F188,'Raw Annual DMR Data'!W:W, "&gt;0")&gt;0,MEDIAN(IF('Raw Annual DMR Data'!K:K=$F188, 'Raw Annual DMR Data'!W:W)), "N/A - No Daily Max DMR Discharge Data")</f>
        <v>N/A - No Daily Max DMR Discharge Data</v>
      </c>
      <c r="AE188" s="96" t="str">
        <f>IF(COUNTIFS('Raw Annual DMR Data'!L:L,$F188,'Raw Annual DMR Data'!W:W, "&gt;0")&gt;0,_xlfn.MAXIFS('Raw Annual DMR Data'!W:W,'Raw Annual DMR Data'!L:L,$F188), "N/A - No Daily Max DMR Discharge Data")</f>
        <v>N/A - No Daily Max DMR Discharge Data</v>
      </c>
      <c r="AF188" s="60" t="str" cm="1">
        <f t="array" ref="AF188">IF(COUNTIFS('Raw Annual DMR Data'!L:L,$F188,'Raw Annual DMR Data'!W:W, "&gt;0")&gt;0,INDEX('Raw Annual DMR Data'!B:B,MATCH(1,($F188='Raw Annual DMR Data'!L:L)*($AE188='Raw Annual DMR Data'!W:W),0)), "N/A - No Daily Max DMR Discharge Data")</f>
        <v>N/A - No Daily Max DMR Discharge Data</v>
      </c>
    </row>
    <row r="189" spans="1:32" ht="45.75" thickBot="1" x14ac:dyDescent="0.3">
      <c r="A189" s="144" t="str">
        <f>VLOOKUP(F189,'Facility Summary'!J:K,2,FALSE)</f>
        <v>POTW</v>
      </c>
      <c r="B189" s="28" t="s">
        <v>1071</v>
      </c>
      <c r="C189" s="28" t="s">
        <v>1072</v>
      </c>
      <c r="D189" s="28" t="s">
        <v>366</v>
      </c>
      <c r="E189" s="28"/>
      <c r="F189" s="61">
        <v>110000730451</v>
      </c>
      <c r="G189" s="60" t="str">
        <f>VLOOKUP($F189, 'Raw Annual DMR Data'!$A:$Z, 24, FALSE)</f>
        <v>CA0004995</v>
      </c>
      <c r="H189" s="60" t="str">
        <f>VLOOKUP($F189, 'Raw Annual DMR Data'!$A:$Z, 25, FALSE)</f>
        <v>SACRAMENTO RIVER</v>
      </c>
      <c r="I189" s="74">
        <f>VLOOKUP($F189, 'Raw Annual DMR Data'!$A:$Z, 26, FALSE)</f>
        <v>18020157005020</v>
      </c>
      <c r="J189" s="74" t="s">
        <v>265</v>
      </c>
      <c r="K189" s="60">
        <f>VLOOKUP(A189, 'OES Summary'!$A:$B, 2, FALSE)</f>
        <v>365</v>
      </c>
      <c r="L189" s="304" cm="1">
        <f t="array" ref="L189">IF(COUNTIF('Raw Annual DMR Data'!$L:$L,$F189)&gt;0,MEDIAN(IF('Raw Annual DMR Data'!$L:$L=F189,'Raw Annual DMR Data'!$S:$S)),"N/A - Facility Does Not Report DMRs")</f>
        <v>4.2974402996666647E-2</v>
      </c>
      <c r="M189" s="156">
        <f t="shared" si="18"/>
        <v>1.1773809040182644E-4</v>
      </c>
      <c r="N189" s="156">
        <f>IF(COUNTIF('Raw Annual DMR Data'!$L:$L,$F189)&gt;0,_xlfn.MAXIFS('Raw Annual DMR Data'!$S:$S,'Raw Annual DMR Data'!$L:$L,$F189), "N/A - Facility Does Not Report DMRs")</f>
        <v>6.6041664099999994E-2</v>
      </c>
      <c r="O189" s="156">
        <f t="shared" si="19"/>
        <v>1.8093606602739726E-4</v>
      </c>
      <c r="P189" s="113" cm="1">
        <f t="array" ref="P189">IF(COUNTIF('Raw Annual DMR Data'!$L:$L,$F189)&gt;0,INDEX('Raw Annual DMR Data'!$B:$B,MATCH(1,($F189='Raw Annual DMR Data'!$L:$L)*($N189='Raw Annual DMR Data'!$S:$S),0)), "N/A - Facility Does Not Report DMRs")</f>
        <v>2019</v>
      </c>
      <c r="Q189" s="304" t="str" cm="1">
        <f t="array" ref="Q189">IF(COUNTIF('Raw TRI Data'!$J:$J,$E189)&gt;0,MEDIAN(IF('Raw TRI Data'!$J:$J=E189,'Raw TRI Data'!$S:$S)), "N/A - Facility Does Not Report to TRI")</f>
        <v>N/A - Facility Does Not Report to TRI</v>
      </c>
      <c r="R189" s="156" t="str">
        <f t="shared" si="16"/>
        <v>N/A - Facility Does Not Report to TRI</v>
      </c>
      <c r="S189" s="156" t="str">
        <f>IF(COUNTIF('Raw TRI Data'!$J:$J,$E189)&gt;0,_xlfn.MAXIFS('Raw TRI Data'!$S:$S,'Raw TRI Data'!$J:$J,$E189), "N/A - Facility Does Not Report to TRI")</f>
        <v>N/A - Facility Does Not Report to TRI</v>
      </c>
      <c r="T189" s="156" t="str">
        <f t="shared" si="17"/>
        <v>N/A - Facility Does Not Report to TRI</v>
      </c>
      <c r="U189" s="136" t="str" cm="1">
        <f t="array" ref="U189">IF(COUNTIF('Raw TRI Data'!$J:$J,$E189)&gt;0,INDEX('Raw TRI Data'!$A:$A,MATCH(1,($E189='Raw TRI Data'!$J:$J)*(S189='Raw TRI Data'!$S:$S),0)), "N/A - Facility Does Not Report to TRI")</f>
        <v>N/A - Facility Does Not Report to TRI</v>
      </c>
      <c r="V189" s="156" t="str" cm="1">
        <f t="array" ref="V189">IF(COUNTIFS('Raw Annual DMR Data'!$L:$L,$F189,'Raw Annual DMR Data'!$U:$U,"&gt;0")&gt;0,MEDIAN(IF('Raw Annual DMR Data'!$L:$L=$F189,'Raw Annual DMR Data'!$U:$U,"")),"N/A - Period DMR Data Not Available")</f>
        <v>N/A - Period DMR Data Not Available</v>
      </c>
      <c r="W189" s="156" t="str">
        <f>IF(COUNTIFS('Raw Annual DMR Data'!$L:$L,$F189, 'Raw Annual DMR Data'!$U:$U, "&gt;0")&gt;0,_xlfn.MAXIFS('Raw Annual DMR Data'!$U:$U,'Raw Annual DMR Data'!$L:$L,$F189), "N/A - Period DMR Data Not Available")</f>
        <v>N/A - Period DMR Data Not Available</v>
      </c>
      <c r="X189" s="113" t="str" cm="1">
        <f t="array" ref="X189">+IF(COUNTIFS('Raw Annual DMR Data'!L:L,$F189, 'Raw Annual DMR Data'!U:U, "&gt;0")&gt;0,INDEX('Raw Annual DMR Data'!V:V,MATCH(1,($F189='Raw Annual DMR Data'!L:L)*($W189='Raw Annual DMR Data'!U:U),0)), "N/A - Period DMR Data Not Available")</f>
        <v>N/A - Period DMR Data Not Available</v>
      </c>
      <c r="Y189" s="113" t="str" cm="1">
        <f t="array" ref="Y189">IF(COUNTIFS('Raw Annual DMR Data'!L:L,$F189, 'Raw Annual DMR Data'!U:U, "&gt;0")&gt;0,INDEX('Raw Annual DMR Data'!B:B,MATCH(1,($F189='Raw Annual DMR Data'!L:L)*($W189='Raw Annual DMR Data'!U:U),0)), "N/A - Period DMR Data Not Available")</f>
        <v>N/A - Period DMR Data Not Available</v>
      </c>
      <c r="Z189" s="311" t="str" cm="1">
        <f t="array" ref="Z189">IF(COUNTIF('Raw Annual DMR Data'!K:K,$E189)&gt;0,"N/A - See DMRs",IF(SUMIFS('Raw TRI Data'!$Z:$Z,'Raw TRI Data'!$J:$J,$E189)&gt;0,MEDIAN(IF('Raw TRI Data'!$J:$J=$E189,'Raw TRI Data'!$Z:$Z)), "N/A - Facility Does Not Report to TRI, no surface water releases, or no Generic Factors available"))</f>
        <v>N/A - Facility Does Not Report to TRI, no surface water releases, or no Generic Factors available</v>
      </c>
      <c r="AA189" s="156" t="str">
        <f>IF(COUNTIF('Raw Annual DMR Data'!K:K,$E189)&gt;0,"N/A - See DMRs",IF(SUMIFS('Raw TRI Data'!$Z:$Z,'Raw TRI Data'!$J:$J,$E189)&gt;0,_xlfn.MAXIFS('Raw TRI Data'!$Z:$Z,'Raw TRI Data'!$J:$J,$E189), "N/A - Facility Does Not Report to TRI, no surface water releases, or no Generic Factors available"))</f>
        <v>N/A - Facility Does Not Report to TRI, no surface water releases, or no Generic Factors available</v>
      </c>
      <c r="AB189" s="113" t="str">
        <f t="shared" si="20"/>
        <v>N/A</v>
      </c>
      <c r="AC189" s="136" t="str" cm="1">
        <f t="array" ref="AC189">IF(COUNTIF('Raw Annual DMR Data'!K:K,$E189)&gt;0,"N/A - See DMRs",IF(SUMIFS('Raw TRI Data'!$Z:$Z,'Raw TRI Data'!$J:$J,$E189)&gt;0,INDEX('Raw TRI Data'!$A:$A,MATCH(1,($E189='Raw TRI Data'!$J:$J)*($AA189='Raw TRI Data'!$Z:$Z),0)), "N/A - Facility Does Not Report to TRI, no surface water releases, or no Generic Factors available"))</f>
        <v>N/A - Facility Does Not Report to TRI, no surface water releases, or no Generic Factors available</v>
      </c>
      <c r="AD189" s="96" t="str" cm="1">
        <f t="array" ref="AD189">IF(COUNTIFS('Raw Annual DMR Data'!L:L,$F189,'Raw Annual DMR Data'!W:W, "&gt;0")&gt;0,MEDIAN(IF('Raw Annual DMR Data'!K:K=$F189, 'Raw Annual DMR Data'!W:W)), "N/A - No Daily Max DMR Discharge Data")</f>
        <v>N/A - No Daily Max DMR Discharge Data</v>
      </c>
      <c r="AE189" s="96" t="str">
        <f>IF(COUNTIFS('Raw Annual DMR Data'!L:L,$F189,'Raw Annual DMR Data'!W:W, "&gt;0")&gt;0,_xlfn.MAXIFS('Raw Annual DMR Data'!W:W,'Raw Annual DMR Data'!L:L,$F189), "N/A - No Daily Max DMR Discharge Data")</f>
        <v>N/A - No Daily Max DMR Discharge Data</v>
      </c>
      <c r="AF189" s="60" t="str" cm="1">
        <f t="array" ref="AF189">IF(COUNTIFS('Raw Annual DMR Data'!L:L,$F189,'Raw Annual DMR Data'!W:W, "&gt;0")&gt;0,INDEX('Raw Annual DMR Data'!B:B,MATCH(1,($F189='Raw Annual DMR Data'!L:L)*($AE189='Raw Annual DMR Data'!W:W),0)), "N/A - No Daily Max DMR Discharge Data")</f>
        <v>N/A - No Daily Max DMR Discharge Data</v>
      </c>
    </row>
    <row r="190" spans="1:32" ht="45.75" thickBot="1" x14ac:dyDescent="0.3">
      <c r="A190" s="144" t="str">
        <f>VLOOKUP(F190,'Facility Summary'!J:K,2,FALSE)</f>
        <v>POTW</v>
      </c>
      <c r="B190" s="28" t="s">
        <v>1073</v>
      </c>
      <c r="C190" s="28" t="s">
        <v>1074</v>
      </c>
      <c r="D190" s="28" t="s">
        <v>374</v>
      </c>
      <c r="E190" s="28"/>
      <c r="F190" s="61">
        <v>110055979455</v>
      </c>
      <c r="G190" s="60" t="str">
        <f>VLOOKUP($F190, 'Raw Annual DMR Data'!$A:$Z, 24, FALSE)</f>
        <v>AZ0024716</v>
      </c>
      <c r="H190" s="60">
        <f>VLOOKUP($F190, 'Raw Annual DMR Data'!$A:$Z, 25, FALSE)</f>
        <v>0</v>
      </c>
      <c r="I190" s="74">
        <f>VLOOKUP($F190, 'Raw Annual DMR Data'!$A:$Z, 26, FALSE)</f>
        <v>15010007000406</v>
      </c>
      <c r="J190" s="74" t="s">
        <v>265</v>
      </c>
      <c r="K190" s="60">
        <f>VLOOKUP(A190, 'OES Summary'!$A:$B, 2, FALSE)</f>
        <v>365</v>
      </c>
      <c r="L190" s="304" cm="1">
        <f t="array" ref="L190">IF(COUNTIF('Raw Annual DMR Data'!$L:$L,$F190)&gt;0,MEDIAN(IF('Raw Annual DMR Data'!$L:$L=F190,'Raw Annual DMR Data'!$S:$S)),"N/A - Facility Does Not Report DMRs")</f>
        <v>1.2046897999999999</v>
      </c>
      <c r="M190" s="156">
        <f t="shared" si="18"/>
        <v>3.3005199999999999E-3</v>
      </c>
      <c r="N190" s="156">
        <f>IF(COUNTIF('Raw Annual DMR Data'!$L:$L,$F190)&gt;0,_xlfn.MAXIFS('Raw Annual DMR Data'!$S:$S,'Raw Annual DMR Data'!$L:$L,$F190), "N/A - Facility Does Not Report DMRs")</f>
        <v>1.2433725</v>
      </c>
      <c r="O190" s="156">
        <f t="shared" si="19"/>
        <v>3.4064999999999998E-3</v>
      </c>
      <c r="P190" s="113" cm="1">
        <f t="array" ref="P190">IF(COUNTIF('Raw Annual DMR Data'!$L:$L,$F190)&gt;0,INDEX('Raw Annual DMR Data'!$B:$B,MATCH(1,($F190='Raw Annual DMR Data'!$L:$L)*($N190='Raw Annual DMR Data'!$S:$S),0)), "N/A - Facility Does Not Report DMRs")</f>
        <v>2016</v>
      </c>
      <c r="Q190" s="304" t="str" cm="1">
        <f t="array" ref="Q190">IF(COUNTIF('Raw TRI Data'!$J:$J,$E190)&gt;0,MEDIAN(IF('Raw TRI Data'!$J:$J=E190,'Raw TRI Data'!$S:$S)), "N/A - Facility Does Not Report to TRI")</f>
        <v>N/A - Facility Does Not Report to TRI</v>
      </c>
      <c r="R190" s="156" t="str">
        <f t="shared" si="16"/>
        <v>N/A - Facility Does Not Report to TRI</v>
      </c>
      <c r="S190" s="156" t="str">
        <f>IF(COUNTIF('Raw TRI Data'!$J:$J,$E190)&gt;0,_xlfn.MAXIFS('Raw TRI Data'!$S:$S,'Raw TRI Data'!$J:$J,$E190), "N/A - Facility Does Not Report to TRI")</f>
        <v>N/A - Facility Does Not Report to TRI</v>
      </c>
      <c r="T190" s="156" t="str">
        <f t="shared" si="17"/>
        <v>N/A - Facility Does Not Report to TRI</v>
      </c>
      <c r="U190" s="136" t="str" cm="1">
        <f t="array" ref="U190">IF(COUNTIF('Raw TRI Data'!$J:$J,$E190)&gt;0,INDEX('Raw TRI Data'!$A:$A,MATCH(1,($E190='Raw TRI Data'!$J:$J)*(S190='Raw TRI Data'!$S:$S),0)), "N/A - Facility Does Not Report to TRI")</f>
        <v>N/A - Facility Does Not Report to TRI</v>
      </c>
      <c r="V190" s="156" t="str" cm="1">
        <f t="array" ref="V190">IF(COUNTIFS('Raw Annual DMR Data'!$L:$L,$F190,'Raw Annual DMR Data'!$U:$U,"&gt;0")&gt;0,MEDIAN(IF('Raw Annual DMR Data'!$L:$L=$F190,'Raw Annual DMR Data'!$U:$U,"")),"N/A - Period DMR Data Not Available")</f>
        <v>N/A - Period DMR Data Not Available</v>
      </c>
      <c r="W190" s="156" t="str">
        <f>IF(COUNTIFS('Raw Annual DMR Data'!$L:$L,$F190, 'Raw Annual DMR Data'!$U:$U, "&gt;0")&gt;0,_xlfn.MAXIFS('Raw Annual DMR Data'!$U:$U,'Raw Annual DMR Data'!$L:$L,$F190), "N/A - Period DMR Data Not Available")</f>
        <v>N/A - Period DMR Data Not Available</v>
      </c>
      <c r="X190" s="113" t="str" cm="1">
        <f t="array" ref="X190">+IF(COUNTIFS('Raw Annual DMR Data'!L:L,$F190, 'Raw Annual DMR Data'!U:U, "&gt;0")&gt;0,INDEX('Raw Annual DMR Data'!V:V,MATCH(1,($F190='Raw Annual DMR Data'!L:L)*($W190='Raw Annual DMR Data'!U:U),0)), "N/A - Period DMR Data Not Available")</f>
        <v>N/A - Period DMR Data Not Available</v>
      </c>
      <c r="Y190" s="113" t="str" cm="1">
        <f t="array" ref="Y190">IF(COUNTIFS('Raw Annual DMR Data'!L:L,$F190, 'Raw Annual DMR Data'!U:U, "&gt;0")&gt;0,INDEX('Raw Annual DMR Data'!B:B,MATCH(1,($F190='Raw Annual DMR Data'!L:L)*($W190='Raw Annual DMR Data'!U:U),0)), "N/A - Period DMR Data Not Available")</f>
        <v>N/A - Period DMR Data Not Available</v>
      </c>
      <c r="Z190" s="311" t="str" cm="1">
        <f t="array" ref="Z190">IF(COUNTIF('Raw Annual DMR Data'!K:K,$E190)&gt;0,"N/A - See DMRs",IF(SUMIFS('Raw TRI Data'!$Z:$Z,'Raw TRI Data'!$J:$J,$E190)&gt;0,MEDIAN(IF('Raw TRI Data'!$J:$J=$E190,'Raw TRI Data'!$Z:$Z)), "N/A - Facility Does Not Report to TRI, no surface water releases, or no Generic Factors available"))</f>
        <v>N/A - Facility Does Not Report to TRI, no surface water releases, or no Generic Factors available</v>
      </c>
      <c r="AA190" s="156" t="str">
        <f>IF(COUNTIF('Raw Annual DMR Data'!K:K,$E190)&gt;0,"N/A - See DMRs",IF(SUMIFS('Raw TRI Data'!$Z:$Z,'Raw TRI Data'!$J:$J,$E190)&gt;0,_xlfn.MAXIFS('Raw TRI Data'!$Z:$Z,'Raw TRI Data'!$J:$J,$E190), "N/A - Facility Does Not Report to TRI, no surface water releases, or no Generic Factors available"))</f>
        <v>N/A - Facility Does Not Report to TRI, no surface water releases, or no Generic Factors available</v>
      </c>
      <c r="AB190" s="113" t="str">
        <f t="shared" si="20"/>
        <v>N/A</v>
      </c>
      <c r="AC190" s="136" t="str" cm="1">
        <f t="array" ref="AC190">IF(COUNTIF('Raw Annual DMR Data'!K:K,$E190)&gt;0,"N/A - See DMRs",IF(SUMIFS('Raw TRI Data'!$Z:$Z,'Raw TRI Data'!$J:$J,$E190)&gt;0,INDEX('Raw TRI Data'!$A:$A,MATCH(1,($E190='Raw TRI Data'!$J:$J)*($AA190='Raw TRI Data'!$Z:$Z),0)), "N/A - Facility Does Not Report to TRI, no surface water releases, or no Generic Factors available"))</f>
        <v>N/A - Facility Does Not Report to TRI, no surface water releases, or no Generic Factors available</v>
      </c>
      <c r="AD190" s="96" t="str" cm="1">
        <f t="array" ref="AD190">IF(COUNTIFS('Raw Annual DMR Data'!L:L,$F190,'Raw Annual DMR Data'!W:W, "&gt;0")&gt;0,MEDIAN(IF('Raw Annual DMR Data'!K:K=$F190, 'Raw Annual DMR Data'!W:W)), "N/A - No Daily Max DMR Discharge Data")</f>
        <v>N/A - No Daily Max DMR Discharge Data</v>
      </c>
      <c r="AE190" s="96" t="str">
        <f>IF(COUNTIFS('Raw Annual DMR Data'!L:L,$F190,'Raw Annual DMR Data'!W:W, "&gt;0")&gt;0,_xlfn.MAXIFS('Raw Annual DMR Data'!W:W,'Raw Annual DMR Data'!L:L,$F190), "N/A - No Daily Max DMR Discharge Data")</f>
        <v>N/A - No Daily Max DMR Discharge Data</v>
      </c>
      <c r="AF190" s="60" t="str" cm="1">
        <f t="array" ref="AF190">IF(COUNTIFS('Raw Annual DMR Data'!L:L,$F190,'Raw Annual DMR Data'!W:W, "&gt;0")&gt;0,INDEX('Raw Annual DMR Data'!B:B,MATCH(1,($F190='Raw Annual DMR Data'!L:L)*($AE190='Raw Annual DMR Data'!W:W),0)), "N/A - No Daily Max DMR Discharge Data")</f>
        <v>N/A - No Daily Max DMR Discharge Data</v>
      </c>
    </row>
    <row r="191" spans="1:32" ht="45.75" thickBot="1" x14ac:dyDescent="0.3">
      <c r="A191" s="144" t="str">
        <f>VLOOKUP(F191,'Facility Summary'!J:K,2,FALSE)</f>
        <v>Unknown</v>
      </c>
      <c r="B191" s="28" t="s">
        <v>1075</v>
      </c>
      <c r="C191" s="28" t="s">
        <v>1076</v>
      </c>
      <c r="D191" s="28" t="s">
        <v>469</v>
      </c>
      <c r="E191" s="28"/>
      <c r="F191" s="61">
        <v>110002455370</v>
      </c>
      <c r="G191" s="60" t="str">
        <f>VLOOKUP($F191, 'Raw Annual DMR Data'!$A:$Z, 24, FALSE)</f>
        <v>IN0063576</v>
      </c>
      <c r="H191" s="60" t="str">
        <f>VLOOKUP($F191, 'Raw Annual DMR Data'!$A:$Z, 25, FALSE)</f>
        <v>BEAN CREEK</v>
      </c>
      <c r="I191" s="74">
        <f>VLOOKUP($F191, 'Raw Annual DMR Data'!$A:$Z, 26, FALSE)</f>
        <v>5120201000586</v>
      </c>
      <c r="J191" s="74" t="s">
        <v>265</v>
      </c>
      <c r="K191" s="60">
        <f>VLOOKUP(A191, 'OES Summary'!$A:$B, 2, FALSE)</f>
        <v>250</v>
      </c>
      <c r="L191" s="304" cm="1">
        <f t="array" ref="L191">IF(COUNTIF('Raw Annual DMR Data'!$L:$L,$F191)&gt;0,MEDIAN(IF('Raw Annual DMR Data'!$L:$L=F191,'Raw Annual DMR Data'!$S:$S)),"N/A - Facility Does Not Report DMRs")</f>
        <v>6.5538454500625003E-3</v>
      </c>
      <c r="M191" s="156">
        <f t="shared" si="18"/>
        <v>2.6215381800250001E-5</v>
      </c>
      <c r="N191" s="156">
        <f>IF(COUNTIF('Raw Annual DMR Data'!$L:$L,$F191)&gt;0,_xlfn.MAXIFS('Raw Annual DMR Data'!$S:$S,'Raw Annual DMR Data'!$L:$L,$F191), "N/A - Facility Does Not Report DMRs")</f>
        <v>1.1700930074999999E-2</v>
      </c>
      <c r="O191" s="156">
        <f t="shared" si="19"/>
        <v>4.6803720299999997E-5</v>
      </c>
      <c r="P191" s="113" cm="1">
        <f t="array" ref="P191">IF(COUNTIF('Raw Annual DMR Data'!$L:$L,$F191)&gt;0,INDEX('Raw Annual DMR Data'!$B:$B,MATCH(1,($F191='Raw Annual DMR Data'!$L:$L)*($N191='Raw Annual DMR Data'!$S:$S),0)), "N/A - Facility Does Not Report DMRs")</f>
        <v>2015</v>
      </c>
      <c r="Q191" s="304" t="str" cm="1">
        <f t="array" ref="Q191">IF(COUNTIF('Raw TRI Data'!$J:$J,$E191)&gt;0,MEDIAN(IF('Raw TRI Data'!$J:$J=E191,'Raw TRI Data'!$S:$S)), "N/A - Facility Does Not Report to TRI")</f>
        <v>N/A - Facility Does Not Report to TRI</v>
      </c>
      <c r="R191" s="156" t="str">
        <f t="shared" si="16"/>
        <v>N/A - Facility Does Not Report to TRI</v>
      </c>
      <c r="S191" s="156" t="str">
        <f>IF(COUNTIF('Raw TRI Data'!$J:$J,$E191)&gt;0,_xlfn.MAXIFS('Raw TRI Data'!$S:$S,'Raw TRI Data'!$J:$J,$E191), "N/A - Facility Does Not Report to TRI")</f>
        <v>N/A - Facility Does Not Report to TRI</v>
      </c>
      <c r="T191" s="156" t="str">
        <f t="shared" si="17"/>
        <v>N/A - Facility Does Not Report to TRI</v>
      </c>
      <c r="U191" s="136" t="str" cm="1">
        <f t="array" ref="U191">IF(COUNTIF('Raw TRI Data'!$J:$J,$E191)&gt;0,INDEX('Raw TRI Data'!$A:$A,MATCH(1,($E191='Raw TRI Data'!$J:$J)*(S191='Raw TRI Data'!$S:$S),0)), "N/A - Facility Does Not Report to TRI")</f>
        <v>N/A - Facility Does Not Report to TRI</v>
      </c>
      <c r="V191" s="156" t="str" cm="1">
        <f t="array" ref="V191">IF(COUNTIFS('Raw Annual DMR Data'!$L:$L,$F191,'Raw Annual DMR Data'!$U:$U,"&gt;0")&gt;0,MEDIAN(IF('Raw Annual DMR Data'!$L:$L=$F191,'Raw Annual DMR Data'!$U:$U,"")),"N/A - Period DMR Data Not Available")</f>
        <v>N/A - Period DMR Data Not Available</v>
      </c>
      <c r="W191" s="156" t="str">
        <f>IF(COUNTIFS('Raw Annual DMR Data'!$L:$L,$F191, 'Raw Annual DMR Data'!$U:$U, "&gt;0")&gt;0,_xlfn.MAXIFS('Raw Annual DMR Data'!$U:$U,'Raw Annual DMR Data'!$L:$L,$F191), "N/A - Period DMR Data Not Available")</f>
        <v>N/A - Period DMR Data Not Available</v>
      </c>
      <c r="X191" s="113" t="str" cm="1">
        <f t="array" ref="X191">+IF(COUNTIFS('Raw Annual DMR Data'!L:L,$F191, 'Raw Annual DMR Data'!U:U, "&gt;0")&gt;0,INDEX('Raw Annual DMR Data'!V:V,MATCH(1,($F191='Raw Annual DMR Data'!L:L)*($W191='Raw Annual DMR Data'!U:U),0)), "N/A - Period DMR Data Not Available")</f>
        <v>N/A - Period DMR Data Not Available</v>
      </c>
      <c r="Y191" s="113" t="str" cm="1">
        <f t="array" ref="Y191">IF(COUNTIFS('Raw Annual DMR Data'!L:L,$F191, 'Raw Annual DMR Data'!U:U, "&gt;0")&gt;0,INDEX('Raw Annual DMR Data'!B:B,MATCH(1,($F191='Raw Annual DMR Data'!L:L)*($W191='Raw Annual DMR Data'!U:U),0)), "N/A - Period DMR Data Not Available")</f>
        <v>N/A - Period DMR Data Not Available</v>
      </c>
      <c r="Z191" s="311" t="str" cm="1">
        <f t="array" ref="Z191">IF(COUNTIF('Raw Annual DMR Data'!K:K,$E191)&gt;0,"N/A - See DMRs",IF(SUMIFS('Raw TRI Data'!$Z:$Z,'Raw TRI Data'!$J:$J,$E191)&gt;0,MEDIAN(IF('Raw TRI Data'!$J:$J=$E191,'Raw TRI Data'!$Z:$Z)), "N/A - Facility Does Not Report to TRI, no surface water releases, or no Generic Factors available"))</f>
        <v>N/A - Facility Does Not Report to TRI, no surface water releases, or no Generic Factors available</v>
      </c>
      <c r="AA191" s="156" t="str">
        <f>IF(COUNTIF('Raw Annual DMR Data'!K:K,$E191)&gt;0,"N/A - See DMRs",IF(SUMIFS('Raw TRI Data'!$Z:$Z,'Raw TRI Data'!$J:$J,$E191)&gt;0,_xlfn.MAXIFS('Raw TRI Data'!$Z:$Z,'Raw TRI Data'!$J:$J,$E191), "N/A - Facility Does Not Report to TRI, no surface water releases, or no Generic Factors available"))</f>
        <v>N/A - Facility Does Not Report to TRI, no surface water releases, or no Generic Factors available</v>
      </c>
      <c r="AB191" s="113" t="str">
        <f t="shared" si="20"/>
        <v>N/A</v>
      </c>
      <c r="AC191" s="136" t="str" cm="1">
        <f t="array" ref="AC191">IF(COUNTIF('Raw Annual DMR Data'!K:K,$E191)&gt;0,"N/A - See DMRs",IF(SUMIFS('Raw TRI Data'!$Z:$Z,'Raw TRI Data'!$J:$J,$E191)&gt;0,INDEX('Raw TRI Data'!$A:$A,MATCH(1,($E191='Raw TRI Data'!$J:$J)*($AA191='Raw TRI Data'!$Z:$Z),0)), "N/A - Facility Does Not Report to TRI, no surface water releases, or no Generic Factors available"))</f>
        <v>N/A - Facility Does Not Report to TRI, no surface water releases, or no Generic Factors available</v>
      </c>
      <c r="AD191" s="96" t="str" cm="1">
        <f t="array" ref="AD191">IF(COUNTIFS('Raw Annual DMR Data'!L:L,$F191,'Raw Annual DMR Data'!W:W, "&gt;0")&gt;0,MEDIAN(IF('Raw Annual DMR Data'!K:K=$F191, 'Raw Annual DMR Data'!W:W)), "N/A - No Daily Max DMR Discharge Data")</f>
        <v>N/A - No Daily Max DMR Discharge Data</v>
      </c>
      <c r="AE191" s="96" t="str">
        <f>IF(COUNTIFS('Raw Annual DMR Data'!L:L,$F191,'Raw Annual DMR Data'!W:W, "&gt;0")&gt;0,_xlfn.MAXIFS('Raw Annual DMR Data'!W:W,'Raw Annual DMR Data'!L:L,$F191), "N/A - No Daily Max DMR Discharge Data")</f>
        <v>N/A - No Daily Max DMR Discharge Data</v>
      </c>
      <c r="AF191" s="60" t="str" cm="1">
        <f t="array" ref="AF191">IF(COUNTIFS('Raw Annual DMR Data'!L:L,$F191,'Raw Annual DMR Data'!W:W, "&gt;0")&gt;0,INDEX('Raw Annual DMR Data'!B:B,MATCH(1,($F191='Raw Annual DMR Data'!L:L)*($AE191='Raw Annual DMR Data'!W:W),0)), "N/A - No Daily Max DMR Discharge Data")</f>
        <v>N/A - No Daily Max DMR Discharge Data</v>
      </c>
    </row>
    <row r="192" spans="1:32" ht="45.75" thickBot="1" x14ac:dyDescent="0.3">
      <c r="A192" s="144" t="str">
        <f>VLOOKUP(F192,'Facility Summary'!J:K,2,FALSE)</f>
        <v>POTW</v>
      </c>
      <c r="B192" s="28" t="s">
        <v>1077</v>
      </c>
      <c r="C192" s="28" t="s">
        <v>1078</v>
      </c>
      <c r="D192" s="28" t="s">
        <v>366</v>
      </c>
      <c r="E192" s="28"/>
      <c r="F192" s="61">
        <v>110070619860</v>
      </c>
      <c r="G192" s="60" t="str">
        <f>VLOOKUP($F192, 'Raw Annual DMR Data'!$A:$Z, 24, FALSE)</f>
        <v>CAC433255</v>
      </c>
      <c r="H192" s="60" t="str">
        <f>VLOOKUP($F192, 'Raw Annual DMR Data'!$A:$Z, 25, FALSE)</f>
        <v>DEER CREEK</v>
      </c>
      <c r="I192" s="74">
        <f>VLOOKUP($F192, 'Raw Annual DMR Data'!$A:$Z, 26, FALSE)</f>
        <v>0</v>
      </c>
      <c r="J192" s="74" t="s">
        <v>265</v>
      </c>
      <c r="K192" s="60">
        <f>VLOOKUP(A192, 'OES Summary'!$A:$B, 2, FALSE)</f>
        <v>365</v>
      </c>
      <c r="L192" s="304" cm="1">
        <f t="array" ref="L192">IF(COUNTIF('Raw Annual DMR Data'!$L:$L,$F192)&gt;0,MEDIAN(IF('Raw Annual DMR Data'!$L:$L=F192,'Raw Annual DMR Data'!$S:$S)),"N/A - Facility Does Not Report DMRs")</f>
        <v>4.9188724500000003E-2</v>
      </c>
      <c r="M192" s="156">
        <f t="shared" si="18"/>
        <v>1.3476362876712328E-4</v>
      </c>
      <c r="N192" s="156">
        <f>IF(COUNTIF('Raw Annual DMR Data'!$L:$L,$F192)&gt;0,_xlfn.MAXIFS('Raw Annual DMR Data'!$S:$S,'Raw Annual DMR Data'!$L:$L,$F192), "N/A - Facility Does Not Report DMRs")</f>
        <v>6.9649298999999998E-2</v>
      </c>
      <c r="O192" s="156">
        <f t="shared" si="19"/>
        <v>1.9081999726027396E-4</v>
      </c>
      <c r="P192" s="113" cm="1">
        <f t="array" ref="P192">IF(COUNTIF('Raw Annual DMR Data'!$L:$L,$F192)&gt;0,INDEX('Raw Annual DMR Data'!$B:$B,MATCH(1,($F192='Raw Annual DMR Data'!$L:$L)*($N192='Raw Annual DMR Data'!$S:$S),0)), "N/A - Facility Does Not Report DMRs")</f>
        <v>2021</v>
      </c>
      <c r="Q192" s="304" t="str" cm="1">
        <f t="array" ref="Q192">IF(COUNTIF('Raw TRI Data'!$J:$J,$E192)&gt;0,MEDIAN(IF('Raw TRI Data'!$J:$J=E192,'Raw TRI Data'!$S:$S)), "N/A - Facility Does Not Report to TRI")</f>
        <v>N/A - Facility Does Not Report to TRI</v>
      </c>
      <c r="R192" s="156" t="str">
        <f t="shared" si="16"/>
        <v>N/A - Facility Does Not Report to TRI</v>
      </c>
      <c r="S192" s="156" t="str">
        <f>IF(COUNTIF('Raw TRI Data'!$J:$J,$E192)&gt;0,_xlfn.MAXIFS('Raw TRI Data'!$S:$S,'Raw TRI Data'!$J:$J,$E192), "N/A - Facility Does Not Report to TRI")</f>
        <v>N/A - Facility Does Not Report to TRI</v>
      </c>
      <c r="T192" s="156" t="str">
        <f t="shared" si="17"/>
        <v>N/A - Facility Does Not Report to TRI</v>
      </c>
      <c r="U192" s="136" t="str" cm="1">
        <f t="array" ref="U192">IF(COUNTIF('Raw TRI Data'!$J:$J,$E192)&gt;0,INDEX('Raw TRI Data'!$A:$A,MATCH(1,($E192='Raw TRI Data'!$J:$J)*(S192='Raw TRI Data'!$S:$S),0)), "N/A - Facility Does Not Report to TRI")</f>
        <v>N/A - Facility Does Not Report to TRI</v>
      </c>
      <c r="V192" s="156" t="str" cm="1">
        <f t="array" ref="V192">IF(COUNTIFS('Raw Annual DMR Data'!$L:$L,$F192,'Raw Annual DMR Data'!$U:$U,"&gt;0")&gt;0,MEDIAN(IF('Raw Annual DMR Data'!$L:$L=$F192,'Raw Annual DMR Data'!$U:$U,"")),"N/A - Period DMR Data Not Available")</f>
        <v>N/A - Period DMR Data Not Available</v>
      </c>
      <c r="W192" s="156" t="str">
        <f>IF(COUNTIFS('Raw Annual DMR Data'!$L:$L,$F192, 'Raw Annual DMR Data'!$U:$U, "&gt;0")&gt;0,_xlfn.MAXIFS('Raw Annual DMR Data'!$U:$U,'Raw Annual DMR Data'!$L:$L,$F192), "N/A - Period DMR Data Not Available")</f>
        <v>N/A - Period DMR Data Not Available</v>
      </c>
      <c r="X192" s="113" t="str" cm="1">
        <f t="array" ref="X192">+IF(COUNTIFS('Raw Annual DMR Data'!L:L,$F192, 'Raw Annual DMR Data'!U:U, "&gt;0")&gt;0,INDEX('Raw Annual DMR Data'!V:V,MATCH(1,($F192='Raw Annual DMR Data'!L:L)*($W192='Raw Annual DMR Data'!U:U),0)), "N/A - Period DMR Data Not Available")</f>
        <v>N/A - Period DMR Data Not Available</v>
      </c>
      <c r="Y192" s="113" t="str" cm="1">
        <f t="array" ref="Y192">IF(COUNTIFS('Raw Annual DMR Data'!L:L,$F192, 'Raw Annual DMR Data'!U:U, "&gt;0")&gt;0,INDEX('Raw Annual DMR Data'!B:B,MATCH(1,($F192='Raw Annual DMR Data'!L:L)*($W192='Raw Annual DMR Data'!U:U),0)), "N/A - Period DMR Data Not Available")</f>
        <v>N/A - Period DMR Data Not Available</v>
      </c>
      <c r="Z192" s="311" t="str" cm="1">
        <f t="array" ref="Z192">IF(COUNTIF('Raw Annual DMR Data'!K:K,$E192)&gt;0,"N/A - See DMRs",IF(SUMIFS('Raw TRI Data'!$Z:$Z,'Raw TRI Data'!$J:$J,$E192)&gt;0,MEDIAN(IF('Raw TRI Data'!$J:$J=$E192,'Raw TRI Data'!$Z:$Z)), "N/A - Facility Does Not Report to TRI, no surface water releases, or no Generic Factors available"))</f>
        <v>N/A - Facility Does Not Report to TRI, no surface water releases, or no Generic Factors available</v>
      </c>
      <c r="AA192" s="156" t="str">
        <f>IF(COUNTIF('Raw Annual DMR Data'!K:K,$E192)&gt;0,"N/A - See DMRs",IF(SUMIFS('Raw TRI Data'!$Z:$Z,'Raw TRI Data'!$J:$J,$E192)&gt;0,_xlfn.MAXIFS('Raw TRI Data'!$Z:$Z,'Raw TRI Data'!$J:$J,$E192), "N/A - Facility Does Not Report to TRI, no surface water releases, or no Generic Factors available"))</f>
        <v>N/A - Facility Does Not Report to TRI, no surface water releases, or no Generic Factors available</v>
      </c>
      <c r="AB192" s="113" t="str">
        <f t="shared" si="20"/>
        <v>N/A</v>
      </c>
      <c r="AC192" s="136" t="str" cm="1">
        <f t="array" ref="AC192">IF(COUNTIF('Raw Annual DMR Data'!K:K,$E192)&gt;0,"N/A - See DMRs",IF(SUMIFS('Raw TRI Data'!$Z:$Z,'Raw TRI Data'!$J:$J,$E192)&gt;0,INDEX('Raw TRI Data'!$A:$A,MATCH(1,($E192='Raw TRI Data'!$J:$J)*($AA192='Raw TRI Data'!$Z:$Z),0)), "N/A - Facility Does Not Report to TRI, no surface water releases, or no Generic Factors available"))</f>
        <v>N/A - Facility Does Not Report to TRI, no surface water releases, or no Generic Factors available</v>
      </c>
      <c r="AD192" s="96" t="str" cm="1">
        <f t="array" ref="AD192">IF(COUNTIFS('Raw Annual DMR Data'!L:L,$F192,'Raw Annual DMR Data'!W:W, "&gt;0")&gt;0,MEDIAN(IF('Raw Annual DMR Data'!K:K=$F192, 'Raw Annual DMR Data'!W:W)), "N/A - No Daily Max DMR Discharge Data")</f>
        <v>N/A - No Daily Max DMR Discharge Data</v>
      </c>
      <c r="AE192" s="96" t="str">
        <f>IF(COUNTIFS('Raw Annual DMR Data'!L:L,$F192,'Raw Annual DMR Data'!W:W, "&gt;0")&gt;0,_xlfn.MAXIFS('Raw Annual DMR Data'!W:W,'Raw Annual DMR Data'!L:L,$F192), "N/A - No Daily Max DMR Discharge Data")</f>
        <v>N/A - No Daily Max DMR Discharge Data</v>
      </c>
      <c r="AF192" s="60" t="str" cm="1">
        <f t="array" ref="AF192">IF(COUNTIFS('Raw Annual DMR Data'!L:L,$F192,'Raw Annual DMR Data'!W:W, "&gt;0")&gt;0,INDEX('Raw Annual DMR Data'!B:B,MATCH(1,($F192='Raw Annual DMR Data'!L:L)*($AE192='Raw Annual DMR Data'!W:W),0)), "N/A - No Daily Max DMR Discharge Data")</f>
        <v>N/A - No Daily Max DMR Discharge Data</v>
      </c>
    </row>
    <row r="193" spans="1:32" ht="30.75" thickBot="1" x14ac:dyDescent="0.3">
      <c r="A193" s="144" t="str">
        <f>VLOOKUP(F193,'Facility Summary'!J:K,2,FALSE)</f>
        <v>Unknown</v>
      </c>
      <c r="B193" s="28" t="s">
        <v>1079</v>
      </c>
      <c r="C193" s="28" t="s">
        <v>381</v>
      </c>
      <c r="D193" s="28" t="s">
        <v>338</v>
      </c>
      <c r="E193" s="28" t="s">
        <v>710</v>
      </c>
      <c r="F193" s="61">
        <v>110000582003</v>
      </c>
      <c r="G193" s="60" t="str">
        <f>VLOOKUP($F193, 'Raw Annual DMR Data'!$A:$Z, 24, FALSE)</f>
        <v>NJ0005045</v>
      </c>
      <c r="H193" s="60" t="str">
        <f>VLOOKUP($F193, 'Raw Annual DMR Data'!$A:$Z, 25, FALSE)</f>
        <v>DELAWARE RIVER ZONE 4</v>
      </c>
      <c r="I193" s="74">
        <f>VLOOKUP($F193, 'Raw Annual DMR Data'!$A:$Z, 26, FALSE)</f>
        <v>2040202001854</v>
      </c>
      <c r="J193" s="74" t="s">
        <v>265</v>
      </c>
      <c r="K193" s="60">
        <f>VLOOKUP(A193, 'OES Summary'!$A:$B, 2, FALSE)</f>
        <v>250</v>
      </c>
      <c r="L193" s="304" cm="1">
        <f t="array" ref="L193">IF(COUNTIF('Raw Annual DMR Data'!$L:$L,$F193)&gt;0,MEDIAN(IF('Raw Annual DMR Data'!$L:$L=F193,'Raw Annual DMR Data'!$S:$S)),"N/A - Facility Does Not Report DMRs")</f>
        <v>0.25209999999999999</v>
      </c>
      <c r="M193" s="156">
        <f t="shared" si="18"/>
        <v>1.0084E-3</v>
      </c>
      <c r="N193" s="156">
        <f>IF(COUNTIF('Raw Annual DMR Data'!$L:$L,$F193)&gt;0,_xlfn.MAXIFS('Raw Annual DMR Data'!$S:$S,'Raw Annual DMR Data'!$L:$L,$F193), "N/A - Facility Does Not Report DMRs")</f>
        <v>1.0485</v>
      </c>
      <c r="O193" s="156">
        <f t="shared" si="19"/>
        <v>4.1939999999999998E-3</v>
      </c>
      <c r="P193" s="113" cm="1">
        <f t="array" ref="P193">IF(COUNTIF('Raw Annual DMR Data'!$L:$L,$F193)&gt;0,INDEX('Raw Annual DMR Data'!$B:$B,MATCH(1,($F193='Raw Annual DMR Data'!$L:$L)*($N193='Raw Annual DMR Data'!$S:$S),0)), "N/A - Facility Does Not Report DMRs")</f>
        <v>2021</v>
      </c>
      <c r="Q193" s="304" t="str" cm="1">
        <f t="array" ref="Q193">IF(COUNTIF('Raw TRI Data'!$J:$J,$E193)&gt;0,MEDIAN(IF('Raw TRI Data'!$J:$J=E193,'Raw TRI Data'!$S:$S)), "N/A - Facility Does Not Report to TRI")</f>
        <v>N/A - Facility Does Not Report to TRI</v>
      </c>
      <c r="R193" s="156" t="str">
        <f t="shared" si="16"/>
        <v>N/A - Facility Does Not Report to TRI</v>
      </c>
      <c r="S193" s="156" t="str">
        <f>IF(COUNTIF('Raw TRI Data'!$J:$J,$E193)&gt;0,_xlfn.MAXIFS('Raw TRI Data'!$S:$S,'Raw TRI Data'!$J:$J,$E193), "N/A - Facility Does Not Report to TRI")</f>
        <v>N/A - Facility Does Not Report to TRI</v>
      </c>
      <c r="T193" s="156" t="str">
        <f t="shared" si="17"/>
        <v>N/A - Facility Does Not Report to TRI</v>
      </c>
      <c r="U193" s="136" t="str" cm="1">
        <f t="array" ref="U193">IF(COUNTIF('Raw TRI Data'!$J:$J,$E193)&gt;0,INDEX('Raw TRI Data'!$A:$A,MATCH(1,($E193='Raw TRI Data'!$J:$J)*(S193='Raw TRI Data'!$S:$S),0)), "N/A - Facility Does Not Report to TRI")</f>
        <v>N/A - Facility Does Not Report to TRI</v>
      </c>
      <c r="V193" s="156" t="str" cm="1">
        <f t="array" ref="V193">IF(COUNTIFS('Raw Annual DMR Data'!$L:$L,$F193,'Raw Annual DMR Data'!$U:$U,"&gt;0")&gt;0,MEDIAN(IF('Raw Annual DMR Data'!$L:$L=$F193,'Raw Annual DMR Data'!$U:$U,"")),"N/A - Period DMR Data Not Available")</f>
        <v>N/A - Period DMR Data Not Available</v>
      </c>
      <c r="W193" s="156" t="str">
        <f>IF(COUNTIFS('Raw Annual DMR Data'!$L:$L,$F193, 'Raw Annual DMR Data'!$U:$U, "&gt;0")&gt;0,_xlfn.MAXIFS('Raw Annual DMR Data'!$U:$U,'Raw Annual DMR Data'!$L:$L,$F193), "N/A - Period DMR Data Not Available")</f>
        <v>N/A - Period DMR Data Not Available</v>
      </c>
      <c r="X193" s="113" t="str" cm="1">
        <f t="array" ref="X193">+IF(COUNTIFS('Raw Annual DMR Data'!L:L,$F193, 'Raw Annual DMR Data'!U:U, "&gt;0")&gt;0,INDEX('Raw Annual DMR Data'!V:V,MATCH(1,($F193='Raw Annual DMR Data'!L:L)*($W193='Raw Annual DMR Data'!U:U),0)), "N/A - Period DMR Data Not Available")</f>
        <v>N/A - Period DMR Data Not Available</v>
      </c>
      <c r="Y193" s="113" t="str" cm="1">
        <f t="array" ref="Y193">IF(COUNTIFS('Raw Annual DMR Data'!L:L,$F193, 'Raw Annual DMR Data'!U:U, "&gt;0")&gt;0,INDEX('Raw Annual DMR Data'!B:B,MATCH(1,($F193='Raw Annual DMR Data'!L:L)*($W193='Raw Annual DMR Data'!U:U),0)), "N/A - Period DMR Data Not Available")</f>
        <v>N/A - Period DMR Data Not Available</v>
      </c>
      <c r="Z193" s="311" t="str" cm="1">
        <f t="array" ref="Z193">IF(COUNTIF('Raw Annual DMR Data'!K:K,$E193)&gt;0,"N/A - See DMRs",IF(SUMIFS('Raw TRI Data'!$Z:$Z,'Raw TRI Data'!$J:$J,$E193)&gt;0,MEDIAN(IF('Raw TRI Data'!$J:$J=$E193,'Raw TRI Data'!$Z:$Z)), "N/A - Facility Does Not Report to TRI, no surface water releases, or no Generic Factors available"))</f>
        <v>N/A - See DMRs</v>
      </c>
      <c r="AA193" s="156" t="str">
        <f>IF(COUNTIF('Raw Annual DMR Data'!K:K,$E193)&gt;0,"N/A - See DMRs",IF(SUMIFS('Raw TRI Data'!$Z:$Z,'Raw TRI Data'!$J:$J,$E193)&gt;0,_xlfn.MAXIFS('Raw TRI Data'!$Z:$Z,'Raw TRI Data'!$J:$J,$E193), "N/A - Facility Does Not Report to TRI, no surface water releases, or no Generic Factors available"))</f>
        <v>N/A - See DMRs</v>
      </c>
      <c r="AB193" s="113" t="str">
        <f t="shared" si="20"/>
        <v>N/A</v>
      </c>
      <c r="AC193" s="136" t="str" cm="1">
        <f t="array" ref="AC193">IF(COUNTIF('Raw Annual DMR Data'!K:K,$E193)&gt;0,"N/A - See DMRs",IF(SUMIFS('Raw TRI Data'!$Z:$Z,'Raw TRI Data'!$J:$J,$E193)&gt;0,INDEX('Raw TRI Data'!$A:$A,MATCH(1,($E193='Raw TRI Data'!$J:$J)*($AA193='Raw TRI Data'!$Z:$Z),0)), "N/A - Facility Does Not Report to TRI, no surface water releases, or no Generic Factors available"))</f>
        <v>N/A - See DMRs</v>
      </c>
      <c r="AD193" s="96" t="str" cm="1">
        <f t="array" ref="AD193">IF(COUNTIFS('Raw Annual DMR Data'!L:L,$F193,'Raw Annual DMR Data'!W:W, "&gt;0")&gt;0,MEDIAN(IF('Raw Annual DMR Data'!K:K=$F193, 'Raw Annual DMR Data'!W:W)), "N/A - No Daily Max DMR Discharge Data")</f>
        <v>N/A - No Daily Max DMR Discharge Data</v>
      </c>
      <c r="AE193" s="96" t="str">
        <f>IF(COUNTIFS('Raw Annual DMR Data'!L:L,$F193,'Raw Annual DMR Data'!W:W, "&gt;0")&gt;0,_xlfn.MAXIFS('Raw Annual DMR Data'!W:W,'Raw Annual DMR Data'!L:L,$F193), "N/A - No Daily Max DMR Discharge Data")</f>
        <v>N/A - No Daily Max DMR Discharge Data</v>
      </c>
      <c r="AF193" s="60" t="str" cm="1">
        <f t="array" ref="AF193">IF(COUNTIFS('Raw Annual DMR Data'!L:L,$F193,'Raw Annual DMR Data'!W:W, "&gt;0")&gt;0,INDEX('Raw Annual DMR Data'!B:B,MATCH(1,($F193='Raw Annual DMR Data'!L:L)*($AE193='Raw Annual DMR Data'!W:W),0)), "N/A - No Daily Max DMR Discharge Data")</f>
        <v>N/A - No Daily Max DMR Discharge Data</v>
      </c>
    </row>
    <row r="194" spans="1:32" ht="45.75" thickBot="1" x14ac:dyDescent="0.3">
      <c r="A194" s="144" t="str">
        <f>VLOOKUP(F194,'Facility Summary'!J:K,2,FALSE)</f>
        <v>POTW</v>
      </c>
      <c r="B194" s="28" t="s">
        <v>1080</v>
      </c>
      <c r="C194" s="28" t="s">
        <v>1081</v>
      </c>
      <c r="D194" s="28" t="s">
        <v>338</v>
      </c>
      <c r="E194" s="28"/>
      <c r="F194" s="61">
        <v>110006620095</v>
      </c>
      <c r="G194" s="60" t="str">
        <f>VLOOKUP($F194, 'Raw Annual DMR Data'!$A:$Z, 24, FALSE)</f>
        <v>NJ0023507</v>
      </c>
      <c r="H194" s="60" t="str">
        <f>VLOOKUP($F194, 'Raw Annual DMR Data'!$A:$Z, 25, FALSE)</f>
        <v>RANCOCAS CREEK</v>
      </c>
      <c r="I194" s="74" t="str">
        <f>VLOOKUP($F194, 'Raw Annual DMR Data'!$A:$Z, 26, FALSE)</f>
        <v>02040202001995</v>
      </c>
      <c r="J194" s="74" t="s">
        <v>265</v>
      </c>
      <c r="K194" s="60">
        <f>VLOOKUP(A194, 'OES Summary'!$A:$B, 2, FALSE)</f>
        <v>365</v>
      </c>
      <c r="L194" s="304" cm="1">
        <f t="array" ref="L194">IF(COUNTIF('Raw Annual DMR Data'!$L:$L,$F194)&gt;0,MEDIAN(IF('Raw Annual DMR Data'!$L:$L=F194,'Raw Annual DMR Data'!$S:$S)),"N/A - Facility Does Not Report DMRs")</f>
        <v>0.1441195525</v>
      </c>
      <c r="M194" s="156">
        <f t="shared" si="18"/>
        <v>3.9484808904109589E-4</v>
      </c>
      <c r="N194" s="156">
        <f>IF(COUNTIF('Raw Annual DMR Data'!$L:$L,$F194)&gt;0,_xlfn.MAXIFS('Raw Annual DMR Data'!$S:$S,'Raw Annual DMR Data'!$L:$L,$F194), "N/A - Facility Does Not Report DMRs")</f>
        <v>0.17970990749999999</v>
      </c>
      <c r="O194" s="156">
        <f t="shared" si="19"/>
        <v>4.9235591095890411E-4</v>
      </c>
      <c r="P194" s="113" cm="1">
        <f t="array" ref="P194">IF(COUNTIF('Raw Annual DMR Data'!$L:$L,$F194)&gt;0,INDEX('Raw Annual DMR Data'!$B:$B,MATCH(1,($F194='Raw Annual DMR Data'!$L:$L)*($N194='Raw Annual DMR Data'!$S:$S),0)), "N/A - Facility Does Not Report DMRs")</f>
        <v>2022</v>
      </c>
      <c r="Q194" s="304" t="str" cm="1">
        <f t="array" ref="Q194">IF(COUNTIF('Raw TRI Data'!$J:$J,$E194)&gt;0,MEDIAN(IF('Raw TRI Data'!$J:$J=E194,'Raw TRI Data'!$S:$S)), "N/A - Facility Does Not Report to TRI")</f>
        <v>N/A - Facility Does Not Report to TRI</v>
      </c>
      <c r="R194" s="156" t="str">
        <f t="shared" ref="R194:R257" si="21">IFERROR(+Q194/$K194, "N/A - Facility Does Not Report to TRI")</f>
        <v>N/A - Facility Does Not Report to TRI</v>
      </c>
      <c r="S194" s="156" t="str">
        <f>IF(COUNTIF('Raw TRI Data'!$J:$J,$E194)&gt;0,_xlfn.MAXIFS('Raw TRI Data'!$S:$S,'Raw TRI Data'!$J:$J,$E194), "N/A - Facility Does Not Report to TRI")</f>
        <v>N/A - Facility Does Not Report to TRI</v>
      </c>
      <c r="T194" s="156" t="str">
        <f t="shared" ref="T194:T257" si="22">IFERROR(+S194/$K194, "N/A - Facility Does Not Report to TRI")</f>
        <v>N/A - Facility Does Not Report to TRI</v>
      </c>
      <c r="U194" s="136" t="str" cm="1">
        <f t="array" ref="U194">IF(COUNTIF('Raw TRI Data'!$J:$J,$E194)&gt;0,INDEX('Raw TRI Data'!$A:$A,MATCH(1,($E194='Raw TRI Data'!$J:$J)*(S194='Raw TRI Data'!$S:$S),0)), "N/A - Facility Does Not Report to TRI")</f>
        <v>N/A - Facility Does Not Report to TRI</v>
      </c>
      <c r="V194" s="156" t="str" cm="1">
        <f t="array" ref="V194">IF(COUNTIFS('Raw Annual DMR Data'!$L:$L,$F194,'Raw Annual DMR Data'!$U:$U,"&gt;0")&gt;0,MEDIAN(IF('Raw Annual DMR Data'!$L:$L=$F194,'Raw Annual DMR Data'!$U:$U,"")),"N/A - Period DMR Data Not Available")</f>
        <v>N/A - Period DMR Data Not Available</v>
      </c>
      <c r="W194" s="156" t="str">
        <f>IF(COUNTIFS('Raw Annual DMR Data'!$L:$L,$F194, 'Raw Annual DMR Data'!$U:$U, "&gt;0")&gt;0,_xlfn.MAXIFS('Raw Annual DMR Data'!$U:$U,'Raw Annual DMR Data'!$L:$L,$F194), "N/A - Period DMR Data Not Available")</f>
        <v>N/A - Period DMR Data Not Available</v>
      </c>
      <c r="X194" s="113" t="str" cm="1">
        <f t="array" ref="X194">+IF(COUNTIFS('Raw Annual DMR Data'!L:L,$F194, 'Raw Annual DMR Data'!U:U, "&gt;0")&gt;0,INDEX('Raw Annual DMR Data'!V:V,MATCH(1,($F194='Raw Annual DMR Data'!L:L)*($W194='Raw Annual DMR Data'!U:U),0)), "N/A - Period DMR Data Not Available")</f>
        <v>N/A - Period DMR Data Not Available</v>
      </c>
      <c r="Y194" s="113" t="str" cm="1">
        <f t="array" ref="Y194">IF(COUNTIFS('Raw Annual DMR Data'!L:L,$F194, 'Raw Annual DMR Data'!U:U, "&gt;0")&gt;0,INDEX('Raw Annual DMR Data'!B:B,MATCH(1,($F194='Raw Annual DMR Data'!L:L)*($W194='Raw Annual DMR Data'!U:U),0)), "N/A - Period DMR Data Not Available")</f>
        <v>N/A - Period DMR Data Not Available</v>
      </c>
      <c r="Z194" s="311" t="str" cm="1">
        <f t="array" ref="Z194">IF(COUNTIF('Raw Annual DMR Data'!K:K,$E194)&gt;0,"N/A - See DMRs",IF(SUMIFS('Raw TRI Data'!$Z:$Z,'Raw TRI Data'!$J:$J,$E194)&gt;0,MEDIAN(IF('Raw TRI Data'!$J:$J=$E194,'Raw TRI Data'!$Z:$Z)), "N/A - Facility Does Not Report to TRI, no surface water releases, or no Generic Factors available"))</f>
        <v>N/A - Facility Does Not Report to TRI, no surface water releases, or no Generic Factors available</v>
      </c>
      <c r="AA194" s="156" t="str">
        <f>IF(COUNTIF('Raw Annual DMR Data'!K:K,$E194)&gt;0,"N/A - See DMRs",IF(SUMIFS('Raw TRI Data'!$Z:$Z,'Raw TRI Data'!$J:$J,$E194)&gt;0,_xlfn.MAXIFS('Raw TRI Data'!$Z:$Z,'Raw TRI Data'!$J:$J,$E194), "N/A - Facility Does Not Report to TRI, no surface water releases, or no Generic Factors available"))</f>
        <v>N/A - Facility Does Not Report to TRI, no surface water releases, or no Generic Factors available</v>
      </c>
      <c r="AB194" s="113" t="str">
        <f t="shared" si="20"/>
        <v>N/A</v>
      </c>
      <c r="AC194" s="136" t="str" cm="1">
        <f t="array" ref="AC194">IF(COUNTIF('Raw Annual DMR Data'!K:K,$E194)&gt;0,"N/A - See DMRs",IF(SUMIFS('Raw TRI Data'!$Z:$Z,'Raw TRI Data'!$J:$J,$E194)&gt;0,INDEX('Raw TRI Data'!$A:$A,MATCH(1,($E194='Raw TRI Data'!$J:$J)*($AA194='Raw TRI Data'!$Z:$Z),0)), "N/A - Facility Does Not Report to TRI, no surface water releases, or no Generic Factors available"))</f>
        <v>N/A - Facility Does Not Report to TRI, no surface water releases, or no Generic Factors available</v>
      </c>
      <c r="AD194" s="96" t="str" cm="1">
        <f t="array" ref="AD194">IF(COUNTIFS('Raw Annual DMR Data'!L:L,$F194,'Raw Annual DMR Data'!W:W, "&gt;0")&gt;0,MEDIAN(IF('Raw Annual DMR Data'!K:K=$F194, 'Raw Annual DMR Data'!W:W)), "N/A - No Daily Max DMR Discharge Data")</f>
        <v>N/A - No Daily Max DMR Discharge Data</v>
      </c>
      <c r="AE194" s="96" t="str">
        <f>IF(COUNTIFS('Raw Annual DMR Data'!L:L,$F194,'Raw Annual DMR Data'!W:W, "&gt;0")&gt;0,_xlfn.MAXIFS('Raw Annual DMR Data'!W:W,'Raw Annual DMR Data'!L:L,$F194), "N/A - No Daily Max DMR Discharge Data")</f>
        <v>N/A - No Daily Max DMR Discharge Data</v>
      </c>
      <c r="AF194" s="60" t="str" cm="1">
        <f t="array" ref="AF194">IF(COUNTIFS('Raw Annual DMR Data'!L:L,$F194,'Raw Annual DMR Data'!W:W, "&gt;0")&gt;0,INDEX('Raw Annual DMR Data'!B:B,MATCH(1,($F194='Raw Annual DMR Data'!L:L)*($AE194='Raw Annual DMR Data'!W:W),0)), "N/A - No Daily Max DMR Discharge Data")</f>
        <v>N/A - No Daily Max DMR Discharge Data</v>
      </c>
    </row>
    <row r="195" spans="1:32" ht="45.75" thickBot="1" x14ac:dyDescent="0.3">
      <c r="A195" s="144" t="str">
        <f>VLOOKUP(F195,'Facility Summary'!J:K,2,FALSE)</f>
        <v>POTW</v>
      </c>
      <c r="B195" s="28" t="s">
        <v>1082</v>
      </c>
      <c r="C195" s="28" t="s">
        <v>987</v>
      </c>
      <c r="D195" s="28" t="s">
        <v>324</v>
      </c>
      <c r="E195" s="28"/>
      <c r="F195" s="61">
        <v>110000732379</v>
      </c>
      <c r="G195" s="60" t="str">
        <f>VLOOKUP($F195, 'Raw Annual DMR Data'!$A:$Z, 24, FALSE)</f>
        <v>KY0078956</v>
      </c>
      <c r="H195" s="60" t="str">
        <f>VLOOKUP($F195, 'Raw Annual DMR Data'!$A:$Z, 25, FALSE)</f>
        <v>OHIO RIVER</v>
      </c>
      <c r="I195" s="74">
        <f>VLOOKUP($F195, 'Raw Annual DMR Data'!$A:$Z, 26, FALSE)</f>
        <v>5140101000005</v>
      </c>
      <c r="J195" s="74" t="s">
        <v>265</v>
      </c>
      <c r="K195" s="60">
        <f>VLOOKUP(A195, 'OES Summary'!$A:$B, 2, FALSE)</f>
        <v>365</v>
      </c>
      <c r="L195" s="304" cm="1">
        <f t="array" ref="L195">IF(COUNTIF('Raw Annual DMR Data'!$L:$L,$F195)&gt;0,MEDIAN(IF('Raw Annual DMR Data'!$L:$L=F195,'Raw Annual DMR Data'!$S:$S)),"N/A - Facility Does Not Report DMRs")</f>
        <v>145.45731343749998</v>
      </c>
      <c r="M195" s="156">
        <f t="shared" si="18"/>
        <v>0.39851318749999992</v>
      </c>
      <c r="N195" s="156">
        <f>IF(COUNTIF('Raw Annual DMR Data'!$L:$L,$F195)&gt;0,_xlfn.MAXIFS('Raw Annual DMR Data'!$S:$S,'Raw Annual DMR Data'!$L:$L,$F195), "N/A - Facility Does Not Report DMRs")</f>
        <v>212.68922756250001</v>
      </c>
      <c r="O195" s="156">
        <f t="shared" si="19"/>
        <v>0.58271021249999999</v>
      </c>
      <c r="P195" s="113" cm="1">
        <f t="array" ref="P195">IF(COUNTIF('Raw Annual DMR Data'!$L:$L,$F195)&gt;0,INDEX('Raw Annual DMR Data'!$B:$B,MATCH(1,($F195='Raw Annual DMR Data'!$L:$L)*($N195='Raw Annual DMR Data'!$S:$S),0)), "N/A - Facility Does Not Report DMRs")</f>
        <v>2019</v>
      </c>
      <c r="Q195" s="304" t="str" cm="1">
        <f t="array" ref="Q195">IF(COUNTIF('Raw TRI Data'!$J:$J,$E195)&gt;0,MEDIAN(IF('Raw TRI Data'!$J:$J=E195,'Raw TRI Data'!$S:$S)), "N/A - Facility Does Not Report to TRI")</f>
        <v>N/A - Facility Does Not Report to TRI</v>
      </c>
      <c r="R195" s="156" t="str">
        <f t="shared" si="21"/>
        <v>N/A - Facility Does Not Report to TRI</v>
      </c>
      <c r="S195" s="156" t="str">
        <f>IF(COUNTIF('Raw TRI Data'!$J:$J,$E195)&gt;0,_xlfn.MAXIFS('Raw TRI Data'!$S:$S,'Raw TRI Data'!$J:$J,$E195), "N/A - Facility Does Not Report to TRI")</f>
        <v>N/A - Facility Does Not Report to TRI</v>
      </c>
      <c r="T195" s="156" t="str">
        <f t="shared" si="22"/>
        <v>N/A - Facility Does Not Report to TRI</v>
      </c>
      <c r="U195" s="136" t="str" cm="1">
        <f t="array" ref="U195">IF(COUNTIF('Raw TRI Data'!$J:$J,$E195)&gt;0,INDEX('Raw TRI Data'!$A:$A,MATCH(1,($E195='Raw TRI Data'!$J:$J)*(S195='Raw TRI Data'!$S:$S),0)), "N/A - Facility Does Not Report to TRI")</f>
        <v>N/A - Facility Does Not Report to TRI</v>
      </c>
      <c r="V195" s="156" t="str" cm="1">
        <f t="array" ref="V195">IF(COUNTIFS('Raw Annual DMR Data'!$L:$L,$F195,'Raw Annual DMR Data'!$U:$U,"&gt;0")&gt;0,MEDIAN(IF('Raw Annual DMR Data'!$L:$L=$F195,'Raw Annual DMR Data'!$U:$U,"")),"N/A - Period DMR Data Not Available")</f>
        <v>N/A - Period DMR Data Not Available</v>
      </c>
      <c r="W195" s="156" t="str">
        <f>IF(COUNTIFS('Raw Annual DMR Data'!$L:$L,$F195, 'Raw Annual DMR Data'!$U:$U, "&gt;0")&gt;0,_xlfn.MAXIFS('Raw Annual DMR Data'!$U:$U,'Raw Annual DMR Data'!$L:$L,$F195), "N/A - Period DMR Data Not Available")</f>
        <v>N/A - Period DMR Data Not Available</v>
      </c>
      <c r="X195" s="113" t="str" cm="1">
        <f t="array" ref="X195">+IF(COUNTIFS('Raw Annual DMR Data'!L:L,$F195, 'Raw Annual DMR Data'!U:U, "&gt;0")&gt;0,INDEX('Raw Annual DMR Data'!V:V,MATCH(1,($F195='Raw Annual DMR Data'!L:L)*($W195='Raw Annual DMR Data'!U:U),0)), "N/A - Period DMR Data Not Available")</f>
        <v>N/A - Period DMR Data Not Available</v>
      </c>
      <c r="Y195" s="113" t="str" cm="1">
        <f t="array" ref="Y195">IF(COUNTIFS('Raw Annual DMR Data'!L:L,$F195, 'Raw Annual DMR Data'!U:U, "&gt;0")&gt;0,INDEX('Raw Annual DMR Data'!B:B,MATCH(1,($F195='Raw Annual DMR Data'!L:L)*($W195='Raw Annual DMR Data'!U:U),0)), "N/A - Period DMR Data Not Available")</f>
        <v>N/A - Period DMR Data Not Available</v>
      </c>
      <c r="Z195" s="311" t="str" cm="1">
        <f t="array" ref="Z195">IF(COUNTIF('Raw Annual DMR Data'!K:K,$E195)&gt;0,"N/A - See DMRs",IF(SUMIFS('Raw TRI Data'!$Z:$Z,'Raw TRI Data'!$J:$J,$E195)&gt;0,MEDIAN(IF('Raw TRI Data'!$J:$J=$E195,'Raw TRI Data'!$Z:$Z)), "N/A - Facility Does Not Report to TRI, no surface water releases, or no Generic Factors available"))</f>
        <v>N/A - Facility Does Not Report to TRI, no surface water releases, or no Generic Factors available</v>
      </c>
      <c r="AA195" s="156" t="str">
        <f>IF(COUNTIF('Raw Annual DMR Data'!K:K,$E195)&gt;0,"N/A - See DMRs",IF(SUMIFS('Raw TRI Data'!$Z:$Z,'Raw TRI Data'!$J:$J,$E195)&gt;0,_xlfn.MAXIFS('Raw TRI Data'!$Z:$Z,'Raw TRI Data'!$J:$J,$E195), "N/A - Facility Does Not Report to TRI, no surface water releases, or no Generic Factors available"))</f>
        <v>N/A - Facility Does Not Report to TRI, no surface water releases, or no Generic Factors available</v>
      </c>
      <c r="AB195" s="113" t="str">
        <f t="shared" si="20"/>
        <v>N/A</v>
      </c>
      <c r="AC195" s="136" t="str" cm="1">
        <f t="array" ref="AC195">IF(COUNTIF('Raw Annual DMR Data'!K:K,$E195)&gt;0,"N/A - See DMRs",IF(SUMIFS('Raw TRI Data'!$Z:$Z,'Raw TRI Data'!$J:$J,$E195)&gt;0,INDEX('Raw TRI Data'!$A:$A,MATCH(1,($E195='Raw TRI Data'!$J:$J)*($AA195='Raw TRI Data'!$Z:$Z),0)), "N/A - Facility Does Not Report to TRI, no surface water releases, or no Generic Factors available"))</f>
        <v>N/A - Facility Does Not Report to TRI, no surface water releases, or no Generic Factors available</v>
      </c>
      <c r="AD195" s="96" t="str" cm="1">
        <f t="array" ref="AD195">IF(COUNTIFS('Raw Annual DMR Data'!L:L,$F195,'Raw Annual DMR Data'!W:W, "&gt;0")&gt;0,MEDIAN(IF('Raw Annual DMR Data'!K:K=$F195, 'Raw Annual DMR Data'!W:W)), "N/A - No Daily Max DMR Discharge Data")</f>
        <v>N/A - No Daily Max DMR Discharge Data</v>
      </c>
      <c r="AE195" s="96" t="str">
        <f>IF(COUNTIFS('Raw Annual DMR Data'!L:L,$F195,'Raw Annual DMR Data'!W:W, "&gt;0")&gt;0,_xlfn.MAXIFS('Raw Annual DMR Data'!W:W,'Raw Annual DMR Data'!L:L,$F195), "N/A - No Daily Max DMR Discharge Data")</f>
        <v>N/A - No Daily Max DMR Discharge Data</v>
      </c>
      <c r="AF195" s="60" t="str" cm="1">
        <f t="array" ref="AF195">IF(COUNTIFS('Raw Annual DMR Data'!L:L,$F195,'Raw Annual DMR Data'!W:W, "&gt;0")&gt;0,INDEX('Raw Annual DMR Data'!B:B,MATCH(1,($F195='Raw Annual DMR Data'!L:L)*($AE195='Raw Annual DMR Data'!W:W),0)), "N/A - No Daily Max DMR Discharge Data")</f>
        <v>N/A - No Daily Max DMR Discharge Data</v>
      </c>
    </row>
    <row r="196" spans="1:32" ht="45.75" thickBot="1" x14ac:dyDescent="0.3">
      <c r="A196" s="144" t="str">
        <f>VLOOKUP(F196,'Facility Summary'!J:K,2,FALSE)</f>
        <v>Unknown</v>
      </c>
      <c r="B196" s="28" t="s">
        <v>1083</v>
      </c>
      <c r="C196" s="28" t="s">
        <v>1084</v>
      </c>
      <c r="D196" s="28" t="s">
        <v>491</v>
      </c>
      <c r="E196" s="28"/>
      <c r="F196" s="61">
        <v>110000584305</v>
      </c>
      <c r="G196" s="60" t="str">
        <f>VLOOKUP($F196, 'Raw Annual DMR Data'!$A:$Z, 24, FALSE)</f>
        <v>PA0012149</v>
      </c>
      <c r="H196" s="60" t="str">
        <f>VLOOKUP($F196, 'Raw Annual DMR Data'!$A:$Z, 25, FALSE)</f>
        <v>PINE CREEK, UNNAMED STREAM</v>
      </c>
      <c r="I196" s="74" t="str">
        <f>VLOOKUP($F196, 'Raw Annual DMR Data'!$A:$Z, 26, FALSE)</f>
        <v>02040203000412</v>
      </c>
      <c r="J196" s="74" t="s">
        <v>265</v>
      </c>
      <c r="K196" s="60">
        <f>VLOOKUP(A196, 'OES Summary'!$A:$B, 2, FALSE)</f>
        <v>250</v>
      </c>
      <c r="L196" s="304" cm="1">
        <f t="array" ref="L196">IF(COUNTIF('Raw Annual DMR Data'!$L:$L,$F196)&gt;0,MEDIAN(IF('Raw Annual DMR Data'!$L:$L=F196,'Raw Annual DMR Data'!$S:$S)),"N/A - Facility Does Not Report DMRs")</f>
        <v>7.2448979591836701E-3</v>
      </c>
      <c r="M196" s="156">
        <f t="shared" si="18"/>
        <v>2.8979591836734682E-5</v>
      </c>
      <c r="N196" s="156">
        <f>IF(COUNTIF('Raw Annual DMR Data'!$L:$L,$F196)&gt;0,_xlfn.MAXIFS('Raw Annual DMR Data'!$S:$S,'Raw Annual DMR Data'!$L:$L,$F196), "N/A - Facility Does Not Report DMRs")</f>
        <v>7.8678199999999993E-3</v>
      </c>
      <c r="O196" s="156">
        <f t="shared" si="19"/>
        <v>3.1471279999999997E-5</v>
      </c>
      <c r="P196" s="113" cm="1">
        <f t="array" ref="P196">IF(COUNTIF('Raw Annual DMR Data'!$L:$L,$F196)&gt;0,INDEX('Raw Annual DMR Data'!$B:$B,MATCH(1,($F196='Raw Annual DMR Data'!$L:$L)*($N196='Raw Annual DMR Data'!$S:$S),0)), "N/A - Facility Does Not Report DMRs")</f>
        <v>2022</v>
      </c>
      <c r="Q196" s="304" t="str" cm="1">
        <f t="array" ref="Q196">IF(COUNTIF('Raw TRI Data'!$J:$J,$E196)&gt;0,MEDIAN(IF('Raw TRI Data'!$J:$J=E196,'Raw TRI Data'!$S:$S)), "N/A - Facility Does Not Report to TRI")</f>
        <v>N/A - Facility Does Not Report to TRI</v>
      </c>
      <c r="R196" s="156" t="str">
        <f t="shared" si="21"/>
        <v>N/A - Facility Does Not Report to TRI</v>
      </c>
      <c r="S196" s="156" t="str">
        <f>IF(COUNTIF('Raw TRI Data'!$J:$J,$E196)&gt;0,_xlfn.MAXIFS('Raw TRI Data'!$S:$S,'Raw TRI Data'!$J:$J,$E196), "N/A - Facility Does Not Report to TRI")</f>
        <v>N/A - Facility Does Not Report to TRI</v>
      </c>
      <c r="T196" s="156" t="str">
        <f t="shared" si="22"/>
        <v>N/A - Facility Does Not Report to TRI</v>
      </c>
      <c r="U196" s="136" t="str" cm="1">
        <f t="array" ref="U196">IF(COUNTIF('Raw TRI Data'!$J:$J,$E196)&gt;0,INDEX('Raw TRI Data'!$A:$A,MATCH(1,($E196='Raw TRI Data'!$J:$J)*(S196='Raw TRI Data'!$S:$S),0)), "N/A - Facility Does Not Report to TRI")</f>
        <v>N/A - Facility Does Not Report to TRI</v>
      </c>
      <c r="V196" s="156" t="str" cm="1">
        <f t="array" ref="V196">IF(COUNTIFS('Raw Annual DMR Data'!$L:$L,$F196,'Raw Annual DMR Data'!$U:$U,"&gt;0")&gt;0,MEDIAN(IF('Raw Annual DMR Data'!$L:$L=$F196,'Raw Annual DMR Data'!$U:$U,"")),"N/A - Period DMR Data Not Available")</f>
        <v>N/A - Period DMR Data Not Available</v>
      </c>
      <c r="W196" s="156" t="str">
        <f>IF(COUNTIFS('Raw Annual DMR Data'!$L:$L,$F196, 'Raw Annual DMR Data'!$U:$U, "&gt;0")&gt;0,_xlfn.MAXIFS('Raw Annual DMR Data'!$U:$U,'Raw Annual DMR Data'!$L:$L,$F196), "N/A - Period DMR Data Not Available")</f>
        <v>N/A - Period DMR Data Not Available</v>
      </c>
      <c r="X196" s="113" t="str" cm="1">
        <f t="array" ref="X196">+IF(COUNTIFS('Raw Annual DMR Data'!L:L,$F196, 'Raw Annual DMR Data'!U:U, "&gt;0")&gt;0,INDEX('Raw Annual DMR Data'!V:V,MATCH(1,($F196='Raw Annual DMR Data'!L:L)*($W196='Raw Annual DMR Data'!U:U),0)), "N/A - Period DMR Data Not Available")</f>
        <v>N/A - Period DMR Data Not Available</v>
      </c>
      <c r="Y196" s="113" t="str" cm="1">
        <f t="array" ref="Y196">IF(COUNTIFS('Raw Annual DMR Data'!L:L,$F196, 'Raw Annual DMR Data'!U:U, "&gt;0")&gt;0,INDEX('Raw Annual DMR Data'!B:B,MATCH(1,($F196='Raw Annual DMR Data'!L:L)*($W196='Raw Annual DMR Data'!U:U),0)), "N/A - Period DMR Data Not Available")</f>
        <v>N/A - Period DMR Data Not Available</v>
      </c>
      <c r="Z196" s="311" t="str" cm="1">
        <f t="array" ref="Z196">IF(COUNTIF('Raw Annual DMR Data'!K:K,$E196)&gt;0,"N/A - See DMRs",IF(SUMIFS('Raw TRI Data'!$Z:$Z,'Raw TRI Data'!$J:$J,$E196)&gt;0,MEDIAN(IF('Raw TRI Data'!$J:$J=$E196,'Raw TRI Data'!$Z:$Z)), "N/A - Facility Does Not Report to TRI, no surface water releases, or no Generic Factors available"))</f>
        <v>N/A - Facility Does Not Report to TRI, no surface water releases, or no Generic Factors available</v>
      </c>
      <c r="AA196" s="156" t="str">
        <f>IF(COUNTIF('Raw Annual DMR Data'!K:K,$E196)&gt;0,"N/A - See DMRs",IF(SUMIFS('Raw TRI Data'!$Z:$Z,'Raw TRI Data'!$J:$J,$E196)&gt;0,_xlfn.MAXIFS('Raw TRI Data'!$Z:$Z,'Raw TRI Data'!$J:$J,$E196), "N/A - Facility Does Not Report to TRI, no surface water releases, or no Generic Factors available"))</f>
        <v>N/A - Facility Does Not Report to TRI, no surface water releases, or no Generic Factors available</v>
      </c>
      <c r="AB196" s="113" t="str">
        <f t="shared" si="20"/>
        <v>N/A</v>
      </c>
      <c r="AC196" s="136" t="str" cm="1">
        <f t="array" ref="AC196">IF(COUNTIF('Raw Annual DMR Data'!K:K,$E196)&gt;0,"N/A - See DMRs",IF(SUMIFS('Raw TRI Data'!$Z:$Z,'Raw TRI Data'!$J:$J,$E196)&gt;0,INDEX('Raw TRI Data'!$A:$A,MATCH(1,($E196='Raw TRI Data'!$J:$J)*($AA196='Raw TRI Data'!$Z:$Z),0)), "N/A - Facility Does Not Report to TRI, no surface water releases, or no Generic Factors available"))</f>
        <v>N/A - Facility Does Not Report to TRI, no surface water releases, or no Generic Factors available</v>
      </c>
      <c r="AD196" s="96" t="str" cm="1">
        <f t="array" ref="AD196">IF(COUNTIFS('Raw Annual DMR Data'!L:L,$F196,'Raw Annual DMR Data'!W:W, "&gt;0")&gt;0,MEDIAN(IF('Raw Annual DMR Data'!K:K=$F196, 'Raw Annual DMR Data'!W:W)), "N/A - No Daily Max DMR Discharge Data")</f>
        <v>N/A - No Daily Max DMR Discharge Data</v>
      </c>
      <c r="AE196" s="96" t="str">
        <f>IF(COUNTIFS('Raw Annual DMR Data'!L:L,$F196,'Raw Annual DMR Data'!W:W, "&gt;0")&gt;0,_xlfn.MAXIFS('Raw Annual DMR Data'!W:W,'Raw Annual DMR Data'!L:L,$F196), "N/A - No Daily Max DMR Discharge Data")</f>
        <v>N/A - No Daily Max DMR Discharge Data</v>
      </c>
      <c r="AF196" s="60" t="str" cm="1">
        <f t="array" ref="AF196">IF(COUNTIFS('Raw Annual DMR Data'!L:L,$F196,'Raw Annual DMR Data'!W:W, "&gt;0")&gt;0,INDEX('Raw Annual DMR Data'!B:B,MATCH(1,($F196='Raw Annual DMR Data'!L:L)*($AE196='Raw Annual DMR Data'!W:W),0)), "N/A - No Daily Max DMR Discharge Data")</f>
        <v>N/A - No Daily Max DMR Discharge Data</v>
      </c>
    </row>
    <row r="197" spans="1:32" ht="45.75" thickBot="1" x14ac:dyDescent="0.3">
      <c r="A197" s="144" t="str">
        <f>VLOOKUP(F197,'Facility Summary'!J:K,2,FALSE)</f>
        <v>POTW</v>
      </c>
      <c r="B197" s="28" t="s">
        <v>1085</v>
      </c>
      <c r="C197" s="28" t="s">
        <v>1086</v>
      </c>
      <c r="D197" s="28" t="s">
        <v>366</v>
      </c>
      <c r="E197" s="28"/>
      <c r="F197" s="61">
        <v>110011373628</v>
      </c>
      <c r="G197" s="60" t="str">
        <f>VLOOKUP($F197, 'Raw Annual DMR Data'!$A:$Z, 24, FALSE)</f>
        <v>CA0081621</v>
      </c>
      <c r="H197" s="60" t="str">
        <f>VLOOKUP($F197, 'Raw Annual DMR Data'!$A:$Z, 25, FALSE)</f>
        <v>SOUTH YUBA RIVER</v>
      </c>
      <c r="I197" s="74">
        <f>VLOOKUP($F197, 'Raw Annual DMR Data'!$A:$Z, 26, FALSE)</f>
        <v>18020125000098</v>
      </c>
      <c r="J197" s="74" t="s">
        <v>265</v>
      </c>
      <c r="K197" s="60">
        <f>VLOOKUP(A197, 'OES Summary'!$A:$B, 2, FALSE)</f>
        <v>365</v>
      </c>
      <c r="L197" s="304" cm="1">
        <f t="array" ref="L197">IF(COUNTIF('Raw Annual DMR Data'!$L:$L,$F197)&gt;0,MEDIAN(IF('Raw Annual DMR Data'!$L:$L=F197,'Raw Annual DMR Data'!$S:$S)),"N/A - Facility Does Not Report DMRs")</f>
        <v>1.14666575E-2</v>
      </c>
      <c r="M197" s="156">
        <f t="shared" ref="M197:M260" si="23">IFERROR(+L197/$K197, "N/A - Facility Does Not Report DMRs")</f>
        <v>3.1415499999999998E-5</v>
      </c>
      <c r="N197" s="156">
        <f>IF(COUNTIF('Raw Annual DMR Data'!$L:$L,$F197)&gt;0,_xlfn.MAXIFS('Raw Annual DMR Data'!$S:$S,'Raw Annual DMR Data'!$L:$L,$F197), "N/A - Facility Does Not Report DMRs")</f>
        <v>1.14666575E-2</v>
      </c>
      <c r="O197" s="156">
        <f t="shared" ref="O197:O260" si="24">IFERROR(+N197/$K197, "N/A - Facility Does Not Report DMRs")</f>
        <v>3.1415499999999998E-5</v>
      </c>
      <c r="P197" s="113" cm="1">
        <f t="array" ref="P197">IF(COUNTIF('Raw Annual DMR Data'!$L:$L,$F197)&gt;0,INDEX('Raw Annual DMR Data'!$B:$B,MATCH(1,($F197='Raw Annual DMR Data'!$L:$L)*($N197='Raw Annual DMR Data'!$S:$S),0)), "N/A - Facility Does Not Report DMRs")</f>
        <v>2018</v>
      </c>
      <c r="Q197" s="304" t="str" cm="1">
        <f t="array" ref="Q197">IF(COUNTIF('Raw TRI Data'!$J:$J,$E197)&gt;0,MEDIAN(IF('Raw TRI Data'!$J:$J=E197,'Raw TRI Data'!$S:$S)), "N/A - Facility Does Not Report to TRI")</f>
        <v>N/A - Facility Does Not Report to TRI</v>
      </c>
      <c r="R197" s="156" t="str">
        <f t="shared" si="21"/>
        <v>N/A - Facility Does Not Report to TRI</v>
      </c>
      <c r="S197" s="156" t="str">
        <f>IF(COUNTIF('Raw TRI Data'!$J:$J,$E197)&gt;0,_xlfn.MAXIFS('Raw TRI Data'!$S:$S,'Raw TRI Data'!$J:$J,$E197), "N/A - Facility Does Not Report to TRI")</f>
        <v>N/A - Facility Does Not Report to TRI</v>
      </c>
      <c r="T197" s="156" t="str">
        <f t="shared" si="22"/>
        <v>N/A - Facility Does Not Report to TRI</v>
      </c>
      <c r="U197" s="136" t="str" cm="1">
        <f t="array" ref="U197">IF(COUNTIF('Raw TRI Data'!$J:$J,$E197)&gt;0,INDEX('Raw TRI Data'!$A:$A,MATCH(1,($E197='Raw TRI Data'!$J:$J)*(S197='Raw TRI Data'!$S:$S),0)), "N/A - Facility Does Not Report to TRI")</f>
        <v>N/A - Facility Does Not Report to TRI</v>
      </c>
      <c r="V197" s="156" t="str" cm="1">
        <f t="array" ref="V197">IF(COUNTIFS('Raw Annual DMR Data'!$L:$L,$F197,'Raw Annual DMR Data'!$U:$U,"&gt;0")&gt;0,MEDIAN(IF('Raw Annual DMR Data'!$L:$L=$F197,'Raw Annual DMR Data'!$U:$U,"")),"N/A - Period DMR Data Not Available")</f>
        <v>N/A - Period DMR Data Not Available</v>
      </c>
      <c r="W197" s="156" t="str">
        <f>IF(COUNTIFS('Raw Annual DMR Data'!$L:$L,$F197, 'Raw Annual DMR Data'!$U:$U, "&gt;0")&gt;0,_xlfn.MAXIFS('Raw Annual DMR Data'!$U:$U,'Raw Annual DMR Data'!$L:$L,$F197), "N/A - Period DMR Data Not Available")</f>
        <v>N/A - Period DMR Data Not Available</v>
      </c>
      <c r="X197" s="113" t="str" cm="1">
        <f t="array" ref="X197">+IF(COUNTIFS('Raw Annual DMR Data'!L:L,$F197, 'Raw Annual DMR Data'!U:U, "&gt;0")&gt;0,INDEX('Raw Annual DMR Data'!V:V,MATCH(1,($F197='Raw Annual DMR Data'!L:L)*($W197='Raw Annual DMR Data'!U:U),0)), "N/A - Period DMR Data Not Available")</f>
        <v>N/A - Period DMR Data Not Available</v>
      </c>
      <c r="Y197" s="113" t="str" cm="1">
        <f t="array" ref="Y197">IF(COUNTIFS('Raw Annual DMR Data'!L:L,$F197, 'Raw Annual DMR Data'!U:U, "&gt;0")&gt;0,INDEX('Raw Annual DMR Data'!B:B,MATCH(1,($F197='Raw Annual DMR Data'!L:L)*($W197='Raw Annual DMR Data'!U:U),0)), "N/A - Period DMR Data Not Available")</f>
        <v>N/A - Period DMR Data Not Available</v>
      </c>
      <c r="Z197" s="311" t="str" cm="1">
        <f t="array" ref="Z197">IF(COUNTIF('Raw Annual DMR Data'!K:K,$E197)&gt;0,"N/A - See DMRs",IF(SUMIFS('Raw TRI Data'!$Z:$Z,'Raw TRI Data'!$J:$J,$E197)&gt;0,MEDIAN(IF('Raw TRI Data'!$J:$J=$E197,'Raw TRI Data'!$Z:$Z)), "N/A - Facility Does Not Report to TRI, no surface water releases, or no Generic Factors available"))</f>
        <v>N/A - Facility Does Not Report to TRI, no surface water releases, or no Generic Factors available</v>
      </c>
      <c r="AA197" s="156" t="str">
        <f>IF(COUNTIF('Raw Annual DMR Data'!K:K,$E197)&gt;0,"N/A - See DMRs",IF(SUMIFS('Raw TRI Data'!$Z:$Z,'Raw TRI Data'!$J:$J,$E197)&gt;0,_xlfn.MAXIFS('Raw TRI Data'!$Z:$Z,'Raw TRI Data'!$J:$J,$E197), "N/A - Facility Does Not Report to TRI, no surface water releases, or no Generic Factors available"))</f>
        <v>N/A - Facility Does Not Report to TRI, no surface water releases, or no Generic Factors available</v>
      </c>
      <c r="AB197" s="113" t="str">
        <f t="shared" ref="AB197:AB260" si="25">IF(ISNUMBER(AA197),30,"N/A")</f>
        <v>N/A</v>
      </c>
      <c r="AC197" s="136" t="str" cm="1">
        <f t="array" ref="AC197">IF(COUNTIF('Raw Annual DMR Data'!K:K,$E197)&gt;0,"N/A - See DMRs",IF(SUMIFS('Raw TRI Data'!$Z:$Z,'Raw TRI Data'!$J:$J,$E197)&gt;0,INDEX('Raw TRI Data'!$A:$A,MATCH(1,($E197='Raw TRI Data'!$J:$J)*($AA197='Raw TRI Data'!$Z:$Z),0)), "N/A - Facility Does Not Report to TRI, no surface water releases, or no Generic Factors available"))</f>
        <v>N/A - Facility Does Not Report to TRI, no surface water releases, or no Generic Factors available</v>
      </c>
      <c r="AD197" s="96" t="str" cm="1">
        <f t="array" ref="AD197">IF(COUNTIFS('Raw Annual DMR Data'!L:L,$F197,'Raw Annual DMR Data'!W:W, "&gt;0")&gt;0,MEDIAN(IF('Raw Annual DMR Data'!K:K=$F197, 'Raw Annual DMR Data'!W:W)), "N/A - No Daily Max DMR Discharge Data")</f>
        <v>N/A - No Daily Max DMR Discharge Data</v>
      </c>
      <c r="AE197" s="96" t="str">
        <f>IF(COUNTIFS('Raw Annual DMR Data'!L:L,$F197,'Raw Annual DMR Data'!W:W, "&gt;0")&gt;0,_xlfn.MAXIFS('Raw Annual DMR Data'!W:W,'Raw Annual DMR Data'!L:L,$F197), "N/A - No Daily Max DMR Discharge Data")</f>
        <v>N/A - No Daily Max DMR Discharge Data</v>
      </c>
      <c r="AF197" s="60" t="str" cm="1">
        <f t="array" ref="AF197">IF(COUNTIFS('Raw Annual DMR Data'!L:L,$F197,'Raw Annual DMR Data'!W:W, "&gt;0")&gt;0,INDEX('Raw Annual DMR Data'!B:B,MATCH(1,($F197='Raw Annual DMR Data'!L:L)*($AE197='Raw Annual DMR Data'!W:W),0)), "N/A - No Daily Max DMR Discharge Data")</f>
        <v>N/A - No Daily Max DMR Discharge Data</v>
      </c>
    </row>
    <row r="198" spans="1:32" ht="45.75" thickBot="1" x14ac:dyDescent="0.3">
      <c r="A198" s="144" t="str">
        <f>VLOOKUP(F198,'Facility Summary'!J:K,2,FALSE)</f>
        <v>POTW</v>
      </c>
      <c r="B198" s="28" t="s">
        <v>1087</v>
      </c>
      <c r="C198" s="28" t="s">
        <v>968</v>
      </c>
      <c r="D198" s="28" t="s">
        <v>324</v>
      </c>
      <c r="E198" s="28"/>
      <c r="F198" s="61">
        <v>110013680837</v>
      </c>
      <c r="G198" s="60" t="str">
        <f>VLOOKUP($F198, 'Raw Annual DMR Data'!$A:$Z, 24, FALSE)</f>
        <v>KY0105031</v>
      </c>
      <c r="H198" s="60" t="str">
        <f>VLOOKUP($F198, 'Raw Annual DMR Data'!$A:$Z, 25, FALSE)</f>
        <v>BRUSH CREEK, BRUSH CRK</v>
      </c>
      <c r="I198" s="74" t="str">
        <f>VLOOKUP($F198, 'Raw Annual DMR Data'!$A:$Z, 26, FALSE)</f>
        <v>05090201002390</v>
      </c>
      <c r="J198" s="74" t="s">
        <v>265</v>
      </c>
      <c r="K198" s="60">
        <f>VLOOKUP(A198, 'OES Summary'!$A:$B, 2, FALSE)</f>
        <v>365</v>
      </c>
      <c r="L198" s="304" cm="1">
        <f t="array" ref="L198">IF(COUNTIF('Raw Annual DMR Data'!$L:$L,$F198)&gt;0,MEDIAN(IF('Raw Annual DMR Data'!$L:$L=F198,'Raw Annual DMR Data'!$S:$S)),"N/A - Facility Does Not Report DMRs")</f>
        <v>2.1072020905625002</v>
      </c>
      <c r="M198" s="156">
        <f t="shared" si="23"/>
        <v>5.7731564125000001E-3</v>
      </c>
      <c r="N198" s="156">
        <f>IF(COUNTIF('Raw Annual DMR Data'!$L:$L,$F198)&gt;0,_xlfn.MAXIFS('Raw Annual DMR Data'!$S:$S,'Raw Annual DMR Data'!$L:$L,$F198), "N/A - Facility Does Not Report DMRs")</f>
        <v>4.2136512499999998</v>
      </c>
      <c r="O198" s="156">
        <f t="shared" si="24"/>
        <v>1.1544249999999999E-2</v>
      </c>
      <c r="P198" s="113" cm="1">
        <f t="array" ref="P198">IF(COUNTIF('Raw Annual DMR Data'!$L:$L,$F198)&gt;0,INDEX('Raw Annual DMR Data'!$B:$B,MATCH(1,($F198='Raw Annual DMR Data'!$L:$L)*($N198='Raw Annual DMR Data'!$S:$S),0)), "N/A - Facility Does Not Report DMRs")</f>
        <v>2018</v>
      </c>
      <c r="Q198" s="304" t="str" cm="1">
        <f t="array" ref="Q198">IF(COUNTIF('Raw TRI Data'!$J:$J,$E198)&gt;0,MEDIAN(IF('Raw TRI Data'!$J:$J=E198,'Raw TRI Data'!$S:$S)), "N/A - Facility Does Not Report to TRI")</f>
        <v>N/A - Facility Does Not Report to TRI</v>
      </c>
      <c r="R198" s="156" t="str">
        <f t="shared" si="21"/>
        <v>N/A - Facility Does Not Report to TRI</v>
      </c>
      <c r="S198" s="156" t="str">
        <f>IF(COUNTIF('Raw TRI Data'!$J:$J,$E198)&gt;0,_xlfn.MAXIFS('Raw TRI Data'!$S:$S,'Raw TRI Data'!$J:$J,$E198), "N/A - Facility Does Not Report to TRI")</f>
        <v>N/A - Facility Does Not Report to TRI</v>
      </c>
      <c r="T198" s="156" t="str">
        <f t="shared" si="22"/>
        <v>N/A - Facility Does Not Report to TRI</v>
      </c>
      <c r="U198" s="136" t="str" cm="1">
        <f t="array" ref="U198">IF(COUNTIF('Raw TRI Data'!$J:$J,$E198)&gt;0,INDEX('Raw TRI Data'!$A:$A,MATCH(1,($E198='Raw TRI Data'!$J:$J)*(S198='Raw TRI Data'!$S:$S),0)), "N/A - Facility Does Not Report to TRI")</f>
        <v>N/A - Facility Does Not Report to TRI</v>
      </c>
      <c r="V198" s="156" t="str" cm="1">
        <f t="array" ref="V198">IF(COUNTIFS('Raw Annual DMR Data'!$L:$L,$F198,'Raw Annual DMR Data'!$U:$U,"&gt;0")&gt;0,MEDIAN(IF('Raw Annual DMR Data'!$L:$L=$F198,'Raw Annual DMR Data'!$U:$U,"")),"N/A - Period DMR Data Not Available")</f>
        <v>N/A - Period DMR Data Not Available</v>
      </c>
      <c r="W198" s="156" t="str">
        <f>IF(COUNTIFS('Raw Annual DMR Data'!$L:$L,$F198, 'Raw Annual DMR Data'!$U:$U, "&gt;0")&gt;0,_xlfn.MAXIFS('Raw Annual DMR Data'!$U:$U,'Raw Annual DMR Data'!$L:$L,$F198), "N/A - Period DMR Data Not Available")</f>
        <v>N/A - Period DMR Data Not Available</v>
      </c>
      <c r="X198" s="113" t="str" cm="1">
        <f t="array" ref="X198">+IF(COUNTIFS('Raw Annual DMR Data'!L:L,$F198, 'Raw Annual DMR Data'!U:U, "&gt;0")&gt;0,INDEX('Raw Annual DMR Data'!V:V,MATCH(1,($F198='Raw Annual DMR Data'!L:L)*($W198='Raw Annual DMR Data'!U:U),0)), "N/A - Period DMR Data Not Available")</f>
        <v>N/A - Period DMR Data Not Available</v>
      </c>
      <c r="Y198" s="113" t="str" cm="1">
        <f t="array" ref="Y198">IF(COUNTIFS('Raw Annual DMR Data'!L:L,$F198, 'Raw Annual DMR Data'!U:U, "&gt;0")&gt;0,INDEX('Raw Annual DMR Data'!B:B,MATCH(1,($F198='Raw Annual DMR Data'!L:L)*($W198='Raw Annual DMR Data'!U:U),0)), "N/A - Period DMR Data Not Available")</f>
        <v>N/A - Period DMR Data Not Available</v>
      </c>
      <c r="Z198" s="311" t="str" cm="1">
        <f t="array" ref="Z198">IF(COUNTIF('Raw Annual DMR Data'!K:K,$E198)&gt;0,"N/A - See DMRs",IF(SUMIFS('Raw TRI Data'!$Z:$Z,'Raw TRI Data'!$J:$J,$E198)&gt;0,MEDIAN(IF('Raw TRI Data'!$J:$J=$E198,'Raw TRI Data'!$Z:$Z)), "N/A - Facility Does Not Report to TRI, no surface water releases, or no Generic Factors available"))</f>
        <v>N/A - Facility Does Not Report to TRI, no surface water releases, or no Generic Factors available</v>
      </c>
      <c r="AA198" s="156" t="str">
        <f>IF(COUNTIF('Raw Annual DMR Data'!K:K,$E198)&gt;0,"N/A - See DMRs",IF(SUMIFS('Raw TRI Data'!$Z:$Z,'Raw TRI Data'!$J:$J,$E198)&gt;0,_xlfn.MAXIFS('Raw TRI Data'!$Z:$Z,'Raw TRI Data'!$J:$J,$E198), "N/A - Facility Does Not Report to TRI, no surface water releases, or no Generic Factors available"))</f>
        <v>N/A - Facility Does Not Report to TRI, no surface water releases, or no Generic Factors available</v>
      </c>
      <c r="AB198" s="113" t="str">
        <f t="shared" si="25"/>
        <v>N/A</v>
      </c>
      <c r="AC198" s="136" t="str" cm="1">
        <f t="array" ref="AC198">IF(COUNTIF('Raw Annual DMR Data'!K:K,$E198)&gt;0,"N/A - See DMRs",IF(SUMIFS('Raw TRI Data'!$Z:$Z,'Raw TRI Data'!$J:$J,$E198)&gt;0,INDEX('Raw TRI Data'!$A:$A,MATCH(1,($E198='Raw TRI Data'!$J:$J)*($AA198='Raw TRI Data'!$Z:$Z),0)), "N/A - Facility Does Not Report to TRI, no surface water releases, or no Generic Factors available"))</f>
        <v>N/A - Facility Does Not Report to TRI, no surface water releases, or no Generic Factors available</v>
      </c>
      <c r="AD198" s="96" t="str" cm="1">
        <f t="array" ref="AD198">IF(COUNTIFS('Raw Annual DMR Data'!L:L,$F198,'Raw Annual DMR Data'!W:W, "&gt;0")&gt;0,MEDIAN(IF('Raw Annual DMR Data'!K:K=$F198, 'Raw Annual DMR Data'!W:W)), "N/A - No Daily Max DMR Discharge Data")</f>
        <v>N/A - No Daily Max DMR Discharge Data</v>
      </c>
      <c r="AE198" s="96" t="str">
        <f>IF(COUNTIFS('Raw Annual DMR Data'!L:L,$F198,'Raw Annual DMR Data'!W:W, "&gt;0")&gt;0,_xlfn.MAXIFS('Raw Annual DMR Data'!W:W,'Raw Annual DMR Data'!L:L,$F198), "N/A - No Daily Max DMR Discharge Data")</f>
        <v>N/A - No Daily Max DMR Discharge Data</v>
      </c>
      <c r="AF198" s="60" t="str" cm="1">
        <f t="array" ref="AF198">IF(COUNTIFS('Raw Annual DMR Data'!L:L,$F198,'Raw Annual DMR Data'!W:W, "&gt;0")&gt;0,INDEX('Raw Annual DMR Data'!B:B,MATCH(1,($F198='Raw Annual DMR Data'!L:L)*($AE198='Raw Annual DMR Data'!W:W),0)), "N/A - No Daily Max DMR Discharge Data")</f>
        <v>N/A - No Daily Max DMR Discharge Data</v>
      </c>
    </row>
    <row r="199" spans="1:32" ht="30.75" thickBot="1" x14ac:dyDescent="0.3">
      <c r="A199" s="144" t="str">
        <f>VLOOKUP(F199,'Facility Summary'!J:K,2,FALSE)</f>
        <v>Unknown</v>
      </c>
      <c r="B199" s="28" t="s">
        <v>1088</v>
      </c>
      <c r="C199" s="28" t="s">
        <v>985</v>
      </c>
      <c r="D199" s="28" t="s">
        <v>979</v>
      </c>
      <c r="E199" s="28" t="s">
        <v>711</v>
      </c>
      <c r="F199" s="61">
        <v>110000574423</v>
      </c>
      <c r="G199" s="60" t="str">
        <f>VLOOKUP($F199, 'Raw Annual DMR Data'!$A:$Z, 24, FALSE)</f>
        <v>TN0002640</v>
      </c>
      <c r="H199" s="60" t="str">
        <f>VLOOKUP($F199, 'Raw Annual DMR Data'!$A:$Z, 25, FALSE)</f>
        <v>HOLSTON-SOUTH FORK (D/S OF WATAUGA), HORSE CREEK, SOUTH FORK HOLSTON RIVER</v>
      </c>
      <c r="I199" s="74" t="str">
        <f>VLOOKUP($F199, 'Raw Annual DMR Data'!$A:$Z, 26, FALSE)</f>
        <v>06010102001273</v>
      </c>
      <c r="J199" s="74" t="s">
        <v>265</v>
      </c>
      <c r="K199" s="60">
        <f>VLOOKUP(A199, 'OES Summary'!$A:$B, 2, FALSE)</f>
        <v>250</v>
      </c>
      <c r="L199" s="304" cm="1">
        <f t="array" ref="L199">IF(COUNTIF('Raw Annual DMR Data'!$L:$L,$F199)&gt;0,MEDIAN(IF('Raw Annual DMR Data'!$L:$L=F199,'Raw Annual DMR Data'!$S:$S)),"N/A - Facility Does Not Report DMRs")</f>
        <v>0.48935905425000004</v>
      </c>
      <c r="M199" s="156">
        <f t="shared" si="23"/>
        <v>1.9574362170000003E-3</v>
      </c>
      <c r="N199" s="156">
        <f>IF(COUNTIF('Raw Annual DMR Data'!$L:$L,$F199)&gt;0,_xlfn.MAXIFS('Raw Annual DMR Data'!$S:$S,'Raw Annual DMR Data'!$L:$L,$F199), "N/A - Facility Does Not Report DMRs")</f>
        <v>8.2772144999999995</v>
      </c>
      <c r="O199" s="156">
        <f t="shared" si="24"/>
        <v>3.3108857999999998E-2</v>
      </c>
      <c r="P199" s="113" cm="1">
        <f t="array" ref="P199">IF(COUNTIF('Raw Annual DMR Data'!$L:$L,$F199)&gt;0,INDEX('Raw Annual DMR Data'!$B:$B,MATCH(1,($F199='Raw Annual DMR Data'!$L:$L)*($N199='Raw Annual DMR Data'!$S:$S),0)), "N/A - Facility Does Not Report DMRs")</f>
        <v>2023</v>
      </c>
      <c r="Q199" s="304" t="str" cm="1">
        <f t="array" ref="Q199">IF(COUNTIF('Raw TRI Data'!$J:$J,$E199)&gt;0,MEDIAN(IF('Raw TRI Data'!$J:$J=E199,'Raw TRI Data'!$S:$S)), "N/A - Facility Does Not Report to TRI")</f>
        <v>N/A - Facility Does Not Report to TRI</v>
      </c>
      <c r="R199" s="156" t="str">
        <f t="shared" si="21"/>
        <v>N/A - Facility Does Not Report to TRI</v>
      </c>
      <c r="S199" s="156" t="str">
        <f>IF(COUNTIF('Raw TRI Data'!$J:$J,$E199)&gt;0,_xlfn.MAXIFS('Raw TRI Data'!$S:$S,'Raw TRI Data'!$J:$J,$E199), "N/A - Facility Does Not Report to TRI")</f>
        <v>N/A - Facility Does Not Report to TRI</v>
      </c>
      <c r="T199" s="156" t="str">
        <f t="shared" si="22"/>
        <v>N/A - Facility Does Not Report to TRI</v>
      </c>
      <c r="U199" s="136" t="str" cm="1">
        <f t="array" ref="U199">IF(COUNTIF('Raw TRI Data'!$J:$J,$E199)&gt;0,INDEX('Raw TRI Data'!$A:$A,MATCH(1,($E199='Raw TRI Data'!$J:$J)*(S199='Raw TRI Data'!$S:$S),0)), "N/A - Facility Does Not Report to TRI")</f>
        <v>N/A - Facility Does Not Report to TRI</v>
      </c>
      <c r="V199" s="156" t="str" cm="1">
        <f t="array" ref="V199">IF(COUNTIFS('Raw Annual DMR Data'!$L:$L,$F199,'Raw Annual DMR Data'!$U:$U,"&gt;0")&gt;0,MEDIAN(IF('Raw Annual DMR Data'!$L:$L=$F199,'Raw Annual DMR Data'!$U:$U,"")),"N/A - Period DMR Data Not Available")</f>
        <v>N/A - Period DMR Data Not Available</v>
      </c>
      <c r="W199" s="156" t="str">
        <f>IF(COUNTIFS('Raw Annual DMR Data'!$L:$L,$F199, 'Raw Annual DMR Data'!$U:$U, "&gt;0")&gt;0,_xlfn.MAXIFS('Raw Annual DMR Data'!$U:$U,'Raw Annual DMR Data'!$L:$L,$F199), "N/A - Period DMR Data Not Available")</f>
        <v>N/A - Period DMR Data Not Available</v>
      </c>
      <c r="X199" s="113" t="str" cm="1">
        <f t="array" ref="X199">+IF(COUNTIFS('Raw Annual DMR Data'!L:L,$F199, 'Raw Annual DMR Data'!U:U, "&gt;0")&gt;0,INDEX('Raw Annual DMR Data'!V:V,MATCH(1,($F199='Raw Annual DMR Data'!L:L)*($W199='Raw Annual DMR Data'!U:U),0)), "N/A - Period DMR Data Not Available")</f>
        <v>N/A - Period DMR Data Not Available</v>
      </c>
      <c r="Y199" s="113" t="str" cm="1">
        <f t="array" ref="Y199">IF(COUNTIFS('Raw Annual DMR Data'!L:L,$F199, 'Raw Annual DMR Data'!U:U, "&gt;0")&gt;0,INDEX('Raw Annual DMR Data'!B:B,MATCH(1,($F199='Raw Annual DMR Data'!L:L)*($W199='Raw Annual DMR Data'!U:U),0)), "N/A - Period DMR Data Not Available")</f>
        <v>N/A - Period DMR Data Not Available</v>
      </c>
      <c r="Z199" s="311" t="str" cm="1">
        <f t="array" ref="Z199">IF(COUNTIF('Raw Annual DMR Data'!K:K,$E199)&gt;0,"N/A - See DMRs",IF(SUMIFS('Raw TRI Data'!$Z:$Z,'Raw TRI Data'!$J:$J,$E199)&gt;0,MEDIAN(IF('Raw TRI Data'!$J:$J=$E199,'Raw TRI Data'!$Z:$Z)), "N/A - Facility Does Not Report to TRI, no surface water releases, or no Generic Factors available"))</f>
        <v>N/A - See DMRs</v>
      </c>
      <c r="AA199" s="156" t="str">
        <f>IF(COUNTIF('Raw Annual DMR Data'!K:K,$E199)&gt;0,"N/A - See DMRs",IF(SUMIFS('Raw TRI Data'!$Z:$Z,'Raw TRI Data'!$J:$J,$E199)&gt;0,_xlfn.MAXIFS('Raw TRI Data'!$Z:$Z,'Raw TRI Data'!$J:$J,$E199), "N/A - Facility Does Not Report to TRI, no surface water releases, or no Generic Factors available"))</f>
        <v>N/A - See DMRs</v>
      </c>
      <c r="AB199" s="113" t="str">
        <f t="shared" si="25"/>
        <v>N/A</v>
      </c>
      <c r="AC199" s="136" t="str" cm="1">
        <f t="array" ref="AC199">IF(COUNTIF('Raw Annual DMR Data'!K:K,$E199)&gt;0,"N/A - See DMRs",IF(SUMIFS('Raw TRI Data'!$Z:$Z,'Raw TRI Data'!$J:$J,$E199)&gt;0,INDEX('Raw TRI Data'!$A:$A,MATCH(1,($E199='Raw TRI Data'!$J:$J)*($AA199='Raw TRI Data'!$Z:$Z),0)), "N/A - Facility Does Not Report to TRI, no surface water releases, or no Generic Factors available"))</f>
        <v>N/A - See DMRs</v>
      </c>
      <c r="AD199" s="96" t="str" cm="1">
        <f t="array" ref="AD199">IF(COUNTIFS('Raw Annual DMR Data'!L:L,$F199,'Raw Annual DMR Data'!W:W, "&gt;0")&gt;0,MEDIAN(IF('Raw Annual DMR Data'!K:K=$F199, 'Raw Annual DMR Data'!W:W)), "N/A - No Daily Max DMR Discharge Data")</f>
        <v>N/A - No Daily Max DMR Discharge Data</v>
      </c>
      <c r="AE199" s="96" t="str">
        <f>IF(COUNTIFS('Raw Annual DMR Data'!L:L,$F199,'Raw Annual DMR Data'!W:W, "&gt;0")&gt;0,_xlfn.MAXIFS('Raw Annual DMR Data'!W:W,'Raw Annual DMR Data'!L:L,$F199), "N/A - No Daily Max DMR Discharge Data")</f>
        <v>N/A - No Daily Max DMR Discharge Data</v>
      </c>
      <c r="AF199" s="60" t="str" cm="1">
        <f t="array" ref="AF199">IF(COUNTIFS('Raw Annual DMR Data'!L:L,$F199,'Raw Annual DMR Data'!W:W, "&gt;0")&gt;0,INDEX('Raw Annual DMR Data'!B:B,MATCH(1,($F199='Raw Annual DMR Data'!L:L)*($AE199='Raw Annual DMR Data'!W:W),0)), "N/A - No Daily Max DMR Discharge Data")</f>
        <v>N/A - No Daily Max DMR Discharge Data</v>
      </c>
    </row>
    <row r="200" spans="1:32" ht="45.75" thickBot="1" x14ac:dyDescent="0.3">
      <c r="A200" s="144" t="str">
        <f>VLOOKUP(F200,'Facility Summary'!J:K,2,FALSE)</f>
        <v>POTW</v>
      </c>
      <c r="B200" s="28" t="s">
        <v>1089</v>
      </c>
      <c r="C200" s="28" t="s">
        <v>1090</v>
      </c>
      <c r="D200" s="28" t="s">
        <v>324</v>
      </c>
      <c r="E200" s="28"/>
      <c r="F200" s="61">
        <v>110009938719</v>
      </c>
      <c r="G200" s="60" t="str">
        <f>VLOOKUP($F200, 'Raw Annual DMR Data'!$A:$Z, 24, FALSE)</f>
        <v>KY0027979</v>
      </c>
      <c r="H200" s="60" t="str">
        <f>VLOOKUP($F200, 'Raw Annual DMR Data'!$A:$Z, 25, FALSE)</f>
        <v>LAKE BARKLEY / CUMBERLAND RIVER</v>
      </c>
      <c r="I200" s="74">
        <f>VLOOKUP($F200, 'Raw Annual DMR Data'!$A:$Z, 26, FALSE)</f>
        <v>5130205000794</v>
      </c>
      <c r="J200" s="74" t="s">
        <v>265</v>
      </c>
      <c r="K200" s="60">
        <f>VLOOKUP(A200, 'OES Summary'!$A:$B, 2, FALSE)</f>
        <v>365</v>
      </c>
      <c r="L200" s="304" cm="1">
        <f t="array" ref="L200">IF(COUNTIF('Raw Annual DMR Data'!$L:$L,$F200)&gt;0,MEDIAN(IF('Raw Annual DMR Data'!$L:$L=F200,'Raw Annual DMR Data'!$S:$S)),"N/A - Facility Does Not Report DMRs")</f>
        <v>1.5024084375</v>
      </c>
      <c r="M200" s="156">
        <f t="shared" si="23"/>
        <v>4.1161875000000001E-3</v>
      </c>
      <c r="N200" s="156">
        <f>IF(COUNTIF('Raw Annual DMR Data'!$L:$L,$F200)&gt;0,_xlfn.MAXIFS('Raw Annual DMR Data'!$S:$S,'Raw Annual DMR Data'!$L:$L,$F200), "N/A - Facility Does Not Report DMRs")</f>
        <v>2.1966247499999998</v>
      </c>
      <c r="O200" s="156">
        <f t="shared" si="24"/>
        <v>6.018149999999999E-3</v>
      </c>
      <c r="P200" s="113" cm="1">
        <f t="array" ref="P200">IF(COUNTIF('Raw Annual DMR Data'!$L:$L,$F200)&gt;0,INDEX('Raw Annual DMR Data'!$B:$B,MATCH(1,($F200='Raw Annual DMR Data'!$L:$L)*($N200='Raw Annual DMR Data'!$S:$S),0)), "N/A - Facility Does Not Report DMRs")</f>
        <v>2018</v>
      </c>
      <c r="Q200" s="304" t="str" cm="1">
        <f t="array" ref="Q200">IF(COUNTIF('Raw TRI Data'!$J:$J,$E200)&gt;0,MEDIAN(IF('Raw TRI Data'!$J:$J=E200,'Raw TRI Data'!$S:$S)), "N/A - Facility Does Not Report to TRI")</f>
        <v>N/A - Facility Does Not Report to TRI</v>
      </c>
      <c r="R200" s="156" t="str">
        <f t="shared" si="21"/>
        <v>N/A - Facility Does Not Report to TRI</v>
      </c>
      <c r="S200" s="156" t="str">
        <f>IF(COUNTIF('Raw TRI Data'!$J:$J,$E200)&gt;0,_xlfn.MAXIFS('Raw TRI Data'!$S:$S,'Raw TRI Data'!$J:$J,$E200), "N/A - Facility Does Not Report to TRI")</f>
        <v>N/A - Facility Does Not Report to TRI</v>
      </c>
      <c r="T200" s="156" t="str">
        <f t="shared" si="22"/>
        <v>N/A - Facility Does Not Report to TRI</v>
      </c>
      <c r="U200" s="136" t="str" cm="1">
        <f t="array" ref="U200">IF(COUNTIF('Raw TRI Data'!$J:$J,$E200)&gt;0,INDEX('Raw TRI Data'!$A:$A,MATCH(1,($E200='Raw TRI Data'!$J:$J)*(S200='Raw TRI Data'!$S:$S),0)), "N/A - Facility Does Not Report to TRI")</f>
        <v>N/A - Facility Does Not Report to TRI</v>
      </c>
      <c r="V200" s="156" t="str" cm="1">
        <f t="array" ref="V200">IF(COUNTIFS('Raw Annual DMR Data'!$L:$L,$F200,'Raw Annual DMR Data'!$U:$U,"&gt;0")&gt;0,MEDIAN(IF('Raw Annual DMR Data'!$L:$L=$F200,'Raw Annual DMR Data'!$U:$U,"")),"N/A - Period DMR Data Not Available")</f>
        <v>N/A - Period DMR Data Not Available</v>
      </c>
      <c r="W200" s="156" t="str">
        <f>IF(COUNTIFS('Raw Annual DMR Data'!$L:$L,$F200, 'Raw Annual DMR Data'!$U:$U, "&gt;0")&gt;0,_xlfn.MAXIFS('Raw Annual DMR Data'!$U:$U,'Raw Annual DMR Data'!$L:$L,$F200), "N/A - Period DMR Data Not Available")</f>
        <v>N/A - Period DMR Data Not Available</v>
      </c>
      <c r="X200" s="113" t="str" cm="1">
        <f t="array" ref="X200">+IF(COUNTIFS('Raw Annual DMR Data'!L:L,$F200, 'Raw Annual DMR Data'!U:U, "&gt;0")&gt;0,INDEX('Raw Annual DMR Data'!V:V,MATCH(1,($F200='Raw Annual DMR Data'!L:L)*($W200='Raw Annual DMR Data'!U:U),0)), "N/A - Period DMR Data Not Available")</f>
        <v>N/A - Period DMR Data Not Available</v>
      </c>
      <c r="Y200" s="113" t="str" cm="1">
        <f t="array" ref="Y200">IF(COUNTIFS('Raw Annual DMR Data'!L:L,$F200, 'Raw Annual DMR Data'!U:U, "&gt;0")&gt;0,INDEX('Raw Annual DMR Data'!B:B,MATCH(1,($F200='Raw Annual DMR Data'!L:L)*($W200='Raw Annual DMR Data'!U:U),0)), "N/A - Period DMR Data Not Available")</f>
        <v>N/A - Period DMR Data Not Available</v>
      </c>
      <c r="Z200" s="311" t="str" cm="1">
        <f t="array" ref="Z200">IF(COUNTIF('Raw Annual DMR Data'!K:K,$E200)&gt;0,"N/A - See DMRs",IF(SUMIFS('Raw TRI Data'!$Z:$Z,'Raw TRI Data'!$J:$J,$E200)&gt;0,MEDIAN(IF('Raw TRI Data'!$J:$J=$E200,'Raw TRI Data'!$Z:$Z)), "N/A - Facility Does Not Report to TRI, no surface water releases, or no Generic Factors available"))</f>
        <v>N/A - Facility Does Not Report to TRI, no surface water releases, or no Generic Factors available</v>
      </c>
      <c r="AA200" s="156" t="str">
        <f>IF(COUNTIF('Raw Annual DMR Data'!K:K,$E200)&gt;0,"N/A - See DMRs",IF(SUMIFS('Raw TRI Data'!$Z:$Z,'Raw TRI Data'!$J:$J,$E200)&gt;0,_xlfn.MAXIFS('Raw TRI Data'!$Z:$Z,'Raw TRI Data'!$J:$J,$E200), "N/A - Facility Does Not Report to TRI, no surface water releases, or no Generic Factors available"))</f>
        <v>N/A - Facility Does Not Report to TRI, no surface water releases, or no Generic Factors available</v>
      </c>
      <c r="AB200" s="113" t="str">
        <f t="shared" si="25"/>
        <v>N/A</v>
      </c>
      <c r="AC200" s="136" t="str" cm="1">
        <f t="array" ref="AC200">IF(COUNTIF('Raw Annual DMR Data'!K:K,$E200)&gt;0,"N/A - See DMRs",IF(SUMIFS('Raw TRI Data'!$Z:$Z,'Raw TRI Data'!$J:$J,$E200)&gt;0,INDEX('Raw TRI Data'!$A:$A,MATCH(1,($E200='Raw TRI Data'!$J:$J)*($AA200='Raw TRI Data'!$Z:$Z),0)), "N/A - Facility Does Not Report to TRI, no surface water releases, or no Generic Factors available"))</f>
        <v>N/A - Facility Does Not Report to TRI, no surface water releases, or no Generic Factors available</v>
      </c>
      <c r="AD200" s="96" t="str" cm="1">
        <f t="array" ref="AD200">IF(COUNTIFS('Raw Annual DMR Data'!L:L,$F200,'Raw Annual DMR Data'!W:W, "&gt;0")&gt;0,MEDIAN(IF('Raw Annual DMR Data'!K:K=$F200, 'Raw Annual DMR Data'!W:W)), "N/A - No Daily Max DMR Discharge Data")</f>
        <v>N/A - No Daily Max DMR Discharge Data</v>
      </c>
      <c r="AE200" s="96" t="str">
        <f>IF(COUNTIFS('Raw Annual DMR Data'!L:L,$F200,'Raw Annual DMR Data'!W:W, "&gt;0")&gt;0,_xlfn.MAXIFS('Raw Annual DMR Data'!W:W,'Raw Annual DMR Data'!L:L,$F200), "N/A - No Daily Max DMR Discharge Data")</f>
        <v>N/A - No Daily Max DMR Discharge Data</v>
      </c>
      <c r="AF200" s="60" t="str" cm="1">
        <f t="array" ref="AF200">IF(COUNTIFS('Raw Annual DMR Data'!L:L,$F200,'Raw Annual DMR Data'!W:W, "&gt;0")&gt;0,INDEX('Raw Annual DMR Data'!B:B,MATCH(1,($F200='Raw Annual DMR Data'!L:L)*($AE200='Raw Annual DMR Data'!W:W),0)), "N/A - No Daily Max DMR Discharge Data")</f>
        <v>N/A - No Daily Max DMR Discharge Data</v>
      </c>
    </row>
    <row r="201" spans="1:32" ht="45.75" thickBot="1" x14ac:dyDescent="0.3">
      <c r="A201" s="144" t="str">
        <f>VLOOKUP(F201,'Facility Summary'!J:K,2,FALSE)</f>
        <v>POTW</v>
      </c>
      <c r="B201" s="28" t="s">
        <v>1091</v>
      </c>
      <c r="C201" s="28" t="s">
        <v>1092</v>
      </c>
      <c r="D201" s="28" t="s">
        <v>366</v>
      </c>
      <c r="E201" s="28"/>
      <c r="F201" s="61">
        <v>110001103939</v>
      </c>
      <c r="G201" s="60" t="str">
        <f>VLOOKUP($F201, 'Raw Annual DMR Data'!$A:$Z, 24, FALSE)</f>
        <v>CA0078671</v>
      </c>
      <c r="H201" s="60" t="str">
        <f>VLOOKUP($F201, 'Raw Annual DMR Data'!$A:$Z, 25, FALSE)</f>
        <v>CARSON CREEK</v>
      </c>
      <c r="I201" s="74">
        <f>VLOOKUP($F201, 'Raw Annual DMR Data'!$A:$Z, 26, FALSE)</f>
        <v>18040013000751</v>
      </c>
      <c r="J201" s="74" t="s">
        <v>265</v>
      </c>
      <c r="K201" s="60">
        <f>VLOOKUP(A201, 'OES Summary'!$A:$B, 2, FALSE)</f>
        <v>365</v>
      </c>
      <c r="L201" s="304" cm="1">
        <f t="array" ref="L201">IF(COUNTIF('Raw Annual DMR Data'!$L:$L,$F201)&gt;0,MEDIAN(IF('Raw Annual DMR Data'!$L:$L=F201,'Raw Annual DMR Data'!$S:$S)),"N/A - Facility Does Not Report DMRs")</f>
        <v>0.39458625000000003</v>
      </c>
      <c r="M201" s="156">
        <f t="shared" si="23"/>
        <v>1.0810582191780823E-3</v>
      </c>
      <c r="N201" s="156">
        <f>IF(COUNTIF('Raw Annual DMR Data'!$L:$L,$F201)&gt;0,_xlfn.MAXIFS('Raw Annual DMR Data'!$S:$S,'Raw Annual DMR Data'!$L:$L,$F201), "N/A - Facility Does Not Report DMRs")</f>
        <v>0.39458625000000003</v>
      </c>
      <c r="O201" s="156">
        <f t="shared" si="24"/>
        <v>1.0810582191780823E-3</v>
      </c>
      <c r="P201" s="113" cm="1">
        <f t="array" ref="P201">IF(COUNTIF('Raw Annual DMR Data'!$L:$L,$F201)&gt;0,INDEX('Raw Annual DMR Data'!$B:$B,MATCH(1,($F201='Raw Annual DMR Data'!$L:$L)*($N201='Raw Annual DMR Data'!$S:$S),0)), "N/A - Facility Does Not Report DMRs")</f>
        <v>2016</v>
      </c>
      <c r="Q201" s="304" t="str" cm="1">
        <f t="array" ref="Q201">IF(COUNTIF('Raw TRI Data'!$J:$J,$E201)&gt;0,MEDIAN(IF('Raw TRI Data'!$J:$J=E201,'Raw TRI Data'!$S:$S)), "N/A - Facility Does Not Report to TRI")</f>
        <v>N/A - Facility Does Not Report to TRI</v>
      </c>
      <c r="R201" s="156" t="str">
        <f t="shared" si="21"/>
        <v>N/A - Facility Does Not Report to TRI</v>
      </c>
      <c r="S201" s="156" t="str">
        <f>IF(COUNTIF('Raw TRI Data'!$J:$J,$E201)&gt;0,_xlfn.MAXIFS('Raw TRI Data'!$S:$S,'Raw TRI Data'!$J:$J,$E201), "N/A - Facility Does Not Report to TRI")</f>
        <v>N/A - Facility Does Not Report to TRI</v>
      </c>
      <c r="T201" s="156" t="str">
        <f t="shared" si="22"/>
        <v>N/A - Facility Does Not Report to TRI</v>
      </c>
      <c r="U201" s="136" t="str" cm="1">
        <f t="array" ref="U201">IF(COUNTIF('Raw TRI Data'!$J:$J,$E201)&gt;0,INDEX('Raw TRI Data'!$A:$A,MATCH(1,($E201='Raw TRI Data'!$J:$J)*(S201='Raw TRI Data'!$S:$S),0)), "N/A - Facility Does Not Report to TRI")</f>
        <v>N/A - Facility Does Not Report to TRI</v>
      </c>
      <c r="V201" s="156" t="str" cm="1">
        <f t="array" ref="V201">IF(COUNTIFS('Raw Annual DMR Data'!$L:$L,$F201,'Raw Annual DMR Data'!$U:$U,"&gt;0")&gt;0,MEDIAN(IF('Raw Annual DMR Data'!$L:$L=$F201,'Raw Annual DMR Data'!$U:$U,"")),"N/A - Period DMR Data Not Available")</f>
        <v>N/A - Period DMR Data Not Available</v>
      </c>
      <c r="W201" s="156" t="str">
        <f>IF(COUNTIFS('Raw Annual DMR Data'!$L:$L,$F201, 'Raw Annual DMR Data'!$U:$U, "&gt;0")&gt;0,_xlfn.MAXIFS('Raw Annual DMR Data'!$U:$U,'Raw Annual DMR Data'!$L:$L,$F201), "N/A - Period DMR Data Not Available")</f>
        <v>N/A - Period DMR Data Not Available</v>
      </c>
      <c r="X201" s="113" t="str" cm="1">
        <f t="array" ref="X201">+IF(COUNTIFS('Raw Annual DMR Data'!L:L,$F201, 'Raw Annual DMR Data'!U:U, "&gt;0")&gt;0,INDEX('Raw Annual DMR Data'!V:V,MATCH(1,($F201='Raw Annual DMR Data'!L:L)*($W201='Raw Annual DMR Data'!U:U),0)), "N/A - Period DMR Data Not Available")</f>
        <v>N/A - Period DMR Data Not Available</v>
      </c>
      <c r="Y201" s="113" t="str" cm="1">
        <f t="array" ref="Y201">IF(COUNTIFS('Raw Annual DMR Data'!L:L,$F201, 'Raw Annual DMR Data'!U:U, "&gt;0")&gt;0,INDEX('Raw Annual DMR Data'!B:B,MATCH(1,($F201='Raw Annual DMR Data'!L:L)*($W201='Raw Annual DMR Data'!U:U),0)), "N/A - Period DMR Data Not Available")</f>
        <v>N/A - Period DMR Data Not Available</v>
      </c>
      <c r="Z201" s="311" t="str" cm="1">
        <f t="array" ref="Z201">IF(COUNTIF('Raw Annual DMR Data'!K:K,$E201)&gt;0,"N/A - See DMRs",IF(SUMIFS('Raw TRI Data'!$Z:$Z,'Raw TRI Data'!$J:$J,$E201)&gt;0,MEDIAN(IF('Raw TRI Data'!$J:$J=$E201,'Raw TRI Data'!$Z:$Z)), "N/A - Facility Does Not Report to TRI, no surface water releases, or no Generic Factors available"))</f>
        <v>N/A - Facility Does Not Report to TRI, no surface water releases, or no Generic Factors available</v>
      </c>
      <c r="AA201" s="156" t="str">
        <f>IF(COUNTIF('Raw Annual DMR Data'!K:K,$E201)&gt;0,"N/A - See DMRs",IF(SUMIFS('Raw TRI Data'!$Z:$Z,'Raw TRI Data'!$J:$J,$E201)&gt;0,_xlfn.MAXIFS('Raw TRI Data'!$Z:$Z,'Raw TRI Data'!$J:$J,$E201), "N/A - Facility Does Not Report to TRI, no surface water releases, or no Generic Factors available"))</f>
        <v>N/A - Facility Does Not Report to TRI, no surface water releases, or no Generic Factors available</v>
      </c>
      <c r="AB201" s="113" t="str">
        <f t="shared" si="25"/>
        <v>N/A</v>
      </c>
      <c r="AC201" s="136" t="str" cm="1">
        <f t="array" ref="AC201">IF(COUNTIF('Raw Annual DMR Data'!K:K,$E201)&gt;0,"N/A - See DMRs",IF(SUMIFS('Raw TRI Data'!$Z:$Z,'Raw TRI Data'!$J:$J,$E201)&gt;0,INDEX('Raw TRI Data'!$A:$A,MATCH(1,($E201='Raw TRI Data'!$J:$J)*($AA201='Raw TRI Data'!$Z:$Z),0)), "N/A - Facility Does Not Report to TRI, no surface water releases, or no Generic Factors available"))</f>
        <v>N/A - Facility Does Not Report to TRI, no surface water releases, or no Generic Factors available</v>
      </c>
      <c r="AD201" s="96" t="str" cm="1">
        <f t="array" ref="AD201">IF(COUNTIFS('Raw Annual DMR Data'!L:L,$F201,'Raw Annual DMR Data'!W:W, "&gt;0")&gt;0,MEDIAN(IF('Raw Annual DMR Data'!K:K=$F201, 'Raw Annual DMR Data'!W:W)), "N/A - No Daily Max DMR Discharge Data")</f>
        <v>N/A - No Daily Max DMR Discharge Data</v>
      </c>
      <c r="AE201" s="96" t="str">
        <f>IF(COUNTIFS('Raw Annual DMR Data'!L:L,$F201,'Raw Annual DMR Data'!W:W, "&gt;0")&gt;0,_xlfn.MAXIFS('Raw Annual DMR Data'!W:W,'Raw Annual DMR Data'!L:L,$F201), "N/A - No Daily Max DMR Discharge Data")</f>
        <v>N/A - No Daily Max DMR Discharge Data</v>
      </c>
      <c r="AF201" s="60" t="str" cm="1">
        <f t="array" ref="AF201">IF(COUNTIFS('Raw Annual DMR Data'!L:L,$F201,'Raw Annual DMR Data'!W:W, "&gt;0")&gt;0,INDEX('Raw Annual DMR Data'!B:B,MATCH(1,($F201='Raw Annual DMR Data'!L:L)*($AE201='Raw Annual DMR Data'!W:W),0)), "N/A - No Daily Max DMR Discharge Data")</f>
        <v>N/A - No Daily Max DMR Discharge Data</v>
      </c>
    </row>
    <row r="202" spans="1:32" ht="45.75" thickBot="1" x14ac:dyDescent="0.3">
      <c r="A202" s="144" t="str">
        <f>VLOOKUP(F202,'Facility Summary'!J:K,2,FALSE)</f>
        <v>POTW</v>
      </c>
      <c r="B202" s="28" t="s">
        <v>1093</v>
      </c>
      <c r="C202" s="28" t="s">
        <v>1094</v>
      </c>
      <c r="D202" s="28" t="s">
        <v>366</v>
      </c>
      <c r="E202" s="28"/>
      <c r="F202" s="61">
        <v>110000730638</v>
      </c>
      <c r="G202" s="60" t="str">
        <f>VLOOKUP($F202, 'Raw Annual DMR Data'!$A:$Z, 24, FALSE)</f>
        <v>CA0048143</v>
      </c>
      <c r="H202" s="60" t="str">
        <f>VLOOKUP($F202, 'Raw Annual DMR Data'!$A:$Z, 25, FALSE)</f>
        <v>PACIFIC OCEAN</v>
      </c>
      <c r="I202" s="74">
        <f>VLOOKUP($F202, 'Raw Annual DMR Data'!$A:$Z, 26, FALSE)</f>
        <v>18060013000019</v>
      </c>
      <c r="J202" s="74" t="s">
        <v>265</v>
      </c>
      <c r="K202" s="60">
        <f>VLOOKUP(A202, 'OES Summary'!$A:$B, 2, FALSE)</f>
        <v>365</v>
      </c>
      <c r="L202" s="304" cm="1">
        <f t="array" ref="L202">IF(COUNTIF('Raw Annual DMR Data'!$L:$L,$F202)&gt;0,MEDIAN(IF('Raw Annual DMR Data'!$L:$L=F202,'Raw Annual DMR Data'!$S:$S)),"N/A - Facility Does Not Report DMRs")</f>
        <v>1.86505875</v>
      </c>
      <c r="M202" s="156">
        <f t="shared" si="23"/>
        <v>5.1097499999999997E-3</v>
      </c>
      <c r="N202" s="156">
        <f>IF(COUNTIF('Raw Annual DMR Data'!$L:$L,$F202)&gt;0,_xlfn.MAXIFS('Raw Annual DMR Data'!$S:$S,'Raw Annual DMR Data'!$L:$L,$F202), "N/A - Facility Does Not Report DMRs")</f>
        <v>1.866440275</v>
      </c>
      <c r="O202" s="156">
        <f t="shared" si="24"/>
        <v>5.1135349999999998E-3</v>
      </c>
      <c r="P202" s="113" cm="1">
        <f t="array" ref="P202">IF(COUNTIF('Raw Annual DMR Data'!$L:$L,$F202)&gt;0,INDEX('Raw Annual DMR Data'!$B:$B,MATCH(1,($F202='Raw Annual DMR Data'!$L:$L)*($N202='Raw Annual DMR Data'!$S:$S),0)), "N/A - Facility Does Not Report DMRs")</f>
        <v>2016</v>
      </c>
      <c r="Q202" s="304" t="str" cm="1">
        <f t="array" ref="Q202">IF(COUNTIF('Raw TRI Data'!$J:$J,$E202)&gt;0,MEDIAN(IF('Raw TRI Data'!$J:$J=E202,'Raw TRI Data'!$S:$S)), "N/A - Facility Does Not Report to TRI")</f>
        <v>N/A - Facility Does Not Report to TRI</v>
      </c>
      <c r="R202" s="156" t="str">
        <f t="shared" si="21"/>
        <v>N/A - Facility Does Not Report to TRI</v>
      </c>
      <c r="S202" s="156" t="str">
        <f>IF(COUNTIF('Raw TRI Data'!$J:$J,$E202)&gt;0,_xlfn.MAXIFS('Raw TRI Data'!$S:$S,'Raw TRI Data'!$J:$J,$E202), "N/A - Facility Does Not Report to TRI")</f>
        <v>N/A - Facility Does Not Report to TRI</v>
      </c>
      <c r="T202" s="156" t="str">
        <f t="shared" si="22"/>
        <v>N/A - Facility Does Not Report to TRI</v>
      </c>
      <c r="U202" s="136" t="str" cm="1">
        <f t="array" ref="U202">IF(COUNTIF('Raw TRI Data'!$J:$J,$E202)&gt;0,INDEX('Raw TRI Data'!$A:$A,MATCH(1,($E202='Raw TRI Data'!$J:$J)*(S202='Raw TRI Data'!$S:$S),0)), "N/A - Facility Does Not Report to TRI")</f>
        <v>N/A - Facility Does Not Report to TRI</v>
      </c>
      <c r="V202" s="156" t="str" cm="1">
        <f t="array" ref="V202">IF(COUNTIFS('Raw Annual DMR Data'!$L:$L,$F202,'Raw Annual DMR Data'!$U:$U,"&gt;0")&gt;0,MEDIAN(IF('Raw Annual DMR Data'!$L:$L=$F202,'Raw Annual DMR Data'!$U:$U,"")),"N/A - Period DMR Data Not Available")</f>
        <v>N/A - Period DMR Data Not Available</v>
      </c>
      <c r="W202" s="156" t="str">
        <f>IF(COUNTIFS('Raw Annual DMR Data'!$L:$L,$F202, 'Raw Annual DMR Data'!$U:$U, "&gt;0")&gt;0,_xlfn.MAXIFS('Raw Annual DMR Data'!$U:$U,'Raw Annual DMR Data'!$L:$L,$F202), "N/A - Period DMR Data Not Available")</f>
        <v>N/A - Period DMR Data Not Available</v>
      </c>
      <c r="X202" s="113" t="str" cm="1">
        <f t="array" ref="X202">+IF(COUNTIFS('Raw Annual DMR Data'!L:L,$F202, 'Raw Annual DMR Data'!U:U, "&gt;0")&gt;0,INDEX('Raw Annual DMR Data'!V:V,MATCH(1,($F202='Raw Annual DMR Data'!L:L)*($W202='Raw Annual DMR Data'!U:U),0)), "N/A - Period DMR Data Not Available")</f>
        <v>N/A - Period DMR Data Not Available</v>
      </c>
      <c r="Y202" s="113" t="str" cm="1">
        <f t="array" ref="Y202">IF(COUNTIFS('Raw Annual DMR Data'!L:L,$F202, 'Raw Annual DMR Data'!U:U, "&gt;0")&gt;0,INDEX('Raw Annual DMR Data'!B:B,MATCH(1,($F202='Raw Annual DMR Data'!L:L)*($W202='Raw Annual DMR Data'!U:U),0)), "N/A - Period DMR Data Not Available")</f>
        <v>N/A - Period DMR Data Not Available</v>
      </c>
      <c r="Z202" s="311" t="str" cm="1">
        <f t="array" ref="Z202">IF(COUNTIF('Raw Annual DMR Data'!K:K,$E202)&gt;0,"N/A - See DMRs",IF(SUMIFS('Raw TRI Data'!$Z:$Z,'Raw TRI Data'!$J:$J,$E202)&gt;0,MEDIAN(IF('Raw TRI Data'!$J:$J=$E202,'Raw TRI Data'!$Z:$Z)), "N/A - Facility Does Not Report to TRI, no surface water releases, or no Generic Factors available"))</f>
        <v>N/A - Facility Does Not Report to TRI, no surface water releases, or no Generic Factors available</v>
      </c>
      <c r="AA202" s="156" t="str">
        <f>IF(COUNTIF('Raw Annual DMR Data'!K:K,$E202)&gt;0,"N/A - See DMRs",IF(SUMIFS('Raw TRI Data'!$Z:$Z,'Raw TRI Data'!$J:$J,$E202)&gt;0,_xlfn.MAXIFS('Raw TRI Data'!$Z:$Z,'Raw TRI Data'!$J:$J,$E202), "N/A - Facility Does Not Report to TRI, no surface water releases, or no Generic Factors available"))</f>
        <v>N/A - Facility Does Not Report to TRI, no surface water releases, or no Generic Factors available</v>
      </c>
      <c r="AB202" s="113" t="str">
        <f t="shared" si="25"/>
        <v>N/A</v>
      </c>
      <c r="AC202" s="136" t="str" cm="1">
        <f t="array" ref="AC202">IF(COUNTIF('Raw Annual DMR Data'!K:K,$E202)&gt;0,"N/A - See DMRs",IF(SUMIFS('Raw TRI Data'!$Z:$Z,'Raw TRI Data'!$J:$J,$E202)&gt;0,INDEX('Raw TRI Data'!$A:$A,MATCH(1,($E202='Raw TRI Data'!$J:$J)*($AA202='Raw TRI Data'!$Z:$Z),0)), "N/A - Facility Does Not Report to TRI, no surface water releases, or no Generic Factors available"))</f>
        <v>N/A - Facility Does Not Report to TRI, no surface water releases, or no Generic Factors available</v>
      </c>
      <c r="AD202" s="96" t="str" cm="1">
        <f t="array" ref="AD202">IF(COUNTIFS('Raw Annual DMR Data'!L:L,$F202,'Raw Annual DMR Data'!W:W, "&gt;0")&gt;0,MEDIAN(IF('Raw Annual DMR Data'!K:K=$F202, 'Raw Annual DMR Data'!W:W)), "N/A - No Daily Max DMR Discharge Data")</f>
        <v>N/A - No Daily Max DMR Discharge Data</v>
      </c>
      <c r="AE202" s="96" t="str">
        <f>IF(COUNTIFS('Raw Annual DMR Data'!L:L,$F202,'Raw Annual DMR Data'!W:W, "&gt;0")&gt;0,_xlfn.MAXIFS('Raw Annual DMR Data'!W:W,'Raw Annual DMR Data'!L:L,$F202), "N/A - No Daily Max DMR Discharge Data")</f>
        <v>N/A - No Daily Max DMR Discharge Data</v>
      </c>
      <c r="AF202" s="60" t="str" cm="1">
        <f t="array" ref="AF202">IF(COUNTIFS('Raw Annual DMR Data'!L:L,$F202,'Raw Annual DMR Data'!W:W, "&gt;0")&gt;0,INDEX('Raw Annual DMR Data'!B:B,MATCH(1,($F202='Raw Annual DMR Data'!L:L)*($AE202='Raw Annual DMR Data'!W:W),0)), "N/A - No Daily Max DMR Discharge Data")</f>
        <v>N/A - No Daily Max DMR Discharge Data</v>
      </c>
    </row>
    <row r="203" spans="1:32" ht="45.75" thickBot="1" x14ac:dyDescent="0.3">
      <c r="A203" s="144" t="str">
        <f>VLOOKUP(F203,'Facility Summary'!J:K,2,FALSE)</f>
        <v>Unknown</v>
      </c>
      <c r="B203" s="28" t="s">
        <v>1095</v>
      </c>
      <c r="C203" s="28" t="s">
        <v>1096</v>
      </c>
      <c r="D203" s="28" t="s">
        <v>450</v>
      </c>
      <c r="E203" s="28"/>
      <c r="F203" s="61">
        <v>110000737365</v>
      </c>
      <c r="G203" s="60" t="str">
        <f>VLOOKUP($F203, 'Raw Annual DMR Data'!$A:$Z, 24, FALSE)</f>
        <v>NY0001988</v>
      </c>
      <c r="H203" s="60" t="str">
        <f>VLOOKUP($F203, 'Raw Annual DMR Data'!$A:$Z, 25, FALSE)</f>
        <v>CAYUGA CK</v>
      </c>
      <c r="I203" s="74">
        <f>VLOOKUP($F203, 'Raw Annual DMR Data'!$A:$Z, 26, FALSE)</f>
        <v>4120104000390</v>
      </c>
      <c r="J203" s="74" t="s">
        <v>265</v>
      </c>
      <c r="K203" s="60">
        <f>VLOOKUP(A203, 'OES Summary'!$A:$B, 2, FALSE)</f>
        <v>250</v>
      </c>
      <c r="L203" s="304" cm="1">
        <f t="array" ref="L203">IF(COUNTIF('Raw Annual DMR Data'!$L:$L,$F203)&gt;0,MEDIAN(IF('Raw Annual DMR Data'!$L:$L=F203,'Raw Annual DMR Data'!$S:$S)),"N/A - Facility Does Not Report DMRs")</f>
        <v>1.321870011478745E-2</v>
      </c>
      <c r="M203" s="156">
        <f t="shared" si="23"/>
        <v>5.2874800459149799E-5</v>
      </c>
      <c r="N203" s="156">
        <f>IF(COUNTIF('Raw Annual DMR Data'!$L:$L,$F203)&gt;0,_xlfn.MAXIFS('Raw Annual DMR Data'!$S:$S,'Raw Annual DMR Data'!$L:$L,$F203), "N/A - Facility Does Not Report DMRs")</f>
        <v>0.225638516874999</v>
      </c>
      <c r="O203" s="156">
        <f t="shared" si="24"/>
        <v>9.0255406749999601E-4</v>
      </c>
      <c r="P203" s="113" cm="1">
        <f t="array" ref="P203">IF(COUNTIF('Raw Annual DMR Data'!$L:$L,$F203)&gt;0,INDEX('Raw Annual DMR Data'!$B:$B,MATCH(1,($F203='Raw Annual DMR Data'!$L:$L)*($N203='Raw Annual DMR Data'!$S:$S),0)), "N/A - Facility Does Not Report DMRs")</f>
        <v>2015</v>
      </c>
      <c r="Q203" s="304" t="str" cm="1">
        <f t="array" ref="Q203">IF(COUNTIF('Raw TRI Data'!$J:$J,$E203)&gt;0,MEDIAN(IF('Raw TRI Data'!$J:$J=E203,'Raw TRI Data'!$S:$S)), "N/A - Facility Does Not Report to TRI")</f>
        <v>N/A - Facility Does Not Report to TRI</v>
      </c>
      <c r="R203" s="156" t="str">
        <f t="shared" si="21"/>
        <v>N/A - Facility Does Not Report to TRI</v>
      </c>
      <c r="S203" s="156" t="str">
        <f>IF(COUNTIF('Raw TRI Data'!$J:$J,$E203)&gt;0,_xlfn.MAXIFS('Raw TRI Data'!$S:$S,'Raw TRI Data'!$J:$J,$E203), "N/A - Facility Does Not Report to TRI")</f>
        <v>N/A - Facility Does Not Report to TRI</v>
      </c>
      <c r="T203" s="156" t="str">
        <f t="shared" si="22"/>
        <v>N/A - Facility Does Not Report to TRI</v>
      </c>
      <c r="U203" s="136" t="str" cm="1">
        <f t="array" ref="U203">IF(COUNTIF('Raw TRI Data'!$J:$J,$E203)&gt;0,INDEX('Raw TRI Data'!$A:$A,MATCH(1,($E203='Raw TRI Data'!$J:$J)*(S203='Raw TRI Data'!$S:$S),0)), "N/A - Facility Does Not Report to TRI")</f>
        <v>N/A - Facility Does Not Report to TRI</v>
      </c>
      <c r="V203" s="156" t="str" cm="1">
        <f t="array" ref="V203">IF(COUNTIFS('Raw Annual DMR Data'!$L:$L,$F203,'Raw Annual DMR Data'!$U:$U,"&gt;0")&gt;0,MEDIAN(IF('Raw Annual DMR Data'!$L:$L=$F203,'Raw Annual DMR Data'!$U:$U,"")),"N/A - Period DMR Data Not Available")</f>
        <v>N/A - Period DMR Data Not Available</v>
      </c>
      <c r="W203" s="156" t="str">
        <f>IF(COUNTIFS('Raw Annual DMR Data'!$L:$L,$F203, 'Raw Annual DMR Data'!$U:$U, "&gt;0")&gt;0,_xlfn.MAXIFS('Raw Annual DMR Data'!$U:$U,'Raw Annual DMR Data'!$L:$L,$F203), "N/A - Period DMR Data Not Available")</f>
        <v>N/A - Period DMR Data Not Available</v>
      </c>
      <c r="X203" s="113" t="str" cm="1">
        <f t="array" ref="X203">+IF(COUNTIFS('Raw Annual DMR Data'!L:L,$F203, 'Raw Annual DMR Data'!U:U, "&gt;0")&gt;0,INDEX('Raw Annual DMR Data'!V:V,MATCH(1,($F203='Raw Annual DMR Data'!L:L)*($W203='Raw Annual DMR Data'!U:U),0)), "N/A - Period DMR Data Not Available")</f>
        <v>N/A - Period DMR Data Not Available</v>
      </c>
      <c r="Y203" s="113" t="str" cm="1">
        <f t="array" ref="Y203">IF(COUNTIFS('Raw Annual DMR Data'!L:L,$F203, 'Raw Annual DMR Data'!U:U, "&gt;0")&gt;0,INDEX('Raw Annual DMR Data'!B:B,MATCH(1,($F203='Raw Annual DMR Data'!L:L)*($W203='Raw Annual DMR Data'!U:U),0)), "N/A - Period DMR Data Not Available")</f>
        <v>N/A - Period DMR Data Not Available</v>
      </c>
      <c r="Z203" s="311" t="str" cm="1">
        <f t="array" ref="Z203">IF(COUNTIF('Raw Annual DMR Data'!K:K,$E203)&gt;0,"N/A - See DMRs",IF(SUMIFS('Raw TRI Data'!$Z:$Z,'Raw TRI Data'!$J:$J,$E203)&gt;0,MEDIAN(IF('Raw TRI Data'!$J:$J=$E203,'Raw TRI Data'!$Z:$Z)), "N/A - Facility Does Not Report to TRI, no surface water releases, or no Generic Factors available"))</f>
        <v>N/A - Facility Does Not Report to TRI, no surface water releases, or no Generic Factors available</v>
      </c>
      <c r="AA203" s="156" t="str">
        <f>IF(COUNTIF('Raw Annual DMR Data'!K:K,$E203)&gt;0,"N/A - See DMRs",IF(SUMIFS('Raw TRI Data'!$Z:$Z,'Raw TRI Data'!$J:$J,$E203)&gt;0,_xlfn.MAXIFS('Raw TRI Data'!$Z:$Z,'Raw TRI Data'!$J:$J,$E203), "N/A - Facility Does Not Report to TRI, no surface water releases, or no Generic Factors available"))</f>
        <v>N/A - Facility Does Not Report to TRI, no surface water releases, or no Generic Factors available</v>
      </c>
      <c r="AB203" s="113" t="str">
        <f t="shared" si="25"/>
        <v>N/A</v>
      </c>
      <c r="AC203" s="136" t="str" cm="1">
        <f t="array" ref="AC203">IF(COUNTIF('Raw Annual DMR Data'!K:K,$E203)&gt;0,"N/A - See DMRs",IF(SUMIFS('Raw TRI Data'!$Z:$Z,'Raw TRI Data'!$J:$J,$E203)&gt;0,INDEX('Raw TRI Data'!$A:$A,MATCH(1,($E203='Raw TRI Data'!$J:$J)*($AA203='Raw TRI Data'!$Z:$Z),0)), "N/A - Facility Does Not Report to TRI, no surface water releases, or no Generic Factors available"))</f>
        <v>N/A - Facility Does Not Report to TRI, no surface water releases, or no Generic Factors available</v>
      </c>
      <c r="AD203" s="96" t="str" cm="1">
        <f t="array" ref="AD203">IF(COUNTIFS('Raw Annual DMR Data'!L:L,$F203,'Raw Annual DMR Data'!W:W, "&gt;0")&gt;0,MEDIAN(IF('Raw Annual DMR Data'!K:K=$F203, 'Raw Annual DMR Data'!W:W)), "N/A - No Daily Max DMR Discharge Data")</f>
        <v>N/A - No Daily Max DMR Discharge Data</v>
      </c>
      <c r="AE203" s="96" t="str">
        <f>IF(COUNTIFS('Raw Annual DMR Data'!L:L,$F203,'Raw Annual DMR Data'!W:W, "&gt;0")&gt;0,_xlfn.MAXIFS('Raw Annual DMR Data'!W:W,'Raw Annual DMR Data'!L:L,$F203), "N/A - No Daily Max DMR Discharge Data")</f>
        <v>N/A - No Daily Max DMR Discharge Data</v>
      </c>
      <c r="AF203" s="60" t="str" cm="1">
        <f t="array" ref="AF203">IF(COUNTIFS('Raw Annual DMR Data'!L:L,$F203,'Raw Annual DMR Data'!W:W, "&gt;0")&gt;0,INDEX('Raw Annual DMR Data'!B:B,MATCH(1,($F203='Raw Annual DMR Data'!L:L)*($AE203='Raw Annual DMR Data'!W:W),0)), "N/A - No Daily Max DMR Discharge Data")</f>
        <v>N/A - No Daily Max DMR Discharge Data</v>
      </c>
    </row>
    <row r="204" spans="1:32" ht="45.75" thickBot="1" x14ac:dyDescent="0.3">
      <c r="A204" s="144" t="str">
        <f>VLOOKUP(F204,'Facility Summary'!J:K,2,FALSE)</f>
        <v>Unknown</v>
      </c>
      <c r="B204" s="28" t="s">
        <v>1097</v>
      </c>
      <c r="C204" s="28" t="s">
        <v>1098</v>
      </c>
      <c r="D204" s="28" t="s">
        <v>324</v>
      </c>
      <c r="E204" s="28"/>
      <c r="F204" s="61">
        <v>110000379787</v>
      </c>
      <c r="G204" s="60" t="str">
        <f>VLOOKUP($F204, 'Raw Annual DMR Data'!$A:$Z, 24, FALSE)</f>
        <v>KY0100196</v>
      </c>
      <c r="H204" s="60" t="str">
        <f>VLOOKUP($F204, 'Raw Annual DMR Data'!$A:$Z, 25, FALSE)</f>
        <v>GOOSE CREEK, GOOSE CRK</v>
      </c>
      <c r="I204" s="74">
        <f>VLOOKUP($F204, 'Raw Annual DMR Data'!$A:$Z, 26, FALSE)</f>
        <v>5090201002312</v>
      </c>
      <c r="J204" s="74" t="s">
        <v>265</v>
      </c>
      <c r="K204" s="60">
        <f>VLOOKUP(A204, 'OES Summary'!$A:$B, 2, FALSE)</f>
        <v>250</v>
      </c>
      <c r="L204" s="304" cm="1">
        <f t="array" ref="L204">IF(COUNTIF('Raw Annual DMR Data'!$L:$L,$F204)&gt;0,MEDIAN(IF('Raw Annual DMR Data'!$L:$L=F204,'Raw Annual DMR Data'!$S:$S)),"N/A - Facility Does Not Report DMRs")</f>
        <v>0.14451508499999999</v>
      </c>
      <c r="M204" s="156">
        <f t="shared" si="23"/>
        <v>5.7806033999999997E-4</v>
      </c>
      <c r="N204" s="156">
        <f>IF(COUNTIF('Raw Annual DMR Data'!$L:$L,$F204)&gt;0,_xlfn.MAXIFS('Raw Annual DMR Data'!$S:$S,'Raw Annual DMR Data'!$L:$L,$F204), "N/A - Facility Does Not Report DMRs")</f>
        <v>0.39331827499999999</v>
      </c>
      <c r="O204" s="156">
        <f t="shared" si="24"/>
        <v>1.5732731000000001E-3</v>
      </c>
      <c r="P204" s="113" cm="1">
        <f t="array" ref="P204">IF(COUNTIF('Raw Annual DMR Data'!$L:$L,$F204)&gt;0,INDEX('Raw Annual DMR Data'!$B:$B,MATCH(1,($F204='Raw Annual DMR Data'!$L:$L)*($N204='Raw Annual DMR Data'!$S:$S),0)), "N/A - Facility Does Not Report DMRs")</f>
        <v>2017</v>
      </c>
      <c r="Q204" s="304" t="str" cm="1">
        <f t="array" ref="Q204">IF(COUNTIF('Raw TRI Data'!$J:$J,$E204)&gt;0,MEDIAN(IF('Raw TRI Data'!$J:$J=E204,'Raw TRI Data'!$S:$S)), "N/A - Facility Does Not Report to TRI")</f>
        <v>N/A - Facility Does Not Report to TRI</v>
      </c>
      <c r="R204" s="156" t="str">
        <f t="shared" si="21"/>
        <v>N/A - Facility Does Not Report to TRI</v>
      </c>
      <c r="S204" s="156" t="str">
        <f>IF(COUNTIF('Raw TRI Data'!$J:$J,$E204)&gt;0,_xlfn.MAXIFS('Raw TRI Data'!$S:$S,'Raw TRI Data'!$J:$J,$E204), "N/A - Facility Does Not Report to TRI")</f>
        <v>N/A - Facility Does Not Report to TRI</v>
      </c>
      <c r="T204" s="156" t="str">
        <f t="shared" si="22"/>
        <v>N/A - Facility Does Not Report to TRI</v>
      </c>
      <c r="U204" s="136" t="str" cm="1">
        <f t="array" ref="U204">IF(COUNTIF('Raw TRI Data'!$J:$J,$E204)&gt;0,INDEX('Raw TRI Data'!$A:$A,MATCH(1,($E204='Raw TRI Data'!$J:$J)*(S204='Raw TRI Data'!$S:$S),0)), "N/A - Facility Does Not Report to TRI")</f>
        <v>N/A - Facility Does Not Report to TRI</v>
      </c>
      <c r="V204" s="156" t="str" cm="1">
        <f t="array" ref="V204">IF(COUNTIFS('Raw Annual DMR Data'!$L:$L,$F204,'Raw Annual DMR Data'!$U:$U,"&gt;0")&gt;0,MEDIAN(IF('Raw Annual DMR Data'!$L:$L=$F204,'Raw Annual DMR Data'!$U:$U,"")),"N/A - Period DMR Data Not Available")</f>
        <v>N/A - Period DMR Data Not Available</v>
      </c>
      <c r="W204" s="156" t="str">
        <f>IF(COUNTIFS('Raw Annual DMR Data'!$L:$L,$F204, 'Raw Annual DMR Data'!$U:$U, "&gt;0")&gt;0,_xlfn.MAXIFS('Raw Annual DMR Data'!$U:$U,'Raw Annual DMR Data'!$L:$L,$F204), "N/A - Period DMR Data Not Available")</f>
        <v>N/A - Period DMR Data Not Available</v>
      </c>
      <c r="X204" s="113" t="str" cm="1">
        <f t="array" ref="X204">+IF(COUNTIFS('Raw Annual DMR Data'!L:L,$F204, 'Raw Annual DMR Data'!U:U, "&gt;0")&gt;0,INDEX('Raw Annual DMR Data'!V:V,MATCH(1,($F204='Raw Annual DMR Data'!L:L)*($W204='Raw Annual DMR Data'!U:U),0)), "N/A - Period DMR Data Not Available")</f>
        <v>N/A - Period DMR Data Not Available</v>
      </c>
      <c r="Y204" s="113" t="str" cm="1">
        <f t="array" ref="Y204">IF(COUNTIFS('Raw Annual DMR Data'!L:L,$F204, 'Raw Annual DMR Data'!U:U, "&gt;0")&gt;0,INDEX('Raw Annual DMR Data'!B:B,MATCH(1,($F204='Raw Annual DMR Data'!L:L)*($W204='Raw Annual DMR Data'!U:U),0)), "N/A - Period DMR Data Not Available")</f>
        <v>N/A - Period DMR Data Not Available</v>
      </c>
      <c r="Z204" s="311" t="str" cm="1">
        <f t="array" ref="Z204">IF(COUNTIF('Raw Annual DMR Data'!K:K,$E204)&gt;0,"N/A - See DMRs",IF(SUMIFS('Raw TRI Data'!$Z:$Z,'Raw TRI Data'!$J:$J,$E204)&gt;0,MEDIAN(IF('Raw TRI Data'!$J:$J=$E204,'Raw TRI Data'!$Z:$Z)), "N/A - Facility Does Not Report to TRI, no surface water releases, or no Generic Factors available"))</f>
        <v>N/A - Facility Does Not Report to TRI, no surface water releases, or no Generic Factors available</v>
      </c>
      <c r="AA204" s="156" t="str">
        <f>IF(COUNTIF('Raw Annual DMR Data'!K:K,$E204)&gt;0,"N/A - See DMRs",IF(SUMIFS('Raw TRI Data'!$Z:$Z,'Raw TRI Data'!$J:$J,$E204)&gt;0,_xlfn.MAXIFS('Raw TRI Data'!$Z:$Z,'Raw TRI Data'!$J:$J,$E204), "N/A - Facility Does Not Report to TRI, no surface water releases, or no Generic Factors available"))</f>
        <v>N/A - Facility Does Not Report to TRI, no surface water releases, or no Generic Factors available</v>
      </c>
      <c r="AB204" s="113" t="str">
        <f t="shared" si="25"/>
        <v>N/A</v>
      </c>
      <c r="AC204" s="136" t="str" cm="1">
        <f t="array" ref="AC204">IF(COUNTIF('Raw Annual DMR Data'!K:K,$E204)&gt;0,"N/A - See DMRs",IF(SUMIFS('Raw TRI Data'!$Z:$Z,'Raw TRI Data'!$J:$J,$E204)&gt;0,INDEX('Raw TRI Data'!$A:$A,MATCH(1,($E204='Raw TRI Data'!$J:$J)*($AA204='Raw TRI Data'!$Z:$Z),0)), "N/A - Facility Does Not Report to TRI, no surface water releases, or no Generic Factors available"))</f>
        <v>N/A - Facility Does Not Report to TRI, no surface water releases, or no Generic Factors available</v>
      </c>
      <c r="AD204" s="96" t="str" cm="1">
        <f t="array" ref="AD204">IF(COUNTIFS('Raw Annual DMR Data'!L:L,$F204,'Raw Annual DMR Data'!W:W, "&gt;0")&gt;0,MEDIAN(IF('Raw Annual DMR Data'!K:K=$F204, 'Raw Annual DMR Data'!W:W)), "N/A - No Daily Max DMR Discharge Data")</f>
        <v>N/A - No Daily Max DMR Discharge Data</v>
      </c>
      <c r="AE204" s="96" t="str">
        <f>IF(COUNTIFS('Raw Annual DMR Data'!L:L,$F204,'Raw Annual DMR Data'!W:W, "&gt;0")&gt;0,_xlfn.MAXIFS('Raw Annual DMR Data'!W:W,'Raw Annual DMR Data'!L:L,$F204), "N/A - No Daily Max DMR Discharge Data")</f>
        <v>N/A - No Daily Max DMR Discharge Data</v>
      </c>
      <c r="AF204" s="60" t="str" cm="1">
        <f t="array" ref="AF204">IF(COUNTIFS('Raw Annual DMR Data'!L:L,$F204,'Raw Annual DMR Data'!W:W, "&gt;0")&gt;0,INDEX('Raw Annual DMR Data'!B:B,MATCH(1,($F204='Raw Annual DMR Data'!L:L)*($AE204='Raw Annual DMR Data'!W:W),0)), "N/A - No Daily Max DMR Discharge Data")</f>
        <v>N/A - No Daily Max DMR Discharge Data</v>
      </c>
    </row>
    <row r="205" spans="1:32" ht="45.75" thickBot="1" x14ac:dyDescent="0.3">
      <c r="A205" s="144" t="str">
        <f>VLOOKUP(F205,'Facility Summary'!J:K,2,FALSE)</f>
        <v>Unknown</v>
      </c>
      <c r="B205" s="28" t="s">
        <v>1099</v>
      </c>
      <c r="C205" s="28" t="s">
        <v>1100</v>
      </c>
      <c r="D205" s="28" t="s">
        <v>1101</v>
      </c>
      <c r="E205" s="28"/>
      <c r="F205" s="61">
        <v>110010134185</v>
      </c>
      <c r="G205" s="60" t="str">
        <f>VLOOKUP($F205, 'Raw Annual DMR Data'!$A:$Z, 24, FALSE)</f>
        <v>NN0020133</v>
      </c>
      <c r="H205" s="60" t="str">
        <f>VLOOKUP($F205, 'Raw Annual DMR Data'!$A:$Z, 25, FALSE)</f>
        <v>TO GOTHIC CREEK TRIBUTARY TO SAN JUAN RIVER</v>
      </c>
      <c r="I205" s="74">
        <f>VLOOKUP($F205, 'Raw Annual DMR Data'!$A:$Z, 26, FALSE)</f>
        <v>14080201000184</v>
      </c>
      <c r="J205" s="74" t="s">
        <v>265</v>
      </c>
      <c r="K205" s="60">
        <f>VLOOKUP(A205, 'OES Summary'!$A:$B, 2, FALSE)</f>
        <v>250</v>
      </c>
      <c r="L205" s="304" cm="1">
        <f t="array" ref="L205">IF(COUNTIF('Raw Annual DMR Data'!$L:$L,$F205)&gt;0,MEDIAN(IF('Raw Annual DMR Data'!$L:$L=F205,'Raw Annual DMR Data'!$S:$S)),"N/A - Facility Does Not Report DMRs")</f>
        <v>1.4231600000000001E-3</v>
      </c>
      <c r="M205" s="156">
        <f t="shared" si="23"/>
        <v>5.6926400000000006E-6</v>
      </c>
      <c r="N205" s="156">
        <f>IF(COUNTIF('Raw Annual DMR Data'!$L:$L,$F205)&gt;0,_xlfn.MAXIFS('Raw Annual DMR Data'!$S:$S,'Raw Annual DMR Data'!$L:$L,$F205), "N/A - Facility Does Not Report DMRs")</f>
        <v>1.9632794999999998E-3</v>
      </c>
      <c r="O205" s="156">
        <f t="shared" si="24"/>
        <v>7.8531179999999986E-6</v>
      </c>
      <c r="P205" s="113" cm="1">
        <f t="array" ref="P205">IF(COUNTIF('Raw Annual DMR Data'!$L:$L,$F205)&gt;0,INDEX('Raw Annual DMR Data'!$B:$B,MATCH(1,($F205='Raw Annual DMR Data'!$L:$L)*($N205='Raw Annual DMR Data'!$S:$S),0)), "N/A - Facility Does Not Report DMRs")</f>
        <v>2017</v>
      </c>
      <c r="Q205" s="304" t="str" cm="1">
        <f t="array" ref="Q205">IF(COUNTIF('Raw TRI Data'!$J:$J,$E205)&gt;0,MEDIAN(IF('Raw TRI Data'!$J:$J=E205,'Raw TRI Data'!$S:$S)), "N/A - Facility Does Not Report to TRI")</f>
        <v>N/A - Facility Does Not Report to TRI</v>
      </c>
      <c r="R205" s="156" t="str">
        <f t="shared" si="21"/>
        <v>N/A - Facility Does Not Report to TRI</v>
      </c>
      <c r="S205" s="156" t="str">
        <f>IF(COUNTIF('Raw TRI Data'!$J:$J,$E205)&gt;0,_xlfn.MAXIFS('Raw TRI Data'!$S:$S,'Raw TRI Data'!$J:$J,$E205), "N/A - Facility Does Not Report to TRI")</f>
        <v>N/A - Facility Does Not Report to TRI</v>
      </c>
      <c r="T205" s="156" t="str">
        <f t="shared" si="22"/>
        <v>N/A - Facility Does Not Report to TRI</v>
      </c>
      <c r="U205" s="136" t="str" cm="1">
        <f t="array" ref="U205">IF(COUNTIF('Raw TRI Data'!$J:$J,$E205)&gt;0,INDEX('Raw TRI Data'!$A:$A,MATCH(1,($E205='Raw TRI Data'!$J:$J)*(S205='Raw TRI Data'!$S:$S),0)), "N/A - Facility Does Not Report to TRI")</f>
        <v>N/A - Facility Does Not Report to TRI</v>
      </c>
      <c r="V205" s="156" t="str" cm="1">
        <f t="array" ref="V205">IF(COUNTIFS('Raw Annual DMR Data'!$L:$L,$F205,'Raw Annual DMR Data'!$U:$U,"&gt;0")&gt;0,MEDIAN(IF('Raw Annual DMR Data'!$L:$L=$F205,'Raw Annual DMR Data'!$U:$U,"")),"N/A - Period DMR Data Not Available")</f>
        <v>N/A - Period DMR Data Not Available</v>
      </c>
      <c r="W205" s="156" t="str">
        <f>IF(COUNTIFS('Raw Annual DMR Data'!$L:$L,$F205, 'Raw Annual DMR Data'!$U:$U, "&gt;0")&gt;0,_xlfn.MAXIFS('Raw Annual DMR Data'!$U:$U,'Raw Annual DMR Data'!$L:$L,$F205), "N/A - Period DMR Data Not Available")</f>
        <v>N/A - Period DMR Data Not Available</v>
      </c>
      <c r="X205" s="113" t="str" cm="1">
        <f t="array" ref="X205">+IF(COUNTIFS('Raw Annual DMR Data'!L:L,$F205, 'Raw Annual DMR Data'!U:U, "&gt;0")&gt;0,INDEX('Raw Annual DMR Data'!V:V,MATCH(1,($F205='Raw Annual DMR Data'!L:L)*($W205='Raw Annual DMR Data'!U:U),0)), "N/A - Period DMR Data Not Available")</f>
        <v>N/A - Period DMR Data Not Available</v>
      </c>
      <c r="Y205" s="113" t="str" cm="1">
        <f t="array" ref="Y205">IF(COUNTIFS('Raw Annual DMR Data'!L:L,$F205, 'Raw Annual DMR Data'!U:U, "&gt;0")&gt;0,INDEX('Raw Annual DMR Data'!B:B,MATCH(1,($F205='Raw Annual DMR Data'!L:L)*($W205='Raw Annual DMR Data'!U:U),0)), "N/A - Period DMR Data Not Available")</f>
        <v>N/A - Period DMR Data Not Available</v>
      </c>
      <c r="Z205" s="311" t="str" cm="1">
        <f t="array" ref="Z205">IF(COUNTIF('Raw Annual DMR Data'!K:K,$E205)&gt;0,"N/A - See DMRs",IF(SUMIFS('Raw TRI Data'!$Z:$Z,'Raw TRI Data'!$J:$J,$E205)&gt;0,MEDIAN(IF('Raw TRI Data'!$J:$J=$E205,'Raw TRI Data'!$Z:$Z)), "N/A - Facility Does Not Report to TRI, no surface water releases, or no Generic Factors available"))</f>
        <v>N/A - Facility Does Not Report to TRI, no surface water releases, or no Generic Factors available</v>
      </c>
      <c r="AA205" s="156" t="str">
        <f>IF(COUNTIF('Raw Annual DMR Data'!K:K,$E205)&gt;0,"N/A - See DMRs",IF(SUMIFS('Raw TRI Data'!$Z:$Z,'Raw TRI Data'!$J:$J,$E205)&gt;0,_xlfn.MAXIFS('Raw TRI Data'!$Z:$Z,'Raw TRI Data'!$J:$J,$E205), "N/A - Facility Does Not Report to TRI, no surface water releases, or no Generic Factors available"))</f>
        <v>N/A - Facility Does Not Report to TRI, no surface water releases, or no Generic Factors available</v>
      </c>
      <c r="AB205" s="113" t="str">
        <f t="shared" si="25"/>
        <v>N/A</v>
      </c>
      <c r="AC205" s="136" t="str" cm="1">
        <f t="array" ref="AC205">IF(COUNTIF('Raw Annual DMR Data'!K:K,$E205)&gt;0,"N/A - See DMRs",IF(SUMIFS('Raw TRI Data'!$Z:$Z,'Raw TRI Data'!$J:$J,$E205)&gt;0,INDEX('Raw TRI Data'!$A:$A,MATCH(1,($E205='Raw TRI Data'!$J:$J)*($AA205='Raw TRI Data'!$Z:$Z),0)), "N/A - Facility Does Not Report to TRI, no surface water releases, or no Generic Factors available"))</f>
        <v>N/A - Facility Does Not Report to TRI, no surface water releases, or no Generic Factors available</v>
      </c>
      <c r="AD205" s="96" t="str" cm="1">
        <f t="array" ref="AD205">IF(COUNTIFS('Raw Annual DMR Data'!L:L,$F205,'Raw Annual DMR Data'!W:W, "&gt;0")&gt;0,MEDIAN(IF('Raw Annual DMR Data'!K:K=$F205, 'Raw Annual DMR Data'!W:W)), "N/A - No Daily Max DMR Discharge Data")</f>
        <v>N/A - No Daily Max DMR Discharge Data</v>
      </c>
      <c r="AE205" s="96" t="str">
        <f>IF(COUNTIFS('Raw Annual DMR Data'!L:L,$F205,'Raw Annual DMR Data'!W:W, "&gt;0")&gt;0,_xlfn.MAXIFS('Raw Annual DMR Data'!W:W,'Raw Annual DMR Data'!L:L,$F205), "N/A - No Daily Max DMR Discharge Data")</f>
        <v>N/A - No Daily Max DMR Discharge Data</v>
      </c>
      <c r="AF205" s="60" t="str" cm="1">
        <f t="array" ref="AF205">IF(COUNTIFS('Raw Annual DMR Data'!L:L,$F205,'Raw Annual DMR Data'!W:W, "&gt;0")&gt;0,INDEX('Raw Annual DMR Data'!B:B,MATCH(1,($F205='Raw Annual DMR Data'!L:L)*($AE205='Raw Annual DMR Data'!W:W),0)), "N/A - No Daily Max DMR Discharge Data")</f>
        <v>N/A - No Daily Max DMR Discharge Data</v>
      </c>
    </row>
    <row r="206" spans="1:32" ht="30.75" thickBot="1" x14ac:dyDescent="0.3">
      <c r="A206" s="144" t="str">
        <f>VLOOKUP(F206,'Facility Summary'!J:K,2,FALSE)</f>
        <v>Unknown</v>
      </c>
      <c r="B206" s="28" t="s">
        <v>1102</v>
      </c>
      <c r="C206" s="28" t="s">
        <v>1103</v>
      </c>
      <c r="D206" s="28" t="s">
        <v>345</v>
      </c>
      <c r="E206" s="28" t="s">
        <v>712</v>
      </c>
      <c r="F206" s="61">
        <v>110000433013</v>
      </c>
      <c r="G206" s="60" t="str">
        <f>VLOOKUP($F206, 'Raw Annual DMR Data'!$A:$Z, 24, FALSE)</f>
        <v>IL0002917</v>
      </c>
      <c r="H206" s="60" t="str">
        <f>VLOOKUP($F206, 'Raw Annual DMR Data'!$A:$Z, 25, FALSE)</f>
        <v>AUX SABLE CREEK, COUNTY DITH TO LOWLAND AREA, ILLINOIS RIVER, ILLINOIS RIVER; AUX SABLE CREEK</v>
      </c>
      <c r="I206" s="74">
        <f>VLOOKUP($F206, 'Raw Annual DMR Data'!$A:$Z, 26, FALSE)</f>
        <v>7120005000248</v>
      </c>
      <c r="J206" s="74" t="s">
        <v>265</v>
      </c>
      <c r="K206" s="60">
        <f>VLOOKUP(A206, 'OES Summary'!$A:$B, 2, FALSE)</f>
        <v>250</v>
      </c>
      <c r="L206" s="304" cm="1">
        <f t="array" ref="L206">IF(COUNTIF('Raw Annual DMR Data'!$L:$L,$F206)&gt;0,MEDIAN(IF('Raw Annual DMR Data'!$L:$L=F206,'Raw Annual DMR Data'!$S:$S)),"N/A - Facility Does Not Report DMRs")</f>
        <v>0.83037598639455745</v>
      </c>
      <c r="M206" s="156">
        <f t="shared" si="23"/>
        <v>3.3215039455782298E-3</v>
      </c>
      <c r="N206" s="156">
        <f>IF(COUNTIF('Raw Annual DMR Data'!$L:$L,$F206)&gt;0,_xlfn.MAXIFS('Raw Annual DMR Data'!$S:$S,'Raw Annual DMR Data'!$L:$L,$F206), "N/A - Facility Does Not Report DMRs")</f>
        <v>2.9010600000000002</v>
      </c>
      <c r="O206" s="156">
        <f t="shared" si="24"/>
        <v>1.160424E-2</v>
      </c>
      <c r="P206" s="113" cm="1">
        <f t="array" ref="P206">IF(COUNTIF('Raw Annual DMR Data'!$L:$L,$F206)&gt;0,INDEX('Raw Annual DMR Data'!$B:$B,MATCH(1,($F206='Raw Annual DMR Data'!$L:$L)*($N206='Raw Annual DMR Data'!$S:$S),0)), "N/A - Facility Does Not Report DMRs")</f>
        <v>2024</v>
      </c>
      <c r="Q206" s="304" t="str" cm="1">
        <f t="array" ref="Q206">IF(COUNTIF('Raw TRI Data'!$J:$J,$E206)&gt;0,MEDIAN(IF('Raw TRI Data'!$J:$J=E206,'Raw TRI Data'!$S:$S)), "N/A - Facility Does Not Report to TRI")</f>
        <v>N/A - Facility Does Not Report to TRI</v>
      </c>
      <c r="R206" s="156" t="str">
        <f t="shared" si="21"/>
        <v>N/A - Facility Does Not Report to TRI</v>
      </c>
      <c r="S206" s="156" t="str">
        <f>IF(COUNTIF('Raw TRI Data'!$J:$J,$E206)&gt;0,_xlfn.MAXIFS('Raw TRI Data'!$S:$S,'Raw TRI Data'!$J:$J,$E206), "N/A - Facility Does Not Report to TRI")</f>
        <v>N/A - Facility Does Not Report to TRI</v>
      </c>
      <c r="T206" s="156" t="str">
        <f t="shared" si="22"/>
        <v>N/A - Facility Does Not Report to TRI</v>
      </c>
      <c r="U206" s="136" t="str" cm="1">
        <f t="array" ref="U206">IF(COUNTIF('Raw TRI Data'!$J:$J,$E206)&gt;0,INDEX('Raw TRI Data'!$A:$A,MATCH(1,($E206='Raw TRI Data'!$J:$J)*(S206='Raw TRI Data'!$S:$S),0)), "N/A - Facility Does Not Report to TRI")</f>
        <v>N/A - Facility Does Not Report to TRI</v>
      </c>
      <c r="V206" s="156" t="str" cm="1">
        <f t="array" ref="V206">IF(COUNTIFS('Raw Annual DMR Data'!$L:$L,$F206,'Raw Annual DMR Data'!$U:$U,"&gt;0")&gt;0,MEDIAN(IF('Raw Annual DMR Data'!$L:$L=$F206,'Raw Annual DMR Data'!$U:$U,"")),"N/A - Period DMR Data Not Available")</f>
        <v>N/A - Period DMR Data Not Available</v>
      </c>
      <c r="W206" s="156" t="str">
        <f>IF(COUNTIFS('Raw Annual DMR Data'!$L:$L,$F206, 'Raw Annual DMR Data'!$U:$U, "&gt;0")&gt;0,_xlfn.MAXIFS('Raw Annual DMR Data'!$U:$U,'Raw Annual DMR Data'!$L:$L,$F206), "N/A - Period DMR Data Not Available")</f>
        <v>N/A - Period DMR Data Not Available</v>
      </c>
      <c r="X206" s="113" t="str" cm="1">
        <f t="array" ref="X206">+IF(COUNTIFS('Raw Annual DMR Data'!L:L,$F206, 'Raw Annual DMR Data'!U:U, "&gt;0")&gt;0,INDEX('Raw Annual DMR Data'!V:V,MATCH(1,($F206='Raw Annual DMR Data'!L:L)*($W206='Raw Annual DMR Data'!U:U),0)), "N/A - Period DMR Data Not Available")</f>
        <v>N/A - Period DMR Data Not Available</v>
      </c>
      <c r="Y206" s="113" t="str" cm="1">
        <f t="array" ref="Y206">IF(COUNTIFS('Raw Annual DMR Data'!L:L,$F206, 'Raw Annual DMR Data'!U:U, "&gt;0")&gt;0,INDEX('Raw Annual DMR Data'!B:B,MATCH(1,($F206='Raw Annual DMR Data'!L:L)*($W206='Raw Annual DMR Data'!U:U),0)), "N/A - Period DMR Data Not Available")</f>
        <v>N/A - Period DMR Data Not Available</v>
      </c>
      <c r="Z206" s="311" t="str" cm="1">
        <f t="array" ref="Z206">IF(COUNTIF('Raw Annual DMR Data'!K:K,$E206)&gt;0,"N/A - See DMRs",IF(SUMIFS('Raw TRI Data'!$Z:$Z,'Raw TRI Data'!$J:$J,$E206)&gt;0,MEDIAN(IF('Raw TRI Data'!$J:$J=$E206,'Raw TRI Data'!$Z:$Z)), "N/A - Facility Does Not Report to TRI, no surface water releases, or no Generic Factors available"))</f>
        <v>N/A - See DMRs</v>
      </c>
      <c r="AA206" s="156" t="str">
        <f>IF(COUNTIF('Raw Annual DMR Data'!K:K,$E206)&gt;0,"N/A - See DMRs",IF(SUMIFS('Raw TRI Data'!$Z:$Z,'Raw TRI Data'!$J:$J,$E206)&gt;0,_xlfn.MAXIFS('Raw TRI Data'!$Z:$Z,'Raw TRI Data'!$J:$J,$E206), "N/A - Facility Does Not Report to TRI, no surface water releases, or no Generic Factors available"))</f>
        <v>N/A - See DMRs</v>
      </c>
      <c r="AB206" s="113" t="str">
        <f t="shared" si="25"/>
        <v>N/A</v>
      </c>
      <c r="AC206" s="136" t="str" cm="1">
        <f t="array" ref="AC206">IF(COUNTIF('Raw Annual DMR Data'!K:K,$E206)&gt;0,"N/A - See DMRs",IF(SUMIFS('Raw TRI Data'!$Z:$Z,'Raw TRI Data'!$J:$J,$E206)&gt;0,INDEX('Raw TRI Data'!$A:$A,MATCH(1,($E206='Raw TRI Data'!$J:$J)*($AA206='Raw TRI Data'!$Z:$Z),0)), "N/A - Facility Does Not Report to TRI, no surface water releases, or no Generic Factors available"))</f>
        <v>N/A - See DMRs</v>
      </c>
      <c r="AD206" s="96" t="str" cm="1">
        <f t="array" ref="AD206">IF(COUNTIFS('Raw Annual DMR Data'!L:L,$F206,'Raw Annual DMR Data'!W:W, "&gt;0")&gt;0,MEDIAN(IF('Raw Annual DMR Data'!K:K=$F206, 'Raw Annual DMR Data'!W:W)), "N/A - No Daily Max DMR Discharge Data")</f>
        <v>N/A - No Daily Max DMR Discharge Data</v>
      </c>
      <c r="AE206" s="96" t="str">
        <f>IF(COUNTIFS('Raw Annual DMR Data'!L:L,$F206,'Raw Annual DMR Data'!W:W, "&gt;0")&gt;0,_xlfn.MAXIFS('Raw Annual DMR Data'!W:W,'Raw Annual DMR Data'!L:L,$F206), "N/A - No Daily Max DMR Discharge Data")</f>
        <v>N/A - No Daily Max DMR Discharge Data</v>
      </c>
      <c r="AF206" s="60" t="str" cm="1">
        <f t="array" ref="AF206">IF(COUNTIFS('Raw Annual DMR Data'!L:L,$F206,'Raw Annual DMR Data'!W:W, "&gt;0")&gt;0,INDEX('Raw Annual DMR Data'!B:B,MATCH(1,($F206='Raw Annual DMR Data'!L:L)*($AE206='Raw Annual DMR Data'!W:W),0)), "N/A - No Daily Max DMR Discharge Data")</f>
        <v>N/A - No Daily Max DMR Discharge Data</v>
      </c>
    </row>
    <row r="207" spans="1:32" ht="30.75" thickBot="1" x14ac:dyDescent="0.3">
      <c r="A207" s="144" t="str">
        <f>VLOOKUP(F207,'Facility Summary'!J:K,2,FALSE)</f>
        <v>Unknown</v>
      </c>
      <c r="B207" s="28" t="s">
        <v>1104</v>
      </c>
      <c r="C207" s="28" t="s">
        <v>446</v>
      </c>
      <c r="D207" s="28" t="s">
        <v>303</v>
      </c>
      <c r="E207" s="28" t="s">
        <v>713</v>
      </c>
      <c r="F207" s="61">
        <v>110000597266</v>
      </c>
      <c r="G207" s="60" t="str">
        <f>VLOOKUP($F207, 'Raw Annual DMR Data'!$A:$Z, 24, FALSE)</f>
        <v>LA0003689</v>
      </c>
      <c r="H207" s="60">
        <f>VLOOKUP($F207, 'Raw Annual DMR Data'!$A:$Z, 25, FALSE)</f>
        <v>315</v>
      </c>
      <c r="I207" s="74">
        <f>VLOOKUP($F207, 'Raw Annual DMR Data'!$A:$Z, 26, FALSE)</f>
        <v>8080206000583</v>
      </c>
      <c r="J207" s="74" t="s">
        <v>265</v>
      </c>
      <c r="K207" s="60">
        <f>VLOOKUP(A207, 'OES Summary'!$A:$B, 2, FALSE)</f>
        <v>250</v>
      </c>
      <c r="L207" s="304" cm="1">
        <f t="array" ref="L207">IF(COUNTIF('Raw Annual DMR Data'!$L:$L,$F207)&gt;0,MEDIAN(IF('Raw Annual DMR Data'!$L:$L=F207,'Raw Annual DMR Data'!$S:$S)),"N/A - Facility Does Not Report DMRs")</f>
        <v>0.82766439909296996</v>
      </c>
      <c r="M207" s="156">
        <f t="shared" si="23"/>
        <v>3.3106575963718797E-3</v>
      </c>
      <c r="N207" s="156">
        <f>IF(COUNTIF('Raw Annual DMR Data'!$L:$L,$F207)&gt;0,_xlfn.MAXIFS('Raw Annual DMR Data'!$S:$S,'Raw Annual DMR Data'!$L:$L,$F207), "N/A - Facility Does Not Report DMRs")</f>
        <v>4.1383219954648496</v>
      </c>
      <c r="O207" s="156">
        <f t="shared" si="24"/>
        <v>1.6553287981859399E-2</v>
      </c>
      <c r="P207" s="113" cm="1">
        <f t="array" ref="P207">IF(COUNTIF('Raw Annual DMR Data'!$L:$L,$F207)&gt;0,INDEX('Raw Annual DMR Data'!$B:$B,MATCH(1,($F207='Raw Annual DMR Data'!$L:$L)*($N207='Raw Annual DMR Data'!$S:$S),0)), "N/A - Facility Does Not Report DMRs")</f>
        <v>2020</v>
      </c>
      <c r="Q207" s="304" t="str" cm="1">
        <f t="array" ref="Q207">IF(COUNTIF('Raw TRI Data'!$J:$J,$E207)&gt;0,MEDIAN(IF('Raw TRI Data'!$J:$J=E207,'Raw TRI Data'!$S:$S)), "N/A - Facility Does Not Report to TRI")</f>
        <v>N/A - Facility Does Not Report to TRI</v>
      </c>
      <c r="R207" s="156" t="str">
        <f t="shared" si="21"/>
        <v>N/A - Facility Does Not Report to TRI</v>
      </c>
      <c r="S207" s="156" t="str">
        <f>IF(COUNTIF('Raw TRI Data'!$J:$J,$E207)&gt;0,_xlfn.MAXIFS('Raw TRI Data'!$S:$S,'Raw TRI Data'!$J:$J,$E207), "N/A - Facility Does Not Report to TRI")</f>
        <v>N/A - Facility Does Not Report to TRI</v>
      </c>
      <c r="T207" s="156" t="str">
        <f t="shared" si="22"/>
        <v>N/A - Facility Does Not Report to TRI</v>
      </c>
      <c r="U207" s="136" t="str" cm="1">
        <f t="array" ref="U207">IF(COUNTIF('Raw TRI Data'!$J:$J,$E207)&gt;0,INDEX('Raw TRI Data'!$A:$A,MATCH(1,($E207='Raw TRI Data'!$J:$J)*(S207='Raw TRI Data'!$S:$S),0)), "N/A - Facility Does Not Report to TRI")</f>
        <v>N/A - Facility Does Not Report to TRI</v>
      </c>
      <c r="V207" s="156" t="str" cm="1">
        <f t="array" ref="V207">IF(COUNTIFS('Raw Annual DMR Data'!$L:$L,$F207,'Raw Annual DMR Data'!$U:$U,"&gt;0")&gt;0,MEDIAN(IF('Raw Annual DMR Data'!$L:$L=$F207,'Raw Annual DMR Data'!$U:$U,"")),"N/A - Period DMR Data Not Available")</f>
        <v>N/A - Period DMR Data Not Available</v>
      </c>
      <c r="W207" s="156" t="str">
        <f>IF(COUNTIFS('Raw Annual DMR Data'!$L:$L,$F207, 'Raw Annual DMR Data'!$U:$U, "&gt;0")&gt;0,_xlfn.MAXIFS('Raw Annual DMR Data'!$U:$U,'Raw Annual DMR Data'!$L:$L,$F207), "N/A - Period DMR Data Not Available")</f>
        <v>N/A - Period DMR Data Not Available</v>
      </c>
      <c r="X207" s="113" t="str" cm="1">
        <f t="array" ref="X207">+IF(COUNTIFS('Raw Annual DMR Data'!L:L,$F207, 'Raw Annual DMR Data'!U:U, "&gt;0")&gt;0,INDEX('Raw Annual DMR Data'!V:V,MATCH(1,($F207='Raw Annual DMR Data'!L:L)*($W207='Raw Annual DMR Data'!U:U),0)), "N/A - Period DMR Data Not Available")</f>
        <v>N/A - Period DMR Data Not Available</v>
      </c>
      <c r="Y207" s="113" t="str" cm="1">
        <f t="array" ref="Y207">IF(COUNTIFS('Raw Annual DMR Data'!L:L,$F207, 'Raw Annual DMR Data'!U:U, "&gt;0")&gt;0,INDEX('Raw Annual DMR Data'!B:B,MATCH(1,($F207='Raw Annual DMR Data'!L:L)*($W207='Raw Annual DMR Data'!U:U),0)), "N/A - Period DMR Data Not Available")</f>
        <v>N/A - Period DMR Data Not Available</v>
      </c>
      <c r="Z207" s="311" t="str" cm="1">
        <f t="array" ref="Z207">IF(COUNTIF('Raw Annual DMR Data'!K:K,$E207)&gt;0,"N/A - See DMRs",IF(SUMIFS('Raw TRI Data'!$Z:$Z,'Raw TRI Data'!$J:$J,$E207)&gt;0,MEDIAN(IF('Raw TRI Data'!$J:$J=$E207,'Raw TRI Data'!$Z:$Z)), "N/A - Facility Does Not Report to TRI, no surface water releases, or no Generic Factors available"))</f>
        <v>N/A - See DMRs</v>
      </c>
      <c r="AA207" s="156" t="str">
        <f>IF(COUNTIF('Raw Annual DMR Data'!K:K,$E207)&gt;0,"N/A - See DMRs",IF(SUMIFS('Raw TRI Data'!$Z:$Z,'Raw TRI Data'!$J:$J,$E207)&gt;0,_xlfn.MAXIFS('Raw TRI Data'!$Z:$Z,'Raw TRI Data'!$J:$J,$E207), "N/A - Facility Does Not Report to TRI, no surface water releases, or no Generic Factors available"))</f>
        <v>N/A - See DMRs</v>
      </c>
      <c r="AB207" s="113" t="str">
        <f t="shared" si="25"/>
        <v>N/A</v>
      </c>
      <c r="AC207" s="136" t="str" cm="1">
        <f t="array" ref="AC207">IF(COUNTIF('Raw Annual DMR Data'!K:K,$E207)&gt;0,"N/A - See DMRs",IF(SUMIFS('Raw TRI Data'!$Z:$Z,'Raw TRI Data'!$J:$J,$E207)&gt;0,INDEX('Raw TRI Data'!$A:$A,MATCH(1,($E207='Raw TRI Data'!$J:$J)*($AA207='Raw TRI Data'!$Z:$Z),0)), "N/A - Facility Does Not Report to TRI, no surface water releases, or no Generic Factors available"))</f>
        <v>N/A - See DMRs</v>
      </c>
      <c r="AD207" s="96" t="str" cm="1">
        <f t="array" ref="AD207">IF(COUNTIFS('Raw Annual DMR Data'!L:L,$F207,'Raw Annual DMR Data'!W:W, "&gt;0")&gt;0,MEDIAN(IF('Raw Annual DMR Data'!K:K=$F207, 'Raw Annual DMR Data'!W:W)), "N/A - No Daily Max DMR Discharge Data")</f>
        <v>N/A - No Daily Max DMR Discharge Data</v>
      </c>
      <c r="AE207" s="96" t="str">
        <f>IF(COUNTIFS('Raw Annual DMR Data'!L:L,$F207,'Raw Annual DMR Data'!W:W, "&gt;0")&gt;0,_xlfn.MAXIFS('Raw Annual DMR Data'!W:W,'Raw Annual DMR Data'!L:L,$F207), "N/A - No Daily Max DMR Discharge Data")</f>
        <v>N/A - No Daily Max DMR Discharge Data</v>
      </c>
      <c r="AF207" s="60" t="str" cm="1">
        <f t="array" ref="AF207">IF(COUNTIFS('Raw Annual DMR Data'!L:L,$F207,'Raw Annual DMR Data'!W:W, "&gt;0")&gt;0,INDEX('Raw Annual DMR Data'!B:B,MATCH(1,($F207='Raw Annual DMR Data'!L:L)*($AE207='Raw Annual DMR Data'!W:W),0)), "N/A - No Daily Max DMR Discharge Data")</f>
        <v>N/A - No Daily Max DMR Discharge Data</v>
      </c>
    </row>
    <row r="208" spans="1:32" ht="30.75" thickBot="1" x14ac:dyDescent="0.3">
      <c r="A208" s="144" t="str">
        <f>VLOOKUP(F208,'Facility Summary'!J:K,2,FALSE)</f>
        <v>Processing as a Reactant</v>
      </c>
      <c r="B208" s="28" t="s">
        <v>1105</v>
      </c>
      <c r="C208" s="28" t="s">
        <v>1106</v>
      </c>
      <c r="D208" s="28" t="s">
        <v>345</v>
      </c>
      <c r="E208" s="28" t="s">
        <v>714</v>
      </c>
      <c r="F208" s="61">
        <v>110000746211</v>
      </c>
      <c r="G208" s="60" t="str">
        <f>VLOOKUP($F208, 'Raw Annual DMR Data'!$A:$Z, 24, FALSE)</f>
        <v>IL0000141</v>
      </c>
      <c r="H208" s="60" t="str">
        <f>VLOOKUP($F208, 'Raw Annual DMR Data'!$A:$Z, 25, FALSE)</f>
        <v>KASKASKIA RIVER, UNNAMED TRIB TO KASKASKIA RIVER</v>
      </c>
      <c r="I208" s="74">
        <f>VLOOKUP($F208, 'Raw Annual DMR Data'!$A:$Z, 26, FALSE)</f>
        <v>7140201000696</v>
      </c>
      <c r="J208" s="74" t="s">
        <v>265</v>
      </c>
      <c r="K208" s="60">
        <f>VLOOKUP(A208, 'OES Summary'!$A:$B, 2, FALSE)</f>
        <v>350</v>
      </c>
      <c r="L208" s="304" cm="1">
        <f t="array" ref="L208">IF(COUNTIF('Raw Annual DMR Data'!$L:$L,$F208)&gt;0,MEDIAN(IF('Raw Annual DMR Data'!$L:$L=F208,'Raw Annual DMR Data'!$S:$S)),"N/A - Facility Does Not Report DMRs")</f>
        <v>5.1074999999999999</v>
      </c>
      <c r="M208" s="156">
        <f t="shared" si="23"/>
        <v>1.4592857142857142E-2</v>
      </c>
      <c r="N208" s="156">
        <f>IF(COUNTIF('Raw Annual DMR Data'!$L:$L,$F208)&gt;0,_xlfn.MAXIFS('Raw Annual DMR Data'!$S:$S,'Raw Annual DMR Data'!$L:$L,$F208), "N/A - Facility Does Not Report DMRs")</f>
        <v>9.26984126984126</v>
      </c>
      <c r="O208" s="156">
        <f t="shared" si="24"/>
        <v>2.6485260770975027E-2</v>
      </c>
      <c r="P208" s="113" cm="1">
        <f t="array" ref="P208">IF(COUNTIF('Raw Annual DMR Data'!$L:$L,$F208)&gt;0,INDEX('Raw Annual DMR Data'!$B:$B,MATCH(1,($F208='Raw Annual DMR Data'!$L:$L)*($N208='Raw Annual DMR Data'!$S:$S),0)), "N/A - Facility Does Not Report DMRs")</f>
        <v>2017</v>
      </c>
      <c r="Q208" s="304" t="str" cm="1">
        <f t="array" ref="Q208">IF(COUNTIF('Raw TRI Data'!$J:$J,$E208)&gt;0,MEDIAN(IF('Raw TRI Data'!$J:$J=E208,'Raw TRI Data'!$S:$S)), "N/A - Facility Does Not Report to TRI")</f>
        <v>N/A - Facility Does Not Report to TRI</v>
      </c>
      <c r="R208" s="156" t="str">
        <f t="shared" si="21"/>
        <v>N/A - Facility Does Not Report to TRI</v>
      </c>
      <c r="S208" s="156" t="str">
        <f>IF(COUNTIF('Raw TRI Data'!$J:$J,$E208)&gt;0,_xlfn.MAXIFS('Raw TRI Data'!$S:$S,'Raw TRI Data'!$J:$J,$E208), "N/A - Facility Does Not Report to TRI")</f>
        <v>N/A - Facility Does Not Report to TRI</v>
      </c>
      <c r="T208" s="156" t="str">
        <f t="shared" si="22"/>
        <v>N/A - Facility Does Not Report to TRI</v>
      </c>
      <c r="U208" s="136" t="str" cm="1">
        <f t="array" ref="U208">IF(COUNTIF('Raw TRI Data'!$J:$J,$E208)&gt;0,INDEX('Raw TRI Data'!$A:$A,MATCH(1,($E208='Raw TRI Data'!$J:$J)*(S208='Raw TRI Data'!$S:$S),0)), "N/A - Facility Does Not Report to TRI")</f>
        <v>N/A - Facility Does Not Report to TRI</v>
      </c>
      <c r="V208" s="156" t="str" cm="1">
        <f t="array" ref="V208">IF(COUNTIFS('Raw Annual DMR Data'!$L:$L,$F208,'Raw Annual DMR Data'!$U:$U,"&gt;0")&gt;0,MEDIAN(IF('Raw Annual DMR Data'!$L:$L=$F208,'Raw Annual DMR Data'!$U:$U,"")),"N/A - Period DMR Data Not Available")</f>
        <v>N/A - Period DMR Data Not Available</v>
      </c>
      <c r="W208" s="156" t="str">
        <f>IF(COUNTIFS('Raw Annual DMR Data'!$L:$L,$F208, 'Raw Annual DMR Data'!$U:$U, "&gt;0")&gt;0,_xlfn.MAXIFS('Raw Annual DMR Data'!$U:$U,'Raw Annual DMR Data'!$L:$L,$F208), "N/A - Period DMR Data Not Available")</f>
        <v>N/A - Period DMR Data Not Available</v>
      </c>
      <c r="X208" s="113" t="str" cm="1">
        <f t="array" ref="X208">+IF(COUNTIFS('Raw Annual DMR Data'!L:L,$F208, 'Raw Annual DMR Data'!U:U, "&gt;0")&gt;0,INDEX('Raw Annual DMR Data'!V:V,MATCH(1,($F208='Raw Annual DMR Data'!L:L)*($W208='Raw Annual DMR Data'!U:U),0)), "N/A - Period DMR Data Not Available")</f>
        <v>N/A - Period DMR Data Not Available</v>
      </c>
      <c r="Y208" s="113" t="str" cm="1">
        <f t="array" ref="Y208">IF(COUNTIFS('Raw Annual DMR Data'!L:L,$F208, 'Raw Annual DMR Data'!U:U, "&gt;0")&gt;0,INDEX('Raw Annual DMR Data'!B:B,MATCH(1,($F208='Raw Annual DMR Data'!L:L)*($W208='Raw Annual DMR Data'!U:U),0)), "N/A - Period DMR Data Not Available")</f>
        <v>N/A - Period DMR Data Not Available</v>
      </c>
      <c r="Z208" s="311" t="str" cm="1">
        <f t="array" ref="Z208">IF(COUNTIF('Raw Annual DMR Data'!K:K,$E208)&gt;0,"N/A - See DMRs",IF(SUMIFS('Raw TRI Data'!$Z:$Z,'Raw TRI Data'!$J:$J,$E208)&gt;0,MEDIAN(IF('Raw TRI Data'!$J:$J=$E208,'Raw TRI Data'!$Z:$Z)), "N/A - Facility Does Not Report to TRI, no surface water releases, or no Generic Factors available"))</f>
        <v>N/A - See DMRs</v>
      </c>
      <c r="AA208" s="156" t="str">
        <f>IF(COUNTIF('Raw Annual DMR Data'!K:K,$E208)&gt;0,"N/A - See DMRs",IF(SUMIFS('Raw TRI Data'!$Z:$Z,'Raw TRI Data'!$J:$J,$E208)&gt;0,_xlfn.MAXIFS('Raw TRI Data'!$Z:$Z,'Raw TRI Data'!$J:$J,$E208), "N/A - Facility Does Not Report to TRI, no surface water releases, or no Generic Factors available"))</f>
        <v>N/A - See DMRs</v>
      </c>
      <c r="AB208" s="113" t="str">
        <f t="shared" si="25"/>
        <v>N/A</v>
      </c>
      <c r="AC208" s="136" t="str" cm="1">
        <f t="array" ref="AC208">IF(COUNTIF('Raw Annual DMR Data'!K:K,$E208)&gt;0,"N/A - See DMRs",IF(SUMIFS('Raw TRI Data'!$Z:$Z,'Raw TRI Data'!$J:$J,$E208)&gt;0,INDEX('Raw TRI Data'!$A:$A,MATCH(1,($E208='Raw TRI Data'!$J:$J)*($AA208='Raw TRI Data'!$Z:$Z),0)), "N/A - Facility Does Not Report to TRI, no surface water releases, or no Generic Factors available"))</f>
        <v>N/A - See DMRs</v>
      </c>
      <c r="AD208" s="96" t="str" cm="1">
        <f t="array" ref="AD208">IF(COUNTIFS('Raw Annual DMR Data'!L:L,$F208,'Raw Annual DMR Data'!W:W, "&gt;0")&gt;0,MEDIAN(IF('Raw Annual DMR Data'!K:K=$F208, 'Raw Annual DMR Data'!W:W)), "N/A - No Daily Max DMR Discharge Data")</f>
        <v>N/A - No Daily Max DMR Discharge Data</v>
      </c>
      <c r="AE208" s="96" t="str">
        <f>IF(COUNTIFS('Raw Annual DMR Data'!L:L,$F208,'Raw Annual DMR Data'!W:W, "&gt;0")&gt;0,_xlfn.MAXIFS('Raw Annual DMR Data'!W:W,'Raw Annual DMR Data'!L:L,$F208), "N/A - No Daily Max DMR Discharge Data")</f>
        <v>N/A - No Daily Max DMR Discharge Data</v>
      </c>
      <c r="AF208" s="60" t="str" cm="1">
        <f t="array" ref="AF208">IF(COUNTIFS('Raw Annual DMR Data'!L:L,$F208,'Raw Annual DMR Data'!W:W, "&gt;0")&gt;0,INDEX('Raw Annual DMR Data'!B:B,MATCH(1,($F208='Raw Annual DMR Data'!L:L)*($AE208='Raw Annual DMR Data'!W:W),0)), "N/A - No Daily Max DMR Discharge Data")</f>
        <v>N/A - No Daily Max DMR Discharge Data</v>
      </c>
    </row>
    <row r="209" spans="1:32" ht="45.75" thickBot="1" x14ac:dyDescent="0.3">
      <c r="A209" s="144" t="str">
        <f>VLOOKUP(F209,'Facility Summary'!J:K,2,FALSE)</f>
        <v>Unknown</v>
      </c>
      <c r="B209" s="28" t="s">
        <v>1107</v>
      </c>
      <c r="C209" s="28" t="s">
        <v>1108</v>
      </c>
      <c r="D209" s="28" t="s">
        <v>338</v>
      </c>
      <c r="E209" s="28"/>
      <c r="F209" s="61">
        <v>110070212717</v>
      </c>
      <c r="G209" s="60" t="str">
        <f>VLOOKUP($F209, 'Raw Annual DMR Data'!$A:$Z, 24, FALSE)</f>
        <v>NJG102270</v>
      </c>
      <c r="H209" s="60" t="str">
        <f>VLOOKUP($F209, 'Raw Annual DMR Data'!$A:$Z, 25, FALSE)</f>
        <v>NEWARKAIRPORT PERIPHERAL DITCH</v>
      </c>
      <c r="I209" s="74">
        <f>VLOOKUP($F209, 'Raw Annual DMR Data'!$A:$Z, 26, FALSE)</f>
        <v>2030104000356</v>
      </c>
      <c r="J209" s="74" t="s">
        <v>265</v>
      </c>
      <c r="K209" s="60">
        <f>VLOOKUP(A209, 'OES Summary'!$A:$B, 2, FALSE)</f>
        <v>250</v>
      </c>
      <c r="L209" s="304" cm="1">
        <f t="array" ref="L209">IF(COUNTIF('Raw Annual DMR Data'!$L:$L,$F209)&gt;0,MEDIAN(IF('Raw Annual DMR Data'!$L:$L=F209,'Raw Annual DMR Data'!$S:$S)),"N/A - Facility Does Not Report DMRs")</f>
        <v>5.7286429199999902E-4</v>
      </c>
      <c r="M209" s="156">
        <f t="shared" si="23"/>
        <v>2.2914571679999962E-6</v>
      </c>
      <c r="N209" s="156">
        <f>IF(COUNTIF('Raw Annual DMR Data'!$L:$L,$F209)&gt;0,_xlfn.MAXIFS('Raw Annual DMR Data'!$S:$S,'Raw Annual DMR Data'!$L:$L,$F209), "N/A - Facility Does Not Report DMRs")</f>
        <v>1.7257783200000001E-3</v>
      </c>
      <c r="O209" s="156">
        <f t="shared" si="24"/>
        <v>6.9031132800000008E-6</v>
      </c>
      <c r="P209" s="113" cm="1">
        <f t="array" ref="P209">IF(COUNTIF('Raw Annual DMR Data'!$L:$L,$F209)&gt;0,INDEX('Raw Annual DMR Data'!$B:$B,MATCH(1,($F209='Raw Annual DMR Data'!$L:$L)*($N209='Raw Annual DMR Data'!$S:$S),0)), "N/A - Facility Does Not Report DMRs")</f>
        <v>2023</v>
      </c>
      <c r="Q209" s="304" t="str" cm="1">
        <f t="array" ref="Q209">IF(COUNTIF('Raw TRI Data'!$J:$J,$E209)&gt;0,MEDIAN(IF('Raw TRI Data'!$J:$J=E209,'Raw TRI Data'!$S:$S)), "N/A - Facility Does Not Report to TRI")</f>
        <v>N/A - Facility Does Not Report to TRI</v>
      </c>
      <c r="R209" s="156" t="str">
        <f t="shared" si="21"/>
        <v>N/A - Facility Does Not Report to TRI</v>
      </c>
      <c r="S209" s="156" t="str">
        <f>IF(COUNTIF('Raw TRI Data'!$J:$J,$E209)&gt;0,_xlfn.MAXIFS('Raw TRI Data'!$S:$S,'Raw TRI Data'!$J:$J,$E209), "N/A - Facility Does Not Report to TRI")</f>
        <v>N/A - Facility Does Not Report to TRI</v>
      </c>
      <c r="T209" s="156" t="str">
        <f t="shared" si="22"/>
        <v>N/A - Facility Does Not Report to TRI</v>
      </c>
      <c r="U209" s="136" t="str" cm="1">
        <f t="array" ref="U209">IF(COUNTIF('Raw TRI Data'!$J:$J,$E209)&gt;0,INDEX('Raw TRI Data'!$A:$A,MATCH(1,($E209='Raw TRI Data'!$J:$J)*(S209='Raw TRI Data'!$S:$S),0)), "N/A - Facility Does Not Report to TRI")</f>
        <v>N/A - Facility Does Not Report to TRI</v>
      </c>
      <c r="V209" s="156" t="str" cm="1">
        <f t="array" ref="V209">IF(COUNTIFS('Raw Annual DMR Data'!$L:$L,$F209,'Raw Annual DMR Data'!$U:$U,"&gt;0")&gt;0,MEDIAN(IF('Raw Annual DMR Data'!$L:$L=$F209,'Raw Annual DMR Data'!$U:$U,"")),"N/A - Period DMR Data Not Available")</f>
        <v>N/A - Period DMR Data Not Available</v>
      </c>
      <c r="W209" s="156" t="str">
        <f>IF(COUNTIFS('Raw Annual DMR Data'!$L:$L,$F209, 'Raw Annual DMR Data'!$U:$U, "&gt;0")&gt;0,_xlfn.MAXIFS('Raw Annual DMR Data'!$U:$U,'Raw Annual DMR Data'!$L:$L,$F209), "N/A - Period DMR Data Not Available")</f>
        <v>N/A - Period DMR Data Not Available</v>
      </c>
      <c r="X209" s="113" t="str" cm="1">
        <f t="array" ref="X209">+IF(COUNTIFS('Raw Annual DMR Data'!L:L,$F209, 'Raw Annual DMR Data'!U:U, "&gt;0")&gt;0,INDEX('Raw Annual DMR Data'!V:V,MATCH(1,($F209='Raw Annual DMR Data'!L:L)*($W209='Raw Annual DMR Data'!U:U),0)), "N/A - Period DMR Data Not Available")</f>
        <v>N/A - Period DMR Data Not Available</v>
      </c>
      <c r="Y209" s="113" t="str" cm="1">
        <f t="array" ref="Y209">IF(COUNTIFS('Raw Annual DMR Data'!L:L,$F209, 'Raw Annual DMR Data'!U:U, "&gt;0")&gt;0,INDEX('Raw Annual DMR Data'!B:B,MATCH(1,($F209='Raw Annual DMR Data'!L:L)*($W209='Raw Annual DMR Data'!U:U),0)), "N/A - Period DMR Data Not Available")</f>
        <v>N/A - Period DMR Data Not Available</v>
      </c>
      <c r="Z209" s="311" t="str" cm="1">
        <f t="array" ref="Z209">IF(COUNTIF('Raw Annual DMR Data'!K:K,$E209)&gt;0,"N/A - See DMRs",IF(SUMIFS('Raw TRI Data'!$Z:$Z,'Raw TRI Data'!$J:$J,$E209)&gt;0,MEDIAN(IF('Raw TRI Data'!$J:$J=$E209,'Raw TRI Data'!$Z:$Z)), "N/A - Facility Does Not Report to TRI, no surface water releases, or no Generic Factors available"))</f>
        <v>N/A - Facility Does Not Report to TRI, no surface water releases, or no Generic Factors available</v>
      </c>
      <c r="AA209" s="156" t="str">
        <f>IF(COUNTIF('Raw Annual DMR Data'!K:K,$E209)&gt;0,"N/A - See DMRs",IF(SUMIFS('Raw TRI Data'!$Z:$Z,'Raw TRI Data'!$J:$J,$E209)&gt;0,_xlfn.MAXIFS('Raw TRI Data'!$Z:$Z,'Raw TRI Data'!$J:$J,$E209), "N/A - Facility Does Not Report to TRI, no surface water releases, or no Generic Factors available"))</f>
        <v>N/A - Facility Does Not Report to TRI, no surface water releases, or no Generic Factors available</v>
      </c>
      <c r="AB209" s="113" t="str">
        <f t="shared" si="25"/>
        <v>N/A</v>
      </c>
      <c r="AC209" s="136" t="str" cm="1">
        <f t="array" ref="AC209">IF(COUNTIF('Raw Annual DMR Data'!K:K,$E209)&gt;0,"N/A - See DMRs",IF(SUMIFS('Raw TRI Data'!$Z:$Z,'Raw TRI Data'!$J:$J,$E209)&gt;0,INDEX('Raw TRI Data'!$A:$A,MATCH(1,($E209='Raw TRI Data'!$J:$J)*($AA209='Raw TRI Data'!$Z:$Z),0)), "N/A - Facility Does Not Report to TRI, no surface water releases, or no Generic Factors available"))</f>
        <v>N/A - Facility Does Not Report to TRI, no surface water releases, or no Generic Factors available</v>
      </c>
      <c r="AD209" s="96" t="str" cm="1">
        <f t="array" ref="AD209">IF(COUNTIFS('Raw Annual DMR Data'!L:L,$F209,'Raw Annual DMR Data'!W:W, "&gt;0")&gt;0,MEDIAN(IF('Raw Annual DMR Data'!K:K=$F209, 'Raw Annual DMR Data'!W:W)), "N/A - No Daily Max DMR Discharge Data")</f>
        <v>N/A - No Daily Max DMR Discharge Data</v>
      </c>
      <c r="AE209" s="96" t="str">
        <f>IF(COUNTIFS('Raw Annual DMR Data'!L:L,$F209,'Raw Annual DMR Data'!W:W, "&gt;0")&gt;0,_xlfn.MAXIFS('Raw Annual DMR Data'!W:W,'Raw Annual DMR Data'!L:L,$F209), "N/A - No Daily Max DMR Discharge Data")</f>
        <v>N/A - No Daily Max DMR Discharge Data</v>
      </c>
      <c r="AF209" s="60" t="str" cm="1">
        <f t="array" ref="AF209">IF(COUNTIFS('Raw Annual DMR Data'!L:L,$F209,'Raw Annual DMR Data'!W:W, "&gt;0")&gt;0,INDEX('Raw Annual DMR Data'!B:B,MATCH(1,($F209='Raw Annual DMR Data'!L:L)*($AE209='Raw Annual DMR Data'!W:W),0)), "N/A - No Daily Max DMR Discharge Data")</f>
        <v>N/A - No Daily Max DMR Discharge Data</v>
      </c>
    </row>
    <row r="210" spans="1:32" ht="45.75" thickBot="1" x14ac:dyDescent="0.3">
      <c r="A210" s="144" t="str">
        <f>VLOOKUP(F210,'Facility Summary'!J:K,2,FALSE)</f>
        <v>Unknown</v>
      </c>
      <c r="B210" s="28" t="s">
        <v>1109</v>
      </c>
      <c r="C210" s="28" t="s">
        <v>1110</v>
      </c>
      <c r="D210" s="28" t="s">
        <v>338</v>
      </c>
      <c r="E210" s="28"/>
      <c r="F210" s="61">
        <v>110000321651</v>
      </c>
      <c r="G210" s="60" t="str">
        <f>VLOOKUP($F210, 'Raw Annual DMR Data'!$A:$Z, 24, FALSE)</f>
        <v>NJ0031445</v>
      </c>
      <c r="H210" s="60" t="str">
        <f>VLOOKUP($F210, 'Raw Annual DMR Data'!$A:$Z, 25, FALSE)</f>
        <v>MILLSTONE RIVER</v>
      </c>
      <c r="I210" s="74">
        <f>VLOOKUP($F210, 'Raw Annual DMR Data'!$A:$Z, 26, FALSE)</f>
        <v>2060002000003</v>
      </c>
      <c r="J210" s="74" t="s">
        <v>265</v>
      </c>
      <c r="K210" s="60">
        <f>VLOOKUP(A210, 'OES Summary'!$A:$B, 2, FALSE)</f>
        <v>250</v>
      </c>
      <c r="L210" s="304" cm="1">
        <f t="array" ref="L210">IF(COUNTIF('Raw Annual DMR Data'!$L:$L,$F210)&gt;0,MEDIAN(IF('Raw Annual DMR Data'!$L:$L=F210,'Raw Annual DMR Data'!$S:$S)),"N/A - Facility Does Not Report DMRs")</f>
        <v>6.3274999999999998E-3</v>
      </c>
      <c r="M210" s="156">
        <f t="shared" si="23"/>
        <v>2.531E-5</v>
      </c>
      <c r="N210" s="156">
        <f>IF(COUNTIF('Raw Annual DMR Data'!$L:$L,$F210)&gt;0,_xlfn.MAXIFS('Raw Annual DMR Data'!$S:$S,'Raw Annual DMR Data'!$L:$L,$F210), "N/A - Facility Does Not Report DMRs")</f>
        <v>3.0695E-2</v>
      </c>
      <c r="O210" s="156">
        <f t="shared" si="24"/>
        <v>1.2278000000000001E-4</v>
      </c>
      <c r="P210" s="113" cm="1">
        <f t="array" ref="P210">IF(COUNTIF('Raw Annual DMR Data'!$L:$L,$F210)&gt;0,INDEX('Raw Annual DMR Data'!$B:$B,MATCH(1,($F210='Raw Annual DMR Data'!$L:$L)*($N210='Raw Annual DMR Data'!$S:$S),0)), "N/A - Facility Does Not Report DMRs")</f>
        <v>2022</v>
      </c>
      <c r="Q210" s="304" t="str" cm="1">
        <f t="array" ref="Q210">IF(COUNTIF('Raw TRI Data'!$J:$J,$E210)&gt;0,MEDIAN(IF('Raw TRI Data'!$J:$J=E210,'Raw TRI Data'!$S:$S)), "N/A - Facility Does Not Report to TRI")</f>
        <v>N/A - Facility Does Not Report to TRI</v>
      </c>
      <c r="R210" s="156" t="str">
        <f t="shared" si="21"/>
        <v>N/A - Facility Does Not Report to TRI</v>
      </c>
      <c r="S210" s="156" t="str">
        <f>IF(COUNTIF('Raw TRI Data'!$J:$J,$E210)&gt;0,_xlfn.MAXIFS('Raw TRI Data'!$S:$S,'Raw TRI Data'!$J:$J,$E210), "N/A - Facility Does Not Report to TRI")</f>
        <v>N/A - Facility Does Not Report to TRI</v>
      </c>
      <c r="T210" s="156" t="str">
        <f t="shared" si="22"/>
        <v>N/A - Facility Does Not Report to TRI</v>
      </c>
      <c r="U210" s="136" t="str" cm="1">
        <f t="array" ref="U210">IF(COUNTIF('Raw TRI Data'!$J:$J,$E210)&gt;0,INDEX('Raw TRI Data'!$A:$A,MATCH(1,($E210='Raw TRI Data'!$J:$J)*(S210='Raw TRI Data'!$S:$S),0)), "N/A - Facility Does Not Report to TRI")</f>
        <v>N/A - Facility Does Not Report to TRI</v>
      </c>
      <c r="V210" s="156" t="str" cm="1">
        <f t="array" ref="V210">IF(COUNTIFS('Raw Annual DMR Data'!$L:$L,$F210,'Raw Annual DMR Data'!$U:$U,"&gt;0")&gt;0,MEDIAN(IF('Raw Annual DMR Data'!$L:$L=$F210,'Raw Annual DMR Data'!$U:$U,"")),"N/A - Period DMR Data Not Available")</f>
        <v>N/A - Period DMR Data Not Available</v>
      </c>
      <c r="W210" s="156" t="str">
        <f>IF(COUNTIFS('Raw Annual DMR Data'!$L:$L,$F210, 'Raw Annual DMR Data'!$U:$U, "&gt;0")&gt;0,_xlfn.MAXIFS('Raw Annual DMR Data'!$U:$U,'Raw Annual DMR Data'!$L:$L,$F210), "N/A - Period DMR Data Not Available")</f>
        <v>N/A - Period DMR Data Not Available</v>
      </c>
      <c r="X210" s="113" t="str" cm="1">
        <f t="array" ref="X210">+IF(COUNTIFS('Raw Annual DMR Data'!L:L,$F210, 'Raw Annual DMR Data'!U:U, "&gt;0")&gt;0,INDEX('Raw Annual DMR Data'!V:V,MATCH(1,($F210='Raw Annual DMR Data'!L:L)*($W210='Raw Annual DMR Data'!U:U),0)), "N/A - Period DMR Data Not Available")</f>
        <v>N/A - Period DMR Data Not Available</v>
      </c>
      <c r="Y210" s="113" t="str" cm="1">
        <f t="array" ref="Y210">IF(COUNTIFS('Raw Annual DMR Data'!L:L,$F210, 'Raw Annual DMR Data'!U:U, "&gt;0")&gt;0,INDEX('Raw Annual DMR Data'!B:B,MATCH(1,($F210='Raw Annual DMR Data'!L:L)*($W210='Raw Annual DMR Data'!U:U),0)), "N/A - Period DMR Data Not Available")</f>
        <v>N/A - Period DMR Data Not Available</v>
      </c>
      <c r="Z210" s="311" t="str" cm="1">
        <f t="array" ref="Z210">IF(COUNTIF('Raw Annual DMR Data'!K:K,$E210)&gt;0,"N/A - See DMRs",IF(SUMIFS('Raw TRI Data'!$Z:$Z,'Raw TRI Data'!$J:$J,$E210)&gt;0,MEDIAN(IF('Raw TRI Data'!$J:$J=$E210,'Raw TRI Data'!$Z:$Z)), "N/A - Facility Does Not Report to TRI, no surface water releases, or no Generic Factors available"))</f>
        <v>N/A - Facility Does Not Report to TRI, no surface water releases, or no Generic Factors available</v>
      </c>
      <c r="AA210" s="156" t="str">
        <f>IF(COUNTIF('Raw Annual DMR Data'!K:K,$E210)&gt;0,"N/A - See DMRs",IF(SUMIFS('Raw TRI Data'!$Z:$Z,'Raw TRI Data'!$J:$J,$E210)&gt;0,_xlfn.MAXIFS('Raw TRI Data'!$Z:$Z,'Raw TRI Data'!$J:$J,$E210), "N/A - Facility Does Not Report to TRI, no surface water releases, or no Generic Factors available"))</f>
        <v>N/A - Facility Does Not Report to TRI, no surface water releases, or no Generic Factors available</v>
      </c>
      <c r="AB210" s="113" t="str">
        <f t="shared" si="25"/>
        <v>N/A</v>
      </c>
      <c r="AC210" s="136" t="str" cm="1">
        <f t="array" ref="AC210">IF(COUNTIF('Raw Annual DMR Data'!K:K,$E210)&gt;0,"N/A - See DMRs",IF(SUMIFS('Raw TRI Data'!$Z:$Z,'Raw TRI Data'!$J:$J,$E210)&gt;0,INDEX('Raw TRI Data'!$A:$A,MATCH(1,($E210='Raw TRI Data'!$J:$J)*($AA210='Raw TRI Data'!$Z:$Z),0)), "N/A - Facility Does Not Report to TRI, no surface water releases, or no Generic Factors available"))</f>
        <v>N/A - Facility Does Not Report to TRI, no surface water releases, or no Generic Factors available</v>
      </c>
      <c r="AD210" s="96" t="str" cm="1">
        <f t="array" ref="AD210">IF(COUNTIFS('Raw Annual DMR Data'!L:L,$F210,'Raw Annual DMR Data'!W:W, "&gt;0")&gt;0,MEDIAN(IF('Raw Annual DMR Data'!K:K=$F210, 'Raw Annual DMR Data'!W:W)), "N/A - No Daily Max DMR Discharge Data")</f>
        <v>N/A - No Daily Max DMR Discharge Data</v>
      </c>
      <c r="AE210" s="96" t="str">
        <f>IF(COUNTIFS('Raw Annual DMR Data'!L:L,$F210,'Raw Annual DMR Data'!W:W, "&gt;0")&gt;0,_xlfn.MAXIFS('Raw Annual DMR Data'!W:W,'Raw Annual DMR Data'!L:L,$F210), "N/A - No Daily Max DMR Discharge Data")</f>
        <v>N/A - No Daily Max DMR Discharge Data</v>
      </c>
      <c r="AF210" s="60" t="str" cm="1">
        <f t="array" ref="AF210">IF(COUNTIFS('Raw Annual DMR Data'!L:L,$F210,'Raw Annual DMR Data'!W:W, "&gt;0")&gt;0,INDEX('Raw Annual DMR Data'!B:B,MATCH(1,($F210='Raw Annual DMR Data'!L:L)*($AE210='Raw Annual DMR Data'!W:W),0)), "N/A - No Daily Max DMR Discharge Data")</f>
        <v>N/A - No Daily Max DMR Discharge Data</v>
      </c>
    </row>
    <row r="211" spans="1:32" ht="30.75" thickBot="1" x14ac:dyDescent="0.3">
      <c r="A211" s="144" t="str">
        <f>VLOOKUP(F211,'Facility Summary'!J:K,2,FALSE)</f>
        <v>Unknown</v>
      </c>
      <c r="B211" s="28" t="s">
        <v>1111</v>
      </c>
      <c r="C211" s="28" t="s">
        <v>1112</v>
      </c>
      <c r="D211" s="28" t="s">
        <v>338</v>
      </c>
      <c r="E211" s="28" t="s">
        <v>715</v>
      </c>
      <c r="F211" s="61">
        <v>110000319904</v>
      </c>
      <c r="G211" s="60" t="str">
        <f>VLOOKUP($F211, 'Raw Annual DMR Data'!$A:$Z, 24, FALSE)</f>
        <v>NJG102792</v>
      </c>
      <c r="H211" s="60" t="str">
        <f>VLOOKUP($F211, 'Raw Annual DMR Data'!$A:$Z, 25, FALSE)</f>
        <v>HENDERSON BROOK</v>
      </c>
      <c r="I211" s="74">
        <f>VLOOKUP($F211, 'Raw Annual DMR Data'!$A:$Z, 26, FALSE)</f>
        <v>2030103000370</v>
      </c>
      <c r="J211" s="74" t="s">
        <v>265</v>
      </c>
      <c r="K211" s="60">
        <f>VLOOKUP(A211, 'OES Summary'!$A:$B, 2, FALSE)</f>
        <v>250</v>
      </c>
      <c r="L211" s="304" cm="1">
        <f t="array" ref="L211">IF(COUNTIF('Raw Annual DMR Data'!$L:$L,$F211)&gt;0,MEDIAN(IF('Raw Annual DMR Data'!$L:$L=F211,'Raw Annual DMR Data'!$S:$S)),"N/A - Facility Does Not Report DMRs")</f>
        <v>2.51245272E-2</v>
      </c>
      <c r="M211" s="156">
        <f t="shared" si="23"/>
        <v>1.004981088E-4</v>
      </c>
      <c r="N211" s="156">
        <f>IF(COUNTIF('Raw Annual DMR Data'!$L:$L,$F211)&gt;0,_xlfn.MAXIFS('Raw Annual DMR Data'!$S:$S,'Raw Annual DMR Data'!$L:$L,$F211), "N/A - Facility Does Not Report DMRs")</f>
        <v>5.8179348550000003E-2</v>
      </c>
      <c r="O211" s="156">
        <f t="shared" si="24"/>
        <v>2.3271739420000002E-4</v>
      </c>
      <c r="P211" s="113" cm="1">
        <f t="array" ref="P211">IF(COUNTIF('Raw Annual DMR Data'!$L:$L,$F211)&gt;0,INDEX('Raw Annual DMR Data'!$B:$B,MATCH(1,($F211='Raw Annual DMR Data'!$L:$L)*($N211='Raw Annual DMR Data'!$S:$S),0)), "N/A - Facility Does Not Report DMRs")</f>
        <v>2024</v>
      </c>
      <c r="Q211" s="304" t="str" cm="1">
        <f t="array" ref="Q211">IF(COUNTIF('Raw TRI Data'!$J:$J,$E211)&gt;0,MEDIAN(IF('Raw TRI Data'!$J:$J=E211,'Raw TRI Data'!$S:$S)), "N/A - Facility Does Not Report to TRI")</f>
        <v>N/A - Facility Does Not Report to TRI</v>
      </c>
      <c r="R211" s="156" t="str">
        <f t="shared" si="21"/>
        <v>N/A - Facility Does Not Report to TRI</v>
      </c>
      <c r="S211" s="156" t="str">
        <f>IF(COUNTIF('Raw TRI Data'!$J:$J,$E211)&gt;0,_xlfn.MAXIFS('Raw TRI Data'!$S:$S,'Raw TRI Data'!$J:$J,$E211), "N/A - Facility Does Not Report to TRI")</f>
        <v>N/A - Facility Does Not Report to TRI</v>
      </c>
      <c r="T211" s="156" t="str">
        <f t="shared" si="22"/>
        <v>N/A - Facility Does Not Report to TRI</v>
      </c>
      <c r="U211" s="136" t="str" cm="1">
        <f t="array" ref="U211">IF(COUNTIF('Raw TRI Data'!$J:$J,$E211)&gt;0,INDEX('Raw TRI Data'!$A:$A,MATCH(1,($E211='Raw TRI Data'!$J:$J)*(S211='Raw TRI Data'!$S:$S),0)), "N/A - Facility Does Not Report to TRI")</f>
        <v>N/A - Facility Does Not Report to TRI</v>
      </c>
      <c r="V211" s="156" t="str" cm="1">
        <f t="array" ref="V211">IF(COUNTIFS('Raw Annual DMR Data'!$L:$L,$F211,'Raw Annual DMR Data'!$U:$U,"&gt;0")&gt;0,MEDIAN(IF('Raw Annual DMR Data'!$L:$L=$F211,'Raw Annual DMR Data'!$U:$U,"")),"N/A - Period DMR Data Not Available")</f>
        <v>N/A - Period DMR Data Not Available</v>
      </c>
      <c r="W211" s="156" t="str">
        <f>IF(COUNTIFS('Raw Annual DMR Data'!$L:$L,$F211, 'Raw Annual DMR Data'!$U:$U, "&gt;0")&gt;0,_xlfn.MAXIFS('Raw Annual DMR Data'!$U:$U,'Raw Annual DMR Data'!$L:$L,$F211), "N/A - Period DMR Data Not Available")</f>
        <v>N/A - Period DMR Data Not Available</v>
      </c>
      <c r="X211" s="113" t="str" cm="1">
        <f t="array" ref="X211">+IF(COUNTIFS('Raw Annual DMR Data'!L:L,$F211, 'Raw Annual DMR Data'!U:U, "&gt;0")&gt;0,INDEX('Raw Annual DMR Data'!V:V,MATCH(1,($F211='Raw Annual DMR Data'!L:L)*($W211='Raw Annual DMR Data'!U:U),0)), "N/A - Period DMR Data Not Available")</f>
        <v>N/A - Period DMR Data Not Available</v>
      </c>
      <c r="Y211" s="113" t="str" cm="1">
        <f t="array" ref="Y211">IF(COUNTIFS('Raw Annual DMR Data'!L:L,$F211, 'Raw Annual DMR Data'!U:U, "&gt;0")&gt;0,INDEX('Raw Annual DMR Data'!B:B,MATCH(1,($F211='Raw Annual DMR Data'!L:L)*($W211='Raw Annual DMR Data'!U:U),0)), "N/A - Period DMR Data Not Available")</f>
        <v>N/A - Period DMR Data Not Available</v>
      </c>
      <c r="Z211" s="311" t="str" cm="1">
        <f t="array" ref="Z211">IF(COUNTIF('Raw Annual DMR Data'!K:K,$E211)&gt;0,"N/A - See DMRs",IF(SUMIFS('Raw TRI Data'!$Z:$Z,'Raw TRI Data'!$J:$J,$E211)&gt;0,MEDIAN(IF('Raw TRI Data'!$J:$J=$E211,'Raw TRI Data'!$Z:$Z)), "N/A - Facility Does Not Report to TRI, no surface water releases, or no Generic Factors available"))</f>
        <v>N/A - See DMRs</v>
      </c>
      <c r="AA211" s="156" t="str">
        <f>IF(COUNTIF('Raw Annual DMR Data'!K:K,$E211)&gt;0,"N/A - See DMRs",IF(SUMIFS('Raw TRI Data'!$Z:$Z,'Raw TRI Data'!$J:$J,$E211)&gt;0,_xlfn.MAXIFS('Raw TRI Data'!$Z:$Z,'Raw TRI Data'!$J:$J,$E211), "N/A - Facility Does Not Report to TRI, no surface water releases, or no Generic Factors available"))</f>
        <v>N/A - See DMRs</v>
      </c>
      <c r="AB211" s="113" t="str">
        <f t="shared" si="25"/>
        <v>N/A</v>
      </c>
      <c r="AC211" s="136" t="str" cm="1">
        <f t="array" ref="AC211">IF(COUNTIF('Raw Annual DMR Data'!K:K,$E211)&gt;0,"N/A - See DMRs",IF(SUMIFS('Raw TRI Data'!$Z:$Z,'Raw TRI Data'!$J:$J,$E211)&gt;0,INDEX('Raw TRI Data'!$A:$A,MATCH(1,($E211='Raw TRI Data'!$J:$J)*($AA211='Raw TRI Data'!$Z:$Z),0)), "N/A - Facility Does Not Report to TRI, no surface water releases, or no Generic Factors available"))</f>
        <v>N/A - See DMRs</v>
      </c>
      <c r="AD211" s="96" t="str" cm="1">
        <f t="array" ref="AD211">IF(COUNTIFS('Raw Annual DMR Data'!L:L,$F211,'Raw Annual DMR Data'!W:W, "&gt;0")&gt;0,MEDIAN(IF('Raw Annual DMR Data'!K:K=$F211, 'Raw Annual DMR Data'!W:W)), "N/A - No Daily Max DMR Discharge Data")</f>
        <v>N/A - No Daily Max DMR Discharge Data</v>
      </c>
      <c r="AE211" s="96" t="str">
        <f>IF(COUNTIFS('Raw Annual DMR Data'!L:L,$F211,'Raw Annual DMR Data'!W:W, "&gt;0")&gt;0,_xlfn.MAXIFS('Raw Annual DMR Data'!W:W,'Raw Annual DMR Data'!L:L,$F211), "N/A - No Daily Max DMR Discharge Data")</f>
        <v>N/A - No Daily Max DMR Discharge Data</v>
      </c>
      <c r="AF211" s="60" t="str" cm="1">
        <f t="array" ref="AF211">IF(COUNTIFS('Raw Annual DMR Data'!L:L,$F211,'Raw Annual DMR Data'!W:W, "&gt;0")&gt;0,INDEX('Raw Annual DMR Data'!B:B,MATCH(1,($F211='Raw Annual DMR Data'!L:L)*($AE211='Raw Annual DMR Data'!W:W),0)), "N/A - No Daily Max DMR Discharge Data")</f>
        <v>N/A - No Daily Max DMR Discharge Data</v>
      </c>
    </row>
    <row r="212" spans="1:32" ht="45.75" thickBot="1" x14ac:dyDescent="0.3">
      <c r="A212" s="144" t="str">
        <f>VLOOKUP(F212,'Facility Summary'!J:K,2,FALSE)</f>
        <v>POTW</v>
      </c>
      <c r="B212" s="28" t="s">
        <v>1113</v>
      </c>
      <c r="C212" s="28" t="s">
        <v>1114</v>
      </c>
      <c r="D212" s="28" t="s">
        <v>324</v>
      </c>
      <c r="E212" s="28"/>
      <c r="F212" s="61">
        <v>110003251427</v>
      </c>
      <c r="G212" s="60" t="str">
        <f>VLOOKUP($F212, 'Raw Annual DMR Data'!$A:$Z, 24, FALSE)</f>
        <v>KY0021229</v>
      </c>
      <c r="H212" s="60" t="str">
        <f>VLOOKUP($F212, 'Raw Annual DMR Data'!$A:$Z, 25, FALSE)</f>
        <v>TOWN BR, TOWN BRANCH</v>
      </c>
      <c r="I212" s="74" t="str">
        <f>VLOOKUP($F212, 'Raw Annual DMR Data'!$A:$Z, 26, FALSE)</f>
        <v>05100101000962</v>
      </c>
      <c r="J212" s="74" t="s">
        <v>265</v>
      </c>
      <c r="K212" s="60">
        <f>VLOOKUP(A212, 'OES Summary'!$A:$B, 2, FALSE)</f>
        <v>365</v>
      </c>
      <c r="L212" s="304" cm="1">
        <f t="array" ref="L212">IF(COUNTIF('Raw Annual DMR Data'!$L:$L,$F212)&gt;0,MEDIAN(IF('Raw Annual DMR Data'!$L:$L=F212,'Raw Annual DMR Data'!$S:$S)),"N/A - Facility Does Not Report DMRs")</f>
        <v>0.34089129375000005</v>
      </c>
      <c r="M212" s="156">
        <f t="shared" si="23"/>
        <v>9.3394875000000013E-4</v>
      </c>
      <c r="N212" s="156">
        <f>IF(COUNTIF('Raw Annual DMR Data'!$L:$L,$F212)&gt;0,_xlfn.MAXIFS('Raw Annual DMR Data'!$S:$S,'Raw Annual DMR Data'!$L:$L,$F212), "N/A - Facility Does Not Report DMRs")</f>
        <v>0.47524460000000002</v>
      </c>
      <c r="O212" s="156">
        <f t="shared" si="24"/>
        <v>1.30204E-3</v>
      </c>
      <c r="P212" s="113" cm="1">
        <f t="array" ref="P212">IF(COUNTIF('Raw Annual DMR Data'!$L:$L,$F212)&gt;0,INDEX('Raw Annual DMR Data'!$B:$B,MATCH(1,($F212='Raw Annual DMR Data'!$L:$L)*($N212='Raw Annual DMR Data'!$S:$S),0)), "N/A - Facility Does Not Report DMRs")</f>
        <v>2019</v>
      </c>
      <c r="Q212" s="304" t="str" cm="1">
        <f t="array" ref="Q212">IF(COUNTIF('Raw TRI Data'!$J:$J,$E212)&gt;0,MEDIAN(IF('Raw TRI Data'!$J:$J=E212,'Raw TRI Data'!$S:$S)), "N/A - Facility Does Not Report to TRI")</f>
        <v>N/A - Facility Does Not Report to TRI</v>
      </c>
      <c r="R212" s="156" t="str">
        <f t="shared" si="21"/>
        <v>N/A - Facility Does Not Report to TRI</v>
      </c>
      <c r="S212" s="156" t="str">
        <f>IF(COUNTIF('Raw TRI Data'!$J:$J,$E212)&gt;0,_xlfn.MAXIFS('Raw TRI Data'!$S:$S,'Raw TRI Data'!$J:$J,$E212), "N/A - Facility Does Not Report to TRI")</f>
        <v>N/A - Facility Does Not Report to TRI</v>
      </c>
      <c r="T212" s="156" t="str">
        <f t="shared" si="22"/>
        <v>N/A - Facility Does Not Report to TRI</v>
      </c>
      <c r="U212" s="136" t="str" cm="1">
        <f t="array" ref="U212">IF(COUNTIF('Raw TRI Data'!$J:$J,$E212)&gt;0,INDEX('Raw TRI Data'!$A:$A,MATCH(1,($E212='Raw TRI Data'!$J:$J)*(S212='Raw TRI Data'!$S:$S),0)), "N/A - Facility Does Not Report to TRI")</f>
        <v>N/A - Facility Does Not Report to TRI</v>
      </c>
      <c r="V212" s="156" t="str" cm="1">
        <f t="array" ref="V212">IF(COUNTIFS('Raw Annual DMR Data'!$L:$L,$F212,'Raw Annual DMR Data'!$U:$U,"&gt;0")&gt;0,MEDIAN(IF('Raw Annual DMR Data'!$L:$L=$F212,'Raw Annual DMR Data'!$U:$U,"")),"N/A - Period DMR Data Not Available")</f>
        <v>N/A - Period DMR Data Not Available</v>
      </c>
      <c r="W212" s="156" t="str">
        <f>IF(COUNTIFS('Raw Annual DMR Data'!$L:$L,$F212, 'Raw Annual DMR Data'!$U:$U, "&gt;0")&gt;0,_xlfn.MAXIFS('Raw Annual DMR Data'!$U:$U,'Raw Annual DMR Data'!$L:$L,$F212), "N/A - Period DMR Data Not Available")</f>
        <v>N/A - Period DMR Data Not Available</v>
      </c>
      <c r="X212" s="113" t="str" cm="1">
        <f t="array" ref="X212">+IF(COUNTIFS('Raw Annual DMR Data'!L:L,$F212, 'Raw Annual DMR Data'!U:U, "&gt;0")&gt;0,INDEX('Raw Annual DMR Data'!V:V,MATCH(1,($F212='Raw Annual DMR Data'!L:L)*($W212='Raw Annual DMR Data'!U:U),0)), "N/A - Period DMR Data Not Available")</f>
        <v>N/A - Period DMR Data Not Available</v>
      </c>
      <c r="Y212" s="113" t="str" cm="1">
        <f t="array" ref="Y212">IF(COUNTIFS('Raw Annual DMR Data'!L:L,$F212, 'Raw Annual DMR Data'!U:U, "&gt;0")&gt;0,INDEX('Raw Annual DMR Data'!B:B,MATCH(1,($F212='Raw Annual DMR Data'!L:L)*($W212='Raw Annual DMR Data'!U:U),0)), "N/A - Period DMR Data Not Available")</f>
        <v>N/A - Period DMR Data Not Available</v>
      </c>
      <c r="Z212" s="311" t="str" cm="1">
        <f t="array" ref="Z212">IF(COUNTIF('Raw Annual DMR Data'!K:K,$E212)&gt;0,"N/A - See DMRs",IF(SUMIFS('Raw TRI Data'!$Z:$Z,'Raw TRI Data'!$J:$J,$E212)&gt;0,MEDIAN(IF('Raw TRI Data'!$J:$J=$E212,'Raw TRI Data'!$Z:$Z)), "N/A - Facility Does Not Report to TRI, no surface water releases, or no Generic Factors available"))</f>
        <v>N/A - Facility Does Not Report to TRI, no surface water releases, or no Generic Factors available</v>
      </c>
      <c r="AA212" s="156" t="str">
        <f>IF(COUNTIF('Raw Annual DMR Data'!K:K,$E212)&gt;0,"N/A - See DMRs",IF(SUMIFS('Raw TRI Data'!$Z:$Z,'Raw TRI Data'!$J:$J,$E212)&gt;0,_xlfn.MAXIFS('Raw TRI Data'!$Z:$Z,'Raw TRI Data'!$J:$J,$E212), "N/A - Facility Does Not Report to TRI, no surface water releases, or no Generic Factors available"))</f>
        <v>N/A - Facility Does Not Report to TRI, no surface water releases, or no Generic Factors available</v>
      </c>
      <c r="AB212" s="113" t="str">
        <f t="shared" si="25"/>
        <v>N/A</v>
      </c>
      <c r="AC212" s="136" t="str" cm="1">
        <f t="array" ref="AC212">IF(COUNTIF('Raw Annual DMR Data'!K:K,$E212)&gt;0,"N/A - See DMRs",IF(SUMIFS('Raw TRI Data'!$Z:$Z,'Raw TRI Data'!$J:$J,$E212)&gt;0,INDEX('Raw TRI Data'!$A:$A,MATCH(1,($E212='Raw TRI Data'!$J:$J)*($AA212='Raw TRI Data'!$Z:$Z),0)), "N/A - Facility Does Not Report to TRI, no surface water releases, or no Generic Factors available"))</f>
        <v>N/A - Facility Does Not Report to TRI, no surface water releases, or no Generic Factors available</v>
      </c>
      <c r="AD212" s="96" t="str" cm="1">
        <f t="array" ref="AD212">IF(COUNTIFS('Raw Annual DMR Data'!L:L,$F212,'Raw Annual DMR Data'!W:W, "&gt;0")&gt;0,MEDIAN(IF('Raw Annual DMR Data'!K:K=$F212, 'Raw Annual DMR Data'!W:W)), "N/A - No Daily Max DMR Discharge Data")</f>
        <v>N/A - No Daily Max DMR Discharge Data</v>
      </c>
      <c r="AE212" s="96" t="str">
        <f>IF(COUNTIFS('Raw Annual DMR Data'!L:L,$F212,'Raw Annual DMR Data'!W:W, "&gt;0")&gt;0,_xlfn.MAXIFS('Raw Annual DMR Data'!W:W,'Raw Annual DMR Data'!L:L,$F212), "N/A - No Daily Max DMR Discharge Data")</f>
        <v>N/A - No Daily Max DMR Discharge Data</v>
      </c>
      <c r="AF212" s="60" t="str" cm="1">
        <f t="array" ref="AF212">IF(COUNTIFS('Raw Annual DMR Data'!L:L,$F212,'Raw Annual DMR Data'!W:W, "&gt;0")&gt;0,INDEX('Raw Annual DMR Data'!B:B,MATCH(1,($F212='Raw Annual DMR Data'!L:L)*($AE212='Raw Annual DMR Data'!W:W),0)), "N/A - No Daily Max DMR Discharge Data")</f>
        <v>N/A - No Daily Max DMR Discharge Data</v>
      </c>
    </row>
    <row r="213" spans="1:32" ht="45.75" thickBot="1" x14ac:dyDescent="0.3">
      <c r="A213" s="144" t="str">
        <f>VLOOKUP(F213,'Facility Summary'!J:K,2,FALSE)</f>
        <v>POTW</v>
      </c>
      <c r="B213" s="28" t="s">
        <v>1115</v>
      </c>
      <c r="C213" s="28" t="s">
        <v>987</v>
      </c>
      <c r="D213" s="28" t="s">
        <v>324</v>
      </c>
      <c r="E213" s="28"/>
      <c r="F213" s="61">
        <v>110043486457</v>
      </c>
      <c r="G213" s="60" t="str">
        <f>VLOOKUP($F213, 'Raw Annual DMR Data'!$A:$Z, 24, FALSE)</f>
        <v>KY0102784</v>
      </c>
      <c r="H213" s="60" t="str">
        <f>VLOOKUP($F213, 'Raw Annual DMR Data'!$A:$Z, 25, FALSE)</f>
        <v>FLOYDS FORK CRK</v>
      </c>
      <c r="I213" s="74">
        <f>VLOOKUP($F213, 'Raw Annual DMR Data'!$A:$Z, 26, FALSE)</f>
        <v>5140102000235</v>
      </c>
      <c r="J213" s="74" t="s">
        <v>265</v>
      </c>
      <c r="K213" s="60">
        <f>VLOOKUP(A213, 'OES Summary'!$A:$B, 2, FALSE)</f>
        <v>365</v>
      </c>
      <c r="L213" s="304" cm="1">
        <f t="array" ref="L213">IF(COUNTIF('Raw Annual DMR Data'!$L:$L,$F213)&gt;0,MEDIAN(IF('Raw Annual DMR Data'!$L:$L=F213,'Raw Annual DMR Data'!$S:$S)),"N/A - Facility Does Not Report DMRs")</f>
        <v>13.63737865625</v>
      </c>
      <c r="M213" s="156">
        <f t="shared" si="23"/>
        <v>3.7362681250000002E-2</v>
      </c>
      <c r="N213" s="156">
        <f>IF(COUNTIF('Raw Annual DMR Data'!$L:$L,$F213)&gt;0,_xlfn.MAXIFS('Raw Annual DMR Data'!$S:$S,'Raw Annual DMR Data'!$L:$L,$F213), "N/A - Facility Does Not Report DMRs")</f>
        <v>16.647376250000001</v>
      </c>
      <c r="O213" s="156">
        <f t="shared" si="24"/>
        <v>4.5609250000000004E-2</v>
      </c>
      <c r="P213" s="113" cm="1">
        <f t="array" ref="P213">IF(COUNTIF('Raw Annual DMR Data'!$L:$L,$F213)&gt;0,INDEX('Raw Annual DMR Data'!$B:$B,MATCH(1,($F213='Raw Annual DMR Data'!$L:$L)*($N213='Raw Annual DMR Data'!$S:$S),0)), "N/A - Facility Does Not Report DMRs")</f>
        <v>2018</v>
      </c>
      <c r="Q213" s="304" t="str" cm="1">
        <f t="array" ref="Q213">IF(COUNTIF('Raw TRI Data'!$J:$J,$E213)&gt;0,MEDIAN(IF('Raw TRI Data'!$J:$J=E213,'Raw TRI Data'!$S:$S)), "N/A - Facility Does Not Report to TRI")</f>
        <v>N/A - Facility Does Not Report to TRI</v>
      </c>
      <c r="R213" s="156" t="str">
        <f t="shared" si="21"/>
        <v>N/A - Facility Does Not Report to TRI</v>
      </c>
      <c r="S213" s="156" t="str">
        <f>IF(COUNTIF('Raw TRI Data'!$J:$J,$E213)&gt;0,_xlfn.MAXIFS('Raw TRI Data'!$S:$S,'Raw TRI Data'!$J:$J,$E213), "N/A - Facility Does Not Report to TRI")</f>
        <v>N/A - Facility Does Not Report to TRI</v>
      </c>
      <c r="T213" s="156" t="str">
        <f t="shared" si="22"/>
        <v>N/A - Facility Does Not Report to TRI</v>
      </c>
      <c r="U213" s="136" t="str" cm="1">
        <f t="array" ref="U213">IF(COUNTIF('Raw TRI Data'!$J:$J,$E213)&gt;0,INDEX('Raw TRI Data'!$A:$A,MATCH(1,($E213='Raw TRI Data'!$J:$J)*(S213='Raw TRI Data'!$S:$S),0)), "N/A - Facility Does Not Report to TRI")</f>
        <v>N/A - Facility Does Not Report to TRI</v>
      </c>
      <c r="V213" s="156" t="str" cm="1">
        <f t="array" ref="V213">IF(COUNTIFS('Raw Annual DMR Data'!$L:$L,$F213,'Raw Annual DMR Data'!$U:$U,"&gt;0")&gt;0,MEDIAN(IF('Raw Annual DMR Data'!$L:$L=$F213,'Raw Annual DMR Data'!$U:$U,"")),"N/A - Period DMR Data Not Available")</f>
        <v>N/A - Period DMR Data Not Available</v>
      </c>
      <c r="W213" s="156" t="str">
        <f>IF(COUNTIFS('Raw Annual DMR Data'!$L:$L,$F213, 'Raw Annual DMR Data'!$U:$U, "&gt;0")&gt;0,_xlfn.MAXIFS('Raw Annual DMR Data'!$U:$U,'Raw Annual DMR Data'!$L:$L,$F213), "N/A - Period DMR Data Not Available")</f>
        <v>N/A - Period DMR Data Not Available</v>
      </c>
      <c r="X213" s="113" t="str" cm="1">
        <f t="array" ref="X213">+IF(COUNTIFS('Raw Annual DMR Data'!L:L,$F213, 'Raw Annual DMR Data'!U:U, "&gt;0")&gt;0,INDEX('Raw Annual DMR Data'!V:V,MATCH(1,($F213='Raw Annual DMR Data'!L:L)*($W213='Raw Annual DMR Data'!U:U),0)), "N/A - Period DMR Data Not Available")</f>
        <v>N/A - Period DMR Data Not Available</v>
      </c>
      <c r="Y213" s="113" t="str" cm="1">
        <f t="array" ref="Y213">IF(COUNTIFS('Raw Annual DMR Data'!L:L,$F213, 'Raw Annual DMR Data'!U:U, "&gt;0")&gt;0,INDEX('Raw Annual DMR Data'!B:B,MATCH(1,($F213='Raw Annual DMR Data'!L:L)*($W213='Raw Annual DMR Data'!U:U),0)), "N/A - Period DMR Data Not Available")</f>
        <v>N/A - Period DMR Data Not Available</v>
      </c>
      <c r="Z213" s="311" t="str" cm="1">
        <f t="array" ref="Z213">IF(COUNTIF('Raw Annual DMR Data'!K:K,$E213)&gt;0,"N/A - See DMRs",IF(SUMIFS('Raw TRI Data'!$Z:$Z,'Raw TRI Data'!$J:$J,$E213)&gt;0,MEDIAN(IF('Raw TRI Data'!$J:$J=$E213,'Raw TRI Data'!$Z:$Z)), "N/A - Facility Does Not Report to TRI, no surface water releases, or no Generic Factors available"))</f>
        <v>N/A - Facility Does Not Report to TRI, no surface water releases, or no Generic Factors available</v>
      </c>
      <c r="AA213" s="156" t="str">
        <f>IF(COUNTIF('Raw Annual DMR Data'!K:K,$E213)&gt;0,"N/A - See DMRs",IF(SUMIFS('Raw TRI Data'!$Z:$Z,'Raw TRI Data'!$J:$J,$E213)&gt;0,_xlfn.MAXIFS('Raw TRI Data'!$Z:$Z,'Raw TRI Data'!$J:$J,$E213), "N/A - Facility Does Not Report to TRI, no surface water releases, or no Generic Factors available"))</f>
        <v>N/A - Facility Does Not Report to TRI, no surface water releases, or no Generic Factors available</v>
      </c>
      <c r="AB213" s="113" t="str">
        <f t="shared" si="25"/>
        <v>N/A</v>
      </c>
      <c r="AC213" s="136" t="str" cm="1">
        <f t="array" ref="AC213">IF(COUNTIF('Raw Annual DMR Data'!K:K,$E213)&gt;0,"N/A - See DMRs",IF(SUMIFS('Raw TRI Data'!$Z:$Z,'Raw TRI Data'!$J:$J,$E213)&gt;0,INDEX('Raw TRI Data'!$A:$A,MATCH(1,($E213='Raw TRI Data'!$J:$J)*($AA213='Raw TRI Data'!$Z:$Z),0)), "N/A - Facility Does Not Report to TRI, no surface water releases, or no Generic Factors available"))</f>
        <v>N/A - Facility Does Not Report to TRI, no surface water releases, or no Generic Factors available</v>
      </c>
      <c r="AD213" s="96" t="str" cm="1">
        <f t="array" ref="AD213">IF(COUNTIFS('Raw Annual DMR Data'!L:L,$F213,'Raw Annual DMR Data'!W:W, "&gt;0")&gt;0,MEDIAN(IF('Raw Annual DMR Data'!K:K=$F213, 'Raw Annual DMR Data'!W:W)), "N/A - No Daily Max DMR Discharge Data")</f>
        <v>N/A - No Daily Max DMR Discharge Data</v>
      </c>
      <c r="AE213" s="96" t="str">
        <f>IF(COUNTIFS('Raw Annual DMR Data'!L:L,$F213,'Raw Annual DMR Data'!W:W, "&gt;0")&gt;0,_xlfn.MAXIFS('Raw Annual DMR Data'!W:W,'Raw Annual DMR Data'!L:L,$F213), "N/A - No Daily Max DMR Discharge Data")</f>
        <v>N/A - No Daily Max DMR Discharge Data</v>
      </c>
      <c r="AF213" s="60" t="str" cm="1">
        <f t="array" ref="AF213">IF(COUNTIFS('Raw Annual DMR Data'!L:L,$F213,'Raw Annual DMR Data'!W:W, "&gt;0")&gt;0,INDEX('Raw Annual DMR Data'!B:B,MATCH(1,($F213='Raw Annual DMR Data'!L:L)*($AE213='Raw Annual DMR Data'!W:W),0)), "N/A - No Daily Max DMR Discharge Data")</f>
        <v>N/A - No Daily Max DMR Discharge Data</v>
      </c>
    </row>
    <row r="214" spans="1:32" ht="30.75" thickBot="1" x14ac:dyDescent="0.3">
      <c r="A214" s="144" t="str">
        <f>VLOOKUP(F214,'Facility Summary'!J:K,2,FALSE)</f>
        <v>Unknown</v>
      </c>
      <c r="B214" s="28" t="s">
        <v>1116</v>
      </c>
      <c r="C214" s="28" t="s">
        <v>1117</v>
      </c>
      <c r="D214" s="28" t="s">
        <v>450</v>
      </c>
      <c r="E214" s="28" t="s">
        <v>716</v>
      </c>
      <c r="F214" s="61">
        <v>110000326601</v>
      </c>
      <c r="G214" s="60" t="str">
        <f>VLOOKUP($F214, 'Raw Annual DMR Data'!$A:$Z, 24, FALSE)</f>
        <v>NY0000345</v>
      </c>
      <c r="H214" s="60" t="str">
        <f>VLOOKUP($F214, 'Raw Annual DMR Data'!$A:$Z, 25, FALSE)</f>
        <v>JEDDO CK TR</v>
      </c>
      <c r="I214" s="74">
        <f>VLOOKUP($F214, 'Raw Annual DMR Data'!$A:$Z, 26, FALSE)</f>
        <v>4130001000130</v>
      </c>
      <c r="J214" s="74" t="s">
        <v>265</v>
      </c>
      <c r="K214" s="60">
        <f>VLOOKUP(A214, 'OES Summary'!$A:$B, 2, FALSE)</f>
        <v>250</v>
      </c>
      <c r="L214" s="304" cm="1">
        <f t="array" ref="L214">IF(COUNTIF('Raw Annual DMR Data'!$L:$L,$F214)&gt;0,MEDIAN(IF('Raw Annual DMR Data'!$L:$L=F214,'Raw Annual DMR Data'!$S:$S)),"N/A - Facility Does Not Report DMRs")</f>
        <v>5.1821080342499895E-2</v>
      </c>
      <c r="M214" s="156">
        <f t="shared" si="23"/>
        <v>2.0728432136999958E-4</v>
      </c>
      <c r="N214" s="156">
        <f>IF(COUNTIF('Raw Annual DMR Data'!$L:$L,$F214)&gt;0,_xlfn.MAXIFS('Raw Annual DMR Data'!$S:$S,'Raw Annual DMR Data'!$L:$L,$F214), "N/A - Facility Does Not Report DMRs")</f>
        <v>8.6343079349999893E-2</v>
      </c>
      <c r="O214" s="156">
        <f t="shared" si="24"/>
        <v>3.4537231739999955E-4</v>
      </c>
      <c r="P214" s="113" cm="1">
        <f t="array" ref="P214">IF(COUNTIF('Raw Annual DMR Data'!$L:$L,$F214)&gt;0,INDEX('Raw Annual DMR Data'!$B:$B,MATCH(1,($F214='Raw Annual DMR Data'!$L:$L)*($N214='Raw Annual DMR Data'!$S:$S),0)), "N/A - Facility Does Not Report DMRs")</f>
        <v>2015</v>
      </c>
      <c r="Q214" s="304" t="str" cm="1">
        <f t="array" ref="Q214">IF(COUNTIF('Raw TRI Data'!$J:$J,$E214)&gt;0,MEDIAN(IF('Raw TRI Data'!$J:$J=E214,'Raw TRI Data'!$S:$S)), "N/A - Facility Does Not Report to TRI")</f>
        <v>N/A - Facility Does Not Report to TRI</v>
      </c>
      <c r="R214" s="156" t="str">
        <f t="shared" si="21"/>
        <v>N/A - Facility Does Not Report to TRI</v>
      </c>
      <c r="S214" s="156" t="str">
        <f>IF(COUNTIF('Raw TRI Data'!$J:$J,$E214)&gt;0,_xlfn.MAXIFS('Raw TRI Data'!$S:$S,'Raw TRI Data'!$J:$J,$E214), "N/A - Facility Does Not Report to TRI")</f>
        <v>N/A - Facility Does Not Report to TRI</v>
      </c>
      <c r="T214" s="156" t="str">
        <f t="shared" si="22"/>
        <v>N/A - Facility Does Not Report to TRI</v>
      </c>
      <c r="U214" s="136" t="str" cm="1">
        <f t="array" ref="U214">IF(COUNTIF('Raw TRI Data'!$J:$J,$E214)&gt;0,INDEX('Raw TRI Data'!$A:$A,MATCH(1,($E214='Raw TRI Data'!$J:$J)*(S214='Raw TRI Data'!$S:$S),0)), "N/A - Facility Does Not Report to TRI")</f>
        <v>N/A - Facility Does Not Report to TRI</v>
      </c>
      <c r="V214" s="156" t="str" cm="1">
        <f t="array" ref="V214">IF(COUNTIFS('Raw Annual DMR Data'!$L:$L,$F214,'Raw Annual DMR Data'!$U:$U,"&gt;0")&gt;0,MEDIAN(IF('Raw Annual DMR Data'!$L:$L=$F214,'Raw Annual DMR Data'!$U:$U,"")),"N/A - Period DMR Data Not Available")</f>
        <v>N/A - Period DMR Data Not Available</v>
      </c>
      <c r="W214" s="156" t="str">
        <f>IF(COUNTIFS('Raw Annual DMR Data'!$L:$L,$F214, 'Raw Annual DMR Data'!$U:$U, "&gt;0")&gt;0,_xlfn.MAXIFS('Raw Annual DMR Data'!$U:$U,'Raw Annual DMR Data'!$L:$L,$F214), "N/A - Period DMR Data Not Available")</f>
        <v>N/A - Period DMR Data Not Available</v>
      </c>
      <c r="X214" s="113" t="str" cm="1">
        <f t="array" ref="X214">+IF(COUNTIFS('Raw Annual DMR Data'!L:L,$F214, 'Raw Annual DMR Data'!U:U, "&gt;0")&gt;0,INDEX('Raw Annual DMR Data'!V:V,MATCH(1,($F214='Raw Annual DMR Data'!L:L)*($W214='Raw Annual DMR Data'!U:U),0)), "N/A - Period DMR Data Not Available")</f>
        <v>N/A - Period DMR Data Not Available</v>
      </c>
      <c r="Y214" s="113" t="str" cm="1">
        <f t="array" ref="Y214">IF(COUNTIFS('Raw Annual DMR Data'!L:L,$F214, 'Raw Annual DMR Data'!U:U, "&gt;0")&gt;0,INDEX('Raw Annual DMR Data'!B:B,MATCH(1,($F214='Raw Annual DMR Data'!L:L)*($W214='Raw Annual DMR Data'!U:U),0)), "N/A - Period DMR Data Not Available")</f>
        <v>N/A - Period DMR Data Not Available</v>
      </c>
      <c r="Z214" s="311" t="str" cm="1">
        <f t="array" ref="Z214">IF(COUNTIF('Raw Annual DMR Data'!K:K,$E214)&gt;0,"N/A - See DMRs",IF(SUMIFS('Raw TRI Data'!$Z:$Z,'Raw TRI Data'!$J:$J,$E214)&gt;0,MEDIAN(IF('Raw TRI Data'!$J:$J=$E214,'Raw TRI Data'!$Z:$Z)), "N/A - Facility Does Not Report to TRI, no surface water releases, or no Generic Factors available"))</f>
        <v>N/A - See DMRs</v>
      </c>
      <c r="AA214" s="156" t="str">
        <f>IF(COUNTIF('Raw Annual DMR Data'!K:K,$E214)&gt;0,"N/A - See DMRs",IF(SUMIFS('Raw TRI Data'!$Z:$Z,'Raw TRI Data'!$J:$J,$E214)&gt;0,_xlfn.MAXIFS('Raw TRI Data'!$Z:$Z,'Raw TRI Data'!$J:$J,$E214), "N/A - Facility Does Not Report to TRI, no surface water releases, or no Generic Factors available"))</f>
        <v>N/A - See DMRs</v>
      </c>
      <c r="AB214" s="113" t="str">
        <f t="shared" si="25"/>
        <v>N/A</v>
      </c>
      <c r="AC214" s="136" t="str" cm="1">
        <f t="array" ref="AC214">IF(COUNTIF('Raw Annual DMR Data'!K:K,$E214)&gt;0,"N/A - See DMRs",IF(SUMIFS('Raw TRI Data'!$Z:$Z,'Raw TRI Data'!$J:$J,$E214)&gt;0,INDEX('Raw TRI Data'!$A:$A,MATCH(1,($E214='Raw TRI Data'!$J:$J)*($AA214='Raw TRI Data'!$Z:$Z),0)), "N/A - Facility Does Not Report to TRI, no surface water releases, or no Generic Factors available"))</f>
        <v>N/A - See DMRs</v>
      </c>
      <c r="AD214" s="96" t="str" cm="1">
        <f t="array" ref="AD214">IF(COUNTIFS('Raw Annual DMR Data'!L:L,$F214,'Raw Annual DMR Data'!W:W, "&gt;0")&gt;0,MEDIAN(IF('Raw Annual DMR Data'!K:K=$F214, 'Raw Annual DMR Data'!W:W)), "N/A - No Daily Max DMR Discharge Data")</f>
        <v>N/A - No Daily Max DMR Discharge Data</v>
      </c>
      <c r="AE214" s="96" t="str">
        <f>IF(COUNTIFS('Raw Annual DMR Data'!L:L,$F214,'Raw Annual DMR Data'!W:W, "&gt;0")&gt;0,_xlfn.MAXIFS('Raw Annual DMR Data'!W:W,'Raw Annual DMR Data'!L:L,$F214), "N/A - No Daily Max DMR Discharge Data")</f>
        <v>N/A - No Daily Max DMR Discharge Data</v>
      </c>
      <c r="AF214" s="60" t="str" cm="1">
        <f t="array" ref="AF214">IF(COUNTIFS('Raw Annual DMR Data'!L:L,$F214,'Raw Annual DMR Data'!W:W, "&gt;0")&gt;0,INDEX('Raw Annual DMR Data'!B:B,MATCH(1,($F214='Raw Annual DMR Data'!L:L)*($AE214='Raw Annual DMR Data'!W:W),0)), "N/A - No Daily Max DMR Discharge Data")</f>
        <v>N/A - No Daily Max DMR Discharge Data</v>
      </c>
    </row>
    <row r="215" spans="1:32" ht="45.75" thickBot="1" x14ac:dyDescent="0.3">
      <c r="A215" s="144" t="str">
        <f>VLOOKUP(F215,'Facility Summary'!J:K,2,FALSE)</f>
        <v>Waste Handling, Disposal and Treatment (Landfill)</v>
      </c>
      <c r="B215" s="28" t="s">
        <v>1118</v>
      </c>
      <c r="C215" s="28" t="s">
        <v>1119</v>
      </c>
      <c r="D215" s="28" t="s">
        <v>427</v>
      </c>
      <c r="E215" s="28"/>
      <c r="F215" s="61">
        <v>110001847761</v>
      </c>
      <c r="G215" s="60" t="str">
        <f>VLOOKUP($F215, 'Raw Annual DMR Data'!$A:$Z, 24, FALSE)</f>
        <v>MI0048631</v>
      </c>
      <c r="H215" s="60" t="str">
        <f>VLOOKUP($F215, 'Raw Annual DMR Data'!$A:$Z, 25, FALSE)</f>
        <v>SOUTH BRANCH GALIEN RIVER, SOUTH BRANCH OF THE GALIEN RIVER</v>
      </c>
      <c r="I215" s="74">
        <f>VLOOKUP($F215, 'Raw Annual DMR Data'!$A:$Z, 26, FALSE)</f>
        <v>4040001000153</v>
      </c>
      <c r="J215" s="74" t="s">
        <v>265</v>
      </c>
      <c r="K215" s="60">
        <f>VLOOKUP(A215, 'OES Summary'!$A:$B, 2, FALSE)</f>
        <v>250</v>
      </c>
      <c r="L215" s="304" cm="1">
        <f t="array" ref="L215">IF(COUNTIF('Raw Annual DMR Data'!$L:$L,$F215)&gt;0,MEDIAN(IF('Raw Annual DMR Data'!$L:$L=F215,'Raw Annual DMR Data'!$S:$S)),"N/A - Facility Does Not Report DMRs")</f>
        <v>2.2963939090909047E-2</v>
      </c>
      <c r="M215" s="156">
        <f t="shared" si="23"/>
        <v>9.1855756363636186E-5</v>
      </c>
      <c r="N215" s="156">
        <f>IF(COUNTIF('Raw Annual DMR Data'!$L:$L,$F215)&gt;0,_xlfn.MAXIFS('Raw Annual DMR Data'!$S:$S,'Raw Annual DMR Data'!$L:$L,$F215), "N/A - Facility Does Not Report DMRs")</f>
        <v>5.8307924999999997E-2</v>
      </c>
      <c r="O215" s="156">
        <f t="shared" si="24"/>
        <v>2.332317E-4</v>
      </c>
      <c r="P215" s="113" cm="1">
        <f t="array" ref="P215">IF(COUNTIF('Raw Annual DMR Data'!$L:$L,$F215)&gt;0,INDEX('Raw Annual DMR Data'!$B:$B,MATCH(1,($F215='Raw Annual DMR Data'!$L:$L)*($N215='Raw Annual DMR Data'!$S:$S),0)), "N/A - Facility Does Not Report DMRs")</f>
        <v>2020</v>
      </c>
      <c r="Q215" s="304" t="str" cm="1">
        <f t="array" ref="Q215">IF(COUNTIF('Raw TRI Data'!$J:$J,$E215)&gt;0,MEDIAN(IF('Raw TRI Data'!$J:$J=E215,'Raw TRI Data'!$S:$S)), "N/A - Facility Does Not Report to TRI")</f>
        <v>N/A - Facility Does Not Report to TRI</v>
      </c>
      <c r="R215" s="156" t="str">
        <f t="shared" si="21"/>
        <v>N/A - Facility Does Not Report to TRI</v>
      </c>
      <c r="S215" s="156" t="str">
        <f>IF(COUNTIF('Raw TRI Data'!$J:$J,$E215)&gt;0,_xlfn.MAXIFS('Raw TRI Data'!$S:$S,'Raw TRI Data'!$J:$J,$E215), "N/A - Facility Does Not Report to TRI")</f>
        <v>N/A - Facility Does Not Report to TRI</v>
      </c>
      <c r="T215" s="156" t="str">
        <f t="shared" si="22"/>
        <v>N/A - Facility Does Not Report to TRI</v>
      </c>
      <c r="U215" s="136" t="str" cm="1">
        <f t="array" ref="U215">IF(COUNTIF('Raw TRI Data'!$J:$J,$E215)&gt;0,INDEX('Raw TRI Data'!$A:$A,MATCH(1,($E215='Raw TRI Data'!$J:$J)*(S215='Raw TRI Data'!$S:$S),0)), "N/A - Facility Does Not Report to TRI")</f>
        <v>N/A - Facility Does Not Report to TRI</v>
      </c>
      <c r="V215" s="156" t="str" cm="1">
        <f t="array" ref="V215">IF(COUNTIFS('Raw Annual DMR Data'!$L:$L,$F215,'Raw Annual DMR Data'!$U:$U,"&gt;0")&gt;0,MEDIAN(IF('Raw Annual DMR Data'!$L:$L=$F215,'Raw Annual DMR Data'!$U:$U,"")),"N/A - Period DMR Data Not Available")</f>
        <v>N/A - Period DMR Data Not Available</v>
      </c>
      <c r="W215" s="156" t="str">
        <f>IF(COUNTIFS('Raw Annual DMR Data'!$L:$L,$F215, 'Raw Annual DMR Data'!$U:$U, "&gt;0")&gt;0,_xlfn.MAXIFS('Raw Annual DMR Data'!$U:$U,'Raw Annual DMR Data'!$L:$L,$F215), "N/A - Period DMR Data Not Available")</f>
        <v>N/A - Period DMR Data Not Available</v>
      </c>
      <c r="X215" s="113" t="str" cm="1">
        <f t="array" ref="X215">+IF(COUNTIFS('Raw Annual DMR Data'!L:L,$F215, 'Raw Annual DMR Data'!U:U, "&gt;0")&gt;0,INDEX('Raw Annual DMR Data'!V:V,MATCH(1,($F215='Raw Annual DMR Data'!L:L)*($W215='Raw Annual DMR Data'!U:U),0)), "N/A - Period DMR Data Not Available")</f>
        <v>N/A - Period DMR Data Not Available</v>
      </c>
      <c r="Y215" s="113" t="str" cm="1">
        <f t="array" ref="Y215">IF(COUNTIFS('Raw Annual DMR Data'!L:L,$F215, 'Raw Annual DMR Data'!U:U, "&gt;0")&gt;0,INDEX('Raw Annual DMR Data'!B:B,MATCH(1,($F215='Raw Annual DMR Data'!L:L)*($W215='Raw Annual DMR Data'!U:U),0)), "N/A - Period DMR Data Not Available")</f>
        <v>N/A - Period DMR Data Not Available</v>
      </c>
      <c r="Z215" s="311" t="str" cm="1">
        <f t="array" ref="Z215">IF(COUNTIF('Raw Annual DMR Data'!K:K,$E215)&gt;0,"N/A - See DMRs",IF(SUMIFS('Raw TRI Data'!$Z:$Z,'Raw TRI Data'!$J:$J,$E215)&gt;0,MEDIAN(IF('Raw TRI Data'!$J:$J=$E215,'Raw TRI Data'!$Z:$Z)), "N/A - Facility Does Not Report to TRI, no surface water releases, or no Generic Factors available"))</f>
        <v>N/A - Facility Does Not Report to TRI, no surface water releases, or no Generic Factors available</v>
      </c>
      <c r="AA215" s="156" t="str">
        <f>IF(COUNTIF('Raw Annual DMR Data'!K:K,$E215)&gt;0,"N/A - See DMRs",IF(SUMIFS('Raw TRI Data'!$Z:$Z,'Raw TRI Data'!$J:$J,$E215)&gt;0,_xlfn.MAXIFS('Raw TRI Data'!$Z:$Z,'Raw TRI Data'!$J:$J,$E215), "N/A - Facility Does Not Report to TRI, no surface water releases, or no Generic Factors available"))</f>
        <v>N/A - Facility Does Not Report to TRI, no surface water releases, or no Generic Factors available</v>
      </c>
      <c r="AB215" s="113" t="str">
        <f t="shared" si="25"/>
        <v>N/A</v>
      </c>
      <c r="AC215" s="136" t="str" cm="1">
        <f t="array" ref="AC215">IF(COUNTIF('Raw Annual DMR Data'!K:K,$E215)&gt;0,"N/A - See DMRs",IF(SUMIFS('Raw TRI Data'!$Z:$Z,'Raw TRI Data'!$J:$J,$E215)&gt;0,INDEX('Raw TRI Data'!$A:$A,MATCH(1,($E215='Raw TRI Data'!$J:$J)*($AA215='Raw TRI Data'!$Z:$Z),0)), "N/A - Facility Does Not Report to TRI, no surface water releases, or no Generic Factors available"))</f>
        <v>N/A - Facility Does Not Report to TRI, no surface water releases, or no Generic Factors available</v>
      </c>
      <c r="AD215" s="96" t="str" cm="1">
        <f t="array" ref="AD215">IF(COUNTIFS('Raw Annual DMR Data'!L:L,$F215,'Raw Annual DMR Data'!W:W, "&gt;0")&gt;0,MEDIAN(IF('Raw Annual DMR Data'!K:K=$F215, 'Raw Annual DMR Data'!W:W)), "N/A - No Daily Max DMR Discharge Data")</f>
        <v>N/A - No Daily Max DMR Discharge Data</v>
      </c>
      <c r="AE215" s="96" t="str">
        <f>IF(COUNTIFS('Raw Annual DMR Data'!L:L,$F215,'Raw Annual DMR Data'!W:W, "&gt;0")&gt;0,_xlfn.MAXIFS('Raw Annual DMR Data'!W:W,'Raw Annual DMR Data'!L:L,$F215), "N/A - No Daily Max DMR Discharge Data")</f>
        <v>N/A - No Daily Max DMR Discharge Data</v>
      </c>
      <c r="AF215" s="60" t="str" cm="1">
        <f t="array" ref="AF215">IF(COUNTIFS('Raw Annual DMR Data'!L:L,$F215,'Raw Annual DMR Data'!W:W, "&gt;0")&gt;0,INDEX('Raw Annual DMR Data'!B:B,MATCH(1,($F215='Raw Annual DMR Data'!L:L)*($AE215='Raw Annual DMR Data'!W:W),0)), "N/A - No Daily Max DMR Discharge Data")</f>
        <v>N/A - No Daily Max DMR Discharge Data</v>
      </c>
    </row>
    <row r="216" spans="1:32" ht="45.75" thickBot="1" x14ac:dyDescent="0.3">
      <c r="A216" s="144" t="str">
        <f>VLOOKUP(F216,'Facility Summary'!J:K,2,FALSE)</f>
        <v>Unknown</v>
      </c>
      <c r="B216" s="28" t="s">
        <v>1120</v>
      </c>
      <c r="C216" s="28" t="s">
        <v>1121</v>
      </c>
      <c r="D216" s="28" t="s">
        <v>338</v>
      </c>
      <c r="E216" s="28"/>
      <c r="F216" s="61">
        <v>110070215141</v>
      </c>
      <c r="G216" s="60" t="str">
        <f>VLOOKUP($F216, 'Raw Annual DMR Data'!$A:$Z, 24, FALSE)</f>
        <v>NJG197548</v>
      </c>
      <c r="H216" s="60" t="str">
        <f>VLOOKUP($F216, 'Raw Annual DMR Data'!$A:$Z, 25, FALSE)</f>
        <v>RARITAN RIVER</v>
      </c>
      <c r="I216" s="74">
        <f>VLOOKUP($F216, 'Raw Annual DMR Data'!$A:$Z, 26, FALSE)</f>
        <v>2030105000996</v>
      </c>
      <c r="J216" s="74" t="s">
        <v>265</v>
      </c>
      <c r="K216" s="60">
        <f>VLOOKUP(A216, 'OES Summary'!$A:$B, 2, FALSE)</f>
        <v>250</v>
      </c>
      <c r="L216" s="304" cm="1">
        <f t="array" ref="L216">IF(COUNTIF('Raw Annual DMR Data'!$L:$L,$F216)&gt;0,MEDIAN(IF('Raw Annual DMR Data'!$L:$L=F216,'Raw Annual DMR Data'!$S:$S)),"N/A - Facility Does Not Report DMRs")</f>
        <v>2.66319148031074E-2</v>
      </c>
      <c r="M216" s="156">
        <f t="shared" si="23"/>
        <v>1.065276592124296E-4</v>
      </c>
      <c r="N216" s="156">
        <f>IF(COUNTIF('Raw Annual DMR Data'!$L:$L,$F216)&gt;0,_xlfn.MAXIFS('Raw Annual DMR Data'!$S:$S,'Raw Annual DMR Data'!$L:$L,$F216), "N/A - Facility Does Not Report DMRs")</f>
        <v>4.7552258932499897E-2</v>
      </c>
      <c r="O216" s="156">
        <f t="shared" si="24"/>
        <v>1.9020903572999957E-4</v>
      </c>
      <c r="P216" s="113" cm="1">
        <f t="array" ref="P216">IF(COUNTIF('Raw Annual DMR Data'!$L:$L,$F216)&gt;0,INDEX('Raw Annual DMR Data'!$B:$B,MATCH(1,($F216='Raw Annual DMR Data'!$L:$L)*($N216='Raw Annual DMR Data'!$S:$S),0)), "N/A - Facility Does Not Report DMRs")</f>
        <v>2017</v>
      </c>
      <c r="Q216" s="304" t="str" cm="1">
        <f t="array" ref="Q216">IF(COUNTIF('Raw TRI Data'!$J:$J,$E216)&gt;0,MEDIAN(IF('Raw TRI Data'!$J:$J=E216,'Raw TRI Data'!$S:$S)), "N/A - Facility Does Not Report to TRI")</f>
        <v>N/A - Facility Does Not Report to TRI</v>
      </c>
      <c r="R216" s="156" t="str">
        <f t="shared" si="21"/>
        <v>N/A - Facility Does Not Report to TRI</v>
      </c>
      <c r="S216" s="156" t="str">
        <f>IF(COUNTIF('Raw TRI Data'!$J:$J,$E216)&gt;0,_xlfn.MAXIFS('Raw TRI Data'!$S:$S,'Raw TRI Data'!$J:$J,$E216), "N/A - Facility Does Not Report to TRI")</f>
        <v>N/A - Facility Does Not Report to TRI</v>
      </c>
      <c r="T216" s="156" t="str">
        <f t="shared" si="22"/>
        <v>N/A - Facility Does Not Report to TRI</v>
      </c>
      <c r="U216" s="136" t="str" cm="1">
        <f t="array" ref="U216">IF(COUNTIF('Raw TRI Data'!$J:$J,$E216)&gt;0,INDEX('Raw TRI Data'!$A:$A,MATCH(1,($E216='Raw TRI Data'!$J:$J)*(S216='Raw TRI Data'!$S:$S),0)), "N/A - Facility Does Not Report to TRI")</f>
        <v>N/A - Facility Does Not Report to TRI</v>
      </c>
      <c r="V216" s="156" t="str" cm="1">
        <f t="array" ref="V216">IF(COUNTIFS('Raw Annual DMR Data'!$L:$L,$F216,'Raw Annual DMR Data'!$U:$U,"&gt;0")&gt;0,MEDIAN(IF('Raw Annual DMR Data'!$L:$L=$F216,'Raw Annual DMR Data'!$U:$U,"")),"N/A - Period DMR Data Not Available")</f>
        <v>N/A - Period DMR Data Not Available</v>
      </c>
      <c r="W216" s="156" t="str">
        <f>IF(COUNTIFS('Raw Annual DMR Data'!$L:$L,$F216, 'Raw Annual DMR Data'!$U:$U, "&gt;0")&gt;0,_xlfn.MAXIFS('Raw Annual DMR Data'!$U:$U,'Raw Annual DMR Data'!$L:$L,$F216), "N/A - Period DMR Data Not Available")</f>
        <v>N/A - Period DMR Data Not Available</v>
      </c>
      <c r="X216" s="113" t="str" cm="1">
        <f t="array" ref="X216">+IF(COUNTIFS('Raw Annual DMR Data'!L:L,$F216, 'Raw Annual DMR Data'!U:U, "&gt;0")&gt;0,INDEX('Raw Annual DMR Data'!V:V,MATCH(1,($F216='Raw Annual DMR Data'!L:L)*($W216='Raw Annual DMR Data'!U:U),0)), "N/A - Period DMR Data Not Available")</f>
        <v>N/A - Period DMR Data Not Available</v>
      </c>
      <c r="Y216" s="113" t="str" cm="1">
        <f t="array" ref="Y216">IF(COUNTIFS('Raw Annual DMR Data'!L:L,$F216, 'Raw Annual DMR Data'!U:U, "&gt;0")&gt;0,INDEX('Raw Annual DMR Data'!B:B,MATCH(1,($F216='Raw Annual DMR Data'!L:L)*($W216='Raw Annual DMR Data'!U:U),0)), "N/A - Period DMR Data Not Available")</f>
        <v>N/A - Period DMR Data Not Available</v>
      </c>
      <c r="Z216" s="311" t="str" cm="1">
        <f t="array" ref="Z216">IF(COUNTIF('Raw Annual DMR Data'!K:K,$E216)&gt;0,"N/A - See DMRs",IF(SUMIFS('Raw TRI Data'!$Z:$Z,'Raw TRI Data'!$J:$J,$E216)&gt;0,MEDIAN(IF('Raw TRI Data'!$J:$J=$E216,'Raw TRI Data'!$Z:$Z)), "N/A - Facility Does Not Report to TRI, no surface water releases, or no Generic Factors available"))</f>
        <v>N/A - Facility Does Not Report to TRI, no surface water releases, or no Generic Factors available</v>
      </c>
      <c r="AA216" s="156" t="str">
        <f>IF(COUNTIF('Raw Annual DMR Data'!K:K,$E216)&gt;0,"N/A - See DMRs",IF(SUMIFS('Raw TRI Data'!$Z:$Z,'Raw TRI Data'!$J:$J,$E216)&gt;0,_xlfn.MAXIFS('Raw TRI Data'!$Z:$Z,'Raw TRI Data'!$J:$J,$E216), "N/A - Facility Does Not Report to TRI, no surface water releases, or no Generic Factors available"))</f>
        <v>N/A - Facility Does Not Report to TRI, no surface water releases, or no Generic Factors available</v>
      </c>
      <c r="AB216" s="113" t="str">
        <f t="shared" si="25"/>
        <v>N/A</v>
      </c>
      <c r="AC216" s="136" t="str" cm="1">
        <f t="array" ref="AC216">IF(COUNTIF('Raw Annual DMR Data'!K:K,$E216)&gt;0,"N/A - See DMRs",IF(SUMIFS('Raw TRI Data'!$Z:$Z,'Raw TRI Data'!$J:$J,$E216)&gt;0,INDEX('Raw TRI Data'!$A:$A,MATCH(1,($E216='Raw TRI Data'!$J:$J)*($AA216='Raw TRI Data'!$Z:$Z),0)), "N/A - Facility Does Not Report to TRI, no surface water releases, or no Generic Factors available"))</f>
        <v>N/A - Facility Does Not Report to TRI, no surface water releases, or no Generic Factors available</v>
      </c>
      <c r="AD216" s="96" t="str" cm="1">
        <f t="array" ref="AD216">IF(COUNTIFS('Raw Annual DMR Data'!L:L,$F216,'Raw Annual DMR Data'!W:W, "&gt;0")&gt;0,MEDIAN(IF('Raw Annual DMR Data'!K:K=$F216, 'Raw Annual DMR Data'!W:W)), "N/A - No Daily Max DMR Discharge Data")</f>
        <v>N/A - No Daily Max DMR Discharge Data</v>
      </c>
      <c r="AE216" s="96" t="str">
        <f>IF(COUNTIFS('Raw Annual DMR Data'!L:L,$F216,'Raw Annual DMR Data'!W:W, "&gt;0")&gt;0,_xlfn.MAXIFS('Raw Annual DMR Data'!W:W,'Raw Annual DMR Data'!L:L,$F216), "N/A - No Daily Max DMR Discharge Data")</f>
        <v>N/A - No Daily Max DMR Discharge Data</v>
      </c>
      <c r="AF216" s="60" t="str" cm="1">
        <f t="array" ref="AF216">IF(COUNTIFS('Raw Annual DMR Data'!L:L,$F216,'Raw Annual DMR Data'!W:W, "&gt;0")&gt;0,INDEX('Raw Annual DMR Data'!B:B,MATCH(1,($F216='Raw Annual DMR Data'!L:L)*($AE216='Raw Annual DMR Data'!W:W),0)), "N/A - No Daily Max DMR Discharge Data")</f>
        <v>N/A - No Daily Max DMR Discharge Data</v>
      </c>
    </row>
    <row r="217" spans="1:32" ht="45.75" thickBot="1" x14ac:dyDescent="0.3">
      <c r="A217" s="144" t="str">
        <f>VLOOKUP(F217,'Facility Summary'!J:K,2,FALSE)</f>
        <v>Unknown</v>
      </c>
      <c r="B217" s="28" t="s">
        <v>1122</v>
      </c>
      <c r="C217" s="28" t="s">
        <v>1123</v>
      </c>
      <c r="D217" s="28" t="s">
        <v>491</v>
      </c>
      <c r="E217" s="28"/>
      <c r="F217" s="61">
        <v>110071151044</v>
      </c>
      <c r="G217" s="60" t="str">
        <f>VLOOKUP($F217, 'Raw Annual DMR Data'!$A:$Z, 24, FALSE)</f>
        <v>PA0081957</v>
      </c>
      <c r="H217" s="60" t="str">
        <f>VLOOKUP($F217, 'Raw Annual DMR Data'!$A:$Z, 25, FALSE)</f>
        <v>UNNAMED TRIB TO ROCK CREEK, UNT TO ROCK CREEK</v>
      </c>
      <c r="I217" s="74" t="str">
        <f>VLOOKUP($F217, 'Raw Annual DMR Data'!$A:$Z, 26, FALSE)</f>
        <v>02070009000809</v>
      </c>
      <c r="J217" s="74" t="s">
        <v>265</v>
      </c>
      <c r="K217" s="60">
        <f>VLOOKUP(A217, 'OES Summary'!$A:$B, 2, FALSE)</f>
        <v>250</v>
      </c>
      <c r="L217" s="304" cm="1">
        <f t="array" ref="L217">IF(COUNTIF('Raw Annual DMR Data'!$L:$L,$F217)&gt;0,MEDIAN(IF('Raw Annual DMR Data'!$L:$L=F217,'Raw Annual DMR Data'!$S:$S)),"N/A - Facility Does Not Report DMRs")</f>
        <v>5.633385825E-3</v>
      </c>
      <c r="M217" s="156">
        <f t="shared" si="23"/>
        <v>2.2533543299999999E-5</v>
      </c>
      <c r="N217" s="156">
        <f>IF(COUNTIF('Raw Annual DMR Data'!$L:$L,$F217)&gt;0,_xlfn.MAXIFS('Raw Annual DMR Data'!$S:$S,'Raw Annual DMR Data'!$L:$L,$F217), "N/A - Facility Does Not Report DMRs")</f>
        <v>6.5149789410000004E-3</v>
      </c>
      <c r="O217" s="156">
        <f t="shared" si="24"/>
        <v>2.6059915764E-5</v>
      </c>
      <c r="P217" s="113" cm="1">
        <f t="array" ref="P217">IF(COUNTIF('Raw Annual DMR Data'!$L:$L,$F217)&gt;0,INDEX('Raw Annual DMR Data'!$B:$B,MATCH(1,($F217='Raw Annual DMR Data'!$L:$L)*($N217='Raw Annual DMR Data'!$S:$S),0)), "N/A - Facility Does Not Report DMRs")</f>
        <v>2020</v>
      </c>
      <c r="Q217" s="304" t="str" cm="1">
        <f t="array" ref="Q217">IF(COUNTIF('Raw TRI Data'!$J:$J,$E217)&gt;0,MEDIAN(IF('Raw TRI Data'!$J:$J=E217,'Raw TRI Data'!$S:$S)), "N/A - Facility Does Not Report to TRI")</f>
        <v>N/A - Facility Does Not Report to TRI</v>
      </c>
      <c r="R217" s="156" t="str">
        <f t="shared" si="21"/>
        <v>N/A - Facility Does Not Report to TRI</v>
      </c>
      <c r="S217" s="156" t="str">
        <f>IF(COUNTIF('Raw TRI Data'!$J:$J,$E217)&gt;0,_xlfn.MAXIFS('Raw TRI Data'!$S:$S,'Raw TRI Data'!$J:$J,$E217), "N/A - Facility Does Not Report to TRI")</f>
        <v>N/A - Facility Does Not Report to TRI</v>
      </c>
      <c r="T217" s="156" t="str">
        <f t="shared" si="22"/>
        <v>N/A - Facility Does Not Report to TRI</v>
      </c>
      <c r="U217" s="136" t="str" cm="1">
        <f t="array" ref="U217">IF(COUNTIF('Raw TRI Data'!$J:$J,$E217)&gt;0,INDEX('Raw TRI Data'!$A:$A,MATCH(1,($E217='Raw TRI Data'!$J:$J)*(S217='Raw TRI Data'!$S:$S),0)), "N/A - Facility Does Not Report to TRI")</f>
        <v>N/A - Facility Does Not Report to TRI</v>
      </c>
      <c r="V217" s="156" t="str" cm="1">
        <f t="array" ref="V217">IF(COUNTIFS('Raw Annual DMR Data'!$L:$L,$F217,'Raw Annual DMR Data'!$U:$U,"&gt;0")&gt;0,MEDIAN(IF('Raw Annual DMR Data'!$L:$L=$F217,'Raw Annual DMR Data'!$U:$U,"")),"N/A - Period DMR Data Not Available")</f>
        <v>N/A - Period DMR Data Not Available</v>
      </c>
      <c r="W217" s="156" t="str">
        <f>IF(COUNTIFS('Raw Annual DMR Data'!$L:$L,$F217, 'Raw Annual DMR Data'!$U:$U, "&gt;0")&gt;0,_xlfn.MAXIFS('Raw Annual DMR Data'!$U:$U,'Raw Annual DMR Data'!$L:$L,$F217), "N/A - Period DMR Data Not Available")</f>
        <v>N/A - Period DMR Data Not Available</v>
      </c>
      <c r="X217" s="113" t="str" cm="1">
        <f t="array" ref="X217">+IF(COUNTIFS('Raw Annual DMR Data'!L:L,$F217, 'Raw Annual DMR Data'!U:U, "&gt;0")&gt;0,INDEX('Raw Annual DMR Data'!V:V,MATCH(1,($F217='Raw Annual DMR Data'!L:L)*($W217='Raw Annual DMR Data'!U:U),0)), "N/A - Period DMR Data Not Available")</f>
        <v>N/A - Period DMR Data Not Available</v>
      </c>
      <c r="Y217" s="113" t="str" cm="1">
        <f t="array" ref="Y217">IF(COUNTIFS('Raw Annual DMR Data'!L:L,$F217, 'Raw Annual DMR Data'!U:U, "&gt;0")&gt;0,INDEX('Raw Annual DMR Data'!B:B,MATCH(1,($F217='Raw Annual DMR Data'!L:L)*($W217='Raw Annual DMR Data'!U:U),0)), "N/A - Period DMR Data Not Available")</f>
        <v>N/A - Period DMR Data Not Available</v>
      </c>
      <c r="Z217" s="311" t="str" cm="1">
        <f t="array" ref="Z217">IF(COUNTIF('Raw Annual DMR Data'!K:K,$E217)&gt;0,"N/A - See DMRs",IF(SUMIFS('Raw TRI Data'!$Z:$Z,'Raw TRI Data'!$J:$J,$E217)&gt;0,MEDIAN(IF('Raw TRI Data'!$J:$J=$E217,'Raw TRI Data'!$Z:$Z)), "N/A - Facility Does Not Report to TRI, no surface water releases, or no Generic Factors available"))</f>
        <v>N/A - Facility Does Not Report to TRI, no surface water releases, or no Generic Factors available</v>
      </c>
      <c r="AA217" s="156" t="str">
        <f>IF(COUNTIF('Raw Annual DMR Data'!K:K,$E217)&gt;0,"N/A - See DMRs",IF(SUMIFS('Raw TRI Data'!$Z:$Z,'Raw TRI Data'!$J:$J,$E217)&gt;0,_xlfn.MAXIFS('Raw TRI Data'!$Z:$Z,'Raw TRI Data'!$J:$J,$E217), "N/A - Facility Does Not Report to TRI, no surface water releases, or no Generic Factors available"))</f>
        <v>N/A - Facility Does Not Report to TRI, no surface water releases, or no Generic Factors available</v>
      </c>
      <c r="AB217" s="113" t="str">
        <f t="shared" si="25"/>
        <v>N/A</v>
      </c>
      <c r="AC217" s="136" t="str" cm="1">
        <f t="array" ref="AC217">IF(COUNTIF('Raw Annual DMR Data'!K:K,$E217)&gt;0,"N/A - See DMRs",IF(SUMIFS('Raw TRI Data'!$Z:$Z,'Raw TRI Data'!$J:$J,$E217)&gt;0,INDEX('Raw TRI Data'!$A:$A,MATCH(1,($E217='Raw TRI Data'!$J:$J)*($AA217='Raw TRI Data'!$Z:$Z),0)), "N/A - Facility Does Not Report to TRI, no surface water releases, or no Generic Factors available"))</f>
        <v>N/A - Facility Does Not Report to TRI, no surface water releases, or no Generic Factors available</v>
      </c>
      <c r="AD217" s="96" t="str" cm="1">
        <f t="array" ref="AD217">IF(COUNTIFS('Raw Annual DMR Data'!L:L,$F217,'Raw Annual DMR Data'!W:W, "&gt;0")&gt;0,MEDIAN(IF('Raw Annual DMR Data'!K:K=$F217, 'Raw Annual DMR Data'!W:W)), "N/A - No Daily Max DMR Discharge Data")</f>
        <v>N/A - No Daily Max DMR Discharge Data</v>
      </c>
      <c r="AE217" s="96" t="str">
        <f>IF(COUNTIFS('Raw Annual DMR Data'!L:L,$F217,'Raw Annual DMR Data'!W:W, "&gt;0")&gt;0,_xlfn.MAXIFS('Raw Annual DMR Data'!W:W,'Raw Annual DMR Data'!L:L,$F217), "N/A - No Daily Max DMR Discharge Data")</f>
        <v>N/A - No Daily Max DMR Discharge Data</v>
      </c>
      <c r="AF217" s="60" t="str" cm="1">
        <f t="array" ref="AF217">IF(COUNTIFS('Raw Annual DMR Data'!L:L,$F217,'Raw Annual DMR Data'!W:W, "&gt;0")&gt;0,INDEX('Raw Annual DMR Data'!B:B,MATCH(1,($F217='Raw Annual DMR Data'!L:L)*($AE217='Raw Annual DMR Data'!W:W),0)), "N/A - No Daily Max DMR Discharge Data")</f>
        <v>N/A - No Daily Max DMR Discharge Data</v>
      </c>
    </row>
    <row r="218" spans="1:32" ht="45.75" thickBot="1" x14ac:dyDescent="0.3">
      <c r="A218" s="144" t="str">
        <f>VLOOKUP(F218,'Facility Summary'!J:K,2,FALSE)</f>
        <v>Unknown</v>
      </c>
      <c r="B218" s="28" t="s">
        <v>1124</v>
      </c>
      <c r="C218" s="28" t="s">
        <v>1125</v>
      </c>
      <c r="D218" s="28" t="s">
        <v>294</v>
      </c>
      <c r="E218" s="28"/>
      <c r="F218" s="61">
        <v>110070548118</v>
      </c>
      <c r="G218" s="60" t="str">
        <f>VLOOKUP($F218, 'Raw Annual DMR Data'!$A:$Z, 24, FALSE)</f>
        <v>VAG830543</v>
      </c>
      <c r="H218" s="60" t="str">
        <f>VLOOKUP($F218, 'Raw Annual DMR Data'!$A:$Z, 25, FALSE)</f>
        <v>CAMERON RUN</v>
      </c>
      <c r="I218" s="74">
        <f>VLOOKUP($F218, 'Raw Annual DMR Data'!$A:$Z, 26, FALSE)</f>
        <v>0</v>
      </c>
      <c r="J218" s="74" t="s">
        <v>265</v>
      </c>
      <c r="K218" s="60">
        <f>VLOOKUP(A218, 'OES Summary'!$A:$B, 2, FALSE)</f>
        <v>250</v>
      </c>
      <c r="L218" s="304" cm="1">
        <f t="array" ref="L218">IF(COUNTIF('Raw Annual DMR Data'!$L:$L,$F218)&gt;0,MEDIAN(IF('Raw Annual DMR Data'!$L:$L=F218,'Raw Annual DMR Data'!$S:$S)),"N/A - Facility Does Not Report DMRs")</f>
        <v>6.1269308999999904E-2</v>
      </c>
      <c r="M218" s="156">
        <f t="shared" si="23"/>
        <v>2.4507723599999961E-4</v>
      </c>
      <c r="N218" s="156">
        <f>IF(COUNTIF('Raw Annual DMR Data'!$L:$L,$F218)&gt;0,_xlfn.MAXIFS('Raw Annual DMR Data'!$S:$S,'Raw Annual DMR Data'!$L:$L,$F218), "N/A - Facility Does Not Report DMRs")</f>
        <v>0.10015109999999899</v>
      </c>
      <c r="O218" s="156">
        <f t="shared" si="24"/>
        <v>4.0060439999999595E-4</v>
      </c>
      <c r="P218" s="113" cm="1">
        <f t="array" ref="P218">IF(COUNTIF('Raw Annual DMR Data'!$L:$L,$F218)&gt;0,INDEX('Raw Annual DMR Data'!$B:$B,MATCH(1,($F218='Raw Annual DMR Data'!$L:$L)*($N218='Raw Annual DMR Data'!$S:$S),0)), "N/A - Facility Does Not Report DMRs")</f>
        <v>2019</v>
      </c>
      <c r="Q218" s="304" t="str" cm="1">
        <f t="array" ref="Q218">IF(COUNTIF('Raw TRI Data'!$J:$J,$E218)&gt;0,MEDIAN(IF('Raw TRI Data'!$J:$J=E218,'Raw TRI Data'!$S:$S)), "N/A - Facility Does Not Report to TRI")</f>
        <v>N/A - Facility Does Not Report to TRI</v>
      </c>
      <c r="R218" s="156" t="str">
        <f t="shared" si="21"/>
        <v>N/A - Facility Does Not Report to TRI</v>
      </c>
      <c r="S218" s="156" t="str">
        <f>IF(COUNTIF('Raw TRI Data'!$J:$J,$E218)&gt;0,_xlfn.MAXIFS('Raw TRI Data'!$S:$S,'Raw TRI Data'!$J:$J,$E218), "N/A - Facility Does Not Report to TRI")</f>
        <v>N/A - Facility Does Not Report to TRI</v>
      </c>
      <c r="T218" s="156" t="str">
        <f t="shared" si="22"/>
        <v>N/A - Facility Does Not Report to TRI</v>
      </c>
      <c r="U218" s="136" t="str" cm="1">
        <f t="array" ref="U218">IF(COUNTIF('Raw TRI Data'!$J:$J,$E218)&gt;0,INDEX('Raw TRI Data'!$A:$A,MATCH(1,($E218='Raw TRI Data'!$J:$J)*(S218='Raw TRI Data'!$S:$S),0)), "N/A - Facility Does Not Report to TRI")</f>
        <v>N/A - Facility Does Not Report to TRI</v>
      </c>
      <c r="V218" s="156" t="str" cm="1">
        <f t="array" ref="V218">IF(COUNTIFS('Raw Annual DMR Data'!$L:$L,$F218,'Raw Annual DMR Data'!$U:$U,"&gt;0")&gt;0,MEDIAN(IF('Raw Annual DMR Data'!$L:$L=$F218,'Raw Annual DMR Data'!$U:$U,"")),"N/A - Period DMR Data Not Available")</f>
        <v>N/A - Period DMR Data Not Available</v>
      </c>
      <c r="W218" s="156" t="str">
        <f>IF(COUNTIFS('Raw Annual DMR Data'!$L:$L,$F218, 'Raw Annual DMR Data'!$U:$U, "&gt;0")&gt;0,_xlfn.MAXIFS('Raw Annual DMR Data'!$U:$U,'Raw Annual DMR Data'!$L:$L,$F218), "N/A - Period DMR Data Not Available")</f>
        <v>N/A - Period DMR Data Not Available</v>
      </c>
      <c r="X218" s="113" t="str" cm="1">
        <f t="array" ref="X218">+IF(COUNTIFS('Raw Annual DMR Data'!L:L,$F218, 'Raw Annual DMR Data'!U:U, "&gt;0")&gt;0,INDEX('Raw Annual DMR Data'!V:V,MATCH(1,($F218='Raw Annual DMR Data'!L:L)*($W218='Raw Annual DMR Data'!U:U),0)), "N/A - Period DMR Data Not Available")</f>
        <v>N/A - Period DMR Data Not Available</v>
      </c>
      <c r="Y218" s="113" t="str" cm="1">
        <f t="array" ref="Y218">IF(COUNTIFS('Raw Annual DMR Data'!L:L,$F218, 'Raw Annual DMR Data'!U:U, "&gt;0")&gt;0,INDEX('Raw Annual DMR Data'!B:B,MATCH(1,($F218='Raw Annual DMR Data'!L:L)*($W218='Raw Annual DMR Data'!U:U),0)), "N/A - Period DMR Data Not Available")</f>
        <v>N/A - Period DMR Data Not Available</v>
      </c>
      <c r="Z218" s="311" t="str" cm="1">
        <f t="array" ref="Z218">IF(COUNTIF('Raw Annual DMR Data'!K:K,$E218)&gt;0,"N/A - See DMRs",IF(SUMIFS('Raw TRI Data'!$Z:$Z,'Raw TRI Data'!$J:$J,$E218)&gt;0,MEDIAN(IF('Raw TRI Data'!$J:$J=$E218,'Raw TRI Data'!$Z:$Z)), "N/A - Facility Does Not Report to TRI, no surface water releases, or no Generic Factors available"))</f>
        <v>N/A - Facility Does Not Report to TRI, no surface water releases, or no Generic Factors available</v>
      </c>
      <c r="AA218" s="156" t="str">
        <f>IF(COUNTIF('Raw Annual DMR Data'!K:K,$E218)&gt;0,"N/A - See DMRs",IF(SUMIFS('Raw TRI Data'!$Z:$Z,'Raw TRI Data'!$J:$J,$E218)&gt;0,_xlfn.MAXIFS('Raw TRI Data'!$Z:$Z,'Raw TRI Data'!$J:$J,$E218), "N/A - Facility Does Not Report to TRI, no surface water releases, or no Generic Factors available"))</f>
        <v>N/A - Facility Does Not Report to TRI, no surface water releases, or no Generic Factors available</v>
      </c>
      <c r="AB218" s="113" t="str">
        <f t="shared" si="25"/>
        <v>N/A</v>
      </c>
      <c r="AC218" s="136" t="str" cm="1">
        <f t="array" ref="AC218">IF(COUNTIF('Raw Annual DMR Data'!K:K,$E218)&gt;0,"N/A - See DMRs",IF(SUMIFS('Raw TRI Data'!$Z:$Z,'Raw TRI Data'!$J:$J,$E218)&gt;0,INDEX('Raw TRI Data'!$A:$A,MATCH(1,($E218='Raw TRI Data'!$J:$J)*($AA218='Raw TRI Data'!$Z:$Z),0)), "N/A - Facility Does Not Report to TRI, no surface water releases, or no Generic Factors available"))</f>
        <v>N/A - Facility Does Not Report to TRI, no surface water releases, or no Generic Factors available</v>
      </c>
      <c r="AD218" s="96" t="str" cm="1">
        <f t="array" ref="AD218">IF(COUNTIFS('Raw Annual DMR Data'!L:L,$F218,'Raw Annual DMR Data'!W:W, "&gt;0")&gt;0,MEDIAN(IF('Raw Annual DMR Data'!K:K=$F218, 'Raw Annual DMR Data'!W:W)), "N/A - No Daily Max DMR Discharge Data")</f>
        <v>N/A - No Daily Max DMR Discharge Data</v>
      </c>
      <c r="AE218" s="96" t="str">
        <f>IF(COUNTIFS('Raw Annual DMR Data'!L:L,$F218,'Raw Annual DMR Data'!W:W, "&gt;0")&gt;0,_xlfn.MAXIFS('Raw Annual DMR Data'!W:W,'Raw Annual DMR Data'!L:L,$F218), "N/A - No Daily Max DMR Discharge Data")</f>
        <v>N/A - No Daily Max DMR Discharge Data</v>
      </c>
      <c r="AF218" s="60" t="str" cm="1">
        <f t="array" ref="AF218">IF(COUNTIFS('Raw Annual DMR Data'!L:L,$F218,'Raw Annual DMR Data'!W:W, "&gt;0")&gt;0,INDEX('Raw Annual DMR Data'!B:B,MATCH(1,($F218='Raw Annual DMR Data'!L:L)*($AE218='Raw Annual DMR Data'!W:W),0)), "N/A - No Daily Max DMR Discharge Data")</f>
        <v>N/A - No Daily Max DMR Discharge Data</v>
      </c>
    </row>
    <row r="219" spans="1:32" ht="45.75" thickBot="1" x14ac:dyDescent="0.3">
      <c r="A219" s="144" t="str">
        <f>VLOOKUP(F219,'Facility Summary'!J:K,2,FALSE)</f>
        <v>Unknown</v>
      </c>
      <c r="B219" s="28" t="s">
        <v>1126</v>
      </c>
      <c r="C219" s="28" t="s">
        <v>1127</v>
      </c>
      <c r="D219" s="28" t="s">
        <v>1128</v>
      </c>
      <c r="E219" s="28"/>
      <c r="F219" s="61">
        <v>110070053140</v>
      </c>
      <c r="G219" s="60" t="str">
        <f>VLOOKUP($F219, 'Raw Annual DMR Data'!$A:$Z, 24, FALSE)</f>
        <v>CO0049038</v>
      </c>
      <c r="H219" s="60" t="str">
        <f>VLOOKUP($F219, 'Raw Annual DMR Data'!$A:$Z, 25, FALSE)</f>
        <v>BIG THOMPSON RIVER</v>
      </c>
      <c r="I219" s="74">
        <f>VLOOKUP($F219, 'Raw Annual DMR Data'!$A:$Z, 26, FALSE)</f>
        <v>0</v>
      </c>
      <c r="J219" s="74" t="s">
        <v>265</v>
      </c>
      <c r="K219" s="60">
        <f>VLOOKUP(A219, 'OES Summary'!$A:$B, 2, FALSE)</f>
        <v>250</v>
      </c>
      <c r="L219" s="304" cm="1">
        <f t="array" ref="L219">IF(COUNTIF('Raw Annual DMR Data'!$L:$L,$F219)&gt;0,MEDIAN(IF('Raw Annual DMR Data'!$L:$L=F219,'Raw Annual DMR Data'!$S:$S)),"N/A - Facility Does Not Report DMRs")</f>
        <v>5.2376829999999999E-2</v>
      </c>
      <c r="M219" s="156">
        <f t="shared" si="23"/>
        <v>2.0950731999999999E-4</v>
      </c>
      <c r="N219" s="156">
        <f>IF(COUNTIF('Raw Annual DMR Data'!$L:$L,$F219)&gt;0,_xlfn.MAXIFS('Raw Annual DMR Data'!$S:$S,'Raw Annual DMR Data'!$L:$L,$F219), "N/A - Facility Does Not Report DMRs")</f>
        <v>0.1112488203025</v>
      </c>
      <c r="O219" s="156">
        <f t="shared" si="24"/>
        <v>4.4499528121000001E-4</v>
      </c>
      <c r="P219" s="113" cm="1">
        <f t="array" ref="P219">IF(COUNTIF('Raw Annual DMR Data'!$L:$L,$F219)&gt;0,INDEX('Raw Annual DMR Data'!$B:$B,MATCH(1,($F219='Raw Annual DMR Data'!$L:$L)*($N219='Raw Annual DMR Data'!$S:$S),0)), "N/A - Facility Does Not Report DMRs")</f>
        <v>2024</v>
      </c>
      <c r="Q219" s="304" t="str" cm="1">
        <f t="array" ref="Q219">IF(COUNTIF('Raw TRI Data'!$J:$J,$E219)&gt;0,MEDIAN(IF('Raw TRI Data'!$J:$J=E219,'Raw TRI Data'!$S:$S)), "N/A - Facility Does Not Report to TRI")</f>
        <v>N/A - Facility Does Not Report to TRI</v>
      </c>
      <c r="R219" s="156" t="str">
        <f t="shared" si="21"/>
        <v>N/A - Facility Does Not Report to TRI</v>
      </c>
      <c r="S219" s="156" t="str">
        <f>IF(COUNTIF('Raw TRI Data'!$J:$J,$E219)&gt;0,_xlfn.MAXIFS('Raw TRI Data'!$S:$S,'Raw TRI Data'!$J:$J,$E219), "N/A - Facility Does Not Report to TRI")</f>
        <v>N/A - Facility Does Not Report to TRI</v>
      </c>
      <c r="T219" s="156" t="str">
        <f t="shared" si="22"/>
        <v>N/A - Facility Does Not Report to TRI</v>
      </c>
      <c r="U219" s="136" t="str" cm="1">
        <f t="array" ref="U219">IF(COUNTIF('Raw TRI Data'!$J:$J,$E219)&gt;0,INDEX('Raw TRI Data'!$A:$A,MATCH(1,($E219='Raw TRI Data'!$J:$J)*(S219='Raw TRI Data'!$S:$S),0)), "N/A - Facility Does Not Report to TRI")</f>
        <v>N/A - Facility Does Not Report to TRI</v>
      </c>
      <c r="V219" s="156" t="str" cm="1">
        <f t="array" ref="V219">IF(COUNTIFS('Raw Annual DMR Data'!$L:$L,$F219,'Raw Annual DMR Data'!$U:$U,"&gt;0")&gt;0,MEDIAN(IF('Raw Annual DMR Data'!$L:$L=$F219,'Raw Annual DMR Data'!$U:$U,"")),"N/A - Period DMR Data Not Available")</f>
        <v>N/A - Period DMR Data Not Available</v>
      </c>
      <c r="W219" s="156" t="str">
        <f>IF(COUNTIFS('Raw Annual DMR Data'!$L:$L,$F219, 'Raw Annual DMR Data'!$U:$U, "&gt;0")&gt;0,_xlfn.MAXIFS('Raw Annual DMR Data'!$U:$U,'Raw Annual DMR Data'!$L:$L,$F219), "N/A - Period DMR Data Not Available")</f>
        <v>N/A - Period DMR Data Not Available</v>
      </c>
      <c r="X219" s="113" t="str" cm="1">
        <f t="array" ref="X219">+IF(COUNTIFS('Raw Annual DMR Data'!L:L,$F219, 'Raw Annual DMR Data'!U:U, "&gt;0")&gt;0,INDEX('Raw Annual DMR Data'!V:V,MATCH(1,($F219='Raw Annual DMR Data'!L:L)*($W219='Raw Annual DMR Data'!U:U),0)), "N/A - Period DMR Data Not Available")</f>
        <v>N/A - Period DMR Data Not Available</v>
      </c>
      <c r="Y219" s="113" t="str" cm="1">
        <f t="array" ref="Y219">IF(COUNTIFS('Raw Annual DMR Data'!L:L,$F219, 'Raw Annual DMR Data'!U:U, "&gt;0")&gt;0,INDEX('Raw Annual DMR Data'!B:B,MATCH(1,($F219='Raw Annual DMR Data'!L:L)*($W219='Raw Annual DMR Data'!U:U),0)), "N/A - Period DMR Data Not Available")</f>
        <v>N/A - Period DMR Data Not Available</v>
      </c>
      <c r="Z219" s="311" t="str" cm="1">
        <f t="array" ref="Z219">IF(COUNTIF('Raw Annual DMR Data'!K:K,$E219)&gt;0,"N/A - See DMRs",IF(SUMIFS('Raw TRI Data'!$Z:$Z,'Raw TRI Data'!$J:$J,$E219)&gt;0,MEDIAN(IF('Raw TRI Data'!$J:$J=$E219,'Raw TRI Data'!$Z:$Z)), "N/A - Facility Does Not Report to TRI, no surface water releases, or no Generic Factors available"))</f>
        <v>N/A - Facility Does Not Report to TRI, no surface water releases, or no Generic Factors available</v>
      </c>
      <c r="AA219" s="156" t="str">
        <f>IF(COUNTIF('Raw Annual DMR Data'!K:K,$E219)&gt;0,"N/A - See DMRs",IF(SUMIFS('Raw TRI Data'!$Z:$Z,'Raw TRI Data'!$J:$J,$E219)&gt;0,_xlfn.MAXIFS('Raw TRI Data'!$Z:$Z,'Raw TRI Data'!$J:$J,$E219), "N/A - Facility Does Not Report to TRI, no surface water releases, or no Generic Factors available"))</f>
        <v>N/A - Facility Does Not Report to TRI, no surface water releases, or no Generic Factors available</v>
      </c>
      <c r="AB219" s="113" t="str">
        <f t="shared" si="25"/>
        <v>N/A</v>
      </c>
      <c r="AC219" s="136" t="str" cm="1">
        <f t="array" ref="AC219">IF(COUNTIF('Raw Annual DMR Data'!K:K,$E219)&gt;0,"N/A - See DMRs",IF(SUMIFS('Raw TRI Data'!$Z:$Z,'Raw TRI Data'!$J:$J,$E219)&gt;0,INDEX('Raw TRI Data'!$A:$A,MATCH(1,($E219='Raw TRI Data'!$J:$J)*($AA219='Raw TRI Data'!$Z:$Z),0)), "N/A - Facility Does Not Report to TRI, no surface water releases, or no Generic Factors available"))</f>
        <v>N/A - Facility Does Not Report to TRI, no surface water releases, or no Generic Factors available</v>
      </c>
      <c r="AD219" s="96" t="str" cm="1">
        <f t="array" ref="AD219">IF(COUNTIFS('Raw Annual DMR Data'!L:L,$F219,'Raw Annual DMR Data'!W:W, "&gt;0")&gt;0,MEDIAN(IF('Raw Annual DMR Data'!K:K=$F219, 'Raw Annual DMR Data'!W:W)), "N/A - No Daily Max DMR Discharge Data")</f>
        <v>N/A - No Daily Max DMR Discharge Data</v>
      </c>
      <c r="AE219" s="96" t="str">
        <f>IF(COUNTIFS('Raw Annual DMR Data'!L:L,$F219,'Raw Annual DMR Data'!W:W, "&gt;0")&gt;0,_xlfn.MAXIFS('Raw Annual DMR Data'!W:W,'Raw Annual DMR Data'!L:L,$F219), "N/A - No Daily Max DMR Discharge Data")</f>
        <v>N/A - No Daily Max DMR Discharge Data</v>
      </c>
      <c r="AF219" s="60" t="str" cm="1">
        <f t="array" ref="AF219">IF(COUNTIFS('Raw Annual DMR Data'!L:L,$F219,'Raw Annual DMR Data'!W:W, "&gt;0")&gt;0,INDEX('Raw Annual DMR Data'!B:B,MATCH(1,($F219='Raw Annual DMR Data'!L:L)*($AE219='Raw Annual DMR Data'!W:W),0)), "N/A - No Daily Max DMR Discharge Data")</f>
        <v>N/A - No Daily Max DMR Discharge Data</v>
      </c>
    </row>
    <row r="220" spans="1:32" ht="45.75" thickBot="1" x14ac:dyDescent="0.3">
      <c r="A220" s="144" t="str">
        <f>VLOOKUP(F220,'Facility Summary'!J:K,2,FALSE)</f>
        <v>Waste Handling, Disposal and Treatment (Landfill)</v>
      </c>
      <c r="B220" s="28" t="s">
        <v>1129</v>
      </c>
      <c r="C220" s="28" t="s">
        <v>1130</v>
      </c>
      <c r="D220" s="28" t="s">
        <v>366</v>
      </c>
      <c r="E220" s="28"/>
      <c r="F220" s="61">
        <v>110037256867</v>
      </c>
      <c r="G220" s="60" t="str">
        <f>VLOOKUP($F220, 'Raw Annual DMR Data'!$A:$Z, 24, FALSE)</f>
        <v>CA0050628</v>
      </c>
      <c r="H220" s="60" t="str">
        <f>VLOOKUP($F220, 'Raw Annual DMR Data'!$A:$Z, 25, FALSE)</f>
        <v>PISMO CREEK</v>
      </c>
      <c r="I220" s="74">
        <f>VLOOKUP($F220, 'Raw Annual DMR Data'!$A:$Z, 26, FALSE)</f>
        <v>18060006000027</v>
      </c>
      <c r="J220" s="74" t="s">
        <v>265</v>
      </c>
      <c r="K220" s="60">
        <f>VLOOKUP(A220, 'OES Summary'!$A:$B, 2, FALSE)</f>
        <v>250</v>
      </c>
      <c r="L220" s="304" cm="1">
        <f t="array" ref="L220">IF(COUNTIF('Raw Annual DMR Data'!$L:$L,$F220)&gt;0,MEDIAN(IF('Raw Annual DMR Data'!$L:$L=F220,'Raw Annual DMR Data'!$S:$S)),"N/A - Facility Does Not Report DMRs")</f>
        <v>2.6821617112500001E-2</v>
      </c>
      <c r="M220" s="156">
        <f t="shared" si="23"/>
        <v>1.0728646845000001E-4</v>
      </c>
      <c r="N220" s="156">
        <f>IF(COUNTIF('Raw Annual DMR Data'!$L:$L,$F220)&gt;0,_xlfn.MAXIFS('Raw Annual DMR Data'!$S:$S,'Raw Annual DMR Data'!$L:$L,$F220), "N/A - Facility Does Not Report DMRs")</f>
        <v>0.1623291875</v>
      </c>
      <c r="O220" s="156">
        <f t="shared" si="24"/>
        <v>6.4931674999999997E-4</v>
      </c>
      <c r="P220" s="113" cm="1">
        <f t="array" ref="P220">IF(COUNTIF('Raw Annual DMR Data'!$L:$L,$F220)&gt;0,INDEX('Raw Annual DMR Data'!$B:$B,MATCH(1,($F220='Raw Annual DMR Data'!$L:$L)*($N220='Raw Annual DMR Data'!$S:$S),0)), "N/A - Facility Does Not Report DMRs")</f>
        <v>2022</v>
      </c>
      <c r="Q220" s="304" t="str" cm="1">
        <f t="array" ref="Q220">IF(COUNTIF('Raw TRI Data'!$J:$J,$E220)&gt;0,MEDIAN(IF('Raw TRI Data'!$J:$J=E220,'Raw TRI Data'!$S:$S)), "N/A - Facility Does Not Report to TRI")</f>
        <v>N/A - Facility Does Not Report to TRI</v>
      </c>
      <c r="R220" s="156" t="str">
        <f t="shared" si="21"/>
        <v>N/A - Facility Does Not Report to TRI</v>
      </c>
      <c r="S220" s="156" t="str">
        <f>IF(COUNTIF('Raw TRI Data'!$J:$J,$E220)&gt;0,_xlfn.MAXIFS('Raw TRI Data'!$S:$S,'Raw TRI Data'!$J:$J,$E220), "N/A - Facility Does Not Report to TRI")</f>
        <v>N/A - Facility Does Not Report to TRI</v>
      </c>
      <c r="T220" s="156" t="str">
        <f t="shared" si="22"/>
        <v>N/A - Facility Does Not Report to TRI</v>
      </c>
      <c r="U220" s="136" t="str" cm="1">
        <f t="array" ref="U220">IF(COUNTIF('Raw TRI Data'!$J:$J,$E220)&gt;0,INDEX('Raw TRI Data'!$A:$A,MATCH(1,($E220='Raw TRI Data'!$J:$J)*(S220='Raw TRI Data'!$S:$S),0)), "N/A - Facility Does Not Report to TRI")</f>
        <v>N/A - Facility Does Not Report to TRI</v>
      </c>
      <c r="V220" s="156" t="str" cm="1">
        <f t="array" ref="V220">IF(COUNTIFS('Raw Annual DMR Data'!$L:$L,$F220,'Raw Annual DMR Data'!$U:$U,"&gt;0")&gt;0,MEDIAN(IF('Raw Annual DMR Data'!$L:$L=$F220,'Raw Annual DMR Data'!$U:$U,"")),"N/A - Period DMR Data Not Available")</f>
        <v>N/A - Period DMR Data Not Available</v>
      </c>
      <c r="W220" s="156" t="str">
        <f>IF(COUNTIFS('Raw Annual DMR Data'!$L:$L,$F220, 'Raw Annual DMR Data'!$U:$U, "&gt;0")&gt;0,_xlfn.MAXIFS('Raw Annual DMR Data'!$U:$U,'Raw Annual DMR Data'!$L:$L,$F220), "N/A - Period DMR Data Not Available")</f>
        <v>N/A - Period DMR Data Not Available</v>
      </c>
      <c r="X220" s="113" t="str" cm="1">
        <f t="array" ref="X220">+IF(COUNTIFS('Raw Annual DMR Data'!L:L,$F220, 'Raw Annual DMR Data'!U:U, "&gt;0")&gt;0,INDEX('Raw Annual DMR Data'!V:V,MATCH(1,($F220='Raw Annual DMR Data'!L:L)*($W220='Raw Annual DMR Data'!U:U),0)), "N/A - Period DMR Data Not Available")</f>
        <v>N/A - Period DMR Data Not Available</v>
      </c>
      <c r="Y220" s="113" t="str" cm="1">
        <f t="array" ref="Y220">IF(COUNTIFS('Raw Annual DMR Data'!L:L,$F220, 'Raw Annual DMR Data'!U:U, "&gt;0")&gt;0,INDEX('Raw Annual DMR Data'!B:B,MATCH(1,($F220='Raw Annual DMR Data'!L:L)*($W220='Raw Annual DMR Data'!U:U),0)), "N/A - Period DMR Data Not Available")</f>
        <v>N/A - Period DMR Data Not Available</v>
      </c>
      <c r="Z220" s="311" t="str" cm="1">
        <f t="array" ref="Z220">IF(COUNTIF('Raw Annual DMR Data'!K:K,$E220)&gt;0,"N/A - See DMRs",IF(SUMIFS('Raw TRI Data'!$Z:$Z,'Raw TRI Data'!$J:$J,$E220)&gt;0,MEDIAN(IF('Raw TRI Data'!$J:$J=$E220,'Raw TRI Data'!$Z:$Z)), "N/A - Facility Does Not Report to TRI, no surface water releases, or no Generic Factors available"))</f>
        <v>N/A - Facility Does Not Report to TRI, no surface water releases, or no Generic Factors available</v>
      </c>
      <c r="AA220" s="156" t="str">
        <f>IF(COUNTIF('Raw Annual DMR Data'!K:K,$E220)&gt;0,"N/A - See DMRs",IF(SUMIFS('Raw TRI Data'!$Z:$Z,'Raw TRI Data'!$J:$J,$E220)&gt;0,_xlfn.MAXIFS('Raw TRI Data'!$Z:$Z,'Raw TRI Data'!$J:$J,$E220), "N/A - Facility Does Not Report to TRI, no surface water releases, or no Generic Factors available"))</f>
        <v>N/A - Facility Does Not Report to TRI, no surface water releases, or no Generic Factors available</v>
      </c>
      <c r="AB220" s="113" t="str">
        <f t="shared" si="25"/>
        <v>N/A</v>
      </c>
      <c r="AC220" s="136" t="str" cm="1">
        <f t="array" ref="AC220">IF(COUNTIF('Raw Annual DMR Data'!K:K,$E220)&gt;0,"N/A - See DMRs",IF(SUMIFS('Raw TRI Data'!$Z:$Z,'Raw TRI Data'!$J:$J,$E220)&gt;0,INDEX('Raw TRI Data'!$A:$A,MATCH(1,($E220='Raw TRI Data'!$J:$J)*($AA220='Raw TRI Data'!$Z:$Z),0)), "N/A - Facility Does Not Report to TRI, no surface water releases, or no Generic Factors available"))</f>
        <v>N/A - Facility Does Not Report to TRI, no surface water releases, or no Generic Factors available</v>
      </c>
      <c r="AD220" s="96" t="str" cm="1">
        <f t="array" ref="AD220">IF(COUNTIFS('Raw Annual DMR Data'!L:L,$F220,'Raw Annual DMR Data'!W:W, "&gt;0")&gt;0,MEDIAN(IF('Raw Annual DMR Data'!K:K=$F220, 'Raw Annual DMR Data'!W:W)), "N/A - No Daily Max DMR Discharge Data")</f>
        <v>N/A - No Daily Max DMR Discharge Data</v>
      </c>
      <c r="AE220" s="96" t="str">
        <f>IF(COUNTIFS('Raw Annual DMR Data'!L:L,$F220,'Raw Annual DMR Data'!W:W, "&gt;0")&gt;0,_xlfn.MAXIFS('Raw Annual DMR Data'!W:W,'Raw Annual DMR Data'!L:L,$F220), "N/A - No Daily Max DMR Discharge Data")</f>
        <v>N/A - No Daily Max DMR Discharge Data</v>
      </c>
      <c r="AF220" s="60" t="str" cm="1">
        <f t="array" ref="AF220">IF(COUNTIFS('Raw Annual DMR Data'!L:L,$F220,'Raw Annual DMR Data'!W:W, "&gt;0")&gt;0,INDEX('Raw Annual DMR Data'!B:B,MATCH(1,($F220='Raw Annual DMR Data'!L:L)*($AE220='Raw Annual DMR Data'!W:W),0)), "N/A - No Daily Max DMR Discharge Data")</f>
        <v>N/A - No Daily Max DMR Discharge Data</v>
      </c>
    </row>
    <row r="221" spans="1:32" ht="45.75" thickBot="1" x14ac:dyDescent="0.3">
      <c r="A221" s="144" t="str">
        <f>VLOOKUP(F221,'Facility Summary'!J:K,2,FALSE)</f>
        <v>Unknown</v>
      </c>
      <c r="B221" s="28" t="s">
        <v>1131</v>
      </c>
      <c r="C221" s="28" t="s">
        <v>962</v>
      </c>
      <c r="D221" s="28" t="s">
        <v>374</v>
      </c>
      <c r="E221" s="28"/>
      <c r="F221" s="61">
        <v>110043452019</v>
      </c>
      <c r="G221" s="60" t="str">
        <f>VLOOKUP($F221, 'Raw Annual DMR Data'!$A:$Z, 24, FALSE)</f>
        <v>AZ0025861</v>
      </c>
      <c r="H221" s="60">
        <f>VLOOKUP($F221, 'Raw Annual DMR Data'!$A:$Z, 25, FALSE)</f>
        <v>0</v>
      </c>
      <c r="I221" s="74">
        <f>VLOOKUP($F221, 'Raw Annual DMR Data'!$A:$Z, 26, FALSE)</f>
        <v>15020015000457</v>
      </c>
      <c r="J221" s="74" t="s">
        <v>265</v>
      </c>
      <c r="K221" s="60">
        <f>VLOOKUP(A221, 'OES Summary'!$A:$B, 2, FALSE)</f>
        <v>250</v>
      </c>
      <c r="L221" s="304" cm="1">
        <f t="array" ref="L221">IF(COUNTIF('Raw Annual DMR Data'!$L:$L,$F221)&gt;0,MEDIAN(IF('Raw Annual DMR Data'!$L:$L=F221,'Raw Annual DMR Data'!$S:$S)),"N/A - Facility Does Not Report DMRs")</f>
        <v>0.29274041625000002</v>
      </c>
      <c r="M221" s="156">
        <f t="shared" si="23"/>
        <v>1.170961665E-3</v>
      </c>
      <c r="N221" s="156">
        <f>IF(COUNTIF('Raw Annual DMR Data'!$L:$L,$F221)&gt;0,_xlfn.MAXIFS('Raw Annual DMR Data'!$S:$S,'Raw Annual DMR Data'!$L:$L,$F221), "N/A - Facility Does Not Report DMRs")</f>
        <v>0.33233473349999998</v>
      </c>
      <c r="O221" s="156">
        <f t="shared" si="24"/>
        <v>1.329338934E-3</v>
      </c>
      <c r="P221" s="113" cm="1">
        <f t="array" ref="P221">IF(COUNTIF('Raw Annual DMR Data'!$L:$L,$F221)&gt;0,INDEX('Raw Annual DMR Data'!$B:$B,MATCH(1,($F221='Raw Annual DMR Data'!$L:$L)*($N221='Raw Annual DMR Data'!$S:$S),0)), "N/A - Facility Does Not Report DMRs")</f>
        <v>2016</v>
      </c>
      <c r="Q221" s="304" t="str" cm="1">
        <f t="array" ref="Q221">IF(COUNTIF('Raw TRI Data'!$J:$J,$E221)&gt;0,MEDIAN(IF('Raw TRI Data'!$J:$J=E221,'Raw TRI Data'!$S:$S)), "N/A - Facility Does Not Report to TRI")</f>
        <v>N/A - Facility Does Not Report to TRI</v>
      </c>
      <c r="R221" s="156" t="str">
        <f t="shared" si="21"/>
        <v>N/A - Facility Does Not Report to TRI</v>
      </c>
      <c r="S221" s="156" t="str">
        <f>IF(COUNTIF('Raw TRI Data'!$J:$J,$E221)&gt;0,_xlfn.MAXIFS('Raw TRI Data'!$S:$S,'Raw TRI Data'!$J:$J,$E221), "N/A - Facility Does Not Report to TRI")</f>
        <v>N/A - Facility Does Not Report to TRI</v>
      </c>
      <c r="T221" s="156" t="str">
        <f t="shared" si="22"/>
        <v>N/A - Facility Does Not Report to TRI</v>
      </c>
      <c r="U221" s="136" t="str" cm="1">
        <f t="array" ref="U221">IF(COUNTIF('Raw TRI Data'!$J:$J,$E221)&gt;0,INDEX('Raw TRI Data'!$A:$A,MATCH(1,($E221='Raw TRI Data'!$J:$J)*(S221='Raw TRI Data'!$S:$S),0)), "N/A - Facility Does Not Report to TRI")</f>
        <v>N/A - Facility Does Not Report to TRI</v>
      </c>
      <c r="V221" s="156" t="str" cm="1">
        <f t="array" ref="V221">IF(COUNTIFS('Raw Annual DMR Data'!$L:$L,$F221,'Raw Annual DMR Data'!$U:$U,"&gt;0")&gt;0,MEDIAN(IF('Raw Annual DMR Data'!$L:$L=$F221,'Raw Annual DMR Data'!$U:$U,"")),"N/A - Period DMR Data Not Available")</f>
        <v>N/A - Period DMR Data Not Available</v>
      </c>
      <c r="W221" s="156" t="str">
        <f>IF(COUNTIFS('Raw Annual DMR Data'!$L:$L,$F221, 'Raw Annual DMR Data'!$U:$U, "&gt;0")&gt;0,_xlfn.MAXIFS('Raw Annual DMR Data'!$U:$U,'Raw Annual DMR Data'!$L:$L,$F221), "N/A - Period DMR Data Not Available")</f>
        <v>N/A - Period DMR Data Not Available</v>
      </c>
      <c r="X221" s="113" t="str" cm="1">
        <f t="array" ref="X221">+IF(COUNTIFS('Raw Annual DMR Data'!L:L,$F221, 'Raw Annual DMR Data'!U:U, "&gt;0")&gt;0,INDEX('Raw Annual DMR Data'!V:V,MATCH(1,($F221='Raw Annual DMR Data'!L:L)*($W221='Raw Annual DMR Data'!U:U),0)), "N/A - Period DMR Data Not Available")</f>
        <v>N/A - Period DMR Data Not Available</v>
      </c>
      <c r="Y221" s="113" t="str" cm="1">
        <f t="array" ref="Y221">IF(COUNTIFS('Raw Annual DMR Data'!L:L,$F221, 'Raw Annual DMR Data'!U:U, "&gt;0")&gt;0,INDEX('Raw Annual DMR Data'!B:B,MATCH(1,($F221='Raw Annual DMR Data'!L:L)*($W221='Raw Annual DMR Data'!U:U),0)), "N/A - Period DMR Data Not Available")</f>
        <v>N/A - Period DMR Data Not Available</v>
      </c>
      <c r="Z221" s="311" t="str" cm="1">
        <f t="array" ref="Z221">IF(COUNTIF('Raw Annual DMR Data'!K:K,$E221)&gt;0,"N/A - See DMRs",IF(SUMIFS('Raw TRI Data'!$Z:$Z,'Raw TRI Data'!$J:$J,$E221)&gt;0,MEDIAN(IF('Raw TRI Data'!$J:$J=$E221,'Raw TRI Data'!$Z:$Z)), "N/A - Facility Does Not Report to TRI, no surface water releases, or no Generic Factors available"))</f>
        <v>N/A - Facility Does Not Report to TRI, no surface water releases, or no Generic Factors available</v>
      </c>
      <c r="AA221" s="156" t="str">
        <f>IF(COUNTIF('Raw Annual DMR Data'!K:K,$E221)&gt;0,"N/A - See DMRs",IF(SUMIFS('Raw TRI Data'!$Z:$Z,'Raw TRI Data'!$J:$J,$E221)&gt;0,_xlfn.MAXIFS('Raw TRI Data'!$Z:$Z,'Raw TRI Data'!$J:$J,$E221), "N/A - Facility Does Not Report to TRI, no surface water releases, or no Generic Factors available"))</f>
        <v>N/A - Facility Does Not Report to TRI, no surface water releases, or no Generic Factors available</v>
      </c>
      <c r="AB221" s="113" t="str">
        <f t="shared" si="25"/>
        <v>N/A</v>
      </c>
      <c r="AC221" s="136" t="str" cm="1">
        <f t="array" ref="AC221">IF(COUNTIF('Raw Annual DMR Data'!K:K,$E221)&gt;0,"N/A - See DMRs",IF(SUMIFS('Raw TRI Data'!$Z:$Z,'Raw TRI Data'!$J:$J,$E221)&gt;0,INDEX('Raw TRI Data'!$A:$A,MATCH(1,($E221='Raw TRI Data'!$J:$J)*($AA221='Raw TRI Data'!$Z:$Z),0)), "N/A - Facility Does Not Report to TRI, no surface water releases, or no Generic Factors available"))</f>
        <v>N/A - Facility Does Not Report to TRI, no surface water releases, or no Generic Factors available</v>
      </c>
      <c r="AD221" s="96" t="str" cm="1">
        <f t="array" ref="AD221">IF(COUNTIFS('Raw Annual DMR Data'!L:L,$F221,'Raw Annual DMR Data'!W:W, "&gt;0")&gt;0,MEDIAN(IF('Raw Annual DMR Data'!K:K=$F221, 'Raw Annual DMR Data'!W:W)), "N/A - No Daily Max DMR Discharge Data")</f>
        <v>N/A - No Daily Max DMR Discharge Data</v>
      </c>
      <c r="AE221" s="96" t="str">
        <f>IF(COUNTIFS('Raw Annual DMR Data'!L:L,$F221,'Raw Annual DMR Data'!W:W, "&gt;0")&gt;0,_xlfn.MAXIFS('Raw Annual DMR Data'!W:W,'Raw Annual DMR Data'!L:L,$F221), "N/A - No Daily Max DMR Discharge Data")</f>
        <v>N/A - No Daily Max DMR Discharge Data</v>
      </c>
      <c r="AF221" s="60" t="str" cm="1">
        <f t="array" ref="AF221">IF(COUNTIFS('Raw Annual DMR Data'!L:L,$F221,'Raw Annual DMR Data'!W:W, "&gt;0")&gt;0,INDEX('Raw Annual DMR Data'!B:B,MATCH(1,($F221='Raw Annual DMR Data'!L:L)*($AE221='Raw Annual DMR Data'!W:W),0)), "N/A - No Daily Max DMR Discharge Data")</f>
        <v>N/A - No Daily Max DMR Discharge Data</v>
      </c>
    </row>
    <row r="222" spans="1:32" ht="30.75" thickBot="1" x14ac:dyDescent="0.3">
      <c r="A222" s="144" t="str">
        <f>VLOOKUP(F222,'Facility Summary'!J:K,2,FALSE)</f>
        <v>Unknown</v>
      </c>
      <c r="B222" s="28" t="s">
        <v>1132</v>
      </c>
      <c r="C222" s="28" t="s">
        <v>1133</v>
      </c>
      <c r="D222" s="28" t="s">
        <v>999</v>
      </c>
      <c r="E222" s="28" t="s">
        <v>717</v>
      </c>
      <c r="F222" s="61">
        <v>110007681758</v>
      </c>
      <c r="G222" s="60" t="str">
        <f>VLOOKUP($F222, 'Raw Annual DMR Data'!$A:$Z, 24, FALSE)</f>
        <v>NHG910006</v>
      </c>
      <c r="H222" s="60">
        <f>VLOOKUP($F222, 'Raw Annual DMR Data'!$A:$Z, 25, FALSE)</f>
        <v>0</v>
      </c>
      <c r="I222" s="74">
        <f>VLOOKUP($F222, 'Raw Annual DMR Data'!$A:$Z, 26, FALSE)</f>
        <v>1070001000335</v>
      </c>
      <c r="J222" s="74" t="s">
        <v>265</v>
      </c>
      <c r="K222" s="60">
        <f>VLOOKUP(A222, 'OES Summary'!$A:$B, 2, FALSE)</f>
        <v>250</v>
      </c>
      <c r="L222" s="304" cm="1">
        <f t="array" ref="L222">IF(COUNTIF('Raw Annual DMR Data'!$L:$L,$F222)&gt;0,MEDIAN(IF('Raw Annual DMR Data'!$L:$L=F222,'Raw Annual DMR Data'!$S:$S)),"N/A - Facility Does Not Report DMRs")</f>
        <v>4.3275527142857097E-3</v>
      </c>
      <c r="M222" s="156">
        <f t="shared" si="23"/>
        <v>1.7310210857142837E-5</v>
      </c>
      <c r="N222" s="156">
        <f>IF(COUNTIF('Raw Annual DMR Data'!$L:$L,$F222)&gt;0,_xlfn.MAXIFS('Raw Annual DMR Data'!$S:$S,'Raw Annual DMR Data'!$L:$L,$F222), "N/A - Facility Does Not Report DMRs")</f>
        <v>6.1684901999999996E-3</v>
      </c>
      <c r="O222" s="156">
        <f t="shared" si="24"/>
        <v>2.4673960799999998E-5</v>
      </c>
      <c r="P222" s="113" cm="1">
        <f t="array" ref="P222">IF(COUNTIF('Raw Annual DMR Data'!$L:$L,$F222)&gt;0,INDEX('Raw Annual DMR Data'!$B:$B,MATCH(1,($F222='Raw Annual DMR Data'!$L:$L)*($N222='Raw Annual DMR Data'!$S:$S),0)), "N/A - Facility Does Not Report DMRs")</f>
        <v>2019</v>
      </c>
      <c r="Q222" s="304" t="str" cm="1">
        <f t="array" ref="Q222">IF(COUNTIF('Raw TRI Data'!$J:$J,$E222)&gt;0,MEDIAN(IF('Raw TRI Data'!$J:$J=E222,'Raw TRI Data'!$S:$S)), "N/A - Facility Does Not Report to TRI")</f>
        <v>N/A - Facility Does Not Report to TRI</v>
      </c>
      <c r="R222" s="156" t="str">
        <f t="shared" si="21"/>
        <v>N/A - Facility Does Not Report to TRI</v>
      </c>
      <c r="S222" s="156" t="str">
        <f>IF(COUNTIF('Raw TRI Data'!$J:$J,$E222)&gt;0,_xlfn.MAXIFS('Raw TRI Data'!$S:$S,'Raw TRI Data'!$J:$J,$E222), "N/A - Facility Does Not Report to TRI")</f>
        <v>N/A - Facility Does Not Report to TRI</v>
      </c>
      <c r="T222" s="156" t="str">
        <f t="shared" si="22"/>
        <v>N/A - Facility Does Not Report to TRI</v>
      </c>
      <c r="U222" s="136" t="str" cm="1">
        <f t="array" ref="U222">IF(COUNTIF('Raw TRI Data'!$J:$J,$E222)&gt;0,INDEX('Raw TRI Data'!$A:$A,MATCH(1,($E222='Raw TRI Data'!$J:$J)*(S222='Raw TRI Data'!$S:$S),0)), "N/A - Facility Does Not Report to TRI")</f>
        <v>N/A - Facility Does Not Report to TRI</v>
      </c>
      <c r="V222" s="156" t="str" cm="1">
        <f t="array" ref="V222">IF(COUNTIFS('Raw Annual DMR Data'!$L:$L,$F222,'Raw Annual DMR Data'!$U:$U,"&gt;0")&gt;0,MEDIAN(IF('Raw Annual DMR Data'!$L:$L=$F222,'Raw Annual DMR Data'!$U:$U,"")),"N/A - Period DMR Data Not Available")</f>
        <v>N/A - Period DMR Data Not Available</v>
      </c>
      <c r="W222" s="156" t="str">
        <f>IF(COUNTIFS('Raw Annual DMR Data'!$L:$L,$F222, 'Raw Annual DMR Data'!$U:$U, "&gt;0")&gt;0,_xlfn.MAXIFS('Raw Annual DMR Data'!$U:$U,'Raw Annual DMR Data'!$L:$L,$F222), "N/A - Period DMR Data Not Available")</f>
        <v>N/A - Period DMR Data Not Available</v>
      </c>
      <c r="X222" s="113" t="str" cm="1">
        <f t="array" ref="X222">+IF(COUNTIFS('Raw Annual DMR Data'!L:L,$F222, 'Raw Annual DMR Data'!U:U, "&gt;0")&gt;0,INDEX('Raw Annual DMR Data'!V:V,MATCH(1,($F222='Raw Annual DMR Data'!L:L)*($W222='Raw Annual DMR Data'!U:U),0)), "N/A - Period DMR Data Not Available")</f>
        <v>N/A - Period DMR Data Not Available</v>
      </c>
      <c r="Y222" s="113" t="str" cm="1">
        <f t="array" ref="Y222">IF(COUNTIFS('Raw Annual DMR Data'!L:L,$F222, 'Raw Annual DMR Data'!U:U, "&gt;0")&gt;0,INDEX('Raw Annual DMR Data'!B:B,MATCH(1,($F222='Raw Annual DMR Data'!L:L)*($W222='Raw Annual DMR Data'!U:U),0)), "N/A - Period DMR Data Not Available")</f>
        <v>N/A - Period DMR Data Not Available</v>
      </c>
      <c r="Z222" s="311" t="str" cm="1">
        <f t="array" ref="Z222">IF(COUNTIF('Raw Annual DMR Data'!K:K,$E222)&gt;0,"N/A - See DMRs",IF(SUMIFS('Raw TRI Data'!$Z:$Z,'Raw TRI Data'!$J:$J,$E222)&gt;0,MEDIAN(IF('Raw TRI Data'!$J:$J=$E222,'Raw TRI Data'!$Z:$Z)), "N/A - Facility Does Not Report to TRI, no surface water releases, or no Generic Factors available"))</f>
        <v>N/A - See DMRs</v>
      </c>
      <c r="AA222" s="156" t="str">
        <f>IF(COUNTIF('Raw Annual DMR Data'!K:K,$E222)&gt;0,"N/A - See DMRs",IF(SUMIFS('Raw TRI Data'!$Z:$Z,'Raw TRI Data'!$J:$J,$E222)&gt;0,_xlfn.MAXIFS('Raw TRI Data'!$Z:$Z,'Raw TRI Data'!$J:$J,$E222), "N/A - Facility Does Not Report to TRI, no surface water releases, or no Generic Factors available"))</f>
        <v>N/A - See DMRs</v>
      </c>
      <c r="AB222" s="113" t="str">
        <f t="shared" si="25"/>
        <v>N/A</v>
      </c>
      <c r="AC222" s="136" t="str" cm="1">
        <f t="array" ref="AC222">IF(COUNTIF('Raw Annual DMR Data'!K:K,$E222)&gt;0,"N/A - See DMRs",IF(SUMIFS('Raw TRI Data'!$Z:$Z,'Raw TRI Data'!$J:$J,$E222)&gt;0,INDEX('Raw TRI Data'!$A:$A,MATCH(1,($E222='Raw TRI Data'!$J:$J)*($AA222='Raw TRI Data'!$Z:$Z),0)), "N/A - Facility Does Not Report to TRI, no surface water releases, or no Generic Factors available"))</f>
        <v>N/A - See DMRs</v>
      </c>
      <c r="AD222" s="96" t="str" cm="1">
        <f t="array" ref="AD222">IF(COUNTIFS('Raw Annual DMR Data'!L:L,$F222,'Raw Annual DMR Data'!W:W, "&gt;0")&gt;0,MEDIAN(IF('Raw Annual DMR Data'!K:K=$F222, 'Raw Annual DMR Data'!W:W)), "N/A - No Daily Max DMR Discharge Data")</f>
        <v>N/A - No Daily Max DMR Discharge Data</v>
      </c>
      <c r="AE222" s="96" t="str">
        <f>IF(COUNTIFS('Raw Annual DMR Data'!L:L,$F222,'Raw Annual DMR Data'!W:W, "&gt;0")&gt;0,_xlfn.MAXIFS('Raw Annual DMR Data'!W:W,'Raw Annual DMR Data'!L:L,$F222), "N/A - No Daily Max DMR Discharge Data")</f>
        <v>N/A - No Daily Max DMR Discharge Data</v>
      </c>
      <c r="AF222" s="60" t="str" cm="1">
        <f t="array" ref="AF222">IF(COUNTIFS('Raw Annual DMR Data'!L:L,$F222,'Raw Annual DMR Data'!W:W, "&gt;0")&gt;0,INDEX('Raw Annual DMR Data'!B:B,MATCH(1,($F222='Raw Annual DMR Data'!L:L)*($AE222='Raw Annual DMR Data'!W:W),0)), "N/A - No Daily Max DMR Discharge Data")</f>
        <v>N/A - No Daily Max DMR Discharge Data</v>
      </c>
    </row>
    <row r="223" spans="1:32" ht="30.75" thickBot="1" x14ac:dyDescent="0.3">
      <c r="A223" s="144" t="str">
        <f>VLOOKUP(F223,'Facility Summary'!J:K,2,FALSE)</f>
        <v>Unknown</v>
      </c>
      <c r="B223" s="28" t="s">
        <v>1134</v>
      </c>
      <c r="C223" s="28" t="s">
        <v>1135</v>
      </c>
      <c r="D223" s="28" t="s">
        <v>299</v>
      </c>
      <c r="E223" s="28" t="s">
        <v>718</v>
      </c>
      <c r="F223" s="61">
        <v>110017432937</v>
      </c>
      <c r="G223" s="60" t="str">
        <f>VLOOKUP($F223, 'Raw Annual DMR Data'!$A:$Z, 24, FALSE)</f>
        <v>AR0035386</v>
      </c>
      <c r="H223" s="60" t="str">
        <f>VLOOKUP($F223, 'Raw Annual DMR Data'!$A:$Z, 25, FALSE)</f>
        <v>WHITE RIVER</v>
      </c>
      <c r="I223" s="74">
        <f>VLOOKUP($F223, 'Raw Annual DMR Data'!$A:$Z, 26, FALSE)</f>
        <v>11010004002024</v>
      </c>
      <c r="J223" s="74" t="s">
        <v>265</v>
      </c>
      <c r="K223" s="60">
        <f>VLOOKUP(A223, 'OES Summary'!$A:$B, 2, FALSE)</f>
        <v>250</v>
      </c>
      <c r="L223" s="304" cm="1">
        <f t="array" ref="L223">IF(COUNTIF('Raw Annual DMR Data'!$L:$L,$F223)&gt;0,MEDIAN(IF('Raw Annual DMR Data'!$L:$L=F223,'Raw Annual DMR Data'!$S:$S)),"N/A - Facility Does Not Report DMRs")</f>
        <v>5.1609977324263001</v>
      </c>
      <c r="M223" s="156">
        <f t="shared" si="23"/>
        <v>2.0643990929705199E-2</v>
      </c>
      <c r="N223" s="156">
        <f>IF(COUNTIF('Raw Annual DMR Data'!$L:$L,$F223)&gt;0,_xlfn.MAXIFS('Raw Annual DMR Data'!$S:$S,'Raw Annual DMR Data'!$L:$L,$F223), "N/A - Facility Does Not Report DMRs")</f>
        <v>7.0317460317460299</v>
      </c>
      <c r="O223" s="156">
        <f t="shared" si="24"/>
        <v>2.8126984126984118E-2</v>
      </c>
      <c r="P223" s="113" cm="1">
        <f t="array" ref="P223">IF(COUNTIF('Raw Annual DMR Data'!$L:$L,$F223)&gt;0,INDEX('Raw Annual DMR Data'!$B:$B,MATCH(1,($F223='Raw Annual DMR Data'!$L:$L)*($N223='Raw Annual DMR Data'!$S:$S),0)), "N/A - Facility Does Not Report DMRs")</f>
        <v>2015</v>
      </c>
      <c r="Q223" s="304" t="str" cm="1">
        <f t="array" ref="Q223">IF(COUNTIF('Raw TRI Data'!$J:$J,$E223)&gt;0,MEDIAN(IF('Raw TRI Data'!$J:$J=E223,'Raw TRI Data'!$S:$S)), "N/A - Facility Does Not Report to TRI")</f>
        <v>N/A - Facility Does Not Report to TRI</v>
      </c>
      <c r="R223" s="156" t="str">
        <f t="shared" si="21"/>
        <v>N/A - Facility Does Not Report to TRI</v>
      </c>
      <c r="S223" s="156" t="str">
        <f>IF(COUNTIF('Raw TRI Data'!$J:$J,$E223)&gt;0,_xlfn.MAXIFS('Raw TRI Data'!$S:$S,'Raw TRI Data'!$J:$J,$E223), "N/A - Facility Does Not Report to TRI")</f>
        <v>N/A - Facility Does Not Report to TRI</v>
      </c>
      <c r="T223" s="156" t="str">
        <f t="shared" si="22"/>
        <v>N/A - Facility Does Not Report to TRI</v>
      </c>
      <c r="U223" s="136" t="str" cm="1">
        <f t="array" ref="U223">IF(COUNTIF('Raw TRI Data'!$J:$J,$E223)&gt;0,INDEX('Raw TRI Data'!$A:$A,MATCH(1,($E223='Raw TRI Data'!$J:$J)*(S223='Raw TRI Data'!$S:$S),0)), "N/A - Facility Does Not Report to TRI")</f>
        <v>N/A - Facility Does Not Report to TRI</v>
      </c>
      <c r="V223" s="156" t="str" cm="1">
        <f t="array" ref="V223">IF(COUNTIFS('Raw Annual DMR Data'!$L:$L,$F223,'Raw Annual DMR Data'!$U:$U,"&gt;0")&gt;0,MEDIAN(IF('Raw Annual DMR Data'!$L:$L=$F223,'Raw Annual DMR Data'!$U:$U,"")),"N/A - Period DMR Data Not Available")</f>
        <v>N/A - Period DMR Data Not Available</v>
      </c>
      <c r="W223" s="156" t="str">
        <f>IF(COUNTIFS('Raw Annual DMR Data'!$L:$L,$F223, 'Raw Annual DMR Data'!$U:$U, "&gt;0")&gt;0,_xlfn.MAXIFS('Raw Annual DMR Data'!$U:$U,'Raw Annual DMR Data'!$L:$L,$F223), "N/A - Period DMR Data Not Available")</f>
        <v>N/A - Period DMR Data Not Available</v>
      </c>
      <c r="X223" s="113" t="str" cm="1">
        <f t="array" ref="X223">+IF(COUNTIFS('Raw Annual DMR Data'!L:L,$F223, 'Raw Annual DMR Data'!U:U, "&gt;0")&gt;0,INDEX('Raw Annual DMR Data'!V:V,MATCH(1,($F223='Raw Annual DMR Data'!L:L)*($W223='Raw Annual DMR Data'!U:U),0)), "N/A - Period DMR Data Not Available")</f>
        <v>N/A - Period DMR Data Not Available</v>
      </c>
      <c r="Y223" s="113" t="str" cm="1">
        <f t="array" ref="Y223">IF(COUNTIFS('Raw Annual DMR Data'!L:L,$F223, 'Raw Annual DMR Data'!U:U, "&gt;0")&gt;0,INDEX('Raw Annual DMR Data'!B:B,MATCH(1,($F223='Raw Annual DMR Data'!L:L)*($W223='Raw Annual DMR Data'!U:U),0)), "N/A - Period DMR Data Not Available")</f>
        <v>N/A - Period DMR Data Not Available</v>
      </c>
      <c r="Z223" s="311" t="str" cm="1">
        <f t="array" ref="Z223">IF(COUNTIF('Raw Annual DMR Data'!K:K,$E223)&gt;0,"N/A - See DMRs",IF(SUMIFS('Raw TRI Data'!$Z:$Z,'Raw TRI Data'!$J:$J,$E223)&gt;0,MEDIAN(IF('Raw TRI Data'!$J:$J=$E223,'Raw TRI Data'!$Z:$Z)), "N/A - Facility Does Not Report to TRI, no surface water releases, or no Generic Factors available"))</f>
        <v>N/A - See DMRs</v>
      </c>
      <c r="AA223" s="156" t="str">
        <f>IF(COUNTIF('Raw Annual DMR Data'!K:K,$E223)&gt;0,"N/A - See DMRs",IF(SUMIFS('Raw TRI Data'!$Z:$Z,'Raw TRI Data'!$J:$J,$E223)&gt;0,_xlfn.MAXIFS('Raw TRI Data'!$Z:$Z,'Raw TRI Data'!$J:$J,$E223), "N/A - Facility Does Not Report to TRI, no surface water releases, or no Generic Factors available"))</f>
        <v>N/A - See DMRs</v>
      </c>
      <c r="AB223" s="113" t="str">
        <f t="shared" si="25"/>
        <v>N/A</v>
      </c>
      <c r="AC223" s="136" t="str" cm="1">
        <f t="array" ref="AC223">IF(COUNTIF('Raw Annual DMR Data'!K:K,$E223)&gt;0,"N/A - See DMRs",IF(SUMIFS('Raw TRI Data'!$Z:$Z,'Raw TRI Data'!$J:$J,$E223)&gt;0,INDEX('Raw TRI Data'!$A:$A,MATCH(1,($E223='Raw TRI Data'!$J:$J)*($AA223='Raw TRI Data'!$Z:$Z),0)), "N/A - Facility Does Not Report to TRI, no surface water releases, or no Generic Factors available"))</f>
        <v>N/A - See DMRs</v>
      </c>
      <c r="AD223" s="96" t="str" cm="1">
        <f t="array" ref="AD223">IF(COUNTIFS('Raw Annual DMR Data'!L:L,$F223,'Raw Annual DMR Data'!W:W, "&gt;0")&gt;0,MEDIAN(IF('Raw Annual DMR Data'!K:K=$F223, 'Raw Annual DMR Data'!W:W)), "N/A - No Daily Max DMR Discharge Data")</f>
        <v>N/A - No Daily Max DMR Discharge Data</v>
      </c>
      <c r="AE223" s="96" t="str">
        <f>IF(COUNTIFS('Raw Annual DMR Data'!L:L,$F223,'Raw Annual DMR Data'!W:W, "&gt;0")&gt;0,_xlfn.MAXIFS('Raw Annual DMR Data'!W:W,'Raw Annual DMR Data'!L:L,$F223), "N/A - No Daily Max DMR Discharge Data")</f>
        <v>N/A - No Daily Max DMR Discharge Data</v>
      </c>
      <c r="AF223" s="60" t="str" cm="1">
        <f t="array" ref="AF223">IF(COUNTIFS('Raw Annual DMR Data'!L:L,$F223,'Raw Annual DMR Data'!W:W, "&gt;0")&gt;0,INDEX('Raw Annual DMR Data'!B:B,MATCH(1,($F223='Raw Annual DMR Data'!L:L)*($AE223='Raw Annual DMR Data'!W:W),0)), "N/A - No Daily Max DMR Discharge Data")</f>
        <v>N/A - No Daily Max DMR Discharge Data</v>
      </c>
    </row>
    <row r="224" spans="1:32" ht="30.75" thickBot="1" x14ac:dyDescent="0.3">
      <c r="A224" s="144" t="str">
        <f>VLOOKUP(F224,'Facility Summary'!J:K,2,FALSE)</f>
        <v>Unknown</v>
      </c>
      <c r="B224" s="28" t="s">
        <v>1136</v>
      </c>
      <c r="C224" s="28" t="s">
        <v>1137</v>
      </c>
      <c r="D224" s="28" t="s">
        <v>427</v>
      </c>
      <c r="E224" s="28" t="s">
        <v>719</v>
      </c>
      <c r="F224" s="61">
        <v>110000593206</v>
      </c>
      <c r="G224" s="60" t="str">
        <f>VLOOKUP($F224, 'Raw Annual DMR Data'!$A:$Z, 24, FALSE)</f>
        <v>MI0045551</v>
      </c>
      <c r="H224" s="60" t="str">
        <f>VLOOKUP($F224, 'Raw Annual DMR Data'!$A:$Z, 25, FALSE)</f>
        <v>UNNAMED DRAIN TO THE ST. JOSEPH RIVER</v>
      </c>
      <c r="I224" s="74">
        <f>VLOOKUP($F224, 'Raw Annual DMR Data'!$A:$Z, 26, FALSE)</f>
        <v>4050001000919</v>
      </c>
      <c r="J224" s="74" t="s">
        <v>265</v>
      </c>
      <c r="K224" s="60">
        <f>VLOOKUP(A224, 'OES Summary'!$A:$B, 2, FALSE)</f>
        <v>250</v>
      </c>
      <c r="L224" s="304" cm="1">
        <f t="array" ref="L224">IF(COUNTIF('Raw Annual DMR Data'!$L:$L,$F224)&gt;0,MEDIAN(IF('Raw Annual DMR Data'!$L:$L=F224,'Raw Annual DMR Data'!$S:$S)),"N/A - Facility Does Not Report DMRs")</f>
        <v>3.831460875E-2</v>
      </c>
      <c r="M224" s="156">
        <f t="shared" si="23"/>
        <v>1.53258435E-4</v>
      </c>
      <c r="N224" s="156">
        <f>IF(COUNTIF('Raw Annual DMR Data'!$L:$L,$F224)&gt;0,_xlfn.MAXIFS('Raw Annual DMR Data'!$S:$S,'Raw Annual DMR Data'!$L:$L,$F224), "N/A - Facility Does Not Report DMRs")</f>
        <v>5.6105055000000001E-2</v>
      </c>
      <c r="O224" s="156">
        <f t="shared" si="24"/>
        <v>2.2442022000000001E-4</v>
      </c>
      <c r="P224" s="113" cm="1">
        <f t="array" ref="P224">IF(COUNTIF('Raw Annual DMR Data'!$L:$L,$F224)&gt;0,INDEX('Raw Annual DMR Data'!$B:$B,MATCH(1,($F224='Raw Annual DMR Data'!$L:$L)*($N224='Raw Annual DMR Data'!$S:$S),0)), "N/A - Facility Does Not Report DMRs")</f>
        <v>2016</v>
      </c>
      <c r="Q224" s="304" t="str" cm="1">
        <f t="array" ref="Q224">IF(COUNTIF('Raw TRI Data'!$J:$J,$E224)&gt;0,MEDIAN(IF('Raw TRI Data'!$J:$J=E224,'Raw TRI Data'!$S:$S)), "N/A - Facility Does Not Report to TRI")</f>
        <v>N/A - Facility Does Not Report to TRI</v>
      </c>
      <c r="R224" s="156" t="str">
        <f t="shared" si="21"/>
        <v>N/A - Facility Does Not Report to TRI</v>
      </c>
      <c r="S224" s="156" t="str">
        <f>IF(COUNTIF('Raw TRI Data'!$J:$J,$E224)&gt;0,_xlfn.MAXIFS('Raw TRI Data'!$S:$S,'Raw TRI Data'!$J:$J,$E224), "N/A - Facility Does Not Report to TRI")</f>
        <v>N/A - Facility Does Not Report to TRI</v>
      </c>
      <c r="T224" s="156" t="str">
        <f t="shared" si="22"/>
        <v>N/A - Facility Does Not Report to TRI</v>
      </c>
      <c r="U224" s="136" t="str" cm="1">
        <f t="array" ref="U224">IF(COUNTIF('Raw TRI Data'!$J:$J,$E224)&gt;0,INDEX('Raw TRI Data'!$A:$A,MATCH(1,($E224='Raw TRI Data'!$J:$J)*(S224='Raw TRI Data'!$S:$S),0)), "N/A - Facility Does Not Report to TRI")</f>
        <v>N/A - Facility Does Not Report to TRI</v>
      </c>
      <c r="V224" s="156" t="str" cm="1">
        <f t="array" ref="V224">IF(COUNTIFS('Raw Annual DMR Data'!$L:$L,$F224,'Raw Annual DMR Data'!$U:$U,"&gt;0")&gt;0,MEDIAN(IF('Raw Annual DMR Data'!$L:$L=$F224,'Raw Annual DMR Data'!$U:$U,"")),"N/A - Period DMR Data Not Available")</f>
        <v>N/A - Period DMR Data Not Available</v>
      </c>
      <c r="W224" s="156" t="str">
        <f>IF(COUNTIFS('Raw Annual DMR Data'!$L:$L,$F224, 'Raw Annual DMR Data'!$U:$U, "&gt;0")&gt;0,_xlfn.MAXIFS('Raw Annual DMR Data'!$U:$U,'Raw Annual DMR Data'!$L:$L,$F224), "N/A - Period DMR Data Not Available")</f>
        <v>N/A - Period DMR Data Not Available</v>
      </c>
      <c r="X224" s="113" t="str" cm="1">
        <f t="array" ref="X224">+IF(COUNTIFS('Raw Annual DMR Data'!L:L,$F224, 'Raw Annual DMR Data'!U:U, "&gt;0")&gt;0,INDEX('Raw Annual DMR Data'!V:V,MATCH(1,($F224='Raw Annual DMR Data'!L:L)*($W224='Raw Annual DMR Data'!U:U),0)), "N/A - Period DMR Data Not Available")</f>
        <v>N/A - Period DMR Data Not Available</v>
      </c>
      <c r="Y224" s="113" t="str" cm="1">
        <f t="array" ref="Y224">IF(COUNTIFS('Raw Annual DMR Data'!L:L,$F224, 'Raw Annual DMR Data'!U:U, "&gt;0")&gt;0,INDEX('Raw Annual DMR Data'!B:B,MATCH(1,($F224='Raw Annual DMR Data'!L:L)*($W224='Raw Annual DMR Data'!U:U),0)), "N/A - Period DMR Data Not Available")</f>
        <v>N/A - Period DMR Data Not Available</v>
      </c>
      <c r="Z224" s="311" t="str" cm="1">
        <f t="array" ref="Z224">IF(COUNTIF('Raw Annual DMR Data'!K:K,$E224)&gt;0,"N/A - See DMRs",IF(SUMIFS('Raw TRI Data'!$Z:$Z,'Raw TRI Data'!$J:$J,$E224)&gt;0,MEDIAN(IF('Raw TRI Data'!$J:$J=$E224,'Raw TRI Data'!$Z:$Z)), "N/A - Facility Does Not Report to TRI, no surface water releases, or no Generic Factors available"))</f>
        <v>N/A - See DMRs</v>
      </c>
      <c r="AA224" s="156" t="str">
        <f>IF(COUNTIF('Raw Annual DMR Data'!K:K,$E224)&gt;0,"N/A - See DMRs",IF(SUMIFS('Raw TRI Data'!$Z:$Z,'Raw TRI Data'!$J:$J,$E224)&gt;0,_xlfn.MAXIFS('Raw TRI Data'!$Z:$Z,'Raw TRI Data'!$J:$J,$E224), "N/A - Facility Does Not Report to TRI, no surface water releases, or no Generic Factors available"))</f>
        <v>N/A - See DMRs</v>
      </c>
      <c r="AB224" s="113" t="str">
        <f t="shared" si="25"/>
        <v>N/A</v>
      </c>
      <c r="AC224" s="136" t="str" cm="1">
        <f t="array" ref="AC224">IF(COUNTIF('Raw Annual DMR Data'!K:K,$E224)&gt;0,"N/A - See DMRs",IF(SUMIFS('Raw TRI Data'!$Z:$Z,'Raw TRI Data'!$J:$J,$E224)&gt;0,INDEX('Raw TRI Data'!$A:$A,MATCH(1,($E224='Raw TRI Data'!$J:$J)*($AA224='Raw TRI Data'!$Z:$Z),0)), "N/A - Facility Does Not Report to TRI, no surface water releases, or no Generic Factors available"))</f>
        <v>N/A - See DMRs</v>
      </c>
      <c r="AD224" s="96" t="str" cm="1">
        <f t="array" ref="AD224">IF(COUNTIFS('Raw Annual DMR Data'!L:L,$F224,'Raw Annual DMR Data'!W:W, "&gt;0")&gt;0,MEDIAN(IF('Raw Annual DMR Data'!K:K=$F224, 'Raw Annual DMR Data'!W:W)), "N/A - No Daily Max DMR Discharge Data")</f>
        <v>N/A - No Daily Max DMR Discharge Data</v>
      </c>
      <c r="AE224" s="96" t="str">
        <f>IF(COUNTIFS('Raw Annual DMR Data'!L:L,$F224,'Raw Annual DMR Data'!W:W, "&gt;0")&gt;0,_xlfn.MAXIFS('Raw Annual DMR Data'!W:W,'Raw Annual DMR Data'!L:L,$F224), "N/A - No Daily Max DMR Discharge Data")</f>
        <v>N/A - No Daily Max DMR Discharge Data</v>
      </c>
      <c r="AF224" s="60" t="str" cm="1">
        <f t="array" ref="AF224">IF(COUNTIFS('Raw Annual DMR Data'!L:L,$F224,'Raw Annual DMR Data'!W:W, "&gt;0")&gt;0,INDEX('Raw Annual DMR Data'!B:B,MATCH(1,($F224='Raw Annual DMR Data'!L:L)*($AE224='Raw Annual DMR Data'!W:W),0)), "N/A - No Daily Max DMR Discharge Data")</f>
        <v>N/A - No Daily Max DMR Discharge Data</v>
      </c>
    </row>
    <row r="225" spans="1:32" ht="45.75" thickBot="1" x14ac:dyDescent="0.3">
      <c r="A225" s="144" t="str">
        <f>VLOOKUP(F225,'Facility Summary'!J:K,2,FALSE)</f>
        <v>POTW</v>
      </c>
      <c r="B225" s="28" t="s">
        <v>1138</v>
      </c>
      <c r="C225" s="28" t="s">
        <v>1139</v>
      </c>
      <c r="D225" s="28" t="s">
        <v>324</v>
      </c>
      <c r="E225" s="28"/>
      <c r="F225" s="61">
        <v>110001123276</v>
      </c>
      <c r="G225" s="60" t="str">
        <f>VLOOKUP($F225, 'Raw Annual DMR Data'!$A:$Z, 24, FALSE)</f>
        <v>KY0021164</v>
      </c>
      <c r="H225" s="60" t="str">
        <f>VLOOKUP($F225, 'Raw Annual DMR Data'!$A:$Z, 25, FALSE)</f>
        <v>HUGGINS BR / SOUTH FORK/ BEAVER CRK, HUGGINS BRANCH, SOUTH FORK BEAVER CREEK</v>
      </c>
      <c r="I225" s="74">
        <f>VLOOKUP($F225, 'Raw Annual DMR Data'!$A:$Z, 26, FALSE)</f>
        <v>5110002001123</v>
      </c>
      <c r="J225" s="74" t="s">
        <v>265</v>
      </c>
      <c r="K225" s="60">
        <f>VLOOKUP(A225, 'OES Summary'!$A:$B, 2, FALSE)</f>
        <v>365</v>
      </c>
      <c r="L225" s="304" cm="1">
        <f t="array" ref="L225">IF(COUNTIF('Raw Annual DMR Data'!$L:$L,$F225)&gt;0,MEDIAN(IF('Raw Annual DMR Data'!$L:$L=F225,'Raw Annual DMR Data'!$S:$S)),"N/A - Facility Does Not Report DMRs")</f>
        <v>3.6251215999999999</v>
      </c>
      <c r="M225" s="156">
        <f t="shared" si="23"/>
        <v>9.9318399999999991E-3</v>
      </c>
      <c r="N225" s="156">
        <f>IF(COUNTIF('Raw Annual DMR Data'!$L:$L,$F225)&gt;0,_xlfn.MAXIFS('Raw Annual DMR Data'!$S:$S,'Raw Annual DMR Data'!$L:$L,$F225), "N/A - Facility Does Not Report DMRs")</f>
        <v>5.2014416250000002</v>
      </c>
      <c r="O225" s="156">
        <f t="shared" si="24"/>
        <v>1.4250525E-2</v>
      </c>
      <c r="P225" s="113" cm="1">
        <f t="array" ref="P225">IF(COUNTIF('Raw Annual DMR Data'!$L:$L,$F225)&gt;0,INDEX('Raw Annual DMR Data'!$B:$B,MATCH(1,($F225='Raw Annual DMR Data'!$L:$L)*($N225='Raw Annual DMR Data'!$S:$S),0)), "N/A - Facility Does Not Report DMRs")</f>
        <v>2019</v>
      </c>
      <c r="Q225" s="304" t="str" cm="1">
        <f t="array" ref="Q225">IF(COUNTIF('Raw TRI Data'!$J:$J,$E225)&gt;0,MEDIAN(IF('Raw TRI Data'!$J:$J=E225,'Raw TRI Data'!$S:$S)), "N/A - Facility Does Not Report to TRI")</f>
        <v>N/A - Facility Does Not Report to TRI</v>
      </c>
      <c r="R225" s="156" t="str">
        <f t="shared" si="21"/>
        <v>N/A - Facility Does Not Report to TRI</v>
      </c>
      <c r="S225" s="156" t="str">
        <f>IF(COUNTIF('Raw TRI Data'!$J:$J,$E225)&gt;0,_xlfn.MAXIFS('Raw TRI Data'!$S:$S,'Raw TRI Data'!$J:$J,$E225), "N/A - Facility Does Not Report to TRI")</f>
        <v>N/A - Facility Does Not Report to TRI</v>
      </c>
      <c r="T225" s="156" t="str">
        <f t="shared" si="22"/>
        <v>N/A - Facility Does Not Report to TRI</v>
      </c>
      <c r="U225" s="136" t="str" cm="1">
        <f t="array" ref="U225">IF(COUNTIF('Raw TRI Data'!$J:$J,$E225)&gt;0,INDEX('Raw TRI Data'!$A:$A,MATCH(1,($E225='Raw TRI Data'!$J:$J)*(S225='Raw TRI Data'!$S:$S),0)), "N/A - Facility Does Not Report to TRI")</f>
        <v>N/A - Facility Does Not Report to TRI</v>
      </c>
      <c r="V225" s="156" t="str" cm="1">
        <f t="array" ref="V225">IF(COUNTIFS('Raw Annual DMR Data'!$L:$L,$F225,'Raw Annual DMR Data'!$U:$U,"&gt;0")&gt;0,MEDIAN(IF('Raw Annual DMR Data'!$L:$L=$F225,'Raw Annual DMR Data'!$U:$U,"")),"N/A - Period DMR Data Not Available")</f>
        <v>N/A - Period DMR Data Not Available</v>
      </c>
      <c r="W225" s="156" t="str">
        <f>IF(COUNTIFS('Raw Annual DMR Data'!$L:$L,$F225, 'Raw Annual DMR Data'!$U:$U, "&gt;0")&gt;0,_xlfn.MAXIFS('Raw Annual DMR Data'!$U:$U,'Raw Annual DMR Data'!$L:$L,$F225), "N/A - Period DMR Data Not Available")</f>
        <v>N/A - Period DMR Data Not Available</v>
      </c>
      <c r="X225" s="113" t="str" cm="1">
        <f t="array" ref="X225">+IF(COUNTIFS('Raw Annual DMR Data'!L:L,$F225, 'Raw Annual DMR Data'!U:U, "&gt;0")&gt;0,INDEX('Raw Annual DMR Data'!V:V,MATCH(1,($F225='Raw Annual DMR Data'!L:L)*($W225='Raw Annual DMR Data'!U:U),0)), "N/A - Period DMR Data Not Available")</f>
        <v>N/A - Period DMR Data Not Available</v>
      </c>
      <c r="Y225" s="113" t="str" cm="1">
        <f t="array" ref="Y225">IF(COUNTIFS('Raw Annual DMR Data'!L:L,$F225, 'Raw Annual DMR Data'!U:U, "&gt;0")&gt;0,INDEX('Raw Annual DMR Data'!B:B,MATCH(1,($F225='Raw Annual DMR Data'!L:L)*($W225='Raw Annual DMR Data'!U:U),0)), "N/A - Period DMR Data Not Available")</f>
        <v>N/A - Period DMR Data Not Available</v>
      </c>
      <c r="Z225" s="311" t="str" cm="1">
        <f t="array" ref="Z225">IF(COUNTIF('Raw Annual DMR Data'!K:K,$E225)&gt;0,"N/A - See DMRs",IF(SUMIFS('Raw TRI Data'!$Z:$Z,'Raw TRI Data'!$J:$J,$E225)&gt;0,MEDIAN(IF('Raw TRI Data'!$J:$J=$E225,'Raw TRI Data'!$Z:$Z)), "N/A - Facility Does Not Report to TRI, no surface water releases, or no Generic Factors available"))</f>
        <v>N/A - Facility Does Not Report to TRI, no surface water releases, or no Generic Factors available</v>
      </c>
      <c r="AA225" s="156" t="str">
        <f>IF(COUNTIF('Raw Annual DMR Data'!K:K,$E225)&gt;0,"N/A - See DMRs",IF(SUMIFS('Raw TRI Data'!$Z:$Z,'Raw TRI Data'!$J:$J,$E225)&gt;0,_xlfn.MAXIFS('Raw TRI Data'!$Z:$Z,'Raw TRI Data'!$J:$J,$E225), "N/A - Facility Does Not Report to TRI, no surface water releases, or no Generic Factors available"))</f>
        <v>N/A - Facility Does Not Report to TRI, no surface water releases, or no Generic Factors available</v>
      </c>
      <c r="AB225" s="113" t="str">
        <f t="shared" si="25"/>
        <v>N/A</v>
      </c>
      <c r="AC225" s="136" t="str" cm="1">
        <f t="array" ref="AC225">IF(COUNTIF('Raw Annual DMR Data'!K:K,$E225)&gt;0,"N/A - See DMRs",IF(SUMIFS('Raw TRI Data'!$Z:$Z,'Raw TRI Data'!$J:$J,$E225)&gt;0,INDEX('Raw TRI Data'!$A:$A,MATCH(1,($E225='Raw TRI Data'!$J:$J)*($AA225='Raw TRI Data'!$Z:$Z),0)), "N/A - Facility Does Not Report to TRI, no surface water releases, or no Generic Factors available"))</f>
        <v>N/A - Facility Does Not Report to TRI, no surface water releases, or no Generic Factors available</v>
      </c>
      <c r="AD225" s="96" t="str" cm="1">
        <f t="array" ref="AD225">IF(COUNTIFS('Raw Annual DMR Data'!L:L,$F225,'Raw Annual DMR Data'!W:W, "&gt;0")&gt;0,MEDIAN(IF('Raw Annual DMR Data'!K:K=$F225, 'Raw Annual DMR Data'!W:W)), "N/A - No Daily Max DMR Discharge Data")</f>
        <v>N/A - No Daily Max DMR Discharge Data</v>
      </c>
      <c r="AE225" s="96" t="str">
        <f>IF(COUNTIFS('Raw Annual DMR Data'!L:L,$F225,'Raw Annual DMR Data'!W:W, "&gt;0")&gt;0,_xlfn.MAXIFS('Raw Annual DMR Data'!W:W,'Raw Annual DMR Data'!L:L,$F225), "N/A - No Daily Max DMR Discharge Data")</f>
        <v>N/A - No Daily Max DMR Discharge Data</v>
      </c>
      <c r="AF225" s="60" t="str" cm="1">
        <f t="array" ref="AF225">IF(COUNTIFS('Raw Annual DMR Data'!L:L,$F225,'Raw Annual DMR Data'!W:W, "&gt;0")&gt;0,INDEX('Raw Annual DMR Data'!B:B,MATCH(1,($F225='Raw Annual DMR Data'!L:L)*($AE225='Raw Annual DMR Data'!W:W),0)), "N/A - No Daily Max DMR Discharge Data")</f>
        <v>N/A - No Daily Max DMR Discharge Data</v>
      </c>
    </row>
    <row r="226" spans="1:32" ht="45.75" thickBot="1" x14ac:dyDescent="0.3">
      <c r="A226" s="144" t="str">
        <f>VLOOKUP(F226,'Facility Summary'!J:K,2,FALSE)</f>
        <v>POTW</v>
      </c>
      <c r="B226" s="28" t="s">
        <v>1140</v>
      </c>
      <c r="C226" s="28" t="s">
        <v>1141</v>
      </c>
      <c r="D226" s="28" t="s">
        <v>374</v>
      </c>
      <c r="E226" s="28"/>
      <c r="F226" s="61">
        <v>110000510894</v>
      </c>
      <c r="G226" s="60" t="str">
        <f>VLOOKUP($F226, 'Raw Annual DMR Data'!$A:$Z, 24, FALSE)</f>
        <v>AZ0022357</v>
      </c>
      <c r="H226" s="60">
        <f>VLOOKUP($F226, 'Raw Annual DMR Data'!$A:$Z, 25, FALSE)</f>
        <v>0</v>
      </c>
      <c r="I226" s="74">
        <f>VLOOKUP($F226, 'Raw Annual DMR Data'!$A:$Z, 26, FALSE)</f>
        <v>15060106000281</v>
      </c>
      <c r="J226" s="74" t="s">
        <v>265</v>
      </c>
      <c r="K226" s="60">
        <f>VLOOKUP(A226, 'OES Summary'!$A:$B, 2, FALSE)</f>
        <v>365</v>
      </c>
      <c r="L226" s="304" cm="1">
        <f t="array" ref="L226">IF(COUNTIF('Raw Annual DMR Data'!$L:$L,$F226)&gt;0,MEDIAN(IF('Raw Annual DMR Data'!$L:$L=F226,'Raw Annual DMR Data'!$S:$S)),"N/A - Facility Does Not Report DMRs")</f>
        <v>2.917110760375E-2</v>
      </c>
      <c r="M226" s="156">
        <f t="shared" si="23"/>
        <v>7.9920842750000001E-5</v>
      </c>
      <c r="N226" s="156">
        <f>IF(COUNTIF('Raw Annual DMR Data'!$L:$L,$F226)&gt;0,_xlfn.MAXIFS('Raw Annual DMR Data'!$S:$S,'Raw Annual DMR Data'!$L:$L,$F226), "N/A - Facility Does Not Report DMRs")</f>
        <v>2.917110760375E-2</v>
      </c>
      <c r="O226" s="156">
        <f t="shared" si="24"/>
        <v>7.9920842750000001E-5</v>
      </c>
      <c r="P226" s="113" cm="1">
        <f t="array" ref="P226">IF(COUNTIF('Raw Annual DMR Data'!$L:$L,$F226)&gt;0,INDEX('Raw Annual DMR Data'!$B:$B,MATCH(1,($F226='Raw Annual DMR Data'!$L:$L)*($N226='Raw Annual DMR Data'!$S:$S),0)), "N/A - Facility Does Not Report DMRs")</f>
        <v>2018</v>
      </c>
      <c r="Q226" s="304" t="str" cm="1">
        <f t="array" ref="Q226">IF(COUNTIF('Raw TRI Data'!$J:$J,$E226)&gt;0,MEDIAN(IF('Raw TRI Data'!$J:$J=E226,'Raw TRI Data'!$S:$S)), "N/A - Facility Does Not Report to TRI")</f>
        <v>N/A - Facility Does Not Report to TRI</v>
      </c>
      <c r="R226" s="156" t="str">
        <f t="shared" si="21"/>
        <v>N/A - Facility Does Not Report to TRI</v>
      </c>
      <c r="S226" s="156" t="str">
        <f>IF(COUNTIF('Raw TRI Data'!$J:$J,$E226)&gt;0,_xlfn.MAXIFS('Raw TRI Data'!$S:$S,'Raw TRI Data'!$J:$J,$E226), "N/A - Facility Does Not Report to TRI")</f>
        <v>N/A - Facility Does Not Report to TRI</v>
      </c>
      <c r="T226" s="156" t="str">
        <f t="shared" si="22"/>
        <v>N/A - Facility Does Not Report to TRI</v>
      </c>
      <c r="U226" s="136" t="str" cm="1">
        <f t="array" ref="U226">IF(COUNTIF('Raw TRI Data'!$J:$J,$E226)&gt;0,INDEX('Raw TRI Data'!$A:$A,MATCH(1,($E226='Raw TRI Data'!$J:$J)*(S226='Raw TRI Data'!$S:$S),0)), "N/A - Facility Does Not Report to TRI")</f>
        <v>N/A - Facility Does Not Report to TRI</v>
      </c>
      <c r="V226" s="156" t="str" cm="1">
        <f t="array" ref="V226">IF(COUNTIFS('Raw Annual DMR Data'!$L:$L,$F226,'Raw Annual DMR Data'!$U:$U,"&gt;0")&gt;0,MEDIAN(IF('Raw Annual DMR Data'!$L:$L=$F226,'Raw Annual DMR Data'!$U:$U,"")),"N/A - Period DMR Data Not Available")</f>
        <v>N/A - Period DMR Data Not Available</v>
      </c>
      <c r="W226" s="156" t="str">
        <f>IF(COUNTIFS('Raw Annual DMR Data'!$L:$L,$F226, 'Raw Annual DMR Data'!$U:$U, "&gt;0")&gt;0,_xlfn.MAXIFS('Raw Annual DMR Data'!$U:$U,'Raw Annual DMR Data'!$L:$L,$F226), "N/A - Period DMR Data Not Available")</f>
        <v>N/A - Period DMR Data Not Available</v>
      </c>
      <c r="X226" s="113" t="str" cm="1">
        <f t="array" ref="X226">+IF(COUNTIFS('Raw Annual DMR Data'!L:L,$F226, 'Raw Annual DMR Data'!U:U, "&gt;0")&gt;0,INDEX('Raw Annual DMR Data'!V:V,MATCH(1,($F226='Raw Annual DMR Data'!L:L)*($W226='Raw Annual DMR Data'!U:U),0)), "N/A - Period DMR Data Not Available")</f>
        <v>N/A - Period DMR Data Not Available</v>
      </c>
      <c r="Y226" s="113" t="str" cm="1">
        <f t="array" ref="Y226">IF(COUNTIFS('Raw Annual DMR Data'!L:L,$F226, 'Raw Annual DMR Data'!U:U, "&gt;0")&gt;0,INDEX('Raw Annual DMR Data'!B:B,MATCH(1,($F226='Raw Annual DMR Data'!L:L)*($W226='Raw Annual DMR Data'!U:U),0)), "N/A - Period DMR Data Not Available")</f>
        <v>N/A - Period DMR Data Not Available</v>
      </c>
      <c r="Z226" s="311" t="str" cm="1">
        <f t="array" ref="Z226">IF(COUNTIF('Raw Annual DMR Data'!K:K,$E226)&gt;0,"N/A - See DMRs",IF(SUMIFS('Raw TRI Data'!$Z:$Z,'Raw TRI Data'!$J:$J,$E226)&gt;0,MEDIAN(IF('Raw TRI Data'!$J:$J=$E226,'Raw TRI Data'!$Z:$Z)), "N/A - Facility Does Not Report to TRI, no surface water releases, or no Generic Factors available"))</f>
        <v>N/A - Facility Does Not Report to TRI, no surface water releases, or no Generic Factors available</v>
      </c>
      <c r="AA226" s="156" t="str">
        <f>IF(COUNTIF('Raw Annual DMR Data'!K:K,$E226)&gt;0,"N/A - See DMRs",IF(SUMIFS('Raw TRI Data'!$Z:$Z,'Raw TRI Data'!$J:$J,$E226)&gt;0,_xlfn.MAXIFS('Raw TRI Data'!$Z:$Z,'Raw TRI Data'!$J:$J,$E226), "N/A - Facility Does Not Report to TRI, no surface water releases, or no Generic Factors available"))</f>
        <v>N/A - Facility Does Not Report to TRI, no surface water releases, or no Generic Factors available</v>
      </c>
      <c r="AB226" s="113" t="str">
        <f t="shared" si="25"/>
        <v>N/A</v>
      </c>
      <c r="AC226" s="136" t="str" cm="1">
        <f t="array" ref="AC226">IF(COUNTIF('Raw Annual DMR Data'!K:K,$E226)&gt;0,"N/A - See DMRs",IF(SUMIFS('Raw TRI Data'!$Z:$Z,'Raw TRI Data'!$J:$J,$E226)&gt;0,INDEX('Raw TRI Data'!$A:$A,MATCH(1,($E226='Raw TRI Data'!$J:$J)*($AA226='Raw TRI Data'!$Z:$Z),0)), "N/A - Facility Does Not Report to TRI, no surface water releases, or no Generic Factors available"))</f>
        <v>N/A - Facility Does Not Report to TRI, no surface water releases, or no Generic Factors available</v>
      </c>
      <c r="AD226" s="96" t="str" cm="1">
        <f t="array" ref="AD226">IF(COUNTIFS('Raw Annual DMR Data'!L:L,$F226,'Raw Annual DMR Data'!W:W, "&gt;0")&gt;0,MEDIAN(IF('Raw Annual DMR Data'!K:K=$F226, 'Raw Annual DMR Data'!W:W)), "N/A - No Daily Max DMR Discharge Data")</f>
        <v>N/A - No Daily Max DMR Discharge Data</v>
      </c>
      <c r="AE226" s="96" t="str">
        <f>IF(COUNTIFS('Raw Annual DMR Data'!L:L,$F226,'Raw Annual DMR Data'!W:W, "&gt;0")&gt;0,_xlfn.MAXIFS('Raw Annual DMR Data'!W:W,'Raw Annual DMR Data'!L:L,$F226), "N/A - No Daily Max DMR Discharge Data")</f>
        <v>N/A - No Daily Max DMR Discharge Data</v>
      </c>
      <c r="AF226" s="60" t="str" cm="1">
        <f t="array" ref="AF226">IF(COUNTIFS('Raw Annual DMR Data'!L:L,$F226,'Raw Annual DMR Data'!W:W, "&gt;0")&gt;0,INDEX('Raw Annual DMR Data'!B:B,MATCH(1,($F226='Raw Annual DMR Data'!L:L)*($AE226='Raw Annual DMR Data'!W:W),0)), "N/A - No Daily Max DMR Discharge Data")</f>
        <v>N/A - No Daily Max DMR Discharge Data</v>
      </c>
    </row>
    <row r="227" spans="1:32" ht="45.75" thickBot="1" x14ac:dyDescent="0.3">
      <c r="A227" s="144" t="str">
        <f>VLOOKUP(F227,'Facility Summary'!J:K,2,FALSE)</f>
        <v>Unknown</v>
      </c>
      <c r="B227" s="28" t="s">
        <v>1142</v>
      </c>
      <c r="C227" s="28" t="s">
        <v>1143</v>
      </c>
      <c r="D227" s="28" t="s">
        <v>308</v>
      </c>
      <c r="E227" s="28"/>
      <c r="F227" s="61">
        <v>110070741217</v>
      </c>
      <c r="G227" s="60" t="str">
        <f>VLOOKUP($F227, 'Raw Annual DMR Data'!$A:$Z, 24, FALSE)</f>
        <v>MAG910838</v>
      </c>
      <c r="H227" s="60" t="str">
        <f>VLOOKUP($F227, 'Raw Annual DMR Data'!$A:$Z, 25, FALSE)</f>
        <v>MILLERS RIVER</v>
      </c>
      <c r="I227" s="74">
        <f>VLOOKUP($F227, 'Raw Annual DMR Data'!$A:$Z, 26, FALSE)</f>
        <v>0</v>
      </c>
      <c r="J227" s="74" t="s">
        <v>265</v>
      </c>
      <c r="K227" s="60">
        <f>VLOOKUP(A227, 'OES Summary'!$A:$B, 2, FALSE)</f>
        <v>250</v>
      </c>
      <c r="L227" s="304" cm="1">
        <f t="array" ref="L227">IF(COUNTIF('Raw Annual DMR Data'!$L:$L,$F227)&gt;0,MEDIAN(IF('Raw Annual DMR Data'!$L:$L=F227,'Raw Annual DMR Data'!$S:$S)),"N/A - Facility Does Not Report DMRs")</f>
        <v>5.7689929124999997E-3</v>
      </c>
      <c r="M227" s="156">
        <f t="shared" si="23"/>
        <v>2.307597165E-5</v>
      </c>
      <c r="N227" s="156">
        <f>IF(COUNTIF('Raw Annual DMR Data'!$L:$L,$F227)&gt;0,_xlfn.MAXIFS('Raw Annual DMR Data'!$S:$S,'Raw Annual DMR Data'!$L:$L,$F227), "N/A - Facility Does Not Report DMRs")</f>
        <v>5.7689929124999997E-3</v>
      </c>
      <c r="O227" s="156">
        <f t="shared" si="24"/>
        <v>2.307597165E-5</v>
      </c>
      <c r="P227" s="113" cm="1">
        <f t="array" ref="P227">IF(COUNTIF('Raw Annual DMR Data'!$L:$L,$F227)&gt;0,INDEX('Raw Annual DMR Data'!$B:$B,MATCH(1,($F227='Raw Annual DMR Data'!$L:$L)*($N227='Raw Annual DMR Data'!$S:$S),0)), "N/A - Facility Does Not Report DMRs")</f>
        <v>2020</v>
      </c>
      <c r="Q227" s="304" t="str" cm="1">
        <f t="array" ref="Q227">IF(COUNTIF('Raw TRI Data'!$J:$J,$E227)&gt;0,MEDIAN(IF('Raw TRI Data'!$J:$J=E227,'Raw TRI Data'!$S:$S)), "N/A - Facility Does Not Report to TRI")</f>
        <v>N/A - Facility Does Not Report to TRI</v>
      </c>
      <c r="R227" s="156" t="str">
        <f t="shared" si="21"/>
        <v>N/A - Facility Does Not Report to TRI</v>
      </c>
      <c r="S227" s="156" t="str">
        <f>IF(COUNTIF('Raw TRI Data'!$J:$J,$E227)&gt;0,_xlfn.MAXIFS('Raw TRI Data'!$S:$S,'Raw TRI Data'!$J:$J,$E227), "N/A - Facility Does Not Report to TRI")</f>
        <v>N/A - Facility Does Not Report to TRI</v>
      </c>
      <c r="T227" s="156" t="str">
        <f t="shared" si="22"/>
        <v>N/A - Facility Does Not Report to TRI</v>
      </c>
      <c r="U227" s="136" t="str" cm="1">
        <f t="array" ref="U227">IF(COUNTIF('Raw TRI Data'!$J:$J,$E227)&gt;0,INDEX('Raw TRI Data'!$A:$A,MATCH(1,($E227='Raw TRI Data'!$J:$J)*(S227='Raw TRI Data'!$S:$S),0)), "N/A - Facility Does Not Report to TRI")</f>
        <v>N/A - Facility Does Not Report to TRI</v>
      </c>
      <c r="V227" s="156" t="str" cm="1">
        <f t="array" ref="V227">IF(COUNTIFS('Raw Annual DMR Data'!$L:$L,$F227,'Raw Annual DMR Data'!$U:$U,"&gt;0")&gt;0,MEDIAN(IF('Raw Annual DMR Data'!$L:$L=$F227,'Raw Annual DMR Data'!$U:$U,"")),"N/A - Period DMR Data Not Available")</f>
        <v>N/A - Period DMR Data Not Available</v>
      </c>
      <c r="W227" s="156" t="str">
        <f>IF(COUNTIFS('Raw Annual DMR Data'!$L:$L,$F227, 'Raw Annual DMR Data'!$U:$U, "&gt;0")&gt;0,_xlfn.MAXIFS('Raw Annual DMR Data'!$U:$U,'Raw Annual DMR Data'!$L:$L,$F227), "N/A - Period DMR Data Not Available")</f>
        <v>N/A - Period DMR Data Not Available</v>
      </c>
      <c r="X227" s="113" t="str" cm="1">
        <f t="array" ref="X227">+IF(COUNTIFS('Raw Annual DMR Data'!L:L,$F227, 'Raw Annual DMR Data'!U:U, "&gt;0")&gt;0,INDEX('Raw Annual DMR Data'!V:V,MATCH(1,($F227='Raw Annual DMR Data'!L:L)*($W227='Raw Annual DMR Data'!U:U),0)), "N/A - Period DMR Data Not Available")</f>
        <v>N/A - Period DMR Data Not Available</v>
      </c>
      <c r="Y227" s="113" t="str" cm="1">
        <f t="array" ref="Y227">IF(COUNTIFS('Raw Annual DMR Data'!L:L,$F227, 'Raw Annual DMR Data'!U:U, "&gt;0")&gt;0,INDEX('Raw Annual DMR Data'!B:B,MATCH(1,($F227='Raw Annual DMR Data'!L:L)*($W227='Raw Annual DMR Data'!U:U),0)), "N/A - Period DMR Data Not Available")</f>
        <v>N/A - Period DMR Data Not Available</v>
      </c>
      <c r="Z227" s="311" t="str" cm="1">
        <f t="array" ref="Z227">IF(COUNTIF('Raw Annual DMR Data'!K:K,$E227)&gt;0,"N/A - See DMRs",IF(SUMIFS('Raw TRI Data'!$Z:$Z,'Raw TRI Data'!$J:$J,$E227)&gt;0,MEDIAN(IF('Raw TRI Data'!$J:$J=$E227,'Raw TRI Data'!$Z:$Z)), "N/A - Facility Does Not Report to TRI, no surface water releases, or no Generic Factors available"))</f>
        <v>N/A - Facility Does Not Report to TRI, no surface water releases, or no Generic Factors available</v>
      </c>
      <c r="AA227" s="156" t="str">
        <f>IF(COUNTIF('Raw Annual DMR Data'!K:K,$E227)&gt;0,"N/A - See DMRs",IF(SUMIFS('Raw TRI Data'!$Z:$Z,'Raw TRI Data'!$J:$J,$E227)&gt;0,_xlfn.MAXIFS('Raw TRI Data'!$Z:$Z,'Raw TRI Data'!$J:$J,$E227), "N/A - Facility Does Not Report to TRI, no surface water releases, or no Generic Factors available"))</f>
        <v>N/A - Facility Does Not Report to TRI, no surface water releases, or no Generic Factors available</v>
      </c>
      <c r="AB227" s="113" t="str">
        <f t="shared" si="25"/>
        <v>N/A</v>
      </c>
      <c r="AC227" s="136" t="str" cm="1">
        <f t="array" ref="AC227">IF(COUNTIF('Raw Annual DMR Data'!K:K,$E227)&gt;0,"N/A - See DMRs",IF(SUMIFS('Raw TRI Data'!$Z:$Z,'Raw TRI Data'!$J:$J,$E227)&gt;0,INDEX('Raw TRI Data'!$A:$A,MATCH(1,($E227='Raw TRI Data'!$J:$J)*($AA227='Raw TRI Data'!$Z:$Z),0)), "N/A - Facility Does Not Report to TRI, no surface water releases, or no Generic Factors available"))</f>
        <v>N/A - Facility Does Not Report to TRI, no surface water releases, or no Generic Factors available</v>
      </c>
      <c r="AD227" s="96" t="str" cm="1">
        <f t="array" ref="AD227">IF(COUNTIFS('Raw Annual DMR Data'!L:L,$F227,'Raw Annual DMR Data'!W:W, "&gt;0")&gt;0,MEDIAN(IF('Raw Annual DMR Data'!K:K=$F227, 'Raw Annual DMR Data'!W:W)), "N/A - No Daily Max DMR Discharge Data")</f>
        <v>N/A - No Daily Max DMR Discharge Data</v>
      </c>
      <c r="AE227" s="96" t="str">
        <f>IF(COUNTIFS('Raw Annual DMR Data'!L:L,$F227,'Raw Annual DMR Data'!W:W, "&gt;0")&gt;0,_xlfn.MAXIFS('Raw Annual DMR Data'!W:W,'Raw Annual DMR Data'!L:L,$F227), "N/A - No Daily Max DMR Discharge Data")</f>
        <v>N/A - No Daily Max DMR Discharge Data</v>
      </c>
      <c r="AF227" s="60" t="str" cm="1">
        <f t="array" ref="AF227">IF(COUNTIFS('Raw Annual DMR Data'!L:L,$F227,'Raw Annual DMR Data'!W:W, "&gt;0")&gt;0,INDEX('Raw Annual DMR Data'!B:B,MATCH(1,($F227='Raw Annual DMR Data'!L:L)*($AE227='Raw Annual DMR Data'!W:W),0)), "N/A - No Daily Max DMR Discharge Data")</f>
        <v>N/A - No Daily Max DMR Discharge Data</v>
      </c>
    </row>
    <row r="228" spans="1:32" ht="45.75" thickBot="1" x14ac:dyDescent="0.3">
      <c r="A228" s="144" t="str">
        <f>VLOOKUP(F228,'Facility Summary'!J:K,2,FALSE)</f>
        <v>POTW</v>
      </c>
      <c r="B228" s="28" t="s">
        <v>1144</v>
      </c>
      <c r="C228" s="28" t="s">
        <v>1145</v>
      </c>
      <c r="D228" s="28" t="s">
        <v>324</v>
      </c>
      <c r="E228" s="28"/>
      <c r="F228" s="61">
        <v>110000759723</v>
      </c>
      <c r="G228" s="60" t="str">
        <f>VLOOKUP($F228, 'Raw Annual DMR Data'!$A:$Z, 24, FALSE)</f>
        <v>KY0033553</v>
      </c>
      <c r="H228" s="60" t="str">
        <f>VLOOKUP($F228, 'Raw Annual DMR Data'!$A:$Z, 25, FALSE)</f>
        <v>OHIO RIVER</v>
      </c>
      <c r="I228" s="74">
        <f>VLOOKUP($F228, 'Raw Annual DMR Data'!$A:$Z, 26, FALSE)</f>
        <v>5090103000913</v>
      </c>
      <c r="J228" s="74" t="s">
        <v>265</v>
      </c>
      <c r="K228" s="60">
        <f>VLOOKUP(A228, 'OES Summary'!$A:$B, 2, FALSE)</f>
        <v>365</v>
      </c>
      <c r="L228" s="304" cm="1">
        <f t="array" ref="L228">IF(COUNTIF('Raw Annual DMR Data'!$L:$L,$F228)&gt;0,MEDIAN(IF('Raw Annual DMR Data'!$L:$L=F228,'Raw Annual DMR Data'!$S:$S)),"N/A - Facility Does Not Report DMRs")</f>
        <v>1.1932922187499999</v>
      </c>
      <c r="M228" s="156">
        <f t="shared" si="23"/>
        <v>3.2692937499999995E-3</v>
      </c>
      <c r="N228" s="156">
        <f>IF(COUNTIF('Raw Annual DMR Data'!$L:$L,$F228)&gt;0,_xlfn.MAXIFS('Raw Annual DMR Data'!$S:$S,'Raw Annual DMR Data'!$L:$L,$F228), "N/A - Facility Does Not Report DMRs")</f>
        <v>1.3815249999999999</v>
      </c>
      <c r="O228" s="156">
        <f t="shared" si="24"/>
        <v>3.7849999999999997E-3</v>
      </c>
      <c r="P228" s="113" cm="1">
        <f t="array" ref="P228">IF(COUNTIF('Raw Annual DMR Data'!$L:$L,$F228)&gt;0,INDEX('Raw Annual DMR Data'!$B:$B,MATCH(1,($F228='Raw Annual DMR Data'!$L:$L)*($N228='Raw Annual DMR Data'!$S:$S),0)), "N/A - Facility Does Not Report DMRs")</f>
        <v>2020</v>
      </c>
      <c r="Q228" s="304" t="str" cm="1">
        <f t="array" ref="Q228">IF(COUNTIF('Raw TRI Data'!$J:$J,$E228)&gt;0,MEDIAN(IF('Raw TRI Data'!$J:$J=E228,'Raw TRI Data'!$S:$S)), "N/A - Facility Does Not Report to TRI")</f>
        <v>N/A - Facility Does Not Report to TRI</v>
      </c>
      <c r="R228" s="156" t="str">
        <f t="shared" si="21"/>
        <v>N/A - Facility Does Not Report to TRI</v>
      </c>
      <c r="S228" s="156" t="str">
        <f>IF(COUNTIF('Raw TRI Data'!$J:$J,$E228)&gt;0,_xlfn.MAXIFS('Raw TRI Data'!$S:$S,'Raw TRI Data'!$J:$J,$E228), "N/A - Facility Does Not Report to TRI")</f>
        <v>N/A - Facility Does Not Report to TRI</v>
      </c>
      <c r="T228" s="156" t="str">
        <f t="shared" si="22"/>
        <v>N/A - Facility Does Not Report to TRI</v>
      </c>
      <c r="U228" s="136" t="str" cm="1">
        <f t="array" ref="U228">IF(COUNTIF('Raw TRI Data'!$J:$J,$E228)&gt;0,INDEX('Raw TRI Data'!$A:$A,MATCH(1,($E228='Raw TRI Data'!$J:$J)*(S228='Raw TRI Data'!$S:$S),0)), "N/A - Facility Does Not Report to TRI")</f>
        <v>N/A - Facility Does Not Report to TRI</v>
      </c>
      <c r="V228" s="156" t="str" cm="1">
        <f t="array" ref="V228">IF(COUNTIFS('Raw Annual DMR Data'!$L:$L,$F228,'Raw Annual DMR Data'!$U:$U,"&gt;0")&gt;0,MEDIAN(IF('Raw Annual DMR Data'!$L:$L=$F228,'Raw Annual DMR Data'!$U:$U,"")),"N/A - Period DMR Data Not Available")</f>
        <v>N/A - Period DMR Data Not Available</v>
      </c>
      <c r="W228" s="156" t="str">
        <f>IF(COUNTIFS('Raw Annual DMR Data'!$L:$L,$F228, 'Raw Annual DMR Data'!$U:$U, "&gt;0")&gt;0,_xlfn.MAXIFS('Raw Annual DMR Data'!$U:$U,'Raw Annual DMR Data'!$L:$L,$F228), "N/A - Period DMR Data Not Available")</f>
        <v>N/A - Period DMR Data Not Available</v>
      </c>
      <c r="X228" s="113" t="str" cm="1">
        <f t="array" ref="X228">+IF(COUNTIFS('Raw Annual DMR Data'!L:L,$F228, 'Raw Annual DMR Data'!U:U, "&gt;0")&gt;0,INDEX('Raw Annual DMR Data'!V:V,MATCH(1,($F228='Raw Annual DMR Data'!L:L)*($W228='Raw Annual DMR Data'!U:U),0)), "N/A - Period DMR Data Not Available")</f>
        <v>N/A - Period DMR Data Not Available</v>
      </c>
      <c r="Y228" s="113" t="str" cm="1">
        <f t="array" ref="Y228">IF(COUNTIFS('Raw Annual DMR Data'!L:L,$F228, 'Raw Annual DMR Data'!U:U, "&gt;0")&gt;0,INDEX('Raw Annual DMR Data'!B:B,MATCH(1,($F228='Raw Annual DMR Data'!L:L)*($W228='Raw Annual DMR Data'!U:U),0)), "N/A - Period DMR Data Not Available")</f>
        <v>N/A - Period DMR Data Not Available</v>
      </c>
      <c r="Z228" s="311" t="str" cm="1">
        <f t="array" ref="Z228">IF(COUNTIF('Raw Annual DMR Data'!K:K,$E228)&gt;0,"N/A - See DMRs",IF(SUMIFS('Raw TRI Data'!$Z:$Z,'Raw TRI Data'!$J:$J,$E228)&gt;0,MEDIAN(IF('Raw TRI Data'!$J:$J=$E228,'Raw TRI Data'!$Z:$Z)), "N/A - Facility Does Not Report to TRI, no surface water releases, or no Generic Factors available"))</f>
        <v>N/A - Facility Does Not Report to TRI, no surface water releases, or no Generic Factors available</v>
      </c>
      <c r="AA228" s="156" t="str">
        <f>IF(COUNTIF('Raw Annual DMR Data'!K:K,$E228)&gt;0,"N/A - See DMRs",IF(SUMIFS('Raw TRI Data'!$Z:$Z,'Raw TRI Data'!$J:$J,$E228)&gt;0,_xlfn.MAXIFS('Raw TRI Data'!$Z:$Z,'Raw TRI Data'!$J:$J,$E228), "N/A - Facility Does Not Report to TRI, no surface water releases, or no Generic Factors available"))</f>
        <v>N/A - Facility Does Not Report to TRI, no surface water releases, or no Generic Factors available</v>
      </c>
      <c r="AB228" s="113" t="str">
        <f t="shared" si="25"/>
        <v>N/A</v>
      </c>
      <c r="AC228" s="136" t="str" cm="1">
        <f t="array" ref="AC228">IF(COUNTIF('Raw Annual DMR Data'!K:K,$E228)&gt;0,"N/A - See DMRs",IF(SUMIFS('Raw TRI Data'!$Z:$Z,'Raw TRI Data'!$J:$J,$E228)&gt;0,INDEX('Raw TRI Data'!$A:$A,MATCH(1,($E228='Raw TRI Data'!$J:$J)*($AA228='Raw TRI Data'!$Z:$Z),0)), "N/A - Facility Does Not Report to TRI, no surface water releases, or no Generic Factors available"))</f>
        <v>N/A - Facility Does Not Report to TRI, no surface water releases, or no Generic Factors available</v>
      </c>
      <c r="AD228" s="96" t="str" cm="1">
        <f t="array" ref="AD228">IF(COUNTIFS('Raw Annual DMR Data'!L:L,$F228,'Raw Annual DMR Data'!W:W, "&gt;0")&gt;0,MEDIAN(IF('Raw Annual DMR Data'!K:K=$F228, 'Raw Annual DMR Data'!W:W)), "N/A - No Daily Max DMR Discharge Data")</f>
        <v>N/A - No Daily Max DMR Discharge Data</v>
      </c>
      <c r="AE228" s="96" t="str">
        <f>IF(COUNTIFS('Raw Annual DMR Data'!L:L,$F228,'Raw Annual DMR Data'!W:W, "&gt;0")&gt;0,_xlfn.MAXIFS('Raw Annual DMR Data'!W:W,'Raw Annual DMR Data'!L:L,$F228), "N/A - No Daily Max DMR Discharge Data")</f>
        <v>N/A - No Daily Max DMR Discharge Data</v>
      </c>
      <c r="AF228" s="60" t="str" cm="1">
        <f t="array" ref="AF228">IF(COUNTIFS('Raw Annual DMR Data'!L:L,$F228,'Raw Annual DMR Data'!W:W, "&gt;0")&gt;0,INDEX('Raw Annual DMR Data'!B:B,MATCH(1,($F228='Raw Annual DMR Data'!L:L)*($AE228='Raw Annual DMR Data'!W:W),0)), "N/A - No Daily Max DMR Discharge Data")</f>
        <v>N/A - No Daily Max DMR Discharge Data</v>
      </c>
    </row>
    <row r="229" spans="1:32" ht="45.75" thickBot="1" x14ac:dyDescent="0.3">
      <c r="A229" s="144" t="str">
        <f>VLOOKUP(F229,'Facility Summary'!J:K,2,FALSE)</f>
        <v>Waste Handling, Disposal and Treatment (Landfill)</v>
      </c>
      <c r="B229" s="28" t="s">
        <v>1146</v>
      </c>
      <c r="C229" s="28" t="s">
        <v>1147</v>
      </c>
      <c r="D229" s="28" t="s">
        <v>491</v>
      </c>
      <c r="E229" s="28"/>
      <c r="F229" s="61">
        <v>110000817439</v>
      </c>
      <c r="G229" s="60" t="str">
        <f>VLOOKUP($F229, 'Raw Annual DMR Data'!$A:$Z, 24, FALSE)</f>
        <v>PA0043818</v>
      </c>
      <c r="H229" s="60" t="str">
        <f>VLOOKUP($F229, 'Raw Annual DMR Data'!$A:$Z, 25, FALSE)</f>
        <v>DELAWARE RIVER, UNNAMED STREAM, UNNAMED TRIB OF DELAWARE RIVER, UNNAMED TRIB TO DELAWARE RIVER</v>
      </c>
      <c r="I229" s="74">
        <f>VLOOKUP($F229, 'Raw Annual DMR Data'!$A:$Z, 26, FALSE)</f>
        <v>2040201000496</v>
      </c>
      <c r="J229" s="74" t="s">
        <v>265</v>
      </c>
      <c r="K229" s="60">
        <f>VLOOKUP(A229, 'OES Summary'!$A:$B, 2, FALSE)</f>
        <v>250</v>
      </c>
      <c r="L229" s="304" cm="1">
        <f t="array" ref="L229">IF(COUNTIF('Raw Annual DMR Data'!$L:$L,$F229)&gt;0,MEDIAN(IF('Raw Annual DMR Data'!$L:$L=F229,'Raw Annual DMR Data'!$S:$S)),"N/A - Facility Does Not Report DMRs")</f>
        <v>5.1250753230625001E-2</v>
      </c>
      <c r="M229" s="156">
        <f t="shared" si="23"/>
        <v>2.050030129225E-4</v>
      </c>
      <c r="N229" s="156">
        <f>IF(COUNTIF('Raw Annual DMR Data'!$L:$L,$F229)&gt;0,_xlfn.MAXIFS('Raw Annual DMR Data'!$S:$S,'Raw Annual DMR Data'!$L:$L,$F229), "N/A - Facility Does Not Report DMRs")</f>
        <v>6.9978001647499996E-2</v>
      </c>
      <c r="O229" s="156">
        <f t="shared" si="24"/>
        <v>2.7991200658999998E-4</v>
      </c>
      <c r="P229" s="113" cm="1">
        <f t="array" ref="P229">IF(COUNTIF('Raw Annual DMR Data'!$L:$L,$F229)&gt;0,INDEX('Raw Annual DMR Data'!$B:$B,MATCH(1,($F229='Raw Annual DMR Data'!$L:$L)*($N229='Raw Annual DMR Data'!$S:$S),0)), "N/A - Facility Does Not Report DMRs")</f>
        <v>2018</v>
      </c>
      <c r="Q229" s="304" t="str" cm="1">
        <f t="array" ref="Q229">IF(COUNTIF('Raw TRI Data'!$J:$J,$E229)&gt;0,MEDIAN(IF('Raw TRI Data'!$J:$J=E229,'Raw TRI Data'!$S:$S)), "N/A - Facility Does Not Report to TRI")</f>
        <v>N/A - Facility Does Not Report to TRI</v>
      </c>
      <c r="R229" s="156" t="str">
        <f t="shared" si="21"/>
        <v>N/A - Facility Does Not Report to TRI</v>
      </c>
      <c r="S229" s="156" t="str">
        <f>IF(COUNTIF('Raw TRI Data'!$J:$J,$E229)&gt;0,_xlfn.MAXIFS('Raw TRI Data'!$S:$S,'Raw TRI Data'!$J:$J,$E229), "N/A - Facility Does Not Report to TRI")</f>
        <v>N/A - Facility Does Not Report to TRI</v>
      </c>
      <c r="T229" s="156" t="str">
        <f t="shared" si="22"/>
        <v>N/A - Facility Does Not Report to TRI</v>
      </c>
      <c r="U229" s="136" t="str" cm="1">
        <f t="array" ref="U229">IF(COUNTIF('Raw TRI Data'!$J:$J,$E229)&gt;0,INDEX('Raw TRI Data'!$A:$A,MATCH(1,($E229='Raw TRI Data'!$J:$J)*(S229='Raw TRI Data'!$S:$S),0)), "N/A - Facility Does Not Report to TRI")</f>
        <v>N/A - Facility Does Not Report to TRI</v>
      </c>
      <c r="V229" s="156" t="str" cm="1">
        <f t="array" ref="V229">IF(COUNTIFS('Raw Annual DMR Data'!$L:$L,$F229,'Raw Annual DMR Data'!$U:$U,"&gt;0")&gt;0,MEDIAN(IF('Raw Annual DMR Data'!$L:$L=$F229,'Raw Annual DMR Data'!$U:$U,"")),"N/A - Period DMR Data Not Available")</f>
        <v>N/A - Period DMR Data Not Available</v>
      </c>
      <c r="W229" s="156" t="str">
        <f>IF(COUNTIFS('Raw Annual DMR Data'!$L:$L,$F229, 'Raw Annual DMR Data'!$U:$U, "&gt;0")&gt;0,_xlfn.MAXIFS('Raw Annual DMR Data'!$U:$U,'Raw Annual DMR Data'!$L:$L,$F229), "N/A - Period DMR Data Not Available")</f>
        <v>N/A - Period DMR Data Not Available</v>
      </c>
      <c r="X229" s="113" t="str" cm="1">
        <f t="array" ref="X229">+IF(COUNTIFS('Raw Annual DMR Data'!L:L,$F229, 'Raw Annual DMR Data'!U:U, "&gt;0")&gt;0,INDEX('Raw Annual DMR Data'!V:V,MATCH(1,($F229='Raw Annual DMR Data'!L:L)*($W229='Raw Annual DMR Data'!U:U),0)), "N/A - Period DMR Data Not Available")</f>
        <v>N/A - Period DMR Data Not Available</v>
      </c>
      <c r="Y229" s="113" t="str" cm="1">
        <f t="array" ref="Y229">IF(COUNTIFS('Raw Annual DMR Data'!L:L,$F229, 'Raw Annual DMR Data'!U:U, "&gt;0")&gt;0,INDEX('Raw Annual DMR Data'!B:B,MATCH(1,($F229='Raw Annual DMR Data'!L:L)*($W229='Raw Annual DMR Data'!U:U),0)), "N/A - Period DMR Data Not Available")</f>
        <v>N/A - Period DMR Data Not Available</v>
      </c>
      <c r="Z229" s="311" t="str" cm="1">
        <f t="array" ref="Z229">IF(COUNTIF('Raw Annual DMR Data'!K:K,$E229)&gt;0,"N/A - See DMRs",IF(SUMIFS('Raw TRI Data'!$Z:$Z,'Raw TRI Data'!$J:$J,$E229)&gt;0,MEDIAN(IF('Raw TRI Data'!$J:$J=$E229,'Raw TRI Data'!$Z:$Z)), "N/A - Facility Does Not Report to TRI, no surface water releases, or no Generic Factors available"))</f>
        <v>N/A - Facility Does Not Report to TRI, no surface water releases, or no Generic Factors available</v>
      </c>
      <c r="AA229" s="156" t="str">
        <f>IF(COUNTIF('Raw Annual DMR Data'!K:K,$E229)&gt;0,"N/A - See DMRs",IF(SUMIFS('Raw TRI Data'!$Z:$Z,'Raw TRI Data'!$J:$J,$E229)&gt;0,_xlfn.MAXIFS('Raw TRI Data'!$Z:$Z,'Raw TRI Data'!$J:$J,$E229), "N/A - Facility Does Not Report to TRI, no surface water releases, or no Generic Factors available"))</f>
        <v>N/A - Facility Does Not Report to TRI, no surface water releases, or no Generic Factors available</v>
      </c>
      <c r="AB229" s="113" t="str">
        <f t="shared" si="25"/>
        <v>N/A</v>
      </c>
      <c r="AC229" s="136" t="str" cm="1">
        <f t="array" ref="AC229">IF(COUNTIF('Raw Annual DMR Data'!K:K,$E229)&gt;0,"N/A - See DMRs",IF(SUMIFS('Raw TRI Data'!$Z:$Z,'Raw TRI Data'!$J:$J,$E229)&gt;0,INDEX('Raw TRI Data'!$A:$A,MATCH(1,($E229='Raw TRI Data'!$J:$J)*($AA229='Raw TRI Data'!$Z:$Z),0)), "N/A - Facility Does Not Report to TRI, no surface water releases, or no Generic Factors available"))</f>
        <v>N/A - Facility Does Not Report to TRI, no surface water releases, or no Generic Factors available</v>
      </c>
      <c r="AD229" s="96" t="str" cm="1">
        <f t="array" ref="AD229">IF(COUNTIFS('Raw Annual DMR Data'!L:L,$F229,'Raw Annual DMR Data'!W:W, "&gt;0")&gt;0,MEDIAN(IF('Raw Annual DMR Data'!K:K=$F229, 'Raw Annual DMR Data'!W:W)), "N/A - No Daily Max DMR Discharge Data")</f>
        <v>N/A - No Daily Max DMR Discharge Data</v>
      </c>
      <c r="AE229" s="96" t="str">
        <f>IF(COUNTIFS('Raw Annual DMR Data'!L:L,$F229,'Raw Annual DMR Data'!W:W, "&gt;0")&gt;0,_xlfn.MAXIFS('Raw Annual DMR Data'!W:W,'Raw Annual DMR Data'!L:L,$F229), "N/A - No Daily Max DMR Discharge Data")</f>
        <v>N/A - No Daily Max DMR Discharge Data</v>
      </c>
      <c r="AF229" s="60" t="str" cm="1">
        <f t="array" ref="AF229">IF(COUNTIFS('Raw Annual DMR Data'!L:L,$F229,'Raw Annual DMR Data'!W:W, "&gt;0")&gt;0,INDEX('Raw Annual DMR Data'!B:B,MATCH(1,($F229='Raw Annual DMR Data'!L:L)*($AE229='Raw Annual DMR Data'!W:W),0)), "N/A - No Daily Max DMR Discharge Data")</f>
        <v>N/A - No Daily Max DMR Discharge Data</v>
      </c>
    </row>
    <row r="230" spans="1:32" ht="45.75" thickBot="1" x14ac:dyDescent="0.3">
      <c r="A230" s="144" t="str">
        <f>VLOOKUP(F230,'Facility Summary'!J:K,2,FALSE)</f>
        <v>POTW</v>
      </c>
      <c r="B230" s="28" t="s">
        <v>1148</v>
      </c>
      <c r="C230" s="28" t="s">
        <v>1149</v>
      </c>
      <c r="D230" s="28" t="s">
        <v>324</v>
      </c>
      <c r="E230" s="28"/>
      <c r="F230" s="61">
        <v>110009937499</v>
      </c>
      <c r="G230" s="60" t="str">
        <f>VLOOKUP($F230, 'Raw Annual DMR Data'!$A:$Z, 24, FALSE)</f>
        <v>KY0063649</v>
      </c>
      <c r="H230" s="60" t="str">
        <f>VLOOKUP($F230, 'Raw Annual DMR Data'!$A:$Z, 25, FALSE)</f>
        <v>UT / SPRING CRK, UT TO SPRING CREEK</v>
      </c>
      <c r="I230" s="74">
        <f>VLOOKUP($F230, 'Raw Annual DMR Data'!$A:$Z, 26, FALSE)</f>
        <v>5130206000361</v>
      </c>
      <c r="J230" s="74" t="s">
        <v>265</v>
      </c>
      <c r="K230" s="60">
        <f>VLOOKUP(A230, 'OES Summary'!$A:$B, 2, FALSE)</f>
        <v>365</v>
      </c>
      <c r="L230" s="304" cm="1">
        <f t="array" ref="L230">IF(COUNTIF('Raw Annual DMR Data'!$L:$L,$F230)&gt;0,MEDIAN(IF('Raw Annual DMR Data'!$L:$L=F230,'Raw Annual DMR Data'!$S:$S)),"N/A - Facility Does Not Report DMRs")</f>
        <v>0.73738896874999993</v>
      </c>
      <c r="M230" s="156">
        <f t="shared" si="23"/>
        <v>2.0202437499999997E-3</v>
      </c>
      <c r="N230" s="156">
        <f>IF(COUNTIF('Raw Annual DMR Data'!$L:$L,$F230)&gt;0,_xlfn.MAXIFS('Raw Annual DMR Data'!$S:$S,'Raw Annual DMR Data'!$L:$L,$F230), "N/A - Facility Does Not Report DMRs")</f>
        <v>1.0534128125</v>
      </c>
      <c r="O230" s="156">
        <f t="shared" si="24"/>
        <v>2.8860624999999997E-3</v>
      </c>
      <c r="P230" s="113" cm="1">
        <f t="array" ref="P230">IF(COUNTIF('Raw Annual DMR Data'!$L:$L,$F230)&gt;0,INDEX('Raw Annual DMR Data'!$B:$B,MATCH(1,($F230='Raw Annual DMR Data'!$L:$L)*($N230='Raw Annual DMR Data'!$S:$S),0)), "N/A - Facility Does Not Report DMRs")</f>
        <v>2019</v>
      </c>
      <c r="Q230" s="304" t="str" cm="1">
        <f t="array" ref="Q230">IF(COUNTIF('Raw TRI Data'!$J:$J,$E230)&gt;0,MEDIAN(IF('Raw TRI Data'!$J:$J=E230,'Raw TRI Data'!$S:$S)), "N/A - Facility Does Not Report to TRI")</f>
        <v>N/A - Facility Does Not Report to TRI</v>
      </c>
      <c r="R230" s="156" t="str">
        <f t="shared" si="21"/>
        <v>N/A - Facility Does Not Report to TRI</v>
      </c>
      <c r="S230" s="156" t="str">
        <f>IF(COUNTIF('Raw TRI Data'!$J:$J,$E230)&gt;0,_xlfn.MAXIFS('Raw TRI Data'!$S:$S,'Raw TRI Data'!$J:$J,$E230), "N/A - Facility Does Not Report to TRI")</f>
        <v>N/A - Facility Does Not Report to TRI</v>
      </c>
      <c r="T230" s="156" t="str">
        <f t="shared" si="22"/>
        <v>N/A - Facility Does Not Report to TRI</v>
      </c>
      <c r="U230" s="136" t="str" cm="1">
        <f t="array" ref="U230">IF(COUNTIF('Raw TRI Data'!$J:$J,$E230)&gt;0,INDEX('Raw TRI Data'!$A:$A,MATCH(1,($E230='Raw TRI Data'!$J:$J)*(S230='Raw TRI Data'!$S:$S),0)), "N/A - Facility Does Not Report to TRI")</f>
        <v>N/A - Facility Does Not Report to TRI</v>
      </c>
      <c r="V230" s="156" t="str" cm="1">
        <f t="array" ref="V230">IF(COUNTIFS('Raw Annual DMR Data'!$L:$L,$F230,'Raw Annual DMR Data'!$U:$U,"&gt;0")&gt;0,MEDIAN(IF('Raw Annual DMR Data'!$L:$L=$F230,'Raw Annual DMR Data'!$U:$U,"")),"N/A - Period DMR Data Not Available")</f>
        <v>N/A - Period DMR Data Not Available</v>
      </c>
      <c r="W230" s="156" t="str">
        <f>IF(COUNTIFS('Raw Annual DMR Data'!$L:$L,$F230, 'Raw Annual DMR Data'!$U:$U, "&gt;0")&gt;0,_xlfn.MAXIFS('Raw Annual DMR Data'!$U:$U,'Raw Annual DMR Data'!$L:$L,$F230), "N/A - Period DMR Data Not Available")</f>
        <v>N/A - Period DMR Data Not Available</v>
      </c>
      <c r="X230" s="113" t="str" cm="1">
        <f t="array" ref="X230">+IF(COUNTIFS('Raw Annual DMR Data'!L:L,$F230, 'Raw Annual DMR Data'!U:U, "&gt;0")&gt;0,INDEX('Raw Annual DMR Data'!V:V,MATCH(1,($F230='Raw Annual DMR Data'!L:L)*($W230='Raw Annual DMR Data'!U:U),0)), "N/A - Period DMR Data Not Available")</f>
        <v>N/A - Period DMR Data Not Available</v>
      </c>
      <c r="Y230" s="113" t="str" cm="1">
        <f t="array" ref="Y230">IF(COUNTIFS('Raw Annual DMR Data'!L:L,$F230, 'Raw Annual DMR Data'!U:U, "&gt;0")&gt;0,INDEX('Raw Annual DMR Data'!B:B,MATCH(1,($F230='Raw Annual DMR Data'!L:L)*($W230='Raw Annual DMR Data'!U:U),0)), "N/A - Period DMR Data Not Available")</f>
        <v>N/A - Period DMR Data Not Available</v>
      </c>
      <c r="Z230" s="311" t="str" cm="1">
        <f t="array" ref="Z230">IF(COUNTIF('Raw Annual DMR Data'!K:K,$E230)&gt;0,"N/A - See DMRs",IF(SUMIFS('Raw TRI Data'!$Z:$Z,'Raw TRI Data'!$J:$J,$E230)&gt;0,MEDIAN(IF('Raw TRI Data'!$J:$J=$E230,'Raw TRI Data'!$Z:$Z)), "N/A - Facility Does Not Report to TRI, no surface water releases, or no Generic Factors available"))</f>
        <v>N/A - Facility Does Not Report to TRI, no surface water releases, or no Generic Factors available</v>
      </c>
      <c r="AA230" s="156" t="str">
        <f>IF(COUNTIF('Raw Annual DMR Data'!K:K,$E230)&gt;0,"N/A - See DMRs",IF(SUMIFS('Raw TRI Data'!$Z:$Z,'Raw TRI Data'!$J:$J,$E230)&gt;0,_xlfn.MAXIFS('Raw TRI Data'!$Z:$Z,'Raw TRI Data'!$J:$J,$E230), "N/A - Facility Does Not Report to TRI, no surface water releases, or no Generic Factors available"))</f>
        <v>N/A - Facility Does Not Report to TRI, no surface water releases, or no Generic Factors available</v>
      </c>
      <c r="AB230" s="113" t="str">
        <f t="shared" si="25"/>
        <v>N/A</v>
      </c>
      <c r="AC230" s="136" t="str" cm="1">
        <f t="array" ref="AC230">IF(COUNTIF('Raw Annual DMR Data'!K:K,$E230)&gt;0,"N/A - See DMRs",IF(SUMIFS('Raw TRI Data'!$Z:$Z,'Raw TRI Data'!$J:$J,$E230)&gt;0,INDEX('Raw TRI Data'!$A:$A,MATCH(1,($E230='Raw TRI Data'!$J:$J)*($AA230='Raw TRI Data'!$Z:$Z),0)), "N/A - Facility Does Not Report to TRI, no surface water releases, or no Generic Factors available"))</f>
        <v>N/A - Facility Does Not Report to TRI, no surface water releases, or no Generic Factors available</v>
      </c>
      <c r="AD230" s="96" t="str" cm="1">
        <f t="array" ref="AD230">IF(COUNTIFS('Raw Annual DMR Data'!L:L,$F230,'Raw Annual DMR Data'!W:W, "&gt;0")&gt;0,MEDIAN(IF('Raw Annual DMR Data'!K:K=$F230, 'Raw Annual DMR Data'!W:W)), "N/A - No Daily Max DMR Discharge Data")</f>
        <v>N/A - No Daily Max DMR Discharge Data</v>
      </c>
      <c r="AE230" s="96" t="str">
        <f>IF(COUNTIFS('Raw Annual DMR Data'!L:L,$F230,'Raw Annual DMR Data'!W:W, "&gt;0")&gt;0,_xlfn.MAXIFS('Raw Annual DMR Data'!W:W,'Raw Annual DMR Data'!L:L,$F230), "N/A - No Daily Max DMR Discharge Data")</f>
        <v>N/A - No Daily Max DMR Discharge Data</v>
      </c>
      <c r="AF230" s="60" t="str" cm="1">
        <f t="array" ref="AF230">IF(COUNTIFS('Raw Annual DMR Data'!L:L,$F230,'Raw Annual DMR Data'!W:W, "&gt;0")&gt;0,INDEX('Raw Annual DMR Data'!B:B,MATCH(1,($F230='Raw Annual DMR Data'!L:L)*($AE230='Raw Annual DMR Data'!W:W),0)), "N/A - No Daily Max DMR Discharge Data")</f>
        <v>N/A - No Daily Max DMR Discharge Data</v>
      </c>
    </row>
    <row r="231" spans="1:32" ht="45.75" thickBot="1" x14ac:dyDescent="0.3">
      <c r="A231" s="144" t="str">
        <f>VLOOKUP(F231,'Facility Summary'!J:K,2,FALSE)</f>
        <v>POTW</v>
      </c>
      <c r="B231" s="28" t="s">
        <v>1150</v>
      </c>
      <c r="C231" s="28" t="s">
        <v>1151</v>
      </c>
      <c r="D231" s="28" t="s">
        <v>338</v>
      </c>
      <c r="E231" s="28"/>
      <c r="F231" s="61">
        <v>110056977080</v>
      </c>
      <c r="G231" s="60" t="str">
        <f>VLOOKUP($F231, 'Raw Annual DMR Data'!$A:$Z, 24, FALSE)</f>
        <v>NJ0026301</v>
      </c>
      <c r="H231" s="60" t="str">
        <f>VLOOKUP($F231, 'Raw Annual DMR Data'!$A:$Z, 25, FALSE)</f>
        <v>CROSSWICKS CREEK</v>
      </c>
      <c r="I231" s="74">
        <f>VLOOKUP($F231, 'Raw Annual DMR Data'!$A:$Z, 26, FALSE)</f>
        <v>2040201000021</v>
      </c>
      <c r="J231" s="74" t="s">
        <v>265</v>
      </c>
      <c r="K231" s="60">
        <f>VLOOKUP(A231, 'OES Summary'!$A:$B, 2, FALSE)</f>
        <v>365</v>
      </c>
      <c r="L231" s="304" cm="1">
        <f t="array" ref="L231">IF(COUNTIF('Raw Annual DMR Data'!$L:$L,$F231)&gt;0,MEDIAN(IF('Raw Annual DMR Data'!$L:$L=F231,'Raw Annual DMR Data'!$S:$S)),"N/A - Facility Does Not Report DMRs")</f>
        <v>1.4415342824999999</v>
      </c>
      <c r="M231" s="156">
        <f t="shared" si="23"/>
        <v>3.9494089931506847E-3</v>
      </c>
      <c r="N231" s="156">
        <f>IF(COUNTIF('Raw Annual DMR Data'!$L:$L,$F231)&gt;0,_xlfn.MAXIFS('Raw Annual DMR Data'!$S:$S,'Raw Annual DMR Data'!$L:$L,$F231), "N/A - Facility Does Not Report DMRs")</f>
        <v>1.8765273</v>
      </c>
      <c r="O231" s="156">
        <f t="shared" si="24"/>
        <v>5.1411706849315069E-3</v>
      </c>
      <c r="P231" s="113" cm="1">
        <f t="array" ref="P231">IF(COUNTIF('Raw Annual DMR Data'!$L:$L,$F231)&gt;0,INDEX('Raw Annual DMR Data'!$B:$B,MATCH(1,($F231='Raw Annual DMR Data'!$L:$L)*($N231='Raw Annual DMR Data'!$S:$S),0)), "N/A - Facility Does Not Report DMRs")</f>
        <v>2016</v>
      </c>
      <c r="Q231" s="304" t="str" cm="1">
        <f t="array" ref="Q231">IF(COUNTIF('Raw TRI Data'!$J:$J,$E231)&gt;0,MEDIAN(IF('Raw TRI Data'!$J:$J=E231,'Raw TRI Data'!$S:$S)), "N/A - Facility Does Not Report to TRI")</f>
        <v>N/A - Facility Does Not Report to TRI</v>
      </c>
      <c r="R231" s="156" t="str">
        <f t="shared" si="21"/>
        <v>N/A - Facility Does Not Report to TRI</v>
      </c>
      <c r="S231" s="156" t="str">
        <f>IF(COUNTIF('Raw TRI Data'!$J:$J,$E231)&gt;0,_xlfn.MAXIFS('Raw TRI Data'!$S:$S,'Raw TRI Data'!$J:$J,$E231), "N/A - Facility Does Not Report to TRI")</f>
        <v>N/A - Facility Does Not Report to TRI</v>
      </c>
      <c r="T231" s="156" t="str">
        <f t="shared" si="22"/>
        <v>N/A - Facility Does Not Report to TRI</v>
      </c>
      <c r="U231" s="136" t="str" cm="1">
        <f t="array" ref="U231">IF(COUNTIF('Raw TRI Data'!$J:$J,$E231)&gt;0,INDEX('Raw TRI Data'!$A:$A,MATCH(1,($E231='Raw TRI Data'!$J:$J)*(S231='Raw TRI Data'!$S:$S),0)), "N/A - Facility Does Not Report to TRI")</f>
        <v>N/A - Facility Does Not Report to TRI</v>
      </c>
      <c r="V231" s="156" t="str" cm="1">
        <f t="array" ref="V231">IF(COUNTIFS('Raw Annual DMR Data'!$L:$L,$F231,'Raw Annual DMR Data'!$U:$U,"&gt;0")&gt;0,MEDIAN(IF('Raw Annual DMR Data'!$L:$L=$F231,'Raw Annual DMR Data'!$U:$U,"")),"N/A - Period DMR Data Not Available")</f>
        <v>N/A - Period DMR Data Not Available</v>
      </c>
      <c r="W231" s="156" t="str">
        <f>IF(COUNTIFS('Raw Annual DMR Data'!$L:$L,$F231, 'Raw Annual DMR Data'!$U:$U, "&gt;0")&gt;0,_xlfn.MAXIFS('Raw Annual DMR Data'!$U:$U,'Raw Annual DMR Data'!$L:$L,$F231), "N/A - Period DMR Data Not Available")</f>
        <v>N/A - Period DMR Data Not Available</v>
      </c>
      <c r="X231" s="113" t="str" cm="1">
        <f t="array" ref="X231">+IF(COUNTIFS('Raw Annual DMR Data'!L:L,$F231, 'Raw Annual DMR Data'!U:U, "&gt;0")&gt;0,INDEX('Raw Annual DMR Data'!V:V,MATCH(1,($F231='Raw Annual DMR Data'!L:L)*($W231='Raw Annual DMR Data'!U:U),0)), "N/A - Period DMR Data Not Available")</f>
        <v>N/A - Period DMR Data Not Available</v>
      </c>
      <c r="Y231" s="113" t="str" cm="1">
        <f t="array" ref="Y231">IF(COUNTIFS('Raw Annual DMR Data'!L:L,$F231, 'Raw Annual DMR Data'!U:U, "&gt;0")&gt;0,INDEX('Raw Annual DMR Data'!B:B,MATCH(1,($F231='Raw Annual DMR Data'!L:L)*($W231='Raw Annual DMR Data'!U:U),0)), "N/A - Period DMR Data Not Available")</f>
        <v>N/A - Period DMR Data Not Available</v>
      </c>
      <c r="Z231" s="311" t="str" cm="1">
        <f t="array" ref="Z231">IF(COUNTIF('Raw Annual DMR Data'!K:K,$E231)&gt;0,"N/A - See DMRs",IF(SUMIFS('Raw TRI Data'!$Z:$Z,'Raw TRI Data'!$J:$J,$E231)&gt;0,MEDIAN(IF('Raw TRI Data'!$J:$J=$E231,'Raw TRI Data'!$Z:$Z)), "N/A - Facility Does Not Report to TRI, no surface water releases, or no Generic Factors available"))</f>
        <v>N/A - Facility Does Not Report to TRI, no surface water releases, or no Generic Factors available</v>
      </c>
      <c r="AA231" s="156" t="str">
        <f>IF(COUNTIF('Raw Annual DMR Data'!K:K,$E231)&gt;0,"N/A - See DMRs",IF(SUMIFS('Raw TRI Data'!$Z:$Z,'Raw TRI Data'!$J:$J,$E231)&gt;0,_xlfn.MAXIFS('Raw TRI Data'!$Z:$Z,'Raw TRI Data'!$J:$J,$E231), "N/A - Facility Does Not Report to TRI, no surface water releases, or no Generic Factors available"))</f>
        <v>N/A - Facility Does Not Report to TRI, no surface water releases, or no Generic Factors available</v>
      </c>
      <c r="AB231" s="113" t="str">
        <f t="shared" si="25"/>
        <v>N/A</v>
      </c>
      <c r="AC231" s="136" t="str" cm="1">
        <f t="array" ref="AC231">IF(COUNTIF('Raw Annual DMR Data'!K:K,$E231)&gt;0,"N/A - See DMRs",IF(SUMIFS('Raw TRI Data'!$Z:$Z,'Raw TRI Data'!$J:$J,$E231)&gt;0,INDEX('Raw TRI Data'!$A:$A,MATCH(1,($E231='Raw TRI Data'!$J:$J)*($AA231='Raw TRI Data'!$Z:$Z),0)), "N/A - Facility Does Not Report to TRI, no surface water releases, or no Generic Factors available"))</f>
        <v>N/A - Facility Does Not Report to TRI, no surface water releases, or no Generic Factors available</v>
      </c>
      <c r="AD231" s="96" t="str" cm="1">
        <f t="array" ref="AD231">IF(COUNTIFS('Raw Annual DMR Data'!L:L,$F231,'Raw Annual DMR Data'!W:W, "&gt;0")&gt;0,MEDIAN(IF('Raw Annual DMR Data'!K:K=$F231, 'Raw Annual DMR Data'!W:W)), "N/A - No Daily Max DMR Discharge Data")</f>
        <v>N/A - No Daily Max DMR Discharge Data</v>
      </c>
      <c r="AE231" s="96" t="str">
        <f>IF(COUNTIFS('Raw Annual DMR Data'!L:L,$F231,'Raw Annual DMR Data'!W:W, "&gt;0")&gt;0,_xlfn.MAXIFS('Raw Annual DMR Data'!W:W,'Raw Annual DMR Data'!L:L,$F231), "N/A - No Daily Max DMR Discharge Data")</f>
        <v>N/A - No Daily Max DMR Discharge Data</v>
      </c>
      <c r="AF231" s="60" t="str" cm="1">
        <f t="array" ref="AF231">IF(COUNTIFS('Raw Annual DMR Data'!L:L,$F231,'Raw Annual DMR Data'!W:W, "&gt;0")&gt;0,INDEX('Raw Annual DMR Data'!B:B,MATCH(1,($F231='Raw Annual DMR Data'!L:L)*($AE231='Raw Annual DMR Data'!W:W),0)), "N/A - No Daily Max DMR Discharge Data")</f>
        <v>N/A - No Daily Max DMR Discharge Data</v>
      </c>
    </row>
    <row r="232" spans="1:32" ht="45.75" thickBot="1" x14ac:dyDescent="0.3">
      <c r="A232" s="144" t="str">
        <f>VLOOKUP(F232,'Facility Summary'!J:K,2,FALSE)</f>
        <v>POTW</v>
      </c>
      <c r="B232" s="28" t="s">
        <v>1152</v>
      </c>
      <c r="C232" s="28" t="s">
        <v>1153</v>
      </c>
      <c r="D232" s="28" t="s">
        <v>338</v>
      </c>
      <c r="E232" s="28"/>
      <c r="F232" s="61">
        <v>110009838168</v>
      </c>
      <c r="G232" s="60" t="str">
        <f>VLOOKUP($F232, 'Raw Annual DMR Data'!$A:$Z, 24, FALSE)</f>
        <v>NJ0050423</v>
      </c>
      <c r="H232" s="60" t="str">
        <f>VLOOKUP($F232, 'Raw Annual DMR Data'!$A:$Z, 25, FALSE)</f>
        <v>ALLOWAYS CREEK</v>
      </c>
      <c r="I232" s="74">
        <f>VLOOKUP($F232, 'Raw Annual DMR Data'!$A:$Z, 26, FALSE)</f>
        <v>2040206000172</v>
      </c>
      <c r="J232" s="74" t="s">
        <v>265</v>
      </c>
      <c r="K232" s="60">
        <f>VLOOKUP(A232, 'OES Summary'!$A:$B, 2, FALSE)</f>
        <v>365</v>
      </c>
      <c r="L232" s="304" cm="1">
        <f t="array" ref="L232">IF(COUNTIF('Raw Annual DMR Data'!$L:$L,$F232)&gt;0,MEDIAN(IF('Raw Annual DMR Data'!$L:$L=F232,'Raw Annual DMR Data'!$S:$S)),"N/A - Facility Does Not Report DMRs")</f>
        <v>2.2946562499999998E-3</v>
      </c>
      <c r="M232" s="156">
        <f t="shared" si="23"/>
        <v>6.2867294520547937E-6</v>
      </c>
      <c r="N232" s="156">
        <f>IF(COUNTIF('Raw Annual DMR Data'!$L:$L,$F232)&gt;0,_xlfn.MAXIFS('Raw Annual DMR Data'!$S:$S,'Raw Annual DMR Data'!$L:$L,$F232), "N/A - Facility Does Not Report DMRs")</f>
        <v>3.145335E-3</v>
      </c>
      <c r="O232" s="156">
        <f t="shared" si="24"/>
        <v>8.6173561643835616E-6</v>
      </c>
      <c r="P232" s="113" cm="1">
        <f t="array" ref="P232">IF(COUNTIF('Raw Annual DMR Data'!$L:$L,$F232)&gt;0,INDEX('Raw Annual DMR Data'!$B:$B,MATCH(1,($F232='Raw Annual DMR Data'!$L:$L)*($N232='Raw Annual DMR Data'!$S:$S),0)), "N/A - Facility Does Not Report DMRs")</f>
        <v>2018</v>
      </c>
      <c r="Q232" s="304" t="str" cm="1">
        <f t="array" ref="Q232">IF(COUNTIF('Raw TRI Data'!$J:$J,$E232)&gt;0,MEDIAN(IF('Raw TRI Data'!$J:$J=E232,'Raw TRI Data'!$S:$S)), "N/A - Facility Does Not Report to TRI")</f>
        <v>N/A - Facility Does Not Report to TRI</v>
      </c>
      <c r="R232" s="156" t="str">
        <f t="shared" si="21"/>
        <v>N/A - Facility Does Not Report to TRI</v>
      </c>
      <c r="S232" s="156" t="str">
        <f>IF(COUNTIF('Raw TRI Data'!$J:$J,$E232)&gt;0,_xlfn.MAXIFS('Raw TRI Data'!$S:$S,'Raw TRI Data'!$J:$J,$E232), "N/A - Facility Does Not Report to TRI")</f>
        <v>N/A - Facility Does Not Report to TRI</v>
      </c>
      <c r="T232" s="156" t="str">
        <f t="shared" si="22"/>
        <v>N/A - Facility Does Not Report to TRI</v>
      </c>
      <c r="U232" s="136" t="str" cm="1">
        <f t="array" ref="U232">IF(COUNTIF('Raw TRI Data'!$J:$J,$E232)&gt;0,INDEX('Raw TRI Data'!$A:$A,MATCH(1,($E232='Raw TRI Data'!$J:$J)*(S232='Raw TRI Data'!$S:$S),0)), "N/A - Facility Does Not Report to TRI")</f>
        <v>N/A - Facility Does Not Report to TRI</v>
      </c>
      <c r="V232" s="156" t="str" cm="1">
        <f t="array" ref="V232">IF(COUNTIFS('Raw Annual DMR Data'!$L:$L,$F232,'Raw Annual DMR Data'!$U:$U,"&gt;0")&gt;0,MEDIAN(IF('Raw Annual DMR Data'!$L:$L=$F232,'Raw Annual DMR Data'!$U:$U,"")),"N/A - Period DMR Data Not Available")</f>
        <v>N/A - Period DMR Data Not Available</v>
      </c>
      <c r="W232" s="156" t="str">
        <f>IF(COUNTIFS('Raw Annual DMR Data'!$L:$L,$F232, 'Raw Annual DMR Data'!$U:$U, "&gt;0")&gt;0,_xlfn.MAXIFS('Raw Annual DMR Data'!$U:$U,'Raw Annual DMR Data'!$L:$L,$F232), "N/A - Period DMR Data Not Available")</f>
        <v>N/A - Period DMR Data Not Available</v>
      </c>
      <c r="X232" s="113" t="str" cm="1">
        <f t="array" ref="X232">+IF(COUNTIFS('Raw Annual DMR Data'!L:L,$F232, 'Raw Annual DMR Data'!U:U, "&gt;0")&gt;0,INDEX('Raw Annual DMR Data'!V:V,MATCH(1,($F232='Raw Annual DMR Data'!L:L)*($W232='Raw Annual DMR Data'!U:U),0)), "N/A - Period DMR Data Not Available")</f>
        <v>N/A - Period DMR Data Not Available</v>
      </c>
      <c r="Y232" s="113" t="str" cm="1">
        <f t="array" ref="Y232">IF(COUNTIFS('Raw Annual DMR Data'!L:L,$F232, 'Raw Annual DMR Data'!U:U, "&gt;0")&gt;0,INDEX('Raw Annual DMR Data'!B:B,MATCH(1,($F232='Raw Annual DMR Data'!L:L)*($W232='Raw Annual DMR Data'!U:U),0)), "N/A - Period DMR Data Not Available")</f>
        <v>N/A - Period DMR Data Not Available</v>
      </c>
      <c r="Z232" s="311" t="str" cm="1">
        <f t="array" ref="Z232">IF(COUNTIF('Raw Annual DMR Data'!K:K,$E232)&gt;0,"N/A - See DMRs",IF(SUMIFS('Raw TRI Data'!$Z:$Z,'Raw TRI Data'!$J:$J,$E232)&gt;0,MEDIAN(IF('Raw TRI Data'!$J:$J=$E232,'Raw TRI Data'!$Z:$Z)), "N/A - Facility Does Not Report to TRI, no surface water releases, or no Generic Factors available"))</f>
        <v>N/A - Facility Does Not Report to TRI, no surface water releases, or no Generic Factors available</v>
      </c>
      <c r="AA232" s="156" t="str">
        <f>IF(COUNTIF('Raw Annual DMR Data'!K:K,$E232)&gt;0,"N/A - See DMRs",IF(SUMIFS('Raw TRI Data'!$Z:$Z,'Raw TRI Data'!$J:$J,$E232)&gt;0,_xlfn.MAXIFS('Raw TRI Data'!$Z:$Z,'Raw TRI Data'!$J:$J,$E232), "N/A - Facility Does Not Report to TRI, no surface water releases, or no Generic Factors available"))</f>
        <v>N/A - Facility Does Not Report to TRI, no surface water releases, or no Generic Factors available</v>
      </c>
      <c r="AB232" s="113" t="str">
        <f t="shared" si="25"/>
        <v>N/A</v>
      </c>
      <c r="AC232" s="136" t="str" cm="1">
        <f t="array" ref="AC232">IF(COUNTIF('Raw Annual DMR Data'!K:K,$E232)&gt;0,"N/A - See DMRs",IF(SUMIFS('Raw TRI Data'!$Z:$Z,'Raw TRI Data'!$J:$J,$E232)&gt;0,INDEX('Raw TRI Data'!$A:$A,MATCH(1,($E232='Raw TRI Data'!$J:$J)*($AA232='Raw TRI Data'!$Z:$Z),0)), "N/A - Facility Does Not Report to TRI, no surface water releases, or no Generic Factors available"))</f>
        <v>N/A - Facility Does Not Report to TRI, no surface water releases, or no Generic Factors available</v>
      </c>
      <c r="AD232" s="96" t="str" cm="1">
        <f t="array" ref="AD232">IF(COUNTIFS('Raw Annual DMR Data'!L:L,$F232,'Raw Annual DMR Data'!W:W, "&gt;0")&gt;0,MEDIAN(IF('Raw Annual DMR Data'!K:K=$F232, 'Raw Annual DMR Data'!W:W)), "N/A - No Daily Max DMR Discharge Data")</f>
        <v>N/A - No Daily Max DMR Discharge Data</v>
      </c>
      <c r="AE232" s="96" t="str">
        <f>IF(COUNTIFS('Raw Annual DMR Data'!L:L,$F232,'Raw Annual DMR Data'!W:W, "&gt;0")&gt;0,_xlfn.MAXIFS('Raw Annual DMR Data'!W:W,'Raw Annual DMR Data'!L:L,$F232), "N/A - No Daily Max DMR Discharge Data")</f>
        <v>N/A - No Daily Max DMR Discharge Data</v>
      </c>
      <c r="AF232" s="60" t="str" cm="1">
        <f t="array" ref="AF232">IF(COUNTIFS('Raw Annual DMR Data'!L:L,$F232,'Raw Annual DMR Data'!W:W, "&gt;0")&gt;0,INDEX('Raw Annual DMR Data'!B:B,MATCH(1,($F232='Raw Annual DMR Data'!L:L)*($AE232='Raw Annual DMR Data'!W:W),0)), "N/A - No Daily Max DMR Discharge Data")</f>
        <v>N/A - No Daily Max DMR Discharge Data</v>
      </c>
    </row>
    <row r="233" spans="1:32" ht="45.75" thickBot="1" x14ac:dyDescent="0.3">
      <c r="A233" s="144" t="str">
        <f>VLOOKUP(F233,'Facility Summary'!J:K,2,FALSE)</f>
        <v>POTW</v>
      </c>
      <c r="B233" s="28" t="s">
        <v>1154</v>
      </c>
      <c r="C233" s="28" t="s">
        <v>1155</v>
      </c>
      <c r="D233" s="28" t="s">
        <v>366</v>
      </c>
      <c r="E233" s="28"/>
      <c r="F233" s="61">
        <v>110039757992</v>
      </c>
      <c r="G233" s="60" t="str">
        <f>VLOOKUP($F233, 'Raw Annual DMR Data'!$A:$Z, 24, FALSE)</f>
        <v>CA0078956</v>
      </c>
      <c r="H233" s="60" t="str">
        <f>VLOOKUP($F233, 'Raw Annual DMR Data'!$A:$Z, 25, FALSE)</f>
        <v>HANGTOWN CREEK</v>
      </c>
      <c r="I233" s="74">
        <f>VLOOKUP($F233, 'Raw Annual DMR Data'!$A:$Z, 26, FALSE)</f>
        <v>18020129000291</v>
      </c>
      <c r="J233" s="74" t="s">
        <v>265</v>
      </c>
      <c r="K233" s="60">
        <f>VLOOKUP(A233, 'OES Summary'!$A:$B, 2, FALSE)</f>
        <v>365</v>
      </c>
      <c r="L233" s="304" cm="1">
        <f t="array" ref="L233">IF(COUNTIF('Raw Annual DMR Data'!$L:$L,$F233)&gt;0,MEDIAN(IF('Raw Annual DMR Data'!$L:$L=F233,'Raw Annual DMR Data'!$S:$S)),"N/A - Facility Does Not Report DMRs")</f>
        <v>5.0142449875000002E-2</v>
      </c>
      <c r="M233" s="156">
        <f t="shared" si="23"/>
        <v>1.3737657500000001E-4</v>
      </c>
      <c r="N233" s="156">
        <f>IF(COUNTIF('Raw Annual DMR Data'!$L:$L,$F233)&gt;0,_xlfn.MAXIFS('Raw Annual DMR Data'!$S:$S,'Raw Annual DMR Data'!$L:$L,$F233), "N/A - Facility Does Not Report DMRs")</f>
        <v>6.5186783999999998E-2</v>
      </c>
      <c r="O233" s="156">
        <f t="shared" si="24"/>
        <v>1.7859392876712327E-4</v>
      </c>
      <c r="P233" s="113" cm="1">
        <f t="array" ref="P233">IF(COUNTIF('Raw Annual DMR Data'!$L:$L,$F233)&gt;0,INDEX('Raw Annual DMR Data'!$B:$B,MATCH(1,($F233='Raw Annual DMR Data'!$L:$L)*($N233='Raw Annual DMR Data'!$S:$S),0)), "N/A - Facility Does Not Report DMRs")</f>
        <v>2021</v>
      </c>
      <c r="Q233" s="304" t="str" cm="1">
        <f t="array" ref="Q233">IF(COUNTIF('Raw TRI Data'!$J:$J,$E233)&gt;0,MEDIAN(IF('Raw TRI Data'!$J:$J=E233,'Raw TRI Data'!$S:$S)), "N/A - Facility Does Not Report to TRI")</f>
        <v>N/A - Facility Does Not Report to TRI</v>
      </c>
      <c r="R233" s="156" t="str">
        <f t="shared" si="21"/>
        <v>N/A - Facility Does Not Report to TRI</v>
      </c>
      <c r="S233" s="156" t="str">
        <f>IF(COUNTIF('Raw TRI Data'!$J:$J,$E233)&gt;0,_xlfn.MAXIFS('Raw TRI Data'!$S:$S,'Raw TRI Data'!$J:$J,$E233), "N/A - Facility Does Not Report to TRI")</f>
        <v>N/A - Facility Does Not Report to TRI</v>
      </c>
      <c r="T233" s="156" t="str">
        <f t="shared" si="22"/>
        <v>N/A - Facility Does Not Report to TRI</v>
      </c>
      <c r="U233" s="136" t="str" cm="1">
        <f t="array" ref="U233">IF(COUNTIF('Raw TRI Data'!$J:$J,$E233)&gt;0,INDEX('Raw TRI Data'!$A:$A,MATCH(1,($E233='Raw TRI Data'!$J:$J)*(S233='Raw TRI Data'!$S:$S),0)), "N/A - Facility Does Not Report to TRI")</f>
        <v>N/A - Facility Does Not Report to TRI</v>
      </c>
      <c r="V233" s="156" t="str" cm="1">
        <f t="array" ref="V233">IF(COUNTIFS('Raw Annual DMR Data'!$L:$L,$F233,'Raw Annual DMR Data'!$U:$U,"&gt;0")&gt;0,MEDIAN(IF('Raw Annual DMR Data'!$L:$L=$F233,'Raw Annual DMR Data'!$U:$U,"")),"N/A - Period DMR Data Not Available")</f>
        <v>N/A - Period DMR Data Not Available</v>
      </c>
      <c r="W233" s="156" t="str">
        <f>IF(COUNTIFS('Raw Annual DMR Data'!$L:$L,$F233, 'Raw Annual DMR Data'!$U:$U, "&gt;0")&gt;0,_xlfn.MAXIFS('Raw Annual DMR Data'!$U:$U,'Raw Annual DMR Data'!$L:$L,$F233), "N/A - Period DMR Data Not Available")</f>
        <v>N/A - Period DMR Data Not Available</v>
      </c>
      <c r="X233" s="113" t="str" cm="1">
        <f t="array" ref="X233">+IF(COUNTIFS('Raw Annual DMR Data'!L:L,$F233, 'Raw Annual DMR Data'!U:U, "&gt;0")&gt;0,INDEX('Raw Annual DMR Data'!V:V,MATCH(1,($F233='Raw Annual DMR Data'!L:L)*($W233='Raw Annual DMR Data'!U:U),0)), "N/A - Period DMR Data Not Available")</f>
        <v>N/A - Period DMR Data Not Available</v>
      </c>
      <c r="Y233" s="113" t="str" cm="1">
        <f t="array" ref="Y233">IF(COUNTIFS('Raw Annual DMR Data'!L:L,$F233, 'Raw Annual DMR Data'!U:U, "&gt;0")&gt;0,INDEX('Raw Annual DMR Data'!B:B,MATCH(1,($F233='Raw Annual DMR Data'!L:L)*($W233='Raw Annual DMR Data'!U:U),0)), "N/A - Period DMR Data Not Available")</f>
        <v>N/A - Period DMR Data Not Available</v>
      </c>
      <c r="Z233" s="311" t="str" cm="1">
        <f t="array" ref="Z233">IF(COUNTIF('Raw Annual DMR Data'!K:K,$E233)&gt;0,"N/A - See DMRs",IF(SUMIFS('Raw TRI Data'!$Z:$Z,'Raw TRI Data'!$J:$J,$E233)&gt;0,MEDIAN(IF('Raw TRI Data'!$J:$J=$E233,'Raw TRI Data'!$Z:$Z)), "N/A - Facility Does Not Report to TRI, no surface water releases, or no Generic Factors available"))</f>
        <v>N/A - Facility Does Not Report to TRI, no surface water releases, or no Generic Factors available</v>
      </c>
      <c r="AA233" s="156" t="str">
        <f>IF(COUNTIF('Raw Annual DMR Data'!K:K,$E233)&gt;0,"N/A - See DMRs",IF(SUMIFS('Raw TRI Data'!$Z:$Z,'Raw TRI Data'!$J:$J,$E233)&gt;0,_xlfn.MAXIFS('Raw TRI Data'!$Z:$Z,'Raw TRI Data'!$J:$J,$E233), "N/A - Facility Does Not Report to TRI, no surface water releases, or no Generic Factors available"))</f>
        <v>N/A - Facility Does Not Report to TRI, no surface water releases, or no Generic Factors available</v>
      </c>
      <c r="AB233" s="113" t="str">
        <f t="shared" si="25"/>
        <v>N/A</v>
      </c>
      <c r="AC233" s="136" t="str" cm="1">
        <f t="array" ref="AC233">IF(COUNTIF('Raw Annual DMR Data'!K:K,$E233)&gt;0,"N/A - See DMRs",IF(SUMIFS('Raw TRI Data'!$Z:$Z,'Raw TRI Data'!$J:$J,$E233)&gt;0,INDEX('Raw TRI Data'!$A:$A,MATCH(1,($E233='Raw TRI Data'!$J:$J)*($AA233='Raw TRI Data'!$Z:$Z),0)), "N/A - Facility Does Not Report to TRI, no surface water releases, or no Generic Factors available"))</f>
        <v>N/A - Facility Does Not Report to TRI, no surface water releases, or no Generic Factors available</v>
      </c>
      <c r="AD233" s="96" t="str" cm="1">
        <f t="array" ref="AD233">IF(COUNTIFS('Raw Annual DMR Data'!L:L,$F233,'Raw Annual DMR Data'!W:W, "&gt;0")&gt;0,MEDIAN(IF('Raw Annual DMR Data'!K:K=$F233, 'Raw Annual DMR Data'!W:W)), "N/A - No Daily Max DMR Discharge Data")</f>
        <v>N/A - No Daily Max DMR Discharge Data</v>
      </c>
      <c r="AE233" s="96" t="str">
        <f>IF(COUNTIFS('Raw Annual DMR Data'!L:L,$F233,'Raw Annual DMR Data'!W:W, "&gt;0")&gt;0,_xlfn.MAXIFS('Raw Annual DMR Data'!W:W,'Raw Annual DMR Data'!L:L,$F233), "N/A - No Daily Max DMR Discharge Data")</f>
        <v>N/A - No Daily Max DMR Discharge Data</v>
      </c>
      <c r="AF233" s="60" t="str" cm="1">
        <f t="array" ref="AF233">IF(COUNTIFS('Raw Annual DMR Data'!L:L,$F233,'Raw Annual DMR Data'!W:W, "&gt;0")&gt;0,INDEX('Raw Annual DMR Data'!B:B,MATCH(1,($F233='Raw Annual DMR Data'!L:L)*($AE233='Raw Annual DMR Data'!W:W),0)), "N/A - No Daily Max DMR Discharge Data")</f>
        <v>N/A - No Daily Max DMR Discharge Data</v>
      </c>
    </row>
    <row r="234" spans="1:32" ht="45.75" thickBot="1" x14ac:dyDescent="0.3">
      <c r="A234" s="144" t="str">
        <f>VLOOKUP(F234,'Facility Summary'!J:K,2,FALSE)</f>
        <v>POTW</v>
      </c>
      <c r="B234" s="28" t="s">
        <v>1156</v>
      </c>
      <c r="C234" s="28" t="s">
        <v>1157</v>
      </c>
      <c r="D234" s="28" t="s">
        <v>366</v>
      </c>
      <c r="E234" s="28"/>
      <c r="F234" s="61">
        <v>110064616296</v>
      </c>
      <c r="G234" s="60" t="str">
        <f>VLOOKUP($F234, 'Raw Annual DMR Data'!$A:$Z, 24, FALSE)</f>
        <v>CA0049675</v>
      </c>
      <c r="H234" s="60" t="str">
        <f>VLOOKUP($F234, 'Raw Annual DMR Data'!$A:$Z, 25, FALSE)</f>
        <v>UNNAMED TRIBUTARY TO JACKSON CREEK</v>
      </c>
      <c r="I234" s="74">
        <f>VLOOKUP($F234, 'Raw Annual DMR Data'!$A:$Z, 26, FALSE)</f>
        <v>18040012024994</v>
      </c>
      <c r="J234" s="74" t="s">
        <v>265</v>
      </c>
      <c r="K234" s="60">
        <f>VLOOKUP(A234, 'OES Summary'!$A:$B, 2, FALSE)</f>
        <v>365</v>
      </c>
      <c r="L234" s="304" cm="1">
        <f t="array" ref="L234">IF(COUNTIF('Raw Annual DMR Data'!$L:$L,$F234)&gt;0,MEDIAN(IF('Raw Annual DMR Data'!$L:$L=F234,'Raw Annual DMR Data'!$S:$S)),"N/A - Facility Does Not Report DMRs")</f>
        <v>6.9076250000000006E-3</v>
      </c>
      <c r="M234" s="156">
        <f t="shared" si="23"/>
        <v>1.8925000000000003E-5</v>
      </c>
      <c r="N234" s="156">
        <f>IF(COUNTIF('Raw Annual DMR Data'!$L:$L,$F234)&gt;0,_xlfn.MAXIFS('Raw Annual DMR Data'!$S:$S,'Raw Annual DMR Data'!$L:$L,$F234), "N/A - Facility Does Not Report DMRs")</f>
        <v>8.6345312500000007E-3</v>
      </c>
      <c r="O234" s="156">
        <f t="shared" si="24"/>
        <v>2.3656250000000002E-5</v>
      </c>
      <c r="P234" s="113" cm="1">
        <f t="array" ref="P234">IF(COUNTIF('Raw Annual DMR Data'!$L:$L,$F234)&gt;0,INDEX('Raw Annual DMR Data'!$B:$B,MATCH(1,($F234='Raw Annual DMR Data'!$L:$L)*($N234='Raw Annual DMR Data'!$S:$S),0)), "N/A - Facility Does Not Report DMRs")</f>
        <v>2019</v>
      </c>
      <c r="Q234" s="304" t="str" cm="1">
        <f t="array" ref="Q234">IF(COUNTIF('Raw TRI Data'!$J:$J,$E234)&gt;0,MEDIAN(IF('Raw TRI Data'!$J:$J=E234,'Raw TRI Data'!$S:$S)), "N/A - Facility Does Not Report to TRI")</f>
        <v>N/A - Facility Does Not Report to TRI</v>
      </c>
      <c r="R234" s="156" t="str">
        <f t="shared" si="21"/>
        <v>N/A - Facility Does Not Report to TRI</v>
      </c>
      <c r="S234" s="156" t="str">
        <f>IF(COUNTIF('Raw TRI Data'!$J:$J,$E234)&gt;0,_xlfn.MAXIFS('Raw TRI Data'!$S:$S,'Raw TRI Data'!$J:$J,$E234), "N/A - Facility Does Not Report to TRI")</f>
        <v>N/A - Facility Does Not Report to TRI</v>
      </c>
      <c r="T234" s="156" t="str">
        <f t="shared" si="22"/>
        <v>N/A - Facility Does Not Report to TRI</v>
      </c>
      <c r="U234" s="136" t="str" cm="1">
        <f t="array" ref="U234">IF(COUNTIF('Raw TRI Data'!$J:$J,$E234)&gt;0,INDEX('Raw TRI Data'!$A:$A,MATCH(1,($E234='Raw TRI Data'!$J:$J)*(S234='Raw TRI Data'!$S:$S),0)), "N/A - Facility Does Not Report to TRI")</f>
        <v>N/A - Facility Does Not Report to TRI</v>
      </c>
      <c r="V234" s="156" t="str" cm="1">
        <f t="array" ref="V234">IF(COUNTIFS('Raw Annual DMR Data'!$L:$L,$F234,'Raw Annual DMR Data'!$U:$U,"&gt;0")&gt;0,MEDIAN(IF('Raw Annual DMR Data'!$L:$L=$F234,'Raw Annual DMR Data'!$U:$U,"")),"N/A - Period DMR Data Not Available")</f>
        <v>N/A - Period DMR Data Not Available</v>
      </c>
      <c r="W234" s="156" t="str">
        <f>IF(COUNTIFS('Raw Annual DMR Data'!$L:$L,$F234, 'Raw Annual DMR Data'!$U:$U, "&gt;0")&gt;0,_xlfn.MAXIFS('Raw Annual DMR Data'!$U:$U,'Raw Annual DMR Data'!$L:$L,$F234), "N/A - Period DMR Data Not Available")</f>
        <v>N/A - Period DMR Data Not Available</v>
      </c>
      <c r="X234" s="113" t="str" cm="1">
        <f t="array" ref="X234">+IF(COUNTIFS('Raw Annual DMR Data'!L:L,$F234, 'Raw Annual DMR Data'!U:U, "&gt;0")&gt;0,INDEX('Raw Annual DMR Data'!V:V,MATCH(1,($F234='Raw Annual DMR Data'!L:L)*($W234='Raw Annual DMR Data'!U:U),0)), "N/A - Period DMR Data Not Available")</f>
        <v>N/A - Period DMR Data Not Available</v>
      </c>
      <c r="Y234" s="113" t="str" cm="1">
        <f t="array" ref="Y234">IF(COUNTIFS('Raw Annual DMR Data'!L:L,$F234, 'Raw Annual DMR Data'!U:U, "&gt;0")&gt;0,INDEX('Raw Annual DMR Data'!B:B,MATCH(1,($F234='Raw Annual DMR Data'!L:L)*($W234='Raw Annual DMR Data'!U:U),0)), "N/A - Period DMR Data Not Available")</f>
        <v>N/A - Period DMR Data Not Available</v>
      </c>
      <c r="Z234" s="311" t="str" cm="1">
        <f t="array" ref="Z234">IF(COUNTIF('Raw Annual DMR Data'!K:K,$E234)&gt;0,"N/A - See DMRs",IF(SUMIFS('Raw TRI Data'!$Z:$Z,'Raw TRI Data'!$J:$J,$E234)&gt;0,MEDIAN(IF('Raw TRI Data'!$J:$J=$E234,'Raw TRI Data'!$Z:$Z)), "N/A - Facility Does Not Report to TRI, no surface water releases, or no Generic Factors available"))</f>
        <v>N/A - Facility Does Not Report to TRI, no surface water releases, or no Generic Factors available</v>
      </c>
      <c r="AA234" s="156" t="str">
        <f>IF(COUNTIF('Raw Annual DMR Data'!K:K,$E234)&gt;0,"N/A - See DMRs",IF(SUMIFS('Raw TRI Data'!$Z:$Z,'Raw TRI Data'!$J:$J,$E234)&gt;0,_xlfn.MAXIFS('Raw TRI Data'!$Z:$Z,'Raw TRI Data'!$J:$J,$E234), "N/A - Facility Does Not Report to TRI, no surface water releases, or no Generic Factors available"))</f>
        <v>N/A - Facility Does Not Report to TRI, no surface water releases, or no Generic Factors available</v>
      </c>
      <c r="AB234" s="113" t="str">
        <f t="shared" si="25"/>
        <v>N/A</v>
      </c>
      <c r="AC234" s="136" t="str" cm="1">
        <f t="array" ref="AC234">IF(COUNTIF('Raw Annual DMR Data'!K:K,$E234)&gt;0,"N/A - See DMRs",IF(SUMIFS('Raw TRI Data'!$Z:$Z,'Raw TRI Data'!$J:$J,$E234)&gt;0,INDEX('Raw TRI Data'!$A:$A,MATCH(1,($E234='Raw TRI Data'!$J:$J)*($AA234='Raw TRI Data'!$Z:$Z),0)), "N/A - Facility Does Not Report to TRI, no surface water releases, or no Generic Factors available"))</f>
        <v>N/A - Facility Does Not Report to TRI, no surface water releases, or no Generic Factors available</v>
      </c>
      <c r="AD234" s="96" t="str" cm="1">
        <f t="array" ref="AD234">IF(COUNTIFS('Raw Annual DMR Data'!L:L,$F234,'Raw Annual DMR Data'!W:W, "&gt;0")&gt;0,MEDIAN(IF('Raw Annual DMR Data'!K:K=$F234, 'Raw Annual DMR Data'!W:W)), "N/A - No Daily Max DMR Discharge Data")</f>
        <v>N/A - No Daily Max DMR Discharge Data</v>
      </c>
      <c r="AE234" s="96" t="str">
        <f>IF(COUNTIFS('Raw Annual DMR Data'!L:L,$F234,'Raw Annual DMR Data'!W:W, "&gt;0")&gt;0,_xlfn.MAXIFS('Raw Annual DMR Data'!W:W,'Raw Annual DMR Data'!L:L,$F234), "N/A - No Daily Max DMR Discharge Data")</f>
        <v>N/A - No Daily Max DMR Discharge Data</v>
      </c>
      <c r="AF234" s="60" t="str" cm="1">
        <f t="array" ref="AF234">IF(COUNTIFS('Raw Annual DMR Data'!L:L,$F234,'Raw Annual DMR Data'!W:W, "&gt;0")&gt;0,INDEX('Raw Annual DMR Data'!B:B,MATCH(1,($F234='Raw Annual DMR Data'!L:L)*($AE234='Raw Annual DMR Data'!W:W),0)), "N/A - No Daily Max DMR Discharge Data")</f>
        <v>N/A - No Daily Max DMR Discharge Data</v>
      </c>
    </row>
    <row r="235" spans="1:32" ht="45.75" thickBot="1" x14ac:dyDescent="0.3">
      <c r="A235" s="144" t="str">
        <f>VLOOKUP(F235,'Facility Summary'!J:K,2,FALSE)</f>
        <v>POTW</v>
      </c>
      <c r="B235" s="28" t="s">
        <v>1158</v>
      </c>
      <c r="C235" s="28" t="s">
        <v>1159</v>
      </c>
      <c r="D235" s="28" t="s">
        <v>324</v>
      </c>
      <c r="E235" s="28"/>
      <c r="F235" s="61">
        <v>110000732324</v>
      </c>
      <c r="G235" s="60" t="str">
        <f>VLOOKUP($F235, 'Raw Annual DMR Data'!$A:$Z, 24, FALSE)</f>
        <v>KY0027421</v>
      </c>
      <c r="H235" s="60" t="str">
        <f>VLOOKUP($F235, 'Raw Annual DMR Data'!$A:$Z, 25, FALSE)</f>
        <v>TOWN CREEK, TOWN CRK</v>
      </c>
      <c r="I235" s="74" t="str">
        <f>VLOOKUP($F235, 'Raw Annual DMR Data'!$A:$Z, 26, FALSE)</f>
        <v>05140102000788</v>
      </c>
      <c r="J235" s="74" t="s">
        <v>265</v>
      </c>
      <c r="K235" s="60">
        <f>VLOOKUP(A235, 'OES Summary'!$A:$B, 2, FALSE)</f>
        <v>365</v>
      </c>
      <c r="L235" s="304" cm="1">
        <f t="array" ref="L235">IF(COUNTIF('Raw Annual DMR Data'!$L:$L,$F235)&gt;0,MEDIAN(IF('Raw Annual DMR Data'!$L:$L=F235,'Raw Annual DMR Data'!$S:$S)),"N/A - Facility Does Not Report DMRs")</f>
        <v>1.7041110875000001</v>
      </c>
      <c r="M235" s="156">
        <f t="shared" si="23"/>
        <v>4.6687975000000003E-3</v>
      </c>
      <c r="N235" s="156">
        <f>IF(COUNTIF('Raw Annual DMR Data'!$L:$L,$F235)&gt;0,_xlfn.MAXIFS('Raw Annual DMR Data'!$S:$S,'Raw Annual DMR Data'!$L:$L,$F235), "N/A - Facility Does Not Report DMRs")</f>
        <v>1.8070347</v>
      </c>
      <c r="O235" s="156">
        <f t="shared" si="24"/>
        <v>4.9507800000000001E-3</v>
      </c>
      <c r="P235" s="113" cm="1">
        <f t="array" ref="P235">IF(COUNTIF('Raw Annual DMR Data'!$L:$L,$F235)&gt;0,INDEX('Raw Annual DMR Data'!$B:$B,MATCH(1,($F235='Raw Annual DMR Data'!$L:$L)*($N235='Raw Annual DMR Data'!$S:$S),0)), "N/A - Facility Does Not Report DMRs")</f>
        <v>2019</v>
      </c>
      <c r="Q235" s="304" t="str" cm="1">
        <f t="array" ref="Q235">IF(COUNTIF('Raw TRI Data'!$J:$J,$E235)&gt;0,MEDIAN(IF('Raw TRI Data'!$J:$J=E235,'Raw TRI Data'!$S:$S)), "N/A - Facility Does Not Report to TRI")</f>
        <v>N/A - Facility Does Not Report to TRI</v>
      </c>
      <c r="R235" s="156" t="str">
        <f t="shared" si="21"/>
        <v>N/A - Facility Does Not Report to TRI</v>
      </c>
      <c r="S235" s="156" t="str">
        <f>IF(COUNTIF('Raw TRI Data'!$J:$J,$E235)&gt;0,_xlfn.MAXIFS('Raw TRI Data'!$S:$S,'Raw TRI Data'!$J:$J,$E235), "N/A - Facility Does Not Report to TRI")</f>
        <v>N/A - Facility Does Not Report to TRI</v>
      </c>
      <c r="T235" s="156" t="str">
        <f t="shared" si="22"/>
        <v>N/A - Facility Does Not Report to TRI</v>
      </c>
      <c r="U235" s="136" t="str" cm="1">
        <f t="array" ref="U235">IF(COUNTIF('Raw TRI Data'!$J:$J,$E235)&gt;0,INDEX('Raw TRI Data'!$A:$A,MATCH(1,($E235='Raw TRI Data'!$J:$J)*(S235='Raw TRI Data'!$S:$S),0)), "N/A - Facility Does Not Report to TRI")</f>
        <v>N/A - Facility Does Not Report to TRI</v>
      </c>
      <c r="V235" s="156" t="str" cm="1">
        <f t="array" ref="V235">IF(COUNTIFS('Raw Annual DMR Data'!$L:$L,$F235,'Raw Annual DMR Data'!$U:$U,"&gt;0")&gt;0,MEDIAN(IF('Raw Annual DMR Data'!$L:$L=$F235,'Raw Annual DMR Data'!$U:$U,"")),"N/A - Period DMR Data Not Available")</f>
        <v>N/A - Period DMR Data Not Available</v>
      </c>
      <c r="W235" s="156" t="str">
        <f>IF(COUNTIFS('Raw Annual DMR Data'!$L:$L,$F235, 'Raw Annual DMR Data'!$U:$U, "&gt;0")&gt;0,_xlfn.MAXIFS('Raw Annual DMR Data'!$U:$U,'Raw Annual DMR Data'!$L:$L,$F235), "N/A - Period DMR Data Not Available")</f>
        <v>N/A - Period DMR Data Not Available</v>
      </c>
      <c r="X235" s="113" t="str" cm="1">
        <f t="array" ref="X235">+IF(COUNTIFS('Raw Annual DMR Data'!L:L,$F235, 'Raw Annual DMR Data'!U:U, "&gt;0")&gt;0,INDEX('Raw Annual DMR Data'!V:V,MATCH(1,($F235='Raw Annual DMR Data'!L:L)*($W235='Raw Annual DMR Data'!U:U),0)), "N/A - Period DMR Data Not Available")</f>
        <v>N/A - Period DMR Data Not Available</v>
      </c>
      <c r="Y235" s="113" t="str" cm="1">
        <f t="array" ref="Y235">IF(COUNTIFS('Raw Annual DMR Data'!L:L,$F235, 'Raw Annual DMR Data'!U:U, "&gt;0")&gt;0,INDEX('Raw Annual DMR Data'!B:B,MATCH(1,($F235='Raw Annual DMR Data'!L:L)*($W235='Raw Annual DMR Data'!U:U),0)), "N/A - Period DMR Data Not Available")</f>
        <v>N/A - Period DMR Data Not Available</v>
      </c>
      <c r="Z235" s="311" t="str" cm="1">
        <f t="array" ref="Z235">IF(COUNTIF('Raw Annual DMR Data'!K:K,$E235)&gt;0,"N/A - See DMRs",IF(SUMIFS('Raw TRI Data'!$Z:$Z,'Raw TRI Data'!$J:$J,$E235)&gt;0,MEDIAN(IF('Raw TRI Data'!$J:$J=$E235,'Raw TRI Data'!$Z:$Z)), "N/A - Facility Does Not Report to TRI, no surface water releases, or no Generic Factors available"))</f>
        <v>N/A - Facility Does Not Report to TRI, no surface water releases, or no Generic Factors available</v>
      </c>
      <c r="AA235" s="156" t="str">
        <f>IF(COUNTIF('Raw Annual DMR Data'!K:K,$E235)&gt;0,"N/A - See DMRs",IF(SUMIFS('Raw TRI Data'!$Z:$Z,'Raw TRI Data'!$J:$J,$E235)&gt;0,_xlfn.MAXIFS('Raw TRI Data'!$Z:$Z,'Raw TRI Data'!$J:$J,$E235), "N/A - Facility Does Not Report to TRI, no surface water releases, or no Generic Factors available"))</f>
        <v>N/A - Facility Does Not Report to TRI, no surface water releases, or no Generic Factors available</v>
      </c>
      <c r="AB235" s="113" t="str">
        <f t="shared" si="25"/>
        <v>N/A</v>
      </c>
      <c r="AC235" s="136" t="str" cm="1">
        <f t="array" ref="AC235">IF(COUNTIF('Raw Annual DMR Data'!K:K,$E235)&gt;0,"N/A - See DMRs",IF(SUMIFS('Raw TRI Data'!$Z:$Z,'Raw TRI Data'!$J:$J,$E235)&gt;0,INDEX('Raw TRI Data'!$A:$A,MATCH(1,($E235='Raw TRI Data'!$J:$J)*($AA235='Raw TRI Data'!$Z:$Z),0)), "N/A - Facility Does Not Report to TRI, no surface water releases, or no Generic Factors available"))</f>
        <v>N/A - Facility Does Not Report to TRI, no surface water releases, or no Generic Factors available</v>
      </c>
      <c r="AD235" s="96" t="str" cm="1">
        <f t="array" ref="AD235">IF(COUNTIFS('Raw Annual DMR Data'!L:L,$F235,'Raw Annual DMR Data'!W:W, "&gt;0")&gt;0,MEDIAN(IF('Raw Annual DMR Data'!K:K=$F235, 'Raw Annual DMR Data'!W:W)), "N/A - No Daily Max DMR Discharge Data")</f>
        <v>N/A - No Daily Max DMR Discharge Data</v>
      </c>
      <c r="AE235" s="96" t="str">
        <f>IF(COUNTIFS('Raw Annual DMR Data'!L:L,$F235,'Raw Annual DMR Data'!W:W, "&gt;0")&gt;0,_xlfn.MAXIFS('Raw Annual DMR Data'!W:W,'Raw Annual DMR Data'!L:L,$F235), "N/A - No Daily Max DMR Discharge Data")</f>
        <v>N/A - No Daily Max DMR Discharge Data</v>
      </c>
      <c r="AF235" s="60" t="str" cm="1">
        <f t="array" ref="AF235">IF(COUNTIFS('Raw Annual DMR Data'!L:L,$F235,'Raw Annual DMR Data'!W:W, "&gt;0")&gt;0,INDEX('Raw Annual DMR Data'!B:B,MATCH(1,($F235='Raw Annual DMR Data'!L:L)*($AE235='Raw Annual DMR Data'!W:W),0)), "N/A - No Daily Max DMR Discharge Data")</f>
        <v>N/A - No Daily Max DMR Discharge Data</v>
      </c>
    </row>
    <row r="236" spans="1:32" ht="30.75" thickBot="1" x14ac:dyDescent="0.3">
      <c r="A236" s="144" t="str">
        <f>VLOOKUP(F236,'Facility Summary'!J:K,2,FALSE)</f>
        <v>Unknown</v>
      </c>
      <c r="B236" s="28" t="s">
        <v>1160</v>
      </c>
      <c r="C236" s="28" t="s">
        <v>1103</v>
      </c>
      <c r="D236" s="28" t="s">
        <v>345</v>
      </c>
      <c r="E236" s="28" t="s">
        <v>720</v>
      </c>
      <c r="F236" s="61">
        <v>110000433022</v>
      </c>
      <c r="G236" s="60" t="str">
        <f>VLOOKUP($F236, 'Raw Annual DMR Data'!$A:$Z, 24, FALSE)</f>
        <v>IL0079758</v>
      </c>
      <c r="H236" s="60" t="str">
        <f>VLOOKUP($F236, 'Raw Annual DMR Data'!$A:$Z, 25, FALSE)</f>
        <v>HOG RUN, ILLINOIS RIVER, ILLINOIS RIVER/HOG RUN</v>
      </c>
      <c r="I236" s="74">
        <f>VLOOKUP($F236, 'Raw Annual DMR Data'!$A:$Z, 26, FALSE)</f>
        <v>7120005000124</v>
      </c>
      <c r="J236" s="74" t="s">
        <v>265</v>
      </c>
      <c r="K236" s="60">
        <f>VLOOKUP(A236, 'OES Summary'!$A:$B, 2, FALSE)</f>
        <v>250</v>
      </c>
      <c r="L236" s="304" cm="1">
        <f t="array" ref="L236">IF(COUNTIF('Raw Annual DMR Data'!$L:$L,$F236)&gt;0,MEDIAN(IF('Raw Annual DMR Data'!$L:$L=F236,'Raw Annual DMR Data'!$S:$S)),"N/A - Facility Does Not Report DMRs")</f>
        <v>4.6298021844671147E-2</v>
      </c>
      <c r="M236" s="156">
        <f t="shared" si="23"/>
        <v>1.8519208737868459E-4</v>
      </c>
      <c r="N236" s="156">
        <f>IF(COUNTIF('Raw Annual DMR Data'!$L:$L,$F236)&gt;0,_xlfn.MAXIFS('Raw Annual DMR Data'!$S:$S,'Raw Annual DMR Data'!$L:$L,$F236), "N/A - Facility Does Not Report DMRs")</f>
        <v>0.204433106575963</v>
      </c>
      <c r="O236" s="156">
        <f t="shared" si="24"/>
        <v>8.1773242630385197E-4</v>
      </c>
      <c r="P236" s="113" cm="1">
        <f t="array" ref="P236">IF(COUNTIF('Raw Annual DMR Data'!$L:$L,$F236)&gt;0,INDEX('Raw Annual DMR Data'!$B:$B,MATCH(1,($F236='Raw Annual DMR Data'!$L:$L)*($N236='Raw Annual DMR Data'!$S:$S),0)), "N/A - Facility Does Not Report DMRs")</f>
        <v>2020</v>
      </c>
      <c r="Q236" s="304" t="str" cm="1">
        <f t="array" ref="Q236">IF(COUNTIF('Raw TRI Data'!$J:$J,$E236)&gt;0,MEDIAN(IF('Raw TRI Data'!$J:$J=E236,'Raw TRI Data'!$S:$S)), "N/A - Facility Does Not Report to TRI")</f>
        <v>N/A - Facility Does Not Report to TRI</v>
      </c>
      <c r="R236" s="156" t="str">
        <f t="shared" si="21"/>
        <v>N/A - Facility Does Not Report to TRI</v>
      </c>
      <c r="S236" s="156" t="str">
        <f>IF(COUNTIF('Raw TRI Data'!$J:$J,$E236)&gt;0,_xlfn.MAXIFS('Raw TRI Data'!$S:$S,'Raw TRI Data'!$J:$J,$E236), "N/A - Facility Does Not Report to TRI")</f>
        <v>N/A - Facility Does Not Report to TRI</v>
      </c>
      <c r="T236" s="156" t="str">
        <f t="shared" si="22"/>
        <v>N/A - Facility Does Not Report to TRI</v>
      </c>
      <c r="U236" s="136" t="str" cm="1">
        <f t="array" ref="U236">IF(COUNTIF('Raw TRI Data'!$J:$J,$E236)&gt;0,INDEX('Raw TRI Data'!$A:$A,MATCH(1,($E236='Raw TRI Data'!$J:$J)*(S236='Raw TRI Data'!$S:$S),0)), "N/A - Facility Does Not Report to TRI")</f>
        <v>N/A - Facility Does Not Report to TRI</v>
      </c>
      <c r="V236" s="156" t="str" cm="1">
        <f t="array" ref="V236">IF(COUNTIFS('Raw Annual DMR Data'!$L:$L,$F236,'Raw Annual DMR Data'!$U:$U,"&gt;0")&gt;0,MEDIAN(IF('Raw Annual DMR Data'!$L:$L=$F236,'Raw Annual DMR Data'!$U:$U,"")),"N/A - Period DMR Data Not Available")</f>
        <v>N/A - Period DMR Data Not Available</v>
      </c>
      <c r="W236" s="156" t="str">
        <f>IF(COUNTIFS('Raw Annual DMR Data'!$L:$L,$F236, 'Raw Annual DMR Data'!$U:$U, "&gt;0")&gt;0,_xlfn.MAXIFS('Raw Annual DMR Data'!$U:$U,'Raw Annual DMR Data'!$L:$L,$F236), "N/A - Period DMR Data Not Available")</f>
        <v>N/A - Period DMR Data Not Available</v>
      </c>
      <c r="X236" s="113" t="str" cm="1">
        <f t="array" ref="X236">+IF(COUNTIFS('Raw Annual DMR Data'!L:L,$F236, 'Raw Annual DMR Data'!U:U, "&gt;0")&gt;0,INDEX('Raw Annual DMR Data'!V:V,MATCH(1,($F236='Raw Annual DMR Data'!L:L)*($W236='Raw Annual DMR Data'!U:U),0)), "N/A - Period DMR Data Not Available")</f>
        <v>N/A - Period DMR Data Not Available</v>
      </c>
      <c r="Y236" s="113" t="str" cm="1">
        <f t="array" ref="Y236">IF(COUNTIFS('Raw Annual DMR Data'!L:L,$F236, 'Raw Annual DMR Data'!U:U, "&gt;0")&gt;0,INDEX('Raw Annual DMR Data'!B:B,MATCH(1,($F236='Raw Annual DMR Data'!L:L)*($W236='Raw Annual DMR Data'!U:U),0)), "N/A - Period DMR Data Not Available")</f>
        <v>N/A - Period DMR Data Not Available</v>
      </c>
      <c r="Z236" s="311" t="str" cm="1">
        <f t="array" ref="Z236">IF(COUNTIF('Raw Annual DMR Data'!K:K,$E236)&gt;0,"N/A - See DMRs",IF(SUMIFS('Raw TRI Data'!$Z:$Z,'Raw TRI Data'!$J:$J,$E236)&gt;0,MEDIAN(IF('Raw TRI Data'!$J:$J=$E236,'Raw TRI Data'!$Z:$Z)), "N/A - Facility Does Not Report to TRI, no surface water releases, or no Generic Factors available"))</f>
        <v>N/A - See DMRs</v>
      </c>
      <c r="AA236" s="156" t="str">
        <f>IF(COUNTIF('Raw Annual DMR Data'!K:K,$E236)&gt;0,"N/A - See DMRs",IF(SUMIFS('Raw TRI Data'!$Z:$Z,'Raw TRI Data'!$J:$J,$E236)&gt;0,_xlfn.MAXIFS('Raw TRI Data'!$Z:$Z,'Raw TRI Data'!$J:$J,$E236), "N/A - Facility Does Not Report to TRI, no surface water releases, or no Generic Factors available"))</f>
        <v>N/A - See DMRs</v>
      </c>
      <c r="AB236" s="113" t="str">
        <f t="shared" si="25"/>
        <v>N/A</v>
      </c>
      <c r="AC236" s="136" t="str" cm="1">
        <f t="array" ref="AC236">IF(COUNTIF('Raw Annual DMR Data'!K:K,$E236)&gt;0,"N/A - See DMRs",IF(SUMIFS('Raw TRI Data'!$Z:$Z,'Raw TRI Data'!$J:$J,$E236)&gt;0,INDEX('Raw TRI Data'!$A:$A,MATCH(1,($E236='Raw TRI Data'!$J:$J)*($AA236='Raw TRI Data'!$Z:$Z),0)), "N/A - Facility Does Not Report to TRI, no surface water releases, or no Generic Factors available"))</f>
        <v>N/A - See DMRs</v>
      </c>
      <c r="AD236" s="96" t="str" cm="1">
        <f t="array" ref="AD236">IF(COUNTIFS('Raw Annual DMR Data'!L:L,$F236,'Raw Annual DMR Data'!W:W, "&gt;0")&gt;0,MEDIAN(IF('Raw Annual DMR Data'!K:K=$F236, 'Raw Annual DMR Data'!W:W)), "N/A - No Daily Max DMR Discharge Data")</f>
        <v>N/A - No Daily Max DMR Discharge Data</v>
      </c>
      <c r="AE236" s="96" t="str">
        <f>IF(COUNTIFS('Raw Annual DMR Data'!L:L,$F236,'Raw Annual DMR Data'!W:W, "&gt;0")&gt;0,_xlfn.MAXIFS('Raw Annual DMR Data'!W:W,'Raw Annual DMR Data'!L:L,$F236), "N/A - No Daily Max DMR Discharge Data")</f>
        <v>N/A - No Daily Max DMR Discharge Data</v>
      </c>
      <c r="AF236" s="60" t="str" cm="1">
        <f t="array" ref="AF236">IF(COUNTIFS('Raw Annual DMR Data'!L:L,$F236,'Raw Annual DMR Data'!W:W, "&gt;0")&gt;0,INDEX('Raw Annual DMR Data'!B:B,MATCH(1,($F236='Raw Annual DMR Data'!L:L)*($AE236='Raw Annual DMR Data'!W:W),0)), "N/A - No Daily Max DMR Discharge Data")</f>
        <v>N/A - No Daily Max DMR Discharge Data</v>
      </c>
    </row>
    <row r="237" spans="1:32" ht="45.75" thickBot="1" x14ac:dyDescent="0.3">
      <c r="A237" s="144" t="str">
        <f>VLOOKUP(F237,'Facility Summary'!J:K,2,FALSE)</f>
        <v>Remediation</v>
      </c>
      <c r="B237" s="28" t="s">
        <v>1161</v>
      </c>
      <c r="C237" s="28" t="s">
        <v>1162</v>
      </c>
      <c r="D237" s="28" t="s">
        <v>338</v>
      </c>
      <c r="E237" s="28"/>
      <c r="F237" s="61">
        <v>110070210457</v>
      </c>
      <c r="G237" s="60" t="str">
        <f>VLOOKUP($F237, 'Raw Annual DMR Data'!$A:$Z, 24, FALSE)</f>
        <v>NJG005134</v>
      </c>
      <c r="H237" s="60" t="str">
        <f>VLOOKUP($F237, 'Raw Annual DMR Data'!$A:$Z, 25, FALSE)</f>
        <v>DELAWARE RIVER</v>
      </c>
      <c r="I237" s="74">
        <f>VLOOKUP($F237, 'Raw Annual DMR Data'!$A:$Z, 26, FALSE)</f>
        <v>2040202001793</v>
      </c>
      <c r="J237" s="74" t="s">
        <v>265</v>
      </c>
      <c r="K237" s="60">
        <f>VLOOKUP(A237, 'OES Summary'!$A:$B, 2, FALSE)</f>
        <v>365</v>
      </c>
      <c r="L237" s="304" cm="1">
        <f t="array" ref="L237">IF(COUNTIF('Raw Annual DMR Data'!$L:$L,$F237)&gt;0,MEDIAN(IF('Raw Annual DMR Data'!$L:$L=F237,'Raw Annual DMR Data'!$S:$S)),"N/A - Facility Does Not Report DMRs")</f>
        <v>4.994212875E-3</v>
      </c>
      <c r="M237" s="156">
        <f t="shared" si="23"/>
        <v>1.3682775E-5</v>
      </c>
      <c r="N237" s="156">
        <f>IF(COUNTIF('Raw Annual DMR Data'!$L:$L,$F237)&gt;0,_xlfn.MAXIFS('Raw Annual DMR Data'!$S:$S,'Raw Annual DMR Data'!$L:$L,$F237), "N/A - Facility Does Not Report DMRs")</f>
        <v>7.9982576100000001E-3</v>
      </c>
      <c r="O237" s="156">
        <f t="shared" si="24"/>
        <v>2.1913034547945205E-5</v>
      </c>
      <c r="P237" s="113" cm="1">
        <f t="array" ref="P237">IF(COUNTIF('Raw Annual DMR Data'!$L:$L,$F237)&gt;0,INDEX('Raw Annual DMR Data'!$B:$B,MATCH(1,($F237='Raw Annual DMR Data'!$L:$L)*($N237='Raw Annual DMR Data'!$S:$S),0)), "N/A - Facility Does Not Report DMRs")</f>
        <v>2024</v>
      </c>
      <c r="Q237" s="304" t="str" cm="1">
        <f t="array" ref="Q237">IF(COUNTIF('Raw TRI Data'!$J:$J,$E237)&gt;0,MEDIAN(IF('Raw TRI Data'!$J:$J=E237,'Raw TRI Data'!$S:$S)), "N/A - Facility Does Not Report to TRI")</f>
        <v>N/A - Facility Does Not Report to TRI</v>
      </c>
      <c r="R237" s="156" t="str">
        <f t="shared" si="21"/>
        <v>N/A - Facility Does Not Report to TRI</v>
      </c>
      <c r="S237" s="156" t="str">
        <f>IF(COUNTIF('Raw TRI Data'!$J:$J,$E237)&gt;0,_xlfn.MAXIFS('Raw TRI Data'!$S:$S,'Raw TRI Data'!$J:$J,$E237), "N/A - Facility Does Not Report to TRI")</f>
        <v>N/A - Facility Does Not Report to TRI</v>
      </c>
      <c r="T237" s="156" t="str">
        <f t="shared" si="22"/>
        <v>N/A - Facility Does Not Report to TRI</v>
      </c>
      <c r="U237" s="136" t="str" cm="1">
        <f t="array" ref="U237">IF(COUNTIF('Raw TRI Data'!$J:$J,$E237)&gt;0,INDEX('Raw TRI Data'!$A:$A,MATCH(1,($E237='Raw TRI Data'!$J:$J)*(S237='Raw TRI Data'!$S:$S),0)), "N/A - Facility Does Not Report to TRI")</f>
        <v>N/A - Facility Does Not Report to TRI</v>
      </c>
      <c r="V237" s="156" t="str" cm="1">
        <f t="array" ref="V237">IF(COUNTIFS('Raw Annual DMR Data'!$L:$L,$F237,'Raw Annual DMR Data'!$U:$U,"&gt;0")&gt;0,MEDIAN(IF('Raw Annual DMR Data'!$L:$L=$F237,'Raw Annual DMR Data'!$U:$U,"")),"N/A - Period DMR Data Not Available")</f>
        <v>N/A - Period DMR Data Not Available</v>
      </c>
      <c r="W237" s="156" t="str">
        <f>IF(COUNTIFS('Raw Annual DMR Data'!$L:$L,$F237, 'Raw Annual DMR Data'!$U:$U, "&gt;0")&gt;0,_xlfn.MAXIFS('Raw Annual DMR Data'!$U:$U,'Raw Annual DMR Data'!$L:$L,$F237), "N/A - Period DMR Data Not Available")</f>
        <v>N/A - Period DMR Data Not Available</v>
      </c>
      <c r="X237" s="113" t="str" cm="1">
        <f t="array" ref="X237">+IF(COUNTIFS('Raw Annual DMR Data'!L:L,$F237, 'Raw Annual DMR Data'!U:U, "&gt;0")&gt;0,INDEX('Raw Annual DMR Data'!V:V,MATCH(1,($F237='Raw Annual DMR Data'!L:L)*($W237='Raw Annual DMR Data'!U:U),0)), "N/A - Period DMR Data Not Available")</f>
        <v>N/A - Period DMR Data Not Available</v>
      </c>
      <c r="Y237" s="113" t="str" cm="1">
        <f t="array" ref="Y237">IF(COUNTIFS('Raw Annual DMR Data'!L:L,$F237, 'Raw Annual DMR Data'!U:U, "&gt;0")&gt;0,INDEX('Raw Annual DMR Data'!B:B,MATCH(1,($F237='Raw Annual DMR Data'!L:L)*($W237='Raw Annual DMR Data'!U:U),0)), "N/A - Period DMR Data Not Available")</f>
        <v>N/A - Period DMR Data Not Available</v>
      </c>
      <c r="Z237" s="311" t="str" cm="1">
        <f t="array" ref="Z237">IF(COUNTIF('Raw Annual DMR Data'!K:K,$E237)&gt;0,"N/A - See DMRs",IF(SUMIFS('Raw TRI Data'!$Z:$Z,'Raw TRI Data'!$J:$J,$E237)&gt;0,MEDIAN(IF('Raw TRI Data'!$J:$J=$E237,'Raw TRI Data'!$Z:$Z)), "N/A - Facility Does Not Report to TRI, no surface water releases, or no Generic Factors available"))</f>
        <v>N/A - Facility Does Not Report to TRI, no surface water releases, or no Generic Factors available</v>
      </c>
      <c r="AA237" s="156" t="str">
        <f>IF(COUNTIF('Raw Annual DMR Data'!K:K,$E237)&gt;0,"N/A - See DMRs",IF(SUMIFS('Raw TRI Data'!$Z:$Z,'Raw TRI Data'!$J:$J,$E237)&gt;0,_xlfn.MAXIFS('Raw TRI Data'!$Z:$Z,'Raw TRI Data'!$J:$J,$E237), "N/A - Facility Does Not Report to TRI, no surface water releases, or no Generic Factors available"))</f>
        <v>N/A - Facility Does Not Report to TRI, no surface water releases, or no Generic Factors available</v>
      </c>
      <c r="AB237" s="113" t="str">
        <f t="shared" si="25"/>
        <v>N/A</v>
      </c>
      <c r="AC237" s="136" t="str" cm="1">
        <f t="array" ref="AC237">IF(COUNTIF('Raw Annual DMR Data'!K:K,$E237)&gt;0,"N/A - See DMRs",IF(SUMIFS('Raw TRI Data'!$Z:$Z,'Raw TRI Data'!$J:$J,$E237)&gt;0,INDEX('Raw TRI Data'!$A:$A,MATCH(1,($E237='Raw TRI Data'!$J:$J)*($AA237='Raw TRI Data'!$Z:$Z),0)), "N/A - Facility Does Not Report to TRI, no surface water releases, or no Generic Factors available"))</f>
        <v>N/A - Facility Does Not Report to TRI, no surface water releases, or no Generic Factors available</v>
      </c>
      <c r="AD237" s="96" t="str" cm="1">
        <f t="array" ref="AD237">IF(COUNTIFS('Raw Annual DMR Data'!L:L,$F237,'Raw Annual DMR Data'!W:W, "&gt;0")&gt;0,MEDIAN(IF('Raw Annual DMR Data'!K:K=$F237, 'Raw Annual DMR Data'!W:W)), "N/A - No Daily Max DMR Discharge Data")</f>
        <v>N/A - No Daily Max DMR Discharge Data</v>
      </c>
      <c r="AE237" s="96" t="str">
        <f>IF(COUNTIFS('Raw Annual DMR Data'!L:L,$F237,'Raw Annual DMR Data'!W:W, "&gt;0")&gt;0,_xlfn.MAXIFS('Raw Annual DMR Data'!W:W,'Raw Annual DMR Data'!L:L,$F237), "N/A - No Daily Max DMR Discharge Data")</f>
        <v>N/A - No Daily Max DMR Discharge Data</v>
      </c>
      <c r="AF237" s="60" t="str" cm="1">
        <f t="array" ref="AF237">IF(COUNTIFS('Raw Annual DMR Data'!L:L,$F237,'Raw Annual DMR Data'!W:W, "&gt;0")&gt;0,INDEX('Raw Annual DMR Data'!B:B,MATCH(1,($F237='Raw Annual DMR Data'!L:L)*($AE237='Raw Annual DMR Data'!W:W),0)), "N/A - No Daily Max DMR Discharge Data")</f>
        <v>N/A - No Daily Max DMR Discharge Data</v>
      </c>
    </row>
    <row r="238" spans="1:32" ht="45.75" thickBot="1" x14ac:dyDescent="0.3">
      <c r="A238" s="144" t="str">
        <f>VLOOKUP(F238,'Facility Summary'!J:K,2,FALSE)</f>
        <v>POTW</v>
      </c>
      <c r="B238" s="28" t="s">
        <v>1163</v>
      </c>
      <c r="C238" s="28" t="s">
        <v>987</v>
      </c>
      <c r="D238" s="28" t="s">
        <v>324</v>
      </c>
      <c r="E238" s="28"/>
      <c r="F238" s="61">
        <v>110000732271</v>
      </c>
      <c r="G238" s="60" t="str">
        <f>VLOOKUP($F238, 'Raw Annual DMR Data'!$A:$Z, 24, FALSE)</f>
        <v>KY0022420</v>
      </c>
      <c r="H238" s="60" t="str">
        <f>VLOOKUP($F238, 'Raw Annual DMR Data'!$A:$Z, 25, FALSE)</f>
        <v>HITE CREAK, HITE CRK</v>
      </c>
      <c r="I238" s="74">
        <f>VLOOKUP($F238, 'Raw Annual DMR Data'!$A:$Z, 26, FALSE)</f>
        <v>5140101000441</v>
      </c>
      <c r="J238" s="74" t="s">
        <v>265</v>
      </c>
      <c r="K238" s="60">
        <f>VLOOKUP(A238, 'OES Summary'!$A:$B, 2, FALSE)</f>
        <v>365</v>
      </c>
      <c r="L238" s="304" cm="1">
        <f t="array" ref="L238">IF(COUNTIF('Raw Annual DMR Data'!$L:$L,$F238)&gt;0,MEDIAN(IF('Raw Annual DMR Data'!$L:$L=F238,'Raw Annual DMR Data'!$S:$S)),"N/A - Facility Does Not Report DMRs")</f>
        <v>14.512920125000001</v>
      </c>
      <c r="M238" s="156">
        <f t="shared" si="23"/>
        <v>3.9761425000000003E-2</v>
      </c>
      <c r="N238" s="156">
        <f>IF(COUNTIF('Raw Annual DMR Data'!$L:$L,$F238)&gt;0,_xlfn.MAXIFS('Raw Annual DMR Data'!$S:$S,'Raw Annual DMR Data'!$L:$L,$F238), "N/A - Facility Does Not Report DMRs")</f>
        <v>19.444964375000001</v>
      </c>
      <c r="O238" s="156">
        <f t="shared" si="24"/>
        <v>5.3273875000000005E-2</v>
      </c>
      <c r="P238" s="113" cm="1">
        <f t="array" ref="P238">IF(COUNTIF('Raw Annual DMR Data'!$L:$L,$F238)&gt;0,INDEX('Raw Annual DMR Data'!$B:$B,MATCH(1,($F238='Raw Annual DMR Data'!$L:$L)*($N238='Raw Annual DMR Data'!$S:$S),0)), "N/A - Facility Does Not Report DMRs")</f>
        <v>2024</v>
      </c>
      <c r="Q238" s="304" t="str" cm="1">
        <f t="array" ref="Q238">IF(COUNTIF('Raw TRI Data'!$J:$J,$E238)&gt;0,MEDIAN(IF('Raw TRI Data'!$J:$J=E238,'Raw TRI Data'!$S:$S)), "N/A - Facility Does Not Report to TRI")</f>
        <v>N/A - Facility Does Not Report to TRI</v>
      </c>
      <c r="R238" s="156" t="str">
        <f t="shared" si="21"/>
        <v>N/A - Facility Does Not Report to TRI</v>
      </c>
      <c r="S238" s="156" t="str">
        <f>IF(COUNTIF('Raw TRI Data'!$J:$J,$E238)&gt;0,_xlfn.MAXIFS('Raw TRI Data'!$S:$S,'Raw TRI Data'!$J:$J,$E238), "N/A - Facility Does Not Report to TRI")</f>
        <v>N/A - Facility Does Not Report to TRI</v>
      </c>
      <c r="T238" s="156" t="str">
        <f t="shared" si="22"/>
        <v>N/A - Facility Does Not Report to TRI</v>
      </c>
      <c r="U238" s="136" t="str" cm="1">
        <f t="array" ref="U238">IF(COUNTIF('Raw TRI Data'!$J:$J,$E238)&gt;0,INDEX('Raw TRI Data'!$A:$A,MATCH(1,($E238='Raw TRI Data'!$J:$J)*(S238='Raw TRI Data'!$S:$S),0)), "N/A - Facility Does Not Report to TRI")</f>
        <v>N/A - Facility Does Not Report to TRI</v>
      </c>
      <c r="V238" s="156" t="str" cm="1">
        <f t="array" ref="V238">IF(COUNTIFS('Raw Annual DMR Data'!$L:$L,$F238,'Raw Annual DMR Data'!$U:$U,"&gt;0")&gt;0,MEDIAN(IF('Raw Annual DMR Data'!$L:$L=$F238,'Raw Annual DMR Data'!$U:$U,"")),"N/A - Period DMR Data Not Available")</f>
        <v>N/A - Period DMR Data Not Available</v>
      </c>
      <c r="W238" s="156" t="str">
        <f>IF(COUNTIFS('Raw Annual DMR Data'!$L:$L,$F238, 'Raw Annual DMR Data'!$U:$U, "&gt;0")&gt;0,_xlfn.MAXIFS('Raw Annual DMR Data'!$U:$U,'Raw Annual DMR Data'!$L:$L,$F238), "N/A - Period DMR Data Not Available")</f>
        <v>N/A - Period DMR Data Not Available</v>
      </c>
      <c r="X238" s="113" t="str" cm="1">
        <f t="array" ref="X238">+IF(COUNTIFS('Raw Annual DMR Data'!L:L,$F238, 'Raw Annual DMR Data'!U:U, "&gt;0")&gt;0,INDEX('Raw Annual DMR Data'!V:V,MATCH(1,($F238='Raw Annual DMR Data'!L:L)*($W238='Raw Annual DMR Data'!U:U),0)), "N/A - Period DMR Data Not Available")</f>
        <v>N/A - Period DMR Data Not Available</v>
      </c>
      <c r="Y238" s="113" t="str" cm="1">
        <f t="array" ref="Y238">IF(COUNTIFS('Raw Annual DMR Data'!L:L,$F238, 'Raw Annual DMR Data'!U:U, "&gt;0")&gt;0,INDEX('Raw Annual DMR Data'!B:B,MATCH(1,($F238='Raw Annual DMR Data'!L:L)*($W238='Raw Annual DMR Data'!U:U),0)), "N/A - Period DMR Data Not Available")</f>
        <v>N/A - Period DMR Data Not Available</v>
      </c>
      <c r="Z238" s="311" t="str" cm="1">
        <f t="array" ref="Z238">IF(COUNTIF('Raw Annual DMR Data'!K:K,$E238)&gt;0,"N/A - See DMRs",IF(SUMIFS('Raw TRI Data'!$Z:$Z,'Raw TRI Data'!$J:$J,$E238)&gt;0,MEDIAN(IF('Raw TRI Data'!$J:$J=$E238,'Raw TRI Data'!$Z:$Z)), "N/A - Facility Does Not Report to TRI, no surface water releases, or no Generic Factors available"))</f>
        <v>N/A - Facility Does Not Report to TRI, no surface water releases, or no Generic Factors available</v>
      </c>
      <c r="AA238" s="156" t="str">
        <f>IF(COUNTIF('Raw Annual DMR Data'!K:K,$E238)&gt;0,"N/A - See DMRs",IF(SUMIFS('Raw TRI Data'!$Z:$Z,'Raw TRI Data'!$J:$J,$E238)&gt;0,_xlfn.MAXIFS('Raw TRI Data'!$Z:$Z,'Raw TRI Data'!$J:$J,$E238), "N/A - Facility Does Not Report to TRI, no surface water releases, or no Generic Factors available"))</f>
        <v>N/A - Facility Does Not Report to TRI, no surface water releases, or no Generic Factors available</v>
      </c>
      <c r="AB238" s="113" t="str">
        <f t="shared" si="25"/>
        <v>N/A</v>
      </c>
      <c r="AC238" s="136" t="str" cm="1">
        <f t="array" ref="AC238">IF(COUNTIF('Raw Annual DMR Data'!K:K,$E238)&gt;0,"N/A - See DMRs",IF(SUMIFS('Raw TRI Data'!$Z:$Z,'Raw TRI Data'!$J:$J,$E238)&gt;0,INDEX('Raw TRI Data'!$A:$A,MATCH(1,($E238='Raw TRI Data'!$J:$J)*($AA238='Raw TRI Data'!$Z:$Z),0)), "N/A - Facility Does Not Report to TRI, no surface water releases, or no Generic Factors available"))</f>
        <v>N/A - Facility Does Not Report to TRI, no surface water releases, or no Generic Factors available</v>
      </c>
      <c r="AD238" s="96" t="str" cm="1">
        <f t="array" ref="AD238">IF(COUNTIFS('Raw Annual DMR Data'!L:L,$F238,'Raw Annual DMR Data'!W:W, "&gt;0")&gt;0,MEDIAN(IF('Raw Annual DMR Data'!K:K=$F238, 'Raw Annual DMR Data'!W:W)), "N/A - No Daily Max DMR Discharge Data")</f>
        <v>N/A - No Daily Max DMR Discharge Data</v>
      </c>
      <c r="AE238" s="96" t="str">
        <f>IF(COUNTIFS('Raw Annual DMR Data'!L:L,$F238,'Raw Annual DMR Data'!W:W, "&gt;0")&gt;0,_xlfn.MAXIFS('Raw Annual DMR Data'!W:W,'Raw Annual DMR Data'!L:L,$F238), "N/A - No Daily Max DMR Discharge Data")</f>
        <v>N/A - No Daily Max DMR Discharge Data</v>
      </c>
      <c r="AF238" s="60" t="str" cm="1">
        <f t="array" ref="AF238">IF(COUNTIFS('Raw Annual DMR Data'!L:L,$F238,'Raw Annual DMR Data'!W:W, "&gt;0")&gt;0,INDEX('Raw Annual DMR Data'!B:B,MATCH(1,($F238='Raw Annual DMR Data'!L:L)*($AE238='Raw Annual DMR Data'!W:W),0)), "N/A - No Daily Max DMR Discharge Data")</f>
        <v>N/A - No Daily Max DMR Discharge Data</v>
      </c>
    </row>
    <row r="239" spans="1:32" ht="45.75" thickBot="1" x14ac:dyDescent="0.3">
      <c r="A239" s="144" t="str">
        <f>VLOOKUP(F239,'Facility Summary'!J:K,2,FALSE)</f>
        <v>Unknown</v>
      </c>
      <c r="B239" s="28" t="s">
        <v>1164</v>
      </c>
      <c r="C239" s="28" t="s">
        <v>968</v>
      </c>
      <c r="D239" s="28" t="s">
        <v>294</v>
      </c>
      <c r="E239" s="28"/>
      <c r="F239" s="61">
        <v>110070546529</v>
      </c>
      <c r="G239" s="60" t="str">
        <f>VLOOKUP($F239, 'Raw Annual DMR Data'!$A:$Z, 24, FALSE)</f>
        <v>VAG830541</v>
      </c>
      <c r="H239" s="60" t="str">
        <f>VLOOKUP($F239, 'Raw Annual DMR Data'!$A:$Z, 25, FALSE)</f>
        <v>CAMERON RUN</v>
      </c>
      <c r="I239" s="74">
        <f>VLOOKUP($F239, 'Raw Annual DMR Data'!$A:$Z, 26, FALSE)</f>
        <v>0</v>
      </c>
      <c r="J239" s="74" t="s">
        <v>265</v>
      </c>
      <c r="K239" s="60">
        <f>VLOOKUP(A239, 'OES Summary'!$A:$B, 2, FALSE)</f>
        <v>250</v>
      </c>
      <c r="L239" s="304" cm="1">
        <f t="array" ref="L239">IF(COUNTIF('Raw Annual DMR Data'!$L:$L,$F239)&gt;0,MEDIAN(IF('Raw Annual DMR Data'!$L:$L=F239,'Raw Annual DMR Data'!$S:$S)),"N/A - Facility Does Not Report DMRs")</f>
        <v>6.1468399999999894E-5</v>
      </c>
      <c r="M239" s="156">
        <f t="shared" si="23"/>
        <v>2.4587359999999958E-7</v>
      </c>
      <c r="N239" s="156">
        <f>IF(COUNTIF('Raw Annual DMR Data'!$L:$L,$F239)&gt;0,_xlfn.MAXIFS('Raw Annual DMR Data'!$S:$S,'Raw Annual DMR Data'!$L:$L,$F239), "N/A - Facility Does Not Report DMRs")</f>
        <v>7.4323636363636298E-4</v>
      </c>
      <c r="O239" s="156">
        <f t="shared" si="24"/>
        <v>2.9729454545454518E-6</v>
      </c>
      <c r="P239" s="113" cm="1">
        <f t="array" ref="P239">IF(COUNTIF('Raw Annual DMR Data'!$L:$L,$F239)&gt;0,INDEX('Raw Annual DMR Data'!$B:$B,MATCH(1,($F239='Raw Annual DMR Data'!$L:$L)*($N239='Raw Annual DMR Data'!$S:$S),0)), "N/A - Facility Does Not Report DMRs")</f>
        <v>2019</v>
      </c>
      <c r="Q239" s="304" t="str" cm="1">
        <f t="array" ref="Q239">IF(COUNTIF('Raw TRI Data'!$J:$J,$E239)&gt;0,MEDIAN(IF('Raw TRI Data'!$J:$J=E239,'Raw TRI Data'!$S:$S)), "N/A - Facility Does Not Report to TRI")</f>
        <v>N/A - Facility Does Not Report to TRI</v>
      </c>
      <c r="R239" s="156" t="str">
        <f t="shared" si="21"/>
        <v>N/A - Facility Does Not Report to TRI</v>
      </c>
      <c r="S239" s="156" t="str">
        <f>IF(COUNTIF('Raw TRI Data'!$J:$J,$E239)&gt;0,_xlfn.MAXIFS('Raw TRI Data'!$S:$S,'Raw TRI Data'!$J:$J,$E239), "N/A - Facility Does Not Report to TRI")</f>
        <v>N/A - Facility Does Not Report to TRI</v>
      </c>
      <c r="T239" s="156" t="str">
        <f t="shared" si="22"/>
        <v>N/A - Facility Does Not Report to TRI</v>
      </c>
      <c r="U239" s="136" t="str" cm="1">
        <f t="array" ref="U239">IF(COUNTIF('Raw TRI Data'!$J:$J,$E239)&gt;0,INDEX('Raw TRI Data'!$A:$A,MATCH(1,($E239='Raw TRI Data'!$J:$J)*(S239='Raw TRI Data'!$S:$S),0)), "N/A - Facility Does Not Report to TRI")</f>
        <v>N/A - Facility Does Not Report to TRI</v>
      </c>
      <c r="V239" s="156" t="str" cm="1">
        <f t="array" ref="V239">IF(COUNTIFS('Raw Annual DMR Data'!$L:$L,$F239,'Raw Annual DMR Data'!$U:$U,"&gt;0")&gt;0,MEDIAN(IF('Raw Annual DMR Data'!$L:$L=$F239,'Raw Annual DMR Data'!$U:$U,"")),"N/A - Period DMR Data Not Available")</f>
        <v>N/A - Period DMR Data Not Available</v>
      </c>
      <c r="W239" s="156" t="str">
        <f>IF(COUNTIFS('Raw Annual DMR Data'!$L:$L,$F239, 'Raw Annual DMR Data'!$U:$U, "&gt;0")&gt;0,_xlfn.MAXIFS('Raw Annual DMR Data'!$U:$U,'Raw Annual DMR Data'!$L:$L,$F239), "N/A - Period DMR Data Not Available")</f>
        <v>N/A - Period DMR Data Not Available</v>
      </c>
      <c r="X239" s="113" t="str" cm="1">
        <f t="array" ref="X239">+IF(COUNTIFS('Raw Annual DMR Data'!L:L,$F239, 'Raw Annual DMR Data'!U:U, "&gt;0")&gt;0,INDEX('Raw Annual DMR Data'!V:V,MATCH(1,($F239='Raw Annual DMR Data'!L:L)*($W239='Raw Annual DMR Data'!U:U),0)), "N/A - Period DMR Data Not Available")</f>
        <v>N/A - Period DMR Data Not Available</v>
      </c>
      <c r="Y239" s="113" t="str" cm="1">
        <f t="array" ref="Y239">IF(COUNTIFS('Raw Annual DMR Data'!L:L,$F239, 'Raw Annual DMR Data'!U:U, "&gt;0")&gt;0,INDEX('Raw Annual DMR Data'!B:B,MATCH(1,($F239='Raw Annual DMR Data'!L:L)*($W239='Raw Annual DMR Data'!U:U),0)), "N/A - Period DMR Data Not Available")</f>
        <v>N/A - Period DMR Data Not Available</v>
      </c>
      <c r="Z239" s="311" t="str" cm="1">
        <f t="array" ref="Z239">IF(COUNTIF('Raw Annual DMR Data'!K:K,$E239)&gt;0,"N/A - See DMRs",IF(SUMIFS('Raw TRI Data'!$Z:$Z,'Raw TRI Data'!$J:$J,$E239)&gt;0,MEDIAN(IF('Raw TRI Data'!$J:$J=$E239,'Raw TRI Data'!$Z:$Z)), "N/A - Facility Does Not Report to TRI, no surface water releases, or no Generic Factors available"))</f>
        <v>N/A - Facility Does Not Report to TRI, no surface water releases, or no Generic Factors available</v>
      </c>
      <c r="AA239" s="156" t="str">
        <f>IF(COUNTIF('Raw Annual DMR Data'!K:K,$E239)&gt;0,"N/A - See DMRs",IF(SUMIFS('Raw TRI Data'!$Z:$Z,'Raw TRI Data'!$J:$J,$E239)&gt;0,_xlfn.MAXIFS('Raw TRI Data'!$Z:$Z,'Raw TRI Data'!$J:$J,$E239), "N/A - Facility Does Not Report to TRI, no surface water releases, or no Generic Factors available"))</f>
        <v>N/A - Facility Does Not Report to TRI, no surface water releases, or no Generic Factors available</v>
      </c>
      <c r="AB239" s="113" t="str">
        <f t="shared" si="25"/>
        <v>N/A</v>
      </c>
      <c r="AC239" s="136" t="str" cm="1">
        <f t="array" ref="AC239">IF(COUNTIF('Raw Annual DMR Data'!K:K,$E239)&gt;0,"N/A - See DMRs",IF(SUMIFS('Raw TRI Data'!$Z:$Z,'Raw TRI Data'!$J:$J,$E239)&gt;0,INDEX('Raw TRI Data'!$A:$A,MATCH(1,($E239='Raw TRI Data'!$J:$J)*($AA239='Raw TRI Data'!$Z:$Z),0)), "N/A - Facility Does Not Report to TRI, no surface water releases, or no Generic Factors available"))</f>
        <v>N/A - Facility Does Not Report to TRI, no surface water releases, or no Generic Factors available</v>
      </c>
      <c r="AD239" s="96" t="str" cm="1">
        <f t="array" ref="AD239">IF(COUNTIFS('Raw Annual DMR Data'!L:L,$F239,'Raw Annual DMR Data'!W:W, "&gt;0")&gt;0,MEDIAN(IF('Raw Annual DMR Data'!K:K=$F239, 'Raw Annual DMR Data'!W:W)), "N/A - No Daily Max DMR Discharge Data")</f>
        <v>N/A - No Daily Max DMR Discharge Data</v>
      </c>
      <c r="AE239" s="96" t="str">
        <f>IF(COUNTIFS('Raw Annual DMR Data'!L:L,$F239,'Raw Annual DMR Data'!W:W, "&gt;0")&gt;0,_xlfn.MAXIFS('Raw Annual DMR Data'!W:W,'Raw Annual DMR Data'!L:L,$F239), "N/A - No Daily Max DMR Discharge Data")</f>
        <v>N/A - No Daily Max DMR Discharge Data</v>
      </c>
      <c r="AF239" s="60" t="str" cm="1">
        <f t="array" ref="AF239">IF(COUNTIFS('Raw Annual DMR Data'!L:L,$F239,'Raw Annual DMR Data'!W:W, "&gt;0")&gt;0,INDEX('Raw Annual DMR Data'!B:B,MATCH(1,($F239='Raw Annual DMR Data'!L:L)*($AE239='Raw Annual DMR Data'!W:W),0)), "N/A - No Daily Max DMR Discharge Data")</f>
        <v>N/A - No Daily Max DMR Discharge Data</v>
      </c>
    </row>
    <row r="240" spans="1:32" ht="45.75" thickBot="1" x14ac:dyDescent="0.3">
      <c r="A240" s="144" t="str">
        <f>VLOOKUP(F240,'Facility Summary'!J:K,2,FALSE)</f>
        <v>Industrial and commercial non-aerosol cleaning/degreasing</v>
      </c>
      <c r="B240" s="28" t="s">
        <v>1165</v>
      </c>
      <c r="C240" s="28" t="s">
        <v>1166</v>
      </c>
      <c r="D240" s="28" t="s">
        <v>338</v>
      </c>
      <c r="E240" s="28"/>
      <c r="F240" s="61">
        <v>110014480445</v>
      </c>
      <c r="G240" s="60" t="str">
        <f>VLOOKUP($F240, 'Raw Annual DMR Data'!$A:$Z, 24, FALSE)</f>
        <v>NJG105449</v>
      </c>
      <c r="H240" s="60" t="str">
        <f>VLOOKUP($F240, 'Raw Annual DMR Data'!$A:$Z, 25, FALSE)</f>
        <v>SOUTH BRANCH OF PENNSAUKEN CK</v>
      </c>
      <c r="I240" s="74">
        <f>VLOOKUP($F240, 'Raw Annual DMR Data'!$A:$Z, 26, FALSE)</f>
        <v>2040202001660</v>
      </c>
      <c r="J240" s="74" t="s">
        <v>265</v>
      </c>
      <c r="K240" s="60">
        <f>VLOOKUP(A240, 'OES Summary'!$A:$B, 2, FALSE)</f>
        <v>250</v>
      </c>
      <c r="L240" s="304" cm="1">
        <f t="array" ref="L240">IF(COUNTIF('Raw Annual DMR Data'!$L:$L,$F240)&gt;0,MEDIAN(IF('Raw Annual DMR Data'!$L:$L=F240,'Raw Annual DMR Data'!$S:$S)),"N/A - Facility Does Not Report DMRs")</f>
        <v>1.4625239999999999E-2</v>
      </c>
      <c r="M240" s="156">
        <f t="shared" si="23"/>
        <v>5.8500959999999998E-5</v>
      </c>
      <c r="N240" s="156">
        <f>IF(COUNTIF('Raw Annual DMR Data'!$L:$L,$F240)&gt;0,_xlfn.MAXIFS('Raw Annual DMR Data'!$S:$S,'Raw Annual DMR Data'!$L:$L,$F240), "N/A - Facility Does Not Report DMRs")</f>
        <v>1.4625239999999999E-2</v>
      </c>
      <c r="O240" s="156">
        <f t="shared" si="24"/>
        <v>5.8500959999999998E-5</v>
      </c>
      <c r="P240" s="113" cm="1">
        <f t="array" ref="P240">IF(COUNTIF('Raw Annual DMR Data'!$L:$L,$F240)&gt;0,INDEX('Raw Annual DMR Data'!$B:$B,MATCH(1,($F240='Raw Annual DMR Data'!$L:$L)*($N240='Raw Annual DMR Data'!$S:$S),0)), "N/A - Facility Does Not Report DMRs")</f>
        <v>2017</v>
      </c>
      <c r="Q240" s="304" t="str" cm="1">
        <f t="array" ref="Q240">IF(COUNTIF('Raw TRI Data'!$J:$J,$E240)&gt;0,MEDIAN(IF('Raw TRI Data'!$J:$J=E240,'Raw TRI Data'!$S:$S)), "N/A - Facility Does Not Report to TRI")</f>
        <v>N/A - Facility Does Not Report to TRI</v>
      </c>
      <c r="R240" s="156" t="str">
        <f t="shared" si="21"/>
        <v>N/A - Facility Does Not Report to TRI</v>
      </c>
      <c r="S240" s="156" t="str">
        <f>IF(COUNTIF('Raw TRI Data'!$J:$J,$E240)&gt;0,_xlfn.MAXIFS('Raw TRI Data'!$S:$S,'Raw TRI Data'!$J:$J,$E240), "N/A - Facility Does Not Report to TRI")</f>
        <v>N/A - Facility Does Not Report to TRI</v>
      </c>
      <c r="T240" s="156" t="str">
        <f t="shared" si="22"/>
        <v>N/A - Facility Does Not Report to TRI</v>
      </c>
      <c r="U240" s="136" t="str" cm="1">
        <f t="array" ref="U240">IF(COUNTIF('Raw TRI Data'!$J:$J,$E240)&gt;0,INDEX('Raw TRI Data'!$A:$A,MATCH(1,($E240='Raw TRI Data'!$J:$J)*(S240='Raw TRI Data'!$S:$S),0)), "N/A - Facility Does Not Report to TRI")</f>
        <v>N/A - Facility Does Not Report to TRI</v>
      </c>
      <c r="V240" s="156" t="str" cm="1">
        <f t="array" ref="V240">IF(COUNTIFS('Raw Annual DMR Data'!$L:$L,$F240,'Raw Annual DMR Data'!$U:$U,"&gt;0")&gt;0,MEDIAN(IF('Raw Annual DMR Data'!$L:$L=$F240,'Raw Annual DMR Data'!$U:$U,"")),"N/A - Period DMR Data Not Available")</f>
        <v>N/A - Period DMR Data Not Available</v>
      </c>
      <c r="W240" s="156" t="str">
        <f>IF(COUNTIFS('Raw Annual DMR Data'!$L:$L,$F240, 'Raw Annual DMR Data'!$U:$U, "&gt;0")&gt;0,_xlfn.MAXIFS('Raw Annual DMR Data'!$U:$U,'Raw Annual DMR Data'!$L:$L,$F240), "N/A - Period DMR Data Not Available")</f>
        <v>N/A - Period DMR Data Not Available</v>
      </c>
      <c r="X240" s="113" t="str" cm="1">
        <f t="array" ref="X240">+IF(COUNTIFS('Raw Annual DMR Data'!L:L,$F240, 'Raw Annual DMR Data'!U:U, "&gt;0")&gt;0,INDEX('Raw Annual DMR Data'!V:V,MATCH(1,($F240='Raw Annual DMR Data'!L:L)*($W240='Raw Annual DMR Data'!U:U),0)), "N/A - Period DMR Data Not Available")</f>
        <v>N/A - Period DMR Data Not Available</v>
      </c>
      <c r="Y240" s="113" t="str" cm="1">
        <f t="array" ref="Y240">IF(COUNTIFS('Raw Annual DMR Data'!L:L,$F240, 'Raw Annual DMR Data'!U:U, "&gt;0")&gt;0,INDEX('Raw Annual DMR Data'!B:B,MATCH(1,($F240='Raw Annual DMR Data'!L:L)*($W240='Raw Annual DMR Data'!U:U),0)), "N/A - Period DMR Data Not Available")</f>
        <v>N/A - Period DMR Data Not Available</v>
      </c>
      <c r="Z240" s="311" t="str" cm="1">
        <f t="array" ref="Z240">IF(COUNTIF('Raw Annual DMR Data'!K:K,$E240)&gt;0,"N/A - See DMRs",IF(SUMIFS('Raw TRI Data'!$Z:$Z,'Raw TRI Data'!$J:$J,$E240)&gt;0,MEDIAN(IF('Raw TRI Data'!$J:$J=$E240,'Raw TRI Data'!$Z:$Z)), "N/A - Facility Does Not Report to TRI, no surface water releases, or no Generic Factors available"))</f>
        <v>N/A - Facility Does Not Report to TRI, no surface water releases, or no Generic Factors available</v>
      </c>
      <c r="AA240" s="156" t="str">
        <f>IF(COUNTIF('Raw Annual DMR Data'!K:K,$E240)&gt;0,"N/A - See DMRs",IF(SUMIFS('Raw TRI Data'!$Z:$Z,'Raw TRI Data'!$J:$J,$E240)&gt;0,_xlfn.MAXIFS('Raw TRI Data'!$Z:$Z,'Raw TRI Data'!$J:$J,$E240), "N/A - Facility Does Not Report to TRI, no surface water releases, or no Generic Factors available"))</f>
        <v>N/A - Facility Does Not Report to TRI, no surface water releases, or no Generic Factors available</v>
      </c>
      <c r="AB240" s="113" t="str">
        <f t="shared" si="25"/>
        <v>N/A</v>
      </c>
      <c r="AC240" s="136" t="str" cm="1">
        <f t="array" ref="AC240">IF(COUNTIF('Raw Annual DMR Data'!K:K,$E240)&gt;0,"N/A - See DMRs",IF(SUMIFS('Raw TRI Data'!$Z:$Z,'Raw TRI Data'!$J:$J,$E240)&gt;0,INDEX('Raw TRI Data'!$A:$A,MATCH(1,($E240='Raw TRI Data'!$J:$J)*($AA240='Raw TRI Data'!$Z:$Z),0)), "N/A - Facility Does Not Report to TRI, no surface water releases, or no Generic Factors available"))</f>
        <v>N/A - Facility Does Not Report to TRI, no surface water releases, or no Generic Factors available</v>
      </c>
      <c r="AD240" s="96" t="str" cm="1">
        <f t="array" ref="AD240">IF(COUNTIFS('Raw Annual DMR Data'!L:L,$F240,'Raw Annual DMR Data'!W:W, "&gt;0")&gt;0,MEDIAN(IF('Raw Annual DMR Data'!K:K=$F240, 'Raw Annual DMR Data'!W:W)), "N/A - No Daily Max DMR Discharge Data")</f>
        <v>N/A - No Daily Max DMR Discharge Data</v>
      </c>
      <c r="AE240" s="96" t="str">
        <f>IF(COUNTIFS('Raw Annual DMR Data'!L:L,$F240,'Raw Annual DMR Data'!W:W, "&gt;0")&gt;0,_xlfn.MAXIFS('Raw Annual DMR Data'!W:W,'Raw Annual DMR Data'!L:L,$F240), "N/A - No Daily Max DMR Discharge Data")</f>
        <v>N/A - No Daily Max DMR Discharge Data</v>
      </c>
      <c r="AF240" s="60" t="str" cm="1">
        <f t="array" ref="AF240">IF(COUNTIFS('Raw Annual DMR Data'!L:L,$F240,'Raw Annual DMR Data'!W:W, "&gt;0")&gt;0,INDEX('Raw Annual DMR Data'!B:B,MATCH(1,($F240='Raw Annual DMR Data'!L:L)*($AE240='Raw Annual DMR Data'!W:W),0)), "N/A - No Daily Max DMR Discharge Data")</f>
        <v>N/A - No Daily Max DMR Discharge Data</v>
      </c>
    </row>
    <row r="241" spans="1:32" ht="45.75" thickBot="1" x14ac:dyDescent="0.3">
      <c r="A241" s="144" t="str">
        <f>VLOOKUP(F241,'Facility Summary'!J:K,2,FALSE)</f>
        <v>Processing into formulation, mixture, or reaction product</v>
      </c>
      <c r="B241" s="28" t="s">
        <v>1167</v>
      </c>
      <c r="C241" s="28" t="s">
        <v>1168</v>
      </c>
      <c r="D241" s="28" t="s">
        <v>338</v>
      </c>
      <c r="E241" s="28"/>
      <c r="F241" s="61">
        <v>110070212650</v>
      </c>
      <c r="G241" s="60" t="str">
        <f>VLOOKUP($F241, 'Raw Annual DMR Data'!$A:$Z, 24, FALSE)</f>
        <v>NJG031305</v>
      </c>
      <c r="H241" s="60" t="str">
        <f>VLOOKUP($F241, 'Raw Annual DMR Data'!$A:$Z, 25, FALSE)</f>
        <v>BLACK BROOK</v>
      </c>
      <c r="I241" s="74">
        <f>VLOOKUP($F241, 'Raw Annual DMR Data'!$A:$Z, 26, FALSE)</f>
        <v>2030103000384</v>
      </c>
      <c r="J241" s="74" t="s">
        <v>265</v>
      </c>
      <c r="K241" s="60">
        <f>VLOOKUP(A241, 'OES Summary'!$A:$B, 2, FALSE)</f>
        <v>300</v>
      </c>
      <c r="L241" s="304" cm="1">
        <f t="array" ref="L241">IF(COUNTIF('Raw Annual DMR Data'!$L:$L,$F241)&gt;0,MEDIAN(IF('Raw Annual DMR Data'!$L:$L=F241,'Raw Annual DMR Data'!$S:$S)),"N/A - Facility Does Not Report DMRs")</f>
        <v>3.0546963619999899E-2</v>
      </c>
      <c r="M241" s="156">
        <f t="shared" si="23"/>
        <v>1.0182321206666633E-4</v>
      </c>
      <c r="N241" s="156">
        <f>IF(COUNTIF('Raw Annual DMR Data'!$L:$L,$F241)&gt;0,_xlfn.MAXIFS('Raw Annual DMR Data'!$S:$S,'Raw Annual DMR Data'!$L:$L,$F241), "N/A - Facility Does Not Report DMRs")</f>
        <v>3.8610745257500002E-2</v>
      </c>
      <c r="O241" s="156">
        <f t="shared" si="24"/>
        <v>1.2870248419166668E-4</v>
      </c>
      <c r="P241" s="113" cm="1">
        <f t="array" ref="P241">IF(COUNTIF('Raw Annual DMR Data'!$L:$L,$F241)&gt;0,INDEX('Raw Annual DMR Data'!$B:$B,MATCH(1,($F241='Raw Annual DMR Data'!$L:$L)*($N241='Raw Annual DMR Data'!$S:$S),0)), "N/A - Facility Does Not Report DMRs")</f>
        <v>2024</v>
      </c>
      <c r="Q241" s="304" t="str" cm="1">
        <f t="array" ref="Q241">IF(COUNTIF('Raw TRI Data'!$J:$J,$E241)&gt;0,MEDIAN(IF('Raw TRI Data'!$J:$J=E241,'Raw TRI Data'!$S:$S)), "N/A - Facility Does Not Report to TRI")</f>
        <v>N/A - Facility Does Not Report to TRI</v>
      </c>
      <c r="R241" s="156" t="str">
        <f t="shared" si="21"/>
        <v>N/A - Facility Does Not Report to TRI</v>
      </c>
      <c r="S241" s="156" t="str">
        <f>IF(COUNTIF('Raw TRI Data'!$J:$J,$E241)&gt;0,_xlfn.MAXIFS('Raw TRI Data'!$S:$S,'Raw TRI Data'!$J:$J,$E241), "N/A - Facility Does Not Report to TRI")</f>
        <v>N/A - Facility Does Not Report to TRI</v>
      </c>
      <c r="T241" s="156" t="str">
        <f t="shared" si="22"/>
        <v>N/A - Facility Does Not Report to TRI</v>
      </c>
      <c r="U241" s="136" t="str" cm="1">
        <f t="array" ref="U241">IF(COUNTIF('Raw TRI Data'!$J:$J,$E241)&gt;0,INDEX('Raw TRI Data'!$A:$A,MATCH(1,($E241='Raw TRI Data'!$J:$J)*(S241='Raw TRI Data'!$S:$S),0)), "N/A - Facility Does Not Report to TRI")</f>
        <v>N/A - Facility Does Not Report to TRI</v>
      </c>
      <c r="V241" s="156" t="str" cm="1">
        <f t="array" ref="V241">IF(COUNTIFS('Raw Annual DMR Data'!$L:$L,$F241,'Raw Annual DMR Data'!$U:$U,"&gt;0")&gt;0,MEDIAN(IF('Raw Annual DMR Data'!$L:$L=$F241,'Raw Annual DMR Data'!$U:$U,"")),"N/A - Period DMR Data Not Available")</f>
        <v>N/A - Period DMR Data Not Available</v>
      </c>
      <c r="W241" s="156" t="str">
        <f>IF(COUNTIFS('Raw Annual DMR Data'!$L:$L,$F241, 'Raw Annual DMR Data'!$U:$U, "&gt;0")&gt;0,_xlfn.MAXIFS('Raw Annual DMR Data'!$U:$U,'Raw Annual DMR Data'!$L:$L,$F241), "N/A - Period DMR Data Not Available")</f>
        <v>N/A - Period DMR Data Not Available</v>
      </c>
      <c r="X241" s="113" t="str" cm="1">
        <f t="array" ref="X241">+IF(COUNTIFS('Raw Annual DMR Data'!L:L,$F241, 'Raw Annual DMR Data'!U:U, "&gt;0")&gt;0,INDEX('Raw Annual DMR Data'!V:V,MATCH(1,($F241='Raw Annual DMR Data'!L:L)*($W241='Raw Annual DMR Data'!U:U),0)), "N/A - Period DMR Data Not Available")</f>
        <v>N/A - Period DMR Data Not Available</v>
      </c>
      <c r="Y241" s="113" t="str" cm="1">
        <f t="array" ref="Y241">IF(COUNTIFS('Raw Annual DMR Data'!L:L,$F241, 'Raw Annual DMR Data'!U:U, "&gt;0")&gt;0,INDEX('Raw Annual DMR Data'!B:B,MATCH(1,($F241='Raw Annual DMR Data'!L:L)*($W241='Raw Annual DMR Data'!U:U),0)), "N/A - Period DMR Data Not Available")</f>
        <v>N/A - Period DMR Data Not Available</v>
      </c>
      <c r="Z241" s="311" t="str" cm="1">
        <f t="array" ref="Z241">IF(COUNTIF('Raw Annual DMR Data'!K:K,$E241)&gt;0,"N/A - See DMRs",IF(SUMIFS('Raw TRI Data'!$Z:$Z,'Raw TRI Data'!$J:$J,$E241)&gt;0,MEDIAN(IF('Raw TRI Data'!$J:$J=$E241,'Raw TRI Data'!$Z:$Z)), "N/A - Facility Does Not Report to TRI, no surface water releases, or no Generic Factors available"))</f>
        <v>N/A - Facility Does Not Report to TRI, no surface water releases, or no Generic Factors available</v>
      </c>
      <c r="AA241" s="156" t="str">
        <f>IF(COUNTIF('Raw Annual DMR Data'!K:K,$E241)&gt;0,"N/A - See DMRs",IF(SUMIFS('Raw TRI Data'!$Z:$Z,'Raw TRI Data'!$J:$J,$E241)&gt;0,_xlfn.MAXIFS('Raw TRI Data'!$Z:$Z,'Raw TRI Data'!$J:$J,$E241), "N/A - Facility Does Not Report to TRI, no surface water releases, or no Generic Factors available"))</f>
        <v>N/A - Facility Does Not Report to TRI, no surface water releases, or no Generic Factors available</v>
      </c>
      <c r="AB241" s="113" t="str">
        <f t="shared" si="25"/>
        <v>N/A</v>
      </c>
      <c r="AC241" s="136" t="str" cm="1">
        <f t="array" ref="AC241">IF(COUNTIF('Raw Annual DMR Data'!K:K,$E241)&gt;0,"N/A - See DMRs",IF(SUMIFS('Raw TRI Data'!$Z:$Z,'Raw TRI Data'!$J:$J,$E241)&gt;0,INDEX('Raw TRI Data'!$A:$A,MATCH(1,($E241='Raw TRI Data'!$J:$J)*($AA241='Raw TRI Data'!$Z:$Z),0)), "N/A - Facility Does Not Report to TRI, no surface water releases, or no Generic Factors available"))</f>
        <v>N/A - Facility Does Not Report to TRI, no surface water releases, or no Generic Factors available</v>
      </c>
      <c r="AD241" s="96" t="str" cm="1">
        <f t="array" ref="AD241">IF(COUNTIFS('Raw Annual DMR Data'!L:L,$F241,'Raw Annual DMR Data'!W:W, "&gt;0")&gt;0,MEDIAN(IF('Raw Annual DMR Data'!K:K=$F241, 'Raw Annual DMR Data'!W:W)), "N/A - No Daily Max DMR Discharge Data")</f>
        <v>N/A - No Daily Max DMR Discharge Data</v>
      </c>
      <c r="AE241" s="96" t="str">
        <f>IF(COUNTIFS('Raw Annual DMR Data'!L:L,$F241,'Raw Annual DMR Data'!W:W, "&gt;0")&gt;0,_xlfn.MAXIFS('Raw Annual DMR Data'!W:W,'Raw Annual DMR Data'!L:L,$F241), "N/A - No Daily Max DMR Discharge Data")</f>
        <v>N/A - No Daily Max DMR Discharge Data</v>
      </c>
      <c r="AF241" s="60" t="str" cm="1">
        <f t="array" ref="AF241">IF(COUNTIFS('Raw Annual DMR Data'!L:L,$F241,'Raw Annual DMR Data'!W:W, "&gt;0")&gt;0,INDEX('Raw Annual DMR Data'!B:B,MATCH(1,($F241='Raw Annual DMR Data'!L:L)*($AE241='Raw Annual DMR Data'!W:W),0)), "N/A - No Daily Max DMR Discharge Data")</f>
        <v>N/A - No Daily Max DMR Discharge Data</v>
      </c>
    </row>
    <row r="242" spans="1:32" ht="45.75" thickBot="1" x14ac:dyDescent="0.3">
      <c r="A242" s="144" t="str">
        <f>VLOOKUP(F242,'Facility Summary'!J:K,2,FALSE)</f>
        <v>POTW</v>
      </c>
      <c r="B242" s="28" t="s">
        <v>1169</v>
      </c>
      <c r="C242" s="28" t="s">
        <v>1170</v>
      </c>
      <c r="D242" s="28" t="s">
        <v>1171</v>
      </c>
      <c r="E242" s="28"/>
      <c r="F242" s="61">
        <v>110020728943</v>
      </c>
      <c r="G242" s="60" t="str">
        <f>VLOOKUP($F242, 'Raw Annual DMR Data'!$A:$Z, 24, FALSE)</f>
        <v>HI0020877</v>
      </c>
      <c r="H242" s="60" t="str">
        <f>VLOOKUP($F242, 'Raw Annual DMR Data'!$A:$Z, 25, FALSE)</f>
        <v>PACIFIC OCEAN</v>
      </c>
      <c r="I242" s="74">
        <f>VLOOKUP($F242, 'Raw Annual DMR Data'!$A:$Z, 26, FALSE)</f>
        <v>20060000002243</v>
      </c>
      <c r="J242" s="74" t="s">
        <v>265</v>
      </c>
      <c r="K242" s="60">
        <f>VLOOKUP(A242, 'OES Summary'!$A:$B, 2, FALSE)</f>
        <v>365</v>
      </c>
      <c r="L242" s="304" cm="1">
        <f t="array" ref="L242">IF(COUNTIF('Raw Annual DMR Data'!$L:$L,$F242)&gt;0,MEDIAN(IF('Raw Annual DMR Data'!$L:$L=F242,'Raw Annual DMR Data'!$S:$S)),"N/A - Facility Does Not Report DMRs")</f>
        <v>0.29745230976000003</v>
      </c>
      <c r="M242" s="156">
        <f t="shared" si="23"/>
        <v>8.1493783495890416E-4</v>
      </c>
      <c r="N242" s="156">
        <f>IF(COUNTIF('Raw Annual DMR Data'!$L:$L,$F242)&gt;0,_xlfn.MAXIFS('Raw Annual DMR Data'!$S:$S,'Raw Annual DMR Data'!$L:$L,$F242), "N/A - Facility Does Not Report DMRs")</f>
        <v>0.30303079416000001</v>
      </c>
      <c r="O242" s="156">
        <f t="shared" si="24"/>
        <v>8.3022135386301367E-4</v>
      </c>
      <c r="P242" s="113" cm="1">
        <f t="array" ref="P242">IF(COUNTIF('Raw Annual DMR Data'!$L:$L,$F242)&gt;0,INDEX('Raw Annual DMR Data'!$B:$B,MATCH(1,($F242='Raw Annual DMR Data'!$L:$L)*($N242='Raw Annual DMR Data'!$S:$S),0)), "N/A - Facility Does Not Report DMRs")</f>
        <v>2015</v>
      </c>
      <c r="Q242" s="304" t="str" cm="1">
        <f t="array" ref="Q242">IF(COUNTIF('Raw TRI Data'!$J:$J,$E242)&gt;0,MEDIAN(IF('Raw TRI Data'!$J:$J=E242,'Raw TRI Data'!$S:$S)), "N/A - Facility Does Not Report to TRI")</f>
        <v>N/A - Facility Does Not Report to TRI</v>
      </c>
      <c r="R242" s="156" t="str">
        <f t="shared" si="21"/>
        <v>N/A - Facility Does Not Report to TRI</v>
      </c>
      <c r="S242" s="156" t="str">
        <f>IF(COUNTIF('Raw TRI Data'!$J:$J,$E242)&gt;0,_xlfn.MAXIFS('Raw TRI Data'!$S:$S,'Raw TRI Data'!$J:$J,$E242), "N/A - Facility Does Not Report to TRI")</f>
        <v>N/A - Facility Does Not Report to TRI</v>
      </c>
      <c r="T242" s="156" t="str">
        <f t="shared" si="22"/>
        <v>N/A - Facility Does Not Report to TRI</v>
      </c>
      <c r="U242" s="136" t="str" cm="1">
        <f t="array" ref="U242">IF(COUNTIF('Raw TRI Data'!$J:$J,$E242)&gt;0,INDEX('Raw TRI Data'!$A:$A,MATCH(1,($E242='Raw TRI Data'!$J:$J)*(S242='Raw TRI Data'!$S:$S),0)), "N/A - Facility Does Not Report to TRI")</f>
        <v>N/A - Facility Does Not Report to TRI</v>
      </c>
      <c r="V242" s="156" t="str" cm="1">
        <f t="array" ref="V242">IF(COUNTIFS('Raw Annual DMR Data'!$L:$L,$F242,'Raw Annual DMR Data'!$U:$U,"&gt;0")&gt;0,MEDIAN(IF('Raw Annual DMR Data'!$L:$L=$F242,'Raw Annual DMR Data'!$U:$U,"")),"N/A - Period DMR Data Not Available")</f>
        <v>N/A - Period DMR Data Not Available</v>
      </c>
      <c r="W242" s="156" t="str">
        <f>IF(COUNTIFS('Raw Annual DMR Data'!$L:$L,$F242, 'Raw Annual DMR Data'!$U:$U, "&gt;0")&gt;0,_xlfn.MAXIFS('Raw Annual DMR Data'!$U:$U,'Raw Annual DMR Data'!$L:$L,$F242), "N/A - Period DMR Data Not Available")</f>
        <v>N/A - Period DMR Data Not Available</v>
      </c>
      <c r="X242" s="113" t="str" cm="1">
        <f t="array" ref="X242">+IF(COUNTIFS('Raw Annual DMR Data'!L:L,$F242, 'Raw Annual DMR Data'!U:U, "&gt;0")&gt;0,INDEX('Raw Annual DMR Data'!V:V,MATCH(1,($F242='Raw Annual DMR Data'!L:L)*($W242='Raw Annual DMR Data'!U:U),0)), "N/A - Period DMR Data Not Available")</f>
        <v>N/A - Period DMR Data Not Available</v>
      </c>
      <c r="Y242" s="113" t="str" cm="1">
        <f t="array" ref="Y242">IF(COUNTIFS('Raw Annual DMR Data'!L:L,$F242, 'Raw Annual DMR Data'!U:U, "&gt;0")&gt;0,INDEX('Raw Annual DMR Data'!B:B,MATCH(1,($F242='Raw Annual DMR Data'!L:L)*($W242='Raw Annual DMR Data'!U:U),0)), "N/A - Period DMR Data Not Available")</f>
        <v>N/A - Period DMR Data Not Available</v>
      </c>
      <c r="Z242" s="311" t="str" cm="1">
        <f t="array" ref="Z242">IF(COUNTIF('Raw Annual DMR Data'!K:K,$E242)&gt;0,"N/A - See DMRs",IF(SUMIFS('Raw TRI Data'!$Z:$Z,'Raw TRI Data'!$J:$J,$E242)&gt;0,MEDIAN(IF('Raw TRI Data'!$J:$J=$E242,'Raw TRI Data'!$Z:$Z)), "N/A - Facility Does Not Report to TRI, no surface water releases, or no Generic Factors available"))</f>
        <v>N/A - Facility Does Not Report to TRI, no surface water releases, or no Generic Factors available</v>
      </c>
      <c r="AA242" s="156" t="str">
        <f>IF(COUNTIF('Raw Annual DMR Data'!K:K,$E242)&gt;0,"N/A - See DMRs",IF(SUMIFS('Raw TRI Data'!$Z:$Z,'Raw TRI Data'!$J:$J,$E242)&gt;0,_xlfn.MAXIFS('Raw TRI Data'!$Z:$Z,'Raw TRI Data'!$J:$J,$E242), "N/A - Facility Does Not Report to TRI, no surface water releases, or no Generic Factors available"))</f>
        <v>N/A - Facility Does Not Report to TRI, no surface water releases, or no Generic Factors available</v>
      </c>
      <c r="AB242" s="113" t="str">
        <f t="shared" si="25"/>
        <v>N/A</v>
      </c>
      <c r="AC242" s="136" t="str" cm="1">
        <f t="array" ref="AC242">IF(COUNTIF('Raw Annual DMR Data'!K:K,$E242)&gt;0,"N/A - See DMRs",IF(SUMIFS('Raw TRI Data'!$Z:$Z,'Raw TRI Data'!$J:$J,$E242)&gt;0,INDEX('Raw TRI Data'!$A:$A,MATCH(1,($E242='Raw TRI Data'!$J:$J)*($AA242='Raw TRI Data'!$Z:$Z),0)), "N/A - Facility Does Not Report to TRI, no surface water releases, or no Generic Factors available"))</f>
        <v>N/A - Facility Does Not Report to TRI, no surface water releases, or no Generic Factors available</v>
      </c>
      <c r="AD242" s="96" t="str" cm="1">
        <f t="array" ref="AD242">IF(COUNTIFS('Raw Annual DMR Data'!L:L,$F242,'Raw Annual DMR Data'!W:W, "&gt;0")&gt;0,MEDIAN(IF('Raw Annual DMR Data'!K:K=$F242, 'Raw Annual DMR Data'!W:W)), "N/A - No Daily Max DMR Discharge Data")</f>
        <v>N/A - No Daily Max DMR Discharge Data</v>
      </c>
      <c r="AE242" s="96" t="str">
        <f>IF(COUNTIFS('Raw Annual DMR Data'!L:L,$F242,'Raw Annual DMR Data'!W:W, "&gt;0")&gt;0,_xlfn.MAXIFS('Raw Annual DMR Data'!W:W,'Raw Annual DMR Data'!L:L,$F242), "N/A - No Daily Max DMR Discharge Data")</f>
        <v>N/A - No Daily Max DMR Discharge Data</v>
      </c>
      <c r="AF242" s="60" t="str" cm="1">
        <f t="array" ref="AF242">IF(COUNTIFS('Raw Annual DMR Data'!L:L,$F242,'Raw Annual DMR Data'!W:W, "&gt;0")&gt;0,INDEX('Raw Annual DMR Data'!B:B,MATCH(1,($F242='Raw Annual DMR Data'!L:L)*($AE242='Raw Annual DMR Data'!W:W),0)), "N/A - No Daily Max DMR Discharge Data")</f>
        <v>N/A - No Daily Max DMR Discharge Data</v>
      </c>
    </row>
    <row r="243" spans="1:32" ht="45.75" thickBot="1" x14ac:dyDescent="0.3">
      <c r="A243" s="144" t="str">
        <f>VLOOKUP(F243,'Facility Summary'!J:K,2,FALSE)</f>
        <v>POTW</v>
      </c>
      <c r="B243" s="28" t="s">
        <v>1172</v>
      </c>
      <c r="C243" s="28" t="s">
        <v>1173</v>
      </c>
      <c r="D243" s="28" t="s">
        <v>324</v>
      </c>
      <c r="E243" s="28"/>
      <c r="F243" s="61">
        <v>110039994897</v>
      </c>
      <c r="G243" s="60" t="str">
        <f>VLOOKUP($F243, 'Raw Annual DMR Data'!$A:$Z, 24, FALSE)</f>
        <v>KY0066532</v>
      </c>
      <c r="H243" s="60" t="str">
        <f>VLOOKUP($F243, 'Raw Annual DMR Data'!$A:$Z, 25, FALSE)</f>
        <v>LITTLE RIVER / NORTH FORK, NORTH FORK LITTLE RIVER</v>
      </c>
      <c r="I243" s="74" t="str">
        <f>VLOOKUP($F243, 'Raw Annual DMR Data'!$A:$Z, 26, FALSE)</f>
        <v>05130205000237</v>
      </c>
      <c r="J243" s="74" t="s">
        <v>265</v>
      </c>
      <c r="K243" s="60">
        <f>VLOOKUP(A243, 'OES Summary'!$A:$B, 2, FALSE)</f>
        <v>365</v>
      </c>
      <c r="L243" s="304" cm="1">
        <f t="array" ref="L243">IF(COUNTIF('Raw Annual DMR Data'!$L:$L,$F243)&gt;0,MEDIAN(IF('Raw Annual DMR Data'!$L:$L=F243,'Raw Annual DMR Data'!$S:$S)),"N/A - Facility Does Not Report DMRs")</f>
        <v>5.2207829749999997</v>
      </c>
      <c r="M243" s="156">
        <f t="shared" si="23"/>
        <v>1.4303514999999999E-2</v>
      </c>
      <c r="N243" s="156">
        <f>IF(COUNTIF('Raw Annual DMR Data'!$L:$L,$F243)&gt;0,_xlfn.MAXIFS('Raw Annual DMR Data'!$S:$S,'Raw Annual DMR Data'!$L:$L,$F243), "N/A - Facility Does Not Report DMRs")</f>
        <v>16.4366936875</v>
      </c>
      <c r="O243" s="156">
        <f t="shared" si="24"/>
        <v>4.5032037499999997E-2</v>
      </c>
      <c r="P243" s="113" cm="1">
        <f t="array" ref="P243">IF(COUNTIF('Raw Annual DMR Data'!$L:$L,$F243)&gt;0,INDEX('Raw Annual DMR Data'!$B:$B,MATCH(1,($F243='Raw Annual DMR Data'!$L:$L)*($N243='Raw Annual DMR Data'!$S:$S),0)), "N/A - Facility Does Not Report DMRs")</f>
        <v>2018</v>
      </c>
      <c r="Q243" s="304" t="str" cm="1">
        <f t="array" ref="Q243">IF(COUNTIF('Raw TRI Data'!$J:$J,$E243)&gt;0,MEDIAN(IF('Raw TRI Data'!$J:$J=E243,'Raw TRI Data'!$S:$S)), "N/A - Facility Does Not Report to TRI")</f>
        <v>N/A - Facility Does Not Report to TRI</v>
      </c>
      <c r="R243" s="156" t="str">
        <f t="shared" si="21"/>
        <v>N/A - Facility Does Not Report to TRI</v>
      </c>
      <c r="S243" s="156" t="str">
        <f>IF(COUNTIF('Raw TRI Data'!$J:$J,$E243)&gt;0,_xlfn.MAXIFS('Raw TRI Data'!$S:$S,'Raw TRI Data'!$J:$J,$E243), "N/A - Facility Does Not Report to TRI")</f>
        <v>N/A - Facility Does Not Report to TRI</v>
      </c>
      <c r="T243" s="156" t="str">
        <f t="shared" si="22"/>
        <v>N/A - Facility Does Not Report to TRI</v>
      </c>
      <c r="U243" s="136" t="str" cm="1">
        <f t="array" ref="U243">IF(COUNTIF('Raw TRI Data'!$J:$J,$E243)&gt;0,INDEX('Raw TRI Data'!$A:$A,MATCH(1,($E243='Raw TRI Data'!$J:$J)*(S243='Raw TRI Data'!$S:$S),0)), "N/A - Facility Does Not Report to TRI")</f>
        <v>N/A - Facility Does Not Report to TRI</v>
      </c>
      <c r="V243" s="156" t="str" cm="1">
        <f t="array" ref="V243">IF(COUNTIFS('Raw Annual DMR Data'!$L:$L,$F243,'Raw Annual DMR Data'!$U:$U,"&gt;0")&gt;0,MEDIAN(IF('Raw Annual DMR Data'!$L:$L=$F243,'Raw Annual DMR Data'!$U:$U,"")),"N/A - Period DMR Data Not Available")</f>
        <v>N/A - Period DMR Data Not Available</v>
      </c>
      <c r="W243" s="156" t="str">
        <f>IF(COUNTIFS('Raw Annual DMR Data'!$L:$L,$F243, 'Raw Annual DMR Data'!$U:$U, "&gt;0")&gt;0,_xlfn.MAXIFS('Raw Annual DMR Data'!$U:$U,'Raw Annual DMR Data'!$L:$L,$F243), "N/A - Period DMR Data Not Available")</f>
        <v>N/A - Period DMR Data Not Available</v>
      </c>
      <c r="X243" s="113" t="str" cm="1">
        <f t="array" ref="X243">+IF(COUNTIFS('Raw Annual DMR Data'!L:L,$F243, 'Raw Annual DMR Data'!U:U, "&gt;0")&gt;0,INDEX('Raw Annual DMR Data'!V:V,MATCH(1,($F243='Raw Annual DMR Data'!L:L)*($W243='Raw Annual DMR Data'!U:U),0)), "N/A - Period DMR Data Not Available")</f>
        <v>N/A - Period DMR Data Not Available</v>
      </c>
      <c r="Y243" s="113" t="str" cm="1">
        <f t="array" ref="Y243">IF(COUNTIFS('Raw Annual DMR Data'!L:L,$F243, 'Raw Annual DMR Data'!U:U, "&gt;0")&gt;0,INDEX('Raw Annual DMR Data'!B:B,MATCH(1,($F243='Raw Annual DMR Data'!L:L)*($W243='Raw Annual DMR Data'!U:U),0)), "N/A - Period DMR Data Not Available")</f>
        <v>N/A - Period DMR Data Not Available</v>
      </c>
      <c r="Z243" s="311" t="str" cm="1">
        <f t="array" ref="Z243">IF(COUNTIF('Raw Annual DMR Data'!K:K,$E243)&gt;0,"N/A - See DMRs",IF(SUMIFS('Raw TRI Data'!$Z:$Z,'Raw TRI Data'!$J:$J,$E243)&gt;0,MEDIAN(IF('Raw TRI Data'!$J:$J=$E243,'Raw TRI Data'!$Z:$Z)), "N/A - Facility Does Not Report to TRI, no surface water releases, or no Generic Factors available"))</f>
        <v>N/A - Facility Does Not Report to TRI, no surface water releases, or no Generic Factors available</v>
      </c>
      <c r="AA243" s="156" t="str">
        <f>IF(COUNTIF('Raw Annual DMR Data'!K:K,$E243)&gt;0,"N/A - See DMRs",IF(SUMIFS('Raw TRI Data'!$Z:$Z,'Raw TRI Data'!$J:$J,$E243)&gt;0,_xlfn.MAXIFS('Raw TRI Data'!$Z:$Z,'Raw TRI Data'!$J:$J,$E243), "N/A - Facility Does Not Report to TRI, no surface water releases, or no Generic Factors available"))</f>
        <v>N/A - Facility Does Not Report to TRI, no surface water releases, or no Generic Factors available</v>
      </c>
      <c r="AB243" s="113" t="str">
        <f t="shared" si="25"/>
        <v>N/A</v>
      </c>
      <c r="AC243" s="136" t="str" cm="1">
        <f t="array" ref="AC243">IF(COUNTIF('Raw Annual DMR Data'!K:K,$E243)&gt;0,"N/A - See DMRs",IF(SUMIFS('Raw TRI Data'!$Z:$Z,'Raw TRI Data'!$J:$J,$E243)&gt;0,INDEX('Raw TRI Data'!$A:$A,MATCH(1,($E243='Raw TRI Data'!$J:$J)*($AA243='Raw TRI Data'!$Z:$Z),0)), "N/A - Facility Does Not Report to TRI, no surface water releases, or no Generic Factors available"))</f>
        <v>N/A - Facility Does Not Report to TRI, no surface water releases, or no Generic Factors available</v>
      </c>
      <c r="AD243" s="96" t="str" cm="1">
        <f t="array" ref="AD243">IF(COUNTIFS('Raw Annual DMR Data'!L:L,$F243,'Raw Annual DMR Data'!W:W, "&gt;0")&gt;0,MEDIAN(IF('Raw Annual DMR Data'!K:K=$F243, 'Raw Annual DMR Data'!W:W)), "N/A - No Daily Max DMR Discharge Data")</f>
        <v>N/A - No Daily Max DMR Discharge Data</v>
      </c>
      <c r="AE243" s="96" t="str">
        <f>IF(COUNTIFS('Raw Annual DMR Data'!L:L,$F243,'Raw Annual DMR Data'!W:W, "&gt;0")&gt;0,_xlfn.MAXIFS('Raw Annual DMR Data'!W:W,'Raw Annual DMR Data'!L:L,$F243), "N/A - No Daily Max DMR Discharge Data")</f>
        <v>N/A - No Daily Max DMR Discharge Data</v>
      </c>
      <c r="AF243" s="60" t="str" cm="1">
        <f t="array" ref="AF243">IF(COUNTIFS('Raw Annual DMR Data'!L:L,$F243,'Raw Annual DMR Data'!W:W, "&gt;0")&gt;0,INDEX('Raw Annual DMR Data'!B:B,MATCH(1,($F243='Raw Annual DMR Data'!L:L)*($AE243='Raw Annual DMR Data'!W:W),0)), "N/A - No Daily Max DMR Discharge Data")</f>
        <v>N/A - No Daily Max DMR Discharge Data</v>
      </c>
    </row>
    <row r="244" spans="1:32" ht="45.75" thickBot="1" x14ac:dyDescent="0.3">
      <c r="A244" s="144" t="str">
        <f>VLOOKUP(F244,'Facility Summary'!J:K,2,FALSE)</f>
        <v>Waste Handling, Disposal and Treatment (Landfill)</v>
      </c>
      <c r="B244" s="28" t="s">
        <v>1174</v>
      </c>
      <c r="C244" s="28" t="s">
        <v>1175</v>
      </c>
      <c r="D244" s="28" t="s">
        <v>506</v>
      </c>
      <c r="E244" s="28"/>
      <c r="F244" s="61">
        <v>110043668563</v>
      </c>
      <c r="G244" s="60" t="str">
        <f>VLOOKUP($F244, 'Raw Annual DMR Data'!$A:$Z, 24, FALSE)</f>
        <v>MD0067865</v>
      </c>
      <c r="H244" s="60" t="str">
        <f>VLOOKUP($F244, 'Raw Annual DMR Data'!$A:$Z, 25, FALSE)</f>
        <v>LITTLE PATUXENT RIVER</v>
      </c>
      <c r="I244" s="74">
        <f>VLOOKUP($F244, 'Raw Annual DMR Data'!$A:$Z, 26, FALSE)</f>
        <v>2060003000653</v>
      </c>
      <c r="J244" s="74" t="s">
        <v>265</v>
      </c>
      <c r="K244" s="60">
        <f>VLOOKUP(A244, 'OES Summary'!$A:$B, 2, FALSE)</f>
        <v>250</v>
      </c>
      <c r="L244" s="304" cm="1">
        <f t="array" ref="L244">IF(COUNTIF('Raw Annual DMR Data'!$L:$L,$F244)&gt;0,MEDIAN(IF('Raw Annual DMR Data'!$L:$L=F244,'Raw Annual DMR Data'!$S:$S)),"N/A - Facility Does Not Report DMRs")</f>
        <v>2.7814538433499898E-3</v>
      </c>
      <c r="M244" s="156">
        <f t="shared" si="23"/>
        <v>1.1125815373399959E-5</v>
      </c>
      <c r="N244" s="156">
        <f>IF(COUNTIF('Raw Annual DMR Data'!$L:$L,$F244)&gt;0,_xlfn.MAXIFS('Raw Annual DMR Data'!$S:$S,'Raw Annual DMR Data'!$L:$L,$F244), "N/A - Facility Does Not Report DMRs")</f>
        <v>2.7814538433499898E-3</v>
      </c>
      <c r="O244" s="156">
        <f t="shared" si="24"/>
        <v>1.1125815373399959E-5</v>
      </c>
      <c r="P244" s="113" cm="1">
        <f t="array" ref="P244">IF(COUNTIF('Raw Annual DMR Data'!$L:$L,$F244)&gt;0,INDEX('Raw Annual DMR Data'!$B:$B,MATCH(1,($F244='Raw Annual DMR Data'!$L:$L)*($N244='Raw Annual DMR Data'!$S:$S),0)), "N/A - Facility Does Not Report DMRs")</f>
        <v>2019</v>
      </c>
      <c r="Q244" s="304" t="str" cm="1">
        <f t="array" ref="Q244">IF(COUNTIF('Raw TRI Data'!$J:$J,$E244)&gt;0,MEDIAN(IF('Raw TRI Data'!$J:$J=E244,'Raw TRI Data'!$S:$S)), "N/A - Facility Does Not Report to TRI")</f>
        <v>N/A - Facility Does Not Report to TRI</v>
      </c>
      <c r="R244" s="156" t="str">
        <f t="shared" si="21"/>
        <v>N/A - Facility Does Not Report to TRI</v>
      </c>
      <c r="S244" s="156" t="str">
        <f>IF(COUNTIF('Raw TRI Data'!$J:$J,$E244)&gt;0,_xlfn.MAXIFS('Raw TRI Data'!$S:$S,'Raw TRI Data'!$J:$J,$E244), "N/A - Facility Does Not Report to TRI")</f>
        <v>N/A - Facility Does Not Report to TRI</v>
      </c>
      <c r="T244" s="156" t="str">
        <f t="shared" si="22"/>
        <v>N/A - Facility Does Not Report to TRI</v>
      </c>
      <c r="U244" s="136" t="str" cm="1">
        <f t="array" ref="U244">IF(COUNTIF('Raw TRI Data'!$J:$J,$E244)&gt;0,INDEX('Raw TRI Data'!$A:$A,MATCH(1,($E244='Raw TRI Data'!$J:$J)*(S244='Raw TRI Data'!$S:$S),0)), "N/A - Facility Does Not Report to TRI")</f>
        <v>N/A - Facility Does Not Report to TRI</v>
      </c>
      <c r="V244" s="156" t="str" cm="1">
        <f t="array" ref="V244">IF(COUNTIFS('Raw Annual DMR Data'!$L:$L,$F244,'Raw Annual DMR Data'!$U:$U,"&gt;0")&gt;0,MEDIAN(IF('Raw Annual DMR Data'!$L:$L=$F244,'Raw Annual DMR Data'!$U:$U,"")),"N/A - Period DMR Data Not Available")</f>
        <v>N/A - Period DMR Data Not Available</v>
      </c>
      <c r="W244" s="156" t="str">
        <f>IF(COUNTIFS('Raw Annual DMR Data'!$L:$L,$F244, 'Raw Annual DMR Data'!$U:$U, "&gt;0")&gt;0,_xlfn.MAXIFS('Raw Annual DMR Data'!$U:$U,'Raw Annual DMR Data'!$L:$L,$F244), "N/A - Period DMR Data Not Available")</f>
        <v>N/A - Period DMR Data Not Available</v>
      </c>
      <c r="X244" s="113" t="str" cm="1">
        <f t="array" ref="X244">+IF(COUNTIFS('Raw Annual DMR Data'!L:L,$F244, 'Raw Annual DMR Data'!U:U, "&gt;0")&gt;0,INDEX('Raw Annual DMR Data'!V:V,MATCH(1,($F244='Raw Annual DMR Data'!L:L)*($W244='Raw Annual DMR Data'!U:U),0)), "N/A - Period DMR Data Not Available")</f>
        <v>N/A - Period DMR Data Not Available</v>
      </c>
      <c r="Y244" s="113" t="str" cm="1">
        <f t="array" ref="Y244">IF(COUNTIFS('Raw Annual DMR Data'!L:L,$F244, 'Raw Annual DMR Data'!U:U, "&gt;0")&gt;0,INDEX('Raw Annual DMR Data'!B:B,MATCH(1,($F244='Raw Annual DMR Data'!L:L)*($W244='Raw Annual DMR Data'!U:U),0)), "N/A - Period DMR Data Not Available")</f>
        <v>N/A - Period DMR Data Not Available</v>
      </c>
      <c r="Z244" s="311" t="str" cm="1">
        <f t="array" ref="Z244">IF(COUNTIF('Raw Annual DMR Data'!K:K,$E244)&gt;0,"N/A - See DMRs",IF(SUMIFS('Raw TRI Data'!$Z:$Z,'Raw TRI Data'!$J:$J,$E244)&gt;0,MEDIAN(IF('Raw TRI Data'!$J:$J=$E244,'Raw TRI Data'!$Z:$Z)), "N/A - Facility Does Not Report to TRI, no surface water releases, or no Generic Factors available"))</f>
        <v>N/A - Facility Does Not Report to TRI, no surface water releases, or no Generic Factors available</v>
      </c>
      <c r="AA244" s="156" t="str">
        <f>IF(COUNTIF('Raw Annual DMR Data'!K:K,$E244)&gt;0,"N/A - See DMRs",IF(SUMIFS('Raw TRI Data'!$Z:$Z,'Raw TRI Data'!$J:$J,$E244)&gt;0,_xlfn.MAXIFS('Raw TRI Data'!$Z:$Z,'Raw TRI Data'!$J:$J,$E244), "N/A - Facility Does Not Report to TRI, no surface water releases, or no Generic Factors available"))</f>
        <v>N/A - Facility Does Not Report to TRI, no surface water releases, or no Generic Factors available</v>
      </c>
      <c r="AB244" s="113" t="str">
        <f t="shared" si="25"/>
        <v>N/A</v>
      </c>
      <c r="AC244" s="136" t="str" cm="1">
        <f t="array" ref="AC244">IF(COUNTIF('Raw Annual DMR Data'!K:K,$E244)&gt;0,"N/A - See DMRs",IF(SUMIFS('Raw TRI Data'!$Z:$Z,'Raw TRI Data'!$J:$J,$E244)&gt;0,INDEX('Raw TRI Data'!$A:$A,MATCH(1,($E244='Raw TRI Data'!$J:$J)*($AA244='Raw TRI Data'!$Z:$Z),0)), "N/A - Facility Does Not Report to TRI, no surface water releases, or no Generic Factors available"))</f>
        <v>N/A - Facility Does Not Report to TRI, no surface water releases, or no Generic Factors available</v>
      </c>
      <c r="AD244" s="96" t="str" cm="1">
        <f t="array" ref="AD244">IF(COUNTIFS('Raw Annual DMR Data'!L:L,$F244,'Raw Annual DMR Data'!W:W, "&gt;0")&gt;0,MEDIAN(IF('Raw Annual DMR Data'!K:K=$F244, 'Raw Annual DMR Data'!W:W)), "N/A - No Daily Max DMR Discharge Data")</f>
        <v>N/A - No Daily Max DMR Discharge Data</v>
      </c>
      <c r="AE244" s="96" t="str">
        <f>IF(COUNTIFS('Raw Annual DMR Data'!L:L,$F244,'Raw Annual DMR Data'!W:W, "&gt;0")&gt;0,_xlfn.MAXIFS('Raw Annual DMR Data'!W:W,'Raw Annual DMR Data'!L:L,$F244), "N/A - No Daily Max DMR Discharge Data")</f>
        <v>N/A - No Daily Max DMR Discharge Data</v>
      </c>
      <c r="AF244" s="60" t="str" cm="1">
        <f t="array" ref="AF244">IF(COUNTIFS('Raw Annual DMR Data'!L:L,$F244,'Raw Annual DMR Data'!W:W, "&gt;0")&gt;0,INDEX('Raw Annual DMR Data'!B:B,MATCH(1,($F244='Raw Annual DMR Data'!L:L)*($AE244='Raw Annual DMR Data'!W:W),0)), "N/A - No Daily Max DMR Discharge Data")</f>
        <v>N/A - No Daily Max DMR Discharge Data</v>
      </c>
    </row>
    <row r="245" spans="1:32" ht="45.75" thickBot="1" x14ac:dyDescent="0.3">
      <c r="A245" s="144" t="str">
        <f>VLOOKUP(F245,'Facility Summary'!J:K,2,FALSE)</f>
        <v>Unknown</v>
      </c>
      <c r="B245" s="28" t="s">
        <v>1176</v>
      </c>
      <c r="C245" s="28" t="s">
        <v>657</v>
      </c>
      <c r="D245" s="28" t="s">
        <v>418</v>
      </c>
      <c r="E245" s="28"/>
      <c r="F245" s="61">
        <v>110037274133</v>
      </c>
      <c r="G245" s="60" t="str">
        <f>VLOOKUP($F245, 'Raw Annual DMR Data'!$A:$Z, 24, FALSE)</f>
        <v>NV0023604</v>
      </c>
      <c r="H245" s="60" t="str">
        <f>VLOOKUP($F245, 'Raw Annual DMR Data'!$A:$Z, 25, FALSE)</f>
        <v>LAS VEGAS WASH</v>
      </c>
      <c r="I245" s="74">
        <f>VLOOKUP($F245, 'Raw Annual DMR Data'!$A:$Z, 26, FALSE)</f>
        <v>15010015000432</v>
      </c>
      <c r="J245" s="74" t="s">
        <v>265</v>
      </c>
      <c r="K245" s="60">
        <f>VLOOKUP(A245, 'OES Summary'!$A:$B, 2, FALSE)</f>
        <v>250</v>
      </c>
      <c r="L245" s="304" cm="1">
        <f t="array" ref="L245">IF(COUNTIF('Raw Annual DMR Data'!$L:$L,$F245)&gt;0,MEDIAN(IF('Raw Annual DMR Data'!$L:$L=F245,'Raw Annual DMR Data'!$S:$S)),"N/A - Facility Does Not Report DMRs")</f>
        <v>1.4022478749999999E-4</v>
      </c>
      <c r="M245" s="156">
        <f t="shared" si="23"/>
        <v>5.6089914999999999E-7</v>
      </c>
      <c r="N245" s="156">
        <f>IF(COUNTIF('Raw Annual DMR Data'!$L:$L,$F245)&gt;0,_xlfn.MAXIFS('Raw Annual DMR Data'!$S:$S,'Raw Annual DMR Data'!$L:$L,$F245), "N/A - Facility Does Not Report DMRs")</f>
        <v>2.3036929374999999E-3</v>
      </c>
      <c r="O245" s="156">
        <f t="shared" si="24"/>
        <v>9.2147717499999997E-6</v>
      </c>
      <c r="P245" s="113" cm="1">
        <f t="array" ref="P245">IF(COUNTIF('Raw Annual DMR Data'!$L:$L,$F245)&gt;0,INDEX('Raw Annual DMR Data'!$B:$B,MATCH(1,($F245='Raw Annual DMR Data'!$L:$L)*($N245='Raw Annual DMR Data'!$S:$S),0)), "N/A - Facility Does Not Report DMRs")</f>
        <v>2020</v>
      </c>
      <c r="Q245" s="304" t="str" cm="1">
        <f t="array" ref="Q245">IF(COUNTIF('Raw TRI Data'!$J:$J,$E245)&gt;0,MEDIAN(IF('Raw TRI Data'!$J:$J=E245,'Raw TRI Data'!$S:$S)), "N/A - Facility Does Not Report to TRI")</f>
        <v>N/A - Facility Does Not Report to TRI</v>
      </c>
      <c r="R245" s="156" t="str">
        <f t="shared" si="21"/>
        <v>N/A - Facility Does Not Report to TRI</v>
      </c>
      <c r="S245" s="156" t="str">
        <f>IF(COUNTIF('Raw TRI Data'!$J:$J,$E245)&gt;0,_xlfn.MAXIFS('Raw TRI Data'!$S:$S,'Raw TRI Data'!$J:$J,$E245), "N/A - Facility Does Not Report to TRI")</f>
        <v>N/A - Facility Does Not Report to TRI</v>
      </c>
      <c r="T245" s="156" t="str">
        <f t="shared" si="22"/>
        <v>N/A - Facility Does Not Report to TRI</v>
      </c>
      <c r="U245" s="136" t="str" cm="1">
        <f t="array" ref="U245">IF(COUNTIF('Raw TRI Data'!$J:$J,$E245)&gt;0,INDEX('Raw TRI Data'!$A:$A,MATCH(1,($E245='Raw TRI Data'!$J:$J)*(S245='Raw TRI Data'!$S:$S),0)), "N/A - Facility Does Not Report to TRI")</f>
        <v>N/A - Facility Does Not Report to TRI</v>
      </c>
      <c r="V245" s="156" t="str" cm="1">
        <f t="array" ref="V245">IF(COUNTIFS('Raw Annual DMR Data'!$L:$L,$F245,'Raw Annual DMR Data'!$U:$U,"&gt;0")&gt;0,MEDIAN(IF('Raw Annual DMR Data'!$L:$L=$F245,'Raw Annual DMR Data'!$U:$U,"")),"N/A - Period DMR Data Not Available")</f>
        <v>N/A - Period DMR Data Not Available</v>
      </c>
      <c r="W245" s="156" t="str">
        <f>IF(COUNTIFS('Raw Annual DMR Data'!$L:$L,$F245, 'Raw Annual DMR Data'!$U:$U, "&gt;0")&gt;0,_xlfn.MAXIFS('Raw Annual DMR Data'!$U:$U,'Raw Annual DMR Data'!$L:$L,$F245), "N/A - Period DMR Data Not Available")</f>
        <v>N/A - Period DMR Data Not Available</v>
      </c>
      <c r="X245" s="113" t="str" cm="1">
        <f t="array" ref="X245">+IF(COUNTIFS('Raw Annual DMR Data'!L:L,$F245, 'Raw Annual DMR Data'!U:U, "&gt;0")&gt;0,INDEX('Raw Annual DMR Data'!V:V,MATCH(1,($F245='Raw Annual DMR Data'!L:L)*($W245='Raw Annual DMR Data'!U:U),0)), "N/A - Period DMR Data Not Available")</f>
        <v>N/A - Period DMR Data Not Available</v>
      </c>
      <c r="Y245" s="113" t="str" cm="1">
        <f t="array" ref="Y245">IF(COUNTIFS('Raw Annual DMR Data'!L:L,$F245, 'Raw Annual DMR Data'!U:U, "&gt;0")&gt;0,INDEX('Raw Annual DMR Data'!B:B,MATCH(1,($F245='Raw Annual DMR Data'!L:L)*($W245='Raw Annual DMR Data'!U:U),0)), "N/A - Period DMR Data Not Available")</f>
        <v>N/A - Period DMR Data Not Available</v>
      </c>
      <c r="Z245" s="311" t="str" cm="1">
        <f t="array" ref="Z245">IF(COUNTIF('Raw Annual DMR Data'!K:K,$E245)&gt;0,"N/A - See DMRs",IF(SUMIFS('Raw TRI Data'!$Z:$Z,'Raw TRI Data'!$J:$J,$E245)&gt;0,MEDIAN(IF('Raw TRI Data'!$J:$J=$E245,'Raw TRI Data'!$Z:$Z)), "N/A - Facility Does Not Report to TRI, no surface water releases, or no Generic Factors available"))</f>
        <v>N/A - Facility Does Not Report to TRI, no surface water releases, or no Generic Factors available</v>
      </c>
      <c r="AA245" s="156" t="str">
        <f>IF(COUNTIF('Raw Annual DMR Data'!K:K,$E245)&gt;0,"N/A - See DMRs",IF(SUMIFS('Raw TRI Data'!$Z:$Z,'Raw TRI Data'!$J:$J,$E245)&gt;0,_xlfn.MAXIFS('Raw TRI Data'!$Z:$Z,'Raw TRI Data'!$J:$J,$E245), "N/A - Facility Does Not Report to TRI, no surface water releases, or no Generic Factors available"))</f>
        <v>N/A - Facility Does Not Report to TRI, no surface water releases, or no Generic Factors available</v>
      </c>
      <c r="AB245" s="113" t="str">
        <f t="shared" si="25"/>
        <v>N/A</v>
      </c>
      <c r="AC245" s="136" t="str" cm="1">
        <f t="array" ref="AC245">IF(COUNTIF('Raw Annual DMR Data'!K:K,$E245)&gt;0,"N/A - See DMRs",IF(SUMIFS('Raw TRI Data'!$Z:$Z,'Raw TRI Data'!$J:$J,$E245)&gt;0,INDEX('Raw TRI Data'!$A:$A,MATCH(1,($E245='Raw TRI Data'!$J:$J)*($AA245='Raw TRI Data'!$Z:$Z),0)), "N/A - Facility Does Not Report to TRI, no surface water releases, or no Generic Factors available"))</f>
        <v>N/A - Facility Does Not Report to TRI, no surface water releases, or no Generic Factors available</v>
      </c>
      <c r="AD245" s="96" t="str" cm="1">
        <f t="array" ref="AD245">IF(COUNTIFS('Raw Annual DMR Data'!L:L,$F245,'Raw Annual DMR Data'!W:W, "&gt;0")&gt;0,MEDIAN(IF('Raw Annual DMR Data'!K:K=$F245, 'Raw Annual DMR Data'!W:W)), "N/A - No Daily Max DMR Discharge Data")</f>
        <v>N/A - No Daily Max DMR Discharge Data</v>
      </c>
      <c r="AE245" s="96" t="str">
        <f>IF(COUNTIFS('Raw Annual DMR Data'!L:L,$F245,'Raw Annual DMR Data'!W:W, "&gt;0")&gt;0,_xlfn.MAXIFS('Raw Annual DMR Data'!W:W,'Raw Annual DMR Data'!L:L,$F245), "N/A - No Daily Max DMR Discharge Data")</f>
        <v>N/A - No Daily Max DMR Discharge Data</v>
      </c>
      <c r="AF245" s="60" t="str" cm="1">
        <f t="array" ref="AF245">IF(COUNTIFS('Raw Annual DMR Data'!L:L,$F245,'Raw Annual DMR Data'!W:W, "&gt;0")&gt;0,INDEX('Raw Annual DMR Data'!B:B,MATCH(1,($F245='Raw Annual DMR Data'!L:L)*($AE245='Raw Annual DMR Data'!W:W),0)), "N/A - No Daily Max DMR Discharge Data")</f>
        <v>N/A - No Daily Max DMR Discharge Data</v>
      </c>
    </row>
    <row r="246" spans="1:32" ht="45.75" thickBot="1" x14ac:dyDescent="0.3">
      <c r="A246" s="144" t="str">
        <f>VLOOKUP(F246,'Facility Summary'!J:K,2,FALSE)</f>
        <v>Unknown</v>
      </c>
      <c r="B246" s="28" t="s">
        <v>1177</v>
      </c>
      <c r="C246" s="28" t="s">
        <v>1178</v>
      </c>
      <c r="D246" s="28" t="s">
        <v>308</v>
      </c>
      <c r="E246" s="28"/>
      <c r="F246" s="61">
        <v>110024468128</v>
      </c>
      <c r="G246" s="60" t="str">
        <f>VLOOKUP($F246, 'Raw Annual DMR Data'!$A:$Z, 24, FALSE)</f>
        <v>MAG910026</v>
      </c>
      <c r="H246" s="60" t="str">
        <f>VLOOKUP($F246, 'Raw Annual DMR Data'!$A:$Z, 25, FALSE)</f>
        <v>VINE BROOK</v>
      </c>
      <c r="I246" s="74">
        <f>VLOOKUP($F246, 'Raw Annual DMR Data'!$A:$Z, 26, FALSE)</f>
        <v>1070006000619</v>
      </c>
      <c r="J246" s="74" t="s">
        <v>265</v>
      </c>
      <c r="K246" s="60">
        <f>VLOOKUP(A246, 'OES Summary'!$A:$B, 2, FALSE)</f>
        <v>250</v>
      </c>
      <c r="L246" s="304" cm="1">
        <f t="array" ref="L246">IF(COUNTIF('Raw Annual DMR Data'!$L:$L,$F246)&gt;0,MEDIAN(IF('Raw Annual DMR Data'!$L:$L=F246,'Raw Annual DMR Data'!$S:$S)),"N/A - Facility Does Not Report DMRs")</f>
        <v>2.9415241049999999E-2</v>
      </c>
      <c r="M246" s="156">
        <f t="shared" si="23"/>
        <v>1.176609642E-4</v>
      </c>
      <c r="N246" s="156">
        <f>IF(COUNTIF('Raw Annual DMR Data'!$L:$L,$F246)&gt;0,_xlfn.MAXIFS('Raw Annual DMR Data'!$S:$S,'Raw Annual DMR Data'!$L:$L,$F246), "N/A - Facility Does Not Report DMRs")</f>
        <v>3.3631958150000002E-2</v>
      </c>
      <c r="O246" s="156">
        <f t="shared" si="24"/>
        <v>1.3452783260000002E-4</v>
      </c>
      <c r="P246" s="113" cm="1">
        <f t="array" ref="P246">IF(COUNTIF('Raw Annual DMR Data'!$L:$L,$F246)&gt;0,INDEX('Raw Annual DMR Data'!$B:$B,MATCH(1,($F246='Raw Annual DMR Data'!$L:$L)*($N246='Raw Annual DMR Data'!$S:$S),0)), "N/A - Facility Does Not Report DMRs")</f>
        <v>2023</v>
      </c>
      <c r="Q246" s="304" t="str" cm="1">
        <f t="array" ref="Q246">IF(COUNTIF('Raw TRI Data'!$J:$J,$E246)&gt;0,MEDIAN(IF('Raw TRI Data'!$J:$J=E246,'Raw TRI Data'!$S:$S)), "N/A - Facility Does Not Report to TRI")</f>
        <v>N/A - Facility Does Not Report to TRI</v>
      </c>
      <c r="R246" s="156" t="str">
        <f t="shared" si="21"/>
        <v>N/A - Facility Does Not Report to TRI</v>
      </c>
      <c r="S246" s="156" t="str">
        <f>IF(COUNTIF('Raw TRI Data'!$J:$J,$E246)&gt;0,_xlfn.MAXIFS('Raw TRI Data'!$S:$S,'Raw TRI Data'!$J:$J,$E246), "N/A - Facility Does Not Report to TRI")</f>
        <v>N/A - Facility Does Not Report to TRI</v>
      </c>
      <c r="T246" s="156" t="str">
        <f t="shared" si="22"/>
        <v>N/A - Facility Does Not Report to TRI</v>
      </c>
      <c r="U246" s="136" t="str" cm="1">
        <f t="array" ref="U246">IF(COUNTIF('Raw TRI Data'!$J:$J,$E246)&gt;0,INDEX('Raw TRI Data'!$A:$A,MATCH(1,($E246='Raw TRI Data'!$J:$J)*(S246='Raw TRI Data'!$S:$S),0)), "N/A - Facility Does Not Report to TRI")</f>
        <v>N/A - Facility Does Not Report to TRI</v>
      </c>
      <c r="V246" s="156" t="str" cm="1">
        <f t="array" ref="V246">IF(COUNTIFS('Raw Annual DMR Data'!$L:$L,$F246,'Raw Annual DMR Data'!$U:$U,"&gt;0")&gt;0,MEDIAN(IF('Raw Annual DMR Data'!$L:$L=$F246,'Raw Annual DMR Data'!$U:$U,"")),"N/A - Period DMR Data Not Available")</f>
        <v>N/A - Period DMR Data Not Available</v>
      </c>
      <c r="W246" s="156" t="str">
        <f>IF(COUNTIFS('Raw Annual DMR Data'!$L:$L,$F246, 'Raw Annual DMR Data'!$U:$U, "&gt;0")&gt;0,_xlfn.MAXIFS('Raw Annual DMR Data'!$U:$U,'Raw Annual DMR Data'!$L:$L,$F246), "N/A - Period DMR Data Not Available")</f>
        <v>N/A - Period DMR Data Not Available</v>
      </c>
      <c r="X246" s="113" t="str" cm="1">
        <f t="array" ref="X246">+IF(COUNTIFS('Raw Annual DMR Data'!L:L,$F246, 'Raw Annual DMR Data'!U:U, "&gt;0")&gt;0,INDEX('Raw Annual DMR Data'!V:V,MATCH(1,($F246='Raw Annual DMR Data'!L:L)*($W246='Raw Annual DMR Data'!U:U),0)), "N/A - Period DMR Data Not Available")</f>
        <v>N/A - Period DMR Data Not Available</v>
      </c>
      <c r="Y246" s="113" t="str" cm="1">
        <f t="array" ref="Y246">IF(COUNTIFS('Raw Annual DMR Data'!L:L,$F246, 'Raw Annual DMR Data'!U:U, "&gt;0")&gt;0,INDEX('Raw Annual DMR Data'!B:B,MATCH(1,($F246='Raw Annual DMR Data'!L:L)*($W246='Raw Annual DMR Data'!U:U),0)), "N/A - Period DMR Data Not Available")</f>
        <v>N/A - Period DMR Data Not Available</v>
      </c>
      <c r="Z246" s="311" t="str" cm="1">
        <f t="array" ref="Z246">IF(COUNTIF('Raw Annual DMR Data'!K:K,$E246)&gt;0,"N/A - See DMRs",IF(SUMIFS('Raw TRI Data'!$Z:$Z,'Raw TRI Data'!$J:$J,$E246)&gt;0,MEDIAN(IF('Raw TRI Data'!$J:$J=$E246,'Raw TRI Data'!$Z:$Z)), "N/A - Facility Does Not Report to TRI, no surface water releases, or no Generic Factors available"))</f>
        <v>N/A - Facility Does Not Report to TRI, no surface water releases, or no Generic Factors available</v>
      </c>
      <c r="AA246" s="156" t="str">
        <f>IF(COUNTIF('Raw Annual DMR Data'!K:K,$E246)&gt;0,"N/A - See DMRs",IF(SUMIFS('Raw TRI Data'!$Z:$Z,'Raw TRI Data'!$J:$J,$E246)&gt;0,_xlfn.MAXIFS('Raw TRI Data'!$Z:$Z,'Raw TRI Data'!$J:$J,$E246), "N/A - Facility Does Not Report to TRI, no surface water releases, or no Generic Factors available"))</f>
        <v>N/A - Facility Does Not Report to TRI, no surface water releases, or no Generic Factors available</v>
      </c>
      <c r="AB246" s="113" t="str">
        <f t="shared" si="25"/>
        <v>N/A</v>
      </c>
      <c r="AC246" s="136" t="str" cm="1">
        <f t="array" ref="AC246">IF(COUNTIF('Raw Annual DMR Data'!K:K,$E246)&gt;0,"N/A - See DMRs",IF(SUMIFS('Raw TRI Data'!$Z:$Z,'Raw TRI Data'!$J:$J,$E246)&gt;0,INDEX('Raw TRI Data'!$A:$A,MATCH(1,($E246='Raw TRI Data'!$J:$J)*($AA246='Raw TRI Data'!$Z:$Z),0)), "N/A - Facility Does Not Report to TRI, no surface water releases, or no Generic Factors available"))</f>
        <v>N/A - Facility Does Not Report to TRI, no surface water releases, or no Generic Factors available</v>
      </c>
      <c r="AD246" s="96" t="str" cm="1">
        <f t="array" ref="AD246">IF(COUNTIFS('Raw Annual DMR Data'!L:L,$F246,'Raw Annual DMR Data'!W:W, "&gt;0")&gt;0,MEDIAN(IF('Raw Annual DMR Data'!K:K=$F246, 'Raw Annual DMR Data'!W:W)), "N/A - No Daily Max DMR Discharge Data")</f>
        <v>N/A - No Daily Max DMR Discharge Data</v>
      </c>
      <c r="AE246" s="96" t="str">
        <f>IF(COUNTIFS('Raw Annual DMR Data'!L:L,$F246,'Raw Annual DMR Data'!W:W, "&gt;0")&gt;0,_xlfn.MAXIFS('Raw Annual DMR Data'!W:W,'Raw Annual DMR Data'!L:L,$F246), "N/A - No Daily Max DMR Discharge Data")</f>
        <v>N/A - No Daily Max DMR Discharge Data</v>
      </c>
      <c r="AF246" s="60" t="str" cm="1">
        <f t="array" ref="AF246">IF(COUNTIFS('Raw Annual DMR Data'!L:L,$F246,'Raw Annual DMR Data'!W:W, "&gt;0")&gt;0,INDEX('Raw Annual DMR Data'!B:B,MATCH(1,($F246='Raw Annual DMR Data'!L:L)*($AE246='Raw Annual DMR Data'!W:W),0)), "N/A - No Daily Max DMR Discharge Data")</f>
        <v>N/A - No Daily Max DMR Discharge Data</v>
      </c>
    </row>
    <row r="247" spans="1:32" ht="45.75" thickBot="1" x14ac:dyDescent="0.3">
      <c r="A247" s="144" t="str">
        <f>VLOOKUP(F247,'Facility Summary'!J:K,2,FALSE)</f>
        <v>Unknown</v>
      </c>
      <c r="B247" s="28" t="s">
        <v>1179</v>
      </c>
      <c r="C247" s="28" t="s">
        <v>1180</v>
      </c>
      <c r="D247" s="28" t="s">
        <v>450</v>
      </c>
      <c r="E247" s="28"/>
      <c r="F247" s="61">
        <v>110041145926</v>
      </c>
      <c r="G247" s="60" t="str">
        <f>VLOOKUP($F247, 'Raw Annual DMR Data'!$A:$Z, 24, FALSE)</f>
        <v>NY0003808</v>
      </c>
      <c r="H247" s="60" t="str">
        <f>VLOOKUP($F247, 'Raw Annual DMR Data'!$A:$Z, 25, FALSE)</f>
        <v>SUSQUEHANNA R</v>
      </c>
      <c r="I247" s="74">
        <f>VLOOKUP($F247, 'Raw Annual DMR Data'!$A:$Z, 26, FALSE)</f>
        <v>2050103001134</v>
      </c>
      <c r="J247" s="74" t="s">
        <v>265</v>
      </c>
      <c r="K247" s="60">
        <f>VLOOKUP(A247, 'OES Summary'!$A:$B, 2, FALSE)</f>
        <v>250</v>
      </c>
      <c r="L247" s="304" cm="1">
        <f t="array" ref="L247">IF(COUNTIF('Raw Annual DMR Data'!$L:$L,$F247)&gt;0,MEDIAN(IF('Raw Annual DMR Data'!$L:$L=F247,'Raw Annual DMR Data'!$S:$S)),"N/A - Facility Does Not Report DMRs")</f>
        <v>0.13850924523937502</v>
      </c>
      <c r="M247" s="156">
        <f t="shared" si="23"/>
        <v>5.5403698095750006E-4</v>
      </c>
      <c r="N247" s="156">
        <f>IF(COUNTIF('Raw Annual DMR Data'!$L:$L,$F247)&gt;0,_xlfn.MAXIFS('Raw Annual DMR Data'!$S:$S,'Raw Annual DMR Data'!$L:$L,$F247), "N/A - Facility Does Not Report DMRs")</f>
        <v>0.40981859410430799</v>
      </c>
      <c r="O247" s="156">
        <f t="shared" si="24"/>
        <v>1.639274376417232E-3</v>
      </c>
      <c r="P247" s="113" cm="1">
        <f t="array" ref="P247">IF(COUNTIF('Raw Annual DMR Data'!$L:$L,$F247)&gt;0,INDEX('Raw Annual DMR Data'!$B:$B,MATCH(1,($F247='Raw Annual DMR Data'!$L:$L)*($N247='Raw Annual DMR Data'!$S:$S),0)), "N/A - Facility Does Not Report DMRs")</f>
        <v>2015</v>
      </c>
      <c r="Q247" s="304" t="str" cm="1">
        <f t="array" ref="Q247">IF(COUNTIF('Raw TRI Data'!$J:$J,$E247)&gt;0,MEDIAN(IF('Raw TRI Data'!$J:$J=E247,'Raw TRI Data'!$S:$S)), "N/A - Facility Does Not Report to TRI")</f>
        <v>N/A - Facility Does Not Report to TRI</v>
      </c>
      <c r="R247" s="156" t="str">
        <f t="shared" si="21"/>
        <v>N/A - Facility Does Not Report to TRI</v>
      </c>
      <c r="S247" s="156" t="str">
        <f>IF(COUNTIF('Raw TRI Data'!$J:$J,$E247)&gt;0,_xlfn.MAXIFS('Raw TRI Data'!$S:$S,'Raw TRI Data'!$J:$J,$E247), "N/A - Facility Does Not Report to TRI")</f>
        <v>N/A - Facility Does Not Report to TRI</v>
      </c>
      <c r="T247" s="156" t="str">
        <f t="shared" si="22"/>
        <v>N/A - Facility Does Not Report to TRI</v>
      </c>
      <c r="U247" s="136" t="str" cm="1">
        <f t="array" ref="U247">IF(COUNTIF('Raw TRI Data'!$J:$J,$E247)&gt;0,INDEX('Raw TRI Data'!$A:$A,MATCH(1,($E247='Raw TRI Data'!$J:$J)*(S247='Raw TRI Data'!$S:$S),0)), "N/A - Facility Does Not Report to TRI")</f>
        <v>N/A - Facility Does Not Report to TRI</v>
      </c>
      <c r="V247" s="156" t="str" cm="1">
        <f t="array" ref="V247">IF(COUNTIFS('Raw Annual DMR Data'!$L:$L,$F247,'Raw Annual DMR Data'!$U:$U,"&gt;0")&gt;0,MEDIAN(IF('Raw Annual DMR Data'!$L:$L=$F247,'Raw Annual DMR Data'!$U:$U,"")),"N/A - Period DMR Data Not Available")</f>
        <v>N/A - Period DMR Data Not Available</v>
      </c>
      <c r="W247" s="156" t="str">
        <f>IF(COUNTIFS('Raw Annual DMR Data'!$L:$L,$F247, 'Raw Annual DMR Data'!$U:$U, "&gt;0")&gt;0,_xlfn.MAXIFS('Raw Annual DMR Data'!$U:$U,'Raw Annual DMR Data'!$L:$L,$F247), "N/A - Period DMR Data Not Available")</f>
        <v>N/A - Period DMR Data Not Available</v>
      </c>
      <c r="X247" s="113" t="str" cm="1">
        <f t="array" ref="X247">+IF(COUNTIFS('Raw Annual DMR Data'!L:L,$F247, 'Raw Annual DMR Data'!U:U, "&gt;0")&gt;0,INDEX('Raw Annual DMR Data'!V:V,MATCH(1,($F247='Raw Annual DMR Data'!L:L)*($W247='Raw Annual DMR Data'!U:U),0)), "N/A - Period DMR Data Not Available")</f>
        <v>N/A - Period DMR Data Not Available</v>
      </c>
      <c r="Y247" s="113" t="str" cm="1">
        <f t="array" ref="Y247">IF(COUNTIFS('Raw Annual DMR Data'!L:L,$F247, 'Raw Annual DMR Data'!U:U, "&gt;0")&gt;0,INDEX('Raw Annual DMR Data'!B:B,MATCH(1,($F247='Raw Annual DMR Data'!L:L)*($W247='Raw Annual DMR Data'!U:U),0)), "N/A - Period DMR Data Not Available")</f>
        <v>N/A - Period DMR Data Not Available</v>
      </c>
      <c r="Z247" s="311" t="str" cm="1">
        <f t="array" ref="Z247">IF(COUNTIF('Raw Annual DMR Data'!K:K,$E247)&gt;0,"N/A - See DMRs",IF(SUMIFS('Raw TRI Data'!$Z:$Z,'Raw TRI Data'!$J:$J,$E247)&gt;0,MEDIAN(IF('Raw TRI Data'!$J:$J=$E247,'Raw TRI Data'!$Z:$Z)), "N/A - Facility Does Not Report to TRI, no surface water releases, or no Generic Factors available"))</f>
        <v>N/A - Facility Does Not Report to TRI, no surface water releases, or no Generic Factors available</v>
      </c>
      <c r="AA247" s="156" t="str">
        <f>IF(COUNTIF('Raw Annual DMR Data'!K:K,$E247)&gt;0,"N/A - See DMRs",IF(SUMIFS('Raw TRI Data'!$Z:$Z,'Raw TRI Data'!$J:$J,$E247)&gt;0,_xlfn.MAXIFS('Raw TRI Data'!$Z:$Z,'Raw TRI Data'!$J:$J,$E247), "N/A - Facility Does Not Report to TRI, no surface water releases, or no Generic Factors available"))</f>
        <v>N/A - Facility Does Not Report to TRI, no surface water releases, or no Generic Factors available</v>
      </c>
      <c r="AB247" s="113" t="str">
        <f t="shared" si="25"/>
        <v>N/A</v>
      </c>
      <c r="AC247" s="136" t="str" cm="1">
        <f t="array" ref="AC247">IF(COUNTIF('Raw Annual DMR Data'!K:K,$E247)&gt;0,"N/A - See DMRs",IF(SUMIFS('Raw TRI Data'!$Z:$Z,'Raw TRI Data'!$J:$J,$E247)&gt;0,INDEX('Raw TRI Data'!$A:$A,MATCH(1,($E247='Raw TRI Data'!$J:$J)*($AA247='Raw TRI Data'!$Z:$Z),0)), "N/A - Facility Does Not Report to TRI, no surface water releases, or no Generic Factors available"))</f>
        <v>N/A - Facility Does Not Report to TRI, no surface water releases, or no Generic Factors available</v>
      </c>
      <c r="AD247" s="96" t="str" cm="1">
        <f t="array" ref="AD247">IF(COUNTIFS('Raw Annual DMR Data'!L:L,$F247,'Raw Annual DMR Data'!W:W, "&gt;0")&gt;0,MEDIAN(IF('Raw Annual DMR Data'!K:K=$F247, 'Raw Annual DMR Data'!W:W)), "N/A - No Daily Max DMR Discharge Data")</f>
        <v>N/A - No Daily Max DMR Discharge Data</v>
      </c>
      <c r="AE247" s="96" t="str">
        <f>IF(COUNTIFS('Raw Annual DMR Data'!L:L,$F247,'Raw Annual DMR Data'!W:W, "&gt;0")&gt;0,_xlfn.MAXIFS('Raw Annual DMR Data'!W:W,'Raw Annual DMR Data'!L:L,$F247), "N/A - No Daily Max DMR Discharge Data")</f>
        <v>N/A - No Daily Max DMR Discharge Data</v>
      </c>
      <c r="AF247" s="60" t="str" cm="1">
        <f t="array" ref="AF247">IF(COUNTIFS('Raw Annual DMR Data'!L:L,$F247,'Raw Annual DMR Data'!W:W, "&gt;0")&gt;0,INDEX('Raw Annual DMR Data'!B:B,MATCH(1,($F247='Raw Annual DMR Data'!L:L)*($AE247='Raw Annual DMR Data'!W:W),0)), "N/A - No Daily Max DMR Discharge Data")</f>
        <v>N/A - No Daily Max DMR Discharge Data</v>
      </c>
    </row>
    <row r="248" spans="1:32" ht="45.75" thickBot="1" x14ac:dyDescent="0.3">
      <c r="A248" s="144" t="str">
        <f>VLOOKUP(F248,'Facility Summary'!J:K,2,FALSE)</f>
        <v>Unknown</v>
      </c>
      <c r="B248" s="28" t="s">
        <v>1181</v>
      </c>
      <c r="C248" s="28" t="s">
        <v>1182</v>
      </c>
      <c r="D248" s="28" t="s">
        <v>345</v>
      </c>
      <c r="E248" s="28"/>
      <c r="F248" s="61">
        <v>110018199377</v>
      </c>
      <c r="G248" s="60" t="str">
        <f>VLOOKUP($F248, 'Raw Annual DMR Data'!$A:$Z, 24, FALSE)</f>
        <v>IL0005126</v>
      </c>
      <c r="H248" s="60" t="str">
        <f>VLOOKUP($F248, 'Raw Annual DMR Data'!$A:$Z, 25, FALSE)</f>
        <v>ILLINOIS AND MICHIGAN CANAL</v>
      </c>
      <c r="I248" s="74">
        <f>VLOOKUP($F248, 'Raw Annual DMR Data'!$A:$Z, 26, FALSE)</f>
        <v>7120004000954</v>
      </c>
      <c r="J248" s="74" t="s">
        <v>265</v>
      </c>
      <c r="K248" s="60">
        <f>VLOOKUP(A248, 'OES Summary'!$A:$B, 2, FALSE)</f>
        <v>250</v>
      </c>
      <c r="L248" s="304" cm="1">
        <f t="array" ref="L248">IF(COUNTIF('Raw Annual DMR Data'!$L:$L,$F248)&gt;0,MEDIAN(IF('Raw Annual DMR Data'!$L:$L=F248,'Raw Annual DMR Data'!$S:$S)),"N/A - Facility Does Not Report DMRs")</f>
        <v>1.10470429375</v>
      </c>
      <c r="M248" s="156">
        <f t="shared" si="23"/>
        <v>4.418817175E-3</v>
      </c>
      <c r="N248" s="156">
        <f>IF(COUNTIF('Raw Annual DMR Data'!$L:$L,$F248)&gt;0,_xlfn.MAXIFS('Raw Annual DMR Data'!$S:$S,'Raw Annual DMR Data'!$L:$L,$F248), "N/A - Facility Does Not Report DMRs")</f>
        <v>427.35197305000003</v>
      </c>
      <c r="O248" s="156">
        <f t="shared" si="24"/>
        <v>1.7094078922</v>
      </c>
      <c r="P248" s="113" cm="1">
        <f t="array" ref="P248">IF(COUNTIF('Raw Annual DMR Data'!$L:$L,$F248)&gt;0,INDEX('Raw Annual DMR Data'!$B:$B,MATCH(1,($F248='Raw Annual DMR Data'!$L:$L)*($N248='Raw Annual DMR Data'!$S:$S),0)), "N/A - Facility Does Not Report DMRs")</f>
        <v>2021</v>
      </c>
      <c r="Q248" s="304" t="str" cm="1">
        <f t="array" ref="Q248">IF(COUNTIF('Raw TRI Data'!$J:$J,$E248)&gt;0,MEDIAN(IF('Raw TRI Data'!$J:$J=E248,'Raw TRI Data'!$S:$S)), "N/A - Facility Does Not Report to TRI")</f>
        <v>N/A - Facility Does Not Report to TRI</v>
      </c>
      <c r="R248" s="156" t="str">
        <f t="shared" si="21"/>
        <v>N/A - Facility Does Not Report to TRI</v>
      </c>
      <c r="S248" s="156" t="str">
        <f>IF(COUNTIF('Raw TRI Data'!$J:$J,$E248)&gt;0,_xlfn.MAXIFS('Raw TRI Data'!$S:$S,'Raw TRI Data'!$J:$J,$E248), "N/A - Facility Does Not Report to TRI")</f>
        <v>N/A - Facility Does Not Report to TRI</v>
      </c>
      <c r="T248" s="156" t="str">
        <f t="shared" si="22"/>
        <v>N/A - Facility Does Not Report to TRI</v>
      </c>
      <c r="U248" s="136" t="str" cm="1">
        <f t="array" ref="U248">IF(COUNTIF('Raw TRI Data'!$J:$J,$E248)&gt;0,INDEX('Raw TRI Data'!$A:$A,MATCH(1,($E248='Raw TRI Data'!$J:$J)*(S248='Raw TRI Data'!$S:$S),0)), "N/A - Facility Does Not Report to TRI")</f>
        <v>N/A - Facility Does Not Report to TRI</v>
      </c>
      <c r="V248" s="156" t="str" cm="1">
        <f t="array" ref="V248">IF(COUNTIFS('Raw Annual DMR Data'!$L:$L,$F248,'Raw Annual DMR Data'!$U:$U,"&gt;0")&gt;0,MEDIAN(IF('Raw Annual DMR Data'!$L:$L=$F248,'Raw Annual DMR Data'!$U:$U,"")),"N/A - Period DMR Data Not Available")</f>
        <v>N/A - Period DMR Data Not Available</v>
      </c>
      <c r="W248" s="156" t="str">
        <f>IF(COUNTIFS('Raw Annual DMR Data'!$L:$L,$F248, 'Raw Annual DMR Data'!$U:$U, "&gt;0")&gt;0,_xlfn.MAXIFS('Raw Annual DMR Data'!$U:$U,'Raw Annual DMR Data'!$L:$L,$F248), "N/A - Period DMR Data Not Available")</f>
        <v>N/A - Period DMR Data Not Available</v>
      </c>
      <c r="X248" s="113" t="str" cm="1">
        <f t="array" ref="X248">+IF(COUNTIFS('Raw Annual DMR Data'!L:L,$F248, 'Raw Annual DMR Data'!U:U, "&gt;0")&gt;0,INDEX('Raw Annual DMR Data'!V:V,MATCH(1,($F248='Raw Annual DMR Data'!L:L)*($W248='Raw Annual DMR Data'!U:U),0)), "N/A - Period DMR Data Not Available")</f>
        <v>N/A - Period DMR Data Not Available</v>
      </c>
      <c r="Y248" s="113" t="str" cm="1">
        <f t="array" ref="Y248">IF(COUNTIFS('Raw Annual DMR Data'!L:L,$F248, 'Raw Annual DMR Data'!U:U, "&gt;0")&gt;0,INDEX('Raw Annual DMR Data'!B:B,MATCH(1,($F248='Raw Annual DMR Data'!L:L)*($W248='Raw Annual DMR Data'!U:U),0)), "N/A - Period DMR Data Not Available")</f>
        <v>N/A - Period DMR Data Not Available</v>
      </c>
      <c r="Z248" s="311" t="str" cm="1">
        <f t="array" ref="Z248">IF(COUNTIF('Raw Annual DMR Data'!K:K,$E248)&gt;0,"N/A - See DMRs",IF(SUMIFS('Raw TRI Data'!$Z:$Z,'Raw TRI Data'!$J:$J,$E248)&gt;0,MEDIAN(IF('Raw TRI Data'!$J:$J=$E248,'Raw TRI Data'!$Z:$Z)), "N/A - Facility Does Not Report to TRI, no surface water releases, or no Generic Factors available"))</f>
        <v>N/A - Facility Does Not Report to TRI, no surface water releases, or no Generic Factors available</v>
      </c>
      <c r="AA248" s="156" t="str">
        <f>IF(COUNTIF('Raw Annual DMR Data'!K:K,$E248)&gt;0,"N/A - See DMRs",IF(SUMIFS('Raw TRI Data'!$Z:$Z,'Raw TRI Data'!$J:$J,$E248)&gt;0,_xlfn.MAXIFS('Raw TRI Data'!$Z:$Z,'Raw TRI Data'!$J:$J,$E248), "N/A - Facility Does Not Report to TRI, no surface water releases, or no Generic Factors available"))</f>
        <v>N/A - Facility Does Not Report to TRI, no surface water releases, or no Generic Factors available</v>
      </c>
      <c r="AB248" s="113" t="str">
        <f t="shared" si="25"/>
        <v>N/A</v>
      </c>
      <c r="AC248" s="136" t="str" cm="1">
        <f t="array" ref="AC248">IF(COUNTIF('Raw Annual DMR Data'!K:K,$E248)&gt;0,"N/A - See DMRs",IF(SUMIFS('Raw TRI Data'!$Z:$Z,'Raw TRI Data'!$J:$J,$E248)&gt;0,INDEX('Raw TRI Data'!$A:$A,MATCH(1,($E248='Raw TRI Data'!$J:$J)*($AA248='Raw TRI Data'!$Z:$Z),0)), "N/A - Facility Does Not Report to TRI, no surface water releases, or no Generic Factors available"))</f>
        <v>N/A - Facility Does Not Report to TRI, no surface water releases, or no Generic Factors available</v>
      </c>
      <c r="AD248" s="96" t="str" cm="1">
        <f t="array" ref="AD248">IF(COUNTIFS('Raw Annual DMR Data'!L:L,$F248,'Raw Annual DMR Data'!W:W, "&gt;0")&gt;0,MEDIAN(IF('Raw Annual DMR Data'!K:K=$F248, 'Raw Annual DMR Data'!W:W)), "N/A - No Daily Max DMR Discharge Data")</f>
        <v>N/A - No Daily Max DMR Discharge Data</v>
      </c>
      <c r="AE248" s="96" t="str">
        <f>IF(COUNTIFS('Raw Annual DMR Data'!L:L,$F248,'Raw Annual DMR Data'!W:W, "&gt;0")&gt;0,_xlfn.MAXIFS('Raw Annual DMR Data'!W:W,'Raw Annual DMR Data'!L:L,$F248), "N/A - No Daily Max DMR Discharge Data")</f>
        <v>N/A - No Daily Max DMR Discharge Data</v>
      </c>
      <c r="AF248" s="60" t="str" cm="1">
        <f t="array" ref="AF248">IF(COUNTIFS('Raw Annual DMR Data'!L:L,$F248,'Raw Annual DMR Data'!W:W, "&gt;0")&gt;0,INDEX('Raw Annual DMR Data'!B:B,MATCH(1,($F248='Raw Annual DMR Data'!L:L)*($AE248='Raw Annual DMR Data'!W:W),0)), "N/A - No Daily Max DMR Discharge Data")</f>
        <v>N/A - No Daily Max DMR Discharge Data</v>
      </c>
    </row>
    <row r="249" spans="1:32" ht="45.75" thickBot="1" x14ac:dyDescent="0.3">
      <c r="A249" s="144" t="str">
        <f>VLOOKUP(F249,'Facility Summary'!J:K,2,FALSE)</f>
        <v>Repackaging</v>
      </c>
      <c r="B249" s="28" t="s">
        <v>1183</v>
      </c>
      <c r="C249" s="28" t="s">
        <v>480</v>
      </c>
      <c r="D249" s="28" t="s">
        <v>362</v>
      </c>
      <c r="E249" s="28"/>
      <c r="F249" s="61">
        <v>110063004528</v>
      </c>
      <c r="G249" s="60" t="str">
        <f>VLOOKUP($F249, 'Raw Annual DMR Data'!$A:$Z, 24, FALSE)</f>
        <v>TX0105937</v>
      </c>
      <c r="H249" s="60" t="str">
        <f>VLOOKUP($F249, 'Raw Annual DMR Data'!$A:$Z, 25, FALSE)</f>
        <v>COX BAY</v>
      </c>
      <c r="I249" s="74">
        <f>VLOOKUP($F249, 'Raw Annual DMR Data'!$A:$Z, 26, FALSE)</f>
        <v>12100401000758</v>
      </c>
      <c r="J249" s="74" t="s">
        <v>265</v>
      </c>
      <c r="K249" s="60">
        <f>VLOOKUP(A249, 'OES Summary'!$A:$B, 2, FALSE)</f>
        <v>250</v>
      </c>
      <c r="L249" s="304" cm="1">
        <f t="array" ref="L249">IF(COUNTIF('Raw Annual DMR Data'!$L:$L,$F249)&gt;0,MEDIAN(IF('Raw Annual DMR Data'!$L:$L=F249,'Raw Annual DMR Data'!$S:$S)),"N/A - Facility Does Not Report DMRs")</f>
        <v>0.17068547204500001</v>
      </c>
      <c r="M249" s="156">
        <f t="shared" si="23"/>
        <v>6.8274188817999998E-4</v>
      </c>
      <c r="N249" s="156">
        <f>IF(COUNTIF('Raw Annual DMR Data'!$L:$L,$F249)&gt;0,_xlfn.MAXIFS('Raw Annual DMR Data'!$S:$S,'Raw Annual DMR Data'!$L:$L,$F249), "N/A - Facility Does Not Report DMRs")</f>
        <v>14.816855625000001</v>
      </c>
      <c r="O249" s="156">
        <f t="shared" si="24"/>
        <v>5.92674225E-2</v>
      </c>
      <c r="P249" s="113" cm="1">
        <f t="array" ref="P249">IF(COUNTIF('Raw Annual DMR Data'!$L:$L,$F249)&gt;0,INDEX('Raw Annual DMR Data'!$B:$B,MATCH(1,($F249='Raw Annual DMR Data'!$L:$L)*($N249='Raw Annual DMR Data'!$S:$S),0)), "N/A - Facility Does Not Report DMRs")</f>
        <v>2016</v>
      </c>
      <c r="Q249" s="304" t="str" cm="1">
        <f t="array" ref="Q249">IF(COUNTIF('Raw TRI Data'!$J:$J,$E249)&gt;0,MEDIAN(IF('Raw TRI Data'!$J:$J=E249,'Raw TRI Data'!$S:$S)), "N/A - Facility Does Not Report to TRI")</f>
        <v>N/A - Facility Does Not Report to TRI</v>
      </c>
      <c r="R249" s="156" t="str">
        <f t="shared" si="21"/>
        <v>N/A - Facility Does Not Report to TRI</v>
      </c>
      <c r="S249" s="156" t="str">
        <f>IF(COUNTIF('Raw TRI Data'!$J:$J,$E249)&gt;0,_xlfn.MAXIFS('Raw TRI Data'!$S:$S,'Raw TRI Data'!$J:$J,$E249), "N/A - Facility Does Not Report to TRI")</f>
        <v>N/A - Facility Does Not Report to TRI</v>
      </c>
      <c r="T249" s="156" t="str">
        <f t="shared" si="22"/>
        <v>N/A - Facility Does Not Report to TRI</v>
      </c>
      <c r="U249" s="136" t="str" cm="1">
        <f t="array" ref="U249">IF(COUNTIF('Raw TRI Data'!$J:$J,$E249)&gt;0,INDEX('Raw TRI Data'!$A:$A,MATCH(1,($E249='Raw TRI Data'!$J:$J)*(S249='Raw TRI Data'!$S:$S),0)), "N/A - Facility Does Not Report to TRI")</f>
        <v>N/A - Facility Does Not Report to TRI</v>
      </c>
      <c r="V249" s="156" t="str" cm="1">
        <f t="array" ref="V249">IF(COUNTIFS('Raw Annual DMR Data'!$L:$L,$F249,'Raw Annual DMR Data'!$U:$U,"&gt;0")&gt;0,MEDIAN(IF('Raw Annual DMR Data'!$L:$L=$F249,'Raw Annual DMR Data'!$U:$U,"")),"N/A - Period DMR Data Not Available")</f>
        <v>N/A - Period DMR Data Not Available</v>
      </c>
      <c r="W249" s="156" t="str">
        <f>IF(COUNTIFS('Raw Annual DMR Data'!$L:$L,$F249, 'Raw Annual DMR Data'!$U:$U, "&gt;0")&gt;0,_xlfn.MAXIFS('Raw Annual DMR Data'!$U:$U,'Raw Annual DMR Data'!$L:$L,$F249), "N/A - Period DMR Data Not Available")</f>
        <v>N/A - Period DMR Data Not Available</v>
      </c>
      <c r="X249" s="113" t="str" cm="1">
        <f t="array" ref="X249">+IF(COUNTIFS('Raw Annual DMR Data'!L:L,$F249, 'Raw Annual DMR Data'!U:U, "&gt;0")&gt;0,INDEX('Raw Annual DMR Data'!V:V,MATCH(1,($F249='Raw Annual DMR Data'!L:L)*($W249='Raw Annual DMR Data'!U:U),0)), "N/A - Period DMR Data Not Available")</f>
        <v>N/A - Period DMR Data Not Available</v>
      </c>
      <c r="Y249" s="113" t="str" cm="1">
        <f t="array" ref="Y249">IF(COUNTIFS('Raw Annual DMR Data'!L:L,$F249, 'Raw Annual DMR Data'!U:U, "&gt;0")&gt;0,INDEX('Raw Annual DMR Data'!B:B,MATCH(1,($F249='Raw Annual DMR Data'!L:L)*($W249='Raw Annual DMR Data'!U:U),0)), "N/A - Period DMR Data Not Available")</f>
        <v>N/A - Period DMR Data Not Available</v>
      </c>
      <c r="Z249" s="311" t="str" cm="1">
        <f t="array" ref="Z249">IF(COUNTIF('Raw Annual DMR Data'!K:K,$E249)&gt;0,"N/A - See DMRs",IF(SUMIFS('Raw TRI Data'!$Z:$Z,'Raw TRI Data'!$J:$J,$E249)&gt;0,MEDIAN(IF('Raw TRI Data'!$J:$J=$E249,'Raw TRI Data'!$Z:$Z)), "N/A - Facility Does Not Report to TRI, no surface water releases, or no Generic Factors available"))</f>
        <v>N/A - Facility Does Not Report to TRI, no surface water releases, or no Generic Factors available</v>
      </c>
      <c r="AA249" s="156" t="str">
        <f>IF(COUNTIF('Raw Annual DMR Data'!K:K,$E249)&gt;0,"N/A - See DMRs",IF(SUMIFS('Raw TRI Data'!$Z:$Z,'Raw TRI Data'!$J:$J,$E249)&gt;0,_xlfn.MAXIFS('Raw TRI Data'!$Z:$Z,'Raw TRI Data'!$J:$J,$E249), "N/A - Facility Does Not Report to TRI, no surface water releases, or no Generic Factors available"))</f>
        <v>N/A - Facility Does Not Report to TRI, no surface water releases, or no Generic Factors available</v>
      </c>
      <c r="AB249" s="113" t="str">
        <f t="shared" si="25"/>
        <v>N/A</v>
      </c>
      <c r="AC249" s="136" t="str" cm="1">
        <f t="array" ref="AC249">IF(COUNTIF('Raw Annual DMR Data'!K:K,$E249)&gt;0,"N/A - See DMRs",IF(SUMIFS('Raw TRI Data'!$Z:$Z,'Raw TRI Data'!$J:$J,$E249)&gt;0,INDEX('Raw TRI Data'!$A:$A,MATCH(1,($E249='Raw TRI Data'!$J:$J)*($AA249='Raw TRI Data'!$Z:$Z),0)), "N/A - Facility Does Not Report to TRI, no surface water releases, or no Generic Factors available"))</f>
        <v>N/A - Facility Does Not Report to TRI, no surface water releases, or no Generic Factors available</v>
      </c>
      <c r="AD249" s="96" t="str" cm="1">
        <f t="array" ref="AD249">IF(COUNTIFS('Raw Annual DMR Data'!L:L,$F249,'Raw Annual DMR Data'!W:W, "&gt;0")&gt;0,MEDIAN(IF('Raw Annual DMR Data'!K:K=$F249, 'Raw Annual DMR Data'!W:W)), "N/A - No Daily Max DMR Discharge Data")</f>
        <v>N/A - No Daily Max DMR Discharge Data</v>
      </c>
      <c r="AE249" s="96" t="str">
        <f>IF(COUNTIFS('Raw Annual DMR Data'!L:L,$F249,'Raw Annual DMR Data'!W:W, "&gt;0")&gt;0,_xlfn.MAXIFS('Raw Annual DMR Data'!W:W,'Raw Annual DMR Data'!L:L,$F249), "N/A - No Daily Max DMR Discharge Data")</f>
        <v>N/A - No Daily Max DMR Discharge Data</v>
      </c>
      <c r="AF249" s="60" t="str" cm="1">
        <f t="array" ref="AF249">IF(COUNTIFS('Raw Annual DMR Data'!L:L,$F249,'Raw Annual DMR Data'!W:W, "&gt;0")&gt;0,INDEX('Raw Annual DMR Data'!B:B,MATCH(1,($F249='Raw Annual DMR Data'!L:L)*($AE249='Raw Annual DMR Data'!W:W),0)), "N/A - No Daily Max DMR Discharge Data")</f>
        <v>N/A - No Daily Max DMR Discharge Data</v>
      </c>
    </row>
    <row r="250" spans="1:32" ht="45.75" thickBot="1" x14ac:dyDescent="0.3">
      <c r="A250" s="144" t="str">
        <f>VLOOKUP(F250,'Facility Summary'!J:K,2,FALSE)</f>
        <v>Unknown</v>
      </c>
      <c r="B250" s="28" t="s">
        <v>1184</v>
      </c>
      <c r="C250" s="28" t="s">
        <v>500</v>
      </c>
      <c r="D250" s="28" t="s">
        <v>303</v>
      </c>
      <c r="E250" s="28"/>
      <c r="F250" s="61">
        <v>110003363351</v>
      </c>
      <c r="G250" s="60" t="str">
        <f>VLOOKUP($F250, 'Raw Annual DMR Data'!$A:$Z, 24, FALSE)</f>
        <v>LA0122114</v>
      </c>
      <c r="H250" s="60">
        <f>VLOOKUP($F250, 'Raw Annual DMR Data'!$A:$Z, 25, FALSE)</f>
        <v>0</v>
      </c>
      <c r="I250" s="74">
        <f>VLOOKUP($F250, 'Raw Annual DMR Data'!$A:$Z, 26, FALSE)</f>
        <v>8070300000427</v>
      </c>
      <c r="J250" s="74" t="s">
        <v>265</v>
      </c>
      <c r="K250" s="60">
        <f>VLOOKUP(A250, 'OES Summary'!$A:$B, 2, FALSE)</f>
        <v>250</v>
      </c>
      <c r="L250" s="304" cm="1">
        <f t="array" ref="L250">IF(COUNTIF('Raw Annual DMR Data'!$L:$L,$F250)&gt;0,MEDIAN(IF('Raw Annual DMR Data'!$L:$L=F250,'Raw Annual DMR Data'!$S:$S)),"N/A - Facility Does Not Report DMRs")</f>
        <v>1.5423874999999998E-3</v>
      </c>
      <c r="M250" s="156">
        <f t="shared" si="23"/>
        <v>6.1695499999999992E-6</v>
      </c>
      <c r="N250" s="156">
        <f>IF(COUNTIF('Raw Annual DMR Data'!$L:$L,$F250)&gt;0,_xlfn.MAXIFS('Raw Annual DMR Data'!$S:$S,'Raw Annual DMR Data'!$L:$L,$F250), "N/A - Facility Does Not Report DMRs")</f>
        <v>2.1858375000000001E-3</v>
      </c>
      <c r="O250" s="156">
        <f t="shared" si="24"/>
        <v>8.7433499999999999E-6</v>
      </c>
      <c r="P250" s="113" cm="1">
        <f t="array" ref="P250">IF(COUNTIF('Raw Annual DMR Data'!$L:$L,$F250)&gt;0,INDEX('Raw Annual DMR Data'!$B:$B,MATCH(1,($F250='Raw Annual DMR Data'!$L:$L)*($N250='Raw Annual DMR Data'!$S:$S),0)), "N/A - Facility Does Not Report DMRs")</f>
        <v>2024</v>
      </c>
      <c r="Q250" s="304" t="str" cm="1">
        <f t="array" ref="Q250">IF(COUNTIF('Raw TRI Data'!$J:$J,$E250)&gt;0,MEDIAN(IF('Raw TRI Data'!$J:$J=E250,'Raw TRI Data'!$S:$S)), "N/A - Facility Does Not Report to TRI")</f>
        <v>N/A - Facility Does Not Report to TRI</v>
      </c>
      <c r="R250" s="156" t="str">
        <f t="shared" si="21"/>
        <v>N/A - Facility Does Not Report to TRI</v>
      </c>
      <c r="S250" s="156" t="str">
        <f>IF(COUNTIF('Raw TRI Data'!$J:$J,$E250)&gt;0,_xlfn.MAXIFS('Raw TRI Data'!$S:$S,'Raw TRI Data'!$J:$J,$E250), "N/A - Facility Does Not Report to TRI")</f>
        <v>N/A - Facility Does Not Report to TRI</v>
      </c>
      <c r="T250" s="156" t="str">
        <f t="shared" si="22"/>
        <v>N/A - Facility Does Not Report to TRI</v>
      </c>
      <c r="U250" s="136" t="str" cm="1">
        <f t="array" ref="U250">IF(COUNTIF('Raw TRI Data'!$J:$J,$E250)&gt;0,INDEX('Raw TRI Data'!$A:$A,MATCH(1,($E250='Raw TRI Data'!$J:$J)*(S250='Raw TRI Data'!$S:$S),0)), "N/A - Facility Does Not Report to TRI")</f>
        <v>N/A - Facility Does Not Report to TRI</v>
      </c>
      <c r="V250" s="156" t="str" cm="1">
        <f t="array" ref="V250">IF(COUNTIFS('Raw Annual DMR Data'!$L:$L,$F250,'Raw Annual DMR Data'!$U:$U,"&gt;0")&gt;0,MEDIAN(IF('Raw Annual DMR Data'!$L:$L=$F250,'Raw Annual DMR Data'!$U:$U,"")),"N/A - Period DMR Data Not Available")</f>
        <v>N/A - Period DMR Data Not Available</v>
      </c>
      <c r="W250" s="156" t="str">
        <f>IF(COUNTIFS('Raw Annual DMR Data'!$L:$L,$F250, 'Raw Annual DMR Data'!$U:$U, "&gt;0")&gt;0,_xlfn.MAXIFS('Raw Annual DMR Data'!$U:$U,'Raw Annual DMR Data'!$L:$L,$F250), "N/A - Period DMR Data Not Available")</f>
        <v>N/A - Period DMR Data Not Available</v>
      </c>
      <c r="X250" s="113" t="str" cm="1">
        <f t="array" ref="X250">+IF(COUNTIFS('Raw Annual DMR Data'!L:L,$F250, 'Raw Annual DMR Data'!U:U, "&gt;0")&gt;0,INDEX('Raw Annual DMR Data'!V:V,MATCH(1,($F250='Raw Annual DMR Data'!L:L)*($W250='Raw Annual DMR Data'!U:U),0)), "N/A - Period DMR Data Not Available")</f>
        <v>N/A - Period DMR Data Not Available</v>
      </c>
      <c r="Y250" s="113" t="str" cm="1">
        <f t="array" ref="Y250">IF(COUNTIFS('Raw Annual DMR Data'!L:L,$F250, 'Raw Annual DMR Data'!U:U, "&gt;0")&gt;0,INDEX('Raw Annual DMR Data'!B:B,MATCH(1,($F250='Raw Annual DMR Data'!L:L)*($W250='Raw Annual DMR Data'!U:U),0)), "N/A - Period DMR Data Not Available")</f>
        <v>N/A - Period DMR Data Not Available</v>
      </c>
      <c r="Z250" s="311" t="str" cm="1">
        <f t="array" ref="Z250">IF(COUNTIF('Raw Annual DMR Data'!K:K,$E250)&gt;0,"N/A - See DMRs",IF(SUMIFS('Raw TRI Data'!$Z:$Z,'Raw TRI Data'!$J:$J,$E250)&gt;0,MEDIAN(IF('Raw TRI Data'!$J:$J=$E250,'Raw TRI Data'!$Z:$Z)), "N/A - Facility Does Not Report to TRI, no surface water releases, or no Generic Factors available"))</f>
        <v>N/A - Facility Does Not Report to TRI, no surface water releases, or no Generic Factors available</v>
      </c>
      <c r="AA250" s="156" t="str">
        <f>IF(COUNTIF('Raw Annual DMR Data'!K:K,$E250)&gt;0,"N/A - See DMRs",IF(SUMIFS('Raw TRI Data'!$Z:$Z,'Raw TRI Data'!$J:$J,$E250)&gt;0,_xlfn.MAXIFS('Raw TRI Data'!$Z:$Z,'Raw TRI Data'!$J:$J,$E250), "N/A - Facility Does Not Report to TRI, no surface water releases, or no Generic Factors available"))</f>
        <v>N/A - Facility Does Not Report to TRI, no surface water releases, or no Generic Factors available</v>
      </c>
      <c r="AB250" s="113" t="str">
        <f t="shared" si="25"/>
        <v>N/A</v>
      </c>
      <c r="AC250" s="136" t="str" cm="1">
        <f t="array" ref="AC250">IF(COUNTIF('Raw Annual DMR Data'!K:K,$E250)&gt;0,"N/A - See DMRs",IF(SUMIFS('Raw TRI Data'!$Z:$Z,'Raw TRI Data'!$J:$J,$E250)&gt;0,INDEX('Raw TRI Data'!$A:$A,MATCH(1,($E250='Raw TRI Data'!$J:$J)*($AA250='Raw TRI Data'!$Z:$Z),0)), "N/A - Facility Does Not Report to TRI, no surface water releases, or no Generic Factors available"))</f>
        <v>N/A - Facility Does Not Report to TRI, no surface water releases, or no Generic Factors available</v>
      </c>
      <c r="AD250" s="96" t="str" cm="1">
        <f t="array" ref="AD250">IF(COUNTIFS('Raw Annual DMR Data'!L:L,$F250,'Raw Annual DMR Data'!W:W, "&gt;0")&gt;0,MEDIAN(IF('Raw Annual DMR Data'!K:K=$F250, 'Raw Annual DMR Data'!W:W)), "N/A - No Daily Max DMR Discharge Data")</f>
        <v>N/A - No Daily Max DMR Discharge Data</v>
      </c>
      <c r="AE250" s="96" t="str">
        <f>IF(COUNTIFS('Raw Annual DMR Data'!L:L,$F250,'Raw Annual DMR Data'!W:W, "&gt;0")&gt;0,_xlfn.MAXIFS('Raw Annual DMR Data'!W:W,'Raw Annual DMR Data'!L:L,$F250), "N/A - No Daily Max DMR Discharge Data")</f>
        <v>N/A - No Daily Max DMR Discharge Data</v>
      </c>
      <c r="AF250" s="60" t="str" cm="1">
        <f t="array" ref="AF250">IF(COUNTIFS('Raw Annual DMR Data'!L:L,$F250,'Raw Annual DMR Data'!W:W, "&gt;0")&gt;0,INDEX('Raw Annual DMR Data'!B:B,MATCH(1,($F250='Raw Annual DMR Data'!L:L)*($AE250='Raw Annual DMR Data'!W:W),0)), "N/A - No Daily Max DMR Discharge Data")</f>
        <v>N/A - No Daily Max DMR Discharge Data</v>
      </c>
    </row>
    <row r="251" spans="1:32" ht="45.75" thickBot="1" x14ac:dyDescent="0.3">
      <c r="A251" s="144" t="str">
        <f>VLOOKUP(F251,'Facility Summary'!J:K,2,FALSE)</f>
        <v>Unknown</v>
      </c>
      <c r="B251" s="28" t="s">
        <v>1185</v>
      </c>
      <c r="C251" s="28" t="s">
        <v>968</v>
      </c>
      <c r="D251" s="28" t="s">
        <v>294</v>
      </c>
      <c r="E251" s="28"/>
      <c r="F251" s="61">
        <v>110070598729</v>
      </c>
      <c r="G251" s="60" t="str">
        <f>VLOOKUP($F251, 'Raw Annual DMR Data'!$A:$Z, 24, FALSE)</f>
        <v>VAG830548</v>
      </c>
      <c r="H251" s="60" t="str">
        <f>VLOOKUP($F251, 'Raw Annual DMR Data'!$A:$Z, 25, FALSE)</f>
        <v>POTOMAC RIVER-FOURMILE RUN</v>
      </c>
      <c r="I251" s="74">
        <f>VLOOKUP($F251, 'Raw Annual DMR Data'!$A:$Z, 26, FALSE)</f>
        <v>0</v>
      </c>
      <c r="J251" s="74" t="s">
        <v>265</v>
      </c>
      <c r="K251" s="60">
        <f>VLOOKUP(A251, 'OES Summary'!$A:$B, 2, FALSE)</f>
        <v>250</v>
      </c>
      <c r="L251" s="304" cm="1">
        <f t="array" ref="L251">IF(COUNTIF('Raw Annual DMR Data'!$L:$L,$F251)&gt;0,MEDIAN(IF('Raw Annual DMR Data'!$L:$L=F251,'Raw Annual DMR Data'!$S:$S)),"N/A - Facility Does Not Report DMRs")</f>
        <v>1.42196393999999E-4</v>
      </c>
      <c r="M251" s="156">
        <f t="shared" si="23"/>
        <v>5.6878557599999602E-7</v>
      </c>
      <c r="N251" s="156">
        <f>IF(COUNTIF('Raw Annual DMR Data'!$L:$L,$F251)&gt;0,_xlfn.MAXIFS('Raw Annual DMR Data'!$S:$S,'Raw Annual DMR Data'!$L:$L,$F251), "N/A - Facility Does Not Report DMRs")</f>
        <v>1.5946051707499899E-3</v>
      </c>
      <c r="O251" s="156">
        <f t="shared" si="24"/>
        <v>6.3784206829999597E-6</v>
      </c>
      <c r="P251" s="113" cm="1">
        <f t="array" ref="P251">IF(COUNTIF('Raw Annual DMR Data'!$L:$L,$F251)&gt;0,INDEX('Raw Annual DMR Data'!$B:$B,MATCH(1,($F251='Raw Annual DMR Data'!$L:$L)*($N251='Raw Annual DMR Data'!$S:$S),0)), "N/A - Facility Does Not Report DMRs")</f>
        <v>2020</v>
      </c>
      <c r="Q251" s="304" t="str" cm="1">
        <f t="array" ref="Q251">IF(COUNTIF('Raw TRI Data'!$J:$J,$E251)&gt;0,MEDIAN(IF('Raw TRI Data'!$J:$J=E251,'Raw TRI Data'!$S:$S)), "N/A - Facility Does Not Report to TRI")</f>
        <v>N/A - Facility Does Not Report to TRI</v>
      </c>
      <c r="R251" s="156" t="str">
        <f t="shared" si="21"/>
        <v>N/A - Facility Does Not Report to TRI</v>
      </c>
      <c r="S251" s="156" t="str">
        <f>IF(COUNTIF('Raw TRI Data'!$J:$J,$E251)&gt;0,_xlfn.MAXIFS('Raw TRI Data'!$S:$S,'Raw TRI Data'!$J:$J,$E251), "N/A - Facility Does Not Report to TRI")</f>
        <v>N/A - Facility Does Not Report to TRI</v>
      </c>
      <c r="T251" s="156" t="str">
        <f t="shared" si="22"/>
        <v>N/A - Facility Does Not Report to TRI</v>
      </c>
      <c r="U251" s="136" t="str" cm="1">
        <f t="array" ref="U251">IF(COUNTIF('Raw TRI Data'!$J:$J,$E251)&gt;0,INDEX('Raw TRI Data'!$A:$A,MATCH(1,($E251='Raw TRI Data'!$J:$J)*(S251='Raw TRI Data'!$S:$S),0)), "N/A - Facility Does Not Report to TRI")</f>
        <v>N/A - Facility Does Not Report to TRI</v>
      </c>
      <c r="V251" s="156" t="str" cm="1">
        <f t="array" ref="V251">IF(COUNTIFS('Raw Annual DMR Data'!$L:$L,$F251,'Raw Annual DMR Data'!$U:$U,"&gt;0")&gt;0,MEDIAN(IF('Raw Annual DMR Data'!$L:$L=$F251,'Raw Annual DMR Data'!$U:$U,"")),"N/A - Period DMR Data Not Available")</f>
        <v>N/A - Period DMR Data Not Available</v>
      </c>
      <c r="W251" s="156" t="str">
        <f>IF(COUNTIFS('Raw Annual DMR Data'!$L:$L,$F251, 'Raw Annual DMR Data'!$U:$U, "&gt;0")&gt;0,_xlfn.MAXIFS('Raw Annual DMR Data'!$U:$U,'Raw Annual DMR Data'!$L:$L,$F251), "N/A - Period DMR Data Not Available")</f>
        <v>N/A - Period DMR Data Not Available</v>
      </c>
      <c r="X251" s="113" t="str" cm="1">
        <f t="array" ref="X251">+IF(COUNTIFS('Raw Annual DMR Data'!L:L,$F251, 'Raw Annual DMR Data'!U:U, "&gt;0")&gt;0,INDEX('Raw Annual DMR Data'!V:V,MATCH(1,($F251='Raw Annual DMR Data'!L:L)*($W251='Raw Annual DMR Data'!U:U),0)), "N/A - Period DMR Data Not Available")</f>
        <v>N/A - Period DMR Data Not Available</v>
      </c>
      <c r="Y251" s="113" t="str" cm="1">
        <f t="array" ref="Y251">IF(COUNTIFS('Raw Annual DMR Data'!L:L,$F251, 'Raw Annual DMR Data'!U:U, "&gt;0")&gt;0,INDEX('Raw Annual DMR Data'!B:B,MATCH(1,($F251='Raw Annual DMR Data'!L:L)*($W251='Raw Annual DMR Data'!U:U),0)), "N/A - Period DMR Data Not Available")</f>
        <v>N/A - Period DMR Data Not Available</v>
      </c>
      <c r="Z251" s="311" t="str" cm="1">
        <f t="array" ref="Z251">IF(COUNTIF('Raw Annual DMR Data'!K:K,$E251)&gt;0,"N/A - See DMRs",IF(SUMIFS('Raw TRI Data'!$Z:$Z,'Raw TRI Data'!$J:$J,$E251)&gt;0,MEDIAN(IF('Raw TRI Data'!$J:$J=$E251,'Raw TRI Data'!$Z:$Z)), "N/A - Facility Does Not Report to TRI, no surface water releases, or no Generic Factors available"))</f>
        <v>N/A - Facility Does Not Report to TRI, no surface water releases, or no Generic Factors available</v>
      </c>
      <c r="AA251" s="156" t="str">
        <f>IF(COUNTIF('Raw Annual DMR Data'!K:K,$E251)&gt;0,"N/A - See DMRs",IF(SUMIFS('Raw TRI Data'!$Z:$Z,'Raw TRI Data'!$J:$J,$E251)&gt;0,_xlfn.MAXIFS('Raw TRI Data'!$Z:$Z,'Raw TRI Data'!$J:$J,$E251), "N/A - Facility Does Not Report to TRI, no surface water releases, or no Generic Factors available"))</f>
        <v>N/A - Facility Does Not Report to TRI, no surface water releases, or no Generic Factors available</v>
      </c>
      <c r="AB251" s="113" t="str">
        <f t="shared" si="25"/>
        <v>N/A</v>
      </c>
      <c r="AC251" s="136" t="str" cm="1">
        <f t="array" ref="AC251">IF(COUNTIF('Raw Annual DMR Data'!K:K,$E251)&gt;0,"N/A - See DMRs",IF(SUMIFS('Raw TRI Data'!$Z:$Z,'Raw TRI Data'!$J:$J,$E251)&gt;0,INDEX('Raw TRI Data'!$A:$A,MATCH(1,($E251='Raw TRI Data'!$J:$J)*($AA251='Raw TRI Data'!$Z:$Z),0)), "N/A - Facility Does Not Report to TRI, no surface water releases, or no Generic Factors available"))</f>
        <v>N/A - Facility Does Not Report to TRI, no surface water releases, or no Generic Factors available</v>
      </c>
      <c r="AD251" s="96" t="str" cm="1">
        <f t="array" ref="AD251">IF(COUNTIFS('Raw Annual DMR Data'!L:L,$F251,'Raw Annual DMR Data'!W:W, "&gt;0")&gt;0,MEDIAN(IF('Raw Annual DMR Data'!K:K=$F251, 'Raw Annual DMR Data'!W:W)), "N/A - No Daily Max DMR Discharge Data")</f>
        <v>N/A - No Daily Max DMR Discharge Data</v>
      </c>
      <c r="AE251" s="96" t="str">
        <f>IF(COUNTIFS('Raw Annual DMR Data'!L:L,$F251,'Raw Annual DMR Data'!W:W, "&gt;0")&gt;0,_xlfn.MAXIFS('Raw Annual DMR Data'!W:W,'Raw Annual DMR Data'!L:L,$F251), "N/A - No Daily Max DMR Discharge Data")</f>
        <v>N/A - No Daily Max DMR Discharge Data</v>
      </c>
      <c r="AF251" s="60" t="str" cm="1">
        <f t="array" ref="AF251">IF(COUNTIFS('Raw Annual DMR Data'!L:L,$F251,'Raw Annual DMR Data'!W:W, "&gt;0")&gt;0,INDEX('Raw Annual DMR Data'!B:B,MATCH(1,($F251='Raw Annual DMR Data'!L:L)*($AE251='Raw Annual DMR Data'!W:W),0)), "N/A - No Daily Max DMR Discharge Data")</f>
        <v>N/A - No Daily Max DMR Discharge Data</v>
      </c>
    </row>
    <row r="252" spans="1:32" ht="45.75" thickBot="1" x14ac:dyDescent="0.3">
      <c r="A252" s="144" t="str">
        <f>VLOOKUP(F252,'Facility Summary'!J:K,2,FALSE)</f>
        <v>Unknown</v>
      </c>
      <c r="B252" s="28" t="s">
        <v>1186</v>
      </c>
      <c r="C252" s="28" t="s">
        <v>1187</v>
      </c>
      <c r="D252" s="28" t="s">
        <v>478</v>
      </c>
      <c r="E252" s="28"/>
      <c r="F252" s="61">
        <v>110064631849</v>
      </c>
      <c r="G252" s="60" t="str">
        <f>VLOOKUP($F252, 'Raw Annual DMR Data'!$A:$Z, 24, FALSE)</f>
        <v>DE0000035</v>
      </c>
      <c r="H252" s="60" t="str">
        <f>VLOOKUP($F252, 'Raw Annual DMR Data'!$A:$Z, 25, FALSE)</f>
        <v>NANTICOKE RIVER</v>
      </c>
      <c r="I252" s="74">
        <f>VLOOKUP($F252, 'Raw Annual DMR Data'!$A:$Z, 26, FALSE)</f>
        <v>2080109011489</v>
      </c>
      <c r="J252" s="74" t="s">
        <v>265</v>
      </c>
      <c r="K252" s="60">
        <f>VLOOKUP(A252, 'OES Summary'!$A:$B, 2, FALSE)</f>
        <v>250</v>
      </c>
      <c r="L252" s="304" cm="1">
        <f t="array" ref="L252">IF(COUNTIF('Raw Annual DMR Data'!$L:$L,$F252)&gt;0,MEDIAN(IF('Raw Annual DMR Data'!$L:$L=F252,'Raw Annual DMR Data'!$S:$S)),"N/A - Facility Does Not Report DMRs")</f>
        <v>5.6235827664399048E-4</v>
      </c>
      <c r="M252" s="156">
        <f t="shared" si="23"/>
        <v>2.2494331065759621E-6</v>
      </c>
      <c r="N252" s="156">
        <f>IF(COUNTIF('Raw Annual DMR Data'!$L:$L,$F252)&gt;0,_xlfn.MAXIFS('Raw Annual DMR Data'!$S:$S,'Raw Annual DMR Data'!$L:$L,$F252), "N/A - Facility Does Not Report DMRs")</f>
        <v>1.7292517006802701E-3</v>
      </c>
      <c r="O252" s="156">
        <f t="shared" si="24"/>
        <v>6.9170068027210808E-6</v>
      </c>
      <c r="P252" s="113" cm="1">
        <f t="array" ref="P252">IF(COUNTIF('Raw Annual DMR Data'!$L:$L,$F252)&gt;0,INDEX('Raw Annual DMR Data'!$B:$B,MATCH(1,($F252='Raw Annual DMR Data'!$L:$L)*($N252='Raw Annual DMR Data'!$S:$S),0)), "N/A - Facility Does Not Report DMRs")</f>
        <v>2017</v>
      </c>
      <c r="Q252" s="304" t="str" cm="1">
        <f t="array" ref="Q252">IF(COUNTIF('Raw TRI Data'!$J:$J,$E252)&gt;0,MEDIAN(IF('Raw TRI Data'!$J:$J=E252,'Raw TRI Data'!$S:$S)), "N/A - Facility Does Not Report to TRI")</f>
        <v>N/A - Facility Does Not Report to TRI</v>
      </c>
      <c r="R252" s="156" t="str">
        <f t="shared" si="21"/>
        <v>N/A - Facility Does Not Report to TRI</v>
      </c>
      <c r="S252" s="156" t="str">
        <f>IF(COUNTIF('Raw TRI Data'!$J:$J,$E252)&gt;0,_xlfn.MAXIFS('Raw TRI Data'!$S:$S,'Raw TRI Data'!$J:$J,$E252), "N/A - Facility Does Not Report to TRI")</f>
        <v>N/A - Facility Does Not Report to TRI</v>
      </c>
      <c r="T252" s="156" t="str">
        <f t="shared" si="22"/>
        <v>N/A - Facility Does Not Report to TRI</v>
      </c>
      <c r="U252" s="136" t="str" cm="1">
        <f t="array" ref="U252">IF(COUNTIF('Raw TRI Data'!$J:$J,$E252)&gt;0,INDEX('Raw TRI Data'!$A:$A,MATCH(1,($E252='Raw TRI Data'!$J:$J)*(S252='Raw TRI Data'!$S:$S),0)), "N/A - Facility Does Not Report to TRI")</f>
        <v>N/A - Facility Does Not Report to TRI</v>
      </c>
      <c r="V252" s="156" t="str" cm="1">
        <f t="array" ref="V252">IF(COUNTIFS('Raw Annual DMR Data'!$L:$L,$F252,'Raw Annual DMR Data'!$U:$U,"&gt;0")&gt;0,MEDIAN(IF('Raw Annual DMR Data'!$L:$L=$F252,'Raw Annual DMR Data'!$U:$U,"")),"N/A - Period DMR Data Not Available")</f>
        <v>N/A - Period DMR Data Not Available</v>
      </c>
      <c r="W252" s="156" t="str">
        <f>IF(COUNTIFS('Raw Annual DMR Data'!$L:$L,$F252, 'Raw Annual DMR Data'!$U:$U, "&gt;0")&gt;0,_xlfn.MAXIFS('Raw Annual DMR Data'!$U:$U,'Raw Annual DMR Data'!$L:$L,$F252), "N/A - Period DMR Data Not Available")</f>
        <v>N/A - Period DMR Data Not Available</v>
      </c>
      <c r="X252" s="113" t="str" cm="1">
        <f t="array" ref="X252">+IF(COUNTIFS('Raw Annual DMR Data'!L:L,$F252, 'Raw Annual DMR Data'!U:U, "&gt;0")&gt;0,INDEX('Raw Annual DMR Data'!V:V,MATCH(1,($F252='Raw Annual DMR Data'!L:L)*($W252='Raw Annual DMR Data'!U:U),0)), "N/A - Period DMR Data Not Available")</f>
        <v>N/A - Period DMR Data Not Available</v>
      </c>
      <c r="Y252" s="113" t="str" cm="1">
        <f t="array" ref="Y252">IF(COUNTIFS('Raw Annual DMR Data'!L:L,$F252, 'Raw Annual DMR Data'!U:U, "&gt;0")&gt;0,INDEX('Raw Annual DMR Data'!B:B,MATCH(1,($F252='Raw Annual DMR Data'!L:L)*($W252='Raw Annual DMR Data'!U:U),0)), "N/A - Period DMR Data Not Available")</f>
        <v>N/A - Period DMR Data Not Available</v>
      </c>
      <c r="Z252" s="311" t="str" cm="1">
        <f t="array" ref="Z252">IF(COUNTIF('Raw Annual DMR Data'!K:K,$E252)&gt;0,"N/A - See DMRs",IF(SUMIFS('Raw TRI Data'!$Z:$Z,'Raw TRI Data'!$J:$J,$E252)&gt;0,MEDIAN(IF('Raw TRI Data'!$J:$J=$E252,'Raw TRI Data'!$Z:$Z)), "N/A - Facility Does Not Report to TRI, no surface water releases, or no Generic Factors available"))</f>
        <v>N/A - Facility Does Not Report to TRI, no surface water releases, or no Generic Factors available</v>
      </c>
      <c r="AA252" s="156" t="str">
        <f>IF(COUNTIF('Raw Annual DMR Data'!K:K,$E252)&gt;0,"N/A - See DMRs",IF(SUMIFS('Raw TRI Data'!$Z:$Z,'Raw TRI Data'!$J:$J,$E252)&gt;0,_xlfn.MAXIFS('Raw TRI Data'!$Z:$Z,'Raw TRI Data'!$J:$J,$E252), "N/A - Facility Does Not Report to TRI, no surface water releases, or no Generic Factors available"))</f>
        <v>N/A - Facility Does Not Report to TRI, no surface water releases, or no Generic Factors available</v>
      </c>
      <c r="AB252" s="113" t="str">
        <f t="shared" si="25"/>
        <v>N/A</v>
      </c>
      <c r="AC252" s="136" t="str" cm="1">
        <f t="array" ref="AC252">IF(COUNTIF('Raw Annual DMR Data'!K:K,$E252)&gt;0,"N/A - See DMRs",IF(SUMIFS('Raw TRI Data'!$Z:$Z,'Raw TRI Data'!$J:$J,$E252)&gt;0,INDEX('Raw TRI Data'!$A:$A,MATCH(1,($E252='Raw TRI Data'!$J:$J)*($AA252='Raw TRI Data'!$Z:$Z),0)), "N/A - Facility Does Not Report to TRI, no surface water releases, or no Generic Factors available"))</f>
        <v>N/A - Facility Does Not Report to TRI, no surface water releases, or no Generic Factors available</v>
      </c>
      <c r="AD252" s="96" t="str" cm="1">
        <f t="array" ref="AD252">IF(COUNTIFS('Raw Annual DMR Data'!L:L,$F252,'Raw Annual DMR Data'!W:W, "&gt;0")&gt;0,MEDIAN(IF('Raw Annual DMR Data'!K:K=$F252, 'Raw Annual DMR Data'!W:W)), "N/A - No Daily Max DMR Discharge Data")</f>
        <v>N/A - No Daily Max DMR Discharge Data</v>
      </c>
      <c r="AE252" s="96" t="str">
        <f>IF(COUNTIFS('Raw Annual DMR Data'!L:L,$F252,'Raw Annual DMR Data'!W:W, "&gt;0")&gt;0,_xlfn.MAXIFS('Raw Annual DMR Data'!W:W,'Raw Annual DMR Data'!L:L,$F252), "N/A - No Daily Max DMR Discharge Data")</f>
        <v>N/A - No Daily Max DMR Discharge Data</v>
      </c>
      <c r="AF252" s="60" t="str" cm="1">
        <f t="array" ref="AF252">IF(COUNTIFS('Raw Annual DMR Data'!L:L,$F252,'Raw Annual DMR Data'!W:W, "&gt;0")&gt;0,INDEX('Raw Annual DMR Data'!B:B,MATCH(1,($F252='Raw Annual DMR Data'!L:L)*($AE252='Raw Annual DMR Data'!W:W),0)), "N/A - No Daily Max DMR Discharge Data")</f>
        <v>N/A - No Daily Max DMR Discharge Data</v>
      </c>
    </row>
    <row r="253" spans="1:32" ht="45.75" thickBot="1" x14ac:dyDescent="0.3">
      <c r="A253" s="144" t="str">
        <f>VLOOKUP(F253,'Facility Summary'!J:K,2,FALSE)</f>
        <v>POTW</v>
      </c>
      <c r="B253" s="28" t="s">
        <v>1188</v>
      </c>
      <c r="C253" s="28" t="s">
        <v>1189</v>
      </c>
      <c r="D253" s="28" t="s">
        <v>324</v>
      </c>
      <c r="E253" s="28"/>
      <c r="F253" s="61">
        <v>110006749162</v>
      </c>
      <c r="G253" s="60" t="str">
        <f>VLOOKUP($F253, 'Raw Annual DMR Data'!$A:$Z, 24, FALSE)</f>
        <v>KY0025909</v>
      </c>
      <c r="H253" s="60" t="str">
        <f>VLOOKUP($F253, 'Raw Annual DMR Data'!$A:$Z, 25, FALSE)</f>
        <v>KENTUCKY RIVER</v>
      </c>
      <c r="I253" s="74">
        <f>VLOOKUP($F253, 'Raw Annual DMR Data'!$A:$Z, 26, FALSE)</f>
        <v>5100204000012</v>
      </c>
      <c r="J253" s="74" t="s">
        <v>265</v>
      </c>
      <c r="K253" s="60">
        <f>VLOOKUP(A253, 'OES Summary'!$A:$B, 2, FALSE)</f>
        <v>365</v>
      </c>
      <c r="L253" s="304" cm="1">
        <f t="array" ref="L253">IF(COUNTIF('Raw Annual DMR Data'!$L:$L,$F253)&gt;0,MEDIAN(IF('Raw Annual DMR Data'!$L:$L=F253,'Raw Annual DMR Data'!$S:$S)),"N/A - Facility Does Not Report DMRs")</f>
        <v>0.60856176250000005</v>
      </c>
      <c r="M253" s="156">
        <f t="shared" si="23"/>
        <v>1.6672925000000001E-3</v>
      </c>
      <c r="N253" s="156">
        <f>IF(COUNTIF('Raw Annual DMR Data'!$L:$L,$F253)&gt;0,_xlfn.MAXIFS('Raw Annual DMR Data'!$S:$S,'Raw Annual DMR Data'!$L:$L,$F253), "N/A - Facility Does Not Report DMRs")</f>
        <v>0.69076249999999995</v>
      </c>
      <c r="O253" s="156">
        <f t="shared" si="24"/>
        <v>1.8924999999999999E-3</v>
      </c>
      <c r="P253" s="113" cm="1">
        <f t="array" ref="P253">IF(COUNTIF('Raw Annual DMR Data'!$L:$L,$F253)&gt;0,INDEX('Raw Annual DMR Data'!$B:$B,MATCH(1,($F253='Raw Annual DMR Data'!$L:$L)*($N253='Raw Annual DMR Data'!$S:$S),0)), "N/A - Facility Does Not Report DMRs")</f>
        <v>2018</v>
      </c>
      <c r="Q253" s="304" t="str" cm="1">
        <f t="array" ref="Q253">IF(COUNTIF('Raw TRI Data'!$J:$J,$E253)&gt;0,MEDIAN(IF('Raw TRI Data'!$J:$J=E253,'Raw TRI Data'!$S:$S)), "N/A - Facility Does Not Report to TRI")</f>
        <v>N/A - Facility Does Not Report to TRI</v>
      </c>
      <c r="R253" s="156" t="str">
        <f t="shared" si="21"/>
        <v>N/A - Facility Does Not Report to TRI</v>
      </c>
      <c r="S253" s="156" t="str">
        <f>IF(COUNTIF('Raw TRI Data'!$J:$J,$E253)&gt;0,_xlfn.MAXIFS('Raw TRI Data'!$S:$S,'Raw TRI Data'!$J:$J,$E253), "N/A - Facility Does Not Report to TRI")</f>
        <v>N/A - Facility Does Not Report to TRI</v>
      </c>
      <c r="T253" s="156" t="str">
        <f t="shared" si="22"/>
        <v>N/A - Facility Does Not Report to TRI</v>
      </c>
      <c r="U253" s="136" t="str" cm="1">
        <f t="array" ref="U253">IF(COUNTIF('Raw TRI Data'!$J:$J,$E253)&gt;0,INDEX('Raw TRI Data'!$A:$A,MATCH(1,($E253='Raw TRI Data'!$J:$J)*(S253='Raw TRI Data'!$S:$S),0)), "N/A - Facility Does Not Report to TRI")</f>
        <v>N/A - Facility Does Not Report to TRI</v>
      </c>
      <c r="V253" s="156" t="str" cm="1">
        <f t="array" ref="V253">IF(COUNTIFS('Raw Annual DMR Data'!$L:$L,$F253,'Raw Annual DMR Data'!$U:$U,"&gt;0")&gt;0,MEDIAN(IF('Raw Annual DMR Data'!$L:$L=$F253,'Raw Annual DMR Data'!$U:$U,"")),"N/A - Period DMR Data Not Available")</f>
        <v>N/A - Period DMR Data Not Available</v>
      </c>
      <c r="W253" s="156" t="str">
        <f>IF(COUNTIFS('Raw Annual DMR Data'!$L:$L,$F253, 'Raw Annual DMR Data'!$U:$U, "&gt;0")&gt;0,_xlfn.MAXIFS('Raw Annual DMR Data'!$U:$U,'Raw Annual DMR Data'!$L:$L,$F253), "N/A - Period DMR Data Not Available")</f>
        <v>N/A - Period DMR Data Not Available</v>
      </c>
      <c r="X253" s="113" t="str" cm="1">
        <f t="array" ref="X253">+IF(COUNTIFS('Raw Annual DMR Data'!L:L,$F253, 'Raw Annual DMR Data'!U:U, "&gt;0")&gt;0,INDEX('Raw Annual DMR Data'!V:V,MATCH(1,($F253='Raw Annual DMR Data'!L:L)*($W253='Raw Annual DMR Data'!U:U),0)), "N/A - Period DMR Data Not Available")</f>
        <v>N/A - Period DMR Data Not Available</v>
      </c>
      <c r="Y253" s="113" t="str" cm="1">
        <f t="array" ref="Y253">IF(COUNTIFS('Raw Annual DMR Data'!L:L,$F253, 'Raw Annual DMR Data'!U:U, "&gt;0")&gt;0,INDEX('Raw Annual DMR Data'!B:B,MATCH(1,($F253='Raw Annual DMR Data'!L:L)*($W253='Raw Annual DMR Data'!U:U),0)), "N/A - Period DMR Data Not Available")</f>
        <v>N/A - Period DMR Data Not Available</v>
      </c>
      <c r="Z253" s="311" t="str" cm="1">
        <f t="array" ref="Z253">IF(COUNTIF('Raw Annual DMR Data'!K:K,$E253)&gt;0,"N/A - See DMRs",IF(SUMIFS('Raw TRI Data'!$Z:$Z,'Raw TRI Data'!$J:$J,$E253)&gt;0,MEDIAN(IF('Raw TRI Data'!$J:$J=$E253,'Raw TRI Data'!$Z:$Z)), "N/A - Facility Does Not Report to TRI, no surface water releases, or no Generic Factors available"))</f>
        <v>N/A - Facility Does Not Report to TRI, no surface water releases, or no Generic Factors available</v>
      </c>
      <c r="AA253" s="156" t="str">
        <f>IF(COUNTIF('Raw Annual DMR Data'!K:K,$E253)&gt;0,"N/A - See DMRs",IF(SUMIFS('Raw TRI Data'!$Z:$Z,'Raw TRI Data'!$J:$J,$E253)&gt;0,_xlfn.MAXIFS('Raw TRI Data'!$Z:$Z,'Raw TRI Data'!$J:$J,$E253), "N/A - Facility Does Not Report to TRI, no surface water releases, or no Generic Factors available"))</f>
        <v>N/A - Facility Does Not Report to TRI, no surface water releases, or no Generic Factors available</v>
      </c>
      <c r="AB253" s="113" t="str">
        <f t="shared" si="25"/>
        <v>N/A</v>
      </c>
      <c r="AC253" s="136" t="str" cm="1">
        <f t="array" ref="AC253">IF(COUNTIF('Raw Annual DMR Data'!K:K,$E253)&gt;0,"N/A - See DMRs",IF(SUMIFS('Raw TRI Data'!$Z:$Z,'Raw TRI Data'!$J:$J,$E253)&gt;0,INDEX('Raw TRI Data'!$A:$A,MATCH(1,($E253='Raw TRI Data'!$J:$J)*($AA253='Raw TRI Data'!$Z:$Z),0)), "N/A - Facility Does Not Report to TRI, no surface water releases, or no Generic Factors available"))</f>
        <v>N/A - Facility Does Not Report to TRI, no surface water releases, or no Generic Factors available</v>
      </c>
      <c r="AD253" s="96" t="str" cm="1">
        <f t="array" ref="AD253">IF(COUNTIFS('Raw Annual DMR Data'!L:L,$F253,'Raw Annual DMR Data'!W:W, "&gt;0")&gt;0,MEDIAN(IF('Raw Annual DMR Data'!K:K=$F253, 'Raw Annual DMR Data'!W:W)), "N/A - No Daily Max DMR Discharge Data")</f>
        <v>N/A - No Daily Max DMR Discharge Data</v>
      </c>
      <c r="AE253" s="96" t="str">
        <f>IF(COUNTIFS('Raw Annual DMR Data'!L:L,$F253,'Raw Annual DMR Data'!W:W, "&gt;0")&gt;0,_xlfn.MAXIFS('Raw Annual DMR Data'!W:W,'Raw Annual DMR Data'!L:L,$F253), "N/A - No Daily Max DMR Discharge Data")</f>
        <v>N/A - No Daily Max DMR Discharge Data</v>
      </c>
      <c r="AF253" s="60" t="str" cm="1">
        <f t="array" ref="AF253">IF(COUNTIFS('Raw Annual DMR Data'!L:L,$F253,'Raw Annual DMR Data'!W:W, "&gt;0")&gt;0,INDEX('Raw Annual DMR Data'!B:B,MATCH(1,($F253='Raw Annual DMR Data'!L:L)*($AE253='Raw Annual DMR Data'!W:W),0)), "N/A - No Daily Max DMR Discharge Data")</f>
        <v>N/A - No Daily Max DMR Discharge Data</v>
      </c>
    </row>
    <row r="254" spans="1:32" ht="45.75" thickBot="1" x14ac:dyDescent="0.3">
      <c r="A254" s="144" t="str">
        <f>VLOOKUP(F254,'Facility Summary'!J:K,2,FALSE)</f>
        <v>Unknown</v>
      </c>
      <c r="B254" s="28" t="s">
        <v>1190</v>
      </c>
      <c r="C254" s="28" t="s">
        <v>1191</v>
      </c>
      <c r="D254" s="28" t="s">
        <v>491</v>
      </c>
      <c r="E254" s="28"/>
      <c r="F254" s="61">
        <v>110017796330</v>
      </c>
      <c r="G254" s="60" t="str">
        <f>VLOOKUP($F254, 'Raw Annual DMR Data'!$A:$Z, 24, FALSE)</f>
        <v>PA0113913</v>
      </c>
      <c r="H254" s="60" t="str">
        <f>VLOOKUP($F254, 'Raw Annual DMR Data'!$A:$Z, 25, FALSE)</f>
        <v>UNNAMED TRIB TO NORTH BRANCH MAHANTANGO CREEK, UNT TO NORTH BRANCH MAHANTANGO CREEK</v>
      </c>
      <c r="I254" s="74">
        <f>VLOOKUP($F254, 'Raw Annual DMR Data'!$A:$Z, 26, FALSE)</f>
        <v>2050301000478</v>
      </c>
      <c r="J254" s="74" t="s">
        <v>265</v>
      </c>
      <c r="K254" s="60">
        <f>VLOOKUP(A254, 'OES Summary'!$A:$B, 2, FALSE)</f>
        <v>250</v>
      </c>
      <c r="L254" s="304" cm="1">
        <f t="array" ref="L254">IF(COUNTIF('Raw Annual DMR Data'!$L:$L,$F254)&gt;0,MEDIAN(IF('Raw Annual DMR Data'!$L:$L=F254,'Raw Annual DMR Data'!$S:$S)),"N/A - Facility Does Not Report DMRs")</f>
        <v>4.3566038181818102E-3</v>
      </c>
      <c r="M254" s="156">
        <f t="shared" si="23"/>
        <v>1.7426415272727242E-5</v>
      </c>
      <c r="N254" s="156">
        <f>IF(COUNTIF('Raw Annual DMR Data'!$L:$L,$F254)&gt;0,_xlfn.MAXIFS('Raw Annual DMR Data'!$S:$S,'Raw Annual DMR Data'!$L:$L,$F254), "N/A - Facility Does Not Report DMRs")</f>
        <v>4.9359238749999996E-3</v>
      </c>
      <c r="O254" s="156">
        <f t="shared" si="24"/>
        <v>1.97436955E-5</v>
      </c>
      <c r="P254" s="113" cm="1">
        <f t="array" ref="P254">IF(COUNTIF('Raw Annual DMR Data'!$L:$L,$F254)&gt;0,INDEX('Raw Annual DMR Data'!$B:$B,MATCH(1,($F254='Raw Annual DMR Data'!$L:$L)*($N254='Raw Annual DMR Data'!$S:$S),0)), "N/A - Facility Does Not Report DMRs")</f>
        <v>2018</v>
      </c>
      <c r="Q254" s="304" t="str" cm="1">
        <f t="array" ref="Q254">IF(COUNTIF('Raw TRI Data'!$J:$J,$E254)&gt;0,MEDIAN(IF('Raw TRI Data'!$J:$J=E254,'Raw TRI Data'!$S:$S)), "N/A - Facility Does Not Report to TRI")</f>
        <v>N/A - Facility Does Not Report to TRI</v>
      </c>
      <c r="R254" s="156" t="str">
        <f t="shared" si="21"/>
        <v>N/A - Facility Does Not Report to TRI</v>
      </c>
      <c r="S254" s="156" t="str">
        <f>IF(COUNTIF('Raw TRI Data'!$J:$J,$E254)&gt;0,_xlfn.MAXIFS('Raw TRI Data'!$S:$S,'Raw TRI Data'!$J:$J,$E254), "N/A - Facility Does Not Report to TRI")</f>
        <v>N/A - Facility Does Not Report to TRI</v>
      </c>
      <c r="T254" s="156" t="str">
        <f t="shared" si="22"/>
        <v>N/A - Facility Does Not Report to TRI</v>
      </c>
      <c r="U254" s="136" t="str" cm="1">
        <f t="array" ref="U254">IF(COUNTIF('Raw TRI Data'!$J:$J,$E254)&gt;0,INDEX('Raw TRI Data'!$A:$A,MATCH(1,($E254='Raw TRI Data'!$J:$J)*(S254='Raw TRI Data'!$S:$S),0)), "N/A - Facility Does Not Report to TRI")</f>
        <v>N/A - Facility Does Not Report to TRI</v>
      </c>
      <c r="V254" s="156" t="str" cm="1">
        <f t="array" ref="V254">IF(COUNTIFS('Raw Annual DMR Data'!$L:$L,$F254,'Raw Annual DMR Data'!$U:$U,"&gt;0")&gt;0,MEDIAN(IF('Raw Annual DMR Data'!$L:$L=$F254,'Raw Annual DMR Data'!$U:$U,"")),"N/A - Period DMR Data Not Available")</f>
        <v>N/A - Period DMR Data Not Available</v>
      </c>
      <c r="W254" s="156" t="str">
        <f>IF(COUNTIFS('Raw Annual DMR Data'!$L:$L,$F254, 'Raw Annual DMR Data'!$U:$U, "&gt;0")&gt;0,_xlfn.MAXIFS('Raw Annual DMR Data'!$U:$U,'Raw Annual DMR Data'!$L:$L,$F254), "N/A - Period DMR Data Not Available")</f>
        <v>N/A - Period DMR Data Not Available</v>
      </c>
      <c r="X254" s="113" t="str" cm="1">
        <f t="array" ref="X254">+IF(COUNTIFS('Raw Annual DMR Data'!L:L,$F254, 'Raw Annual DMR Data'!U:U, "&gt;0")&gt;0,INDEX('Raw Annual DMR Data'!V:V,MATCH(1,($F254='Raw Annual DMR Data'!L:L)*($W254='Raw Annual DMR Data'!U:U),0)), "N/A - Period DMR Data Not Available")</f>
        <v>N/A - Period DMR Data Not Available</v>
      </c>
      <c r="Y254" s="113" t="str" cm="1">
        <f t="array" ref="Y254">IF(COUNTIFS('Raw Annual DMR Data'!L:L,$F254, 'Raw Annual DMR Data'!U:U, "&gt;0")&gt;0,INDEX('Raw Annual DMR Data'!B:B,MATCH(1,($F254='Raw Annual DMR Data'!L:L)*($W254='Raw Annual DMR Data'!U:U),0)), "N/A - Period DMR Data Not Available")</f>
        <v>N/A - Period DMR Data Not Available</v>
      </c>
      <c r="Z254" s="311" t="str" cm="1">
        <f t="array" ref="Z254">IF(COUNTIF('Raw Annual DMR Data'!K:K,$E254)&gt;0,"N/A - See DMRs",IF(SUMIFS('Raw TRI Data'!$Z:$Z,'Raw TRI Data'!$J:$J,$E254)&gt;0,MEDIAN(IF('Raw TRI Data'!$J:$J=$E254,'Raw TRI Data'!$Z:$Z)), "N/A - Facility Does Not Report to TRI, no surface water releases, or no Generic Factors available"))</f>
        <v>N/A - Facility Does Not Report to TRI, no surface water releases, or no Generic Factors available</v>
      </c>
      <c r="AA254" s="156" t="str">
        <f>IF(COUNTIF('Raw Annual DMR Data'!K:K,$E254)&gt;0,"N/A - See DMRs",IF(SUMIFS('Raw TRI Data'!$Z:$Z,'Raw TRI Data'!$J:$J,$E254)&gt;0,_xlfn.MAXIFS('Raw TRI Data'!$Z:$Z,'Raw TRI Data'!$J:$J,$E254), "N/A - Facility Does Not Report to TRI, no surface water releases, or no Generic Factors available"))</f>
        <v>N/A - Facility Does Not Report to TRI, no surface water releases, or no Generic Factors available</v>
      </c>
      <c r="AB254" s="113" t="str">
        <f t="shared" si="25"/>
        <v>N/A</v>
      </c>
      <c r="AC254" s="136" t="str" cm="1">
        <f t="array" ref="AC254">IF(COUNTIF('Raw Annual DMR Data'!K:K,$E254)&gt;0,"N/A - See DMRs",IF(SUMIFS('Raw TRI Data'!$Z:$Z,'Raw TRI Data'!$J:$J,$E254)&gt;0,INDEX('Raw TRI Data'!$A:$A,MATCH(1,($E254='Raw TRI Data'!$J:$J)*($AA254='Raw TRI Data'!$Z:$Z),0)), "N/A - Facility Does Not Report to TRI, no surface water releases, or no Generic Factors available"))</f>
        <v>N/A - Facility Does Not Report to TRI, no surface water releases, or no Generic Factors available</v>
      </c>
      <c r="AD254" s="96" t="str" cm="1">
        <f t="array" ref="AD254">IF(COUNTIFS('Raw Annual DMR Data'!L:L,$F254,'Raw Annual DMR Data'!W:W, "&gt;0")&gt;0,MEDIAN(IF('Raw Annual DMR Data'!K:K=$F254, 'Raw Annual DMR Data'!W:W)), "N/A - No Daily Max DMR Discharge Data")</f>
        <v>N/A - No Daily Max DMR Discharge Data</v>
      </c>
      <c r="AE254" s="96" t="str">
        <f>IF(COUNTIFS('Raw Annual DMR Data'!L:L,$F254,'Raw Annual DMR Data'!W:W, "&gt;0")&gt;0,_xlfn.MAXIFS('Raw Annual DMR Data'!W:W,'Raw Annual DMR Data'!L:L,$F254), "N/A - No Daily Max DMR Discharge Data")</f>
        <v>N/A - No Daily Max DMR Discharge Data</v>
      </c>
      <c r="AF254" s="60" t="str" cm="1">
        <f t="array" ref="AF254">IF(COUNTIFS('Raw Annual DMR Data'!L:L,$F254,'Raw Annual DMR Data'!W:W, "&gt;0")&gt;0,INDEX('Raw Annual DMR Data'!B:B,MATCH(1,($F254='Raw Annual DMR Data'!L:L)*($AE254='Raw Annual DMR Data'!W:W),0)), "N/A - No Daily Max DMR Discharge Data")</f>
        <v>N/A - No Daily Max DMR Discharge Data</v>
      </c>
    </row>
    <row r="255" spans="1:32" ht="30.75" thickBot="1" x14ac:dyDescent="0.3">
      <c r="A255" s="144" t="str">
        <f>VLOOKUP(F255,'Facility Summary'!J:K,2,FALSE)</f>
        <v>Unknown</v>
      </c>
      <c r="B255" s="28" t="s">
        <v>1192</v>
      </c>
      <c r="C255" s="28" t="s">
        <v>323</v>
      </c>
      <c r="D255" s="28" t="s">
        <v>324</v>
      </c>
      <c r="E255" s="28" t="s">
        <v>721</v>
      </c>
      <c r="F255" s="61">
        <v>110000741608</v>
      </c>
      <c r="G255" s="60" t="str">
        <f>VLOOKUP($F255, 'Raw Annual DMR Data'!$A:$Z, 24, FALSE)</f>
        <v>KY0003701</v>
      </c>
      <c r="H255" s="60" t="str">
        <f>VLOOKUP($F255, 'Raw Annual DMR Data'!$A:$Z, 25, FALSE)</f>
        <v>TENNESSEE RIVER, UT TO CYPRESS CREEK, UT TO TENNESSEE RIVER</v>
      </c>
      <c r="I255" s="74">
        <f>VLOOKUP($F255, 'Raw Annual DMR Data'!$A:$Z, 26, FALSE)</f>
        <v>6040006000329</v>
      </c>
      <c r="J255" s="74" t="s">
        <v>265</v>
      </c>
      <c r="K255" s="60">
        <f>VLOOKUP(A255, 'OES Summary'!$A:$B, 2, FALSE)</f>
        <v>250</v>
      </c>
      <c r="L255" s="304" cm="1">
        <f t="array" ref="L255">IF(COUNTIF('Raw Annual DMR Data'!$L:$L,$F255)&gt;0,MEDIAN(IF('Raw Annual DMR Data'!$L:$L=F255,'Raw Annual DMR Data'!$S:$S)),"N/A - Facility Does Not Report DMRs")</f>
        <v>4.1818749376417195</v>
      </c>
      <c r="M255" s="156">
        <f t="shared" si="23"/>
        <v>1.6727499750566879E-2</v>
      </c>
      <c r="N255" s="156">
        <f>IF(COUNTIF('Raw Annual DMR Data'!$L:$L,$F255)&gt;0,_xlfn.MAXIFS('Raw Annual DMR Data'!$S:$S,'Raw Annual DMR Data'!$L:$L,$F255), "N/A - Facility Does Not Report DMRs")</f>
        <v>5.2970521541950104</v>
      </c>
      <c r="O255" s="156">
        <f t="shared" si="24"/>
        <v>2.118820861678004E-2</v>
      </c>
      <c r="P255" s="113" cm="1">
        <f t="array" ref="P255">IF(COUNTIF('Raw Annual DMR Data'!$L:$L,$F255)&gt;0,INDEX('Raw Annual DMR Data'!$B:$B,MATCH(1,($F255='Raw Annual DMR Data'!$L:$L)*($N255='Raw Annual DMR Data'!$S:$S),0)), "N/A - Facility Does Not Report DMRs")</f>
        <v>2020</v>
      </c>
      <c r="Q255" s="304" t="str" cm="1">
        <f t="array" ref="Q255">IF(COUNTIF('Raw TRI Data'!$J:$J,$E255)&gt;0,MEDIAN(IF('Raw TRI Data'!$J:$J=E255,'Raw TRI Data'!$S:$S)), "N/A - Facility Does Not Report to TRI")</f>
        <v>N/A - Facility Does Not Report to TRI</v>
      </c>
      <c r="R255" s="156" t="str">
        <f t="shared" si="21"/>
        <v>N/A - Facility Does Not Report to TRI</v>
      </c>
      <c r="S255" s="156" t="str">
        <f>IF(COUNTIF('Raw TRI Data'!$J:$J,$E255)&gt;0,_xlfn.MAXIFS('Raw TRI Data'!$S:$S,'Raw TRI Data'!$J:$J,$E255), "N/A - Facility Does Not Report to TRI")</f>
        <v>N/A - Facility Does Not Report to TRI</v>
      </c>
      <c r="T255" s="156" t="str">
        <f t="shared" si="22"/>
        <v>N/A - Facility Does Not Report to TRI</v>
      </c>
      <c r="U255" s="136" t="str" cm="1">
        <f t="array" ref="U255">IF(COUNTIF('Raw TRI Data'!$J:$J,$E255)&gt;0,INDEX('Raw TRI Data'!$A:$A,MATCH(1,($E255='Raw TRI Data'!$J:$J)*(S255='Raw TRI Data'!$S:$S),0)), "N/A - Facility Does Not Report to TRI")</f>
        <v>N/A - Facility Does Not Report to TRI</v>
      </c>
      <c r="V255" s="156" t="str" cm="1">
        <f t="array" ref="V255">IF(COUNTIFS('Raw Annual DMR Data'!$L:$L,$F255,'Raw Annual DMR Data'!$U:$U,"&gt;0")&gt;0,MEDIAN(IF('Raw Annual DMR Data'!$L:$L=$F255,'Raw Annual DMR Data'!$U:$U,"")),"N/A - Period DMR Data Not Available")</f>
        <v>N/A - Period DMR Data Not Available</v>
      </c>
      <c r="W255" s="156" t="str">
        <f>IF(COUNTIFS('Raw Annual DMR Data'!$L:$L,$F255, 'Raw Annual DMR Data'!$U:$U, "&gt;0")&gt;0,_xlfn.MAXIFS('Raw Annual DMR Data'!$U:$U,'Raw Annual DMR Data'!$L:$L,$F255), "N/A - Period DMR Data Not Available")</f>
        <v>N/A - Period DMR Data Not Available</v>
      </c>
      <c r="X255" s="113" t="str" cm="1">
        <f t="array" ref="X255">+IF(COUNTIFS('Raw Annual DMR Data'!L:L,$F255, 'Raw Annual DMR Data'!U:U, "&gt;0")&gt;0,INDEX('Raw Annual DMR Data'!V:V,MATCH(1,($F255='Raw Annual DMR Data'!L:L)*($W255='Raw Annual DMR Data'!U:U),0)), "N/A - Period DMR Data Not Available")</f>
        <v>N/A - Period DMR Data Not Available</v>
      </c>
      <c r="Y255" s="113" t="str" cm="1">
        <f t="array" ref="Y255">IF(COUNTIFS('Raw Annual DMR Data'!L:L,$F255, 'Raw Annual DMR Data'!U:U, "&gt;0")&gt;0,INDEX('Raw Annual DMR Data'!B:B,MATCH(1,($F255='Raw Annual DMR Data'!L:L)*($W255='Raw Annual DMR Data'!U:U),0)), "N/A - Period DMR Data Not Available")</f>
        <v>N/A - Period DMR Data Not Available</v>
      </c>
      <c r="Z255" s="311" t="str" cm="1">
        <f t="array" ref="Z255">IF(COUNTIF('Raw Annual DMR Data'!K:K,$E255)&gt;0,"N/A - See DMRs",IF(SUMIFS('Raw TRI Data'!$Z:$Z,'Raw TRI Data'!$J:$J,$E255)&gt;0,MEDIAN(IF('Raw TRI Data'!$J:$J=$E255,'Raw TRI Data'!$Z:$Z)), "N/A - Facility Does Not Report to TRI, no surface water releases, or no Generic Factors available"))</f>
        <v>N/A - See DMRs</v>
      </c>
      <c r="AA255" s="156" t="str">
        <f>IF(COUNTIF('Raw Annual DMR Data'!K:K,$E255)&gt;0,"N/A - See DMRs",IF(SUMIFS('Raw TRI Data'!$Z:$Z,'Raw TRI Data'!$J:$J,$E255)&gt;0,_xlfn.MAXIFS('Raw TRI Data'!$Z:$Z,'Raw TRI Data'!$J:$J,$E255), "N/A - Facility Does Not Report to TRI, no surface water releases, or no Generic Factors available"))</f>
        <v>N/A - See DMRs</v>
      </c>
      <c r="AB255" s="113" t="str">
        <f t="shared" si="25"/>
        <v>N/A</v>
      </c>
      <c r="AC255" s="136" t="str" cm="1">
        <f t="array" ref="AC255">IF(COUNTIF('Raw Annual DMR Data'!K:K,$E255)&gt;0,"N/A - See DMRs",IF(SUMIFS('Raw TRI Data'!$Z:$Z,'Raw TRI Data'!$J:$J,$E255)&gt;0,INDEX('Raw TRI Data'!$A:$A,MATCH(1,($E255='Raw TRI Data'!$J:$J)*($AA255='Raw TRI Data'!$Z:$Z),0)), "N/A - Facility Does Not Report to TRI, no surface water releases, or no Generic Factors available"))</f>
        <v>N/A - See DMRs</v>
      </c>
      <c r="AD255" s="96" t="str" cm="1">
        <f t="array" ref="AD255">IF(COUNTIFS('Raw Annual DMR Data'!L:L,$F255,'Raw Annual DMR Data'!W:W, "&gt;0")&gt;0,MEDIAN(IF('Raw Annual DMR Data'!K:K=$F255, 'Raw Annual DMR Data'!W:W)), "N/A - No Daily Max DMR Discharge Data")</f>
        <v>N/A - No Daily Max DMR Discharge Data</v>
      </c>
      <c r="AE255" s="96" t="str">
        <f>IF(COUNTIFS('Raw Annual DMR Data'!L:L,$F255,'Raw Annual DMR Data'!W:W, "&gt;0")&gt;0,_xlfn.MAXIFS('Raw Annual DMR Data'!W:W,'Raw Annual DMR Data'!L:L,$F255), "N/A - No Daily Max DMR Discharge Data")</f>
        <v>N/A - No Daily Max DMR Discharge Data</v>
      </c>
      <c r="AF255" s="60" t="str" cm="1">
        <f t="array" ref="AF255">IF(COUNTIFS('Raw Annual DMR Data'!L:L,$F255,'Raw Annual DMR Data'!W:W, "&gt;0")&gt;0,INDEX('Raw Annual DMR Data'!B:B,MATCH(1,($F255='Raw Annual DMR Data'!L:L)*($AE255='Raw Annual DMR Data'!W:W),0)), "N/A - No Daily Max DMR Discharge Data")</f>
        <v>N/A - No Daily Max DMR Discharge Data</v>
      </c>
    </row>
    <row r="256" spans="1:32" ht="45.75" thickBot="1" x14ac:dyDescent="0.3">
      <c r="A256" s="144" t="str">
        <f>VLOOKUP(F256,'Facility Summary'!J:K,2,FALSE)</f>
        <v>Unknown</v>
      </c>
      <c r="B256" s="28" t="s">
        <v>1193</v>
      </c>
      <c r="C256" s="28" t="s">
        <v>293</v>
      </c>
      <c r="D256" s="28" t="s">
        <v>294</v>
      </c>
      <c r="E256" s="28"/>
      <c r="F256" s="61">
        <v>110070546877</v>
      </c>
      <c r="G256" s="60" t="str">
        <f>VLOOKUP($F256, 'Raw Annual DMR Data'!$A:$Z, 24, FALSE)</f>
        <v>VAG830321</v>
      </c>
      <c r="H256" s="60" t="str">
        <f>VLOOKUP($F256, 'Raw Annual DMR Data'!$A:$Z, 25, FALSE)</f>
        <v>POTOMAC RIVER-FOURMILE RUN</v>
      </c>
      <c r="I256" s="74">
        <f>VLOOKUP($F256, 'Raw Annual DMR Data'!$A:$Z, 26, FALSE)</f>
        <v>0</v>
      </c>
      <c r="J256" s="74" t="s">
        <v>265</v>
      </c>
      <c r="K256" s="60">
        <f>VLOOKUP(A256, 'OES Summary'!$A:$B, 2, FALSE)</f>
        <v>250</v>
      </c>
      <c r="L256" s="304" cm="1">
        <f t="array" ref="L256">IF(COUNTIF('Raw Annual DMR Data'!$L:$L,$F256)&gt;0,MEDIAN(IF('Raw Annual DMR Data'!$L:$L=F256,'Raw Annual DMR Data'!$S:$S)),"N/A - Facility Does Not Report DMRs")</f>
        <v>5.0372218299999901E-4</v>
      </c>
      <c r="M256" s="156">
        <f t="shared" si="23"/>
        <v>2.0148887319999959E-6</v>
      </c>
      <c r="N256" s="156">
        <f>IF(COUNTIF('Raw Annual DMR Data'!$L:$L,$F256)&gt;0,_xlfn.MAXIFS('Raw Annual DMR Data'!$S:$S,'Raw Annual DMR Data'!$L:$L,$F256), "N/A - Facility Does Not Report DMRs")</f>
        <v>9.4510465899999997E-3</v>
      </c>
      <c r="O256" s="156">
        <f t="shared" si="24"/>
        <v>3.7804186360000002E-5</v>
      </c>
      <c r="P256" s="113" cm="1">
        <f t="array" ref="P256">IF(COUNTIF('Raw Annual DMR Data'!$L:$L,$F256)&gt;0,INDEX('Raw Annual DMR Data'!$B:$B,MATCH(1,($F256='Raw Annual DMR Data'!$L:$L)*($N256='Raw Annual DMR Data'!$S:$S),0)), "N/A - Facility Does Not Report DMRs")</f>
        <v>2024</v>
      </c>
      <c r="Q256" s="304" t="str" cm="1">
        <f t="array" ref="Q256">IF(COUNTIF('Raw TRI Data'!$J:$J,$E256)&gt;0,MEDIAN(IF('Raw TRI Data'!$J:$J=E256,'Raw TRI Data'!$S:$S)), "N/A - Facility Does Not Report to TRI")</f>
        <v>N/A - Facility Does Not Report to TRI</v>
      </c>
      <c r="R256" s="156" t="str">
        <f t="shared" si="21"/>
        <v>N/A - Facility Does Not Report to TRI</v>
      </c>
      <c r="S256" s="156" t="str">
        <f>IF(COUNTIF('Raw TRI Data'!$J:$J,$E256)&gt;0,_xlfn.MAXIFS('Raw TRI Data'!$S:$S,'Raw TRI Data'!$J:$J,$E256), "N/A - Facility Does Not Report to TRI")</f>
        <v>N/A - Facility Does Not Report to TRI</v>
      </c>
      <c r="T256" s="156" t="str">
        <f t="shared" si="22"/>
        <v>N/A - Facility Does Not Report to TRI</v>
      </c>
      <c r="U256" s="136" t="str" cm="1">
        <f t="array" ref="U256">IF(COUNTIF('Raw TRI Data'!$J:$J,$E256)&gt;0,INDEX('Raw TRI Data'!$A:$A,MATCH(1,($E256='Raw TRI Data'!$J:$J)*(S256='Raw TRI Data'!$S:$S),0)), "N/A - Facility Does Not Report to TRI")</f>
        <v>N/A - Facility Does Not Report to TRI</v>
      </c>
      <c r="V256" s="156" t="str" cm="1">
        <f t="array" ref="V256">IF(COUNTIFS('Raw Annual DMR Data'!$L:$L,$F256,'Raw Annual DMR Data'!$U:$U,"&gt;0")&gt;0,MEDIAN(IF('Raw Annual DMR Data'!$L:$L=$F256,'Raw Annual DMR Data'!$U:$U,"")),"N/A - Period DMR Data Not Available")</f>
        <v>N/A - Period DMR Data Not Available</v>
      </c>
      <c r="W256" s="156" t="str">
        <f>IF(COUNTIFS('Raw Annual DMR Data'!$L:$L,$F256, 'Raw Annual DMR Data'!$U:$U, "&gt;0")&gt;0,_xlfn.MAXIFS('Raw Annual DMR Data'!$U:$U,'Raw Annual DMR Data'!$L:$L,$F256), "N/A - Period DMR Data Not Available")</f>
        <v>N/A - Period DMR Data Not Available</v>
      </c>
      <c r="X256" s="113" t="str" cm="1">
        <f t="array" ref="X256">+IF(COUNTIFS('Raw Annual DMR Data'!L:L,$F256, 'Raw Annual DMR Data'!U:U, "&gt;0")&gt;0,INDEX('Raw Annual DMR Data'!V:V,MATCH(1,($F256='Raw Annual DMR Data'!L:L)*($W256='Raw Annual DMR Data'!U:U),0)), "N/A - Period DMR Data Not Available")</f>
        <v>N/A - Period DMR Data Not Available</v>
      </c>
      <c r="Y256" s="113" t="str" cm="1">
        <f t="array" ref="Y256">IF(COUNTIFS('Raw Annual DMR Data'!L:L,$F256, 'Raw Annual DMR Data'!U:U, "&gt;0")&gt;0,INDEX('Raw Annual DMR Data'!B:B,MATCH(1,($F256='Raw Annual DMR Data'!L:L)*($W256='Raw Annual DMR Data'!U:U),0)), "N/A - Period DMR Data Not Available")</f>
        <v>N/A - Period DMR Data Not Available</v>
      </c>
      <c r="Z256" s="311" t="str" cm="1">
        <f t="array" ref="Z256">IF(COUNTIF('Raw Annual DMR Data'!K:K,$E256)&gt;0,"N/A - See DMRs",IF(SUMIFS('Raw TRI Data'!$Z:$Z,'Raw TRI Data'!$J:$J,$E256)&gt;0,MEDIAN(IF('Raw TRI Data'!$J:$J=$E256,'Raw TRI Data'!$Z:$Z)), "N/A - Facility Does Not Report to TRI, no surface water releases, or no Generic Factors available"))</f>
        <v>N/A - Facility Does Not Report to TRI, no surface water releases, or no Generic Factors available</v>
      </c>
      <c r="AA256" s="156" t="str">
        <f>IF(COUNTIF('Raw Annual DMR Data'!K:K,$E256)&gt;0,"N/A - See DMRs",IF(SUMIFS('Raw TRI Data'!$Z:$Z,'Raw TRI Data'!$J:$J,$E256)&gt;0,_xlfn.MAXIFS('Raw TRI Data'!$Z:$Z,'Raw TRI Data'!$J:$J,$E256), "N/A - Facility Does Not Report to TRI, no surface water releases, or no Generic Factors available"))</f>
        <v>N/A - Facility Does Not Report to TRI, no surface water releases, or no Generic Factors available</v>
      </c>
      <c r="AB256" s="113" t="str">
        <f t="shared" si="25"/>
        <v>N/A</v>
      </c>
      <c r="AC256" s="136" t="str" cm="1">
        <f t="array" ref="AC256">IF(COUNTIF('Raw Annual DMR Data'!K:K,$E256)&gt;0,"N/A - See DMRs",IF(SUMIFS('Raw TRI Data'!$Z:$Z,'Raw TRI Data'!$J:$J,$E256)&gt;0,INDEX('Raw TRI Data'!$A:$A,MATCH(1,($E256='Raw TRI Data'!$J:$J)*($AA256='Raw TRI Data'!$Z:$Z),0)), "N/A - Facility Does Not Report to TRI, no surface water releases, or no Generic Factors available"))</f>
        <v>N/A - Facility Does Not Report to TRI, no surface water releases, or no Generic Factors available</v>
      </c>
      <c r="AD256" s="96" t="str" cm="1">
        <f t="array" ref="AD256">IF(COUNTIFS('Raw Annual DMR Data'!L:L,$F256,'Raw Annual DMR Data'!W:W, "&gt;0")&gt;0,MEDIAN(IF('Raw Annual DMR Data'!K:K=$F256, 'Raw Annual DMR Data'!W:W)), "N/A - No Daily Max DMR Discharge Data")</f>
        <v>N/A - No Daily Max DMR Discharge Data</v>
      </c>
      <c r="AE256" s="96" t="str">
        <f>IF(COUNTIFS('Raw Annual DMR Data'!L:L,$F256,'Raw Annual DMR Data'!W:W, "&gt;0")&gt;0,_xlfn.MAXIFS('Raw Annual DMR Data'!W:W,'Raw Annual DMR Data'!L:L,$F256), "N/A - No Daily Max DMR Discharge Data")</f>
        <v>N/A - No Daily Max DMR Discharge Data</v>
      </c>
      <c r="AF256" s="60" t="str" cm="1">
        <f t="array" ref="AF256">IF(COUNTIFS('Raw Annual DMR Data'!L:L,$F256,'Raw Annual DMR Data'!W:W, "&gt;0")&gt;0,INDEX('Raw Annual DMR Data'!B:B,MATCH(1,($F256='Raw Annual DMR Data'!L:L)*($AE256='Raw Annual DMR Data'!W:W),0)), "N/A - No Daily Max DMR Discharge Data")</f>
        <v>N/A - No Daily Max DMR Discharge Data</v>
      </c>
    </row>
    <row r="257" spans="1:32" ht="45.75" thickBot="1" x14ac:dyDescent="0.3">
      <c r="A257" s="144" t="str">
        <f>VLOOKUP(F257,'Facility Summary'!J:K,2,FALSE)</f>
        <v>POTW</v>
      </c>
      <c r="B257" s="28" t="s">
        <v>1194</v>
      </c>
      <c r="C257" s="28" t="s">
        <v>1195</v>
      </c>
      <c r="D257" s="28" t="s">
        <v>324</v>
      </c>
      <c r="E257" s="28"/>
      <c r="F257" s="61">
        <v>110009933402</v>
      </c>
      <c r="G257" s="60" t="str">
        <f>VLOOKUP($F257, 'Raw Annual DMR Data'!$A:$Z, 24, FALSE)</f>
        <v>KY0104027</v>
      </c>
      <c r="H257" s="60" t="str">
        <f>VLOOKUP($F257, 'Raw Annual DMR Data'!$A:$Z, 25, FALSE)</f>
        <v>BEECH FORK RIVER</v>
      </c>
      <c r="I257" s="74">
        <f>VLOOKUP($F257, 'Raw Annual DMR Data'!$A:$Z, 26, FALSE)</f>
        <v>5140103000201</v>
      </c>
      <c r="J257" s="74" t="s">
        <v>265</v>
      </c>
      <c r="K257" s="60">
        <f>VLOOKUP(A257, 'OES Summary'!$A:$B, 2, FALSE)</f>
        <v>365</v>
      </c>
      <c r="L257" s="304" cm="1">
        <f t="array" ref="L257">IF(COUNTIF('Raw Annual DMR Data'!$L:$L,$F257)&gt;0,MEDIAN(IF('Raw Annual DMR Data'!$L:$L=F257,'Raw Annual DMR Data'!$S:$S)),"N/A - Facility Does Not Report DMRs")</f>
        <v>1.421589225</v>
      </c>
      <c r="M257" s="156">
        <f t="shared" si="23"/>
        <v>3.8947649999999997E-3</v>
      </c>
      <c r="N257" s="156">
        <f>IF(COUNTIF('Raw Annual DMR Data'!$L:$L,$F257)&gt;0,_xlfn.MAXIFS('Raw Annual DMR Data'!$S:$S,'Raw Annual DMR Data'!$L:$L,$F257), "N/A - Facility Does Not Report DMRs")</f>
        <v>1.6219103500000001</v>
      </c>
      <c r="O257" s="156">
        <f t="shared" si="24"/>
        <v>4.4435899999999999E-3</v>
      </c>
      <c r="P257" s="113" cm="1">
        <f t="array" ref="P257">IF(COUNTIF('Raw Annual DMR Data'!$L:$L,$F257)&gt;0,INDEX('Raw Annual DMR Data'!$B:$B,MATCH(1,($F257='Raw Annual DMR Data'!$L:$L)*($N257='Raw Annual DMR Data'!$S:$S),0)), "N/A - Facility Does Not Report DMRs")</f>
        <v>2021</v>
      </c>
      <c r="Q257" s="304" t="str" cm="1">
        <f t="array" ref="Q257">IF(COUNTIF('Raw TRI Data'!$J:$J,$E257)&gt;0,MEDIAN(IF('Raw TRI Data'!$J:$J=E257,'Raw TRI Data'!$S:$S)), "N/A - Facility Does Not Report to TRI")</f>
        <v>N/A - Facility Does Not Report to TRI</v>
      </c>
      <c r="R257" s="156" t="str">
        <f t="shared" si="21"/>
        <v>N/A - Facility Does Not Report to TRI</v>
      </c>
      <c r="S257" s="156" t="str">
        <f>IF(COUNTIF('Raw TRI Data'!$J:$J,$E257)&gt;0,_xlfn.MAXIFS('Raw TRI Data'!$S:$S,'Raw TRI Data'!$J:$J,$E257), "N/A - Facility Does Not Report to TRI")</f>
        <v>N/A - Facility Does Not Report to TRI</v>
      </c>
      <c r="T257" s="156" t="str">
        <f t="shared" si="22"/>
        <v>N/A - Facility Does Not Report to TRI</v>
      </c>
      <c r="U257" s="136" t="str" cm="1">
        <f t="array" ref="U257">IF(COUNTIF('Raw TRI Data'!$J:$J,$E257)&gt;0,INDEX('Raw TRI Data'!$A:$A,MATCH(1,($E257='Raw TRI Data'!$J:$J)*(S257='Raw TRI Data'!$S:$S),0)), "N/A - Facility Does Not Report to TRI")</f>
        <v>N/A - Facility Does Not Report to TRI</v>
      </c>
      <c r="V257" s="156" t="str" cm="1">
        <f t="array" ref="V257">IF(COUNTIFS('Raw Annual DMR Data'!$L:$L,$F257,'Raw Annual DMR Data'!$U:$U,"&gt;0")&gt;0,MEDIAN(IF('Raw Annual DMR Data'!$L:$L=$F257,'Raw Annual DMR Data'!$U:$U,"")),"N/A - Period DMR Data Not Available")</f>
        <v>N/A - Period DMR Data Not Available</v>
      </c>
      <c r="W257" s="156" t="str">
        <f>IF(COUNTIFS('Raw Annual DMR Data'!$L:$L,$F257, 'Raw Annual DMR Data'!$U:$U, "&gt;0")&gt;0,_xlfn.MAXIFS('Raw Annual DMR Data'!$U:$U,'Raw Annual DMR Data'!$L:$L,$F257), "N/A - Period DMR Data Not Available")</f>
        <v>N/A - Period DMR Data Not Available</v>
      </c>
      <c r="X257" s="113" t="str" cm="1">
        <f t="array" ref="X257">+IF(COUNTIFS('Raw Annual DMR Data'!L:L,$F257, 'Raw Annual DMR Data'!U:U, "&gt;0")&gt;0,INDEX('Raw Annual DMR Data'!V:V,MATCH(1,($F257='Raw Annual DMR Data'!L:L)*($W257='Raw Annual DMR Data'!U:U),0)), "N/A - Period DMR Data Not Available")</f>
        <v>N/A - Period DMR Data Not Available</v>
      </c>
      <c r="Y257" s="113" t="str" cm="1">
        <f t="array" ref="Y257">IF(COUNTIFS('Raw Annual DMR Data'!L:L,$F257, 'Raw Annual DMR Data'!U:U, "&gt;0")&gt;0,INDEX('Raw Annual DMR Data'!B:B,MATCH(1,($F257='Raw Annual DMR Data'!L:L)*($W257='Raw Annual DMR Data'!U:U),0)), "N/A - Period DMR Data Not Available")</f>
        <v>N/A - Period DMR Data Not Available</v>
      </c>
      <c r="Z257" s="311" t="str" cm="1">
        <f t="array" ref="Z257">IF(COUNTIF('Raw Annual DMR Data'!K:K,$E257)&gt;0,"N/A - See DMRs",IF(SUMIFS('Raw TRI Data'!$Z:$Z,'Raw TRI Data'!$J:$J,$E257)&gt;0,MEDIAN(IF('Raw TRI Data'!$J:$J=$E257,'Raw TRI Data'!$Z:$Z)), "N/A - Facility Does Not Report to TRI, no surface water releases, or no Generic Factors available"))</f>
        <v>N/A - Facility Does Not Report to TRI, no surface water releases, or no Generic Factors available</v>
      </c>
      <c r="AA257" s="156" t="str">
        <f>IF(COUNTIF('Raw Annual DMR Data'!K:K,$E257)&gt;0,"N/A - See DMRs",IF(SUMIFS('Raw TRI Data'!$Z:$Z,'Raw TRI Data'!$J:$J,$E257)&gt;0,_xlfn.MAXIFS('Raw TRI Data'!$Z:$Z,'Raw TRI Data'!$J:$J,$E257), "N/A - Facility Does Not Report to TRI, no surface water releases, or no Generic Factors available"))</f>
        <v>N/A - Facility Does Not Report to TRI, no surface water releases, or no Generic Factors available</v>
      </c>
      <c r="AB257" s="113" t="str">
        <f t="shared" si="25"/>
        <v>N/A</v>
      </c>
      <c r="AC257" s="136" t="str" cm="1">
        <f t="array" ref="AC257">IF(COUNTIF('Raw Annual DMR Data'!K:K,$E257)&gt;0,"N/A - See DMRs",IF(SUMIFS('Raw TRI Data'!$Z:$Z,'Raw TRI Data'!$J:$J,$E257)&gt;0,INDEX('Raw TRI Data'!$A:$A,MATCH(1,($E257='Raw TRI Data'!$J:$J)*($AA257='Raw TRI Data'!$Z:$Z),0)), "N/A - Facility Does Not Report to TRI, no surface water releases, or no Generic Factors available"))</f>
        <v>N/A - Facility Does Not Report to TRI, no surface water releases, or no Generic Factors available</v>
      </c>
      <c r="AD257" s="96" t="str" cm="1">
        <f t="array" ref="AD257">IF(COUNTIFS('Raw Annual DMR Data'!L:L,$F257,'Raw Annual DMR Data'!W:W, "&gt;0")&gt;0,MEDIAN(IF('Raw Annual DMR Data'!K:K=$F257, 'Raw Annual DMR Data'!W:W)), "N/A - No Daily Max DMR Discharge Data")</f>
        <v>N/A - No Daily Max DMR Discharge Data</v>
      </c>
      <c r="AE257" s="96" t="str">
        <f>IF(COUNTIFS('Raw Annual DMR Data'!L:L,$F257,'Raw Annual DMR Data'!W:W, "&gt;0")&gt;0,_xlfn.MAXIFS('Raw Annual DMR Data'!W:W,'Raw Annual DMR Data'!L:L,$F257), "N/A - No Daily Max DMR Discharge Data")</f>
        <v>N/A - No Daily Max DMR Discharge Data</v>
      </c>
      <c r="AF257" s="60" t="str" cm="1">
        <f t="array" ref="AF257">IF(COUNTIFS('Raw Annual DMR Data'!L:L,$F257,'Raw Annual DMR Data'!W:W, "&gt;0")&gt;0,INDEX('Raw Annual DMR Data'!B:B,MATCH(1,($F257='Raw Annual DMR Data'!L:L)*($AE257='Raw Annual DMR Data'!W:W),0)), "N/A - No Daily Max DMR Discharge Data")</f>
        <v>N/A - No Daily Max DMR Discharge Data</v>
      </c>
    </row>
    <row r="258" spans="1:32" ht="45.75" thickBot="1" x14ac:dyDescent="0.3">
      <c r="A258" s="144" t="str">
        <f>VLOOKUP(F258,'Facility Summary'!J:K,2,FALSE)</f>
        <v>POTW</v>
      </c>
      <c r="B258" s="28" t="s">
        <v>1196</v>
      </c>
      <c r="C258" s="28" t="s">
        <v>1197</v>
      </c>
      <c r="D258" s="28" t="s">
        <v>1171</v>
      </c>
      <c r="E258" s="28"/>
      <c r="F258" s="61">
        <v>110000867054</v>
      </c>
      <c r="G258" s="60" t="str">
        <f>VLOOKUP($F258, 'Raw Annual DMR Data'!$A:$Z, 24, FALSE)</f>
        <v>HI0021296</v>
      </c>
      <c r="H258" s="60" t="str">
        <f>VLOOKUP($F258, 'Raw Annual DMR Data'!$A:$Z, 25, FALSE)</f>
        <v>PACIFIC OCEAN</v>
      </c>
      <c r="I258" s="74">
        <f>VLOOKUP($F258, 'Raw Annual DMR Data'!$A:$Z, 26, FALSE)</f>
        <v>20060000001124</v>
      </c>
      <c r="J258" s="74" t="s">
        <v>265</v>
      </c>
      <c r="K258" s="60">
        <f>VLOOKUP(A258, 'OES Summary'!$A:$B, 2, FALSE)</f>
        <v>365</v>
      </c>
      <c r="L258" s="304" cm="1">
        <f t="array" ref="L258">IF(COUNTIF('Raw Annual DMR Data'!$L:$L,$F258)&gt;0,MEDIAN(IF('Raw Annual DMR Data'!$L:$L=F258,'Raw Annual DMR Data'!$S:$S)),"N/A - Facility Does Not Report DMRs")</f>
        <v>0.3657504546</v>
      </c>
      <c r="M258" s="156">
        <f t="shared" si="23"/>
        <v>1.0020560399999999E-3</v>
      </c>
      <c r="N258" s="156">
        <f>IF(COUNTIF('Raw Annual DMR Data'!$L:$L,$F258)&gt;0,_xlfn.MAXIFS('Raw Annual DMR Data'!$S:$S,'Raw Annual DMR Data'!$L:$L,$F258), "N/A - Facility Does Not Report DMRs")</f>
        <v>0.3657504546</v>
      </c>
      <c r="O258" s="156">
        <f t="shared" si="24"/>
        <v>1.0020560399999999E-3</v>
      </c>
      <c r="P258" s="113" cm="1">
        <f t="array" ref="P258">IF(COUNTIF('Raw Annual DMR Data'!$L:$L,$F258)&gt;0,INDEX('Raw Annual DMR Data'!$B:$B,MATCH(1,($F258='Raw Annual DMR Data'!$L:$L)*($N258='Raw Annual DMR Data'!$S:$S),0)), "N/A - Facility Does Not Report DMRs")</f>
        <v>2015</v>
      </c>
      <c r="Q258" s="304" t="str" cm="1">
        <f t="array" ref="Q258">IF(COUNTIF('Raw TRI Data'!$J:$J,$E258)&gt;0,MEDIAN(IF('Raw TRI Data'!$J:$J=E258,'Raw TRI Data'!$S:$S)), "N/A - Facility Does Not Report to TRI")</f>
        <v>N/A - Facility Does Not Report to TRI</v>
      </c>
      <c r="R258" s="156" t="str">
        <f t="shared" ref="R258:R321" si="26">IFERROR(+Q258/$K258, "N/A - Facility Does Not Report to TRI")</f>
        <v>N/A - Facility Does Not Report to TRI</v>
      </c>
      <c r="S258" s="156" t="str">
        <f>IF(COUNTIF('Raw TRI Data'!$J:$J,$E258)&gt;0,_xlfn.MAXIFS('Raw TRI Data'!$S:$S,'Raw TRI Data'!$J:$J,$E258), "N/A - Facility Does Not Report to TRI")</f>
        <v>N/A - Facility Does Not Report to TRI</v>
      </c>
      <c r="T258" s="156" t="str">
        <f t="shared" ref="T258:T321" si="27">IFERROR(+S258/$K258, "N/A - Facility Does Not Report to TRI")</f>
        <v>N/A - Facility Does Not Report to TRI</v>
      </c>
      <c r="U258" s="136" t="str" cm="1">
        <f t="array" ref="U258">IF(COUNTIF('Raw TRI Data'!$J:$J,$E258)&gt;0,INDEX('Raw TRI Data'!$A:$A,MATCH(1,($E258='Raw TRI Data'!$J:$J)*(S258='Raw TRI Data'!$S:$S),0)), "N/A - Facility Does Not Report to TRI")</f>
        <v>N/A - Facility Does Not Report to TRI</v>
      </c>
      <c r="V258" s="156" t="str" cm="1">
        <f t="array" ref="V258">IF(COUNTIFS('Raw Annual DMR Data'!$L:$L,$F258,'Raw Annual DMR Data'!$U:$U,"&gt;0")&gt;0,MEDIAN(IF('Raw Annual DMR Data'!$L:$L=$F258,'Raw Annual DMR Data'!$U:$U,"")),"N/A - Period DMR Data Not Available")</f>
        <v>N/A - Period DMR Data Not Available</v>
      </c>
      <c r="W258" s="156" t="str">
        <f>IF(COUNTIFS('Raw Annual DMR Data'!$L:$L,$F258, 'Raw Annual DMR Data'!$U:$U, "&gt;0")&gt;0,_xlfn.MAXIFS('Raw Annual DMR Data'!$U:$U,'Raw Annual DMR Data'!$L:$L,$F258), "N/A - Period DMR Data Not Available")</f>
        <v>N/A - Period DMR Data Not Available</v>
      </c>
      <c r="X258" s="113" t="str" cm="1">
        <f t="array" ref="X258">+IF(COUNTIFS('Raw Annual DMR Data'!L:L,$F258, 'Raw Annual DMR Data'!U:U, "&gt;0")&gt;0,INDEX('Raw Annual DMR Data'!V:V,MATCH(1,($F258='Raw Annual DMR Data'!L:L)*($W258='Raw Annual DMR Data'!U:U),0)), "N/A - Period DMR Data Not Available")</f>
        <v>N/A - Period DMR Data Not Available</v>
      </c>
      <c r="Y258" s="113" t="str" cm="1">
        <f t="array" ref="Y258">IF(COUNTIFS('Raw Annual DMR Data'!L:L,$F258, 'Raw Annual DMR Data'!U:U, "&gt;0")&gt;0,INDEX('Raw Annual DMR Data'!B:B,MATCH(1,($F258='Raw Annual DMR Data'!L:L)*($W258='Raw Annual DMR Data'!U:U),0)), "N/A - Period DMR Data Not Available")</f>
        <v>N/A - Period DMR Data Not Available</v>
      </c>
      <c r="Z258" s="311" t="str" cm="1">
        <f t="array" ref="Z258">IF(COUNTIF('Raw Annual DMR Data'!K:K,$E258)&gt;0,"N/A - See DMRs",IF(SUMIFS('Raw TRI Data'!$Z:$Z,'Raw TRI Data'!$J:$J,$E258)&gt;0,MEDIAN(IF('Raw TRI Data'!$J:$J=$E258,'Raw TRI Data'!$Z:$Z)), "N/A - Facility Does Not Report to TRI, no surface water releases, or no Generic Factors available"))</f>
        <v>N/A - Facility Does Not Report to TRI, no surface water releases, or no Generic Factors available</v>
      </c>
      <c r="AA258" s="156" t="str">
        <f>IF(COUNTIF('Raw Annual DMR Data'!K:K,$E258)&gt;0,"N/A - See DMRs",IF(SUMIFS('Raw TRI Data'!$Z:$Z,'Raw TRI Data'!$J:$J,$E258)&gt;0,_xlfn.MAXIFS('Raw TRI Data'!$Z:$Z,'Raw TRI Data'!$J:$J,$E258), "N/A - Facility Does Not Report to TRI, no surface water releases, or no Generic Factors available"))</f>
        <v>N/A - Facility Does Not Report to TRI, no surface water releases, or no Generic Factors available</v>
      </c>
      <c r="AB258" s="113" t="str">
        <f t="shared" si="25"/>
        <v>N/A</v>
      </c>
      <c r="AC258" s="136" t="str" cm="1">
        <f t="array" ref="AC258">IF(COUNTIF('Raw Annual DMR Data'!K:K,$E258)&gt;0,"N/A - See DMRs",IF(SUMIFS('Raw TRI Data'!$Z:$Z,'Raw TRI Data'!$J:$J,$E258)&gt;0,INDEX('Raw TRI Data'!$A:$A,MATCH(1,($E258='Raw TRI Data'!$J:$J)*($AA258='Raw TRI Data'!$Z:$Z),0)), "N/A - Facility Does Not Report to TRI, no surface water releases, or no Generic Factors available"))</f>
        <v>N/A - Facility Does Not Report to TRI, no surface water releases, or no Generic Factors available</v>
      </c>
      <c r="AD258" s="96" t="str" cm="1">
        <f t="array" ref="AD258">IF(COUNTIFS('Raw Annual DMR Data'!L:L,$F258,'Raw Annual DMR Data'!W:W, "&gt;0")&gt;0,MEDIAN(IF('Raw Annual DMR Data'!K:K=$F258, 'Raw Annual DMR Data'!W:W)), "N/A - No Daily Max DMR Discharge Data")</f>
        <v>N/A - No Daily Max DMR Discharge Data</v>
      </c>
      <c r="AE258" s="96" t="str">
        <f>IF(COUNTIFS('Raw Annual DMR Data'!L:L,$F258,'Raw Annual DMR Data'!W:W, "&gt;0")&gt;0,_xlfn.MAXIFS('Raw Annual DMR Data'!W:W,'Raw Annual DMR Data'!L:L,$F258), "N/A - No Daily Max DMR Discharge Data")</f>
        <v>N/A - No Daily Max DMR Discharge Data</v>
      </c>
      <c r="AF258" s="60" t="str" cm="1">
        <f t="array" ref="AF258">IF(COUNTIFS('Raw Annual DMR Data'!L:L,$F258,'Raw Annual DMR Data'!W:W, "&gt;0")&gt;0,INDEX('Raw Annual DMR Data'!B:B,MATCH(1,($F258='Raw Annual DMR Data'!L:L)*($AE258='Raw Annual DMR Data'!W:W),0)), "N/A - No Daily Max DMR Discharge Data")</f>
        <v>N/A - No Daily Max DMR Discharge Data</v>
      </c>
    </row>
    <row r="259" spans="1:32" ht="45.75" thickBot="1" x14ac:dyDescent="0.3">
      <c r="A259" s="144" t="str">
        <f>VLOOKUP(F259,'Facility Summary'!J:K,2,FALSE)</f>
        <v>POTW</v>
      </c>
      <c r="B259" s="28" t="s">
        <v>1198</v>
      </c>
      <c r="C259" s="28" t="s">
        <v>1199</v>
      </c>
      <c r="D259" s="28" t="s">
        <v>374</v>
      </c>
      <c r="E259" s="28"/>
      <c r="F259" s="61">
        <v>110010062699</v>
      </c>
      <c r="G259" s="60" t="str">
        <f>VLOOKUP($F259, 'Raw Annual DMR Data'!$A:$Z, 24, FALSE)</f>
        <v>NN0020281</v>
      </c>
      <c r="H259" s="60" t="str">
        <f>VLOOKUP($F259, 'Raw Annual DMR Data'!$A:$Z, 25, FALSE)</f>
        <v>LAGUANA &amp; CHINLE WASH SAN JUAN RVR, LAGUNA WASH</v>
      </c>
      <c r="I259" s="74">
        <f>VLOOKUP($F259, 'Raw Annual DMR Data'!$A:$Z, 26, FALSE)</f>
        <v>14080204000704</v>
      </c>
      <c r="J259" s="74" t="s">
        <v>265</v>
      </c>
      <c r="K259" s="60">
        <f>VLOOKUP(A259, 'OES Summary'!$A:$B, 2, FALSE)</f>
        <v>365</v>
      </c>
      <c r="L259" s="304" cm="1">
        <f t="array" ref="L259">IF(COUNTIF('Raw Annual DMR Data'!$L:$L,$F259)&gt;0,MEDIAN(IF('Raw Annual DMR Data'!$L:$L=F259,'Raw Annual DMR Data'!$S:$S)),"N/A - Facility Does Not Report DMRs")</f>
        <v>0.4885678</v>
      </c>
      <c r="M259" s="156">
        <f t="shared" si="23"/>
        <v>1.3385419178082191E-3</v>
      </c>
      <c r="N259" s="156">
        <f>IF(COUNTIF('Raw Annual DMR Data'!$L:$L,$F259)&gt;0,_xlfn.MAXIFS('Raw Annual DMR Data'!$S:$S,'Raw Annual DMR Data'!$L:$L,$F259), "N/A - Facility Does Not Report DMRs")</f>
        <v>0.57108080000000006</v>
      </c>
      <c r="O259" s="156">
        <f t="shared" si="24"/>
        <v>1.5646049315068496E-3</v>
      </c>
      <c r="P259" s="113" cm="1">
        <f t="array" ref="P259">IF(COUNTIF('Raw Annual DMR Data'!$L:$L,$F259)&gt;0,INDEX('Raw Annual DMR Data'!$B:$B,MATCH(1,($F259='Raw Annual DMR Data'!$L:$L)*($N259='Raw Annual DMR Data'!$S:$S),0)), "N/A - Facility Does Not Report DMRs")</f>
        <v>2018</v>
      </c>
      <c r="Q259" s="304" t="str" cm="1">
        <f t="array" ref="Q259">IF(COUNTIF('Raw TRI Data'!$J:$J,$E259)&gt;0,MEDIAN(IF('Raw TRI Data'!$J:$J=E259,'Raw TRI Data'!$S:$S)), "N/A - Facility Does Not Report to TRI")</f>
        <v>N/A - Facility Does Not Report to TRI</v>
      </c>
      <c r="R259" s="156" t="str">
        <f t="shared" si="26"/>
        <v>N/A - Facility Does Not Report to TRI</v>
      </c>
      <c r="S259" s="156" t="str">
        <f>IF(COUNTIF('Raw TRI Data'!$J:$J,$E259)&gt;0,_xlfn.MAXIFS('Raw TRI Data'!$S:$S,'Raw TRI Data'!$J:$J,$E259), "N/A - Facility Does Not Report to TRI")</f>
        <v>N/A - Facility Does Not Report to TRI</v>
      </c>
      <c r="T259" s="156" t="str">
        <f t="shared" si="27"/>
        <v>N/A - Facility Does Not Report to TRI</v>
      </c>
      <c r="U259" s="136" t="str" cm="1">
        <f t="array" ref="U259">IF(COUNTIF('Raw TRI Data'!$J:$J,$E259)&gt;0,INDEX('Raw TRI Data'!$A:$A,MATCH(1,($E259='Raw TRI Data'!$J:$J)*(S259='Raw TRI Data'!$S:$S),0)), "N/A - Facility Does Not Report to TRI")</f>
        <v>N/A - Facility Does Not Report to TRI</v>
      </c>
      <c r="V259" s="156" t="str" cm="1">
        <f t="array" ref="V259">IF(COUNTIFS('Raw Annual DMR Data'!$L:$L,$F259,'Raw Annual DMR Data'!$U:$U,"&gt;0")&gt;0,MEDIAN(IF('Raw Annual DMR Data'!$L:$L=$F259,'Raw Annual DMR Data'!$U:$U,"")),"N/A - Period DMR Data Not Available")</f>
        <v>N/A - Period DMR Data Not Available</v>
      </c>
      <c r="W259" s="156" t="str">
        <f>IF(COUNTIFS('Raw Annual DMR Data'!$L:$L,$F259, 'Raw Annual DMR Data'!$U:$U, "&gt;0")&gt;0,_xlfn.MAXIFS('Raw Annual DMR Data'!$U:$U,'Raw Annual DMR Data'!$L:$L,$F259), "N/A - Period DMR Data Not Available")</f>
        <v>N/A - Period DMR Data Not Available</v>
      </c>
      <c r="X259" s="113" t="str" cm="1">
        <f t="array" ref="X259">+IF(COUNTIFS('Raw Annual DMR Data'!L:L,$F259, 'Raw Annual DMR Data'!U:U, "&gt;0")&gt;0,INDEX('Raw Annual DMR Data'!V:V,MATCH(1,($F259='Raw Annual DMR Data'!L:L)*($W259='Raw Annual DMR Data'!U:U),0)), "N/A - Period DMR Data Not Available")</f>
        <v>N/A - Period DMR Data Not Available</v>
      </c>
      <c r="Y259" s="113" t="str" cm="1">
        <f t="array" ref="Y259">IF(COUNTIFS('Raw Annual DMR Data'!L:L,$F259, 'Raw Annual DMR Data'!U:U, "&gt;0")&gt;0,INDEX('Raw Annual DMR Data'!B:B,MATCH(1,($F259='Raw Annual DMR Data'!L:L)*($W259='Raw Annual DMR Data'!U:U),0)), "N/A - Period DMR Data Not Available")</f>
        <v>N/A - Period DMR Data Not Available</v>
      </c>
      <c r="Z259" s="311" t="str" cm="1">
        <f t="array" ref="Z259">IF(COUNTIF('Raw Annual DMR Data'!K:K,$E259)&gt;0,"N/A - See DMRs",IF(SUMIFS('Raw TRI Data'!$Z:$Z,'Raw TRI Data'!$J:$J,$E259)&gt;0,MEDIAN(IF('Raw TRI Data'!$J:$J=$E259,'Raw TRI Data'!$Z:$Z)), "N/A - Facility Does Not Report to TRI, no surface water releases, or no Generic Factors available"))</f>
        <v>N/A - Facility Does Not Report to TRI, no surface water releases, or no Generic Factors available</v>
      </c>
      <c r="AA259" s="156" t="str">
        <f>IF(COUNTIF('Raw Annual DMR Data'!K:K,$E259)&gt;0,"N/A - See DMRs",IF(SUMIFS('Raw TRI Data'!$Z:$Z,'Raw TRI Data'!$J:$J,$E259)&gt;0,_xlfn.MAXIFS('Raw TRI Data'!$Z:$Z,'Raw TRI Data'!$J:$J,$E259), "N/A - Facility Does Not Report to TRI, no surface water releases, or no Generic Factors available"))</f>
        <v>N/A - Facility Does Not Report to TRI, no surface water releases, or no Generic Factors available</v>
      </c>
      <c r="AB259" s="113" t="str">
        <f t="shared" si="25"/>
        <v>N/A</v>
      </c>
      <c r="AC259" s="136" t="str" cm="1">
        <f t="array" ref="AC259">IF(COUNTIF('Raw Annual DMR Data'!K:K,$E259)&gt;0,"N/A - See DMRs",IF(SUMIFS('Raw TRI Data'!$Z:$Z,'Raw TRI Data'!$J:$J,$E259)&gt;0,INDEX('Raw TRI Data'!$A:$A,MATCH(1,($E259='Raw TRI Data'!$J:$J)*($AA259='Raw TRI Data'!$Z:$Z),0)), "N/A - Facility Does Not Report to TRI, no surface water releases, or no Generic Factors available"))</f>
        <v>N/A - Facility Does Not Report to TRI, no surface water releases, or no Generic Factors available</v>
      </c>
      <c r="AD259" s="96" t="str" cm="1">
        <f t="array" ref="AD259">IF(COUNTIFS('Raw Annual DMR Data'!L:L,$F259,'Raw Annual DMR Data'!W:W, "&gt;0")&gt;0,MEDIAN(IF('Raw Annual DMR Data'!K:K=$F259, 'Raw Annual DMR Data'!W:W)), "N/A - No Daily Max DMR Discharge Data")</f>
        <v>N/A - No Daily Max DMR Discharge Data</v>
      </c>
      <c r="AE259" s="96" t="str">
        <f>IF(COUNTIFS('Raw Annual DMR Data'!L:L,$F259,'Raw Annual DMR Data'!W:W, "&gt;0")&gt;0,_xlfn.MAXIFS('Raw Annual DMR Data'!W:W,'Raw Annual DMR Data'!L:L,$F259), "N/A - No Daily Max DMR Discharge Data")</f>
        <v>N/A - No Daily Max DMR Discharge Data</v>
      </c>
      <c r="AF259" s="60" t="str" cm="1">
        <f t="array" ref="AF259">IF(COUNTIFS('Raw Annual DMR Data'!L:L,$F259,'Raw Annual DMR Data'!W:W, "&gt;0")&gt;0,INDEX('Raw Annual DMR Data'!B:B,MATCH(1,($F259='Raw Annual DMR Data'!L:L)*($AE259='Raw Annual DMR Data'!W:W),0)), "N/A - No Daily Max DMR Discharge Data")</f>
        <v>N/A - No Daily Max DMR Discharge Data</v>
      </c>
    </row>
    <row r="260" spans="1:32" ht="45.75" thickBot="1" x14ac:dyDescent="0.3">
      <c r="A260" s="144" t="str">
        <f>VLOOKUP(F260,'Facility Summary'!J:K,2,FALSE)</f>
        <v>POTW</v>
      </c>
      <c r="B260" s="28" t="s">
        <v>1200</v>
      </c>
      <c r="C260" s="28" t="s">
        <v>1201</v>
      </c>
      <c r="D260" s="28" t="s">
        <v>324</v>
      </c>
      <c r="E260" s="28"/>
      <c r="F260" s="61">
        <v>110009938737</v>
      </c>
      <c r="G260" s="60" t="str">
        <f>VLOOKUP($F260, 'Raw Annual DMR Data'!$A:$Z, 24, FALSE)</f>
        <v>KY0028312</v>
      </c>
      <c r="H260" s="60" t="str">
        <f>VLOOKUP($F260, 'Raw Annual DMR Data'!$A:$Z, 25, FALSE)</f>
        <v>STEVENS CRK, UT OF STEVENS CREEK</v>
      </c>
      <c r="I260" s="74">
        <f>VLOOKUP($F260, 'Raw Annual DMR Data'!$A:$Z, 26, FALSE)</f>
        <v>5100205000633</v>
      </c>
      <c r="J260" s="74" t="s">
        <v>265</v>
      </c>
      <c r="K260" s="60">
        <f>VLOOKUP(A260, 'OES Summary'!$A:$B, 2, FALSE)</f>
        <v>365</v>
      </c>
      <c r="L260" s="304" cm="1">
        <f t="array" ref="L260">IF(COUNTIF('Raw Annual DMR Data'!$L:$L,$F260)&gt;0,MEDIAN(IF('Raw Annual DMR Data'!$L:$L=F260,'Raw Annual DMR Data'!$S:$S)),"N/A - Facility Does Not Report DMRs")</f>
        <v>0.65795128125000002</v>
      </c>
      <c r="M260" s="156">
        <f t="shared" si="23"/>
        <v>1.8026062500000001E-3</v>
      </c>
      <c r="N260" s="156">
        <f>IF(COUNTIF('Raw Annual DMR Data'!$L:$L,$F260)&gt;0,_xlfn.MAXIFS('Raw Annual DMR Data'!$S:$S,'Raw Annual DMR Data'!$L:$L,$F260), "N/A - Facility Does Not Report DMRs")</f>
        <v>0.65795128125000002</v>
      </c>
      <c r="O260" s="156">
        <f t="shared" si="24"/>
        <v>1.8026062500000001E-3</v>
      </c>
      <c r="P260" s="113" cm="1">
        <f t="array" ref="P260">IF(COUNTIF('Raw Annual DMR Data'!$L:$L,$F260)&gt;0,INDEX('Raw Annual DMR Data'!$B:$B,MATCH(1,($F260='Raw Annual DMR Data'!$L:$L)*($N260='Raw Annual DMR Data'!$S:$S),0)), "N/A - Facility Does Not Report DMRs")</f>
        <v>2019</v>
      </c>
      <c r="Q260" s="304" t="str" cm="1">
        <f t="array" ref="Q260">IF(COUNTIF('Raw TRI Data'!$J:$J,$E260)&gt;0,MEDIAN(IF('Raw TRI Data'!$J:$J=E260,'Raw TRI Data'!$S:$S)), "N/A - Facility Does Not Report to TRI")</f>
        <v>N/A - Facility Does Not Report to TRI</v>
      </c>
      <c r="R260" s="156" t="str">
        <f t="shared" si="26"/>
        <v>N/A - Facility Does Not Report to TRI</v>
      </c>
      <c r="S260" s="156" t="str">
        <f>IF(COUNTIF('Raw TRI Data'!$J:$J,$E260)&gt;0,_xlfn.MAXIFS('Raw TRI Data'!$S:$S,'Raw TRI Data'!$J:$J,$E260), "N/A - Facility Does Not Report to TRI")</f>
        <v>N/A - Facility Does Not Report to TRI</v>
      </c>
      <c r="T260" s="156" t="str">
        <f t="shared" si="27"/>
        <v>N/A - Facility Does Not Report to TRI</v>
      </c>
      <c r="U260" s="136" t="str" cm="1">
        <f t="array" ref="U260">IF(COUNTIF('Raw TRI Data'!$J:$J,$E260)&gt;0,INDEX('Raw TRI Data'!$A:$A,MATCH(1,($E260='Raw TRI Data'!$J:$J)*(S260='Raw TRI Data'!$S:$S),0)), "N/A - Facility Does Not Report to TRI")</f>
        <v>N/A - Facility Does Not Report to TRI</v>
      </c>
      <c r="V260" s="156" t="str" cm="1">
        <f t="array" ref="V260">IF(COUNTIFS('Raw Annual DMR Data'!$L:$L,$F260,'Raw Annual DMR Data'!$U:$U,"&gt;0")&gt;0,MEDIAN(IF('Raw Annual DMR Data'!$L:$L=$F260,'Raw Annual DMR Data'!$U:$U,"")),"N/A - Period DMR Data Not Available")</f>
        <v>N/A - Period DMR Data Not Available</v>
      </c>
      <c r="W260" s="156" t="str">
        <f>IF(COUNTIFS('Raw Annual DMR Data'!$L:$L,$F260, 'Raw Annual DMR Data'!$U:$U, "&gt;0")&gt;0,_xlfn.MAXIFS('Raw Annual DMR Data'!$U:$U,'Raw Annual DMR Data'!$L:$L,$F260), "N/A - Period DMR Data Not Available")</f>
        <v>N/A - Period DMR Data Not Available</v>
      </c>
      <c r="X260" s="113" t="str" cm="1">
        <f t="array" ref="X260">+IF(COUNTIFS('Raw Annual DMR Data'!L:L,$F260, 'Raw Annual DMR Data'!U:U, "&gt;0")&gt;0,INDEX('Raw Annual DMR Data'!V:V,MATCH(1,($F260='Raw Annual DMR Data'!L:L)*($W260='Raw Annual DMR Data'!U:U),0)), "N/A - Period DMR Data Not Available")</f>
        <v>N/A - Period DMR Data Not Available</v>
      </c>
      <c r="Y260" s="113" t="str" cm="1">
        <f t="array" ref="Y260">IF(COUNTIFS('Raw Annual DMR Data'!L:L,$F260, 'Raw Annual DMR Data'!U:U, "&gt;0")&gt;0,INDEX('Raw Annual DMR Data'!B:B,MATCH(1,($F260='Raw Annual DMR Data'!L:L)*($W260='Raw Annual DMR Data'!U:U),0)), "N/A - Period DMR Data Not Available")</f>
        <v>N/A - Period DMR Data Not Available</v>
      </c>
      <c r="Z260" s="311" t="str" cm="1">
        <f t="array" ref="Z260">IF(COUNTIF('Raw Annual DMR Data'!K:K,$E260)&gt;0,"N/A - See DMRs",IF(SUMIFS('Raw TRI Data'!$Z:$Z,'Raw TRI Data'!$J:$J,$E260)&gt;0,MEDIAN(IF('Raw TRI Data'!$J:$J=$E260,'Raw TRI Data'!$Z:$Z)), "N/A - Facility Does Not Report to TRI, no surface water releases, or no Generic Factors available"))</f>
        <v>N/A - Facility Does Not Report to TRI, no surface water releases, or no Generic Factors available</v>
      </c>
      <c r="AA260" s="156" t="str">
        <f>IF(COUNTIF('Raw Annual DMR Data'!K:K,$E260)&gt;0,"N/A - See DMRs",IF(SUMIFS('Raw TRI Data'!$Z:$Z,'Raw TRI Data'!$J:$J,$E260)&gt;0,_xlfn.MAXIFS('Raw TRI Data'!$Z:$Z,'Raw TRI Data'!$J:$J,$E260), "N/A - Facility Does Not Report to TRI, no surface water releases, or no Generic Factors available"))</f>
        <v>N/A - Facility Does Not Report to TRI, no surface water releases, or no Generic Factors available</v>
      </c>
      <c r="AB260" s="113" t="str">
        <f t="shared" si="25"/>
        <v>N/A</v>
      </c>
      <c r="AC260" s="136" t="str" cm="1">
        <f t="array" ref="AC260">IF(COUNTIF('Raw Annual DMR Data'!K:K,$E260)&gt;0,"N/A - See DMRs",IF(SUMIFS('Raw TRI Data'!$Z:$Z,'Raw TRI Data'!$J:$J,$E260)&gt;0,INDEX('Raw TRI Data'!$A:$A,MATCH(1,($E260='Raw TRI Data'!$J:$J)*($AA260='Raw TRI Data'!$Z:$Z),0)), "N/A - Facility Does Not Report to TRI, no surface water releases, or no Generic Factors available"))</f>
        <v>N/A - Facility Does Not Report to TRI, no surface water releases, or no Generic Factors available</v>
      </c>
      <c r="AD260" s="96" t="str" cm="1">
        <f t="array" ref="AD260">IF(COUNTIFS('Raw Annual DMR Data'!L:L,$F260,'Raw Annual DMR Data'!W:W, "&gt;0")&gt;0,MEDIAN(IF('Raw Annual DMR Data'!K:K=$F260, 'Raw Annual DMR Data'!W:W)), "N/A - No Daily Max DMR Discharge Data")</f>
        <v>N/A - No Daily Max DMR Discharge Data</v>
      </c>
      <c r="AE260" s="96" t="str">
        <f>IF(COUNTIFS('Raw Annual DMR Data'!L:L,$F260,'Raw Annual DMR Data'!W:W, "&gt;0")&gt;0,_xlfn.MAXIFS('Raw Annual DMR Data'!W:W,'Raw Annual DMR Data'!L:L,$F260), "N/A - No Daily Max DMR Discharge Data")</f>
        <v>N/A - No Daily Max DMR Discharge Data</v>
      </c>
      <c r="AF260" s="60" t="str" cm="1">
        <f t="array" ref="AF260">IF(COUNTIFS('Raw Annual DMR Data'!L:L,$F260,'Raw Annual DMR Data'!W:W, "&gt;0")&gt;0,INDEX('Raw Annual DMR Data'!B:B,MATCH(1,($F260='Raw Annual DMR Data'!L:L)*($AE260='Raw Annual DMR Data'!W:W),0)), "N/A - No Daily Max DMR Discharge Data")</f>
        <v>N/A - No Daily Max DMR Discharge Data</v>
      </c>
    </row>
    <row r="261" spans="1:32" ht="30.75" thickBot="1" x14ac:dyDescent="0.3">
      <c r="A261" s="144" t="str">
        <f>VLOOKUP(F261,'Facility Summary'!J:K,2,FALSE)</f>
        <v>Unknown</v>
      </c>
      <c r="B261" s="28" t="s">
        <v>1202</v>
      </c>
      <c r="C261" s="28" t="s">
        <v>1203</v>
      </c>
      <c r="D261" s="28" t="s">
        <v>491</v>
      </c>
      <c r="E261" s="28" t="s">
        <v>722</v>
      </c>
      <c r="F261" s="61">
        <v>110000538525</v>
      </c>
      <c r="G261" s="60" t="str">
        <f>VLOOKUP($F261, 'Raw Annual DMR Data'!$A:$Z, 24, FALSE)</f>
        <v>PA0002062</v>
      </c>
      <c r="H261" s="60" t="str">
        <f>VLOOKUP($F261, 'Raw Annual DMR Data'!$A:$Z, 25, FALSE)</f>
        <v>ALLEGHENY RIVER, CROOKED CREEK, PLUM CREEK, UNNAMED STREAM, UNNAMED TRIB TO CROOKED CREEK, UNNAMED TRIB TO PLUM CREEK</v>
      </c>
      <c r="I261" s="74">
        <f>VLOOKUP($F261, 'Raw Annual DMR Data'!$A:$Z, 26, FALSE)</f>
        <v>5010006001748</v>
      </c>
      <c r="J261" s="74" t="s">
        <v>265</v>
      </c>
      <c r="K261" s="60">
        <f>VLOOKUP(A261, 'OES Summary'!$A:$B, 2, FALSE)</f>
        <v>250</v>
      </c>
      <c r="L261" s="304" cm="1">
        <f t="array" ref="L261">IF(COUNTIF('Raw Annual DMR Data'!$L:$L,$F261)&gt;0,MEDIAN(IF('Raw Annual DMR Data'!$L:$L=F261,'Raw Annual DMR Data'!$S:$S)),"N/A - Facility Does Not Report DMRs")</f>
        <v>2.8083086643750002</v>
      </c>
      <c r="M261" s="156">
        <f t="shared" ref="M261:M324" si="28">IFERROR(+L261/$K261, "N/A - Facility Does Not Report DMRs")</f>
        <v>1.1233234657500001E-2</v>
      </c>
      <c r="N261" s="156">
        <f>IF(COUNTIF('Raw Annual DMR Data'!$L:$L,$F261)&gt;0,_xlfn.MAXIFS('Raw Annual DMR Data'!$S:$S,'Raw Annual DMR Data'!$L:$L,$F261), "N/A - Facility Does Not Report DMRs")</f>
        <v>3.1764978512500002</v>
      </c>
      <c r="O261" s="156">
        <f t="shared" ref="O261:O324" si="29">IFERROR(+N261/$K261, "N/A - Facility Does Not Report DMRs")</f>
        <v>1.2705991405E-2</v>
      </c>
      <c r="P261" s="113" cm="1">
        <f t="array" ref="P261">IF(COUNTIF('Raw Annual DMR Data'!$L:$L,$F261)&gt;0,INDEX('Raw Annual DMR Data'!$B:$B,MATCH(1,($F261='Raw Annual DMR Data'!$L:$L)*($N261='Raw Annual DMR Data'!$S:$S),0)), "N/A - Facility Does Not Report DMRs")</f>
        <v>2018</v>
      </c>
      <c r="Q261" s="304" t="str" cm="1">
        <f t="array" ref="Q261">IF(COUNTIF('Raw TRI Data'!$J:$J,$E261)&gt;0,MEDIAN(IF('Raw TRI Data'!$J:$J=E261,'Raw TRI Data'!$S:$S)), "N/A - Facility Does Not Report to TRI")</f>
        <v>N/A - Facility Does Not Report to TRI</v>
      </c>
      <c r="R261" s="156" t="str">
        <f t="shared" si="26"/>
        <v>N/A - Facility Does Not Report to TRI</v>
      </c>
      <c r="S261" s="156" t="str">
        <f>IF(COUNTIF('Raw TRI Data'!$J:$J,$E261)&gt;0,_xlfn.MAXIFS('Raw TRI Data'!$S:$S,'Raw TRI Data'!$J:$J,$E261), "N/A - Facility Does Not Report to TRI")</f>
        <v>N/A - Facility Does Not Report to TRI</v>
      </c>
      <c r="T261" s="156" t="str">
        <f t="shared" si="27"/>
        <v>N/A - Facility Does Not Report to TRI</v>
      </c>
      <c r="U261" s="136" t="str" cm="1">
        <f t="array" ref="U261">IF(COUNTIF('Raw TRI Data'!$J:$J,$E261)&gt;0,INDEX('Raw TRI Data'!$A:$A,MATCH(1,($E261='Raw TRI Data'!$J:$J)*(S261='Raw TRI Data'!$S:$S),0)), "N/A - Facility Does Not Report to TRI")</f>
        <v>N/A - Facility Does Not Report to TRI</v>
      </c>
      <c r="V261" s="156" t="str" cm="1">
        <f t="array" ref="V261">IF(COUNTIFS('Raw Annual DMR Data'!$L:$L,$F261,'Raw Annual DMR Data'!$U:$U,"&gt;0")&gt;0,MEDIAN(IF('Raw Annual DMR Data'!$L:$L=$F261,'Raw Annual DMR Data'!$U:$U,"")),"N/A - Period DMR Data Not Available")</f>
        <v>N/A - Period DMR Data Not Available</v>
      </c>
      <c r="W261" s="156" t="str">
        <f>IF(COUNTIFS('Raw Annual DMR Data'!$L:$L,$F261, 'Raw Annual DMR Data'!$U:$U, "&gt;0")&gt;0,_xlfn.MAXIFS('Raw Annual DMR Data'!$U:$U,'Raw Annual DMR Data'!$L:$L,$F261), "N/A - Period DMR Data Not Available")</f>
        <v>N/A - Period DMR Data Not Available</v>
      </c>
      <c r="X261" s="113" t="str" cm="1">
        <f t="array" ref="X261">+IF(COUNTIFS('Raw Annual DMR Data'!L:L,$F261, 'Raw Annual DMR Data'!U:U, "&gt;0")&gt;0,INDEX('Raw Annual DMR Data'!V:V,MATCH(1,($F261='Raw Annual DMR Data'!L:L)*($W261='Raw Annual DMR Data'!U:U),0)), "N/A - Period DMR Data Not Available")</f>
        <v>N/A - Period DMR Data Not Available</v>
      </c>
      <c r="Y261" s="113" t="str" cm="1">
        <f t="array" ref="Y261">IF(COUNTIFS('Raw Annual DMR Data'!L:L,$F261, 'Raw Annual DMR Data'!U:U, "&gt;0")&gt;0,INDEX('Raw Annual DMR Data'!B:B,MATCH(1,($F261='Raw Annual DMR Data'!L:L)*($W261='Raw Annual DMR Data'!U:U),0)), "N/A - Period DMR Data Not Available")</f>
        <v>N/A - Period DMR Data Not Available</v>
      </c>
      <c r="Z261" s="311" t="str" cm="1">
        <f t="array" ref="Z261">IF(COUNTIF('Raw Annual DMR Data'!K:K,$E261)&gt;0,"N/A - See DMRs",IF(SUMIFS('Raw TRI Data'!$Z:$Z,'Raw TRI Data'!$J:$J,$E261)&gt;0,MEDIAN(IF('Raw TRI Data'!$J:$J=$E261,'Raw TRI Data'!$Z:$Z)), "N/A - Facility Does Not Report to TRI, no surface water releases, or no Generic Factors available"))</f>
        <v>N/A - See DMRs</v>
      </c>
      <c r="AA261" s="156" t="str">
        <f>IF(COUNTIF('Raw Annual DMR Data'!K:K,$E261)&gt;0,"N/A - See DMRs",IF(SUMIFS('Raw TRI Data'!$Z:$Z,'Raw TRI Data'!$J:$J,$E261)&gt;0,_xlfn.MAXIFS('Raw TRI Data'!$Z:$Z,'Raw TRI Data'!$J:$J,$E261), "N/A - Facility Does Not Report to TRI, no surface water releases, or no Generic Factors available"))</f>
        <v>N/A - See DMRs</v>
      </c>
      <c r="AB261" s="113" t="str">
        <f t="shared" ref="AB261:AB324" si="30">IF(ISNUMBER(AA261),30,"N/A")</f>
        <v>N/A</v>
      </c>
      <c r="AC261" s="136" t="str" cm="1">
        <f t="array" ref="AC261">IF(COUNTIF('Raw Annual DMR Data'!K:K,$E261)&gt;0,"N/A - See DMRs",IF(SUMIFS('Raw TRI Data'!$Z:$Z,'Raw TRI Data'!$J:$J,$E261)&gt;0,INDEX('Raw TRI Data'!$A:$A,MATCH(1,($E261='Raw TRI Data'!$J:$J)*($AA261='Raw TRI Data'!$Z:$Z),0)), "N/A - Facility Does Not Report to TRI, no surface water releases, or no Generic Factors available"))</f>
        <v>N/A - See DMRs</v>
      </c>
      <c r="AD261" s="96" t="str" cm="1">
        <f t="array" ref="AD261">IF(COUNTIFS('Raw Annual DMR Data'!L:L,$F261,'Raw Annual DMR Data'!W:W, "&gt;0")&gt;0,MEDIAN(IF('Raw Annual DMR Data'!K:K=$F261, 'Raw Annual DMR Data'!W:W)), "N/A - No Daily Max DMR Discharge Data")</f>
        <v>N/A - No Daily Max DMR Discharge Data</v>
      </c>
      <c r="AE261" s="96" t="str">
        <f>IF(COUNTIFS('Raw Annual DMR Data'!L:L,$F261,'Raw Annual DMR Data'!W:W, "&gt;0")&gt;0,_xlfn.MAXIFS('Raw Annual DMR Data'!W:W,'Raw Annual DMR Data'!L:L,$F261), "N/A - No Daily Max DMR Discharge Data")</f>
        <v>N/A - No Daily Max DMR Discharge Data</v>
      </c>
      <c r="AF261" s="60" t="str" cm="1">
        <f t="array" ref="AF261">IF(COUNTIFS('Raw Annual DMR Data'!L:L,$F261,'Raw Annual DMR Data'!W:W, "&gt;0")&gt;0,INDEX('Raw Annual DMR Data'!B:B,MATCH(1,($F261='Raw Annual DMR Data'!L:L)*($AE261='Raw Annual DMR Data'!W:W),0)), "N/A - No Daily Max DMR Discharge Data")</f>
        <v>N/A - No Daily Max DMR Discharge Data</v>
      </c>
    </row>
    <row r="262" spans="1:32" ht="45.75" thickBot="1" x14ac:dyDescent="0.3">
      <c r="A262" s="144" t="str">
        <f>VLOOKUP(F262,'Facility Summary'!J:K,2,FALSE)</f>
        <v>POTW</v>
      </c>
      <c r="B262" s="28" t="s">
        <v>1204</v>
      </c>
      <c r="C262" s="28" t="s">
        <v>1205</v>
      </c>
      <c r="D262" s="28" t="s">
        <v>374</v>
      </c>
      <c r="E262" s="28"/>
      <c r="F262" s="61">
        <v>110015944077</v>
      </c>
      <c r="G262" s="60" t="str">
        <f>VLOOKUP($F262, 'Raw Annual DMR Data'!$A:$Z, 24, FALSE)</f>
        <v>AZ0025844</v>
      </c>
      <c r="H262" s="60">
        <f>VLOOKUP($F262, 'Raw Annual DMR Data'!$A:$Z, 25, FALSE)</f>
        <v>0</v>
      </c>
      <c r="I262" s="74">
        <f>VLOOKUP($F262, 'Raw Annual DMR Data'!$A:$Z, 26, FALSE)</f>
        <v>15060106000281</v>
      </c>
      <c r="J262" s="74" t="s">
        <v>265</v>
      </c>
      <c r="K262" s="60">
        <f>VLOOKUP(A262, 'OES Summary'!$A:$B, 2, FALSE)</f>
        <v>365</v>
      </c>
      <c r="L262" s="304" cm="1">
        <f t="array" ref="L262">IF(COUNTIF('Raw Annual DMR Data'!$L:$L,$F262)&gt;0,MEDIAN(IF('Raw Annual DMR Data'!$L:$L=F262,'Raw Annual DMR Data'!$S:$S)),"N/A - Facility Does Not Report DMRs")</f>
        <v>1.2009824776625002</v>
      </c>
      <c r="M262" s="156">
        <f t="shared" si="28"/>
        <v>3.2903629525000005E-3</v>
      </c>
      <c r="N262" s="156">
        <f>IF(COUNTIF('Raw Annual DMR Data'!$L:$L,$F262)&gt;0,_xlfn.MAXIFS('Raw Annual DMR Data'!$S:$S,'Raw Annual DMR Data'!$L:$L,$F262), "N/A - Facility Does Not Report DMRs")</f>
        <v>2.3997089250000001</v>
      </c>
      <c r="O262" s="156">
        <f t="shared" si="29"/>
        <v>6.5745450000000002E-3</v>
      </c>
      <c r="P262" s="113" cm="1">
        <f t="array" ref="P262">IF(COUNTIF('Raw Annual DMR Data'!$L:$L,$F262)&gt;0,INDEX('Raw Annual DMR Data'!$B:$B,MATCH(1,($F262='Raw Annual DMR Data'!$L:$L)*($N262='Raw Annual DMR Data'!$S:$S),0)), "N/A - Facility Does Not Report DMRs")</f>
        <v>2018</v>
      </c>
      <c r="Q262" s="304" t="str" cm="1">
        <f t="array" ref="Q262">IF(COUNTIF('Raw TRI Data'!$J:$J,$E262)&gt;0,MEDIAN(IF('Raw TRI Data'!$J:$J=E262,'Raw TRI Data'!$S:$S)), "N/A - Facility Does Not Report to TRI")</f>
        <v>N/A - Facility Does Not Report to TRI</v>
      </c>
      <c r="R262" s="156" t="str">
        <f t="shared" si="26"/>
        <v>N/A - Facility Does Not Report to TRI</v>
      </c>
      <c r="S262" s="156" t="str">
        <f>IF(COUNTIF('Raw TRI Data'!$J:$J,$E262)&gt;0,_xlfn.MAXIFS('Raw TRI Data'!$S:$S,'Raw TRI Data'!$J:$J,$E262), "N/A - Facility Does Not Report to TRI")</f>
        <v>N/A - Facility Does Not Report to TRI</v>
      </c>
      <c r="T262" s="156" t="str">
        <f t="shared" si="27"/>
        <v>N/A - Facility Does Not Report to TRI</v>
      </c>
      <c r="U262" s="136" t="str" cm="1">
        <f t="array" ref="U262">IF(COUNTIF('Raw TRI Data'!$J:$J,$E262)&gt;0,INDEX('Raw TRI Data'!$A:$A,MATCH(1,($E262='Raw TRI Data'!$J:$J)*(S262='Raw TRI Data'!$S:$S),0)), "N/A - Facility Does Not Report to TRI")</f>
        <v>N/A - Facility Does Not Report to TRI</v>
      </c>
      <c r="V262" s="156" t="str" cm="1">
        <f t="array" ref="V262">IF(COUNTIFS('Raw Annual DMR Data'!$L:$L,$F262,'Raw Annual DMR Data'!$U:$U,"&gt;0")&gt;0,MEDIAN(IF('Raw Annual DMR Data'!$L:$L=$F262,'Raw Annual DMR Data'!$U:$U,"")),"N/A - Period DMR Data Not Available")</f>
        <v>N/A - Period DMR Data Not Available</v>
      </c>
      <c r="W262" s="156" t="str">
        <f>IF(COUNTIFS('Raw Annual DMR Data'!$L:$L,$F262, 'Raw Annual DMR Data'!$U:$U, "&gt;0")&gt;0,_xlfn.MAXIFS('Raw Annual DMR Data'!$U:$U,'Raw Annual DMR Data'!$L:$L,$F262), "N/A - Period DMR Data Not Available")</f>
        <v>N/A - Period DMR Data Not Available</v>
      </c>
      <c r="X262" s="113" t="str" cm="1">
        <f t="array" ref="X262">+IF(COUNTIFS('Raw Annual DMR Data'!L:L,$F262, 'Raw Annual DMR Data'!U:U, "&gt;0")&gt;0,INDEX('Raw Annual DMR Data'!V:V,MATCH(1,($F262='Raw Annual DMR Data'!L:L)*($W262='Raw Annual DMR Data'!U:U),0)), "N/A - Period DMR Data Not Available")</f>
        <v>N/A - Period DMR Data Not Available</v>
      </c>
      <c r="Y262" s="113" t="str" cm="1">
        <f t="array" ref="Y262">IF(COUNTIFS('Raw Annual DMR Data'!L:L,$F262, 'Raw Annual DMR Data'!U:U, "&gt;0")&gt;0,INDEX('Raw Annual DMR Data'!B:B,MATCH(1,($F262='Raw Annual DMR Data'!L:L)*($W262='Raw Annual DMR Data'!U:U),0)), "N/A - Period DMR Data Not Available")</f>
        <v>N/A - Period DMR Data Not Available</v>
      </c>
      <c r="Z262" s="311" t="str" cm="1">
        <f t="array" ref="Z262">IF(COUNTIF('Raw Annual DMR Data'!K:K,$E262)&gt;0,"N/A - See DMRs",IF(SUMIFS('Raw TRI Data'!$Z:$Z,'Raw TRI Data'!$J:$J,$E262)&gt;0,MEDIAN(IF('Raw TRI Data'!$J:$J=$E262,'Raw TRI Data'!$Z:$Z)), "N/A - Facility Does Not Report to TRI, no surface water releases, or no Generic Factors available"))</f>
        <v>N/A - Facility Does Not Report to TRI, no surface water releases, or no Generic Factors available</v>
      </c>
      <c r="AA262" s="156" t="str">
        <f>IF(COUNTIF('Raw Annual DMR Data'!K:K,$E262)&gt;0,"N/A - See DMRs",IF(SUMIFS('Raw TRI Data'!$Z:$Z,'Raw TRI Data'!$J:$J,$E262)&gt;0,_xlfn.MAXIFS('Raw TRI Data'!$Z:$Z,'Raw TRI Data'!$J:$J,$E262), "N/A - Facility Does Not Report to TRI, no surface water releases, or no Generic Factors available"))</f>
        <v>N/A - Facility Does Not Report to TRI, no surface water releases, or no Generic Factors available</v>
      </c>
      <c r="AB262" s="113" t="str">
        <f t="shared" si="30"/>
        <v>N/A</v>
      </c>
      <c r="AC262" s="136" t="str" cm="1">
        <f t="array" ref="AC262">IF(COUNTIF('Raw Annual DMR Data'!K:K,$E262)&gt;0,"N/A - See DMRs",IF(SUMIFS('Raw TRI Data'!$Z:$Z,'Raw TRI Data'!$J:$J,$E262)&gt;0,INDEX('Raw TRI Data'!$A:$A,MATCH(1,($E262='Raw TRI Data'!$J:$J)*($AA262='Raw TRI Data'!$Z:$Z),0)), "N/A - Facility Does Not Report to TRI, no surface water releases, or no Generic Factors available"))</f>
        <v>N/A - Facility Does Not Report to TRI, no surface water releases, or no Generic Factors available</v>
      </c>
      <c r="AD262" s="96" t="str" cm="1">
        <f t="array" ref="AD262">IF(COUNTIFS('Raw Annual DMR Data'!L:L,$F262,'Raw Annual DMR Data'!W:W, "&gt;0")&gt;0,MEDIAN(IF('Raw Annual DMR Data'!K:K=$F262, 'Raw Annual DMR Data'!W:W)), "N/A - No Daily Max DMR Discharge Data")</f>
        <v>N/A - No Daily Max DMR Discharge Data</v>
      </c>
      <c r="AE262" s="96" t="str">
        <f>IF(COUNTIFS('Raw Annual DMR Data'!L:L,$F262,'Raw Annual DMR Data'!W:W, "&gt;0")&gt;0,_xlfn.MAXIFS('Raw Annual DMR Data'!W:W,'Raw Annual DMR Data'!L:L,$F262), "N/A - No Daily Max DMR Discharge Data")</f>
        <v>N/A - No Daily Max DMR Discharge Data</v>
      </c>
      <c r="AF262" s="60" t="str" cm="1">
        <f t="array" ref="AF262">IF(COUNTIFS('Raw Annual DMR Data'!L:L,$F262,'Raw Annual DMR Data'!W:W, "&gt;0")&gt;0,INDEX('Raw Annual DMR Data'!B:B,MATCH(1,($F262='Raw Annual DMR Data'!L:L)*($AE262='Raw Annual DMR Data'!W:W),0)), "N/A - No Daily Max DMR Discharge Data")</f>
        <v>N/A - No Daily Max DMR Discharge Data</v>
      </c>
    </row>
    <row r="263" spans="1:32" ht="45.75" thickBot="1" x14ac:dyDescent="0.3">
      <c r="A263" s="144" t="str">
        <f>VLOOKUP(F263,'Facility Summary'!J:K,2,FALSE)</f>
        <v>POTW</v>
      </c>
      <c r="B263" s="28" t="s">
        <v>1206</v>
      </c>
      <c r="C263" s="28" t="s">
        <v>1207</v>
      </c>
      <c r="D263" s="28" t="s">
        <v>324</v>
      </c>
      <c r="E263" s="28"/>
      <c r="F263" s="61">
        <v>110002108059</v>
      </c>
      <c r="G263" s="60" t="str">
        <f>VLOOKUP($F263, 'Raw Annual DMR Data'!$A:$Z, 24, FALSE)</f>
        <v>KY0040126</v>
      </c>
      <c r="H263" s="60" t="str">
        <f>VLOOKUP($F263, 'Raw Annual DMR Data'!$A:$Z, 25, FALSE)</f>
        <v>NORTH FORK / CEDAR CRK, NORTH FORK OF CEDAR CREEK</v>
      </c>
      <c r="I263" s="74" t="str">
        <f>VLOOKUP($F263, 'Raw Annual DMR Data'!$A:$Z, 26, FALSE)</f>
        <v>05140101000459</v>
      </c>
      <c r="J263" s="74" t="s">
        <v>265</v>
      </c>
      <c r="K263" s="60">
        <f>VLOOKUP(A263, 'OES Summary'!$A:$B, 2, FALSE)</f>
        <v>365</v>
      </c>
      <c r="L263" s="304" cm="1">
        <f t="array" ref="L263">IF(COUNTIF('Raw Annual DMR Data'!$L:$L,$F263)&gt;0,MEDIAN(IF('Raw Annual DMR Data'!$L:$L=F263,'Raw Annual DMR Data'!$S:$S)),"N/A - Facility Does Not Report DMRs")</f>
        <v>2.2881507812500002</v>
      </c>
      <c r="M263" s="156">
        <f t="shared" si="28"/>
        <v>6.2689062500000002E-3</v>
      </c>
      <c r="N263" s="156">
        <f>IF(COUNTIF('Raw Annual DMR Data'!$L:$L,$F263)&gt;0,_xlfn.MAXIFS('Raw Annual DMR Data'!$S:$S,'Raw Annual DMR Data'!$L:$L,$F263), "N/A - Facility Does Not Report DMRs")</f>
        <v>2.7526885624999999</v>
      </c>
      <c r="O263" s="156">
        <f t="shared" si="29"/>
        <v>7.5416125000000002E-3</v>
      </c>
      <c r="P263" s="113" cm="1">
        <f t="array" ref="P263">IF(COUNTIF('Raw Annual DMR Data'!$L:$L,$F263)&gt;0,INDEX('Raw Annual DMR Data'!$B:$B,MATCH(1,($F263='Raw Annual DMR Data'!$L:$L)*($N263='Raw Annual DMR Data'!$S:$S),0)), "N/A - Facility Does Not Report DMRs")</f>
        <v>2018</v>
      </c>
      <c r="Q263" s="304" t="str" cm="1">
        <f t="array" ref="Q263">IF(COUNTIF('Raw TRI Data'!$J:$J,$E263)&gt;0,MEDIAN(IF('Raw TRI Data'!$J:$J=E263,'Raw TRI Data'!$S:$S)), "N/A - Facility Does Not Report to TRI")</f>
        <v>N/A - Facility Does Not Report to TRI</v>
      </c>
      <c r="R263" s="156" t="str">
        <f t="shared" si="26"/>
        <v>N/A - Facility Does Not Report to TRI</v>
      </c>
      <c r="S263" s="156" t="str">
        <f>IF(COUNTIF('Raw TRI Data'!$J:$J,$E263)&gt;0,_xlfn.MAXIFS('Raw TRI Data'!$S:$S,'Raw TRI Data'!$J:$J,$E263), "N/A - Facility Does Not Report to TRI")</f>
        <v>N/A - Facility Does Not Report to TRI</v>
      </c>
      <c r="T263" s="156" t="str">
        <f t="shared" si="27"/>
        <v>N/A - Facility Does Not Report to TRI</v>
      </c>
      <c r="U263" s="136" t="str" cm="1">
        <f t="array" ref="U263">IF(COUNTIF('Raw TRI Data'!$J:$J,$E263)&gt;0,INDEX('Raw TRI Data'!$A:$A,MATCH(1,($E263='Raw TRI Data'!$J:$J)*(S263='Raw TRI Data'!$S:$S),0)), "N/A - Facility Does Not Report to TRI")</f>
        <v>N/A - Facility Does Not Report to TRI</v>
      </c>
      <c r="V263" s="156" t="str" cm="1">
        <f t="array" ref="V263">IF(COUNTIFS('Raw Annual DMR Data'!$L:$L,$F263,'Raw Annual DMR Data'!$U:$U,"&gt;0")&gt;0,MEDIAN(IF('Raw Annual DMR Data'!$L:$L=$F263,'Raw Annual DMR Data'!$U:$U,"")),"N/A - Period DMR Data Not Available")</f>
        <v>N/A - Period DMR Data Not Available</v>
      </c>
      <c r="W263" s="156" t="str">
        <f>IF(COUNTIFS('Raw Annual DMR Data'!$L:$L,$F263, 'Raw Annual DMR Data'!$U:$U, "&gt;0")&gt;0,_xlfn.MAXIFS('Raw Annual DMR Data'!$U:$U,'Raw Annual DMR Data'!$L:$L,$F263), "N/A - Period DMR Data Not Available")</f>
        <v>N/A - Period DMR Data Not Available</v>
      </c>
      <c r="X263" s="113" t="str" cm="1">
        <f t="array" ref="X263">+IF(COUNTIFS('Raw Annual DMR Data'!L:L,$F263, 'Raw Annual DMR Data'!U:U, "&gt;0")&gt;0,INDEX('Raw Annual DMR Data'!V:V,MATCH(1,($F263='Raw Annual DMR Data'!L:L)*($W263='Raw Annual DMR Data'!U:U),0)), "N/A - Period DMR Data Not Available")</f>
        <v>N/A - Period DMR Data Not Available</v>
      </c>
      <c r="Y263" s="113" t="str" cm="1">
        <f t="array" ref="Y263">IF(COUNTIFS('Raw Annual DMR Data'!L:L,$F263, 'Raw Annual DMR Data'!U:U, "&gt;0")&gt;0,INDEX('Raw Annual DMR Data'!B:B,MATCH(1,($F263='Raw Annual DMR Data'!L:L)*($W263='Raw Annual DMR Data'!U:U),0)), "N/A - Period DMR Data Not Available")</f>
        <v>N/A - Period DMR Data Not Available</v>
      </c>
      <c r="Z263" s="311" t="str" cm="1">
        <f t="array" ref="Z263">IF(COUNTIF('Raw Annual DMR Data'!K:K,$E263)&gt;0,"N/A - See DMRs",IF(SUMIFS('Raw TRI Data'!$Z:$Z,'Raw TRI Data'!$J:$J,$E263)&gt;0,MEDIAN(IF('Raw TRI Data'!$J:$J=$E263,'Raw TRI Data'!$Z:$Z)), "N/A - Facility Does Not Report to TRI, no surface water releases, or no Generic Factors available"))</f>
        <v>N/A - Facility Does Not Report to TRI, no surface water releases, or no Generic Factors available</v>
      </c>
      <c r="AA263" s="156" t="str">
        <f>IF(COUNTIF('Raw Annual DMR Data'!K:K,$E263)&gt;0,"N/A - See DMRs",IF(SUMIFS('Raw TRI Data'!$Z:$Z,'Raw TRI Data'!$J:$J,$E263)&gt;0,_xlfn.MAXIFS('Raw TRI Data'!$Z:$Z,'Raw TRI Data'!$J:$J,$E263), "N/A - Facility Does Not Report to TRI, no surface water releases, or no Generic Factors available"))</f>
        <v>N/A - Facility Does Not Report to TRI, no surface water releases, or no Generic Factors available</v>
      </c>
      <c r="AB263" s="113" t="str">
        <f t="shared" si="30"/>
        <v>N/A</v>
      </c>
      <c r="AC263" s="136" t="str" cm="1">
        <f t="array" ref="AC263">IF(COUNTIF('Raw Annual DMR Data'!K:K,$E263)&gt;0,"N/A - See DMRs",IF(SUMIFS('Raw TRI Data'!$Z:$Z,'Raw TRI Data'!$J:$J,$E263)&gt;0,INDEX('Raw TRI Data'!$A:$A,MATCH(1,($E263='Raw TRI Data'!$J:$J)*($AA263='Raw TRI Data'!$Z:$Z),0)), "N/A - Facility Does Not Report to TRI, no surface water releases, or no Generic Factors available"))</f>
        <v>N/A - Facility Does Not Report to TRI, no surface water releases, or no Generic Factors available</v>
      </c>
      <c r="AD263" s="96" t="str" cm="1">
        <f t="array" ref="AD263">IF(COUNTIFS('Raw Annual DMR Data'!L:L,$F263,'Raw Annual DMR Data'!W:W, "&gt;0")&gt;0,MEDIAN(IF('Raw Annual DMR Data'!K:K=$F263, 'Raw Annual DMR Data'!W:W)), "N/A - No Daily Max DMR Discharge Data")</f>
        <v>N/A - No Daily Max DMR Discharge Data</v>
      </c>
      <c r="AE263" s="96" t="str">
        <f>IF(COUNTIFS('Raw Annual DMR Data'!L:L,$F263,'Raw Annual DMR Data'!W:W, "&gt;0")&gt;0,_xlfn.MAXIFS('Raw Annual DMR Data'!W:W,'Raw Annual DMR Data'!L:L,$F263), "N/A - No Daily Max DMR Discharge Data")</f>
        <v>N/A - No Daily Max DMR Discharge Data</v>
      </c>
      <c r="AF263" s="60" t="str" cm="1">
        <f t="array" ref="AF263">IF(COUNTIFS('Raw Annual DMR Data'!L:L,$F263,'Raw Annual DMR Data'!W:W, "&gt;0")&gt;0,INDEX('Raw Annual DMR Data'!B:B,MATCH(1,($F263='Raw Annual DMR Data'!L:L)*($AE263='Raw Annual DMR Data'!W:W),0)), "N/A - No Daily Max DMR Discharge Data")</f>
        <v>N/A - No Daily Max DMR Discharge Data</v>
      </c>
    </row>
    <row r="264" spans="1:32" ht="45.75" thickBot="1" x14ac:dyDescent="0.3">
      <c r="A264" s="144" t="str">
        <f>VLOOKUP(F264,'Facility Summary'!J:K,2,FALSE)</f>
        <v>Unknown</v>
      </c>
      <c r="B264" s="28" t="s">
        <v>1208</v>
      </c>
      <c r="C264" s="28" t="s">
        <v>446</v>
      </c>
      <c r="D264" s="28" t="s">
        <v>303</v>
      </c>
      <c r="E264" s="28"/>
      <c r="F264" s="61">
        <v>110070227146</v>
      </c>
      <c r="G264" s="60" t="str">
        <f>VLOOKUP($F264, 'Raw Annual DMR Data'!$A:$Z, 24, FALSE)</f>
        <v>LA0127268</v>
      </c>
      <c r="H264" s="60">
        <f>VLOOKUP($F264, 'Raw Annual DMR Data'!$A:$Z, 25, FALSE)</f>
        <v>0</v>
      </c>
      <c r="I264" s="74">
        <f>VLOOKUP($F264, 'Raw Annual DMR Data'!$A:$Z, 26, FALSE)</f>
        <v>8080206000066</v>
      </c>
      <c r="J264" s="74" t="s">
        <v>265</v>
      </c>
      <c r="K264" s="60">
        <f>VLOOKUP(A264, 'OES Summary'!$A:$B, 2, FALSE)</f>
        <v>250</v>
      </c>
      <c r="L264" s="304" cm="1">
        <f t="array" ref="L264">IF(COUNTIF('Raw Annual DMR Data'!$L:$L,$F264)&gt;0,MEDIAN(IF('Raw Annual DMR Data'!$L:$L=F264,'Raw Annual DMR Data'!$S:$S)),"N/A - Facility Does Not Report DMRs")</f>
        <v>4.8832199546485198</v>
      </c>
      <c r="M264" s="156">
        <f t="shared" si="28"/>
        <v>1.9532879818594077E-2</v>
      </c>
      <c r="N264" s="156">
        <f>IF(COUNTIF('Raw Annual DMR Data'!$L:$L,$F264)&gt;0,_xlfn.MAXIFS('Raw Annual DMR Data'!$S:$S,'Raw Annual DMR Data'!$L:$L,$F264), "N/A - Facility Does Not Report DMRs")</f>
        <v>4.8832199546485198</v>
      </c>
      <c r="O264" s="156">
        <f t="shared" si="29"/>
        <v>1.9532879818594077E-2</v>
      </c>
      <c r="P264" s="113" cm="1">
        <f t="array" ref="P264">IF(COUNTIF('Raw Annual DMR Data'!$L:$L,$F264)&gt;0,INDEX('Raw Annual DMR Data'!$B:$B,MATCH(1,($F264='Raw Annual DMR Data'!$L:$L)*($N264='Raw Annual DMR Data'!$S:$S),0)), "N/A - Facility Does Not Report DMRs")</f>
        <v>2019</v>
      </c>
      <c r="Q264" s="304" t="str" cm="1">
        <f t="array" ref="Q264">IF(COUNTIF('Raw TRI Data'!$J:$J,$E264)&gt;0,MEDIAN(IF('Raw TRI Data'!$J:$J=E264,'Raw TRI Data'!$S:$S)), "N/A - Facility Does Not Report to TRI")</f>
        <v>N/A - Facility Does Not Report to TRI</v>
      </c>
      <c r="R264" s="156" t="str">
        <f t="shared" si="26"/>
        <v>N/A - Facility Does Not Report to TRI</v>
      </c>
      <c r="S264" s="156" t="str">
        <f>IF(COUNTIF('Raw TRI Data'!$J:$J,$E264)&gt;0,_xlfn.MAXIFS('Raw TRI Data'!$S:$S,'Raw TRI Data'!$J:$J,$E264), "N/A - Facility Does Not Report to TRI")</f>
        <v>N/A - Facility Does Not Report to TRI</v>
      </c>
      <c r="T264" s="156" t="str">
        <f t="shared" si="27"/>
        <v>N/A - Facility Does Not Report to TRI</v>
      </c>
      <c r="U264" s="136" t="str" cm="1">
        <f t="array" ref="U264">IF(COUNTIF('Raw TRI Data'!$J:$J,$E264)&gt;0,INDEX('Raw TRI Data'!$A:$A,MATCH(1,($E264='Raw TRI Data'!$J:$J)*(S264='Raw TRI Data'!$S:$S),0)), "N/A - Facility Does Not Report to TRI")</f>
        <v>N/A - Facility Does Not Report to TRI</v>
      </c>
      <c r="V264" s="156" t="str" cm="1">
        <f t="array" ref="V264">IF(COUNTIFS('Raw Annual DMR Data'!$L:$L,$F264,'Raw Annual DMR Data'!$U:$U,"&gt;0")&gt;0,MEDIAN(IF('Raw Annual DMR Data'!$L:$L=$F264,'Raw Annual DMR Data'!$U:$U,"")),"N/A - Period DMR Data Not Available")</f>
        <v>N/A - Period DMR Data Not Available</v>
      </c>
      <c r="W264" s="156" t="str">
        <f>IF(COUNTIFS('Raw Annual DMR Data'!$L:$L,$F264, 'Raw Annual DMR Data'!$U:$U, "&gt;0")&gt;0,_xlfn.MAXIFS('Raw Annual DMR Data'!$U:$U,'Raw Annual DMR Data'!$L:$L,$F264), "N/A - Period DMR Data Not Available")</f>
        <v>N/A - Period DMR Data Not Available</v>
      </c>
      <c r="X264" s="113" t="str" cm="1">
        <f t="array" ref="X264">+IF(COUNTIFS('Raw Annual DMR Data'!L:L,$F264, 'Raw Annual DMR Data'!U:U, "&gt;0")&gt;0,INDEX('Raw Annual DMR Data'!V:V,MATCH(1,($F264='Raw Annual DMR Data'!L:L)*($W264='Raw Annual DMR Data'!U:U),0)), "N/A - Period DMR Data Not Available")</f>
        <v>N/A - Period DMR Data Not Available</v>
      </c>
      <c r="Y264" s="113" t="str" cm="1">
        <f t="array" ref="Y264">IF(COUNTIFS('Raw Annual DMR Data'!L:L,$F264, 'Raw Annual DMR Data'!U:U, "&gt;0")&gt;0,INDEX('Raw Annual DMR Data'!B:B,MATCH(1,($F264='Raw Annual DMR Data'!L:L)*($W264='Raw Annual DMR Data'!U:U),0)), "N/A - Period DMR Data Not Available")</f>
        <v>N/A - Period DMR Data Not Available</v>
      </c>
      <c r="Z264" s="311" t="str" cm="1">
        <f t="array" ref="Z264">IF(COUNTIF('Raw Annual DMR Data'!K:K,$E264)&gt;0,"N/A - See DMRs",IF(SUMIFS('Raw TRI Data'!$Z:$Z,'Raw TRI Data'!$J:$J,$E264)&gt;0,MEDIAN(IF('Raw TRI Data'!$J:$J=$E264,'Raw TRI Data'!$Z:$Z)), "N/A - Facility Does Not Report to TRI, no surface water releases, or no Generic Factors available"))</f>
        <v>N/A - Facility Does Not Report to TRI, no surface water releases, or no Generic Factors available</v>
      </c>
      <c r="AA264" s="156" t="str">
        <f>IF(COUNTIF('Raw Annual DMR Data'!K:K,$E264)&gt;0,"N/A - See DMRs",IF(SUMIFS('Raw TRI Data'!$Z:$Z,'Raw TRI Data'!$J:$J,$E264)&gt;0,_xlfn.MAXIFS('Raw TRI Data'!$Z:$Z,'Raw TRI Data'!$J:$J,$E264), "N/A - Facility Does Not Report to TRI, no surface water releases, or no Generic Factors available"))</f>
        <v>N/A - Facility Does Not Report to TRI, no surface water releases, or no Generic Factors available</v>
      </c>
      <c r="AB264" s="113" t="str">
        <f t="shared" si="30"/>
        <v>N/A</v>
      </c>
      <c r="AC264" s="136" t="str" cm="1">
        <f t="array" ref="AC264">IF(COUNTIF('Raw Annual DMR Data'!K:K,$E264)&gt;0,"N/A - See DMRs",IF(SUMIFS('Raw TRI Data'!$Z:$Z,'Raw TRI Data'!$J:$J,$E264)&gt;0,INDEX('Raw TRI Data'!$A:$A,MATCH(1,($E264='Raw TRI Data'!$J:$J)*($AA264='Raw TRI Data'!$Z:$Z),0)), "N/A - Facility Does Not Report to TRI, no surface water releases, or no Generic Factors available"))</f>
        <v>N/A - Facility Does Not Report to TRI, no surface water releases, or no Generic Factors available</v>
      </c>
      <c r="AD264" s="96" t="str" cm="1">
        <f t="array" ref="AD264">IF(COUNTIFS('Raw Annual DMR Data'!L:L,$F264,'Raw Annual DMR Data'!W:W, "&gt;0")&gt;0,MEDIAN(IF('Raw Annual DMR Data'!K:K=$F264, 'Raw Annual DMR Data'!W:W)), "N/A - No Daily Max DMR Discharge Data")</f>
        <v>N/A - No Daily Max DMR Discharge Data</v>
      </c>
      <c r="AE264" s="96" t="str">
        <f>IF(COUNTIFS('Raw Annual DMR Data'!L:L,$F264,'Raw Annual DMR Data'!W:W, "&gt;0")&gt;0,_xlfn.MAXIFS('Raw Annual DMR Data'!W:W,'Raw Annual DMR Data'!L:L,$F264), "N/A - No Daily Max DMR Discharge Data")</f>
        <v>N/A - No Daily Max DMR Discharge Data</v>
      </c>
      <c r="AF264" s="60" t="str" cm="1">
        <f t="array" ref="AF264">IF(COUNTIFS('Raw Annual DMR Data'!L:L,$F264,'Raw Annual DMR Data'!W:W, "&gt;0")&gt;0,INDEX('Raw Annual DMR Data'!B:B,MATCH(1,($F264='Raw Annual DMR Data'!L:L)*($AE264='Raw Annual DMR Data'!W:W),0)), "N/A - No Daily Max DMR Discharge Data")</f>
        <v>N/A - No Daily Max DMR Discharge Data</v>
      </c>
    </row>
    <row r="265" spans="1:32" ht="30.75" thickBot="1" x14ac:dyDescent="0.3">
      <c r="A265" s="144" t="str">
        <f>VLOOKUP(F265,'Facility Summary'!J:K,2,FALSE)</f>
        <v>Unknown</v>
      </c>
      <c r="B265" s="28" t="s">
        <v>1209</v>
      </c>
      <c r="C265" s="28" t="s">
        <v>446</v>
      </c>
      <c r="D265" s="28" t="s">
        <v>303</v>
      </c>
      <c r="E265" s="28" t="s">
        <v>723</v>
      </c>
      <c r="F265" s="61">
        <v>110017418061</v>
      </c>
      <c r="G265" s="60" t="str">
        <f>VLOOKUP($F265, 'Raw Annual DMR Data'!$A:$Z, 24, FALSE)</f>
        <v>LA0003336</v>
      </c>
      <c r="H265" s="60">
        <f>VLOOKUP($F265, 'Raw Annual DMR Data'!$A:$Z, 25, FALSE)</f>
        <v>315</v>
      </c>
      <c r="I265" s="74">
        <f>VLOOKUP($F265, 'Raw Annual DMR Data'!$A:$Z, 26, FALSE)</f>
        <v>8080206001238</v>
      </c>
      <c r="J265" s="74" t="s">
        <v>265</v>
      </c>
      <c r="K265" s="60">
        <f>VLOOKUP(A265, 'OES Summary'!$A:$B, 2, FALSE)</f>
        <v>250</v>
      </c>
      <c r="L265" s="304" cm="1">
        <f t="array" ref="L265">IF(COUNTIF('Raw Annual DMR Data'!$L:$L,$F265)&gt;0,MEDIAN(IF('Raw Annual DMR Data'!$L:$L=F265,'Raw Annual DMR Data'!$S:$S)),"N/A - Facility Does Not Report DMRs")</f>
        <v>1.20299916666666</v>
      </c>
      <c r="M265" s="156">
        <f t="shared" si="28"/>
        <v>4.8119966666666401E-3</v>
      </c>
      <c r="N265" s="156">
        <f>IF(COUNTIF('Raw Annual DMR Data'!$L:$L,$F265)&gt;0,_xlfn.MAXIFS('Raw Annual DMR Data'!$S:$S,'Raw Annual DMR Data'!$L:$L,$F265), "N/A - Facility Does Not Report DMRs")</f>
        <v>487.838052</v>
      </c>
      <c r="O265" s="156">
        <f t="shared" si="29"/>
        <v>1.9513522080000001</v>
      </c>
      <c r="P265" s="113" cm="1">
        <f t="array" ref="P265">IF(COUNTIF('Raw Annual DMR Data'!$L:$L,$F265)&gt;0,INDEX('Raw Annual DMR Data'!$B:$B,MATCH(1,($F265='Raw Annual DMR Data'!$L:$L)*($N265='Raw Annual DMR Data'!$S:$S),0)), "N/A - Facility Does Not Report DMRs")</f>
        <v>2021</v>
      </c>
      <c r="Q265" s="304" t="str" cm="1">
        <f t="array" ref="Q265">IF(COUNTIF('Raw TRI Data'!$J:$J,$E265)&gt;0,MEDIAN(IF('Raw TRI Data'!$J:$J=E265,'Raw TRI Data'!$S:$S)), "N/A - Facility Does Not Report to TRI")</f>
        <v>N/A - Facility Does Not Report to TRI</v>
      </c>
      <c r="R265" s="156" t="str">
        <f t="shared" si="26"/>
        <v>N/A - Facility Does Not Report to TRI</v>
      </c>
      <c r="S265" s="156" t="str">
        <f>IF(COUNTIF('Raw TRI Data'!$J:$J,$E265)&gt;0,_xlfn.MAXIFS('Raw TRI Data'!$S:$S,'Raw TRI Data'!$J:$J,$E265), "N/A - Facility Does Not Report to TRI")</f>
        <v>N/A - Facility Does Not Report to TRI</v>
      </c>
      <c r="T265" s="156" t="str">
        <f t="shared" si="27"/>
        <v>N/A - Facility Does Not Report to TRI</v>
      </c>
      <c r="U265" s="136" t="str" cm="1">
        <f t="array" ref="U265">IF(COUNTIF('Raw TRI Data'!$J:$J,$E265)&gt;0,INDEX('Raw TRI Data'!$A:$A,MATCH(1,($E265='Raw TRI Data'!$J:$J)*(S265='Raw TRI Data'!$S:$S),0)), "N/A - Facility Does Not Report to TRI")</f>
        <v>N/A - Facility Does Not Report to TRI</v>
      </c>
      <c r="V265" s="156" t="str" cm="1">
        <f t="array" ref="V265">IF(COUNTIFS('Raw Annual DMR Data'!$L:$L,$F265,'Raw Annual DMR Data'!$U:$U,"&gt;0")&gt;0,MEDIAN(IF('Raw Annual DMR Data'!$L:$L=$F265,'Raw Annual DMR Data'!$U:$U,"")),"N/A - Period DMR Data Not Available")</f>
        <v>N/A - Period DMR Data Not Available</v>
      </c>
      <c r="W265" s="156" t="str">
        <f>IF(COUNTIFS('Raw Annual DMR Data'!$L:$L,$F265, 'Raw Annual DMR Data'!$U:$U, "&gt;0")&gt;0,_xlfn.MAXIFS('Raw Annual DMR Data'!$U:$U,'Raw Annual DMR Data'!$L:$L,$F265), "N/A - Period DMR Data Not Available")</f>
        <v>N/A - Period DMR Data Not Available</v>
      </c>
      <c r="X265" s="113" t="str" cm="1">
        <f t="array" ref="X265">+IF(COUNTIFS('Raw Annual DMR Data'!L:L,$F265, 'Raw Annual DMR Data'!U:U, "&gt;0")&gt;0,INDEX('Raw Annual DMR Data'!V:V,MATCH(1,($F265='Raw Annual DMR Data'!L:L)*($W265='Raw Annual DMR Data'!U:U),0)), "N/A - Period DMR Data Not Available")</f>
        <v>N/A - Period DMR Data Not Available</v>
      </c>
      <c r="Y265" s="113" t="str" cm="1">
        <f t="array" ref="Y265">IF(COUNTIFS('Raw Annual DMR Data'!L:L,$F265, 'Raw Annual DMR Data'!U:U, "&gt;0")&gt;0,INDEX('Raw Annual DMR Data'!B:B,MATCH(1,($F265='Raw Annual DMR Data'!L:L)*($W265='Raw Annual DMR Data'!U:U),0)), "N/A - Period DMR Data Not Available")</f>
        <v>N/A - Period DMR Data Not Available</v>
      </c>
      <c r="Z265" s="311" t="str" cm="1">
        <f t="array" ref="Z265">IF(COUNTIF('Raw Annual DMR Data'!K:K,$E265)&gt;0,"N/A - See DMRs",IF(SUMIFS('Raw TRI Data'!$Z:$Z,'Raw TRI Data'!$J:$J,$E265)&gt;0,MEDIAN(IF('Raw TRI Data'!$J:$J=$E265,'Raw TRI Data'!$Z:$Z)), "N/A - Facility Does Not Report to TRI, no surface water releases, or no Generic Factors available"))</f>
        <v>N/A - See DMRs</v>
      </c>
      <c r="AA265" s="156" t="str">
        <f>IF(COUNTIF('Raw Annual DMR Data'!K:K,$E265)&gt;0,"N/A - See DMRs",IF(SUMIFS('Raw TRI Data'!$Z:$Z,'Raw TRI Data'!$J:$J,$E265)&gt;0,_xlfn.MAXIFS('Raw TRI Data'!$Z:$Z,'Raw TRI Data'!$J:$J,$E265), "N/A - Facility Does Not Report to TRI, no surface water releases, or no Generic Factors available"))</f>
        <v>N/A - See DMRs</v>
      </c>
      <c r="AB265" s="113" t="str">
        <f t="shared" si="30"/>
        <v>N/A</v>
      </c>
      <c r="AC265" s="136" t="str" cm="1">
        <f t="array" ref="AC265">IF(COUNTIF('Raw Annual DMR Data'!K:K,$E265)&gt;0,"N/A - See DMRs",IF(SUMIFS('Raw TRI Data'!$Z:$Z,'Raw TRI Data'!$J:$J,$E265)&gt;0,INDEX('Raw TRI Data'!$A:$A,MATCH(1,($E265='Raw TRI Data'!$J:$J)*($AA265='Raw TRI Data'!$Z:$Z),0)), "N/A - Facility Does Not Report to TRI, no surface water releases, or no Generic Factors available"))</f>
        <v>N/A - See DMRs</v>
      </c>
      <c r="AD265" s="96" t="str" cm="1">
        <f t="array" ref="AD265">IF(COUNTIFS('Raw Annual DMR Data'!L:L,$F265,'Raw Annual DMR Data'!W:W, "&gt;0")&gt;0,MEDIAN(IF('Raw Annual DMR Data'!K:K=$F265, 'Raw Annual DMR Data'!W:W)), "N/A - No Daily Max DMR Discharge Data")</f>
        <v>N/A - No Daily Max DMR Discharge Data</v>
      </c>
      <c r="AE265" s="96" t="str">
        <f>IF(COUNTIFS('Raw Annual DMR Data'!L:L,$F265,'Raw Annual DMR Data'!W:W, "&gt;0")&gt;0,_xlfn.MAXIFS('Raw Annual DMR Data'!W:W,'Raw Annual DMR Data'!L:L,$F265), "N/A - No Daily Max DMR Discharge Data")</f>
        <v>N/A - No Daily Max DMR Discharge Data</v>
      </c>
      <c r="AF265" s="60" t="str" cm="1">
        <f t="array" ref="AF265">IF(COUNTIFS('Raw Annual DMR Data'!L:L,$F265,'Raw Annual DMR Data'!W:W, "&gt;0")&gt;0,INDEX('Raw Annual DMR Data'!B:B,MATCH(1,($F265='Raw Annual DMR Data'!L:L)*($AE265='Raw Annual DMR Data'!W:W),0)), "N/A - No Daily Max DMR Discharge Data")</f>
        <v>N/A - No Daily Max DMR Discharge Data</v>
      </c>
    </row>
    <row r="266" spans="1:32" ht="45.75" thickBot="1" x14ac:dyDescent="0.3">
      <c r="A266" s="144" t="str">
        <f>VLOOKUP(F266,'Facility Summary'!J:K,2,FALSE)</f>
        <v>Remediation</v>
      </c>
      <c r="B266" s="28" t="s">
        <v>1210</v>
      </c>
      <c r="C266" s="28" t="s">
        <v>657</v>
      </c>
      <c r="D266" s="28" t="s">
        <v>418</v>
      </c>
      <c r="E266" s="28"/>
      <c r="F266" s="61">
        <v>110017237373</v>
      </c>
      <c r="G266" s="60" t="str">
        <f>VLOOKUP($F266, 'Raw Annual DMR Data'!$A:$Z, 24, FALSE)</f>
        <v>NV0023485</v>
      </c>
      <c r="H266" s="60" t="str">
        <f>VLOOKUP($F266, 'Raw Annual DMR Data'!$A:$Z, 25, FALSE)</f>
        <v>LAS VEGAS WASH</v>
      </c>
      <c r="I266" s="74">
        <f>VLOOKUP($F266, 'Raw Annual DMR Data'!$A:$Z, 26, FALSE)</f>
        <v>15010015000125</v>
      </c>
      <c r="J266" s="74" t="s">
        <v>265</v>
      </c>
      <c r="K266" s="60">
        <f>VLOOKUP(A266, 'OES Summary'!$A:$B, 2, FALSE)</f>
        <v>365</v>
      </c>
      <c r="L266" s="304" cm="1">
        <f t="array" ref="L266">IF(COUNTIF('Raw Annual DMR Data'!$L:$L,$F266)&gt;0,MEDIAN(IF('Raw Annual DMR Data'!$L:$L=F266,'Raw Annual DMR Data'!$S:$S)),"N/A - Facility Does Not Report DMRs")</f>
        <v>2.3485924999999998E-3</v>
      </c>
      <c r="M266" s="156">
        <f t="shared" si="28"/>
        <v>6.4344999999999991E-6</v>
      </c>
      <c r="N266" s="156">
        <f>IF(COUNTIF('Raw Annual DMR Data'!$L:$L,$F266)&gt;0,_xlfn.MAXIFS('Raw Annual DMR Data'!$S:$S,'Raw Annual DMR Data'!$L:$L,$F266), "N/A - Facility Does Not Report DMRs")</f>
        <v>3.3501981249999999E-3</v>
      </c>
      <c r="O266" s="156">
        <f t="shared" si="29"/>
        <v>9.1786250000000006E-6</v>
      </c>
      <c r="P266" s="113" cm="1">
        <f t="array" ref="P266">IF(COUNTIF('Raw Annual DMR Data'!$L:$L,$F266)&gt;0,INDEX('Raw Annual DMR Data'!$B:$B,MATCH(1,($F266='Raw Annual DMR Data'!$L:$L)*($N266='Raw Annual DMR Data'!$S:$S),0)), "N/A - Facility Does Not Report DMRs")</f>
        <v>2020</v>
      </c>
      <c r="Q266" s="304" t="str" cm="1">
        <f t="array" ref="Q266">IF(COUNTIF('Raw TRI Data'!$J:$J,$E266)&gt;0,MEDIAN(IF('Raw TRI Data'!$J:$J=E266,'Raw TRI Data'!$S:$S)), "N/A - Facility Does Not Report to TRI")</f>
        <v>N/A - Facility Does Not Report to TRI</v>
      </c>
      <c r="R266" s="156" t="str">
        <f t="shared" si="26"/>
        <v>N/A - Facility Does Not Report to TRI</v>
      </c>
      <c r="S266" s="156" t="str">
        <f>IF(COUNTIF('Raw TRI Data'!$J:$J,$E266)&gt;0,_xlfn.MAXIFS('Raw TRI Data'!$S:$S,'Raw TRI Data'!$J:$J,$E266), "N/A - Facility Does Not Report to TRI")</f>
        <v>N/A - Facility Does Not Report to TRI</v>
      </c>
      <c r="T266" s="156" t="str">
        <f t="shared" si="27"/>
        <v>N/A - Facility Does Not Report to TRI</v>
      </c>
      <c r="U266" s="136" t="str" cm="1">
        <f t="array" ref="U266">IF(COUNTIF('Raw TRI Data'!$J:$J,$E266)&gt;0,INDEX('Raw TRI Data'!$A:$A,MATCH(1,($E266='Raw TRI Data'!$J:$J)*(S266='Raw TRI Data'!$S:$S),0)), "N/A - Facility Does Not Report to TRI")</f>
        <v>N/A - Facility Does Not Report to TRI</v>
      </c>
      <c r="V266" s="156" t="str" cm="1">
        <f t="array" ref="V266">IF(COUNTIFS('Raw Annual DMR Data'!$L:$L,$F266,'Raw Annual DMR Data'!$U:$U,"&gt;0")&gt;0,MEDIAN(IF('Raw Annual DMR Data'!$L:$L=$F266,'Raw Annual DMR Data'!$U:$U,"")),"N/A - Period DMR Data Not Available")</f>
        <v>N/A - Period DMR Data Not Available</v>
      </c>
      <c r="W266" s="156" t="str">
        <f>IF(COUNTIFS('Raw Annual DMR Data'!$L:$L,$F266, 'Raw Annual DMR Data'!$U:$U, "&gt;0")&gt;0,_xlfn.MAXIFS('Raw Annual DMR Data'!$U:$U,'Raw Annual DMR Data'!$L:$L,$F266), "N/A - Period DMR Data Not Available")</f>
        <v>N/A - Period DMR Data Not Available</v>
      </c>
      <c r="X266" s="113" t="str" cm="1">
        <f t="array" ref="X266">+IF(COUNTIFS('Raw Annual DMR Data'!L:L,$F266, 'Raw Annual DMR Data'!U:U, "&gt;0")&gt;0,INDEX('Raw Annual DMR Data'!V:V,MATCH(1,($F266='Raw Annual DMR Data'!L:L)*($W266='Raw Annual DMR Data'!U:U),0)), "N/A - Period DMR Data Not Available")</f>
        <v>N/A - Period DMR Data Not Available</v>
      </c>
      <c r="Y266" s="113" t="str" cm="1">
        <f t="array" ref="Y266">IF(COUNTIFS('Raw Annual DMR Data'!L:L,$F266, 'Raw Annual DMR Data'!U:U, "&gt;0")&gt;0,INDEX('Raw Annual DMR Data'!B:B,MATCH(1,($F266='Raw Annual DMR Data'!L:L)*($W266='Raw Annual DMR Data'!U:U),0)), "N/A - Period DMR Data Not Available")</f>
        <v>N/A - Period DMR Data Not Available</v>
      </c>
      <c r="Z266" s="311" t="str" cm="1">
        <f t="array" ref="Z266">IF(COUNTIF('Raw Annual DMR Data'!K:K,$E266)&gt;0,"N/A - See DMRs",IF(SUMIFS('Raw TRI Data'!$Z:$Z,'Raw TRI Data'!$J:$J,$E266)&gt;0,MEDIAN(IF('Raw TRI Data'!$J:$J=$E266,'Raw TRI Data'!$Z:$Z)), "N/A - Facility Does Not Report to TRI, no surface water releases, or no Generic Factors available"))</f>
        <v>N/A - Facility Does Not Report to TRI, no surface water releases, or no Generic Factors available</v>
      </c>
      <c r="AA266" s="156" t="str">
        <f>IF(COUNTIF('Raw Annual DMR Data'!K:K,$E266)&gt;0,"N/A - See DMRs",IF(SUMIFS('Raw TRI Data'!$Z:$Z,'Raw TRI Data'!$J:$J,$E266)&gt;0,_xlfn.MAXIFS('Raw TRI Data'!$Z:$Z,'Raw TRI Data'!$J:$J,$E266), "N/A - Facility Does Not Report to TRI, no surface water releases, or no Generic Factors available"))</f>
        <v>N/A - Facility Does Not Report to TRI, no surface water releases, or no Generic Factors available</v>
      </c>
      <c r="AB266" s="113" t="str">
        <f t="shared" si="30"/>
        <v>N/A</v>
      </c>
      <c r="AC266" s="136" t="str" cm="1">
        <f t="array" ref="AC266">IF(COUNTIF('Raw Annual DMR Data'!K:K,$E266)&gt;0,"N/A - See DMRs",IF(SUMIFS('Raw TRI Data'!$Z:$Z,'Raw TRI Data'!$J:$J,$E266)&gt;0,INDEX('Raw TRI Data'!$A:$A,MATCH(1,($E266='Raw TRI Data'!$J:$J)*($AA266='Raw TRI Data'!$Z:$Z),0)), "N/A - Facility Does Not Report to TRI, no surface water releases, or no Generic Factors available"))</f>
        <v>N/A - Facility Does Not Report to TRI, no surface water releases, or no Generic Factors available</v>
      </c>
      <c r="AD266" s="96" t="str" cm="1">
        <f t="array" ref="AD266">IF(COUNTIFS('Raw Annual DMR Data'!L:L,$F266,'Raw Annual DMR Data'!W:W, "&gt;0")&gt;0,MEDIAN(IF('Raw Annual DMR Data'!K:K=$F266, 'Raw Annual DMR Data'!W:W)), "N/A - No Daily Max DMR Discharge Data")</f>
        <v>N/A - No Daily Max DMR Discharge Data</v>
      </c>
      <c r="AE266" s="96" t="str">
        <f>IF(COUNTIFS('Raw Annual DMR Data'!L:L,$F266,'Raw Annual DMR Data'!W:W, "&gt;0")&gt;0,_xlfn.MAXIFS('Raw Annual DMR Data'!W:W,'Raw Annual DMR Data'!L:L,$F266), "N/A - No Daily Max DMR Discharge Data")</f>
        <v>N/A - No Daily Max DMR Discharge Data</v>
      </c>
      <c r="AF266" s="60" t="str" cm="1">
        <f t="array" ref="AF266">IF(COUNTIFS('Raw Annual DMR Data'!L:L,$F266,'Raw Annual DMR Data'!W:W, "&gt;0")&gt;0,INDEX('Raw Annual DMR Data'!B:B,MATCH(1,($F266='Raw Annual DMR Data'!L:L)*($AE266='Raw Annual DMR Data'!W:W),0)), "N/A - No Daily Max DMR Discharge Data")</f>
        <v>N/A - No Daily Max DMR Discharge Data</v>
      </c>
    </row>
    <row r="267" spans="1:32" ht="45.75" thickBot="1" x14ac:dyDescent="0.3">
      <c r="A267" s="144" t="str">
        <f>VLOOKUP(F267,'Facility Summary'!J:K,2,FALSE)</f>
        <v>Remediation</v>
      </c>
      <c r="B267" s="28" t="s">
        <v>1211</v>
      </c>
      <c r="C267" s="28" t="s">
        <v>657</v>
      </c>
      <c r="D267" s="28" t="s">
        <v>418</v>
      </c>
      <c r="E267" s="28"/>
      <c r="F267" s="61">
        <v>110059844156</v>
      </c>
      <c r="G267" s="60" t="str">
        <f>VLOOKUP($F267, 'Raw Annual DMR Data'!$A:$Z, 24, FALSE)</f>
        <v>NV0024232</v>
      </c>
      <c r="H267" s="60" t="str">
        <f>VLOOKUP($F267, 'Raw Annual DMR Data'!$A:$Z, 25, FALSE)</f>
        <v>LAS VEGAS WASH VIA FLAMINGO WASH VIA STORM SEWER</v>
      </c>
      <c r="I267" s="74">
        <f>VLOOKUP($F267, 'Raw Annual DMR Data'!$A:$Z, 26, FALSE)</f>
        <v>0</v>
      </c>
      <c r="J267" s="74" t="s">
        <v>265</v>
      </c>
      <c r="K267" s="60">
        <f>VLOOKUP(A267, 'OES Summary'!$A:$B, 2, FALSE)</f>
        <v>365</v>
      </c>
      <c r="L267" s="304" cm="1">
        <f t="array" ref="L267">IF(COUNTIF('Raw Annual DMR Data'!$L:$L,$F267)&gt;0,MEDIAN(IF('Raw Annual DMR Data'!$L:$L=F267,'Raw Annual DMR Data'!$S:$S)),"N/A - Facility Does Not Report DMRs")</f>
        <v>2.7993668384374948E-2</v>
      </c>
      <c r="M267" s="156">
        <f t="shared" si="28"/>
        <v>7.6694981874999852E-5</v>
      </c>
      <c r="N267" s="156">
        <f>IF(COUNTIF('Raw Annual DMR Data'!$L:$L,$F267)&gt;0,_xlfn.MAXIFS('Raw Annual DMR Data'!$S:$S,'Raw Annual DMR Data'!$L:$L,$F267), "N/A - Facility Does Not Report DMRs")</f>
        <v>4.5219040156249897E-2</v>
      </c>
      <c r="O267" s="156">
        <f t="shared" si="29"/>
        <v>1.2388778124999971E-4</v>
      </c>
      <c r="P267" s="113" cm="1">
        <f t="array" ref="P267">IF(COUNTIF('Raw Annual DMR Data'!$L:$L,$F267)&gt;0,INDEX('Raw Annual DMR Data'!$B:$B,MATCH(1,($F267='Raw Annual DMR Data'!$L:$L)*($N267='Raw Annual DMR Data'!$S:$S),0)), "N/A - Facility Does Not Report DMRs")</f>
        <v>2020</v>
      </c>
      <c r="Q267" s="304" t="str" cm="1">
        <f t="array" ref="Q267">IF(COUNTIF('Raw TRI Data'!$J:$J,$E267)&gt;0,MEDIAN(IF('Raw TRI Data'!$J:$J=E267,'Raw TRI Data'!$S:$S)), "N/A - Facility Does Not Report to TRI")</f>
        <v>N/A - Facility Does Not Report to TRI</v>
      </c>
      <c r="R267" s="156" t="str">
        <f t="shared" si="26"/>
        <v>N/A - Facility Does Not Report to TRI</v>
      </c>
      <c r="S267" s="156" t="str">
        <f>IF(COUNTIF('Raw TRI Data'!$J:$J,$E267)&gt;0,_xlfn.MAXIFS('Raw TRI Data'!$S:$S,'Raw TRI Data'!$J:$J,$E267), "N/A - Facility Does Not Report to TRI")</f>
        <v>N/A - Facility Does Not Report to TRI</v>
      </c>
      <c r="T267" s="156" t="str">
        <f t="shared" si="27"/>
        <v>N/A - Facility Does Not Report to TRI</v>
      </c>
      <c r="U267" s="136" t="str" cm="1">
        <f t="array" ref="U267">IF(COUNTIF('Raw TRI Data'!$J:$J,$E267)&gt;0,INDEX('Raw TRI Data'!$A:$A,MATCH(1,($E267='Raw TRI Data'!$J:$J)*(S267='Raw TRI Data'!$S:$S),0)), "N/A - Facility Does Not Report to TRI")</f>
        <v>N/A - Facility Does Not Report to TRI</v>
      </c>
      <c r="V267" s="156" t="str" cm="1">
        <f t="array" ref="V267">IF(COUNTIFS('Raw Annual DMR Data'!$L:$L,$F267,'Raw Annual DMR Data'!$U:$U,"&gt;0")&gt;0,MEDIAN(IF('Raw Annual DMR Data'!$L:$L=$F267,'Raw Annual DMR Data'!$U:$U,"")),"N/A - Period DMR Data Not Available")</f>
        <v>N/A - Period DMR Data Not Available</v>
      </c>
      <c r="W267" s="156" t="str">
        <f>IF(COUNTIFS('Raw Annual DMR Data'!$L:$L,$F267, 'Raw Annual DMR Data'!$U:$U, "&gt;0")&gt;0,_xlfn.MAXIFS('Raw Annual DMR Data'!$U:$U,'Raw Annual DMR Data'!$L:$L,$F267), "N/A - Period DMR Data Not Available")</f>
        <v>N/A - Period DMR Data Not Available</v>
      </c>
      <c r="X267" s="113" t="str" cm="1">
        <f t="array" ref="X267">+IF(COUNTIFS('Raw Annual DMR Data'!L:L,$F267, 'Raw Annual DMR Data'!U:U, "&gt;0")&gt;0,INDEX('Raw Annual DMR Data'!V:V,MATCH(1,($F267='Raw Annual DMR Data'!L:L)*($W267='Raw Annual DMR Data'!U:U),0)), "N/A - Period DMR Data Not Available")</f>
        <v>N/A - Period DMR Data Not Available</v>
      </c>
      <c r="Y267" s="113" t="str" cm="1">
        <f t="array" ref="Y267">IF(COUNTIFS('Raw Annual DMR Data'!L:L,$F267, 'Raw Annual DMR Data'!U:U, "&gt;0")&gt;0,INDEX('Raw Annual DMR Data'!B:B,MATCH(1,($F267='Raw Annual DMR Data'!L:L)*($W267='Raw Annual DMR Data'!U:U),0)), "N/A - Period DMR Data Not Available")</f>
        <v>N/A - Period DMR Data Not Available</v>
      </c>
      <c r="Z267" s="311" t="str" cm="1">
        <f t="array" ref="Z267">IF(COUNTIF('Raw Annual DMR Data'!K:K,$E267)&gt;0,"N/A - See DMRs",IF(SUMIFS('Raw TRI Data'!$Z:$Z,'Raw TRI Data'!$J:$J,$E267)&gt;0,MEDIAN(IF('Raw TRI Data'!$J:$J=$E267,'Raw TRI Data'!$Z:$Z)), "N/A - Facility Does Not Report to TRI, no surface water releases, or no Generic Factors available"))</f>
        <v>N/A - Facility Does Not Report to TRI, no surface water releases, or no Generic Factors available</v>
      </c>
      <c r="AA267" s="156" t="str">
        <f>IF(COUNTIF('Raw Annual DMR Data'!K:K,$E267)&gt;0,"N/A - See DMRs",IF(SUMIFS('Raw TRI Data'!$Z:$Z,'Raw TRI Data'!$J:$J,$E267)&gt;0,_xlfn.MAXIFS('Raw TRI Data'!$Z:$Z,'Raw TRI Data'!$J:$J,$E267), "N/A - Facility Does Not Report to TRI, no surface water releases, or no Generic Factors available"))</f>
        <v>N/A - Facility Does Not Report to TRI, no surface water releases, or no Generic Factors available</v>
      </c>
      <c r="AB267" s="113" t="str">
        <f t="shared" si="30"/>
        <v>N/A</v>
      </c>
      <c r="AC267" s="136" t="str" cm="1">
        <f t="array" ref="AC267">IF(COUNTIF('Raw Annual DMR Data'!K:K,$E267)&gt;0,"N/A - See DMRs",IF(SUMIFS('Raw TRI Data'!$Z:$Z,'Raw TRI Data'!$J:$J,$E267)&gt;0,INDEX('Raw TRI Data'!$A:$A,MATCH(1,($E267='Raw TRI Data'!$J:$J)*($AA267='Raw TRI Data'!$Z:$Z),0)), "N/A - Facility Does Not Report to TRI, no surface water releases, or no Generic Factors available"))</f>
        <v>N/A - Facility Does Not Report to TRI, no surface water releases, or no Generic Factors available</v>
      </c>
      <c r="AD267" s="96" t="str" cm="1">
        <f t="array" ref="AD267">IF(COUNTIFS('Raw Annual DMR Data'!L:L,$F267,'Raw Annual DMR Data'!W:W, "&gt;0")&gt;0,MEDIAN(IF('Raw Annual DMR Data'!K:K=$F267, 'Raw Annual DMR Data'!W:W)), "N/A - No Daily Max DMR Discharge Data")</f>
        <v>N/A - No Daily Max DMR Discharge Data</v>
      </c>
      <c r="AE267" s="96" t="str">
        <f>IF(COUNTIFS('Raw Annual DMR Data'!L:L,$F267,'Raw Annual DMR Data'!W:W, "&gt;0")&gt;0,_xlfn.MAXIFS('Raw Annual DMR Data'!W:W,'Raw Annual DMR Data'!L:L,$F267), "N/A - No Daily Max DMR Discharge Data")</f>
        <v>N/A - No Daily Max DMR Discharge Data</v>
      </c>
      <c r="AF267" s="60" t="str" cm="1">
        <f t="array" ref="AF267">IF(COUNTIFS('Raw Annual DMR Data'!L:L,$F267,'Raw Annual DMR Data'!W:W, "&gt;0")&gt;0,INDEX('Raw Annual DMR Data'!B:B,MATCH(1,($F267='Raw Annual DMR Data'!L:L)*($AE267='Raw Annual DMR Data'!W:W),0)), "N/A - No Daily Max DMR Discharge Data")</f>
        <v>N/A - No Daily Max DMR Discharge Data</v>
      </c>
    </row>
    <row r="268" spans="1:32" ht="30.75" thickBot="1" x14ac:dyDescent="0.3">
      <c r="A268" s="144" t="str">
        <f>VLOOKUP(F268,'Facility Summary'!J:K,2,FALSE)</f>
        <v>Unknown</v>
      </c>
      <c r="B268" s="28" t="s">
        <v>1212</v>
      </c>
      <c r="C268" s="28" t="s">
        <v>1213</v>
      </c>
      <c r="D268" s="28" t="s">
        <v>1128</v>
      </c>
      <c r="E268" s="28" t="s">
        <v>724</v>
      </c>
      <c r="F268" s="61">
        <v>110000610429</v>
      </c>
      <c r="G268" s="60" t="str">
        <f>VLOOKUP($F268, 'Raw Annual DMR Data'!$A:$Z, 24, FALSE)</f>
        <v>CO0001511</v>
      </c>
      <c r="H268" s="60" t="str">
        <f>VLOOKUP($F268, 'Raw Annual DMR Data'!$A:$Z, 25, FALSE)</f>
        <v>SOUTH PLATTE RIVER</v>
      </c>
      <c r="I268" s="74">
        <f>VLOOKUP($F268, 'Raw Annual DMR Data'!$A:$Z, 26, FALSE)</f>
        <v>10190002000856</v>
      </c>
      <c r="J268" s="74" t="s">
        <v>265</v>
      </c>
      <c r="K268" s="60">
        <f>VLOOKUP(A268, 'OES Summary'!$A:$B, 2, FALSE)</f>
        <v>250</v>
      </c>
      <c r="L268" s="304" cm="1">
        <f t="array" ref="L268">IF(COUNTIF('Raw Annual DMR Data'!$L:$L,$F268)&gt;0,MEDIAN(IF('Raw Annual DMR Data'!$L:$L=F268,'Raw Annual DMR Data'!$S:$S)),"N/A - Facility Does Not Report DMRs")</f>
        <v>4.1669159625E-2</v>
      </c>
      <c r="M268" s="156">
        <f t="shared" si="28"/>
        <v>1.6667663850000001E-4</v>
      </c>
      <c r="N268" s="156">
        <f>IF(COUNTIF('Raw Annual DMR Data'!$L:$L,$F268)&gt;0,_xlfn.MAXIFS('Raw Annual DMR Data'!$S:$S,'Raw Annual DMR Data'!$L:$L,$F268), "N/A - Facility Does Not Report DMRs")</f>
        <v>7.4004698499999993E-2</v>
      </c>
      <c r="O268" s="156">
        <f t="shared" si="29"/>
        <v>2.9601879399999997E-4</v>
      </c>
      <c r="P268" s="113" cm="1">
        <f t="array" ref="P268">IF(COUNTIF('Raw Annual DMR Data'!$L:$L,$F268)&gt;0,INDEX('Raw Annual DMR Data'!$B:$B,MATCH(1,($F268='Raw Annual DMR Data'!$L:$L)*($N268='Raw Annual DMR Data'!$S:$S),0)), "N/A - Facility Does Not Report DMRs")</f>
        <v>2023</v>
      </c>
      <c r="Q268" s="304" t="str" cm="1">
        <f t="array" ref="Q268">IF(COUNTIF('Raw TRI Data'!$J:$J,$E268)&gt;0,MEDIAN(IF('Raw TRI Data'!$J:$J=E268,'Raw TRI Data'!$S:$S)), "N/A - Facility Does Not Report to TRI")</f>
        <v>N/A - Facility Does Not Report to TRI</v>
      </c>
      <c r="R268" s="156" t="str">
        <f t="shared" si="26"/>
        <v>N/A - Facility Does Not Report to TRI</v>
      </c>
      <c r="S268" s="156" t="str">
        <f>IF(COUNTIF('Raw TRI Data'!$J:$J,$E268)&gt;0,_xlfn.MAXIFS('Raw TRI Data'!$S:$S,'Raw TRI Data'!$J:$J,$E268), "N/A - Facility Does Not Report to TRI")</f>
        <v>N/A - Facility Does Not Report to TRI</v>
      </c>
      <c r="T268" s="156" t="str">
        <f t="shared" si="27"/>
        <v>N/A - Facility Does Not Report to TRI</v>
      </c>
      <c r="U268" s="136" t="str" cm="1">
        <f t="array" ref="U268">IF(COUNTIF('Raw TRI Data'!$J:$J,$E268)&gt;0,INDEX('Raw TRI Data'!$A:$A,MATCH(1,($E268='Raw TRI Data'!$J:$J)*(S268='Raw TRI Data'!$S:$S),0)), "N/A - Facility Does Not Report to TRI")</f>
        <v>N/A - Facility Does Not Report to TRI</v>
      </c>
      <c r="V268" s="156" t="str" cm="1">
        <f t="array" ref="V268">IF(COUNTIFS('Raw Annual DMR Data'!$L:$L,$F268,'Raw Annual DMR Data'!$U:$U,"&gt;0")&gt;0,MEDIAN(IF('Raw Annual DMR Data'!$L:$L=$F268,'Raw Annual DMR Data'!$U:$U,"")),"N/A - Period DMR Data Not Available")</f>
        <v>N/A - Period DMR Data Not Available</v>
      </c>
      <c r="W268" s="156" t="str">
        <f>IF(COUNTIFS('Raw Annual DMR Data'!$L:$L,$F268, 'Raw Annual DMR Data'!$U:$U, "&gt;0")&gt;0,_xlfn.MAXIFS('Raw Annual DMR Data'!$U:$U,'Raw Annual DMR Data'!$L:$L,$F268), "N/A - Period DMR Data Not Available")</f>
        <v>N/A - Period DMR Data Not Available</v>
      </c>
      <c r="X268" s="113" t="str" cm="1">
        <f t="array" ref="X268">+IF(COUNTIFS('Raw Annual DMR Data'!L:L,$F268, 'Raw Annual DMR Data'!U:U, "&gt;0")&gt;0,INDEX('Raw Annual DMR Data'!V:V,MATCH(1,($F268='Raw Annual DMR Data'!L:L)*($W268='Raw Annual DMR Data'!U:U),0)), "N/A - Period DMR Data Not Available")</f>
        <v>N/A - Period DMR Data Not Available</v>
      </c>
      <c r="Y268" s="113" t="str" cm="1">
        <f t="array" ref="Y268">IF(COUNTIFS('Raw Annual DMR Data'!L:L,$F268, 'Raw Annual DMR Data'!U:U, "&gt;0")&gt;0,INDEX('Raw Annual DMR Data'!B:B,MATCH(1,($F268='Raw Annual DMR Data'!L:L)*($W268='Raw Annual DMR Data'!U:U),0)), "N/A - Period DMR Data Not Available")</f>
        <v>N/A - Period DMR Data Not Available</v>
      </c>
      <c r="Z268" s="311" t="str" cm="1">
        <f t="array" ref="Z268">IF(COUNTIF('Raw Annual DMR Data'!K:K,$E268)&gt;0,"N/A - See DMRs",IF(SUMIFS('Raw TRI Data'!$Z:$Z,'Raw TRI Data'!$J:$J,$E268)&gt;0,MEDIAN(IF('Raw TRI Data'!$J:$J=$E268,'Raw TRI Data'!$Z:$Z)), "N/A - Facility Does Not Report to TRI, no surface water releases, or no Generic Factors available"))</f>
        <v>N/A - See DMRs</v>
      </c>
      <c r="AA268" s="156" t="str">
        <f>IF(COUNTIF('Raw Annual DMR Data'!K:K,$E268)&gt;0,"N/A - See DMRs",IF(SUMIFS('Raw TRI Data'!$Z:$Z,'Raw TRI Data'!$J:$J,$E268)&gt;0,_xlfn.MAXIFS('Raw TRI Data'!$Z:$Z,'Raw TRI Data'!$J:$J,$E268), "N/A - Facility Does Not Report to TRI, no surface water releases, or no Generic Factors available"))</f>
        <v>N/A - See DMRs</v>
      </c>
      <c r="AB268" s="113" t="str">
        <f t="shared" si="30"/>
        <v>N/A</v>
      </c>
      <c r="AC268" s="136" t="str" cm="1">
        <f t="array" ref="AC268">IF(COUNTIF('Raw Annual DMR Data'!K:K,$E268)&gt;0,"N/A - See DMRs",IF(SUMIFS('Raw TRI Data'!$Z:$Z,'Raw TRI Data'!$J:$J,$E268)&gt;0,INDEX('Raw TRI Data'!$A:$A,MATCH(1,($E268='Raw TRI Data'!$J:$J)*($AA268='Raw TRI Data'!$Z:$Z),0)), "N/A - Facility Does Not Report to TRI, no surface water releases, or no Generic Factors available"))</f>
        <v>N/A - See DMRs</v>
      </c>
      <c r="AD268" s="96" t="str" cm="1">
        <f t="array" ref="AD268">IF(COUNTIFS('Raw Annual DMR Data'!L:L,$F268,'Raw Annual DMR Data'!W:W, "&gt;0")&gt;0,MEDIAN(IF('Raw Annual DMR Data'!K:K=$F268, 'Raw Annual DMR Data'!W:W)), "N/A - No Daily Max DMR Discharge Data")</f>
        <v>N/A - No Daily Max DMR Discharge Data</v>
      </c>
      <c r="AE268" s="96" t="str">
        <f>IF(COUNTIFS('Raw Annual DMR Data'!L:L,$F268,'Raw Annual DMR Data'!W:W, "&gt;0")&gt;0,_xlfn.MAXIFS('Raw Annual DMR Data'!W:W,'Raw Annual DMR Data'!L:L,$F268), "N/A - No Daily Max DMR Discharge Data")</f>
        <v>N/A - No Daily Max DMR Discharge Data</v>
      </c>
      <c r="AF268" s="60" t="str" cm="1">
        <f t="array" ref="AF268">IF(COUNTIFS('Raw Annual DMR Data'!L:L,$F268,'Raw Annual DMR Data'!W:W, "&gt;0")&gt;0,INDEX('Raw Annual DMR Data'!B:B,MATCH(1,($F268='Raw Annual DMR Data'!L:L)*($AE268='Raw Annual DMR Data'!W:W),0)), "N/A - No Daily Max DMR Discharge Data")</f>
        <v>N/A - No Daily Max DMR Discharge Data</v>
      </c>
    </row>
    <row r="269" spans="1:32" ht="45.75" thickBot="1" x14ac:dyDescent="0.3">
      <c r="A269" s="144" t="str">
        <f>VLOOKUP(F269,'Facility Summary'!J:K,2,FALSE)</f>
        <v>POTW</v>
      </c>
      <c r="B269" s="28" t="s">
        <v>1214</v>
      </c>
      <c r="C269" s="28" t="s">
        <v>1215</v>
      </c>
      <c r="D269" s="28" t="s">
        <v>324</v>
      </c>
      <c r="E269" s="28"/>
      <c r="F269" s="61">
        <v>110000557013</v>
      </c>
      <c r="G269" s="60" t="str">
        <f>VLOOKUP($F269, 'Raw Annual DMR Data'!$A:$Z, 24, FALSE)</f>
        <v>KY0021270</v>
      </c>
      <c r="H269" s="60" t="str">
        <f>VLOOKUP($F269, 'Raw Annual DMR Data'!$A:$Z, 25, FALSE)</f>
        <v>WHITLEY BR, WHITLEY BRANCH</v>
      </c>
      <c r="I269" s="74">
        <f>VLOOKUP($F269, 'Raw Annual DMR Data'!$A:$Z, 26, FALSE)</f>
        <v>5130101001074</v>
      </c>
      <c r="J269" s="74" t="s">
        <v>265</v>
      </c>
      <c r="K269" s="60">
        <f>VLOOKUP(A269, 'OES Summary'!$A:$B, 2, FALSE)</f>
        <v>365</v>
      </c>
      <c r="L269" s="304" cm="1">
        <f t="array" ref="L269">IF(COUNTIF('Raw Annual DMR Data'!$L:$L,$F269)&gt;0,MEDIAN(IF('Raw Annual DMR Data'!$L:$L=F269,'Raw Annual DMR Data'!$S:$S)),"N/A - Facility Does Not Report DMRs")</f>
        <v>2.49676105625</v>
      </c>
      <c r="M269" s="156">
        <f t="shared" si="28"/>
        <v>6.8404412499999999E-3</v>
      </c>
      <c r="N269" s="156">
        <f>IF(COUNTIF('Raw Annual DMR Data'!$L:$L,$F269)&gt;0,_xlfn.MAXIFS('Raw Annual DMR Data'!$S:$S,'Raw Annual DMR Data'!$L:$L,$F269), "N/A - Facility Does Not Report DMRs")</f>
        <v>2.8348892999999999</v>
      </c>
      <c r="O269" s="156">
        <f t="shared" si="29"/>
        <v>7.7668199999999998E-3</v>
      </c>
      <c r="P269" s="113" cm="1">
        <f t="array" ref="P269">IF(COUNTIF('Raw Annual DMR Data'!$L:$L,$F269)&gt;0,INDEX('Raw Annual DMR Data'!$B:$B,MATCH(1,($F269='Raw Annual DMR Data'!$L:$L)*($N269='Raw Annual DMR Data'!$S:$S),0)), "N/A - Facility Does Not Report DMRs")</f>
        <v>2020</v>
      </c>
      <c r="Q269" s="304" t="str" cm="1">
        <f t="array" ref="Q269">IF(COUNTIF('Raw TRI Data'!$J:$J,$E269)&gt;0,MEDIAN(IF('Raw TRI Data'!$J:$J=E269,'Raw TRI Data'!$S:$S)), "N/A - Facility Does Not Report to TRI")</f>
        <v>N/A - Facility Does Not Report to TRI</v>
      </c>
      <c r="R269" s="156" t="str">
        <f t="shared" si="26"/>
        <v>N/A - Facility Does Not Report to TRI</v>
      </c>
      <c r="S269" s="156" t="str">
        <f>IF(COUNTIF('Raw TRI Data'!$J:$J,$E269)&gt;0,_xlfn.MAXIFS('Raw TRI Data'!$S:$S,'Raw TRI Data'!$J:$J,$E269), "N/A - Facility Does Not Report to TRI")</f>
        <v>N/A - Facility Does Not Report to TRI</v>
      </c>
      <c r="T269" s="156" t="str">
        <f t="shared" si="27"/>
        <v>N/A - Facility Does Not Report to TRI</v>
      </c>
      <c r="U269" s="136" t="str" cm="1">
        <f t="array" ref="U269">IF(COUNTIF('Raw TRI Data'!$J:$J,$E269)&gt;0,INDEX('Raw TRI Data'!$A:$A,MATCH(1,($E269='Raw TRI Data'!$J:$J)*(S269='Raw TRI Data'!$S:$S),0)), "N/A - Facility Does Not Report to TRI")</f>
        <v>N/A - Facility Does Not Report to TRI</v>
      </c>
      <c r="V269" s="156" t="str" cm="1">
        <f t="array" ref="V269">IF(COUNTIFS('Raw Annual DMR Data'!$L:$L,$F269,'Raw Annual DMR Data'!$U:$U,"&gt;0")&gt;0,MEDIAN(IF('Raw Annual DMR Data'!$L:$L=$F269,'Raw Annual DMR Data'!$U:$U,"")),"N/A - Period DMR Data Not Available")</f>
        <v>N/A - Period DMR Data Not Available</v>
      </c>
      <c r="W269" s="156" t="str">
        <f>IF(COUNTIFS('Raw Annual DMR Data'!$L:$L,$F269, 'Raw Annual DMR Data'!$U:$U, "&gt;0")&gt;0,_xlfn.MAXIFS('Raw Annual DMR Data'!$U:$U,'Raw Annual DMR Data'!$L:$L,$F269), "N/A - Period DMR Data Not Available")</f>
        <v>N/A - Period DMR Data Not Available</v>
      </c>
      <c r="X269" s="113" t="str" cm="1">
        <f t="array" ref="X269">+IF(COUNTIFS('Raw Annual DMR Data'!L:L,$F269, 'Raw Annual DMR Data'!U:U, "&gt;0")&gt;0,INDEX('Raw Annual DMR Data'!V:V,MATCH(1,($F269='Raw Annual DMR Data'!L:L)*($W269='Raw Annual DMR Data'!U:U),0)), "N/A - Period DMR Data Not Available")</f>
        <v>N/A - Period DMR Data Not Available</v>
      </c>
      <c r="Y269" s="113" t="str" cm="1">
        <f t="array" ref="Y269">IF(COUNTIFS('Raw Annual DMR Data'!L:L,$F269, 'Raw Annual DMR Data'!U:U, "&gt;0")&gt;0,INDEX('Raw Annual DMR Data'!B:B,MATCH(1,($F269='Raw Annual DMR Data'!L:L)*($W269='Raw Annual DMR Data'!U:U),0)), "N/A - Period DMR Data Not Available")</f>
        <v>N/A - Period DMR Data Not Available</v>
      </c>
      <c r="Z269" s="311" t="str" cm="1">
        <f t="array" ref="Z269">IF(COUNTIF('Raw Annual DMR Data'!K:K,$E269)&gt;0,"N/A - See DMRs",IF(SUMIFS('Raw TRI Data'!$Z:$Z,'Raw TRI Data'!$J:$J,$E269)&gt;0,MEDIAN(IF('Raw TRI Data'!$J:$J=$E269,'Raw TRI Data'!$Z:$Z)), "N/A - Facility Does Not Report to TRI, no surface water releases, or no Generic Factors available"))</f>
        <v>N/A - Facility Does Not Report to TRI, no surface water releases, or no Generic Factors available</v>
      </c>
      <c r="AA269" s="156" t="str">
        <f>IF(COUNTIF('Raw Annual DMR Data'!K:K,$E269)&gt;0,"N/A - See DMRs",IF(SUMIFS('Raw TRI Data'!$Z:$Z,'Raw TRI Data'!$J:$J,$E269)&gt;0,_xlfn.MAXIFS('Raw TRI Data'!$Z:$Z,'Raw TRI Data'!$J:$J,$E269), "N/A - Facility Does Not Report to TRI, no surface water releases, or no Generic Factors available"))</f>
        <v>N/A - Facility Does Not Report to TRI, no surface water releases, or no Generic Factors available</v>
      </c>
      <c r="AB269" s="113" t="str">
        <f t="shared" si="30"/>
        <v>N/A</v>
      </c>
      <c r="AC269" s="136" t="str" cm="1">
        <f t="array" ref="AC269">IF(COUNTIF('Raw Annual DMR Data'!K:K,$E269)&gt;0,"N/A - See DMRs",IF(SUMIFS('Raw TRI Data'!$Z:$Z,'Raw TRI Data'!$J:$J,$E269)&gt;0,INDEX('Raw TRI Data'!$A:$A,MATCH(1,($E269='Raw TRI Data'!$J:$J)*($AA269='Raw TRI Data'!$Z:$Z),0)), "N/A - Facility Does Not Report to TRI, no surface water releases, or no Generic Factors available"))</f>
        <v>N/A - Facility Does Not Report to TRI, no surface water releases, or no Generic Factors available</v>
      </c>
      <c r="AD269" s="96" t="str" cm="1">
        <f t="array" ref="AD269">IF(COUNTIFS('Raw Annual DMR Data'!L:L,$F269,'Raw Annual DMR Data'!W:W, "&gt;0")&gt;0,MEDIAN(IF('Raw Annual DMR Data'!K:K=$F269, 'Raw Annual DMR Data'!W:W)), "N/A - No Daily Max DMR Discharge Data")</f>
        <v>N/A - No Daily Max DMR Discharge Data</v>
      </c>
      <c r="AE269" s="96" t="str">
        <f>IF(COUNTIFS('Raw Annual DMR Data'!L:L,$F269,'Raw Annual DMR Data'!W:W, "&gt;0")&gt;0,_xlfn.MAXIFS('Raw Annual DMR Data'!W:W,'Raw Annual DMR Data'!L:L,$F269), "N/A - No Daily Max DMR Discharge Data")</f>
        <v>N/A - No Daily Max DMR Discharge Data</v>
      </c>
      <c r="AF269" s="60" t="str" cm="1">
        <f t="array" ref="AF269">IF(COUNTIFS('Raw Annual DMR Data'!L:L,$F269,'Raw Annual DMR Data'!W:W, "&gt;0")&gt;0,INDEX('Raw Annual DMR Data'!B:B,MATCH(1,($F269='Raw Annual DMR Data'!L:L)*($AE269='Raw Annual DMR Data'!W:W),0)), "N/A - No Daily Max DMR Discharge Data")</f>
        <v>N/A - No Daily Max DMR Discharge Data</v>
      </c>
    </row>
    <row r="270" spans="1:32" ht="45.75" thickBot="1" x14ac:dyDescent="0.3">
      <c r="A270" s="144" t="str">
        <f>VLOOKUP(F270,'Facility Summary'!J:K,2,FALSE)</f>
        <v>Unknown</v>
      </c>
      <c r="B270" s="28" t="s">
        <v>1216</v>
      </c>
      <c r="C270" s="28" t="s">
        <v>1217</v>
      </c>
      <c r="D270" s="28" t="s">
        <v>338</v>
      </c>
      <c r="E270" s="28"/>
      <c r="F270" s="61">
        <v>110070210646</v>
      </c>
      <c r="G270" s="60" t="str">
        <f>VLOOKUP($F270, 'Raw Annual DMR Data'!$A:$Z, 24, FALSE)</f>
        <v>NJG002623</v>
      </c>
      <c r="H270" s="60" t="str">
        <f>VLOOKUP($F270, 'Raw Annual DMR Data'!$A:$Z, 25, FALSE)</f>
        <v>HUSKY BROOK</v>
      </c>
      <c r="I270" s="74">
        <f>VLOOKUP($F270, 'Raw Annual DMR Data'!$A:$Z, 26, FALSE)</f>
        <v>2030104000160</v>
      </c>
      <c r="J270" s="74" t="s">
        <v>265</v>
      </c>
      <c r="K270" s="60">
        <f>VLOOKUP(A270, 'OES Summary'!$A:$B, 2, FALSE)</f>
        <v>250</v>
      </c>
      <c r="L270" s="304" cm="1">
        <f t="array" ref="L270">IF(COUNTIF('Raw Annual DMR Data'!$L:$L,$F270)&gt;0,MEDIAN(IF('Raw Annual DMR Data'!$L:$L=F270,'Raw Annual DMR Data'!$S:$S)),"N/A - Facility Does Not Report DMRs")</f>
        <v>1.1435052750000001E-2</v>
      </c>
      <c r="M270" s="156">
        <f t="shared" si="28"/>
        <v>4.5740211000000003E-5</v>
      </c>
      <c r="N270" s="156">
        <f>IF(COUNTIF('Raw Annual DMR Data'!$L:$L,$F270)&gt;0,_xlfn.MAXIFS('Raw Annual DMR Data'!$S:$S,'Raw Annual DMR Data'!$L:$L,$F270), "N/A - Facility Does Not Report DMRs")</f>
        <v>2.1331503000000002E-2</v>
      </c>
      <c r="O270" s="156">
        <f t="shared" si="29"/>
        <v>8.5326012000000009E-5</v>
      </c>
      <c r="P270" s="113" cm="1">
        <f t="array" ref="P270">IF(COUNTIF('Raw Annual DMR Data'!$L:$L,$F270)&gt;0,INDEX('Raw Annual DMR Data'!$B:$B,MATCH(1,($F270='Raw Annual DMR Data'!$L:$L)*($N270='Raw Annual DMR Data'!$S:$S),0)), "N/A - Facility Does Not Report DMRs")</f>
        <v>2016</v>
      </c>
      <c r="Q270" s="304" t="str" cm="1">
        <f t="array" ref="Q270">IF(COUNTIF('Raw TRI Data'!$J:$J,$E270)&gt;0,MEDIAN(IF('Raw TRI Data'!$J:$J=E270,'Raw TRI Data'!$S:$S)), "N/A - Facility Does Not Report to TRI")</f>
        <v>N/A - Facility Does Not Report to TRI</v>
      </c>
      <c r="R270" s="156" t="str">
        <f t="shared" si="26"/>
        <v>N/A - Facility Does Not Report to TRI</v>
      </c>
      <c r="S270" s="156" t="str">
        <f>IF(COUNTIF('Raw TRI Data'!$J:$J,$E270)&gt;0,_xlfn.MAXIFS('Raw TRI Data'!$S:$S,'Raw TRI Data'!$J:$J,$E270), "N/A - Facility Does Not Report to TRI")</f>
        <v>N/A - Facility Does Not Report to TRI</v>
      </c>
      <c r="T270" s="156" t="str">
        <f t="shared" si="27"/>
        <v>N/A - Facility Does Not Report to TRI</v>
      </c>
      <c r="U270" s="136" t="str" cm="1">
        <f t="array" ref="U270">IF(COUNTIF('Raw TRI Data'!$J:$J,$E270)&gt;0,INDEX('Raw TRI Data'!$A:$A,MATCH(1,($E270='Raw TRI Data'!$J:$J)*(S270='Raw TRI Data'!$S:$S),0)), "N/A - Facility Does Not Report to TRI")</f>
        <v>N/A - Facility Does Not Report to TRI</v>
      </c>
      <c r="V270" s="156" t="str" cm="1">
        <f t="array" ref="V270">IF(COUNTIFS('Raw Annual DMR Data'!$L:$L,$F270,'Raw Annual DMR Data'!$U:$U,"&gt;0")&gt;0,MEDIAN(IF('Raw Annual DMR Data'!$L:$L=$F270,'Raw Annual DMR Data'!$U:$U,"")),"N/A - Period DMR Data Not Available")</f>
        <v>N/A - Period DMR Data Not Available</v>
      </c>
      <c r="W270" s="156" t="str">
        <f>IF(COUNTIFS('Raw Annual DMR Data'!$L:$L,$F270, 'Raw Annual DMR Data'!$U:$U, "&gt;0")&gt;0,_xlfn.MAXIFS('Raw Annual DMR Data'!$U:$U,'Raw Annual DMR Data'!$L:$L,$F270), "N/A - Period DMR Data Not Available")</f>
        <v>N/A - Period DMR Data Not Available</v>
      </c>
      <c r="X270" s="113" t="str" cm="1">
        <f t="array" ref="X270">+IF(COUNTIFS('Raw Annual DMR Data'!L:L,$F270, 'Raw Annual DMR Data'!U:U, "&gt;0")&gt;0,INDEX('Raw Annual DMR Data'!V:V,MATCH(1,($F270='Raw Annual DMR Data'!L:L)*($W270='Raw Annual DMR Data'!U:U),0)), "N/A - Period DMR Data Not Available")</f>
        <v>N/A - Period DMR Data Not Available</v>
      </c>
      <c r="Y270" s="113" t="str" cm="1">
        <f t="array" ref="Y270">IF(COUNTIFS('Raw Annual DMR Data'!L:L,$F270, 'Raw Annual DMR Data'!U:U, "&gt;0")&gt;0,INDEX('Raw Annual DMR Data'!B:B,MATCH(1,($F270='Raw Annual DMR Data'!L:L)*($W270='Raw Annual DMR Data'!U:U),0)), "N/A - Period DMR Data Not Available")</f>
        <v>N/A - Period DMR Data Not Available</v>
      </c>
      <c r="Z270" s="311" t="str" cm="1">
        <f t="array" ref="Z270">IF(COUNTIF('Raw Annual DMR Data'!K:K,$E270)&gt;0,"N/A - See DMRs",IF(SUMIFS('Raw TRI Data'!$Z:$Z,'Raw TRI Data'!$J:$J,$E270)&gt;0,MEDIAN(IF('Raw TRI Data'!$J:$J=$E270,'Raw TRI Data'!$Z:$Z)), "N/A - Facility Does Not Report to TRI, no surface water releases, or no Generic Factors available"))</f>
        <v>N/A - Facility Does Not Report to TRI, no surface water releases, or no Generic Factors available</v>
      </c>
      <c r="AA270" s="156" t="str">
        <f>IF(COUNTIF('Raw Annual DMR Data'!K:K,$E270)&gt;0,"N/A - See DMRs",IF(SUMIFS('Raw TRI Data'!$Z:$Z,'Raw TRI Data'!$J:$J,$E270)&gt;0,_xlfn.MAXIFS('Raw TRI Data'!$Z:$Z,'Raw TRI Data'!$J:$J,$E270), "N/A - Facility Does Not Report to TRI, no surface water releases, or no Generic Factors available"))</f>
        <v>N/A - Facility Does Not Report to TRI, no surface water releases, or no Generic Factors available</v>
      </c>
      <c r="AB270" s="113" t="str">
        <f t="shared" si="30"/>
        <v>N/A</v>
      </c>
      <c r="AC270" s="136" t="str" cm="1">
        <f t="array" ref="AC270">IF(COUNTIF('Raw Annual DMR Data'!K:K,$E270)&gt;0,"N/A - See DMRs",IF(SUMIFS('Raw TRI Data'!$Z:$Z,'Raw TRI Data'!$J:$J,$E270)&gt;0,INDEX('Raw TRI Data'!$A:$A,MATCH(1,($E270='Raw TRI Data'!$J:$J)*($AA270='Raw TRI Data'!$Z:$Z),0)), "N/A - Facility Does Not Report to TRI, no surface water releases, or no Generic Factors available"))</f>
        <v>N/A - Facility Does Not Report to TRI, no surface water releases, or no Generic Factors available</v>
      </c>
      <c r="AD270" s="96" t="str" cm="1">
        <f t="array" ref="AD270">IF(COUNTIFS('Raw Annual DMR Data'!L:L,$F270,'Raw Annual DMR Data'!W:W, "&gt;0")&gt;0,MEDIAN(IF('Raw Annual DMR Data'!K:K=$F270, 'Raw Annual DMR Data'!W:W)), "N/A - No Daily Max DMR Discharge Data")</f>
        <v>N/A - No Daily Max DMR Discharge Data</v>
      </c>
      <c r="AE270" s="96" t="str">
        <f>IF(COUNTIFS('Raw Annual DMR Data'!L:L,$F270,'Raw Annual DMR Data'!W:W, "&gt;0")&gt;0,_xlfn.MAXIFS('Raw Annual DMR Data'!W:W,'Raw Annual DMR Data'!L:L,$F270), "N/A - No Daily Max DMR Discharge Data")</f>
        <v>N/A - No Daily Max DMR Discharge Data</v>
      </c>
      <c r="AF270" s="60" t="str" cm="1">
        <f t="array" ref="AF270">IF(COUNTIFS('Raw Annual DMR Data'!L:L,$F270,'Raw Annual DMR Data'!W:W, "&gt;0")&gt;0,INDEX('Raw Annual DMR Data'!B:B,MATCH(1,($F270='Raw Annual DMR Data'!L:L)*($AE270='Raw Annual DMR Data'!W:W),0)), "N/A - No Daily Max DMR Discharge Data")</f>
        <v>N/A - No Daily Max DMR Discharge Data</v>
      </c>
    </row>
    <row r="271" spans="1:32" ht="45.75" thickBot="1" x14ac:dyDescent="0.3">
      <c r="A271" s="144" t="str">
        <f>VLOOKUP(F271,'Facility Summary'!J:K,2,FALSE)</f>
        <v>POTW</v>
      </c>
      <c r="B271" s="28" t="s">
        <v>1218</v>
      </c>
      <c r="C271" s="28" t="s">
        <v>1219</v>
      </c>
      <c r="D271" s="28" t="s">
        <v>324</v>
      </c>
      <c r="E271" s="28"/>
      <c r="F271" s="61">
        <v>110002041380</v>
      </c>
      <c r="G271" s="60" t="str">
        <f>VLOOKUP($F271, 'Raw Annual DMR Data'!$A:$Z, 24, FALSE)</f>
        <v>KY0098043</v>
      </c>
      <c r="H271" s="60" t="str">
        <f>VLOOKUP($F271, 'Raw Annual DMR Data'!$A:$Z, 25, FALSE)</f>
        <v>GREASY CREEK, GREASY CRK</v>
      </c>
      <c r="I271" s="74">
        <f>VLOOKUP($F271, 'Raw Annual DMR Data'!$A:$Z, 26, FALSE)</f>
        <v>5140205000228</v>
      </c>
      <c r="J271" s="74" t="s">
        <v>265</v>
      </c>
      <c r="K271" s="60">
        <f>VLOOKUP(A271, 'OES Summary'!$A:$B, 2, FALSE)</f>
        <v>365</v>
      </c>
      <c r="L271" s="304" cm="1">
        <f t="array" ref="L271">IF(COUNTIF('Raw Annual DMR Data'!$L:$L,$F271)&gt;0,MEDIAN(IF('Raw Annual DMR Data'!$L:$L=F271,'Raw Annual DMR Data'!$S:$S)),"N/A - Facility Does Not Report DMRs")</f>
        <v>6.6741472750000002</v>
      </c>
      <c r="M271" s="156">
        <f t="shared" si="28"/>
        <v>1.8285335E-2</v>
      </c>
      <c r="N271" s="156">
        <f>IF(COUNTIF('Raw Annual DMR Data'!$L:$L,$F271)&gt;0,_xlfn.MAXIFS('Raw Annual DMR Data'!$S:$S,'Raw Annual DMR Data'!$L:$L,$F271), "N/A - Facility Does Not Report DMRs")</f>
        <v>19.372434312500001</v>
      </c>
      <c r="O271" s="156">
        <f t="shared" si="29"/>
        <v>5.3075162500000002E-2</v>
      </c>
      <c r="P271" s="113" cm="1">
        <f t="array" ref="P271">IF(COUNTIF('Raw Annual DMR Data'!$L:$L,$F271)&gt;0,INDEX('Raw Annual DMR Data'!$B:$B,MATCH(1,($F271='Raw Annual DMR Data'!$L:$L)*($N271='Raw Annual DMR Data'!$S:$S),0)), "N/A - Facility Does Not Report DMRs")</f>
        <v>2021</v>
      </c>
      <c r="Q271" s="304" t="str" cm="1">
        <f t="array" ref="Q271">IF(COUNTIF('Raw TRI Data'!$J:$J,$E271)&gt;0,MEDIAN(IF('Raw TRI Data'!$J:$J=E271,'Raw TRI Data'!$S:$S)), "N/A - Facility Does Not Report to TRI")</f>
        <v>N/A - Facility Does Not Report to TRI</v>
      </c>
      <c r="R271" s="156" t="str">
        <f t="shared" si="26"/>
        <v>N/A - Facility Does Not Report to TRI</v>
      </c>
      <c r="S271" s="156" t="str">
        <f>IF(COUNTIF('Raw TRI Data'!$J:$J,$E271)&gt;0,_xlfn.MAXIFS('Raw TRI Data'!$S:$S,'Raw TRI Data'!$J:$J,$E271), "N/A - Facility Does Not Report to TRI")</f>
        <v>N/A - Facility Does Not Report to TRI</v>
      </c>
      <c r="T271" s="156" t="str">
        <f t="shared" si="27"/>
        <v>N/A - Facility Does Not Report to TRI</v>
      </c>
      <c r="U271" s="136" t="str" cm="1">
        <f t="array" ref="U271">IF(COUNTIF('Raw TRI Data'!$J:$J,$E271)&gt;0,INDEX('Raw TRI Data'!$A:$A,MATCH(1,($E271='Raw TRI Data'!$J:$J)*(S271='Raw TRI Data'!$S:$S),0)), "N/A - Facility Does Not Report to TRI")</f>
        <v>N/A - Facility Does Not Report to TRI</v>
      </c>
      <c r="V271" s="156" t="str" cm="1">
        <f t="array" ref="V271">IF(COUNTIFS('Raw Annual DMR Data'!$L:$L,$F271,'Raw Annual DMR Data'!$U:$U,"&gt;0")&gt;0,MEDIAN(IF('Raw Annual DMR Data'!$L:$L=$F271,'Raw Annual DMR Data'!$U:$U,"")),"N/A - Period DMR Data Not Available")</f>
        <v>N/A - Period DMR Data Not Available</v>
      </c>
      <c r="W271" s="156" t="str">
        <f>IF(COUNTIFS('Raw Annual DMR Data'!$L:$L,$F271, 'Raw Annual DMR Data'!$U:$U, "&gt;0")&gt;0,_xlfn.MAXIFS('Raw Annual DMR Data'!$U:$U,'Raw Annual DMR Data'!$L:$L,$F271), "N/A - Period DMR Data Not Available")</f>
        <v>N/A - Period DMR Data Not Available</v>
      </c>
      <c r="X271" s="113" t="str" cm="1">
        <f t="array" ref="X271">+IF(COUNTIFS('Raw Annual DMR Data'!L:L,$F271, 'Raw Annual DMR Data'!U:U, "&gt;0")&gt;0,INDEX('Raw Annual DMR Data'!V:V,MATCH(1,($F271='Raw Annual DMR Data'!L:L)*($W271='Raw Annual DMR Data'!U:U),0)), "N/A - Period DMR Data Not Available")</f>
        <v>N/A - Period DMR Data Not Available</v>
      </c>
      <c r="Y271" s="113" t="str" cm="1">
        <f t="array" ref="Y271">IF(COUNTIFS('Raw Annual DMR Data'!L:L,$F271, 'Raw Annual DMR Data'!U:U, "&gt;0")&gt;0,INDEX('Raw Annual DMR Data'!B:B,MATCH(1,($F271='Raw Annual DMR Data'!L:L)*($W271='Raw Annual DMR Data'!U:U),0)), "N/A - Period DMR Data Not Available")</f>
        <v>N/A - Period DMR Data Not Available</v>
      </c>
      <c r="Z271" s="311" t="str" cm="1">
        <f t="array" ref="Z271">IF(COUNTIF('Raw Annual DMR Data'!K:K,$E271)&gt;0,"N/A - See DMRs",IF(SUMIFS('Raw TRI Data'!$Z:$Z,'Raw TRI Data'!$J:$J,$E271)&gt;0,MEDIAN(IF('Raw TRI Data'!$J:$J=$E271,'Raw TRI Data'!$Z:$Z)), "N/A - Facility Does Not Report to TRI, no surface water releases, or no Generic Factors available"))</f>
        <v>N/A - Facility Does Not Report to TRI, no surface water releases, or no Generic Factors available</v>
      </c>
      <c r="AA271" s="156" t="str">
        <f>IF(COUNTIF('Raw Annual DMR Data'!K:K,$E271)&gt;0,"N/A - See DMRs",IF(SUMIFS('Raw TRI Data'!$Z:$Z,'Raw TRI Data'!$J:$J,$E271)&gt;0,_xlfn.MAXIFS('Raw TRI Data'!$Z:$Z,'Raw TRI Data'!$J:$J,$E271), "N/A - Facility Does Not Report to TRI, no surface water releases, or no Generic Factors available"))</f>
        <v>N/A - Facility Does Not Report to TRI, no surface water releases, or no Generic Factors available</v>
      </c>
      <c r="AB271" s="113" t="str">
        <f t="shared" si="30"/>
        <v>N/A</v>
      </c>
      <c r="AC271" s="136" t="str" cm="1">
        <f t="array" ref="AC271">IF(COUNTIF('Raw Annual DMR Data'!K:K,$E271)&gt;0,"N/A - See DMRs",IF(SUMIFS('Raw TRI Data'!$Z:$Z,'Raw TRI Data'!$J:$J,$E271)&gt;0,INDEX('Raw TRI Data'!$A:$A,MATCH(1,($E271='Raw TRI Data'!$J:$J)*($AA271='Raw TRI Data'!$Z:$Z),0)), "N/A - Facility Does Not Report to TRI, no surface water releases, or no Generic Factors available"))</f>
        <v>N/A - Facility Does Not Report to TRI, no surface water releases, or no Generic Factors available</v>
      </c>
      <c r="AD271" s="96" t="str" cm="1">
        <f t="array" ref="AD271">IF(COUNTIFS('Raw Annual DMR Data'!L:L,$F271,'Raw Annual DMR Data'!W:W, "&gt;0")&gt;0,MEDIAN(IF('Raw Annual DMR Data'!K:K=$F271, 'Raw Annual DMR Data'!W:W)), "N/A - No Daily Max DMR Discharge Data")</f>
        <v>N/A - No Daily Max DMR Discharge Data</v>
      </c>
      <c r="AE271" s="96" t="str">
        <f>IF(COUNTIFS('Raw Annual DMR Data'!L:L,$F271,'Raw Annual DMR Data'!W:W, "&gt;0")&gt;0,_xlfn.MAXIFS('Raw Annual DMR Data'!W:W,'Raw Annual DMR Data'!L:L,$F271), "N/A - No Daily Max DMR Discharge Data")</f>
        <v>N/A - No Daily Max DMR Discharge Data</v>
      </c>
      <c r="AF271" s="60" t="str" cm="1">
        <f t="array" ref="AF271">IF(COUNTIFS('Raw Annual DMR Data'!L:L,$F271,'Raw Annual DMR Data'!W:W, "&gt;0")&gt;0,INDEX('Raw Annual DMR Data'!B:B,MATCH(1,($F271='Raw Annual DMR Data'!L:L)*($AE271='Raw Annual DMR Data'!W:W),0)), "N/A - No Daily Max DMR Discharge Data")</f>
        <v>N/A - No Daily Max DMR Discharge Data</v>
      </c>
    </row>
    <row r="272" spans="1:32" ht="45.75" thickBot="1" x14ac:dyDescent="0.3">
      <c r="A272" s="144" t="str">
        <f>VLOOKUP(F272,'Facility Summary'!J:K,2,FALSE)</f>
        <v>Unknown</v>
      </c>
      <c r="B272" s="28" t="s">
        <v>1220</v>
      </c>
      <c r="C272" s="28" t="s">
        <v>1221</v>
      </c>
      <c r="D272" s="28" t="s">
        <v>338</v>
      </c>
      <c r="E272" s="28"/>
      <c r="F272" s="61">
        <v>110009834581</v>
      </c>
      <c r="G272" s="60" t="str">
        <f>VLOOKUP($F272, 'Raw Annual DMR Data'!$A:$Z, 24, FALSE)</f>
        <v>NJ0004090</v>
      </c>
      <c r="H272" s="60" t="str">
        <f>VLOOKUP($F272, 'Raw Annual DMR Data'!$A:$Z, 25, FALSE)</f>
        <v>DELAWARE RIVER ZONE 3</v>
      </c>
      <c r="I272" s="74">
        <f>VLOOKUP($F272, 'Raw Annual DMR Data'!$A:$Z, 26, FALSE)</f>
        <v>2040202000065</v>
      </c>
      <c r="J272" s="74" t="s">
        <v>265</v>
      </c>
      <c r="K272" s="60">
        <f>VLOOKUP(A272, 'OES Summary'!$A:$B, 2, FALSE)</f>
        <v>250</v>
      </c>
      <c r="L272" s="304" cm="1">
        <f t="array" ref="L272">IF(COUNTIF('Raw Annual DMR Data'!$L:$L,$F272)&gt;0,MEDIAN(IF('Raw Annual DMR Data'!$L:$L=F272,'Raw Annual DMR Data'!$S:$S)),"N/A - Facility Does Not Report DMRs")</f>
        <v>6.9075255301999997E-3</v>
      </c>
      <c r="M272" s="156">
        <f t="shared" si="28"/>
        <v>2.7630102120799997E-5</v>
      </c>
      <c r="N272" s="156">
        <f>IF(COUNTIF('Raw Annual DMR Data'!$L:$L,$F272)&gt;0,_xlfn.MAXIFS('Raw Annual DMR Data'!$S:$S,'Raw Annual DMR Data'!$L:$L,$F272), "N/A - Facility Does Not Report DMRs")</f>
        <v>1.0869705789724999E-2</v>
      </c>
      <c r="O272" s="156">
        <f t="shared" si="29"/>
        <v>4.3478823158899997E-5</v>
      </c>
      <c r="P272" s="113" cm="1">
        <f t="array" ref="P272">IF(COUNTIF('Raw Annual DMR Data'!$L:$L,$F272)&gt;0,INDEX('Raw Annual DMR Data'!$B:$B,MATCH(1,($F272='Raw Annual DMR Data'!$L:$L)*($N272='Raw Annual DMR Data'!$S:$S),0)), "N/A - Facility Does Not Report DMRs")</f>
        <v>2019</v>
      </c>
      <c r="Q272" s="304" t="str" cm="1">
        <f t="array" ref="Q272">IF(COUNTIF('Raw TRI Data'!$J:$J,$E272)&gt;0,MEDIAN(IF('Raw TRI Data'!$J:$J=E272,'Raw TRI Data'!$S:$S)), "N/A - Facility Does Not Report to TRI")</f>
        <v>N/A - Facility Does Not Report to TRI</v>
      </c>
      <c r="R272" s="156" t="str">
        <f t="shared" si="26"/>
        <v>N/A - Facility Does Not Report to TRI</v>
      </c>
      <c r="S272" s="156" t="str">
        <f>IF(COUNTIF('Raw TRI Data'!$J:$J,$E272)&gt;0,_xlfn.MAXIFS('Raw TRI Data'!$S:$S,'Raw TRI Data'!$J:$J,$E272), "N/A - Facility Does Not Report to TRI")</f>
        <v>N/A - Facility Does Not Report to TRI</v>
      </c>
      <c r="T272" s="156" t="str">
        <f t="shared" si="27"/>
        <v>N/A - Facility Does Not Report to TRI</v>
      </c>
      <c r="U272" s="136" t="str" cm="1">
        <f t="array" ref="U272">IF(COUNTIF('Raw TRI Data'!$J:$J,$E272)&gt;0,INDEX('Raw TRI Data'!$A:$A,MATCH(1,($E272='Raw TRI Data'!$J:$J)*(S272='Raw TRI Data'!$S:$S),0)), "N/A - Facility Does Not Report to TRI")</f>
        <v>N/A - Facility Does Not Report to TRI</v>
      </c>
      <c r="V272" s="156" t="str" cm="1">
        <f t="array" ref="V272">IF(COUNTIFS('Raw Annual DMR Data'!$L:$L,$F272,'Raw Annual DMR Data'!$U:$U,"&gt;0")&gt;0,MEDIAN(IF('Raw Annual DMR Data'!$L:$L=$F272,'Raw Annual DMR Data'!$U:$U,"")),"N/A - Period DMR Data Not Available")</f>
        <v>N/A - Period DMR Data Not Available</v>
      </c>
      <c r="W272" s="156" t="str">
        <f>IF(COUNTIFS('Raw Annual DMR Data'!$L:$L,$F272, 'Raw Annual DMR Data'!$U:$U, "&gt;0")&gt;0,_xlfn.MAXIFS('Raw Annual DMR Data'!$U:$U,'Raw Annual DMR Data'!$L:$L,$F272), "N/A - Period DMR Data Not Available")</f>
        <v>N/A - Period DMR Data Not Available</v>
      </c>
      <c r="X272" s="113" t="str" cm="1">
        <f t="array" ref="X272">+IF(COUNTIFS('Raw Annual DMR Data'!L:L,$F272, 'Raw Annual DMR Data'!U:U, "&gt;0")&gt;0,INDEX('Raw Annual DMR Data'!V:V,MATCH(1,($F272='Raw Annual DMR Data'!L:L)*($W272='Raw Annual DMR Data'!U:U),0)), "N/A - Period DMR Data Not Available")</f>
        <v>N/A - Period DMR Data Not Available</v>
      </c>
      <c r="Y272" s="113" t="str" cm="1">
        <f t="array" ref="Y272">IF(COUNTIFS('Raw Annual DMR Data'!L:L,$F272, 'Raw Annual DMR Data'!U:U, "&gt;0")&gt;0,INDEX('Raw Annual DMR Data'!B:B,MATCH(1,($F272='Raw Annual DMR Data'!L:L)*($W272='Raw Annual DMR Data'!U:U),0)), "N/A - Period DMR Data Not Available")</f>
        <v>N/A - Period DMR Data Not Available</v>
      </c>
      <c r="Z272" s="311" t="str" cm="1">
        <f t="array" ref="Z272">IF(COUNTIF('Raw Annual DMR Data'!K:K,$E272)&gt;0,"N/A - See DMRs",IF(SUMIFS('Raw TRI Data'!$Z:$Z,'Raw TRI Data'!$J:$J,$E272)&gt;0,MEDIAN(IF('Raw TRI Data'!$J:$J=$E272,'Raw TRI Data'!$Z:$Z)), "N/A - Facility Does Not Report to TRI, no surface water releases, or no Generic Factors available"))</f>
        <v>N/A - Facility Does Not Report to TRI, no surface water releases, or no Generic Factors available</v>
      </c>
      <c r="AA272" s="156" t="str">
        <f>IF(COUNTIF('Raw Annual DMR Data'!K:K,$E272)&gt;0,"N/A - See DMRs",IF(SUMIFS('Raw TRI Data'!$Z:$Z,'Raw TRI Data'!$J:$J,$E272)&gt;0,_xlfn.MAXIFS('Raw TRI Data'!$Z:$Z,'Raw TRI Data'!$J:$J,$E272), "N/A - Facility Does Not Report to TRI, no surface water releases, or no Generic Factors available"))</f>
        <v>N/A - Facility Does Not Report to TRI, no surface water releases, or no Generic Factors available</v>
      </c>
      <c r="AB272" s="113" t="str">
        <f t="shared" si="30"/>
        <v>N/A</v>
      </c>
      <c r="AC272" s="136" t="str" cm="1">
        <f t="array" ref="AC272">IF(COUNTIF('Raw Annual DMR Data'!K:K,$E272)&gt;0,"N/A - See DMRs",IF(SUMIFS('Raw TRI Data'!$Z:$Z,'Raw TRI Data'!$J:$J,$E272)&gt;0,INDEX('Raw TRI Data'!$A:$A,MATCH(1,($E272='Raw TRI Data'!$J:$J)*($AA272='Raw TRI Data'!$Z:$Z),0)), "N/A - Facility Does Not Report to TRI, no surface water releases, or no Generic Factors available"))</f>
        <v>N/A - Facility Does Not Report to TRI, no surface water releases, or no Generic Factors available</v>
      </c>
      <c r="AD272" s="96" t="str" cm="1">
        <f t="array" ref="AD272">IF(COUNTIFS('Raw Annual DMR Data'!L:L,$F272,'Raw Annual DMR Data'!W:W, "&gt;0")&gt;0,MEDIAN(IF('Raw Annual DMR Data'!K:K=$F272, 'Raw Annual DMR Data'!W:W)), "N/A - No Daily Max DMR Discharge Data")</f>
        <v>N/A - No Daily Max DMR Discharge Data</v>
      </c>
      <c r="AE272" s="96" t="str">
        <f>IF(COUNTIFS('Raw Annual DMR Data'!L:L,$F272,'Raw Annual DMR Data'!W:W, "&gt;0")&gt;0,_xlfn.MAXIFS('Raw Annual DMR Data'!W:W,'Raw Annual DMR Data'!L:L,$F272), "N/A - No Daily Max DMR Discharge Data")</f>
        <v>N/A - No Daily Max DMR Discharge Data</v>
      </c>
      <c r="AF272" s="60" t="str" cm="1">
        <f t="array" ref="AF272">IF(COUNTIFS('Raw Annual DMR Data'!L:L,$F272,'Raw Annual DMR Data'!W:W, "&gt;0")&gt;0,INDEX('Raw Annual DMR Data'!B:B,MATCH(1,($F272='Raw Annual DMR Data'!L:L)*($AE272='Raw Annual DMR Data'!W:W),0)), "N/A - No Daily Max DMR Discharge Data")</f>
        <v>N/A - No Daily Max DMR Discharge Data</v>
      </c>
    </row>
    <row r="273" spans="1:32" ht="45.75" thickBot="1" x14ac:dyDescent="0.3">
      <c r="A273" s="144" t="str">
        <f>VLOOKUP(F273,'Facility Summary'!J:K,2,FALSE)</f>
        <v>POTW</v>
      </c>
      <c r="B273" s="28" t="s">
        <v>1222</v>
      </c>
      <c r="C273" s="28" t="s">
        <v>1223</v>
      </c>
      <c r="D273" s="28" t="s">
        <v>324</v>
      </c>
      <c r="E273" s="28"/>
      <c r="F273" s="61">
        <v>110009938808</v>
      </c>
      <c r="G273" s="60" t="str">
        <f>VLOOKUP($F273, 'Raw Annual DMR Data'!$A:$Z, 24, FALSE)</f>
        <v>KY0029122</v>
      </c>
      <c r="H273" s="60" t="str">
        <f>VLOOKUP($F273, 'Raw Annual DMR Data'!$A:$Z, 25, FALSE)</f>
        <v>GOOSE CREEK, GOOSE CRK</v>
      </c>
      <c r="I273" s="74">
        <f>VLOOKUP($F273, 'Raw Annual DMR Data'!$A:$Z, 26, FALSE)</f>
        <v>5100203000072</v>
      </c>
      <c r="J273" s="74" t="s">
        <v>265</v>
      </c>
      <c r="K273" s="60">
        <f>VLOOKUP(A273, 'OES Summary'!$A:$B, 2, FALSE)</f>
        <v>365</v>
      </c>
      <c r="L273" s="304" cm="1">
        <f t="array" ref="L273">IF(COUNTIF('Raw Annual DMR Data'!$L:$L,$F273)&gt;0,MEDIAN(IF('Raw Annual DMR Data'!$L:$L=F273,'Raw Annual DMR Data'!$S:$S)),"N/A - Facility Does Not Report DMRs")</f>
        <v>3.336382875</v>
      </c>
      <c r="M273" s="156">
        <f t="shared" si="28"/>
        <v>9.1407750000000003E-3</v>
      </c>
      <c r="N273" s="156">
        <f>IF(COUNTIF('Raw Annual DMR Data'!$L:$L,$F273)&gt;0,_xlfn.MAXIFS('Raw Annual DMR Data'!$S:$S,'Raw Annual DMR Data'!$L:$L,$F273), "N/A - Facility Does Not Report DMRs")</f>
        <v>3.446904875</v>
      </c>
      <c r="O273" s="156">
        <f t="shared" si="29"/>
        <v>9.4435749999999992E-3</v>
      </c>
      <c r="P273" s="113" cm="1">
        <f t="array" ref="P273">IF(COUNTIF('Raw Annual DMR Data'!$L:$L,$F273)&gt;0,INDEX('Raw Annual DMR Data'!$B:$B,MATCH(1,($F273='Raw Annual DMR Data'!$L:$L)*($N273='Raw Annual DMR Data'!$S:$S),0)), "N/A - Facility Does Not Report DMRs")</f>
        <v>2019</v>
      </c>
      <c r="Q273" s="304" t="str" cm="1">
        <f t="array" ref="Q273">IF(COUNTIF('Raw TRI Data'!$J:$J,$E273)&gt;0,MEDIAN(IF('Raw TRI Data'!$J:$J=E273,'Raw TRI Data'!$S:$S)), "N/A - Facility Does Not Report to TRI")</f>
        <v>N/A - Facility Does Not Report to TRI</v>
      </c>
      <c r="R273" s="156" t="str">
        <f t="shared" si="26"/>
        <v>N/A - Facility Does Not Report to TRI</v>
      </c>
      <c r="S273" s="156" t="str">
        <f>IF(COUNTIF('Raw TRI Data'!$J:$J,$E273)&gt;0,_xlfn.MAXIFS('Raw TRI Data'!$S:$S,'Raw TRI Data'!$J:$J,$E273), "N/A - Facility Does Not Report to TRI")</f>
        <v>N/A - Facility Does Not Report to TRI</v>
      </c>
      <c r="T273" s="156" t="str">
        <f t="shared" si="27"/>
        <v>N/A - Facility Does Not Report to TRI</v>
      </c>
      <c r="U273" s="136" t="str" cm="1">
        <f t="array" ref="U273">IF(COUNTIF('Raw TRI Data'!$J:$J,$E273)&gt;0,INDEX('Raw TRI Data'!$A:$A,MATCH(1,($E273='Raw TRI Data'!$J:$J)*(S273='Raw TRI Data'!$S:$S),0)), "N/A - Facility Does Not Report to TRI")</f>
        <v>N/A - Facility Does Not Report to TRI</v>
      </c>
      <c r="V273" s="156" t="str" cm="1">
        <f t="array" ref="V273">IF(COUNTIFS('Raw Annual DMR Data'!$L:$L,$F273,'Raw Annual DMR Data'!$U:$U,"&gt;0")&gt;0,MEDIAN(IF('Raw Annual DMR Data'!$L:$L=$F273,'Raw Annual DMR Data'!$U:$U,"")),"N/A - Period DMR Data Not Available")</f>
        <v>N/A - Period DMR Data Not Available</v>
      </c>
      <c r="W273" s="156" t="str">
        <f>IF(COUNTIFS('Raw Annual DMR Data'!$L:$L,$F273, 'Raw Annual DMR Data'!$U:$U, "&gt;0")&gt;0,_xlfn.MAXIFS('Raw Annual DMR Data'!$U:$U,'Raw Annual DMR Data'!$L:$L,$F273), "N/A - Period DMR Data Not Available")</f>
        <v>N/A - Period DMR Data Not Available</v>
      </c>
      <c r="X273" s="113" t="str" cm="1">
        <f t="array" ref="X273">+IF(COUNTIFS('Raw Annual DMR Data'!L:L,$F273, 'Raw Annual DMR Data'!U:U, "&gt;0")&gt;0,INDEX('Raw Annual DMR Data'!V:V,MATCH(1,($F273='Raw Annual DMR Data'!L:L)*($W273='Raw Annual DMR Data'!U:U),0)), "N/A - Period DMR Data Not Available")</f>
        <v>N/A - Period DMR Data Not Available</v>
      </c>
      <c r="Y273" s="113" t="str" cm="1">
        <f t="array" ref="Y273">IF(COUNTIFS('Raw Annual DMR Data'!L:L,$F273, 'Raw Annual DMR Data'!U:U, "&gt;0")&gt;0,INDEX('Raw Annual DMR Data'!B:B,MATCH(1,($F273='Raw Annual DMR Data'!L:L)*($W273='Raw Annual DMR Data'!U:U),0)), "N/A - Period DMR Data Not Available")</f>
        <v>N/A - Period DMR Data Not Available</v>
      </c>
      <c r="Z273" s="311" t="str" cm="1">
        <f t="array" ref="Z273">IF(COUNTIF('Raw Annual DMR Data'!K:K,$E273)&gt;0,"N/A - See DMRs",IF(SUMIFS('Raw TRI Data'!$Z:$Z,'Raw TRI Data'!$J:$J,$E273)&gt;0,MEDIAN(IF('Raw TRI Data'!$J:$J=$E273,'Raw TRI Data'!$Z:$Z)), "N/A - Facility Does Not Report to TRI, no surface water releases, or no Generic Factors available"))</f>
        <v>N/A - Facility Does Not Report to TRI, no surface water releases, or no Generic Factors available</v>
      </c>
      <c r="AA273" s="156" t="str">
        <f>IF(COUNTIF('Raw Annual DMR Data'!K:K,$E273)&gt;0,"N/A - See DMRs",IF(SUMIFS('Raw TRI Data'!$Z:$Z,'Raw TRI Data'!$J:$J,$E273)&gt;0,_xlfn.MAXIFS('Raw TRI Data'!$Z:$Z,'Raw TRI Data'!$J:$J,$E273), "N/A - Facility Does Not Report to TRI, no surface water releases, or no Generic Factors available"))</f>
        <v>N/A - Facility Does Not Report to TRI, no surface water releases, or no Generic Factors available</v>
      </c>
      <c r="AB273" s="113" t="str">
        <f t="shared" si="30"/>
        <v>N/A</v>
      </c>
      <c r="AC273" s="136" t="str" cm="1">
        <f t="array" ref="AC273">IF(COUNTIF('Raw Annual DMR Data'!K:K,$E273)&gt;0,"N/A - See DMRs",IF(SUMIFS('Raw TRI Data'!$Z:$Z,'Raw TRI Data'!$J:$J,$E273)&gt;0,INDEX('Raw TRI Data'!$A:$A,MATCH(1,($E273='Raw TRI Data'!$J:$J)*($AA273='Raw TRI Data'!$Z:$Z),0)), "N/A - Facility Does Not Report to TRI, no surface water releases, or no Generic Factors available"))</f>
        <v>N/A - Facility Does Not Report to TRI, no surface water releases, or no Generic Factors available</v>
      </c>
      <c r="AD273" s="96" t="str" cm="1">
        <f t="array" ref="AD273">IF(COUNTIFS('Raw Annual DMR Data'!L:L,$F273,'Raw Annual DMR Data'!W:W, "&gt;0")&gt;0,MEDIAN(IF('Raw Annual DMR Data'!K:K=$F273, 'Raw Annual DMR Data'!W:W)), "N/A - No Daily Max DMR Discharge Data")</f>
        <v>N/A - No Daily Max DMR Discharge Data</v>
      </c>
      <c r="AE273" s="96" t="str">
        <f>IF(COUNTIFS('Raw Annual DMR Data'!L:L,$F273,'Raw Annual DMR Data'!W:W, "&gt;0")&gt;0,_xlfn.MAXIFS('Raw Annual DMR Data'!W:W,'Raw Annual DMR Data'!L:L,$F273), "N/A - No Daily Max DMR Discharge Data")</f>
        <v>N/A - No Daily Max DMR Discharge Data</v>
      </c>
      <c r="AF273" s="60" t="str" cm="1">
        <f t="array" ref="AF273">IF(COUNTIFS('Raw Annual DMR Data'!L:L,$F273,'Raw Annual DMR Data'!W:W, "&gt;0")&gt;0,INDEX('Raw Annual DMR Data'!B:B,MATCH(1,($F273='Raw Annual DMR Data'!L:L)*($AE273='Raw Annual DMR Data'!W:W),0)), "N/A - No Daily Max DMR Discharge Data")</f>
        <v>N/A - No Daily Max DMR Discharge Data</v>
      </c>
    </row>
    <row r="274" spans="1:32" ht="45.75" thickBot="1" x14ac:dyDescent="0.3">
      <c r="A274" s="144" t="str">
        <f>VLOOKUP(F274,'Facility Summary'!J:K,2,FALSE)</f>
        <v>Unknown</v>
      </c>
      <c r="B274" s="28" t="s">
        <v>1224</v>
      </c>
      <c r="C274" s="28" t="s">
        <v>657</v>
      </c>
      <c r="D274" s="28" t="s">
        <v>418</v>
      </c>
      <c r="E274" s="28"/>
      <c r="F274" s="61">
        <v>110008995490</v>
      </c>
      <c r="G274" s="60" t="str">
        <f>VLOOKUP($F274, 'Raw Annual DMR Data'!$A:$Z, 24, FALSE)</f>
        <v>NV0023043</v>
      </c>
      <c r="H274" s="60" t="str">
        <f>VLOOKUP($F274, 'Raw Annual DMR Data'!$A:$Z, 25, FALSE)</f>
        <v>LAS VEGAS WASH VIA CLARK COUNTY STORM DRAIN SYSTEM</v>
      </c>
      <c r="I274" s="74">
        <f>VLOOKUP($F274, 'Raw Annual DMR Data'!$A:$Z, 26, FALSE)</f>
        <v>15010015000125</v>
      </c>
      <c r="J274" s="74" t="s">
        <v>265</v>
      </c>
      <c r="K274" s="60">
        <f>VLOOKUP(A274, 'OES Summary'!$A:$B, 2, FALSE)</f>
        <v>250</v>
      </c>
      <c r="L274" s="304" cm="1">
        <f t="array" ref="L274">IF(COUNTIF('Raw Annual DMR Data'!$L:$L,$F274)&gt;0,MEDIAN(IF('Raw Annual DMR Data'!$L:$L=F274,'Raw Annual DMR Data'!$S:$S)),"N/A - Facility Does Not Report DMRs")</f>
        <v>5.9003205843750003E-2</v>
      </c>
      <c r="M274" s="156">
        <f t="shared" si="28"/>
        <v>2.3601282337500001E-4</v>
      </c>
      <c r="N274" s="156">
        <f>IF(COUNTIF('Raw Annual DMR Data'!$L:$L,$F274)&gt;0,_xlfn.MAXIFS('Raw Annual DMR Data'!$S:$S,'Raw Annual DMR Data'!$L:$L,$F274), "N/A - Facility Does Not Report DMRs")</f>
        <v>0.59346860187499995</v>
      </c>
      <c r="O274" s="156">
        <f t="shared" si="29"/>
        <v>2.3738744074999997E-3</v>
      </c>
      <c r="P274" s="113" cm="1">
        <f t="array" ref="P274">IF(COUNTIF('Raw Annual DMR Data'!$L:$L,$F274)&gt;0,INDEX('Raw Annual DMR Data'!$B:$B,MATCH(1,($F274='Raw Annual DMR Data'!$L:$L)*($N274='Raw Annual DMR Data'!$S:$S),0)), "N/A - Facility Does Not Report DMRs")</f>
        <v>2024</v>
      </c>
      <c r="Q274" s="304" t="str" cm="1">
        <f t="array" ref="Q274">IF(COUNTIF('Raw TRI Data'!$J:$J,$E274)&gt;0,MEDIAN(IF('Raw TRI Data'!$J:$J=E274,'Raw TRI Data'!$S:$S)), "N/A - Facility Does Not Report to TRI")</f>
        <v>N/A - Facility Does Not Report to TRI</v>
      </c>
      <c r="R274" s="156" t="str">
        <f t="shared" si="26"/>
        <v>N/A - Facility Does Not Report to TRI</v>
      </c>
      <c r="S274" s="156" t="str">
        <f>IF(COUNTIF('Raw TRI Data'!$J:$J,$E274)&gt;0,_xlfn.MAXIFS('Raw TRI Data'!$S:$S,'Raw TRI Data'!$J:$J,$E274), "N/A - Facility Does Not Report to TRI")</f>
        <v>N/A - Facility Does Not Report to TRI</v>
      </c>
      <c r="T274" s="156" t="str">
        <f t="shared" si="27"/>
        <v>N/A - Facility Does Not Report to TRI</v>
      </c>
      <c r="U274" s="136" t="str" cm="1">
        <f t="array" ref="U274">IF(COUNTIF('Raw TRI Data'!$J:$J,$E274)&gt;0,INDEX('Raw TRI Data'!$A:$A,MATCH(1,($E274='Raw TRI Data'!$J:$J)*(S274='Raw TRI Data'!$S:$S),0)), "N/A - Facility Does Not Report to TRI")</f>
        <v>N/A - Facility Does Not Report to TRI</v>
      </c>
      <c r="V274" s="156" t="str" cm="1">
        <f t="array" ref="V274">IF(COUNTIFS('Raw Annual DMR Data'!$L:$L,$F274,'Raw Annual DMR Data'!$U:$U,"&gt;0")&gt;0,MEDIAN(IF('Raw Annual DMR Data'!$L:$L=$F274,'Raw Annual DMR Data'!$U:$U,"")),"N/A - Period DMR Data Not Available")</f>
        <v>N/A - Period DMR Data Not Available</v>
      </c>
      <c r="W274" s="156" t="str">
        <f>IF(COUNTIFS('Raw Annual DMR Data'!$L:$L,$F274, 'Raw Annual DMR Data'!$U:$U, "&gt;0")&gt;0,_xlfn.MAXIFS('Raw Annual DMR Data'!$U:$U,'Raw Annual DMR Data'!$L:$L,$F274), "N/A - Period DMR Data Not Available")</f>
        <v>N/A - Period DMR Data Not Available</v>
      </c>
      <c r="X274" s="113" t="str" cm="1">
        <f t="array" ref="X274">+IF(COUNTIFS('Raw Annual DMR Data'!L:L,$F274, 'Raw Annual DMR Data'!U:U, "&gt;0")&gt;0,INDEX('Raw Annual DMR Data'!V:V,MATCH(1,($F274='Raw Annual DMR Data'!L:L)*($W274='Raw Annual DMR Data'!U:U),0)), "N/A - Period DMR Data Not Available")</f>
        <v>N/A - Period DMR Data Not Available</v>
      </c>
      <c r="Y274" s="113" t="str" cm="1">
        <f t="array" ref="Y274">IF(COUNTIFS('Raw Annual DMR Data'!L:L,$F274, 'Raw Annual DMR Data'!U:U, "&gt;0")&gt;0,INDEX('Raw Annual DMR Data'!B:B,MATCH(1,($F274='Raw Annual DMR Data'!L:L)*($W274='Raw Annual DMR Data'!U:U),0)), "N/A - Period DMR Data Not Available")</f>
        <v>N/A - Period DMR Data Not Available</v>
      </c>
      <c r="Z274" s="311" t="str" cm="1">
        <f t="array" ref="Z274">IF(COUNTIF('Raw Annual DMR Data'!K:K,$E274)&gt;0,"N/A - See DMRs",IF(SUMIFS('Raw TRI Data'!$Z:$Z,'Raw TRI Data'!$J:$J,$E274)&gt;0,MEDIAN(IF('Raw TRI Data'!$J:$J=$E274,'Raw TRI Data'!$Z:$Z)), "N/A - Facility Does Not Report to TRI, no surface water releases, or no Generic Factors available"))</f>
        <v>N/A - Facility Does Not Report to TRI, no surface water releases, or no Generic Factors available</v>
      </c>
      <c r="AA274" s="156" t="str">
        <f>IF(COUNTIF('Raw Annual DMR Data'!K:K,$E274)&gt;0,"N/A - See DMRs",IF(SUMIFS('Raw TRI Data'!$Z:$Z,'Raw TRI Data'!$J:$J,$E274)&gt;0,_xlfn.MAXIFS('Raw TRI Data'!$Z:$Z,'Raw TRI Data'!$J:$J,$E274), "N/A - Facility Does Not Report to TRI, no surface water releases, or no Generic Factors available"))</f>
        <v>N/A - Facility Does Not Report to TRI, no surface water releases, or no Generic Factors available</v>
      </c>
      <c r="AB274" s="113" t="str">
        <f t="shared" si="30"/>
        <v>N/A</v>
      </c>
      <c r="AC274" s="136" t="str" cm="1">
        <f t="array" ref="AC274">IF(COUNTIF('Raw Annual DMR Data'!K:K,$E274)&gt;0,"N/A - See DMRs",IF(SUMIFS('Raw TRI Data'!$Z:$Z,'Raw TRI Data'!$J:$J,$E274)&gt;0,INDEX('Raw TRI Data'!$A:$A,MATCH(1,($E274='Raw TRI Data'!$J:$J)*($AA274='Raw TRI Data'!$Z:$Z),0)), "N/A - Facility Does Not Report to TRI, no surface water releases, or no Generic Factors available"))</f>
        <v>N/A - Facility Does Not Report to TRI, no surface water releases, or no Generic Factors available</v>
      </c>
      <c r="AD274" s="96" t="str" cm="1">
        <f t="array" ref="AD274">IF(COUNTIFS('Raw Annual DMR Data'!L:L,$F274,'Raw Annual DMR Data'!W:W, "&gt;0")&gt;0,MEDIAN(IF('Raw Annual DMR Data'!K:K=$F274, 'Raw Annual DMR Data'!W:W)), "N/A - No Daily Max DMR Discharge Data")</f>
        <v>N/A - No Daily Max DMR Discharge Data</v>
      </c>
      <c r="AE274" s="96" t="str">
        <f>IF(COUNTIFS('Raw Annual DMR Data'!L:L,$F274,'Raw Annual DMR Data'!W:W, "&gt;0")&gt;0,_xlfn.MAXIFS('Raw Annual DMR Data'!W:W,'Raw Annual DMR Data'!L:L,$F274), "N/A - No Daily Max DMR Discharge Data")</f>
        <v>N/A - No Daily Max DMR Discharge Data</v>
      </c>
      <c r="AF274" s="60" t="str" cm="1">
        <f t="array" ref="AF274">IF(COUNTIFS('Raw Annual DMR Data'!L:L,$F274,'Raw Annual DMR Data'!W:W, "&gt;0")&gt;0,INDEX('Raw Annual DMR Data'!B:B,MATCH(1,($F274='Raw Annual DMR Data'!L:L)*($AE274='Raw Annual DMR Data'!W:W),0)), "N/A - No Daily Max DMR Discharge Data")</f>
        <v>N/A - No Daily Max DMR Discharge Data</v>
      </c>
    </row>
    <row r="275" spans="1:32" ht="45.75" thickBot="1" x14ac:dyDescent="0.3">
      <c r="A275" s="144" t="str">
        <f>VLOOKUP(F275,'Facility Summary'!J:K,2,FALSE)</f>
        <v>POTW</v>
      </c>
      <c r="B275" s="28" t="s">
        <v>1225</v>
      </c>
      <c r="C275" s="28" t="s">
        <v>1098</v>
      </c>
      <c r="D275" s="28" t="s">
        <v>324</v>
      </c>
      <c r="E275" s="28"/>
      <c r="F275" s="61">
        <v>110000761104</v>
      </c>
      <c r="G275" s="60" t="str">
        <f>VLOOKUP($F275, 'Raw Annual DMR Data'!$A:$Z, 24, FALSE)</f>
        <v>KY0020257</v>
      </c>
      <c r="H275" s="60" t="str">
        <f>VLOOKUP($F275, 'Raw Annual DMR Data'!$A:$Z, 25, FALSE)</f>
        <v>OHIO RIVER</v>
      </c>
      <c r="I275" s="74">
        <f>VLOOKUP($F275, 'Raw Annual DMR Data'!$A:$Z, 26, FALSE)</f>
        <v>5090201002316</v>
      </c>
      <c r="J275" s="74" t="s">
        <v>265</v>
      </c>
      <c r="K275" s="60">
        <f>VLOOKUP(A275, 'OES Summary'!$A:$B, 2, FALSE)</f>
        <v>365</v>
      </c>
      <c r="L275" s="304" cm="1">
        <f t="array" ref="L275">IF(COUNTIF('Raw Annual DMR Data'!$L:$L,$F275)&gt;0,MEDIAN(IF('Raw Annual DMR Data'!$L:$L=F275,'Raw Annual DMR Data'!$S:$S)),"N/A - Facility Does Not Report DMRs")</f>
        <v>0.99780643125000001</v>
      </c>
      <c r="M275" s="156">
        <f t="shared" si="28"/>
        <v>2.7337162500000001E-3</v>
      </c>
      <c r="N275" s="156">
        <f>IF(COUNTIF('Raw Annual DMR Data'!$L:$L,$F275)&gt;0,_xlfn.MAXIFS('Raw Annual DMR Data'!$S:$S,'Raw Annual DMR Data'!$L:$L,$F275), "N/A - Facility Does Not Report DMRs")</f>
        <v>1.11903525</v>
      </c>
      <c r="O275" s="156">
        <f t="shared" si="29"/>
        <v>3.0658500000000002E-3</v>
      </c>
      <c r="P275" s="113" cm="1">
        <f t="array" ref="P275">IF(COUNTIF('Raw Annual DMR Data'!$L:$L,$F275)&gt;0,INDEX('Raw Annual DMR Data'!$B:$B,MATCH(1,($F275='Raw Annual DMR Data'!$L:$L)*($N275='Raw Annual DMR Data'!$S:$S),0)), "N/A - Facility Does Not Report DMRs")</f>
        <v>2016</v>
      </c>
      <c r="Q275" s="304" t="str" cm="1">
        <f t="array" ref="Q275">IF(COUNTIF('Raw TRI Data'!$J:$J,$E275)&gt;0,MEDIAN(IF('Raw TRI Data'!$J:$J=E275,'Raw TRI Data'!$S:$S)), "N/A - Facility Does Not Report to TRI")</f>
        <v>N/A - Facility Does Not Report to TRI</v>
      </c>
      <c r="R275" s="156" t="str">
        <f t="shared" si="26"/>
        <v>N/A - Facility Does Not Report to TRI</v>
      </c>
      <c r="S275" s="156" t="str">
        <f>IF(COUNTIF('Raw TRI Data'!$J:$J,$E275)&gt;0,_xlfn.MAXIFS('Raw TRI Data'!$S:$S,'Raw TRI Data'!$J:$J,$E275), "N/A - Facility Does Not Report to TRI")</f>
        <v>N/A - Facility Does Not Report to TRI</v>
      </c>
      <c r="T275" s="156" t="str">
        <f t="shared" si="27"/>
        <v>N/A - Facility Does Not Report to TRI</v>
      </c>
      <c r="U275" s="136" t="str" cm="1">
        <f t="array" ref="U275">IF(COUNTIF('Raw TRI Data'!$J:$J,$E275)&gt;0,INDEX('Raw TRI Data'!$A:$A,MATCH(1,($E275='Raw TRI Data'!$J:$J)*(S275='Raw TRI Data'!$S:$S),0)), "N/A - Facility Does Not Report to TRI")</f>
        <v>N/A - Facility Does Not Report to TRI</v>
      </c>
      <c r="V275" s="156" t="str" cm="1">
        <f t="array" ref="V275">IF(COUNTIFS('Raw Annual DMR Data'!$L:$L,$F275,'Raw Annual DMR Data'!$U:$U,"&gt;0")&gt;0,MEDIAN(IF('Raw Annual DMR Data'!$L:$L=$F275,'Raw Annual DMR Data'!$U:$U,"")),"N/A - Period DMR Data Not Available")</f>
        <v>N/A - Period DMR Data Not Available</v>
      </c>
      <c r="W275" s="156" t="str">
        <f>IF(COUNTIFS('Raw Annual DMR Data'!$L:$L,$F275, 'Raw Annual DMR Data'!$U:$U, "&gt;0")&gt;0,_xlfn.MAXIFS('Raw Annual DMR Data'!$U:$U,'Raw Annual DMR Data'!$L:$L,$F275), "N/A - Period DMR Data Not Available")</f>
        <v>N/A - Period DMR Data Not Available</v>
      </c>
      <c r="X275" s="113" t="str" cm="1">
        <f t="array" ref="X275">+IF(COUNTIFS('Raw Annual DMR Data'!L:L,$F275, 'Raw Annual DMR Data'!U:U, "&gt;0")&gt;0,INDEX('Raw Annual DMR Data'!V:V,MATCH(1,($F275='Raw Annual DMR Data'!L:L)*($W275='Raw Annual DMR Data'!U:U),0)), "N/A - Period DMR Data Not Available")</f>
        <v>N/A - Period DMR Data Not Available</v>
      </c>
      <c r="Y275" s="113" t="str" cm="1">
        <f t="array" ref="Y275">IF(COUNTIFS('Raw Annual DMR Data'!L:L,$F275, 'Raw Annual DMR Data'!U:U, "&gt;0")&gt;0,INDEX('Raw Annual DMR Data'!B:B,MATCH(1,($F275='Raw Annual DMR Data'!L:L)*($W275='Raw Annual DMR Data'!U:U),0)), "N/A - Period DMR Data Not Available")</f>
        <v>N/A - Period DMR Data Not Available</v>
      </c>
      <c r="Z275" s="311" t="str" cm="1">
        <f t="array" ref="Z275">IF(COUNTIF('Raw Annual DMR Data'!K:K,$E275)&gt;0,"N/A - See DMRs",IF(SUMIFS('Raw TRI Data'!$Z:$Z,'Raw TRI Data'!$J:$J,$E275)&gt;0,MEDIAN(IF('Raw TRI Data'!$J:$J=$E275,'Raw TRI Data'!$Z:$Z)), "N/A - Facility Does Not Report to TRI, no surface water releases, or no Generic Factors available"))</f>
        <v>N/A - Facility Does Not Report to TRI, no surface water releases, or no Generic Factors available</v>
      </c>
      <c r="AA275" s="156" t="str">
        <f>IF(COUNTIF('Raw Annual DMR Data'!K:K,$E275)&gt;0,"N/A - See DMRs",IF(SUMIFS('Raw TRI Data'!$Z:$Z,'Raw TRI Data'!$J:$J,$E275)&gt;0,_xlfn.MAXIFS('Raw TRI Data'!$Z:$Z,'Raw TRI Data'!$J:$J,$E275), "N/A - Facility Does Not Report to TRI, no surface water releases, or no Generic Factors available"))</f>
        <v>N/A - Facility Does Not Report to TRI, no surface water releases, or no Generic Factors available</v>
      </c>
      <c r="AB275" s="113" t="str">
        <f t="shared" si="30"/>
        <v>N/A</v>
      </c>
      <c r="AC275" s="136" t="str" cm="1">
        <f t="array" ref="AC275">IF(COUNTIF('Raw Annual DMR Data'!K:K,$E275)&gt;0,"N/A - See DMRs",IF(SUMIFS('Raw TRI Data'!$Z:$Z,'Raw TRI Data'!$J:$J,$E275)&gt;0,INDEX('Raw TRI Data'!$A:$A,MATCH(1,($E275='Raw TRI Data'!$J:$J)*($AA275='Raw TRI Data'!$Z:$Z),0)), "N/A - Facility Does Not Report to TRI, no surface water releases, or no Generic Factors available"))</f>
        <v>N/A - Facility Does Not Report to TRI, no surface water releases, or no Generic Factors available</v>
      </c>
      <c r="AD275" s="96" t="str" cm="1">
        <f t="array" ref="AD275">IF(COUNTIFS('Raw Annual DMR Data'!L:L,$F275,'Raw Annual DMR Data'!W:W, "&gt;0")&gt;0,MEDIAN(IF('Raw Annual DMR Data'!K:K=$F275, 'Raw Annual DMR Data'!W:W)), "N/A - No Daily Max DMR Discharge Data")</f>
        <v>N/A - No Daily Max DMR Discharge Data</v>
      </c>
      <c r="AE275" s="96" t="str">
        <f>IF(COUNTIFS('Raw Annual DMR Data'!L:L,$F275,'Raw Annual DMR Data'!W:W, "&gt;0")&gt;0,_xlfn.MAXIFS('Raw Annual DMR Data'!W:W,'Raw Annual DMR Data'!L:L,$F275), "N/A - No Daily Max DMR Discharge Data")</f>
        <v>N/A - No Daily Max DMR Discharge Data</v>
      </c>
      <c r="AF275" s="60" t="str" cm="1">
        <f t="array" ref="AF275">IF(COUNTIFS('Raw Annual DMR Data'!L:L,$F275,'Raw Annual DMR Data'!W:W, "&gt;0")&gt;0,INDEX('Raw Annual DMR Data'!B:B,MATCH(1,($F275='Raw Annual DMR Data'!L:L)*($AE275='Raw Annual DMR Data'!W:W),0)), "N/A - No Daily Max DMR Discharge Data")</f>
        <v>N/A - No Daily Max DMR Discharge Data</v>
      </c>
    </row>
    <row r="276" spans="1:32" ht="45.75" thickBot="1" x14ac:dyDescent="0.3">
      <c r="A276" s="144" t="str">
        <f>VLOOKUP(F276,'Facility Summary'!J:K,2,FALSE)</f>
        <v>Unknown</v>
      </c>
      <c r="B276" s="28" t="s">
        <v>1226</v>
      </c>
      <c r="C276" s="28" t="s">
        <v>657</v>
      </c>
      <c r="D276" s="28" t="s">
        <v>418</v>
      </c>
      <c r="E276" s="28"/>
      <c r="F276" s="61">
        <v>110064134459</v>
      </c>
      <c r="G276" s="60" t="str">
        <f>VLOOKUP($F276, 'Raw Annual DMR Data'!$A:$Z, 24, FALSE)</f>
        <v>NV0023761</v>
      </c>
      <c r="H276" s="60" t="str">
        <f>VLOOKUP($F276, 'Raw Annual DMR Data'!$A:$Z, 25, FALSE)</f>
        <v>LAS VEGAS WASH VIA DUCK CREEK AND THE CLARK COUNTY</v>
      </c>
      <c r="I276" s="74">
        <f>VLOOKUP($F276, 'Raw Annual DMR Data'!$A:$Z, 26, FALSE)</f>
        <v>15010015000139</v>
      </c>
      <c r="J276" s="74" t="s">
        <v>265</v>
      </c>
      <c r="K276" s="60">
        <f>VLOOKUP(A276, 'OES Summary'!$A:$B, 2, FALSE)</f>
        <v>250</v>
      </c>
      <c r="L276" s="304" cm="1">
        <f t="array" ref="L276">IF(COUNTIF('Raw Annual DMR Data'!$L:$L,$F276)&gt;0,MEDIAN(IF('Raw Annual DMR Data'!$L:$L=F276,'Raw Annual DMR Data'!$S:$S)),"N/A - Facility Does Not Report DMRs")</f>
        <v>7.2180423124999999E-3</v>
      </c>
      <c r="M276" s="156">
        <f t="shared" si="28"/>
        <v>2.8872169249999999E-5</v>
      </c>
      <c r="N276" s="156">
        <f>IF(COUNTIF('Raw Annual DMR Data'!$L:$L,$F276)&gt;0,_xlfn.MAXIFS('Raw Annual DMR Data'!$S:$S,'Raw Annual DMR Data'!$L:$L,$F276), "N/A - Facility Does Not Report DMRs")</f>
        <v>5.1484894750000003E-2</v>
      </c>
      <c r="O276" s="156">
        <f t="shared" si="29"/>
        <v>2.05939579E-4</v>
      </c>
      <c r="P276" s="113" cm="1">
        <f t="array" ref="P276">IF(COUNTIF('Raw Annual DMR Data'!$L:$L,$F276)&gt;0,INDEX('Raw Annual DMR Data'!$B:$B,MATCH(1,($F276='Raw Annual DMR Data'!$L:$L)*($N276='Raw Annual DMR Data'!$S:$S),0)), "N/A - Facility Does Not Report DMRs")</f>
        <v>2016</v>
      </c>
      <c r="Q276" s="304" t="str" cm="1">
        <f t="array" ref="Q276">IF(COUNTIF('Raw TRI Data'!$J:$J,$E276)&gt;0,MEDIAN(IF('Raw TRI Data'!$J:$J=E276,'Raw TRI Data'!$S:$S)), "N/A - Facility Does Not Report to TRI")</f>
        <v>N/A - Facility Does Not Report to TRI</v>
      </c>
      <c r="R276" s="156" t="str">
        <f t="shared" si="26"/>
        <v>N/A - Facility Does Not Report to TRI</v>
      </c>
      <c r="S276" s="156" t="str">
        <f>IF(COUNTIF('Raw TRI Data'!$J:$J,$E276)&gt;0,_xlfn.MAXIFS('Raw TRI Data'!$S:$S,'Raw TRI Data'!$J:$J,$E276), "N/A - Facility Does Not Report to TRI")</f>
        <v>N/A - Facility Does Not Report to TRI</v>
      </c>
      <c r="T276" s="156" t="str">
        <f t="shared" si="27"/>
        <v>N/A - Facility Does Not Report to TRI</v>
      </c>
      <c r="U276" s="136" t="str" cm="1">
        <f t="array" ref="U276">IF(COUNTIF('Raw TRI Data'!$J:$J,$E276)&gt;0,INDEX('Raw TRI Data'!$A:$A,MATCH(1,($E276='Raw TRI Data'!$J:$J)*(S276='Raw TRI Data'!$S:$S),0)), "N/A - Facility Does Not Report to TRI")</f>
        <v>N/A - Facility Does Not Report to TRI</v>
      </c>
      <c r="V276" s="156" t="str" cm="1">
        <f t="array" ref="V276">IF(COUNTIFS('Raw Annual DMR Data'!$L:$L,$F276,'Raw Annual DMR Data'!$U:$U,"&gt;0")&gt;0,MEDIAN(IF('Raw Annual DMR Data'!$L:$L=$F276,'Raw Annual DMR Data'!$U:$U,"")),"N/A - Period DMR Data Not Available")</f>
        <v>N/A - Period DMR Data Not Available</v>
      </c>
      <c r="W276" s="156" t="str">
        <f>IF(COUNTIFS('Raw Annual DMR Data'!$L:$L,$F276, 'Raw Annual DMR Data'!$U:$U, "&gt;0")&gt;0,_xlfn.MAXIFS('Raw Annual DMR Data'!$U:$U,'Raw Annual DMR Data'!$L:$L,$F276), "N/A - Period DMR Data Not Available")</f>
        <v>N/A - Period DMR Data Not Available</v>
      </c>
      <c r="X276" s="113" t="str" cm="1">
        <f t="array" ref="X276">+IF(COUNTIFS('Raw Annual DMR Data'!L:L,$F276, 'Raw Annual DMR Data'!U:U, "&gt;0")&gt;0,INDEX('Raw Annual DMR Data'!V:V,MATCH(1,($F276='Raw Annual DMR Data'!L:L)*($W276='Raw Annual DMR Data'!U:U),0)), "N/A - Period DMR Data Not Available")</f>
        <v>N/A - Period DMR Data Not Available</v>
      </c>
      <c r="Y276" s="113" t="str" cm="1">
        <f t="array" ref="Y276">IF(COUNTIFS('Raw Annual DMR Data'!L:L,$F276, 'Raw Annual DMR Data'!U:U, "&gt;0")&gt;0,INDEX('Raw Annual DMR Data'!B:B,MATCH(1,($F276='Raw Annual DMR Data'!L:L)*($W276='Raw Annual DMR Data'!U:U),0)), "N/A - Period DMR Data Not Available")</f>
        <v>N/A - Period DMR Data Not Available</v>
      </c>
      <c r="Z276" s="311" t="str" cm="1">
        <f t="array" ref="Z276">IF(COUNTIF('Raw Annual DMR Data'!K:K,$E276)&gt;0,"N/A - See DMRs",IF(SUMIFS('Raw TRI Data'!$Z:$Z,'Raw TRI Data'!$J:$J,$E276)&gt;0,MEDIAN(IF('Raw TRI Data'!$J:$J=$E276,'Raw TRI Data'!$Z:$Z)), "N/A - Facility Does Not Report to TRI, no surface water releases, or no Generic Factors available"))</f>
        <v>N/A - Facility Does Not Report to TRI, no surface water releases, or no Generic Factors available</v>
      </c>
      <c r="AA276" s="156" t="str">
        <f>IF(COUNTIF('Raw Annual DMR Data'!K:K,$E276)&gt;0,"N/A - See DMRs",IF(SUMIFS('Raw TRI Data'!$Z:$Z,'Raw TRI Data'!$J:$J,$E276)&gt;0,_xlfn.MAXIFS('Raw TRI Data'!$Z:$Z,'Raw TRI Data'!$J:$J,$E276), "N/A - Facility Does Not Report to TRI, no surface water releases, or no Generic Factors available"))</f>
        <v>N/A - Facility Does Not Report to TRI, no surface water releases, or no Generic Factors available</v>
      </c>
      <c r="AB276" s="113" t="str">
        <f t="shared" si="30"/>
        <v>N/A</v>
      </c>
      <c r="AC276" s="136" t="str" cm="1">
        <f t="array" ref="AC276">IF(COUNTIF('Raw Annual DMR Data'!K:K,$E276)&gt;0,"N/A - See DMRs",IF(SUMIFS('Raw TRI Data'!$Z:$Z,'Raw TRI Data'!$J:$J,$E276)&gt;0,INDEX('Raw TRI Data'!$A:$A,MATCH(1,($E276='Raw TRI Data'!$J:$J)*($AA276='Raw TRI Data'!$Z:$Z),0)), "N/A - Facility Does Not Report to TRI, no surface water releases, or no Generic Factors available"))</f>
        <v>N/A - Facility Does Not Report to TRI, no surface water releases, or no Generic Factors available</v>
      </c>
      <c r="AD276" s="96" t="str" cm="1">
        <f t="array" ref="AD276">IF(COUNTIFS('Raw Annual DMR Data'!L:L,$F276,'Raw Annual DMR Data'!W:W, "&gt;0")&gt;0,MEDIAN(IF('Raw Annual DMR Data'!K:K=$F276, 'Raw Annual DMR Data'!W:W)), "N/A - No Daily Max DMR Discharge Data")</f>
        <v>N/A - No Daily Max DMR Discharge Data</v>
      </c>
      <c r="AE276" s="96" t="str">
        <f>IF(COUNTIFS('Raw Annual DMR Data'!L:L,$F276,'Raw Annual DMR Data'!W:W, "&gt;0")&gt;0,_xlfn.MAXIFS('Raw Annual DMR Data'!W:W,'Raw Annual DMR Data'!L:L,$F276), "N/A - No Daily Max DMR Discharge Data")</f>
        <v>N/A - No Daily Max DMR Discharge Data</v>
      </c>
      <c r="AF276" s="60" t="str" cm="1">
        <f t="array" ref="AF276">IF(COUNTIFS('Raw Annual DMR Data'!L:L,$F276,'Raw Annual DMR Data'!W:W, "&gt;0")&gt;0,INDEX('Raw Annual DMR Data'!B:B,MATCH(1,($F276='Raw Annual DMR Data'!L:L)*($AE276='Raw Annual DMR Data'!W:W),0)), "N/A - No Daily Max DMR Discharge Data")</f>
        <v>N/A - No Daily Max DMR Discharge Data</v>
      </c>
    </row>
    <row r="277" spans="1:32" ht="45.75" thickBot="1" x14ac:dyDescent="0.3">
      <c r="A277" s="144" t="str">
        <f>VLOOKUP(F277,'Facility Summary'!J:K,2,FALSE)</f>
        <v>Unknown</v>
      </c>
      <c r="B277" s="28" t="s">
        <v>1227</v>
      </c>
      <c r="C277" s="28" t="s">
        <v>1228</v>
      </c>
      <c r="D277" s="28" t="s">
        <v>1128</v>
      </c>
      <c r="E277" s="28"/>
      <c r="F277" s="61">
        <v>110070162955</v>
      </c>
      <c r="G277" s="60" t="str">
        <f>VLOOKUP($F277, 'Raw Annual DMR Data'!$A:$Z, 24, FALSE)</f>
        <v>CO0049005</v>
      </c>
      <c r="H277" s="60" t="str">
        <f>VLOOKUP($F277, 'Raw Annual DMR Data'!$A:$Z, 25, FALSE)</f>
        <v>SOUTH PLATTE RIVER</v>
      </c>
      <c r="I277" s="74">
        <f>VLOOKUP($F277, 'Raw Annual DMR Data'!$A:$Z, 26, FALSE)</f>
        <v>10190003001246</v>
      </c>
      <c r="J277" s="74" t="s">
        <v>265</v>
      </c>
      <c r="K277" s="60">
        <f>VLOOKUP(A277, 'OES Summary'!$A:$B, 2, FALSE)</f>
        <v>250</v>
      </c>
      <c r="L277" s="304" cm="1">
        <f t="array" ref="L277">IF(COUNTIF('Raw Annual DMR Data'!$L:$L,$F277)&gt;0,MEDIAN(IF('Raw Annual DMR Data'!$L:$L=F277,'Raw Annual DMR Data'!$S:$S)),"N/A - Facility Does Not Report DMRs")</f>
        <v>2.7828843462500003E-3</v>
      </c>
      <c r="M277" s="156">
        <f t="shared" si="28"/>
        <v>1.1131537385000001E-5</v>
      </c>
      <c r="N277" s="156">
        <f>IF(COUNTIF('Raw Annual DMR Data'!$L:$L,$F277)&gt;0,_xlfn.MAXIFS('Raw Annual DMR Data'!$S:$S,'Raw Annual DMR Data'!$L:$L,$F277), "N/A - Facility Does Not Report DMRs")</f>
        <v>1.1895274685E-2</v>
      </c>
      <c r="O277" s="156">
        <f t="shared" si="29"/>
        <v>4.7581098739999999E-5</v>
      </c>
      <c r="P277" s="113" cm="1">
        <f t="array" ref="P277">IF(COUNTIF('Raw Annual DMR Data'!$L:$L,$F277)&gt;0,INDEX('Raw Annual DMR Data'!$B:$B,MATCH(1,($F277='Raw Annual DMR Data'!$L:$L)*($N277='Raw Annual DMR Data'!$S:$S),0)), "N/A - Facility Does Not Report DMRs")</f>
        <v>2024</v>
      </c>
      <c r="Q277" s="304" t="str" cm="1">
        <f t="array" ref="Q277">IF(COUNTIF('Raw TRI Data'!$J:$J,$E277)&gt;0,MEDIAN(IF('Raw TRI Data'!$J:$J=E277,'Raw TRI Data'!$S:$S)), "N/A - Facility Does Not Report to TRI")</f>
        <v>N/A - Facility Does Not Report to TRI</v>
      </c>
      <c r="R277" s="156" t="str">
        <f t="shared" si="26"/>
        <v>N/A - Facility Does Not Report to TRI</v>
      </c>
      <c r="S277" s="156" t="str">
        <f>IF(COUNTIF('Raw TRI Data'!$J:$J,$E277)&gt;0,_xlfn.MAXIFS('Raw TRI Data'!$S:$S,'Raw TRI Data'!$J:$J,$E277), "N/A - Facility Does Not Report to TRI")</f>
        <v>N/A - Facility Does Not Report to TRI</v>
      </c>
      <c r="T277" s="156" t="str">
        <f t="shared" si="27"/>
        <v>N/A - Facility Does Not Report to TRI</v>
      </c>
      <c r="U277" s="136" t="str" cm="1">
        <f t="array" ref="U277">IF(COUNTIF('Raw TRI Data'!$J:$J,$E277)&gt;0,INDEX('Raw TRI Data'!$A:$A,MATCH(1,($E277='Raw TRI Data'!$J:$J)*(S277='Raw TRI Data'!$S:$S),0)), "N/A - Facility Does Not Report to TRI")</f>
        <v>N/A - Facility Does Not Report to TRI</v>
      </c>
      <c r="V277" s="156" t="str" cm="1">
        <f t="array" ref="V277">IF(COUNTIFS('Raw Annual DMR Data'!$L:$L,$F277,'Raw Annual DMR Data'!$U:$U,"&gt;0")&gt;0,MEDIAN(IF('Raw Annual DMR Data'!$L:$L=$F277,'Raw Annual DMR Data'!$U:$U,"")),"N/A - Period DMR Data Not Available")</f>
        <v>N/A - Period DMR Data Not Available</v>
      </c>
      <c r="W277" s="156" t="str">
        <f>IF(COUNTIFS('Raw Annual DMR Data'!$L:$L,$F277, 'Raw Annual DMR Data'!$U:$U, "&gt;0")&gt;0,_xlfn.MAXIFS('Raw Annual DMR Data'!$U:$U,'Raw Annual DMR Data'!$L:$L,$F277), "N/A - Period DMR Data Not Available")</f>
        <v>N/A - Period DMR Data Not Available</v>
      </c>
      <c r="X277" s="113" t="str" cm="1">
        <f t="array" ref="X277">+IF(COUNTIFS('Raw Annual DMR Data'!L:L,$F277, 'Raw Annual DMR Data'!U:U, "&gt;0")&gt;0,INDEX('Raw Annual DMR Data'!V:V,MATCH(1,($F277='Raw Annual DMR Data'!L:L)*($W277='Raw Annual DMR Data'!U:U),0)), "N/A - Period DMR Data Not Available")</f>
        <v>N/A - Period DMR Data Not Available</v>
      </c>
      <c r="Y277" s="113" t="str" cm="1">
        <f t="array" ref="Y277">IF(COUNTIFS('Raw Annual DMR Data'!L:L,$F277, 'Raw Annual DMR Data'!U:U, "&gt;0")&gt;0,INDEX('Raw Annual DMR Data'!B:B,MATCH(1,($F277='Raw Annual DMR Data'!L:L)*($W277='Raw Annual DMR Data'!U:U),0)), "N/A - Period DMR Data Not Available")</f>
        <v>N/A - Period DMR Data Not Available</v>
      </c>
      <c r="Z277" s="311" t="str" cm="1">
        <f t="array" ref="Z277">IF(COUNTIF('Raw Annual DMR Data'!K:K,$E277)&gt;0,"N/A - See DMRs",IF(SUMIFS('Raw TRI Data'!$Z:$Z,'Raw TRI Data'!$J:$J,$E277)&gt;0,MEDIAN(IF('Raw TRI Data'!$J:$J=$E277,'Raw TRI Data'!$Z:$Z)), "N/A - Facility Does Not Report to TRI, no surface water releases, or no Generic Factors available"))</f>
        <v>N/A - Facility Does Not Report to TRI, no surface water releases, or no Generic Factors available</v>
      </c>
      <c r="AA277" s="156" t="str">
        <f>IF(COUNTIF('Raw Annual DMR Data'!K:K,$E277)&gt;0,"N/A - See DMRs",IF(SUMIFS('Raw TRI Data'!$Z:$Z,'Raw TRI Data'!$J:$J,$E277)&gt;0,_xlfn.MAXIFS('Raw TRI Data'!$Z:$Z,'Raw TRI Data'!$J:$J,$E277), "N/A - Facility Does Not Report to TRI, no surface water releases, or no Generic Factors available"))</f>
        <v>N/A - Facility Does Not Report to TRI, no surface water releases, or no Generic Factors available</v>
      </c>
      <c r="AB277" s="113" t="str">
        <f t="shared" si="30"/>
        <v>N/A</v>
      </c>
      <c r="AC277" s="136" t="str" cm="1">
        <f t="array" ref="AC277">IF(COUNTIF('Raw Annual DMR Data'!K:K,$E277)&gt;0,"N/A - See DMRs",IF(SUMIFS('Raw TRI Data'!$Z:$Z,'Raw TRI Data'!$J:$J,$E277)&gt;0,INDEX('Raw TRI Data'!$A:$A,MATCH(1,($E277='Raw TRI Data'!$J:$J)*($AA277='Raw TRI Data'!$Z:$Z),0)), "N/A - Facility Does Not Report to TRI, no surface water releases, or no Generic Factors available"))</f>
        <v>N/A - Facility Does Not Report to TRI, no surface water releases, or no Generic Factors available</v>
      </c>
      <c r="AD277" s="96" t="str" cm="1">
        <f t="array" ref="AD277">IF(COUNTIFS('Raw Annual DMR Data'!L:L,$F277,'Raw Annual DMR Data'!W:W, "&gt;0")&gt;0,MEDIAN(IF('Raw Annual DMR Data'!K:K=$F277, 'Raw Annual DMR Data'!W:W)), "N/A - No Daily Max DMR Discharge Data")</f>
        <v>N/A - No Daily Max DMR Discharge Data</v>
      </c>
      <c r="AE277" s="96" t="str">
        <f>IF(COUNTIFS('Raw Annual DMR Data'!L:L,$F277,'Raw Annual DMR Data'!W:W, "&gt;0")&gt;0,_xlfn.MAXIFS('Raw Annual DMR Data'!W:W,'Raw Annual DMR Data'!L:L,$F277), "N/A - No Daily Max DMR Discharge Data")</f>
        <v>N/A - No Daily Max DMR Discharge Data</v>
      </c>
      <c r="AF277" s="60" t="str" cm="1">
        <f t="array" ref="AF277">IF(COUNTIFS('Raw Annual DMR Data'!L:L,$F277,'Raw Annual DMR Data'!W:W, "&gt;0")&gt;0,INDEX('Raw Annual DMR Data'!B:B,MATCH(1,($F277='Raw Annual DMR Data'!L:L)*($AE277='Raw Annual DMR Data'!W:W),0)), "N/A - No Daily Max DMR Discharge Data")</f>
        <v>N/A - No Daily Max DMR Discharge Data</v>
      </c>
    </row>
    <row r="278" spans="1:32" ht="45.75" thickBot="1" x14ac:dyDescent="0.3">
      <c r="A278" s="144" t="str">
        <f>VLOOKUP(F278,'Facility Summary'!J:K,2,FALSE)</f>
        <v>Unknown</v>
      </c>
      <c r="B278" s="28" t="s">
        <v>1229</v>
      </c>
      <c r="C278" s="28" t="s">
        <v>358</v>
      </c>
      <c r="D278" s="28" t="s">
        <v>275</v>
      </c>
      <c r="E278" s="28"/>
      <c r="F278" s="61">
        <v>110064411417</v>
      </c>
      <c r="G278" s="60" t="str">
        <f>VLOOKUP($F278, 'Raw Annual DMR Data'!$A:$Z, 24, FALSE)</f>
        <v>IDG911007</v>
      </c>
      <c r="H278" s="60">
        <f>VLOOKUP($F278, 'Raw Annual DMR Data'!$A:$Z, 25, FALSE)</f>
        <v>0</v>
      </c>
      <c r="I278" s="74">
        <f>VLOOKUP($F278, 'Raw Annual DMR Data'!$A:$Z, 26, FALSE)</f>
        <v>17050114000862</v>
      </c>
      <c r="J278" s="74" t="s">
        <v>265</v>
      </c>
      <c r="K278" s="60">
        <f>VLOOKUP(A278, 'OES Summary'!$A:$B, 2, FALSE)</f>
        <v>250</v>
      </c>
      <c r="L278" s="304" cm="1">
        <f t="array" ref="L278">IF(COUNTIF('Raw Annual DMR Data'!$L:$L,$F278)&gt;0,MEDIAN(IF('Raw Annual DMR Data'!$L:$L=F278,'Raw Annual DMR Data'!$S:$S)),"N/A - Facility Does Not Report DMRs")</f>
        <v>0.59489304777575902</v>
      </c>
      <c r="M278" s="156">
        <f t="shared" si="28"/>
        <v>2.3795721911030361E-3</v>
      </c>
      <c r="N278" s="156">
        <f>IF(COUNTIF('Raw Annual DMR Data'!$L:$L,$F278)&gt;0,_xlfn.MAXIFS('Raw Annual DMR Data'!$S:$S,'Raw Annual DMR Data'!$L:$L,$F278), "N/A - Facility Does Not Report DMRs")</f>
        <v>0.82984312935791904</v>
      </c>
      <c r="O278" s="156">
        <f t="shared" si="29"/>
        <v>3.3193725174316762E-3</v>
      </c>
      <c r="P278" s="113" cm="1">
        <f t="array" ref="P278">IF(COUNTIF('Raw Annual DMR Data'!$L:$L,$F278)&gt;0,INDEX('Raw Annual DMR Data'!$B:$B,MATCH(1,($F278='Raw Annual DMR Data'!$L:$L)*($N278='Raw Annual DMR Data'!$S:$S),0)), "N/A - Facility Does Not Report DMRs")</f>
        <v>2015</v>
      </c>
      <c r="Q278" s="304" t="str" cm="1">
        <f t="array" ref="Q278">IF(COUNTIF('Raw TRI Data'!$J:$J,$E278)&gt;0,MEDIAN(IF('Raw TRI Data'!$J:$J=E278,'Raw TRI Data'!$S:$S)), "N/A - Facility Does Not Report to TRI")</f>
        <v>N/A - Facility Does Not Report to TRI</v>
      </c>
      <c r="R278" s="156" t="str">
        <f t="shared" si="26"/>
        <v>N/A - Facility Does Not Report to TRI</v>
      </c>
      <c r="S278" s="156" t="str">
        <f>IF(COUNTIF('Raw TRI Data'!$J:$J,$E278)&gt;0,_xlfn.MAXIFS('Raw TRI Data'!$S:$S,'Raw TRI Data'!$J:$J,$E278), "N/A - Facility Does Not Report to TRI")</f>
        <v>N/A - Facility Does Not Report to TRI</v>
      </c>
      <c r="T278" s="156" t="str">
        <f t="shared" si="27"/>
        <v>N/A - Facility Does Not Report to TRI</v>
      </c>
      <c r="U278" s="136" t="str" cm="1">
        <f t="array" ref="U278">IF(COUNTIF('Raw TRI Data'!$J:$J,$E278)&gt;0,INDEX('Raw TRI Data'!$A:$A,MATCH(1,($E278='Raw TRI Data'!$J:$J)*(S278='Raw TRI Data'!$S:$S),0)), "N/A - Facility Does Not Report to TRI")</f>
        <v>N/A - Facility Does Not Report to TRI</v>
      </c>
      <c r="V278" s="156" t="str" cm="1">
        <f t="array" ref="V278">IF(COUNTIFS('Raw Annual DMR Data'!$L:$L,$F278,'Raw Annual DMR Data'!$U:$U,"&gt;0")&gt;0,MEDIAN(IF('Raw Annual DMR Data'!$L:$L=$F278,'Raw Annual DMR Data'!$U:$U,"")),"N/A - Period DMR Data Not Available")</f>
        <v>N/A - Period DMR Data Not Available</v>
      </c>
      <c r="W278" s="156" t="str">
        <f>IF(COUNTIFS('Raw Annual DMR Data'!$L:$L,$F278, 'Raw Annual DMR Data'!$U:$U, "&gt;0")&gt;0,_xlfn.MAXIFS('Raw Annual DMR Data'!$U:$U,'Raw Annual DMR Data'!$L:$L,$F278), "N/A - Period DMR Data Not Available")</f>
        <v>N/A - Period DMR Data Not Available</v>
      </c>
      <c r="X278" s="113" t="str" cm="1">
        <f t="array" ref="X278">+IF(COUNTIFS('Raw Annual DMR Data'!L:L,$F278, 'Raw Annual DMR Data'!U:U, "&gt;0")&gt;0,INDEX('Raw Annual DMR Data'!V:V,MATCH(1,($F278='Raw Annual DMR Data'!L:L)*($W278='Raw Annual DMR Data'!U:U),0)), "N/A - Period DMR Data Not Available")</f>
        <v>N/A - Period DMR Data Not Available</v>
      </c>
      <c r="Y278" s="113" t="str" cm="1">
        <f t="array" ref="Y278">IF(COUNTIFS('Raw Annual DMR Data'!L:L,$F278, 'Raw Annual DMR Data'!U:U, "&gt;0")&gt;0,INDEX('Raw Annual DMR Data'!B:B,MATCH(1,($F278='Raw Annual DMR Data'!L:L)*($W278='Raw Annual DMR Data'!U:U),0)), "N/A - Period DMR Data Not Available")</f>
        <v>N/A - Period DMR Data Not Available</v>
      </c>
      <c r="Z278" s="311" t="str" cm="1">
        <f t="array" ref="Z278">IF(COUNTIF('Raw Annual DMR Data'!K:K,$E278)&gt;0,"N/A - See DMRs",IF(SUMIFS('Raw TRI Data'!$Z:$Z,'Raw TRI Data'!$J:$J,$E278)&gt;0,MEDIAN(IF('Raw TRI Data'!$J:$J=$E278,'Raw TRI Data'!$Z:$Z)), "N/A - Facility Does Not Report to TRI, no surface water releases, or no Generic Factors available"))</f>
        <v>N/A - Facility Does Not Report to TRI, no surface water releases, or no Generic Factors available</v>
      </c>
      <c r="AA278" s="156" t="str">
        <f>IF(COUNTIF('Raw Annual DMR Data'!K:K,$E278)&gt;0,"N/A - See DMRs",IF(SUMIFS('Raw TRI Data'!$Z:$Z,'Raw TRI Data'!$J:$J,$E278)&gt;0,_xlfn.MAXIFS('Raw TRI Data'!$Z:$Z,'Raw TRI Data'!$J:$J,$E278), "N/A - Facility Does Not Report to TRI, no surface water releases, or no Generic Factors available"))</f>
        <v>N/A - Facility Does Not Report to TRI, no surface water releases, or no Generic Factors available</v>
      </c>
      <c r="AB278" s="113" t="str">
        <f t="shared" si="30"/>
        <v>N/A</v>
      </c>
      <c r="AC278" s="136" t="str" cm="1">
        <f t="array" ref="AC278">IF(COUNTIF('Raw Annual DMR Data'!K:K,$E278)&gt;0,"N/A - See DMRs",IF(SUMIFS('Raw TRI Data'!$Z:$Z,'Raw TRI Data'!$J:$J,$E278)&gt;0,INDEX('Raw TRI Data'!$A:$A,MATCH(1,($E278='Raw TRI Data'!$J:$J)*($AA278='Raw TRI Data'!$Z:$Z),0)), "N/A - Facility Does Not Report to TRI, no surface water releases, or no Generic Factors available"))</f>
        <v>N/A - Facility Does Not Report to TRI, no surface water releases, or no Generic Factors available</v>
      </c>
      <c r="AD278" s="96" t="str" cm="1">
        <f t="array" ref="AD278">IF(COUNTIFS('Raw Annual DMR Data'!L:L,$F278,'Raw Annual DMR Data'!W:W, "&gt;0")&gt;0,MEDIAN(IF('Raw Annual DMR Data'!K:K=$F278, 'Raw Annual DMR Data'!W:W)), "N/A - No Daily Max DMR Discharge Data")</f>
        <v>N/A - No Daily Max DMR Discharge Data</v>
      </c>
      <c r="AE278" s="96" t="str">
        <f>IF(COUNTIFS('Raw Annual DMR Data'!L:L,$F278,'Raw Annual DMR Data'!W:W, "&gt;0")&gt;0,_xlfn.MAXIFS('Raw Annual DMR Data'!W:W,'Raw Annual DMR Data'!L:L,$F278), "N/A - No Daily Max DMR Discharge Data")</f>
        <v>N/A - No Daily Max DMR Discharge Data</v>
      </c>
      <c r="AF278" s="60" t="str" cm="1">
        <f t="array" ref="AF278">IF(COUNTIFS('Raw Annual DMR Data'!L:L,$F278,'Raw Annual DMR Data'!W:W, "&gt;0")&gt;0,INDEX('Raw Annual DMR Data'!B:B,MATCH(1,($F278='Raw Annual DMR Data'!L:L)*($AE278='Raw Annual DMR Data'!W:W),0)), "N/A - No Daily Max DMR Discharge Data")</f>
        <v>N/A - No Daily Max DMR Discharge Data</v>
      </c>
    </row>
    <row r="279" spans="1:32" ht="45.75" thickBot="1" x14ac:dyDescent="0.3">
      <c r="A279" s="144" t="str">
        <f>VLOOKUP(F279,'Facility Summary'!J:K,2,FALSE)</f>
        <v>Unknown</v>
      </c>
      <c r="B279" s="28" t="s">
        <v>1230</v>
      </c>
      <c r="C279" s="28" t="s">
        <v>1231</v>
      </c>
      <c r="D279" s="28" t="s">
        <v>541</v>
      </c>
      <c r="E279" s="28"/>
      <c r="F279" s="61">
        <v>110000587384</v>
      </c>
      <c r="G279" s="60" t="str">
        <f>VLOOKUP($F279, 'Raw Annual DMR Data'!$A:$Z, 24, FALSE)</f>
        <v>SC0036145</v>
      </c>
      <c r="H279" s="60" t="str">
        <f>VLOOKUP($F279, 'Raw Annual DMR Data'!$A:$Z, 25, FALSE)</f>
        <v>SOUTH TYGER RIVER</v>
      </c>
      <c r="I279" s="74">
        <f>VLOOKUP($F279, 'Raw Annual DMR Data'!$A:$Z, 26, FALSE)</f>
        <v>3050107000093</v>
      </c>
      <c r="J279" s="74" t="s">
        <v>265</v>
      </c>
      <c r="K279" s="60">
        <f>VLOOKUP(A279, 'OES Summary'!$A:$B, 2, FALSE)</f>
        <v>250</v>
      </c>
      <c r="L279" s="304" cm="1">
        <f t="array" ref="L279">IF(COUNTIF('Raw Annual DMR Data'!$L:$L,$F279)&gt;0,MEDIAN(IF('Raw Annual DMR Data'!$L:$L=F279,'Raw Annual DMR Data'!$S:$S)),"N/A - Facility Does Not Report DMRs")</f>
        <v>3.8148825749999997E-2</v>
      </c>
      <c r="M279" s="156">
        <f t="shared" si="28"/>
        <v>1.5259530299999998E-4</v>
      </c>
      <c r="N279" s="156">
        <f>IF(COUNTIF('Raw Annual DMR Data'!$L:$L,$F279)&gt;0,_xlfn.MAXIFS('Raw Annual DMR Data'!$S:$S,'Raw Annual DMR Data'!$L:$L,$F279), "N/A - Facility Does Not Report DMRs")</f>
        <v>9.2479662000000004E-2</v>
      </c>
      <c r="O279" s="156">
        <f t="shared" si="29"/>
        <v>3.6991864800000002E-4</v>
      </c>
      <c r="P279" s="113" cm="1">
        <f t="array" ref="P279">IF(COUNTIF('Raw Annual DMR Data'!$L:$L,$F279)&gt;0,INDEX('Raw Annual DMR Data'!$B:$B,MATCH(1,($F279='Raw Annual DMR Data'!$L:$L)*($N279='Raw Annual DMR Data'!$S:$S),0)), "N/A - Facility Does Not Report DMRs")</f>
        <v>2022</v>
      </c>
      <c r="Q279" s="304" t="str" cm="1">
        <f t="array" ref="Q279">IF(COUNTIF('Raw TRI Data'!$J:$J,$E279)&gt;0,MEDIAN(IF('Raw TRI Data'!$J:$J=E279,'Raw TRI Data'!$S:$S)), "N/A - Facility Does Not Report to TRI")</f>
        <v>N/A - Facility Does Not Report to TRI</v>
      </c>
      <c r="R279" s="156" t="str">
        <f t="shared" si="26"/>
        <v>N/A - Facility Does Not Report to TRI</v>
      </c>
      <c r="S279" s="156" t="str">
        <f>IF(COUNTIF('Raw TRI Data'!$J:$J,$E279)&gt;0,_xlfn.MAXIFS('Raw TRI Data'!$S:$S,'Raw TRI Data'!$J:$J,$E279), "N/A - Facility Does Not Report to TRI")</f>
        <v>N/A - Facility Does Not Report to TRI</v>
      </c>
      <c r="T279" s="156" t="str">
        <f t="shared" si="27"/>
        <v>N/A - Facility Does Not Report to TRI</v>
      </c>
      <c r="U279" s="136" t="str" cm="1">
        <f t="array" ref="U279">IF(COUNTIF('Raw TRI Data'!$J:$J,$E279)&gt;0,INDEX('Raw TRI Data'!$A:$A,MATCH(1,($E279='Raw TRI Data'!$J:$J)*(S279='Raw TRI Data'!$S:$S),0)), "N/A - Facility Does Not Report to TRI")</f>
        <v>N/A - Facility Does Not Report to TRI</v>
      </c>
      <c r="V279" s="156" t="str" cm="1">
        <f t="array" ref="V279">IF(COUNTIFS('Raw Annual DMR Data'!$L:$L,$F279,'Raw Annual DMR Data'!$U:$U,"&gt;0")&gt;0,MEDIAN(IF('Raw Annual DMR Data'!$L:$L=$F279,'Raw Annual DMR Data'!$U:$U,"")),"N/A - Period DMR Data Not Available")</f>
        <v>N/A - Period DMR Data Not Available</v>
      </c>
      <c r="W279" s="156" t="str">
        <f>IF(COUNTIFS('Raw Annual DMR Data'!$L:$L,$F279, 'Raw Annual DMR Data'!$U:$U, "&gt;0")&gt;0,_xlfn.MAXIFS('Raw Annual DMR Data'!$U:$U,'Raw Annual DMR Data'!$L:$L,$F279), "N/A - Period DMR Data Not Available")</f>
        <v>N/A - Period DMR Data Not Available</v>
      </c>
      <c r="X279" s="113" t="str" cm="1">
        <f t="array" ref="X279">+IF(COUNTIFS('Raw Annual DMR Data'!L:L,$F279, 'Raw Annual DMR Data'!U:U, "&gt;0")&gt;0,INDEX('Raw Annual DMR Data'!V:V,MATCH(1,($F279='Raw Annual DMR Data'!L:L)*($W279='Raw Annual DMR Data'!U:U),0)), "N/A - Period DMR Data Not Available")</f>
        <v>N/A - Period DMR Data Not Available</v>
      </c>
      <c r="Y279" s="113" t="str" cm="1">
        <f t="array" ref="Y279">IF(COUNTIFS('Raw Annual DMR Data'!L:L,$F279, 'Raw Annual DMR Data'!U:U, "&gt;0")&gt;0,INDEX('Raw Annual DMR Data'!B:B,MATCH(1,($F279='Raw Annual DMR Data'!L:L)*($W279='Raw Annual DMR Data'!U:U),0)), "N/A - Period DMR Data Not Available")</f>
        <v>N/A - Period DMR Data Not Available</v>
      </c>
      <c r="Z279" s="311" t="str" cm="1">
        <f t="array" ref="Z279">IF(COUNTIF('Raw Annual DMR Data'!K:K,$E279)&gt;0,"N/A - See DMRs",IF(SUMIFS('Raw TRI Data'!$Z:$Z,'Raw TRI Data'!$J:$J,$E279)&gt;0,MEDIAN(IF('Raw TRI Data'!$J:$J=$E279,'Raw TRI Data'!$Z:$Z)), "N/A - Facility Does Not Report to TRI, no surface water releases, or no Generic Factors available"))</f>
        <v>N/A - Facility Does Not Report to TRI, no surface water releases, or no Generic Factors available</v>
      </c>
      <c r="AA279" s="156" t="str">
        <f>IF(COUNTIF('Raw Annual DMR Data'!K:K,$E279)&gt;0,"N/A - See DMRs",IF(SUMIFS('Raw TRI Data'!$Z:$Z,'Raw TRI Data'!$J:$J,$E279)&gt;0,_xlfn.MAXIFS('Raw TRI Data'!$Z:$Z,'Raw TRI Data'!$J:$J,$E279), "N/A - Facility Does Not Report to TRI, no surface water releases, or no Generic Factors available"))</f>
        <v>N/A - Facility Does Not Report to TRI, no surface water releases, or no Generic Factors available</v>
      </c>
      <c r="AB279" s="113" t="str">
        <f t="shared" si="30"/>
        <v>N/A</v>
      </c>
      <c r="AC279" s="136" t="str" cm="1">
        <f t="array" ref="AC279">IF(COUNTIF('Raw Annual DMR Data'!K:K,$E279)&gt;0,"N/A - See DMRs",IF(SUMIFS('Raw TRI Data'!$Z:$Z,'Raw TRI Data'!$J:$J,$E279)&gt;0,INDEX('Raw TRI Data'!$A:$A,MATCH(1,($E279='Raw TRI Data'!$J:$J)*($AA279='Raw TRI Data'!$Z:$Z),0)), "N/A - Facility Does Not Report to TRI, no surface water releases, or no Generic Factors available"))</f>
        <v>N/A - Facility Does Not Report to TRI, no surface water releases, or no Generic Factors available</v>
      </c>
      <c r="AD279" s="96" t="str" cm="1">
        <f t="array" ref="AD279">IF(COUNTIFS('Raw Annual DMR Data'!L:L,$F279,'Raw Annual DMR Data'!W:W, "&gt;0")&gt;0,MEDIAN(IF('Raw Annual DMR Data'!K:K=$F279, 'Raw Annual DMR Data'!W:W)), "N/A - No Daily Max DMR Discharge Data")</f>
        <v>N/A - No Daily Max DMR Discharge Data</v>
      </c>
      <c r="AE279" s="96" t="str">
        <f>IF(COUNTIFS('Raw Annual DMR Data'!L:L,$F279,'Raw Annual DMR Data'!W:W, "&gt;0")&gt;0,_xlfn.MAXIFS('Raw Annual DMR Data'!W:W,'Raw Annual DMR Data'!L:L,$F279), "N/A - No Daily Max DMR Discharge Data")</f>
        <v>N/A - No Daily Max DMR Discharge Data</v>
      </c>
      <c r="AF279" s="60" t="str" cm="1">
        <f t="array" ref="AF279">IF(COUNTIFS('Raw Annual DMR Data'!L:L,$F279,'Raw Annual DMR Data'!W:W, "&gt;0")&gt;0,INDEX('Raw Annual DMR Data'!B:B,MATCH(1,($F279='Raw Annual DMR Data'!L:L)*($AE279='Raw Annual DMR Data'!W:W),0)), "N/A - No Daily Max DMR Discharge Data")</f>
        <v>N/A - No Daily Max DMR Discharge Data</v>
      </c>
    </row>
    <row r="280" spans="1:32" ht="45.75" thickBot="1" x14ac:dyDescent="0.3">
      <c r="A280" s="144" t="str">
        <f>VLOOKUP(F280,'Facility Summary'!J:K,2,FALSE)</f>
        <v>Unknown</v>
      </c>
      <c r="B280" s="28" t="s">
        <v>1232</v>
      </c>
      <c r="C280" s="28" t="s">
        <v>968</v>
      </c>
      <c r="D280" s="28" t="s">
        <v>294</v>
      </c>
      <c r="E280" s="28"/>
      <c r="F280" s="61">
        <v>110070884090</v>
      </c>
      <c r="G280" s="60" t="str">
        <f>VLOOKUP($F280, 'Raw Annual DMR Data'!$A:$Z, 24, FALSE)</f>
        <v>VAG830558</v>
      </c>
      <c r="H280" s="60" t="str">
        <f>VLOOKUP($F280, 'Raw Annual DMR Data'!$A:$Z, 25, FALSE)</f>
        <v>CAMERON RUN</v>
      </c>
      <c r="I280" s="74">
        <f>VLOOKUP($F280, 'Raw Annual DMR Data'!$A:$Z, 26, FALSE)</f>
        <v>0</v>
      </c>
      <c r="J280" s="74" t="s">
        <v>265</v>
      </c>
      <c r="K280" s="60">
        <f>VLOOKUP(A280, 'OES Summary'!$A:$B, 2, FALSE)</f>
        <v>250</v>
      </c>
      <c r="L280" s="304" cm="1">
        <f t="array" ref="L280">IF(COUNTIF('Raw Annual DMR Data'!$L:$L,$F280)&gt;0,MEDIAN(IF('Raw Annual DMR Data'!$L:$L=F280,'Raw Annual DMR Data'!$S:$S)),"N/A - Facility Does Not Report DMRs")</f>
        <v>1.0046146999999901E-3</v>
      </c>
      <c r="M280" s="156">
        <f t="shared" si="28"/>
        <v>4.0184587999999604E-6</v>
      </c>
      <c r="N280" s="156">
        <f>IF(COUNTIF('Raw Annual DMR Data'!$L:$L,$F280)&gt;0,_xlfn.MAXIFS('Raw Annual DMR Data'!$S:$S,'Raw Annual DMR Data'!$L:$L,$F280), "N/A - Facility Does Not Report DMRs")</f>
        <v>1.0046146999999901E-3</v>
      </c>
      <c r="O280" s="156">
        <f t="shared" si="29"/>
        <v>4.0184587999999604E-6</v>
      </c>
      <c r="P280" s="113" cm="1">
        <f t="array" ref="P280">IF(COUNTIF('Raw Annual DMR Data'!$L:$L,$F280)&gt;0,INDEX('Raw Annual DMR Data'!$B:$B,MATCH(1,($F280='Raw Annual DMR Data'!$L:$L)*($N280='Raw Annual DMR Data'!$S:$S),0)), "N/A - Facility Does Not Report DMRs")</f>
        <v>2020</v>
      </c>
      <c r="Q280" s="304" t="str" cm="1">
        <f t="array" ref="Q280">IF(COUNTIF('Raw TRI Data'!$J:$J,$E280)&gt;0,MEDIAN(IF('Raw TRI Data'!$J:$J=E280,'Raw TRI Data'!$S:$S)), "N/A - Facility Does Not Report to TRI")</f>
        <v>N/A - Facility Does Not Report to TRI</v>
      </c>
      <c r="R280" s="156" t="str">
        <f t="shared" si="26"/>
        <v>N/A - Facility Does Not Report to TRI</v>
      </c>
      <c r="S280" s="156" t="str">
        <f>IF(COUNTIF('Raw TRI Data'!$J:$J,$E280)&gt;0,_xlfn.MAXIFS('Raw TRI Data'!$S:$S,'Raw TRI Data'!$J:$J,$E280), "N/A - Facility Does Not Report to TRI")</f>
        <v>N/A - Facility Does Not Report to TRI</v>
      </c>
      <c r="T280" s="156" t="str">
        <f t="shared" si="27"/>
        <v>N/A - Facility Does Not Report to TRI</v>
      </c>
      <c r="U280" s="136" t="str" cm="1">
        <f t="array" ref="U280">IF(COUNTIF('Raw TRI Data'!$J:$J,$E280)&gt;0,INDEX('Raw TRI Data'!$A:$A,MATCH(1,($E280='Raw TRI Data'!$J:$J)*(S280='Raw TRI Data'!$S:$S),0)), "N/A - Facility Does Not Report to TRI")</f>
        <v>N/A - Facility Does Not Report to TRI</v>
      </c>
      <c r="V280" s="156" t="str" cm="1">
        <f t="array" ref="V280">IF(COUNTIFS('Raw Annual DMR Data'!$L:$L,$F280,'Raw Annual DMR Data'!$U:$U,"&gt;0")&gt;0,MEDIAN(IF('Raw Annual DMR Data'!$L:$L=$F280,'Raw Annual DMR Data'!$U:$U,"")),"N/A - Period DMR Data Not Available")</f>
        <v>N/A - Period DMR Data Not Available</v>
      </c>
      <c r="W280" s="156" t="str">
        <f>IF(COUNTIFS('Raw Annual DMR Data'!$L:$L,$F280, 'Raw Annual DMR Data'!$U:$U, "&gt;0")&gt;0,_xlfn.MAXIFS('Raw Annual DMR Data'!$U:$U,'Raw Annual DMR Data'!$L:$L,$F280), "N/A - Period DMR Data Not Available")</f>
        <v>N/A - Period DMR Data Not Available</v>
      </c>
      <c r="X280" s="113" t="str" cm="1">
        <f t="array" ref="X280">+IF(COUNTIFS('Raw Annual DMR Data'!L:L,$F280, 'Raw Annual DMR Data'!U:U, "&gt;0")&gt;0,INDEX('Raw Annual DMR Data'!V:V,MATCH(1,($F280='Raw Annual DMR Data'!L:L)*($W280='Raw Annual DMR Data'!U:U),0)), "N/A - Period DMR Data Not Available")</f>
        <v>N/A - Period DMR Data Not Available</v>
      </c>
      <c r="Y280" s="113" t="str" cm="1">
        <f t="array" ref="Y280">IF(COUNTIFS('Raw Annual DMR Data'!L:L,$F280, 'Raw Annual DMR Data'!U:U, "&gt;0")&gt;0,INDEX('Raw Annual DMR Data'!B:B,MATCH(1,($F280='Raw Annual DMR Data'!L:L)*($W280='Raw Annual DMR Data'!U:U),0)), "N/A - Period DMR Data Not Available")</f>
        <v>N/A - Period DMR Data Not Available</v>
      </c>
      <c r="Z280" s="311" t="str" cm="1">
        <f t="array" ref="Z280">IF(COUNTIF('Raw Annual DMR Data'!K:K,$E280)&gt;0,"N/A - See DMRs",IF(SUMIFS('Raw TRI Data'!$Z:$Z,'Raw TRI Data'!$J:$J,$E280)&gt;0,MEDIAN(IF('Raw TRI Data'!$J:$J=$E280,'Raw TRI Data'!$Z:$Z)), "N/A - Facility Does Not Report to TRI, no surface water releases, or no Generic Factors available"))</f>
        <v>N/A - Facility Does Not Report to TRI, no surface water releases, or no Generic Factors available</v>
      </c>
      <c r="AA280" s="156" t="str">
        <f>IF(COUNTIF('Raw Annual DMR Data'!K:K,$E280)&gt;0,"N/A - See DMRs",IF(SUMIFS('Raw TRI Data'!$Z:$Z,'Raw TRI Data'!$J:$J,$E280)&gt;0,_xlfn.MAXIFS('Raw TRI Data'!$Z:$Z,'Raw TRI Data'!$J:$J,$E280), "N/A - Facility Does Not Report to TRI, no surface water releases, or no Generic Factors available"))</f>
        <v>N/A - Facility Does Not Report to TRI, no surface water releases, or no Generic Factors available</v>
      </c>
      <c r="AB280" s="113" t="str">
        <f t="shared" si="30"/>
        <v>N/A</v>
      </c>
      <c r="AC280" s="136" t="str" cm="1">
        <f t="array" ref="AC280">IF(COUNTIF('Raw Annual DMR Data'!K:K,$E280)&gt;0,"N/A - See DMRs",IF(SUMIFS('Raw TRI Data'!$Z:$Z,'Raw TRI Data'!$J:$J,$E280)&gt;0,INDEX('Raw TRI Data'!$A:$A,MATCH(1,($E280='Raw TRI Data'!$J:$J)*($AA280='Raw TRI Data'!$Z:$Z),0)), "N/A - Facility Does Not Report to TRI, no surface water releases, or no Generic Factors available"))</f>
        <v>N/A - Facility Does Not Report to TRI, no surface water releases, or no Generic Factors available</v>
      </c>
      <c r="AD280" s="96" t="str" cm="1">
        <f t="array" ref="AD280">IF(COUNTIFS('Raw Annual DMR Data'!L:L,$F280,'Raw Annual DMR Data'!W:W, "&gt;0")&gt;0,MEDIAN(IF('Raw Annual DMR Data'!K:K=$F280, 'Raw Annual DMR Data'!W:W)), "N/A - No Daily Max DMR Discharge Data")</f>
        <v>N/A - No Daily Max DMR Discharge Data</v>
      </c>
      <c r="AE280" s="96" t="str">
        <f>IF(COUNTIFS('Raw Annual DMR Data'!L:L,$F280,'Raw Annual DMR Data'!W:W, "&gt;0")&gt;0,_xlfn.MAXIFS('Raw Annual DMR Data'!W:W,'Raw Annual DMR Data'!L:L,$F280), "N/A - No Daily Max DMR Discharge Data")</f>
        <v>N/A - No Daily Max DMR Discharge Data</v>
      </c>
      <c r="AF280" s="60" t="str" cm="1">
        <f t="array" ref="AF280">IF(COUNTIFS('Raw Annual DMR Data'!L:L,$F280,'Raw Annual DMR Data'!W:W, "&gt;0")&gt;0,INDEX('Raw Annual DMR Data'!B:B,MATCH(1,($F280='Raw Annual DMR Data'!L:L)*($AE280='Raw Annual DMR Data'!W:W),0)), "N/A - No Daily Max DMR Discharge Data")</f>
        <v>N/A - No Daily Max DMR Discharge Data</v>
      </c>
    </row>
    <row r="281" spans="1:32" ht="45.75" thickBot="1" x14ac:dyDescent="0.3">
      <c r="A281" s="144" t="str">
        <f>VLOOKUP(F281,'Facility Summary'!J:K,2,FALSE)</f>
        <v>Unknown</v>
      </c>
      <c r="B281" s="28" t="s">
        <v>1233</v>
      </c>
      <c r="C281" s="28" t="s">
        <v>293</v>
      </c>
      <c r="D281" s="28" t="s">
        <v>294</v>
      </c>
      <c r="E281" s="28"/>
      <c r="F281" s="61">
        <v>110070882213</v>
      </c>
      <c r="G281" s="60" t="str">
        <f>VLOOKUP($F281, 'Raw Annual DMR Data'!$A:$Z, 24, FALSE)</f>
        <v>VAG830559</v>
      </c>
      <c r="H281" s="60" t="str">
        <f>VLOOKUP($F281, 'Raw Annual DMR Data'!$A:$Z, 25, FALSE)</f>
        <v>POTOMAC RIVER-PIMMIT RUN</v>
      </c>
      <c r="I281" s="74">
        <f>VLOOKUP($F281, 'Raw Annual DMR Data'!$A:$Z, 26, FALSE)</f>
        <v>0</v>
      </c>
      <c r="J281" s="74" t="s">
        <v>265</v>
      </c>
      <c r="K281" s="60">
        <f>VLOOKUP(A281, 'OES Summary'!$A:$B, 2, FALSE)</f>
        <v>250</v>
      </c>
      <c r="L281" s="304" cm="1">
        <f t="array" ref="L281">IF(COUNTIF('Raw Annual DMR Data'!$L:$L,$F281)&gt;0,MEDIAN(IF('Raw Annual DMR Data'!$L:$L=F281,'Raw Annual DMR Data'!$S:$S)),"N/A - Facility Does Not Report DMRs")</f>
        <v>9.643861454399949E-2</v>
      </c>
      <c r="M281" s="156">
        <f t="shared" si="28"/>
        <v>3.8575445817599794E-4</v>
      </c>
      <c r="N281" s="156">
        <f>IF(COUNTIF('Raw Annual DMR Data'!$L:$L,$F281)&gt;0,_xlfn.MAXIFS('Raw Annual DMR Data'!$S:$S,'Raw Annual DMR Data'!$L:$L,$F281), "N/A - Facility Does Not Report DMRs")</f>
        <v>0.155423897087999</v>
      </c>
      <c r="O281" s="156">
        <f t="shared" si="29"/>
        <v>6.2169558835199605E-4</v>
      </c>
      <c r="P281" s="113" cm="1">
        <f t="array" ref="P281">IF(COUNTIF('Raw Annual DMR Data'!$L:$L,$F281)&gt;0,INDEX('Raw Annual DMR Data'!$B:$B,MATCH(1,($F281='Raw Annual DMR Data'!$L:$L)*($N281='Raw Annual DMR Data'!$S:$S),0)), "N/A - Facility Does Not Report DMRs")</f>
        <v>2020</v>
      </c>
      <c r="Q281" s="304" t="str" cm="1">
        <f t="array" ref="Q281">IF(COUNTIF('Raw TRI Data'!$J:$J,$E281)&gt;0,MEDIAN(IF('Raw TRI Data'!$J:$J=E281,'Raw TRI Data'!$S:$S)), "N/A - Facility Does Not Report to TRI")</f>
        <v>N/A - Facility Does Not Report to TRI</v>
      </c>
      <c r="R281" s="156" t="str">
        <f t="shared" si="26"/>
        <v>N/A - Facility Does Not Report to TRI</v>
      </c>
      <c r="S281" s="156" t="str">
        <f>IF(COUNTIF('Raw TRI Data'!$J:$J,$E281)&gt;0,_xlfn.MAXIFS('Raw TRI Data'!$S:$S,'Raw TRI Data'!$J:$J,$E281), "N/A - Facility Does Not Report to TRI")</f>
        <v>N/A - Facility Does Not Report to TRI</v>
      </c>
      <c r="T281" s="156" t="str">
        <f t="shared" si="27"/>
        <v>N/A - Facility Does Not Report to TRI</v>
      </c>
      <c r="U281" s="136" t="str" cm="1">
        <f t="array" ref="U281">IF(COUNTIF('Raw TRI Data'!$J:$J,$E281)&gt;0,INDEX('Raw TRI Data'!$A:$A,MATCH(1,($E281='Raw TRI Data'!$J:$J)*(S281='Raw TRI Data'!$S:$S),0)), "N/A - Facility Does Not Report to TRI")</f>
        <v>N/A - Facility Does Not Report to TRI</v>
      </c>
      <c r="V281" s="156" t="str" cm="1">
        <f t="array" ref="V281">IF(COUNTIFS('Raw Annual DMR Data'!$L:$L,$F281,'Raw Annual DMR Data'!$U:$U,"&gt;0")&gt;0,MEDIAN(IF('Raw Annual DMR Data'!$L:$L=$F281,'Raw Annual DMR Data'!$U:$U,"")),"N/A - Period DMR Data Not Available")</f>
        <v>N/A - Period DMR Data Not Available</v>
      </c>
      <c r="W281" s="156" t="str">
        <f>IF(COUNTIFS('Raw Annual DMR Data'!$L:$L,$F281, 'Raw Annual DMR Data'!$U:$U, "&gt;0")&gt;0,_xlfn.MAXIFS('Raw Annual DMR Data'!$U:$U,'Raw Annual DMR Data'!$L:$L,$F281), "N/A - Period DMR Data Not Available")</f>
        <v>N/A - Period DMR Data Not Available</v>
      </c>
      <c r="X281" s="113" t="str" cm="1">
        <f t="array" ref="X281">+IF(COUNTIFS('Raw Annual DMR Data'!L:L,$F281, 'Raw Annual DMR Data'!U:U, "&gt;0")&gt;0,INDEX('Raw Annual DMR Data'!V:V,MATCH(1,($F281='Raw Annual DMR Data'!L:L)*($W281='Raw Annual DMR Data'!U:U),0)), "N/A - Period DMR Data Not Available")</f>
        <v>N/A - Period DMR Data Not Available</v>
      </c>
      <c r="Y281" s="113" t="str" cm="1">
        <f t="array" ref="Y281">IF(COUNTIFS('Raw Annual DMR Data'!L:L,$F281, 'Raw Annual DMR Data'!U:U, "&gt;0")&gt;0,INDEX('Raw Annual DMR Data'!B:B,MATCH(1,($F281='Raw Annual DMR Data'!L:L)*($W281='Raw Annual DMR Data'!U:U),0)), "N/A - Period DMR Data Not Available")</f>
        <v>N/A - Period DMR Data Not Available</v>
      </c>
      <c r="Z281" s="311" t="str" cm="1">
        <f t="array" ref="Z281">IF(COUNTIF('Raw Annual DMR Data'!K:K,$E281)&gt;0,"N/A - See DMRs",IF(SUMIFS('Raw TRI Data'!$Z:$Z,'Raw TRI Data'!$J:$J,$E281)&gt;0,MEDIAN(IF('Raw TRI Data'!$J:$J=$E281,'Raw TRI Data'!$Z:$Z)), "N/A - Facility Does Not Report to TRI, no surface water releases, or no Generic Factors available"))</f>
        <v>N/A - Facility Does Not Report to TRI, no surface water releases, or no Generic Factors available</v>
      </c>
      <c r="AA281" s="156" t="str">
        <f>IF(COUNTIF('Raw Annual DMR Data'!K:K,$E281)&gt;0,"N/A - See DMRs",IF(SUMIFS('Raw TRI Data'!$Z:$Z,'Raw TRI Data'!$J:$J,$E281)&gt;0,_xlfn.MAXIFS('Raw TRI Data'!$Z:$Z,'Raw TRI Data'!$J:$J,$E281), "N/A - Facility Does Not Report to TRI, no surface water releases, or no Generic Factors available"))</f>
        <v>N/A - Facility Does Not Report to TRI, no surface water releases, or no Generic Factors available</v>
      </c>
      <c r="AB281" s="113" t="str">
        <f t="shared" si="30"/>
        <v>N/A</v>
      </c>
      <c r="AC281" s="136" t="str" cm="1">
        <f t="array" ref="AC281">IF(COUNTIF('Raw Annual DMR Data'!K:K,$E281)&gt;0,"N/A - See DMRs",IF(SUMIFS('Raw TRI Data'!$Z:$Z,'Raw TRI Data'!$J:$J,$E281)&gt;0,INDEX('Raw TRI Data'!$A:$A,MATCH(1,($E281='Raw TRI Data'!$J:$J)*($AA281='Raw TRI Data'!$Z:$Z),0)), "N/A - Facility Does Not Report to TRI, no surface water releases, or no Generic Factors available"))</f>
        <v>N/A - Facility Does Not Report to TRI, no surface water releases, or no Generic Factors available</v>
      </c>
      <c r="AD281" s="96" t="str" cm="1">
        <f t="array" ref="AD281">IF(COUNTIFS('Raw Annual DMR Data'!L:L,$F281,'Raw Annual DMR Data'!W:W, "&gt;0")&gt;0,MEDIAN(IF('Raw Annual DMR Data'!K:K=$F281, 'Raw Annual DMR Data'!W:W)), "N/A - No Daily Max DMR Discharge Data")</f>
        <v>N/A - No Daily Max DMR Discharge Data</v>
      </c>
      <c r="AE281" s="96" t="str">
        <f>IF(COUNTIFS('Raw Annual DMR Data'!L:L,$F281,'Raw Annual DMR Data'!W:W, "&gt;0")&gt;0,_xlfn.MAXIFS('Raw Annual DMR Data'!W:W,'Raw Annual DMR Data'!L:L,$F281), "N/A - No Daily Max DMR Discharge Data")</f>
        <v>N/A - No Daily Max DMR Discharge Data</v>
      </c>
      <c r="AF281" s="60" t="str" cm="1">
        <f t="array" ref="AF281">IF(COUNTIFS('Raw Annual DMR Data'!L:L,$F281,'Raw Annual DMR Data'!W:W, "&gt;0")&gt;0,INDEX('Raw Annual DMR Data'!B:B,MATCH(1,($F281='Raw Annual DMR Data'!L:L)*($AE281='Raw Annual DMR Data'!W:W),0)), "N/A - No Daily Max DMR Discharge Data")</f>
        <v>N/A - No Daily Max DMR Discharge Data</v>
      </c>
    </row>
    <row r="282" spans="1:32" ht="30.75" thickBot="1" x14ac:dyDescent="0.3">
      <c r="A282" s="144" t="str">
        <f>VLOOKUP(F282,'Facility Summary'!J:K,2,FALSE)</f>
        <v>Unknown</v>
      </c>
      <c r="B282" s="28" t="s">
        <v>1234</v>
      </c>
      <c r="C282" s="28" t="s">
        <v>361</v>
      </c>
      <c r="D282" s="28" t="s">
        <v>362</v>
      </c>
      <c r="E282" s="28" t="s">
        <v>725</v>
      </c>
      <c r="F282" s="61">
        <v>110000463677</v>
      </c>
      <c r="G282" s="60" t="str">
        <f>VLOOKUP($F282, 'Raw Annual DMR Data'!$A:$Z, 24, FALSE)</f>
        <v>TX0084808</v>
      </c>
      <c r="H282" s="60" t="str">
        <f>VLOOKUP($F282, 'Raw Annual DMR Data'!$A:$Z, 25, FALSE)</f>
        <v>PHILLIPS DITCH, HOUSTON SHIP CHANNE</v>
      </c>
      <c r="I282" s="74">
        <f>VLOOKUP($F282, 'Raw Annual DMR Data'!$A:$Z, 26, FALSE)</f>
        <v>12040104000661</v>
      </c>
      <c r="J282" s="74" t="s">
        <v>265</v>
      </c>
      <c r="K282" s="60">
        <f>VLOOKUP(A282, 'OES Summary'!$A:$B, 2, FALSE)</f>
        <v>250</v>
      </c>
      <c r="L282" s="304" cm="1">
        <f t="array" ref="L282">IF(COUNTIF('Raw Annual DMR Data'!$L:$L,$F282)&gt;0,MEDIAN(IF('Raw Annual DMR Data'!$L:$L=F282,'Raw Annual DMR Data'!$S:$S)),"N/A - Facility Does Not Report DMRs")</f>
        <v>3.0490640000000002E-3</v>
      </c>
      <c r="M282" s="156">
        <f t="shared" si="28"/>
        <v>1.2196256E-5</v>
      </c>
      <c r="N282" s="156">
        <f>IF(COUNTIF('Raw Annual DMR Data'!$L:$L,$F282)&gt;0,_xlfn.MAXIFS('Raw Annual DMR Data'!$S:$S,'Raw Annual DMR Data'!$L:$L,$F282), "N/A - Facility Does Not Report DMRs")</f>
        <v>3.9438980000000004E-3</v>
      </c>
      <c r="O282" s="156">
        <f t="shared" si="29"/>
        <v>1.5775592E-5</v>
      </c>
      <c r="P282" s="113" cm="1">
        <f t="array" ref="P282">IF(COUNTIF('Raw Annual DMR Data'!$L:$L,$F282)&gt;0,INDEX('Raw Annual DMR Data'!$B:$B,MATCH(1,($F282='Raw Annual DMR Data'!$L:$L)*($N282='Raw Annual DMR Data'!$S:$S),0)), "N/A - Facility Does Not Report DMRs")</f>
        <v>2022</v>
      </c>
      <c r="Q282" s="304" t="str" cm="1">
        <f t="array" ref="Q282">IF(COUNTIF('Raw TRI Data'!$J:$J,$E282)&gt;0,MEDIAN(IF('Raw TRI Data'!$J:$J=E282,'Raw TRI Data'!$S:$S)), "N/A - Facility Does Not Report to TRI")</f>
        <v>N/A - Facility Does Not Report to TRI</v>
      </c>
      <c r="R282" s="156" t="str">
        <f t="shared" si="26"/>
        <v>N/A - Facility Does Not Report to TRI</v>
      </c>
      <c r="S282" s="156" t="str">
        <f>IF(COUNTIF('Raw TRI Data'!$J:$J,$E282)&gt;0,_xlfn.MAXIFS('Raw TRI Data'!$S:$S,'Raw TRI Data'!$J:$J,$E282), "N/A - Facility Does Not Report to TRI")</f>
        <v>N/A - Facility Does Not Report to TRI</v>
      </c>
      <c r="T282" s="156" t="str">
        <f t="shared" si="27"/>
        <v>N/A - Facility Does Not Report to TRI</v>
      </c>
      <c r="U282" s="136" t="str" cm="1">
        <f t="array" ref="U282">IF(COUNTIF('Raw TRI Data'!$J:$J,$E282)&gt;0,INDEX('Raw TRI Data'!$A:$A,MATCH(1,($E282='Raw TRI Data'!$J:$J)*(S282='Raw TRI Data'!$S:$S),0)), "N/A - Facility Does Not Report to TRI")</f>
        <v>N/A - Facility Does Not Report to TRI</v>
      </c>
      <c r="V282" s="156" t="str" cm="1">
        <f t="array" ref="V282">IF(COUNTIFS('Raw Annual DMR Data'!$L:$L,$F282,'Raw Annual DMR Data'!$U:$U,"&gt;0")&gt;0,MEDIAN(IF('Raw Annual DMR Data'!$L:$L=$F282,'Raw Annual DMR Data'!$U:$U,"")),"N/A - Period DMR Data Not Available")</f>
        <v>N/A - Period DMR Data Not Available</v>
      </c>
      <c r="W282" s="156" t="str">
        <f>IF(COUNTIFS('Raw Annual DMR Data'!$L:$L,$F282, 'Raw Annual DMR Data'!$U:$U, "&gt;0")&gt;0,_xlfn.MAXIFS('Raw Annual DMR Data'!$U:$U,'Raw Annual DMR Data'!$L:$L,$F282), "N/A - Period DMR Data Not Available")</f>
        <v>N/A - Period DMR Data Not Available</v>
      </c>
      <c r="X282" s="113" t="str" cm="1">
        <f t="array" ref="X282">+IF(COUNTIFS('Raw Annual DMR Data'!L:L,$F282, 'Raw Annual DMR Data'!U:U, "&gt;0")&gt;0,INDEX('Raw Annual DMR Data'!V:V,MATCH(1,($F282='Raw Annual DMR Data'!L:L)*($W282='Raw Annual DMR Data'!U:U),0)), "N/A - Period DMR Data Not Available")</f>
        <v>N/A - Period DMR Data Not Available</v>
      </c>
      <c r="Y282" s="113" t="str" cm="1">
        <f t="array" ref="Y282">IF(COUNTIFS('Raw Annual DMR Data'!L:L,$F282, 'Raw Annual DMR Data'!U:U, "&gt;0")&gt;0,INDEX('Raw Annual DMR Data'!B:B,MATCH(1,($F282='Raw Annual DMR Data'!L:L)*($W282='Raw Annual DMR Data'!U:U),0)), "N/A - Period DMR Data Not Available")</f>
        <v>N/A - Period DMR Data Not Available</v>
      </c>
      <c r="Z282" s="311" t="str" cm="1">
        <f t="array" ref="Z282">IF(COUNTIF('Raw Annual DMR Data'!K:K,$E282)&gt;0,"N/A - See DMRs",IF(SUMIFS('Raw TRI Data'!$Z:$Z,'Raw TRI Data'!$J:$J,$E282)&gt;0,MEDIAN(IF('Raw TRI Data'!$J:$J=$E282,'Raw TRI Data'!$Z:$Z)), "N/A - Facility Does Not Report to TRI, no surface water releases, or no Generic Factors available"))</f>
        <v>N/A - See DMRs</v>
      </c>
      <c r="AA282" s="156" t="str">
        <f>IF(COUNTIF('Raw Annual DMR Data'!K:K,$E282)&gt;0,"N/A - See DMRs",IF(SUMIFS('Raw TRI Data'!$Z:$Z,'Raw TRI Data'!$J:$J,$E282)&gt;0,_xlfn.MAXIFS('Raw TRI Data'!$Z:$Z,'Raw TRI Data'!$J:$J,$E282), "N/A - Facility Does Not Report to TRI, no surface water releases, or no Generic Factors available"))</f>
        <v>N/A - See DMRs</v>
      </c>
      <c r="AB282" s="113" t="str">
        <f t="shared" si="30"/>
        <v>N/A</v>
      </c>
      <c r="AC282" s="136" t="str" cm="1">
        <f t="array" ref="AC282">IF(COUNTIF('Raw Annual DMR Data'!K:K,$E282)&gt;0,"N/A - See DMRs",IF(SUMIFS('Raw TRI Data'!$Z:$Z,'Raw TRI Data'!$J:$J,$E282)&gt;0,INDEX('Raw TRI Data'!$A:$A,MATCH(1,($E282='Raw TRI Data'!$J:$J)*($AA282='Raw TRI Data'!$Z:$Z),0)), "N/A - Facility Does Not Report to TRI, no surface water releases, or no Generic Factors available"))</f>
        <v>N/A - See DMRs</v>
      </c>
      <c r="AD282" s="96" t="str" cm="1">
        <f t="array" ref="AD282">IF(COUNTIFS('Raw Annual DMR Data'!L:L,$F282,'Raw Annual DMR Data'!W:W, "&gt;0")&gt;0,MEDIAN(IF('Raw Annual DMR Data'!K:K=$F282, 'Raw Annual DMR Data'!W:W)), "N/A - No Daily Max DMR Discharge Data")</f>
        <v>N/A - No Daily Max DMR Discharge Data</v>
      </c>
      <c r="AE282" s="96" t="str">
        <f>IF(COUNTIFS('Raw Annual DMR Data'!L:L,$F282,'Raw Annual DMR Data'!W:W, "&gt;0")&gt;0,_xlfn.MAXIFS('Raw Annual DMR Data'!W:W,'Raw Annual DMR Data'!L:L,$F282), "N/A - No Daily Max DMR Discharge Data")</f>
        <v>N/A - No Daily Max DMR Discharge Data</v>
      </c>
      <c r="AF282" s="60" t="str" cm="1">
        <f t="array" ref="AF282">IF(COUNTIFS('Raw Annual DMR Data'!L:L,$F282,'Raw Annual DMR Data'!W:W, "&gt;0")&gt;0,INDEX('Raw Annual DMR Data'!B:B,MATCH(1,($F282='Raw Annual DMR Data'!L:L)*($AE282='Raw Annual DMR Data'!W:W),0)), "N/A - No Daily Max DMR Discharge Data")</f>
        <v>N/A - No Daily Max DMR Discharge Data</v>
      </c>
    </row>
    <row r="283" spans="1:32" ht="45.75" thickBot="1" x14ac:dyDescent="0.3">
      <c r="A283" s="144" t="str">
        <f>VLOOKUP(F283,'Facility Summary'!J:K,2,FALSE)</f>
        <v>Unknown</v>
      </c>
      <c r="B283" s="28" t="s">
        <v>1235</v>
      </c>
      <c r="C283" s="28" t="s">
        <v>1236</v>
      </c>
      <c r="D283" s="28" t="s">
        <v>450</v>
      </c>
      <c r="E283" s="28"/>
      <c r="F283" s="61">
        <v>110002321345</v>
      </c>
      <c r="G283" s="60" t="str">
        <f>VLOOKUP($F283, 'Raw Annual DMR Data'!$A:$Z, 24, FALSE)</f>
        <v>NY0257206</v>
      </c>
      <c r="H283" s="60" t="str">
        <f>VLOOKUP($F283, 'Raw Annual DMR Data'!$A:$Z, 25, FALSE)</f>
        <v>MOHAWK R</v>
      </c>
      <c r="I283" s="74">
        <f>VLOOKUP($F283, 'Raw Annual DMR Data'!$A:$Z, 26, FALSE)</f>
        <v>2020004002623</v>
      </c>
      <c r="J283" s="74" t="s">
        <v>265</v>
      </c>
      <c r="K283" s="60">
        <f>VLOOKUP(A283, 'OES Summary'!$A:$B, 2, FALSE)</f>
        <v>250</v>
      </c>
      <c r="L283" s="304" cm="1">
        <f t="array" ref="L283">IF(COUNTIF('Raw Annual DMR Data'!$L:$L,$F283)&gt;0,MEDIAN(IF('Raw Annual DMR Data'!$L:$L=F283,'Raw Annual DMR Data'!$S:$S)),"N/A - Facility Does Not Report DMRs")</f>
        <v>6.5258320499999951E-3</v>
      </c>
      <c r="M283" s="156">
        <f t="shared" si="28"/>
        <v>2.6103328199999981E-5</v>
      </c>
      <c r="N283" s="156">
        <f>IF(COUNTIF('Raw Annual DMR Data'!$L:$L,$F283)&gt;0,_xlfn.MAXIFS('Raw Annual DMR Data'!$S:$S,'Raw Annual DMR Data'!$L:$L,$F283), "N/A - Facility Does Not Report DMRs")</f>
        <v>1.85859226674999E-2</v>
      </c>
      <c r="O283" s="156">
        <f t="shared" si="29"/>
        <v>7.4343690669999602E-5</v>
      </c>
      <c r="P283" s="113" cm="1">
        <f t="array" ref="P283">IF(COUNTIF('Raw Annual DMR Data'!$L:$L,$F283)&gt;0,INDEX('Raw Annual DMR Data'!$B:$B,MATCH(1,($F283='Raw Annual DMR Data'!$L:$L)*($N283='Raw Annual DMR Data'!$S:$S),0)), "N/A - Facility Does Not Report DMRs")</f>
        <v>2015</v>
      </c>
      <c r="Q283" s="304" t="str" cm="1">
        <f t="array" ref="Q283">IF(COUNTIF('Raw TRI Data'!$J:$J,$E283)&gt;0,MEDIAN(IF('Raw TRI Data'!$J:$J=E283,'Raw TRI Data'!$S:$S)), "N/A - Facility Does Not Report to TRI")</f>
        <v>N/A - Facility Does Not Report to TRI</v>
      </c>
      <c r="R283" s="156" t="str">
        <f t="shared" si="26"/>
        <v>N/A - Facility Does Not Report to TRI</v>
      </c>
      <c r="S283" s="156" t="str">
        <f>IF(COUNTIF('Raw TRI Data'!$J:$J,$E283)&gt;0,_xlfn.MAXIFS('Raw TRI Data'!$S:$S,'Raw TRI Data'!$J:$J,$E283), "N/A - Facility Does Not Report to TRI")</f>
        <v>N/A - Facility Does Not Report to TRI</v>
      </c>
      <c r="T283" s="156" t="str">
        <f t="shared" si="27"/>
        <v>N/A - Facility Does Not Report to TRI</v>
      </c>
      <c r="U283" s="136" t="str" cm="1">
        <f t="array" ref="U283">IF(COUNTIF('Raw TRI Data'!$J:$J,$E283)&gt;0,INDEX('Raw TRI Data'!$A:$A,MATCH(1,($E283='Raw TRI Data'!$J:$J)*(S283='Raw TRI Data'!$S:$S),0)), "N/A - Facility Does Not Report to TRI")</f>
        <v>N/A - Facility Does Not Report to TRI</v>
      </c>
      <c r="V283" s="156" t="str" cm="1">
        <f t="array" ref="V283">IF(COUNTIFS('Raw Annual DMR Data'!$L:$L,$F283,'Raw Annual DMR Data'!$U:$U,"&gt;0")&gt;0,MEDIAN(IF('Raw Annual DMR Data'!$L:$L=$F283,'Raw Annual DMR Data'!$U:$U,"")),"N/A - Period DMR Data Not Available")</f>
        <v>N/A - Period DMR Data Not Available</v>
      </c>
      <c r="W283" s="156" t="str">
        <f>IF(COUNTIFS('Raw Annual DMR Data'!$L:$L,$F283, 'Raw Annual DMR Data'!$U:$U, "&gt;0")&gt;0,_xlfn.MAXIFS('Raw Annual DMR Data'!$U:$U,'Raw Annual DMR Data'!$L:$L,$F283), "N/A - Period DMR Data Not Available")</f>
        <v>N/A - Period DMR Data Not Available</v>
      </c>
      <c r="X283" s="113" t="str" cm="1">
        <f t="array" ref="X283">+IF(COUNTIFS('Raw Annual DMR Data'!L:L,$F283, 'Raw Annual DMR Data'!U:U, "&gt;0")&gt;0,INDEX('Raw Annual DMR Data'!V:V,MATCH(1,($F283='Raw Annual DMR Data'!L:L)*($W283='Raw Annual DMR Data'!U:U),0)), "N/A - Period DMR Data Not Available")</f>
        <v>N/A - Period DMR Data Not Available</v>
      </c>
      <c r="Y283" s="113" t="str" cm="1">
        <f t="array" ref="Y283">IF(COUNTIFS('Raw Annual DMR Data'!L:L,$F283, 'Raw Annual DMR Data'!U:U, "&gt;0")&gt;0,INDEX('Raw Annual DMR Data'!B:B,MATCH(1,($F283='Raw Annual DMR Data'!L:L)*($W283='Raw Annual DMR Data'!U:U),0)), "N/A - Period DMR Data Not Available")</f>
        <v>N/A - Period DMR Data Not Available</v>
      </c>
      <c r="Z283" s="311" t="str" cm="1">
        <f t="array" ref="Z283">IF(COUNTIF('Raw Annual DMR Data'!K:K,$E283)&gt;0,"N/A - See DMRs",IF(SUMIFS('Raw TRI Data'!$Z:$Z,'Raw TRI Data'!$J:$J,$E283)&gt;0,MEDIAN(IF('Raw TRI Data'!$J:$J=$E283,'Raw TRI Data'!$Z:$Z)), "N/A - Facility Does Not Report to TRI, no surface water releases, or no Generic Factors available"))</f>
        <v>N/A - Facility Does Not Report to TRI, no surface water releases, or no Generic Factors available</v>
      </c>
      <c r="AA283" s="156" t="str">
        <f>IF(COUNTIF('Raw Annual DMR Data'!K:K,$E283)&gt;0,"N/A - See DMRs",IF(SUMIFS('Raw TRI Data'!$Z:$Z,'Raw TRI Data'!$J:$J,$E283)&gt;0,_xlfn.MAXIFS('Raw TRI Data'!$Z:$Z,'Raw TRI Data'!$J:$J,$E283), "N/A - Facility Does Not Report to TRI, no surface water releases, or no Generic Factors available"))</f>
        <v>N/A - Facility Does Not Report to TRI, no surface water releases, or no Generic Factors available</v>
      </c>
      <c r="AB283" s="113" t="str">
        <f t="shared" si="30"/>
        <v>N/A</v>
      </c>
      <c r="AC283" s="136" t="str" cm="1">
        <f t="array" ref="AC283">IF(COUNTIF('Raw Annual DMR Data'!K:K,$E283)&gt;0,"N/A - See DMRs",IF(SUMIFS('Raw TRI Data'!$Z:$Z,'Raw TRI Data'!$J:$J,$E283)&gt;0,INDEX('Raw TRI Data'!$A:$A,MATCH(1,($E283='Raw TRI Data'!$J:$J)*($AA283='Raw TRI Data'!$Z:$Z),0)), "N/A - Facility Does Not Report to TRI, no surface water releases, or no Generic Factors available"))</f>
        <v>N/A - Facility Does Not Report to TRI, no surface water releases, or no Generic Factors available</v>
      </c>
      <c r="AD283" s="96" t="str" cm="1">
        <f t="array" ref="AD283">IF(COUNTIFS('Raw Annual DMR Data'!L:L,$F283,'Raw Annual DMR Data'!W:W, "&gt;0")&gt;0,MEDIAN(IF('Raw Annual DMR Data'!K:K=$F283, 'Raw Annual DMR Data'!W:W)), "N/A - No Daily Max DMR Discharge Data")</f>
        <v>N/A - No Daily Max DMR Discharge Data</v>
      </c>
      <c r="AE283" s="96" t="str">
        <f>IF(COUNTIFS('Raw Annual DMR Data'!L:L,$F283,'Raw Annual DMR Data'!W:W, "&gt;0")&gt;0,_xlfn.MAXIFS('Raw Annual DMR Data'!W:W,'Raw Annual DMR Data'!L:L,$F283), "N/A - No Daily Max DMR Discharge Data")</f>
        <v>N/A - No Daily Max DMR Discharge Data</v>
      </c>
      <c r="AF283" s="60" t="str" cm="1">
        <f t="array" ref="AF283">IF(COUNTIFS('Raw Annual DMR Data'!L:L,$F283,'Raw Annual DMR Data'!W:W, "&gt;0")&gt;0,INDEX('Raw Annual DMR Data'!B:B,MATCH(1,($F283='Raw Annual DMR Data'!L:L)*($AE283='Raw Annual DMR Data'!W:W),0)), "N/A - No Daily Max DMR Discharge Data")</f>
        <v>N/A - No Daily Max DMR Discharge Data</v>
      </c>
    </row>
    <row r="284" spans="1:32" ht="45.75" thickBot="1" x14ac:dyDescent="0.3">
      <c r="A284" s="144" t="str">
        <f>VLOOKUP(F284,'Facility Summary'!J:K,2,FALSE)</f>
        <v>POTW</v>
      </c>
      <c r="B284" s="28" t="s">
        <v>1237</v>
      </c>
      <c r="C284" s="28" t="s">
        <v>1238</v>
      </c>
      <c r="D284" s="28" t="s">
        <v>324</v>
      </c>
      <c r="E284" s="28"/>
      <c r="F284" s="61">
        <v>110045085457</v>
      </c>
      <c r="G284" s="60" t="str">
        <f>VLOOKUP($F284, 'Raw Annual DMR Data'!$A:$Z, 24, FALSE)</f>
        <v>KY0052752</v>
      </c>
      <c r="H284" s="60" t="str">
        <f>VLOOKUP($F284, 'Raw Annual DMR Data'!$A:$Z, 25, FALSE)</f>
        <v>LICKING RIVER</v>
      </c>
      <c r="I284" s="74">
        <f>VLOOKUP($F284, 'Raw Annual DMR Data'!$A:$Z, 26, FALSE)</f>
        <v>5100101000391</v>
      </c>
      <c r="J284" s="74" t="s">
        <v>265</v>
      </c>
      <c r="K284" s="60">
        <f>VLOOKUP(A284, 'OES Summary'!$A:$B, 2, FALSE)</f>
        <v>365</v>
      </c>
      <c r="L284" s="304" cm="1">
        <f t="array" ref="L284">IF(COUNTIF('Raw Annual DMR Data'!$L:$L,$F284)&gt;0,MEDIAN(IF('Raw Annual DMR Data'!$L:$L=F284,'Raw Annual DMR Data'!$S:$S)),"N/A - Facility Does Not Report DMRs")</f>
        <v>2.5133393562500004</v>
      </c>
      <c r="M284" s="156">
        <f t="shared" si="28"/>
        <v>6.8858612500000008E-3</v>
      </c>
      <c r="N284" s="156">
        <f>IF(COUNTIF('Raw Annual DMR Data'!$L:$L,$F284)&gt;0,_xlfn.MAXIFS('Raw Annual DMR Data'!$S:$S,'Raw Annual DMR Data'!$L:$L,$F284), "N/A - Facility Does Not Report DMRs")</f>
        <v>2.7112428125000001</v>
      </c>
      <c r="O284" s="156">
        <f t="shared" si="29"/>
        <v>7.4280625000000006E-3</v>
      </c>
      <c r="P284" s="113" cm="1">
        <f t="array" ref="P284">IF(COUNTIF('Raw Annual DMR Data'!$L:$L,$F284)&gt;0,INDEX('Raw Annual DMR Data'!$B:$B,MATCH(1,($F284='Raw Annual DMR Data'!$L:$L)*($N284='Raw Annual DMR Data'!$S:$S),0)), "N/A - Facility Does Not Report DMRs")</f>
        <v>2018</v>
      </c>
      <c r="Q284" s="304" t="str" cm="1">
        <f t="array" ref="Q284">IF(COUNTIF('Raw TRI Data'!$J:$J,$E284)&gt;0,MEDIAN(IF('Raw TRI Data'!$J:$J=E284,'Raw TRI Data'!$S:$S)), "N/A - Facility Does Not Report to TRI")</f>
        <v>N/A - Facility Does Not Report to TRI</v>
      </c>
      <c r="R284" s="156" t="str">
        <f t="shared" si="26"/>
        <v>N/A - Facility Does Not Report to TRI</v>
      </c>
      <c r="S284" s="156" t="str">
        <f>IF(COUNTIF('Raw TRI Data'!$J:$J,$E284)&gt;0,_xlfn.MAXIFS('Raw TRI Data'!$S:$S,'Raw TRI Data'!$J:$J,$E284), "N/A - Facility Does Not Report to TRI")</f>
        <v>N/A - Facility Does Not Report to TRI</v>
      </c>
      <c r="T284" s="156" t="str">
        <f t="shared" si="27"/>
        <v>N/A - Facility Does Not Report to TRI</v>
      </c>
      <c r="U284" s="136" t="str" cm="1">
        <f t="array" ref="U284">IF(COUNTIF('Raw TRI Data'!$J:$J,$E284)&gt;0,INDEX('Raw TRI Data'!$A:$A,MATCH(1,($E284='Raw TRI Data'!$J:$J)*(S284='Raw TRI Data'!$S:$S),0)), "N/A - Facility Does Not Report to TRI")</f>
        <v>N/A - Facility Does Not Report to TRI</v>
      </c>
      <c r="V284" s="156" t="str" cm="1">
        <f t="array" ref="V284">IF(COUNTIFS('Raw Annual DMR Data'!$L:$L,$F284,'Raw Annual DMR Data'!$U:$U,"&gt;0")&gt;0,MEDIAN(IF('Raw Annual DMR Data'!$L:$L=$F284,'Raw Annual DMR Data'!$U:$U,"")),"N/A - Period DMR Data Not Available")</f>
        <v>N/A - Period DMR Data Not Available</v>
      </c>
      <c r="W284" s="156" t="str">
        <f>IF(COUNTIFS('Raw Annual DMR Data'!$L:$L,$F284, 'Raw Annual DMR Data'!$U:$U, "&gt;0")&gt;0,_xlfn.MAXIFS('Raw Annual DMR Data'!$U:$U,'Raw Annual DMR Data'!$L:$L,$F284), "N/A - Period DMR Data Not Available")</f>
        <v>N/A - Period DMR Data Not Available</v>
      </c>
      <c r="X284" s="113" t="str" cm="1">
        <f t="array" ref="X284">+IF(COUNTIFS('Raw Annual DMR Data'!L:L,$F284, 'Raw Annual DMR Data'!U:U, "&gt;0")&gt;0,INDEX('Raw Annual DMR Data'!V:V,MATCH(1,($F284='Raw Annual DMR Data'!L:L)*($W284='Raw Annual DMR Data'!U:U),0)), "N/A - Period DMR Data Not Available")</f>
        <v>N/A - Period DMR Data Not Available</v>
      </c>
      <c r="Y284" s="113" t="str" cm="1">
        <f t="array" ref="Y284">IF(COUNTIFS('Raw Annual DMR Data'!L:L,$F284, 'Raw Annual DMR Data'!U:U, "&gt;0")&gt;0,INDEX('Raw Annual DMR Data'!B:B,MATCH(1,($F284='Raw Annual DMR Data'!L:L)*($W284='Raw Annual DMR Data'!U:U),0)), "N/A - Period DMR Data Not Available")</f>
        <v>N/A - Period DMR Data Not Available</v>
      </c>
      <c r="Z284" s="311" t="str" cm="1">
        <f t="array" ref="Z284">IF(COUNTIF('Raw Annual DMR Data'!K:K,$E284)&gt;0,"N/A - See DMRs",IF(SUMIFS('Raw TRI Data'!$Z:$Z,'Raw TRI Data'!$J:$J,$E284)&gt;0,MEDIAN(IF('Raw TRI Data'!$J:$J=$E284,'Raw TRI Data'!$Z:$Z)), "N/A - Facility Does Not Report to TRI, no surface water releases, or no Generic Factors available"))</f>
        <v>N/A - Facility Does Not Report to TRI, no surface water releases, or no Generic Factors available</v>
      </c>
      <c r="AA284" s="156" t="str">
        <f>IF(COUNTIF('Raw Annual DMR Data'!K:K,$E284)&gt;0,"N/A - See DMRs",IF(SUMIFS('Raw TRI Data'!$Z:$Z,'Raw TRI Data'!$J:$J,$E284)&gt;0,_xlfn.MAXIFS('Raw TRI Data'!$Z:$Z,'Raw TRI Data'!$J:$J,$E284), "N/A - Facility Does Not Report to TRI, no surface water releases, or no Generic Factors available"))</f>
        <v>N/A - Facility Does Not Report to TRI, no surface water releases, or no Generic Factors available</v>
      </c>
      <c r="AB284" s="113" t="str">
        <f t="shared" si="30"/>
        <v>N/A</v>
      </c>
      <c r="AC284" s="136" t="str" cm="1">
        <f t="array" ref="AC284">IF(COUNTIF('Raw Annual DMR Data'!K:K,$E284)&gt;0,"N/A - See DMRs",IF(SUMIFS('Raw TRI Data'!$Z:$Z,'Raw TRI Data'!$J:$J,$E284)&gt;0,INDEX('Raw TRI Data'!$A:$A,MATCH(1,($E284='Raw TRI Data'!$J:$J)*($AA284='Raw TRI Data'!$Z:$Z),0)), "N/A - Facility Does Not Report to TRI, no surface water releases, or no Generic Factors available"))</f>
        <v>N/A - Facility Does Not Report to TRI, no surface water releases, or no Generic Factors available</v>
      </c>
      <c r="AD284" s="96" t="str" cm="1">
        <f t="array" ref="AD284">IF(COUNTIFS('Raw Annual DMR Data'!L:L,$F284,'Raw Annual DMR Data'!W:W, "&gt;0")&gt;0,MEDIAN(IF('Raw Annual DMR Data'!K:K=$F284, 'Raw Annual DMR Data'!W:W)), "N/A - No Daily Max DMR Discharge Data")</f>
        <v>N/A - No Daily Max DMR Discharge Data</v>
      </c>
      <c r="AE284" s="96" t="str">
        <f>IF(COUNTIFS('Raw Annual DMR Data'!L:L,$F284,'Raw Annual DMR Data'!W:W, "&gt;0")&gt;0,_xlfn.MAXIFS('Raw Annual DMR Data'!W:W,'Raw Annual DMR Data'!L:L,$F284), "N/A - No Daily Max DMR Discharge Data")</f>
        <v>N/A - No Daily Max DMR Discharge Data</v>
      </c>
      <c r="AF284" s="60" t="str" cm="1">
        <f t="array" ref="AF284">IF(COUNTIFS('Raw Annual DMR Data'!L:L,$F284,'Raw Annual DMR Data'!W:W, "&gt;0")&gt;0,INDEX('Raw Annual DMR Data'!B:B,MATCH(1,($F284='Raw Annual DMR Data'!L:L)*($AE284='Raw Annual DMR Data'!W:W),0)), "N/A - No Daily Max DMR Discharge Data")</f>
        <v>N/A - No Daily Max DMR Discharge Data</v>
      </c>
    </row>
    <row r="285" spans="1:32" ht="45.75" thickBot="1" x14ac:dyDescent="0.3">
      <c r="A285" s="144" t="str">
        <f>VLOOKUP(F285,'Facility Summary'!J:K,2,FALSE)</f>
        <v>POTW</v>
      </c>
      <c r="B285" s="28" t="s">
        <v>1239</v>
      </c>
      <c r="C285" s="28" t="s">
        <v>1240</v>
      </c>
      <c r="D285" s="28" t="s">
        <v>324</v>
      </c>
      <c r="E285" s="28"/>
      <c r="F285" s="61">
        <v>110064612557</v>
      </c>
      <c r="G285" s="60" t="str">
        <f>VLOOKUP($F285, 'Raw Annual DMR Data'!$A:$Z, 24, FALSE)</f>
        <v>KY0021440</v>
      </c>
      <c r="H285" s="60" t="str">
        <f>VLOOKUP($F285, 'Raw Annual DMR Data'!$A:$Z, 25, FALSE)</f>
        <v>CASEY CRK, UT TO CASEY CREEK, UT TO LOST CREEK</v>
      </c>
      <c r="I285" s="74">
        <f>VLOOKUP($F285, 'Raw Annual DMR Data'!$A:$Z, 26, FALSE)</f>
        <v>5140203000958</v>
      </c>
      <c r="J285" s="74" t="s">
        <v>265</v>
      </c>
      <c r="K285" s="60">
        <f>VLOOKUP(A285, 'OES Summary'!$A:$B, 2, FALSE)</f>
        <v>365</v>
      </c>
      <c r="L285" s="304" cm="1">
        <f t="array" ref="L285">IF(COUNTIF('Raw Annual DMR Data'!$L:$L,$F285)&gt;0,MEDIAN(IF('Raw Annual DMR Data'!$L:$L=F285,'Raw Annual DMR Data'!$S:$S)),"N/A - Facility Does Not Report DMRs")</f>
        <v>5.2463411874999997</v>
      </c>
      <c r="M285" s="156">
        <f t="shared" si="28"/>
        <v>1.4373537499999998E-2</v>
      </c>
      <c r="N285" s="156">
        <f>IF(COUNTIF('Raw Annual DMR Data'!$L:$L,$F285)&gt;0,_xlfn.MAXIFS('Raw Annual DMR Data'!$S:$S,'Raw Annual DMR Data'!$L:$L,$F285), "N/A - Facility Does Not Report DMRs")</f>
        <v>5.9543727500000001</v>
      </c>
      <c r="O285" s="156">
        <f t="shared" si="29"/>
        <v>1.6313350000000001E-2</v>
      </c>
      <c r="P285" s="113" cm="1">
        <f t="array" ref="P285">IF(COUNTIF('Raw Annual DMR Data'!$L:$L,$F285)&gt;0,INDEX('Raw Annual DMR Data'!$B:$B,MATCH(1,($F285='Raw Annual DMR Data'!$L:$L)*($N285='Raw Annual DMR Data'!$S:$S),0)), "N/A - Facility Does Not Report DMRs")</f>
        <v>2021</v>
      </c>
      <c r="Q285" s="304" t="str" cm="1">
        <f t="array" ref="Q285">IF(COUNTIF('Raw TRI Data'!$J:$J,$E285)&gt;0,MEDIAN(IF('Raw TRI Data'!$J:$J=E285,'Raw TRI Data'!$S:$S)), "N/A - Facility Does Not Report to TRI")</f>
        <v>N/A - Facility Does Not Report to TRI</v>
      </c>
      <c r="R285" s="156" t="str">
        <f t="shared" si="26"/>
        <v>N/A - Facility Does Not Report to TRI</v>
      </c>
      <c r="S285" s="156" t="str">
        <f>IF(COUNTIF('Raw TRI Data'!$J:$J,$E285)&gt;0,_xlfn.MAXIFS('Raw TRI Data'!$S:$S,'Raw TRI Data'!$J:$J,$E285), "N/A - Facility Does Not Report to TRI")</f>
        <v>N/A - Facility Does Not Report to TRI</v>
      </c>
      <c r="T285" s="156" t="str">
        <f t="shared" si="27"/>
        <v>N/A - Facility Does Not Report to TRI</v>
      </c>
      <c r="U285" s="136" t="str" cm="1">
        <f t="array" ref="U285">IF(COUNTIF('Raw TRI Data'!$J:$J,$E285)&gt;0,INDEX('Raw TRI Data'!$A:$A,MATCH(1,($E285='Raw TRI Data'!$J:$J)*(S285='Raw TRI Data'!$S:$S),0)), "N/A - Facility Does Not Report to TRI")</f>
        <v>N/A - Facility Does Not Report to TRI</v>
      </c>
      <c r="V285" s="156" t="str" cm="1">
        <f t="array" ref="V285">IF(COUNTIFS('Raw Annual DMR Data'!$L:$L,$F285,'Raw Annual DMR Data'!$U:$U,"&gt;0")&gt;0,MEDIAN(IF('Raw Annual DMR Data'!$L:$L=$F285,'Raw Annual DMR Data'!$U:$U,"")),"N/A - Period DMR Data Not Available")</f>
        <v>N/A - Period DMR Data Not Available</v>
      </c>
      <c r="W285" s="156" t="str">
        <f>IF(COUNTIFS('Raw Annual DMR Data'!$L:$L,$F285, 'Raw Annual DMR Data'!$U:$U, "&gt;0")&gt;0,_xlfn.MAXIFS('Raw Annual DMR Data'!$U:$U,'Raw Annual DMR Data'!$L:$L,$F285), "N/A - Period DMR Data Not Available")</f>
        <v>N/A - Period DMR Data Not Available</v>
      </c>
      <c r="X285" s="113" t="str" cm="1">
        <f t="array" ref="X285">+IF(COUNTIFS('Raw Annual DMR Data'!L:L,$F285, 'Raw Annual DMR Data'!U:U, "&gt;0")&gt;0,INDEX('Raw Annual DMR Data'!V:V,MATCH(1,($F285='Raw Annual DMR Data'!L:L)*($W285='Raw Annual DMR Data'!U:U),0)), "N/A - Period DMR Data Not Available")</f>
        <v>N/A - Period DMR Data Not Available</v>
      </c>
      <c r="Y285" s="113" t="str" cm="1">
        <f t="array" ref="Y285">IF(COUNTIFS('Raw Annual DMR Data'!L:L,$F285, 'Raw Annual DMR Data'!U:U, "&gt;0")&gt;0,INDEX('Raw Annual DMR Data'!B:B,MATCH(1,($F285='Raw Annual DMR Data'!L:L)*($W285='Raw Annual DMR Data'!U:U),0)), "N/A - Period DMR Data Not Available")</f>
        <v>N/A - Period DMR Data Not Available</v>
      </c>
      <c r="Z285" s="311" t="str" cm="1">
        <f t="array" ref="Z285">IF(COUNTIF('Raw Annual DMR Data'!K:K,$E285)&gt;0,"N/A - See DMRs",IF(SUMIFS('Raw TRI Data'!$Z:$Z,'Raw TRI Data'!$J:$J,$E285)&gt;0,MEDIAN(IF('Raw TRI Data'!$J:$J=$E285,'Raw TRI Data'!$Z:$Z)), "N/A - Facility Does Not Report to TRI, no surface water releases, or no Generic Factors available"))</f>
        <v>N/A - Facility Does Not Report to TRI, no surface water releases, or no Generic Factors available</v>
      </c>
      <c r="AA285" s="156" t="str">
        <f>IF(COUNTIF('Raw Annual DMR Data'!K:K,$E285)&gt;0,"N/A - See DMRs",IF(SUMIFS('Raw TRI Data'!$Z:$Z,'Raw TRI Data'!$J:$J,$E285)&gt;0,_xlfn.MAXIFS('Raw TRI Data'!$Z:$Z,'Raw TRI Data'!$J:$J,$E285), "N/A - Facility Does Not Report to TRI, no surface water releases, or no Generic Factors available"))</f>
        <v>N/A - Facility Does Not Report to TRI, no surface water releases, or no Generic Factors available</v>
      </c>
      <c r="AB285" s="113" t="str">
        <f t="shared" si="30"/>
        <v>N/A</v>
      </c>
      <c r="AC285" s="136" t="str" cm="1">
        <f t="array" ref="AC285">IF(COUNTIF('Raw Annual DMR Data'!K:K,$E285)&gt;0,"N/A - See DMRs",IF(SUMIFS('Raw TRI Data'!$Z:$Z,'Raw TRI Data'!$J:$J,$E285)&gt;0,INDEX('Raw TRI Data'!$A:$A,MATCH(1,($E285='Raw TRI Data'!$J:$J)*($AA285='Raw TRI Data'!$Z:$Z),0)), "N/A - Facility Does Not Report to TRI, no surface water releases, or no Generic Factors available"))</f>
        <v>N/A - Facility Does Not Report to TRI, no surface water releases, or no Generic Factors available</v>
      </c>
      <c r="AD285" s="96" t="str" cm="1">
        <f t="array" ref="AD285">IF(COUNTIFS('Raw Annual DMR Data'!L:L,$F285,'Raw Annual DMR Data'!W:W, "&gt;0")&gt;0,MEDIAN(IF('Raw Annual DMR Data'!K:K=$F285, 'Raw Annual DMR Data'!W:W)), "N/A - No Daily Max DMR Discharge Data")</f>
        <v>N/A - No Daily Max DMR Discharge Data</v>
      </c>
      <c r="AE285" s="96" t="str">
        <f>IF(COUNTIFS('Raw Annual DMR Data'!L:L,$F285,'Raw Annual DMR Data'!W:W, "&gt;0")&gt;0,_xlfn.MAXIFS('Raw Annual DMR Data'!W:W,'Raw Annual DMR Data'!L:L,$F285), "N/A - No Daily Max DMR Discharge Data")</f>
        <v>N/A - No Daily Max DMR Discharge Data</v>
      </c>
      <c r="AF285" s="60" t="str" cm="1">
        <f t="array" ref="AF285">IF(COUNTIFS('Raw Annual DMR Data'!L:L,$F285,'Raw Annual DMR Data'!W:W, "&gt;0")&gt;0,INDEX('Raw Annual DMR Data'!B:B,MATCH(1,($F285='Raw Annual DMR Data'!L:L)*($AE285='Raw Annual DMR Data'!W:W),0)), "N/A - No Daily Max DMR Discharge Data")</f>
        <v>N/A - No Daily Max DMR Discharge Data</v>
      </c>
    </row>
    <row r="286" spans="1:32" ht="45.75" thickBot="1" x14ac:dyDescent="0.3">
      <c r="A286" s="144" t="str">
        <f>VLOOKUP(F286,'Facility Summary'!J:K,2,FALSE)</f>
        <v>POTW</v>
      </c>
      <c r="B286" s="28" t="s">
        <v>1241</v>
      </c>
      <c r="C286" s="28" t="s">
        <v>1242</v>
      </c>
      <c r="D286" s="28" t="s">
        <v>338</v>
      </c>
      <c r="E286" s="28"/>
      <c r="F286" s="61">
        <v>110029618297</v>
      </c>
      <c r="G286" s="60" t="str">
        <f>VLOOKUP($F286, 'Raw Annual DMR Data'!$A:$Z, 24, FALSE)</f>
        <v>NJ0025178</v>
      </c>
      <c r="H286" s="60" t="str">
        <f>VLOOKUP($F286, 'Raw Annual DMR Data'!$A:$Z, 25, FALSE)</f>
        <v>RANCOCAS CREEK</v>
      </c>
      <c r="I286" s="74">
        <f>VLOOKUP($F286, 'Raw Annual DMR Data'!$A:$Z, 26, FALSE)</f>
        <v>2040202011430</v>
      </c>
      <c r="J286" s="74" t="s">
        <v>265</v>
      </c>
      <c r="K286" s="60">
        <f>VLOOKUP(A286, 'OES Summary'!$A:$B, 2, FALSE)</f>
        <v>365</v>
      </c>
      <c r="L286" s="304" cm="1">
        <f t="array" ref="L286">IF(COUNTIF('Raw Annual DMR Data'!$L:$L,$F286)&gt;0,MEDIAN(IF('Raw Annual DMR Data'!$L:$L=F286,'Raw Annual DMR Data'!$S:$S)),"N/A - Facility Does Not Report DMRs")</f>
        <v>0.98893817625000002</v>
      </c>
      <c r="M286" s="156">
        <f t="shared" si="28"/>
        <v>2.7094196609589042E-3</v>
      </c>
      <c r="N286" s="156">
        <f>IF(COUNTIF('Raw Annual DMR Data'!$L:$L,$F286)&gt;0,_xlfn.MAXIFS('Raw Annual DMR Data'!$S:$S,'Raw Annual DMR Data'!$L:$L,$F286), "N/A - Facility Does Not Report DMRs")</f>
        <v>1.0530059249999999</v>
      </c>
      <c r="O286" s="156">
        <f t="shared" si="29"/>
        <v>2.8849477397260271E-3</v>
      </c>
      <c r="P286" s="113" cm="1">
        <f t="array" ref="P286">IF(COUNTIF('Raw Annual DMR Data'!$L:$L,$F286)&gt;0,INDEX('Raw Annual DMR Data'!$B:$B,MATCH(1,($F286='Raw Annual DMR Data'!$L:$L)*($N286='Raw Annual DMR Data'!$S:$S),0)), "N/A - Facility Does Not Report DMRs")</f>
        <v>2017</v>
      </c>
      <c r="Q286" s="304" t="str" cm="1">
        <f t="array" ref="Q286">IF(COUNTIF('Raw TRI Data'!$J:$J,$E286)&gt;0,MEDIAN(IF('Raw TRI Data'!$J:$J=E286,'Raw TRI Data'!$S:$S)), "N/A - Facility Does Not Report to TRI")</f>
        <v>N/A - Facility Does Not Report to TRI</v>
      </c>
      <c r="R286" s="156" t="str">
        <f t="shared" si="26"/>
        <v>N/A - Facility Does Not Report to TRI</v>
      </c>
      <c r="S286" s="156" t="str">
        <f>IF(COUNTIF('Raw TRI Data'!$J:$J,$E286)&gt;0,_xlfn.MAXIFS('Raw TRI Data'!$S:$S,'Raw TRI Data'!$J:$J,$E286), "N/A - Facility Does Not Report to TRI")</f>
        <v>N/A - Facility Does Not Report to TRI</v>
      </c>
      <c r="T286" s="156" t="str">
        <f t="shared" si="27"/>
        <v>N/A - Facility Does Not Report to TRI</v>
      </c>
      <c r="U286" s="136" t="str" cm="1">
        <f t="array" ref="U286">IF(COUNTIF('Raw TRI Data'!$J:$J,$E286)&gt;0,INDEX('Raw TRI Data'!$A:$A,MATCH(1,($E286='Raw TRI Data'!$J:$J)*(S286='Raw TRI Data'!$S:$S),0)), "N/A - Facility Does Not Report to TRI")</f>
        <v>N/A - Facility Does Not Report to TRI</v>
      </c>
      <c r="V286" s="156" t="str" cm="1">
        <f t="array" ref="V286">IF(COUNTIFS('Raw Annual DMR Data'!$L:$L,$F286,'Raw Annual DMR Data'!$U:$U,"&gt;0")&gt;0,MEDIAN(IF('Raw Annual DMR Data'!$L:$L=$F286,'Raw Annual DMR Data'!$U:$U,"")),"N/A - Period DMR Data Not Available")</f>
        <v>N/A - Period DMR Data Not Available</v>
      </c>
      <c r="W286" s="156" t="str">
        <f>IF(COUNTIFS('Raw Annual DMR Data'!$L:$L,$F286, 'Raw Annual DMR Data'!$U:$U, "&gt;0")&gt;0,_xlfn.MAXIFS('Raw Annual DMR Data'!$U:$U,'Raw Annual DMR Data'!$L:$L,$F286), "N/A - Period DMR Data Not Available")</f>
        <v>N/A - Period DMR Data Not Available</v>
      </c>
      <c r="X286" s="113" t="str" cm="1">
        <f t="array" ref="X286">+IF(COUNTIFS('Raw Annual DMR Data'!L:L,$F286, 'Raw Annual DMR Data'!U:U, "&gt;0")&gt;0,INDEX('Raw Annual DMR Data'!V:V,MATCH(1,($F286='Raw Annual DMR Data'!L:L)*($W286='Raw Annual DMR Data'!U:U),0)), "N/A - Period DMR Data Not Available")</f>
        <v>N/A - Period DMR Data Not Available</v>
      </c>
      <c r="Y286" s="113" t="str" cm="1">
        <f t="array" ref="Y286">IF(COUNTIFS('Raw Annual DMR Data'!L:L,$F286, 'Raw Annual DMR Data'!U:U, "&gt;0")&gt;0,INDEX('Raw Annual DMR Data'!B:B,MATCH(1,($F286='Raw Annual DMR Data'!L:L)*($W286='Raw Annual DMR Data'!U:U),0)), "N/A - Period DMR Data Not Available")</f>
        <v>N/A - Period DMR Data Not Available</v>
      </c>
      <c r="Z286" s="311" t="str" cm="1">
        <f t="array" ref="Z286">IF(COUNTIF('Raw Annual DMR Data'!K:K,$E286)&gt;0,"N/A - See DMRs",IF(SUMIFS('Raw TRI Data'!$Z:$Z,'Raw TRI Data'!$J:$J,$E286)&gt;0,MEDIAN(IF('Raw TRI Data'!$J:$J=$E286,'Raw TRI Data'!$Z:$Z)), "N/A - Facility Does Not Report to TRI, no surface water releases, or no Generic Factors available"))</f>
        <v>N/A - Facility Does Not Report to TRI, no surface water releases, or no Generic Factors available</v>
      </c>
      <c r="AA286" s="156" t="str">
        <f>IF(COUNTIF('Raw Annual DMR Data'!K:K,$E286)&gt;0,"N/A - See DMRs",IF(SUMIFS('Raw TRI Data'!$Z:$Z,'Raw TRI Data'!$J:$J,$E286)&gt;0,_xlfn.MAXIFS('Raw TRI Data'!$Z:$Z,'Raw TRI Data'!$J:$J,$E286), "N/A - Facility Does Not Report to TRI, no surface water releases, or no Generic Factors available"))</f>
        <v>N/A - Facility Does Not Report to TRI, no surface water releases, or no Generic Factors available</v>
      </c>
      <c r="AB286" s="113" t="str">
        <f t="shared" si="30"/>
        <v>N/A</v>
      </c>
      <c r="AC286" s="136" t="str" cm="1">
        <f t="array" ref="AC286">IF(COUNTIF('Raw Annual DMR Data'!K:K,$E286)&gt;0,"N/A - See DMRs",IF(SUMIFS('Raw TRI Data'!$Z:$Z,'Raw TRI Data'!$J:$J,$E286)&gt;0,INDEX('Raw TRI Data'!$A:$A,MATCH(1,($E286='Raw TRI Data'!$J:$J)*($AA286='Raw TRI Data'!$Z:$Z),0)), "N/A - Facility Does Not Report to TRI, no surface water releases, or no Generic Factors available"))</f>
        <v>N/A - Facility Does Not Report to TRI, no surface water releases, or no Generic Factors available</v>
      </c>
      <c r="AD286" s="96" t="str" cm="1">
        <f t="array" ref="AD286">IF(COUNTIFS('Raw Annual DMR Data'!L:L,$F286,'Raw Annual DMR Data'!W:W, "&gt;0")&gt;0,MEDIAN(IF('Raw Annual DMR Data'!K:K=$F286, 'Raw Annual DMR Data'!W:W)), "N/A - No Daily Max DMR Discharge Data")</f>
        <v>N/A - No Daily Max DMR Discharge Data</v>
      </c>
      <c r="AE286" s="96" t="str">
        <f>IF(COUNTIFS('Raw Annual DMR Data'!L:L,$F286,'Raw Annual DMR Data'!W:W, "&gt;0")&gt;0,_xlfn.MAXIFS('Raw Annual DMR Data'!W:W,'Raw Annual DMR Data'!L:L,$F286), "N/A - No Daily Max DMR Discharge Data")</f>
        <v>N/A - No Daily Max DMR Discharge Data</v>
      </c>
      <c r="AF286" s="60" t="str" cm="1">
        <f t="array" ref="AF286">IF(COUNTIFS('Raw Annual DMR Data'!L:L,$F286,'Raw Annual DMR Data'!W:W, "&gt;0")&gt;0,INDEX('Raw Annual DMR Data'!B:B,MATCH(1,($F286='Raw Annual DMR Data'!L:L)*($AE286='Raw Annual DMR Data'!W:W),0)), "N/A - No Daily Max DMR Discharge Data")</f>
        <v>N/A - No Daily Max DMR Discharge Data</v>
      </c>
    </row>
    <row r="287" spans="1:32" ht="45.75" thickBot="1" x14ac:dyDescent="0.3">
      <c r="A287" s="144" t="str">
        <f>VLOOKUP(F287,'Facility Summary'!J:K,2,FALSE)</f>
        <v>POTW</v>
      </c>
      <c r="B287" s="28" t="s">
        <v>1243</v>
      </c>
      <c r="C287" s="28" t="s">
        <v>1244</v>
      </c>
      <c r="D287" s="28" t="s">
        <v>324</v>
      </c>
      <c r="E287" s="28"/>
      <c r="F287" s="61">
        <v>110039705361</v>
      </c>
      <c r="G287" s="60" t="str">
        <f>VLOOKUP($F287, 'Raw Annual DMR Data'!$A:$Z, 24, FALSE)</f>
        <v>KY0104400</v>
      </c>
      <c r="H287" s="60" t="str">
        <f>VLOOKUP($F287, 'Raw Annual DMR Data'!$A:$Z, 25, FALSE)</f>
        <v>HINKSTON, HINKSTON CREEK, HINKSTON CRK</v>
      </c>
      <c r="I287" s="74">
        <f>VLOOKUP($F287, 'Raw Annual DMR Data'!$A:$Z, 26, FALSE)</f>
        <v>5100102000126</v>
      </c>
      <c r="J287" s="74" t="s">
        <v>265</v>
      </c>
      <c r="K287" s="60">
        <f>VLOOKUP(A287, 'OES Summary'!$A:$B, 2, FALSE)</f>
        <v>365</v>
      </c>
      <c r="L287" s="304" cm="1">
        <f t="array" ref="L287">IF(COUNTIF('Raw Annual DMR Data'!$L:$L,$F287)&gt;0,MEDIAN(IF('Raw Annual DMR Data'!$L:$L=F287,'Raw Annual DMR Data'!$S:$S)),"N/A - Facility Does Not Report DMRs")</f>
        <v>7.4256968749999999</v>
      </c>
      <c r="M287" s="156">
        <f t="shared" si="28"/>
        <v>2.0344375000000001E-2</v>
      </c>
      <c r="N287" s="156">
        <f>IF(COUNTIF('Raw Annual DMR Data'!$L:$L,$F287)&gt;0,_xlfn.MAXIFS('Raw Annual DMR Data'!$S:$S,'Raw Annual DMR Data'!$L:$L,$F287), "N/A - Facility Does Not Report DMRs")</f>
        <v>11.086738125</v>
      </c>
      <c r="O287" s="156">
        <f t="shared" si="29"/>
        <v>3.0374624999999999E-2</v>
      </c>
      <c r="P287" s="113" cm="1">
        <f t="array" ref="P287">IF(COUNTIF('Raw Annual DMR Data'!$L:$L,$F287)&gt;0,INDEX('Raw Annual DMR Data'!$B:$B,MATCH(1,($F287='Raw Annual DMR Data'!$L:$L)*($N287='Raw Annual DMR Data'!$S:$S),0)), "N/A - Facility Does Not Report DMRs")</f>
        <v>2019</v>
      </c>
      <c r="Q287" s="304" t="str" cm="1">
        <f t="array" ref="Q287">IF(COUNTIF('Raw TRI Data'!$J:$J,$E287)&gt;0,MEDIAN(IF('Raw TRI Data'!$J:$J=E287,'Raw TRI Data'!$S:$S)), "N/A - Facility Does Not Report to TRI")</f>
        <v>N/A - Facility Does Not Report to TRI</v>
      </c>
      <c r="R287" s="156" t="str">
        <f t="shared" si="26"/>
        <v>N/A - Facility Does Not Report to TRI</v>
      </c>
      <c r="S287" s="156" t="str">
        <f>IF(COUNTIF('Raw TRI Data'!$J:$J,$E287)&gt;0,_xlfn.MAXIFS('Raw TRI Data'!$S:$S,'Raw TRI Data'!$J:$J,$E287), "N/A - Facility Does Not Report to TRI")</f>
        <v>N/A - Facility Does Not Report to TRI</v>
      </c>
      <c r="T287" s="156" t="str">
        <f t="shared" si="27"/>
        <v>N/A - Facility Does Not Report to TRI</v>
      </c>
      <c r="U287" s="136" t="str" cm="1">
        <f t="array" ref="U287">IF(COUNTIF('Raw TRI Data'!$J:$J,$E287)&gt;0,INDEX('Raw TRI Data'!$A:$A,MATCH(1,($E287='Raw TRI Data'!$J:$J)*(S287='Raw TRI Data'!$S:$S),0)), "N/A - Facility Does Not Report to TRI")</f>
        <v>N/A - Facility Does Not Report to TRI</v>
      </c>
      <c r="V287" s="156" t="str" cm="1">
        <f t="array" ref="V287">IF(COUNTIFS('Raw Annual DMR Data'!$L:$L,$F287,'Raw Annual DMR Data'!$U:$U,"&gt;0")&gt;0,MEDIAN(IF('Raw Annual DMR Data'!$L:$L=$F287,'Raw Annual DMR Data'!$U:$U,"")),"N/A - Period DMR Data Not Available")</f>
        <v>N/A - Period DMR Data Not Available</v>
      </c>
      <c r="W287" s="156" t="str">
        <f>IF(COUNTIFS('Raw Annual DMR Data'!$L:$L,$F287, 'Raw Annual DMR Data'!$U:$U, "&gt;0")&gt;0,_xlfn.MAXIFS('Raw Annual DMR Data'!$U:$U,'Raw Annual DMR Data'!$L:$L,$F287), "N/A - Period DMR Data Not Available")</f>
        <v>N/A - Period DMR Data Not Available</v>
      </c>
      <c r="X287" s="113" t="str" cm="1">
        <f t="array" ref="X287">+IF(COUNTIFS('Raw Annual DMR Data'!L:L,$F287, 'Raw Annual DMR Data'!U:U, "&gt;0")&gt;0,INDEX('Raw Annual DMR Data'!V:V,MATCH(1,($F287='Raw Annual DMR Data'!L:L)*($W287='Raw Annual DMR Data'!U:U),0)), "N/A - Period DMR Data Not Available")</f>
        <v>N/A - Period DMR Data Not Available</v>
      </c>
      <c r="Y287" s="113" t="str" cm="1">
        <f t="array" ref="Y287">IF(COUNTIFS('Raw Annual DMR Data'!L:L,$F287, 'Raw Annual DMR Data'!U:U, "&gt;0")&gt;0,INDEX('Raw Annual DMR Data'!B:B,MATCH(1,($F287='Raw Annual DMR Data'!L:L)*($W287='Raw Annual DMR Data'!U:U),0)), "N/A - Period DMR Data Not Available")</f>
        <v>N/A - Period DMR Data Not Available</v>
      </c>
      <c r="Z287" s="311" t="str" cm="1">
        <f t="array" ref="Z287">IF(COUNTIF('Raw Annual DMR Data'!K:K,$E287)&gt;0,"N/A - See DMRs",IF(SUMIFS('Raw TRI Data'!$Z:$Z,'Raw TRI Data'!$J:$J,$E287)&gt;0,MEDIAN(IF('Raw TRI Data'!$J:$J=$E287,'Raw TRI Data'!$Z:$Z)), "N/A - Facility Does Not Report to TRI, no surface water releases, or no Generic Factors available"))</f>
        <v>N/A - Facility Does Not Report to TRI, no surface water releases, or no Generic Factors available</v>
      </c>
      <c r="AA287" s="156" t="str">
        <f>IF(COUNTIF('Raw Annual DMR Data'!K:K,$E287)&gt;0,"N/A - See DMRs",IF(SUMIFS('Raw TRI Data'!$Z:$Z,'Raw TRI Data'!$J:$J,$E287)&gt;0,_xlfn.MAXIFS('Raw TRI Data'!$Z:$Z,'Raw TRI Data'!$J:$J,$E287), "N/A - Facility Does Not Report to TRI, no surface water releases, or no Generic Factors available"))</f>
        <v>N/A - Facility Does Not Report to TRI, no surface water releases, or no Generic Factors available</v>
      </c>
      <c r="AB287" s="113" t="str">
        <f t="shared" si="30"/>
        <v>N/A</v>
      </c>
      <c r="AC287" s="136" t="str" cm="1">
        <f t="array" ref="AC287">IF(COUNTIF('Raw Annual DMR Data'!K:K,$E287)&gt;0,"N/A - See DMRs",IF(SUMIFS('Raw TRI Data'!$Z:$Z,'Raw TRI Data'!$J:$J,$E287)&gt;0,INDEX('Raw TRI Data'!$A:$A,MATCH(1,($E287='Raw TRI Data'!$J:$J)*($AA287='Raw TRI Data'!$Z:$Z),0)), "N/A - Facility Does Not Report to TRI, no surface water releases, or no Generic Factors available"))</f>
        <v>N/A - Facility Does Not Report to TRI, no surface water releases, or no Generic Factors available</v>
      </c>
      <c r="AD287" s="96" t="str" cm="1">
        <f t="array" ref="AD287">IF(COUNTIFS('Raw Annual DMR Data'!L:L,$F287,'Raw Annual DMR Data'!W:W, "&gt;0")&gt;0,MEDIAN(IF('Raw Annual DMR Data'!K:K=$F287, 'Raw Annual DMR Data'!W:W)), "N/A - No Daily Max DMR Discharge Data")</f>
        <v>N/A - No Daily Max DMR Discharge Data</v>
      </c>
      <c r="AE287" s="96" t="str">
        <f>IF(COUNTIFS('Raw Annual DMR Data'!L:L,$F287,'Raw Annual DMR Data'!W:W, "&gt;0")&gt;0,_xlfn.MAXIFS('Raw Annual DMR Data'!W:W,'Raw Annual DMR Data'!L:L,$F287), "N/A - No Daily Max DMR Discharge Data")</f>
        <v>N/A - No Daily Max DMR Discharge Data</v>
      </c>
      <c r="AF287" s="60" t="str" cm="1">
        <f t="array" ref="AF287">IF(COUNTIFS('Raw Annual DMR Data'!L:L,$F287,'Raw Annual DMR Data'!W:W, "&gt;0")&gt;0,INDEX('Raw Annual DMR Data'!B:B,MATCH(1,($F287='Raw Annual DMR Data'!L:L)*($AE287='Raw Annual DMR Data'!W:W),0)), "N/A - No Daily Max DMR Discharge Data")</f>
        <v>N/A - No Daily Max DMR Discharge Data</v>
      </c>
    </row>
    <row r="288" spans="1:32" ht="45.75" thickBot="1" x14ac:dyDescent="0.3">
      <c r="A288" s="144" t="str">
        <f>VLOOKUP(F288,'Facility Summary'!J:K,2,FALSE)</f>
        <v>POTW</v>
      </c>
      <c r="B288" s="28" t="s">
        <v>1245</v>
      </c>
      <c r="C288" s="28" t="s">
        <v>1246</v>
      </c>
      <c r="D288" s="28" t="s">
        <v>366</v>
      </c>
      <c r="E288" s="28"/>
      <c r="F288" s="61">
        <v>110010058034</v>
      </c>
      <c r="G288" s="60" t="str">
        <f>VLOOKUP($F288, 'Raw Annual DMR Data'!$A:$Z, 24, FALSE)</f>
        <v>CA0084271</v>
      </c>
      <c r="H288" s="60" t="str">
        <f>VLOOKUP($F288, 'Raw Annual DMR Data'!$A:$Z, 25, FALSE)</f>
        <v>OLD RIVER</v>
      </c>
      <c r="I288" s="74">
        <f>VLOOKUP($F288, 'Raw Annual DMR Data'!$A:$Z, 26, FALSE)</f>
        <v>18040003005711</v>
      </c>
      <c r="J288" s="74" t="s">
        <v>265</v>
      </c>
      <c r="K288" s="60">
        <f>VLOOKUP(A288, 'OES Summary'!$A:$B, 2, FALSE)</f>
        <v>365</v>
      </c>
      <c r="L288" s="304" cm="1">
        <f t="array" ref="L288">IF(COUNTIF('Raw Annual DMR Data'!$L:$L,$F288)&gt;0,MEDIAN(IF('Raw Annual DMR Data'!$L:$L=F288,'Raw Annual DMR Data'!$S:$S)),"N/A - Facility Does Not Report DMRs")</f>
        <v>5.2119355375000002E-2</v>
      </c>
      <c r="M288" s="156">
        <f t="shared" si="28"/>
        <v>1.427927544520548E-4</v>
      </c>
      <c r="N288" s="156">
        <f>IF(COUNTIF('Raw Annual DMR Data'!$L:$L,$F288)&gt;0,_xlfn.MAXIFS('Raw Annual DMR Data'!$S:$S,'Raw Annual DMR Data'!$L:$L,$F288), "N/A - Facility Does Not Report DMRs")</f>
        <v>5.2119355375000002E-2</v>
      </c>
      <c r="O288" s="156">
        <f t="shared" si="29"/>
        <v>1.427927544520548E-4</v>
      </c>
      <c r="P288" s="113" cm="1">
        <f t="array" ref="P288">IF(COUNTIF('Raw Annual DMR Data'!$L:$L,$F288)&gt;0,INDEX('Raw Annual DMR Data'!$B:$B,MATCH(1,($F288='Raw Annual DMR Data'!$L:$L)*($N288='Raw Annual DMR Data'!$S:$S),0)), "N/A - Facility Does Not Report DMRs")</f>
        <v>2016</v>
      </c>
      <c r="Q288" s="304" t="str" cm="1">
        <f t="array" ref="Q288">IF(COUNTIF('Raw TRI Data'!$J:$J,$E288)&gt;0,MEDIAN(IF('Raw TRI Data'!$J:$J=E288,'Raw TRI Data'!$S:$S)), "N/A - Facility Does Not Report to TRI")</f>
        <v>N/A - Facility Does Not Report to TRI</v>
      </c>
      <c r="R288" s="156" t="str">
        <f t="shared" si="26"/>
        <v>N/A - Facility Does Not Report to TRI</v>
      </c>
      <c r="S288" s="156" t="str">
        <f>IF(COUNTIF('Raw TRI Data'!$J:$J,$E288)&gt;0,_xlfn.MAXIFS('Raw TRI Data'!$S:$S,'Raw TRI Data'!$J:$J,$E288), "N/A - Facility Does Not Report to TRI")</f>
        <v>N/A - Facility Does Not Report to TRI</v>
      </c>
      <c r="T288" s="156" t="str">
        <f t="shared" si="27"/>
        <v>N/A - Facility Does Not Report to TRI</v>
      </c>
      <c r="U288" s="136" t="str" cm="1">
        <f t="array" ref="U288">IF(COUNTIF('Raw TRI Data'!$J:$J,$E288)&gt;0,INDEX('Raw TRI Data'!$A:$A,MATCH(1,($E288='Raw TRI Data'!$J:$J)*(S288='Raw TRI Data'!$S:$S),0)), "N/A - Facility Does Not Report to TRI")</f>
        <v>N/A - Facility Does Not Report to TRI</v>
      </c>
      <c r="V288" s="156" t="str" cm="1">
        <f t="array" ref="V288">IF(COUNTIFS('Raw Annual DMR Data'!$L:$L,$F288,'Raw Annual DMR Data'!$U:$U,"&gt;0")&gt;0,MEDIAN(IF('Raw Annual DMR Data'!$L:$L=$F288,'Raw Annual DMR Data'!$U:$U,"")),"N/A - Period DMR Data Not Available")</f>
        <v>N/A - Period DMR Data Not Available</v>
      </c>
      <c r="W288" s="156" t="str">
        <f>IF(COUNTIFS('Raw Annual DMR Data'!$L:$L,$F288, 'Raw Annual DMR Data'!$U:$U, "&gt;0")&gt;0,_xlfn.MAXIFS('Raw Annual DMR Data'!$U:$U,'Raw Annual DMR Data'!$L:$L,$F288), "N/A - Period DMR Data Not Available")</f>
        <v>N/A - Period DMR Data Not Available</v>
      </c>
      <c r="X288" s="113" t="str" cm="1">
        <f t="array" ref="X288">+IF(COUNTIFS('Raw Annual DMR Data'!L:L,$F288, 'Raw Annual DMR Data'!U:U, "&gt;0")&gt;0,INDEX('Raw Annual DMR Data'!V:V,MATCH(1,($F288='Raw Annual DMR Data'!L:L)*($W288='Raw Annual DMR Data'!U:U),0)), "N/A - Period DMR Data Not Available")</f>
        <v>N/A - Period DMR Data Not Available</v>
      </c>
      <c r="Y288" s="113" t="str" cm="1">
        <f t="array" ref="Y288">IF(COUNTIFS('Raw Annual DMR Data'!L:L,$F288, 'Raw Annual DMR Data'!U:U, "&gt;0")&gt;0,INDEX('Raw Annual DMR Data'!B:B,MATCH(1,($F288='Raw Annual DMR Data'!L:L)*($W288='Raw Annual DMR Data'!U:U),0)), "N/A - Period DMR Data Not Available")</f>
        <v>N/A - Period DMR Data Not Available</v>
      </c>
      <c r="Z288" s="311" t="str" cm="1">
        <f t="array" ref="Z288">IF(COUNTIF('Raw Annual DMR Data'!K:K,$E288)&gt;0,"N/A - See DMRs",IF(SUMIFS('Raw TRI Data'!$Z:$Z,'Raw TRI Data'!$J:$J,$E288)&gt;0,MEDIAN(IF('Raw TRI Data'!$J:$J=$E288,'Raw TRI Data'!$Z:$Z)), "N/A - Facility Does Not Report to TRI, no surface water releases, or no Generic Factors available"))</f>
        <v>N/A - Facility Does Not Report to TRI, no surface water releases, or no Generic Factors available</v>
      </c>
      <c r="AA288" s="156" t="str">
        <f>IF(COUNTIF('Raw Annual DMR Data'!K:K,$E288)&gt;0,"N/A - See DMRs",IF(SUMIFS('Raw TRI Data'!$Z:$Z,'Raw TRI Data'!$J:$J,$E288)&gt;0,_xlfn.MAXIFS('Raw TRI Data'!$Z:$Z,'Raw TRI Data'!$J:$J,$E288), "N/A - Facility Does Not Report to TRI, no surface water releases, or no Generic Factors available"))</f>
        <v>N/A - Facility Does Not Report to TRI, no surface water releases, or no Generic Factors available</v>
      </c>
      <c r="AB288" s="113" t="str">
        <f t="shared" si="30"/>
        <v>N/A</v>
      </c>
      <c r="AC288" s="136" t="str" cm="1">
        <f t="array" ref="AC288">IF(COUNTIF('Raw Annual DMR Data'!K:K,$E288)&gt;0,"N/A - See DMRs",IF(SUMIFS('Raw TRI Data'!$Z:$Z,'Raw TRI Data'!$J:$J,$E288)&gt;0,INDEX('Raw TRI Data'!$A:$A,MATCH(1,($E288='Raw TRI Data'!$J:$J)*($AA288='Raw TRI Data'!$Z:$Z),0)), "N/A - Facility Does Not Report to TRI, no surface water releases, or no Generic Factors available"))</f>
        <v>N/A - Facility Does Not Report to TRI, no surface water releases, or no Generic Factors available</v>
      </c>
      <c r="AD288" s="96" t="str" cm="1">
        <f t="array" ref="AD288">IF(COUNTIFS('Raw Annual DMR Data'!L:L,$F288,'Raw Annual DMR Data'!W:W, "&gt;0")&gt;0,MEDIAN(IF('Raw Annual DMR Data'!K:K=$F288, 'Raw Annual DMR Data'!W:W)), "N/A - No Daily Max DMR Discharge Data")</f>
        <v>N/A - No Daily Max DMR Discharge Data</v>
      </c>
      <c r="AE288" s="96" t="str">
        <f>IF(COUNTIFS('Raw Annual DMR Data'!L:L,$F288,'Raw Annual DMR Data'!W:W, "&gt;0")&gt;0,_xlfn.MAXIFS('Raw Annual DMR Data'!W:W,'Raw Annual DMR Data'!L:L,$F288), "N/A - No Daily Max DMR Discharge Data")</f>
        <v>N/A - No Daily Max DMR Discharge Data</v>
      </c>
      <c r="AF288" s="60" t="str" cm="1">
        <f t="array" ref="AF288">IF(COUNTIFS('Raw Annual DMR Data'!L:L,$F288,'Raw Annual DMR Data'!W:W, "&gt;0")&gt;0,INDEX('Raw Annual DMR Data'!B:B,MATCH(1,($F288='Raw Annual DMR Data'!L:L)*($AE288='Raw Annual DMR Data'!W:W),0)), "N/A - No Daily Max DMR Discharge Data")</f>
        <v>N/A - No Daily Max DMR Discharge Data</v>
      </c>
    </row>
    <row r="289" spans="1:32" ht="45.75" thickBot="1" x14ac:dyDescent="0.3">
      <c r="A289" s="144" t="str">
        <f>VLOOKUP(F289,'Facility Summary'!J:K,2,FALSE)</f>
        <v>POTW</v>
      </c>
      <c r="B289" s="28" t="s">
        <v>1247</v>
      </c>
      <c r="C289" s="28" t="s">
        <v>1248</v>
      </c>
      <c r="D289" s="28" t="s">
        <v>1249</v>
      </c>
      <c r="E289" s="28"/>
      <c r="F289" s="61">
        <v>110022284240</v>
      </c>
      <c r="G289" s="60" t="str">
        <f>VLOOKUP($F289, 'Raw Annual DMR Data'!$A:$Z, 24, FALSE)</f>
        <v>NN0030335</v>
      </c>
      <c r="H289" s="60" t="str">
        <f>VLOOKUP($F289, 'Raw Annual DMR Data'!$A:$Z, 25, FALSE)</f>
        <v>BLACK CREEK</v>
      </c>
      <c r="I289" s="74">
        <f>VLOOKUP($F289, 'Raw Annual DMR Data'!$A:$Z, 26, FALSE)</f>
        <v>15020006001239</v>
      </c>
      <c r="J289" s="74" t="s">
        <v>265</v>
      </c>
      <c r="K289" s="60">
        <f>VLOOKUP(A289, 'OES Summary'!$A:$B, 2, FALSE)</f>
        <v>365</v>
      </c>
      <c r="L289" s="304" cm="1">
        <f t="array" ref="L289">IF(COUNTIF('Raw Annual DMR Data'!$L:$L,$F289)&gt;0,MEDIAN(IF('Raw Annual DMR Data'!$L:$L=F289,'Raw Annual DMR Data'!$S:$S)),"N/A - Facility Does Not Report DMRs")</f>
        <v>0.1102192</v>
      </c>
      <c r="M289" s="156">
        <f t="shared" si="28"/>
        <v>3.019704109589041E-4</v>
      </c>
      <c r="N289" s="156">
        <f>IF(COUNTIF('Raw Annual DMR Data'!$L:$L,$F289)&gt;0,_xlfn.MAXIFS('Raw Annual DMR Data'!$S:$S,'Raw Annual DMR Data'!$L:$L,$F289), "N/A - Facility Does Not Report DMRs")</f>
        <v>0.1102192</v>
      </c>
      <c r="O289" s="156">
        <f t="shared" si="29"/>
        <v>3.019704109589041E-4</v>
      </c>
      <c r="P289" s="113" cm="1">
        <f t="array" ref="P289">IF(COUNTIF('Raw Annual DMR Data'!$L:$L,$F289)&gt;0,INDEX('Raw Annual DMR Data'!$B:$B,MATCH(1,($F289='Raw Annual DMR Data'!$L:$L)*($N289='Raw Annual DMR Data'!$S:$S),0)), "N/A - Facility Does Not Report DMRs")</f>
        <v>2016</v>
      </c>
      <c r="Q289" s="304" t="str" cm="1">
        <f t="array" ref="Q289">IF(COUNTIF('Raw TRI Data'!$J:$J,$E289)&gt;0,MEDIAN(IF('Raw TRI Data'!$J:$J=E289,'Raw TRI Data'!$S:$S)), "N/A - Facility Does Not Report to TRI")</f>
        <v>N/A - Facility Does Not Report to TRI</v>
      </c>
      <c r="R289" s="156" t="str">
        <f t="shared" si="26"/>
        <v>N/A - Facility Does Not Report to TRI</v>
      </c>
      <c r="S289" s="156" t="str">
        <f>IF(COUNTIF('Raw TRI Data'!$J:$J,$E289)&gt;0,_xlfn.MAXIFS('Raw TRI Data'!$S:$S,'Raw TRI Data'!$J:$J,$E289), "N/A - Facility Does Not Report to TRI")</f>
        <v>N/A - Facility Does Not Report to TRI</v>
      </c>
      <c r="T289" s="156" t="str">
        <f t="shared" si="27"/>
        <v>N/A - Facility Does Not Report to TRI</v>
      </c>
      <c r="U289" s="136" t="str" cm="1">
        <f t="array" ref="U289">IF(COUNTIF('Raw TRI Data'!$J:$J,$E289)&gt;0,INDEX('Raw TRI Data'!$A:$A,MATCH(1,($E289='Raw TRI Data'!$J:$J)*(S289='Raw TRI Data'!$S:$S),0)), "N/A - Facility Does Not Report to TRI")</f>
        <v>N/A - Facility Does Not Report to TRI</v>
      </c>
      <c r="V289" s="156" t="str" cm="1">
        <f t="array" ref="V289">IF(COUNTIFS('Raw Annual DMR Data'!$L:$L,$F289,'Raw Annual DMR Data'!$U:$U,"&gt;0")&gt;0,MEDIAN(IF('Raw Annual DMR Data'!$L:$L=$F289,'Raw Annual DMR Data'!$U:$U,"")),"N/A - Period DMR Data Not Available")</f>
        <v>N/A - Period DMR Data Not Available</v>
      </c>
      <c r="W289" s="156" t="str">
        <f>IF(COUNTIFS('Raw Annual DMR Data'!$L:$L,$F289, 'Raw Annual DMR Data'!$U:$U, "&gt;0")&gt;0,_xlfn.MAXIFS('Raw Annual DMR Data'!$U:$U,'Raw Annual DMR Data'!$L:$L,$F289), "N/A - Period DMR Data Not Available")</f>
        <v>N/A - Period DMR Data Not Available</v>
      </c>
      <c r="X289" s="113" t="str" cm="1">
        <f t="array" ref="X289">+IF(COUNTIFS('Raw Annual DMR Data'!L:L,$F289, 'Raw Annual DMR Data'!U:U, "&gt;0")&gt;0,INDEX('Raw Annual DMR Data'!V:V,MATCH(1,($F289='Raw Annual DMR Data'!L:L)*($W289='Raw Annual DMR Data'!U:U),0)), "N/A - Period DMR Data Not Available")</f>
        <v>N/A - Period DMR Data Not Available</v>
      </c>
      <c r="Y289" s="113" t="str" cm="1">
        <f t="array" ref="Y289">IF(COUNTIFS('Raw Annual DMR Data'!L:L,$F289, 'Raw Annual DMR Data'!U:U, "&gt;0")&gt;0,INDEX('Raw Annual DMR Data'!B:B,MATCH(1,($F289='Raw Annual DMR Data'!L:L)*($W289='Raw Annual DMR Data'!U:U),0)), "N/A - Period DMR Data Not Available")</f>
        <v>N/A - Period DMR Data Not Available</v>
      </c>
      <c r="Z289" s="311" t="str" cm="1">
        <f t="array" ref="Z289">IF(COUNTIF('Raw Annual DMR Data'!K:K,$E289)&gt;0,"N/A - See DMRs",IF(SUMIFS('Raw TRI Data'!$Z:$Z,'Raw TRI Data'!$J:$J,$E289)&gt;0,MEDIAN(IF('Raw TRI Data'!$J:$J=$E289,'Raw TRI Data'!$Z:$Z)), "N/A - Facility Does Not Report to TRI, no surface water releases, or no Generic Factors available"))</f>
        <v>N/A - Facility Does Not Report to TRI, no surface water releases, or no Generic Factors available</v>
      </c>
      <c r="AA289" s="156" t="str">
        <f>IF(COUNTIF('Raw Annual DMR Data'!K:K,$E289)&gt;0,"N/A - See DMRs",IF(SUMIFS('Raw TRI Data'!$Z:$Z,'Raw TRI Data'!$J:$J,$E289)&gt;0,_xlfn.MAXIFS('Raw TRI Data'!$Z:$Z,'Raw TRI Data'!$J:$J,$E289), "N/A - Facility Does Not Report to TRI, no surface water releases, or no Generic Factors available"))</f>
        <v>N/A - Facility Does Not Report to TRI, no surface water releases, or no Generic Factors available</v>
      </c>
      <c r="AB289" s="113" t="str">
        <f t="shared" si="30"/>
        <v>N/A</v>
      </c>
      <c r="AC289" s="136" t="str" cm="1">
        <f t="array" ref="AC289">IF(COUNTIF('Raw Annual DMR Data'!K:K,$E289)&gt;0,"N/A - See DMRs",IF(SUMIFS('Raw TRI Data'!$Z:$Z,'Raw TRI Data'!$J:$J,$E289)&gt;0,INDEX('Raw TRI Data'!$A:$A,MATCH(1,($E289='Raw TRI Data'!$J:$J)*($AA289='Raw TRI Data'!$Z:$Z),0)), "N/A - Facility Does Not Report to TRI, no surface water releases, or no Generic Factors available"))</f>
        <v>N/A - Facility Does Not Report to TRI, no surface water releases, or no Generic Factors available</v>
      </c>
      <c r="AD289" s="96" t="str" cm="1">
        <f t="array" ref="AD289">IF(COUNTIFS('Raw Annual DMR Data'!L:L,$F289,'Raw Annual DMR Data'!W:W, "&gt;0")&gt;0,MEDIAN(IF('Raw Annual DMR Data'!K:K=$F289, 'Raw Annual DMR Data'!W:W)), "N/A - No Daily Max DMR Discharge Data")</f>
        <v>N/A - No Daily Max DMR Discharge Data</v>
      </c>
      <c r="AE289" s="96" t="str">
        <f>IF(COUNTIFS('Raw Annual DMR Data'!L:L,$F289,'Raw Annual DMR Data'!W:W, "&gt;0")&gt;0,_xlfn.MAXIFS('Raw Annual DMR Data'!W:W,'Raw Annual DMR Data'!L:L,$F289), "N/A - No Daily Max DMR Discharge Data")</f>
        <v>N/A - No Daily Max DMR Discharge Data</v>
      </c>
      <c r="AF289" s="60" t="str" cm="1">
        <f t="array" ref="AF289">IF(COUNTIFS('Raw Annual DMR Data'!L:L,$F289,'Raw Annual DMR Data'!W:W, "&gt;0")&gt;0,INDEX('Raw Annual DMR Data'!B:B,MATCH(1,($F289='Raw Annual DMR Data'!L:L)*($AE289='Raw Annual DMR Data'!W:W),0)), "N/A - No Daily Max DMR Discharge Data")</f>
        <v>N/A - No Daily Max DMR Discharge Data</v>
      </c>
    </row>
    <row r="290" spans="1:32" ht="30.75" thickBot="1" x14ac:dyDescent="0.3">
      <c r="A290" s="144" t="str">
        <f>VLOOKUP(F290,'Facility Summary'!J:K,2,FALSE)</f>
        <v>POTW</v>
      </c>
      <c r="B290" s="28" t="s">
        <v>1250</v>
      </c>
      <c r="C290" s="28" t="s">
        <v>1251</v>
      </c>
      <c r="D290" s="28" t="s">
        <v>366</v>
      </c>
      <c r="E290" s="28" t="s">
        <v>726</v>
      </c>
      <c r="F290" s="61">
        <v>110071169347</v>
      </c>
      <c r="G290" s="60" t="str">
        <f>VLOOKUP($F290, 'Raw Annual DMR Data'!$A:$Z, 24, FALSE)</f>
        <v>CA0110175</v>
      </c>
      <c r="H290" s="60" t="str">
        <f>VLOOKUP($F290, 'Raw Annual DMR Data'!$A:$Z, 25, FALSE)</f>
        <v>PACIFIC OCEAN</v>
      </c>
      <c r="I290" s="74">
        <f>VLOOKUP($F290, 'Raw Annual DMR Data'!$A:$Z, 26, FALSE)</f>
        <v>18070107000163</v>
      </c>
      <c r="J290" s="74" t="s">
        <v>265</v>
      </c>
      <c r="K290" s="60">
        <f>VLOOKUP(A290, 'OES Summary'!$A:$B, 2, FALSE)</f>
        <v>365</v>
      </c>
      <c r="L290" s="304" cm="1">
        <f t="array" ref="L290">IF(COUNTIF('Raw Annual DMR Data'!$L:$L,$F290)&gt;0,MEDIAN(IF('Raw Annual DMR Data'!$L:$L=F290,'Raw Annual DMR Data'!$S:$S)),"N/A - Facility Does Not Report DMRs")</f>
        <v>1.0349967057499999E-2</v>
      </c>
      <c r="M290" s="156">
        <f t="shared" si="28"/>
        <v>2.8356074130136983E-5</v>
      </c>
      <c r="N290" s="156">
        <f>IF(COUNTIF('Raw Annual DMR Data'!$L:$L,$F290)&gt;0,_xlfn.MAXIFS('Raw Annual DMR Data'!$S:$S,'Raw Annual DMR Data'!$L:$L,$F290), "N/A - Facility Does Not Report DMRs")</f>
        <v>1.2307135675000001E-2</v>
      </c>
      <c r="O290" s="156">
        <f t="shared" si="29"/>
        <v>3.3718179931506853E-5</v>
      </c>
      <c r="P290" s="113" cm="1">
        <f t="array" ref="P290">IF(COUNTIF('Raw Annual DMR Data'!$L:$L,$F290)&gt;0,INDEX('Raw Annual DMR Data'!$B:$B,MATCH(1,($F290='Raw Annual DMR Data'!$L:$L)*($N290='Raw Annual DMR Data'!$S:$S),0)), "N/A - Facility Does Not Report DMRs")</f>
        <v>2019</v>
      </c>
      <c r="Q290" s="304" t="str" cm="1">
        <f t="array" ref="Q290">IF(COUNTIF('Raw TRI Data'!$J:$J,$E290)&gt;0,MEDIAN(IF('Raw TRI Data'!$J:$J=E290,'Raw TRI Data'!$S:$S)), "N/A - Facility Does Not Report to TRI")</f>
        <v>N/A - Facility Does Not Report to TRI</v>
      </c>
      <c r="R290" s="156" t="str">
        <f t="shared" si="26"/>
        <v>N/A - Facility Does Not Report to TRI</v>
      </c>
      <c r="S290" s="156" t="str">
        <f>IF(COUNTIF('Raw TRI Data'!$J:$J,$E290)&gt;0,_xlfn.MAXIFS('Raw TRI Data'!$S:$S,'Raw TRI Data'!$J:$J,$E290), "N/A - Facility Does Not Report to TRI")</f>
        <v>N/A - Facility Does Not Report to TRI</v>
      </c>
      <c r="T290" s="156" t="str">
        <f t="shared" si="27"/>
        <v>N/A - Facility Does Not Report to TRI</v>
      </c>
      <c r="U290" s="136" t="str" cm="1">
        <f t="array" ref="U290">IF(COUNTIF('Raw TRI Data'!$J:$J,$E290)&gt;0,INDEX('Raw TRI Data'!$A:$A,MATCH(1,($E290='Raw TRI Data'!$J:$J)*(S290='Raw TRI Data'!$S:$S),0)), "N/A - Facility Does Not Report to TRI")</f>
        <v>N/A - Facility Does Not Report to TRI</v>
      </c>
      <c r="V290" s="156" t="str" cm="1">
        <f t="array" ref="V290">IF(COUNTIFS('Raw Annual DMR Data'!$L:$L,$F290,'Raw Annual DMR Data'!$U:$U,"&gt;0")&gt;0,MEDIAN(IF('Raw Annual DMR Data'!$L:$L=$F290,'Raw Annual DMR Data'!$U:$U,"")),"N/A - Period DMR Data Not Available")</f>
        <v>N/A - Period DMR Data Not Available</v>
      </c>
      <c r="W290" s="156" t="str">
        <f>IF(COUNTIFS('Raw Annual DMR Data'!$L:$L,$F290, 'Raw Annual DMR Data'!$U:$U, "&gt;0")&gt;0,_xlfn.MAXIFS('Raw Annual DMR Data'!$U:$U,'Raw Annual DMR Data'!$L:$L,$F290), "N/A - Period DMR Data Not Available")</f>
        <v>N/A - Period DMR Data Not Available</v>
      </c>
      <c r="X290" s="113" t="str" cm="1">
        <f t="array" ref="X290">+IF(COUNTIFS('Raw Annual DMR Data'!L:L,$F290, 'Raw Annual DMR Data'!U:U, "&gt;0")&gt;0,INDEX('Raw Annual DMR Data'!V:V,MATCH(1,($F290='Raw Annual DMR Data'!L:L)*($W290='Raw Annual DMR Data'!U:U),0)), "N/A - Period DMR Data Not Available")</f>
        <v>N/A - Period DMR Data Not Available</v>
      </c>
      <c r="Y290" s="113" t="str" cm="1">
        <f t="array" ref="Y290">IF(COUNTIFS('Raw Annual DMR Data'!L:L,$F290, 'Raw Annual DMR Data'!U:U, "&gt;0")&gt;0,INDEX('Raw Annual DMR Data'!B:B,MATCH(1,($F290='Raw Annual DMR Data'!L:L)*($W290='Raw Annual DMR Data'!U:U),0)), "N/A - Period DMR Data Not Available")</f>
        <v>N/A - Period DMR Data Not Available</v>
      </c>
      <c r="Z290" s="311" t="str" cm="1">
        <f t="array" ref="Z290">IF(COUNTIF('Raw Annual DMR Data'!K:K,$E290)&gt;0,"N/A - See DMRs",IF(SUMIFS('Raw TRI Data'!$Z:$Z,'Raw TRI Data'!$J:$J,$E290)&gt;0,MEDIAN(IF('Raw TRI Data'!$J:$J=$E290,'Raw TRI Data'!$Z:$Z)), "N/A - Facility Does Not Report to TRI, no surface water releases, or no Generic Factors available"))</f>
        <v>N/A - See DMRs</v>
      </c>
      <c r="AA290" s="156" t="str">
        <f>IF(COUNTIF('Raw Annual DMR Data'!K:K,$E290)&gt;0,"N/A - See DMRs",IF(SUMIFS('Raw TRI Data'!$Z:$Z,'Raw TRI Data'!$J:$J,$E290)&gt;0,_xlfn.MAXIFS('Raw TRI Data'!$Z:$Z,'Raw TRI Data'!$J:$J,$E290), "N/A - Facility Does Not Report to TRI, no surface water releases, or no Generic Factors available"))</f>
        <v>N/A - See DMRs</v>
      </c>
      <c r="AB290" s="113" t="str">
        <f t="shared" si="30"/>
        <v>N/A</v>
      </c>
      <c r="AC290" s="136" t="str" cm="1">
        <f t="array" ref="AC290">IF(COUNTIF('Raw Annual DMR Data'!K:K,$E290)&gt;0,"N/A - See DMRs",IF(SUMIFS('Raw TRI Data'!$Z:$Z,'Raw TRI Data'!$J:$J,$E290)&gt;0,INDEX('Raw TRI Data'!$A:$A,MATCH(1,($E290='Raw TRI Data'!$J:$J)*($AA290='Raw TRI Data'!$Z:$Z),0)), "N/A - Facility Does Not Report to TRI, no surface water releases, or no Generic Factors available"))</f>
        <v>N/A - See DMRs</v>
      </c>
      <c r="AD290" s="96" t="str" cm="1">
        <f t="array" ref="AD290">IF(COUNTIFS('Raw Annual DMR Data'!L:L,$F290,'Raw Annual DMR Data'!W:W, "&gt;0")&gt;0,MEDIAN(IF('Raw Annual DMR Data'!K:K=$F290, 'Raw Annual DMR Data'!W:W)), "N/A - No Daily Max DMR Discharge Data")</f>
        <v>N/A - No Daily Max DMR Discharge Data</v>
      </c>
      <c r="AE290" s="96" t="str">
        <f>IF(COUNTIFS('Raw Annual DMR Data'!L:L,$F290,'Raw Annual DMR Data'!W:W, "&gt;0")&gt;0,_xlfn.MAXIFS('Raw Annual DMR Data'!W:W,'Raw Annual DMR Data'!L:L,$F290), "N/A - No Daily Max DMR Discharge Data")</f>
        <v>N/A - No Daily Max DMR Discharge Data</v>
      </c>
      <c r="AF290" s="60" t="str" cm="1">
        <f t="array" ref="AF290">IF(COUNTIFS('Raw Annual DMR Data'!L:L,$F290,'Raw Annual DMR Data'!W:W, "&gt;0")&gt;0,INDEX('Raw Annual DMR Data'!B:B,MATCH(1,($F290='Raw Annual DMR Data'!L:L)*($AE290='Raw Annual DMR Data'!W:W),0)), "N/A - No Daily Max DMR Discharge Data")</f>
        <v>N/A - No Daily Max DMR Discharge Data</v>
      </c>
    </row>
    <row r="291" spans="1:32" ht="45.75" thickBot="1" x14ac:dyDescent="0.3">
      <c r="A291" s="144" t="str">
        <f>VLOOKUP(F291,'Facility Summary'!J:K,2,FALSE)</f>
        <v>POTW</v>
      </c>
      <c r="B291" s="28" t="s">
        <v>1252</v>
      </c>
      <c r="C291" s="28" t="s">
        <v>1253</v>
      </c>
      <c r="D291" s="28" t="s">
        <v>1171</v>
      </c>
      <c r="E291" s="28"/>
      <c r="F291" s="61">
        <v>110022302417</v>
      </c>
      <c r="G291" s="60" t="str">
        <f>VLOOKUP($F291, 'Raw Annual DMR Data'!$A:$Z, 24, FALSE)</f>
        <v>HI0110086</v>
      </c>
      <c r="H291" s="60" t="str">
        <f>VLOOKUP($F291, 'Raw Annual DMR Data'!$A:$Z, 25, FALSE)</f>
        <v>PACIFIC OCEAN</v>
      </c>
      <c r="I291" s="74">
        <f>VLOOKUP($F291, 'Raw Annual DMR Data'!$A:$Z, 26, FALSE)</f>
        <v>20060000002470</v>
      </c>
      <c r="J291" s="74" t="s">
        <v>265</v>
      </c>
      <c r="K291" s="60">
        <f>VLOOKUP(A291, 'OES Summary'!$A:$B, 2, FALSE)</f>
        <v>365</v>
      </c>
      <c r="L291" s="304" cm="1">
        <f t="array" ref="L291">IF(COUNTIF('Raw Annual DMR Data'!$L:$L,$F291)&gt;0,MEDIAN(IF('Raw Annual DMR Data'!$L:$L=F291,'Raw Annual DMR Data'!$S:$S)),"N/A - Facility Does Not Report DMRs")</f>
        <v>3.8682699999999999</v>
      </c>
      <c r="M291" s="156">
        <f t="shared" si="28"/>
        <v>1.0598E-2</v>
      </c>
      <c r="N291" s="156">
        <f>IF(COUNTIF('Raw Annual DMR Data'!$L:$L,$F291)&gt;0,_xlfn.MAXIFS('Raw Annual DMR Data'!$S:$S,'Raw Annual DMR Data'!$L:$L,$F291), "N/A - Facility Does Not Report DMRs")</f>
        <v>3.8682699999999999</v>
      </c>
      <c r="O291" s="156">
        <f t="shared" si="29"/>
        <v>1.0598E-2</v>
      </c>
      <c r="P291" s="113" cm="1">
        <f t="array" ref="P291">IF(COUNTIF('Raw Annual DMR Data'!$L:$L,$F291)&gt;0,INDEX('Raw Annual DMR Data'!$B:$B,MATCH(1,($F291='Raw Annual DMR Data'!$L:$L)*($N291='Raw Annual DMR Data'!$S:$S),0)), "N/A - Facility Does Not Report DMRs")</f>
        <v>2020</v>
      </c>
      <c r="Q291" s="304" t="str" cm="1">
        <f t="array" ref="Q291">IF(COUNTIF('Raw TRI Data'!$J:$J,$E291)&gt;0,MEDIAN(IF('Raw TRI Data'!$J:$J=E291,'Raw TRI Data'!$S:$S)), "N/A - Facility Does Not Report to TRI")</f>
        <v>N/A - Facility Does Not Report to TRI</v>
      </c>
      <c r="R291" s="156" t="str">
        <f t="shared" si="26"/>
        <v>N/A - Facility Does Not Report to TRI</v>
      </c>
      <c r="S291" s="156" t="str">
        <f>IF(COUNTIF('Raw TRI Data'!$J:$J,$E291)&gt;0,_xlfn.MAXIFS('Raw TRI Data'!$S:$S,'Raw TRI Data'!$J:$J,$E291), "N/A - Facility Does Not Report to TRI")</f>
        <v>N/A - Facility Does Not Report to TRI</v>
      </c>
      <c r="T291" s="156" t="str">
        <f t="shared" si="27"/>
        <v>N/A - Facility Does Not Report to TRI</v>
      </c>
      <c r="U291" s="136" t="str" cm="1">
        <f t="array" ref="U291">IF(COUNTIF('Raw TRI Data'!$J:$J,$E291)&gt;0,INDEX('Raw TRI Data'!$A:$A,MATCH(1,($E291='Raw TRI Data'!$J:$J)*(S291='Raw TRI Data'!$S:$S),0)), "N/A - Facility Does Not Report to TRI")</f>
        <v>N/A - Facility Does Not Report to TRI</v>
      </c>
      <c r="V291" s="156" t="str" cm="1">
        <f t="array" ref="V291">IF(COUNTIFS('Raw Annual DMR Data'!$L:$L,$F291,'Raw Annual DMR Data'!$U:$U,"&gt;0")&gt;0,MEDIAN(IF('Raw Annual DMR Data'!$L:$L=$F291,'Raw Annual DMR Data'!$U:$U,"")),"N/A - Period DMR Data Not Available")</f>
        <v>N/A - Period DMR Data Not Available</v>
      </c>
      <c r="W291" s="156" t="str">
        <f>IF(COUNTIFS('Raw Annual DMR Data'!$L:$L,$F291, 'Raw Annual DMR Data'!$U:$U, "&gt;0")&gt;0,_xlfn.MAXIFS('Raw Annual DMR Data'!$U:$U,'Raw Annual DMR Data'!$L:$L,$F291), "N/A - Period DMR Data Not Available")</f>
        <v>N/A - Period DMR Data Not Available</v>
      </c>
      <c r="X291" s="113" t="str" cm="1">
        <f t="array" ref="X291">+IF(COUNTIFS('Raw Annual DMR Data'!L:L,$F291, 'Raw Annual DMR Data'!U:U, "&gt;0")&gt;0,INDEX('Raw Annual DMR Data'!V:V,MATCH(1,($F291='Raw Annual DMR Data'!L:L)*($W291='Raw Annual DMR Data'!U:U),0)), "N/A - Period DMR Data Not Available")</f>
        <v>N/A - Period DMR Data Not Available</v>
      </c>
      <c r="Y291" s="113" t="str" cm="1">
        <f t="array" ref="Y291">IF(COUNTIFS('Raw Annual DMR Data'!L:L,$F291, 'Raw Annual DMR Data'!U:U, "&gt;0")&gt;0,INDEX('Raw Annual DMR Data'!B:B,MATCH(1,($F291='Raw Annual DMR Data'!L:L)*($W291='Raw Annual DMR Data'!U:U),0)), "N/A - Period DMR Data Not Available")</f>
        <v>N/A - Period DMR Data Not Available</v>
      </c>
      <c r="Z291" s="311" t="str" cm="1">
        <f t="array" ref="Z291">IF(COUNTIF('Raw Annual DMR Data'!K:K,$E291)&gt;0,"N/A - See DMRs",IF(SUMIFS('Raw TRI Data'!$Z:$Z,'Raw TRI Data'!$J:$J,$E291)&gt;0,MEDIAN(IF('Raw TRI Data'!$J:$J=$E291,'Raw TRI Data'!$Z:$Z)), "N/A - Facility Does Not Report to TRI, no surface water releases, or no Generic Factors available"))</f>
        <v>N/A - Facility Does Not Report to TRI, no surface water releases, or no Generic Factors available</v>
      </c>
      <c r="AA291" s="156" t="str">
        <f>IF(COUNTIF('Raw Annual DMR Data'!K:K,$E291)&gt;0,"N/A - See DMRs",IF(SUMIFS('Raw TRI Data'!$Z:$Z,'Raw TRI Data'!$J:$J,$E291)&gt;0,_xlfn.MAXIFS('Raw TRI Data'!$Z:$Z,'Raw TRI Data'!$J:$J,$E291), "N/A - Facility Does Not Report to TRI, no surface water releases, or no Generic Factors available"))</f>
        <v>N/A - Facility Does Not Report to TRI, no surface water releases, or no Generic Factors available</v>
      </c>
      <c r="AB291" s="113" t="str">
        <f t="shared" si="30"/>
        <v>N/A</v>
      </c>
      <c r="AC291" s="136" t="str" cm="1">
        <f t="array" ref="AC291">IF(COUNTIF('Raw Annual DMR Data'!K:K,$E291)&gt;0,"N/A - See DMRs",IF(SUMIFS('Raw TRI Data'!$Z:$Z,'Raw TRI Data'!$J:$J,$E291)&gt;0,INDEX('Raw TRI Data'!$A:$A,MATCH(1,($E291='Raw TRI Data'!$J:$J)*($AA291='Raw TRI Data'!$Z:$Z),0)), "N/A - Facility Does Not Report to TRI, no surface water releases, or no Generic Factors available"))</f>
        <v>N/A - Facility Does Not Report to TRI, no surface water releases, or no Generic Factors available</v>
      </c>
      <c r="AD291" s="96" t="str" cm="1">
        <f t="array" ref="AD291">IF(COUNTIFS('Raw Annual DMR Data'!L:L,$F291,'Raw Annual DMR Data'!W:W, "&gt;0")&gt;0,MEDIAN(IF('Raw Annual DMR Data'!K:K=$F291, 'Raw Annual DMR Data'!W:W)), "N/A - No Daily Max DMR Discharge Data")</f>
        <v>N/A - No Daily Max DMR Discharge Data</v>
      </c>
      <c r="AE291" s="96" t="str">
        <f>IF(COUNTIFS('Raw Annual DMR Data'!L:L,$F291,'Raw Annual DMR Data'!W:W, "&gt;0")&gt;0,_xlfn.MAXIFS('Raw Annual DMR Data'!W:W,'Raw Annual DMR Data'!L:L,$F291), "N/A - No Daily Max DMR Discharge Data")</f>
        <v>N/A - No Daily Max DMR Discharge Data</v>
      </c>
      <c r="AF291" s="60" t="str" cm="1">
        <f t="array" ref="AF291">IF(COUNTIFS('Raw Annual DMR Data'!L:L,$F291,'Raw Annual DMR Data'!W:W, "&gt;0")&gt;0,INDEX('Raw Annual DMR Data'!B:B,MATCH(1,($F291='Raw Annual DMR Data'!L:L)*($AE291='Raw Annual DMR Data'!W:W),0)), "N/A - No Daily Max DMR Discharge Data")</f>
        <v>N/A - No Daily Max DMR Discharge Data</v>
      </c>
    </row>
    <row r="292" spans="1:32" ht="45.75" thickBot="1" x14ac:dyDescent="0.3">
      <c r="A292" s="144" t="str">
        <f>VLOOKUP(F292,'Facility Summary'!J:K,2,FALSE)</f>
        <v>Laboratory Use</v>
      </c>
      <c r="B292" s="28" t="s">
        <v>1254</v>
      </c>
      <c r="C292" s="28" t="s">
        <v>1255</v>
      </c>
      <c r="D292" s="28" t="s">
        <v>366</v>
      </c>
      <c r="E292" s="28"/>
      <c r="F292" s="61">
        <v>110037256812</v>
      </c>
      <c r="G292" s="60" t="str">
        <f>VLOOKUP($F292, 'Raw Annual DMR Data'!$A:$Z, 24, FALSE)</f>
        <v>CA0064564</v>
      </c>
      <c r="H292" s="60" t="str">
        <f>VLOOKUP($F292, 'Raw Annual DMR Data'!$A:$Z, 25, FALSE)</f>
        <v>PORT HUENEME HARBOR</v>
      </c>
      <c r="I292" s="74">
        <f>VLOOKUP($F292, 'Raw Annual DMR Data'!$A:$Z, 26, FALSE)</f>
        <v>18070103000061</v>
      </c>
      <c r="J292" s="74" t="s">
        <v>265</v>
      </c>
      <c r="K292" s="60">
        <f>VLOOKUP(A292, 'OES Summary'!$A:$B, 2, FALSE)</f>
        <v>260</v>
      </c>
      <c r="L292" s="304" cm="1">
        <f t="array" ref="L292">IF(COUNTIF('Raw Annual DMR Data'!$L:$L,$F292)&gt;0,MEDIAN(IF('Raw Annual DMR Data'!$L:$L=F292,'Raw Annual DMR Data'!$S:$S)),"N/A - Facility Does Not Report DMRs")</f>
        <v>5.9392961676749904E-3</v>
      </c>
      <c r="M292" s="156">
        <f t="shared" si="28"/>
        <v>2.2843446798749963E-5</v>
      </c>
      <c r="N292" s="156">
        <f>IF(COUNTIF('Raw Annual DMR Data'!$L:$L,$F292)&gt;0,_xlfn.MAXIFS('Raw Annual DMR Data'!$S:$S,'Raw Annual DMR Data'!$L:$L,$F292), "N/A - Facility Does Not Report DMRs")</f>
        <v>8.5475504359999906E-3</v>
      </c>
      <c r="O292" s="156">
        <f t="shared" si="29"/>
        <v>3.2875193984615351E-5</v>
      </c>
      <c r="P292" s="113" cm="1">
        <f t="array" ref="P292">IF(COUNTIF('Raw Annual DMR Data'!$L:$L,$F292)&gt;0,INDEX('Raw Annual DMR Data'!$B:$B,MATCH(1,($F292='Raw Annual DMR Data'!$L:$L)*($N292='Raw Annual DMR Data'!$S:$S),0)), "N/A - Facility Does Not Report DMRs")</f>
        <v>2017</v>
      </c>
      <c r="Q292" s="304" t="str" cm="1">
        <f t="array" ref="Q292">IF(COUNTIF('Raw TRI Data'!$J:$J,$E292)&gt;0,MEDIAN(IF('Raw TRI Data'!$J:$J=E292,'Raw TRI Data'!$S:$S)), "N/A - Facility Does Not Report to TRI")</f>
        <v>N/A - Facility Does Not Report to TRI</v>
      </c>
      <c r="R292" s="156" t="str">
        <f t="shared" si="26"/>
        <v>N/A - Facility Does Not Report to TRI</v>
      </c>
      <c r="S292" s="156" t="str">
        <f>IF(COUNTIF('Raw TRI Data'!$J:$J,$E292)&gt;0,_xlfn.MAXIFS('Raw TRI Data'!$S:$S,'Raw TRI Data'!$J:$J,$E292), "N/A - Facility Does Not Report to TRI")</f>
        <v>N/A - Facility Does Not Report to TRI</v>
      </c>
      <c r="T292" s="156" t="str">
        <f t="shared" si="27"/>
        <v>N/A - Facility Does Not Report to TRI</v>
      </c>
      <c r="U292" s="136" t="str" cm="1">
        <f t="array" ref="U292">IF(COUNTIF('Raw TRI Data'!$J:$J,$E292)&gt;0,INDEX('Raw TRI Data'!$A:$A,MATCH(1,($E292='Raw TRI Data'!$J:$J)*(S292='Raw TRI Data'!$S:$S),0)), "N/A - Facility Does Not Report to TRI")</f>
        <v>N/A - Facility Does Not Report to TRI</v>
      </c>
      <c r="V292" s="156" t="str" cm="1">
        <f t="array" ref="V292">IF(COUNTIFS('Raw Annual DMR Data'!$L:$L,$F292,'Raw Annual DMR Data'!$U:$U,"&gt;0")&gt;0,MEDIAN(IF('Raw Annual DMR Data'!$L:$L=$F292,'Raw Annual DMR Data'!$U:$U,"")),"N/A - Period DMR Data Not Available")</f>
        <v>N/A - Period DMR Data Not Available</v>
      </c>
      <c r="W292" s="156" t="str">
        <f>IF(COUNTIFS('Raw Annual DMR Data'!$L:$L,$F292, 'Raw Annual DMR Data'!$U:$U, "&gt;0")&gt;0,_xlfn.MAXIFS('Raw Annual DMR Data'!$U:$U,'Raw Annual DMR Data'!$L:$L,$F292), "N/A - Period DMR Data Not Available")</f>
        <v>N/A - Period DMR Data Not Available</v>
      </c>
      <c r="X292" s="113" t="str" cm="1">
        <f t="array" ref="X292">+IF(COUNTIFS('Raw Annual DMR Data'!L:L,$F292, 'Raw Annual DMR Data'!U:U, "&gt;0")&gt;0,INDEX('Raw Annual DMR Data'!V:V,MATCH(1,($F292='Raw Annual DMR Data'!L:L)*($W292='Raw Annual DMR Data'!U:U),0)), "N/A - Period DMR Data Not Available")</f>
        <v>N/A - Period DMR Data Not Available</v>
      </c>
      <c r="Y292" s="113" t="str" cm="1">
        <f t="array" ref="Y292">IF(COUNTIFS('Raw Annual DMR Data'!L:L,$F292, 'Raw Annual DMR Data'!U:U, "&gt;0")&gt;0,INDEX('Raw Annual DMR Data'!B:B,MATCH(1,($F292='Raw Annual DMR Data'!L:L)*($W292='Raw Annual DMR Data'!U:U),0)), "N/A - Period DMR Data Not Available")</f>
        <v>N/A - Period DMR Data Not Available</v>
      </c>
      <c r="Z292" s="311" t="str" cm="1">
        <f t="array" ref="Z292">IF(COUNTIF('Raw Annual DMR Data'!K:K,$E292)&gt;0,"N/A - See DMRs",IF(SUMIFS('Raw TRI Data'!$Z:$Z,'Raw TRI Data'!$J:$J,$E292)&gt;0,MEDIAN(IF('Raw TRI Data'!$J:$J=$E292,'Raw TRI Data'!$Z:$Z)), "N/A - Facility Does Not Report to TRI, no surface water releases, or no Generic Factors available"))</f>
        <v>N/A - Facility Does Not Report to TRI, no surface water releases, or no Generic Factors available</v>
      </c>
      <c r="AA292" s="156" t="str">
        <f>IF(COUNTIF('Raw Annual DMR Data'!K:K,$E292)&gt;0,"N/A - See DMRs",IF(SUMIFS('Raw TRI Data'!$Z:$Z,'Raw TRI Data'!$J:$J,$E292)&gt;0,_xlfn.MAXIFS('Raw TRI Data'!$Z:$Z,'Raw TRI Data'!$J:$J,$E292), "N/A - Facility Does Not Report to TRI, no surface water releases, or no Generic Factors available"))</f>
        <v>N/A - Facility Does Not Report to TRI, no surface water releases, or no Generic Factors available</v>
      </c>
      <c r="AB292" s="113" t="str">
        <f t="shared" si="30"/>
        <v>N/A</v>
      </c>
      <c r="AC292" s="136" t="str" cm="1">
        <f t="array" ref="AC292">IF(COUNTIF('Raw Annual DMR Data'!K:K,$E292)&gt;0,"N/A - See DMRs",IF(SUMIFS('Raw TRI Data'!$Z:$Z,'Raw TRI Data'!$J:$J,$E292)&gt;0,INDEX('Raw TRI Data'!$A:$A,MATCH(1,($E292='Raw TRI Data'!$J:$J)*($AA292='Raw TRI Data'!$Z:$Z),0)), "N/A - Facility Does Not Report to TRI, no surface water releases, or no Generic Factors available"))</f>
        <v>N/A - Facility Does Not Report to TRI, no surface water releases, or no Generic Factors available</v>
      </c>
      <c r="AD292" s="96" t="str" cm="1">
        <f t="array" ref="AD292">IF(COUNTIFS('Raw Annual DMR Data'!L:L,$F292,'Raw Annual DMR Data'!W:W, "&gt;0")&gt;0,MEDIAN(IF('Raw Annual DMR Data'!K:K=$F292, 'Raw Annual DMR Data'!W:W)), "N/A - No Daily Max DMR Discharge Data")</f>
        <v>N/A - No Daily Max DMR Discharge Data</v>
      </c>
      <c r="AE292" s="96" t="str">
        <f>IF(COUNTIFS('Raw Annual DMR Data'!L:L,$F292,'Raw Annual DMR Data'!W:W, "&gt;0")&gt;0,_xlfn.MAXIFS('Raw Annual DMR Data'!W:W,'Raw Annual DMR Data'!L:L,$F292), "N/A - No Daily Max DMR Discharge Data")</f>
        <v>N/A - No Daily Max DMR Discharge Data</v>
      </c>
      <c r="AF292" s="60" t="str" cm="1">
        <f t="array" ref="AF292">IF(COUNTIFS('Raw Annual DMR Data'!L:L,$F292,'Raw Annual DMR Data'!W:W, "&gt;0")&gt;0,INDEX('Raw Annual DMR Data'!B:B,MATCH(1,($F292='Raw Annual DMR Data'!L:L)*($AE292='Raw Annual DMR Data'!W:W),0)), "N/A - No Daily Max DMR Discharge Data")</f>
        <v>N/A - No Daily Max DMR Discharge Data</v>
      </c>
    </row>
    <row r="293" spans="1:32" ht="45.75" thickBot="1" x14ac:dyDescent="0.3">
      <c r="A293" s="144" t="str">
        <f>VLOOKUP(F293,'Facility Summary'!J:K,2,FALSE)</f>
        <v>POTW</v>
      </c>
      <c r="B293" s="28" t="s">
        <v>1256</v>
      </c>
      <c r="C293" s="28" t="s">
        <v>549</v>
      </c>
      <c r="D293" s="28" t="s">
        <v>366</v>
      </c>
      <c r="E293" s="28"/>
      <c r="F293" s="61">
        <v>110000519920</v>
      </c>
      <c r="G293" s="60" t="str">
        <f>VLOOKUP($F293, 'Raw Annual DMR Data'!$A:$Z, 24, FALSE)</f>
        <v>CA0079901</v>
      </c>
      <c r="H293" s="60" t="str">
        <f>VLOOKUP($F293, 'Raw Annual DMR Data'!$A:$Z, 25, FALSE)</f>
        <v>DEER CREEK</v>
      </c>
      <c r="I293" s="74">
        <f>VLOOKUP($F293, 'Raw Annual DMR Data'!$A:$Z, 26, FALSE)</f>
        <v>18020125000668</v>
      </c>
      <c r="J293" s="74" t="s">
        <v>265</v>
      </c>
      <c r="K293" s="60">
        <f>VLOOKUP(A293, 'OES Summary'!$A:$B, 2, FALSE)</f>
        <v>365</v>
      </c>
      <c r="L293" s="304" cm="1">
        <f t="array" ref="L293">IF(COUNTIF('Raw Annual DMR Data'!$L:$L,$F293)&gt;0,MEDIAN(IF('Raw Annual DMR Data'!$L:$L=F293,'Raw Annual DMR Data'!$S:$S)),"N/A - Facility Does Not Report DMRs")</f>
        <v>2.0816591600000003E-2</v>
      </c>
      <c r="M293" s="156">
        <f t="shared" si="28"/>
        <v>5.7031757808219188E-5</v>
      </c>
      <c r="N293" s="156">
        <f>IF(COUNTIF('Raw Annual DMR Data'!$L:$L,$F293)&gt;0,_xlfn.MAXIFS('Raw Annual DMR Data'!$S:$S,'Raw Annual DMR Data'!$L:$L,$F293), "N/A - Facility Does Not Report DMRs")</f>
        <v>3.4912537200000003E-2</v>
      </c>
      <c r="O293" s="156">
        <f t="shared" si="29"/>
        <v>9.5650786849315082E-5</v>
      </c>
      <c r="P293" s="113" cm="1">
        <f t="array" ref="P293">IF(COUNTIF('Raw Annual DMR Data'!$L:$L,$F293)&gt;0,INDEX('Raw Annual DMR Data'!$B:$B,MATCH(1,($F293='Raw Annual DMR Data'!$L:$L)*($N293='Raw Annual DMR Data'!$S:$S),0)), "N/A - Facility Does Not Report DMRs")</f>
        <v>2023</v>
      </c>
      <c r="Q293" s="304" t="str" cm="1">
        <f t="array" ref="Q293">IF(COUNTIF('Raw TRI Data'!$J:$J,$E293)&gt;0,MEDIAN(IF('Raw TRI Data'!$J:$J=E293,'Raw TRI Data'!$S:$S)), "N/A - Facility Does Not Report to TRI")</f>
        <v>N/A - Facility Does Not Report to TRI</v>
      </c>
      <c r="R293" s="156" t="str">
        <f t="shared" si="26"/>
        <v>N/A - Facility Does Not Report to TRI</v>
      </c>
      <c r="S293" s="156" t="str">
        <f>IF(COUNTIF('Raw TRI Data'!$J:$J,$E293)&gt;0,_xlfn.MAXIFS('Raw TRI Data'!$S:$S,'Raw TRI Data'!$J:$J,$E293), "N/A - Facility Does Not Report to TRI")</f>
        <v>N/A - Facility Does Not Report to TRI</v>
      </c>
      <c r="T293" s="156" t="str">
        <f t="shared" si="27"/>
        <v>N/A - Facility Does Not Report to TRI</v>
      </c>
      <c r="U293" s="136" t="str" cm="1">
        <f t="array" ref="U293">IF(COUNTIF('Raw TRI Data'!$J:$J,$E293)&gt;0,INDEX('Raw TRI Data'!$A:$A,MATCH(1,($E293='Raw TRI Data'!$J:$J)*(S293='Raw TRI Data'!$S:$S),0)), "N/A - Facility Does Not Report to TRI")</f>
        <v>N/A - Facility Does Not Report to TRI</v>
      </c>
      <c r="V293" s="156" t="str" cm="1">
        <f t="array" ref="V293">IF(COUNTIFS('Raw Annual DMR Data'!$L:$L,$F293,'Raw Annual DMR Data'!$U:$U,"&gt;0")&gt;0,MEDIAN(IF('Raw Annual DMR Data'!$L:$L=$F293,'Raw Annual DMR Data'!$U:$U,"")),"N/A - Period DMR Data Not Available")</f>
        <v>N/A - Period DMR Data Not Available</v>
      </c>
      <c r="W293" s="156" t="str">
        <f>IF(COUNTIFS('Raw Annual DMR Data'!$L:$L,$F293, 'Raw Annual DMR Data'!$U:$U, "&gt;0")&gt;0,_xlfn.MAXIFS('Raw Annual DMR Data'!$U:$U,'Raw Annual DMR Data'!$L:$L,$F293), "N/A - Period DMR Data Not Available")</f>
        <v>N/A - Period DMR Data Not Available</v>
      </c>
      <c r="X293" s="113" t="str" cm="1">
        <f t="array" ref="X293">+IF(COUNTIFS('Raw Annual DMR Data'!L:L,$F293, 'Raw Annual DMR Data'!U:U, "&gt;0")&gt;0,INDEX('Raw Annual DMR Data'!V:V,MATCH(1,($F293='Raw Annual DMR Data'!L:L)*($W293='Raw Annual DMR Data'!U:U),0)), "N/A - Period DMR Data Not Available")</f>
        <v>N/A - Period DMR Data Not Available</v>
      </c>
      <c r="Y293" s="113" t="str" cm="1">
        <f t="array" ref="Y293">IF(COUNTIFS('Raw Annual DMR Data'!L:L,$F293, 'Raw Annual DMR Data'!U:U, "&gt;0")&gt;0,INDEX('Raw Annual DMR Data'!B:B,MATCH(1,($F293='Raw Annual DMR Data'!L:L)*($W293='Raw Annual DMR Data'!U:U),0)), "N/A - Period DMR Data Not Available")</f>
        <v>N/A - Period DMR Data Not Available</v>
      </c>
      <c r="Z293" s="311" t="str" cm="1">
        <f t="array" ref="Z293">IF(COUNTIF('Raw Annual DMR Data'!K:K,$E293)&gt;0,"N/A - See DMRs",IF(SUMIFS('Raw TRI Data'!$Z:$Z,'Raw TRI Data'!$J:$J,$E293)&gt;0,MEDIAN(IF('Raw TRI Data'!$J:$J=$E293,'Raw TRI Data'!$Z:$Z)), "N/A - Facility Does Not Report to TRI, no surface water releases, or no Generic Factors available"))</f>
        <v>N/A - Facility Does Not Report to TRI, no surface water releases, or no Generic Factors available</v>
      </c>
      <c r="AA293" s="156" t="str">
        <f>IF(COUNTIF('Raw Annual DMR Data'!K:K,$E293)&gt;0,"N/A - See DMRs",IF(SUMIFS('Raw TRI Data'!$Z:$Z,'Raw TRI Data'!$J:$J,$E293)&gt;0,_xlfn.MAXIFS('Raw TRI Data'!$Z:$Z,'Raw TRI Data'!$J:$J,$E293), "N/A - Facility Does Not Report to TRI, no surface water releases, or no Generic Factors available"))</f>
        <v>N/A - Facility Does Not Report to TRI, no surface water releases, or no Generic Factors available</v>
      </c>
      <c r="AB293" s="113" t="str">
        <f t="shared" si="30"/>
        <v>N/A</v>
      </c>
      <c r="AC293" s="136" t="str" cm="1">
        <f t="array" ref="AC293">IF(COUNTIF('Raw Annual DMR Data'!K:K,$E293)&gt;0,"N/A - See DMRs",IF(SUMIFS('Raw TRI Data'!$Z:$Z,'Raw TRI Data'!$J:$J,$E293)&gt;0,INDEX('Raw TRI Data'!$A:$A,MATCH(1,($E293='Raw TRI Data'!$J:$J)*($AA293='Raw TRI Data'!$Z:$Z),0)), "N/A - Facility Does Not Report to TRI, no surface water releases, or no Generic Factors available"))</f>
        <v>N/A - Facility Does Not Report to TRI, no surface water releases, or no Generic Factors available</v>
      </c>
      <c r="AD293" s="96" t="str" cm="1">
        <f t="array" ref="AD293">IF(COUNTIFS('Raw Annual DMR Data'!L:L,$F293,'Raw Annual DMR Data'!W:W, "&gt;0")&gt;0,MEDIAN(IF('Raw Annual DMR Data'!K:K=$F293, 'Raw Annual DMR Data'!W:W)), "N/A - No Daily Max DMR Discharge Data")</f>
        <v>N/A - No Daily Max DMR Discharge Data</v>
      </c>
      <c r="AE293" s="96" t="str">
        <f>IF(COUNTIFS('Raw Annual DMR Data'!L:L,$F293,'Raw Annual DMR Data'!W:W, "&gt;0")&gt;0,_xlfn.MAXIFS('Raw Annual DMR Data'!W:W,'Raw Annual DMR Data'!L:L,$F293), "N/A - No Daily Max DMR Discharge Data")</f>
        <v>N/A - No Daily Max DMR Discharge Data</v>
      </c>
      <c r="AF293" s="60" t="str" cm="1">
        <f t="array" ref="AF293">IF(COUNTIFS('Raw Annual DMR Data'!L:L,$F293,'Raw Annual DMR Data'!W:W, "&gt;0")&gt;0,INDEX('Raw Annual DMR Data'!B:B,MATCH(1,($F293='Raw Annual DMR Data'!L:L)*($AE293='Raw Annual DMR Data'!W:W),0)), "N/A - No Daily Max DMR Discharge Data")</f>
        <v>N/A - No Daily Max DMR Discharge Data</v>
      </c>
    </row>
    <row r="294" spans="1:32" ht="45.75" thickBot="1" x14ac:dyDescent="0.3">
      <c r="A294" s="144" t="str">
        <f>VLOOKUP(F294,'Facility Summary'!J:K,2,FALSE)</f>
        <v>POTW</v>
      </c>
      <c r="B294" s="28" t="s">
        <v>1257</v>
      </c>
      <c r="C294" s="28" t="s">
        <v>1258</v>
      </c>
      <c r="D294" s="28" t="s">
        <v>366</v>
      </c>
      <c r="E294" s="28"/>
      <c r="F294" s="61">
        <v>110001177958</v>
      </c>
      <c r="G294" s="60" t="str">
        <f>VLOOKUP($F294, 'Raw Annual DMR Data'!$A:$Z, 24, FALSE)</f>
        <v>CA0104451</v>
      </c>
      <c r="H294" s="60" t="str">
        <f>VLOOKUP($F294, 'Raw Annual DMR Data'!$A:$Z, 25, FALSE)</f>
        <v>"R" DRAIN TO SALTON SEA, R DRAIN</v>
      </c>
      <c r="I294" s="74">
        <f>VLOOKUP($F294, 'Raw Annual DMR Data'!$A:$Z, 26, FALSE)</f>
        <v>18100204011079</v>
      </c>
      <c r="J294" s="74" t="s">
        <v>265</v>
      </c>
      <c r="K294" s="60">
        <f>VLOOKUP(A294, 'OES Summary'!$A:$B, 2, FALSE)</f>
        <v>365</v>
      </c>
      <c r="L294" s="304" cm="1">
        <f t="array" ref="L294">IF(COUNTIF('Raw Annual DMR Data'!$L:$L,$F294)&gt;0,MEDIAN(IF('Raw Annual DMR Data'!$L:$L=F294,'Raw Annual DMR Data'!$S:$S)),"N/A - Facility Does Not Report DMRs")</f>
        <v>2.83212625E-2</v>
      </c>
      <c r="M294" s="156">
        <f t="shared" si="28"/>
        <v>7.7592499999999993E-5</v>
      </c>
      <c r="N294" s="156">
        <f>IF(COUNTIF('Raw Annual DMR Data'!$L:$L,$F294)&gt;0,_xlfn.MAXIFS('Raw Annual DMR Data'!$S:$S,'Raw Annual DMR Data'!$L:$L,$F294), "N/A - Facility Does Not Report DMRs")</f>
        <v>2.83212625E-2</v>
      </c>
      <c r="O294" s="156">
        <f t="shared" si="29"/>
        <v>7.7592499999999993E-5</v>
      </c>
      <c r="P294" s="113" cm="1">
        <f t="array" ref="P294">IF(COUNTIF('Raw Annual DMR Data'!$L:$L,$F294)&gt;0,INDEX('Raw Annual DMR Data'!$B:$B,MATCH(1,($F294='Raw Annual DMR Data'!$L:$L)*($N294='Raw Annual DMR Data'!$S:$S),0)), "N/A - Facility Does Not Report DMRs")</f>
        <v>2020</v>
      </c>
      <c r="Q294" s="304" t="str" cm="1">
        <f t="array" ref="Q294">IF(COUNTIF('Raw TRI Data'!$J:$J,$E294)&gt;0,MEDIAN(IF('Raw TRI Data'!$J:$J=E294,'Raw TRI Data'!$S:$S)), "N/A - Facility Does Not Report to TRI")</f>
        <v>N/A - Facility Does Not Report to TRI</v>
      </c>
      <c r="R294" s="156" t="str">
        <f t="shared" si="26"/>
        <v>N/A - Facility Does Not Report to TRI</v>
      </c>
      <c r="S294" s="156" t="str">
        <f>IF(COUNTIF('Raw TRI Data'!$J:$J,$E294)&gt;0,_xlfn.MAXIFS('Raw TRI Data'!$S:$S,'Raw TRI Data'!$J:$J,$E294), "N/A - Facility Does Not Report to TRI")</f>
        <v>N/A - Facility Does Not Report to TRI</v>
      </c>
      <c r="T294" s="156" t="str">
        <f t="shared" si="27"/>
        <v>N/A - Facility Does Not Report to TRI</v>
      </c>
      <c r="U294" s="136" t="str" cm="1">
        <f t="array" ref="U294">IF(COUNTIF('Raw TRI Data'!$J:$J,$E294)&gt;0,INDEX('Raw TRI Data'!$A:$A,MATCH(1,($E294='Raw TRI Data'!$J:$J)*(S294='Raw TRI Data'!$S:$S),0)), "N/A - Facility Does Not Report to TRI")</f>
        <v>N/A - Facility Does Not Report to TRI</v>
      </c>
      <c r="V294" s="156" t="str" cm="1">
        <f t="array" ref="V294">IF(COUNTIFS('Raw Annual DMR Data'!$L:$L,$F294,'Raw Annual DMR Data'!$U:$U,"&gt;0")&gt;0,MEDIAN(IF('Raw Annual DMR Data'!$L:$L=$F294,'Raw Annual DMR Data'!$U:$U,"")),"N/A - Period DMR Data Not Available")</f>
        <v>N/A - Period DMR Data Not Available</v>
      </c>
      <c r="W294" s="156" t="str">
        <f>IF(COUNTIFS('Raw Annual DMR Data'!$L:$L,$F294, 'Raw Annual DMR Data'!$U:$U, "&gt;0")&gt;0,_xlfn.MAXIFS('Raw Annual DMR Data'!$U:$U,'Raw Annual DMR Data'!$L:$L,$F294), "N/A - Period DMR Data Not Available")</f>
        <v>N/A - Period DMR Data Not Available</v>
      </c>
      <c r="X294" s="113" t="str" cm="1">
        <f t="array" ref="X294">+IF(COUNTIFS('Raw Annual DMR Data'!L:L,$F294, 'Raw Annual DMR Data'!U:U, "&gt;0")&gt;0,INDEX('Raw Annual DMR Data'!V:V,MATCH(1,($F294='Raw Annual DMR Data'!L:L)*($W294='Raw Annual DMR Data'!U:U),0)), "N/A - Period DMR Data Not Available")</f>
        <v>N/A - Period DMR Data Not Available</v>
      </c>
      <c r="Y294" s="113" t="str" cm="1">
        <f t="array" ref="Y294">IF(COUNTIFS('Raw Annual DMR Data'!L:L,$F294, 'Raw Annual DMR Data'!U:U, "&gt;0")&gt;0,INDEX('Raw Annual DMR Data'!B:B,MATCH(1,($F294='Raw Annual DMR Data'!L:L)*($W294='Raw Annual DMR Data'!U:U),0)), "N/A - Period DMR Data Not Available")</f>
        <v>N/A - Period DMR Data Not Available</v>
      </c>
      <c r="Z294" s="311" t="str" cm="1">
        <f t="array" ref="Z294">IF(COUNTIF('Raw Annual DMR Data'!K:K,$E294)&gt;0,"N/A - See DMRs",IF(SUMIFS('Raw TRI Data'!$Z:$Z,'Raw TRI Data'!$J:$J,$E294)&gt;0,MEDIAN(IF('Raw TRI Data'!$J:$J=$E294,'Raw TRI Data'!$Z:$Z)), "N/A - Facility Does Not Report to TRI, no surface water releases, or no Generic Factors available"))</f>
        <v>N/A - Facility Does Not Report to TRI, no surface water releases, or no Generic Factors available</v>
      </c>
      <c r="AA294" s="156" t="str">
        <f>IF(COUNTIF('Raw Annual DMR Data'!K:K,$E294)&gt;0,"N/A - See DMRs",IF(SUMIFS('Raw TRI Data'!$Z:$Z,'Raw TRI Data'!$J:$J,$E294)&gt;0,_xlfn.MAXIFS('Raw TRI Data'!$Z:$Z,'Raw TRI Data'!$J:$J,$E294), "N/A - Facility Does Not Report to TRI, no surface water releases, or no Generic Factors available"))</f>
        <v>N/A - Facility Does Not Report to TRI, no surface water releases, or no Generic Factors available</v>
      </c>
      <c r="AB294" s="113" t="str">
        <f t="shared" si="30"/>
        <v>N/A</v>
      </c>
      <c r="AC294" s="136" t="str" cm="1">
        <f t="array" ref="AC294">IF(COUNTIF('Raw Annual DMR Data'!K:K,$E294)&gt;0,"N/A - See DMRs",IF(SUMIFS('Raw TRI Data'!$Z:$Z,'Raw TRI Data'!$J:$J,$E294)&gt;0,INDEX('Raw TRI Data'!$A:$A,MATCH(1,($E294='Raw TRI Data'!$J:$J)*($AA294='Raw TRI Data'!$Z:$Z),0)), "N/A - Facility Does Not Report to TRI, no surface water releases, or no Generic Factors available"))</f>
        <v>N/A - Facility Does Not Report to TRI, no surface water releases, or no Generic Factors available</v>
      </c>
      <c r="AD294" s="96" t="str" cm="1">
        <f t="array" ref="AD294">IF(COUNTIFS('Raw Annual DMR Data'!L:L,$F294,'Raw Annual DMR Data'!W:W, "&gt;0")&gt;0,MEDIAN(IF('Raw Annual DMR Data'!K:K=$F294, 'Raw Annual DMR Data'!W:W)), "N/A - No Daily Max DMR Discharge Data")</f>
        <v>N/A - No Daily Max DMR Discharge Data</v>
      </c>
      <c r="AE294" s="96" t="str">
        <f>IF(COUNTIFS('Raw Annual DMR Data'!L:L,$F294,'Raw Annual DMR Data'!W:W, "&gt;0")&gt;0,_xlfn.MAXIFS('Raw Annual DMR Data'!W:W,'Raw Annual DMR Data'!L:L,$F294), "N/A - No Daily Max DMR Discharge Data")</f>
        <v>N/A - No Daily Max DMR Discharge Data</v>
      </c>
      <c r="AF294" s="60" t="str" cm="1">
        <f t="array" ref="AF294">IF(COUNTIFS('Raw Annual DMR Data'!L:L,$F294,'Raw Annual DMR Data'!W:W, "&gt;0")&gt;0,INDEX('Raw Annual DMR Data'!B:B,MATCH(1,($F294='Raw Annual DMR Data'!L:L)*($AE294='Raw Annual DMR Data'!W:W),0)), "N/A - No Daily Max DMR Discharge Data")</f>
        <v>N/A - No Daily Max DMR Discharge Data</v>
      </c>
    </row>
    <row r="295" spans="1:32" ht="45.75" thickBot="1" x14ac:dyDescent="0.3">
      <c r="A295" s="144" t="str">
        <f>VLOOKUP(F295,'Facility Summary'!J:K,2,FALSE)</f>
        <v>POTW</v>
      </c>
      <c r="B295" s="28" t="s">
        <v>1259</v>
      </c>
      <c r="C295" s="28" t="s">
        <v>1260</v>
      </c>
      <c r="D295" s="28" t="s">
        <v>374</v>
      </c>
      <c r="E295" s="28"/>
      <c r="F295" s="61">
        <v>110028190419</v>
      </c>
      <c r="G295" s="60" t="str">
        <f>VLOOKUP($F295, 'Raw Annual DMR Data'!$A:$Z, 24, FALSE)</f>
        <v>AZ0025607</v>
      </c>
      <c r="H295" s="60">
        <f>VLOOKUP($F295, 'Raw Annual DMR Data'!$A:$Z, 25, FALSE)</f>
        <v>0</v>
      </c>
      <c r="I295" s="74">
        <f>VLOOKUP($F295, 'Raw Annual DMR Data'!$A:$Z, 26, FALSE)</f>
        <v>15010001000530</v>
      </c>
      <c r="J295" s="74" t="s">
        <v>265</v>
      </c>
      <c r="K295" s="60">
        <f>VLOOKUP(A295, 'OES Summary'!$A:$B, 2, FALSE)</f>
        <v>365</v>
      </c>
      <c r="L295" s="304" cm="1">
        <f t="array" ref="L295">IF(COUNTIF('Raw Annual DMR Data'!$L:$L,$F295)&gt;0,MEDIAN(IF('Raw Annual DMR Data'!$L:$L=F295,'Raw Annual DMR Data'!$S:$S)),"N/A - Facility Does Not Report DMRs")</f>
        <v>19.451872000000002</v>
      </c>
      <c r="M295" s="156">
        <f t="shared" si="28"/>
        <v>5.3292800000000001E-2</v>
      </c>
      <c r="N295" s="156">
        <f>IF(COUNTIF('Raw Annual DMR Data'!$L:$L,$F295)&gt;0,_xlfn.MAXIFS('Raw Annual DMR Data'!$S:$S,'Raw Annual DMR Data'!$L:$L,$F295), "N/A - Facility Does Not Report DMRs")</f>
        <v>19.451872000000002</v>
      </c>
      <c r="O295" s="156">
        <f t="shared" si="29"/>
        <v>5.3292800000000001E-2</v>
      </c>
      <c r="P295" s="113" cm="1">
        <f t="array" ref="P295">IF(COUNTIF('Raw Annual DMR Data'!$L:$L,$F295)&gt;0,INDEX('Raw Annual DMR Data'!$B:$B,MATCH(1,($F295='Raw Annual DMR Data'!$L:$L)*($N295='Raw Annual DMR Data'!$S:$S),0)), "N/A - Facility Does Not Report DMRs")</f>
        <v>2015</v>
      </c>
      <c r="Q295" s="304" t="str" cm="1">
        <f t="array" ref="Q295">IF(COUNTIF('Raw TRI Data'!$J:$J,$E295)&gt;0,MEDIAN(IF('Raw TRI Data'!$J:$J=E295,'Raw TRI Data'!$S:$S)), "N/A - Facility Does Not Report to TRI")</f>
        <v>N/A - Facility Does Not Report to TRI</v>
      </c>
      <c r="R295" s="156" t="str">
        <f t="shared" si="26"/>
        <v>N/A - Facility Does Not Report to TRI</v>
      </c>
      <c r="S295" s="156" t="str">
        <f>IF(COUNTIF('Raw TRI Data'!$J:$J,$E295)&gt;0,_xlfn.MAXIFS('Raw TRI Data'!$S:$S,'Raw TRI Data'!$J:$J,$E295), "N/A - Facility Does Not Report to TRI")</f>
        <v>N/A - Facility Does Not Report to TRI</v>
      </c>
      <c r="T295" s="156" t="str">
        <f t="shared" si="27"/>
        <v>N/A - Facility Does Not Report to TRI</v>
      </c>
      <c r="U295" s="136" t="str" cm="1">
        <f t="array" ref="U295">IF(COUNTIF('Raw TRI Data'!$J:$J,$E295)&gt;0,INDEX('Raw TRI Data'!$A:$A,MATCH(1,($E295='Raw TRI Data'!$J:$J)*(S295='Raw TRI Data'!$S:$S),0)), "N/A - Facility Does Not Report to TRI")</f>
        <v>N/A - Facility Does Not Report to TRI</v>
      </c>
      <c r="V295" s="156" t="str" cm="1">
        <f t="array" ref="V295">IF(COUNTIFS('Raw Annual DMR Data'!$L:$L,$F295,'Raw Annual DMR Data'!$U:$U,"&gt;0")&gt;0,MEDIAN(IF('Raw Annual DMR Data'!$L:$L=$F295,'Raw Annual DMR Data'!$U:$U,"")),"N/A - Period DMR Data Not Available")</f>
        <v>N/A - Period DMR Data Not Available</v>
      </c>
      <c r="W295" s="156" t="str">
        <f>IF(COUNTIFS('Raw Annual DMR Data'!$L:$L,$F295, 'Raw Annual DMR Data'!$U:$U, "&gt;0")&gt;0,_xlfn.MAXIFS('Raw Annual DMR Data'!$U:$U,'Raw Annual DMR Data'!$L:$L,$F295), "N/A - Period DMR Data Not Available")</f>
        <v>N/A - Period DMR Data Not Available</v>
      </c>
      <c r="X295" s="113" t="str" cm="1">
        <f t="array" ref="X295">+IF(COUNTIFS('Raw Annual DMR Data'!L:L,$F295, 'Raw Annual DMR Data'!U:U, "&gt;0")&gt;0,INDEX('Raw Annual DMR Data'!V:V,MATCH(1,($F295='Raw Annual DMR Data'!L:L)*($W295='Raw Annual DMR Data'!U:U),0)), "N/A - Period DMR Data Not Available")</f>
        <v>N/A - Period DMR Data Not Available</v>
      </c>
      <c r="Y295" s="113" t="str" cm="1">
        <f t="array" ref="Y295">IF(COUNTIFS('Raw Annual DMR Data'!L:L,$F295, 'Raw Annual DMR Data'!U:U, "&gt;0")&gt;0,INDEX('Raw Annual DMR Data'!B:B,MATCH(1,($F295='Raw Annual DMR Data'!L:L)*($W295='Raw Annual DMR Data'!U:U),0)), "N/A - Period DMR Data Not Available")</f>
        <v>N/A - Period DMR Data Not Available</v>
      </c>
      <c r="Z295" s="311" t="str" cm="1">
        <f t="array" ref="Z295">IF(COUNTIF('Raw Annual DMR Data'!K:K,$E295)&gt;0,"N/A - See DMRs",IF(SUMIFS('Raw TRI Data'!$Z:$Z,'Raw TRI Data'!$J:$J,$E295)&gt;0,MEDIAN(IF('Raw TRI Data'!$J:$J=$E295,'Raw TRI Data'!$Z:$Z)), "N/A - Facility Does Not Report to TRI, no surface water releases, or no Generic Factors available"))</f>
        <v>N/A - Facility Does Not Report to TRI, no surface water releases, or no Generic Factors available</v>
      </c>
      <c r="AA295" s="156" t="str">
        <f>IF(COUNTIF('Raw Annual DMR Data'!K:K,$E295)&gt;0,"N/A - See DMRs",IF(SUMIFS('Raw TRI Data'!$Z:$Z,'Raw TRI Data'!$J:$J,$E295)&gt;0,_xlfn.MAXIFS('Raw TRI Data'!$Z:$Z,'Raw TRI Data'!$J:$J,$E295), "N/A - Facility Does Not Report to TRI, no surface water releases, or no Generic Factors available"))</f>
        <v>N/A - Facility Does Not Report to TRI, no surface water releases, or no Generic Factors available</v>
      </c>
      <c r="AB295" s="113" t="str">
        <f t="shared" si="30"/>
        <v>N/A</v>
      </c>
      <c r="AC295" s="136" t="str" cm="1">
        <f t="array" ref="AC295">IF(COUNTIF('Raw Annual DMR Data'!K:K,$E295)&gt;0,"N/A - See DMRs",IF(SUMIFS('Raw TRI Data'!$Z:$Z,'Raw TRI Data'!$J:$J,$E295)&gt;0,INDEX('Raw TRI Data'!$A:$A,MATCH(1,($E295='Raw TRI Data'!$J:$J)*($AA295='Raw TRI Data'!$Z:$Z),0)), "N/A - Facility Does Not Report to TRI, no surface water releases, or no Generic Factors available"))</f>
        <v>N/A - Facility Does Not Report to TRI, no surface water releases, or no Generic Factors available</v>
      </c>
      <c r="AD295" s="96" t="str" cm="1">
        <f t="array" ref="AD295">IF(COUNTIFS('Raw Annual DMR Data'!L:L,$F295,'Raw Annual DMR Data'!W:W, "&gt;0")&gt;0,MEDIAN(IF('Raw Annual DMR Data'!K:K=$F295, 'Raw Annual DMR Data'!W:W)), "N/A - No Daily Max DMR Discharge Data")</f>
        <v>N/A - No Daily Max DMR Discharge Data</v>
      </c>
      <c r="AE295" s="96" t="str">
        <f>IF(COUNTIFS('Raw Annual DMR Data'!L:L,$F295,'Raw Annual DMR Data'!W:W, "&gt;0")&gt;0,_xlfn.MAXIFS('Raw Annual DMR Data'!W:W,'Raw Annual DMR Data'!L:L,$F295), "N/A - No Daily Max DMR Discharge Data")</f>
        <v>N/A - No Daily Max DMR Discharge Data</v>
      </c>
      <c r="AF295" s="60" t="str" cm="1">
        <f t="array" ref="AF295">IF(COUNTIFS('Raw Annual DMR Data'!L:L,$F295,'Raw Annual DMR Data'!W:W, "&gt;0")&gt;0,INDEX('Raw Annual DMR Data'!B:B,MATCH(1,($F295='Raw Annual DMR Data'!L:L)*($AE295='Raw Annual DMR Data'!W:W),0)), "N/A - No Daily Max DMR Discharge Data")</f>
        <v>N/A - No Daily Max DMR Discharge Data</v>
      </c>
    </row>
    <row r="296" spans="1:32" ht="45.75" thickBot="1" x14ac:dyDescent="0.3">
      <c r="A296" s="144" t="str">
        <f>VLOOKUP(F296,'Facility Summary'!J:K,2,FALSE)</f>
        <v>POTW</v>
      </c>
      <c r="B296" s="28" t="s">
        <v>1261</v>
      </c>
      <c r="C296" s="28" t="s">
        <v>966</v>
      </c>
      <c r="D296" s="28" t="s">
        <v>491</v>
      </c>
      <c r="E296" s="28"/>
      <c r="F296" s="61">
        <v>110001076978</v>
      </c>
      <c r="G296" s="60" t="str">
        <f>VLOOKUP($F296, 'Raw Annual DMR Data'!$A:$Z, 24, FALSE)</f>
        <v>PA0026689</v>
      </c>
      <c r="H296" s="60" t="str">
        <f>VLOOKUP($F296, 'Raw Annual DMR Data'!$A:$Z, 25, FALSE)</f>
        <v>DELAWARE RIVER, FRANKFORD CREEK, PENNYPACK CREEK, TACONY CREEK, UNNAMED TRIB TO DELAWARE RIVER, UNNAMED TRIB TO PENNYPACK CREEK, UNNAMED TRIB TO TACONY CREEK, UNT TO TACONY CREEK</v>
      </c>
      <c r="I296" s="74">
        <f>VLOOKUP($F296, 'Raw Annual DMR Data'!$A:$Z, 26, FALSE)</f>
        <v>2040202001980</v>
      </c>
      <c r="J296" s="74" t="s">
        <v>265</v>
      </c>
      <c r="K296" s="60">
        <f>VLOOKUP(A296, 'OES Summary'!$A:$B, 2, FALSE)</f>
        <v>365</v>
      </c>
      <c r="L296" s="304" cm="1">
        <f t="array" ref="L296">IF(COUNTIF('Raw Annual DMR Data'!$L:$L,$F296)&gt;0,MEDIAN(IF('Raw Annual DMR Data'!$L:$L=F296,'Raw Annual DMR Data'!$S:$S)),"N/A - Facility Does Not Report DMRs")</f>
        <v>234.750904375</v>
      </c>
      <c r="M296" s="156">
        <f t="shared" si="28"/>
        <v>0.6431531626712329</v>
      </c>
      <c r="N296" s="156">
        <f>IF(COUNTIF('Raw Annual DMR Data'!$L:$L,$F296)&gt;0,_xlfn.MAXIFS('Raw Annual DMR Data'!$S:$S,'Raw Annual DMR Data'!$L:$L,$F296), "N/A - Facility Does Not Report DMRs")</f>
        <v>537.65925000000004</v>
      </c>
      <c r="O296" s="156">
        <f t="shared" si="29"/>
        <v>1.4730390410958905</v>
      </c>
      <c r="P296" s="113" cm="1">
        <f t="array" ref="P296">IF(COUNTIF('Raw Annual DMR Data'!$L:$L,$F296)&gt;0,INDEX('Raw Annual DMR Data'!$B:$B,MATCH(1,($F296='Raw Annual DMR Data'!$L:$L)*($N296='Raw Annual DMR Data'!$S:$S),0)), "N/A - Facility Does Not Report DMRs")</f>
        <v>2015</v>
      </c>
      <c r="Q296" s="304" t="str" cm="1">
        <f t="array" ref="Q296">IF(COUNTIF('Raw TRI Data'!$J:$J,$E296)&gt;0,MEDIAN(IF('Raw TRI Data'!$J:$J=E296,'Raw TRI Data'!$S:$S)), "N/A - Facility Does Not Report to TRI")</f>
        <v>N/A - Facility Does Not Report to TRI</v>
      </c>
      <c r="R296" s="156" t="str">
        <f t="shared" si="26"/>
        <v>N/A - Facility Does Not Report to TRI</v>
      </c>
      <c r="S296" s="156" t="str">
        <f>IF(COUNTIF('Raw TRI Data'!$J:$J,$E296)&gt;0,_xlfn.MAXIFS('Raw TRI Data'!$S:$S,'Raw TRI Data'!$J:$J,$E296), "N/A - Facility Does Not Report to TRI")</f>
        <v>N/A - Facility Does Not Report to TRI</v>
      </c>
      <c r="T296" s="156" t="str">
        <f t="shared" si="27"/>
        <v>N/A - Facility Does Not Report to TRI</v>
      </c>
      <c r="U296" s="136" t="str" cm="1">
        <f t="array" ref="U296">IF(COUNTIF('Raw TRI Data'!$J:$J,$E296)&gt;0,INDEX('Raw TRI Data'!$A:$A,MATCH(1,($E296='Raw TRI Data'!$J:$J)*(S296='Raw TRI Data'!$S:$S),0)), "N/A - Facility Does Not Report to TRI")</f>
        <v>N/A - Facility Does Not Report to TRI</v>
      </c>
      <c r="V296" s="156" t="str" cm="1">
        <f t="array" ref="V296">IF(COUNTIFS('Raw Annual DMR Data'!$L:$L,$F296,'Raw Annual DMR Data'!$U:$U,"&gt;0")&gt;0,MEDIAN(IF('Raw Annual DMR Data'!$L:$L=$F296,'Raw Annual DMR Data'!$U:$U,"")),"N/A - Period DMR Data Not Available")</f>
        <v>N/A - Period DMR Data Not Available</v>
      </c>
      <c r="W296" s="156" t="str">
        <f>IF(COUNTIFS('Raw Annual DMR Data'!$L:$L,$F296, 'Raw Annual DMR Data'!$U:$U, "&gt;0")&gt;0,_xlfn.MAXIFS('Raw Annual DMR Data'!$U:$U,'Raw Annual DMR Data'!$L:$L,$F296), "N/A - Period DMR Data Not Available")</f>
        <v>N/A - Period DMR Data Not Available</v>
      </c>
      <c r="X296" s="113" t="str" cm="1">
        <f t="array" ref="X296">+IF(COUNTIFS('Raw Annual DMR Data'!L:L,$F296, 'Raw Annual DMR Data'!U:U, "&gt;0")&gt;0,INDEX('Raw Annual DMR Data'!V:V,MATCH(1,($F296='Raw Annual DMR Data'!L:L)*($W296='Raw Annual DMR Data'!U:U),0)), "N/A - Period DMR Data Not Available")</f>
        <v>N/A - Period DMR Data Not Available</v>
      </c>
      <c r="Y296" s="113" t="str" cm="1">
        <f t="array" ref="Y296">IF(COUNTIFS('Raw Annual DMR Data'!L:L,$F296, 'Raw Annual DMR Data'!U:U, "&gt;0")&gt;0,INDEX('Raw Annual DMR Data'!B:B,MATCH(1,($F296='Raw Annual DMR Data'!L:L)*($W296='Raw Annual DMR Data'!U:U),0)), "N/A - Period DMR Data Not Available")</f>
        <v>N/A - Period DMR Data Not Available</v>
      </c>
      <c r="Z296" s="311" t="str" cm="1">
        <f t="array" ref="Z296">IF(COUNTIF('Raw Annual DMR Data'!K:K,$E296)&gt;0,"N/A - See DMRs",IF(SUMIFS('Raw TRI Data'!$Z:$Z,'Raw TRI Data'!$J:$J,$E296)&gt;0,MEDIAN(IF('Raw TRI Data'!$J:$J=$E296,'Raw TRI Data'!$Z:$Z)), "N/A - Facility Does Not Report to TRI, no surface water releases, or no Generic Factors available"))</f>
        <v>N/A - Facility Does Not Report to TRI, no surface water releases, or no Generic Factors available</v>
      </c>
      <c r="AA296" s="156" t="str">
        <f>IF(COUNTIF('Raw Annual DMR Data'!K:K,$E296)&gt;0,"N/A - See DMRs",IF(SUMIFS('Raw TRI Data'!$Z:$Z,'Raw TRI Data'!$J:$J,$E296)&gt;0,_xlfn.MAXIFS('Raw TRI Data'!$Z:$Z,'Raw TRI Data'!$J:$J,$E296), "N/A - Facility Does Not Report to TRI, no surface water releases, or no Generic Factors available"))</f>
        <v>N/A - Facility Does Not Report to TRI, no surface water releases, or no Generic Factors available</v>
      </c>
      <c r="AB296" s="113" t="str">
        <f t="shared" si="30"/>
        <v>N/A</v>
      </c>
      <c r="AC296" s="136" t="str" cm="1">
        <f t="array" ref="AC296">IF(COUNTIF('Raw Annual DMR Data'!K:K,$E296)&gt;0,"N/A - See DMRs",IF(SUMIFS('Raw TRI Data'!$Z:$Z,'Raw TRI Data'!$J:$J,$E296)&gt;0,INDEX('Raw TRI Data'!$A:$A,MATCH(1,($E296='Raw TRI Data'!$J:$J)*($AA296='Raw TRI Data'!$Z:$Z),0)), "N/A - Facility Does Not Report to TRI, no surface water releases, or no Generic Factors available"))</f>
        <v>N/A - Facility Does Not Report to TRI, no surface water releases, or no Generic Factors available</v>
      </c>
      <c r="AD296" s="96" t="str" cm="1">
        <f t="array" ref="AD296">IF(COUNTIFS('Raw Annual DMR Data'!L:L,$F296,'Raw Annual DMR Data'!W:W, "&gt;0")&gt;0,MEDIAN(IF('Raw Annual DMR Data'!K:K=$F296, 'Raw Annual DMR Data'!W:W)), "N/A - No Daily Max DMR Discharge Data")</f>
        <v>N/A - No Daily Max DMR Discharge Data</v>
      </c>
      <c r="AE296" s="96" t="str">
        <f>IF(COUNTIFS('Raw Annual DMR Data'!L:L,$F296,'Raw Annual DMR Data'!W:W, "&gt;0")&gt;0,_xlfn.MAXIFS('Raw Annual DMR Data'!W:W,'Raw Annual DMR Data'!L:L,$F296), "N/A - No Daily Max DMR Discharge Data")</f>
        <v>N/A - No Daily Max DMR Discharge Data</v>
      </c>
      <c r="AF296" s="60" t="str" cm="1">
        <f t="array" ref="AF296">IF(COUNTIFS('Raw Annual DMR Data'!L:L,$F296,'Raw Annual DMR Data'!W:W, "&gt;0")&gt;0,INDEX('Raw Annual DMR Data'!B:B,MATCH(1,($F296='Raw Annual DMR Data'!L:L)*($AE296='Raw Annual DMR Data'!W:W),0)), "N/A - No Daily Max DMR Discharge Data")</f>
        <v>N/A - No Daily Max DMR Discharge Data</v>
      </c>
    </row>
    <row r="297" spans="1:32" ht="45.75" thickBot="1" x14ac:dyDescent="0.3">
      <c r="A297" s="144" t="str">
        <f>VLOOKUP(F297,'Facility Summary'!J:K,2,FALSE)</f>
        <v>POTW</v>
      </c>
      <c r="B297" s="28" t="s">
        <v>1262</v>
      </c>
      <c r="C297" s="28" t="s">
        <v>1263</v>
      </c>
      <c r="D297" s="28" t="s">
        <v>324</v>
      </c>
      <c r="E297" s="28"/>
      <c r="F297" s="61">
        <v>110039639736</v>
      </c>
      <c r="G297" s="60" t="str">
        <f>VLOOKUP($F297, 'Raw Annual DMR Data'!$A:$Z, 24, FALSE)</f>
        <v>KY0021466</v>
      </c>
      <c r="H297" s="60" t="str">
        <f>VLOOKUP($F297, 'Raw Annual DMR Data'!$A:$Z, 25, FALSE)</f>
        <v>BANKLICK CREEK, LICKING RIVER, OHIO RIVER, OUTFALL 001, PLEASANT RUN CREEK, UT TO BANKLICK CREEK, UT TO FOURMILE CREEK, UT TO OHIO RIVER, UT TO OHIO RIVER (TAYLOR CREEK), UT TO OHIO RIVER (UT TO TAYLOR CREEK), UT TO PLEASANT RUN CREEK</v>
      </c>
      <c r="I297" s="74">
        <f>VLOOKUP($F297, 'Raw Annual DMR Data'!$A:$Z, 26, FALSE)</f>
        <v>5100101002662</v>
      </c>
      <c r="J297" s="74" t="s">
        <v>265</v>
      </c>
      <c r="K297" s="60">
        <f>VLOOKUP(A297, 'OES Summary'!$A:$B, 2, FALSE)</f>
        <v>365</v>
      </c>
      <c r="L297" s="304" cm="1">
        <f t="array" ref="L297">IF(COUNTIF('Raw Annual DMR Data'!$L:$L,$F297)&gt;0,MEDIAN(IF('Raw Annual DMR Data'!$L:$L=F297,'Raw Annual DMR Data'!$S:$S)),"N/A - Facility Does Not Report DMRs")</f>
        <v>11.1919170770625</v>
      </c>
      <c r="M297" s="156">
        <f t="shared" si="28"/>
        <v>3.0662786512500002E-2</v>
      </c>
      <c r="N297" s="156">
        <f>IF(COUNTIF('Raw Annual DMR Data'!$L:$L,$F297)&gt;0,_xlfn.MAXIFS('Raw Annual DMR Data'!$S:$S,'Raw Annual DMR Data'!$L:$L,$F297), "N/A - Facility Does Not Report DMRs")</f>
        <v>22.366889749999999</v>
      </c>
      <c r="O297" s="156">
        <f t="shared" si="29"/>
        <v>6.1279149999999998E-2</v>
      </c>
      <c r="P297" s="113" cm="1">
        <f t="array" ref="P297">IF(COUNTIF('Raw Annual DMR Data'!$L:$L,$F297)&gt;0,INDEX('Raw Annual DMR Data'!$B:$B,MATCH(1,($F297='Raw Annual DMR Data'!$L:$L)*($N297='Raw Annual DMR Data'!$S:$S),0)), "N/A - Facility Does Not Report DMRs")</f>
        <v>2021</v>
      </c>
      <c r="Q297" s="304" t="str" cm="1">
        <f t="array" ref="Q297">IF(COUNTIF('Raw TRI Data'!$J:$J,$E297)&gt;0,MEDIAN(IF('Raw TRI Data'!$J:$J=E297,'Raw TRI Data'!$S:$S)), "N/A - Facility Does Not Report to TRI")</f>
        <v>N/A - Facility Does Not Report to TRI</v>
      </c>
      <c r="R297" s="156" t="str">
        <f t="shared" si="26"/>
        <v>N/A - Facility Does Not Report to TRI</v>
      </c>
      <c r="S297" s="156" t="str">
        <f>IF(COUNTIF('Raw TRI Data'!$J:$J,$E297)&gt;0,_xlfn.MAXIFS('Raw TRI Data'!$S:$S,'Raw TRI Data'!$J:$J,$E297), "N/A - Facility Does Not Report to TRI")</f>
        <v>N/A - Facility Does Not Report to TRI</v>
      </c>
      <c r="T297" s="156" t="str">
        <f t="shared" si="27"/>
        <v>N/A - Facility Does Not Report to TRI</v>
      </c>
      <c r="U297" s="136" t="str" cm="1">
        <f t="array" ref="U297">IF(COUNTIF('Raw TRI Data'!$J:$J,$E297)&gt;0,INDEX('Raw TRI Data'!$A:$A,MATCH(1,($E297='Raw TRI Data'!$J:$J)*(S297='Raw TRI Data'!$S:$S),0)), "N/A - Facility Does Not Report to TRI")</f>
        <v>N/A - Facility Does Not Report to TRI</v>
      </c>
      <c r="V297" s="156" t="str" cm="1">
        <f t="array" ref="V297">IF(COUNTIFS('Raw Annual DMR Data'!$L:$L,$F297,'Raw Annual DMR Data'!$U:$U,"&gt;0")&gt;0,MEDIAN(IF('Raw Annual DMR Data'!$L:$L=$F297,'Raw Annual DMR Data'!$U:$U,"")),"N/A - Period DMR Data Not Available")</f>
        <v>N/A - Period DMR Data Not Available</v>
      </c>
      <c r="W297" s="156" t="str">
        <f>IF(COUNTIFS('Raw Annual DMR Data'!$L:$L,$F297, 'Raw Annual DMR Data'!$U:$U, "&gt;0")&gt;0,_xlfn.MAXIFS('Raw Annual DMR Data'!$U:$U,'Raw Annual DMR Data'!$L:$L,$F297), "N/A - Period DMR Data Not Available")</f>
        <v>N/A - Period DMR Data Not Available</v>
      </c>
      <c r="X297" s="113" t="str" cm="1">
        <f t="array" ref="X297">+IF(COUNTIFS('Raw Annual DMR Data'!L:L,$F297, 'Raw Annual DMR Data'!U:U, "&gt;0")&gt;0,INDEX('Raw Annual DMR Data'!V:V,MATCH(1,($F297='Raw Annual DMR Data'!L:L)*($W297='Raw Annual DMR Data'!U:U),0)), "N/A - Period DMR Data Not Available")</f>
        <v>N/A - Period DMR Data Not Available</v>
      </c>
      <c r="Y297" s="113" t="str" cm="1">
        <f t="array" ref="Y297">IF(COUNTIFS('Raw Annual DMR Data'!L:L,$F297, 'Raw Annual DMR Data'!U:U, "&gt;0")&gt;0,INDEX('Raw Annual DMR Data'!B:B,MATCH(1,($F297='Raw Annual DMR Data'!L:L)*($W297='Raw Annual DMR Data'!U:U),0)), "N/A - Period DMR Data Not Available")</f>
        <v>N/A - Period DMR Data Not Available</v>
      </c>
      <c r="Z297" s="311" t="str" cm="1">
        <f t="array" ref="Z297">IF(COUNTIF('Raw Annual DMR Data'!K:K,$E297)&gt;0,"N/A - See DMRs",IF(SUMIFS('Raw TRI Data'!$Z:$Z,'Raw TRI Data'!$J:$J,$E297)&gt;0,MEDIAN(IF('Raw TRI Data'!$J:$J=$E297,'Raw TRI Data'!$Z:$Z)), "N/A - Facility Does Not Report to TRI, no surface water releases, or no Generic Factors available"))</f>
        <v>N/A - Facility Does Not Report to TRI, no surface water releases, or no Generic Factors available</v>
      </c>
      <c r="AA297" s="156" t="str">
        <f>IF(COUNTIF('Raw Annual DMR Data'!K:K,$E297)&gt;0,"N/A - See DMRs",IF(SUMIFS('Raw TRI Data'!$Z:$Z,'Raw TRI Data'!$J:$J,$E297)&gt;0,_xlfn.MAXIFS('Raw TRI Data'!$Z:$Z,'Raw TRI Data'!$J:$J,$E297), "N/A - Facility Does Not Report to TRI, no surface water releases, or no Generic Factors available"))</f>
        <v>N/A - Facility Does Not Report to TRI, no surface water releases, or no Generic Factors available</v>
      </c>
      <c r="AB297" s="113" t="str">
        <f t="shared" si="30"/>
        <v>N/A</v>
      </c>
      <c r="AC297" s="136" t="str" cm="1">
        <f t="array" ref="AC297">IF(COUNTIF('Raw Annual DMR Data'!K:K,$E297)&gt;0,"N/A - See DMRs",IF(SUMIFS('Raw TRI Data'!$Z:$Z,'Raw TRI Data'!$J:$J,$E297)&gt;0,INDEX('Raw TRI Data'!$A:$A,MATCH(1,($E297='Raw TRI Data'!$J:$J)*($AA297='Raw TRI Data'!$Z:$Z),0)), "N/A - Facility Does Not Report to TRI, no surface water releases, or no Generic Factors available"))</f>
        <v>N/A - Facility Does Not Report to TRI, no surface water releases, or no Generic Factors available</v>
      </c>
      <c r="AD297" s="96" t="str" cm="1">
        <f t="array" ref="AD297">IF(COUNTIFS('Raw Annual DMR Data'!L:L,$F297,'Raw Annual DMR Data'!W:W, "&gt;0")&gt;0,MEDIAN(IF('Raw Annual DMR Data'!K:K=$F297, 'Raw Annual DMR Data'!W:W)), "N/A - No Daily Max DMR Discharge Data")</f>
        <v>N/A - No Daily Max DMR Discharge Data</v>
      </c>
      <c r="AE297" s="96" t="str">
        <f>IF(COUNTIFS('Raw Annual DMR Data'!L:L,$F297,'Raw Annual DMR Data'!W:W, "&gt;0")&gt;0,_xlfn.MAXIFS('Raw Annual DMR Data'!W:W,'Raw Annual DMR Data'!L:L,$F297), "N/A - No Daily Max DMR Discharge Data")</f>
        <v>N/A - No Daily Max DMR Discharge Data</v>
      </c>
      <c r="AF297" s="60" t="str" cm="1">
        <f t="array" ref="AF297">IF(COUNTIFS('Raw Annual DMR Data'!L:L,$F297,'Raw Annual DMR Data'!W:W, "&gt;0")&gt;0,INDEX('Raw Annual DMR Data'!B:B,MATCH(1,($F297='Raw Annual DMR Data'!L:L)*($AE297='Raw Annual DMR Data'!W:W),0)), "N/A - No Daily Max DMR Discharge Data")</f>
        <v>N/A - No Daily Max DMR Discharge Data</v>
      </c>
    </row>
    <row r="298" spans="1:32" ht="45.75" thickBot="1" x14ac:dyDescent="0.3">
      <c r="A298" s="144" t="str">
        <f>VLOOKUP(F298,'Facility Summary'!J:K,2,FALSE)</f>
        <v>POTW</v>
      </c>
      <c r="B298" s="28" t="s">
        <v>1264</v>
      </c>
      <c r="C298" s="28" t="s">
        <v>1265</v>
      </c>
      <c r="D298" s="28" t="s">
        <v>324</v>
      </c>
      <c r="E298" s="28"/>
      <c r="F298" s="61">
        <v>110016759444</v>
      </c>
      <c r="G298" s="60" t="str">
        <f>VLOOKUP($F298, 'Raw Annual DMR Data'!$A:$Z, 24, FALSE)</f>
        <v>KY0105376</v>
      </c>
      <c r="H298" s="60" t="str">
        <f>VLOOKUP($F298, 'Raw Annual DMR Data'!$A:$Z, 25, FALSE)</f>
        <v>KENTUCKY RIVER, KENTUCKY RV</v>
      </c>
      <c r="I298" s="74" t="str">
        <f>VLOOKUP($F298, 'Raw Annual DMR Data'!$A:$Z, 26, FALSE)</f>
        <v>05100205000171</v>
      </c>
      <c r="J298" s="74" t="s">
        <v>265</v>
      </c>
      <c r="K298" s="60">
        <f>VLOOKUP(A298, 'OES Summary'!$A:$B, 2, FALSE)</f>
        <v>365</v>
      </c>
      <c r="L298" s="304" cm="1">
        <f t="array" ref="L298">IF(COUNTIF('Raw Annual DMR Data'!$L:$L,$F298)&gt;0,MEDIAN(IF('Raw Annual DMR Data'!$L:$L=F298,'Raw Annual DMR Data'!$S:$S)),"N/A - Facility Does Not Report DMRs")</f>
        <v>0.69352555000000005</v>
      </c>
      <c r="M298" s="156">
        <f t="shared" si="28"/>
        <v>1.9000700000000002E-3</v>
      </c>
      <c r="N298" s="156">
        <f>IF(COUNTIF('Raw Annual DMR Data'!$L:$L,$F298)&gt;0,_xlfn.MAXIFS('Raw Annual DMR Data'!$S:$S,'Raw Annual DMR Data'!$L:$L,$F298), "N/A - Facility Does Not Report DMRs")</f>
        <v>0.97397512500000005</v>
      </c>
      <c r="O298" s="156">
        <f t="shared" si="29"/>
        <v>2.6684250000000003E-3</v>
      </c>
      <c r="P298" s="113" cm="1">
        <f t="array" ref="P298">IF(COUNTIF('Raw Annual DMR Data'!$L:$L,$F298)&gt;0,INDEX('Raw Annual DMR Data'!$B:$B,MATCH(1,($F298='Raw Annual DMR Data'!$L:$L)*($N298='Raw Annual DMR Data'!$S:$S),0)), "N/A - Facility Does Not Report DMRs")</f>
        <v>2019</v>
      </c>
      <c r="Q298" s="304" t="str" cm="1">
        <f t="array" ref="Q298">IF(COUNTIF('Raw TRI Data'!$J:$J,$E298)&gt;0,MEDIAN(IF('Raw TRI Data'!$J:$J=E298,'Raw TRI Data'!$S:$S)), "N/A - Facility Does Not Report to TRI")</f>
        <v>N/A - Facility Does Not Report to TRI</v>
      </c>
      <c r="R298" s="156" t="str">
        <f t="shared" si="26"/>
        <v>N/A - Facility Does Not Report to TRI</v>
      </c>
      <c r="S298" s="156" t="str">
        <f>IF(COUNTIF('Raw TRI Data'!$J:$J,$E298)&gt;0,_xlfn.MAXIFS('Raw TRI Data'!$S:$S,'Raw TRI Data'!$J:$J,$E298), "N/A - Facility Does Not Report to TRI")</f>
        <v>N/A - Facility Does Not Report to TRI</v>
      </c>
      <c r="T298" s="156" t="str">
        <f t="shared" si="27"/>
        <v>N/A - Facility Does Not Report to TRI</v>
      </c>
      <c r="U298" s="136" t="str" cm="1">
        <f t="array" ref="U298">IF(COUNTIF('Raw TRI Data'!$J:$J,$E298)&gt;0,INDEX('Raw TRI Data'!$A:$A,MATCH(1,($E298='Raw TRI Data'!$J:$J)*(S298='Raw TRI Data'!$S:$S),0)), "N/A - Facility Does Not Report to TRI")</f>
        <v>N/A - Facility Does Not Report to TRI</v>
      </c>
      <c r="V298" s="156" t="str" cm="1">
        <f t="array" ref="V298">IF(COUNTIFS('Raw Annual DMR Data'!$L:$L,$F298,'Raw Annual DMR Data'!$U:$U,"&gt;0")&gt;0,MEDIAN(IF('Raw Annual DMR Data'!$L:$L=$F298,'Raw Annual DMR Data'!$U:$U,"")),"N/A - Period DMR Data Not Available")</f>
        <v>N/A - Period DMR Data Not Available</v>
      </c>
      <c r="W298" s="156" t="str">
        <f>IF(COUNTIFS('Raw Annual DMR Data'!$L:$L,$F298, 'Raw Annual DMR Data'!$U:$U, "&gt;0")&gt;0,_xlfn.MAXIFS('Raw Annual DMR Data'!$U:$U,'Raw Annual DMR Data'!$L:$L,$F298), "N/A - Period DMR Data Not Available")</f>
        <v>N/A - Period DMR Data Not Available</v>
      </c>
      <c r="X298" s="113" t="str" cm="1">
        <f t="array" ref="X298">+IF(COUNTIFS('Raw Annual DMR Data'!L:L,$F298, 'Raw Annual DMR Data'!U:U, "&gt;0")&gt;0,INDEX('Raw Annual DMR Data'!V:V,MATCH(1,($F298='Raw Annual DMR Data'!L:L)*($W298='Raw Annual DMR Data'!U:U),0)), "N/A - Period DMR Data Not Available")</f>
        <v>N/A - Period DMR Data Not Available</v>
      </c>
      <c r="Y298" s="113" t="str" cm="1">
        <f t="array" ref="Y298">IF(COUNTIFS('Raw Annual DMR Data'!L:L,$F298, 'Raw Annual DMR Data'!U:U, "&gt;0")&gt;0,INDEX('Raw Annual DMR Data'!B:B,MATCH(1,($F298='Raw Annual DMR Data'!L:L)*($W298='Raw Annual DMR Data'!U:U),0)), "N/A - Period DMR Data Not Available")</f>
        <v>N/A - Period DMR Data Not Available</v>
      </c>
      <c r="Z298" s="311" t="str" cm="1">
        <f t="array" ref="Z298">IF(COUNTIF('Raw Annual DMR Data'!K:K,$E298)&gt;0,"N/A - See DMRs",IF(SUMIFS('Raw TRI Data'!$Z:$Z,'Raw TRI Data'!$J:$J,$E298)&gt;0,MEDIAN(IF('Raw TRI Data'!$J:$J=$E298,'Raw TRI Data'!$Z:$Z)), "N/A - Facility Does Not Report to TRI, no surface water releases, or no Generic Factors available"))</f>
        <v>N/A - Facility Does Not Report to TRI, no surface water releases, or no Generic Factors available</v>
      </c>
      <c r="AA298" s="156" t="str">
        <f>IF(COUNTIF('Raw Annual DMR Data'!K:K,$E298)&gt;0,"N/A - See DMRs",IF(SUMIFS('Raw TRI Data'!$Z:$Z,'Raw TRI Data'!$J:$J,$E298)&gt;0,_xlfn.MAXIFS('Raw TRI Data'!$Z:$Z,'Raw TRI Data'!$J:$J,$E298), "N/A - Facility Does Not Report to TRI, no surface water releases, or no Generic Factors available"))</f>
        <v>N/A - Facility Does Not Report to TRI, no surface water releases, or no Generic Factors available</v>
      </c>
      <c r="AB298" s="113" t="str">
        <f t="shared" si="30"/>
        <v>N/A</v>
      </c>
      <c r="AC298" s="136" t="str" cm="1">
        <f t="array" ref="AC298">IF(COUNTIF('Raw Annual DMR Data'!K:K,$E298)&gt;0,"N/A - See DMRs",IF(SUMIFS('Raw TRI Data'!$Z:$Z,'Raw TRI Data'!$J:$J,$E298)&gt;0,INDEX('Raw TRI Data'!$A:$A,MATCH(1,($E298='Raw TRI Data'!$J:$J)*($AA298='Raw TRI Data'!$Z:$Z),0)), "N/A - Facility Does Not Report to TRI, no surface water releases, or no Generic Factors available"))</f>
        <v>N/A - Facility Does Not Report to TRI, no surface water releases, or no Generic Factors available</v>
      </c>
      <c r="AD298" s="96" t="str" cm="1">
        <f t="array" ref="AD298">IF(COUNTIFS('Raw Annual DMR Data'!L:L,$F298,'Raw Annual DMR Data'!W:W, "&gt;0")&gt;0,MEDIAN(IF('Raw Annual DMR Data'!K:K=$F298, 'Raw Annual DMR Data'!W:W)), "N/A - No Daily Max DMR Discharge Data")</f>
        <v>N/A - No Daily Max DMR Discharge Data</v>
      </c>
      <c r="AE298" s="96" t="str">
        <f>IF(COUNTIFS('Raw Annual DMR Data'!L:L,$F298,'Raw Annual DMR Data'!W:W, "&gt;0")&gt;0,_xlfn.MAXIFS('Raw Annual DMR Data'!W:W,'Raw Annual DMR Data'!L:L,$F298), "N/A - No Daily Max DMR Discharge Data")</f>
        <v>N/A - No Daily Max DMR Discharge Data</v>
      </c>
      <c r="AF298" s="60" t="str" cm="1">
        <f t="array" ref="AF298">IF(COUNTIFS('Raw Annual DMR Data'!L:L,$F298,'Raw Annual DMR Data'!W:W, "&gt;0")&gt;0,INDEX('Raw Annual DMR Data'!B:B,MATCH(1,($F298='Raw Annual DMR Data'!L:L)*($AE298='Raw Annual DMR Data'!W:W),0)), "N/A - No Daily Max DMR Discharge Data")</f>
        <v>N/A - No Daily Max DMR Discharge Data</v>
      </c>
    </row>
    <row r="299" spans="1:32" ht="30.75" thickBot="1" x14ac:dyDescent="0.3">
      <c r="A299" s="144" t="str">
        <f>VLOOKUP(F299,'Facility Summary'!J:K,2,FALSE)</f>
        <v>Processing as a Reactant</v>
      </c>
      <c r="B299" s="28" t="s">
        <v>215</v>
      </c>
      <c r="C299" s="28" t="s">
        <v>1103</v>
      </c>
      <c r="D299" s="28" t="s">
        <v>345</v>
      </c>
      <c r="E299" s="28" t="s">
        <v>727</v>
      </c>
      <c r="F299" s="61">
        <v>110000547196</v>
      </c>
      <c r="G299" s="60" t="str">
        <f>VLOOKUP($F299, 'Raw Annual DMR Data'!$A:$Z, 24, FALSE)</f>
        <v>IL0026069</v>
      </c>
      <c r="H299" s="60" t="str">
        <f>VLOOKUP($F299, 'Raw Annual DMR Data'!$A:$Z, 25, FALSE)</f>
        <v>AUX SABLE CREEK</v>
      </c>
      <c r="I299" s="74">
        <f>VLOOKUP($F299, 'Raw Annual DMR Data'!$A:$Z, 26, FALSE)</f>
        <v>7120005000849</v>
      </c>
      <c r="J299" s="74" t="s">
        <v>265</v>
      </c>
      <c r="K299" s="60">
        <f>VLOOKUP(A299, 'OES Summary'!$A:$B, 2, FALSE)</f>
        <v>350</v>
      </c>
      <c r="L299" s="304" cm="1">
        <f t="array" ref="L299">IF(COUNTIF('Raw Annual DMR Data'!$L:$L,$F299)&gt;0,MEDIAN(IF('Raw Annual DMR Data'!$L:$L=F299,'Raw Annual DMR Data'!$S:$S)),"N/A - Facility Does Not Report DMRs")</f>
        <v>7.0007003832199502E-2</v>
      </c>
      <c r="M299" s="156">
        <f t="shared" si="28"/>
        <v>2.0002001094914144E-4</v>
      </c>
      <c r="N299" s="156">
        <f>IF(COUNTIF('Raw Annual DMR Data'!$L:$L,$F299)&gt;0,_xlfn.MAXIFS('Raw Annual DMR Data'!$S:$S,'Raw Annual DMR Data'!$L:$L,$F299), "N/A - Facility Does Not Report DMRs")</f>
        <v>0.53617400000000004</v>
      </c>
      <c r="O299" s="156">
        <f t="shared" si="29"/>
        <v>1.5319257142857143E-3</v>
      </c>
      <c r="P299" s="113" cm="1">
        <f t="array" ref="P299">IF(COUNTIF('Raw Annual DMR Data'!$L:$L,$F299)&gt;0,INDEX('Raw Annual DMR Data'!$B:$B,MATCH(1,($F299='Raw Annual DMR Data'!$L:$L)*($N299='Raw Annual DMR Data'!$S:$S),0)), "N/A - Facility Does Not Report DMRs")</f>
        <v>2024</v>
      </c>
      <c r="Q299" s="304" t="str" cm="1">
        <f t="array" ref="Q299">IF(COUNTIF('Raw TRI Data'!$J:$J,$E299)&gt;0,MEDIAN(IF('Raw TRI Data'!$J:$J=E299,'Raw TRI Data'!$S:$S)), "N/A - Facility Does Not Report to TRI")</f>
        <v>N/A - Facility Does Not Report to TRI</v>
      </c>
      <c r="R299" s="156" t="str">
        <f t="shared" si="26"/>
        <v>N/A - Facility Does Not Report to TRI</v>
      </c>
      <c r="S299" s="156" t="str">
        <f>IF(COUNTIF('Raw TRI Data'!$J:$J,$E299)&gt;0,_xlfn.MAXIFS('Raw TRI Data'!$S:$S,'Raw TRI Data'!$J:$J,$E299), "N/A - Facility Does Not Report to TRI")</f>
        <v>N/A - Facility Does Not Report to TRI</v>
      </c>
      <c r="T299" s="156" t="str">
        <f t="shared" si="27"/>
        <v>N/A - Facility Does Not Report to TRI</v>
      </c>
      <c r="U299" s="136" t="str" cm="1">
        <f t="array" ref="U299">IF(COUNTIF('Raw TRI Data'!$J:$J,$E299)&gt;0,INDEX('Raw TRI Data'!$A:$A,MATCH(1,($E299='Raw TRI Data'!$J:$J)*(S299='Raw TRI Data'!$S:$S),0)), "N/A - Facility Does Not Report to TRI")</f>
        <v>N/A - Facility Does Not Report to TRI</v>
      </c>
      <c r="V299" s="156" t="str" cm="1">
        <f t="array" ref="V299">IF(COUNTIFS('Raw Annual DMR Data'!$L:$L,$F299,'Raw Annual DMR Data'!$U:$U,"&gt;0")&gt;0,MEDIAN(IF('Raw Annual DMR Data'!$L:$L=$F299,'Raw Annual DMR Data'!$U:$U,"")),"N/A - Period DMR Data Not Available")</f>
        <v>N/A - Period DMR Data Not Available</v>
      </c>
      <c r="W299" s="156" t="str">
        <f>IF(COUNTIFS('Raw Annual DMR Data'!$L:$L,$F299, 'Raw Annual DMR Data'!$U:$U, "&gt;0")&gt;0,_xlfn.MAXIFS('Raw Annual DMR Data'!$U:$U,'Raw Annual DMR Data'!$L:$L,$F299), "N/A - Period DMR Data Not Available")</f>
        <v>N/A - Period DMR Data Not Available</v>
      </c>
      <c r="X299" s="113" t="str" cm="1">
        <f t="array" ref="X299">+IF(COUNTIFS('Raw Annual DMR Data'!L:L,$F299, 'Raw Annual DMR Data'!U:U, "&gt;0")&gt;0,INDEX('Raw Annual DMR Data'!V:V,MATCH(1,($F299='Raw Annual DMR Data'!L:L)*($W299='Raw Annual DMR Data'!U:U),0)), "N/A - Period DMR Data Not Available")</f>
        <v>N/A - Period DMR Data Not Available</v>
      </c>
      <c r="Y299" s="113" t="str" cm="1">
        <f t="array" ref="Y299">IF(COUNTIFS('Raw Annual DMR Data'!L:L,$F299, 'Raw Annual DMR Data'!U:U, "&gt;0")&gt;0,INDEX('Raw Annual DMR Data'!B:B,MATCH(1,($F299='Raw Annual DMR Data'!L:L)*($W299='Raw Annual DMR Data'!U:U),0)), "N/A - Period DMR Data Not Available")</f>
        <v>N/A - Period DMR Data Not Available</v>
      </c>
      <c r="Z299" s="311" t="str" cm="1">
        <f t="array" ref="Z299">IF(COUNTIF('Raw Annual DMR Data'!K:K,$E299)&gt;0,"N/A - See DMRs",IF(SUMIFS('Raw TRI Data'!$Z:$Z,'Raw TRI Data'!$J:$J,$E299)&gt;0,MEDIAN(IF('Raw TRI Data'!$J:$J=$E299,'Raw TRI Data'!$Z:$Z)), "N/A - Facility Does Not Report to TRI, no surface water releases, or no Generic Factors available"))</f>
        <v>N/A - See DMRs</v>
      </c>
      <c r="AA299" s="156" t="str">
        <f>IF(COUNTIF('Raw Annual DMR Data'!K:K,$E299)&gt;0,"N/A - See DMRs",IF(SUMIFS('Raw TRI Data'!$Z:$Z,'Raw TRI Data'!$J:$J,$E299)&gt;0,_xlfn.MAXIFS('Raw TRI Data'!$Z:$Z,'Raw TRI Data'!$J:$J,$E299), "N/A - Facility Does Not Report to TRI, no surface water releases, or no Generic Factors available"))</f>
        <v>N/A - See DMRs</v>
      </c>
      <c r="AB299" s="113" t="str">
        <f t="shared" si="30"/>
        <v>N/A</v>
      </c>
      <c r="AC299" s="136" t="str" cm="1">
        <f t="array" ref="AC299">IF(COUNTIF('Raw Annual DMR Data'!K:K,$E299)&gt;0,"N/A - See DMRs",IF(SUMIFS('Raw TRI Data'!$Z:$Z,'Raw TRI Data'!$J:$J,$E299)&gt;0,INDEX('Raw TRI Data'!$A:$A,MATCH(1,($E299='Raw TRI Data'!$J:$J)*($AA299='Raw TRI Data'!$Z:$Z),0)), "N/A - Facility Does Not Report to TRI, no surface water releases, or no Generic Factors available"))</f>
        <v>N/A - See DMRs</v>
      </c>
      <c r="AD299" s="96" t="str" cm="1">
        <f t="array" ref="AD299">IF(COUNTIFS('Raw Annual DMR Data'!L:L,$F299,'Raw Annual DMR Data'!W:W, "&gt;0")&gt;0,MEDIAN(IF('Raw Annual DMR Data'!K:K=$F299, 'Raw Annual DMR Data'!W:W)), "N/A - No Daily Max DMR Discharge Data")</f>
        <v>N/A - No Daily Max DMR Discharge Data</v>
      </c>
      <c r="AE299" s="96" t="str">
        <f>IF(COUNTIFS('Raw Annual DMR Data'!L:L,$F299,'Raw Annual DMR Data'!W:W, "&gt;0")&gt;0,_xlfn.MAXIFS('Raw Annual DMR Data'!W:W,'Raw Annual DMR Data'!L:L,$F299), "N/A - No Daily Max DMR Discharge Data")</f>
        <v>N/A - No Daily Max DMR Discharge Data</v>
      </c>
      <c r="AF299" s="60" t="str" cm="1">
        <f t="array" ref="AF299">IF(COUNTIFS('Raw Annual DMR Data'!L:L,$F299,'Raw Annual DMR Data'!W:W, "&gt;0")&gt;0,INDEX('Raw Annual DMR Data'!B:B,MATCH(1,($F299='Raw Annual DMR Data'!L:L)*($AE299='Raw Annual DMR Data'!W:W),0)), "N/A - No Daily Max DMR Discharge Data")</f>
        <v>N/A - No Daily Max DMR Discharge Data</v>
      </c>
    </row>
    <row r="300" spans="1:32" ht="30.75" thickBot="1" x14ac:dyDescent="0.3">
      <c r="A300" s="144" t="str">
        <f>VLOOKUP(F300,'Facility Summary'!J:K,2,FALSE)</f>
        <v>Unknown</v>
      </c>
      <c r="B300" s="28" t="s">
        <v>1266</v>
      </c>
      <c r="C300" s="28" t="s">
        <v>1267</v>
      </c>
      <c r="D300" s="28" t="s">
        <v>491</v>
      </c>
      <c r="E300" s="28" t="s">
        <v>728</v>
      </c>
      <c r="F300" s="61">
        <v>110059344473</v>
      </c>
      <c r="G300" s="60" t="str">
        <f>VLOOKUP($F300, 'Raw Annual DMR Data'!$A:$Z, 24, FALSE)</f>
        <v>PA0006254</v>
      </c>
      <c r="H300" s="60" t="str">
        <f>VLOOKUP($F300, 'Raw Annual DMR Data'!$A:$Z, 25, FALSE)</f>
        <v>OHIO RIVER, RACCOON CREEK, UNNAMED STREAM</v>
      </c>
      <c r="I300" s="74">
        <f>VLOOKUP($F300, 'Raw Annual DMR Data'!$A:$Z, 26, FALSE)</f>
        <v>5030101000019</v>
      </c>
      <c r="J300" s="74" t="s">
        <v>265</v>
      </c>
      <c r="K300" s="60">
        <f>VLOOKUP(A300, 'OES Summary'!$A:$B, 2, FALSE)</f>
        <v>250</v>
      </c>
      <c r="L300" s="304" cm="1">
        <f t="array" ref="L300">IF(COUNTIF('Raw Annual DMR Data'!$L:$L,$F300)&gt;0,MEDIAN(IF('Raw Annual DMR Data'!$L:$L=F300,'Raw Annual DMR Data'!$S:$S)),"N/A - Facility Does Not Report DMRs")</f>
        <v>0.51755592970521502</v>
      </c>
      <c r="M300" s="156">
        <f t="shared" si="28"/>
        <v>2.07022371882086E-3</v>
      </c>
      <c r="N300" s="156">
        <f>IF(COUNTIF('Raw Annual DMR Data'!$L:$L,$F300)&gt;0,_xlfn.MAXIFS('Raw Annual DMR Data'!$S:$S,'Raw Annual DMR Data'!$L:$L,$F300), "N/A - Facility Does Not Report DMRs")</f>
        <v>0.66283999999999998</v>
      </c>
      <c r="O300" s="156">
        <f t="shared" si="29"/>
        <v>2.6513599999999997E-3</v>
      </c>
      <c r="P300" s="113" cm="1">
        <f t="array" ref="P300">IF(COUNTIF('Raw Annual DMR Data'!$L:$L,$F300)&gt;0,INDEX('Raw Annual DMR Data'!$B:$B,MATCH(1,($F300='Raw Annual DMR Data'!$L:$L)*($N300='Raw Annual DMR Data'!$S:$S),0)), "N/A - Facility Does Not Report DMRs")</f>
        <v>2024</v>
      </c>
      <c r="Q300" s="304" t="str" cm="1">
        <f t="array" ref="Q300">IF(COUNTIF('Raw TRI Data'!$J:$J,$E300)&gt;0,MEDIAN(IF('Raw TRI Data'!$J:$J=E300,'Raw TRI Data'!$S:$S)), "N/A - Facility Does Not Report to TRI")</f>
        <v>N/A - Facility Does Not Report to TRI</v>
      </c>
      <c r="R300" s="156" t="str">
        <f t="shared" si="26"/>
        <v>N/A - Facility Does Not Report to TRI</v>
      </c>
      <c r="S300" s="156" t="str">
        <f>IF(COUNTIF('Raw TRI Data'!$J:$J,$E300)&gt;0,_xlfn.MAXIFS('Raw TRI Data'!$S:$S,'Raw TRI Data'!$J:$J,$E300), "N/A - Facility Does Not Report to TRI")</f>
        <v>N/A - Facility Does Not Report to TRI</v>
      </c>
      <c r="T300" s="156" t="str">
        <f t="shared" si="27"/>
        <v>N/A - Facility Does Not Report to TRI</v>
      </c>
      <c r="U300" s="136" t="str" cm="1">
        <f t="array" ref="U300">IF(COUNTIF('Raw TRI Data'!$J:$J,$E300)&gt;0,INDEX('Raw TRI Data'!$A:$A,MATCH(1,($E300='Raw TRI Data'!$J:$J)*(S300='Raw TRI Data'!$S:$S),0)), "N/A - Facility Does Not Report to TRI")</f>
        <v>N/A - Facility Does Not Report to TRI</v>
      </c>
      <c r="V300" s="156" t="str" cm="1">
        <f t="array" ref="V300">IF(COUNTIFS('Raw Annual DMR Data'!$L:$L,$F300,'Raw Annual DMR Data'!$U:$U,"&gt;0")&gt;0,MEDIAN(IF('Raw Annual DMR Data'!$L:$L=$F300,'Raw Annual DMR Data'!$U:$U,"")),"N/A - Period DMR Data Not Available")</f>
        <v>N/A - Period DMR Data Not Available</v>
      </c>
      <c r="W300" s="156" t="str">
        <f>IF(COUNTIFS('Raw Annual DMR Data'!$L:$L,$F300, 'Raw Annual DMR Data'!$U:$U, "&gt;0")&gt;0,_xlfn.MAXIFS('Raw Annual DMR Data'!$U:$U,'Raw Annual DMR Data'!$L:$L,$F300), "N/A - Period DMR Data Not Available")</f>
        <v>N/A - Period DMR Data Not Available</v>
      </c>
      <c r="X300" s="113" t="str" cm="1">
        <f t="array" ref="X300">+IF(COUNTIFS('Raw Annual DMR Data'!L:L,$F300, 'Raw Annual DMR Data'!U:U, "&gt;0")&gt;0,INDEX('Raw Annual DMR Data'!V:V,MATCH(1,($F300='Raw Annual DMR Data'!L:L)*($W300='Raw Annual DMR Data'!U:U),0)), "N/A - Period DMR Data Not Available")</f>
        <v>N/A - Period DMR Data Not Available</v>
      </c>
      <c r="Y300" s="113" t="str" cm="1">
        <f t="array" ref="Y300">IF(COUNTIFS('Raw Annual DMR Data'!L:L,$F300, 'Raw Annual DMR Data'!U:U, "&gt;0")&gt;0,INDEX('Raw Annual DMR Data'!B:B,MATCH(1,($F300='Raw Annual DMR Data'!L:L)*($W300='Raw Annual DMR Data'!U:U),0)), "N/A - Period DMR Data Not Available")</f>
        <v>N/A - Period DMR Data Not Available</v>
      </c>
      <c r="Z300" s="311" t="str" cm="1">
        <f t="array" ref="Z300">IF(COUNTIF('Raw Annual DMR Data'!K:K,$E300)&gt;0,"N/A - See DMRs",IF(SUMIFS('Raw TRI Data'!$Z:$Z,'Raw TRI Data'!$J:$J,$E300)&gt;0,MEDIAN(IF('Raw TRI Data'!$J:$J=$E300,'Raw TRI Data'!$Z:$Z)), "N/A - Facility Does Not Report to TRI, no surface water releases, or no Generic Factors available"))</f>
        <v>N/A - See DMRs</v>
      </c>
      <c r="AA300" s="156" t="str">
        <f>IF(COUNTIF('Raw Annual DMR Data'!K:K,$E300)&gt;0,"N/A - See DMRs",IF(SUMIFS('Raw TRI Data'!$Z:$Z,'Raw TRI Data'!$J:$J,$E300)&gt;0,_xlfn.MAXIFS('Raw TRI Data'!$Z:$Z,'Raw TRI Data'!$J:$J,$E300), "N/A - Facility Does Not Report to TRI, no surface water releases, or no Generic Factors available"))</f>
        <v>N/A - See DMRs</v>
      </c>
      <c r="AB300" s="113" t="str">
        <f t="shared" si="30"/>
        <v>N/A</v>
      </c>
      <c r="AC300" s="136" t="str" cm="1">
        <f t="array" ref="AC300">IF(COUNTIF('Raw Annual DMR Data'!K:K,$E300)&gt;0,"N/A - See DMRs",IF(SUMIFS('Raw TRI Data'!$Z:$Z,'Raw TRI Data'!$J:$J,$E300)&gt;0,INDEX('Raw TRI Data'!$A:$A,MATCH(1,($E300='Raw TRI Data'!$J:$J)*($AA300='Raw TRI Data'!$Z:$Z),0)), "N/A - Facility Does Not Report to TRI, no surface water releases, or no Generic Factors available"))</f>
        <v>N/A - See DMRs</v>
      </c>
      <c r="AD300" s="96" t="str" cm="1">
        <f t="array" ref="AD300">IF(COUNTIFS('Raw Annual DMR Data'!L:L,$F300,'Raw Annual DMR Data'!W:W, "&gt;0")&gt;0,MEDIAN(IF('Raw Annual DMR Data'!K:K=$F300, 'Raw Annual DMR Data'!W:W)), "N/A - No Daily Max DMR Discharge Data")</f>
        <v>N/A - No Daily Max DMR Discharge Data</v>
      </c>
      <c r="AE300" s="96" t="str">
        <f>IF(COUNTIFS('Raw Annual DMR Data'!L:L,$F300,'Raw Annual DMR Data'!W:W, "&gt;0")&gt;0,_xlfn.MAXIFS('Raw Annual DMR Data'!W:W,'Raw Annual DMR Data'!L:L,$F300), "N/A - No Daily Max DMR Discharge Data")</f>
        <v>N/A - No Daily Max DMR Discharge Data</v>
      </c>
      <c r="AF300" s="60" t="str" cm="1">
        <f t="array" ref="AF300">IF(COUNTIFS('Raw Annual DMR Data'!L:L,$F300,'Raw Annual DMR Data'!W:W, "&gt;0")&gt;0,INDEX('Raw Annual DMR Data'!B:B,MATCH(1,($F300='Raw Annual DMR Data'!L:L)*($AE300='Raw Annual DMR Data'!W:W),0)), "N/A - No Daily Max DMR Discharge Data")</f>
        <v>N/A - No Daily Max DMR Discharge Data</v>
      </c>
    </row>
    <row r="301" spans="1:32" ht="45.75" thickBot="1" x14ac:dyDescent="0.3">
      <c r="A301" s="144" t="str">
        <f>VLOOKUP(F301,'Facility Summary'!J:K,2,FALSE)</f>
        <v>POTW</v>
      </c>
      <c r="B301" s="28" t="s">
        <v>1268</v>
      </c>
      <c r="C301" s="28" t="s">
        <v>1269</v>
      </c>
      <c r="D301" s="28" t="s">
        <v>324</v>
      </c>
      <c r="E301" s="28"/>
      <c r="F301" s="61">
        <v>110022905588</v>
      </c>
      <c r="G301" s="60" t="str">
        <f>VLOOKUP($F301, 'Raw Annual DMR Data'!$A:$Z, 24, FALSE)</f>
        <v>KY0106143</v>
      </c>
      <c r="H301" s="60" t="str">
        <f>VLOOKUP($F301, 'Raw Annual DMR Data'!$A:$Z, 25, FALSE)</f>
        <v>OHIO RIVER</v>
      </c>
      <c r="I301" s="74">
        <f>VLOOKUP($F301, 'Raw Annual DMR Data'!$A:$Z, 26, FALSE)</f>
        <v>5140101000032</v>
      </c>
      <c r="J301" s="74" t="s">
        <v>265</v>
      </c>
      <c r="K301" s="60">
        <f>VLOOKUP(A301, 'OES Summary'!$A:$B, 2, FALSE)</f>
        <v>365</v>
      </c>
      <c r="L301" s="304" cm="1">
        <f t="array" ref="L301">IF(COUNTIF('Raw Annual DMR Data'!$L:$L,$F301)&gt;0,MEDIAN(IF('Raw Annual DMR Data'!$L:$L=F301,'Raw Annual DMR Data'!$S:$S)),"N/A - Facility Does Not Report DMRs")</f>
        <v>2.2340986156250002</v>
      </c>
      <c r="M301" s="156">
        <f t="shared" si="28"/>
        <v>6.1208181250000009E-3</v>
      </c>
      <c r="N301" s="156">
        <f>IF(COUNTIF('Raw Annual DMR Data'!$L:$L,$F301)&gt;0,_xlfn.MAXIFS('Raw Annual DMR Data'!$S:$S,'Raw Annual DMR Data'!$L:$L,$F301), "N/A - Facility Does Not Report DMRs")</f>
        <v>2.756142375</v>
      </c>
      <c r="O301" s="156">
        <f t="shared" si="29"/>
        <v>7.551075E-3</v>
      </c>
      <c r="P301" s="113" cm="1">
        <f t="array" ref="P301">IF(COUNTIF('Raw Annual DMR Data'!$L:$L,$F301)&gt;0,INDEX('Raw Annual DMR Data'!$B:$B,MATCH(1,($F301='Raw Annual DMR Data'!$L:$L)*($N301='Raw Annual DMR Data'!$S:$S),0)), "N/A - Facility Does Not Report DMRs")</f>
        <v>2022</v>
      </c>
      <c r="Q301" s="304" t="str" cm="1">
        <f t="array" ref="Q301">IF(COUNTIF('Raw TRI Data'!$J:$J,$E301)&gt;0,MEDIAN(IF('Raw TRI Data'!$J:$J=E301,'Raw TRI Data'!$S:$S)), "N/A - Facility Does Not Report to TRI")</f>
        <v>N/A - Facility Does Not Report to TRI</v>
      </c>
      <c r="R301" s="156" t="str">
        <f t="shared" si="26"/>
        <v>N/A - Facility Does Not Report to TRI</v>
      </c>
      <c r="S301" s="156" t="str">
        <f>IF(COUNTIF('Raw TRI Data'!$J:$J,$E301)&gt;0,_xlfn.MAXIFS('Raw TRI Data'!$S:$S,'Raw TRI Data'!$J:$J,$E301), "N/A - Facility Does Not Report to TRI")</f>
        <v>N/A - Facility Does Not Report to TRI</v>
      </c>
      <c r="T301" s="156" t="str">
        <f t="shared" si="27"/>
        <v>N/A - Facility Does Not Report to TRI</v>
      </c>
      <c r="U301" s="136" t="str" cm="1">
        <f t="array" ref="U301">IF(COUNTIF('Raw TRI Data'!$J:$J,$E301)&gt;0,INDEX('Raw TRI Data'!$A:$A,MATCH(1,($E301='Raw TRI Data'!$J:$J)*(S301='Raw TRI Data'!$S:$S),0)), "N/A - Facility Does Not Report to TRI")</f>
        <v>N/A - Facility Does Not Report to TRI</v>
      </c>
      <c r="V301" s="156" t="str" cm="1">
        <f t="array" ref="V301">IF(COUNTIFS('Raw Annual DMR Data'!$L:$L,$F301,'Raw Annual DMR Data'!$U:$U,"&gt;0")&gt;0,MEDIAN(IF('Raw Annual DMR Data'!$L:$L=$F301,'Raw Annual DMR Data'!$U:$U,"")),"N/A - Period DMR Data Not Available")</f>
        <v>N/A - Period DMR Data Not Available</v>
      </c>
      <c r="W301" s="156" t="str">
        <f>IF(COUNTIFS('Raw Annual DMR Data'!$L:$L,$F301, 'Raw Annual DMR Data'!$U:$U, "&gt;0")&gt;0,_xlfn.MAXIFS('Raw Annual DMR Data'!$U:$U,'Raw Annual DMR Data'!$L:$L,$F301), "N/A - Period DMR Data Not Available")</f>
        <v>N/A - Period DMR Data Not Available</v>
      </c>
      <c r="X301" s="113" t="str" cm="1">
        <f t="array" ref="X301">+IF(COUNTIFS('Raw Annual DMR Data'!L:L,$F301, 'Raw Annual DMR Data'!U:U, "&gt;0")&gt;0,INDEX('Raw Annual DMR Data'!V:V,MATCH(1,($F301='Raw Annual DMR Data'!L:L)*($W301='Raw Annual DMR Data'!U:U),0)), "N/A - Period DMR Data Not Available")</f>
        <v>N/A - Period DMR Data Not Available</v>
      </c>
      <c r="Y301" s="113" t="str" cm="1">
        <f t="array" ref="Y301">IF(COUNTIFS('Raw Annual DMR Data'!L:L,$F301, 'Raw Annual DMR Data'!U:U, "&gt;0")&gt;0,INDEX('Raw Annual DMR Data'!B:B,MATCH(1,($F301='Raw Annual DMR Data'!L:L)*($W301='Raw Annual DMR Data'!U:U),0)), "N/A - Period DMR Data Not Available")</f>
        <v>N/A - Period DMR Data Not Available</v>
      </c>
      <c r="Z301" s="311" t="str" cm="1">
        <f t="array" ref="Z301">IF(COUNTIF('Raw Annual DMR Data'!K:K,$E301)&gt;0,"N/A - See DMRs",IF(SUMIFS('Raw TRI Data'!$Z:$Z,'Raw TRI Data'!$J:$J,$E301)&gt;0,MEDIAN(IF('Raw TRI Data'!$J:$J=$E301,'Raw TRI Data'!$Z:$Z)), "N/A - Facility Does Not Report to TRI, no surface water releases, or no Generic Factors available"))</f>
        <v>N/A - Facility Does Not Report to TRI, no surface water releases, or no Generic Factors available</v>
      </c>
      <c r="AA301" s="156" t="str">
        <f>IF(COUNTIF('Raw Annual DMR Data'!K:K,$E301)&gt;0,"N/A - See DMRs",IF(SUMIFS('Raw TRI Data'!$Z:$Z,'Raw TRI Data'!$J:$J,$E301)&gt;0,_xlfn.MAXIFS('Raw TRI Data'!$Z:$Z,'Raw TRI Data'!$J:$J,$E301), "N/A - Facility Does Not Report to TRI, no surface water releases, or no Generic Factors available"))</f>
        <v>N/A - Facility Does Not Report to TRI, no surface water releases, or no Generic Factors available</v>
      </c>
      <c r="AB301" s="113" t="str">
        <f t="shared" si="30"/>
        <v>N/A</v>
      </c>
      <c r="AC301" s="136" t="str" cm="1">
        <f t="array" ref="AC301">IF(COUNTIF('Raw Annual DMR Data'!K:K,$E301)&gt;0,"N/A - See DMRs",IF(SUMIFS('Raw TRI Data'!$Z:$Z,'Raw TRI Data'!$J:$J,$E301)&gt;0,INDEX('Raw TRI Data'!$A:$A,MATCH(1,($E301='Raw TRI Data'!$J:$J)*($AA301='Raw TRI Data'!$Z:$Z),0)), "N/A - Facility Does Not Report to TRI, no surface water releases, or no Generic Factors available"))</f>
        <v>N/A - Facility Does Not Report to TRI, no surface water releases, or no Generic Factors available</v>
      </c>
      <c r="AD301" s="96" t="str" cm="1">
        <f t="array" ref="AD301">IF(COUNTIFS('Raw Annual DMR Data'!L:L,$F301,'Raw Annual DMR Data'!W:W, "&gt;0")&gt;0,MEDIAN(IF('Raw Annual DMR Data'!K:K=$F301, 'Raw Annual DMR Data'!W:W)), "N/A - No Daily Max DMR Discharge Data")</f>
        <v>N/A - No Daily Max DMR Discharge Data</v>
      </c>
      <c r="AE301" s="96" t="str">
        <f>IF(COUNTIFS('Raw Annual DMR Data'!L:L,$F301,'Raw Annual DMR Data'!W:W, "&gt;0")&gt;0,_xlfn.MAXIFS('Raw Annual DMR Data'!W:W,'Raw Annual DMR Data'!L:L,$F301), "N/A - No Daily Max DMR Discharge Data")</f>
        <v>N/A - No Daily Max DMR Discharge Data</v>
      </c>
      <c r="AF301" s="60" t="str" cm="1">
        <f t="array" ref="AF301">IF(COUNTIFS('Raw Annual DMR Data'!L:L,$F301,'Raw Annual DMR Data'!W:W, "&gt;0")&gt;0,INDEX('Raw Annual DMR Data'!B:B,MATCH(1,($F301='Raw Annual DMR Data'!L:L)*($AE301='Raw Annual DMR Data'!W:W),0)), "N/A - No Daily Max DMR Discharge Data")</f>
        <v>N/A - No Daily Max DMR Discharge Data</v>
      </c>
    </row>
    <row r="302" spans="1:32" ht="45.75" thickBot="1" x14ac:dyDescent="0.3">
      <c r="A302" s="144" t="str">
        <f>VLOOKUP(F302,'Facility Summary'!J:K,2,FALSE)</f>
        <v>Unknown</v>
      </c>
      <c r="B302" s="28" t="s">
        <v>1270</v>
      </c>
      <c r="C302" s="28" t="s">
        <v>1271</v>
      </c>
      <c r="D302" s="28" t="s">
        <v>427</v>
      </c>
      <c r="E302" s="28"/>
      <c r="F302" s="61">
        <v>110006740161</v>
      </c>
      <c r="G302" s="60" t="str">
        <f>VLOOKUP($F302, 'Raw Annual DMR Data'!$A:$Z, 24, FALSE)</f>
        <v>MI0044130</v>
      </c>
      <c r="H302" s="60" t="str">
        <f>VLOOKUP($F302, 'Raw Annual DMR Data'!$A:$Z, 25, FALSE)</f>
        <v>WINSTROM CREEK</v>
      </c>
      <c r="I302" s="74">
        <f>VLOOKUP($F302, 'Raw Annual DMR Data'!$A:$Z, 26, FALSE)</f>
        <v>4050002000163</v>
      </c>
      <c r="J302" s="74" t="s">
        <v>265</v>
      </c>
      <c r="K302" s="60">
        <f>VLOOKUP(A302, 'OES Summary'!$A:$B, 2, FALSE)</f>
        <v>250</v>
      </c>
      <c r="L302" s="304" cm="1">
        <f t="array" ref="L302">IF(COUNTIF('Raw Annual DMR Data'!$L:$L,$F302)&gt;0,MEDIAN(IF('Raw Annual DMR Data'!$L:$L=F302,'Raw Annual DMR Data'!$S:$S)),"N/A - Facility Does Not Report DMRs")</f>
        <v>0.19588056300000001</v>
      </c>
      <c r="M302" s="156">
        <f t="shared" si="28"/>
        <v>7.8352225200000001E-4</v>
      </c>
      <c r="N302" s="156">
        <f>IF(COUNTIF('Raw Annual DMR Data'!$L:$L,$F302)&gt;0,_xlfn.MAXIFS('Raw Annual DMR Data'!$S:$S,'Raw Annual DMR Data'!$L:$L,$F302), "N/A - Facility Does Not Report DMRs")</f>
        <v>0.22757690999999999</v>
      </c>
      <c r="O302" s="156">
        <f t="shared" si="29"/>
        <v>9.1030764E-4</v>
      </c>
      <c r="P302" s="113" cm="1">
        <f t="array" ref="P302">IF(COUNTIF('Raw Annual DMR Data'!$L:$L,$F302)&gt;0,INDEX('Raw Annual DMR Data'!$B:$B,MATCH(1,($F302='Raw Annual DMR Data'!$L:$L)*($N302='Raw Annual DMR Data'!$S:$S),0)), "N/A - Facility Does Not Report DMRs")</f>
        <v>2016</v>
      </c>
      <c r="Q302" s="304" t="str" cm="1">
        <f t="array" ref="Q302">IF(COUNTIF('Raw TRI Data'!$J:$J,$E302)&gt;0,MEDIAN(IF('Raw TRI Data'!$J:$J=E302,'Raw TRI Data'!$S:$S)), "N/A - Facility Does Not Report to TRI")</f>
        <v>N/A - Facility Does Not Report to TRI</v>
      </c>
      <c r="R302" s="156" t="str">
        <f t="shared" si="26"/>
        <v>N/A - Facility Does Not Report to TRI</v>
      </c>
      <c r="S302" s="156" t="str">
        <f>IF(COUNTIF('Raw TRI Data'!$J:$J,$E302)&gt;0,_xlfn.MAXIFS('Raw TRI Data'!$S:$S,'Raw TRI Data'!$J:$J,$E302), "N/A - Facility Does Not Report to TRI")</f>
        <v>N/A - Facility Does Not Report to TRI</v>
      </c>
      <c r="T302" s="156" t="str">
        <f t="shared" si="27"/>
        <v>N/A - Facility Does Not Report to TRI</v>
      </c>
      <c r="U302" s="136" t="str" cm="1">
        <f t="array" ref="U302">IF(COUNTIF('Raw TRI Data'!$J:$J,$E302)&gt;0,INDEX('Raw TRI Data'!$A:$A,MATCH(1,($E302='Raw TRI Data'!$J:$J)*(S302='Raw TRI Data'!$S:$S),0)), "N/A - Facility Does Not Report to TRI")</f>
        <v>N/A - Facility Does Not Report to TRI</v>
      </c>
      <c r="V302" s="156" t="str" cm="1">
        <f t="array" ref="V302">IF(COUNTIFS('Raw Annual DMR Data'!$L:$L,$F302,'Raw Annual DMR Data'!$U:$U,"&gt;0")&gt;0,MEDIAN(IF('Raw Annual DMR Data'!$L:$L=$F302,'Raw Annual DMR Data'!$U:$U,"")),"N/A - Period DMR Data Not Available")</f>
        <v>N/A - Period DMR Data Not Available</v>
      </c>
      <c r="W302" s="156" t="str">
        <f>IF(COUNTIFS('Raw Annual DMR Data'!$L:$L,$F302, 'Raw Annual DMR Data'!$U:$U, "&gt;0")&gt;0,_xlfn.MAXIFS('Raw Annual DMR Data'!$U:$U,'Raw Annual DMR Data'!$L:$L,$F302), "N/A - Period DMR Data Not Available")</f>
        <v>N/A - Period DMR Data Not Available</v>
      </c>
      <c r="X302" s="113" t="str" cm="1">
        <f t="array" ref="X302">+IF(COUNTIFS('Raw Annual DMR Data'!L:L,$F302, 'Raw Annual DMR Data'!U:U, "&gt;0")&gt;0,INDEX('Raw Annual DMR Data'!V:V,MATCH(1,($F302='Raw Annual DMR Data'!L:L)*($W302='Raw Annual DMR Data'!U:U),0)), "N/A - Period DMR Data Not Available")</f>
        <v>N/A - Period DMR Data Not Available</v>
      </c>
      <c r="Y302" s="113" t="str" cm="1">
        <f t="array" ref="Y302">IF(COUNTIFS('Raw Annual DMR Data'!L:L,$F302, 'Raw Annual DMR Data'!U:U, "&gt;0")&gt;0,INDEX('Raw Annual DMR Data'!B:B,MATCH(1,($F302='Raw Annual DMR Data'!L:L)*($W302='Raw Annual DMR Data'!U:U),0)), "N/A - Period DMR Data Not Available")</f>
        <v>N/A - Period DMR Data Not Available</v>
      </c>
      <c r="Z302" s="311" t="str" cm="1">
        <f t="array" ref="Z302">IF(COUNTIF('Raw Annual DMR Data'!K:K,$E302)&gt;0,"N/A - See DMRs",IF(SUMIFS('Raw TRI Data'!$Z:$Z,'Raw TRI Data'!$J:$J,$E302)&gt;0,MEDIAN(IF('Raw TRI Data'!$J:$J=$E302,'Raw TRI Data'!$Z:$Z)), "N/A - Facility Does Not Report to TRI, no surface water releases, or no Generic Factors available"))</f>
        <v>N/A - Facility Does Not Report to TRI, no surface water releases, or no Generic Factors available</v>
      </c>
      <c r="AA302" s="156" t="str">
        <f>IF(COUNTIF('Raw Annual DMR Data'!K:K,$E302)&gt;0,"N/A - See DMRs",IF(SUMIFS('Raw TRI Data'!$Z:$Z,'Raw TRI Data'!$J:$J,$E302)&gt;0,_xlfn.MAXIFS('Raw TRI Data'!$Z:$Z,'Raw TRI Data'!$J:$J,$E302), "N/A - Facility Does Not Report to TRI, no surface water releases, or no Generic Factors available"))</f>
        <v>N/A - Facility Does Not Report to TRI, no surface water releases, or no Generic Factors available</v>
      </c>
      <c r="AB302" s="113" t="str">
        <f t="shared" si="30"/>
        <v>N/A</v>
      </c>
      <c r="AC302" s="136" t="str" cm="1">
        <f t="array" ref="AC302">IF(COUNTIF('Raw Annual DMR Data'!K:K,$E302)&gt;0,"N/A - See DMRs",IF(SUMIFS('Raw TRI Data'!$Z:$Z,'Raw TRI Data'!$J:$J,$E302)&gt;0,INDEX('Raw TRI Data'!$A:$A,MATCH(1,($E302='Raw TRI Data'!$J:$J)*($AA302='Raw TRI Data'!$Z:$Z),0)), "N/A - Facility Does Not Report to TRI, no surface water releases, or no Generic Factors available"))</f>
        <v>N/A - Facility Does Not Report to TRI, no surface water releases, or no Generic Factors available</v>
      </c>
      <c r="AD302" s="96" t="str" cm="1">
        <f t="array" ref="AD302">IF(COUNTIFS('Raw Annual DMR Data'!L:L,$F302,'Raw Annual DMR Data'!W:W, "&gt;0")&gt;0,MEDIAN(IF('Raw Annual DMR Data'!K:K=$F302, 'Raw Annual DMR Data'!W:W)), "N/A - No Daily Max DMR Discharge Data")</f>
        <v>N/A - No Daily Max DMR Discharge Data</v>
      </c>
      <c r="AE302" s="96" t="str">
        <f>IF(COUNTIFS('Raw Annual DMR Data'!L:L,$F302,'Raw Annual DMR Data'!W:W, "&gt;0")&gt;0,_xlfn.MAXIFS('Raw Annual DMR Data'!W:W,'Raw Annual DMR Data'!L:L,$F302), "N/A - No Daily Max DMR Discharge Data")</f>
        <v>N/A - No Daily Max DMR Discharge Data</v>
      </c>
      <c r="AF302" s="60" t="str" cm="1">
        <f t="array" ref="AF302">IF(COUNTIFS('Raw Annual DMR Data'!L:L,$F302,'Raw Annual DMR Data'!W:W, "&gt;0")&gt;0,INDEX('Raw Annual DMR Data'!B:B,MATCH(1,($F302='Raw Annual DMR Data'!L:L)*($AE302='Raw Annual DMR Data'!W:W),0)), "N/A - No Daily Max DMR Discharge Data")</f>
        <v>N/A - No Daily Max DMR Discharge Data</v>
      </c>
    </row>
    <row r="303" spans="1:32" ht="45.75" thickBot="1" x14ac:dyDescent="0.3">
      <c r="A303" s="144" t="str">
        <f>VLOOKUP(F303,'Facility Summary'!J:K,2,FALSE)</f>
        <v>POTW</v>
      </c>
      <c r="B303" s="28" t="s">
        <v>1272</v>
      </c>
      <c r="C303" s="28" t="s">
        <v>1273</v>
      </c>
      <c r="D303" s="28" t="s">
        <v>324</v>
      </c>
      <c r="E303" s="28"/>
      <c r="F303" s="61">
        <v>110043734983</v>
      </c>
      <c r="G303" s="60" t="str">
        <f>VLOOKUP($F303, 'Raw Annual DMR Data'!$A:$Z, 24, FALSE)</f>
        <v>KY0073377</v>
      </c>
      <c r="H303" s="60" t="str">
        <f>VLOOKUP($F303, 'Raw Annual DMR Data'!$A:$Z, 25, FALSE)</f>
        <v>OHIO RIVER</v>
      </c>
      <c r="I303" s="74">
        <f>VLOOKUP($F303, 'Raw Annual DMR Data'!$A:$Z, 26, FALSE)</f>
        <v>5140201000008</v>
      </c>
      <c r="J303" s="74" t="s">
        <v>265</v>
      </c>
      <c r="K303" s="60">
        <f>VLOOKUP(A303, 'OES Summary'!$A:$B, 2, FALSE)</f>
        <v>365</v>
      </c>
      <c r="L303" s="304" cm="1">
        <f t="array" ref="L303">IF(COUNTIF('Raw Annual DMR Data'!$L:$L,$F303)&gt;0,MEDIAN(IF('Raw Annual DMR Data'!$L:$L=F303,'Raw Annual DMR Data'!$S:$S)),"N/A - Facility Does Not Report DMRs")</f>
        <v>13.314447187500001</v>
      </c>
      <c r="M303" s="156">
        <f t="shared" si="28"/>
        <v>3.6477937500000002E-2</v>
      </c>
      <c r="N303" s="156">
        <f>IF(COUNTIF('Raw Annual DMR Data'!$L:$L,$F303)&gt;0,_xlfn.MAXIFS('Raw Annual DMR Data'!$S:$S,'Raw Annual DMR Data'!$L:$L,$F303), "N/A - Facility Does Not Report DMRs")</f>
        <v>18.443358750000002</v>
      </c>
      <c r="O303" s="156">
        <f t="shared" si="29"/>
        <v>5.0529750000000005E-2</v>
      </c>
      <c r="P303" s="113" cm="1">
        <f t="array" ref="P303">IF(COUNTIF('Raw Annual DMR Data'!$L:$L,$F303)&gt;0,INDEX('Raw Annual DMR Data'!$B:$B,MATCH(1,($F303='Raw Annual DMR Data'!$L:$L)*($N303='Raw Annual DMR Data'!$S:$S),0)), "N/A - Facility Does Not Report DMRs")</f>
        <v>2018</v>
      </c>
      <c r="Q303" s="304" t="str" cm="1">
        <f t="array" ref="Q303">IF(COUNTIF('Raw TRI Data'!$J:$J,$E303)&gt;0,MEDIAN(IF('Raw TRI Data'!$J:$J=E303,'Raw TRI Data'!$S:$S)), "N/A - Facility Does Not Report to TRI")</f>
        <v>N/A - Facility Does Not Report to TRI</v>
      </c>
      <c r="R303" s="156" t="str">
        <f t="shared" si="26"/>
        <v>N/A - Facility Does Not Report to TRI</v>
      </c>
      <c r="S303" s="156" t="str">
        <f>IF(COUNTIF('Raw TRI Data'!$J:$J,$E303)&gt;0,_xlfn.MAXIFS('Raw TRI Data'!$S:$S,'Raw TRI Data'!$J:$J,$E303), "N/A - Facility Does Not Report to TRI")</f>
        <v>N/A - Facility Does Not Report to TRI</v>
      </c>
      <c r="T303" s="156" t="str">
        <f t="shared" si="27"/>
        <v>N/A - Facility Does Not Report to TRI</v>
      </c>
      <c r="U303" s="136" t="str" cm="1">
        <f t="array" ref="U303">IF(COUNTIF('Raw TRI Data'!$J:$J,$E303)&gt;0,INDEX('Raw TRI Data'!$A:$A,MATCH(1,($E303='Raw TRI Data'!$J:$J)*(S303='Raw TRI Data'!$S:$S),0)), "N/A - Facility Does Not Report to TRI")</f>
        <v>N/A - Facility Does Not Report to TRI</v>
      </c>
      <c r="V303" s="156" t="str" cm="1">
        <f t="array" ref="V303">IF(COUNTIFS('Raw Annual DMR Data'!$L:$L,$F303,'Raw Annual DMR Data'!$U:$U,"&gt;0")&gt;0,MEDIAN(IF('Raw Annual DMR Data'!$L:$L=$F303,'Raw Annual DMR Data'!$U:$U,"")),"N/A - Period DMR Data Not Available")</f>
        <v>N/A - Period DMR Data Not Available</v>
      </c>
      <c r="W303" s="156" t="str">
        <f>IF(COUNTIFS('Raw Annual DMR Data'!$L:$L,$F303, 'Raw Annual DMR Data'!$U:$U, "&gt;0")&gt;0,_xlfn.MAXIFS('Raw Annual DMR Data'!$U:$U,'Raw Annual DMR Data'!$L:$L,$F303), "N/A - Period DMR Data Not Available")</f>
        <v>N/A - Period DMR Data Not Available</v>
      </c>
      <c r="X303" s="113" t="str" cm="1">
        <f t="array" ref="X303">+IF(COUNTIFS('Raw Annual DMR Data'!L:L,$F303, 'Raw Annual DMR Data'!U:U, "&gt;0")&gt;0,INDEX('Raw Annual DMR Data'!V:V,MATCH(1,($F303='Raw Annual DMR Data'!L:L)*($W303='Raw Annual DMR Data'!U:U),0)), "N/A - Period DMR Data Not Available")</f>
        <v>N/A - Period DMR Data Not Available</v>
      </c>
      <c r="Y303" s="113" t="str" cm="1">
        <f t="array" ref="Y303">IF(COUNTIFS('Raw Annual DMR Data'!L:L,$F303, 'Raw Annual DMR Data'!U:U, "&gt;0")&gt;0,INDEX('Raw Annual DMR Data'!B:B,MATCH(1,($F303='Raw Annual DMR Data'!L:L)*($W303='Raw Annual DMR Data'!U:U),0)), "N/A - Period DMR Data Not Available")</f>
        <v>N/A - Period DMR Data Not Available</v>
      </c>
      <c r="Z303" s="311" t="str" cm="1">
        <f t="array" ref="Z303">IF(COUNTIF('Raw Annual DMR Data'!K:K,$E303)&gt;0,"N/A - See DMRs",IF(SUMIFS('Raw TRI Data'!$Z:$Z,'Raw TRI Data'!$J:$J,$E303)&gt;0,MEDIAN(IF('Raw TRI Data'!$J:$J=$E303,'Raw TRI Data'!$Z:$Z)), "N/A - Facility Does Not Report to TRI, no surface water releases, or no Generic Factors available"))</f>
        <v>N/A - Facility Does Not Report to TRI, no surface water releases, or no Generic Factors available</v>
      </c>
      <c r="AA303" s="156" t="str">
        <f>IF(COUNTIF('Raw Annual DMR Data'!K:K,$E303)&gt;0,"N/A - See DMRs",IF(SUMIFS('Raw TRI Data'!$Z:$Z,'Raw TRI Data'!$J:$J,$E303)&gt;0,_xlfn.MAXIFS('Raw TRI Data'!$Z:$Z,'Raw TRI Data'!$J:$J,$E303), "N/A - Facility Does Not Report to TRI, no surface water releases, or no Generic Factors available"))</f>
        <v>N/A - Facility Does Not Report to TRI, no surface water releases, or no Generic Factors available</v>
      </c>
      <c r="AB303" s="113" t="str">
        <f t="shared" si="30"/>
        <v>N/A</v>
      </c>
      <c r="AC303" s="136" t="str" cm="1">
        <f t="array" ref="AC303">IF(COUNTIF('Raw Annual DMR Data'!K:K,$E303)&gt;0,"N/A - See DMRs",IF(SUMIFS('Raw TRI Data'!$Z:$Z,'Raw TRI Data'!$J:$J,$E303)&gt;0,INDEX('Raw TRI Data'!$A:$A,MATCH(1,($E303='Raw TRI Data'!$J:$J)*($AA303='Raw TRI Data'!$Z:$Z),0)), "N/A - Facility Does Not Report to TRI, no surface water releases, or no Generic Factors available"))</f>
        <v>N/A - Facility Does Not Report to TRI, no surface water releases, or no Generic Factors available</v>
      </c>
      <c r="AD303" s="96" t="str" cm="1">
        <f t="array" ref="AD303">IF(COUNTIFS('Raw Annual DMR Data'!L:L,$F303,'Raw Annual DMR Data'!W:W, "&gt;0")&gt;0,MEDIAN(IF('Raw Annual DMR Data'!K:K=$F303, 'Raw Annual DMR Data'!W:W)), "N/A - No Daily Max DMR Discharge Data")</f>
        <v>N/A - No Daily Max DMR Discharge Data</v>
      </c>
      <c r="AE303" s="96" t="str">
        <f>IF(COUNTIFS('Raw Annual DMR Data'!L:L,$F303,'Raw Annual DMR Data'!W:W, "&gt;0")&gt;0,_xlfn.MAXIFS('Raw Annual DMR Data'!W:W,'Raw Annual DMR Data'!L:L,$F303), "N/A - No Daily Max DMR Discharge Data")</f>
        <v>N/A - No Daily Max DMR Discharge Data</v>
      </c>
      <c r="AF303" s="60" t="str" cm="1">
        <f t="array" ref="AF303">IF(COUNTIFS('Raw Annual DMR Data'!L:L,$F303,'Raw Annual DMR Data'!W:W, "&gt;0")&gt;0,INDEX('Raw Annual DMR Data'!B:B,MATCH(1,($F303='Raw Annual DMR Data'!L:L)*($AE303='Raw Annual DMR Data'!W:W),0)), "N/A - No Daily Max DMR Discharge Data")</f>
        <v>N/A - No Daily Max DMR Discharge Data</v>
      </c>
    </row>
    <row r="304" spans="1:32" ht="30.75" thickBot="1" x14ac:dyDescent="0.3">
      <c r="A304" s="144" t="str">
        <f>VLOOKUP(F304,'Facility Summary'!J:K,2,FALSE)</f>
        <v>Unknown</v>
      </c>
      <c r="B304" s="28" t="s">
        <v>1274</v>
      </c>
      <c r="C304" s="28" t="s">
        <v>1273</v>
      </c>
      <c r="D304" s="28" t="s">
        <v>324</v>
      </c>
      <c r="E304" s="28" t="s">
        <v>729</v>
      </c>
      <c r="F304" s="61">
        <v>110000747835</v>
      </c>
      <c r="G304" s="60" t="str">
        <f>VLOOKUP($F304, 'Raw Annual DMR Data'!$A:$Z, 24, FALSE)</f>
        <v>KY0001953</v>
      </c>
      <c r="H304" s="60" t="str">
        <f>VLOOKUP($F304, 'Raw Annual DMR Data'!$A:$Z, 25, FALSE)</f>
        <v>OHIO RIVER, OUTFALL 001</v>
      </c>
      <c r="I304" s="74">
        <f>VLOOKUP($F304, 'Raw Annual DMR Data'!$A:$Z, 26, FALSE)</f>
        <v>5140201000239</v>
      </c>
      <c r="J304" s="74" t="s">
        <v>265</v>
      </c>
      <c r="K304" s="60">
        <f>VLOOKUP(A304, 'OES Summary'!$A:$B, 2, FALSE)</f>
        <v>250</v>
      </c>
      <c r="L304" s="304" cm="1">
        <f t="array" ref="L304">IF(COUNTIF('Raw Annual DMR Data'!$L:$L,$F304)&gt;0,MEDIAN(IF('Raw Annual DMR Data'!$L:$L=F304,'Raw Annual DMR Data'!$S:$S)),"N/A - Facility Does Not Report DMRs")</f>
        <v>3.3313492063492003E-2</v>
      </c>
      <c r="M304" s="156">
        <f t="shared" si="28"/>
        <v>1.33253968253968E-4</v>
      </c>
      <c r="N304" s="156">
        <f>IF(COUNTIF('Raw Annual DMR Data'!$L:$L,$F304)&gt;0,_xlfn.MAXIFS('Raw Annual DMR Data'!$S:$S,'Raw Annual DMR Data'!$L:$L,$F304), "N/A - Facility Does Not Report DMRs")</f>
        <v>0.4457019015</v>
      </c>
      <c r="O304" s="156">
        <f t="shared" si="29"/>
        <v>1.7828076059999999E-3</v>
      </c>
      <c r="P304" s="113" cm="1">
        <f t="array" ref="P304">IF(COUNTIF('Raw Annual DMR Data'!$L:$L,$F304)&gt;0,INDEX('Raw Annual DMR Data'!$B:$B,MATCH(1,($F304='Raw Annual DMR Data'!$L:$L)*($N304='Raw Annual DMR Data'!$S:$S),0)), "N/A - Facility Does Not Report DMRs")</f>
        <v>2022</v>
      </c>
      <c r="Q304" s="304" t="str" cm="1">
        <f t="array" ref="Q304">IF(COUNTIF('Raw TRI Data'!$J:$J,$E304)&gt;0,MEDIAN(IF('Raw TRI Data'!$J:$J=E304,'Raw TRI Data'!$S:$S)), "N/A - Facility Does Not Report to TRI")</f>
        <v>N/A - Facility Does Not Report to TRI</v>
      </c>
      <c r="R304" s="156" t="str">
        <f t="shared" si="26"/>
        <v>N/A - Facility Does Not Report to TRI</v>
      </c>
      <c r="S304" s="156" t="str">
        <f>IF(COUNTIF('Raw TRI Data'!$J:$J,$E304)&gt;0,_xlfn.MAXIFS('Raw TRI Data'!$S:$S,'Raw TRI Data'!$J:$J,$E304), "N/A - Facility Does Not Report to TRI")</f>
        <v>N/A - Facility Does Not Report to TRI</v>
      </c>
      <c r="T304" s="156" t="str">
        <f t="shared" si="27"/>
        <v>N/A - Facility Does Not Report to TRI</v>
      </c>
      <c r="U304" s="136" t="str" cm="1">
        <f t="array" ref="U304">IF(COUNTIF('Raw TRI Data'!$J:$J,$E304)&gt;0,INDEX('Raw TRI Data'!$A:$A,MATCH(1,($E304='Raw TRI Data'!$J:$J)*(S304='Raw TRI Data'!$S:$S),0)), "N/A - Facility Does Not Report to TRI")</f>
        <v>N/A - Facility Does Not Report to TRI</v>
      </c>
      <c r="V304" s="156" t="str" cm="1">
        <f t="array" ref="V304">IF(COUNTIFS('Raw Annual DMR Data'!$L:$L,$F304,'Raw Annual DMR Data'!$U:$U,"&gt;0")&gt;0,MEDIAN(IF('Raw Annual DMR Data'!$L:$L=$F304,'Raw Annual DMR Data'!$U:$U,"")),"N/A - Period DMR Data Not Available")</f>
        <v>N/A - Period DMR Data Not Available</v>
      </c>
      <c r="W304" s="156" t="str">
        <f>IF(COUNTIFS('Raw Annual DMR Data'!$L:$L,$F304, 'Raw Annual DMR Data'!$U:$U, "&gt;0")&gt;0,_xlfn.MAXIFS('Raw Annual DMR Data'!$U:$U,'Raw Annual DMR Data'!$L:$L,$F304), "N/A - Period DMR Data Not Available")</f>
        <v>N/A - Period DMR Data Not Available</v>
      </c>
      <c r="X304" s="113" t="str" cm="1">
        <f t="array" ref="X304">+IF(COUNTIFS('Raw Annual DMR Data'!L:L,$F304, 'Raw Annual DMR Data'!U:U, "&gt;0")&gt;0,INDEX('Raw Annual DMR Data'!V:V,MATCH(1,($F304='Raw Annual DMR Data'!L:L)*($W304='Raw Annual DMR Data'!U:U),0)), "N/A - Period DMR Data Not Available")</f>
        <v>N/A - Period DMR Data Not Available</v>
      </c>
      <c r="Y304" s="113" t="str" cm="1">
        <f t="array" ref="Y304">IF(COUNTIFS('Raw Annual DMR Data'!L:L,$F304, 'Raw Annual DMR Data'!U:U, "&gt;0")&gt;0,INDEX('Raw Annual DMR Data'!B:B,MATCH(1,($F304='Raw Annual DMR Data'!L:L)*($W304='Raw Annual DMR Data'!U:U),0)), "N/A - Period DMR Data Not Available")</f>
        <v>N/A - Period DMR Data Not Available</v>
      </c>
      <c r="Z304" s="311" t="str" cm="1">
        <f t="array" ref="Z304">IF(COUNTIF('Raw Annual DMR Data'!K:K,$E304)&gt;0,"N/A - See DMRs",IF(SUMIFS('Raw TRI Data'!$Z:$Z,'Raw TRI Data'!$J:$J,$E304)&gt;0,MEDIAN(IF('Raw TRI Data'!$J:$J=$E304,'Raw TRI Data'!$Z:$Z)), "N/A - Facility Does Not Report to TRI, no surface water releases, or no Generic Factors available"))</f>
        <v>N/A - See DMRs</v>
      </c>
      <c r="AA304" s="156" t="str">
        <f>IF(COUNTIF('Raw Annual DMR Data'!K:K,$E304)&gt;0,"N/A - See DMRs",IF(SUMIFS('Raw TRI Data'!$Z:$Z,'Raw TRI Data'!$J:$J,$E304)&gt;0,_xlfn.MAXIFS('Raw TRI Data'!$Z:$Z,'Raw TRI Data'!$J:$J,$E304), "N/A - Facility Does Not Report to TRI, no surface water releases, or no Generic Factors available"))</f>
        <v>N/A - See DMRs</v>
      </c>
      <c r="AB304" s="113" t="str">
        <f t="shared" si="30"/>
        <v>N/A</v>
      </c>
      <c r="AC304" s="136" t="str" cm="1">
        <f t="array" ref="AC304">IF(COUNTIF('Raw Annual DMR Data'!K:K,$E304)&gt;0,"N/A - See DMRs",IF(SUMIFS('Raw TRI Data'!$Z:$Z,'Raw TRI Data'!$J:$J,$E304)&gt;0,INDEX('Raw TRI Data'!$A:$A,MATCH(1,($E304='Raw TRI Data'!$J:$J)*($AA304='Raw TRI Data'!$Z:$Z),0)), "N/A - Facility Does Not Report to TRI, no surface water releases, or no Generic Factors available"))</f>
        <v>N/A - See DMRs</v>
      </c>
      <c r="AD304" s="96" t="str" cm="1">
        <f t="array" ref="AD304">IF(COUNTIFS('Raw Annual DMR Data'!L:L,$F304,'Raw Annual DMR Data'!W:W, "&gt;0")&gt;0,MEDIAN(IF('Raw Annual DMR Data'!K:K=$F304, 'Raw Annual DMR Data'!W:W)), "N/A - No Daily Max DMR Discharge Data")</f>
        <v>N/A - No Daily Max DMR Discharge Data</v>
      </c>
      <c r="AE304" s="96" t="str">
        <f>IF(COUNTIFS('Raw Annual DMR Data'!L:L,$F304,'Raw Annual DMR Data'!W:W, "&gt;0")&gt;0,_xlfn.MAXIFS('Raw Annual DMR Data'!W:W,'Raw Annual DMR Data'!L:L,$F304), "N/A - No Daily Max DMR Discharge Data")</f>
        <v>N/A - No Daily Max DMR Discharge Data</v>
      </c>
      <c r="AF304" s="60" t="str" cm="1">
        <f t="array" ref="AF304">IF(COUNTIFS('Raw Annual DMR Data'!L:L,$F304,'Raw Annual DMR Data'!W:W, "&gt;0")&gt;0,INDEX('Raw Annual DMR Data'!B:B,MATCH(1,($F304='Raw Annual DMR Data'!L:L)*($AE304='Raw Annual DMR Data'!W:W),0)), "N/A - No Daily Max DMR Discharge Data")</f>
        <v>N/A - No Daily Max DMR Discharge Data</v>
      </c>
    </row>
    <row r="305" spans="1:32" ht="45.75" thickBot="1" x14ac:dyDescent="0.3">
      <c r="A305" s="144" t="str">
        <f>VLOOKUP(F305,'Facility Summary'!J:K,2,FALSE)</f>
        <v>POTW</v>
      </c>
      <c r="B305" s="28" t="s">
        <v>1275</v>
      </c>
      <c r="C305" s="28" t="s">
        <v>1276</v>
      </c>
      <c r="D305" s="28" t="s">
        <v>366</v>
      </c>
      <c r="E305" s="28"/>
      <c r="F305" s="61">
        <v>110070097306</v>
      </c>
      <c r="G305" s="60" t="str">
        <f>VLOOKUP($F305, 'Raw Annual DMR Data'!$A:$Z, 24, FALSE)</f>
        <v>CA0054097</v>
      </c>
      <c r="H305" s="60" t="str">
        <f>VLOOKUP($F305, 'Raw Annual DMR Data'!$A:$Z, 25, FALSE)</f>
        <v>PACIFIC OCEAN</v>
      </c>
      <c r="I305" s="74">
        <f>VLOOKUP($F305, 'Raw Annual DMR Data'!$A:$Z, 26, FALSE)</f>
        <v>18070103000060</v>
      </c>
      <c r="J305" s="74" t="s">
        <v>265</v>
      </c>
      <c r="K305" s="60">
        <f>VLOOKUP(A305, 'OES Summary'!$A:$B, 2, FALSE)</f>
        <v>365</v>
      </c>
      <c r="L305" s="304" cm="1">
        <f t="array" ref="L305">IF(COUNTIF('Raw Annual DMR Data'!$L:$L,$F305)&gt;0,MEDIAN(IF('Raw Annual DMR Data'!$L:$L=F305,'Raw Annual DMR Data'!$S:$S)),"N/A - Facility Does Not Report DMRs")</f>
        <v>2.6755473980952349</v>
      </c>
      <c r="M305" s="156">
        <f t="shared" si="28"/>
        <v>7.3302668440965342E-3</v>
      </c>
      <c r="N305" s="156">
        <f>IF(COUNTIF('Raw Annual DMR Data'!$L:$L,$F305)&gt;0,_xlfn.MAXIFS('Raw Annual DMR Data'!$S:$S,'Raw Annual DMR Data'!$L:$L,$F305), "N/A - Facility Does Not Report DMRs")</f>
        <v>12.408163265306101</v>
      </c>
      <c r="O305" s="156">
        <f t="shared" si="29"/>
        <v>3.3994967850153698E-2</v>
      </c>
      <c r="P305" s="113" cm="1">
        <f t="array" ref="P305">IF(COUNTIF('Raw Annual DMR Data'!$L:$L,$F305)&gt;0,INDEX('Raw Annual DMR Data'!$B:$B,MATCH(1,($F305='Raw Annual DMR Data'!$L:$L)*($N305='Raw Annual DMR Data'!$S:$S),0)), "N/A - Facility Does Not Report DMRs")</f>
        <v>2015</v>
      </c>
      <c r="Q305" s="304" t="str" cm="1">
        <f t="array" ref="Q305">IF(COUNTIF('Raw TRI Data'!$J:$J,$E305)&gt;0,MEDIAN(IF('Raw TRI Data'!$J:$J=E305,'Raw TRI Data'!$S:$S)), "N/A - Facility Does Not Report to TRI")</f>
        <v>N/A - Facility Does Not Report to TRI</v>
      </c>
      <c r="R305" s="156" t="str">
        <f t="shared" si="26"/>
        <v>N/A - Facility Does Not Report to TRI</v>
      </c>
      <c r="S305" s="156" t="str">
        <f>IF(COUNTIF('Raw TRI Data'!$J:$J,$E305)&gt;0,_xlfn.MAXIFS('Raw TRI Data'!$S:$S,'Raw TRI Data'!$J:$J,$E305), "N/A - Facility Does Not Report to TRI")</f>
        <v>N/A - Facility Does Not Report to TRI</v>
      </c>
      <c r="T305" s="156" t="str">
        <f t="shared" si="27"/>
        <v>N/A - Facility Does Not Report to TRI</v>
      </c>
      <c r="U305" s="136" t="str" cm="1">
        <f t="array" ref="U305">IF(COUNTIF('Raw TRI Data'!$J:$J,$E305)&gt;0,INDEX('Raw TRI Data'!$A:$A,MATCH(1,($E305='Raw TRI Data'!$J:$J)*(S305='Raw TRI Data'!$S:$S),0)), "N/A - Facility Does Not Report to TRI")</f>
        <v>N/A - Facility Does Not Report to TRI</v>
      </c>
      <c r="V305" s="156" t="str" cm="1">
        <f t="array" ref="V305">IF(COUNTIFS('Raw Annual DMR Data'!$L:$L,$F305,'Raw Annual DMR Data'!$U:$U,"&gt;0")&gt;0,MEDIAN(IF('Raw Annual DMR Data'!$L:$L=$F305,'Raw Annual DMR Data'!$U:$U,"")),"N/A - Period DMR Data Not Available")</f>
        <v>N/A - Period DMR Data Not Available</v>
      </c>
      <c r="W305" s="156" t="str">
        <f>IF(COUNTIFS('Raw Annual DMR Data'!$L:$L,$F305, 'Raw Annual DMR Data'!$U:$U, "&gt;0")&gt;0,_xlfn.MAXIFS('Raw Annual DMR Data'!$U:$U,'Raw Annual DMR Data'!$L:$L,$F305), "N/A - Period DMR Data Not Available")</f>
        <v>N/A - Period DMR Data Not Available</v>
      </c>
      <c r="X305" s="113" t="str" cm="1">
        <f t="array" ref="X305">+IF(COUNTIFS('Raw Annual DMR Data'!L:L,$F305, 'Raw Annual DMR Data'!U:U, "&gt;0")&gt;0,INDEX('Raw Annual DMR Data'!V:V,MATCH(1,($F305='Raw Annual DMR Data'!L:L)*($W305='Raw Annual DMR Data'!U:U),0)), "N/A - Period DMR Data Not Available")</f>
        <v>N/A - Period DMR Data Not Available</v>
      </c>
      <c r="Y305" s="113" t="str" cm="1">
        <f t="array" ref="Y305">IF(COUNTIFS('Raw Annual DMR Data'!L:L,$F305, 'Raw Annual DMR Data'!U:U, "&gt;0")&gt;0,INDEX('Raw Annual DMR Data'!B:B,MATCH(1,($F305='Raw Annual DMR Data'!L:L)*($W305='Raw Annual DMR Data'!U:U),0)), "N/A - Period DMR Data Not Available")</f>
        <v>N/A - Period DMR Data Not Available</v>
      </c>
      <c r="Z305" s="311" t="str" cm="1">
        <f t="array" ref="Z305">IF(COUNTIF('Raw Annual DMR Data'!K:K,$E305)&gt;0,"N/A - See DMRs",IF(SUMIFS('Raw TRI Data'!$Z:$Z,'Raw TRI Data'!$J:$J,$E305)&gt;0,MEDIAN(IF('Raw TRI Data'!$J:$J=$E305,'Raw TRI Data'!$Z:$Z)), "N/A - Facility Does Not Report to TRI, no surface water releases, or no Generic Factors available"))</f>
        <v>N/A - Facility Does Not Report to TRI, no surface water releases, or no Generic Factors available</v>
      </c>
      <c r="AA305" s="156" t="str">
        <f>IF(COUNTIF('Raw Annual DMR Data'!K:K,$E305)&gt;0,"N/A - See DMRs",IF(SUMIFS('Raw TRI Data'!$Z:$Z,'Raw TRI Data'!$J:$J,$E305)&gt;0,_xlfn.MAXIFS('Raw TRI Data'!$Z:$Z,'Raw TRI Data'!$J:$J,$E305), "N/A - Facility Does Not Report to TRI, no surface water releases, or no Generic Factors available"))</f>
        <v>N/A - Facility Does Not Report to TRI, no surface water releases, or no Generic Factors available</v>
      </c>
      <c r="AB305" s="113" t="str">
        <f t="shared" si="30"/>
        <v>N/A</v>
      </c>
      <c r="AC305" s="136" t="str" cm="1">
        <f t="array" ref="AC305">IF(COUNTIF('Raw Annual DMR Data'!K:K,$E305)&gt;0,"N/A - See DMRs",IF(SUMIFS('Raw TRI Data'!$Z:$Z,'Raw TRI Data'!$J:$J,$E305)&gt;0,INDEX('Raw TRI Data'!$A:$A,MATCH(1,($E305='Raw TRI Data'!$J:$J)*($AA305='Raw TRI Data'!$Z:$Z),0)), "N/A - Facility Does Not Report to TRI, no surface water releases, or no Generic Factors available"))</f>
        <v>N/A - Facility Does Not Report to TRI, no surface water releases, or no Generic Factors available</v>
      </c>
      <c r="AD305" s="96" t="str" cm="1">
        <f t="array" ref="AD305">IF(COUNTIFS('Raw Annual DMR Data'!L:L,$F305,'Raw Annual DMR Data'!W:W, "&gt;0")&gt;0,MEDIAN(IF('Raw Annual DMR Data'!K:K=$F305, 'Raw Annual DMR Data'!W:W)), "N/A - No Daily Max DMR Discharge Data")</f>
        <v>N/A - No Daily Max DMR Discharge Data</v>
      </c>
      <c r="AE305" s="96" t="str">
        <f>IF(COUNTIFS('Raw Annual DMR Data'!L:L,$F305,'Raw Annual DMR Data'!W:W, "&gt;0")&gt;0,_xlfn.MAXIFS('Raw Annual DMR Data'!W:W,'Raw Annual DMR Data'!L:L,$F305), "N/A - No Daily Max DMR Discharge Data")</f>
        <v>N/A - No Daily Max DMR Discharge Data</v>
      </c>
      <c r="AF305" s="60" t="str" cm="1">
        <f t="array" ref="AF305">IF(COUNTIFS('Raw Annual DMR Data'!L:L,$F305,'Raw Annual DMR Data'!W:W, "&gt;0")&gt;0,INDEX('Raw Annual DMR Data'!B:B,MATCH(1,($F305='Raw Annual DMR Data'!L:L)*($AE305='Raw Annual DMR Data'!W:W),0)), "N/A - No Daily Max DMR Discharge Data")</f>
        <v>N/A - No Daily Max DMR Discharge Data</v>
      </c>
    </row>
    <row r="306" spans="1:32" ht="45.75" thickBot="1" x14ac:dyDescent="0.3">
      <c r="A306" s="144" t="str">
        <f>VLOOKUP(F306,'Facility Summary'!J:K,2,FALSE)</f>
        <v>POTW</v>
      </c>
      <c r="B306" s="28" t="s">
        <v>1277</v>
      </c>
      <c r="C306" s="28" t="s">
        <v>1278</v>
      </c>
      <c r="D306" s="28" t="s">
        <v>324</v>
      </c>
      <c r="E306" s="28"/>
      <c r="F306" s="61">
        <v>110006367136</v>
      </c>
      <c r="G306" s="60" t="str">
        <f>VLOOKUP($F306, 'Raw Annual DMR Data'!$A:$Z, 24, FALSE)</f>
        <v>KY0025810</v>
      </c>
      <c r="H306" s="60" t="str">
        <f>VLOOKUP($F306, 'Raw Annual DMR Data'!$A:$Z, 25, FALSE)</f>
        <v>TENNESSEE RIVER</v>
      </c>
      <c r="I306" s="74">
        <f>VLOOKUP($F306, 'Raw Annual DMR Data'!$A:$Z, 26, FALSE)</f>
        <v>6040006000343</v>
      </c>
      <c r="J306" s="74" t="s">
        <v>265</v>
      </c>
      <c r="K306" s="60">
        <f>VLOOKUP(A306, 'OES Summary'!$A:$B, 2, FALSE)</f>
        <v>365</v>
      </c>
      <c r="L306" s="304" cm="1">
        <f t="array" ref="L306">IF(COUNTIF('Raw Annual DMR Data'!$L:$L,$F306)&gt;0,MEDIAN(IF('Raw Annual DMR Data'!$L:$L=F306,'Raw Annual DMR Data'!$S:$S)),"N/A - Facility Does Not Report DMRs")</f>
        <v>0.66589505000000004</v>
      </c>
      <c r="M306" s="156">
        <f t="shared" si="28"/>
        <v>1.8243700000000001E-3</v>
      </c>
      <c r="N306" s="156">
        <f>IF(COUNTIF('Raw Annual DMR Data'!$L:$L,$F306)&gt;0,_xlfn.MAXIFS('Raw Annual DMR Data'!$S:$S,'Raw Annual DMR Data'!$L:$L,$F306), "N/A - Facility Does Not Report DMRs")</f>
        <v>1.9859421875000001</v>
      </c>
      <c r="O306" s="156">
        <f t="shared" si="29"/>
        <v>5.4409375000000005E-3</v>
      </c>
      <c r="P306" s="113" cm="1">
        <f t="array" ref="P306">IF(COUNTIF('Raw Annual DMR Data'!$L:$L,$F306)&gt;0,INDEX('Raw Annual DMR Data'!$B:$B,MATCH(1,($F306='Raw Annual DMR Data'!$L:$L)*($N306='Raw Annual DMR Data'!$S:$S),0)), "N/A - Facility Does Not Report DMRs")</f>
        <v>2021</v>
      </c>
      <c r="Q306" s="304" t="str" cm="1">
        <f t="array" ref="Q306">IF(COUNTIF('Raw TRI Data'!$J:$J,$E306)&gt;0,MEDIAN(IF('Raw TRI Data'!$J:$J=E306,'Raw TRI Data'!$S:$S)), "N/A - Facility Does Not Report to TRI")</f>
        <v>N/A - Facility Does Not Report to TRI</v>
      </c>
      <c r="R306" s="156" t="str">
        <f t="shared" si="26"/>
        <v>N/A - Facility Does Not Report to TRI</v>
      </c>
      <c r="S306" s="156" t="str">
        <f>IF(COUNTIF('Raw TRI Data'!$J:$J,$E306)&gt;0,_xlfn.MAXIFS('Raw TRI Data'!$S:$S,'Raw TRI Data'!$J:$J,$E306), "N/A - Facility Does Not Report to TRI")</f>
        <v>N/A - Facility Does Not Report to TRI</v>
      </c>
      <c r="T306" s="156" t="str">
        <f t="shared" si="27"/>
        <v>N/A - Facility Does Not Report to TRI</v>
      </c>
      <c r="U306" s="136" t="str" cm="1">
        <f t="array" ref="U306">IF(COUNTIF('Raw TRI Data'!$J:$J,$E306)&gt;0,INDEX('Raw TRI Data'!$A:$A,MATCH(1,($E306='Raw TRI Data'!$J:$J)*(S306='Raw TRI Data'!$S:$S),0)), "N/A - Facility Does Not Report to TRI")</f>
        <v>N/A - Facility Does Not Report to TRI</v>
      </c>
      <c r="V306" s="156" t="str" cm="1">
        <f t="array" ref="V306">IF(COUNTIFS('Raw Annual DMR Data'!$L:$L,$F306,'Raw Annual DMR Data'!$U:$U,"&gt;0")&gt;0,MEDIAN(IF('Raw Annual DMR Data'!$L:$L=$F306,'Raw Annual DMR Data'!$U:$U,"")),"N/A - Period DMR Data Not Available")</f>
        <v>N/A - Period DMR Data Not Available</v>
      </c>
      <c r="W306" s="156" t="str">
        <f>IF(COUNTIFS('Raw Annual DMR Data'!$L:$L,$F306, 'Raw Annual DMR Data'!$U:$U, "&gt;0")&gt;0,_xlfn.MAXIFS('Raw Annual DMR Data'!$U:$U,'Raw Annual DMR Data'!$L:$L,$F306), "N/A - Period DMR Data Not Available")</f>
        <v>N/A - Period DMR Data Not Available</v>
      </c>
      <c r="X306" s="113" t="str" cm="1">
        <f t="array" ref="X306">+IF(COUNTIFS('Raw Annual DMR Data'!L:L,$F306, 'Raw Annual DMR Data'!U:U, "&gt;0")&gt;0,INDEX('Raw Annual DMR Data'!V:V,MATCH(1,($F306='Raw Annual DMR Data'!L:L)*($W306='Raw Annual DMR Data'!U:U),0)), "N/A - Period DMR Data Not Available")</f>
        <v>N/A - Period DMR Data Not Available</v>
      </c>
      <c r="Y306" s="113" t="str" cm="1">
        <f t="array" ref="Y306">IF(COUNTIFS('Raw Annual DMR Data'!L:L,$F306, 'Raw Annual DMR Data'!U:U, "&gt;0")&gt;0,INDEX('Raw Annual DMR Data'!B:B,MATCH(1,($F306='Raw Annual DMR Data'!L:L)*($W306='Raw Annual DMR Data'!U:U),0)), "N/A - Period DMR Data Not Available")</f>
        <v>N/A - Period DMR Data Not Available</v>
      </c>
      <c r="Z306" s="311" t="str" cm="1">
        <f t="array" ref="Z306">IF(COUNTIF('Raw Annual DMR Data'!K:K,$E306)&gt;0,"N/A - See DMRs",IF(SUMIFS('Raw TRI Data'!$Z:$Z,'Raw TRI Data'!$J:$J,$E306)&gt;0,MEDIAN(IF('Raw TRI Data'!$J:$J=$E306,'Raw TRI Data'!$Z:$Z)), "N/A - Facility Does Not Report to TRI, no surface water releases, or no Generic Factors available"))</f>
        <v>N/A - Facility Does Not Report to TRI, no surface water releases, or no Generic Factors available</v>
      </c>
      <c r="AA306" s="156" t="str">
        <f>IF(COUNTIF('Raw Annual DMR Data'!K:K,$E306)&gt;0,"N/A - See DMRs",IF(SUMIFS('Raw TRI Data'!$Z:$Z,'Raw TRI Data'!$J:$J,$E306)&gt;0,_xlfn.MAXIFS('Raw TRI Data'!$Z:$Z,'Raw TRI Data'!$J:$J,$E306), "N/A - Facility Does Not Report to TRI, no surface water releases, or no Generic Factors available"))</f>
        <v>N/A - Facility Does Not Report to TRI, no surface water releases, or no Generic Factors available</v>
      </c>
      <c r="AB306" s="113" t="str">
        <f t="shared" si="30"/>
        <v>N/A</v>
      </c>
      <c r="AC306" s="136" t="str" cm="1">
        <f t="array" ref="AC306">IF(COUNTIF('Raw Annual DMR Data'!K:K,$E306)&gt;0,"N/A - See DMRs",IF(SUMIFS('Raw TRI Data'!$Z:$Z,'Raw TRI Data'!$J:$J,$E306)&gt;0,INDEX('Raw TRI Data'!$A:$A,MATCH(1,($E306='Raw TRI Data'!$J:$J)*($AA306='Raw TRI Data'!$Z:$Z),0)), "N/A - Facility Does Not Report to TRI, no surface water releases, or no Generic Factors available"))</f>
        <v>N/A - Facility Does Not Report to TRI, no surface water releases, or no Generic Factors available</v>
      </c>
      <c r="AD306" s="96" t="str" cm="1">
        <f t="array" ref="AD306">IF(COUNTIFS('Raw Annual DMR Data'!L:L,$F306,'Raw Annual DMR Data'!W:W, "&gt;0")&gt;0,MEDIAN(IF('Raw Annual DMR Data'!K:K=$F306, 'Raw Annual DMR Data'!W:W)), "N/A - No Daily Max DMR Discharge Data")</f>
        <v>N/A - No Daily Max DMR Discharge Data</v>
      </c>
      <c r="AE306" s="96" t="str">
        <f>IF(COUNTIFS('Raw Annual DMR Data'!L:L,$F306,'Raw Annual DMR Data'!W:W, "&gt;0")&gt;0,_xlfn.MAXIFS('Raw Annual DMR Data'!W:W,'Raw Annual DMR Data'!L:L,$F306), "N/A - No Daily Max DMR Discharge Data")</f>
        <v>N/A - No Daily Max DMR Discharge Data</v>
      </c>
      <c r="AF306" s="60" t="str" cm="1">
        <f t="array" ref="AF306">IF(COUNTIFS('Raw Annual DMR Data'!L:L,$F306,'Raw Annual DMR Data'!W:W, "&gt;0")&gt;0,INDEX('Raw Annual DMR Data'!B:B,MATCH(1,($F306='Raw Annual DMR Data'!L:L)*($AE306='Raw Annual DMR Data'!W:W),0)), "N/A - No Daily Max DMR Discharge Data")</f>
        <v>N/A - No Daily Max DMR Discharge Data</v>
      </c>
    </row>
    <row r="307" spans="1:32" ht="45.75" thickBot="1" x14ac:dyDescent="0.3">
      <c r="A307" s="144" t="str">
        <f>VLOOKUP(F307,'Facility Summary'!J:K,2,FALSE)</f>
        <v>POTW</v>
      </c>
      <c r="B307" s="28" t="s">
        <v>1279</v>
      </c>
      <c r="C307" s="28" t="s">
        <v>1280</v>
      </c>
      <c r="D307" s="28" t="s">
        <v>374</v>
      </c>
      <c r="E307" s="28"/>
      <c r="F307" s="61">
        <v>110015940776</v>
      </c>
      <c r="G307" s="60" t="str">
        <f>VLOOKUP($F307, 'Raw Annual DMR Data'!$A:$Z, 24, FALSE)</f>
        <v>AZ0025071</v>
      </c>
      <c r="H307" s="60">
        <f>VLOOKUP($F307, 'Raw Annual DMR Data'!$A:$Z, 25, FALSE)</f>
        <v>0</v>
      </c>
      <c r="I307" s="74">
        <f>VLOOKUP($F307, 'Raw Annual DMR Data'!$A:$Z, 26, FALSE)</f>
        <v>15020008000253</v>
      </c>
      <c r="J307" s="74" t="s">
        <v>265</v>
      </c>
      <c r="K307" s="60">
        <f>VLOOKUP(A307, 'OES Summary'!$A:$B, 2, FALSE)</f>
        <v>365</v>
      </c>
      <c r="L307" s="304" cm="1">
        <f t="array" ref="L307">IF(COUNTIF('Raw Annual DMR Data'!$L:$L,$F307)&gt;0,MEDIAN(IF('Raw Annual DMR Data'!$L:$L=F307,'Raw Annual DMR Data'!$S:$S)),"N/A - Facility Does Not Report DMRs")</f>
        <v>1.236015879375</v>
      </c>
      <c r="M307" s="156">
        <f t="shared" si="28"/>
        <v>3.3863448749999999E-3</v>
      </c>
      <c r="N307" s="156">
        <f>IF(COUNTIF('Raw Annual DMR Data'!$L:$L,$F307)&gt;0,_xlfn.MAXIFS('Raw Annual DMR Data'!$S:$S,'Raw Annual DMR Data'!$L:$L,$F307), "N/A - Facility Does Not Report DMRs")</f>
        <v>4.5300204749999997</v>
      </c>
      <c r="O307" s="156">
        <f t="shared" si="29"/>
        <v>1.2411014999999999E-2</v>
      </c>
      <c r="P307" s="113" cm="1">
        <f t="array" ref="P307">IF(COUNTIF('Raw Annual DMR Data'!$L:$L,$F307)&gt;0,INDEX('Raw Annual DMR Data'!$B:$B,MATCH(1,($F307='Raw Annual DMR Data'!$L:$L)*($N307='Raw Annual DMR Data'!$S:$S),0)), "N/A - Facility Does Not Report DMRs")</f>
        <v>2015</v>
      </c>
      <c r="Q307" s="304" t="str" cm="1">
        <f t="array" ref="Q307">IF(COUNTIF('Raw TRI Data'!$J:$J,$E307)&gt;0,MEDIAN(IF('Raw TRI Data'!$J:$J=E307,'Raw TRI Data'!$S:$S)), "N/A - Facility Does Not Report to TRI")</f>
        <v>N/A - Facility Does Not Report to TRI</v>
      </c>
      <c r="R307" s="156" t="str">
        <f t="shared" si="26"/>
        <v>N/A - Facility Does Not Report to TRI</v>
      </c>
      <c r="S307" s="156" t="str">
        <f>IF(COUNTIF('Raw TRI Data'!$J:$J,$E307)&gt;0,_xlfn.MAXIFS('Raw TRI Data'!$S:$S,'Raw TRI Data'!$J:$J,$E307), "N/A - Facility Does Not Report to TRI")</f>
        <v>N/A - Facility Does Not Report to TRI</v>
      </c>
      <c r="T307" s="156" t="str">
        <f t="shared" si="27"/>
        <v>N/A - Facility Does Not Report to TRI</v>
      </c>
      <c r="U307" s="136" t="str" cm="1">
        <f t="array" ref="U307">IF(COUNTIF('Raw TRI Data'!$J:$J,$E307)&gt;0,INDEX('Raw TRI Data'!$A:$A,MATCH(1,($E307='Raw TRI Data'!$J:$J)*(S307='Raw TRI Data'!$S:$S),0)), "N/A - Facility Does Not Report to TRI")</f>
        <v>N/A - Facility Does Not Report to TRI</v>
      </c>
      <c r="V307" s="156" t="str" cm="1">
        <f t="array" ref="V307">IF(COUNTIFS('Raw Annual DMR Data'!$L:$L,$F307,'Raw Annual DMR Data'!$U:$U,"&gt;0")&gt;0,MEDIAN(IF('Raw Annual DMR Data'!$L:$L=$F307,'Raw Annual DMR Data'!$U:$U,"")),"N/A - Period DMR Data Not Available")</f>
        <v>N/A - Period DMR Data Not Available</v>
      </c>
      <c r="W307" s="156" t="str">
        <f>IF(COUNTIFS('Raw Annual DMR Data'!$L:$L,$F307, 'Raw Annual DMR Data'!$U:$U, "&gt;0")&gt;0,_xlfn.MAXIFS('Raw Annual DMR Data'!$U:$U,'Raw Annual DMR Data'!$L:$L,$F307), "N/A - Period DMR Data Not Available")</f>
        <v>N/A - Period DMR Data Not Available</v>
      </c>
      <c r="X307" s="113" t="str" cm="1">
        <f t="array" ref="X307">+IF(COUNTIFS('Raw Annual DMR Data'!L:L,$F307, 'Raw Annual DMR Data'!U:U, "&gt;0")&gt;0,INDEX('Raw Annual DMR Data'!V:V,MATCH(1,($F307='Raw Annual DMR Data'!L:L)*($W307='Raw Annual DMR Data'!U:U),0)), "N/A - Period DMR Data Not Available")</f>
        <v>N/A - Period DMR Data Not Available</v>
      </c>
      <c r="Y307" s="113" t="str" cm="1">
        <f t="array" ref="Y307">IF(COUNTIFS('Raw Annual DMR Data'!L:L,$F307, 'Raw Annual DMR Data'!U:U, "&gt;0")&gt;0,INDEX('Raw Annual DMR Data'!B:B,MATCH(1,($F307='Raw Annual DMR Data'!L:L)*($W307='Raw Annual DMR Data'!U:U),0)), "N/A - Period DMR Data Not Available")</f>
        <v>N/A - Period DMR Data Not Available</v>
      </c>
      <c r="Z307" s="311" t="str" cm="1">
        <f t="array" ref="Z307">IF(COUNTIF('Raw Annual DMR Data'!K:K,$E307)&gt;0,"N/A - See DMRs",IF(SUMIFS('Raw TRI Data'!$Z:$Z,'Raw TRI Data'!$J:$J,$E307)&gt;0,MEDIAN(IF('Raw TRI Data'!$J:$J=$E307,'Raw TRI Data'!$Z:$Z)), "N/A - Facility Does Not Report to TRI, no surface water releases, or no Generic Factors available"))</f>
        <v>N/A - Facility Does Not Report to TRI, no surface water releases, or no Generic Factors available</v>
      </c>
      <c r="AA307" s="156" t="str">
        <f>IF(COUNTIF('Raw Annual DMR Data'!K:K,$E307)&gt;0,"N/A - See DMRs",IF(SUMIFS('Raw TRI Data'!$Z:$Z,'Raw TRI Data'!$J:$J,$E307)&gt;0,_xlfn.MAXIFS('Raw TRI Data'!$Z:$Z,'Raw TRI Data'!$J:$J,$E307), "N/A - Facility Does Not Report to TRI, no surface water releases, or no Generic Factors available"))</f>
        <v>N/A - Facility Does Not Report to TRI, no surface water releases, or no Generic Factors available</v>
      </c>
      <c r="AB307" s="113" t="str">
        <f t="shared" si="30"/>
        <v>N/A</v>
      </c>
      <c r="AC307" s="136" t="str" cm="1">
        <f t="array" ref="AC307">IF(COUNTIF('Raw Annual DMR Data'!K:K,$E307)&gt;0,"N/A - See DMRs",IF(SUMIFS('Raw TRI Data'!$Z:$Z,'Raw TRI Data'!$J:$J,$E307)&gt;0,INDEX('Raw TRI Data'!$A:$A,MATCH(1,($E307='Raw TRI Data'!$J:$J)*($AA307='Raw TRI Data'!$Z:$Z),0)), "N/A - Facility Does Not Report to TRI, no surface water releases, or no Generic Factors available"))</f>
        <v>N/A - Facility Does Not Report to TRI, no surface water releases, or no Generic Factors available</v>
      </c>
      <c r="AD307" s="96" t="str" cm="1">
        <f t="array" ref="AD307">IF(COUNTIFS('Raw Annual DMR Data'!L:L,$F307,'Raw Annual DMR Data'!W:W, "&gt;0")&gt;0,MEDIAN(IF('Raw Annual DMR Data'!K:K=$F307, 'Raw Annual DMR Data'!W:W)), "N/A - No Daily Max DMR Discharge Data")</f>
        <v>N/A - No Daily Max DMR Discharge Data</v>
      </c>
      <c r="AE307" s="96" t="str">
        <f>IF(COUNTIFS('Raw Annual DMR Data'!L:L,$F307,'Raw Annual DMR Data'!W:W, "&gt;0")&gt;0,_xlfn.MAXIFS('Raw Annual DMR Data'!W:W,'Raw Annual DMR Data'!L:L,$F307), "N/A - No Daily Max DMR Discharge Data")</f>
        <v>N/A - No Daily Max DMR Discharge Data</v>
      </c>
      <c r="AF307" s="60" t="str" cm="1">
        <f t="array" ref="AF307">IF(COUNTIFS('Raw Annual DMR Data'!L:L,$F307,'Raw Annual DMR Data'!W:W, "&gt;0")&gt;0,INDEX('Raw Annual DMR Data'!B:B,MATCH(1,($F307='Raw Annual DMR Data'!L:L)*($AE307='Raw Annual DMR Data'!W:W),0)), "N/A - No Daily Max DMR Discharge Data")</f>
        <v>N/A - No Daily Max DMR Discharge Data</v>
      </c>
    </row>
    <row r="308" spans="1:32" ht="45.75" thickBot="1" x14ac:dyDescent="0.3">
      <c r="A308" s="144" t="str">
        <f>VLOOKUP(F308,'Facility Summary'!J:K,2,FALSE)</f>
        <v>Unknown</v>
      </c>
      <c r="B308" s="28" t="s">
        <v>1281</v>
      </c>
      <c r="C308" s="28" t="s">
        <v>1282</v>
      </c>
      <c r="D308" s="28" t="s">
        <v>366</v>
      </c>
      <c r="E308" s="28"/>
      <c r="F308" s="61">
        <v>110045402079</v>
      </c>
      <c r="G308" s="60" t="str">
        <f>VLOOKUP($F308, 'Raw Annual DMR Data'!$A:$Z, 24, FALSE)</f>
        <v>CA0109215</v>
      </c>
      <c r="H308" s="60" t="str">
        <f>VLOOKUP($F308, 'Raw Annual DMR Data'!$A:$Z, 25, FALSE)</f>
        <v>PACIFIC OCEAN</v>
      </c>
      <c r="I308" s="74">
        <f>VLOOKUP($F308, 'Raw Annual DMR Data'!$A:$Z, 26, FALSE)</f>
        <v>18070303000010</v>
      </c>
      <c r="J308" s="74" t="s">
        <v>265</v>
      </c>
      <c r="K308" s="60">
        <f>VLOOKUP(A308, 'OES Summary'!$A:$B, 2, FALSE)</f>
        <v>250</v>
      </c>
      <c r="L308" s="304" cm="1">
        <f t="array" ref="L308">IF(COUNTIF('Raw Annual DMR Data'!$L:$L,$F308)&gt;0,MEDIAN(IF('Raw Annual DMR Data'!$L:$L=F308,'Raw Annual DMR Data'!$S:$S)),"N/A - Facility Does Not Report DMRs")</f>
        <v>0.53841224489795902</v>
      </c>
      <c r="M308" s="156">
        <f t="shared" si="28"/>
        <v>2.1536489795918362E-3</v>
      </c>
      <c r="N308" s="156">
        <f>IF(COUNTIF('Raw Annual DMR Data'!$L:$L,$F308)&gt;0,_xlfn.MAXIFS('Raw Annual DMR Data'!$S:$S,'Raw Annual DMR Data'!$L:$L,$F308), "N/A - Facility Does Not Report DMRs")</f>
        <v>0.53841224489795902</v>
      </c>
      <c r="O308" s="156">
        <f t="shared" si="29"/>
        <v>2.1536489795918362E-3</v>
      </c>
      <c r="P308" s="113" cm="1">
        <f t="array" ref="P308">IF(COUNTIF('Raw Annual DMR Data'!$L:$L,$F308)&gt;0,INDEX('Raw Annual DMR Data'!$B:$B,MATCH(1,($F308='Raw Annual DMR Data'!$L:$L)*($N308='Raw Annual DMR Data'!$S:$S),0)), "N/A - Facility Does Not Report DMRs")</f>
        <v>2016</v>
      </c>
      <c r="Q308" s="304" t="str" cm="1">
        <f t="array" ref="Q308">IF(COUNTIF('Raw TRI Data'!$J:$J,$E308)&gt;0,MEDIAN(IF('Raw TRI Data'!$J:$J=E308,'Raw TRI Data'!$S:$S)), "N/A - Facility Does Not Report to TRI")</f>
        <v>N/A - Facility Does Not Report to TRI</v>
      </c>
      <c r="R308" s="156" t="str">
        <f t="shared" si="26"/>
        <v>N/A - Facility Does Not Report to TRI</v>
      </c>
      <c r="S308" s="156" t="str">
        <f>IF(COUNTIF('Raw TRI Data'!$J:$J,$E308)&gt;0,_xlfn.MAXIFS('Raw TRI Data'!$S:$S,'Raw TRI Data'!$J:$J,$E308), "N/A - Facility Does Not Report to TRI")</f>
        <v>N/A - Facility Does Not Report to TRI</v>
      </c>
      <c r="T308" s="156" t="str">
        <f t="shared" si="27"/>
        <v>N/A - Facility Does Not Report to TRI</v>
      </c>
      <c r="U308" s="136" t="str" cm="1">
        <f t="array" ref="U308">IF(COUNTIF('Raw TRI Data'!$J:$J,$E308)&gt;0,INDEX('Raw TRI Data'!$A:$A,MATCH(1,($E308='Raw TRI Data'!$J:$J)*(S308='Raw TRI Data'!$S:$S),0)), "N/A - Facility Does Not Report to TRI")</f>
        <v>N/A - Facility Does Not Report to TRI</v>
      </c>
      <c r="V308" s="156" t="str" cm="1">
        <f t="array" ref="V308">IF(COUNTIFS('Raw Annual DMR Data'!$L:$L,$F308,'Raw Annual DMR Data'!$U:$U,"&gt;0")&gt;0,MEDIAN(IF('Raw Annual DMR Data'!$L:$L=$F308,'Raw Annual DMR Data'!$U:$U,"")),"N/A - Period DMR Data Not Available")</f>
        <v>N/A - Period DMR Data Not Available</v>
      </c>
      <c r="W308" s="156" t="str">
        <f>IF(COUNTIFS('Raw Annual DMR Data'!$L:$L,$F308, 'Raw Annual DMR Data'!$U:$U, "&gt;0")&gt;0,_xlfn.MAXIFS('Raw Annual DMR Data'!$U:$U,'Raw Annual DMR Data'!$L:$L,$F308), "N/A - Period DMR Data Not Available")</f>
        <v>N/A - Period DMR Data Not Available</v>
      </c>
      <c r="X308" s="113" t="str" cm="1">
        <f t="array" ref="X308">+IF(COUNTIFS('Raw Annual DMR Data'!L:L,$F308, 'Raw Annual DMR Data'!U:U, "&gt;0")&gt;0,INDEX('Raw Annual DMR Data'!V:V,MATCH(1,($F308='Raw Annual DMR Data'!L:L)*($W308='Raw Annual DMR Data'!U:U),0)), "N/A - Period DMR Data Not Available")</f>
        <v>N/A - Period DMR Data Not Available</v>
      </c>
      <c r="Y308" s="113" t="str" cm="1">
        <f t="array" ref="Y308">IF(COUNTIFS('Raw Annual DMR Data'!L:L,$F308, 'Raw Annual DMR Data'!U:U, "&gt;0")&gt;0,INDEX('Raw Annual DMR Data'!B:B,MATCH(1,($F308='Raw Annual DMR Data'!L:L)*($W308='Raw Annual DMR Data'!U:U),0)), "N/A - Period DMR Data Not Available")</f>
        <v>N/A - Period DMR Data Not Available</v>
      </c>
      <c r="Z308" s="311" t="str" cm="1">
        <f t="array" ref="Z308">IF(COUNTIF('Raw Annual DMR Data'!K:K,$E308)&gt;0,"N/A - See DMRs",IF(SUMIFS('Raw TRI Data'!$Z:$Z,'Raw TRI Data'!$J:$J,$E308)&gt;0,MEDIAN(IF('Raw TRI Data'!$J:$J=$E308,'Raw TRI Data'!$Z:$Z)), "N/A - Facility Does Not Report to TRI, no surface water releases, or no Generic Factors available"))</f>
        <v>N/A - Facility Does Not Report to TRI, no surface water releases, or no Generic Factors available</v>
      </c>
      <c r="AA308" s="156" t="str">
        <f>IF(COUNTIF('Raw Annual DMR Data'!K:K,$E308)&gt;0,"N/A - See DMRs",IF(SUMIFS('Raw TRI Data'!$Z:$Z,'Raw TRI Data'!$J:$J,$E308)&gt;0,_xlfn.MAXIFS('Raw TRI Data'!$Z:$Z,'Raw TRI Data'!$J:$J,$E308), "N/A - Facility Does Not Report to TRI, no surface water releases, or no Generic Factors available"))</f>
        <v>N/A - Facility Does Not Report to TRI, no surface water releases, or no Generic Factors available</v>
      </c>
      <c r="AB308" s="113" t="str">
        <f t="shared" si="30"/>
        <v>N/A</v>
      </c>
      <c r="AC308" s="136" t="str" cm="1">
        <f t="array" ref="AC308">IF(COUNTIF('Raw Annual DMR Data'!K:K,$E308)&gt;0,"N/A - See DMRs",IF(SUMIFS('Raw TRI Data'!$Z:$Z,'Raw TRI Data'!$J:$J,$E308)&gt;0,INDEX('Raw TRI Data'!$A:$A,MATCH(1,($E308='Raw TRI Data'!$J:$J)*($AA308='Raw TRI Data'!$Z:$Z),0)), "N/A - Facility Does Not Report to TRI, no surface water releases, or no Generic Factors available"))</f>
        <v>N/A - Facility Does Not Report to TRI, no surface water releases, or no Generic Factors available</v>
      </c>
      <c r="AD308" s="96" t="str" cm="1">
        <f t="array" ref="AD308">IF(COUNTIFS('Raw Annual DMR Data'!L:L,$F308,'Raw Annual DMR Data'!W:W, "&gt;0")&gt;0,MEDIAN(IF('Raw Annual DMR Data'!K:K=$F308, 'Raw Annual DMR Data'!W:W)), "N/A - No Daily Max DMR Discharge Data")</f>
        <v>N/A - No Daily Max DMR Discharge Data</v>
      </c>
      <c r="AE308" s="96" t="str">
        <f>IF(COUNTIFS('Raw Annual DMR Data'!L:L,$F308,'Raw Annual DMR Data'!W:W, "&gt;0")&gt;0,_xlfn.MAXIFS('Raw Annual DMR Data'!W:W,'Raw Annual DMR Data'!L:L,$F308), "N/A - No Daily Max DMR Discharge Data")</f>
        <v>N/A - No Daily Max DMR Discharge Data</v>
      </c>
      <c r="AF308" s="60" t="str" cm="1">
        <f t="array" ref="AF308">IF(COUNTIFS('Raw Annual DMR Data'!L:L,$F308,'Raw Annual DMR Data'!W:W, "&gt;0")&gt;0,INDEX('Raw Annual DMR Data'!B:B,MATCH(1,($F308='Raw Annual DMR Data'!L:L)*($AE308='Raw Annual DMR Data'!W:W),0)), "N/A - No Daily Max DMR Discharge Data")</f>
        <v>N/A - No Daily Max DMR Discharge Data</v>
      </c>
    </row>
    <row r="309" spans="1:32" ht="45.75" thickBot="1" x14ac:dyDescent="0.3">
      <c r="A309" s="144" t="str">
        <f>VLOOKUP(F309,'Facility Summary'!J:K,2,FALSE)</f>
        <v>POTW</v>
      </c>
      <c r="B309" s="28" t="s">
        <v>1283</v>
      </c>
      <c r="C309" s="28" t="s">
        <v>1284</v>
      </c>
      <c r="D309" s="28" t="s">
        <v>324</v>
      </c>
      <c r="E309" s="28"/>
      <c r="F309" s="61">
        <v>110000551082</v>
      </c>
      <c r="G309" s="60" t="str">
        <f>VLOOKUP($F309, 'Raw Annual DMR Data'!$A:$Z, 24, FALSE)</f>
        <v>KY0090654</v>
      </c>
      <c r="H309" s="60" t="str">
        <f>VLOOKUP($F309, 'Raw Annual DMR Data'!$A:$Z, 25, FALSE)</f>
        <v>STONER CREEK, STONER CRK</v>
      </c>
      <c r="I309" s="74" t="str">
        <f>VLOOKUP($F309, 'Raw Annual DMR Data'!$A:$Z, 26, FALSE)</f>
        <v>05100102000062</v>
      </c>
      <c r="J309" s="74" t="s">
        <v>265</v>
      </c>
      <c r="K309" s="60">
        <f>VLOOKUP(A309, 'OES Summary'!$A:$B, 2, FALSE)</f>
        <v>365</v>
      </c>
      <c r="L309" s="304" cm="1">
        <f t="array" ref="L309">IF(COUNTIF('Raw Annual DMR Data'!$L:$L,$F309)&gt;0,MEDIAN(IF('Raw Annual DMR Data'!$L:$L=F309,'Raw Annual DMR Data'!$S:$S)),"N/A - Facility Does Not Report DMRs")</f>
        <v>7.6605561249999997E-3</v>
      </c>
      <c r="M309" s="156">
        <f t="shared" si="28"/>
        <v>2.0987824999999998E-5</v>
      </c>
      <c r="N309" s="156">
        <f>IF(COUNTIF('Raw Annual DMR Data'!$L:$L,$F309)&gt;0,_xlfn.MAXIFS('Raw Annual DMR Data'!$S:$S,'Raw Annual DMR Data'!$L:$L,$F309), "N/A - Facility Does Not Report DMRs")</f>
        <v>8.2787885625000002E-3</v>
      </c>
      <c r="O309" s="156">
        <f t="shared" si="29"/>
        <v>2.2681612500000001E-5</v>
      </c>
      <c r="P309" s="113" cm="1">
        <f t="array" ref="P309">IF(COUNTIF('Raw Annual DMR Data'!$L:$L,$F309)&gt;0,INDEX('Raw Annual DMR Data'!$B:$B,MATCH(1,($F309='Raw Annual DMR Data'!$L:$L)*($N309='Raw Annual DMR Data'!$S:$S),0)), "N/A - Facility Does Not Report DMRs")</f>
        <v>2019</v>
      </c>
      <c r="Q309" s="304" t="str" cm="1">
        <f t="array" ref="Q309">IF(COUNTIF('Raw TRI Data'!$J:$J,$E309)&gt;0,MEDIAN(IF('Raw TRI Data'!$J:$J=E309,'Raw TRI Data'!$S:$S)), "N/A - Facility Does Not Report to TRI")</f>
        <v>N/A - Facility Does Not Report to TRI</v>
      </c>
      <c r="R309" s="156" t="str">
        <f t="shared" si="26"/>
        <v>N/A - Facility Does Not Report to TRI</v>
      </c>
      <c r="S309" s="156" t="str">
        <f>IF(COUNTIF('Raw TRI Data'!$J:$J,$E309)&gt;0,_xlfn.MAXIFS('Raw TRI Data'!$S:$S,'Raw TRI Data'!$J:$J,$E309), "N/A - Facility Does Not Report to TRI")</f>
        <v>N/A - Facility Does Not Report to TRI</v>
      </c>
      <c r="T309" s="156" t="str">
        <f t="shared" si="27"/>
        <v>N/A - Facility Does Not Report to TRI</v>
      </c>
      <c r="U309" s="136" t="str" cm="1">
        <f t="array" ref="U309">IF(COUNTIF('Raw TRI Data'!$J:$J,$E309)&gt;0,INDEX('Raw TRI Data'!$A:$A,MATCH(1,($E309='Raw TRI Data'!$J:$J)*(S309='Raw TRI Data'!$S:$S),0)), "N/A - Facility Does Not Report to TRI")</f>
        <v>N/A - Facility Does Not Report to TRI</v>
      </c>
      <c r="V309" s="156" t="str" cm="1">
        <f t="array" ref="V309">IF(COUNTIFS('Raw Annual DMR Data'!$L:$L,$F309,'Raw Annual DMR Data'!$U:$U,"&gt;0")&gt;0,MEDIAN(IF('Raw Annual DMR Data'!$L:$L=$F309,'Raw Annual DMR Data'!$U:$U,"")),"N/A - Period DMR Data Not Available")</f>
        <v>N/A - Period DMR Data Not Available</v>
      </c>
      <c r="W309" s="156" t="str">
        <f>IF(COUNTIFS('Raw Annual DMR Data'!$L:$L,$F309, 'Raw Annual DMR Data'!$U:$U, "&gt;0")&gt;0,_xlfn.MAXIFS('Raw Annual DMR Data'!$U:$U,'Raw Annual DMR Data'!$L:$L,$F309), "N/A - Period DMR Data Not Available")</f>
        <v>N/A - Period DMR Data Not Available</v>
      </c>
      <c r="X309" s="113" t="str" cm="1">
        <f t="array" ref="X309">+IF(COUNTIFS('Raw Annual DMR Data'!L:L,$F309, 'Raw Annual DMR Data'!U:U, "&gt;0")&gt;0,INDEX('Raw Annual DMR Data'!V:V,MATCH(1,($F309='Raw Annual DMR Data'!L:L)*($W309='Raw Annual DMR Data'!U:U),0)), "N/A - Period DMR Data Not Available")</f>
        <v>N/A - Period DMR Data Not Available</v>
      </c>
      <c r="Y309" s="113" t="str" cm="1">
        <f t="array" ref="Y309">IF(COUNTIFS('Raw Annual DMR Data'!L:L,$F309, 'Raw Annual DMR Data'!U:U, "&gt;0")&gt;0,INDEX('Raw Annual DMR Data'!B:B,MATCH(1,($F309='Raw Annual DMR Data'!L:L)*($W309='Raw Annual DMR Data'!U:U),0)), "N/A - Period DMR Data Not Available")</f>
        <v>N/A - Period DMR Data Not Available</v>
      </c>
      <c r="Z309" s="311" t="str" cm="1">
        <f t="array" ref="Z309">IF(COUNTIF('Raw Annual DMR Data'!K:K,$E309)&gt;0,"N/A - See DMRs",IF(SUMIFS('Raw TRI Data'!$Z:$Z,'Raw TRI Data'!$J:$J,$E309)&gt;0,MEDIAN(IF('Raw TRI Data'!$J:$J=$E309,'Raw TRI Data'!$Z:$Z)), "N/A - Facility Does Not Report to TRI, no surface water releases, or no Generic Factors available"))</f>
        <v>N/A - Facility Does Not Report to TRI, no surface water releases, or no Generic Factors available</v>
      </c>
      <c r="AA309" s="156" t="str">
        <f>IF(COUNTIF('Raw Annual DMR Data'!K:K,$E309)&gt;0,"N/A - See DMRs",IF(SUMIFS('Raw TRI Data'!$Z:$Z,'Raw TRI Data'!$J:$J,$E309)&gt;0,_xlfn.MAXIFS('Raw TRI Data'!$Z:$Z,'Raw TRI Data'!$J:$J,$E309), "N/A - Facility Does Not Report to TRI, no surface water releases, or no Generic Factors available"))</f>
        <v>N/A - Facility Does Not Report to TRI, no surface water releases, or no Generic Factors available</v>
      </c>
      <c r="AB309" s="113" t="str">
        <f t="shared" si="30"/>
        <v>N/A</v>
      </c>
      <c r="AC309" s="136" t="str" cm="1">
        <f t="array" ref="AC309">IF(COUNTIF('Raw Annual DMR Data'!K:K,$E309)&gt;0,"N/A - See DMRs",IF(SUMIFS('Raw TRI Data'!$Z:$Z,'Raw TRI Data'!$J:$J,$E309)&gt;0,INDEX('Raw TRI Data'!$A:$A,MATCH(1,($E309='Raw TRI Data'!$J:$J)*($AA309='Raw TRI Data'!$Z:$Z),0)), "N/A - Facility Does Not Report to TRI, no surface water releases, or no Generic Factors available"))</f>
        <v>N/A - Facility Does Not Report to TRI, no surface water releases, or no Generic Factors available</v>
      </c>
      <c r="AD309" s="96" t="str" cm="1">
        <f t="array" ref="AD309">IF(COUNTIFS('Raw Annual DMR Data'!L:L,$F309,'Raw Annual DMR Data'!W:W, "&gt;0")&gt;0,MEDIAN(IF('Raw Annual DMR Data'!K:K=$F309, 'Raw Annual DMR Data'!W:W)), "N/A - No Daily Max DMR Discharge Data")</f>
        <v>N/A - No Daily Max DMR Discharge Data</v>
      </c>
      <c r="AE309" s="96" t="str">
        <f>IF(COUNTIFS('Raw Annual DMR Data'!L:L,$F309,'Raw Annual DMR Data'!W:W, "&gt;0")&gt;0,_xlfn.MAXIFS('Raw Annual DMR Data'!W:W,'Raw Annual DMR Data'!L:L,$F309), "N/A - No Daily Max DMR Discharge Data")</f>
        <v>N/A - No Daily Max DMR Discharge Data</v>
      </c>
      <c r="AF309" s="60" t="str" cm="1">
        <f t="array" ref="AF309">IF(COUNTIFS('Raw Annual DMR Data'!L:L,$F309,'Raw Annual DMR Data'!W:W, "&gt;0")&gt;0,INDEX('Raw Annual DMR Data'!B:B,MATCH(1,($F309='Raw Annual DMR Data'!L:L)*($AE309='Raw Annual DMR Data'!W:W),0)), "N/A - No Daily Max DMR Discharge Data")</f>
        <v>N/A - No Daily Max DMR Discharge Data</v>
      </c>
    </row>
    <row r="310" spans="1:32" ht="45.75" thickBot="1" x14ac:dyDescent="0.3">
      <c r="A310" s="144" t="str">
        <f>VLOOKUP(F310,'Facility Summary'!J:K,2,FALSE)</f>
        <v>Unknown</v>
      </c>
      <c r="B310" s="28" t="s">
        <v>1285</v>
      </c>
      <c r="C310" s="28" t="s">
        <v>1286</v>
      </c>
      <c r="D310" s="28" t="s">
        <v>1171</v>
      </c>
      <c r="E310" s="28"/>
      <c r="F310" s="61">
        <v>110046184516</v>
      </c>
      <c r="G310" s="60" t="str">
        <f>VLOOKUP($F310, 'Raw Annual DMR Data'!$A:$Z, 24, FALSE)</f>
        <v>HI0110230</v>
      </c>
      <c r="H310" s="60" t="str">
        <f>VLOOKUP($F310, 'Raw Annual DMR Data'!$A:$Z, 25, FALSE)</f>
        <v>PEARL HARBOR</v>
      </c>
      <c r="I310" s="74">
        <f>VLOOKUP($F310, 'Raw Annual DMR Data'!$A:$Z, 26, FALSE)</f>
        <v>20060000000166</v>
      </c>
      <c r="J310" s="74" t="s">
        <v>265</v>
      </c>
      <c r="K310" s="60">
        <f>VLOOKUP(A310, 'OES Summary'!$A:$B, 2, FALSE)</f>
        <v>250</v>
      </c>
      <c r="L310" s="304" cm="1">
        <f t="array" ref="L310">IF(COUNTIF('Raw Annual DMR Data'!$L:$L,$F310)&gt;0,MEDIAN(IF('Raw Annual DMR Data'!$L:$L=F310,'Raw Annual DMR Data'!$S:$S)),"N/A - Facility Does Not Report DMRs")</f>
        <v>1.3504406874999999</v>
      </c>
      <c r="M310" s="156">
        <f t="shared" si="28"/>
        <v>5.4017627499999997E-3</v>
      </c>
      <c r="N310" s="156">
        <f>IF(COUNTIF('Raw Annual DMR Data'!$L:$L,$F310)&gt;0,_xlfn.MAXIFS('Raw Annual DMR Data'!$S:$S,'Raw Annual DMR Data'!$L:$L,$F310), "N/A - Facility Does Not Report DMRs")</f>
        <v>11.936375999999999</v>
      </c>
      <c r="O310" s="156">
        <f t="shared" si="29"/>
        <v>4.7745503999999994E-2</v>
      </c>
      <c r="P310" s="113" cm="1">
        <f t="array" ref="P310">IF(COUNTIF('Raw Annual DMR Data'!$L:$L,$F310)&gt;0,INDEX('Raw Annual DMR Data'!$B:$B,MATCH(1,($F310='Raw Annual DMR Data'!$L:$L)*($N310='Raw Annual DMR Data'!$S:$S),0)), "N/A - Facility Does Not Report DMRs")</f>
        <v>2017</v>
      </c>
      <c r="Q310" s="304" t="str" cm="1">
        <f t="array" ref="Q310">IF(COUNTIF('Raw TRI Data'!$J:$J,$E310)&gt;0,MEDIAN(IF('Raw TRI Data'!$J:$J=E310,'Raw TRI Data'!$S:$S)), "N/A - Facility Does Not Report to TRI")</f>
        <v>N/A - Facility Does Not Report to TRI</v>
      </c>
      <c r="R310" s="156" t="str">
        <f t="shared" si="26"/>
        <v>N/A - Facility Does Not Report to TRI</v>
      </c>
      <c r="S310" s="156" t="str">
        <f>IF(COUNTIF('Raw TRI Data'!$J:$J,$E310)&gt;0,_xlfn.MAXIFS('Raw TRI Data'!$S:$S,'Raw TRI Data'!$J:$J,$E310), "N/A - Facility Does Not Report to TRI")</f>
        <v>N/A - Facility Does Not Report to TRI</v>
      </c>
      <c r="T310" s="156" t="str">
        <f t="shared" si="27"/>
        <v>N/A - Facility Does Not Report to TRI</v>
      </c>
      <c r="U310" s="136" t="str" cm="1">
        <f t="array" ref="U310">IF(COUNTIF('Raw TRI Data'!$J:$J,$E310)&gt;0,INDEX('Raw TRI Data'!$A:$A,MATCH(1,($E310='Raw TRI Data'!$J:$J)*(S310='Raw TRI Data'!$S:$S),0)), "N/A - Facility Does Not Report to TRI")</f>
        <v>N/A - Facility Does Not Report to TRI</v>
      </c>
      <c r="V310" s="156" t="str" cm="1">
        <f t="array" ref="V310">IF(COUNTIFS('Raw Annual DMR Data'!$L:$L,$F310,'Raw Annual DMR Data'!$U:$U,"&gt;0")&gt;0,MEDIAN(IF('Raw Annual DMR Data'!$L:$L=$F310,'Raw Annual DMR Data'!$U:$U,"")),"N/A - Period DMR Data Not Available")</f>
        <v>N/A - Period DMR Data Not Available</v>
      </c>
      <c r="W310" s="156" t="str">
        <f>IF(COUNTIFS('Raw Annual DMR Data'!$L:$L,$F310, 'Raw Annual DMR Data'!$U:$U, "&gt;0")&gt;0,_xlfn.MAXIFS('Raw Annual DMR Data'!$U:$U,'Raw Annual DMR Data'!$L:$L,$F310), "N/A - Period DMR Data Not Available")</f>
        <v>N/A - Period DMR Data Not Available</v>
      </c>
      <c r="X310" s="113" t="str" cm="1">
        <f t="array" ref="X310">+IF(COUNTIFS('Raw Annual DMR Data'!L:L,$F310, 'Raw Annual DMR Data'!U:U, "&gt;0")&gt;0,INDEX('Raw Annual DMR Data'!V:V,MATCH(1,($F310='Raw Annual DMR Data'!L:L)*($W310='Raw Annual DMR Data'!U:U),0)), "N/A - Period DMR Data Not Available")</f>
        <v>N/A - Period DMR Data Not Available</v>
      </c>
      <c r="Y310" s="113" t="str" cm="1">
        <f t="array" ref="Y310">IF(COUNTIFS('Raw Annual DMR Data'!L:L,$F310, 'Raw Annual DMR Data'!U:U, "&gt;0")&gt;0,INDEX('Raw Annual DMR Data'!B:B,MATCH(1,($F310='Raw Annual DMR Data'!L:L)*($W310='Raw Annual DMR Data'!U:U),0)), "N/A - Period DMR Data Not Available")</f>
        <v>N/A - Period DMR Data Not Available</v>
      </c>
      <c r="Z310" s="311" t="str" cm="1">
        <f t="array" ref="Z310">IF(COUNTIF('Raw Annual DMR Data'!K:K,$E310)&gt;0,"N/A - See DMRs",IF(SUMIFS('Raw TRI Data'!$Z:$Z,'Raw TRI Data'!$J:$J,$E310)&gt;0,MEDIAN(IF('Raw TRI Data'!$J:$J=$E310,'Raw TRI Data'!$Z:$Z)), "N/A - Facility Does Not Report to TRI, no surface water releases, or no Generic Factors available"))</f>
        <v>N/A - Facility Does Not Report to TRI, no surface water releases, or no Generic Factors available</v>
      </c>
      <c r="AA310" s="156" t="str">
        <f>IF(COUNTIF('Raw Annual DMR Data'!K:K,$E310)&gt;0,"N/A - See DMRs",IF(SUMIFS('Raw TRI Data'!$Z:$Z,'Raw TRI Data'!$J:$J,$E310)&gt;0,_xlfn.MAXIFS('Raw TRI Data'!$Z:$Z,'Raw TRI Data'!$J:$J,$E310), "N/A - Facility Does Not Report to TRI, no surface water releases, or no Generic Factors available"))</f>
        <v>N/A - Facility Does Not Report to TRI, no surface water releases, or no Generic Factors available</v>
      </c>
      <c r="AB310" s="113" t="str">
        <f t="shared" si="30"/>
        <v>N/A</v>
      </c>
      <c r="AC310" s="136" t="str" cm="1">
        <f t="array" ref="AC310">IF(COUNTIF('Raw Annual DMR Data'!K:K,$E310)&gt;0,"N/A - See DMRs",IF(SUMIFS('Raw TRI Data'!$Z:$Z,'Raw TRI Data'!$J:$J,$E310)&gt;0,INDEX('Raw TRI Data'!$A:$A,MATCH(1,($E310='Raw TRI Data'!$J:$J)*($AA310='Raw TRI Data'!$Z:$Z),0)), "N/A - Facility Does Not Report to TRI, no surface water releases, or no Generic Factors available"))</f>
        <v>N/A - Facility Does Not Report to TRI, no surface water releases, or no Generic Factors available</v>
      </c>
      <c r="AD310" s="96" t="str" cm="1">
        <f t="array" ref="AD310">IF(COUNTIFS('Raw Annual DMR Data'!L:L,$F310,'Raw Annual DMR Data'!W:W, "&gt;0")&gt;0,MEDIAN(IF('Raw Annual DMR Data'!K:K=$F310, 'Raw Annual DMR Data'!W:W)), "N/A - No Daily Max DMR Discharge Data")</f>
        <v>N/A - No Daily Max DMR Discharge Data</v>
      </c>
      <c r="AE310" s="96" t="str">
        <f>IF(COUNTIFS('Raw Annual DMR Data'!L:L,$F310,'Raw Annual DMR Data'!W:W, "&gt;0")&gt;0,_xlfn.MAXIFS('Raw Annual DMR Data'!W:W,'Raw Annual DMR Data'!L:L,$F310), "N/A - No Daily Max DMR Discharge Data")</f>
        <v>N/A - No Daily Max DMR Discharge Data</v>
      </c>
      <c r="AF310" s="60" t="str" cm="1">
        <f t="array" ref="AF310">IF(COUNTIFS('Raw Annual DMR Data'!L:L,$F310,'Raw Annual DMR Data'!W:W, "&gt;0")&gt;0,INDEX('Raw Annual DMR Data'!B:B,MATCH(1,($F310='Raw Annual DMR Data'!L:L)*($AE310='Raw Annual DMR Data'!W:W),0)), "N/A - No Daily Max DMR Discharge Data")</f>
        <v>N/A - No Daily Max DMR Discharge Data</v>
      </c>
    </row>
    <row r="311" spans="1:32" ht="45.75" thickBot="1" x14ac:dyDescent="0.3">
      <c r="A311" s="144" t="str">
        <f>VLOOKUP(F311,'Facility Summary'!J:K,2,FALSE)</f>
        <v>Unknown</v>
      </c>
      <c r="B311" s="28" t="s">
        <v>1287</v>
      </c>
      <c r="C311" s="28" t="s">
        <v>1205</v>
      </c>
      <c r="D311" s="28" t="s">
        <v>374</v>
      </c>
      <c r="E311" s="28"/>
      <c r="F311" s="61">
        <v>110010062644</v>
      </c>
      <c r="G311" s="60" t="str">
        <f>VLOOKUP($F311, 'Raw Annual DMR Data'!$A:$Z, 24, FALSE)</f>
        <v>AZ0022756</v>
      </c>
      <c r="H311" s="60">
        <f>VLOOKUP($F311, 'Raw Annual DMR Data'!$A:$Z, 25, FALSE)</f>
        <v>0</v>
      </c>
      <c r="I311" s="74">
        <f>VLOOKUP($F311, 'Raw Annual DMR Data'!$A:$Z, 26, FALSE)</f>
        <v>15060106000200</v>
      </c>
      <c r="J311" s="74" t="s">
        <v>265</v>
      </c>
      <c r="K311" s="60">
        <f>VLOOKUP(A311, 'OES Summary'!$A:$B, 2, FALSE)</f>
        <v>250</v>
      </c>
      <c r="L311" s="304" cm="1">
        <f t="array" ref="L311">IF(COUNTIF('Raw Annual DMR Data'!$L:$L,$F311)&gt;0,MEDIAN(IF('Raw Annual DMR Data'!$L:$L=F311,'Raw Annual DMR Data'!$S:$S)),"N/A - Facility Does Not Report DMRs")</f>
        <v>9.4634462500000002E-3</v>
      </c>
      <c r="M311" s="156">
        <f t="shared" si="28"/>
        <v>3.7853784999999999E-5</v>
      </c>
      <c r="N311" s="156">
        <f>IF(COUNTIF('Raw Annual DMR Data'!$L:$L,$F311)&gt;0,_xlfn.MAXIFS('Raw Annual DMR Data'!$S:$S,'Raw Annual DMR Data'!$L:$L,$F311), "N/A - Facility Does Not Report DMRs")</f>
        <v>9.4634462500000002E-3</v>
      </c>
      <c r="O311" s="156">
        <f t="shared" si="29"/>
        <v>3.7853784999999999E-5</v>
      </c>
      <c r="P311" s="113" cm="1">
        <f t="array" ref="P311">IF(COUNTIF('Raw Annual DMR Data'!$L:$L,$F311)&gt;0,INDEX('Raw Annual DMR Data'!$B:$B,MATCH(1,($F311='Raw Annual DMR Data'!$L:$L)*($N311='Raw Annual DMR Data'!$S:$S),0)), "N/A - Facility Does Not Report DMRs")</f>
        <v>2015</v>
      </c>
      <c r="Q311" s="304" t="str" cm="1">
        <f t="array" ref="Q311">IF(COUNTIF('Raw TRI Data'!$J:$J,$E311)&gt;0,MEDIAN(IF('Raw TRI Data'!$J:$J=E311,'Raw TRI Data'!$S:$S)), "N/A - Facility Does Not Report to TRI")</f>
        <v>N/A - Facility Does Not Report to TRI</v>
      </c>
      <c r="R311" s="156" t="str">
        <f t="shared" si="26"/>
        <v>N/A - Facility Does Not Report to TRI</v>
      </c>
      <c r="S311" s="156" t="str">
        <f>IF(COUNTIF('Raw TRI Data'!$J:$J,$E311)&gt;0,_xlfn.MAXIFS('Raw TRI Data'!$S:$S,'Raw TRI Data'!$J:$J,$E311), "N/A - Facility Does Not Report to TRI")</f>
        <v>N/A - Facility Does Not Report to TRI</v>
      </c>
      <c r="T311" s="156" t="str">
        <f t="shared" si="27"/>
        <v>N/A - Facility Does Not Report to TRI</v>
      </c>
      <c r="U311" s="136" t="str" cm="1">
        <f t="array" ref="U311">IF(COUNTIF('Raw TRI Data'!$J:$J,$E311)&gt;0,INDEX('Raw TRI Data'!$A:$A,MATCH(1,($E311='Raw TRI Data'!$J:$J)*(S311='Raw TRI Data'!$S:$S),0)), "N/A - Facility Does Not Report to TRI")</f>
        <v>N/A - Facility Does Not Report to TRI</v>
      </c>
      <c r="V311" s="156" t="str" cm="1">
        <f t="array" ref="V311">IF(COUNTIFS('Raw Annual DMR Data'!$L:$L,$F311,'Raw Annual DMR Data'!$U:$U,"&gt;0")&gt;0,MEDIAN(IF('Raw Annual DMR Data'!$L:$L=$F311,'Raw Annual DMR Data'!$U:$U,"")),"N/A - Period DMR Data Not Available")</f>
        <v>N/A - Period DMR Data Not Available</v>
      </c>
      <c r="W311" s="156" t="str">
        <f>IF(COUNTIFS('Raw Annual DMR Data'!$L:$L,$F311, 'Raw Annual DMR Data'!$U:$U, "&gt;0")&gt;0,_xlfn.MAXIFS('Raw Annual DMR Data'!$U:$U,'Raw Annual DMR Data'!$L:$L,$F311), "N/A - Period DMR Data Not Available")</f>
        <v>N/A - Period DMR Data Not Available</v>
      </c>
      <c r="X311" s="113" t="str" cm="1">
        <f t="array" ref="X311">+IF(COUNTIFS('Raw Annual DMR Data'!L:L,$F311, 'Raw Annual DMR Data'!U:U, "&gt;0")&gt;0,INDEX('Raw Annual DMR Data'!V:V,MATCH(1,($F311='Raw Annual DMR Data'!L:L)*($W311='Raw Annual DMR Data'!U:U),0)), "N/A - Period DMR Data Not Available")</f>
        <v>N/A - Period DMR Data Not Available</v>
      </c>
      <c r="Y311" s="113" t="str" cm="1">
        <f t="array" ref="Y311">IF(COUNTIFS('Raw Annual DMR Data'!L:L,$F311, 'Raw Annual DMR Data'!U:U, "&gt;0")&gt;0,INDEX('Raw Annual DMR Data'!B:B,MATCH(1,($F311='Raw Annual DMR Data'!L:L)*($W311='Raw Annual DMR Data'!U:U),0)), "N/A - Period DMR Data Not Available")</f>
        <v>N/A - Period DMR Data Not Available</v>
      </c>
      <c r="Z311" s="311" t="str" cm="1">
        <f t="array" ref="Z311">IF(COUNTIF('Raw Annual DMR Data'!K:K,$E311)&gt;0,"N/A - See DMRs",IF(SUMIFS('Raw TRI Data'!$Z:$Z,'Raw TRI Data'!$J:$J,$E311)&gt;0,MEDIAN(IF('Raw TRI Data'!$J:$J=$E311,'Raw TRI Data'!$Z:$Z)), "N/A - Facility Does Not Report to TRI, no surface water releases, or no Generic Factors available"))</f>
        <v>N/A - Facility Does Not Report to TRI, no surface water releases, or no Generic Factors available</v>
      </c>
      <c r="AA311" s="156" t="str">
        <f>IF(COUNTIF('Raw Annual DMR Data'!K:K,$E311)&gt;0,"N/A - See DMRs",IF(SUMIFS('Raw TRI Data'!$Z:$Z,'Raw TRI Data'!$J:$J,$E311)&gt;0,_xlfn.MAXIFS('Raw TRI Data'!$Z:$Z,'Raw TRI Data'!$J:$J,$E311), "N/A - Facility Does Not Report to TRI, no surface water releases, or no Generic Factors available"))</f>
        <v>N/A - Facility Does Not Report to TRI, no surface water releases, or no Generic Factors available</v>
      </c>
      <c r="AB311" s="113" t="str">
        <f t="shared" si="30"/>
        <v>N/A</v>
      </c>
      <c r="AC311" s="136" t="str" cm="1">
        <f t="array" ref="AC311">IF(COUNTIF('Raw Annual DMR Data'!K:K,$E311)&gt;0,"N/A - See DMRs",IF(SUMIFS('Raw TRI Data'!$Z:$Z,'Raw TRI Data'!$J:$J,$E311)&gt;0,INDEX('Raw TRI Data'!$A:$A,MATCH(1,($E311='Raw TRI Data'!$J:$J)*($AA311='Raw TRI Data'!$Z:$Z),0)), "N/A - Facility Does Not Report to TRI, no surface water releases, or no Generic Factors available"))</f>
        <v>N/A - Facility Does Not Report to TRI, no surface water releases, or no Generic Factors available</v>
      </c>
      <c r="AD311" s="96" t="str" cm="1">
        <f t="array" ref="AD311">IF(COUNTIFS('Raw Annual DMR Data'!L:L,$F311,'Raw Annual DMR Data'!W:W, "&gt;0")&gt;0,MEDIAN(IF('Raw Annual DMR Data'!K:K=$F311, 'Raw Annual DMR Data'!W:W)), "N/A - No Daily Max DMR Discharge Data")</f>
        <v>N/A - No Daily Max DMR Discharge Data</v>
      </c>
      <c r="AE311" s="96" t="str">
        <f>IF(COUNTIFS('Raw Annual DMR Data'!L:L,$F311,'Raw Annual DMR Data'!W:W, "&gt;0")&gt;0,_xlfn.MAXIFS('Raw Annual DMR Data'!W:W,'Raw Annual DMR Data'!L:L,$F311), "N/A - No Daily Max DMR Discharge Data")</f>
        <v>N/A - No Daily Max DMR Discharge Data</v>
      </c>
      <c r="AF311" s="60" t="str" cm="1">
        <f t="array" ref="AF311">IF(COUNTIFS('Raw Annual DMR Data'!L:L,$F311,'Raw Annual DMR Data'!W:W, "&gt;0")&gt;0,INDEX('Raw Annual DMR Data'!B:B,MATCH(1,($F311='Raw Annual DMR Data'!L:L)*($AE311='Raw Annual DMR Data'!W:W),0)), "N/A - No Daily Max DMR Discharge Data")</f>
        <v>N/A - No Daily Max DMR Discharge Data</v>
      </c>
    </row>
    <row r="312" spans="1:32" ht="45.75" thickBot="1" x14ac:dyDescent="0.3">
      <c r="A312" s="144" t="str">
        <f>VLOOKUP(F312,'Facility Summary'!J:K,2,FALSE)</f>
        <v>POTW</v>
      </c>
      <c r="B312" s="28" t="s">
        <v>1288</v>
      </c>
      <c r="C312" s="28" t="s">
        <v>966</v>
      </c>
      <c r="D312" s="28" t="s">
        <v>491</v>
      </c>
      <c r="E312" s="28"/>
      <c r="F312" s="61">
        <v>110000540610</v>
      </c>
      <c r="G312" s="60" t="str">
        <f>VLOOKUP($F312, 'Raw Annual DMR Data'!$A:$Z, 24, FALSE)</f>
        <v>PA0026662</v>
      </c>
      <c r="H312" s="60" t="str">
        <f>VLOOKUP($F312, 'Raw Annual DMR Data'!$A:$Z, 25, FALSE)</f>
        <v>DELAWARE RIVER</v>
      </c>
      <c r="I312" s="74">
        <f>VLOOKUP($F312, 'Raw Annual DMR Data'!$A:$Z, 26, FALSE)</f>
        <v>2040202000077</v>
      </c>
      <c r="J312" s="74" t="s">
        <v>265</v>
      </c>
      <c r="K312" s="60">
        <f>VLOOKUP(A312, 'OES Summary'!$A:$B, 2, FALSE)</f>
        <v>365</v>
      </c>
      <c r="L312" s="304" cm="1">
        <f t="array" ref="L312">IF(COUNTIF('Raw Annual DMR Data'!$L:$L,$F312)&gt;0,MEDIAN(IF('Raw Annual DMR Data'!$L:$L=F312,'Raw Annual DMR Data'!$S:$S)),"N/A - Facility Does Not Report DMRs")</f>
        <v>109.233112875</v>
      </c>
      <c r="M312" s="156">
        <f t="shared" si="28"/>
        <v>0.29926880239726028</v>
      </c>
      <c r="N312" s="156">
        <f>IF(COUNTIF('Raw Annual DMR Data'!$L:$L,$F312)&gt;0,_xlfn.MAXIFS('Raw Annual DMR Data'!$S:$S,'Raw Annual DMR Data'!$L:$L,$F312), "N/A - Facility Does Not Report DMRs")</f>
        <v>265.36635000000001</v>
      </c>
      <c r="O312" s="156">
        <f t="shared" si="29"/>
        <v>0.72703109589041104</v>
      </c>
      <c r="P312" s="113" cm="1">
        <f t="array" ref="P312">IF(COUNTIF('Raw Annual DMR Data'!$L:$L,$F312)&gt;0,INDEX('Raw Annual DMR Data'!$B:$B,MATCH(1,($F312='Raw Annual DMR Data'!$L:$L)*($N312='Raw Annual DMR Data'!$S:$S),0)), "N/A - Facility Does Not Report DMRs")</f>
        <v>2015</v>
      </c>
      <c r="Q312" s="304" t="str" cm="1">
        <f t="array" ref="Q312">IF(COUNTIF('Raw TRI Data'!$J:$J,$E312)&gt;0,MEDIAN(IF('Raw TRI Data'!$J:$J=E312,'Raw TRI Data'!$S:$S)), "N/A - Facility Does Not Report to TRI")</f>
        <v>N/A - Facility Does Not Report to TRI</v>
      </c>
      <c r="R312" s="156" t="str">
        <f t="shared" si="26"/>
        <v>N/A - Facility Does Not Report to TRI</v>
      </c>
      <c r="S312" s="156" t="str">
        <f>IF(COUNTIF('Raw TRI Data'!$J:$J,$E312)&gt;0,_xlfn.MAXIFS('Raw TRI Data'!$S:$S,'Raw TRI Data'!$J:$J,$E312), "N/A - Facility Does Not Report to TRI")</f>
        <v>N/A - Facility Does Not Report to TRI</v>
      </c>
      <c r="T312" s="156" t="str">
        <f t="shared" si="27"/>
        <v>N/A - Facility Does Not Report to TRI</v>
      </c>
      <c r="U312" s="136" t="str" cm="1">
        <f t="array" ref="U312">IF(COUNTIF('Raw TRI Data'!$J:$J,$E312)&gt;0,INDEX('Raw TRI Data'!$A:$A,MATCH(1,($E312='Raw TRI Data'!$J:$J)*(S312='Raw TRI Data'!$S:$S),0)), "N/A - Facility Does Not Report to TRI")</f>
        <v>N/A - Facility Does Not Report to TRI</v>
      </c>
      <c r="V312" s="156" t="str" cm="1">
        <f t="array" ref="V312">IF(COUNTIFS('Raw Annual DMR Data'!$L:$L,$F312,'Raw Annual DMR Data'!$U:$U,"&gt;0")&gt;0,MEDIAN(IF('Raw Annual DMR Data'!$L:$L=$F312,'Raw Annual DMR Data'!$U:$U,"")),"N/A - Period DMR Data Not Available")</f>
        <v>N/A - Period DMR Data Not Available</v>
      </c>
      <c r="W312" s="156" t="str">
        <f>IF(COUNTIFS('Raw Annual DMR Data'!$L:$L,$F312, 'Raw Annual DMR Data'!$U:$U, "&gt;0")&gt;0,_xlfn.MAXIFS('Raw Annual DMR Data'!$U:$U,'Raw Annual DMR Data'!$L:$L,$F312), "N/A - Period DMR Data Not Available")</f>
        <v>N/A - Period DMR Data Not Available</v>
      </c>
      <c r="X312" s="113" t="str" cm="1">
        <f t="array" ref="X312">+IF(COUNTIFS('Raw Annual DMR Data'!L:L,$F312, 'Raw Annual DMR Data'!U:U, "&gt;0")&gt;0,INDEX('Raw Annual DMR Data'!V:V,MATCH(1,($F312='Raw Annual DMR Data'!L:L)*($W312='Raw Annual DMR Data'!U:U),0)), "N/A - Period DMR Data Not Available")</f>
        <v>N/A - Period DMR Data Not Available</v>
      </c>
      <c r="Y312" s="113" t="str" cm="1">
        <f t="array" ref="Y312">IF(COUNTIFS('Raw Annual DMR Data'!L:L,$F312, 'Raw Annual DMR Data'!U:U, "&gt;0")&gt;0,INDEX('Raw Annual DMR Data'!B:B,MATCH(1,($F312='Raw Annual DMR Data'!L:L)*($W312='Raw Annual DMR Data'!U:U),0)), "N/A - Period DMR Data Not Available")</f>
        <v>N/A - Period DMR Data Not Available</v>
      </c>
      <c r="Z312" s="311" t="str" cm="1">
        <f t="array" ref="Z312">IF(COUNTIF('Raw Annual DMR Data'!K:K,$E312)&gt;0,"N/A - See DMRs",IF(SUMIFS('Raw TRI Data'!$Z:$Z,'Raw TRI Data'!$J:$J,$E312)&gt;0,MEDIAN(IF('Raw TRI Data'!$J:$J=$E312,'Raw TRI Data'!$Z:$Z)), "N/A - Facility Does Not Report to TRI, no surface water releases, or no Generic Factors available"))</f>
        <v>N/A - Facility Does Not Report to TRI, no surface water releases, or no Generic Factors available</v>
      </c>
      <c r="AA312" s="156" t="str">
        <f>IF(COUNTIF('Raw Annual DMR Data'!K:K,$E312)&gt;0,"N/A - See DMRs",IF(SUMIFS('Raw TRI Data'!$Z:$Z,'Raw TRI Data'!$J:$J,$E312)&gt;0,_xlfn.MAXIFS('Raw TRI Data'!$Z:$Z,'Raw TRI Data'!$J:$J,$E312), "N/A - Facility Does Not Report to TRI, no surface water releases, or no Generic Factors available"))</f>
        <v>N/A - Facility Does Not Report to TRI, no surface water releases, or no Generic Factors available</v>
      </c>
      <c r="AB312" s="113" t="str">
        <f t="shared" si="30"/>
        <v>N/A</v>
      </c>
      <c r="AC312" s="136" t="str" cm="1">
        <f t="array" ref="AC312">IF(COUNTIF('Raw Annual DMR Data'!K:K,$E312)&gt;0,"N/A - See DMRs",IF(SUMIFS('Raw TRI Data'!$Z:$Z,'Raw TRI Data'!$J:$J,$E312)&gt;0,INDEX('Raw TRI Data'!$A:$A,MATCH(1,($E312='Raw TRI Data'!$J:$J)*($AA312='Raw TRI Data'!$Z:$Z),0)), "N/A - Facility Does Not Report to TRI, no surface water releases, or no Generic Factors available"))</f>
        <v>N/A - Facility Does Not Report to TRI, no surface water releases, or no Generic Factors available</v>
      </c>
      <c r="AD312" s="96" t="str" cm="1">
        <f t="array" ref="AD312">IF(COUNTIFS('Raw Annual DMR Data'!L:L,$F312,'Raw Annual DMR Data'!W:W, "&gt;0")&gt;0,MEDIAN(IF('Raw Annual DMR Data'!K:K=$F312, 'Raw Annual DMR Data'!W:W)), "N/A - No Daily Max DMR Discharge Data")</f>
        <v>N/A - No Daily Max DMR Discharge Data</v>
      </c>
      <c r="AE312" s="96" t="str">
        <f>IF(COUNTIFS('Raw Annual DMR Data'!L:L,$F312,'Raw Annual DMR Data'!W:W, "&gt;0")&gt;0,_xlfn.MAXIFS('Raw Annual DMR Data'!W:W,'Raw Annual DMR Data'!L:L,$F312), "N/A - No Daily Max DMR Discharge Data")</f>
        <v>N/A - No Daily Max DMR Discharge Data</v>
      </c>
      <c r="AF312" s="60" t="str" cm="1">
        <f t="array" ref="AF312">IF(COUNTIFS('Raw Annual DMR Data'!L:L,$F312,'Raw Annual DMR Data'!W:W, "&gt;0")&gt;0,INDEX('Raw Annual DMR Data'!B:B,MATCH(1,($F312='Raw Annual DMR Data'!L:L)*($AE312='Raw Annual DMR Data'!W:W),0)), "N/A - No Daily Max DMR Discharge Data")</f>
        <v>N/A - No Daily Max DMR Discharge Data</v>
      </c>
    </row>
    <row r="313" spans="1:32" ht="45.75" thickBot="1" x14ac:dyDescent="0.3">
      <c r="A313" s="144" t="str">
        <f>VLOOKUP(F313,'Facility Summary'!J:K,2,FALSE)</f>
        <v>POTW</v>
      </c>
      <c r="B313" s="28" t="s">
        <v>1289</v>
      </c>
      <c r="C313" s="28" t="s">
        <v>966</v>
      </c>
      <c r="D313" s="28" t="s">
        <v>491</v>
      </c>
      <c r="E313" s="28"/>
      <c r="F313" s="61">
        <v>110000542119</v>
      </c>
      <c r="G313" s="60" t="str">
        <f>VLOOKUP($F313, 'Raw Annual DMR Data'!$A:$Z, 24, FALSE)</f>
        <v>PA0026671</v>
      </c>
      <c r="H313" s="60" t="str">
        <f>VLOOKUP($F313, 'Raw Annual DMR Data'!$A:$Z, 25, FALSE)</f>
        <v>COBBS CREEK, DELAWARE RIVER, INDIAN CREEK, SCHUYLKILL RIVER, UNNAMED STREAM, UNNAMED TRIB OF SCHUYLKILL RIVER, UNNAMED TRIB TO COBBS CREEK, WEST BRANCH INDIAN CREEK</v>
      </c>
      <c r="I313" s="74">
        <f>VLOOKUP($F313, 'Raw Annual DMR Data'!$A:$Z, 26, FALSE)</f>
        <v>2040203009681</v>
      </c>
      <c r="J313" s="74" t="s">
        <v>265</v>
      </c>
      <c r="K313" s="60">
        <f>VLOOKUP(A313, 'OES Summary'!$A:$B, 2, FALSE)</f>
        <v>365</v>
      </c>
      <c r="L313" s="304" cm="1">
        <f t="array" ref="L313">IF(COUNTIF('Raw Annual DMR Data'!$L:$L,$F313)&gt;0,MEDIAN(IF('Raw Annual DMR Data'!$L:$L=F313,'Raw Annual DMR Data'!$S:$S)),"N/A - Facility Does Not Report DMRs")</f>
        <v>243.30718074999999</v>
      </c>
      <c r="M313" s="156">
        <f t="shared" si="28"/>
        <v>0.66659501575342461</v>
      </c>
      <c r="N313" s="156">
        <f>IF(COUNTIF('Raw Annual DMR Data'!$L:$L,$F313)&gt;0,_xlfn.MAXIFS('Raw Annual DMR Data'!$S:$S,'Raw Annual DMR Data'!$L:$L,$F313), "N/A - Facility Does Not Report DMRs")</f>
        <v>563.87037499999997</v>
      </c>
      <c r="O313" s="156">
        <f t="shared" si="29"/>
        <v>1.5448503424657534</v>
      </c>
      <c r="P313" s="113" cm="1">
        <f t="array" ref="P313">IF(COUNTIF('Raw Annual DMR Data'!$L:$L,$F313)&gt;0,INDEX('Raw Annual DMR Data'!$B:$B,MATCH(1,($F313='Raw Annual DMR Data'!$L:$L)*($N313='Raw Annual DMR Data'!$S:$S),0)), "N/A - Facility Does Not Report DMRs")</f>
        <v>2015</v>
      </c>
      <c r="Q313" s="304" t="str" cm="1">
        <f t="array" ref="Q313">IF(COUNTIF('Raw TRI Data'!$J:$J,$E313)&gt;0,MEDIAN(IF('Raw TRI Data'!$J:$J=E313,'Raw TRI Data'!$S:$S)), "N/A - Facility Does Not Report to TRI")</f>
        <v>N/A - Facility Does Not Report to TRI</v>
      </c>
      <c r="R313" s="156" t="str">
        <f t="shared" si="26"/>
        <v>N/A - Facility Does Not Report to TRI</v>
      </c>
      <c r="S313" s="156" t="str">
        <f>IF(COUNTIF('Raw TRI Data'!$J:$J,$E313)&gt;0,_xlfn.MAXIFS('Raw TRI Data'!$S:$S,'Raw TRI Data'!$J:$J,$E313), "N/A - Facility Does Not Report to TRI")</f>
        <v>N/A - Facility Does Not Report to TRI</v>
      </c>
      <c r="T313" s="156" t="str">
        <f t="shared" si="27"/>
        <v>N/A - Facility Does Not Report to TRI</v>
      </c>
      <c r="U313" s="136" t="str" cm="1">
        <f t="array" ref="U313">IF(COUNTIF('Raw TRI Data'!$J:$J,$E313)&gt;0,INDEX('Raw TRI Data'!$A:$A,MATCH(1,($E313='Raw TRI Data'!$J:$J)*(S313='Raw TRI Data'!$S:$S),0)), "N/A - Facility Does Not Report to TRI")</f>
        <v>N/A - Facility Does Not Report to TRI</v>
      </c>
      <c r="V313" s="156" t="str" cm="1">
        <f t="array" ref="V313">IF(COUNTIFS('Raw Annual DMR Data'!$L:$L,$F313,'Raw Annual DMR Data'!$U:$U,"&gt;0")&gt;0,MEDIAN(IF('Raw Annual DMR Data'!$L:$L=$F313,'Raw Annual DMR Data'!$U:$U,"")),"N/A - Period DMR Data Not Available")</f>
        <v>N/A - Period DMR Data Not Available</v>
      </c>
      <c r="W313" s="156" t="str">
        <f>IF(COUNTIFS('Raw Annual DMR Data'!$L:$L,$F313, 'Raw Annual DMR Data'!$U:$U, "&gt;0")&gt;0,_xlfn.MAXIFS('Raw Annual DMR Data'!$U:$U,'Raw Annual DMR Data'!$L:$L,$F313), "N/A - Period DMR Data Not Available")</f>
        <v>N/A - Period DMR Data Not Available</v>
      </c>
      <c r="X313" s="113" t="str" cm="1">
        <f t="array" ref="X313">+IF(COUNTIFS('Raw Annual DMR Data'!L:L,$F313, 'Raw Annual DMR Data'!U:U, "&gt;0")&gt;0,INDEX('Raw Annual DMR Data'!V:V,MATCH(1,($F313='Raw Annual DMR Data'!L:L)*($W313='Raw Annual DMR Data'!U:U),0)), "N/A - Period DMR Data Not Available")</f>
        <v>N/A - Period DMR Data Not Available</v>
      </c>
      <c r="Y313" s="113" t="str" cm="1">
        <f t="array" ref="Y313">IF(COUNTIFS('Raw Annual DMR Data'!L:L,$F313, 'Raw Annual DMR Data'!U:U, "&gt;0")&gt;0,INDEX('Raw Annual DMR Data'!B:B,MATCH(1,($F313='Raw Annual DMR Data'!L:L)*($W313='Raw Annual DMR Data'!U:U),0)), "N/A - Period DMR Data Not Available")</f>
        <v>N/A - Period DMR Data Not Available</v>
      </c>
      <c r="Z313" s="311" t="str" cm="1">
        <f t="array" ref="Z313">IF(COUNTIF('Raw Annual DMR Data'!K:K,$E313)&gt;0,"N/A - See DMRs",IF(SUMIFS('Raw TRI Data'!$Z:$Z,'Raw TRI Data'!$J:$J,$E313)&gt;0,MEDIAN(IF('Raw TRI Data'!$J:$J=$E313,'Raw TRI Data'!$Z:$Z)), "N/A - Facility Does Not Report to TRI, no surface water releases, or no Generic Factors available"))</f>
        <v>N/A - Facility Does Not Report to TRI, no surface water releases, or no Generic Factors available</v>
      </c>
      <c r="AA313" s="156" t="str">
        <f>IF(COUNTIF('Raw Annual DMR Data'!K:K,$E313)&gt;0,"N/A - See DMRs",IF(SUMIFS('Raw TRI Data'!$Z:$Z,'Raw TRI Data'!$J:$J,$E313)&gt;0,_xlfn.MAXIFS('Raw TRI Data'!$Z:$Z,'Raw TRI Data'!$J:$J,$E313), "N/A - Facility Does Not Report to TRI, no surface water releases, or no Generic Factors available"))</f>
        <v>N/A - Facility Does Not Report to TRI, no surface water releases, or no Generic Factors available</v>
      </c>
      <c r="AB313" s="113" t="str">
        <f t="shared" si="30"/>
        <v>N/A</v>
      </c>
      <c r="AC313" s="136" t="str" cm="1">
        <f t="array" ref="AC313">IF(COUNTIF('Raw Annual DMR Data'!K:K,$E313)&gt;0,"N/A - See DMRs",IF(SUMIFS('Raw TRI Data'!$Z:$Z,'Raw TRI Data'!$J:$J,$E313)&gt;0,INDEX('Raw TRI Data'!$A:$A,MATCH(1,($E313='Raw TRI Data'!$J:$J)*($AA313='Raw TRI Data'!$Z:$Z),0)), "N/A - Facility Does Not Report to TRI, no surface water releases, or no Generic Factors available"))</f>
        <v>N/A - Facility Does Not Report to TRI, no surface water releases, or no Generic Factors available</v>
      </c>
      <c r="AD313" s="96" t="str" cm="1">
        <f t="array" ref="AD313">IF(COUNTIFS('Raw Annual DMR Data'!L:L,$F313,'Raw Annual DMR Data'!W:W, "&gt;0")&gt;0,MEDIAN(IF('Raw Annual DMR Data'!K:K=$F313, 'Raw Annual DMR Data'!W:W)), "N/A - No Daily Max DMR Discharge Data")</f>
        <v>N/A - No Daily Max DMR Discharge Data</v>
      </c>
      <c r="AE313" s="96" t="str">
        <f>IF(COUNTIFS('Raw Annual DMR Data'!L:L,$F313,'Raw Annual DMR Data'!W:W, "&gt;0")&gt;0,_xlfn.MAXIFS('Raw Annual DMR Data'!W:W,'Raw Annual DMR Data'!L:L,$F313), "N/A - No Daily Max DMR Discharge Data")</f>
        <v>N/A - No Daily Max DMR Discharge Data</v>
      </c>
      <c r="AF313" s="60" t="str" cm="1">
        <f t="array" ref="AF313">IF(COUNTIFS('Raw Annual DMR Data'!L:L,$F313,'Raw Annual DMR Data'!W:W, "&gt;0")&gt;0,INDEX('Raw Annual DMR Data'!B:B,MATCH(1,($F313='Raw Annual DMR Data'!L:L)*($AE313='Raw Annual DMR Data'!W:W),0)), "N/A - No Daily Max DMR Discharge Data")</f>
        <v>N/A - No Daily Max DMR Discharge Data</v>
      </c>
    </row>
    <row r="314" spans="1:32" ht="30.75" thickBot="1" x14ac:dyDescent="0.3">
      <c r="A314" s="144" t="str">
        <f>VLOOKUP(F314,'Facility Summary'!J:K,2,FALSE)</f>
        <v>Unknown</v>
      </c>
      <c r="B314" s="28" t="s">
        <v>1290</v>
      </c>
      <c r="C314" s="28" t="s">
        <v>544</v>
      </c>
      <c r="D314" s="28" t="s">
        <v>338</v>
      </c>
      <c r="E314" s="28" t="s">
        <v>730</v>
      </c>
      <c r="F314" s="61">
        <v>110041133163</v>
      </c>
      <c r="G314" s="60" t="str">
        <f>VLOOKUP($F314, 'Raw Annual DMR Data'!$A:$Z, 24, FALSE)</f>
        <v>NJ0001511</v>
      </c>
      <c r="H314" s="60" t="str">
        <f>VLOOKUP($F314, 'Raw Annual DMR Data'!$A:$Z, 25, FALSE)</f>
        <v>MORSES CREEK</v>
      </c>
      <c r="I314" s="74">
        <f>VLOOKUP($F314, 'Raw Annual DMR Data'!$A:$Z, 26, FALSE)</f>
        <v>2030104000282</v>
      </c>
      <c r="J314" s="74" t="s">
        <v>265</v>
      </c>
      <c r="K314" s="60">
        <f>VLOOKUP(A314, 'OES Summary'!$A:$B, 2, FALSE)</f>
        <v>250</v>
      </c>
      <c r="L314" s="304" cm="1">
        <f t="array" ref="L314">IF(COUNTIF('Raw Annual DMR Data'!$L:$L,$F314)&gt;0,MEDIAN(IF('Raw Annual DMR Data'!$L:$L=F314,'Raw Annual DMR Data'!$S:$S)),"N/A - Facility Does Not Report DMRs")</f>
        <v>1.9975000000000001</v>
      </c>
      <c r="M314" s="156">
        <f t="shared" si="28"/>
        <v>7.9900000000000006E-3</v>
      </c>
      <c r="N314" s="156">
        <f>IF(COUNTIF('Raw Annual DMR Data'!$L:$L,$F314)&gt;0,_xlfn.MAXIFS('Raw Annual DMR Data'!$S:$S,'Raw Annual DMR Data'!$L:$L,$F314), "N/A - Facility Does Not Report DMRs")</f>
        <v>2.46</v>
      </c>
      <c r="O314" s="156">
        <f t="shared" si="29"/>
        <v>9.8399999999999998E-3</v>
      </c>
      <c r="P314" s="113" cm="1">
        <f t="array" ref="P314">IF(COUNTIF('Raw Annual DMR Data'!$L:$L,$F314)&gt;0,INDEX('Raw Annual DMR Data'!$B:$B,MATCH(1,($F314='Raw Annual DMR Data'!$L:$L)*($N314='Raw Annual DMR Data'!$S:$S),0)), "N/A - Facility Does Not Report DMRs")</f>
        <v>2024</v>
      </c>
      <c r="Q314" s="304" t="str" cm="1">
        <f t="array" ref="Q314">IF(COUNTIF('Raw TRI Data'!$J:$J,$E314)&gt;0,MEDIAN(IF('Raw TRI Data'!$J:$J=E314,'Raw TRI Data'!$S:$S)), "N/A - Facility Does Not Report to TRI")</f>
        <v>N/A - Facility Does Not Report to TRI</v>
      </c>
      <c r="R314" s="156" t="str">
        <f t="shared" si="26"/>
        <v>N/A - Facility Does Not Report to TRI</v>
      </c>
      <c r="S314" s="156" t="str">
        <f>IF(COUNTIF('Raw TRI Data'!$J:$J,$E314)&gt;0,_xlfn.MAXIFS('Raw TRI Data'!$S:$S,'Raw TRI Data'!$J:$J,$E314), "N/A - Facility Does Not Report to TRI")</f>
        <v>N/A - Facility Does Not Report to TRI</v>
      </c>
      <c r="T314" s="156" t="str">
        <f t="shared" si="27"/>
        <v>N/A - Facility Does Not Report to TRI</v>
      </c>
      <c r="U314" s="136" t="str" cm="1">
        <f t="array" ref="U314">IF(COUNTIF('Raw TRI Data'!$J:$J,$E314)&gt;0,INDEX('Raw TRI Data'!$A:$A,MATCH(1,($E314='Raw TRI Data'!$J:$J)*(S314='Raw TRI Data'!$S:$S),0)), "N/A - Facility Does Not Report to TRI")</f>
        <v>N/A - Facility Does Not Report to TRI</v>
      </c>
      <c r="V314" s="156" t="str" cm="1">
        <f t="array" ref="V314">IF(COUNTIFS('Raw Annual DMR Data'!$L:$L,$F314,'Raw Annual DMR Data'!$U:$U,"&gt;0")&gt;0,MEDIAN(IF('Raw Annual DMR Data'!$L:$L=$F314,'Raw Annual DMR Data'!$U:$U,"")),"N/A - Period DMR Data Not Available")</f>
        <v>N/A - Period DMR Data Not Available</v>
      </c>
      <c r="W314" s="156" t="str">
        <f>IF(COUNTIFS('Raw Annual DMR Data'!$L:$L,$F314, 'Raw Annual DMR Data'!$U:$U, "&gt;0")&gt;0,_xlfn.MAXIFS('Raw Annual DMR Data'!$U:$U,'Raw Annual DMR Data'!$L:$L,$F314), "N/A - Period DMR Data Not Available")</f>
        <v>N/A - Period DMR Data Not Available</v>
      </c>
      <c r="X314" s="113" t="str" cm="1">
        <f t="array" ref="X314">+IF(COUNTIFS('Raw Annual DMR Data'!L:L,$F314, 'Raw Annual DMR Data'!U:U, "&gt;0")&gt;0,INDEX('Raw Annual DMR Data'!V:V,MATCH(1,($F314='Raw Annual DMR Data'!L:L)*($W314='Raw Annual DMR Data'!U:U),0)), "N/A - Period DMR Data Not Available")</f>
        <v>N/A - Period DMR Data Not Available</v>
      </c>
      <c r="Y314" s="113" t="str" cm="1">
        <f t="array" ref="Y314">IF(COUNTIFS('Raw Annual DMR Data'!L:L,$F314, 'Raw Annual DMR Data'!U:U, "&gt;0")&gt;0,INDEX('Raw Annual DMR Data'!B:B,MATCH(1,($F314='Raw Annual DMR Data'!L:L)*($W314='Raw Annual DMR Data'!U:U),0)), "N/A - Period DMR Data Not Available")</f>
        <v>N/A - Period DMR Data Not Available</v>
      </c>
      <c r="Z314" s="311" t="str" cm="1">
        <f t="array" ref="Z314">IF(COUNTIF('Raw Annual DMR Data'!K:K,$E314)&gt;0,"N/A - See DMRs",IF(SUMIFS('Raw TRI Data'!$Z:$Z,'Raw TRI Data'!$J:$J,$E314)&gt;0,MEDIAN(IF('Raw TRI Data'!$J:$J=$E314,'Raw TRI Data'!$Z:$Z)), "N/A - Facility Does Not Report to TRI, no surface water releases, or no Generic Factors available"))</f>
        <v>N/A - See DMRs</v>
      </c>
      <c r="AA314" s="156" t="str">
        <f>IF(COUNTIF('Raw Annual DMR Data'!K:K,$E314)&gt;0,"N/A - See DMRs",IF(SUMIFS('Raw TRI Data'!$Z:$Z,'Raw TRI Data'!$J:$J,$E314)&gt;0,_xlfn.MAXIFS('Raw TRI Data'!$Z:$Z,'Raw TRI Data'!$J:$J,$E314), "N/A - Facility Does Not Report to TRI, no surface water releases, or no Generic Factors available"))</f>
        <v>N/A - See DMRs</v>
      </c>
      <c r="AB314" s="113" t="str">
        <f t="shared" si="30"/>
        <v>N/A</v>
      </c>
      <c r="AC314" s="136" t="str" cm="1">
        <f t="array" ref="AC314">IF(COUNTIF('Raw Annual DMR Data'!K:K,$E314)&gt;0,"N/A - See DMRs",IF(SUMIFS('Raw TRI Data'!$Z:$Z,'Raw TRI Data'!$J:$J,$E314)&gt;0,INDEX('Raw TRI Data'!$A:$A,MATCH(1,($E314='Raw TRI Data'!$J:$J)*($AA314='Raw TRI Data'!$Z:$Z),0)), "N/A - Facility Does Not Report to TRI, no surface water releases, or no Generic Factors available"))</f>
        <v>N/A - See DMRs</v>
      </c>
      <c r="AD314" s="96" t="str" cm="1">
        <f t="array" ref="AD314">IF(COUNTIFS('Raw Annual DMR Data'!L:L,$F314,'Raw Annual DMR Data'!W:W, "&gt;0")&gt;0,MEDIAN(IF('Raw Annual DMR Data'!K:K=$F314, 'Raw Annual DMR Data'!W:W)), "N/A - No Daily Max DMR Discharge Data")</f>
        <v>N/A - No Daily Max DMR Discharge Data</v>
      </c>
      <c r="AE314" s="96" t="str">
        <f>IF(COUNTIFS('Raw Annual DMR Data'!L:L,$F314,'Raw Annual DMR Data'!W:W, "&gt;0")&gt;0,_xlfn.MAXIFS('Raw Annual DMR Data'!W:W,'Raw Annual DMR Data'!L:L,$F314), "N/A - No Daily Max DMR Discharge Data")</f>
        <v>N/A - No Daily Max DMR Discharge Data</v>
      </c>
      <c r="AF314" s="60" t="str" cm="1">
        <f t="array" ref="AF314">IF(COUNTIFS('Raw Annual DMR Data'!L:L,$F314,'Raw Annual DMR Data'!W:W, "&gt;0")&gt;0,INDEX('Raw Annual DMR Data'!B:B,MATCH(1,($F314='Raw Annual DMR Data'!L:L)*($AE314='Raw Annual DMR Data'!W:W),0)), "N/A - No Daily Max DMR Discharge Data")</f>
        <v>N/A - No Daily Max DMR Discharge Data</v>
      </c>
    </row>
    <row r="315" spans="1:32" ht="45.75" thickBot="1" x14ac:dyDescent="0.3">
      <c r="A315" s="144" t="str">
        <f>VLOOKUP(F315,'Facility Summary'!J:K,2,FALSE)</f>
        <v>Repackaging</v>
      </c>
      <c r="B315" s="28" t="s">
        <v>1291</v>
      </c>
      <c r="C315" s="28" t="s">
        <v>1292</v>
      </c>
      <c r="D315" s="28" t="s">
        <v>366</v>
      </c>
      <c r="E315" s="28"/>
      <c r="F315" s="61">
        <v>110028004175</v>
      </c>
      <c r="G315" s="60" t="str">
        <f>VLOOKUP($F315, 'Raw Annual DMR Data'!$A:$Z, 24, FALSE)</f>
        <v>CA0059846</v>
      </c>
      <c r="H315" s="60" t="str">
        <f>VLOOKUP($F315, 'Raw Annual DMR Data'!$A:$Z, 25, FALSE)</f>
        <v>DOMINGUEZ CHANNEL</v>
      </c>
      <c r="I315" s="74">
        <f>VLOOKUP($F315, 'Raw Annual DMR Data'!$A:$Z, 26, FALSE)</f>
        <v>18070105000116</v>
      </c>
      <c r="J315" s="74" t="s">
        <v>265</v>
      </c>
      <c r="K315" s="60">
        <f>VLOOKUP(A315, 'OES Summary'!$A:$B, 2, FALSE)</f>
        <v>250</v>
      </c>
      <c r="L315" s="304" cm="1">
        <f t="array" ref="L315">IF(COUNTIF('Raw Annual DMR Data'!$L:$L,$F315)&gt;0,MEDIAN(IF('Raw Annual DMR Data'!$L:$L=F315,'Raw Annual DMR Data'!$S:$S)),"N/A - Facility Does Not Report DMRs")</f>
        <v>1.3193563749999901E-3</v>
      </c>
      <c r="M315" s="156">
        <f t="shared" si="28"/>
        <v>5.2774254999999604E-6</v>
      </c>
      <c r="N315" s="156">
        <f>IF(COUNTIF('Raw Annual DMR Data'!$L:$L,$F315)&gt;0,_xlfn.MAXIFS('Raw Annual DMR Data'!$S:$S,'Raw Annual DMR Data'!$L:$L,$F315), "N/A - Facility Does Not Report DMRs")</f>
        <v>1.3193563749999901E-3</v>
      </c>
      <c r="O315" s="156">
        <f t="shared" si="29"/>
        <v>5.2774254999999604E-6</v>
      </c>
      <c r="P315" s="113" cm="1">
        <f t="array" ref="P315">IF(COUNTIF('Raw Annual DMR Data'!$L:$L,$F315)&gt;0,INDEX('Raw Annual DMR Data'!$B:$B,MATCH(1,($F315='Raw Annual DMR Data'!$L:$L)*($N315='Raw Annual DMR Data'!$S:$S),0)), "N/A - Facility Does Not Report DMRs")</f>
        <v>2018</v>
      </c>
      <c r="Q315" s="304" t="str" cm="1">
        <f t="array" ref="Q315">IF(COUNTIF('Raw TRI Data'!$J:$J,$E315)&gt;0,MEDIAN(IF('Raw TRI Data'!$J:$J=E315,'Raw TRI Data'!$S:$S)), "N/A - Facility Does Not Report to TRI")</f>
        <v>N/A - Facility Does Not Report to TRI</v>
      </c>
      <c r="R315" s="156" t="str">
        <f t="shared" si="26"/>
        <v>N/A - Facility Does Not Report to TRI</v>
      </c>
      <c r="S315" s="156" t="str">
        <f>IF(COUNTIF('Raw TRI Data'!$J:$J,$E315)&gt;0,_xlfn.MAXIFS('Raw TRI Data'!$S:$S,'Raw TRI Data'!$J:$J,$E315), "N/A - Facility Does Not Report to TRI")</f>
        <v>N/A - Facility Does Not Report to TRI</v>
      </c>
      <c r="T315" s="156" t="str">
        <f t="shared" si="27"/>
        <v>N/A - Facility Does Not Report to TRI</v>
      </c>
      <c r="U315" s="136" t="str" cm="1">
        <f t="array" ref="U315">IF(COUNTIF('Raw TRI Data'!$J:$J,$E315)&gt;0,INDEX('Raw TRI Data'!$A:$A,MATCH(1,($E315='Raw TRI Data'!$J:$J)*(S315='Raw TRI Data'!$S:$S),0)), "N/A - Facility Does Not Report to TRI")</f>
        <v>N/A - Facility Does Not Report to TRI</v>
      </c>
      <c r="V315" s="156" t="str" cm="1">
        <f t="array" ref="V315">IF(COUNTIFS('Raw Annual DMR Data'!$L:$L,$F315,'Raw Annual DMR Data'!$U:$U,"&gt;0")&gt;0,MEDIAN(IF('Raw Annual DMR Data'!$L:$L=$F315,'Raw Annual DMR Data'!$U:$U,"")),"N/A - Period DMR Data Not Available")</f>
        <v>N/A - Period DMR Data Not Available</v>
      </c>
      <c r="W315" s="156" t="str">
        <f>IF(COUNTIFS('Raw Annual DMR Data'!$L:$L,$F315, 'Raw Annual DMR Data'!$U:$U, "&gt;0")&gt;0,_xlfn.MAXIFS('Raw Annual DMR Data'!$U:$U,'Raw Annual DMR Data'!$L:$L,$F315), "N/A - Period DMR Data Not Available")</f>
        <v>N/A - Period DMR Data Not Available</v>
      </c>
      <c r="X315" s="113" t="str" cm="1">
        <f t="array" ref="X315">+IF(COUNTIFS('Raw Annual DMR Data'!L:L,$F315, 'Raw Annual DMR Data'!U:U, "&gt;0")&gt;0,INDEX('Raw Annual DMR Data'!V:V,MATCH(1,($F315='Raw Annual DMR Data'!L:L)*($W315='Raw Annual DMR Data'!U:U),0)), "N/A - Period DMR Data Not Available")</f>
        <v>N/A - Period DMR Data Not Available</v>
      </c>
      <c r="Y315" s="113" t="str" cm="1">
        <f t="array" ref="Y315">IF(COUNTIFS('Raw Annual DMR Data'!L:L,$F315, 'Raw Annual DMR Data'!U:U, "&gt;0")&gt;0,INDEX('Raw Annual DMR Data'!B:B,MATCH(1,($F315='Raw Annual DMR Data'!L:L)*($W315='Raw Annual DMR Data'!U:U),0)), "N/A - Period DMR Data Not Available")</f>
        <v>N/A - Period DMR Data Not Available</v>
      </c>
      <c r="Z315" s="311" t="str" cm="1">
        <f t="array" ref="Z315">IF(COUNTIF('Raw Annual DMR Data'!K:K,$E315)&gt;0,"N/A - See DMRs",IF(SUMIFS('Raw TRI Data'!$Z:$Z,'Raw TRI Data'!$J:$J,$E315)&gt;0,MEDIAN(IF('Raw TRI Data'!$J:$J=$E315,'Raw TRI Data'!$Z:$Z)), "N/A - Facility Does Not Report to TRI, no surface water releases, or no Generic Factors available"))</f>
        <v>N/A - Facility Does Not Report to TRI, no surface water releases, or no Generic Factors available</v>
      </c>
      <c r="AA315" s="156" t="str">
        <f>IF(COUNTIF('Raw Annual DMR Data'!K:K,$E315)&gt;0,"N/A - See DMRs",IF(SUMIFS('Raw TRI Data'!$Z:$Z,'Raw TRI Data'!$J:$J,$E315)&gt;0,_xlfn.MAXIFS('Raw TRI Data'!$Z:$Z,'Raw TRI Data'!$J:$J,$E315), "N/A - Facility Does Not Report to TRI, no surface water releases, or no Generic Factors available"))</f>
        <v>N/A - Facility Does Not Report to TRI, no surface water releases, or no Generic Factors available</v>
      </c>
      <c r="AB315" s="113" t="str">
        <f t="shared" si="30"/>
        <v>N/A</v>
      </c>
      <c r="AC315" s="136" t="str" cm="1">
        <f t="array" ref="AC315">IF(COUNTIF('Raw Annual DMR Data'!K:K,$E315)&gt;0,"N/A - See DMRs",IF(SUMIFS('Raw TRI Data'!$Z:$Z,'Raw TRI Data'!$J:$J,$E315)&gt;0,INDEX('Raw TRI Data'!$A:$A,MATCH(1,($E315='Raw TRI Data'!$J:$J)*($AA315='Raw TRI Data'!$Z:$Z),0)), "N/A - Facility Does Not Report to TRI, no surface water releases, or no Generic Factors available"))</f>
        <v>N/A - Facility Does Not Report to TRI, no surface water releases, or no Generic Factors available</v>
      </c>
      <c r="AD315" s="96" t="str" cm="1">
        <f t="array" ref="AD315">IF(COUNTIFS('Raw Annual DMR Data'!L:L,$F315,'Raw Annual DMR Data'!W:W, "&gt;0")&gt;0,MEDIAN(IF('Raw Annual DMR Data'!K:K=$F315, 'Raw Annual DMR Data'!W:W)), "N/A - No Daily Max DMR Discharge Data")</f>
        <v>N/A - No Daily Max DMR Discharge Data</v>
      </c>
      <c r="AE315" s="96" t="str">
        <f>IF(COUNTIFS('Raw Annual DMR Data'!L:L,$F315,'Raw Annual DMR Data'!W:W, "&gt;0")&gt;0,_xlfn.MAXIFS('Raw Annual DMR Data'!W:W,'Raw Annual DMR Data'!L:L,$F315), "N/A - No Daily Max DMR Discharge Data")</f>
        <v>N/A - No Daily Max DMR Discharge Data</v>
      </c>
      <c r="AF315" s="60" t="str" cm="1">
        <f t="array" ref="AF315">IF(COUNTIFS('Raw Annual DMR Data'!L:L,$F315,'Raw Annual DMR Data'!W:W, "&gt;0")&gt;0,INDEX('Raw Annual DMR Data'!B:B,MATCH(1,($F315='Raw Annual DMR Data'!L:L)*($AE315='Raw Annual DMR Data'!W:W),0)), "N/A - No Daily Max DMR Discharge Data")</f>
        <v>N/A - No Daily Max DMR Discharge Data</v>
      </c>
    </row>
    <row r="316" spans="1:32" ht="45.75" thickBot="1" x14ac:dyDescent="0.3">
      <c r="A316" s="144" t="str">
        <f>VLOOKUP(F316,'Facility Summary'!J:K,2,FALSE)</f>
        <v>POTW</v>
      </c>
      <c r="B316" s="28" t="s">
        <v>1293</v>
      </c>
      <c r="C316" s="28" t="s">
        <v>1294</v>
      </c>
      <c r="D316" s="28" t="s">
        <v>324</v>
      </c>
      <c r="E316" s="28"/>
      <c r="F316" s="61">
        <v>110006644872</v>
      </c>
      <c r="G316" s="60" t="str">
        <f>VLOOKUP($F316, 'Raw Annual DMR Data'!$A:$Z, 24, FALSE)</f>
        <v>KY0025291</v>
      </c>
      <c r="H316" s="60" t="str">
        <f>VLOOKUP($F316, 'Raw Annual DMR Data'!$A:$Z, 25, FALSE)</f>
        <v>LEVISA FORK / BIG SANDY RIVER, LEVISA FORK OF BIG SANDY RIVER</v>
      </c>
      <c r="I316" s="74" t="str">
        <f>VLOOKUP($F316, 'Raw Annual DMR Data'!$A:$Z, 26, FALSE)</f>
        <v>05070203000244</v>
      </c>
      <c r="J316" s="74" t="s">
        <v>265</v>
      </c>
      <c r="K316" s="60">
        <f>VLOOKUP(A316, 'OES Summary'!$A:$B, 2, FALSE)</f>
        <v>365</v>
      </c>
      <c r="L316" s="304" cm="1">
        <f t="array" ref="L316">IF(COUNTIF('Raw Annual DMR Data'!$L:$L,$F316)&gt;0,MEDIAN(IF('Raw Annual DMR Data'!$L:$L=F316,'Raw Annual DMR Data'!$S:$S)),"N/A - Facility Does Not Report DMRs")</f>
        <v>1.3628744125000001</v>
      </c>
      <c r="M316" s="156">
        <f t="shared" si="28"/>
        <v>3.7339025000000001E-3</v>
      </c>
      <c r="N316" s="156">
        <f>IF(COUNTIF('Raw Annual DMR Data'!$L:$L,$F316)&gt;0,_xlfn.MAXIFS('Raw Annual DMR Data'!$S:$S,'Raw Annual DMR Data'!$L:$L,$F316), "N/A - Facility Does Not Report DMRs")</f>
        <v>8.3305957500000005</v>
      </c>
      <c r="O316" s="156">
        <f t="shared" si="29"/>
        <v>2.2823550000000001E-2</v>
      </c>
      <c r="P316" s="113" cm="1">
        <f t="array" ref="P316">IF(COUNTIF('Raw Annual DMR Data'!$L:$L,$F316)&gt;0,INDEX('Raw Annual DMR Data'!$B:$B,MATCH(1,($F316='Raw Annual DMR Data'!$L:$L)*($N316='Raw Annual DMR Data'!$S:$S),0)), "N/A - Facility Does Not Report DMRs")</f>
        <v>2018</v>
      </c>
      <c r="Q316" s="304" t="str" cm="1">
        <f t="array" ref="Q316">IF(COUNTIF('Raw TRI Data'!$J:$J,$E316)&gt;0,MEDIAN(IF('Raw TRI Data'!$J:$J=E316,'Raw TRI Data'!$S:$S)), "N/A - Facility Does Not Report to TRI")</f>
        <v>N/A - Facility Does Not Report to TRI</v>
      </c>
      <c r="R316" s="156" t="str">
        <f t="shared" si="26"/>
        <v>N/A - Facility Does Not Report to TRI</v>
      </c>
      <c r="S316" s="156" t="str">
        <f>IF(COUNTIF('Raw TRI Data'!$J:$J,$E316)&gt;0,_xlfn.MAXIFS('Raw TRI Data'!$S:$S,'Raw TRI Data'!$J:$J,$E316), "N/A - Facility Does Not Report to TRI")</f>
        <v>N/A - Facility Does Not Report to TRI</v>
      </c>
      <c r="T316" s="156" t="str">
        <f t="shared" si="27"/>
        <v>N/A - Facility Does Not Report to TRI</v>
      </c>
      <c r="U316" s="136" t="str" cm="1">
        <f t="array" ref="U316">IF(COUNTIF('Raw TRI Data'!$J:$J,$E316)&gt;0,INDEX('Raw TRI Data'!$A:$A,MATCH(1,($E316='Raw TRI Data'!$J:$J)*(S316='Raw TRI Data'!$S:$S),0)), "N/A - Facility Does Not Report to TRI")</f>
        <v>N/A - Facility Does Not Report to TRI</v>
      </c>
      <c r="V316" s="156" t="str" cm="1">
        <f t="array" ref="V316">IF(COUNTIFS('Raw Annual DMR Data'!$L:$L,$F316,'Raw Annual DMR Data'!$U:$U,"&gt;0")&gt;0,MEDIAN(IF('Raw Annual DMR Data'!$L:$L=$F316,'Raw Annual DMR Data'!$U:$U,"")),"N/A - Period DMR Data Not Available")</f>
        <v>N/A - Period DMR Data Not Available</v>
      </c>
      <c r="W316" s="156" t="str">
        <f>IF(COUNTIFS('Raw Annual DMR Data'!$L:$L,$F316, 'Raw Annual DMR Data'!$U:$U, "&gt;0")&gt;0,_xlfn.MAXIFS('Raw Annual DMR Data'!$U:$U,'Raw Annual DMR Data'!$L:$L,$F316), "N/A - Period DMR Data Not Available")</f>
        <v>N/A - Period DMR Data Not Available</v>
      </c>
      <c r="X316" s="113" t="str" cm="1">
        <f t="array" ref="X316">+IF(COUNTIFS('Raw Annual DMR Data'!L:L,$F316, 'Raw Annual DMR Data'!U:U, "&gt;0")&gt;0,INDEX('Raw Annual DMR Data'!V:V,MATCH(1,($F316='Raw Annual DMR Data'!L:L)*($W316='Raw Annual DMR Data'!U:U),0)), "N/A - Period DMR Data Not Available")</f>
        <v>N/A - Period DMR Data Not Available</v>
      </c>
      <c r="Y316" s="113" t="str" cm="1">
        <f t="array" ref="Y316">IF(COUNTIFS('Raw Annual DMR Data'!L:L,$F316, 'Raw Annual DMR Data'!U:U, "&gt;0")&gt;0,INDEX('Raw Annual DMR Data'!B:B,MATCH(1,($F316='Raw Annual DMR Data'!L:L)*($W316='Raw Annual DMR Data'!U:U),0)), "N/A - Period DMR Data Not Available")</f>
        <v>N/A - Period DMR Data Not Available</v>
      </c>
      <c r="Z316" s="311" t="str" cm="1">
        <f t="array" ref="Z316">IF(COUNTIF('Raw Annual DMR Data'!K:K,$E316)&gt;0,"N/A - See DMRs",IF(SUMIFS('Raw TRI Data'!$Z:$Z,'Raw TRI Data'!$J:$J,$E316)&gt;0,MEDIAN(IF('Raw TRI Data'!$J:$J=$E316,'Raw TRI Data'!$Z:$Z)), "N/A - Facility Does Not Report to TRI, no surface water releases, or no Generic Factors available"))</f>
        <v>N/A - Facility Does Not Report to TRI, no surface water releases, or no Generic Factors available</v>
      </c>
      <c r="AA316" s="156" t="str">
        <f>IF(COUNTIF('Raw Annual DMR Data'!K:K,$E316)&gt;0,"N/A - See DMRs",IF(SUMIFS('Raw TRI Data'!$Z:$Z,'Raw TRI Data'!$J:$J,$E316)&gt;0,_xlfn.MAXIFS('Raw TRI Data'!$Z:$Z,'Raw TRI Data'!$J:$J,$E316), "N/A - Facility Does Not Report to TRI, no surface water releases, or no Generic Factors available"))</f>
        <v>N/A - Facility Does Not Report to TRI, no surface water releases, or no Generic Factors available</v>
      </c>
      <c r="AB316" s="113" t="str">
        <f t="shared" si="30"/>
        <v>N/A</v>
      </c>
      <c r="AC316" s="136" t="str" cm="1">
        <f t="array" ref="AC316">IF(COUNTIF('Raw Annual DMR Data'!K:K,$E316)&gt;0,"N/A - See DMRs",IF(SUMIFS('Raw TRI Data'!$Z:$Z,'Raw TRI Data'!$J:$J,$E316)&gt;0,INDEX('Raw TRI Data'!$A:$A,MATCH(1,($E316='Raw TRI Data'!$J:$J)*($AA316='Raw TRI Data'!$Z:$Z),0)), "N/A - Facility Does Not Report to TRI, no surface water releases, or no Generic Factors available"))</f>
        <v>N/A - Facility Does Not Report to TRI, no surface water releases, or no Generic Factors available</v>
      </c>
      <c r="AD316" s="96" t="str" cm="1">
        <f t="array" ref="AD316">IF(COUNTIFS('Raw Annual DMR Data'!L:L,$F316,'Raw Annual DMR Data'!W:W, "&gt;0")&gt;0,MEDIAN(IF('Raw Annual DMR Data'!K:K=$F316, 'Raw Annual DMR Data'!W:W)), "N/A - No Daily Max DMR Discharge Data")</f>
        <v>N/A - No Daily Max DMR Discharge Data</v>
      </c>
      <c r="AE316" s="96" t="str">
        <f>IF(COUNTIFS('Raw Annual DMR Data'!L:L,$F316,'Raw Annual DMR Data'!W:W, "&gt;0")&gt;0,_xlfn.MAXIFS('Raw Annual DMR Data'!W:W,'Raw Annual DMR Data'!L:L,$F316), "N/A - No Daily Max DMR Discharge Data")</f>
        <v>N/A - No Daily Max DMR Discharge Data</v>
      </c>
      <c r="AF316" s="60" t="str" cm="1">
        <f t="array" ref="AF316">IF(COUNTIFS('Raw Annual DMR Data'!L:L,$F316,'Raw Annual DMR Data'!W:W, "&gt;0")&gt;0,INDEX('Raw Annual DMR Data'!B:B,MATCH(1,($F316='Raw Annual DMR Data'!L:L)*($AE316='Raw Annual DMR Data'!W:W),0)), "N/A - No Daily Max DMR Discharge Data")</f>
        <v>N/A - No Daily Max DMR Discharge Data</v>
      </c>
    </row>
    <row r="317" spans="1:32" ht="45.75" thickBot="1" x14ac:dyDescent="0.3">
      <c r="A317" s="144" t="str">
        <f>VLOOKUP(F317,'Facility Summary'!J:K,2,FALSE)</f>
        <v>POTW</v>
      </c>
      <c r="B317" s="28" t="s">
        <v>1295</v>
      </c>
      <c r="C317" s="28" t="s">
        <v>964</v>
      </c>
      <c r="D317" s="28" t="s">
        <v>374</v>
      </c>
      <c r="E317" s="28"/>
      <c r="F317" s="61">
        <v>110039276404</v>
      </c>
      <c r="G317" s="60" t="str">
        <f>VLOOKUP($F317, 'Raw Annual DMR Data'!$A:$Z, 24, FALSE)</f>
        <v>AZ0020001</v>
      </c>
      <c r="H317" s="60">
        <f>VLOOKUP($F317, 'Raw Annual DMR Data'!$A:$Z, 25, FALSE)</f>
        <v>0</v>
      </c>
      <c r="I317" s="74">
        <f>VLOOKUP($F317, 'Raw Annual DMR Data'!$A:$Z, 26, FALSE)</f>
        <v>15060106000338</v>
      </c>
      <c r="J317" s="74" t="s">
        <v>265</v>
      </c>
      <c r="K317" s="60">
        <f>VLOOKUP(A317, 'OES Summary'!$A:$B, 2, FALSE)</f>
        <v>365</v>
      </c>
      <c r="L317" s="304" cm="1">
        <f t="array" ref="L317">IF(COUNTIF('Raw Annual DMR Data'!$L:$L,$F317)&gt;0,MEDIAN(IF('Raw Annual DMR Data'!$L:$L=F317,'Raw Annual DMR Data'!$S:$S)),"N/A - Facility Does Not Report DMRs")</f>
        <v>1.8276374958749999</v>
      </c>
      <c r="M317" s="156">
        <f t="shared" si="28"/>
        <v>5.0072260160958903E-3</v>
      </c>
      <c r="N317" s="156">
        <f>IF(COUNTIF('Raw Annual DMR Data'!$L:$L,$F317)&gt;0,_xlfn.MAXIFS('Raw Annual DMR Data'!$S:$S,'Raw Annual DMR Data'!$L:$L,$F317), "N/A - Facility Does Not Report DMRs")</f>
        <v>3.4681822525000001</v>
      </c>
      <c r="O317" s="156">
        <f t="shared" si="29"/>
        <v>9.5018691849315072E-3</v>
      </c>
      <c r="P317" s="113" cm="1">
        <f t="array" ref="P317">IF(COUNTIF('Raw Annual DMR Data'!$L:$L,$F317)&gt;0,INDEX('Raw Annual DMR Data'!$B:$B,MATCH(1,($F317='Raw Annual DMR Data'!$L:$L)*($N317='Raw Annual DMR Data'!$S:$S),0)), "N/A - Facility Does Not Report DMRs")</f>
        <v>2018</v>
      </c>
      <c r="Q317" s="304" t="str" cm="1">
        <f t="array" ref="Q317">IF(COUNTIF('Raw TRI Data'!$J:$J,$E317)&gt;0,MEDIAN(IF('Raw TRI Data'!$J:$J=E317,'Raw TRI Data'!$S:$S)), "N/A - Facility Does Not Report to TRI")</f>
        <v>N/A - Facility Does Not Report to TRI</v>
      </c>
      <c r="R317" s="156" t="str">
        <f t="shared" si="26"/>
        <v>N/A - Facility Does Not Report to TRI</v>
      </c>
      <c r="S317" s="156" t="str">
        <f>IF(COUNTIF('Raw TRI Data'!$J:$J,$E317)&gt;0,_xlfn.MAXIFS('Raw TRI Data'!$S:$S,'Raw TRI Data'!$J:$J,$E317), "N/A - Facility Does Not Report to TRI")</f>
        <v>N/A - Facility Does Not Report to TRI</v>
      </c>
      <c r="T317" s="156" t="str">
        <f t="shared" si="27"/>
        <v>N/A - Facility Does Not Report to TRI</v>
      </c>
      <c r="U317" s="136" t="str" cm="1">
        <f t="array" ref="U317">IF(COUNTIF('Raw TRI Data'!$J:$J,$E317)&gt;0,INDEX('Raw TRI Data'!$A:$A,MATCH(1,($E317='Raw TRI Data'!$J:$J)*(S317='Raw TRI Data'!$S:$S),0)), "N/A - Facility Does Not Report to TRI")</f>
        <v>N/A - Facility Does Not Report to TRI</v>
      </c>
      <c r="V317" s="156" t="str" cm="1">
        <f t="array" ref="V317">IF(COUNTIFS('Raw Annual DMR Data'!$L:$L,$F317,'Raw Annual DMR Data'!$U:$U,"&gt;0")&gt;0,MEDIAN(IF('Raw Annual DMR Data'!$L:$L=$F317,'Raw Annual DMR Data'!$U:$U,"")),"N/A - Period DMR Data Not Available")</f>
        <v>N/A - Period DMR Data Not Available</v>
      </c>
      <c r="W317" s="156" t="str">
        <f>IF(COUNTIFS('Raw Annual DMR Data'!$L:$L,$F317, 'Raw Annual DMR Data'!$U:$U, "&gt;0")&gt;0,_xlfn.MAXIFS('Raw Annual DMR Data'!$U:$U,'Raw Annual DMR Data'!$L:$L,$F317), "N/A - Period DMR Data Not Available")</f>
        <v>N/A - Period DMR Data Not Available</v>
      </c>
      <c r="X317" s="113" t="str" cm="1">
        <f t="array" ref="X317">+IF(COUNTIFS('Raw Annual DMR Data'!L:L,$F317, 'Raw Annual DMR Data'!U:U, "&gt;0")&gt;0,INDEX('Raw Annual DMR Data'!V:V,MATCH(1,($F317='Raw Annual DMR Data'!L:L)*($W317='Raw Annual DMR Data'!U:U),0)), "N/A - Period DMR Data Not Available")</f>
        <v>N/A - Period DMR Data Not Available</v>
      </c>
      <c r="Y317" s="113" t="str" cm="1">
        <f t="array" ref="Y317">IF(COUNTIFS('Raw Annual DMR Data'!L:L,$F317, 'Raw Annual DMR Data'!U:U, "&gt;0")&gt;0,INDEX('Raw Annual DMR Data'!B:B,MATCH(1,($F317='Raw Annual DMR Data'!L:L)*($W317='Raw Annual DMR Data'!U:U),0)), "N/A - Period DMR Data Not Available")</f>
        <v>N/A - Period DMR Data Not Available</v>
      </c>
      <c r="Z317" s="311" t="str" cm="1">
        <f t="array" ref="Z317">IF(COUNTIF('Raw Annual DMR Data'!K:K,$E317)&gt;0,"N/A - See DMRs",IF(SUMIFS('Raw TRI Data'!$Z:$Z,'Raw TRI Data'!$J:$J,$E317)&gt;0,MEDIAN(IF('Raw TRI Data'!$J:$J=$E317,'Raw TRI Data'!$Z:$Z)), "N/A - Facility Does Not Report to TRI, no surface water releases, or no Generic Factors available"))</f>
        <v>N/A - Facility Does Not Report to TRI, no surface water releases, or no Generic Factors available</v>
      </c>
      <c r="AA317" s="156" t="str">
        <f>IF(COUNTIF('Raw Annual DMR Data'!K:K,$E317)&gt;0,"N/A - See DMRs",IF(SUMIFS('Raw TRI Data'!$Z:$Z,'Raw TRI Data'!$J:$J,$E317)&gt;0,_xlfn.MAXIFS('Raw TRI Data'!$Z:$Z,'Raw TRI Data'!$J:$J,$E317), "N/A - Facility Does Not Report to TRI, no surface water releases, or no Generic Factors available"))</f>
        <v>N/A - Facility Does Not Report to TRI, no surface water releases, or no Generic Factors available</v>
      </c>
      <c r="AB317" s="113" t="str">
        <f t="shared" si="30"/>
        <v>N/A</v>
      </c>
      <c r="AC317" s="136" t="str" cm="1">
        <f t="array" ref="AC317">IF(COUNTIF('Raw Annual DMR Data'!K:K,$E317)&gt;0,"N/A - See DMRs",IF(SUMIFS('Raw TRI Data'!$Z:$Z,'Raw TRI Data'!$J:$J,$E317)&gt;0,INDEX('Raw TRI Data'!$A:$A,MATCH(1,($E317='Raw TRI Data'!$J:$J)*($AA317='Raw TRI Data'!$Z:$Z),0)), "N/A - Facility Does Not Report to TRI, no surface water releases, or no Generic Factors available"))</f>
        <v>N/A - Facility Does Not Report to TRI, no surface water releases, or no Generic Factors available</v>
      </c>
      <c r="AD317" s="96" t="str" cm="1">
        <f t="array" ref="AD317">IF(COUNTIFS('Raw Annual DMR Data'!L:L,$F317,'Raw Annual DMR Data'!W:W, "&gt;0")&gt;0,MEDIAN(IF('Raw Annual DMR Data'!K:K=$F317, 'Raw Annual DMR Data'!W:W)), "N/A - No Daily Max DMR Discharge Data")</f>
        <v>N/A - No Daily Max DMR Discharge Data</v>
      </c>
      <c r="AE317" s="96" t="str">
        <f>IF(COUNTIFS('Raw Annual DMR Data'!L:L,$F317,'Raw Annual DMR Data'!W:W, "&gt;0")&gt;0,_xlfn.MAXIFS('Raw Annual DMR Data'!W:W,'Raw Annual DMR Data'!L:L,$F317), "N/A - No Daily Max DMR Discharge Data")</f>
        <v>N/A - No Daily Max DMR Discharge Data</v>
      </c>
      <c r="AF317" s="60" t="str" cm="1">
        <f t="array" ref="AF317">IF(COUNTIFS('Raw Annual DMR Data'!L:L,$F317,'Raw Annual DMR Data'!W:W, "&gt;0")&gt;0,INDEX('Raw Annual DMR Data'!B:B,MATCH(1,($F317='Raw Annual DMR Data'!L:L)*($AE317='Raw Annual DMR Data'!W:W),0)), "N/A - No Daily Max DMR Discharge Data")</f>
        <v>N/A - No Daily Max DMR Discharge Data</v>
      </c>
    </row>
    <row r="318" spans="1:32" ht="45.75" thickBot="1" x14ac:dyDescent="0.3">
      <c r="A318" s="144" t="str">
        <f>VLOOKUP(F318,'Facility Summary'!J:K,2,FALSE)</f>
        <v>POTW</v>
      </c>
      <c r="B318" s="28" t="s">
        <v>1296</v>
      </c>
      <c r="C318" s="28" t="s">
        <v>1297</v>
      </c>
      <c r="D318" s="28" t="s">
        <v>374</v>
      </c>
      <c r="E318" s="28"/>
      <c r="F318" s="61">
        <v>110024409460</v>
      </c>
      <c r="G318" s="60" t="str">
        <f>VLOOKUP($F318, 'Raw Annual DMR Data'!$A:$Z, 24, FALSE)</f>
        <v>NN0024228</v>
      </c>
      <c r="H318" s="60" t="str">
        <f>VLOOKUP($F318, 'Raw Annual DMR Data'!$A:$Z, 25, FALSE)</f>
        <v>WEPO WASH</v>
      </c>
      <c r="I318" s="74">
        <f>VLOOKUP($F318, 'Raw Annual DMR Data'!$A:$Z, 26, FALSE)</f>
        <v>15020011000140</v>
      </c>
      <c r="J318" s="74" t="s">
        <v>265</v>
      </c>
      <c r="K318" s="60">
        <f>VLOOKUP(A318, 'OES Summary'!$A:$B, 2, FALSE)</f>
        <v>365</v>
      </c>
      <c r="L318" s="304" cm="1">
        <f t="array" ref="L318">IF(COUNTIF('Raw Annual DMR Data'!$L:$L,$F318)&gt;0,MEDIAN(IF('Raw Annual DMR Data'!$L:$L=F318,'Raw Annual DMR Data'!$S:$S)),"N/A - Facility Does Not Report DMRs")</f>
        <v>0.68060356</v>
      </c>
      <c r="M318" s="156">
        <f t="shared" si="28"/>
        <v>1.8646672876712329E-3</v>
      </c>
      <c r="N318" s="156">
        <f>IF(COUNTIF('Raw Annual DMR Data'!$L:$L,$F318)&gt;0,_xlfn.MAXIFS('Raw Annual DMR Data'!$S:$S,'Raw Annual DMR Data'!$L:$L,$F318), "N/A - Facility Does Not Report DMRs")</f>
        <v>0.68060356</v>
      </c>
      <c r="O318" s="156">
        <f t="shared" si="29"/>
        <v>1.8646672876712329E-3</v>
      </c>
      <c r="P318" s="113" cm="1">
        <f t="array" ref="P318">IF(COUNTIF('Raw Annual DMR Data'!$L:$L,$F318)&gt;0,INDEX('Raw Annual DMR Data'!$B:$B,MATCH(1,($F318='Raw Annual DMR Data'!$L:$L)*($N318='Raw Annual DMR Data'!$S:$S),0)), "N/A - Facility Does Not Report DMRs")</f>
        <v>2015</v>
      </c>
      <c r="Q318" s="304" t="str" cm="1">
        <f t="array" ref="Q318">IF(COUNTIF('Raw TRI Data'!$J:$J,$E318)&gt;0,MEDIAN(IF('Raw TRI Data'!$J:$J=E318,'Raw TRI Data'!$S:$S)), "N/A - Facility Does Not Report to TRI")</f>
        <v>N/A - Facility Does Not Report to TRI</v>
      </c>
      <c r="R318" s="156" t="str">
        <f t="shared" si="26"/>
        <v>N/A - Facility Does Not Report to TRI</v>
      </c>
      <c r="S318" s="156" t="str">
        <f>IF(COUNTIF('Raw TRI Data'!$J:$J,$E318)&gt;0,_xlfn.MAXIFS('Raw TRI Data'!$S:$S,'Raw TRI Data'!$J:$J,$E318), "N/A - Facility Does Not Report to TRI")</f>
        <v>N/A - Facility Does Not Report to TRI</v>
      </c>
      <c r="T318" s="156" t="str">
        <f t="shared" si="27"/>
        <v>N/A - Facility Does Not Report to TRI</v>
      </c>
      <c r="U318" s="136" t="str" cm="1">
        <f t="array" ref="U318">IF(COUNTIF('Raw TRI Data'!$J:$J,$E318)&gt;0,INDEX('Raw TRI Data'!$A:$A,MATCH(1,($E318='Raw TRI Data'!$J:$J)*(S318='Raw TRI Data'!$S:$S),0)), "N/A - Facility Does Not Report to TRI")</f>
        <v>N/A - Facility Does Not Report to TRI</v>
      </c>
      <c r="V318" s="156" t="str" cm="1">
        <f t="array" ref="V318">IF(COUNTIFS('Raw Annual DMR Data'!$L:$L,$F318,'Raw Annual DMR Data'!$U:$U,"&gt;0")&gt;0,MEDIAN(IF('Raw Annual DMR Data'!$L:$L=$F318,'Raw Annual DMR Data'!$U:$U,"")),"N/A - Period DMR Data Not Available")</f>
        <v>N/A - Period DMR Data Not Available</v>
      </c>
      <c r="W318" s="156" t="str">
        <f>IF(COUNTIFS('Raw Annual DMR Data'!$L:$L,$F318, 'Raw Annual DMR Data'!$U:$U, "&gt;0")&gt;0,_xlfn.MAXIFS('Raw Annual DMR Data'!$U:$U,'Raw Annual DMR Data'!$L:$L,$F318), "N/A - Period DMR Data Not Available")</f>
        <v>N/A - Period DMR Data Not Available</v>
      </c>
      <c r="X318" s="113" t="str" cm="1">
        <f t="array" ref="X318">+IF(COUNTIFS('Raw Annual DMR Data'!L:L,$F318, 'Raw Annual DMR Data'!U:U, "&gt;0")&gt;0,INDEX('Raw Annual DMR Data'!V:V,MATCH(1,($F318='Raw Annual DMR Data'!L:L)*($W318='Raw Annual DMR Data'!U:U),0)), "N/A - Period DMR Data Not Available")</f>
        <v>N/A - Period DMR Data Not Available</v>
      </c>
      <c r="Y318" s="113" t="str" cm="1">
        <f t="array" ref="Y318">IF(COUNTIFS('Raw Annual DMR Data'!L:L,$F318, 'Raw Annual DMR Data'!U:U, "&gt;0")&gt;0,INDEX('Raw Annual DMR Data'!B:B,MATCH(1,($F318='Raw Annual DMR Data'!L:L)*($W318='Raw Annual DMR Data'!U:U),0)), "N/A - Period DMR Data Not Available")</f>
        <v>N/A - Period DMR Data Not Available</v>
      </c>
      <c r="Z318" s="311" t="str" cm="1">
        <f t="array" ref="Z318">IF(COUNTIF('Raw Annual DMR Data'!K:K,$E318)&gt;0,"N/A - See DMRs",IF(SUMIFS('Raw TRI Data'!$Z:$Z,'Raw TRI Data'!$J:$J,$E318)&gt;0,MEDIAN(IF('Raw TRI Data'!$J:$J=$E318,'Raw TRI Data'!$Z:$Z)), "N/A - Facility Does Not Report to TRI, no surface water releases, or no Generic Factors available"))</f>
        <v>N/A - Facility Does Not Report to TRI, no surface water releases, or no Generic Factors available</v>
      </c>
      <c r="AA318" s="156" t="str">
        <f>IF(COUNTIF('Raw Annual DMR Data'!K:K,$E318)&gt;0,"N/A - See DMRs",IF(SUMIFS('Raw TRI Data'!$Z:$Z,'Raw TRI Data'!$J:$J,$E318)&gt;0,_xlfn.MAXIFS('Raw TRI Data'!$Z:$Z,'Raw TRI Data'!$J:$J,$E318), "N/A - Facility Does Not Report to TRI, no surface water releases, or no Generic Factors available"))</f>
        <v>N/A - Facility Does Not Report to TRI, no surface water releases, or no Generic Factors available</v>
      </c>
      <c r="AB318" s="113" t="str">
        <f t="shared" si="30"/>
        <v>N/A</v>
      </c>
      <c r="AC318" s="136" t="str" cm="1">
        <f t="array" ref="AC318">IF(COUNTIF('Raw Annual DMR Data'!K:K,$E318)&gt;0,"N/A - See DMRs",IF(SUMIFS('Raw TRI Data'!$Z:$Z,'Raw TRI Data'!$J:$J,$E318)&gt;0,INDEX('Raw TRI Data'!$A:$A,MATCH(1,($E318='Raw TRI Data'!$J:$J)*($AA318='Raw TRI Data'!$Z:$Z),0)), "N/A - Facility Does Not Report to TRI, no surface water releases, or no Generic Factors available"))</f>
        <v>N/A - Facility Does Not Report to TRI, no surface water releases, or no Generic Factors available</v>
      </c>
      <c r="AD318" s="96" t="str" cm="1">
        <f t="array" ref="AD318">IF(COUNTIFS('Raw Annual DMR Data'!L:L,$F318,'Raw Annual DMR Data'!W:W, "&gt;0")&gt;0,MEDIAN(IF('Raw Annual DMR Data'!K:K=$F318, 'Raw Annual DMR Data'!W:W)), "N/A - No Daily Max DMR Discharge Data")</f>
        <v>N/A - No Daily Max DMR Discharge Data</v>
      </c>
      <c r="AE318" s="96" t="str">
        <f>IF(COUNTIFS('Raw Annual DMR Data'!L:L,$F318,'Raw Annual DMR Data'!W:W, "&gt;0")&gt;0,_xlfn.MAXIFS('Raw Annual DMR Data'!W:W,'Raw Annual DMR Data'!L:L,$F318), "N/A - No Daily Max DMR Discharge Data")</f>
        <v>N/A - No Daily Max DMR Discharge Data</v>
      </c>
      <c r="AF318" s="60" t="str" cm="1">
        <f t="array" ref="AF318">IF(COUNTIFS('Raw Annual DMR Data'!L:L,$F318,'Raw Annual DMR Data'!W:W, "&gt;0")&gt;0,INDEX('Raw Annual DMR Data'!B:B,MATCH(1,($F318='Raw Annual DMR Data'!L:L)*($AE318='Raw Annual DMR Data'!W:W),0)), "N/A - No Daily Max DMR Discharge Data")</f>
        <v>N/A - No Daily Max DMR Discharge Data</v>
      </c>
    </row>
    <row r="319" spans="1:32" ht="45.75" thickBot="1" x14ac:dyDescent="0.3">
      <c r="A319" s="144" t="str">
        <f>VLOOKUP(F319,'Facility Summary'!J:K,2,FALSE)</f>
        <v>POTW</v>
      </c>
      <c r="B319" s="28" t="s">
        <v>1298</v>
      </c>
      <c r="C319" s="28" t="s">
        <v>1299</v>
      </c>
      <c r="D319" s="28" t="s">
        <v>366</v>
      </c>
      <c r="E319" s="28"/>
      <c r="F319" s="61">
        <v>110010058757</v>
      </c>
      <c r="G319" s="60" t="str">
        <f>VLOOKUP($F319, 'Raw Annual DMR Data'!$A:$Z, 24, FALSE)</f>
        <v>CA0077844</v>
      </c>
      <c r="H319" s="60" t="str">
        <f>VLOOKUP($F319, 'Raw Annual DMR Data'!$A:$Z, 25, FALSE)</f>
        <v>MIDDLE FORK FEATHER RIVER</v>
      </c>
      <c r="I319" s="74">
        <f>VLOOKUP($F319, 'Raw Annual DMR Data'!$A:$Z, 26, FALSE)</f>
        <v>18020123000184</v>
      </c>
      <c r="J319" s="74" t="s">
        <v>265</v>
      </c>
      <c r="K319" s="60">
        <f>VLOOKUP(A319, 'OES Summary'!$A:$B, 2, FALSE)</f>
        <v>365</v>
      </c>
      <c r="L319" s="304" cm="1">
        <f t="array" ref="L319">IF(COUNTIF('Raw Annual DMR Data'!$L:$L,$F319)&gt;0,MEDIAN(IF('Raw Annual DMR Data'!$L:$L=F319,'Raw Annual DMR Data'!$S:$S)),"N/A - Facility Does Not Report DMRs")</f>
        <v>1.5032373525E-2</v>
      </c>
      <c r="M319" s="156">
        <f t="shared" si="28"/>
        <v>4.1184584999999998E-5</v>
      </c>
      <c r="N319" s="156">
        <f>IF(COUNTIF('Raw Annual DMR Data'!$L:$L,$F319)&gt;0,_xlfn.MAXIFS('Raw Annual DMR Data'!$S:$S,'Raw Annual DMR Data'!$L:$L,$F319), "N/A - Facility Does Not Report DMRs")</f>
        <v>1.5032373525E-2</v>
      </c>
      <c r="O319" s="156">
        <f t="shared" si="29"/>
        <v>4.1184584999999998E-5</v>
      </c>
      <c r="P319" s="113" cm="1">
        <f t="array" ref="P319">IF(COUNTIF('Raw Annual DMR Data'!$L:$L,$F319)&gt;0,INDEX('Raw Annual DMR Data'!$B:$B,MATCH(1,($F319='Raw Annual DMR Data'!$L:$L)*($N319='Raw Annual DMR Data'!$S:$S),0)), "N/A - Facility Does Not Report DMRs")</f>
        <v>2019</v>
      </c>
      <c r="Q319" s="304" t="str" cm="1">
        <f t="array" ref="Q319">IF(COUNTIF('Raw TRI Data'!$J:$J,$E319)&gt;0,MEDIAN(IF('Raw TRI Data'!$J:$J=E319,'Raw TRI Data'!$S:$S)), "N/A - Facility Does Not Report to TRI")</f>
        <v>N/A - Facility Does Not Report to TRI</v>
      </c>
      <c r="R319" s="156" t="str">
        <f t="shared" si="26"/>
        <v>N/A - Facility Does Not Report to TRI</v>
      </c>
      <c r="S319" s="156" t="str">
        <f>IF(COUNTIF('Raw TRI Data'!$J:$J,$E319)&gt;0,_xlfn.MAXIFS('Raw TRI Data'!$S:$S,'Raw TRI Data'!$J:$J,$E319), "N/A - Facility Does Not Report to TRI")</f>
        <v>N/A - Facility Does Not Report to TRI</v>
      </c>
      <c r="T319" s="156" t="str">
        <f t="shared" si="27"/>
        <v>N/A - Facility Does Not Report to TRI</v>
      </c>
      <c r="U319" s="136" t="str" cm="1">
        <f t="array" ref="U319">IF(COUNTIF('Raw TRI Data'!$J:$J,$E319)&gt;0,INDEX('Raw TRI Data'!$A:$A,MATCH(1,($E319='Raw TRI Data'!$J:$J)*(S319='Raw TRI Data'!$S:$S),0)), "N/A - Facility Does Not Report to TRI")</f>
        <v>N/A - Facility Does Not Report to TRI</v>
      </c>
      <c r="V319" s="156" t="str" cm="1">
        <f t="array" ref="V319">IF(COUNTIFS('Raw Annual DMR Data'!$L:$L,$F319,'Raw Annual DMR Data'!$U:$U,"&gt;0")&gt;0,MEDIAN(IF('Raw Annual DMR Data'!$L:$L=$F319,'Raw Annual DMR Data'!$U:$U,"")),"N/A - Period DMR Data Not Available")</f>
        <v>N/A - Period DMR Data Not Available</v>
      </c>
      <c r="W319" s="156" t="str">
        <f>IF(COUNTIFS('Raw Annual DMR Data'!$L:$L,$F319, 'Raw Annual DMR Data'!$U:$U, "&gt;0")&gt;0,_xlfn.MAXIFS('Raw Annual DMR Data'!$U:$U,'Raw Annual DMR Data'!$L:$L,$F319), "N/A - Period DMR Data Not Available")</f>
        <v>N/A - Period DMR Data Not Available</v>
      </c>
      <c r="X319" s="113" t="str" cm="1">
        <f t="array" ref="X319">+IF(COUNTIFS('Raw Annual DMR Data'!L:L,$F319, 'Raw Annual DMR Data'!U:U, "&gt;0")&gt;0,INDEX('Raw Annual DMR Data'!V:V,MATCH(1,($F319='Raw Annual DMR Data'!L:L)*($W319='Raw Annual DMR Data'!U:U),0)), "N/A - Period DMR Data Not Available")</f>
        <v>N/A - Period DMR Data Not Available</v>
      </c>
      <c r="Y319" s="113" t="str" cm="1">
        <f t="array" ref="Y319">IF(COUNTIFS('Raw Annual DMR Data'!L:L,$F319, 'Raw Annual DMR Data'!U:U, "&gt;0")&gt;0,INDEX('Raw Annual DMR Data'!B:B,MATCH(1,($F319='Raw Annual DMR Data'!L:L)*($W319='Raw Annual DMR Data'!U:U),0)), "N/A - Period DMR Data Not Available")</f>
        <v>N/A - Period DMR Data Not Available</v>
      </c>
      <c r="Z319" s="311" t="str" cm="1">
        <f t="array" ref="Z319">IF(COUNTIF('Raw Annual DMR Data'!K:K,$E319)&gt;0,"N/A - See DMRs",IF(SUMIFS('Raw TRI Data'!$Z:$Z,'Raw TRI Data'!$J:$J,$E319)&gt;0,MEDIAN(IF('Raw TRI Data'!$J:$J=$E319,'Raw TRI Data'!$Z:$Z)), "N/A - Facility Does Not Report to TRI, no surface water releases, or no Generic Factors available"))</f>
        <v>N/A - Facility Does Not Report to TRI, no surface water releases, or no Generic Factors available</v>
      </c>
      <c r="AA319" s="156" t="str">
        <f>IF(COUNTIF('Raw Annual DMR Data'!K:K,$E319)&gt;0,"N/A - See DMRs",IF(SUMIFS('Raw TRI Data'!$Z:$Z,'Raw TRI Data'!$J:$J,$E319)&gt;0,_xlfn.MAXIFS('Raw TRI Data'!$Z:$Z,'Raw TRI Data'!$J:$J,$E319), "N/A - Facility Does Not Report to TRI, no surface water releases, or no Generic Factors available"))</f>
        <v>N/A - Facility Does Not Report to TRI, no surface water releases, or no Generic Factors available</v>
      </c>
      <c r="AB319" s="113" t="str">
        <f t="shared" si="30"/>
        <v>N/A</v>
      </c>
      <c r="AC319" s="136" t="str" cm="1">
        <f t="array" ref="AC319">IF(COUNTIF('Raw Annual DMR Data'!K:K,$E319)&gt;0,"N/A - See DMRs",IF(SUMIFS('Raw TRI Data'!$Z:$Z,'Raw TRI Data'!$J:$J,$E319)&gt;0,INDEX('Raw TRI Data'!$A:$A,MATCH(1,($E319='Raw TRI Data'!$J:$J)*($AA319='Raw TRI Data'!$Z:$Z),0)), "N/A - Facility Does Not Report to TRI, no surface water releases, or no Generic Factors available"))</f>
        <v>N/A - Facility Does Not Report to TRI, no surface water releases, or no Generic Factors available</v>
      </c>
      <c r="AD319" s="96" t="str" cm="1">
        <f t="array" ref="AD319">IF(COUNTIFS('Raw Annual DMR Data'!L:L,$F319,'Raw Annual DMR Data'!W:W, "&gt;0")&gt;0,MEDIAN(IF('Raw Annual DMR Data'!K:K=$F319, 'Raw Annual DMR Data'!W:W)), "N/A - No Daily Max DMR Discharge Data")</f>
        <v>N/A - No Daily Max DMR Discharge Data</v>
      </c>
      <c r="AE319" s="96" t="str">
        <f>IF(COUNTIFS('Raw Annual DMR Data'!L:L,$F319,'Raw Annual DMR Data'!W:W, "&gt;0")&gt;0,_xlfn.MAXIFS('Raw Annual DMR Data'!W:W,'Raw Annual DMR Data'!L:L,$F319), "N/A - No Daily Max DMR Discharge Data")</f>
        <v>N/A - No Daily Max DMR Discharge Data</v>
      </c>
      <c r="AF319" s="60" t="str" cm="1">
        <f t="array" ref="AF319">IF(COUNTIFS('Raw Annual DMR Data'!L:L,$F319,'Raw Annual DMR Data'!W:W, "&gt;0")&gt;0,INDEX('Raw Annual DMR Data'!B:B,MATCH(1,($F319='Raw Annual DMR Data'!L:L)*($AE319='Raw Annual DMR Data'!W:W),0)), "N/A - No Daily Max DMR Discharge Data")</f>
        <v>N/A - No Daily Max DMR Discharge Data</v>
      </c>
    </row>
    <row r="320" spans="1:32" ht="45.75" thickBot="1" x14ac:dyDescent="0.3">
      <c r="A320" s="144" t="str">
        <f>VLOOKUP(F320,'Facility Summary'!J:K,2,FALSE)</f>
        <v>Unknown</v>
      </c>
      <c r="B320" s="28" t="s">
        <v>1300</v>
      </c>
      <c r="C320" s="28" t="s">
        <v>968</v>
      </c>
      <c r="D320" s="28" t="s">
        <v>294</v>
      </c>
      <c r="E320" s="28"/>
      <c r="F320" s="61">
        <v>110070884091</v>
      </c>
      <c r="G320" s="60" t="str">
        <f>VLOOKUP($F320, 'Raw Annual DMR Data'!$A:$Z, 24, FALSE)</f>
        <v>VAG830562</v>
      </c>
      <c r="H320" s="60" t="str">
        <f>VLOOKUP($F320, 'Raw Annual DMR Data'!$A:$Z, 25, FALSE)</f>
        <v>POTOMAC RIVER-FOURMILE RUN</v>
      </c>
      <c r="I320" s="74">
        <f>VLOOKUP($F320, 'Raw Annual DMR Data'!$A:$Z, 26, FALSE)</f>
        <v>0</v>
      </c>
      <c r="J320" s="74" t="s">
        <v>265</v>
      </c>
      <c r="K320" s="60">
        <f>VLOOKUP(A320, 'OES Summary'!$A:$B, 2, FALSE)</f>
        <v>250</v>
      </c>
      <c r="L320" s="304" cm="1">
        <f t="array" ref="L320">IF(COUNTIF('Raw Annual DMR Data'!$L:$L,$F320)&gt;0,MEDIAN(IF('Raw Annual DMR Data'!$L:$L=F320,'Raw Annual DMR Data'!$S:$S)),"N/A - Facility Does Not Report DMRs")</f>
        <v>0.1216229678325</v>
      </c>
      <c r="M320" s="156">
        <f t="shared" si="28"/>
        <v>4.8649187132999999E-4</v>
      </c>
      <c r="N320" s="156">
        <f>IF(COUNTIF('Raw Annual DMR Data'!$L:$L,$F320)&gt;0,_xlfn.MAXIFS('Raw Annual DMR Data'!$S:$S,'Raw Annual DMR Data'!$L:$L,$F320), "N/A - Facility Does Not Report DMRs")</f>
        <v>0.24077141999999899</v>
      </c>
      <c r="O320" s="156">
        <f t="shared" si="29"/>
        <v>9.630856799999959E-4</v>
      </c>
      <c r="P320" s="113" cm="1">
        <f t="array" ref="P320">IF(COUNTIF('Raw Annual DMR Data'!$L:$L,$F320)&gt;0,INDEX('Raw Annual DMR Data'!$B:$B,MATCH(1,($F320='Raw Annual DMR Data'!$L:$L)*($N320='Raw Annual DMR Data'!$S:$S),0)), "N/A - Facility Does Not Report DMRs")</f>
        <v>2020</v>
      </c>
      <c r="Q320" s="304" t="str" cm="1">
        <f t="array" ref="Q320">IF(COUNTIF('Raw TRI Data'!$J:$J,$E320)&gt;0,MEDIAN(IF('Raw TRI Data'!$J:$J=E320,'Raw TRI Data'!$S:$S)), "N/A - Facility Does Not Report to TRI")</f>
        <v>N/A - Facility Does Not Report to TRI</v>
      </c>
      <c r="R320" s="156" t="str">
        <f t="shared" si="26"/>
        <v>N/A - Facility Does Not Report to TRI</v>
      </c>
      <c r="S320" s="156" t="str">
        <f>IF(COUNTIF('Raw TRI Data'!$J:$J,$E320)&gt;0,_xlfn.MAXIFS('Raw TRI Data'!$S:$S,'Raw TRI Data'!$J:$J,$E320), "N/A - Facility Does Not Report to TRI")</f>
        <v>N/A - Facility Does Not Report to TRI</v>
      </c>
      <c r="T320" s="156" t="str">
        <f t="shared" si="27"/>
        <v>N/A - Facility Does Not Report to TRI</v>
      </c>
      <c r="U320" s="136" t="str" cm="1">
        <f t="array" ref="U320">IF(COUNTIF('Raw TRI Data'!$J:$J,$E320)&gt;0,INDEX('Raw TRI Data'!$A:$A,MATCH(1,($E320='Raw TRI Data'!$J:$J)*(S320='Raw TRI Data'!$S:$S),0)), "N/A - Facility Does Not Report to TRI")</f>
        <v>N/A - Facility Does Not Report to TRI</v>
      </c>
      <c r="V320" s="156" t="str" cm="1">
        <f t="array" ref="V320">IF(COUNTIFS('Raw Annual DMR Data'!$L:$L,$F320,'Raw Annual DMR Data'!$U:$U,"&gt;0")&gt;0,MEDIAN(IF('Raw Annual DMR Data'!$L:$L=$F320,'Raw Annual DMR Data'!$U:$U,"")),"N/A - Period DMR Data Not Available")</f>
        <v>N/A - Period DMR Data Not Available</v>
      </c>
      <c r="W320" s="156" t="str">
        <f>IF(COUNTIFS('Raw Annual DMR Data'!$L:$L,$F320, 'Raw Annual DMR Data'!$U:$U, "&gt;0")&gt;0,_xlfn.MAXIFS('Raw Annual DMR Data'!$U:$U,'Raw Annual DMR Data'!$L:$L,$F320), "N/A - Period DMR Data Not Available")</f>
        <v>N/A - Period DMR Data Not Available</v>
      </c>
      <c r="X320" s="113" t="str" cm="1">
        <f t="array" ref="X320">+IF(COUNTIFS('Raw Annual DMR Data'!L:L,$F320, 'Raw Annual DMR Data'!U:U, "&gt;0")&gt;0,INDEX('Raw Annual DMR Data'!V:V,MATCH(1,($F320='Raw Annual DMR Data'!L:L)*($W320='Raw Annual DMR Data'!U:U),0)), "N/A - Period DMR Data Not Available")</f>
        <v>N/A - Period DMR Data Not Available</v>
      </c>
      <c r="Y320" s="113" t="str" cm="1">
        <f t="array" ref="Y320">IF(COUNTIFS('Raw Annual DMR Data'!L:L,$F320, 'Raw Annual DMR Data'!U:U, "&gt;0")&gt;0,INDEX('Raw Annual DMR Data'!B:B,MATCH(1,($F320='Raw Annual DMR Data'!L:L)*($W320='Raw Annual DMR Data'!U:U),0)), "N/A - Period DMR Data Not Available")</f>
        <v>N/A - Period DMR Data Not Available</v>
      </c>
      <c r="Z320" s="311" t="str" cm="1">
        <f t="array" ref="Z320">IF(COUNTIF('Raw Annual DMR Data'!K:K,$E320)&gt;0,"N/A - See DMRs",IF(SUMIFS('Raw TRI Data'!$Z:$Z,'Raw TRI Data'!$J:$J,$E320)&gt;0,MEDIAN(IF('Raw TRI Data'!$J:$J=$E320,'Raw TRI Data'!$Z:$Z)), "N/A - Facility Does Not Report to TRI, no surface water releases, or no Generic Factors available"))</f>
        <v>N/A - Facility Does Not Report to TRI, no surface water releases, or no Generic Factors available</v>
      </c>
      <c r="AA320" s="156" t="str">
        <f>IF(COUNTIF('Raw Annual DMR Data'!K:K,$E320)&gt;0,"N/A - See DMRs",IF(SUMIFS('Raw TRI Data'!$Z:$Z,'Raw TRI Data'!$J:$J,$E320)&gt;0,_xlfn.MAXIFS('Raw TRI Data'!$Z:$Z,'Raw TRI Data'!$J:$J,$E320), "N/A - Facility Does Not Report to TRI, no surface water releases, or no Generic Factors available"))</f>
        <v>N/A - Facility Does Not Report to TRI, no surface water releases, or no Generic Factors available</v>
      </c>
      <c r="AB320" s="113" t="str">
        <f t="shared" si="30"/>
        <v>N/A</v>
      </c>
      <c r="AC320" s="136" t="str" cm="1">
        <f t="array" ref="AC320">IF(COUNTIF('Raw Annual DMR Data'!K:K,$E320)&gt;0,"N/A - See DMRs",IF(SUMIFS('Raw TRI Data'!$Z:$Z,'Raw TRI Data'!$J:$J,$E320)&gt;0,INDEX('Raw TRI Data'!$A:$A,MATCH(1,($E320='Raw TRI Data'!$J:$J)*($AA320='Raw TRI Data'!$Z:$Z),0)), "N/A - Facility Does Not Report to TRI, no surface water releases, or no Generic Factors available"))</f>
        <v>N/A - Facility Does Not Report to TRI, no surface water releases, or no Generic Factors available</v>
      </c>
      <c r="AD320" s="96" t="str" cm="1">
        <f t="array" ref="AD320">IF(COUNTIFS('Raw Annual DMR Data'!L:L,$F320,'Raw Annual DMR Data'!W:W, "&gt;0")&gt;0,MEDIAN(IF('Raw Annual DMR Data'!K:K=$F320, 'Raw Annual DMR Data'!W:W)), "N/A - No Daily Max DMR Discharge Data")</f>
        <v>N/A - No Daily Max DMR Discharge Data</v>
      </c>
      <c r="AE320" s="96" t="str">
        <f>IF(COUNTIFS('Raw Annual DMR Data'!L:L,$F320,'Raw Annual DMR Data'!W:W, "&gt;0")&gt;0,_xlfn.MAXIFS('Raw Annual DMR Data'!W:W,'Raw Annual DMR Data'!L:L,$F320), "N/A - No Daily Max DMR Discharge Data")</f>
        <v>N/A - No Daily Max DMR Discharge Data</v>
      </c>
      <c r="AF320" s="60" t="str" cm="1">
        <f t="array" ref="AF320">IF(COUNTIFS('Raw Annual DMR Data'!L:L,$F320,'Raw Annual DMR Data'!W:W, "&gt;0")&gt;0,INDEX('Raw Annual DMR Data'!B:B,MATCH(1,($F320='Raw Annual DMR Data'!L:L)*($AE320='Raw Annual DMR Data'!W:W),0)), "N/A - No Daily Max DMR Discharge Data")</f>
        <v>N/A - No Daily Max DMR Discharge Data</v>
      </c>
    </row>
    <row r="321" spans="1:32" ht="30.75" thickBot="1" x14ac:dyDescent="0.3">
      <c r="A321" s="144" t="str">
        <f>VLOOKUP(F321,'Facility Summary'!J:K,2,FALSE)</f>
        <v>Unknown</v>
      </c>
      <c r="B321" s="28" t="s">
        <v>1301</v>
      </c>
      <c r="C321" s="28" t="s">
        <v>1302</v>
      </c>
      <c r="D321" s="28" t="s">
        <v>345</v>
      </c>
      <c r="E321" s="28" t="s">
        <v>731</v>
      </c>
      <c r="F321" s="61">
        <v>110044852068</v>
      </c>
      <c r="G321" s="60" t="str">
        <f>VLOOKUP($F321, 'Raw Annual DMR Data'!$A:$Z, 24, FALSE)</f>
        <v>IL0076996</v>
      </c>
      <c r="H321" s="60" t="str">
        <f>VLOOKUP($F321, 'Raw Annual DMR Data'!$A:$Z, 25, FALSE)</f>
        <v>KASKASKIA RIVER, UNNAMED TRIB TO MUD CREEK</v>
      </c>
      <c r="I321" s="74" t="str">
        <f>VLOOKUP($F321, 'Raw Annual DMR Data'!$A:$Z, 26, FALSE)</f>
        <v>07140204002294</v>
      </c>
      <c r="J321" s="74" t="s">
        <v>265</v>
      </c>
      <c r="K321" s="60">
        <f>VLOOKUP(A321, 'OES Summary'!$A:$B, 2, FALSE)</f>
        <v>250</v>
      </c>
      <c r="L321" s="304" cm="1">
        <f t="array" ref="L321">IF(COUNTIF('Raw Annual DMR Data'!$L:$L,$F321)&gt;0,MEDIAN(IF('Raw Annual DMR Data'!$L:$L=F321,'Raw Annual DMR Data'!$S:$S)),"N/A - Facility Does Not Report DMRs")</f>
        <v>1.797364025</v>
      </c>
      <c r="M321" s="156">
        <f t="shared" si="28"/>
        <v>7.1894560999999999E-3</v>
      </c>
      <c r="N321" s="156">
        <f>IF(COUNTIF('Raw Annual DMR Data'!$L:$L,$F321)&gt;0,_xlfn.MAXIFS('Raw Annual DMR Data'!$S:$S,'Raw Annual DMR Data'!$L:$L,$F321), "N/A - Facility Does Not Report DMRs")</f>
        <v>2.4298261700000001</v>
      </c>
      <c r="O321" s="156">
        <f t="shared" si="29"/>
        <v>9.7193046800000005E-3</v>
      </c>
      <c r="P321" s="113" cm="1">
        <f t="array" ref="P321">IF(COUNTIF('Raw Annual DMR Data'!$L:$L,$F321)&gt;0,INDEX('Raw Annual DMR Data'!$B:$B,MATCH(1,($F321='Raw Annual DMR Data'!$L:$L)*($N321='Raw Annual DMR Data'!$S:$S),0)), "N/A - Facility Does Not Report DMRs")</f>
        <v>2023</v>
      </c>
      <c r="Q321" s="304" t="str" cm="1">
        <f t="array" ref="Q321">IF(COUNTIF('Raw TRI Data'!$J:$J,$E321)&gt;0,MEDIAN(IF('Raw TRI Data'!$J:$J=E321,'Raw TRI Data'!$S:$S)), "N/A - Facility Does Not Report to TRI")</f>
        <v>N/A - Facility Does Not Report to TRI</v>
      </c>
      <c r="R321" s="156" t="str">
        <f t="shared" si="26"/>
        <v>N/A - Facility Does Not Report to TRI</v>
      </c>
      <c r="S321" s="156" t="str">
        <f>IF(COUNTIF('Raw TRI Data'!$J:$J,$E321)&gt;0,_xlfn.MAXIFS('Raw TRI Data'!$S:$S,'Raw TRI Data'!$J:$J,$E321), "N/A - Facility Does Not Report to TRI")</f>
        <v>N/A - Facility Does Not Report to TRI</v>
      </c>
      <c r="T321" s="156" t="str">
        <f t="shared" si="27"/>
        <v>N/A - Facility Does Not Report to TRI</v>
      </c>
      <c r="U321" s="136" t="str" cm="1">
        <f t="array" ref="U321">IF(COUNTIF('Raw TRI Data'!$J:$J,$E321)&gt;0,INDEX('Raw TRI Data'!$A:$A,MATCH(1,($E321='Raw TRI Data'!$J:$J)*(S321='Raw TRI Data'!$S:$S),0)), "N/A - Facility Does Not Report to TRI")</f>
        <v>N/A - Facility Does Not Report to TRI</v>
      </c>
      <c r="V321" s="156" t="str" cm="1">
        <f t="array" ref="V321">IF(COUNTIFS('Raw Annual DMR Data'!$L:$L,$F321,'Raw Annual DMR Data'!$U:$U,"&gt;0")&gt;0,MEDIAN(IF('Raw Annual DMR Data'!$L:$L=$F321,'Raw Annual DMR Data'!$U:$U,"")),"N/A - Period DMR Data Not Available")</f>
        <v>N/A - Period DMR Data Not Available</v>
      </c>
      <c r="W321" s="156" t="str">
        <f>IF(COUNTIFS('Raw Annual DMR Data'!$L:$L,$F321, 'Raw Annual DMR Data'!$U:$U, "&gt;0")&gt;0,_xlfn.MAXIFS('Raw Annual DMR Data'!$U:$U,'Raw Annual DMR Data'!$L:$L,$F321), "N/A - Period DMR Data Not Available")</f>
        <v>N/A - Period DMR Data Not Available</v>
      </c>
      <c r="X321" s="113" t="str" cm="1">
        <f t="array" ref="X321">+IF(COUNTIFS('Raw Annual DMR Data'!L:L,$F321, 'Raw Annual DMR Data'!U:U, "&gt;0")&gt;0,INDEX('Raw Annual DMR Data'!V:V,MATCH(1,($F321='Raw Annual DMR Data'!L:L)*($W321='Raw Annual DMR Data'!U:U),0)), "N/A - Period DMR Data Not Available")</f>
        <v>N/A - Period DMR Data Not Available</v>
      </c>
      <c r="Y321" s="113" t="str" cm="1">
        <f t="array" ref="Y321">IF(COUNTIFS('Raw Annual DMR Data'!L:L,$F321, 'Raw Annual DMR Data'!U:U, "&gt;0")&gt;0,INDEX('Raw Annual DMR Data'!B:B,MATCH(1,($F321='Raw Annual DMR Data'!L:L)*($W321='Raw Annual DMR Data'!U:U),0)), "N/A - Period DMR Data Not Available")</f>
        <v>N/A - Period DMR Data Not Available</v>
      </c>
      <c r="Z321" s="311" t="str" cm="1">
        <f t="array" ref="Z321">IF(COUNTIF('Raw Annual DMR Data'!K:K,$E321)&gt;0,"N/A - See DMRs",IF(SUMIFS('Raw TRI Data'!$Z:$Z,'Raw TRI Data'!$J:$J,$E321)&gt;0,MEDIAN(IF('Raw TRI Data'!$J:$J=$E321,'Raw TRI Data'!$Z:$Z)), "N/A - Facility Does Not Report to TRI, no surface water releases, or no Generic Factors available"))</f>
        <v>N/A - See DMRs</v>
      </c>
      <c r="AA321" s="156" t="str">
        <f>IF(COUNTIF('Raw Annual DMR Data'!K:K,$E321)&gt;0,"N/A - See DMRs",IF(SUMIFS('Raw TRI Data'!$Z:$Z,'Raw TRI Data'!$J:$J,$E321)&gt;0,_xlfn.MAXIFS('Raw TRI Data'!$Z:$Z,'Raw TRI Data'!$J:$J,$E321), "N/A - Facility Does Not Report to TRI, no surface water releases, or no Generic Factors available"))</f>
        <v>N/A - See DMRs</v>
      </c>
      <c r="AB321" s="113" t="str">
        <f t="shared" si="30"/>
        <v>N/A</v>
      </c>
      <c r="AC321" s="136" t="str" cm="1">
        <f t="array" ref="AC321">IF(COUNTIF('Raw Annual DMR Data'!K:K,$E321)&gt;0,"N/A - See DMRs",IF(SUMIFS('Raw TRI Data'!$Z:$Z,'Raw TRI Data'!$J:$J,$E321)&gt;0,INDEX('Raw TRI Data'!$A:$A,MATCH(1,($E321='Raw TRI Data'!$J:$J)*($AA321='Raw TRI Data'!$Z:$Z),0)), "N/A - Facility Does Not Report to TRI, no surface water releases, or no Generic Factors available"))</f>
        <v>N/A - See DMRs</v>
      </c>
      <c r="AD321" s="96" t="str" cm="1">
        <f t="array" ref="AD321">IF(COUNTIFS('Raw Annual DMR Data'!L:L,$F321,'Raw Annual DMR Data'!W:W, "&gt;0")&gt;0,MEDIAN(IF('Raw Annual DMR Data'!K:K=$F321, 'Raw Annual DMR Data'!W:W)), "N/A - No Daily Max DMR Discharge Data")</f>
        <v>N/A - No Daily Max DMR Discharge Data</v>
      </c>
      <c r="AE321" s="96" t="str">
        <f>IF(COUNTIFS('Raw Annual DMR Data'!L:L,$F321,'Raw Annual DMR Data'!W:W, "&gt;0")&gt;0,_xlfn.MAXIFS('Raw Annual DMR Data'!W:W,'Raw Annual DMR Data'!L:L,$F321), "N/A - No Daily Max DMR Discharge Data")</f>
        <v>N/A - No Daily Max DMR Discharge Data</v>
      </c>
      <c r="AF321" s="60" t="str" cm="1">
        <f t="array" ref="AF321">IF(COUNTIFS('Raw Annual DMR Data'!L:L,$F321,'Raw Annual DMR Data'!W:W, "&gt;0")&gt;0,INDEX('Raw Annual DMR Data'!B:B,MATCH(1,($F321='Raw Annual DMR Data'!L:L)*($AE321='Raw Annual DMR Data'!W:W),0)), "N/A - No Daily Max DMR Discharge Data")</f>
        <v>N/A - No Daily Max DMR Discharge Data</v>
      </c>
    </row>
    <row r="322" spans="1:32" ht="45.75" thickBot="1" x14ac:dyDescent="0.3">
      <c r="A322" s="144" t="str">
        <f>VLOOKUP(F322,'Facility Summary'!J:K,2,FALSE)</f>
        <v>POTW</v>
      </c>
      <c r="B322" s="28" t="s">
        <v>1303</v>
      </c>
      <c r="C322" s="28" t="s">
        <v>1304</v>
      </c>
      <c r="D322" s="28" t="s">
        <v>374</v>
      </c>
      <c r="E322" s="28"/>
      <c r="F322" s="61">
        <v>110010062528</v>
      </c>
      <c r="G322" s="60" t="str">
        <f>VLOOKUP($F322, 'Raw Annual DMR Data'!$A:$Z, 24, FALSE)</f>
        <v>AZ0023752</v>
      </c>
      <c r="H322" s="60">
        <f>VLOOKUP($F322, 'Raw Annual DMR Data'!$A:$Z, 25, FALSE)</f>
        <v>0</v>
      </c>
      <c r="I322" s="74">
        <f>VLOOKUP($F322, 'Raw Annual DMR Data'!$A:$Z, 26, FALSE)</f>
        <v>15060106000006</v>
      </c>
      <c r="J322" s="74" t="s">
        <v>265</v>
      </c>
      <c r="K322" s="60">
        <f>VLOOKUP(A322, 'OES Summary'!$A:$B, 2, FALSE)</f>
        <v>365</v>
      </c>
      <c r="L322" s="304" cm="1">
        <f t="array" ref="L322">IF(COUNTIF('Raw Annual DMR Data'!$L:$L,$F322)&gt;0,MEDIAN(IF('Raw Annual DMR Data'!$L:$L=F322,'Raw Annual DMR Data'!$S:$S)),"N/A - Facility Does Not Report DMRs")</f>
        <v>0.29219253750000002</v>
      </c>
      <c r="M322" s="156">
        <f t="shared" si="28"/>
        <v>8.0052750000000005E-4</v>
      </c>
      <c r="N322" s="156">
        <f>IF(COUNTIF('Raw Annual DMR Data'!$L:$L,$F322)&gt;0,_xlfn.MAXIFS('Raw Annual DMR Data'!$S:$S,'Raw Annual DMR Data'!$L:$L,$F322), "N/A - Facility Does Not Report DMRs")</f>
        <v>0.29219253750000002</v>
      </c>
      <c r="O322" s="156">
        <f t="shared" si="29"/>
        <v>8.0052750000000005E-4</v>
      </c>
      <c r="P322" s="113" cm="1">
        <f t="array" ref="P322">IF(COUNTIF('Raw Annual DMR Data'!$L:$L,$F322)&gt;0,INDEX('Raw Annual DMR Data'!$B:$B,MATCH(1,($F322='Raw Annual DMR Data'!$L:$L)*($N322='Raw Annual DMR Data'!$S:$S),0)), "N/A - Facility Does Not Report DMRs")</f>
        <v>2015</v>
      </c>
      <c r="Q322" s="304" t="str" cm="1">
        <f t="array" ref="Q322">IF(COUNTIF('Raw TRI Data'!$J:$J,$E322)&gt;0,MEDIAN(IF('Raw TRI Data'!$J:$J=E322,'Raw TRI Data'!$S:$S)), "N/A - Facility Does Not Report to TRI")</f>
        <v>N/A - Facility Does Not Report to TRI</v>
      </c>
      <c r="R322" s="156" t="str">
        <f t="shared" ref="R322:R385" si="31">IFERROR(+Q322/$K322, "N/A - Facility Does Not Report to TRI")</f>
        <v>N/A - Facility Does Not Report to TRI</v>
      </c>
      <c r="S322" s="156" t="str">
        <f>IF(COUNTIF('Raw TRI Data'!$J:$J,$E322)&gt;0,_xlfn.MAXIFS('Raw TRI Data'!$S:$S,'Raw TRI Data'!$J:$J,$E322), "N/A - Facility Does Not Report to TRI")</f>
        <v>N/A - Facility Does Not Report to TRI</v>
      </c>
      <c r="T322" s="156" t="str">
        <f t="shared" ref="T322:T385" si="32">IFERROR(+S322/$K322, "N/A - Facility Does Not Report to TRI")</f>
        <v>N/A - Facility Does Not Report to TRI</v>
      </c>
      <c r="U322" s="136" t="str" cm="1">
        <f t="array" ref="U322">IF(COUNTIF('Raw TRI Data'!$J:$J,$E322)&gt;0,INDEX('Raw TRI Data'!$A:$A,MATCH(1,($E322='Raw TRI Data'!$J:$J)*(S322='Raw TRI Data'!$S:$S),0)), "N/A - Facility Does Not Report to TRI")</f>
        <v>N/A - Facility Does Not Report to TRI</v>
      </c>
      <c r="V322" s="156" t="str" cm="1">
        <f t="array" ref="V322">IF(COUNTIFS('Raw Annual DMR Data'!$L:$L,$F322,'Raw Annual DMR Data'!$U:$U,"&gt;0")&gt;0,MEDIAN(IF('Raw Annual DMR Data'!$L:$L=$F322,'Raw Annual DMR Data'!$U:$U,"")),"N/A - Period DMR Data Not Available")</f>
        <v>N/A - Period DMR Data Not Available</v>
      </c>
      <c r="W322" s="156" t="str">
        <f>IF(COUNTIFS('Raw Annual DMR Data'!$L:$L,$F322, 'Raw Annual DMR Data'!$U:$U, "&gt;0")&gt;0,_xlfn.MAXIFS('Raw Annual DMR Data'!$U:$U,'Raw Annual DMR Data'!$L:$L,$F322), "N/A - Period DMR Data Not Available")</f>
        <v>N/A - Period DMR Data Not Available</v>
      </c>
      <c r="X322" s="113" t="str" cm="1">
        <f t="array" ref="X322">+IF(COUNTIFS('Raw Annual DMR Data'!L:L,$F322, 'Raw Annual DMR Data'!U:U, "&gt;0")&gt;0,INDEX('Raw Annual DMR Data'!V:V,MATCH(1,($F322='Raw Annual DMR Data'!L:L)*($W322='Raw Annual DMR Data'!U:U),0)), "N/A - Period DMR Data Not Available")</f>
        <v>N/A - Period DMR Data Not Available</v>
      </c>
      <c r="Y322" s="113" t="str" cm="1">
        <f t="array" ref="Y322">IF(COUNTIFS('Raw Annual DMR Data'!L:L,$F322, 'Raw Annual DMR Data'!U:U, "&gt;0")&gt;0,INDEX('Raw Annual DMR Data'!B:B,MATCH(1,($F322='Raw Annual DMR Data'!L:L)*($W322='Raw Annual DMR Data'!U:U),0)), "N/A - Period DMR Data Not Available")</f>
        <v>N/A - Period DMR Data Not Available</v>
      </c>
      <c r="Z322" s="311" t="str" cm="1">
        <f t="array" ref="Z322">IF(COUNTIF('Raw Annual DMR Data'!K:K,$E322)&gt;0,"N/A - See DMRs",IF(SUMIFS('Raw TRI Data'!$Z:$Z,'Raw TRI Data'!$J:$J,$E322)&gt;0,MEDIAN(IF('Raw TRI Data'!$J:$J=$E322,'Raw TRI Data'!$Z:$Z)), "N/A - Facility Does Not Report to TRI, no surface water releases, or no Generic Factors available"))</f>
        <v>N/A - Facility Does Not Report to TRI, no surface water releases, or no Generic Factors available</v>
      </c>
      <c r="AA322" s="156" t="str">
        <f>IF(COUNTIF('Raw Annual DMR Data'!K:K,$E322)&gt;0,"N/A - See DMRs",IF(SUMIFS('Raw TRI Data'!$Z:$Z,'Raw TRI Data'!$J:$J,$E322)&gt;0,_xlfn.MAXIFS('Raw TRI Data'!$Z:$Z,'Raw TRI Data'!$J:$J,$E322), "N/A - Facility Does Not Report to TRI, no surface water releases, or no Generic Factors available"))</f>
        <v>N/A - Facility Does Not Report to TRI, no surface water releases, or no Generic Factors available</v>
      </c>
      <c r="AB322" s="113" t="str">
        <f t="shared" si="30"/>
        <v>N/A</v>
      </c>
      <c r="AC322" s="136" t="str" cm="1">
        <f t="array" ref="AC322">IF(COUNTIF('Raw Annual DMR Data'!K:K,$E322)&gt;0,"N/A - See DMRs",IF(SUMIFS('Raw TRI Data'!$Z:$Z,'Raw TRI Data'!$J:$J,$E322)&gt;0,INDEX('Raw TRI Data'!$A:$A,MATCH(1,($E322='Raw TRI Data'!$J:$J)*($AA322='Raw TRI Data'!$Z:$Z),0)), "N/A - Facility Does Not Report to TRI, no surface water releases, or no Generic Factors available"))</f>
        <v>N/A - Facility Does Not Report to TRI, no surface water releases, or no Generic Factors available</v>
      </c>
      <c r="AD322" s="96" t="str" cm="1">
        <f t="array" ref="AD322">IF(COUNTIFS('Raw Annual DMR Data'!L:L,$F322,'Raw Annual DMR Data'!W:W, "&gt;0")&gt;0,MEDIAN(IF('Raw Annual DMR Data'!K:K=$F322, 'Raw Annual DMR Data'!W:W)), "N/A - No Daily Max DMR Discharge Data")</f>
        <v>N/A - No Daily Max DMR Discharge Data</v>
      </c>
      <c r="AE322" s="96" t="str">
        <f>IF(COUNTIFS('Raw Annual DMR Data'!L:L,$F322,'Raw Annual DMR Data'!W:W, "&gt;0")&gt;0,_xlfn.MAXIFS('Raw Annual DMR Data'!W:W,'Raw Annual DMR Data'!L:L,$F322), "N/A - No Daily Max DMR Discharge Data")</f>
        <v>N/A - No Daily Max DMR Discharge Data</v>
      </c>
      <c r="AF322" s="60" t="str" cm="1">
        <f t="array" ref="AF322">IF(COUNTIFS('Raw Annual DMR Data'!L:L,$F322,'Raw Annual DMR Data'!W:W, "&gt;0")&gt;0,INDEX('Raw Annual DMR Data'!B:B,MATCH(1,($F322='Raw Annual DMR Data'!L:L)*($AE322='Raw Annual DMR Data'!W:W),0)), "N/A - No Daily Max DMR Discharge Data")</f>
        <v>N/A - No Daily Max DMR Discharge Data</v>
      </c>
    </row>
    <row r="323" spans="1:32" ht="45.75" thickBot="1" x14ac:dyDescent="0.3">
      <c r="A323" s="144" t="str">
        <f>VLOOKUP(F323,'Facility Summary'!J:K,2,FALSE)</f>
        <v>Unknown</v>
      </c>
      <c r="B323" s="28" t="s">
        <v>1305</v>
      </c>
      <c r="C323" s="28" t="s">
        <v>293</v>
      </c>
      <c r="D323" s="28" t="s">
        <v>294</v>
      </c>
      <c r="E323" s="28"/>
      <c r="F323" s="61">
        <v>110070602296</v>
      </c>
      <c r="G323" s="60" t="str">
        <f>VLOOKUP($F323, 'Raw Annual DMR Data'!$A:$Z, 24, FALSE)</f>
        <v>VAG830546</v>
      </c>
      <c r="H323" s="60" t="str">
        <f>VLOOKUP($F323, 'Raw Annual DMR Data'!$A:$Z, 25, FALSE)</f>
        <v>POTOMAC RIVER-PIMMIT RUN</v>
      </c>
      <c r="I323" s="74">
        <f>VLOOKUP($F323, 'Raw Annual DMR Data'!$A:$Z, 26, FALSE)</f>
        <v>0</v>
      </c>
      <c r="J323" s="74" t="s">
        <v>265</v>
      </c>
      <c r="K323" s="60">
        <f>VLOOKUP(A323, 'OES Summary'!$A:$B, 2, FALSE)</f>
        <v>250</v>
      </c>
      <c r="L323" s="304" cm="1">
        <f t="array" ref="L323">IF(COUNTIF('Raw Annual DMR Data'!$L:$L,$F323)&gt;0,MEDIAN(IF('Raw Annual DMR Data'!$L:$L=F323,'Raw Annual DMR Data'!$S:$S)),"N/A - Facility Does Not Report DMRs")</f>
        <v>3.2243128099999898E-3</v>
      </c>
      <c r="M323" s="156">
        <f t="shared" si="28"/>
        <v>1.2897251239999959E-5</v>
      </c>
      <c r="N323" s="156">
        <f>IF(COUNTIF('Raw Annual DMR Data'!$L:$L,$F323)&gt;0,_xlfn.MAXIFS('Raw Annual DMR Data'!$S:$S,'Raw Annual DMR Data'!$L:$L,$F323), "N/A - Facility Does Not Report DMRs")</f>
        <v>3.9138868199999899E-3</v>
      </c>
      <c r="O323" s="156">
        <f t="shared" si="29"/>
        <v>1.5655547279999959E-5</v>
      </c>
      <c r="P323" s="113" cm="1">
        <f t="array" ref="P323">IF(COUNTIF('Raw Annual DMR Data'!$L:$L,$F323)&gt;0,INDEX('Raw Annual DMR Data'!$B:$B,MATCH(1,($F323='Raw Annual DMR Data'!$L:$L)*($N323='Raw Annual DMR Data'!$S:$S),0)), "N/A - Facility Does Not Report DMRs")</f>
        <v>2020</v>
      </c>
      <c r="Q323" s="304" t="str" cm="1">
        <f t="array" ref="Q323">IF(COUNTIF('Raw TRI Data'!$J:$J,$E323)&gt;0,MEDIAN(IF('Raw TRI Data'!$J:$J=E323,'Raw TRI Data'!$S:$S)), "N/A - Facility Does Not Report to TRI")</f>
        <v>N/A - Facility Does Not Report to TRI</v>
      </c>
      <c r="R323" s="156" t="str">
        <f t="shared" si="31"/>
        <v>N/A - Facility Does Not Report to TRI</v>
      </c>
      <c r="S323" s="156" t="str">
        <f>IF(COUNTIF('Raw TRI Data'!$J:$J,$E323)&gt;0,_xlfn.MAXIFS('Raw TRI Data'!$S:$S,'Raw TRI Data'!$J:$J,$E323), "N/A - Facility Does Not Report to TRI")</f>
        <v>N/A - Facility Does Not Report to TRI</v>
      </c>
      <c r="T323" s="156" t="str">
        <f t="shared" si="32"/>
        <v>N/A - Facility Does Not Report to TRI</v>
      </c>
      <c r="U323" s="136" t="str" cm="1">
        <f t="array" ref="U323">IF(COUNTIF('Raw TRI Data'!$J:$J,$E323)&gt;0,INDEX('Raw TRI Data'!$A:$A,MATCH(1,($E323='Raw TRI Data'!$J:$J)*(S323='Raw TRI Data'!$S:$S),0)), "N/A - Facility Does Not Report to TRI")</f>
        <v>N/A - Facility Does Not Report to TRI</v>
      </c>
      <c r="V323" s="156" t="str" cm="1">
        <f t="array" ref="V323">IF(COUNTIFS('Raw Annual DMR Data'!$L:$L,$F323,'Raw Annual DMR Data'!$U:$U,"&gt;0")&gt;0,MEDIAN(IF('Raw Annual DMR Data'!$L:$L=$F323,'Raw Annual DMR Data'!$U:$U,"")),"N/A - Period DMR Data Not Available")</f>
        <v>N/A - Period DMR Data Not Available</v>
      </c>
      <c r="W323" s="156" t="str">
        <f>IF(COUNTIFS('Raw Annual DMR Data'!$L:$L,$F323, 'Raw Annual DMR Data'!$U:$U, "&gt;0")&gt;0,_xlfn.MAXIFS('Raw Annual DMR Data'!$U:$U,'Raw Annual DMR Data'!$L:$L,$F323), "N/A - Period DMR Data Not Available")</f>
        <v>N/A - Period DMR Data Not Available</v>
      </c>
      <c r="X323" s="113" t="str" cm="1">
        <f t="array" ref="X323">+IF(COUNTIFS('Raw Annual DMR Data'!L:L,$F323, 'Raw Annual DMR Data'!U:U, "&gt;0")&gt;0,INDEX('Raw Annual DMR Data'!V:V,MATCH(1,($F323='Raw Annual DMR Data'!L:L)*($W323='Raw Annual DMR Data'!U:U),0)), "N/A - Period DMR Data Not Available")</f>
        <v>N/A - Period DMR Data Not Available</v>
      </c>
      <c r="Y323" s="113" t="str" cm="1">
        <f t="array" ref="Y323">IF(COUNTIFS('Raw Annual DMR Data'!L:L,$F323, 'Raw Annual DMR Data'!U:U, "&gt;0")&gt;0,INDEX('Raw Annual DMR Data'!B:B,MATCH(1,($F323='Raw Annual DMR Data'!L:L)*($W323='Raw Annual DMR Data'!U:U),0)), "N/A - Period DMR Data Not Available")</f>
        <v>N/A - Period DMR Data Not Available</v>
      </c>
      <c r="Z323" s="311" t="str" cm="1">
        <f t="array" ref="Z323">IF(COUNTIF('Raw Annual DMR Data'!K:K,$E323)&gt;0,"N/A - See DMRs",IF(SUMIFS('Raw TRI Data'!$Z:$Z,'Raw TRI Data'!$J:$J,$E323)&gt;0,MEDIAN(IF('Raw TRI Data'!$J:$J=$E323,'Raw TRI Data'!$Z:$Z)), "N/A - Facility Does Not Report to TRI, no surface water releases, or no Generic Factors available"))</f>
        <v>N/A - Facility Does Not Report to TRI, no surface water releases, or no Generic Factors available</v>
      </c>
      <c r="AA323" s="156" t="str">
        <f>IF(COUNTIF('Raw Annual DMR Data'!K:K,$E323)&gt;0,"N/A - See DMRs",IF(SUMIFS('Raw TRI Data'!$Z:$Z,'Raw TRI Data'!$J:$J,$E323)&gt;0,_xlfn.MAXIFS('Raw TRI Data'!$Z:$Z,'Raw TRI Data'!$J:$J,$E323), "N/A - Facility Does Not Report to TRI, no surface water releases, or no Generic Factors available"))</f>
        <v>N/A - Facility Does Not Report to TRI, no surface water releases, or no Generic Factors available</v>
      </c>
      <c r="AB323" s="113" t="str">
        <f t="shared" si="30"/>
        <v>N/A</v>
      </c>
      <c r="AC323" s="136" t="str" cm="1">
        <f t="array" ref="AC323">IF(COUNTIF('Raw Annual DMR Data'!K:K,$E323)&gt;0,"N/A - See DMRs",IF(SUMIFS('Raw TRI Data'!$Z:$Z,'Raw TRI Data'!$J:$J,$E323)&gt;0,INDEX('Raw TRI Data'!$A:$A,MATCH(1,($E323='Raw TRI Data'!$J:$J)*($AA323='Raw TRI Data'!$Z:$Z),0)), "N/A - Facility Does Not Report to TRI, no surface water releases, or no Generic Factors available"))</f>
        <v>N/A - Facility Does Not Report to TRI, no surface water releases, or no Generic Factors available</v>
      </c>
      <c r="AD323" s="96" t="str" cm="1">
        <f t="array" ref="AD323">IF(COUNTIFS('Raw Annual DMR Data'!L:L,$F323,'Raw Annual DMR Data'!W:W, "&gt;0")&gt;0,MEDIAN(IF('Raw Annual DMR Data'!K:K=$F323, 'Raw Annual DMR Data'!W:W)), "N/A - No Daily Max DMR Discharge Data")</f>
        <v>N/A - No Daily Max DMR Discharge Data</v>
      </c>
      <c r="AE323" s="96" t="str">
        <f>IF(COUNTIFS('Raw Annual DMR Data'!L:L,$F323,'Raw Annual DMR Data'!W:W, "&gt;0")&gt;0,_xlfn.MAXIFS('Raw Annual DMR Data'!W:W,'Raw Annual DMR Data'!L:L,$F323), "N/A - No Daily Max DMR Discharge Data")</f>
        <v>N/A - No Daily Max DMR Discharge Data</v>
      </c>
      <c r="AF323" s="60" t="str" cm="1">
        <f t="array" ref="AF323">IF(COUNTIFS('Raw Annual DMR Data'!L:L,$F323,'Raw Annual DMR Data'!W:W, "&gt;0")&gt;0,INDEX('Raw Annual DMR Data'!B:B,MATCH(1,($F323='Raw Annual DMR Data'!L:L)*($AE323='Raw Annual DMR Data'!W:W),0)), "N/A - No Daily Max DMR Discharge Data")</f>
        <v>N/A - No Daily Max DMR Discharge Data</v>
      </c>
    </row>
    <row r="324" spans="1:32" ht="45.75" thickBot="1" x14ac:dyDescent="0.3">
      <c r="A324" s="144" t="str">
        <f>VLOOKUP(F324,'Facility Summary'!J:K,2,FALSE)</f>
        <v>POTW</v>
      </c>
      <c r="B324" s="28" t="s">
        <v>1306</v>
      </c>
      <c r="C324" s="28" t="s">
        <v>1307</v>
      </c>
      <c r="D324" s="28" t="s">
        <v>324</v>
      </c>
      <c r="E324" s="28"/>
      <c r="F324" s="61">
        <v>110000732253</v>
      </c>
      <c r="G324" s="60" t="str">
        <f>VLOOKUP($F324, 'Raw Annual DMR Data'!$A:$Z, 24, FALSE)</f>
        <v>KY0022390</v>
      </c>
      <c r="H324" s="60" t="str">
        <f>VLOOKUP($F324, 'Raw Annual DMR Data'!$A:$Z, 25, FALSE)</f>
        <v>UT / MILL CRK, UT TO MILLCREEK</v>
      </c>
      <c r="I324" s="74">
        <f>VLOOKUP($F324, 'Raw Annual DMR Data'!$A:$Z, 26, FALSE)</f>
        <v>5140102000422</v>
      </c>
      <c r="J324" s="74" t="s">
        <v>265</v>
      </c>
      <c r="K324" s="60">
        <f>VLOOKUP(A324, 'OES Summary'!$A:$B, 2, FALSE)</f>
        <v>365</v>
      </c>
      <c r="L324" s="304" cm="1">
        <f t="array" ref="L324">IF(COUNTIF('Raw Annual DMR Data'!$L:$L,$F324)&gt;0,MEDIAN(IF('Raw Annual DMR Data'!$L:$L=F324,'Raw Annual DMR Data'!$S:$S)),"N/A - Facility Does Not Report DMRs")</f>
        <v>8.8935671875000004</v>
      </c>
      <c r="M324" s="156">
        <f t="shared" si="28"/>
        <v>2.43659375E-2</v>
      </c>
      <c r="N324" s="156">
        <f>IF(COUNTIF('Raw Annual DMR Data'!$L:$L,$F324)&gt;0,_xlfn.MAXIFS('Raw Annual DMR Data'!$S:$S,'Raw Annual DMR Data'!$L:$L,$F324), "N/A - Facility Does Not Report DMRs")</f>
        <v>13.5216759375</v>
      </c>
      <c r="O324" s="156">
        <f t="shared" si="29"/>
        <v>3.70456875E-2</v>
      </c>
      <c r="P324" s="113" cm="1">
        <f t="array" ref="P324">IF(COUNTIF('Raw Annual DMR Data'!$L:$L,$F324)&gt;0,INDEX('Raw Annual DMR Data'!$B:$B,MATCH(1,($F324='Raw Annual DMR Data'!$L:$L)*($N324='Raw Annual DMR Data'!$S:$S),0)), "N/A - Facility Does Not Report DMRs")</f>
        <v>2019</v>
      </c>
      <c r="Q324" s="304" t="str" cm="1">
        <f t="array" ref="Q324">IF(COUNTIF('Raw TRI Data'!$J:$J,$E324)&gt;0,MEDIAN(IF('Raw TRI Data'!$J:$J=E324,'Raw TRI Data'!$S:$S)), "N/A - Facility Does Not Report to TRI")</f>
        <v>N/A - Facility Does Not Report to TRI</v>
      </c>
      <c r="R324" s="156" t="str">
        <f t="shared" si="31"/>
        <v>N/A - Facility Does Not Report to TRI</v>
      </c>
      <c r="S324" s="156" t="str">
        <f>IF(COUNTIF('Raw TRI Data'!$J:$J,$E324)&gt;0,_xlfn.MAXIFS('Raw TRI Data'!$S:$S,'Raw TRI Data'!$J:$J,$E324), "N/A - Facility Does Not Report to TRI")</f>
        <v>N/A - Facility Does Not Report to TRI</v>
      </c>
      <c r="T324" s="156" t="str">
        <f t="shared" si="32"/>
        <v>N/A - Facility Does Not Report to TRI</v>
      </c>
      <c r="U324" s="136" t="str" cm="1">
        <f t="array" ref="U324">IF(COUNTIF('Raw TRI Data'!$J:$J,$E324)&gt;0,INDEX('Raw TRI Data'!$A:$A,MATCH(1,($E324='Raw TRI Data'!$J:$J)*(S324='Raw TRI Data'!$S:$S),0)), "N/A - Facility Does Not Report to TRI")</f>
        <v>N/A - Facility Does Not Report to TRI</v>
      </c>
      <c r="V324" s="156" t="str" cm="1">
        <f t="array" ref="V324">IF(COUNTIFS('Raw Annual DMR Data'!$L:$L,$F324,'Raw Annual DMR Data'!$U:$U,"&gt;0")&gt;0,MEDIAN(IF('Raw Annual DMR Data'!$L:$L=$F324,'Raw Annual DMR Data'!$U:$U,"")),"N/A - Period DMR Data Not Available")</f>
        <v>N/A - Period DMR Data Not Available</v>
      </c>
      <c r="W324" s="156" t="str">
        <f>IF(COUNTIFS('Raw Annual DMR Data'!$L:$L,$F324, 'Raw Annual DMR Data'!$U:$U, "&gt;0")&gt;0,_xlfn.MAXIFS('Raw Annual DMR Data'!$U:$U,'Raw Annual DMR Data'!$L:$L,$F324), "N/A - Period DMR Data Not Available")</f>
        <v>N/A - Period DMR Data Not Available</v>
      </c>
      <c r="X324" s="113" t="str" cm="1">
        <f t="array" ref="X324">+IF(COUNTIFS('Raw Annual DMR Data'!L:L,$F324, 'Raw Annual DMR Data'!U:U, "&gt;0")&gt;0,INDEX('Raw Annual DMR Data'!V:V,MATCH(1,($F324='Raw Annual DMR Data'!L:L)*($W324='Raw Annual DMR Data'!U:U),0)), "N/A - Period DMR Data Not Available")</f>
        <v>N/A - Period DMR Data Not Available</v>
      </c>
      <c r="Y324" s="113" t="str" cm="1">
        <f t="array" ref="Y324">IF(COUNTIFS('Raw Annual DMR Data'!L:L,$F324, 'Raw Annual DMR Data'!U:U, "&gt;0")&gt;0,INDEX('Raw Annual DMR Data'!B:B,MATCH(1,($F324='Raw Annual DMR Data'!L:L)*($W324='Raw Annual DMR Data'!U:U),0)), "N/A - Period DMR Data Not Available")</f>
        <v>N/A - Period DMR Data Not Available</v>
      </c>
      <c r="Z324" s="311" t="str" cm="1">
        <f t="array" ref="Z324">IF(COUNTIF('Raw Annual DMR Data'!K:K,$E324)&gt;0,"N/A - See DMRs",IF(SUMIFS('Raw TRI Data'!$Z:$Z,'Raw TRI Data'!$J:$J,$E324)&gt;0,MEDIAN(IF('Raw TRI Data'!$J:$J=$E324,'Raw TRI Data'!$Z:$Z)), "N/A - Facility Does Not Report to TRI, no surface water releases, or no Generic Factors available"))</f>
        <v>N/A - Facility Does Not Report to TRI, no surface water releases, or no Generic Factors available</v>
      </c>
      <c r="AA324" s="156" t="str">
        <f>IF(COUNTIF('Raw Annual DMR Data'!K:K,$E324)&gt;0,"N/A - See DMRs",IF(SUMIFS('Raw TRI Data'!$Z:$Z,'Raw TRI Data'!$J:$J,$E324)&gt;0,_xlfn.MAXIFS('Raw TRI Data'!$Z:$Z,'Raw TRI Data'!$J:$J,$E324), "N/A - Facility Does Not Report to TRI, no surface water releases, or no Generic Factors available"))</f>
        <v>N/A - Facility Does Not Report to TRI, no surface water releases, or no Generic Factors available</v>
      </c>
      <c r="AB324" s="113" t="str">
        <f t="shared" si="30"/>
        <v>N/A</v>
      </c>
      <c r="AC324" s="136" t="str" cm="1">
        <f t="array" ref="AC324">IF(COUNTIF('Raw Annual DMR Data'!K:K,$E324)&gt;0,"N/A - See DMRs",IF(SUMIFS('Raw TRI Data'!$Z:$Z,'Raw TRI Data'!$J:$J,$E324)&gt;0,INDEX('Raw TRI Data'!$A:$A,MATCH(1,($E324='Raw TRI Data'!$J:$J)*($AA324='Raw TRI Data'!$Z:$Z),0)), "N/A - Facility Does Not Report to TRI, no surface water releases, or no Generic Factors available"))</f>
        <v>N/A - Facility Does Not Report to TRI, no surface water releases, or no Generic Factors available</v>
      </c>
      <c r="AD324" s="96" t="str" cm="1">
        <f t="array" ref="AD324">IF(COUNTIFS('Raw Annual DMR Data'!L:L,$F324,'Raw Annual DMR Data'!W:W, "&gt;0")&gt;0,MEDIAN(IF('Raw Annual DMR Data'!K:K=$F324, 'Raw Annual DMR Data'!W:W)), "N/A - No Daily Max DMR Discharge Data")</f>
        <v>N/A - No Daily Max DMR Discharge Data</v>
      </c>
      <c r="AE324" s="96" t="str">
        <f>IF(COUNTIFS('Raw Annual DMR Data'!L:L,$F324,'Raw Annual DMR Data'!W:W, "&gt;0")&gt;0,_xlfn.MAXIFS('Raw Annual DMR Data'!W:W,'Raw Annual DMR Data'!L:L,$F324), "N/A - No Daily Max DMR Discharge Data")</f>
        <v>N/A - No Daily Max DMR Discharge Data</v>
      </c>
      <c r="AF324" s="60" t="str" cm="1">
        <f t="array" ref="AF324">IF(COUNTIFS('Raw Annual DMR Data'!L:L,$F324,'Raw Annual DMR Data'!W:W, "&gt;0")&gt;0,INDEX('Raw Annual DMR Data'!B:B,MATCH(1,($F324='Raw Annual DMR Data'!L:L)*($AE324='Raw Annual DMR Data'!W:W),0)), "N/A - No Daily Max DMR Discharge Data")</f>
        <v>N/A - No Daily Max DMR Discharge Data</v>
      </c>
    </row>
    <row r="325" spans="1:32" ht="45.75" thickBot="1" x14ac:dyDescent="0.3">
      <c r="A325" s="144" t="str">
        <f>VLOOKUP(F325,'Facility Summary'!J:K,2,FALSE)</f>
        <v>Remediation</v>
      </c>
      <c r="B325" s="28" t="s">
        <v>1308</v>
      </c>
      <c r="C325" s="28" t="s">
        <v>657</v>
      </c>
      <c r="D325" s="28" t="s">
        <v>418</v>
      </c>
      <c r="E325" s="28"/>
      <c r="F325" s="61">
        <v>110041253256</v>
      </c>
      <c r="G325" s="60" t="str">
        <f>VLOOKUP($F325, 'Raw Annual DMR Data'!$A:$Z, 24, FALSE)</f>
        <v>NV0023621</v>
      </c>
      <c r="H325" s="60" t="str">
        <f>VLOOKUP($F325, 'Raw Annual DMR Data'!$A:$Z, 25, FALSE)</f>
        <v>FLAMINGO WASH VIA STORM DRAIN</v>
      </c>
      <c r="I325" s="74">
        <f>VLOOKUP($F325, 'Raw Annual DMR Data'!$A:$Z, 26, FALSE)</f>
        <v>15010015000432</v>
      </c>
      <c r="J325" s="74" t="s">
        <v>265</v>
      </c>
      <c r="K325" s="60">
        <f>VLOOKUP(A325, 'OES Summary'!$A:$B, 2, FALSE)</f>
        <v>365</v>
      </c>
      <c r="L325" s="304" cm="1">
        <f t="array" ref="L325">IF(COUNTIF('Raw Annual DMR Data'!$L:$L,$F325)&gt;0,MEDIAN(IF('Raw Annual DMR Data'!$L:$L=F325,'Raw Annual DMR Data'!$S:$S)),"N/A - Facility Does Not Report DMRs")</f>
        <v>0.10430513750000001</v>
      </c>
      <c r="M325" s="156">
        <f t="shared" ref="M325:M388" si="33">IFERROR(+L325/$K325, "N/A - Facility Does Not Report DMRs")</f>
        <v>2.8576750000000004E-4</v>
      </c>
      <c r="N325" s="156">
        <f>IF(COUNTIF('Raw Annual DMR Data'!$L:$L,$F325)&gt;0,_xlfn.MAXIFS('Raw Annual DMR Data'!$S:$S,'Raw Annual DMR Data'!$L:$L,$F325), "N/A - Facility Does Not Report DMRs")</f>
        <v>0.44346952499999998</v>
      </c>
      <c r="O325" s="156">
        <f t="shared" ref="O325:O388" si="34">IFERROR(+N325/$K325, "N/A - Facility Does Not Report DMRs")</f>
        <v>1.214985E-3</v>
      </c>
      <c r="P325" s="113" cm="1">
        <f t="array" ref="P325">IF(COUNTIF('Raw Annual DMR Data'!$L:$L,$F325)&gt;0,INDEX('Raw Annual DMR Data'!$B:$B,MATCH(1,($F325='Raw Annual DMR Data'!$L:$L)*($N325='Raw Annual DMR Data'!$S:$S),0)), "N/A - Facility Does Not Report DMRs")</f>
        <v>2024</v>
      </c>
      <c r="Q325" s="304" t="str" cm="1">
        <f t="array" ref="Q325">IF(COUNTIF('Raw TRI Data'!$J:$J,$E325)&gt;0,MEDIAN(IF('Raw TRI Data'!$J:$J=E325,'Raw TRI Data'!$S:$S)), "N/A - Facility Does Not Report to TRI")</f>
        <v>N/A - Facility Does Not Report to TRI</v>
      </c>
      <c r="R325" s="156" t="str">
        <f t="shared" si="31"/>
        <v>N/A - Facility Does Not Report to TRI</v>
      </c>
      <c r="S325" s="156" t="str">
        <f>IF(COUNTIF('Raw TRI Data'!$J:$J,$E325)&gt;0,_xlfn.MAXIFS('Raw TRI Data'!$S:$S,'Raw TRI Data'!$J:$J,$E325), "N/A - Facility Does Not Report to TRI")</f>
        <v>N/A - Facility Does Not Report to TRI</v>
      </c>
      <c r="T325" s="156" t="str">
        <f t="shared" si="32"/>
        <v>N/A - Facility Does Not Report to TRI</v>
      </c>
      <c r="U325" s="136" t="str" cm="1">
        <f t="array" ref="U325">IF(COUNTIF('Raw TRI Data'!$J:$J,$E325)&gt;0,INDEX('Raw TRI Data'!$A:$A,MATCH(1,($E325='Raw TRI Data'!$J:$J)*(S325='Raw TRI Data'!$S:$S),0)), "N/A - Facility Does Not Report to TRI")</f>
        <v>N/A - Facility Does Not Report to TRI</v>
      </c>
      <c r="V325" s="156" t="str" cm="1">
        <f t="array" ref="V325">IF(COUNTIFS('Raw Annual DMR Data'!$L:$L,$F325,'Raw Annual DMR Data'!$U:$U,"&gt;0")&gt;0,MEDIAN(IF('Raw Annual DMR Data'!$L:$L=$F325,'Raw Annual DMR Data'!$U:$U,"")),"N/A - Period DMR Data Not Available")</f>
        <v>N/A - Period DMR Data Not Available</v>
      </c>
      <c r="W325" s="156" t="str">
        <f>IF(COUNTIFS('Raw Annual DMR Data'!$L:$L,$F325, 'Raw Annual DMR Data'!$U:$U, "&gt;0")&gt;0,_xlfn.MAXIFS('Raw Annual DMR Data'!$U:$U,'Raw Annual DMR Data'!$L:$L,$F325), "N/A - Period DMR Data Not Available")</f>
        <v>N/A - Period DMR Data Not Available</v>
      </c>
      <c r="X325" s="113" t="str" cm="1">
        <f t="array" ref="X325">+IF(COUNTIFS('Raw Annual DMR Data'!L:L,$F325, 'Raw Annual DMR Data'!U:U, "&gt;0")&gt;0,INDEX('Raw Annual DMR Data'!V:V,MATCH(1,($F325='Raw Annual DMR Data'!L:L)*($W325='Raw Annual DMR Data'!U:U),0)), "N/A - Period DMR Data Not Available")</f>
        <v>N/A - Period DMR Data Not Available</v>
      </c>
      <c r="Y325" s="113" t="str" cm="1">
        <f t="array" ref="Y325">IF(COUNTIFS('Raw Annual DMR Data'!L:L,$F325, 'Raw Annual DMR Data'!U:U, "&gt;0")&gt;0,INDEX('Raw Annual DMR Data'!B:B,MATCH(1,($F325='Raw Annual DMR Data'!L:L)*($W325='Raw Annual DMR Data'!U:U),0)), "N/A - Period DMR Data Not Available")</f>
        <v>N/A - Period DMR Data Not Available</v>
      </c>
      <c r="Z325" s="311" t="str" cm="1">
        <f t="array" ref="Z325">IF(COUNTIF('Raw Annual DMR Data'!K:K,$E325)&gt;0,"N/A - See DMRs",IF(SUMIFS('Raw TRI Data'!$Z:$Z,'Raw TRI Data'!$J:$J,$E325)&gt;0,MEDIAN(IF('Raw TRI Data'!$J:$J=$E325,'Raw TRI Data'!$Z:$Z)), "N/A - Facility Does Not Report to TRI, no surface water releases, or no Generic Factors available"))</f>
        <v>N/A - Facility Does Not Report to TRI, no surface water releases, or no Generic Factors available</v>
      </c>
      <c r="AA325" s="156" t="str">
        <f>IF(COUNTIF('Raw Annual DMR Data'!K:K,$E325)&gt;0,"N/A - See DMRs",IF(SUMIFS('Raw TRI Data'!$Z:$Z,'Raw TRI Data'!$J:$J,$E325)&gt;0,_xlfn.MAXIFS('Raw TRI Data'!$Z:$Z,'Raw TRI Data'!$J:$J,$E325), "N/A - Facility Does Not Report to TRI, no surface water releases, or no Generic Factors available"))</f>
        <v>N/A - Facility Does Not Report to TRI, no surface water releases, or no Generic Factors available</v>
      </c>
      <c r="AB325" s="113" t="str">
        <f t="shared" ref="AB325:AB388" si="35">IF(ISNUMBER(AA325),30,"N/A")</f>
        <v>N/A</v>
      </c>
      <c r="AC325" s="136" t="str" cm="1">
        <f t="array" ref="AC325">IF(COUNTIF('Raw Annual DMR Data'!K:K,$E325)&gt;0,"N/A - See DMRs",IF(SUMIFS('Raw TRI Data'!$Z:$Z,'Raw TRI Data'!$J:$J,$E325)&gt;0,INDEX('Raw TRI Data'!$A:$A,MATCH(1,($E325='Raw TRI Data'!$J:$J)*($AA325='Raw TRI Data'!$Z:$Z),0)), "N/A - Facility Does Not Report to TRI, no surface water releases, or no Generic Factors available"))</f>
        <v>N/A - Facility Does Not Report to TRI, no surface water releases, or no Generic Factors available</v>
      </c>
      <c r="AD325" s="96" t="str" cm="1">
        <f t="array" ref="AD325">IF(COUNTIFS('Raw Annual DMR Data'!L:L,$F325,'Raw Annual DMR Data'!W:W, "&gt;0")&gt;0,MEDIAN(IF('Raw Annual DMR Data'!K:K=$F325, 'Raw Annual DMR Data'!W:W)), "N/A - No Daily Max DMR Discharge Data")</f>
        <v>N/A - No Daily Max DMR Discharge Data</v>
      </c>
      <c r="AE325" s="96" t="str">
        <f>IF(COUNTIFS('Raw Annual DMR Data'!L:L,$F325,'Raw Annual DMR Data'!W:W, "&gt;0")&gt;0,_xlfn.MAXIFS('Raw Annual DMR Data'!W:W,'Raw Annual DMR Data'!L:L,$F325), "N/A - No Daily Max DMR Discharge Data")</f>
        <v>N/A - No Daily Max DMR Discharge Data</v>
      </c>
      <c r="AF325" s="60" t="str" cm="1">
        <f t="array" ref="AF325">IF(COUNTIFS('Raw Annual DMR Data'!L:L,$F325,'Raw Annual DMR Data'!W:W, "&gt;0")&gt;0,INDEX('Raw Annual DMR Data'!B:B,MATCH(1,($F325='Raw Annual DMR Data'!L:L)*($AE325='Raw Annual DMR Data'!W:W),0)), "N/A - No Daily Max DMR Discharge Data")</f>
        <v>N/A - No Daily Max DMR Discharge Data</v>
      </c>
    </row>
    <row r="326" spans="1:32" ht="45.75" thickBot="1" x14ac:dyDescent="0.3">
      <c r="A326" s="144" t="str">
        <f>VLOOKUP(F326,'Facility Summary'!J:K,2,FALSE)</f>
        <v>POTW</v>
      </c>
      <c r="B326" s="28" t="s">
        <v>1309</v>
      </c>
      <c r="C326" s="28" t="s">
        <v>1310</v>
      </c>
      <c r="D326" s="28" t="s">
        <v>366</v>
      </c>
      <c r="E326" s="28"/>
      <c r="F326" s="61">
        <v>110000525842</v>
      </c>
      <c r="G326" s="60" t="str">
        <f>VLOOKUP($F326, 'Raw Annual DMR Data'!$A:$Z, 24, FALSE)</f>
        <v>CA0105295</v>
      </c>
      <c r="H326" s="60" t="str">
        <f>VLOOKUP($F326, 'Raw Annual DMR Data'!$A:$Z, 25, FALSE)</f>
        <v>SANTA ANA RIVER</v>
      </c>
      <c r="I326" s="74">
        <f>VLOOKUP($F326, 'Raw Annual DMR Data'!$A:$Z, 26, FALSE)</f>
        <v>18070203002243</v>
      </c>
      <c r="J326" s="74" t="s">
        <v>265</v>
      </c>
      <c r="K326" s="60">
        <f>VLOOKUP(A326, 'OES Summary'!$A:$B, 2, FALSE)</f>
        <v>365</v>
      </c>
      <c r="L326" s="304" cm="1">
        <f t="array" ref="L326">IF(COUNTIF('Raw Annual DMR Data'!$L:$L,$F326)&gt;0,MEDIAN(IF('Raw Annual DMR Data'!$L:$L=F326,'Raw Annual DMR Data'!$S:$S)),"N/A - Facility Does Not Report DMRs")</f>
        <v>1.7952587796124999</v>
      </c>
      <c r="M326" s="156">
        <f t="shared" si="33"/>
        <v>4.9185172044178081E-3</v>
      </c>
      <c r="N326" s="156">
        <f>IF(COUNTIF('Raw Annual DMR Data'!$L:$L,$F326)&gt;0,_xlfn.MAXIFS('Raw Annual DMR Data'!$S:$S,'Raw Annual DMR Data'!$L:$L,$F326), "N/A - Facility Does Not Report DMRs")</f>
        <v>7.9446847199999997</v>
      </c>
      <c r="O326" s="156">
        <f t="shared" si="34"/>
        <v>2.1766259506849316E-2</v>
      </c>
      <c r="P326" s="113" cm="1">
        <f t="array" ref="P326">IF(COUNTIF('Raw Annual DMR Data'!$L:$L,$F326)&gt;0,INDEX('Raw Annual DMR Data'!$B:$B,MATCH(1,($F326='Raw Annual DMR Data'!$L:$L)*($N326='Raw Annual DMR Data'!$S:$S),0)), "N/A - Facility Does Not Report DMRs")</f>
        <v>2023</v>
      </c>
      <c r="Q326" s="304" t="str" cm="1">
        <f t="array" ref="Q326">IF(COUNTIF('Raw TRI Data'!$J:$J,$E326)&gt;0,MEDIAN(IF('Raw TRI Data'!$J:$J=E326,'Raw TRI Data'!$S:$S)), "N/A - Facility Does Not Report to TRI")</f>
        <v>N/A - Facility Does Not Report to TRI</v>
      </c>
      <c r="R326" s="156" t="str">
        <f t="shared" si="31"/>
        <v>N/A - Facility Does Not Report to TRI</v>
      </c>
      <c r="S326" s="156" t="str">
        <f>IF(COUNTIF('Raw TRI Data'!$J:$J,$E326)&gt;0,_xlfn.MAXIFS('Raw TRI Data'!$S:$S,'Raw TRI Data'!$J:$J,$E326), "N/A - Facility Does Not Report to TRI")</f>
        <v>N/A - Facility Does Not Report to TRI</v>
      </c>
      <c r="T326" s="156" t="str">
        <f t="shared" si="32"/>
        <v>N/A - Facility Does Not Report to TRI</v>
      </c>
      <c r="U326" s="136" t="str" cm="1">
        <f t="array" ref="U326">IF(COUNTIF('Raw TRI Data'!$J:$J,$E326)&gt;0,INDEX('Raw TRI Data'!$A:$A,MATCH(1,($E326='Raw TRI Data'!$J:$J)*(S326='Raw TRI Data'!$S:$S),0)), "N/A - Facility Does Not Report to TRI")</f>
        <v>N/A - Facility Does Not Report to TRI</v>
      </c>
      <c r="V326" s="156" t="str" cm="1">
        <f t="array" ref="V326">IF(COUNTIFS('Raw Annual DMR Data'!$L:$L,$F326,'Raw Annual DMR Data'!$U:$U,"&gt;0")&gt;0,MEDIAN(IF('Raw Annual DMR Data'!$L:$L=$F326,'Raw Annual DMR Data'!$U:$U,"")),"N/A - Period DMR Data Not Available")</f>
        <v>N/A - Period DMR Data Not Available</v>
      </c>
      <c r="W326" s="156" t="str">
        <f>IF(COUNTIFS('Raw Annual DMR Data'!$L:$L,$F326, 'Raw Annual DMR Data'!$U:$U, "&gt;0")&gt;0,_xlfn.MAXIFS('Raw Annual DMR Data'!$U:$U,'Raw Annual DMR Data'!$L:$L,$F326), "N/A - Period DMR Data Not Available")</f>
        <v>N/A - Period DMR Data Not Available</v>
      </c>
      <c r="X326" s="113" t="str" cm="1">
        <f t="array" ref="X326">+IF(COUNTIFS('Raw Annual DMR Data'!L:L,$F326, 'Raw Annual DMR Data'!U:U, "&gt;0")&gt;0,INDEX('Raw Annual DMR Data'!V:V,MATCH(1,($F326='Raw Annual DMR Data'!L:L)*($W326='Raw Annual DMR Data'!U:U),0)), "N/A - Period DMR Data Not Available")</f>
        <v>N/A - Period DMR Data Not Available</v>
      </c>
      <c r="Y326" s="113" t="str" cm="1">
        <f t="array" ref="Y326">IF(COUNTIFS('Raw Annual DMR Data'!L:L,$F326, 'Raw Annual DMR Data'!U:U, "&gt;0")&gt;0,INDEX('Raw Annual DMR Data'!B:B,MATCH(1,($F326='Raw Annual DMR Data'!L:L)*($W326='Raw Annual DMR Data'!U:U),0)), "N/A - Period DMR Data Not Available")</f>
        <v>N/A - Period DMR Data Not Available</v>
      </c>
      <c r="Z326" s="311" t="str" cm="1">
        <f t="array" ref="Z326">IF(COUNTIF('Raw Annual DMR Data'!K:K,$E326)&gt;0,"N/A - See DMRs",IF(SUMIFS('Raw TRI Data'!$Z:$Z,'Raw TRI Data'!$J:$J,$E326)&gt;0,MEDIAN(IF('Raw TRI Data'!$J:$J=$E326,'Raw TRI Data'!$Z:$Z)), "N/A - Facility Does Not Report to TRI, no surface water releases, or no Generic Factors available"))</f>
        <v>N/A - Facility Does Not Report to TRI, no surface water releases, or no Generic Factors available</v>
      </c>
      <c r="AA326" s="156" t="str">
        <f>IF(COUNTIF('Raw Annual DMR Data'!K:K,$E326)&gt;0,"N/A - See DMRs",IF(SUMIFS('Raw TRI Data'!$Z:$Z,'Raw TRI Data'!$J:$J,$E326)&gt;0,_xlfn.MAXIFS('Raw TRI Data'!$Z:$Z,'Raw TRI Data'!$J:$J,$E326), "N/A - Facility Does Not Report to TRI, no surface water releases, or no Generic Factors available"))</f>
        <v>N/A - Facility Does Not Report to TRI, no surface water releases, or no Generic Factors available</v>
      </c>
      <c r="AB326" s="113" t="str">
        <f t="shared" si="35"/>
        <v>N/A</v>
      </c>
      <c r="AC326" s="136" t="str" cm="1">
        <f t="array" ref="AC326">IF(COUNTIF('Raw Annual DMR Data'!K:K,$E326)&gt;0,"N/A - See DMRs",IF(SUMIFS('Raw TRI Data'!$Z:$Z,'Raw TRI Data'!$J:$J,$E326)&gt;0,INDEX('Raw TRI Data'!$A:$A,MATCH(1,($E326='Raw TRI Data'!$J:$J)*($AA326='Raw TRI Data'!$Z:$Z),0)), "N/A - Facility Does Not Report to TRI, no surface water releases, or no Generic Factors available"))</f>
        <v>N/A - Facility Does Not Report to TRI, no surface water releases, or no Generic Factors available</v>
      </c>
      <c r="AD326" s="96" t="str" cm="1">
        <f t="array" ref="AD326">IF(COUNTIFS('Raw Annual DMR Data'!L:L,$F326,'Raw Annual DMR Data'!W:W, "&gt;0")&gt;0,MEDIAN(IF('Raw Annual DMR Data'!K:K=$F326, 'Raw Annual DMR Data'!W:W)), "N/A - No Daily Max DMR Discharge Data")</f>
        <v>N/A - No Daily Max DMR Discharge Data</v>
      </c>
      <c r="AE326" s="96" t="str">
        <f>IF(COUNTIFS('Raw Annual DMR Data'!L:L,$F326,'Raw Annual DMR Data'!W:W, "&gt;0")&gt;0,_xlfn.MAXIFS('Raw Annual DMR Data'!W:W,'Raw Annual DMR Data'!L:L,$F326), "N/A - No Daily Max DMR Discharge Data")</f>
        <v>N/A - No Daily Max DMR Discharge Data</v>
      </c>
      <c r="AF326" s="60" t="str" cm="1">
        <f t="array" ref="AF326">IF(COUNTIFS('Raw Annual DMR Data'!L:L,$F326,'Raw Annual DMR Data'!W:W, "&gt;0")&gt;0,INDEX('Raw Annual DMR Data'!B:B,MATCH(1,($F326='Raw Annual DMR Data'!L:L)*($AE326='Raw Annual DMR Data'!W:W),0)), "N/A - No Daily Max DMR Discharge Data")</f>
        <v>N/A - No Daily Max DMR Discharge Data</v>
      </c>
    </row>
    <row r="327" spans="1:32" ht="45.75" thickBot="1" x14ac:dyDescent="0.3">
      <c r="A327" s="144" t="str">
        <f>VLOOKUP(F327,'Facility Summary'!J:K,2,FALSE)</f>
        <v>Unknown</v>
      </c>
      <c r="B327" s="28" t="s">
        <v>1311</v>
      </c>
      <c r="C327" s="28" t="s">
        <v>1312</v>
      </c>
      <c r="D327" s="28" t="s">
        <v>506</v>
      </c>
      <c r="E327" s="28"/>
      <c r="F327" s="61">
        <v>110041245015</v>
      </c>
      <c r="G327" s="60" t="str">
        <f>VLOOKUP($F327, 'Raw Annual DMR Data'!$A:$Z, 24, FALSE)</f>
        <v>MDGVW3674</v>
      </c>
      <c r="H327" s="60">
        <f>VLOOKUP($F327, 'Raw Annual DMR Data'!$A:$Z, 25, FALSE)</f>
        <v>0</v>
      </c>
      <c r="I327" s="74">
        <f>VLOOKUP($F327, 'Raw Annual DMR Data'!$A:$Z, 26, FALSE)</f>
        <v>2060003000267</v>
      </c>
      <c r="J327" s="74" t="s">
        <v>265</v>
      </c>
      <c r="K327" s="60">
        <f>VLOOKUP(A327, 'OES Summary'!$A:$B, 2, FALSE)</f>
        <v>250</v>
      </c>
      <c r="L327" s="304" cm="1">
        <f t="array" ref="L327">IF(COUNTIF('Raw Annual DMR Data'!$L:$L,$F327)&gt;0,MEDIAN(IF('Raw Annual DMR Data'!$L:$L=F327,'Raw Annual DMR Data'!$S:$S)),"N/A - Facility Does Not Report DMRs")</f>
        <v>7.477504062499995E-4</v>
      </c>
      <c r="M327" s="156">
        <f t="shared" si="33"/>
        <v>2.991001624999998E-6</v>
      </c>
      <c r="N327" s="156">
        <f>IF(COUNTIF('Raw Annual DMR Data'!$L:$L,$F327)&gt;0,_xlfn.MAXIFS('Raw Annual DMR Data'!$S:$S,'Raw Annual DMR Data'!$L:$L,$F327), "N/A - Facility Does Not Report DMRs")</f>
        <v>1.0603204375E-3</v>
      </c>
      <c r="O327" s="156">
        <f t="shared" si="34"/>
        <v>4.2412817499999996E-6</v>
      </c>
      <c r="P327" s="113" cm="1">
        <f t="array" ref="P327">IF(COUNTIF('Raw Annual DMR Data'!$L:$L,$F327)&gt;0,INDEX('Raw Annual DMR Data'!$B:$B,MATCH(1,($F327='Raw Annual DMR Data'!$L:$L)*($N327='Raw Annual DMR Data'!$S:$S),0)), "N/A - Facility Does Not Report DMRs")</f>
        <v>2022</v>
      </c>
      <c r="Q327" s="304" t="str" cm="1">
        <f t="array" ref="Q327">IF(COUNTIF('Raw TRI Data'!$J:$J,$E327)&gt;0,MEDIAN(IF('Raw TRI Data'!$J:$J=E327,'Raw TRI Data'!$S:$S)), "N/A - Facility Does Not Report to TRI")</f>
        <v>N/A - Facility Does Not Report to TRI</v>
      </c>
      <c r="R327" s="156" t="str">
        <f t="shared" si="31"/>
        <v>N/A - Facility Does Not Report to TRI</v>
      </c>
      <c r="S327" s="156" t="str">
        <f>IF(COUNTIF('Raw TRI Data'!$J:$J,$E327)&gt;0,_xlfn.MAXIFS('Raw TRI Data'!$S:$S,'Raw TRI Data'!$J:$J,$E327), "N/A - Facility Does Not Report to TRI")</f>
        <v>N/A - Facility Does Not Report to TRI</v>
      </c>
      <c r="T327" s="156" t="str">
        <f t="shared" si="32"/>
        <v>N/A - Facility Does Not Report to TRI</v>
      </c>
      <c r="U327" s="136" t="str" cm="1">
        <f t="array" ref="U327">IF(COUNTIF('Raw TRI Data'!$J:$J,$E327)&gt;0,INDEX('Raw TRI Data'!$A:$A,MATCH(1,($E327='Raw TRI Data'!$J:$J)*(S327='Raw TRI Data'!$S:$S),0)), "N/A - Facility Does Not Report to TRI")</f>
        <v>N/A - Facility Does Not Report to TRI</v>
      </c>
      <c r="V327" s="156" t="str" cm="1">
        <f t="array" ref="V327">IF(COUNTIFS('Raw Annual DMR Data'!$L:$L,$F327,'Raw Annual DMR Data'!$U:$U,"&gt;0")&gt;0,MEDIAN(IF('Raw Annual DMR Data'!$L:$L=$F327,'Raw Annual DMR Data'!$U:$U,"")),"N/A - Period DMR Data Not Available")</f>
        <v>N/A - Period DMR Data Not Available</v>
      </c>
      <c r="W327" s="156" t="str">
        <f>IF(COUNTIFS('Raw Annual DMR Data'!$L:$L,$F327, 'Raw Annual DMR Data'!$U:$U, "&gt;0")&gt;0,_xlfn.MAXIFS('Raw Annual DMR Data'!$U:$U,'Raw Annual DMR Data'!$L:$L,$F327), "N/A - Period DMR Data Not Available")</f>
        <v>N/A - Period DMR Data Not Available</v>
      </c>
      <c r="X327" s="113" t="str" cm="1">
        <f t="array" ref="X327">+IF(COUNTIFS('Raw Annual DMR Data'!L:L,$F327, 'Raw Annual DMR Data'!U:U, "&gt;0")&gt;0,INDEX('Raw Annual DMR Data'!V:V,MATCH(1,($F327='Raw Annual DMR Data'!L:L)*($W327='Raw Annual DMR Data'!U:U),0)), "N/A - Period DMR Data Not Available")</f>
        <v>N/A - Period DMR Data Not Available</v>
      </c>
      <c r="Y327" s="113" t="str" cm="1">
        <f t="array" ref="Y327">IF(COUNTIFS('Raw Annual DMR Data'!L:L,$F327, 'Raw Annual DMR Data'!U:U, "&gt;0")&gt;0,INDEX('Raw Annual DMR Data'!B:B,MATCH(1,($F327='Raw Annual DMR Data'!L:L)*($W327='Raw Annual DMR Data'!U:U),0)), "N/A - Period DMR Data Not Available")</f>
        <v>N/A - Period DMR Data Not Available</v>
      </c>
      <c r="Z327" s="311" t="str" cm="1">
        <f t="array" ref="Z327">IF(COUNTIF('Raw Annual DMR Data'!K:K,$E327)&gt;0,"N/A - See DMRs",IF(SUMIFS('Raw TRI Data'!$Z:$Z,'Raw TRI Data'!$J:$J,$E327)&gt;0,MEDIAN(IF('Raw TRI Data'!$J:$J=$E327,'Raw TRI Data'!$Z:$Z)), "N/A - Facility Does Not Report to TRI, no surface water releases, or no Generic Factors available"))</f>
        <v>N/A - Facility Does Not Report to TRI, no surface water releases, or no Generic Factors available</v>
      </c>
      <c r="AA327" s="156" t="str">
        <f>IF(COUNTIF('Raw Annual DMR Data'!K:K,$E327)&gt;0,"N/A - See DMRs",IF(SUMIFS('Raw TRI Data'!$Z:$Z,'Raw TRI Data'!$J:$J,$E327)&gt;0,_xlfn.MAXIFS('Raw TRI Data'!$Z:$Z,'Raw TRI Data'!$J:$J,$E327), "N/A - Facility Does Not Report to TRI, no surface water releases, or no Generic Factors available"))</f>
        <v>N/A - Facility Does Not Report to TRI, no surface water releases, or no Generic Factors available</v>
      </c>
      <c r="AB327" s="113" t="str">
        <f t="shared" si="35"/>
        <v>N/A</v>
      </c>
      <c r="AC327" s="136" t="str" cm="1">
        <f t="array" ref="AC327">IF(COUNTIF('Raw Annual DMR Data'!K:K,$E327)&gt;0,"N/A - See DMRs",IF(SUMIFS('Raw TRI Data'!$Z:$Z,'Raw TRI Data'!$J:$J,$E327)&gt;0,INDEX('Raw TRI Data'!$A:$A,MATCH(1,($E327='Raw TRI Data'!$J:$J)*($AA327='Raw TRI Data'!$Z:$Z),0)), "N/A - Facility Does Not Report to TRI, no surface water releases, or no Generic Factors available"))</f>
        <v>N/A - Facility Does Not Report to TRI, no surface water releases, or no Generic Factors available</v>
      </c>
      <c r="AD327" s="96" t="str" cm="1">
        <f t="array" ref="AD327">IF(COUNTIFS('Raw Annual DMR Data'!L:L,$F327,'Raw Annual DMR Data'!W:W, "&gt;0")&gt;0,MEDIAN(IF('Raw Annual DMR Data'!K:K=$F327, 'Raw Annual DMR Data'!W:W)), "N/A - No Daily Max DMR Discharge Data")</f>
        <v>N/A - No Daily Max DMR Discharge Data</v>
      </c>
      <c r="AE327" s="96" t="str">
        <f>IF(COUNTIFS('Raw Annual DMR Data'!L:L,$F327,'Raw Annual DMR Data'!W:W, "&gt;0")&gt;0,_xlfn.MAXIFS('Raw Annual DMR Data'!W:W,'Raw Annual DMR Data'!L:L,$F327), "N/A - No Daily Max DMR Discharge Data")</f>
        <v>N/A - No Daily Max DMR Discharge Data</v>
      </c>
      <c r="AF327" s="60" t="str" cm="1">
        <f t="array" ref="AF327">IF(COUNTIFS('Raw Annual DMR Data'!L:L,$F327,'Raw Annual DMR Data'!W:W, "&gt;0")&gt;0,INDEX('Raw Annual DMR Data'!B:B,MATCH(1,($F327='Raw Annual DMR Data'!L:L)*($AE327='Raw Annual DMR Data'!W:W),0)), "N/A - No Daily Max DMR Discharge Data")</f>
        <v>N/A - No Daily Max DMR Discharge Data</v>
      </c>
    </row>
    <row r="328" spans="1:32" ht="45.75" thickBot="1" x14ac:dyDescent="0.3">
      <c r="A328" s="144" t="str">
        <f>VLOOKUP(F328,'Facility Summary'!J:K,2,FALSE)</f>
        <v>POTW</v>
      </c>
      <c r="B328" s="28" t="s">
        <v>1313</v>
      </c>
      <c r="C328" s="28" t="s">
        <v>1314</v>
      </c>
      <c r="D328" s="28" t="s">
        <v>374</v>
      </c>
      <c r="E328" s="28"/>
      <c r="F328" s="61">
        <v>110064629442</v>
      </c>
      <c r="G328" s="60" t="str">
        <f>VLOOKUP($F328, 'Raw Annual DMR Data'!$A:$Z, 24, FALSE)</f>
        <v>AZ0023639</v>
      </c>
      <c r="H328" s="60">
        <f>VLOOKUP($F328, 'Raw Annual DMR Data'!$A:$Z, 25, FALSE)</f>
        <v>0</v>
      </c>
      <c r="I328" s="74">
        <f>VLOOKUP($F328, 'Raw Annual DMR Data'!$A:$Z, 26, FALSE)</f>
        <v>15030108000333</v>
      </c>
      <c r="J328" s="74" t="s">
        <v>265</v>
      </c>
      <c r="K328" s="60">
        <f>VLOOKUP(A328, 'OES Summary'!$A:$B, 2, FALSE)</f>
        <v>365</v>
      </c>
      <c r="L328" s="304" cm="1">
        <f t="array" ref="L328">IF(COUNTIF('Raw Annual DMR Data'!$L:$L,$F328)&gt;0,MEDIAN(IF('Raw Annual DMR Data'!$L:$L=F328,'Raw Annual DMR Data'!$S:$S)),"N/A - Facility Does Not Report DMRs")</f>
        <v>9.5083458124999992E-2</v>
      </c>
      <c r="M328" s="156">
        <f t="shared" si="33"/>
        <v>2.6050262499999996E-4</v>
      </c>
      <c r="N328" s="156">
        <f>IF(COUNTIF('Raw Annual DMR Data'!$L:$L,$F328)&gt;0,_xlfn.MAXIFS('Raw Annual DMR Data'!$S:$S,'Raw Annual DMR Data'!$L:$L,$F328), "N/A - Facility Does Not Report DMRs")</f>
        <v>0.15127698749999999</v>
      </c>
      <c r="O328" s="156">
        <f t="shared" si="34"/>
        <v>4.1445749999999997E-4</v>
      </c>
      <c r="P328" s="113" cm="1">
        <f t="array" ref="P328">IF(COUNTIF('Raw Annual DMR Data'!$L:$L,$F328)&gt;0,INDEX('Raw Annual DMR Data'!$B:$B,MATCH(1,($F328='Raw Annual DMR Data'!$L:$L)*($N328='Raw Annual DMR Data'!$S:$S),0)), "N/A - Facility Does Not Report DMRs")</f>
        <v>2015</v>
      </c>
      <c r="Q328" s="304" t="str" cm="1">
        <f t="array" ref="Q328">IF(COUNTIF('Raw TRI Data'!$J:$J,$E328)&gt;0,MEDIAN(IF('Raw TRI Data'!$J:$J=E328,'Raw TRI Data'!$S:$S)), "N/A - Facility Does Not Report to TRI")</f>
        <v>N/A - Facility Does Not Report to TRI</v>
      </c>
      <c r="R328" s="156" t="str">
        <f t="shared" si="31"/>
        <v>N/A - Facility Does Not Report to TRI</v>
      </c>
      <c r="S328" s="156" t="str">
        <f>IF(COUNTIF('Raw TRI Data'!$J:$J,$E328)&gt;0,_xlfn.MAXIFS('Raw TRI Data'!$S:$S,'Raw TRI Data'!$J:$J,$E328), "N/A - Facility Does Not Report to TRI")</f>
        <v>N/A - Facility Does Not Report to TRI</v>
      </c>
      <c r="T328" s="156" t="str">
        <f t="shared" si="32"/>
        <v>N/A - Facility Does Not Report to TRI</v>
      </c>
      <c r="U328" s="136" t="str" cm="1">
        <f t="array" ref="U328">IF(COUNTIF('Raw TRI Data'!$J:$J,$E328)&gt;0,INDEX('Raw TRI Data'!$A:$A,MATCH(1,($E328='Raw TRI Data'!$J:$J)*(S328='Raw TRI Data'!$S:$S),0)), "N/A - Facility Does Not Report to TRI")</f>
        <v>N/A - Facility Does Not Report to TRI</v>
      </c>
      <c r="V328" s="156" t="str" cm="1">
        <f t="array" ref="V328">IF(COUNTIFS('Raw Annual DMR Data'!$L:$L,$F328,'Raw Annual DMR Data'!$U:$U,"&gt;0")&gt;0,MEDIAN(IF('Raw Annual DMR Data'!$L:$L=$F328,'Raw Annual DMR Data'!$U:$U,"")),"N/A - Period DMR Data Not Available")</f>
        <v>N/A - Period DMR Data Not Available</v>
      </c>
      <c r="W328" s="156" t="str">
        <f>IF(COUNTIFS('Raw Annual DMR Data'!$L:$L,$F328, 'Raw Annual DMR Data'!$U:$U, "&gt;0")&gt;0,_xlfn.MAXIFS('Raw Annual DMR Data'!$U:$U,'Raw Annual DMR Data'!$L:$L,$F328), "N/A - Period DMR Data Not Available")</f>
        <v>N/A - Period DMR Data Not Available</v>
      </c>
      <c r="X328" s="113" t="str" cm="1">
        <f t="array" ref="X328">+IF(COUNTIFS('Raw Annual DMR Data'!L:L,$F328, 'Raw Annual DMR Data'!U:U, "&gt;0")&gt;0,INDEX('Raw Annual DMR Data'!V:V,MATCH(1,($F328='Raw Annual DMR Data'!L:L)*($W328='Raw Annual DMR Data'!U:U),0)), "N/A - Period DMR Data Not Available")</f>
        <v>N/A - Period DMR Data Not Available</v>
      </c>
      <c r="Y328" s="113" t="str" cm="1">
        <f t="array" ref="Y328">IF(COUNTIFS('Raw Annual DMR Data'!L:L,$F328, 'Raw Annual DMR Data'!U:U, "&gt;0")&gt;0,INDEX('Raw Annual DMR Data'!B:B,MATCH(1,($F328='Raw Annual DMR Data'!L:L)*($W328='Raw Annual DMR Data'!U:U),0)), "N/A - Period DMR Data Not Available")</f>
        <v>N/A - Period DMR Data Not Available</v>
      </c>
      <c r="Z328" s="311" t="str" cm="1">
        <f t="array" ref="Z328">IF(COUNTIF('Raw Annual DMR Data'!K:K,$E328)&gt;0,"N/A - See DMRs",IF(SUMIFS('Raw TRI Data'!$Z:$Z,'Raw TRI Data'!$J:$J,$E328)&gt;0,MEDIAN(IF('Raw TRI Data'!$J:$J=$E328,'Raw TRI Data'!$Z:$Z)), "N/A - Facility Does Not Report to TRI, no surface water releases, or no Generic Factors available"))</f>
        <v>N/A - Facility Does Not Report to TRI, no surface water releases, or no Generic Factors available</v>
      </c>
      <c r="AA328" s="156" t="str">
        <f>IF(COUNTIF('Raw Annual DMR Data'!K:K,$E328)&gt;0,"N/A - See DMRs",IF(SUMIFS('Raw TRI Data'!$Z:$Z,'Raw TRI Data'!$J:$J,$E328)&gt;0,_xlfn.MAXIFS('Raw TRI Data'!$Z:$Z,'Raw TRI Data'!$J:$J,$E328), "N/A - Facility Does Not Report to TRI, no surface water releases, or no Generic Factors available"))</f>
        <v>N/A - Facility Does Not Report to TRI, no surface water releases, or no Generic Factors available</v>
      </c>
      <c r="AB328" s="113" t="str">
        <f t="shared" si="35"/>
        <v>N/A</v>
      </c>
      <c r="AC328" s="136" t="str" cm="1">
        <f t="array" ref="AC328">IF(COUNTIF('Raw Annual DMR Data'!K:K,$E328)&gt;0,"N/A - See DMRs",IF(SUMIFS('Raw TRI Data'!$Z:$Z,'Raw TRI Data'!$J:$J,$E328)&gt;0,INDEX('Raw TRI Data'!$A:$A,MATCH(1,($E328='Raw TRI Data'!$J:$J)*($AA328='Raw TRI Data'!$Z:$Z),0)), "N/A - Facility Does Not Report to TRI, no surface water releases, or no Generic Factors available"))</f>
        <v>N/A - Facility Does Not Report to TRI, no surface water releases, or no Generic Factors available</v>
      </c>
      <c r="AD328" s="96" t="str" cm="1">
        <f t="array" ref="AD328">IF(COUNTIFS('Raw Annual DMR Data'!L:L,$F328,'Raw Annual DMR Data'!W:W, "&gt;0")&gt;0,MEDIAN(IF('Raw Annual DMR Data'!K:K=$F328, 'Raw Annual DMR Data'!W:W)), "N/A - No Daily Max DMR Discharge Data")</f>
        <v>N/A - No Daily Max DMR Discharge Data</v>
      </c>
      <c r="AE328" s="96" t="str">
        <f>IF(COUNTIFS('Raw Annual DMR Data'!L:L,$F328,'Raw Annual DMR Data'!W:W, "&gt;0")&gt;0,_xlfn.MAXIFS('Raw Annual DMR Data'!W:W,'Raw Annual DMR Data'!L:L,$F328), "N/A - No Daily Max DMR Discharge Data")</f>
        <v>N/A - No Daily Max DMR Discharge Data</v>
      </c>
      <c r="AF328" s="60" t="str" cm="1">
        <f t="array" ref="AF328">IF(COUNTIFS('Raw Annual DMR Data'!L:L,$F328,'Raw Annual DMR Data'!W:W, "&gt;0")&gt;0,INDEX('Raw Annual DMR Data'!B:B,MATCH(1,($F328='Raw Annual DMR Data'!L:L)*($AE328='Raw Annual DMR Data'!W:W),0)), "N/A - No Daily Max DMR Discharge Data")</f>
        <v>N/A - No Daily Max DMR Discharge Data</v>
      </c>
    </row>
    <row r="329" spans="1:32" ht="45.75" thickBot="1" x14ac:dyDescent="0.3">
      <c r="A329" s="144" t="str">
        <f>VLOOKUP(F329,'Facility Summary'!J:K,2,FALSE)</f>
        <v>Waste Handling, Disposal and Treatment (Landfill)</v>
      </c>
      <c r="B329" s="28" t="s">
        <v>1315</v>
      </c>
      <c r="C329" s="28" t="s">
        <v>1316</v>
      </c>
      <c r="D329" s="28" t="s">
        <v>294</v>
      </c>
      <c r="E329" s="28"/>
      <c r="F329" s="61">
        <v>110070544905</v>
      </c>
      <c r="G329" s="60" t="str">
        <f>VLOOKUP($F329, 'Raw Annual DMR Data'!$A:$Z, 24, FALSE)</f>
        <v>VAG830334</v>
      </c>
      <c r="H329" s="60" t="str">
        <f>VLOOKUP($F329, 'Raw Annual DMR Data'!$A:$Z, 25, FALSE)</f>
        <v>BLACKS RUN</v>
      </c>
      <c r="I329" s="74">
        <f>VLOOKUP($F329, 'Raw Annual DMR Data'!$A:$Z, 26, FALSE)</f>
        <v>0</v>
      </c>
      <c r="J329" s="74" t="s">
        <v>265</v>
      </c>
      <c r="K329" s="60">
        <f>VLOOKUP(A329, 'OES Summary'!$A:$B, 2, FALSE)</f>
        <v>250</v>
      </c>
      <c r="L329" s="304" cm="1">
        <f t="array" ref="L329">IF(COUNTIF('Raw Annual DMR Data'!$L:$L,$F329)&gt;0,MEDIAN(IF('Raw Annual DMR Data'!$L:$L=F329,'Raw Annual DMR Data'!$S:$S)),"N/A - Facility Does Not Report DMRs")</f>
        <v>4.6002852528499998E-2</v>
      </c>
      <c r="M329" s="156">
        <f t="shared" si="33"/>
        <v>1.8401141011399998E-4</v>
      </c>
      <c r="N329" s="156">
        <f>IF(COUNTIF('Raw Annual DMR Data'!$L:$L,$F329)&gt;0,_xlfn.MAXIFS('Raw Annual DMR Data'!$S:$S,'Raw Annual DMR Data'!$L:$L,$F329), "N/A - Facility Does Not Report DMRs")</f>
        <v>0.121186956952799</v>
      </c>
      <c r="O329" s="156">
        <f t="shared" si="34"/>
        <v>4.84747827811196E-4</v>
      </c>
      <c r="P329" s="113" cm="1">
        <f t="array" ref="P329">IF(COUNTIF('Raw Annual DMR Data'!$L:$L,$F329)&gt;0,INDEX('Raw Annual DMR Data'!$B:$B,MATCH(1,($F329='Raw Annual DMR Data'!$L:$L)*($N329='Raw Annual DMR Data'!$S:$S),0)), "N/A - Facility Does Not Report DMRs")</f>
        <v>2018</v>
      </c>
      <c r="Q329" s="304" t="str" cm="1">
        <f t="array" ref="Q329">IF(COUNTIF('Raw TRI Data'!$J:$J,$E329)&gt;0,MEDIAN(IF('Raw TRI Data'!$J:$J=E329,'Raw TRI Data'!$S:$S)), "N/A - Facility Does Not Report to TRI")</f>
        <v>N/A - Facility Does Not Report to TRI</v>
      </c>
      <c r="R329" s="156" t="str">
        <f t="shared" si="31"/>
        <v>N/A - Facility Does Not Report to TRI</v>
      </c>
      <c r="S329" s="156" t="str">
        <f>IF(COUNTIF('Raw TRI Data'!$J:$J,$E329)&gt;0,_xlfn.MAXIFS('Raw TRI Data'!$S:$S,'Raw TRI Data'!$J:$J,$E329), "N/A - Facility Does Not Report to TRI")</f>
        <v>N/A - Facility Does Not Report to TRI</v>
      </c>
      <c r="T329" s="156" t="str">
        <f t="shared" si="32"/>
        <v>N/A - Facility Does Not Report to TRI</v>
      </c>
      <c r="U329" s="136" t="str" cm="1">
        <f t="array" ref="U329">IF(COUNTIF('Raw TRI Data'!$J:$J,$E329)&gt;0,INDEX('Raw TRI Data'!$A:$A,MATCH(1,($E329='Raw TRI Data'!$J:$J)*(S329='Raw TRI Data'!$S:$S),0)), "N/A - Facility Does Not Report to TRI")</f>
        <v>N/A - Facility Does Not Report to TRI</v>
      </c>
      <c r="V329" s="156" t="str" cm="1">
        <f t="array" ref="V329">IF(COUNTIFS('Raw Annual DMR Data'!$L:$L,$F329,'Raw Annual DMR Data'!$U:$U,"&gt;0")&gt;0,MEDIAN(IF('Raw Annual DMR Data'!$L:$L=$F329,'Raw Annual DMR Data'!$U:$U,"")),"N/A - Period DMR Data Not Available")</f>
        <v>N/A - Period DMR Data Not Available</v>
      </c>
      <c r="W329" s="156" t="str">
        <f>IF(COUNTIFS('Raw Annual DMR Data'!$L:$L,$F329, 'Raw Annual DMR Data'!$U:$U, "&gt;0")&gt;0,_xlfn.MAXIFS('Raw Annual DMR Data'!$U:$U,'Raw Annual DMR Data'!$L:$L,$F329), "N/A - Period DMR Data Not Available")</f>
        <v>N/A - Period DMR Data Not Available</v>
      </c>
      <c r="X329" s="113" t="str" cm="1">
        <f t="array" ref="X329">+IF(COUNTIFS('Raw Annual DMR Data'!L:L,$F329, 'Raw Annual DMR Data'!U:U, "&gt;0")&gt;0,INDEX('Raw Annual DMR Data'!V:V,MATCH(1,($F329='Raw Annual DMR Data'!L:L)*($W329='Raw Annual DMR Data'!U:U),0)), "N/A - Period DMR Data Not Available")</f>
        <v>N/A - Period DMR Data Not Available</v>
      </c>
      <c r="Y329" s="113" t="str" cm="1">
        <f t="array" ref="Y329">IF(COUNTIFS('Raw Annual DMR Data'!L:L,$F329, 'Raw Annual DMR Data'!U:U, "&gt;0")&gt;0,INDEX('Raw Annual DMR Data'!B:B,MATCH(1,($F329='Raw Annual DMR Data'!L:L)*($W329='Raw Annual DMR Data'!U:U),0)), "N/A - Period DMR Data Not Available")</f>
        <v>N/A - Period DMR Data Not Available</v>
      </c>
      <c r="Z329" s="311" t="str" cm="1">
        <f t="array" ref="Z329">IF(COUNTIF('Raw Annual DMR Data'!K:K,$E329)&gt;0,"N/A - See DMRs",IF(SUMIFS('Raw TRI Data'!$Z:$Z,'Raw TRI Data'!$J:$J,$E329)&gt;0,MEDIAN(IF('Raw TRI Data'!$J:$J=$E329,'Raw TRI Data'!$Z:$Z)), "N/A - Facility Does Not Report to TRI, no surface water releases, or no Generic Factors available"))</f>
        <v>N/A - Facility Does Not Report to TRI, no surface water releases, or no Generic Factors available</v>
      </c>
      <c r="AA329" s="156" t="str">
        <f>IF(COUNTIF('Raw Annual DMR Data'!K:K,$E329)&gt;0,"N/A - See DMRs",IF(SUMIFS('Raw TRI Data'!$Z:$Z,'Raw TRI Data'!$J:$J,$E329)&gt;0,_xlfn.MAXIFS('Raw TRI Data'!$Z:$Z,'Raw TRI Data'!$J:$J,$E329), "N/A - Facility Does Not Report to TRI, no surface water releases, or no Generic Factors available"))</f>
        <v>N/A - Facility Does Not Report to TRI, no surface water releases, or no Generic Factors available</v>
      </c>
      <c r="AB329" s="113" t="str">
        <f t="shared" si="35"/>
        <v>N/A</v>
      </c>
      <c r="AC329" s="136" t="str" cm="1">
        <f t="array" ref="AC329">IF(COUNTIF('Raw Annual DMR Data'!K:K,$E329)&gt;0,"N/A - See DMRs",IF(SUMIFS('Raw TRI Data'!$Z:$Z,'Raw TRI Data'!$J:$J,$E329)&gt;0,INDEX('Raw TRI Data'!$A:$A,MATCH(1,($E329='Raw TRI Data'!$J:$J)*($AA329='Raw TRI Data'!$Z:$Z),0)), "N/A - Facility Does Not Report to TRI, no surface water releases, or no Generic Factors available"))</f>
        <v>N/A - Facility Does Not Report to TRI, no surface water releases, or no Generic Factors available</v>
      </c>
      <c r="AD329" s="96" t="str" cm="1">
        <f t="array" ref="AD329">IF(COUNTIFS('Raw Annual DMR Data'!L:L,$F329,'Raw Annual DMR Data'!W:W, "&gt;0")&gt;0,MEDIAN(IF('Raw Annual DMR Data'!K:K=$F329, 'Raw Annual DMR Data'!W:W)), "N/A - No Daily Max DMR Discharge Data")</f>
        <v>N/A - No Daily Max DMR Discharge Data</v>
      </c>
      <c r="AE329" s="96" t="str">
        <f>IF(COUNTIFS('Raw Annual DMR Data'!L:L,$F329,'Raw Annual DMR Data'!W:W, "&gt;0")&gt;0,_xlfn.MAXIFS('Raw Annual DMR Data'!W:W,'Raw Annual DMR Data'!L:L,$F329), "N/A - No Daily Max DMR Discharge Data")</f>
        <v>N/A - No Daily Max DMR Discharge Data</v>
      </c>
      <c r="AF329" s="60" t="str" cm="1">
        <f t="array" ref="AF329">IF(COUNTIFS('Raw Annual DMR Data'!L:L,$F329,'Raw Annual DMR Data'!W:W, "&gt;0")&gt;0,INDEX('Raw Annual DMR Data'!B:B,MATCH(1,($F329='Raw Annual DMR Data'!L:L)*($AE329='Raw Annual DMR Data'!W:W),0)), "N/A - No Daily Max DMR Discharge Data")</f>
        <v>N/A - No Daily Max DMR Discharge Data</v>
      </c>
    </row>
    <row r="330" spans="1:32" ht="45.75" thickBot="1" x14ac:dyDescent="0.3">
      <c r="A330" s="144" t="str">
        <f>VLOOKUP(F330,'Facility Summary'!J:K,2,FALSE)</f>
        <v>Unknown</v>
      </c>
      <c r="B330" s="28" t="s">
        <v>1317</v>
      </c>
      <c r="C330" s="28" t="s">
        <v>1318</v>
      </c>
      <c r="D330" s="28" t="s">
        <v>491</v>
      </c>
      <c r="E330" s="28"/>
      <c r="F330" s="61">
        <v>110064634686</v>
      </c>
      <c r="G330" s="60" t="str">
        <f>VLOOKUP($F330, 'Raw Annual DMR Data'!$A:$Z, 24, FALSE)</f>
        <v>PA0012769</v>
      </c>
      <c r="H330" s="60" t="str">
        <f>VLOOKUP($F330, 'Raw Annual DMR Data'!$A:$Z, 25, FALSE)</f>
        <v>DELAWARE RIVER, MILL CREEK, UNNAMED TRIB OF DELAWARE RIVER, UNNAMED TRIB TO DELAWARE RIVER, UNT TO DELAWARE RIVER</v>
      </c>
      <c r="I330" s="74">
        <f>VLOOKUP($F330, 'Raw Annual DMR Data'!$A:$Z, 26, FALSE)</f>
        <v>2040201000476</v>
      </c>
      <c r="J330" s="74" t="s">
        <v>265</v>
      </c>
      <c r="K330" s="60">
        <f>VLOOKUP(A330, 'OES Summary'!$A:$B, 2, FALSE)</f>
        <v>250</v>
      </c>
      <c r="L330" s="304" cm="1">
        <f t="array" ref="L330">IF(COUNTIF('Raw Annual DMR Data'!$L:$L,$F330)&gt;0,MEDIAN(IF('Raw Annual DMR Data'!$L:$L=F330,'Raw Annual DMR Data'!$S:$S)),"N/A - Facility Does Not Report DMRs")</f>
        <v>0.29633240600907002</v>
      </c>
      <c r="M330" s="156">
        <f t="shared" si="33"/>
        <v>1.1853296240362801E-3</v>
      </c>
      <c r="N330" s="156">
        <f>IF(COUNTIF('Raw Annual DMR Data'!$L:$L,$F330)&gt;0,_xlfn.MAXIFS('Raw Annual DMR Data'!$S:$S,'Raw Annual DMR Data'!$L:$L,$F330), "N/A - Facility Does Not Report DMRs")</f>
        <v>0.38862400000000002</v>
      </c>
      <c r="O330" s="156">
        <f t="shared" si="34"/>
        <v>1.554496E-3</v>
      </c>
      <c r="P330" s="113" cm="1">
        <f t="array" ref="P330">IF(COUNTIF('Raw Annual DMR Data'!$L:$L,$F330)&gt;0,INDEX('Raw Annual DMR Data'!$B:$B,MATCH(1,($F330='Raw Annual DMR Data'!$L:$L)*($N330='Raw Annual DMR Data'!$S:$S),0)), "N/A - Facility Does Not Report DMRs")</f>
        <v>2023</v>
      </c>
      <c r="Q330" s="304" t="str" cm="1">
        <f t="array" ref="Q330">IF(COUNTIF('Raw TRI Data'!$J:$J,$E330)&gt;0,MEDIAN(IF('Raw TRI Data'!$J:$J=E330,'Raw TRI Data'!$S:$S)), "N/A - Facility Does Not Report to TRI")</f>
        <v>N/A - Facility Does Not Report to TRI</v>
      </c>
      <c r="R330" s="156" t="str">
        <f t="shared" si="31"/>
        <v>N/A - Facility Does Not Report to TRI</v>
      </c>
      <c r="S330" s="156" t="str">
        <f>IF(COUNTIF('Raw TRI Data'!$J:$J,$E330)&gt;0,_xlfn.MAXIFS('Raw TRI Data'!$S:$S,'Raw TRI Data'!$J:$J,$E330), "N/A - Facility Does Not Report to TRI")</f>
        <v>N/A - Facility Does Not Report to TRI</v>
      </c>
      <c r="T330" s="156" t="str">
        <f t="shared" si="32"/>
        <v>N/A - Facility Does Not Report to TRI</v>
      </c>
      <c r="U330" s="136" t="str" cm="1">
        <f t="array" ref="U330">IF(COUNTIF('Raw TRI Data'!$J:$J,$E330)&gt;0,INDEX('Raw TRI Data'!$A:$A,MATCH(1,($E330='Raw TRI Data'!$J:$J)*(S330='Raw TRI Data'!$S:$S),0)), "N/A - Facility Does Not Report to TRI")</f>
        <v>N/A - Facility Does Not Report to TRI</v>
      </c>
      <c r="V330" s="156" t="str" cm="1">
        <f t="array" ref="V330">IF(COUNTIFS('Raw Annual DMR Data'!$L:$L,$F330,'Raw Annual DMR Data'!$U:$U,"&gt;0")&gt;0,MEDIAN(IF('Raw Annual DMR Data'!$L:$L=$F330,'Raw Annual DMR Data'!$U:$U,"")),"N/A - Period DMR Data Not Available")</f>
        <v>N/A - Period DMR Data Not Available</v>
      </c>
      <c r="W330" s="156" t="str">
        <f>IF(COUNTIFS('Raw Annual DMR Data'!$L:$L,$F330, 'Raw Annual DMR Data'!$U:$U, "&gt;0")&gt;0,_xlfn.MAXIFS('Raw Annual DMR Data'!$U:$U,'Raw Annual DMR Data'!$L:$L,$F330), "N/A - Period DMR Data Not Available")</f>
        <v>N/A - Period DMR Data Not Available</v>
      </c>
      <c r="X330" s="113" t="str" cm="1">
        <f t="array" ref="X330">+IF(COUNTIFS('Raw Annual DMR Data'!L:L,$F330, 'Raw Annual DMR Data'!U:U, "&gt;0")&gt;0,INDEX('Raw Annual DMR Data'!V:V,MATCH(1,($F330='Raw Annual DMR Data'!L:L)*($W330='Raw Annual DMR Data'!U:U),0)), "N/A - Period DMR Data Not Available")</f>
        <v>N/A - Period DMR Data Not Available</v>
      </c>
      <c r="Y330" s="113" t="str" cm="1">
        <f t="array" ref="Y330">IF(COUNTIFS('Raw Annual DMR Data'!L:L,$F330, 'Raw Annual DMR Data'!U:U, "&gt;0")&gt;0,INDEX('Raw Annual DMR Data'!B:B,MATCH(1,($F330='Raw Annual DMR Data'!L:L)*($W330='Raw Annual DMR Data'!U:U),0)), "N/A - Period DMR Data Not Available")</f>
        <v>N/A - Period DMR Data Not Available</v>
      </c>
      <c r="Z330" s="311" t="str" cm="1">
        <f t="array" ref="Z330">IF(COUNTIF('Raw Annual DMR Data'!K:K,$E330)&gt;0,"N/A - See DMRs",IF(SUMIFS('Raw TRI Data'!$Z:$Z,'Raw TRI Data'!$J:$J,$E330)&gt;0,MEDIAN(IF('Raw TRI Data'!$J:$J=$E330,'Raw TRI Data'!$Z:$Z)), "N/A - Facility Does Not Report to TRI, no surface water releases, or no Generic Factors available"))</f>
        <v>N/A - Facility Does Not Report to TRI, no surface water releases, or no Generic Factors available</v>
      </c>
      <c r="AA330" s="156" t="str">
        <f>IF(COUNTIF('Raw Annual DMR Data'!K:K,$E330)&gt;0,"N/A - See DMRs",IF(SUMIFS('Raw TRI Data'!$Z:$Z,'Raw TRI Data'!$J:$J,$E330)&gt;0,_xlfn.MAXIFS('Raw TRI Data'!$Z:$Z,'Raw TRI Data'!$J:$J,$E330), "N/A - Facility Does Not Report to TRI, no surface water releases, or no Generic Factors available"))</f>
        <v>N/A - Facility Does Not Report to TRI, no surface water releases, or no Generic Factors available</v>
      </c>
      <c r="AB330" s="113" t="str">
        <f t="shared" si="35"/>
        <v>N/A</v>
      </c>
      <c r="AC330" s="136" t="str" cm="1">
        <f t="array" ref="AC330">IF(COUNTIF('Raw Annual DMR Data'!K:K,$E330)&gt;0,"N/A - See DMRs",IF(SUMIFS('Raw TRI Data'!$Z:$Z,'Raw TRI Data'!$J:$J,$E330)&gt;0,INDEX('Raw TRI Data'!$A:$A,MATCH(1,($E330='Raw TRI Data'!$J:$J)*($AA330='Raw TRI Data'!$Z:$Z),0)), "N/A - Facility Does Not Report to TRI, no surface water releases, or no Generic Factors available"))</f>
        <v>N/A - Facility Does Not Report to TRI, no surface water releases, or no Generic Factors available</v>
      </c>
      <c r="AD330" s="96" t="str" cm="1">
        <f t="array" ref="AD330">IF(COUNTIFS('Raw Annual DMR Data'!L:L,$F330,'Raw Annual DMR Data'!W:W, "&gt;0")&gt;0,MEDIAN(IF('Raw Annual DMR Data'!K:K=$F330, 'Raw Annual DMR Data'!W:W)), "N/A - No Daily Max DMR Discharge Data")</f>
        <v>N/A - No Daily Max DMR Discharge Data</v>
      </c>
      <c r="AE330" s="96" t="str">
        <f>IF(COUNTIFS('Raw Annual DMR Data'!L:L,$F330,'Raw Annual DMR Data'!W:W, "&gt;0")&gt;0,_xlfn.MAXIFS('Raw Annual DMR Data'!W:W,'Raw Annual DMR Data'!L:L,$F330), "N/A - No Daily Max DMR Discharge Data")</f>
        <v>N/A - No Daily Max DMR Discharge Data</v>
      </c>
      <c r="AF330" s="60" t="str" cm="1">
        <f t="array" ref="AF330">IF(COUNTIFS('Raw Annual DMR Data'!L:L,$F330,'Raw Annual DMR Data'!W:W, "&gt;0")&gt;0,INDEX('Raw Annual DMR Data'!B:B,MATCH(1,($F330='Raw Annual DMR Data'!L:L)*($AE330='Raw Annual DMR Data'!W:W),0)), "N/A - No Daily Max DMR Discharge Data")</f>
        <v>N/A - No Daily Max DMR Discharge Data</v>
      </c>
    </row>
    <row r="331" spans="1:32" ht="45.75" thickBot="1" x14ac:dyDescent="0.3">
      <c r="A331" s="144" t="str">
        <f>VLOOKUP(F331,'Facility Summary'!J:K,2,FALSE)</f>
        <v>POTW</v>
      </c>
      <c r="B331" s="28" t="s">
        <v>1319</v>
      </c>
      <c r="C331" s="28" t="s">
        <v>1320</v>
      </c>
      <c r="D331" s="28" t="s">
        <v>324</v>
      </c>
      <c r="E331" s="28"/>
      <c r="F331" s="61">
        <v>110000719045</v>
      </c>
      <c r="G331" s="60" t="str">
        <f>VLOOKUP($F331, 'Raw Annual DMR Data'!$A:$Z, 24, FALSE)</f>
        <v>KY0062995</v>
      </c>
      <c r="H331" s="60" t="str">
        <f>VLOOKUP($F331, 'Raw Annual DMR Data'!$A:$Z, 25, FALSE)</f>
        <v>CUMBERLAND RIVER / LAKE CUMBERLAND</v>
      </c>
      <c r="I331" s="74">
        <f>VLOOKUP($F331, 'Raw Annual DMR Data'!$A:$Z, 26, FALSE)</f>
        <v>5130103010237</v>
      </c>
      <c r="J331" s="74" t="s">
        <v>265</v>
      </c>
      <c r="K331" s="60">
        <f>VLOOKUP(A331, 'OES Summary'!$A:$B, 2, FALSE)</f>
        <v>365</v>
      </c>
      <c r="L331" s="304" cm="1">
        <f t="array" ref="L331">IF(COUNTIF('Raw Annual DMR Data'!$L:$L,$F331)&gt;0,MEDIAN(IF('Raw Annual DMR Data'!$L:$L=F331,'Raw Annual DMR Data'!$S:$S)),"N/A - Facility Does Not Report DMRs")</f>
        <v>0.5353409375</v>
      </c>
      <c r="M331" s="156">
        <f t="shared" si="33"/>
        <v>1.4666875000000001E-3</v>
      </c>
      <c r="N331" s="156">
        <f>IF(COUNTIF('Raw Annual DMR Data'!$L:$L,$F331)&gt;0,_xlfn.MAXIFS('Raw Annual DMR Data'!$S:$S,'Raw Annual DMR Data'!$L:$L,$F331), "N/A - Facility Does Not Report DMRs")</f>
        <v>0.84065796250000002</v>
      </c>
      <c r="O331" s="156">
        <f t="shared" si="34"/>
        <v>2.3031725000000002E-3</v>
      </c>
      <c r="P331" s="113" cm="1">
        <f t="array" ref="P331">IF(COUNTIF('Raw Annual DMR Data'!$L:$L,$F331)&gt;0,INDEX('Raw Annual DMR Data'!$B:$B,MATCH(1,($F331='Raw Annual DMR Data'!$L:$L)*($N331='Raw Annual DMR Data'!$S:$S),0)), "N/A - Facility Does Not Report DMRs")</f>
        <v>2018</v>
      </c>
      <c r="Q331" s="304" t="str" cm="1">
        <f t="array" ref="Q331">IF(COUNTIF('Raw TRI Data'!$J:$J,$E331)&gt;0,MEDIAN(IF('Raw TRI Data'!$J:$J=E331,'Raw TRI Data'!$S:$S)), "N/A - Facility Does Not Report to TRI")</f>
        <v>N/A - Facility Does Not Report to TRI</v>
      </c>
      <c r="R331" s="156" t="str">
        <f t="shared" si="31"/>
        <v>N/A - Facility Does Not Report to TRI</v>
      </c>
      <c r="S331" s="156" t="str">
        <f>IF(COUNTIF('Raw TRI Data'!$J:$J,$E331)&gt;0,_xlfn.MAXIFS('Raw TRI Data'!$S:$S,'Raw TRI Data'!$J:$J,$E331), "N/A - Facility Does Not Report to TRI")</f>
        <v>N/A - Facility Does Not Report to TRI</v>
      </c>
      <c r="T331" s="156" t="str">
        <f t="shared" si="32"/>
        <v>N/A - Facility Does Not Report to TRI</v>
      </c>
      <c r="U331" s="136" t="str" cm="1">
        <f t="array" ref="U331">IF(COUNTIF('Raw TRI Data'!$J:$J,$E331)&gt;0,INDEX('Raw TRI Data'!$A:$A,MATCH(1,($E331='Raw TRI Data'!$J:$J)*(S331='Raw TRI Data'!$S:$S),0)), "N/A - Facility Does Not Report to TRI")</f>
        <v>N/A - Facility Does Not Report to TRI</v>
      </c>
      <c r="V331" s="156" t="str" cm="1">
        <f t="array" ref="V331">IF(COUNTIFS('Raw Annual DMR Data'!$L:$L,$F331,'Raw Annual DMR Data'!$U:$U,"&gt;0")&gt;0,MEDIAN(IF('Raw Annual DMR Data'!$L:$L=$F331,'Raw Annual DMR Data'!$U:$U,"")),"N/A - Period DMR Data Not Available")</f>
        <v>N/A - Period DMR Data Not Available</v>
      </c>
      <c r="W331" s="156" t="str">
        <f>IF(COUNTIFS('Raw Annual DMR Data'!$L:$L,$F331, 'Raw Annual DMR Data'!$U:$U, "&gt;0")&gt;0,_xlfn.MAXIFS('Raw Annual DMR Data'!$U:$U,'Raw Annual DMR Data'!$L:$L,$F331), "N/A - Period DMR Data Not Available")</f>
        <v>N/A - Period DMR Data Not Available</v>
      </c>
      <c r="X331" s="113" t="str" cm="1">
        <f t="array" ref="X331">+IF(COUNTIFS('Raw Annual DMR Data'!L:L,$F331, 'Raw Annual DMR Data'!U:U, "&gt;0")&gt;0,INDEX('Raw Annual DMR Data'!V:V,MATCH(1,($F331='Raw Annual DMR Data'!L:L)*($W331='Raw Annual DMR Data'!U:U),0)), "N/A - Period DMR Data Not Available")</f>
        <v>N/A - Period DMR Data Not Available</v>
      </c>
      <c r="Y331" s="113" t="str" cm="1">
        <f t="array" ref="Y331">IF(COUNTIFS('Raw Annual DMR Data'!L:L,$F331, 'Raw Annual DMR Data'!U:U, "&gt;0")&gt;0,INDEX('Raw Annual DMR Data'!B:B,MATCH(1,($F331='Raw Annual DMR Data'!L:L)*($W331='Raw Annual DMR Data'!U:U),0)), "N/A - Period DMR Data Not Available")</f>
        <v>N/A - Period DMR Data Not Available</v>
      </c>
      <c r="Z331" s="311" t="str" cm="1">
        <f t="array" ref="Z331">IF(COUNTIF('Raw Annual DMR Data'!K:K,$E331)&gt;0,"N/A - See DMRs",IF(SUMIFS('Raw TRI Data'!$Z:$Z,'Raw TRI Data'!$J:$J,$E331)&gt;0,MEDIAN(IF('Raw TRI Data'!$J:$J=$E331,'Raw TRI Data'!$Z:$Z)), "N/A - Facility Does Not Report to TRI, no surface water releases, or no Generic Factors available"))</f>
        <v>N/A - Facility Does Not Report to TRI, no surface water releases, or no Generic Factors available</v>
      </c>
      <c r="AA331" s="156" t="str">
        <f>IF(COUNTIF('Raw Annual DMR Data'!K:K,$E331)&gt;0,"N/A - See DMRs",IF(SUMIFS('Raw TRI Data'!$Z:$Z,'Raw TRI Data'!$J:$J,$E331)&gt;0,_xlfn.MAXIFS('Raw TRI Data'!$Z:$Z,'Raw TRI Data'!$J:$J,$E331), "N/A - Facility Does Not Report to TRI, no surface water releases, or no Generic Factors available"))</f>
        <v>N/A - Facility Does Not Report to TRI, no surface water releases, or no Generic Factors available</v>
      </c>
      <c r="AB331" s="113" t="str">
        <f t="shared" si="35"/>
        <v>N/A</v>
      </c>
      <c r="AC331" s="136" t="str" cm="1">
        <f t="array" ref="AC331">IF(COUNTIF('Raw Annual DMR Data'!K:K,$E331)&gt;0,"N/A - See DMRs",IF(SUMIFS('Raw TRI Data'!$Z:$Z,'Raw TRI Data'!$J:$J,$E331)&gt;0,INDEX('Raw TRI Data'!$A:$A,MATCH(1,($E331='Raw TRI Data'!$J:$J)*($AA331='Raw TRI Data'!$Z:$Z),0)), "N/A - Facility Does Not Report to TRI, no surface water releases, or no Generic Factors available"))</f>
        <v>N/A - Facility Does Not Report to TRI, no surface water releases, or no Generic Factors available</v>
      </c>
      <c r="AD331" s="96" t="str" cm="1">
        <f t="array" ref="AD331">IF(COUNTIFS('Raw Annual DMR Data'!L:L,$F331,'Raw Annual DMR Data'!W:W, "&gt;0")&gt;0,MEDIAN(IF('Raw Annual DMR Data'!K:K=$F331, 'Raw Annual DMR Data'!W:W)), "N/A - No Daily Max DMR Discharge Data")</f>
        <v>N/A - No Daily Max DMR Discharge Data</v>
      </c>
      <c r="AE331" s="96" t="str">
        <f>IF(COUNTIFS('Raw Annual DMR Data'!L:L,$F331,'Raw Annual DMR Data'!W:W, "&gt;0")&gt;0,_xlfn.MAXIFS('Raw Annual DMR Data'!W:W,'Raw Annual DMR Data'!L:L,$F331), "N/A - No Daily Max DMR Discharge Data")</f>
        <v>N/A - No Daily Max DMR Discharge Data</v>
      </c>
      <c r="AF331" s="60" t="str" cm="1">
        <f t="array" ref="AF331">IF(COUNTIFS('Raw Annual DMR Data'!L:L,$F331,'Raw Annual DMR Data'!W:W, "&gt;0")&gt;0,INDEX('Raw Annual DMR Data'!B:B,MATCH(1,($F331='Raw Annual DMR Data'!L:L)*($AE331='Raw Annual DMR Data'!W:W),0)), "N/A - No Daily Max DMR Discharge Data")</f>
        <v>N/A - No Daily Max DMR Discharge Data</v>
      </c>
    </row>
    <row r="332" spans="1:32" ht="45.75" thickBot="1" x14ac:dyDescent="0.3">
      <c r="A332" s="144" t="str">
        <f>VLOOKUP(F332,'Facility Summary'!J:K,2,FALSE)</f>
        <v>POTW</v>
      </c>
      <c r="B332" s="28" t="s">
        <v>1321</v>
      </c>
      <c r="C332" s="28" t="s">
        <v>626</v>
      </c>
      <c r="D332" s="28" t="s">
        <v>324</v>
      </c>
      <c r="E332" s="28"/>
      <c r="F332" s="61">
        <v>110000736730</v>
      </c>
      <c r="G332" s="60" t="str">
        <f>VLOOKUP($F332, 'Raw Annual DMR Data'!$A:$Z, 24, FALSE)</f>
        <v>KY0020877</v>
      </c>
      <c r="H332" s="60" t="str">
        <f>VLOOKUP($F332, 'Raw Annual DMR Data'!$A:$Z, 25, FALSE)</f>
        <v>TOWN BR, TOWN BRANCH</v>
      </c>
      <c r="I332" s="74">
        <f>VLOOKUP($F332, 'Raw Annual DMR Data'!$A:$Z, 26, FALSE)</f>
        <v>5110003000994</v>
      </c>
      <c r="J332" s="74" t="s">
        <v>265</v>
      </c>
      <c r="K332" s="60">
        <f>VLOOKUP(A332, 'OES Summary'!$A:$B, 2, FALSE)</f>
        <v>365</v>
      </c>
      <c r="L332" s="304" cm="1">
        <f t="array" ref="L332">IF(COUNTIF('Raw Annual DMR Data'!$L:$L,$F332)&gt;0,MEDIAN(IF('Raw Annual DMR Data'!$L:$L=F332,'Raw Annual DMR Data'!$S:$S)),"N/A - Facility Does Not Report DMRs")</f>
        <v>2.5188654562499999E-3</v>
      </c>
      <c r="M332" s="156">
        <f t="shared" si="33"/>
        <v>6.9010012499999997E-6</v>
      </c>
      <c r="N332" s="156">
        <f>IF(COUNTIF('Raw Annual DMR Data'!$L:$L,$F332)&gt;0,_xlfn.MAXIFS('Raw Annual DMR Data'!$S:$S,'Raw Annual DMR Data'!$L:$L,$F332), "N/A - Facility Does Not Report DMRs")</f>
        <v>1.4202077</v>
      </c>
      <c r="O332" s="156">
        <f t="shared" si="34"/>
        <v>3.89098E-3</v>
      </c>
      <c r="P332" s="113" cm="1">
        <f t="array" ref="P332">IF(COUNTIF('Raw Annual DMR Data'!$L:$L,$F332)&gt;0,INDEX('Raw Annual DMR Data'!$B:$B,MATCH(1,($F332='Raw Annual DMR Data'!$L:$L)*($N332='Raw Annual DMR Data'!$S:$S),0)), "N/A - Facility Does Not Report DMRs")</f>
        <v>2019</v>
      </c>
      <c r="Q332" s="304" t="str" cm="1">
        <f t="array" ref="Q332">IF(COUNTIF('Raw TRI Data'!$J:$J,$E332)&gt;0,MEDIAN(IF('Raw TRI Data'!$J:$J=E332,'Raw TRI Data'!$S:$S)), "N/A - Facility Does Not Report to TRI")</f>
        <v>N/A - Facility Does Not Report to TRI</v>
      </c>
      <c r="R332" s="156" t="str">
        <f t="shared" si="31"/>
        <v>N/A - Facility Does Not Report to TRI</v>
      </c>
      <c r="S332" s="156" t="str">
        <f>IF(COUNTIF('Raw TRI Data'!$J:$J,$E332)&gt;0,_xlfn.MAXIFS('Raw TRI Data'!$S:$S,'Raw TRI Data'!$J:$J,$E332), "N/A - Facility Does Not Report to TRI")</f>
        <v>N/A - Facility Does Not Report to TRI</v>
      </c>
      <c r="T332" s="156" t="str">
        <f t="shared" si="32"/>
        <v>N/A - Facility Does Not Report to TRI</v>
      </c>
      <c r="U332" s="136" t="str" cm="1">
        <f t="array" ref="U332">IF(COUNTIF('Raw TRI Data'!$J:$J,$E332)&gt;0,INDEX('Raw TRI Data'!$A:$A,MATCH(1,($E332='Raw TRI Data'!$J:$J)*(S332='Raw TRI Data'!$S:$S),0)), "N/A - Facility Does Not Report to TRI")</f>
        <v>N/A - Facility Does Not Report to TRI</v>
      </c>
      <c r="V332" s="156" t="str" cm="1">
        <f t="array" ref="V332">IF(COUNTIFS('Raw Annual DMR Data'!$L:$L,$F332,'Raw Annual DMR Data'!$U:$U,"&gt;0")&gt;0,MEDIAN(IF('Raw Annual DMR Data'!$L:$L=$F332,'Raw Annual DMR Data'!$U:$U,"")),"N/A - Period DMR Data Not Available")</f>
        <v>N/A - Period DMR Data Not Available</v>
      </c>
      <c r="W332" s="156" t="str">
        <f>IF(COUNTIFS('Raw Annual DMR Data'!$L:$L,$F332, 'Raw Annual DMR Data'!$U:$U, "&gt;0")&gt;0,_xlfn.MAXIFS('Raw Annual DMR Data'!$U:$U,'Raw Annual DMR Data'!$L:$L,$F332), "N/A - Period DMR Data Not Available")</f>
        <v>N/A - Period DMR Data Not Available</v>
      </c>
      <c r="X332" s="113" t="str" cm="1">
        <f t="array" ref="X332">+IF(COUNTIFS('Raw Annual DMR Data'!L:L,$F332, 'Raw Annual DMR Data'!U:U, "&gt;0")&gt;0,INDEX('Raw Annual DMR Data'!V:V,MATCH(1,($F332='Raw Annual DMR Data'!L:L)*($W332='Raw Annual DMR Data'!U:U),0)), "N/A - Period DMR Data Not Available")</f>
        <v>N/A - Period DMR Data Not Available</v>
      </c>
      <c r="Y332" s="113" t="str" cm="1">
        <f t="array" ref="Y332">IF(COUNTIFS('Raw Annual DMR Data'!L:L,$F332, 'Raw Annual DMR Data'!U:U, "&gt;0")&gt;0,INDEX('Raw Annual DMR Data'!B:B,MATCH(1,($F332='Raw Annual DMR Data'!L:L)*($W332='Raw Annual DMR Data'!U:U),0)), "N/A - Period DMR Data Not Available")</f>
        <v>N/A - Period DMR Data Not Available</v>
      </c>
      <c r="Z332" s="311" t="str" cm="1">
        <f t="array" ref="Z332">IF(COUNTIF('Raw Annual DMR Data'!K:K,$E332)&gt;0,"N/A - See DMRs",IF(SUMIFS('Raw TRI Data'!$Z:$Z,'Raw TRI Data'!$J:$J,$E332)&gt;0,MEDIAN(IF('Raw TRI Data'!$J:$J=$E332,'Raw TRI Data'!$Z:$Z)), "N/A - Facility Does Not Report to TRI, no surface water releases, or no Generic Factors available"))</f>
        <v>N/A - Facility Does Not Report to TRI, no surface water releases, or no Generic Factors available</v>
      </c>
      <c r="AA332" s="156" t="str">
        <f>IF(COUNTIF('Raw Annual DMR Data'!K:K,$E332)&gt;0,"N/A - See DMRs",IF(SUMIFS('Raw TRI Data'!$Z:$Z,'Raw TRI Data'!$J:$J,$E332)&gt;0,_xlfn.MAXIFS('Raw TRI Data'!$Z:$Z,'Raw TRI Data'!$J:$J,$E332), "N/A - Facility Does Not Report to TRI, no surface water releases, or no Generic Factors available"))</f>
        <v>N/A - Facility Does Not Report to TRI, no surface water releases, or no Generic Factors available</v>
      </c>
      <c r="AB332" s="113" t="str">
        <f t="shared" si="35"/>
        <v>N/A</v>
      </c>
      <c r="AC332" s="136" t="str" cm="1">
        <f t="array" ref="AC332">IF(COUNTIF('Raw Annual DMR Data'!K:K,$E332)&gt;0,"N/A - See DMRs",IF(SUMIFS('Raw TRI Data'!$Z:$Z,'Raw TRI Data'!$J:$J,$E332)&gt;0,INDEX('Raw TRI Data'!$A:$A,MATCH(1,($E332='Raw TRI Data'!$J:$J)*($AA332='Raw TRI Data'!$Z:$Z),0)), "N/A - Facility Does Not Report to TRI, no surface water releases, or no Generic Factors available"))</f>
        <v>N/A - Facility Does Not Report to TRI, no surface water releases, or no Generic Factors available</v>
      </c>
      <c r="AD332" s="96" t="str" cm="1">
        <f t="array" ref="AD332">IF(COUNTIFS('Raw Annual DMR Data'!L:L,$F332,'Raw Annual DMR Data'!W:W, "&gt;0")&gt;0,MEDIAN(IF('Raw Annual DMR Data'!K:K=$F332, 'Raw Annual DMR Data'!W:W)), "N/A - No Daily Max DMR Discharge Data")</f>
        <v>N/A - No Daily Max DMR Discharge Data</v>
      </c>
      <c r="AE332" s="96" t="str">
        <f>IF(COUNTIFS('Raw Annual DMR Data'!L:L,$F332,'Raw Annual DMR Data'!W:W, "&gt;0")&gt;0,_xlfn.MAXIFS('Raw Annual DMR Data'!W:W,'Raw Annual DMR Data'!L:L,$F332), "N/A - No Daily Max DMR Discharge Data")</f>
        <v>N/A - No Daily Max DMR Discharge Data</v>
      </c>
      <c r="AF332" s="60" t="str" cm="1">
        <f t="array" ref="AF332">IF(COUNTIFS('Raw Annual DMR Data'!L:L,$F332,'Raw Annual DMR Data'!W:W, "&gt;0")&gt;0,INDEX('Raw Annual DMR Data'!B:B,MATCH(1,($F332='Raw Annual DMR Data'!L:L)*($AE332='Raw Annual DMR Data'!W:W),0)), "N/A - No Daily Max DMR Discharge Data")</f>
        <v>N/A - No Daily Max DMR Discharge Data</v>
      </c>
    </row>
    <row r="333" spans="1:32" ht="45.75" thickBot="1" x14ac:dyDescent="0.3">
      <c r="A333" s="144" t="str">
        <f>VLOOKUP(F333,'Facility Summary'!J:K,2,FALSE)</f>
        <v>POTW</v>
      </c>
      <c r="B333" s="28" t="s">
        <v>1322</v>
      </c>
      <c r="C333" s="28" t="s">
        <v>1273</v>
      </c>
      <c r="D333" s="28" t="s">
        <v>324</v>
      </c>
      <c r="E333" s="28"/>
      <c r="F333" s="61">
        <v>110039998214</v>
      </c>
      <c r="G333" s="60" t="str">
        <f>VLOOKUP($F333, 'Raw Annual DMR Data'!$A:$Z, 24, FALSE)</f>
        <v>KY0020095</v>
      </c>
      <c r="H333" s="60" t="str">
        <f>VLOOKUP($F333, 'Raw Annual DMR Data'!$A:$Z, 25, FALSE)</f>
        <v>OHIO RIVER</v>
      </c>
      <c r="I333" s="74">
        <f>VLOOKUP($F333, 'Raw Annual DMR Data'!$A:$Z, 26, FALSE)</f>
        <v>5140201000008</v>
      </c>
      <c r="J333" s="74" t="s">
        <v>265</v>
      </c>
      <c r="K333" s="60">
        <f>VLOOKUP(A333, 'OES Summary'!$A:$B, 2, FALSE)</f>
        <v>365</v>
      </c>
      <c r="L333" s="304" cm="1">
        <f t="array" ref="L333">IF(COUNTIF('Raw Annual DMR Data'!$L:$L,$F333)&gt;0,MEDIAN(IF('Raw Annual DMR Data'!$L:$L=F333,'Raw Annual DMR Data'!$S:$S)),"N/A - Facility Does Not Report DMRs")</f>
        <v>18.787013093750002</v>
      </c>
      <c r="M333" s="156">
        <f t="shared" si="33"/>
        <v>5.1471268750000007E-2</v>
      </c>
      <c r="N333" s="156">
        <f>IF(COUNTIF('Raw Annual DMR Data'!$L:$L,$F333)&gt;0,_xlfn.MAXIFS('Raw Annual DMR Data'!$S:$S,'Raw Annual DMR Data'!$L:$L,$F333), "N/A - Facility Does Not Report DMRs")</f>
        <v>29.7822251875</v>
      </c>
      <c r="O333" s="156">
        <f t="shared" si="34"/>
        <v>8.1595137499999998E-2</v>
      </c>
      <c r="P333" s="113" cm="1">
        <f t="array" ref="P333">IF(COUNTIF('Raw Annual DMR Data'!$L:$L,$F333)&gt;0,INDEX('Raw Annual DMR Data'!$B:$B,MATCH(1,($F333='Raw Annual DMR Data'!$L:$L)*($N333='Raw Annual DMR Data'!$S:$S),0)), "N/A - Facility Does Not Report DMRs")</f>
        <v>2018</v>
      </c>
      <c r="Q333" s="304" t="str" cm="1">
        <f t="array" ref="Q333">IF(COUNTIF('Raw TRI Data'!$J:$J,$E333)&gt;0,MEDIAN(IF('Raw TRI Data'!$J:$J=E333,'Raw TRI Data'!$S:$S)), "N/A - Facility Does Not Report to TRI")</f>
        <v>N/A - Facility Does Not Report to TRI</v>
      </c>
      <c r="R333" s="156" t="str">
        <f t="shared" si="31"/>
        <v>N/A - Facility Does Not Report to TRI</v>
      </c>
      <c r="S333" s="156" t="str">
        <f>IF(COUNTIF('Raw TRI Data'!$J:$J,$E333)&gt;0,_xlfn.MAXIFS('Raw TRI Data'!$S:$S,'Raw TRI Data'!$J:$J,$E333), "N/A - Facility Does Not Report to TRI")</f>
        <v>N/A - Facility Does Not Report to TRI</v>
      </c>
      <c r="T333" s="156" t="str">
        <f t="shared" si="32"/>
        <v>N/A - Facility Does Not Report to TRI</v>
      </c>
      <c r="U333" s="136" t="str" cm="1">
        <f t="array" ref="U333">IF(COUNTIF('Raw TRI Data'!$J:$J,$E333)&gt;0,INDEX('Raw TRI Data'!$A:$A,MATCH(1,($E333='Raw TRI Data'!$J:$J)*(S333='Raw TRI Data'!$S:$S),0)), "N/A - Facility Does Not Report to TRI")</f>
        <v>N/A - Facility Does Not Report to TRI</v>
      </c>
      <c r="V333" s="156" t="str" cm="1">
        <f t="array" ref="V333">IF(COUNTIFS('Raw Annual DMR Data'!$L:$L,$F333,'Raw Annual DMR Data'!$U:$U,"&gt;0")&gt;0,MEDIAN(IF('Raw Annual DMR Data'!$L:$L=$F333,'Raw Annual DMR Data'!$U:$U,"")),"N/A - Period DMR Data Not Available")</f>
        <v>N/A - Period DMR Data Not Available</v>
      </c>
      <c r="W333" s="156" t="str">
        <f>IF(COUNTIFS('Raw Annual DMR Data'!$L:$L,$F333, 'Raw Annual DMR Data'!$U:$U, "&gt;0")&gt;0,_xlfn.MAXIFS('Raw Annual DMR Data'!$U:$U,'Raw Annual DMR Data'!$L:$L,$F333), "N/A - Period DMR Data Not Available")</f>
        <v>N/A - Period DMR Data Not Available</v>
      </c>
      <c r="X333" s="113" t="str" cm="1">
        <f t="array" ref="X333">+IF(COUNTIFS('Raw Annual DMR Data'!L:L,$F333, 'Raw Annual DMR Data'!U:U, "&gt;0")&gt;0,INDEX('Raw Annual DMR Data'!V:V,MATCH(1,($F333='Raw Annual DMR Data'!L:L)*($W333='Raw Annual DMR Data'!U:U),0)), "N/A - Period DMR Data Not Available")</f>
        <v>N/A - Period DMR Data Not Available</v>
      </c>
      <c r="Y333" s="113" t="str" cm="1">
        <f t="array" ref="Y333">IF(COUNTIFS('Raw Annual DMR Data'!L:L,$F333, 'Raw Annual DMR Data'!U:U, "&gt;0")&gt;0,INDEX('Raw Annual DMR Data'!B:B,MATCH(1,($F333='Raw Annual DMR Data'!L:L)*($W333='Raw Annual DMR Data'!U:U),0)), "N/A - Period DMR Data Not Available")</f>
        <v>N/A - Period DMR Data Not Available</v>
      </c>
      <c r="Z333" s="311" t="str" cm="1">
        <f t="array" ref="Z333">IF(COUNTIF('Raw Annual DMR Data'!K:K,$E333)&gt;0,"N/A - See DMRs",IF(SUMIFS('Raw TRI Data'!$Z:$Z,'Raw TRI Data'!$J:$J,$E333)&gt;0,MEDIAN(IF('Raw TRI Data'!$J:$J=$E333,'Raw TRI Data'!$Z:$Z)), "N/A - Facility Does Not Report to TRI, no surface water releases, or no Generic Factors available"))</f>
        <v>N/A - Facility Does Not Report to TRI, no surface water releases, or no Generic Factors available</v>
      </c>
      <c r="AA333" s="156" t="str">
        <f>IF(COUNTIF('Raw Annual DMR Data'!K:K,$E333)&gt;0,"N/A - See DMRs",IF(SUMIFS('Raw TRI Data'!$Z:$Z,'Raw TRI Data'!$J:$J,$E333)&gt;0,_xlfn.MAXIFS('Raw TRI Data'!$Z:$Z,'Raw TRI Data'!$J:$J,$E333), "N/A - Facility Does Not Report to TRI, no surface water releases, or no Generic Factors available"))</f>
        <v>N/A - Facility Does Not Report to TRI, no surface water releases, or no Generic Factors available</v>
      </c>
      <c r="AB333" s="113" t="str">
        <f t="shared" si="35"/>
        <v>N/A</v>
      </c>
      <c r="AC333" s="136" t="str" cm="1">
        <f t="array" ref="AC333">IF(COUNTIF('Raw Annual DMR Data'!K:K,$E333)&gt;0,"N/A - See DMRs",IF(SUMIFS('Raw TRI Data'!$Z:$Z,'Raw TRI Data'!$J:$J,$E333)&gt;0,INDEX('Raw TRI Data'!$A:$A,MATCH(1,($E333='Raw TRI Data'!$J:$J)*($AA333='Raw TRI Data'!$Z:$Z),0)), "N/A - Facility Does Not Report to TRI, no surface water releases, or no Generic Factors available"))</f>
        <v>N/A - Facility Does Not Report to TRI, no surface water releases, or no Generic Factors available</v>
      </c>
      <c r="AD333" s="96" t="str" cm="1">
        <f t="array" ref="AD333">IF(COUNTIFS('Raw Annual DMR Data'!L:L,$F333,'Raw Annual DMR Data'!W:W, "&gt;0")&gt;0,MEDIAN(IF('Raw Annual DMR Data'!K:K=$F333, 'Raw Annual DMR Data'!W:W)), "N/A - No Daily Max DMR Discharge Data")</f>
        <v>N/A - No Daily Max DMR Discharge Data</v>
      </c>
      <c r="AE333" s="96" t="str">
        <f>IF(COUNTIFS('Raw Annual DMR Data'!L:L,$F333,'Raw Annual DMR Data'!W:W, "&gt;0")&gt;0,_xlfn.MAXIFS('Raw Annual DMR Data'!W:W,'Raw Annual DMR Data'!L:L,$F333), "N/A - No Daily Max DMR Discharge Data")</f>
        <v>N/A - No Daily Max DMR Discharge Data</v>
      </c>
      <c r="AF333" s="60" t="str" cm="1">
        <f t="array" ref="AF333">IF(COUNTIFS('Raw Annual DMR Data'!L:L,$F333,'Raw Annual DMR Data'!W:W, "&gt;0")&gt;0,INDEX('Raw Annual DMR Data'!B:B,MATCH(1,($F333='Raw Annual DMR Data'!L:L)*($AE333='Raw Annual DMR Data'!W:W),0)), "N/A - No Daily Max DMR Discharge Data")</f>
        <v>N/A - No Daily Max DMR Discharge Data</v>
      </c>
    </row>
    <row r="334" spans="1:32" ht="45.75" thickBot="1" x14ac:dyDescent="0.3">
      <c r="A334" s="144" t="str">
        <f>VLOOKUP(F334,'Facility Summary'!J:K,2,FALSE)</f>
        <v>Unknown</v>
      </c>
      <c r="B334" s="28" t="s">
        <v>1323</v>
      </c>
      <c r="C334" s="28" t="s">
        <v>1324</v>
      </c>
      <c r="D334" s="28" t="s">
        <v>450</v>
      </c>
      <c r="E334" s="28"/>
      <c r="F334" s="61">
        <v>110000324391</v>
      </c>
      <c r="G334" s="60" t="str">
        <f>VLOOKUP($F334, 'Raw Annual DMR Data'!$A:$Z, 24, FALSE)</f>
        <v>NY0007072</v>
      </c>
      <c r="H334" s="60" t="str">
        <f>VLOOKUP($F334, 'Raw Annual DMR Data'!$A:$Z, 25, FALSE)</f>
        <v>HUDSON R</v>
      </c>
      <c r="I334" s="74">
        <f>VLOOKUP($F334, 'Raw Annual DMR Data'!$A:$Z, 26, FALSE)</f>
        <v>2020006000238</v>
      </c>
      <c r="J334" s="74" t="s">
        <v>265</v>
      </c>
      <c r="K334" s="60">
        <f>VLOOKUP(A334, 'OES Summary'!$A:$B, 2, FALSE)</f>
        <v>250</v>
      </c>
      <c r="L334" s="304" cm="1">
        <f t="array" ref="L334">IF(COUNTIF('Raw Annual DMR Data'!$L:$L,$F334)&gt;0,MEDIAN(IF('Raw Annual DMR Data'!$L:$L=F334,'Raw Annual DMR Data'!$S:$S)),"N/A - Facility Does Not Report DMRs")</f>
        <v>0.579017817460317</v>
      </c>
      <c r="M334" s="156">
        <f t="shared" si="33"/>
        <v>2.3160712698412681E-3</v>
      </c>
      <c r="N334" s="156">
        <f>IF(COUNTIF('Raw Annual DMR Data'!$L:$L,$F334)&gt;0,_xlfn.MAXIFS('Raw Annual DMR Data'!$S:$S,'Raw Annual DMR Data'!$L:$L,$F334), "N/A - Facility Does Not Report DMRs")</f>
        <v>3.2907029478458001</v>
      </c>
      <c r="O334" s="156">
        <f t="shared" si="34"/>
        <v>1.31628117913832E-2</v>
      </c>
      <c r="P334" s="113" cm="1">
        <f t="array" ref="P334">IF(COUNTIF('Raw Annual DMR Data'!$L:$L,$F334)&gt;0,INDEX('Raw Annual DMR Data'!$B:$B,MATCH(1,($F334='Raw Annual DMR Data'!$L:$L)*($N334='Raw Annual DMR Data'!$S:$S),0)), "N/A - Facility Does Not Report DMRs")</f>
        <v>2018</v>
      </c>
      <c r="Q334" s="304" t="str" cm="1">
        <f t="array" ref="Q334">IF(COUNTIF('Raw TRI Data'!$J:$J,$E334)&gt;0,MEDIAN(IF('Raw TRI Data'!$J:$J=E334,'Raw TRI Data'!$S:$S)), "N/A - Facility Does Not Report to TRI")</f>
        <v>N/A - Facility Does Not Report to TRI</v>
      </c>
      <c r="R334" s="156" t="str">
        <f t="shared" si="31"/>
        <v>N/A - Facility Does Not Report to TRI</v>
      </c>
      <c r="S334" s="156" t="str">
        <f>IF(COUNTIF('Raw TRI Data'!$J:$J,$E334)&gt;0,_xlfn.MAXIFS('Raw TRI Data'!$S:$S,'Raw TRI Data'!$J:$J,$E334), "N/A - Facility Does Not Report to TRI")</f>
        <v>N/A - Facility Does Not Report to TRI</v>
      </c>
      <c r="T334" s="156" t="str">
        <f t="shared" si="32"/>
        <v>N/A - Facility Does Not Report to TRI</v>
      </c>
      <c r="U334" s="136" t="str" cm="1">
        <f t="array" ref="U334">IF(COUNTIF('Raw TRI Data'!$J:$J,$E334)&gt;0,INDEX('Raw TRI Data'!$A:$A,MATCH(1,($E334='Raw TRI Data'!$J:$J)*(S334='Raw TRI Data'!$S:$S),0)), "N/A - Facility Does Not Report to TRI")</f>
        <v>N/A - Facility Does Not Report to TRI</v>
      </c>
      <c r="V334" s="156" t="str" cm="1">
        <f t="array" ref="V334">IF(COUNTIFS('Raw Annual DMR Data'!$L:$L,$F334,'Raw Annual DMR Data'!$U:$U,"&gt;0")&gt;0,MEDIAN(IF('Raw Annual DMR Data'!$L:$L=$F334,'Raw Annual DMR Data'!$U:$U,"")),"N/A - Period DMR Data Not Available")</f>
        <v>N/A - Period DMR Data Not Available</v>
      </c>
      <c r="W334" s="156" t="str">
        <f>IF(COUNTIFS('Raw Annual DMR Data'!$L:$L,$F334, 'Raw Annual DMR Data'!$U:$U, "&gt;0")&gt;0,_xlfn.MAXIFS('Raw Annual DMR Data'!$U:$U,'Raw Annual DMR Data'!$L:$L,$F334), "N/A - Period DMR Data Not Available")</f>
        <v>N/A - Period DMR Data Not Available</v>
      </c>
      <c r="X334" s="113" t="str" cm="1">
        <f t="array" ref="X334">+IF(COUNTIFS('Raw Annual DMR Data'!L:L,$F334, 'Raw Annual DMR Data'!U:U, "&gt;0")&gt;0,INDEX('Raw Annual DMR Data'!V:V,MATCH(1,($F334='Raw Annual DMR Data'!L:L)*($W334='Raw Annual DMR Data'!U:U),0)), "N/A - Period DMR Data Not Available")</f>
        <v>N/A - Period DMR Data Not Available</v>
      </c>
      <c r="Y334" s="113" t="str" cm="1">
        <f t="array" ref="Y334">IF(COUNTIFS('Raw Annual DMR Data'!L:L,$F334, 'Raw Annual DMR Data'!U:U, "&gt;0")&gt;0,INDEX('Raw Annual DMR Data'!B:B,MATCH(1,($F334='Raw Annual DMR Data'!L:L)*($W334='Raw Annual DMR Data'!U:U),0)), "N/A - Period DMR Data Not Available")</f>
        <v>N/A - Period DMR Data Not Available</v>
      </c>
      <c r="Z334" s="311" t="str" cm="1">
        <f t="array" ref="Z334">IF(COUNTIF('Raw Annual DMR Data'!K:K,$E334)&gt;0,"N/A - See DMRs",IF(SUMIFS('Raw TRI Data'!$Z:$Z,'Raw TRI Data'!$J:$J,$E334)&gt;0,MEDIAN(IF('Raw TRI Data'!$J:$J=$E334,'Raw TRI Data'!$Z:$Z)), "N/A - Facility Does Not Report to TRI, no surface water releases, or no Generic Factors available"))</f>
        <v>N/A - Facility Does Not Report to TRI, no surface water releases, or no Generic Factors available</v>
      </c>
      <c r="AA334" s="156" t="str">
        <f>IF(COUNTIF('Raw Annual DMR Data'!K:K,$E334)&gt;0,"N/A - See DMRs",IF(SUMIFS('Raw TRI Data'!$Z:$Z,'Raw TRI Data'!$J:$J,$E334)&gt;0,_xlfn.MAXIFS('Raw TRI Data'!$Z:$Z,'Raw TRI Data'!$J:$J,$E334), "N/A - Facility Does Not Report to TRI, no surface water releases, or no Generic Factors available"))</f>
        <v>N/A - Facility Does Not Report to TRI, no surface water releases, or no Generic Factors available</v>
      </c>
      <c r="AB334" s="113" t="str">
        <f t="shared" si="35"/>
        <v>N/A</v>
      </c>
      <c r="AC334" s="136" t="str" cm="1">
        <f t="array" ref="AC334">IF(COUNTIF('Raw Annual DMR Data'!K:K,$E334)&gt;0,"N/A - See DMRs",IF(SUMIFS('Raw TRI Data'!$Z:$Z,'Raw TRI Data'!$J:$J,$E334)&gt;0,INDEX('Raw TRI Data'!$A:$A,MATCH(1,($E334='Raw TRI Data'!$J:$J)*($AA334='Raw TRI Data'!$Z:$Z),0)), "N/A - Facility Does Not Report to TRI, no surface water releases, or no Generic Factors available"))</f>
        <v>N/A - Facility Does Not Report to TRI, no surface water releases, or no Generic Factors available</v>
      </c>
      <c r="AD334" s="96" t="str" cm="1">
        <f t="array" ref="AD334">IF(COUNTIFS('Raw Annual DMR Data'!L:L,$F334,'Raw Annual DMR Data'!W:W, "&gt;0")&gt;0,MEDIAN(IF('Raw Annual DMR Data'!K:K=$F334, 'Raw Annual DMR Data'!W:W)), "N/A - No Daily Max DMR Discharge Data")</f>
        <v>N/A - No Daily Max DMR Discharge Data</v>
      </c>
      <c r="AE334" s="96" t="str">
        <f>IF(COUNTIFS('Raw Annual DMR Data'!L:L,$F334,'Raw Annual DMR Data'!W:W, "&gt;0")&gt;0,_xlfn.MAXIFS('Raw Annual DMR Data'!W:W,'Raw Annual DMR Data'!L:L,$F334), "N/A - No Daily Max DMR Discharge Data")</f>
        <v>N/A - No Daily Max DMR Discharge Data</v>
      </c>
      <c r="AF334" s="60" t="str" cm="1">
        <f t="array" ref="AF334">IF(COUNTIFS('Raw Annual DMR Data'!L:L,$F334,'Raw Annual DMR Data'!W:W, "&gt;0")&gt;0,INDEX('Raw Annual DMR Data'!B:B,MATCH(1,($F334='Raw Annual DMR Data'!L:L)*($AE334='Raw Annual DMR Data'!W:W),0)), "N/A - No Daily Max DMR Discharge Data")</f>
        <v>N/A - No Daily Max DMR Discharge Data</v>
      </c>
    </row>
    <row r="335" spans="1:32" ht="30.75" thickBot="1" x14ac:dyDescent="0.3">
      <c r="A335" s="144" t="str">
        <f>VLOOKUP(F335,'Facility Summary'!J:K,2,FALSE)</f>
        <v>Processing as a Reactant</v>
      </c>
      <c r="B335" s="28" t="s">
        <v>1325</v>
      </c>
      <c r="C335" s="28" t="s">
        <v>1326</v>
      </c>
      <c r="D335" s="28" t="s">
        <v>469</v>
      </c>
      <c r="E335" s="28" t="s">
        <v>732</v>
      </c>
      <c r="F335" s="61">
        <v>110000403670</v>
      </c>
      <c r="G335" s="60" t="str">
        <f>VLOOKUP($F335, 'Raw Annual DMR Data'!$A:$Z, 24, FALSE)</f>
        <v>IN0002101</v>
      </c>
      <c r="H335" s="60" t="str">
        <f>VLOOKUP($F335, 'Raw Annual DMR Data'!$A:$Z, 25, FALSE)</f>
        <v>OHIO RIVER</v>
      </c>
      <c r="I335" s="74">
        <f>VLOOKUP($F335, 'Raw Annual DMR Data'!$A:$Z, 26, FALSE)</f>
        <v>5140202000333</v>
      </c>
      <c r="J335" s="74" t="s">
        <v>265</v>
      </c>
      <c r="K335" s="60">
        <f>VLOOKUP(A335, 'OES Summary'!$A:$B, 2, FALSE)</f>
        <v>350</v>
      </c>
      <c r="L335" s="304" cm="1">
        <f t="array" ref="L335">IF(COUNTIF('Raw Annual DMR Data'!$L:$L,$F335)&gt;0,MEDIAN(IF('Raw Annual DMR Data'!$L:$L=F335,'Raw Annual DMR Data'!$S:$S)),"N/A - Facility Does Not Report DMRs")</f>
        <v>8.7663691609977299</v>
      </c>
      <c r="M335" s="156">
        <f t="shared" si="33"/>
        <v>2.5046769031422087E-2</v>
      </c>
      <c r="N335" s="156">
        <f>IF(COUNTIF('Raw Annual DMR Data'!$L:$L,$F335)&gt;0,_xlfn.MAXIFS('Raw Annual DMR Data'!$S:$S,'Raw Annual DMR Data'!$L:$L,$F335), "N/A - Facility Does Not Report DMRs")</f>
        <v>22.775510204081598</v>
      </c>
      <c r="O335" s="156">
        <f t="shared" si="34"/>
        <v>6.5072886297375995E-2</v>
      </c>
      <c r="P335" s="113" cm="1">
        <f t="array" ref="P335">IF(COUNTIF('Raw Annual DMR Data'!$L:$L,$F335)&gt;0,INDEX('Raw Annual DMR Data'!$B:$B,MATCH(1,($F335='Raw Annual DMR Data'!$L:$L)*($N335='Raw Annual DMR Data'!$S:$S),0)), "N/A - Facility Does Not Report DMRs")</f>
        <v>2015</v>
      </c>
      <c r="Q335" s="304" t="str" cm="1">
        <f t="array" ref="Q335">IF(COUNTIF('Raw TRI Data'!$J:$J,$E335)&gt;0,MEDIAN(IF('Raw TRI Data'!$J:$J=E335,'Raw TRI Data'!$S:$S)), "N/A - Facility Does Not Report to TRI")</f>
        <v>N/A - Facility Does Not Report to TRI</v>
      </c>
      <c r="R335" s="156" t="str">
        <f t="shared" si="31"/>
        <v>N/A - Facility Does Not Report to TRI</v>
      </c>
      <c r="S335" s="156" t="str">
        <f>IF(COUNTIF('Raw TRI Data'!$J:$J,$E335)&gt;0,_xlfn.MAXIFS('Raw TRI Data'!$S:$S,'Raw TRI Data'!$J:$J,$E335), "N/A - Facility Does Not Report to TRI")</f>
        <v>N/A - Facility Does Not Report to TRI</v>
      </c>
      <c r="T335" s="156" t="str">
        <f t="shared" si="32"/>
        <v>N/A - Facility Does Not Report to TRI</v>
      </c>
      <c r="U335" s="136" t="str" cm="1">
        <f t="array" ref="U335">IF(COUNTIF('Raw TRI Data'!$J:$J,$E335)&gt;0,INDEX('Raw TRI Data'!$A:$A,MATCH(1,($E335='Raw TRI Data'!$J:$J)*(S335='Raw TRI Data'!$S:$S),0)), "N/A - Facility Does Not Report to TRI")</f>
        <v>N/A - Facility Does Not Report to TRI</v>
      </c>
      <c r="V335" s="156" t="str" cm="1">
        <f t="array" ref="V335">IF(COUNTIFS('Raw Annual DMR Data'!$L:$L,$F335,'Raw Annual DMR Data'!$U:$U,"&gt;0")&gt;0,MEDIAN(IF('Raw Annual DMR Data'!$L:$L=$F335,'Raw Annual DMR Data'!$U:$U,"")),"N/A - Period DMR Data Not Available")</f>
        <v>N/A - Period DMR Data Not Available</v>
      </c>
      <c r="W335" s="156" t="str">
        <f>IF(COUNTIFS('Raw Annual DMR Data'!$L:$L,$F335, 'Raw Annual DMR Data'!$U:$U, "&gt;0")&gt;0,_xlfn.MAXIFS('Raw Annual DMR Data'!$U:$U,'Raw Annual DMR Data'!$L:$L,$F335), "N/A - Period DMR Data Not Available")</f>
        <v>N/A - Period DMR Data Not Available</v>
      </c>
      <c r="X335" s="113" t="str" cm="1">
        <f t="array" ref="X335">+IF(COUNTIFS('Raw Annual DMR Data'!L:L,$F335, 'Raw Annual DMR Data'!U:U, "&gt;0")&gt;0,INDEX('Raw Annual DMR Data'!V:V,MATCH(1,($F335='Raw Annual DMR Data'!L:L)*($W335='Raw Annual DMR Data'!U:U),0)), "N/A - Period DMR Data Not Available")</f>
        <v>N/A - Period DMR Data Not Available</v>
      </c>
      <c r="Y335" s="113" t="str" cm="1">
        <f t="array" ref="Y335">IF(COUNTIFS('Raw Annual DMR Data'!L:L,$F335, 'Raw Annual DMR Data'!U:U, "&gt;0")&gt;0,INDEX('Raw Annual DMR Data'!B:B,MATCH(1,($F335='Raw Annual DMR Data'!L:L)*($W335='Raw Annual DMR Data'!U:U),0)), "N/A - Period DMR Data Not Available")</f>
        <v>N/A - Period DMR Data Not Available</v>
      </c>
      <c r="Z335" s="311" t="str" cm="1">
        <f t="array" ref="Z335">IF(COUNTIF('Raw Annual DMR Data'!K:K,$E335)&gt;0,"N/A - See DMRs",IF(SUMIFS('Raw TRI Data'!$Z:$Z,'Raw TRI Data'!$J:$J,$E335)&gt;0,MEDIAN(IF('Raw TRI Data'!$J:$J=$E335,'Raw TRI Data'!$Z:$Z)), "N/A - Facility Does Not Report to TRI, no surface water releases, or no Generic Factors available"))</f>
        <v>N/A - See DMRs</v>
      </c>
      <c r="AA335" s="156" t="str">
        <f>IF(COUNTIF('Raw Annual DMR Data'!K:K,$E335)&gt;0,"N/A - See DMRs",IF(SUMIFS('Raw TRI Data'!$Z:$Z,'Raw TRI Data'!$J:$J,$E335)&gt;0,_xlfn.MAXIFS('Raw TRI Data'!$Z:$Z,'Raw TRI Data'!$J:$J,$E335), "N/A - Facility Does Not Report to TRI, no surface water releases, or no Generic Factors available"))</f>
        <v>N/A - See DMRs</v>
      </c>
      <c r="AB335" s="113" t="str">
        <f t="shared" si="35"/>
        <v>N/A</v>
      </c>
      <c r="AC335" s="136" t="str" cm="1">
        <f t="array" ref="AC335">IF(COUNTIF('Raw Annual DMR Data'!K:K,$E335)&gt;0,"N/A - See DMRs",IF(SUMIFS('Raw TRI Data'!$Z:$Z,'Raw TRI Data'!$J:$J,$E335)&gt;0,INDEX('Raw TRI Data'!$A:$A,MATCH(1,($E335='Raw TRI Data'!$J:$J)*($AA335='Raw TRI Data'!$Z:$Z),0)), "N/A - Facility Does Not Report to TRI, no surface water releases, or no Generic Factors available"))</f>
        <v>N/A - See DMRs</v>
      </c>
      <c r="AD335" s="96" t="str" cm="1">
        <f t="array" ref="AD335">IF(COUNTIFS('Raw Annual DMR Data'!L:L,$F335,'Raw Annual DMR Data'!W:W, "&gt;0")&gt;0,MEDIAN(IF('Raw Annual DMR Data'!K:K=$F335, 'Raw Annual DMR Data'!W:W)), "N/A - No Daily Max DMR Discharge Data")</f>
        <v>N/A - No Daily Max DMR Discharge Data</v>
      </c>
      <c r="AE335" s="96" t="str">
        <f>IF(COUNTIFS('Raw Annual DMR Data'!L:L,$F335,'Raw Annual DMR Data'!W:W, "&gt;0")&gt;0,_xlfn.MAXIFS('Raw Annual DMR Data'!W:W,'Raw Annual DMR Data'!L:L,$F335), "N/A - No Daily Max DMR Discharge Data")</f>
        <v>N/A - No Daily Max DMR Discharge Data</v>
      </c>
      <c r="AF335" s="60" t="str" cm="1">
        <f t="array" ref="AF335">IF(COUNTIFS('Raw Annual DMR Data'!L:L,$F335,'Raw Annual DMR Data'!W:W, "&gt;0")&gt;0,INDEX('Raw Annual DMR Data'!B:B,MATCH(1,($F335='Raw Annual DMR Data'!L:L)*($AE335='Raw Annual DMR Data'!W:W),0)), "N/A - No Daily Max DMR Discharge Data")</f>
        <v>N/A - No Daily Max DMR Discharge Data</v>
      </c>
    </row>
    <row r="336" spans="1:32" ht="45.75" thickBot="1" x14ac:dyDescent="0.3">
      <c r="A336" s="144" t="str">
        <f>VLOOKUP(F336,'Facility Summary'!J:K,2,FALSE)</f>
        <v>Waste Handling, Disposal and Treatment (Landfill)</v>
      </c>
      <c r="B336" s="28" t="s">
        <v>1327</v>
      </c>
      <c r="C336" s="28" t="s">
        <v>1328</v>
      </c>
      <c r="D336" s="28" t="s">
        <v>366</v>
      </c>
      <c r="E336" s="28"/>
      <c r="F336" s="61">
        <v>110017972764</v>
      </c>
      <c r="G336" s="60" t="str">
        <f>VLOOKUP($F336, 'Raw Annual DMR Data'!$A:$Z, 24, FALSE)</f>
        <v>CA0083681</v>
      </c>
      <c r="H336" s="60" t="str">
        <f>VLOOKUP($F336, 'Raw Annual DMR Data'!$A:$Z, 25, FALSE)</f>
        <v>DEER CREEK</v>
      </c>
      <c r="I336" s="74">
        <f>VLOOKUP($F336, 'Raw Annual DMR Data'!$A:$Z, 26, FALSE)</f>
        <v>18040013009470</v>
      </c>
      <c r="J336" s="74" t="s">
        <v>265</v>
      </c>
      <c r="K336" s="60">
        <f>VLOOKUP(A336, 'OES Summary'!$A:$B, 2, FALSE)</f>
        <v>250</v>
      </c>
      <c r="L336" s="304" cm="1">
        <f t="array" ref="L336">IF(COUNTIF('Raw Annual DMR Data'!$L:$L,$F336)&gt;0,MEDIAN(IF('Raw Annual DMR Data'!$L:$L=F336,'Raw Annual DMR Data'!$S:$S)),"N/A - Facility Does Not Report DMRs")</f>
        <v>1.001605625E-2</v>
      </c>
      <c r="M336" s="156">
        <f t="shared" si="33"/>
        <v>4.0064225000000003E-5</v>
      </c>
      <c r="N336" s="156">
        <f>IF(COUNTIF('Raw Annual DMR Data'!$L:$L,$F336)&gt;0,_xlfn.MAXIFS('Raw Annual DMR Data'!$S:$S,'Raw Annual DMR Data'!$L:$L,$F336), "N/A - Facility Does Not Report DMRs")</f>
        <v>1.001605625E-2</v>
      </c>
      <c r="O336" s="156">
        <f t="shared" si="34"/>
        <v>4.0064225000000003E-5</v>
      </c>
      <c r="P336" s="113" cm="1">
        <f t="array" ref="P336">IF(COUNTIF('Raw Annual DMR Data'!$L:$L,$F336)&gt;0,INDEX('Raw Annual DMR Data'!$B:$B,MATCH(1,($F336='Raw Annual DMR Data'!$L:$L)*($N336='Raw Annual DMR Data'!$S:$S),0)), "N/A - Facility Does Not Report DMRs")</f>
        <v>2017</v>
      </c>
      <c r="Q336" s="304" t="str" cm="1">
        <f t="array" ref="Q336">IF(COUNTIF('Raw TRI Data'!$J:$J,$E336)&gt;0,MEDIAN(IF('Raw TRI Data'!$J:$J=E336,'Raw TRI Data'!$S:$S)), "N/A - Facility Does Not Report to TRI")</f>
        <v>N/A - Facility Does Not Report to TRI</v>
      </c>
      <c r="R336" s="156" t="str">
        <f t="shared" si="31"/>
        <v>N/A - Facility Does Not Report to TRI</v>
      </c>
      <c r="S336" s="156" t="str">
        <f>IF(COUNTIF('Raw TRI Data'!$J:$J,$E336)&gt;0,_xlfn.MAXIFS('Raw TRI Data'!$S:$S,'Raw TRI Data'!$J:$J,$E336), "N/A - Facility Does Not Report to TRI")</f>
        <v>N/A - Facility Does Not Report to TRI</v>
      </c>
      <c r="T336" s="156" t="str">
        <f t="shared" si="32"/>
        <v>N/A - Facility Does Not Report to TRI</v>
      </c>
      <c r="U336" s="136" t="str" cm="1">
        <f t="array" ref="U336">IF(COUNTIF('Raw TRI Data'!$J:$J,$E336)&gt;0,INDEX('Raw TRI Data'!$A:$A,MATCH(1,($E336='Raw TRI Data'!$J:$J)*(S336='Raw TRI Data'!$S:$S),0)), "N/A - Facility Does Not Report to TRI")</f>
        <v>N/A - Facility Does Not Report to TRI</v>
      </c>
      <c r="V336" s="156" t="str" cm="1">
        <f t="array" ref="V336">IF(COUNTIFS('Raw Annual DMR Data'!$L:$L,$F336,'Raw Annual DMR Data'!$U:$U,"&gt;0")&gt;0,MEDIAN(IF('Raw Annual DMR Data'!$L:$L=$F336,'Raw Annual DMR Data'!$U:$U,"")),"N/A - Period DMR Data Not Available")</f>
        <v>N/A - Period DMR Data Not Available</v>
      </c>
      <c r="W336" s="156" t="str">
        <f>IF(COUNTIFS('Raw Annual DMR Data'!$L:$L,$F336, 'Raw Annual DMR Data'!$U:$U, "&gt;0")&gt;0,_xlfn.MAXIFS('Raw Annual DMR Data'!$U:$U,'Raw Annual DMR Data'!$L:$L,$F336), "N/A - Period DMR Data Not Available")</f>
        <v>N/A - Period DMR Data Not Available</v>
      </c>
      <c r="X336" s="113" t="str" cm="1">
        <f t="array" ref="X336">+IF(COUNTIFS('Raw Annual DMR Data'!L:L,$F336, 'Raw Annual DMR Data'!U:U, "&gt;0")&gt;0,INDEX('Raw Annual DMR Data'!V:V,MATCH(1,($F336='Raw Annual DMR Data'!L:L)*($W336='Raw Annual DMR Data'!U:U),0)), "N/A - Period DMR Data Not Available")</f>
        <v>N/A - Period DMR Data Not Available</v>
      </c>
      <c r="Y336" s="113" t="str" cm="1">
        <f t="array" ref="Y336">IF(COUNTIFS('Raw Annual DMR Data'!L:L,$F336, 'Raw Annual DMR Data'!U:U, "&gt;0")&gt;0,INDEX('Raw Annual DMR Data'!B:B,MATCH(1,($F336='Raw Annual DMR Data'!L:L)*($W336='Raw Annual DMR Data'!U:U),0)), "N/A - Period DMR Data Not Available")</f>
        <v>N/A - Period DMR Data Not Available</v>
      </c>
      <c r="Z336" s="311" t="str" cm="1">
        <f t="array" ref="Z336">IF(COUNTIF('Raw Annual DMR Data'!K:K,$E336)&gt;0,"N/A - See DMRs",IF(SUMIFS('Raw TRI Data'!$Z:$Z,'Raw TRI Data'!$J:$J,$E336)&gt;0,MEDIAN(IF('Raw TRI Data'!$J:$J=$E336,'Raw TRI Data'!$Z:$Z)), "N/A - Facility Does Not Report to TRI, no surface water releases, or no Generic Factors available"))</f>
        <v>N/A - Facility Does Not Report to TRI, no surface water releases, or no Generic Factors available</v>
      </c>
      <c r="AA336" s="156" t="str">
        <f>IF(COUNTIF('Raw Annual DMR Data'!K:K,$E336)&gt;0,"N/A - See DMRs",IF(SUMIFS('Raw TRI Data'!$Z:$Z,'Raw TRI Data'!$J:$J,$E336)&gt;0,_xlfn.MAXIFS('Raw TRI Data'!$Z:$Z,'Raw TRI Data'!$J:$J,$E336), "N/A - Facility Does Not Report to TRI, no surface water releases, or no Generic Factors available"))</f>
        <v>N/A - Facility Does Not Report to TRI, no surface water releases, or no Generic Factors available</v>
      </c>
      <c r="AB336" s="113" t="str">
        <f t="shared" si="35"/>
        <v>N/A</v>
      </c>
      <c r="AC336" s="136" t="str" cm="1">
        <f t="array" ref="AC336">IF(COUNTIF('Raw Annual DMR Data'!K:K,$E336)&gt;0,"N/A - See DMRs",IF(SUMIFS('Raw TRI Data'!$Z:$Z,'Raw TRI Data'!$J:$J,$E336)&gt;0,INDEX('Raw TRI Data'!$A:$A,MATCH(1,($E336='Raw TRI Data'!$J:$J)*($AA336='Raw TRI Data'!$Z:$Z),0)), "N/A - Facility Does Not Report to TRI, no surface water releases, or no Generic Factors available"))</f>
        <v>N/A - Facility Does Not Report to TRI, no surface water releases, or no Generic Factors available</v>
      </c>
      <c r="AD336" s="96" t="str" cm="1">
        <f t="array" ref="AD336">IF(COUNTIFS('Raw Annual DMR Data'!L:L,$F336,'Raw Annual DMR Data'!W:W, "&gt;0")&gt;0,MEDIAN(IF('Raw Annual DMR Data'!K:K=$F336, 'Raw Annual DMR Data'!W:W)), "N/A - No Daily Max DMR Discharge Data")</f>
        <v>N/A - No Daily Max DMR Discharge Data</v>
      </c>
      <c r="AE336" s="96" t="str">
        <f>IF(COUNTIFS('Raw Annual DMR Data'!L:L,$F336,'Raw Annual DMR Data'!W:W, "&gt;0")&gt;0,_xlfn.MAXIFS('Raw Annual DMR Data'!W:W,'Raw Annual DMR Data'!L:L,$F336), "N/A - No Daily Max DMR Discharge Data")</f>
        <v>N/A - No Daily Max DMR Discharge Data</v>
      </c>
      <c r="AF336" s="60" t="str" cm="1">
        <f t="array" ref="AF336">IF(COUNTIFS('Raw Annual DMR Data'!L:L,$F336,'Raw Annual DMR Data'!W:W, "&gt;0")&gt;0,INDEX('Raw Annual DMR Data'!B:B,MATCH(1,($F336='Raw Annual DMR Data'!L:L)*($AE336='Raw Annual DMR Data'!W:W),0)), "N/A - No Daily Max DMR Discharge Data")</f>
        <v>N/A - No Daily Max DMR Discharge Data</v>
      </c>
    </row>
    <row r="337" spans="1:32" ht="45.75" thickBot="1" x14ac:dyDescent="0.3">
      <c r="A337" s="144" t="str">
        <f>VLOOKUP(F337,'Facility Summary'!J:K,2,FALSE)</f>
        <v>POTW</v>
      </c>
      <c r="B337" s="28" t="s">
        <v>1329</v>
      </c>
      <c r="C337" s="28" t="s">
        <v>1330</v>
      </c>
      <c r="D337" s="28" t="s">
        <v>374</v>
      </c>
      <c r="E337" s="28"/>
      <c r="F337" s="61">
        <v>110039713067</v>
      </c>
      <c r="G337" s="60" t="str">
        <f>VLOOKUP($F337, 'Raw Annual DMR Data'!$A:$Z, 24, FALSE)</f>
        <v>AZ0026077</v>
      </c>
      <c r="H337" s="60">
        <f>VLOOKUP($F337, 'Raw Annual DMR Data'!$A:$Z, 25, FALSE)</f>
        <v>0</v>
      </c>
      <c r="I337" s="74">
        <f>VLOOKUP($F337, 'Raw Annual DMR Data'!$A:$Z, 26, FALSE)</f>
        <v>15080301000134</v>
      </c>
      <c r="J337" s="74" t="s">
        <v>265</v>
      </c>
      <c r="K337" s="60">
        <f>VLOOKUP(A337, 'OES Summary'!$A:$B, 2, FALSE)</f>
        <v>365</v>
      </c>
      <c r="L337" s="304" cm="1">
        <f t="array" ref="L337">IF(COUNTIF('Raw Annual DMR Data'!$L:$L,$F337)&gt;0,MEDIAN(IF('Raw Annual DMR Data'!$L:$L=F337,'Raw Annual DMR Data'!$S:$S)),"N/A - Facility Does Not Report DMRs")</f>
        <v>0.46695544999999999</v>
      </c>
      <c r="M337" s="156">
        <f t="shared" si="33"/>
        <v>1.27933E-3</v>
      </c>
      <c r="N337" s="156">
        <f>IF(COUNTIF('Raw Annual DMR Data'!$L:$L,$F337)&gt;0,_xlfn.MAXIFS('Raw Annual DMR Data'!$S:$S,'Raw Annual DMR Data'!$L:$L,$F337), "N/A - Facility Does Not Report DMRs")</f>
        <v>0.53050560000000002</v>
      </c>
      <c r="O337" s="156">
        <f t="shared" si="34"/>
        <v>1.4534400000000001E-3</v>
      </c>
      <c r="P337" s="113" cm="1">
        <f t="array" ref="P337">IF(COUNTIF('Raw Annual DMR Data'!$L:$L,$F337)&gt;0,INDEX('Raw Annual DMR Data'!$B:$B,MATCH(1,($F337='Raw Annual DMR Data'!$L:$L)*($N337='Raw Annual DMR Data'!$S:$S),0)), "N/A - Facility Does Not Report DMRs")</f>
        <v>2016</v>
      </c>
      <c r="Q337" s="304" t="str" cm="1">
        <f t="array" ref="Q337">IF(COUNTIF('Raw TRI Data'!$J:$J,$E337)&gt;0,MEDIAN(IF('Raw TRI Data'!$J:$J=E337,'Raw TRI Data'!$S:$S)), "N/A - Facility Does Not Report to TRI")</f>
        <v>N/A - Facility Does Not Report to TRI</v>
      </c>
      <c r="R337" s="156" t="str">
        <f t="shared" si="31"/>
        <v>N/A - Facility Does Not Report to TRI</v>
      </c>
      <c r="S337" s="156" t="str">
        <f>IF(COUNTIF('Raw TRI Data'!$J:$J,$E337)&gt;0,_xlfn.MAXIFS('Raw TRI Data'!$S:$S,'Raw TRI Data'!$J:$J,$E337), "N/A - Facility Does Not Report to TRI")</f>
        <v>N/A - Facility Does Not Report to TRI</v>
      </c>
      <c r="T337" s="156" t="str">
        <f t="shared" si="32"/>
        <v>N/A - Facility Does Not Report to TRI</v>
      </c>
      <c r="U337" s="136" t="str" cm="1">
        <f t="array" ref="U337">IF(COUNTIF('Raw TRI Data'!$J:$J,$E337)&gt;0,INDEX('Raw TRI Data'!$A:$A,MATCH(1,($E337='Raw TRI Data'!$J:$J)*(S337='Raw TRI Data'!$S:$S),0)), "N/A - Facility Does Not Report to TRI")</f>
        <v>N/A - Facility Does Not Report to TRI</v>
      </c>
      <c r="V337" s="156" t="str" cm="1">
        <f t="array" ref="V337">IF(COUNTIFS('Raw Annual DMR Data'!$L:$L,$F337,'Raw Annual DMR Data'!$U:$U,"&gt;0")&gt;0,MEDIAN(IF('Raw Annual DMR Data'!$L:$L=$F337,'Raw Annual DMR Data'!$U:$U,"")),"N/A - Period DMR Data Not Available")</f>
        <v>N/A - Period DMR Data Not Available</v>
      </c>
      <c r="W337" s="156" t="str">
        <f>IF(COUNTIFS('Raw Annual DMR Data'!$L:$L,$F337, 'Raw Annual DMR Data'!$U:$U, "&gt;0")&gt;0,_xlfn.MAXIFS('Raw Annual DMR Data'!$U:$U,'Raw Annual DMR Data'!$L:$L,$F337), "N/A - Period DMR Data Not Available")</f>
        <v>N/A - Period DMR Data Not Available</v>
      </c>
      <c r="X337" s="113" t="str" cm="1">
        <f t="array" ref="X337">+IF(COUNTIFS('Raw Annual DMR Data'!L:L,$F337, 'Raw Annual DMR Data'!U:U, "&gt;0")&gt;0,INDEX('Raw Annual DMR Data'!V:V,MATCH(1,($F337='Raw Annual DMR Data'!L:L)*($W337='Raw Annual DMR Data'!U:U),0)), "N/A - Period DMR Data Not Available")</f>
        <v>N/A - Period DMR Data Not Available</v>
      </c>
      <c r="Y337" s="113" t="str" cm="1">
        <f t="array" ref="Y337">IF(COUNTIFS('Raw Annual DMR Data'!L:L,$F337, 'Raw Annual DMR Data'!U:U, "&gt;0")&gt;0,INDEX('Raw Annual DMR Data'!B:B,MATCH(1,($F337='Raw Annual DMR Data'!L:L)*($W337='Raw Annual DMR Data'!U:U),0)), "N/A - Period DMR Data Not Available")</f>
        <v>N/A - Period DMR Data Not Available</v>
      </c>
      <c r="Z337" s="311" t="str" cm="1">
        <f t="array" ref="Z337">IF(COUNTIF('Raw Annual DMR Data'!K:K,$E337)&gt;0,"N/A - See DMRs",IF(SUMIFS('Raw TRI Data'!$Z:$Z,'Raw TRI Data'!$J:$J,$E337)&gt;0,MEDIAN(IF('Raw TRI Data'!$J:$J=$E337,'Raw TRI Data'!$Z:$Z)), "N/A - Facility Does Not Report to TRI, no surface water releases, or no Generic Factors available"))</f>
        <v>N/A - Facility Does Not Report to TRI, no surface water releases, or no Generic Factors available</v>
      </c>
      <c r="AA337" s="156" t="str">
        <f>IF(COUNTIF('Raw Annual DMR Data'!K:K,$E337)&gt;0,"N/A - See DMRs",IF(SUMIFS('Raw TRI Data'!$Z:$Z,'Raw TRI Data'!$J:$J,$E337)&gt;0,_xlfn.MAXIFS('Raw TRI Data'!$Z:$Z,'Raw TRI Data'!$J:$J,$E337), "N/A - Facility Does Not Report to TRI, no surface water releases, or no Generic Factors available"))</f>
        <v>N/A - Facility Does Not Report to TRI, no surface water releases, or no Generic Factors available</v>
      </c>
      <c r="AB337" s="113" t="str">
        <f t="shared" si="35"/>
        <v>N/A</v>
      </c>
      <c r="AC337" s="136" t="str" cm="1">
        <f t="array" ref="AC337">IF(COUNTIF('Raw Annual DMR Data'!K:K,$E337)&gt;0,"N/A - See DMRs",IF(SUMIFS('Raw TRI Data'!$Z:$Z,'Raw TRI Data'!$J:$J,$E337)&gt;0,INDEX('Raw TRI Data'!$A:$A,MATCH(1,($E337='Raw TRI Data'!$J:$J)*($AA337='Raw TRI Data'!$Z:$Z),0)), "N/A - Facility Does Not Report to TRI, no surface water releases, or no Generic Factors available"))</f>
        <v>N/A - Facility Does Not Report to TRI, no surface water releases, or no Generic Factors available</v>
      </c>
      <c r="AD337" s="96" t="str" cm="1">
        <f t="array" ref="AD337">IF(COUNTIFS('Raw Annual DMR Data'!L:L,$F337,'Raw Annual DMR Data'!W:W, "&gt;0")&gt;0,MEDIAN(IF('Raw Annual DMR Data'!K:K=$F337, 'Raw Annual DMR Data'!W:W)), "N/A - No Daily Max DMR Discharge Data")</f>
        <v>N/A - No Daily Max DMR Discharge Data</v>
      </c>
      <c r="AE337" s="96" t="str">
        <f>IF(COUNTIFS('Raw Annual DMR Data'!L:L,$F337,'Raw Annual DMR Data'!W:W, "&gt;0")&gt;0,_xlfn.MAXIFS('Raw Annual DMR Data'!W:W,'Raw Annual DMR Data'!L:L,$F337), "N/A - No Daily Max DMR Discharge Data")</f>
        <v>N/A - No Daily Max DMR Discharge Data</v>
      </c>
      <c r="AF337" s="60" t="str" cm="1">
        <f t="array" ref="AF337">IF(COUNTIFS('Raw Annual DMR Data'!L:L,$F337,'Raw Annual DMR Data'!W:W, "&gt;0")&gt;0,INDEX('Raw Annual DMR Data'!B:B,MATCH(1,($F337='Raw Annual DMR Data'!L:L)*($AE337='Raw Annual DMR Data'!W:W),0)), "N/A - No Daily Max DMR Discharge Data")</f>
        <v>N/A - No Daily Max DMR Discharge Data</v>
      </c>
    </row>
    <row r="338" spans="1:32" ht="45.75" thickBot="1" x14ac:dyDescent="0.3">
      <c r="A338" s="144" t="str">
        <f>VLOOKUP(F338,'Facility Summary'!J:K,2,FALSE)</f>
        <v>POTW</v>
      </c>
      <c r="B338" s="28" t="s">
        <v>1331</v>
      </c>
      <c r="C338" s="28" t="s">
        <v>1286</v>
      </c>
      <c r="D338" s="28" t="s">
        <v>1171</v>
      </c>
      <c r="E338" s="28"/>
      <c r="F338" s="61">
        <v>110005726802</v>
      </c>
      <c r="G338" s="60" t="str">
        <f>VLOOKUP($F338, 'Raw Annual DMR Data'!$A:$Z, 24, FALSE)</f>
        <v>HI0020117</v>
      </c>
      <c r="H338" s="60" t="str">
        <f>VLOOKUP($F338, 'Raw Annual DMR Data'!$A:$Z, 25, FALSE)</f>
        <v>PACIFIC OCEAN</v>
      </c>
      <c r="I338" s="74">
        <f>VLOOKUP($F338, 'Raw Annual DMR Data'!$A:$Z, 26, FALSE)</f>
        <v>20060000003277</v>
      </c>
      <c r="J338" s="74" t="s">
        <v>265</v>
      </c>
      <c r="K338" s="60">
        <f>VLOOKUP(A338, 'OES Summary'!$A:$B, 2, FALSE)</f>
        <v>365</v>
      </c>
      <c r="L338" s="304" cm="1">
        <f t="array" ref="L338">IF(COUNTIF('Raw Annual DMR Data'!$L:$L,$F338)&gt;0,MEDIAN(IF('Raw Annual DMR Data'!$L:$L=F338,'Raw Annual DMR Data'!$S:$S)),"N/A - Facility Does Not Report DMRs")</f>
        <v>1.6146264960000001</v>
      </c>
      <c r="M338" s="156">
        <f t="shared" si="33"/>
        <v>4.4236342356164388E-3</v>
      </c>
      <c r="N338" s="156">
        <f>IF(COUNTIF('Raw Annual DMR Data'!$L:$L,$F338)&gt;0,_xlfn.MAXIFS('Raw Annual DMR Data'!$S:$S,'Raw Annual DMR Data'!$L:$L,$F338), "N/A - Facility Does Not Report DMRs")</f>
        <v>10.63046016</v>
      </c>
      <c r="O338" s="156">
        <f t="shared" si="34"/>
        <v>2.9124548383561644E-2</v>
      </c>
      <c r="P338" s="113" cm="1">
        <f t="array" ref="P338">IF(COUNTIF('Raw Annual DMR Data'!$L:$L,$F338)&gt;0,INDEX('Raw Annual DMR Data'!$B:$B,MATCH(1,($F338='Raw Annual DMR Data'!$L:$L)*($N338='Raw Annual DMR Data'!$S:$S),0)), "N/A - Facility Does Not Report DMRs")</f>
        <v>2020</v>
      </c>
      <c r="Q338" s="304" t="str" cm="1">
        <f t="array" ref="Q338">IF(COUNTIF('Raw TRI Data'!$J:$J,$E338)&gt;0,MEDIAN(IF('Raw TRI Data'!$J:$J=E338,'Raw TRI Data'!$S:$S)), "N/A - Facility Does Not Report to TRI")</f>
        <v>N/A - Facility Does Not Report to TRI</v>
      </c>
      <c r="R338" s="156" t="str">
        <f t="shared" si="31"/>
        <v>N/A - Facility Does Not Report to TRI</v>
      </c>
      <c r="S338" s="156" t="str">
        <f>IF(COUNTIF('Raw TRI Data'!$J:$J,$E338)&gt;0,_xlfn.MAXIFS('Raw TRI Data'!$S:$S,'Raw TRI Data'!$J:$J,$E338), "N/A - Facility Does Not Report to TRI")</f>
        <v>N/A - Facility Does Not Report to TRI</v>
      </c>
      <c r="T338" s="156" t="str">
        <f t="shared" si="32"/>
        <v>N/A - Facility Does Not Report to TRI</v>
      </c>
      <c r="U338" s="136" t="str" cm="1">
        <f t="array" ref="U338">IF(COUNTIF('Raw TRI Data'!$J:$J,$E338)&gt;0,INDEX('Raw TRI Data'!$A:$A,MATCH(1,($E338='Raw TRI Data'!$J:$J)*(S338='Raw TRI Data'!$S:$S),0)), "N/A - Facility Does Not Report to TRI")</f>
        <v>N/A - Facility Does Not Report to TRI</v>
      </c>
      <c r="V338" s="156" t="str" cm="1">
        <f t="array" ref="V338">IF(COUNTIFS('Raw Annual DMR Data'!$L:$L,$F338,'Raw Annual DMR Data'!$U:$U,"&gt;0")&gt;0,MEDIAN(IF('Raw Annual DMR Data'!$L:$L=$F338,'Raw Annual DMR Data'!$U:$U,"")),"N/A - Period DMR Data Not Available")</f>
        <v>N/A - Period DMR Data Not Available</v>
      </c>
      <c r="W338" s="156" t="str">
        <f>IF(COUNTIFS('Raw Annual DMR Data'!$L:$L,$F338, 'Raw Annual DMR Data'!$U:$U, "&gt;0")&gt;0,_xlfn.MAXIFS('Raw Annual DMR Data'!$U:$U,'Raw Annual DMR Data'!$L:$L,$F338), "N/A - Period DMR Data Not Available")</f>
        <v>N/A - Period DMR Data Not Available</v>
      </c>
      <c r="X338" s="113" t="str" cm="1">
        <f t="array" ref="X338">+IF(COUNTIFS('Raw Annual DMR Data'!L:L,$F338, 'Raw Annual DMR Data'!U:U, "&gt;0")&gt;0,INDEX('Raw Annual DMR Data'!V:V,MATCH(1,($F338='Raw Annual DMR Data'!L:L)*($W338='Raw Annual DMR Data'!U:U),0)), "N/A - Period DMR Data Not Available")</f>
        <v>N/A - Period DMR Data Not Available</v>
      </c>
      <c r="Y338" s="113" t="str" cm="1">
        <f t="array" ref="Y338">IF(COUNTIFS('Raw Annual DMR Data'!L:L,$F338, 'Raw Annual DMR Data'!U:U, "&gt;0")&gt;0,INDEX('Raw Annual DMR Data'!B:B,MATCH(1,($F338='Raw Annual DMR Data'!L:L)*($W338='Raw Annual DMR Data'!U:U),0)), "N/A - Period DMR Data Not Available")</f>
        <v>N/A - Period DMR Data Not Available</v>
      </c>
      <c r="Z338" s="311" t="str" cm="1">
        <f t="array" ref="Z338">IF(COUNTIF('Raw Annual DMR Data'!K:K,$E338)&gt;0,"N/A - See DMRs",IF(SUMIFS('Raw TRI Data'!$Z:$Z,'Raw TRI Data'!$J:$J,$E338)&gt;0,MEDIAN(IF('Raw TRI Data'!$J:$J=$E338,'Raw TRI Data'!$Z:$Z)), "N/A - Facility Does Not Report to TRI, no surface water releases, or no Generic Factors available"))</f>
        <v>N/A - Facility Does Not Report to TRI, no surface water releases, or no Generic Factors available</v>
      </c>
      <c r="AA338" s="156" t="str">
        <f>IF(COUNTIF('Raw Annual DMR Data'!K:K,$E338)&gt;0,"N/A - See DMRs",IF(SUMIFS('Raw TRI Data'!$Z:$Z,'Raw TRI Data'!$J:$J,$E338)&gt;0,_xlfn.MAXIFS('Raw TRI Data'!$Z:$Z,'Raw TRI Data'!$J:$J,$E338), "N/A - Facility Does Not Report to TRI, no surface water releases, or no Generic Factors available"))</f>
        <v>N/A - Facility Does Not Report to TRI, no surface water releases, or no Generic Factors available</v>
      </c>
      <c r="AB338" s="113" t="str">
        <f t="shared" si="35"/>
        <v>N/A</v>
      </c>
      <c r="AC338" s="136" t="str" cm="1">
        <f t="array" ref="AC338">IF(COUNTIF('Raw Annual DMR Data'!K:K,$E338)&gt;0,"N/A - See DMRs",IF(SUMIFS('Raw TRI Data'!$Z:$Z,'Raw TRI Data'!$J:$J,$E338)&gt;0,INDEX('Raw TRI Data'!$A:$A,MATCH(1,($E338='Raw TRI Data'!$J:$J)*($AA338='Raw TRI Data'!$Z:$Z),0)), "N/A - Facility Does Not Report to TRI, no surface water releases, or no Generic Factors available"))</f>
        <v>N/A - Facility Does Not Report to TRI, no surface water releases, or no Generic Factors available</v>
      </c>
      <c r="AD338" s="96" t="str" cm="1">
        <f t="array" ref="AD338">IF(COUNTIFS('Raw Annual DMR Data'!L:L,$F338,'Raw Annual DMR Data'!W:W, "&gt;0")&gt;0,MEDIAN(IF('Raw Annual DMR Data'!K:K=$F338, 'Raw Annual DMR Data'!W:W)), "N/A - No Daily Max DMR Discharge Data")</f>
        <v>N/A - No Daily Max DMR Discharge Data</v>
      </c>
      <c r="AE338" s="96" t="str">
        <f>IF(COUNTIFS('Raw Annual DMR Data'!L:L,$F338,'Raw Annual DMR Data'!W:W, "&gt;0")&gt;0,_xlfn.MAXIFS('Raw Annual DMR Data'!W:W,'Raw Annual DMR Data'!L:L,$F338), "N/A - No Daily Max DMR Discharge Data")</f>
        <v>N/A - No Daily Max DMR Discharge Data</v>
      </c>
      <c r="AF338" s="60" t="str" cm="1">
        <f t="array" ref="AF338">IF(COUNTIFS('Raw Annual DMR Data'!L:L,$F338,'Raw Annual DMR Data'!W:W, "&gt;0")&gt;0,INDEX('Raw Annual DMR Data'!B:B,MATCH(1,($F338='Raw Annual DMR Data'!L:L)*($AE338='Raw Annual DMR Data'!W:W),0)), "N/A - No Daily Max DMR Discharge Data")</f>
        <v>N/A - No Daily Max DMR Discharge Data</v>
      </c>
    </row>
    <row r="339" spans="1:32" ht="30.75" thickBot="1" x14ac:dyDescent="0.3">
      <c r="A339" s="144" t="str">
        <f>VLOOKUP(F339,'Facility Summary'!J:K,2,FALSE)</f>
        <v>Unknown</v>
      </c>
      <c r="B339" s="28" t="s">
        <v>1332</v>
      </c>
      <c r="C339" s="28" t="s">
        <v>1333</v>
      </c>
      <c r="D339" s="28" t="s">
        <v>491</v>
      </c>
      <c r="E339" s="28" t="s">
        <v>733</v>
      </c>
      <c r="F339" s="61">
        <v>110006522735</v>
      </c>
      <c r="G339" s="60" t="str">
        <f>VLOOKUP($F339, 'Raw Annual DMR Data'!$A:$Z, 24, FALSE)</f>
        <v>PA0060071</v>
      </c>
      <c r="H339" s="60" t="str">
        <f>VLOOKUP($F339, 'Raw Annual DMR Data'!$A:$Z, 25, FALSE)</f>
        <v>SWIFTWATER CREEK</v>
      </c>
      <c r="I339" s="74" t="str">
        <f>VLOOKUP($F339, 'Raw Annual DMR Data'!$A:$Z, 26, FALSE)</f>
        <v>02040104000718</v>
      </c>
      <c r="J339" s="74" t="s">
        <v>265</v>
      </c>
      <c r="K339" s="60">
        <f>VLOOKUP(A339, 'OES Summary'!$A:$B, 2, FALSE)</f>
        <v>250</v>
      </c>
      <c r="L339" s="304" cm="1">
        <f t="array" ref="L339">IF(COUNTIF('Raw Annual DMR Data'!$L:$L,$F339)&gt;0,MEDIAN(IF('Raw Annual DMR Data'!$L:$L=F339,'Raw Annual DMR Data'!$S:$S)),"N/A - Facility Does Not Report DMRs")</f>
        <v>2.07478E-2</v>
      </c>
      <c r="M339" s="156">
        <f t="shared" si="33"/>
        <v>8.2991200000000006E-5</v>
      </c>
      <c r="N339" s="156">
        <f>IF(COUNTIF('Raw Annual DMR Data'!$L:$L,$F339)&gt;0,_xlfn.MAXIFS('Raw Annual DMR Data'!$S:$S,'Raw Annual DMR Data'!$L:$L,$F339), "N/A - Facility Does Not Report DMRs")</f>
        <v>8.2766439909296996E-2</v>
      </c>
      <c r="O339" s="156">
        <f t="shared" si="34"/>
        <v>3.3106575963718797E-4</v>
      </c>
      <c r="P339" s="113" cm="1">
        <f t="array" ref="P339">IF(COUNTIF('Raw Annual DMR Data'!$L:$L,$F339)&gt;0,INDEX('Raw Annual DMR Data'!$B:$B,MATCH(1,($F339='Raw Annual DMR Data'!$L:$L)*($N339='Raw Annual DMR Data'!$S:$S),0)), "N/A - Facility Does Not Report DMRs")</f>
        <v>2018</v>
      </c>
      <c r="Q339" s="304" t="str" cm="1">
        <f t="array" ref="Q339">IF(COUNTIF('Raw TRI Data'!$J:$J,$E339)&gt;0,MEDIAN(IF('Raw TRI Data'!$J:$J=E339,'Raw TRI Data'!$S:$S)), "N/A - Facility Does Not Report to TRI")</f>
        <v>N/A - Facility Does Not Report to TRI</v>
      </c>
      <c r="R339" s="156" t="str">
        <f t="shared" si="31"/>
        <v>N/A - Facility Does Not Report to TRI</v>
      </c>
      <c r="S339" s="156" t="str">
        <f>IF(COUNTIF('Raw TRI Data'!$J:$J,$E339)&gt;0,_xlfn.MAXIFS('Raw TRI Data'!$S:$S,'Raw TRI Data'!$J:$J,$E339), "N/A - Facility Does Not Report to TRI")</f>
        <v>N/A - Facility Does Not Report to TRI</v>
      </c>
      <c r="T339" s="156" t="str">
        <f t="shared" si="32"/>
        <v>N/A - Facility Does Not Report to TRI</v>
      </c>
      <c r="U339" s="136" t="str" cm="1">
        <f t="array" ref="U339">IF(COUNTIF('Raw TRI Data'!$J:$J,$E339)&gt;0,INDEX('Raw TRI Data'!$A:$A,MATCH(1,($E339='Raw TRI Data'!$J:$J)*(S339='Raw TRI Data'!$S:$S),0)), "N/A - Facility Does Not Report to TRI")</f>
        <v>N/A - Facility Does Not Report to TRI</v>
      </c>
      <c r="V339" s="156" t="str" cm="1">
        <f t="array" ref="V339">IF(COUNTIFS('Raw Annual DMR Data'!$L:$L,$F339,'Raw Annual DMR Data'!$U:$U,"&gt;0")&gt;0,MEDIAN(IF('Raw Annual DMR Data'!$L:$L=$F339,'Raw Annual DMR Data'!$U:$U,"")),"N/A - Period DMR Data Not Available")</f>
        <v>N/A - Period DMR Data Not Available</v>
      </c>
      <c r="W339" s="156" t="str">
        <f>IF(COUNTIFS('Raw Annual DMR Data'!$L:$L,$F339, 'Raw Annual DMR Data'!$U:$U, "&gt;0")&gt;0,_xlfn.MAXIFS('Raw Annual DMR Data'!$U:$U,'Raw Annual DMR Data'!$L:$L,$F339), "N/A - Period DMR Data Not Available")</f>
        <v>N/A - Period DMR Data Not Available</v>
      </c>
      <c r="X339" s="113" t="str" cm="1">
        <f t="array" ref="X339">+IF(COUNTIFS('Raw Annual DMR Data'!L:L,$F339, 'Raw Annual DMR Data'!U:U, "&gt;0")&gt;0,INDEX('Raw Annual DMR Data'!V:V,MATCH(1,($F339='Raw Annual DMR Data'!L:L)*($W339='Raw Annual DMR Data'!U:U),0)), "N/A - Period DMR Data Not Available")</f>
        <v>N/A - Period DMR Data Not Available</v>
      </c>
      <c r="Y339" s="113" t="str" cm="1">
        <f t="array" ref="Y339">IF(COUNTIFS('Raw Annual DMR Data'!L:L,$F339, 'Raw Annual DMR Data'!U:U, "&gt;0")&gt;0,INDEX('Raw Annual DMR Data'!B:B,MATCH(1,($F339='Raw Annual DMR Data'!L:L)*($W339='Raw Annual DMR Data'!U:U),0)), "N/A - Period DMR Data Not Available")</f>
        <v>N/A - Period DMR Data Not Available</v>
      </c>
      <c r="Z339" s="311" t="str" cm="1">
        <f t="array" ref="Z339">IF(COUNTIF('Raw Annual DMR Data'!K:K,$E339)&gt;0,"N/A - See DMRs",IF(SUMIFS('Raw TRI Data'!$Z:$Z,'Raw TRI Data'!$J:$J,$E339)&gt;0,MEDIAN(IF('Raw TRI Data'!$J:$J=$E339,'Raw TRI Data'!$Z:$Z)), "N/A - Facility Does Not Report to TRI, no surface water releases, or no Generic Factors available"))</f>
        <v>N/A - See DMRs</v>
      </c>
      <c r="AA339" s="156" t="str">
        <f>IF(COUNTIF('Raw Annual DMR Data'!K:K,$E339)&gt;0,"N/A - See DMRs",IF(SUMIFS('Raw TRI Data'!$Z:$Z,'Raw TRI Data'!$J:$J,$E339)&gt;0,_xlfn.MAXIFS('Raw TRI Data'!$Z:$Z,'Raw TRI Data'!$J:$J,$E339), "N/A - Facility Does Not Report to TRI, no surface water releases, or no Generic Factors available"))</f>
        <v>N/A - See DMRs</v>
      </c>
      <c r="AB339" s="113" t="str">
        <f t="shared" si="35"/>
        <v>N/A</v>
      </c>
      <c r="AC339" s="136" t="str" cm="1">
        <f t="array" ref="AC339">IF(COUNTIF('Raw Annual DMR Data'!K:K,$E339)&gt;0,"N/A - See DMRs",IF(SUMIFS('Raw TRI Data'!$Z:$Z,'Raw TRI Data'!$J:$J,$E339)&gt;0,INDEX('Raw TRI Data'!$A:$A,MATCH(1,($E339='Raw TRI Data'!$J:$J)*($AA339='Raw TRI Data'!$Z:$Z),0)), "N/A - Facility Does Not Report to TRI, no surface water releases, or no Generic Factors available"))</f>
        <v>N/A - See DMRs</v>
      </c>
      <c r="AD339" s="96" t="str" cm="1">
        <f t="array" ref="AD339">IF(COUNTIFS('Raw Annual DMR Data'!L:L,$F339,'Raw Annual DMR Data'!W:W, "&gt;0")&gt;0,MEDIAN(IF('Raw Annual DMR Data'!K:K=$F339, 'Raw Annual DMR Data'!W:W)), "N/A - No Daily Max DMR Discharge Data")</f>
        <v>N/A - No Daily Max DMR Discharge Data</v>
      </c>
      <c r="AE339" s="96" t="str">
        <f>IF(COUNTIFS('Raw Annual DMR Data'!L:L,$F339,'Raw Annual DMR Data'!W:W, "&gt;0")&gt;0,_xlfn.MAXIFS('Raw Annual DMR Data'!W:W,'Raw Annual DMR Data'!L:L,$F339), "N/A - No Daily Max DMR Discharge Data")</f>
        <v>N/A - No Daily Max DMR Discharge Data</v>
      </c>
      <c r="AF339" s="60" t="str" cm="1">
        <f t="array" ref="AF339">IF(COUNTIFS('Raw Annual DMR Data'!L:L,$F339,'Raw Annual DMR Data'!W:W, "&gt;0")&gt;0,INDEX('Raw Annual DMR Data'!B:B,MATCH(1,($F339='Raw Annual DMR Data'!L:L)*($AE339='Raw Annual DMR Data'!W:W),0)), "N/A - No Daily Max DMR Discharge Data")</f>
        <v>N/A - No Daily Max DMR Discharge Data</v>
      </c>
    </row>
    <row r="340" spans="1:32" ht="45.75" thickBot="1" x14ac:dyDescent="0.3">
      <c r="A340" s="144" t="str">
        <f>VLOOKUP(F340,'Facility Summary'!J:K,2,FALSE)</f>
        <v>POTW</v>
      </c>
      <c r="B340" s="28" t="s">
        <v>1334</v>
      </c>
      <c r="C340" s="28" t="s">
        <v>1335</v>
      </c>
      <c r="D340" s="28" t="s">
        <v>366</v>
      </c>
      <c r="E340" s="28"/>
      <c r="F340" s="61">
        <v>110013848453</v>
      </c>
      <c r="G340" s="60" t="str">
        <f>VLOOKUP($F340, 'Raw Annual DMR Data'!$A:$Z, 24, FALSE)</f>
        <v>CA0048194</v>
      </c>
      <c r="H340" s="60" t="str">
        <f>VLOOKUP($F340, 'Raw Annual DMR Data'!$A:$Z, 25, FALSE)</f>
        <v>PACIFIC OCEAN, PACIFIC OCEAN (MONTEREY BAY)</v>
      </c>
      <c r="I340" s="74">
        <f>VLOOKUP($F340, 'Raw Annual DMR Data'!$A:$Z, 26, FALSE)</f>
        <v>18060015000054</v>
      </c>
      <c r="J340" s="74" t="s">
        <v>265</v>
      </c>
      <c r="K340" s="60">
        <f>VLOOKUP(A340, 'OES Summary'!$A:$B, 2, FALSE)</f>
        <v>365</v>
      </c>
      <c r="L340" s="304" cm="1">
        <f t="array" ref="L340">IF(COUNTIF('Raw Annual DMR Data'!$L:$L,$F340)&gt;0,MEDIAN(IF('Raw Annual DMR Data'!$L:$L=F340,'Raw Annual DMR Data'!$S:$S)),"N/A - Facility Does Not Report DMRs")</f>
        <v>1.6136022750000001</v>
      </c>
      <c r="M340" s="156">
        <f t="shared" si="33"/>
        <v>4.4208281506849315E-3</v>
      </c>
      <c r="N340" s="156">
        <f>IF(COUNTIF('Raw Annual DMR Data'!$L:$L,$F340)&gt;0,_xlfn.MAXIFS('Raw Annual DMR Data'!$S:$S,'Raw Annual DMR Data'!$L:$L,$F340), "N/A - Facility Does Not Report DMRs")</f>
        <v>2.7449577000000001</v>
      </c>
      <c r="O340" s="156">
        <f t="shared" si="34"/>
        <v>7.520432054794521E-3</v>
      </c>
      <c r="P340" s="113" cm="1">
        <f t="array" ref="P340">IF(COUNTIF('Raw Annual DMR Data'!$L:$L,$F340)&gt;0,INDEX('Raw Annual DMR Data'!$B:$B,MATCH(1,($F340='Raw Annual DMR Data'!$L:$L)*($N340='Raw Annual DMR Data'!$S:$S),0)), "N/A - Facility Does Not Report DMRs")</f>
        <v>2017</v>
      </c>
      <c r="Q340" s="304" t="str" cm="1">
        <f t="array" ref="Q340">IF(COUNTIF('Raw TRI Data'!$J:$J,$E340)&gt;0,MEDIAN(IF('Raw TRI Data'!$J:$J=E340,'Raw TRI Data'!$S:$S)), "N/A - Facility Does Not Report to TRI")</f>
        <v>N/A - Facility Does Not Report to TRI</v>
      </c>
      <c r="R340" s="156" t="str">
        <f t="shared" si="31"/>
        <v>N/A - Facility Does Not Report to TRI</v>
      </c>
      <c r="S340" s="156" t="str">
        <f>IF(COUNTIF('Raw TRI Data'!$J:$J,$E340)&gt;0,_xlfn.MAXIFS('Raw TRI Data'!$S:$S,'Raw TRI Data'!$J:$J,$E340), "N/A - Facility Does Not Report to TRI")</f>
        <v>N/A - Facility Does Not Report to TRI</v>
      </c>
      <c r="T340" s="156" t="str">
        <f t="shared" si="32"/>
        <v>N/A - Facility Does Not Report to TRI</v>
      </c>
      <c r="U340" s="136" t="str" cm="1">
        <f t="array" ref="U340">IF(COUNTIF('Raw TRI Data'!$J:$J,$E340)&gt;0,INDEX('Raw TRI Data'!$A:$A,MATCH(1,($E340='Raw TRI Data'!$J:$J)*(S340='Raw TRI Data'!$S:$S),0)), "N/A - Facility Does Not Report to TRI")</f>
        <v>N/A - Facility Does Not Report to TRI</v>
      </c>
      <c r="V340" s="156" t="str" cm="1">
        <f t="array" ref="V340">IF(COUNTIFS('Raw Annual DMR Data'!$L:$L,$F340,'Raw Annual DMR Data'!$U:$U,"&gt;0")&gt;0,MEDIAN(IF('Raw Annual DMR Data'!$L:$L=$F340,'Raw Annual DMR Data'!$U:$U,"")),"N/A - Period DMR Data Not Available")</f>
        <v>N/A - Period DMR Data Not Available</v>
      </c>
      <c r="W340" s="156" t="str">
        <f>IF(COUNTIFS('Raw Annual DMR Data'!$L:$L,$F340, 'Raw Annual DMR Data'!$U:$U, "&gt;0")&gt;0,_xlfn.MAXIFS('Raw Annual DMR Data'!$U:$U,'Raw Annual DMR Data'!$L:$L,$F340), "N/A - Period DMR Data Not Available")</f>
        <v>N/A - Period DMR Data Not Available</v>
      </c>
      <c r="X340" s="113" t="str" cm="1">
        <f t="array" ref="X340">+IF(COUNTIFS('Raw Annual DMR Data'!L:L,$F340, 'Raw Annual DMR Data'!U:U, "&gt;0")&gt;0,INDEX('Raw Annual DMR Data'!V:V,MATCH(1,($F340='Raw Annual DMR Data'!L:L)*($W340='Raw Annual DMR Data'!U:U),0)), "N/A - Period DMR Data Not Available")</f>
        <v>N/A - Period DMR Data Not Available</v>
      </c>
      <c r="Y340" s="113" t="str" cm="1">
        <f t="array" ref="Y340">IF(COUNTIFS('Raw Annual DMR Data'!L:L,$F340, 'Raw Annual DMR Data'!U:U, "&gt;0")&gt;0,INDEX('Raw Annual DMR Data'!B:B,MATCH(1,($F340='Raw Annual DMR Data'!L:L)*($W340='Raw Annual DMR Data'!U:U),0)), "N/A - Period DMR Data Not Available")</f>
        <v>N/A - Period DMR Data Not Available</v>
      </c>
      <c r="Z340" s="311" t="str" cm="1">
        <f t="array" ref="Z340">IF(COUNTIF('Raw Annual DMR Data'!K:K,$E340)&gt;0,"N/A - See DMRs",IF(SUMIFS('Raw TRI Data'!$Z:$Z,'Raw TRI Data'!$J:$J,$E340)&gt;0,MEDIAN(IF('Raw TRI Data'!$J:$J=$E340,'Raw TRI Data'!$Z:$Z)), "N/A - Facility Does Not Report to TRI, no surface water releases, or no Generic Factors available"))</f>
        <v>N/A - Facility Does Not Report to TRI, no surface water releases, or no Generic Factors available</v>
      </c>
      <c r="AA340" s="156" t="str">
        <f>IF(COUNTIF('Raw Annual DMR Data'!K:K,$E340)&gt;0,"N/A - See DMRs",IF(SUMIFS('Raw TRI Data'!$Z:$Z,'Raw TRI Data'!$J:$J,$E340)&gt;0,_xlfn.MAXIFS('Raw TRI Data'!$Z:$Z,'Raw TRI Data'!$J:$J,$E340), "N/A - Facility Does Not Report to TRI, no surface water releases, or no Generic Factors available"))</f>
        <v>N/A - Facility Does Not Report to TRI, no surface water releases, or no Generic Factors available</v>
      </c>
      <c r="AB340" s="113" t="str">
        <f t="shared" si="35"/>
        <v>N/A</v>
      </c>
      <c r="AC340" s="136" t="str" cm="1">
        <f t="array" ref="AC340">IF(COUNTIF('Raw Annual DMR Data'!K:K,$E340)&gt;0,"N/A - See DMRs",IF(SUMIFS('Raw TRI Data'!$Z:$Z,'Raw TRI Data'!$J:$J,$E340)&gt;0,INDEX('Raw TRI Data'!$A:$A,MATCH(1,($E340='Raw TRI Data'!$J:$J)*($AA340='Raw TRI Data'!$Z:$Z),0)), "N/A - Facility Does Not Report to TRI, no surface water releases, or no Generic Factors available"))</f>
        <v>N/A - Facility Does Not Report to TRI, no surface water releases, or no Generic Factors available</v>
      </c>
      <c r="AD340" s="96" t="str" cm="1">
        <f t="array" ref="AD340">IF(COUNTIFS('Raw Annual DMR Data'!L:L,$F340,'Raw Annual DMR Data'!W:W, "&gt;0")&gt;0,MEDIAN(IF('Raw Annual DMR Data'!K:K=$F340, 'Raw Annual DMR Data'!W:W)), "N/A - No Daily Max DMR Discharge Data")</f>
        <v>N/A - No Daily Max DMR Discharge Data</v>
      </c>
      <c r="AE340" s="96" t="str">
        <f>IF(COUNTIFS('Raw Annual DMR Data'!L:L,$F340,'Raw Annual DMR Data'!W:W, "&gt;0")&gt;0,_xlfn.MAXIFS('Raw Annual DMR Data'!W:W,'Raw Annual DMR Data'!L:L,$F340), "N/A - No Daily Max DMR Discharge Data")</f>
        <v>N/A - No Daily Max DMR Discharge Data</v>
      </c>
      <c r="AF340" s="60" t="str" cm="1">
        <f t="array" ref="AF340">IF(COUNTIFS('Raw Annual DMR Data'!L:L,$F340,'Raw Annual DMR Data'!W:W, "&gt;0")&gt;0,INDEX('Raw Annual DMR Data'!B:B,MATCH(1,($F340='Raw Annual DMR Data'!L:L)*($AE340='Raw Annual DMR Data'!W:W),0)), "N/A - No Daily Max DMR Discharge Data")</f>
        <v>N/A - No Daily Max DMR Discharge Data</v>
      </c>
    </row>
    <row r="341" spans="1:32" ht="45.75" thickBot="1" x14ac:dyDescent="0.3">
      <c r="A341" s="144" t="str">
        <f>VLOOKUP(F341,'Facility Summary'!J:K,2,FALSE)</f>
        <v>POTW</v>
      </c>
      <c r="B341" s="28" t="s">
        <v>1336</v>
      </c>
      <c r="C341" s="28" t="s">
        <v>1337</v>
      </c>
      <c r="D341" s="28" t="s">
        <v>366</v>
      </c>
      <c r="E341" s="28"/>
      <c r="F341" s="61">
        <v>110000730460</v>
      </c>
      <c r="G341" s="60" t="str">
        <f>VLOOKUP($F341, 'Raw Annual DMR Data'!$A:$Z, 24, FALSE)</f>
        <v>CA0022764</v>
      </c>
      <c r="H341" s="60" t="str">
        <f>VLOOKUP($F341, 'Raw Annual DMR Data'!$A:$Z, 25, FALSE)</f>
        <v>LAGUNA DE SANTA ROSA, SANTA ROSA CREEK</v>
      </c>
      <c r="I341" s="74">
        <f>VLOOKUP($F341, 'Raw Annual DMR Data'!$A:$Z, 26, FALSE)</f>
        <v>18010110000032</v>
      </c>
      <c r="J341" s="74" t="s">
        <v>265</v>
      </c>
      <c r="K341" s="60">
        <f>VLOOKUP(A341, 'OES Summary'!$A:$B, 2, FALSE)</f>
        <v>365</v>
      </c>
      <c r="L341" s="304" cm="1">
        <f t="array" ref="L341">IF(COUNTIF('Raw Annual DMR Data'!$L:$L,$F341)&gt;0,MEDIAN(IF('Raw Annual DMR Data'!$L:$L=F341,'Raw Annual DMR Data'!$S:$S)),"N/A - Facility Does Not Report DMRs")</f>
        <v>2.3717756249999997</v>
      </c>
      <c r="M341" s="156">
        <f t="shared" si="33"/>
        <v>6.4980154109589034E-3</v>
      </c>
      <c r="N341" s="156">
        <f>IF(COUNTIF('Raw Annual DMR Data'!$L:$L,$F341)&gt;0,_xlfn.MAXIFS('Raw Annual DMR Data'!$S:$S,'Raw Annual DMR Data'!$L:$L,$F341), "N/A - Facility Does Not Report DMRs")</f>
        <v>3.9515400000000001</v>
      </c>
      <c r="O341" s="156">
        <f t="shared" si="34"/>
        <v>1.0826136986301371E-2</v>
      </c>
      <c r="P341" s="113" cm="1">
        <f t="array" ref="P341">IF(COUNTIF('Raw Annual DMR Data'!$L:$L,$F341)&gt;0,INDEX('Raw Annual DMR Data'!$B:$B,MATCH(1,($F341='Raw Annual DMR Data'!$L:$L)*($N341='Raw Annual DMR Data'!$S:$S),0)), "N/A - Facility Does Not Report DMRs")</f>
        <v>2019</v>
      </c>
      <c r="Q341" s="304" t="str" cm="1">
        <f t="array" ref="Q341">IF(COUNTIF('Raw TRI Data'!$J:$J,$E341)&gt;0,MEDIAN(IF('Raw TRI Data'!$J:$J=E341,'Raw TRI Data'!$S:$S)), "N/A - Facility Does Not Report to TRI")</f>
        <v>N/A - Facility Does Not Report to TRI</v>
      </c>
      <c r="R341" s="156" t="str">
        <f t="shared" si="31"/>
        <v>N/A - Facility Does Not Report to TRI</v>
      </c>
      <c r="S341" s="156" t="str">
        <f>IF(COUNTIF('Raw TRI Data'!$J:$J,$E341)&gt;0,_xlfn.MAXIFS('Raw TRI Data'!$S:$S,'Raw TRI Data'!$J:$J,$E341), "N/A - Facility Does Not Report to TRI")</f>
        <v>N/A - Facility Does Not Report to TRI</v>
      </c>
      <c r="T341" s="156" t="str">
        <f t="shared" si="32"/>
        <v>N/A - Facility Does Not Report to TRI</v>
      </c>
      <c r="U341" s="136" t="str" cm="1">
        <f t="array" ref="U341">IF(COUNTIF('Raw TRI Data'!$J:$J,$E341)&gt;0,INDEX('Raw TRI Data'!$A:$A,MATCH(1,($E341='Raw TRI Data'!$J:$J)*(S341='Raw TRI Data'!$S:$S),0)), "N/A - Facility Does Not Report to TRI")</f>
        <v>N/A - Facility Does Not Report to TRI</v>
      </c>
      <c r="V341" s="156" t="str" cm="1">
        <f t="array" ref="V341">IF(COUNTIFS('Raw Annual DMR Data'!$L:$L,$F341,'Raw Annual DMR Data'!$U:$U,"&gt;0")&gt;0,MEDIAN(IF('Raw Annual DMR Data'!$L:$L=$F341,'Raw Annual DMR Data'!$U:$U,"")),"N/A - Period DMR Data Not Available")</f>
        <v>N/A - Period DMR Data Not Available</v>
      </c>
      <c r="W341" s="156" t="str">
        <f>IF(COUNTIFS('Raw Annual DMR Data'!$L:$L,$F341, 'Raw Annual DMR Data'!$U:$U, "&gt;0")&gt;0,_xlfn.MAXIFS('Raw Annual DMR Data'!$U:$U,'Raw Annual DMR Data'!$L:$L,$F341), "N/A - Period DMR Data Not Available")</f>
        <v>N/A - Period DMR Data Not Available</v>
      </c>
      <c r="X341" s="113" t="str" cm="1">
        <f t="array" ref="X341">+IF(COUNTIFS('Raw Annual DMR Data'!L:L,$F341, 'Raw Annual DMR Data'!U:U, "&gt;0")&gt;0,INDEX('Raw Annual DMR Data'!V:V,MATCH(1,($F341='Raw Annual DMR Data'!L:L)*($W341='Raw Annual DMR Data'!U:U),0)), "N/A - Period DMR Data Not Available")</f>
        <v>N/A - Period DMR Data Not Available</v>
      </c>
      <c r="Y341" s="113" t="str" cm="1">
        <f t="array" ref="Y341">IF(COUNTIFS('Raw Annual DMR Data'!L:L,$F341, 'Raw Annual DMR Data'!U:U, "&gt;0")&gt;0,INDEX('Raw Annual DMR Data'!B:B,MATCH(1,($F341='Raw Annual DMR Data'!L:L)*($W341='Raw Annual DMR Data'!U:U),0)), "N/A - Period DMR Data Not Available")</f>
        <v>N/A - Period DMR Data Not Available</v>
      </c>
      <c r="Z341" s="311" t="str" cm="1">
        <f t="array" ref="Z341">IF(COUNTIF('Raw Annual DMR Data'!K:K,$E341)&gt;0,"N/A - See DMRs",IF(SUMIFS('Raw TRI Data'!$Z:$Z,'Raw TRI Data'!$J:$J,$E341)&gt;0,MEDIAN(IF('Raw TRI Data'!$J:$J=$E341,'Raw TRI Data'!$Z:$Z)), "N/A - Facility Does Not Report to TRI, no surface water releases, or no Generic Factors available"))</f>
        <v>N/A - Facility Does Not Report to TRI, no surface water releases, or no Generic Factors available</v>
      </c>
      <c r="AA341" s="156" t="str">
        <f>IF(COUNTIF('Raw Annual DMR Data'!K:K,$E341)&gt;0,"N/A - See DMRs",IF(SUMIFS('Raw TRI Data'!$Z:$Z,'Raw TRI Data'!$J:$J,$E341)&gt;0,_xlfn.MAXIFS('Raw TRI Data'!$Z:$Z,'Raw TRI Data'!$J:$J,$E341), "N/A - Facility Does Not Report to TRI, no surface water releases, or no Generic Factors available"))</f>
        <v>N/A - Facility Does Not Report to TRI, no surface water releases, or no Generic Factors available</v>
      </c>
      <c r="AB341" s="113" t="str">
        <f t="shared" si="35"/>
        <v>N/A</v>
      </c>
      <c r="AC341" s="136" t="str" cm="1">
        <f t="array" ref="AC341">IF(COUNTIF('Raw Annual DMR Data'!K:K,$E341)&gt;0,"N/A - See DMRs",IF(SUMIFS('Raw TRI Data'!$Z:$Z,'Raw TRI Data'!$J:$J,$E341)&gt;0,INDEX('Raw TRI Data'!$A:$A,MATCH(1,($E341='Raw TRI Data'!$J:$J)*($AA341='Raw TRI Data'!$Z:$Z),0)), "N/A - Facility Does Not Report to TRI, no surface water releases, or no Generic Factors available"))</f>
        <v>N/A - Facility Does Not Report to TRI, no surface water releases, or no Generic Factors available</v>
      </c>
      <c r="AD341" s="96" t="str" cm="1">
        <f t="array" ref="AD341">IF(COUNTIFS('Raw Annual DMR Data'!L:L,$F341,'Raw Annual DMR Data'!W:W, "&gt;0")&gt;0,MEDIAN(IF('Raw Annual DMR Data'!K:K=$F341, 'Raw Annual DMR Data'!W:W)), "N/A - No Daily Max DMR Discharge Data")</f>
        <v>N/A - No Daily Max DMR Discharge Data</v>
      </c>
      <c r="AE341" s="96" t="str">
        <f>IF(COUNTIFS('Raw Annual DMR Data'!L:L,$F341,'Raw Annual DMR Data'!W:W, "&gt;0")&gt;0,_xlfn.MAXIFS('Raw Annual DMR Data'!W:W,'Raw Annual DMR Data'!L:L,$F341), "N/A - No Daily Max DMR Discharge Data")</f>
        <v>N/A - No Daily Max DMR Discharge Data</v>
      </c>
      <c r="AF341" s="60" t="str" cm="1">
        <f t="array" ref="AF341">IF(COUNTIFS('Raw Annual DMR Data'!L:L,$F341,'Raw Annual DMR Data'!W:W, "&gt;0")&gt;0,INDEX('Raw Annual DMR Data'!B:B,MATCH(1,($F341='Raw Annual DMR Data'!L:L)*($AE341='Raw Annual DMR Data'!W:W),0)), "N/A - No Daily Max DMR Discharge Data")</f>
        <v>N/A - No Daily Max DMR Discharge Data</v>
      </c>
    </row>
    <row r="342" spans="1:32" ht="30.75" thickBot="1" x14ac:dyDescent="0.3">
      <c r="A342" s="144" t="str">
        <f>VLOOKUP(F342,'Facility Summary'!J:K,2,FALSE)</f>
        <v>Unknown</v>
      </c>
      <c r="B342" s="28" t="s">
        <v>1338</v>
      </c>
      <c r="C342" s="28" t="s">
        <v>1339</v>
      </c>
      <c r="D342" s="28" t="s">
        <v>491</v>
      </c>
      <c r="E342" s="28" t="s">
        <v>734</v>
      </c>
      <c r="F342" s="61">
        <v>110008476327</v>
      </c>
      <c r="G342" s="60" t="str">
        <f>VLOOKUP($F342, 'Raw Annual DMR Data'!$A:$Z, 24, FALSE)</f>
        <v>PA0103381</v>
      </c>
      <c r="H342" s="60" t="str">
        <f>VLOOKUP($F342, 'Raw Annual DMR Data'!$A:$Z, 25, FALSE)</f>
        <v>OIL CREEK, UNNAMED STREAM</v>
      </c>
      <c r="I342" s="74">
        <f>VLOOKUP($F342, 'Raw Annual DMR Data'!$A:$Z, 26, FALSE)</f>
        <v>5010003001287</v>
      </c>
      <c r="J342" s="74" t="s">
        <v>265</v>
      </c>
      <c r="K342" s="60">
        <f>VLOOKUP(A342, 'OES Summary'!$A:$B, 2, FALSE)</f>
        <v>250</v>
      </c>
      <c r="L342" s="304" cm="1">
        <f t="array" ref="L342">IF(COUNTIF('Raw Annual DMR Data'!$L:$L,$F342)&gt;0,MEDIAN(IF('Raw Annual DMR Data'!$L:$L=F342,'Raw Annual DMR Data'!$S:$S)),"N/A - Facility Does Not Report DMRs")</f>
        <v>7.4525219954648496E-3</v>
      </c>
      <c r="M342" s="156">
        <f t="shared" si="33"/>
        <v>2.9810087981859399E-5</v>
      </c>
      <c r="N342" s="156">
        <f>IF(COUNTIF('Raw Annual DMR Data'!$L:$L,$F342)&gt;0,_xlfn.MAXIFS('Raw Annual DMR Data'!$S:$S,'Raw Annual DMR Data'!$L:$L,$F342), "N/A - Facility Does Not Report DMRs")</f>
        <v>0.182086167800453</v>
      </c>
      <c r="O342" s="156">
        <f t="shared" si="34"/>
        <v>7.2834467120181203E-4</v>
      </c>
      <c r="P342" s="113" cm="1">
        <f t="array" ref="P342">IF(COUNTIF('Raw Annual DMR Data'!$L:$L,$F342)&gt;0,INDEX('Raw Annual DMR Data'!$B:$B,MATCH(1,($F342='Raw Annual DMR Data'!$L:$L)*($N342='Raw Annual DMR Data'!$S:$S),0)), "N/A - Facility Does Not Report DMRs")</f>
        <v>2017</v>
      </c>
      <c r="Q342" s="304" t="str" cm="1">
        <f t="array" ref="Q342">IF(COUNTIF('Raw TRI Data'!$J:$J,$E342)&gt;0,MEDIAN(IF('Raw TRI Data'!$J:$J=E342,'Raw TRI Data'!$S:$S)), "N/A - Facility Does Not Report to TRI")</f>
        <v>N/A - Facility Does Not Report to TRI</v>
      </c>
      <c r="R342" s="156" t="str">
        <f t="shared" si="31"/>
        <v>N/A - Facility Does Not Report to TRI</v>
      </c>
      <c r="S342" s="156" t="str">
        <f>IF(COUNTIF('Raw TRI Data'!$J:$J,$E342)&gt;0,_xlfn.MAXIFS('Raw TRI Data'!$S:$S,'Raw TRI Data'!$J:$J,$E342), "N/A - Facility Does Not Report to TRI")</f>
        <v>N/A - Facility Does Not Report to TRI</v>
      </c>
      <c r="T342" s="156" t="str">
        <f t="shared" si="32"/>
        <v>N/A - Facility Does Not Report to TRI</v>
      </c>
      <c r="U342" s="136" t="str" cm="1">
        <f t="array" ref="U342">IF(COUNTIF('Raw TRI Data'!$J:$J,$E342)&gt;0,INDEX('Raw TRI Data'!$A:$A,MATCH(1,($E342='Raw TRI Data'!$J:$J)*(S342='Raw TRI Data'!$S:$S),0)), "N/A - Facility Does Not Report to TRI")</f>
        <v>N/A - Facility Does Not Report to TRI</v>
      </c>
      <c r="V342" s="156" t="str" cm="1">
        <f t="array" ref="V342">IF(COUNTIFS('Raw Annual DMR Data'!$L:$L,$F342,'Raw Annual DMR Data'!$U:$U,"&gt;0")&gt;0,MEDIAN(IF('Raw Annual DMR Data'!$L:$L=$F342,'Raw Annual DMR Data'!$U:$U,"")),"N/A - Period DMR Data Not Available")</f>
        <v>N/A - Period DMR Data Not Available</v>
      </c>
      <c r="W342" s="156" t="str">
        <f>IF(COUNTIFS('Raw Annual DMR Data'!$L:$L,$F342, 'Raw Annual DMR Data'!$U:$U, "&gt;0")&gt;0,_xlfn.MAXIFS('Raw Annual DMR Data'!$U:$U,'Raw Annual DMR Data'!$L:$L,$F342), "N/A - Period DMR Data Not Available")</f>
        <v>N/A - Period DMR Data Not Available</v>
      </c>
      <c r="X342" s="113" t="str" cm="1">
        <f t="array" ref="X342">+IF(COUNTIFS('Raw Annual DMR Data'!L:L,$F342, 'Raw Annual DMR Data'!U:U, "&gt;0")&gt;0,INDEX('Raw Annual DMR Data'!V:V,MATCH(1,($F342='Raw Annual DMR Data'!L:L)*($W342='Raw Annual DMR Data'!U:U),0)), "N/A - Period DMR Data Not Available")</f>
        <v>N/A - Period DMR Data Not Available</v>
      </c>
      <c r="Y342" s="113" t="str" cm="1">
        <f t="array" ref="Y342">IF(COUNTIFS('Raw Annual DMR Data'!L:L,$F342, 'Raw Annual DMR Data'!U:U, "&gt;0")&gt;0,INDEX('Raw Annual DMR Data'!B:B,MATCH(1,($F342='Raw Annual DMR Data'!L:L)*($W342='Raw Annual DMR Data'!U:U),0)), "N/A - Period DMR Data Not Available")</f>
        <v>N/A - Period DMR Data Not Available</v>
      </c>
      <c r="Z342" s="311" t="str" cm="1">
        <f t="array" ref="Z342">IF(COUNTIF('Raw Annual DMR Data'!K:K,$E342)&gt;0,"N/A - See DMRs",IF(SUMIFS('Raw TRI Data'!$Z:$Z,'Raw TRI Data'!$J:$J,$E342)&gt;0,MEDIAN(IF('Raw TRI Data'!$J:$J=$E342,'Raw TRI Data'!$Z:$Z)), "N/A - Facility Does Not Report to TRI, no surface water releases, or no Generic Factors available"))</f>
        <v>N/A - See DMRs</v>
      </c>
      <c r="AA342" s="156" t="str">
        <f>IF(COUNTIF('Raw Annual DMR Data'!K:K,$E342)&gt;0,"N/A - See DMRs",IF(SUMIFS('Raw TRI Data'!$Z:$Z,'Raw TRI Data'!$J:$J,$E342)&gt;0,_xlfn.MAXIFS('Raw TRI Data'!$Z:$Z,'Raw TRI Data'!$J:$J,$E342), "N/A - Facility Does Not Report to TRI, no surface water releases, or no Generic Factors available"))</f>
        <v>N/A - See DMRs</v>
      </c>
      <c r="AB342" s="113" t="str">
        <f t="shared" si="35"/>
        <v>N/A</v>
      </c>
      <c r="AC342" s="136" t="str" cm="1">
        <f t="array" ref="AC342">IF(COUNTIF('Raw Annual DMR Data'!K:K,$E342)&gt;0,"N/A - See DMRs",IF(SUMIFS('Raw TRI Data'!$Z:$Z,'Raw TRI Data'!$J:$J,$E342)&gt;0,INDEX('Raw TRI Data'!$A:$A,MATCH(1,($E342='Raw TRI Data'!$J:$J)*($AA342='Raw TRI Data'!$Z:$Z),0)), "N/A - Facility Does Not Report to TRI, no surface water releases, or no Generic Factors available"))</f>
        <v>N/A - See DMRs</v>
      </c>
      <c r="AD342" s="96" t="str" cm="1">
        <f t="array" ref="AD342">IF(COUNTIFS('Raw Annual DMR Data'!L:L,$F342,'Raw Annual DMR Data'!W:W, "&gt;0")&gt;0,MEDIAN(IF('Raw Annual DMR Data'!K:K=$F342, 'Raw Annual DMR Data'!W:W)), "N/A - No Daily Max DMR Discharge Data")</f>
        <v>N/A - No Daily Max DMR Discharge Data</v>
      </c>
      <c r="AE342" s="96" t="str">
        <f>IF(COUNTIFS('Raw Annual DMR Data'!L:L,$F342,'Raw Annual DMR Data'!W:W, "&gt;0")&gt;0,_xlfn.MAXIFS('Raw Annual DMR Data'!W:W,'Raw Annual DMR Data'!L:L,$F342), "N/A - No Daily Max DMR Discharge Data")</f>
        <v>N/A - No Daily Max DMR Discharge Data</v>
      </c>
      <c r="AF342" s="60" t="str" cm="1">
        <f t="array" ref="AF342">IF(COUNTIFS('Raw Annual DMR Data'!L:L,$F342,'Raw Annual DMR Data'!W:W, "&gt;0")&gt;0,INDEX('Raw Annual DMR Data'!B:B,MATCH(1,($F342='Raw Annual DMR Data'!L:L)*($AE342='Raw Annual DMR Data'!W:W),0)), "N/A - No Daily Max DMR Discharge Data")</f>
        <v>N/A - No Daily Max DMR Discharge Data</v>
      </c>
    </row>
    <row r="343" spans="1:32" ht="45.75" thickBot="1" x14ac:dyDescent="0.3">
      <c r="A343" s="144" t="str">
        <f>VLOOKUP(F343,'Facility Summary'!J:K,2,FALSE)</f>
        <v>Unknown</v>
      </c>
      <c r="B343" s="28" t="s">
        <v>1340</v>
      </c>
      <c r="C343" s="28" t="s">
        <v>1341</v>
      </c>
      <c r="D343" s="28" t="s">
        <v>338</v>
      </c>
      <c r="E343" s="28"/>
      <c r="F343" s="61">
        <v>110070218704</v>
      </c>
      <c r="G343" s="60" t="str">
        <f>VLOOKUP($F343, 'Raw Annual DMR Data'!$A:$Z, 24, FALSE)</f>
        <v>NJG261556</v>
      </c>
      <c r="H343" s="60" t="str">
        <f>VLOOKUP($F343, 'Raw Annual DMR Data'!$A:$Z, 25, FALSE)</f>
        <v>RAHWAY RIVER</v>
      </c>
      <c r="I343" s="74">
        <f>VLOOKUP($F343, 'Raw Annual DMR Data'!$A:$Z, 26, FALSE)</f>
        <v>2030104000062</v>
      </c>
      <c r="J343" s="74" t="s">
        <v>265</v>
      </c>
      <c r="K343" s="60">
        <f>VLOOKUP(A343, 'OES Summary'!$A:$B, 2, FALSE)</f>
        <v>250</v>
      </c>
      <c r="L343" s="304" cm="1">
        <f t="array" ref="L343">IF(COUNTIF('Raw Annual DMR Data'!$L:$L,$F343)&gt;0,MEDIAN(IF('Raw Annual DMR Data'!$L:$L=F343,'Raw Annual DMR Data'!$S:$S)),"N/A - Facility Does Not Report DMRs")</f>
        <v>1.127833860999995E-4</v>
      </c>
      <c r="M343" s="156">
        <f t="shared" si="33"/>
        <v>4.51133544399998E-7</v>
      </c>
      <c r="N343" s="156">
        <f>IF(COUNTIF('Raw Annual DMR Data'!$L:$L,$F343)&gt;0,_xlfn.MAXIFS('Raw Annual DMR Data'!$S:$S,'Raw Annual DMR Data'!$L:$L,$F343), "N/A - Facility Does Not Report DMRs")</f>
        <v>3.8544871928571398E-4</v>
      </c>
      <c r="O343" s="156">
        <f t="shared" si="34"/>
        <v>1.5417948771428559E-6</v>
      </c>
      <c r="P343" s="113" cm="1">
        <f t="array" ref="P343">IF(COUNTIF('Raw Annual DMR Data'!$L:$L,$F343)&gt;0,INDEX('Raw Annual DMR Data'!$B:$B,MATCH(1,($F343='Raw Annual DMR Data'!$L:$L)*($N343='Raw Annual DMR Data'!$S:$S),0)), "N/A - Facility Does Not Report DMRs")</f>
        <v>2019</v>
      </c>
      <c r="Q343" s="304" t="str" cm="1">
        <f t="array" ref="Q343">IF(COUNTIF('Raw TRI Data'!$J:$J,$E343)&gt;0,MEDIAN(IF('Raw TRI Data'!$J:$J=E343,'Raw TRI Data'!$S:$S)), "N/A - Facility Does Not Report to TRI")</f>
        <v>N/A - Facility Does Not Report to TRI</v>
      </c>
      <c r="R343" s="156" t="str">
        <f t="shared" si="31"/>
        <v>N/A - Facility Does Not Report to TRI</v>
      </c>
      <c r="S343" s="156" t="str">
        <f>IF(COUNTIF('Raw TRI Data'!$J:$J,$E343)&gt;0,_xlfn.MAXIFS('Raw TRI Data'!$S:$S,'Raw TRI Data'!$J:$J,$E343), "N/A - Facility Does Not Report to TRI")</f>
        <v>N/A - Facility Does Not Report to TRI</v>
      </c>
      <c r="T343" s="156" t="str">
        <f t="shared" si="32"/>
        <v>N/A - Facility Does Not Report to TRI</v>
      </c>
      <c r="U343" s="136" t="str" cm="1">
        <f t="array" ref="U343">IF(COUNTIF('Raw TRI Data'!$J:$J,$E343)&gt;0,INDEX('Raw TRI Data'!$A:$A,MATCH(1,($E343='Raw TRI Data'!$J:$J)*(S343='Raw TRI Data'!$S:$S),0)), "N/A - Facility Does Not Report to TRI")</f>
        <v>N/A - Facility Does Not Report to TRI</v>
      </c>
      <c r="V343" s="156" t="str" cm="1">
        <f t="array" ref="V343">IF(COUNTIFS('Raw Annual DMR Data'!$L:$L,$F343,'Raw Annual DMR Data'!$U:$U,"&gt;0")&gt;0,MEDIAN(IF('Raw Annual DMR Data'!$L:$L=$F343,'Raw Annual DMR Data'!$U:$U,"")),"N/A - Period DMR Data Not Available")</f>
        <v>N/A - Period DMR Data Not Available</v>
      </c>
      <c r="W343" s="156" t="str">
        <f>IF(COUNTIFS('Raw Annual DMR Data'!$L:$L,$F343, 'Raw Annual DMR Data'!$U:$U, "&gt;0")&gt;0,_xlfn.MAXIFS('Raw Annual DMR Data'!$U:$U,'Raw Annual DMR Data'!$L:$L,$F343), "N/A - Period DMR Data Not Available")</f>
        <v>N/A - Period DMR Data Not Available</v>
      </c>
      <c r="X343" s="113" t="str" cm="1">
        <f t="array" ref="X343">+IF(COUNTIFS('Raw Annual DMR Data'!L:L,$F343, 'Raw Annual DMR Data'!U:U, "&gt;0")&gt;0,INDEX('Raw Annual DMR Data'!V:V,MATCH(1,($F343='Raw Annual DMR Data'!L:L)*($W343='Raw Annual DMR Data'!U:U),0)), "N/A - Period DMR Data Not Available")</f>
        <v>N/A - Period DMR Data Not Available</v>
      </c>
      <c r="Y343" s="113" t="str" cm="1">
        <f t="array" ref="Y343">IF(COUNTIFS('Raw Annual DMR Data'!L:L,$F343, 'Raw Annual DMR Data'!U:U, "&gt;0")&gt;0,INDEX('Raw Annual DMR Data'!B:B,MATCH(1,($F343='Raw Annual DMR Data'!L:L)*($W343='Raw Annual DMR Data'!U:U),0)), "N/A - Period DMR Data Not Available")</f>
        <v>N/A - Period DMR Data Not Available</v>
      </c>
      <c r="Z343" s="311" t="str" cm="1">
        <f t="array" ref="Z343">IF(COUNTIF('Raw Annual DMR Data'!K:K,$E343)&gt;0,"N/A - See DMRs",IF(SUMIFS('Raw TRI Data'!$Z:$Z,'Raw TRI Data'!$J:$J,$E343)&gt;0,MEDIAN(IF('Raw TRI Data'!$J:$J=$E343,'Raw TRI Data'!$Z:$Z)), "N/A - Facility Does Not Report to TRI, no surface water releases, or no Generic Factors available"))</f>
        <v>N/A - Facility Does Not Report to TRI, no surface water releases, or no Generic Factors available</v>
      </c>
      <c r="AA343" s="156" t="str">
        <f>IF(COUNTIF('Raw Annual DMR Data'!K:K,$E343)&gt;0,"N/A - See DMRs",IF(SUMIFS('Raw TRI Data'!$Z:$Z,'Raw TRI Data'!$J:$J,$E343)&gt;0,_xlfn.MAXIFS('Raw TRI Data'!$Z:$Z,'Raw TRI Data'!$J:$J,$E343), "N/A - Facility Does Not Report to TRI, no surface water releases, or no Generic Factors available"))</f>
        <v>N/A - Facility Does Not Report to TRI, no surface water releases, or no Generic Factors available</v>
      </c>
      <c r="AB343" s="113" t="str">
        <f t="shared" si="35"/>
        <v>N/A</v>
      </c>
      <c r="AC343" s="136" t="str" cm="1">
        <f t="array" ref="AC343">IF(COUNTIF('Raw Annual DMR Data'!K:K,$E343)&gt;0,"N/A - See DMRs",IF(SUMIFS('Raw TRI Data'!$Z:$Z,'Raw TRI Data'!$J:$J,$E343)&gt;0,INDEX('Raw TRI Data'!$A:$A,MATCH(1,($E343='Raw TRI Data'!$J:$J)*($AA343='Raw TRI Data'!$Z:$Z),0)), "N/A - Facility Does Not Report to TRI, no surface water releases, or no Generic Factors available"))</f>
        <v>N/A - Facility Does Not Report to TRI, no surface water releases, or no Generic Factors available</v>
      </c>
      <c r="AD343" s="96" t="str" cm="1">
        <f t="array" ref="AD343">IF(COUNTIFS('Raw Annual DMR Data'!L:L,$F343,'Raw Annual DMR Data'!W:W, "&gt;0")&gt;0,MEDIAN(IF('Raw Annual DMR Data'!K:K=$F343, 'Raw Annual DMR Data'!W:W)), "N/A - No Daily Max DMR Discharge Data")</f>
        <v>N/A - No Daily Max DMR Discharge Data</v>
      </c>
      <c r="AE343" s="96" t="str">
        <f>IF(COUNTIFS('Raw Annual DMR Data'!L:L,$F343,'Raw Annual DMR Data'!W:W, "&gt;0")&gt;0,_xlfn.MAXIFS('Raw Annual DMR Data'!W:W,'Raw Annual DMR Data'!L:L,$F343), "N/A - No Daily Max DMR Discharge Data")</f>
        <v>N/A - No Daily Max DMR Discharge Data</v>
      </c>
      <c r="AF343" s="60" t="str" cm="1">
        <f t="array" ref="AF343">IF(COUNTIFS('Raw Annual DMR Data'!L:L,$F343,'Raw Annual DMR Data'!W:W, "&gt;0")&gt;0,INDEX('Raw Annual DMR Data'!B:B,MATCH(1,($F343='Raw Annual DMR Data'!L:L)*($AE343='Raw Annual DMR Data'!W:W),0)), "N/A - No Daily Max DMR Discharge Data")</f>
        <v>N/A - No Daily Max DMR Discharge Data</v>
      </c>
    </row>
    <row r="344" spans="1:32" ht="45.75" thickBot="1" x14ac:dyDescent="0.3">
      <c r="A344" s="144" t="str">
        <f>VLOOKUP(F344,'Facility Summary'!J:K,2,FALSE)</f>
        <v>POTW</v>
      </c>
      <c r="B344" s="28" t="s">
        <v>1342</v>
      </c>
      <c r="C344" s="28" t="s">
        <v>1343</v>
      </c>
      <c r="D344" s="28" t="s">
        <v>366</v>
      </c>
      <c r="E344" s="28"/>
      <c r="F344" s="61">
        <v>110064622519</v>
      </c>
      <c r="G344" s="60" t="str">
        <f>VLOOKUP($F344, 'Raw Annual DMR Data'!$A:$Z, 24, FALSE)</f>
        <v>CA0038318</v>
      </c>
      <c r="H344" s="60" t="str">
        <f>VLOOKUP($F344, 'Raw Annual DMR Data'!$A:$Z, 25, FALSE)</f>
        <v>LOWER SAN FRANCISCO BAY</v>
      </c>
      <c r="I344" s="74">
        <f>VLOOKUP($F344, 'Raw Annual DMR Data'!$A:$Z, 26, FALSE)</f>
        <v>18050004001801</v>
      </c>
      <c r="J344" s="74" t="s">
        <v>265</v>
      </c>
      <c r="K344" s="60">
        <f>VLOOKUP(A344, 'OES Summary'!$A:$B, 2, FALSE)</f>
        <v>365</v>
      </c>
      <c r="L344" s="304" cm="1">
        <f t="array" ref="L344">IF(COUNTIF('Raw Annual DMR Data'!$L:$L,$F344)&gt;0,MEDIAN(IF('Raw Annual DMR Data'!$L:$L=F344,'Raw Annual DMR Data'!$S:$S)),"N/A - Facility Does Not Report DMRs")</f>
        <v>1.0361437500000001E-2</v>
      </c>
      <c r="M344" s="156">
        <f t="shared" si="33"/>
        <v>2.8387500000000002E-5</v>
      </c>
      <c r="N344" s="156">
        <f>IF(COUNTIF('Raw Annual DMR Data'!$L:$L,$F344)&gt;0,_xlfn.MAXIFS('Raw Annual DMR Data'!$S:$S,'Raw Annual DMR Data'!$L:$L,$F344), "N/A - Facility Does Not Report DMRs")</f>
        <v>1.0361437500000001E-2</v>
      </c>
      <c r="O344" s="156">
        <f t="shared" si="34"/>
        <v>2.8387500000000002E-5</v>
      </c>
      <c r="P344" s="113" cm="1">
        <f t="array" ref="P344">IF(COUNTIF('Raw Annual DMR Data'!$L:$L,$F344)&gt;0,INDEX('Raw Annual DMR Data'!$B:$B,MATCH(1,($F344='Raw Annual DMR Data'!$L:$L)*($N344='Raw Annual DMR Data'!$S:$S),0)), "N/A - Facility Does Not Report DMRs")</f>
        <v>2019</v>
      </c>
      <c r="Q344" s="304" t="str" cm="1">
        <f t="array" ref="Q344">IF(COUNTIF('Raw TRI Data'!$J:$J,$E344)&gt;0,MEDIAN(IF('Raw TRI Data'!$J:$J=E344,'Raw TRI Data'!$S:$S)), "N/A - Facility Does Not Report to TRI")</f>
        <v>N/A - Facility Does Not Report to TRI</v>
      </c>
      <c r="R344" s="156" t="str">
        <f t="shared" si="31"/>
        <v>N/A - Facility Does Not Report to TRI</v>
      </c>
      <c r="S344" s="156" t="str">
        <f>IF(COUNTIF('Raw TRI Data'!$J:$J,$E344)&gt;0,_xlfn.MAXIFS('Raw TRI Data'!$S:$S,'Raw TRI Data'!$J:$J,$E344), "N/A - Facility Does Not Report to TRI")</f>
        <v>N/A - Facility Does Not Report to TRI</v>
      </c>
      <c r="T344" s="156" t="str">
        <f t="shared" si="32"/>
        <v>N/A - Facility Does Not Report to TRI</v>
      </c>
      <c r="U344" s="136" t="str" cm="1">
        <f t="array" ref="U344">IF(COUNTIF('Raw TRI Data'!$J:$J,$E344)&gt;0,INDEX('Raw TRI Data'!$A:$A,MATCH(1,($E344='Raw TRI Data'!$J:$J)*(S344='Raw TRI Data'!$S:$S),0)), "N/A - Facility Does Not Report to TRI")</f>
        <v>N/A - Facility Does Not Report to TRI</v>
      </c>
      <c r="V344" s="156" t="str" cm="1">
        <f t="array" ref="V344">IF(COUNTIFS('Raw Annual DMR Data'!$L:$L,$F344,'Raw Annual DMR Data'!$U:$U,"&gt;0")&gt;0,MEDIAN(IF('Raw Annual DMR Data'!$L:$L=$F344,'Raw Annual DMR Data'!$U:$U,"")),"N/A - Period DMR Data Not Available")</f>
        <v>N/A - Period DMR Data Not Available</v>
      </c>
      <c r="W344" s="156" t="str">
        <f>IF(COUNTIFS('Raw Annual DMR Data'!$L:$L,$F344, 'Raw Annual DMR Data'!$U:$U, "&gt;0")&gt;0,_xlfn.MAXIFS('Raw Annual DMR Data'!$U:$U,'Raw Annual DMR Data'!$L:$L,$F344), "N/A - Period DMR Data Not Available")</f>
        <v>N/A - Period DMR Data Not Available</v>
      </c>
      <c r="X344" s="113" t="str" cm="1">
        <f t="array" ref="X344">+IF(COUNTIFS('Raw Annual DMR Data'!L:L,$F344, 'Raw Annual DMR Data'!U:U, "&gt;0")&gt;0,INDEX('Raw Annual DMR Data'!V:V,MATCH(1,($F344='Raw Annual DMR Data'!L:L)*($W344='Raw Annual DMR Data'!U:U),0)), "N/A - Period DMR Data Not Available")</f>
        <v>N/A - Period DMR Data Not Available</v>
      </c>
      <c r="Y344" s="113" t="str" cm="1">
        <f t="array" ref="Y344">IF(COUNTIFS('Raw Annual DMR Data'!L:L,$F344, 'Raw Annual DMR Data'!U:U, "&gt;0")&gt;0,INDEX('Raw Annual DMR Data'!B:B,MATCH(1,($F344='Raw Annual DMR Data'!L:L)*($W344='Raw Annual DMR Data'!U:U),0)), "N/A - Period DMR Data Not Available")</f>
        <v>N/A - Period DMR Data Not Available</v>
      </c>
      <c r="Z344" s="311" t="str" cm="1">
        <f t="array" ref="Z344">IF(COUNTIF('Raw Annual DMR Data'!K:K,$E344)&gt;0,"N/A - See DMRs",IF(SUMIFS('Raw TRI Data'!$Z:$Z,'Raw TRI Data'!$J:$J,$E344)&gt;0,MEDIAN(IF('Raw TRI Data'!$J:$J=$E344,'Raw TRI Data'!$Z:$Z)), "N/A - Facility Does Not Report to TRI, no surface water releases, or no Generic Factors available"))</f>
        <v>N/A - Facility Does Not Report to TRI, no surface water releases, or no Generic Factors available</v>
      </c>
      <c r="AA344" s="156" t="str">
        <f>IF(COUNTIF('Raw Annual DMR Data'!K:K,$E344)&gt;0,"N/A - See DMRs",IF(SUMIFS('Raw TRI Data'!$Z:$Z,'Raw TRI Data'!$J:$J,$E344)&gt;0,_xlfn.MAXIFS('Raw TRI Data'!$Z:$Z,'Raw TRI Data'!$J:$J,$E344), "N/A - Facility Does Not Report to TRI, no surface water releases, or no Generic Factors available"))</f>
        <v>N/A - Facility Does Not Report to TRI, no surface water releases, or no Generic Factors available</v>
      </c>
      <c r="AB344" s="113" t="str">
        <f t="shared" si="35"/>
        <v>N/A</v>
      </c>
      <c r="AC344" s="136" t="str" cm="1">
        <f t="array" ref="AC344">IF(COUNTIF('Raw Annual DMR Data'!K:K,$E344)&gt;0,"N/A - See DMRs",IF(SUMIFS('Raw TRI Data'!$Z:$Z,'Raw TRI Data'!$J:$J,$E344)&gt;0,INDEX('Raw TRI Data'!$A:$A,MATCH(1,($E344='Raw TRI Data'!$J:$J)*($AA344='Raw TRI Data'!$Z:$Z),0)), "N/A - Facility Does Not Report to TRI, no surface water releases, or no Generic Factors available"))</f>
        <v>N/A - Facility Does Not Report to TRI, no surface water releases, or no Generic Factors available</v>
      </c>
      <c r="AD344" s="96" t="str" cm="1">
        <f t="array" ref="AD344">IF(COUNTIFS('Raw Annual DMR Data'!L:L,$F344,'Raw Annual DMR Data'!W:W, "&gt;0")&gt;0,MEDIAN(IF('Raw Annual DMR Data'!K:K=$F344, 'Raw Annual DMR Data'!W:W)), "N/A - No Daily Max DMR Discharge Data")</f>
        <v>N/A - No Daily Max DMR Discharge Data</v>
      </c>
      <c r="AE344" s="96" t="str">
        <f>IF(COUNTIFS('Raw Annual DMR Data'!L:L,$F344,'Raw Annual DMR Data'!W:W, "&gt;0")&gt;0,_xlfn.MAXIFS('Raw Annual DMR Data'!W:W,'Raw Annual DMR Data'!L:L,$F344), "N/A - No Daily Max DMR Discharge Data")</f>
        <v>N/A - No Daily Max DMR Discharge Data</v>
      </c>
      <c r="AF344" s="60" t="str" cm="1">
        <f t="array" ref="AF344">IF(COUNTIFS('Raw Annual DMR Data'!L:L,$F344,'Raw Annual DMR Data'!W:W, "&gt;0")&gt;0,INDEX('Raw Annual DMR Data'!B:B,MATCH(1,($F344='Raw Annual DMR Data'!L:L)*($AE344='Raw Annual DMR Data'!W:W),0)), "N/A - No Daily Max DMR Discharge Data")</f>
        <v>N/A - No Daily Max DMR Discharge Data</v>
      </c>
    </row>
    <row r="345" spans="1:32" ht="45.75" thickBot="1" x14ac:dyDescent="0.3">
      <c r="A345" s="144" t="str">
        <f>VLOOKUP(F345,'Facility Summary'!J:K,2,FALSE)</f>
        <v>POTW</v>
      </c>
      <c r="B345" s="28" t="s">
        <v>1344</v>
      </c>
      <c r="C345" s="28" t="s">
        <v>1345</v>
      </c>
      <c r="D345" s="28" t="s">
        <v>366</v>
      </c>
      <c r="E345" s="28"/>
      <c r="F345" s="61">
        <v>110039689851</v>
      </c>
      <c r="G345" s="60" t="str">
        <f>VLOOKUP($F345, 'Raw Annual DMR Data'!$A:$Z, 24, FALSE)</f>
        <v>CA0023027</v>
      </c>
      <c r="H345" s="60" t="str">
        <f>VLOOKUP($F345, 'Raw Annual DMR Data'!$A:$Z, 25, FALSE)</f>
        <v>PACIFIC OCEAN</v>
      </c>
      <c r="I345" s="74">
        <f>VLOOKUP($F345, 'Raw Annual DMR Data'!$A:$Z, 26, FALSE)</f>
        <v>18010107000005</v>
      </c>
      <c r="J345" s="74" t="s">
        <v>265</v>
      </c>
      <c r="K345" s="60">
        <f>VLOOKUP(A345, 'OES Summary'!$A:$B, 2, FALSE)</f>
        <v>365</v>
      </c>
      <c r="L345" s="304" cm="1">
        <f t="array" ref="L345">IF(COUNTIF('Raw Annual DMR Data'!$L:$L,$F345)&gt;0,MEDIAN(IF('Raw Annual DMR Data'!$L:$L=F345,'Raw Annual DMR Data'!$S:$S)),"N/A - Facility Does Not Report DMRs")</f>
        <v>6.2859387500000002E-2</v>
      </c>
      <c r="M345" s="156">
        <f t="shared" si="33"/>
        <v>1.7221750000000002E-4</v>
      </c>
      <c r="N345" s="156">
        <f>IF(COUNTIF('Raw Annual DMR Data'!$L:$L,$F345)&gt;0,_xlfn.MAXIFS('Raw Annual DMR Data'!$S:$S,'Raw Annual DMR Data'!$L:$L,$F345), "N/A - Facility Does Not Report DMRs")</f>
        <v>7.6674637500000004E-2</v>
      </c>
      <c r="O345" s="156">
        <f t="shared" si="34"/>
        <v>2.1006750000000001E-4</v>
      </c>
      <c r="P345" s="113" cm="1">
        <f t="array" ref="P345">IF(COUNTIF('Raw Annual DMR Data'!$L:$L,$F345)&gt;0,INDEX('Raw Annual DMR Data'!$B:$B,MATCH(1,($F345='Raw Annual DMR Data'!$L:$L)*($N345='Raw Annual DMR Data'!$S:$S),0)), "N/A - Facility Does Not Report DMRs")</f>
        <v>2018</v>
      </c>
      <c r="Q345" s="304" t="str" cm="1">
        <f t="array" ref="Q345">IF(COUNTIF('Raw TRI Data'!$J:$J,$E345)&gt;0,MEDIAN(IF('Raw TRI Data'!$J:$J=E345,'Raw TRI Data'!$S:$S)), "N/A - Facility Does Not Report to TRI")</f>
        <v>N/A - Facility Does Not Report to TRI</v>
      </c>
      <c r="R345" s="156" t="str">
        <f t="shared" si="31"/>
        <v>N/A - Facility Does Not Report to TRI</v>
      </c>
      <c r="S345" s="156" t="str">
        <f>IF(COUNTIF('Raw TRI Data'!$J:$J,$E345)&gt;0,_xlfn.MAXIFS('Raw TRI Data'!$S:$S,'Raw TRI Data'!$J:$J,$E345), "N/A - Facility Does Not Report to TRI")</f>
        <v>N/A - Facility Does Not Report to TRI</v>
      </c>
      <c r="T345" s="156" t="str">
        <f t="shared" si="32"/>
        <v>N/A - Facility Does Not Report to TRI</v>
      </c>
      <c r="U345" s="136" t="str" cm="1">
        <f t="array" ref="U345">IF(COUNTIF('Raw TRI Data'!$J:$J,$E345)&gt;0,INDEX('Raw TRI Data'!$A:$A,MATCH(1,($E345='Raw TRI Data'!$J:$J)*(S345='Raw TRI Data'!$S:$S),0)), "N/A - Facility Does Not Report to TRI")</f>
        <v>N/A - Facility Does Not Report to TRI</v>
      </c>
      <c r="V345" s="156" t="str" cm="1">
        <f t="array" ref="V345">IF(COUNTIFS('Raw Annual DMR Data'!$L:$L,$F345,'Raw Annual DMR Data'!$U:$U,"&gt;0")&gt;0,MEDIAN(IF('Raw Annual DMR Data'!$L:$L=$F345,'Raw Annual DMR Data'!$U:$U,"")),"N/A - Period DMR Data Not Available")</f>
        <v>N/A - Period DMR Data Not Available</v>
      </c>
      <c r="W345" s="156" t="str">
        <f>IF(COUNTIFS('Raw Annual DMR Data'!$L:$L,$F345, 'Raw Annual DMR Data'!$U:$U, "&gt;0")&gt;0,_xlfn.MAXIFS('Raw Annual DMR Data'!$U:$U,'Raw Annual DMR Data'!$L:$L,$F345), "N/A - Period DMR Data Not Available")</f>
        <v>N/A - Period DMR Data Not Available</v>
      </c>
      <c r="X345" s="113" t="str" cm="1">
        <f t="array" ref="X345">+IF(COUNTIFS('Raw Annual DMR Data'!L:L,$F345, 'Raw Annual DMR Data'!U:U, "&gt;0")&gt;0,INDEX('Raw Annual DMR Data'!V:V,MATCH(1,($F345='Raw Annual DMR Data'!L:L)*($W345='Raw Annual DMR Data'!U:U),0)), "N/A - Period DMR Data Not Available")</f>
        <v>N/A - Period DMR Data Not Available</v>
      </c>
      <c r="Y345" s="113" t="str" cm="1">
        <f t="array" ref="Y345">IF(COUNTIFS('Raw Annual DMR Data'!L:L,$F345, 'Raw Annual DMR Data'!U:U, "&gt;0")&gt;0,INDEX('Raw Annual DMR Data'!B:B,MATCH(1,($F345='Raw Annual DMR Data'!L:L)*($W345='Raw Annual DMR Data'!U:U),0)), "N/A - Period DMR Data Not Available")</f>
        <v>N/A - Period DMR Data Not Available</v>
      </c>
      <c r="Z345" s="311" t="str" cm="1">
        <f t="array" ref="Z345">IF(COUNTIF('Raw Annual DMR Data'!K:K,$E345)&gt;0,"N/A - See DMRs",IF(SUMIFS('Raw TRI Data'!$Z:$Z,'Raw TRI Data'!$J:$J,$E345)&gt;0,MEDIAN(IF('Raw TRI Data'!$J:$J=$E345,'Raw TRI Data'!$Z:$Z)), "N/A - Facility Does Not Report to TRI, no surface water releases, or no Generic Factors available"))</f>
        <v>N/A - Facility Does Not Report to TRI, no surface water releases, or no Generic Factors available</v>
      </c>
      <c r="AA345" s="156" t="str">
        <f>IF(COUNTIF('Raw Annual DMR Data'!K:K,$E345)&gt;0,"N/A - See DMRs",IF(SUMIFS('Raw TRI Data'!$Z:$Z,'Raw TRI Data'!$J:$J,$E345)&gt;0,_xlfn.MAXIFS('Raw TRI Data'!$Z:$Z,'Raw TRI Data'!$J:$J,$E345), "N/A - Facility Does Not Report to TRI, no surface water releases, or no Generic Factors available"))</f>
        <v>N/A - Facility Does Not Report to TRI, no surface water releases, or no Generic Factors available</v>
      </c>
      <c r="AB345" s="113" t="str">
        <f t="shared" si="35"/>
        <v>N/A</v>
      </c>
      <c r="AC345" s="136" t="str" cm="1">
        <f t="array" ref="AC345">IF(COUNTIF('Raw Annual DMR Data'!K:K,$E345)&gt;0,"N/A - See DMRs",IF(SUMIFS('Raw TRI Data'!$Z:$Z,'Raw TRI Data'!$J:$J,$E345)&gt;0,INDEX('Raw TRI Data'!$A:$A,MATCH(1,($E345='Raw TRI Data'!$J:$J)*($AA345='Raw TRI Data'!$Z:$Z),0)), "N/A - Facility Does Not Report to TRI, no surface water releases, or no Generic Factors available"))</f>
        <v>N/A - Facility Does Not Report to TRI, no surface water releases, or no Generic Factors available</v>
      </c>
      <c r="AD345" s="96" t="str" cm="1">
        <f t="array" ref="AD345">IF(COUNTIFS('Raw Annual DMR Data'!L:L,$F345,'Raw Annual DMR Data'!W:W, "&gt;0")&gt;0,MEDIAN(IF('Raw Annual DMR Data'!K:K=$F345, 'Raw Annual DMR Data'!W:W)), "N/A - No Daily Max DMR Discharge Data")</f>
        <v>N/A - No Daily Max DMR Discharge Data</v>
      </c>
      <c r="AE345" s="96" t="str">
        <f>IF(COUNTIFS('Raw Annual DMR Data'!L:L,$F345,'Raw Annual DMR Data'!W:W, "&gt;0")&gt;0,_xlfn.MAXIFS('Raw Annual DMR Data'!W:W,'Raw Annual DMR Data'!L:L,$F345), "N/A - No Daily Max DMR Discharge Data")</f>
        <v>N/A - No Daily Max DMR Discharge Data</v>
      </c>
      <c r="AF345" s="60" t="str" cm="1">
        <f t="array" ref="AF345">IF(COUNTIFS('Raw Annual DMR Data'!L:L,$F345,'Raw Annual DMR Data'!W:W, "&gt;0")&gt;0,INDEX('Raw Annual DMR Data'!B:B,MATCH(1,($F345='Raw Annual DMR Data'!L:L)*($AE345='Raw Annual DMR Data'!W:W),0)), "N/A - No Daily Max DMR Discharge Data")</f>
        <v>N/A - No Daily Max DMR Discharge Data</v>
      </c>
    </row>
    <row r="346" spans="1:32" ht="45.75" thickBot="1" x14ac:dyDescent="0.3">
      <c r="A346" s="144" t="str">
        <f>VLOOKUP(F346,'Facility Summary'!J:K,2,FALSE)</f>
        <v>POTW</v>
      </c>
      <c r="B346" s="28" t="s">
        <v>1346</v>
      </c>
      <c r="C346" s="28" t="s">
        <v>1347</v>
      </c>
      <c r="D346" s="28" t="s">
        <v>324</v>
      </c>
      <c r="E346" s="28"/>
      <c r="F346" s="61">
        <v>110020941383</v>
      </c>
      <c r="G346" s="60" t="str">
        <f>VLOOKUP($F346, 'Raw Annual DMR Data'!$A:$Z, 24, FALSE)</f>
        <v>KY0027359</v>
      </c>
      <c r="H346" s="60" t="str">
        <f>VLOOKUP($F346, 'Raw Annual DMR Data'!$A:$Z, 25, FALSE)</f>
        <v>SALT RIVER</v>
      </c>
      <c r="I346" s="74">
        <f>VLOOKUP($F346, 'Raw Annual DMR Data'!$A:$Z, 26, FALSE)</f>
        <v>5140102000052</v>
      </c>
      <c r="J346" s="74" t="s">
        <v>265</v>
      </c>
      <c r="K346" s="60">
        <f>VLOOKUP(A346, 'OES Summary'!$A:$B, 2, FALSE)</f>
        <v>365</v>
      </c>
      <c r="L346" s="304" cm="1">
        <f t="array" ref="L346">IF(COUNTIF('Raw Annual DMR Data'!$L:$L,$F346)&gt;0,MEDIAN(IF('Raw Annual DMR Data'!$L:$L=F346,'Raw Annual DMR Data'!$S:$S)),"N/A - Facility Does Not Report DMRs")</f>
        <v>1.639870175</v>
      </c>
      <c r="M346" s="156">
        <f t="shared" si="33"/>
        <v>4.4927949999999999E-3</v>
      </c>
      <c r="N346" s="156">
        <f>IF(COUNTIF('Raw Annual DMR Data'!$L:$L,$F346)&gt;0,_xlfn.MAXIFS('Raw Annual DMR Data'!$S:$S,'Raw Annual DMR Data'!$L:$L,$F346), "N/A - Facility Does Not Report DMRs")</f>
        <v>2.3485925000000001</v>
      </c>
      <c r="O346" s="156">
        <f t="shared" si="34"/>
        <v>6.4345000000000001E-3</v>
      </c>
      <c r="P346" s="113" cm="1">
        <f t="array" ref="P346">IF(COUNTIF('Raw Annual DMR Data'!$L:$L,$F346)&gt;0,INDEX('Raw Annual DMR Data'!$B:$B,MATCH(1,($F346='Raw Annual DMR Data'!$L:$L)*($N346='Raw Annual DMR Data'!$S:$S),0)), "N/A - Facility Does Not Report DMRs")</f>
        <v>2019</v>
      </c>
      <c r="Q346" s="304" t="str" cm="1">
        <f t="array" ref="Q346">IF(COUNTIF('Raw TRI Data'!$J:$J,$E346)&gt;0,MEDIAN(IF('Raw TRI Data'!$J:$J=E346,'Raw TRI Data'!$S:$S)), "N/A - Facility Does Not Report to TRI")</f>
        <v>N/A - Facility Does Not Report to TRI</v>
      </c>
      <c r="R346" s="156" t="str">
        <f t="shared" si="31"/>
        <v>N/A - Facility Does Not Report to TRI</v>
      </c>
      <c r="S346" s="156" t="str">
        <f>IF(COUNTIF('Raw TRI Data'!$J:$J,$E346)&gt;0,_xlfn.MAXIFS('Raw TRI Data'!$S:$S,'Raw TRI Data'!$J:$J,$E346), "N/A - Facility Does Not Report to TRI")</f>
        <v>N/A - Facility Does Not Report to TRI</v>
      </c>
      <c r="T346" s="156" t="str">
        <f t="shared" si="32"/>
        <v>N/A - Facility Does Not Report to TRI</v>
      </c>
      <c r="U346" s="136" t="str" cm="1">
        <f t="array" ref="U346">IF(COUNTIF('Raw TRI Data'!$J:$J,$E346)&gt;0,INDEX('Raw TRI Data'!$A:$A,MATCH(1,($E346='Raw TRI Data'!$J:$J)*(S346='Raw TRI Data'!$S:$S),0)), "N/A - Facility Does Not Report to TRI")</f>
        <v>N/A - Facility Does Not Report to TRI</v>
      </c>
      <c r="V346" s="156" t="str" cm="1">
        <f t="array" ref="V346">IF(COUNTIFS('Raw Annual DMR Data'!$L:$L,$F346,'Raw Annual DMR Data'!$U:$U,"&gt;0")&gt;0,MEDIAN(IF('Raw Annual DMR Data'!$L:$L=$F346,'Raw Annual DMR Data'!$U:$U,"")),"N/A - Period DMR Data Not Available")</f>
        <v>N/A - Period DMR Data Not Available</v>
      </c>
      <c r="W346" s="156" t="str">
        <f>IF(COUNTIFS('Raw Annual DMR Data'!$L:$L,$F346, 'Raw Annual DMR Data'!$U:$U, "&gt;0")&gt;0,_xlfn.MAXIFS('Raw Annual DMR Data'!$U:$U,'Raw Annual DMR Data'!$L:$L,$F346), "N/A - Period DMR Data Not Available")</f>
        <v>N/A - Period DMR Data Not Available</v>
      </c>
      <c r="X346" s="113" t="str" cm="1">
        <f t="array" ref="X346">+IF(COUNTIFS('Raw Annual DMR Data'!L:L,$F346, 'Raw Annual DMR Data'!U:U, "&gt;0")&gt;0,INDEX('Raw Annual DMR Data'!V:V,MATCH(1,($F346='Raw Annual DMR Data'!L:L)*($W346='Raw Annual DMR Data'!U:U),0)), "N/A - Period DMR Data Not Available")</f>
        <v>N/A - Period DMR Data Not Available</v>
      </c>
      <c r="Y346" s="113" t="str" cm="1">
        <f t="array" ref="Y346">IF(COUNTIFS('Raw Annual DMR Data'!L:L,$F346, 'Raw Annual DMR Data'!U:U, "&gt;0")&gt;0,INDEX('Raw Annual DMR Data'!B:B,MATCH(1,($F346='Raw Annual DMR Data'!L:L)*($W346='Raw Annual DMR Data'!U:U),0)), "N/A - Period DMR Data Not Available")</f>
        <v>N/A - Period DMR Data Not Available</v>
      </c>
      <c r="Z346" s="311" t="str" cm="1">
        <f t="array" ref="Z346">IF(COUNTIF('Raw Annual DMR Data'!K:K,$E346)&gt;0,"N/A - See DMRs",IF(SUMIFS('Raw TRI Data'!$Z:$Z,'Raw TRI Data'!$J:$J,$E346)&gt;0,MEDIAN(IF('Raw TRI Data'!$J:$J=$E346,'Raw TRI Data'!$Z:$Z)), "N/A - Facility Does Not Report to TRI, no surface water releases, or no Generic Factors available"))</f>
        <v>N/A - Facility Does Not Report to TRI, no surface water releases, or no Generic Factors available</v>
      </c>
      <c r="AA346" s="156" t="str">
        <f>IF(COUNTIF('Raw Annual DMR Data'!K:K,$E346)&gt;0,"N/A - See DMRs",IF(SUMIFS('Raw TRI Data'!$Z:$Z,'Raw TRI Data'!$J:$J,$E346)&gt;0,_xlfn.MAXIFS('Raw TRI Data'!$Z:$Z,'Raw TRI Data'!$J:$J,$E346), "N/A - Facility Does Not Report to TRI, no surface water releases, or no Generic Factors available"))</f>
        <v>N/A - Facility Does Not Report to TRI, no surface water releases, or no Generic Factors available</v>
      </c>
      <c r="AB346" s="113" t="str">
        <f t="shared" si="35"/>
        <v>N/A</v>
      </c>
      <c r="AC346" s="136" t="str" cm="1">
        <f t="array" ref="AC346">IF(COUNTIF('Raw Annual DMR Data'!K:K,$E346)&gt;0,"N/A - See DMRs",IF(SUMIFS('Raw TRI Data'!$Z:$Z,'Raw TRI Data'!$J:$J,$E346)&gt;0,INDEX('Raw TRI Data'!$A:$A,MATCH(1,($E346='Raw TRI Data'!$J:$J)*($AA346='Raw TRI Data'!$Z:$Z),0)), "N/A - Facility Does Not Report to TRI, no surface water releases, or no Generic Factors available"))</f>
        <v>N/A - Facility Does Not Report to TRI, no surface water releases, or no Generic Factors available</v>
      </c>
      <c r="AD346" s="96" t="str" cm="1">
        <f t="array" ref="AD346">IF(COUNTIFS('Raw Annual DMR Data'!L:L,$F346,'Raw Annual DMR Data'!W:W, "&gt;0")&gt;0,MEDIAN(IF('Raw Annual DMR Data'!K:K=$F346, 'Raw Annual DMR Data'!W:W)), "N/A - No Daily Max DMR Discharge Data")</f>
        <v>N/A - No Daily Max DMR Discharge Data</v>
      </c>
      <c r="AE346" s="96" t="str">
        <f>IF(COUNTIFS('Raw Annual DMR Data'!L:L,$F346,'Raw Annual DMR Data'!W:W, "&gt;0")&gt;0,_xlfn.MAXIFS('Raw Annual DMR Data'!W:W,'Raw Annual DMR Data'!L:L,$F346), "N/A - No Daily Max DMR Discharge Data")</f>
        <v>N/A - No Daily Max DMR Discharge Data</v>
      </c>
      <c r="AF346" s="60" t="str" cm="1">
        <f t="array" ref="AF346">IF(COUNTIFS('Raw Annual DMR Data'!L:L,$F346,'Raw Annual DMR Data'!W:W, "&gt;0")&gt;0,INDEX('Raw Annual DMR Data'!B:B,MATCH(1,($F346='Raw Annual DMR Data'!L:L)*($AE346='Raw Annual DMR Data'!W:W),0)), "N/A - No Daily Max DMR Discharge Data")</f>
        <v>N/A - No Daily Max DMR Discharge Data</v>
      </c>
    </row>
    <row r="347" spans="1:32" ht="45.75" thickBot="1" x14ac:dyDescent="0.3">
      <c r="A347" s="144" t="str">
        <f>VLOOKUP(F347,'Facility Summary'!J:K,2,FALSE)</f>
        <v>POTW</v>
      </c>
      <c r="B347" s="28" t="s">
        <v>1348</v>
      </c>
      <c r="C347" s="28" t="s">
        <v>1349</v>
      </c>
      <c r="D347" s="28" t="s">
        <v>1249</v>
      </c>
      <c r="E347" s="28"/>
      <c r="F347" s="61">
        <v>110024409362</v>
      </c>
      <c r="G347" s="60" t="str">
        <f>VLOOKUP($F347, 'Raw Annual DMR Data'!$A:$Z, 24, FALSE)</f>
        <v>NN0020621</v>
      </c>
      <c r="H347" s="60" t="str">
        <f>VLOOKUP($F347, 'Raw Annual DMR Data'!$A:$Z, 25, FALSE)</f>
        <v>SAN JUAN RIVER</v>
      </c>
      <c r="I347" s="74">
        <f>VLOOKUP($F347, 'Raw Annual DMR Data'!$A:$Z, 26, FALSE)</f>
        <v>14080105001216</v>
      </c>
      <c r="J347" s="74" t="s">
        <v>265</v>
      </c>
      <c r="K347" s="60">
        <f>VLOOKUP(A347, 'OES Summary'!$A:$B, 2, FALSE)</f>
        <v>365</v>
      </c>
      <c r="L347" s="304" cm="1">
        <f t="array" ref="L347">IF(COUNTIF('Raw Annual DMR Data'!$L:$L,$F347)&gt;0,MEDIAN(IF('Raw Annual DMR Data'!$L:$L=F347,'Raw Annual DMR Data'!$S:$S)),"N/A - Facility Does Not Report DMRs")</f>
        <v>0.95283589999999996</v>
      </c>
      <c r="M347" s="156">
        <f t="shared" si="33"/>
        <v>2.610509315068493E-3</v>
      </c>
      <c r="N347" s="156">
        <f>IF(COUNTIF('Raw Annual DMR Data'!$L:$L,$F347)&gt;0,_xlfn.MAXIFS('Raw Annual DMR Data'!$S:$S,'Raw Annual DMR Data'!$L:$L,$F347), "N/A - Facility Does Not Report DMRs")</f>
        <v>1.253592</v>
      </c>
      <c r="O347" s="156">
        <f t="shared" si="34"/>
        <v>3.4344986301369862E-3</v>
      </c>
      <c r="P347" s="113" cm="1">
        <f t="array" ref="P347">IF(COUNTIF('Raw Annual DMR Data'!$L:$L,$F347)&gt;0,INDEX('Raw Annual DMR Data'!$B:$B,MATCH(1,($F347='Raw Annual DMR Data'!$L:$L)*($N347='Raw Annual DMR Data'!$S:$S),0)), "N/A - Facility Does Not Report DMRs")</f>
        <v>2017</v>
      </c>
      <c r="Q347" s="304" t="str" cm="1">
        <f t="array" ref="Q347">IF(COUNTIF('Raw TRI Data'!$J:$J,$E347)&gt;0,MEDIAN(IF('Raw TRI Data'!$J:$J=E347,'Raw TRI Data'!$S:$S)), "N/A - Facility Does Not Report to TRI")</f>
        <v>N/A - Facility Does Not Report to TRI</v>
      </c>
      <c r="R347" s="156" t="str">
        <f t="shared" si="31"/>
        <v>N/A - Facility Does Not Report to TRI</v>
      </c>
      <c r="S347" s="156" t="str">
        <f>IF(COUNTIF('Raw TRI Data'!$J:$J,$E347)&gt;0,_xlfn.MAXIFS('Raw TRI Data'!$S:$S,'Raw TRI Data'!$J:$J,$E347), "N/A - Facility Does Not Report to TRI")</f>
        <v>N/A - Facility Does Not Report to TRI</v>
      </c>
      <c r="T347" s="156" t="str">
        <f t="shared" si="32"/>
        <v>N/A - Facility Does Not Report to TRI</v>
      </c>
      <c r="U347" s="136" t="str" cm="1">
        <f t="array" ref="U347">IF(COUNTIF('Raw TRI Data'!$J:$J,$E347)&gt;0,INDEX('Raw TRI Data'!$A:$A,MATCH(1,($E347='Raw TRI Data'!$J:$J)*(S347='Raw TRI Data'!$S:$S),0)), "N/A - Facility Does Not Report to TRI")</f>
        <v>N/A - Facility Does Not Report to TRI</v>
      </c>
      <c r="V347" s="156" t="str" cm="1">
        <f t="array" ref="V347">IF(COUNTIFS('Raw Annual DMR Data'!$L:$L,$F347,'Raw Annual DMR Data'!$U:$U,"&gt;0")&gt;0,MEDIAN(IF('Raw Annual DMR Data'!$L:$L=$F347,'Raw Annual DMR Data'!$U:$U,"")),"N/A - Period DMR Data Not Available")</f>
        <v>N/A - Period DMR Data Not Available</v>
      </c>
      <c r="W347" s="156" t="str">
        <f>IF(COUNTIFS('Raw Annual DMR Data'!$L:$L,$F347, 'Raw Annual DMR Data'!$U:$U, "&gt;0")&gt;0,_xlfn.MAXIFS('Raw Annual DMR Data'!$U:$U,'Raw Annual DMR Data'!$L:$L,$F347), "N/A - Period DMR Data Not Available")</f>
        <v>N/A - Period DMR Data Not Available</v>
      </c>
      <c r="X347" s="113" t="str" cm="1">
        <f t="array" ref="X347">+IF(COUNTIFS('Raw Annual DMR Data'!L:L,$F347, 'Raw Annual DMR Data'!U:U, "&gt;0")&gt;0,INDEX('Raw Annual DMR Data'!V:V,MATCH(1,($F347='Raw Annual DMR Data'!L:L)*($W347='Raw Annual DMR Data'!U:U),0)), "N/A - Period DMR Data Not Available")</f>
        <v>N/A - Period DMR Data Not Available</v>
      </c>
      <c r="Y347" s="113" t="str" cm="1">
        <f t="array" ref="Y347">IF(COUNTIFS('Raw Annual DMR Data'!L:L,$F347, 'Raw Annual DMR Data'!U:U, "&gt;0")&gt;0,INDEX('Raw Annual DMR Data'!B:B,MATCH(1,($F347='Raw Annual DMR Data'!L:L)*($W347='Raw Annual DMR Data'!U:U),0)), "N/A - Period DMR Data Not Available")</f>
        <v>N/A - Period DMR Data Not Available</v>
      </c>
      <c r="Z347" s="311" t="str" cm="1">
        <f t="array" ref="Z347">IF(COUNTIF('Raw Annual DMR Data'!K:K,$E347)&gt;0,"N/A - See DMRs",IF(SUMIFS('Raw TRI Data'!$Z:$Z,'Raw TRI Data'!$J:$J,$E347)&gt;0,MEDIAN(IF('Raw TRI Data'!$J:$J=$E347,'Raw TRI Data'!$Z:$Z)), "N/A - Facility Does Not Report to TRI, no surface water releases, or no Generic Factors available"))</f>
        <v>N/A - Facility Does Not Report to TRI, no surface water releases, or no Generic Factors available</v>
      </c>
      <c r="AA347" s="156" t="str">
        <f>IF(COUNTIF('Raw Annual DMR Data'!K:K,$E347)&gt;0,"N/A - See DMRs",IF(SUMIFS('Raw TRI Data'!$Z:$Z,'Raw TRI Data'!$J:$J,$E347)&gt;0,_xlfn.MAXIFS('Raw TRI Data'!$Z:$Z,'Raw TRI Data'!$J:$J,$E347), "N/A - Facility Does Not Report to TRI, no surface water releases, or no Generic Factors available"))</f>
        <v>N/A - Facility Does Not Report to TRI, no surface water releases, or no Generic Factors available</v>
      </c>
      <c r="AB347" s="113" t="str">
        <f t="shared" si="35"/>
        <v>N/A</v>
      </c>
      <c r="AC347" s="136" t="str" cm="1">
        <f t="array" ref="AC347">IF(COUNTIF('Raw Annual DMR Data'!K:K,$E347)&gt;0,"N/A - See DMRs",IF(SUMIFS('Raw TRI Data'!$Z:$Z,'Raw TRI Data'!$J:$J,$E347)&gt;0,INDEX('Raw TRI Data'!$A:$A,MATCH(1,($E347='Raw TRI Data'!$J:$J)*($AA347='Raw TRI Data'!$Z:$Z),0)), "N/A - Facility Does Not Report to TRI, no surface water releases, or no Generic Factors available"))</f>
        <v>N/A - Facility Does Not Report to TRI, no surface water releases, or no Generic Factors available</v>
      </c>
      <c r="AD347" s="96" t="str" cm="1">
        <f t="array" ref="AD347">IF(COUNTIFS('Raw Annual DMR Data'!L:L,$F347,'Raw Annual DMR Data'!W:W, "&gt;0")&gt;0,MEDIAN(IF('Raw Annual DMR Data'!K:K=$F347, 'Raw Annual DMR Data'!W:W)), "N/A - No Daily Max DMR Discharge Data")</f>
        <v>N/A - No Daily Max DMR Discharge Data</v>
      </c>
      <c r="AE347" s="96" t="str">
        <f>IF(COUNTIFS('Raw Annual DMR Data'!L:L,$F347,'Raw Annual DMR Data'!W:W, "&gt;0")&gt;0,_xlfn.MAXIFS('Raw Annual DMR Data'!W:W,'Raw Annual DMR Data'!L:L,$F347), "N/A - No Daily Max DMR Discharge Data")</f>
        <v>N/A - No Daily Max DMR Discharge Data</v>
      </c>
      <c r="AF347" s="60" t="str" cm="1">
        <f t="array" ref="AF347">IF(COUNTIFS('Raw Annual DMR Data'!L:L,$F347,'Raw Annual DMR Data'!W:W, "&gt;0")&gt;0,INDEX('Raw Annual DMR Data'!B:B,MATCH(1,($F347='Raw Annual DMR Data'!L:L)*($AE347='Raw Annual DMR Data'!W:W),0)), "N/A - No Daily Max DMR Discharge Data")</f>
        <v>N/A - No Daily Max DMR Discharge Data</v>
      </c>
    </row>
    <row r="348" spans="1:32" ht="45.75" thickBot="1" x14ac:dyDescent="0.3">
      <c r="A348" s="144" t="str">
        <f>VLOOKUP(F348,'Facility Summary'!J:K,2,FALSE)</f>
        <v>POTW</v>
      </c>
      <c r="B348" s="28" t="s">
        <v>1350</v>
      </c>
      <c r="C348" s="28" t="s">
        <v>1351</v>
      </c>
      <c r="D348" s="28" t="s">
        <v>1352</v>
      </c>
      <c r="E348" s="28"/>
      <c r="F348" s="61">
        <v>110015408600</v>
      </c>
      <c r="G348" s="60" t="str">
        <f>VLOOKUP($F348, 'Raw Annual DMR Data'!$A:$Z, 24, FALSE)</f>
        <v>WA0029548</v>
      </c>
      <c r="H348" s="60" t="str">
        <f>VLOOKUP($F348, 'Raw Annual DMR Data'!$A:$Z, 25, FALSE)</f>
        <v>SNOHOMISH R., SNOHOMISH RIVER</v>
      </c>
      <c r="I348" s="74">
        <f>VLOOKUP($F348, 'Raw Annual DMR Data'!$A:$Z, 26, FALSE)</f>
        <v>17110011000245</v>
      </c>
      <c r="J348" s="74" t="s">
        <v>265</v>
      </c>
      <c r="K348" s="60">
        <f>VLOOKUP(A348, 'OES Summary'!$A:$B, 2, FALSE)</f>
        <v>365</v>
      </c>
      <c r="L348" s="304" cm="1">
        <f t="array" ref="L348">IF(COUNTIF('Raw Annual DMR Data'!$L:$L,$F348)&gt;0,MEDIAN(IF('Raw Annual DMR Data'!$L:$L=F348,'Raw Annual DMR Data'!$S:$S)),"N/A - Facility Does Not Report DMRs")</f>
        <v>0.36790200000000001</v>
      </c>
      <c r="M348" s="156">
        <f t="shared" si="33"/>
        <v>1.0079506849315068E-3</v>
      </c>
      <c r="N348" s="156">
        <f>IF(COUNTIF('Raw Annual DMR Data'!$L:$L,$F348)&gt;0,_xlfn.MAXIFS('Raw Annual DMR Data'!$S:$S,'Raw Annual DMR Data'!$L:$L,$F348), "N/A - Facility Does Not Report DMRs")</f>
        <v>0.36790200000000001</v>
      </c>
      <c r="O348" s="156">
        <f t="shared" si="34"/>
        <v>1.0079506849315068E-3</v>
      </c>
      <c r="P348" s="113" cm="1">
        <f t="array" ref="P348">IF(COUNTIF('Raw Annual DMR Data'!$L:$L,$F348)&gt;0,INDEX('Raw Annual DMR Data'!$B:$B,MATCH(1,($F348='Raw Annual DMR Data'!$L:$L)*($N348='Raw Annual DMR Data'!$S:$S),0)), "N/A - Facility Does Not Report DMRs")</f>
        <v>2016</v>
      </c>
      <c r="Q348" s="304" t="str" cm="1">
        <f t="array" ref="Q348">IF(COUNTIF('Raw TRI Data'!$J:$J,$E348)&gt;0,MEDIAN(IF('Raw TRI Data'!$J:$J=E348,'Raw TRI Data'!$S:$S)), "N/A - Facility Does Not Report to TRI")</f>
        <v>N/A - Facility Does Not Report to TRI</v>
      </c>
      <c r="R348" s="156" t="str">
        <f t="shared" si="31"/>
        <v>N/A - Facility Does Not Report to TRI</v>
      </c>
      <c r="S348" s="156" t="str">
        <f>IF(COUNTIF('Raw TRI Data'!$J:$J,$E348)&gt;0,_xlfn.MAXIFS('Raw TRI Data'!$S:$S,'Raw TRI Data'!$J:$J,$E348), "N/A - Facility Does Not Report to TRI")</f>
        <v>N/A - Facility Does Not Report to TRI</v>
      </c>
      <c r="T348" s="156" t="str">
        <f t="shared" si="32"/>
        <v>N/A - Facility Does Not Report to TRI</v>
      </c>
      <c r="U348" s="136" t="str" cm="1">
        <f t="array" ref="U348">IF(COUNTIF('Raw TRI Data'!$J:$J,$E348)&gt;0,INDEX('Raw TRI Data'!$A:$A,MATCH(1,($E348='Raw TRI Data'!$J:$J)*(S348='Raw TRI Data'!$S:$S),0)), "N/A - Facility Does Not Report to TRI")</f>
        <v>N/A - Facility Does Not Report to TRI</v>
      </c>
      <c r="V348" s="156" t="str" cm="1">
        <f t="array" ref="V348">IF(COUNTIFS('Raw Annual DMR Data'!$L:$L,$F348,'Raw Annual DMR Data'!$U:$U,"&gt;0")&gt;0,MEDIAN(IF('Raw Annual DMR Data'!$L:$L=$F348,'Raw Annual DMR Data'!$U:$U,"")),"N/A - Period DMR Data Not Available")</f>
        <v>N/A - Period DMR Data Not Available</v>
      </c>
      <c r="W348" s="156" t="str">
        <f>IF(COUNTIFS('Raw Annual DMR Data'!$L:$L,$F348, 'Raw Annual DMR Data'!$U:$U, "&gt;0")&gt;0,_xlfn.MAXIFS('Raw Annual DMR Data'!$U:$U,'Raw Annual DMR Data'!$L:$L,$F348), "N/A - Period DMR Data Not Available")</f>
        <v>N/A - Period DMR Data Not Available</v>
      </c>
      <c r="X348" s="113" t="str" cm="1">
        <f t="array" ref="X348">+IF(COUNTIFS('Raw Annual DMR Data'!L:L,$F348, 'Raw Annual DMR Data'!U:U, "&gt;0")&gt;0,INDEX('Raw Annual DMR Data'!V:V,MATCH(1,($F348='Raw Annual DMR Data'!L:L)*($W348='Raw Annual DMR Data'!U:U),0)), "N/A - Period DMR Data Not Available")</f>
        <v>N/A - Period DMR Data Not Available</v>
      </c>
      <c r="Y348" s="113" t="str" cm="1">
        <f t="array" ref="Y348">IF(COUNTIFS('Raw Annual DMR Data'!L:L,$F348, 'Raw Annual DMR Data'!U:U, "&gt;0")&gt;0,INDEX('Raw Annual DMR Data'!B:B,MATCH(1,($F348='Raw Annual DMR Data'!L:L)*($W348='Raw Annual DMR Data'!U:U),0)), "N/A - Period DMR Data Not Available")</f>
        <v>N/A - Period DMR Data Not Available</v>
      </c>
      <c r="Z348" s="311" t="str" cm="1">
        <f t="array" ref="Z348">IF(COUNTIF('Raw Annual DMR Data'!K:K,$E348)&gt;0,"N/A - See DMRs",IF(SUMIFS('Raw TRI Data'!$Z:$Z,'Raw TRI Data'!$J:$J,$E348)&gt;0,MEDIAN(IF('Raw TRI Data'!$J:$J=$E348,'Raw TRI Data'!$Z:$Z)), "N/A - Facility Does Not Report to TRI, no surface water releases, or no Generic Factors available"))</f>
        <v>N/A - Facility Does Not Report to TRI, no surface water releases, or no Generic Factors available</v>
      </c>
      <c r="AA348" s="156" t="str">
        <f>IF(COUNTIF('Raw Annual DMR Data'!K:K,$E348)&gt;0,"N/A - See DMRs",IF(SUMIFS('Raw TRI Data'!$Z:$Z,'Raw TRI Data'!$J:$J,$E348)&gt;0,_xlfn.MAXIFS('Raw TRI Data'!$Z:$Z,'Raw TRI Data'!$J:$J,$E348), "N/A - Facility Does Not Report to TRI, no surface water releases, or no Generic Factors available"))</f>
        <v>N/A - Facility Does Not Report to TRI, no surface water releases, or no Generic Factors available</v>
      </c>
      <c r="AB348" s="113" t="str">
        <f t="shared" si="35"/>
        <v>N/A</v>
      </c>
      <c r="AC348" s="136" t="str" cm="1">
        <f t="array" ref="AC348">IF(COUNTIF('Raw Annual DMR Data'!K:K,$E348)&gt;0,"N/A - See DMRs",IF(SUMIFS('Raw TRI Data'!$Z:$Z,'Raw TRI Data'!$J:$J,$E348)&gt;0,INDEX('Raw TRI Data'!$A:$A,MATCH(1,($E348='Raw TRI Data'!$J:$J)*($AA348='Raw TRI Data'!$Z:$Z),0)), "N/A - Facility Does Not Report to TRI, no surface water releases, or no Generic Factors available"))</f>
        <v>N/A - Facility Does Not Report to TRI, no surface water releases, or no Generic Factors available</v>
      </c>
      <c r="AD348" s="96" t="str" cm="1">
        <f t="array" ref="AD348">IF(COUNTIFS('Raw Annual DMR Data'!L:L,$F348,'Raw Annual DMR Data'!W:W, "&gt;0")&gt;0,MEDIAN(IF('Raw Annual DMR Data'!K:K=$F348, 'Raw Annual DMR Data'!W:W)), "N/A - No Daily Max DMR Discharge Data")</f>
        <v>N/A - No Daily Max DMR Discharge Data</v>
      </c>
      <c r="AE348" s="96" t="str">
        <f>IF(COUNTIFS('Raw Annual DMR Data'!L:L,$F348,'Raw Annual DMR Data'!W:W, "&gt;0")&gt;0,_xlfn.MAXIFS('Raw Annual DMR Data'!W:W,'Raw Annual DMR Data'!L:L,$F348), "N/A - No Daily Max DMR Discharge Data")</f>
        <v>N/A - No Daily Max DMR Discharge Data</v>
      </c>
      <c r="AF348" s="60" t="str" cm="1">
        <f t="array" ref="AF348">IF(COUNTIFS('Raw Annual DMR Data'!L:L,$F348,'Raw Annual DMR Data'!W:W, "&gt;0")&gt;0,INDEX('Raw Annual DMR Data'!B:B,MATCH(1,($F348='Raw Annual DMR Data'!L:L)*($AE348='Raw Annual DMR Data'!W:W),0)), "N/A - No Daily Max DMR Discharge Data")</f>
        <v>N/A - No Daily Max DMR Discharge Data</v>
      </c>
    </row>
    <row r="349" spans="1:32" ht="45.75" thickBot="1" x14ac:dyDescent="0.3">
      <c r="A349" s="144" t="str">
        <f>VLOOKUP(F349,'Facility Summary'!J:K,2,FALSE)</f>
        <v>POTW</v>
      </c>
      <c r="B349" s="28" t="s">
        <v>1353</v>
      </c>
      <c r="C349" s="28" t="s">
        <v>612</v>
      </c>
      <c r="D349" s="28" t="s">
        <v>366</v>
      </c>
      <c r="E349" s="28"/>
      <c r="F349" s="61">
        <v>110002912750</v>
      </c>
      <c r="G349" s="60" t="str">
        <f>VLOOKUP($F349, 'Raw Annual DMR Data'!$A:$Z, 24, FALSE)</f>
        <v>CA0108928</v>
      </c>
      <c r="H349" s="60" t="str">
        <f>VLOOKUP($F349, 'Raw Annual DMR Data'!$A:$Z, 25, FALSE)</f>
        <v>PACIFIC OCEAN</v>
      </c>
      <c r="I349" s="74">
        <f>VLOOKUP($F349, 'Raw Annual DMR Data'!$A:$Z, 26, FALSE)</f>
        <v>18070304005658</v>
      </c>
      <c r="J349" s="74" t="s">
        <v>265</v>
      </c>
      <c r="K349" s="60">
        <f>VLOOKUP(A349, 'OES Summary'!$A:$B, 2, FALSE)</f>
        <v>365</v>
      </c>
      <c r="L349" s="304" cm="1">
        <f t="array" ref="L349">IF(COUNTIF('Raw Annual DMR Data'!$L:$L,$F349)&gt;0,MEDIAN(IF('Raw Annual DMR Data'!$L:$L=F349,'Raw Annual DMR Data'!$S:$S)),"N/A - Facility Does Not Report DMRs")</f>
        <v>2.8919800000000002</v>
      </c>
      <c r="M349" s="156">
        <f t="shared" si="33"/>
        <v>7.92323287671233E-3</v>
      </c>
      <c r="N349" s="156">
        <f>IF(COUNTIF('Raw Annual DMR Data'!$L:$L,$F349)&gt;0,_xlfn.MAXIFS('Raw Annual DMR Data'!$S:$S,'Raw Annual DMR Data'!$L:$L,$F349), "N/A - Facility Does Not Report DMRs")</f>
        <v>4.55555555555555</v>
      </c>
      <c r="O349" s="156">
        <f t="shared" si="34"/>
        <v>1.2480974124809726E-2</v>
      </c>
      <c r="P349" s="113" cm="1">
        <f t="array" ref="P349">IF(COUNTIF('Raw Annual DMR Data'!$L:$L,$F349)&gt;0,INDEX('Raw Annual DMR Data'!$B:$B,MATCH(1,($F349='Raw Annual DMR Data'!$L:$L)*($N349='Raw Annual DMR Data'!$S:$S),0)), "N/A - Facility Does Not Report DMRs")</f>
        <v>2020</v>
      </c>
      <c r="Q349" s="304" t="str" cm="1">
        <f t="array" ref="Q349">IF(COUNTIF('Raw TRI Data'!$J:$J,$E349)&gt;0,MEDIAN(IF('Raw TRI Data'!$J:$J=E349,'Raw TRI Data'!$S:$S)), "N/A - Facility Does Not Report to TRI")</f>
        <v>N/A - Facility Does Not Report to TRI</v>
      </c>
      <c r="R349" s="156" t="str">
        <f t="shared" si="31"/>
        <v>N/A - Facility Does Not Report to TRI</v>
      </c>
      <c r="S349" s="156" t="str">
        <f>IF(COUNTIF('Raw TRI Data'!$J:$J,$E349)&gt;0,_xlfn.MAXIFS('Raw TRI Data'!$S:$S,'Raw TRI Data'!$J:$J,$E349), "N/A - Facility Does Not Report to TRI")</f>
        <v>N/A - Facility Does Not Report to TRI</v>
      </c>
      <c r="T349" s="156" t="str">
        <f t="shared" si="32"/>
        <v>N/A - Facility Does Not Report to TRI</v>
      </c>
      <c r="U349" s="136" t="str" cm="1">
        <f t="array" ref="U349">IF(COUNTIF('Raw TRI Data'!$J:$J,$E349)&gt;0,INDEX('Raw TRI Data'!$A:$A,MATCH(1,($E349='Raw TRI Data'!$J:$J)*(S349='Raw TRI Data'!$S:$S),0)), "N/A - Facility Does Not Report to TRI")</f>
        <v>N/A - Facility Does Not Report to TRI</v>
      </c>
      <c r="V349" s="156" t="str" cm="1">
        <f t="array" ref="V349">IF(COUNTIFS('Raw Annual DMR Data'!$L:$L,$F349,'Raw Annual DMR Data'!$U:$U,"&gt;0")&gt;0,MEDIAN(IF('Raw Annual DMR Data'!$L:$L=$F349,'Raw Annual DMR Data'!$U:$U,"")),"N/A - Period DMR Data Not Available")</f>
        <v>N/A - Period DMR Data Not Available</v>
      </c>
      <c r="W349" s="156" t="str">
        <f>IF(COUNTIFS('Raw Annual DMR Data'!$L:$L,$F349, 'Raw Annual DMR Data'!$U:$U, "&gt;0")&gt;0,_xlfn.MAXIFS('Raw Annual DMR Data'!$U:$U,'Raw Annual DMR Data'!$L:$L,$F349), "N/A - Period DMR Data Not Available")</f>
        <v>N/A - Period DMR Data Not Available</v>
      </c>
      <c r="X349" s="113" t="str" cm="1">
        <f t="array" ref="X349">+IF(COUNTIFS('Raw Annual DMR Data'!L:L,$F349, 'Raw Annual DMR Data'!U:U, "&gt;0")&gt;0,INDEX('Raw Annual DMR Data'!V:V,MATCH(1,($F349='Raw Annual DMR Data'!L:L)*($W349='Raw Annual DMR Data'!U:U),0)), "N/A - Period DMR Data Not Available")</f>
        <v>N/A - Period DMR Data Not Available</v>
      </c>
      <c r="Y349" s="113" t="str" cm="1">
        <f t="array" ref="Y349">IF(COUNTIFS('Raw Annual DMR Data'!L:L,$F349, 'Raw Annual DMR Data'!U:U, "&gt;0")&gt;0,INDEX('Raw Annual DMR Data'!B:B,MATCH(1,($F349='Raw Annual DMR Data'!L:L)*($W349='Raw Annual DMR Data'!U:U),0)), "N/A - Period DMR Data Not Available")</f>
        <v>N/A - Period DMR Data Not Available</v>
      </c>
      <c r="Z349" s="311" t="str" cm="1">
        <f t="array" ref="Z349">IF(COUNTIF('Raw Annual DMR Data'!K:K,$E349)&gt;0,"N/A - See DMRs",IF(SUMIFS('Raw TRI Data'!$Z:$Z,'Raw TRI Data'!$J:$J,$E349)&gt;0,MEDIAN(IF('Raw TRI Data'!$J:$J=$E349,'Raw TRI Data'!$Z:$Z)), "N/A - Facility Does Not Report to TRI, no surface water releases, or no Generic Factors available"))</f>
        <v>N/A - Facility Does Not Report to TRI, no surface water releases, or no Generic Factors available</v>
      </c>
      <c r="AA349" s="156" t="str">
        <f>IF(COUNTIF('Raw Annual DMR Data'!K:K,$E349)&gt;0,"N/A - See DMRs",IF(SUMIFS('Raw TRI Data'!$Z:$Z,'Raw TRI Data'!$J:$J,$E349)&gt;0,_xlfn.MAXIFS('Raw TRI Data'!$Z:$Z,'Raw TRI Data'!$J:$J,$E349), "N/A - Facility Does Not Report to TRI, no surface water releases, or no Generic Factors available"))</f>
        <v>N/A - Facility Does Not Report to TRI, no surface water releases, or no Generic Factors available</v>
      </c>
      <c r="AB349" s="113" t="str">
        <f t="shared" si="35"/>
        <v>N/A</v>
      </c>
      <c r="AC349" s="136" t="str" cm="1">
        <f t="array" ref="AC349">IF(COUNTIF('Raw Annual DMR Data'!K:K,$E349)&gt;0,"N/A - See DMRs",IF(SUMIFS('Raw TRI Data'!$Z:$Z,'Raw TRI Data'!$J:$J,$E349)&gt;0,INDEX('Raw TRI Data'!$A:$A,MATCH(1,($E349='Raw TRI Data'!$J:$J)*($AA349='Raw TRI Data'!$Z:$Z),0)), "N/A - Facility Does Not Report to TRI, no surface water releases, or no Generic Factors available"))</f>
        <v>N/A - Facility Does Not Report to TRI, no surface water releases, or no Generic Factors available</v>
      </c>
      <c r="AD349" s="96" t="str" cm="1">
        <f t="array" ref="AD349">IF(COUNTIFS('Raw Annual DMR Data'!L:L,$F349,'Raw Annual DMR Data'!W:W, "&gt;0")&gt;0,MEDIAN(IF('Raw Annual DMR Data'!K:K=$F349, 'Raw Annual DMR Data'!W:W)), "N/A - No Daily Max DMR Discharge Data")</f>
        <v>N/A - No Daily Max DMR Discharge Data</v>
      </c>
      <c r="AE349" s="96" t="str">
        <f>IF(COUNTIFS('Raw Annual DMR Data'!L:L,$F349,'Raw Annual DMR Data'!W:W, "&gt;0")&gt;0,_xlfn.MAXIFS('Raw Annual DMR Data'!W:W,'Raw Annual DMR Data'!L:L,$F349), "N/A - No Daily Max DMR Discharge Data")</f>
        <v>N/A - No Daily Max DMR Discharge Data</v>
      </c>
      <c r="AF349" s="60" t="str" cm="1">
        <f t="array" ref="AF349">IF(COUNTIFS('Raw Annual DMR Data'!L:L,$F349,'Raw Annual DMR Data'!W:W, "&gt;0")&gt;0,INDEX('Raw Annual DMR Data'!B:B,MATCH(1,($F349='Raw Annual DMR Data'!L:L)*($AE349='Raw Annual DMR Data'!W:W),0)), "N/A - No Daily Max DMR Discharge Data")</f>
        <v>N/A - No Daily Max DMR Discharge Data</v>
      </c>
    </row>
    <row r="350" spans="1:32" ht="45.75" thickBot="1" x14ac:dyDescent="0.3">
      <c r="A350" s="144" t="str">
        <f>VLOOKUP(F350,'Facility Summary'!J:K,2,FALSE)</f>
        <v>POTW</v>
      </c>
      <c r="B350" s="28" t="s">
        <v>1354</v>
      </c>
      <c r="C350" s="28" t="s">
        <v>1355</v>
      </c>
      <c r="D350" s="28" t="s">
        <v>366</v>
      </c>
      <c r="E350" s="28"/>
      <c r="F350" s="61">
        <v>110000730629</v>
      </c>
      <c r="G350" s="60" t="str">
        <f>VLOOKUP($F350, 'Raw Annual DMR Data'!$A:$Z, 24, FALSE)</f>
        <v>CA0048003</v>
      </c>
      <c r="H350" s="60" t="str">
        <f>VLOOKUP($F350, 'Raw Annual DMR Data'!$A:$Z, 25, FALSE)</f>
        <v>PACIFIC OCEAN</v>
      </c>
      <c r="I350" s="74">
        <f>VLOOKUP($F350, 'Raw Annual DMR Data'!$A:$Z, 26, FALSE)</f>
        <v>18060006000024</v>
      </c>
      <c r="J350" s="74" t="s">
        <v>265</v>
      </c>
      <c r="K350" s="60">
        <f>VLOOKUP(A350, 'OES Summary'!$A:$B, 2, FALSE)</f>
        <v>365</v>
      </c>
      <c r="L350" s="304" cm="1">
        <f t="array" ref="L350">IF(COUNTIF('Raw Annual DMR Data'!$L:$L,$F350)&gt;0,MEDIAN(IF('Raw Annual DMR Data'!$L:$L=F350,'Raw Annual DMR Data'!$S:$S)),"N/A - Facility Does Not Report DMRs")</f>
        <v>0.78712249999999995</v>
      </c>
      <c r="M350" s="156">
        <f t="shared" si="33"/>
        <v>2.1565E-3</v>
      </c>
      <c r="N350" s="156">
        <f>IF(COUNTIF('Raw Annual DMR Data'!$L:$L,$F350)&gt;0,_xlfn.MAXIFS('Raw Annual DMR Data'!$S:$S,'Raw Annual DMR Data'!$L:$L,$F350), "N/A - Facility Does Not Report DMRs")</f>
        <v>0.91043083900226696</v>
      </c>
      <c r="O350" s="156">
        <f t="shared" si="34"/>
        <v>2.4943310657596354E-3</v>
      </c>
      <c r="P350" s="113" cm="1">
        <f t="array" ref="P350">IF(COUNTIF('Raw Annual DMR Data'!$L:$L,$F350)&gt;0,INDEX('Raw Annual DMR Data'!$B:$B,MATCH(1,($F350='Raw Annual DMR Data'!$L:$L)*($N350='Raw Annual DMR Data'!$S:$S),0)), "N/A - Facility Does Not Report DMRs")</f>
        <v>2019</v>
      </c>
      <c r="Q350" s="304" t="str" cm="1">
        <f t="array" ref="Q350">IF(COUNTIF('Raw TRI Data'!$J:$J,$E350)&gt;0,MEDIAN(IF('Raw TRI Data'!$J:$J=E350,'Raw TRI Data'!$S:$S)), "N/A - Facility Does Not Report to TRI")</f>
        <v>N/A - Facility Does Not Report to TRI</v>
      </c>
      <c r="R350" s="156" t="str">
        <f t="shared" si="31"/>
        <v>N/A - Facility Does Not Report to TRI</v>
      </c>
      <c r="S350" s="156" t="str">
        <f>IF(COUNTIF('Raw TRI Data'!$J:$J,$E350)&gt;0,_xlfn.MAXIFS('Raw TRI Data'!$S:$S,'Raw TRI Data'!$J:$J,$E350), "N/A - Facility Does Not Report to TRI")</f>
        <v>N/A - Facility Does Not Report to TRI</v>
      </c>
      <c r="T350" s="156" t="str">
        <f t="shared" si="32"/>
        <v>N/A - Facility Does Not Report to TRI</v>
      </c>
      <c r="U350" s="136" t="str" cm="1">
        <f t="array" ref="U350">IF(COUNTIF('Raw TRI Data'!$J:$J,$E350)&gt;0,INDEX('Raw TRI Data'!$A:$A,MATCH(1,($E350='Raw TRI Data'!$J:$J)*(S350='Raw TRI Data'!$S:$S),0)), "N/A - Facility Does Not Report to TRI")</f>
        <v>N/A - Facility Does Not Report to TRI</v>
      </c>
      <c r="V350" s="156" t="str" cm="1">
        <f t="array" ref="V350">IF(COUNTIFS('Raw Annual DMR Data'!$L:$L,$F350,'Raw Annual DMR Data'!$U:$U,"&gt;0")&gt;0,MEDIAN(IF('Raw Annual DMR Data'!$L:$L=$F350,'Raw Annual DMR Data'!$U:$U,"")),"N/A - Period DMR Data Not Available")</f>
        <v>N/A - Period DMR Data Not Available</v>
      </c>
      <c r="W350" s="156" t="str">
        <f>IF(COUNTIFS('Raw Annual DMR Data'!$L:$L,$F350, 'Raw Annual DMR Data'!$U:$U, "&gt;0")&gt;0,_xlfn.MAXIFS('Raw Annual DMR Data'!$U:$U,'Raw Annual DMR Data'!$L:$L,$F350), "N/A - Period DMR Data Not Available")</f>
        <v>N/A - Period DMR Data Not Available</v>
      </c>
      <c r="X350" s="113" t="str" cm="1">
        <f t="array" ref="X350">+IF(COUNTIFS('Raw Annual DMR Data'!L:L,$F350, 'Raw Annual DMR Data'!U:U, "&gt;0")&gt;0,INDEX('Raw Annual DMR Data'!V:V,MATCH(1,($F350='Raw Annual DMR Data'!L:L)*($W350='Raw Annual DMR Data'!U:U),0)), "N/A - Period DMR Data Not Available")</f>
        <v>N/A - Period DMR Data Not Available</v>
      </c>
      <c r="Y350" s="113" t="str" cm="1">
        <f t="array" ref="Y350">IF(COUNTIFS('Raw Annual DMR Data'!L:L,$F350, 'Raw Annual DMR Data'!U:U, "&gt;0")&gt;0,INDEX('Raw Annual DMR Data'!B:B,MATCH(1,($F350='Raw Annual DMR Data'!L:L)*($W350='Raw Annual DMR Data'!U:U),0)), "N/A - Period DMR Data Not Available")</f>
        <v>N/A - Period DMR Data Not Available</v>
      </c>
      <c r="Z350" s="311" t="str" cm="1">
        <f t="array" ref="Z350">IF(COUNTIF('Raw Annual DMR Data'!K:K,$E350)&gt;0,"N/A - See DMRs",IF(SUMIFS('Raw TRI Data'!$Z:$Z,'Raw TRI Data'!$J:$J,$E350)&gt;0,MEDIAN(IF('Raw TRI Data'!$J:$J=$E350,'Raw TRI Data'!$Z:$Z)), "N/A - Facility Does Not Report to TRI, no surface water releases, or no Generic Factors available"))</f>
        <v>N/A - Facility Does Not Report to TRI, no surface water releases, or no Generic Factors available</v>
      </c>
      <c r="AA350" s="156" t="str">
        <f>IF(COUNTIF('Raw Annual DMR Data'!K:K,$E350)&gt;0,"N/A - See DMRs",IF(SUMIFS('Raw TRI Data'!$Z:$Z,'Raw TRI Data'!$J:$J,$E350)&gt;0,_xlfn.MAXIFS('Raw TRI Data'!$Z:$Z,'Raw TRI Data'!$J:$J,$E350), "N/A - Facility Does Not Report to TRI, no surface water releases, or no Generic Factors available"))</f>
        <v>N/A - Facility Does Not Report to TRI, no surface water releases, or no Generic Factors available</v>
      </c>
      <c r="AB350" s="113" t="str">
        <f t="shared" si="35"/>
        <v>N/A</v>
      </c>
      <c r="AC350" s="136" t="str" cm="1">
        <f t="array" ref="AC350">IF(COUNTIF('Raw Annual DMR Data'!K:K,$E350)&gt;0,"N/A - See DMRs",IF(SUMIFS('Raw TRI Data'!$Z:$Z,'Raw TRI Data'!$J:$J,$E350)&gt;0,INDEX('Raw TRI Data'!$A:$A,MATCH(1,($E350='Raw TRI Data'!$J:$J)*($AA350='Raw TRI Data'!$Z:$Z),0)), "N/A - Facility Does Not Report to TRI, no surface water releases, or no Generic Factors available"))</f>
        <v>N/A - Facility Does Not Report to TRI, no surface water releases, or no Generic Factors available</v>
      </c>
      <c r="AD350" s="96" t="str" cm="1">
        <f t="array" ref="AD350">IF(COUNTIFS('Raw Annual DMR Data'!L:L,$F350,'Raw Annual DMR Data'!W:W, "&gt;0")&gt;0,MEDIAN(IF('Raw Annual DMR Data'!K:K=$F350, 'Raw Annual DMR Data'!W:W)), "N/A - No Daily Max DMR Discharge Data")</f>
        <v>N/A - No Daily Max DMR Discharge Data</v>
      </c>
      <c r="AE350" s="96" t="str">
        <f>IF(COUNTIFS('Raw Annual DMR Data'!L:L,$F350,'Raw Annual DMR Data'!W:W, "&gt;0")&gt;0,_xlfn.MAXIFS('Raw Annual DMR Data'!W:W,'Raw Annual DMR Data'!L:L,$F350), "N/A - No Daily Max DMR Discharge Data")</f>
        <v>N/A - No Daily Max DMR Discharge Data</v>
      </c>
      <c r="AF350" s="60" t="str" cm="1">
        <f t="array" ref="AF350">IF(COUNTIFS('Raw Annual DMR Data'!L:L,$F350,'Raw Annual DMR Data'!W:W, "&gt;0")&gt;0,INDEX('Raw Annual DMR Data'!B:B,MATCH(1,($F350='Raw Annual DMR Data'!L:L)*($AE350='Raw Annual DMR Data'!W:W),0)), "N/A - No Daily Max DMR Discharge Data")</f>
        <v>N/A - No Daily Max DMR Discharge Data</v>
      </c>
    </row>
    <row r="351" spans="1:32" ht="45.75" thickBot="1" x14ac:dyDescent="0.3">
      <c r="A351" s="144" t="str">
        <f>VLOOKUP(F351,'Facility Summary'!J:K,2,FALSE)</f>
        <v>Unknown</v>
      </c>
      <c r="B351" s="28" t="s">
        <v>1356</v>
      </c>
      <c r="C351" s="28" t="s">
        <v>1357</v>
      </c>
      <c r="D351" s="28" t="s">
        <v>418</v>
      </c>
      <c r="E351" s="28"/>
      <c r="F351" s="61">
        <v>110009830200</v>
      </c>
      <c r="G351" s="60" t="str">
        <f>VLOOKUP($F351, 'Raw Annual DMR Data'!$A:$Z, 24, FALSE)</f>
        <v>NV0022918</v>
      </c>
      <c r="H351" s="60" t="str">
        <f>VLOOKUP($F351, 'Raw Annual DMR Data'!$A:$Z, 25, FALSE)</f>
        <v>INFLUENT, TRUCKEE RIVER VIA PEOPLE'S DITCH FROM AERATION TAN, TRUCKEE RIVER VIA PEOPLE'S DITCH FROM LAKE EMERGEN</v>
      </c>
      <c r="I351" s="74">
        <f>VLOOKUP($F351, 'Raw Annual DMR Data'!$A:$Z, 26, FALSE)</f>
        <v>16050102000423</v>
      </c>
      <c r="J351" s="74" t="s">
        <v>265</v>
      </c>
      <c r="K351" s="60">
        <f>VLOOKUP(A351, 'OES Summary'!$A:$B, 2, FALSE)</f>
        <v>250</v>
      </c>
      <c r="L351" s="304" cm="1">
        <f t="array" ref="L351">IF(COUNTIF('Raw Annual DMR Data'!$L:$L,$F351)&gt;0,MEDIAN(IF('Raw Annual DMR Data'!$L:$L=F351,'Raw Annual DMR Data'!$S:$S)),"N/A - Facility Does Not Report DMRs")</f>
        <v>2.7837728749999999</v>
      </c>
      <c r="M351" s="156">
        <f t="shared" si="33"/>
        <v>1.1135091499999999E-2</v>
      </c>
      <c r="N351" s="156">
        <f>IF(COUNTIF('Raw Annual DMR Data'!$L:$L,$F351)&gt;0,_xlfn.MAXIFS('Raw Annual DMR Data'!$S:$S,'Raw Annual DMR Data'!$L:$L,$F351), "N/A - Facility Does Not Report DMRs")</f>
        <v>13.573483124999999</v>
      </c>
      <c r="O351" s="156">
        <f t="shared" si="34"/>
        <v>5.4293932499999996E-2</v>
      </c>
      <c r="P351" s="113" cm="1">
        <f t="array" ref="P351">IF(COUNTIF('Raw Annual DMR Data'!$L:$L,$F351)&gt;0,INDEX('Raw Annual DMR Data'!$B:$B,MATCH(1,($F351='Raw Annual DMR Data'!$L:$L)*($N351='Raw Annual DMR Data'!$S:$S),0)), "N/A - Facility Does Not Report DMRs")</f>
        <v>2019</v>
      </c>
      <c r="Q351" s="304" t="str" cm="1">
        <f t="array" ref="Q351">IF(COUNTIF('Raw TRI Data'!$J:$J,$E351)&gt;0,MEDIAN(IF('Raw TRI Data'!$J:$J=E351,'Raw TRI Data'!$S:$S)), "N/A - Facility Does Not Report to TRI")</f>
        <v>N/A - Facility Does Not Report to TRI</v>
      </c>
      <c r="R351" s="156" t="str">
        <f t="shared" si="31"/>
        <v>N/A - Facility Does Not Report to TRI</v>
      </c>
      <c r="S351" s="156" t="str">
        <f>IF(COUNTIF('Raw TRI Data'!$J:$J,$E351)&gt;0,_xlfn.MAXIFS('Raw TRI Data'!$S:$S,'Raw TRI Data'!$J:$J,$E351), "N/A - Facility Does Not Report to TRI")</f>
        <v>N/A - Facility Does Not Report to TRI</v>
      </c>
      <c r="T351" s="156" t="str">
        <f t="shared" si="32"/>
        <v>N/A - Facility Does Not Report to TRI</v>
      </c>
      <c r="U351" s="136" t="str" cm="1">
        <f t="array" ref="U351">IF(COUNTIF('Raw TRI Data'!$J:$J,$E351)&gt;0,INDEX('Raw TRI Data'!$A:$A,MATCH(1,($E351='Raw TRI Data'!$J:$J)*(S351='Raw TRI Data'!$S:$S),0)), "N/A - Facility Does Not Report to TRI")</f>
        <v>N/A - Facility Does Not Report to TRI</v>
      </c>
      <c r="V351" s="156" t="str" cm="1">
        <f t="array" ref="V351">IF(COUNTIFS('Raw Annual DMR Data'!$L:$L,$F351,'Raw Annual DMR Data'!$U:$U,"&gt;0")&gt;0,MEDIAN(IF('Raw Annual DMR Data'!$L:$L=$F351,'Raw Annual DMR Data'!$U:$U,"")),"N/A - Period DMR Data Not Available")</f>
        <v>N/A - Period DMR Data Not Available</v>
      </c>
      <c r="W351" s="156" t="str">
        <f>IF(COUNTIFS('Raw Annual DMR Data'!$L:$L,$F351, 'Raw Annual DMR Data'!$U:$U, "&gt;0")&gt;0,_xlfn.MAXIFS('Raw Annual DMR Data'!$U:$U,'Raw Annual DMR Data'!$L:$L,$F351), "N/A - Period DMR Data Not Available")</f>
        <v>N/A - Period DMR Data Not Available</v>
      </c>
      <c r="X351" s="113" t="str" cm="1">
        <f t="array" ref="X351">+IF(COUNTIFS('Raw Annual DMR Data'!L:L,$F351, 'Raw Annual DMR Data'!U:U, "&gt;0")&gt;0,INDEX('Raw Annual DMR Data'!V:V,MATCH(1,($F351='Raw Annual DMR Data'!L:L)*($W351='Raw Annual DMR Data'!U:U),0)), "N/A - Period DMR Data Not Available")</f>
        <v>N/A - Period DMR Data Not Available</v>
      </c>
      <c r="Y351" s="113" t="str" cm="1">
        <f t="array" ref="Y351">IF(COUNTIFS('Raw Annual DMR Data'!L:L,$F351, 'Raw Annual DMR Data'!U:U, "&gt;0")&gt;0,INDEX('Raw Annual DMR Data'!B:B,MATCH(1,($F351='Raw Annual DMR Data'!L:L)*($W351='Raw Annual DMR Data'!U:U),0)), "N/A - Period DMR Data Not Available")</f>
        <v>N/A - Period DMR Data Not Available</v>
      </c>
      <c r="Z351" s="311" t="str" cm="1">
        <f t="array" ref="Z351">IF(COUNTIF('Raw Annual DMR Data'!K:K,$E351)&gt;0,"N/A - See DMRs",IF(SUMIFS('Raw TRI Data'!$Z:$Z,'Raw TRI Data'!$J:$J,$E351)&gt;0,MEDIAN(IF('Raw TRI Data'!$J:$J=$E351,'Raw TRI Data'!$Z:$Z)), "N/A - Facility Does Not Report to TRI, no surface water releases, or no Generic Factors available"))</f>
        <v>N/A - Facility Does Not Report to TRI, no surface water releases, or no Generic Factors available</v>
      </c>
      <c r="AA351" s="156" t="str">
        <f>IF(COUNTIF('Raw Annual DMR Data'!K:K,$E351)&gt;0,"N/A - See DMRs",IF(SUMIFS('Raw TRI Data'!$Z:$Z,'Raw TRI Data'!$J:$J,$E351)&gt;0,_xlfn.MAXIFS('Raw TRI Data'!$Z:$Z,'Raw TRI Data'!$J:$J,$E351), "N/A - Facility Does Not Report to TRI, no surface water releases, or no Generic Factors available"))</f>
        <v>N/A - Facility Does Not Report to TRI, no surface water releases, or no Generic Factors available</v>
      </c>
      <c r="AB351" s="113" t="str">
        <f t="shared" si="35"/>
        <v>N/A</v>
      </c>
      <c r="AC351" s="136" t="str" cm="1">
        <f t="array" ref="AC351">IF(COUNTIF('Raw Annual DMR Data'!K:K,$E351)&gt;0,"N/A - See DMRs",IF(SUMIFS('Raw TRI Data'!$Z:$Z,'Raw TRI Data'!$J:$J,$E351)&gt;0,INDEX('Raw TRI Data'!$A:$A,MATCH(1,($E351='Raw TRI Data'!$J:$J)*($AA351='Raw TRI Data'!$Z:$Z),0)), "N/A - Facility Does Not Report to TRI, no surface water releases, or no Generic Factors available"))</f>
        <v>N/A - Facility Does Not Report to TRI, no surface water releases, or no Generic Factors available</v>
      </c>
      <c r="AD351" s="96" t="str" cm="1">
        <f t="array" ref="AD351">IF(COUNTIFS('Raw Annual DMR Data'!L:L,$F351,'Raw Annual DMR Data'!W:W, "&gt;0")&gt;0,MEDIAN(IF('Raw Annual DMR Data'!K:K=$F351, 'Raw Annual DMR Data'!W:W)), "N/A - No Daily Max DMR Discharge Data")</f>
        <v>N/A - No Daily Max DMR Discharge Data</v>
      </c>
      <c r="AE351" s="96" t="str">
        <f>IF(COUNTIFS('Raw Annual DMR Data'!L:L,$F351,'Raw Annual DMR Data'!W:W, "&gt;0")&gt;0,_xlfn.MAXIFS('Raw Annual DMR Data'!W:W,'Raw Annual DMR Data'!L:L,$F351), "N/A - No Daily Max DMR Discharge Data")</f>
        <v>N/A - No Daily Max DMR Discharge Data</v>
      </c>
      <c r="AF351" s="60" t="str" cm="1">
        <f t="array" ref="AF351">IF(COUNTIFS('Raw Annual DMR Data'!L:L,$F351,'Raw Annual DMR Data'!W:W, "&gt;0")&gt;0,INDEX('Raw Annual DMR Data'!B:B,MATCH(1,($F351='Raw Annual DMR Data'!L:L)*($AE351='Raw Annual DMR Data'!W:W),0)), "N/A - No Daily Max DMR Discharge Data")</f>
        <v>N/A - No Daily Max DMR Discharge Data</v>
      </c>
    </row>
    <row r="352" spans="1:32" ht="45.75" thickBot="1" x14ac:dyDescent="0.3">
      <c r="A352" s="144" t="str">
        <f>VLOOKUP(F352,'Facility Summary'!J:K,2,FALSE)</f>
        <v>Use in fuels and related products</v>
      </c>
      <c r="B352" s="28" t="s">
        <v>1358</v>
      </c>
      <c r="C352" s="28" t="s">
        <v>1359</v>
      </c>
      <c r="D352" s="28" t="s">
        <v>374</v>
      </c>
      <c r="E352" s="28"/>
      <c r="F352" s="61">
        <v>110017206432</v>
      </c>
      <c r="G352" s="60" t="str">
        <f>VLOOKUP($F352, 'Raw Annual DMR Data'!$A:$Z, 24, FALSE)</f>
        <v>NN0031001</v>
      </c>
      <c r="H352" s="60" t="str">
        <f>VLOOKUP($F352, 'Raw Annual DMR Data'!$A:$Z, 25, FALSE)</f>
        <v>UNNAMED WASH TO PUERCO RIVER, UNNAMED WASH TRIBUTARY TO THE PUERCO RIVER</v>
      </c>
      <c r="I352" s="74">
        <f>VLOOKUP($F352, 'Raw Annual DMR Data'!$A:$Z, 26, FALSE)</f>
        <v>15020006000047</v>
      </c>
      <c r="J352" s="74" t="s">
        <v>265</v>
      </c>
      <c r="K352" s="60">
        <v>250</v>
      </c>
      <c r="L352" s="304" cm="1">
        <f t="array" ref="L352">IF(COUNTIF('Raw Annual DMR Data'!$L:$L,$F352)&gt;0,MEDIAN(IF('Raw Annual DMR Data'!$L:$L=F352,'Raw Annual DMR Data'!$S:$S)),"N/A - Facility Does Not Report DMRs")</f>
        <v>6.223394881820445E-5</v>
      </c>
      <c r="M352" s="156">
        <f t="shared" si="33"/>
        <v>2.4893579527281782E-7</v>
      </c>
      <c r="N352" s="156">
        <f>IF(COUNTIF('Raw Annual DMR Data'!$L:$L,$F352)&gt;0,_xlfn.MAXIFS('Raw Annual DMR Data'!$S:$S,'Raw Annual DMR Data'!$L:$L,$F352), "N/A - Facility Does Not Report DMRs")</f>
        <v>9.9538066672908996E-5</v>
      </c>
      <c r="O352" s="156">
        <f t="shared" si="34"/>
        <v>3.9815226669163598E-7</v>
      </c>
      <c r="P352" s="113" cm="1">
        <f t="array" ref="P352">IF(COUNTIF('Raw Annual DMR Data'!$L:$L,$F352)&gt;0,INDEX('Raw Annual DMR Data'!$B:$B,MATCH(1,($F352='Raw Annual DMR Data'!$L:$L)*($N352='Raw Annual DMR Data'!$S:$S),0)), "N/A - Facility Does Not Report DMRs")</f>
        <v>2018</v>
      </c>
      <c r="Q352" s="304" t="str" cm="1">
        <f t="array" ref="Q352">IF(COUNTIF('Raw TRI Data'!$J:$J,$E352)&gt;0,MEDIAN(IF('Raw TRI Data'!$J:$J=E352,'Raw TRI Data'!$S:$S)), "N/A - Facility Does Not Report to TRI")</f>
        <v>N/A - Facility Does Not Report to TRI</v>
      </c>
      <c r="R352" s="156" t="str">
        <f t="shared" si="31"/>
        <v>N/A - Facility Does Not Report to TRI</v>
      </c>
      <c r="S352" s="156" t="str">
        <f>IF(COUNTIF('Raw TRI Data'!$J:$J,$E352)&gt;0,_xlfn.MAXIFS('Raw TRI Data'!$S:$S,'Raw TRI Data'!$J:$J,$E352), "N/A - Facility Does Not Report to TRI")</f>
        <v>N/A - Facility Does Not Report to TRI</v>
      </c>
      <c r="T352" s="156" t="str">
        <f t="shared" si="32"/>
        <v>N/A - Facility Does Not Report to TRI</v>
      </c>
      <c r="U352" s="136" t="str" cm="1">
        <f t="array" ref="U352">IF(COUNTIF('Raw TRI Data'!$J:$J,$E352)&gt;0,INDEX('Raw TRI Data'!$A:$A,MATCH(1,($E352='Raw TRI Data'!$J:$J)*(S352='Raw TRI Data'!$S:$S),0)), "N/A - Facility Does Not Report to TRI")</f>
        <v>N/A - Facility Does Not Report to TRI</v>
      </c>
      <c r="V352" s="156" t="str" cm="1">
        <f t="array" ref="V352">IF(COUNTIFS('Raw Annual DMR Data'!$L:$L,$F352,'Raw Annual DMR Data'!$U:$U,"&gt;0")&gt;0,MEDIAN(IF('Raw Annual DMR Data'!$L:$L=$F352,'Raw Annual DMR Data'!$U:$U,"")),"N/A - Period DMR Data Not Available")</f>
        <v>N/A - Period DMR Data Not Available</v>
      </c>
      <c r="W352" s="156" t="str">
        <f>IF(COUNTIFS('Raw Annual DMR Data'!$L:$L,$F352, 'Raw Annual DMR Data'!$U:$U, "&gt;0")&gt;0,_xlfn.MAXIFS('Raw Annual DMR Data'!$U:$U,'Raw Annual DMR Data'!$L:$L,$F352), "N/A - Period DMR Data Not Available")</f>
        <v>N/A - Period DMR Data Not Available</v>
      </c>
      <c r="X352" s="113" t="str" cm="1">
        <f t="array" ref="X352">+IF(COUNTIFS('Raw Annual DMR Data'!L:L,$F352, 'Raw Annual DMR Data'!U:U, "&gt;0")&gt;0,INDEX('Raw Annual DMR Data'!V:V,MATCH(1,($F352='Raw Annual DMR Data'!L:L)*($W352='Raw Annual DMR Data'!U:U),0)), "N/A - Period DMR Data Not Available")</f>
        <v>N/A - Period DMR Data Not Available</v>
      </c>
      <c r="Y352" s="113" t="str" cm="1">
        <f t="array" ref="Y352">IF(COUNTIFS('Raw Annual DMR Data'!L:L,$F352, 'Raw Annual DMR Data'!U:U, "&gt;0")&gt;0,INDEX('Raw Annual DMR Data'!B:B,MATCH(1,($F352='Raw Annual DMR Data'!L:L)*($W352='Raw Annual DMR Data'!U:U),0)), "N/A - Period DMR Data Not Available")</f>
        <v>N/A - Period DMR Data Not Available</v>
      </c>
      <c r="Z352" s="311" t="str" cm="1">
        <f t="array" ref="Z352">IF(COUNTIF('Raw Annual DMR Data'!K:K,$E352)&gt;0,"N/A - See DMRs",IF(SUMIFS('Raw TRI Data'!$Z:$Z,'Raw TRI Data'!$J:$J,$E352)&gt;0,MEDIAN(IF('Raw TRI Data'!$J:$J=$E352,'Raw TRI Data'!$Z:$Z)), "N/A - Facility Does Not Report to TRI, no surface water releases, or no Generic Factors available"))</f>
        <v>N/A - Facility Does Not Report to TRI, no surface water releases, or no Generic Factors available</v>
      </c>
      <c r="AA352" s="156" t="str">
        <f>IF(COUNTIF('Raw Annual DMR Data'!K:K,$E352)&gt;0,"N/A - See DMRs",IF(SUMIFS('Raw TRI Data'!$Z:$Z,'Raw TRI Data'!$J:$J,$E352)&gt;0,_xlfn.MAXIFS('Raw TRI Data'!$Z:$Z,'Raw TRI Data'!$J:$J,$E352), "N/A - Facility Does Not Report to TRI, no surface water releases, or no Generic Factors available"))</f>
        <v>N/A - Facility Does Not Report to TRI, no surface water releases, or no Generic Factors available</v>
      </c>
      <c r="AB352" s="113" t="str">
        <f t="shared" si="35"/>
        <v>N/A</v>
      </c>
      <c r="AC352" s="136" t="str" cm="1">
        <f t="array" ref="AC352">IF(COUNTIF('Raw Annual DMR Data'!K:K,$E352)&gt;0,"N/A - See DMRs",IF(SUMIFS('Raw TRI Data'!$Z:$Z,'Raw TRI Data'!$J:$J,$E352)&gt;0,INDEX('Raw TRI Data'!$A:$A,MATCH(1,($E352='Raw TRI Data'!$J:$J)*($AA352='Raw TRI Data'!$Z:$Z),0)), "N/A - Facility Does Not Report to TRI, no surface water releases, or no Generic Factors available"))</f>
        <v>N/A - Facility Does Not Report to TRI, no surface water releases, or no Generic Factors available</v>
      </c>
      <c r="AD352" s="96" t="str" cm="1">
        <f t="array" ref="AD352">IF(COUNTIFS('Raw Annual DMR Data'!L:L,$F352,'Raw Annual DMR Data'!W:W, "&gt;0")&gt;0,MEDIAN(IF('Raw Annual DMR Data'!K:K=$F352, 'Raw Annual DMR Data'!W:W)), "N/A - No Daily Max DMR Discharge Data")</f>
        <v>N/A - No Daily Max DMR Discharge Data</v>
      </c>
      <c r="AE352" s="96" t="str">
        <f>IF(COUNTIFS('Raw Annual DMR Data'!L:L,$F352,'Raw Annual DMR Data'!W:W, "&gt;0")&gt;0,_xlfn.MAXIFS('Raw Annual DMR Data'!W:W,'Raw Annual DMR Data'!L:L,$F352), "N/A - No Daily Max DMR Discharge Data")</f>
        <v>N/A - No Daily Max DMR Discharge Data</v>
      </c>
      <c r="AF352" s="60" t="str" cm="1">
        <f t="array" ref="AF352">IF(COUNTIFS('Raw Annual DMR Data'!L:L,$F352,'Raw Annual DMR Data'!W:W, "&gt;0")&gt;0,INDEX('Raw Annual DMR Data'!B:B,MATCH(1,($F352='Raw Annual DMR Data'!L:L)*($AE352='Raw Annual DMR Data'!W:W),0)), "N/A - No Daily Max DMR Discharge Data")</f>
        <v>N/A - No Daily Max DMR Discharge Data</v>
      </c>
    </row>
    <row r="353" spans="1:32" ht="45.75" thickBot="1" x14ac:dyDescent="0.3">
      <c r="A353" s="144" t="str">
        <f>VLOOKUP(F353,'Facility Summary'!J:K,2,FALSE)</f>
        <v>POTW</v>
      </c>
      <c r="B353" s="28" t="s">
        <v>1360</v>
      </c>
      <c r="C353" s="28" t="s">
        <v>1361</v>
      </c>
      <c r="D353" s="28" t="s">
        <v>366</v>
      </c>
      <c r="E353" s="28"/>
      <c r="F353" s="61">
        <v>110006783463</v>
      </c>
      <c r="G353" s="60" t="str">
        <f>VLOOKUP($F353, 'Raw Annual DMR Data'!$A:$Z, 24, FALSE)</f>
        <v>CA0080489</v>
      </c>
      <c r="H353" s="60" t="str">
        <f>VLOOKUP($F353, 'Raw Annual DMR Data'!$A:$Z, 25, FALSE)</f>
        <v>CHANAC CREEK</v>
      </c>
      <c r="I353" s="74">
        <f>VLOOKUP($F353, 'Raw Annual DMR Data'!$A:$Z, 26, FALSE)</f>
        <v>18030003001307</v>
      </c>
      <c r="J353" s="74" t="s">
        <v>265</v>
      </c>
      <c r="K353" s="60">
        <f>VLOOKUP(A353, 'OES Summary'!$A:$B, 2, FALSE)</f>
        <v>365</v>
      </c>
      <c r="L353" s="304" cm="1">
        <f t="array" ref="L353">IF(COUNTIF('Raw Annual DMR Data'!$L:$L,$F353)&gt;0,MEDIAN(IF('Raw Annual DMR Data'!$L:$L=F353,'Raw Annual DMR Data'!$S:$S)),"N/A - Facility Does Not Report DMRs")</f>
        <v>1.2276723200000001E-2</v>
      </c>
      <c r="M353" s="156">
        <f t="shared" si="33"/>
        <v>3.3634858082191785E-5</v>
      </c>
      <c r="N353" s="156">
        <f>IF(COUNTIF('Raw Annual DMR Data'!$L:$L,$F353)&gt;0,_xlfn.MAXIFS('Raw Annual DMR Data'!$S:$S,'Raw Annual DMR Data'!$L:$L,$F353), "N/A - Facility Does Not Report DMRs")</f>
        <v>1.2276723200000001E-2</v>
      </c>
      <c r="O353" s="156">
        <f t="shared" si="34"/>
        <v>3.3634858082191785E-5</v>
      </c>
      <c r="P353" s="113" cm="1">
        <f t="array" ref="P353">IF(COUNTIF('Raw Annual DMR Data'!$L:$L,$F353)&gt;0,INDEX('Raw Annual DMR Data'!$B:$B,MATCH(1,($F353='Raw Annual DMR Data'!$L:$L)*($N353='Raw Annual DMR Data'!$S:$S),0)), "N/A - Facility Does Not Report DMRs")</f>
        <v>2017</v>
      </c>
      <c r="Q353" s="304" t="str" cm="1">
        <f t="array" ref="Q353">IF(COUNTIF('Raw TRI Data'!$J:$J,$E353)&gt;0,MEDIAN(IF('Raw TRI Data'!$J:$J=E353,'Raw TRI Data'!$S:$S)), "N/A - Facility Does Not Report to TRI")</f>
        <v>N/A - Facility Does Not Report to TRI</v>
      </c>
      <c r="R353" s="156" t="str">
        <f t="shared" si="31"/>
        <v>N/A - Facility Does Not Report to TRI</v>
      </c>
      <c r="S353" s="156" t="str">
        <f>IF(COUNTIF('Raw TRI Data'!$J:$J,$E353)&gt;0,_xlfn.MAXIFS('Raw TRI Data'!$S:$S,'Raw TRI Data'!$J:$J,$E353), "N/A - Facility Does Not Report to TRI")</f>
        <v>N/A - Facility Does Not Report to TRI</v>
      </c>
      <c r="T353" s="156" t="str">
        <f t="shared" si="32"/>
        <v>N/A - Facility Does Not Report to TRI</v>
      </c>
      <c r="U353" s="136" t="str" cm="1">
        <f t="array" ref="U353">IF(COUNTIF('Raw TRI Data'!$J:$J,$E353)&gt;0,INDEX('Raw TRI Data'!$A:$A,MATCH(1,($E353='Raw TRI Data'!$J:$J)*(S353='Raw TRI Data'!$S:$S),0)), "N/A - Facility Does Not Report to TRI")</f>
        <v>N/A - Facility Does Not Report to TRI</v>
      </c>
      <c r="V353" s="156" t="str" cm="1">
        <f t="array" ref="V353">IF(COUNTIFS('Raw Annual DMR Data'!$L:$L,$F353,'Raw Annual DMR Data'!$U:$U,"&gt;0")&gt;0,MEDIAN(IF('Raw Annual DMR Data'!$L:$L=$F353,'Raw Annual DMR Data'!$U:$U,"")),"N/A - Period DMR Data Not Available")</f>
        <v>N/A - Period DMR Data Not Available</v>
      </c>
      <c r="W353" s="156" t="str">
        <f>IF(COUNTIFS('Raw Annual DMR Data'!$L:$L,$F353, 'Raw Annual DMR Data'!$U:$U, "&gt;0")&gt;0,_xlfn.MAXIFS('Raw Annual DMR Data'!$U:$U,'Raw Annual DMR Data'!$L:$L,$F353), "N/A - Period DMR Data Not Available")</f>
        <v>N/A - Period DMR Data Not Available</v>
      </c>
      <c r="X353" s="113" t="str" cm="1">
        <f t="array" ref="X353">+IF(COUNTIFS('Raw Annual DMR Data'!L:L,$F353, 'Raw Annual DMR Data'!U:U, "&gt;0")&gt;0,INDEX('Raw Annual DMR Data'!V:V,MATCH(1,($F353='Raw Annual DMR Data'!L:L)*($W353='Raw Annual DMR Data'!U:U),0)), "N/A - Period DMR Data Not Available")</f>
        <v>N/A - Period DMR Data Not Available</v>
      </c>
      <c r="Y353" s="113" t="str" cm="1">
        <f t="array" ref="Y353">IF(COUNTIFS('Raw Annual DMR Data'!L:L,$F353, 'Raw Annual DMR Data'!U:U, "&gt;0")&gt;0,INDEX('Raw Annual DMR Data'!B:B,MATCH(1,($F353='Raw Annual DMR Data'!L:L)*($W353='Raw Annual DMR Data'!U:U),0)), "N/A - Period DMR Data Not Available")</f>
        <v>N/A - Period DMR Data Not Available</v>
      </c>
      <c r="Z353" s="311" t="str" cm="1">
        <f t="array" ref="Z353">IF(COUNTIF('Raw Annual DMR Data'!K:K,$E353)&gt;0,"N/A - See DMRs",IF(SUMIFS('Raw TRI Data'!$Z:$Z,'Raw TRI Data'!$J:$J,$E353)&gt;0,MEDIAN(IF('Raw TRI Data'!$J:$J=$E353,'Raw TRI Data'!$Z:$Z)), "N/A - Facility Does Not Report to TRI, no surface water releases, or no Generic Factors available"))</f>
        <v>N/A - Facility Does Not Report to TRI, no surface water releases, or no Generic Factors available</v>
      </c>
      <c r="AA353" s="156" t="str">
        <f>IF(COUNTIF('Raw Annual DMR Data'!K:K,$E353)&gt;0,"N/A - See DMRs",IF(SUMIFS('Raw TRI Data'!$Z:$Z,'Raw TRI Data'!$J:$J,$E353)&gt;0,_xlfn.MAXIFS('Raw TRI Data'!$Z:$Z,'Raw TRI Data'!$J:$J,$E353), "N/A - Facility Does Not Report to TRI, no surface water releases, or no Generic Factors available"))</f>
        <v>N/A - Facility Does Not Report to TRI, no surface water releases, or no Generic Factors available</v>
      </c>
      <c r="AB353" s="113" t="str">
        <f t="shared" si="35"/>
        <v>N/A</v>
      </c>
      <c r="AC353" s="136" t="str" cm="1">
        <f t="array" ref="AC353">IF(COUNTIF('Raw Annual DMR Data'!K:K,$E353)&gt;0,"N/A - See DMRs",IF(SUMIFS('Raw TRI Data'!$Z:$Z,'Raw TRI Data'!$J:$J,$E353)&gt;0,INDEX('Raw TRI Data'!$A:$A,MATCH(1,($E353='Raw TRI Data'!$J:$J)*($AA353='Raw TRI Data'!$Z:$Z),0)), "N/A - Facility Does Not Report to TRI, no surface water releases, or no Generic Factors available"))</f>
        <v>N/A - Facility Does Not Report to TRI, no surface water releases, or no Generic Factors available</v>
      </c>
      <c r="AD353" s="96" t="str" cm="1">
        <f t="array" ref="AD353">IF(COUNTIFS('Raw Annual DMR Data'!L:L,$F353,'Raw Annual DMR Data'!W:W, "&gt;0")&gt;0,MEDIAN(IF('Raw Annual DMR Data'!K:K=$F353, 'Raw Annual DMR Data'!W:W)), "N/A - No Daily Max DMR Discharge Data")</f>
        <v>N/A - No Daily Max DMR Discharge Data</v>
      </c>
      <c r="AE353" s="96" t="str">
        <f>IF(COUNTIFS('Raw Annual DMR Data'!L:L,$F353,'Raw Annual DMR Data'!W:W, "&gt;0")&gt;0,_xlfn.MAXIFS('Raw Annual DMR Data'!W:W,'Raw Annual DMR Data'!L:L,$F353), "N/A - No Daily Max DMR Discharge Data")</f>
        <v>N/A - No Daily Max DMR Discharge Data</v>
      </c>
      <c r="AF353" s="60" t="str" cm="1">
        <f t="array" ref="AF353">IF(COUNTIFS('Raw Annual DMR Data'!L:L,$F353,'Raw Annual DMR Data'!W:W, "&gt;0")&gt;0,INDEX('Raw Annual DMR Data'!B:B,MATCH(1,($F353='Raw Annual DMR Data'!L:L)*($AE353='Raw Annual DMR Data'!W:W),0)), "N/A - No Daily Max DMR Discharge Data")</f>
        <v>N/A - No Daily Max DMR Discharge Data</v>
      </c>
    </row>
    <row r="354" spans="1:32" ht="45.75" thickBot="1" x14ac:dyDescent="0.3">
      <c r="A354" s="144" t="str">
        <f>VLOOKUP(F354,'Facility Summary'!J:K,2,FALSE)</f>
        <v>Unknown</v>
      </c>
      <c r="B354" s="28" t="s">
        <v>1362</v>
      </c>
      <c r="C354" s="28" t="s">
        <v>1282</v>
      </c>
      <c r="D354" s="28" t="s">
        <v>366</v>
      </c>
      <c r="E354" s="28"/>
      <c r="F354" s="61">
        <v>110045515180</v>
      </c>
      <c r="G354" s="60" t="str">
        <f>VLOOKUP($F354, 'Raw Annual DMR Data'!$A:$Z, 24, FALSE)</f>
        <v>CA0109258</v>
      </c>
      <c r="H354" s="60" t="str">
        <f>VLOOKUP($F354, 'Raw Annual DMR Data'!$A:$Z, 25, FALSE)</f>
        <v>PACIFIC OCEAN</v>
      </c>
      <c r="I354" s="74">
        <f>VLOOKUP($F354, 'Raw Annual DMR Data'!$A:$Z, 26, FALSE)</f>
        <v>18070303000010</v>
      </c>
      <c r="J354" s="74" t="s">
        <v>265</v>
      </c>
      <c r="K354" s="60">
        <f>VLOOKUP(A354, 'OES Summary'!$A:$B, 2, FALSE)</f>
        <v>250</v>
      </c>
      <c r="L354" s="304" cm="1">
        <f t="array" ref="L354">IF(COUNTIF('Raw Annual DMR Data'!$L:$L,$F354)&gt;0,MEDIAN(IF('Raw Annual DMR Data'!$L:$L=F354,'Raw Annual DMR Data'!$S:$S)),"N/A - Facility Does Not Report DMRs")</f>
        <v>9.6816326530612205E-3</v>
      </c>
      <c r="M354" s="156">
        <f t="shared" si="33"/>
        <v>3.8726530612244879E-5</v>
      </c>
      <c r="N354" s="156">
        <f>IF(COUNTIF('Raw Annual DMR Data'!$L:$L,$F354)&gt;0,_xlfn.MAXIFS('Raw Annual DMR Data'!$S:$S,'Raw Annual DMR Data'!$L:$L,$F354), "N/A - Facility Does Not Report DMRs")</f>
        <v>4.56043E-2</v>
      </c>
      <c r="O354" s="156">
        <f t="shared" si="34"/>
        <v>1.824172E-4</v>
      </c>
      <c r="P354" s="113" cm="1">
        <f t="array" ref="P354">IF(COUNTIF('Raw Annual DMR Data'!$L:$L,$F354)&gt;0,INDEX('Raw Annual DMR Data'!$B:$B,MATCH(1,($F354='Raw Annual DMR Data'!$L:$L)*($N354='Raw Annual DMR Data'!$S:$S),0)), "N/A - Facility Does Not Report DMRs")</f>
        <v>2022</v>
      </c>
      <c r="Q354" s="304" t="str" cm="1">
        <f t="array" ref="Q354">IF(COUNTIF('Raw TRI Data'!$J:$J,$E354)&gt;0,MEDIAN(IF('Raw TRI Data'!$J:$J=E354,'Raw TRI Data'!$S:$S)), "N/A - Facility Does Not Report to TRI")</f>
        <v>N/A - Facility Does Not Report to TRI</v>
      </c>
      <c r="R354" s="156" t="str">
        <f t="shared" si="31"/>
        <v>N/A - Facility Does Not Report to TRI</v>
      </c>
      <c r="S354" s="156" t="str">
        <f>IF(COUNTIF('Raw TRI Data'!$J:$J,$E354)&gt;0,_xlfn.MAXIFS('Raw TRI Data'!$S:$S,'Raw TRI Data'!$J:$J,$E354), "N/A - Facility Does Not Report to TRI")</f>
        <v>N/A - Facility Does Not Report to TRI</v>
      </c>
      <c r="T354" s="156" t="str">
        <f t="shared" si="32"/>
        <v>N/A - Facility Does Not Report to TRI</v>
      </c>
      <c r="U354" s="136" t="str" cm="1">
        <f t="array" ref="U354">IF(COUNTIF('Raw TRI Data'!$J:$J,$E354)&gt;0,INDEX('Raw TRI Data'!$A:$A,MATCH(1,($E354='Raw TRI Data'!$J:$J)*(S354='Raw TRI Data'!$S:$S),0)), "N/A - Facility Does Not Report to TRI")</f>
        <v>N/A - Facility Does Not Report to TRI</v>
      </c>
      <c r="V354" s="156" t="str" cm="1">
        <f t="array" ref="V354">IF(COUNTIFS('Raw Annual DMR Data'!$L:$L,$F354,'Raw Annual DMR Data'!$U:$U,"&gt;0")&gt;0,MEDIAN(IF('Raw Annual DMR Data'!$L:$L=$F354,'Raw Annual DMR Data'!$U:$U,"")),"N/A - Period DMR Data Not Available")</f>
        <v>N/A - Period DMR Data Not Available</v>
      </c>
      <c r="W354" s="156" t="str">
        <f>IF(COUNTIFS('Raw Annual DMR Data'!$L:$L,$F354, 'Raw Annual DMR Data'!$U:$U, "&gt;0")&gt;0,_xlfn.MAXIFS('Raw Annual DMR Data'!$U:$U,'Raw Annual DMR Data'!$L:$L,$F354), "N/A - Period DMR Data Not Available")</f>
        <v>N/A - Period DMR Data Not Available</v>
      </c>
      <c r="X354" s="113" t="str" cm="1">
        <f t="array" ref="X354">+IF(COUNTIFS('Raw Annual DMR Data'!L:L,$F354, 'Raw Annual DMR Data'!U:U, "&gt;0")&gt;0,INDEX('Raw Annual DMR Data'!V:V,MATCH(1,($F354='Raw Annual DMR Data'!L:L)*($W354='Raw Annual DMR Data'!U:U),0)), "N/A - Period DMR Data Not Available")</f>
        <v>N/A - Period DMR Data Not Available</v>
      </c>
      <c r="Y354" s="113" t="str" cm="1">
        <f t="array" ref="Y354">IF(COUNTIFS('Raw Annual DMR Data'!L:L,$F354, 'Raw Annual DMR Data'!U:U, "&gt;0")&gt;0,INDEX('Raw Annual DMR Data'!B:B,MATCH(1,($F354='Raw Annual DMR Data'!L:L)*($W354='Raw Annual DMR Data'!U:U),0)), "N/A - Period DMR Data Not Available")</f>
        <v>N/A - Period DMR Data Not Available</v>
      </c>
      <c r="Z354" s="311" t="str" cm="1">
        <f t="array" ref="Z354">IF(COUNTIF('Raw Annual DMR Data'!K:K,$E354)&gt;0,"N/A - See DMRs",IF(SUMIFS('Raw TRI Data'!$Z:$Z,'Raw TRI Data'!$J:$J,$E354)&gt;0,MEDIAN(IF('Raw TRI Data'!$J:$J=$E354,'Raw TRI Data'!$Z:$Z)), "N/A - Facility Does Not Report to TRI, no surface water releases, or no Generic Factors available"))</f>
        <v>N/A - Facility Does Not Report to TRI, no surface water releases, or no Generic Factors available</v>
      </c>
      <c r="AA354" s="156" t="str">
        <f>IF(COUNTIF('Raw Annual DMR Data'!K:K,$E354)&gt;0,"N/A - See DMRs",IF(SUMIFS('Raw TRI Data'!$Z:$Z,'Raw TRI Data'!$J:$J,$E354)&gt;0,_xlfn.MAXIFS('Raw TRI Data'!$Z:$Z,'Raw TRI Data'!$J:$J,$E354), "N/A - Facility Does Not Report to TRI, no surface water releases, or no Generic Factors available"))</f>
        <v>N/A - Facility Does Not Report to TRI, no surface water releases, or no Generic Factors available</v>
      </c>
      <c r="AB354" s="113" t="str">
        <f t="shared" si="35"/>
        <v>N/A</v>
      </c>
      <c r="AC354" s="136" t="str" cm="1">
        <f t="array" ref="AC354">IF(COUNTIF('Raw Annual DMR Data'!K:K,$E354)&gt;0,"N/A - See DMRs",IF(SUMIFS('Raw TRI Data'!$Z:$Z,'Raw TRI Data'!$J:$J,$E354)&gt;0,INDEX('Raw TRI Data'!$A:$A,MATCH(1,($E354='Raw TRI Data'!$J:$J)*($AA354='Raw TRI Data'!$Z:$Z),0)), "N/A - Facility Does Not Report to TRI, no surface water releases, or no Generic Factors available"))</f>
        <v>N/A - Facility Does Not Report to TRI, no surface water releases, or no Generic Factors available</v>
      </c>
      <c r="AD354" s="96" t="str" cm="1">
        <f t="array" ref="AD354">IF(COUNTIFS('Raw Annual DMR Data'!L:L,$F354,'Raw Annual DMR Data'!W:W, "&gt;0")&gt;0,MEDIAN(IF('Raw Annual DMR Data'!K:K=$F354, 'Raw Annual DMR Data'!W:W)), "N/A - No Daily Max DMR Discharge Data")</f>
        <v>N/A - No Daily Max DMR Discharge Data</v>
      </c>
      <c r="AE354" s="96" t="str">
        <f>IF(COUNTIFS('Raw Annual DMR Data'!L:L,$F354,'Raw Annual DMR Data'!W:W, "&gt;0")&gt;0,_xlfn.MAXIFS('Raw Annual DMR Data'!W:W,'Raw Annual DMR Data'!L:L,$F354), "N/A - No Daily Max DMR Discharge Data")</f>
        <v>N/A - No Daily Max DMR Discharge Data</v>
      </c>
      <c r="AF354" s="60" t="str" cm="1">
        <f t="array" ref="AF354">IF(COUNTIFS('Raw Annual DMR Data'!L:L,$F354,'Raw Annual DMR Data'!W:W, "&gt;0")&gt;0,INDEX('Raw Annual DMR Data'!B:B,MATCH(1,($F354='Raw Annual DMR Data'!L:L)*($AE354='Raw Annual DMR Data'!W:W),0)), "N/A - No Daily Max DMR Discharge Data")</f>
        <v>N/A - No Daily Max DMR Discharge Data</v>
      </c>
    </row>
    <row r="355" spans="1:32" ht="30.75" thickBot="1" x14ac:dyDescent="0.3">
      <c r="A355" s="144" t="str">
        <f>VLOOKUP(F355,'Facility Summary'!J:K,2,FALSE)</f>
        <v>Unknown</v>
      </c>
      <c r="B355" s="28" t="s">
        <v>1363</v>
      </c>
      <c r="C355" s="28" t="s">
        <v>1364</v>
      </c>
      <c r="D355" s="28" t="s">
        <v>303</v>
      </c>
      <c r="E355" s="28" t="s">
        <v>735</v>
      </c>
      <c r="F355" s="61">
        <v>110000597426</v>
      </c>
      <c r="G355" s="60" t="str">
        <f>VLOOKUP($F355, 'Raw Annual DMR Data'!$A:$Z, 24, FALSE)</f>
        <v>LA0005487</v>
      </c>
      <c r="H355" s="60">
        <f>VLOOKUP($F355, 'Raw Annual DMR Data'!$A:$Z, 25, FALSE)</f>
        <v>402</v>
      </c>
      <c r="I355" s="74">
        <f>VLOOKUP($F355, 'Raw Annual DMR Data'!$A:$Z, 26, FALSE)</f>
        <v>8070202002351</v>
      </c>
      <c r="J355" s="74" t="s">
        <v>265</v>
      </c>
      <c r="K355" s="60">
        <f>VLOOKUP(A355, 'OES Summary'!$A:$B, 2, FALSE)</f>
        <v>250</v>
      </c>
      <c r="L355" s="304" cm="1">
        <f t="array" ref="L355">IF(COUNTIF('Raw Annual DMR Data'!$L:$L,$F355)&gt;0,MEDIAN(IF('Raw Annual DMR Data'!$L:$L=F355,'Raw Annual DMR Data'!$S:$S)),"N/A - Facility Does Not Report DMRs")</f>
        <v>0.82766439909296996</v>
      </c>
      <c r="M355" s="156">
        <f t="shared" si="33"/>
        <v>3.3106575963718797E-3</v>
      </c>
      <c r="N355" s="156">
        <f>IF(COUNTIF('Raw Annual DMR Data'!$L:$L,$F355)&gt;0,_xlfn.MAXIFS('Raw Annual DMR Data'!$S:$S,'Raw Annual DMR Data'!$L:$L,$F355), "N/A - Facility Does Not Report DMRs")</f>
        <v>1.6571</v>
      </c>
      <c r="O355" s="156">
        <f t="shared" si="34"/>
        <v>6.6284000000000004E-3</v>
      </c>
      <c r="P355" s="113" cm="1">
        <f t="array" ref="P355">IF(COUNTIF('Raw Annual DMR Data'!$L:$L,$F355)&gt;0,INDEX('Raw Annual DMR Data'!$B:$B,MATCH(1,($F355='Raw Annual DMR Data'!$L:$L)*($N355='Raw Annual DMR Data'!$S:$S),0)), "N/A - Facility Does Not Report DMRs")</f>
        <v>2024</v>
      </c>
      <c r="Q355" s="304" t="str" cm="1">
        <f t="array" ref="Q355">IF(COUNTIF('Raw TRI Data'!$J:$J,$E355)&gt;0,MEDIAN(IF('Raw TRI Data'!$J:$J=E355,'Raw TRI Data'!$S:$S)), "N/A - Facility Does Not Report to TRI")</f>
        <v>N/A - Facility Does Not Report to TRI</v>
      </c>
      <c r="R355" s="156" t="str">
        <f t="shared" si="31"/>
        <v>N/A - Facility Does Not Report to TRI</v>
      </c>
      <c r="S355" s="156" t="str">
        <f>IF(COUNTIF('Raw TRI Data'!$J:$J,$E355)&gt;0,_xlfn.MAXIFS('Raw TRI Data'!$S:$S,'Raw TRI Data'!$J:$J,$E355), "N/A - Facility Does Not Report to TRI")</f>
        <v>N/A - Facility Does Not Report to TRI</v>
      </c>
      <c r="T355" s="156" t="str">
        <f t="shared" si="32"/>
        <v>N/A - Facility Does Not Report to TRI</v>
      </c>
      <c r="U355" s="136" t="str" cm="1">
        <f t="array" ref="U355">IF(COUNTIF('Raw TRI Data'!$J:$J,$E355)&gt;0,INDEX('Raw TRI Data'!$A:$A,MATCH(1,($E355='Raw TRI Data'!$J:$J)*(S355='Raw TRI Data'!$S:$S),0)), "N/A - Facility Does Not Report to TRI")</f>
        <v>N/A - Facility Does Not Report to TRI</v>
      </c>
      <c r="V355" s="156" t="str" cm="1">
        <f t="array" ref="V355">IF(COUNTIFS('Raw Annual DMR Data'!$L:$L,$F355,'Raw Annual DMR Data'!$U:$U,"&gt;0")&gt;0,MEDIAN(IF('Raw Annual DMR Data'!$L:$L=$F355,'Raw Annual DMR Data'!$U:$U,"")),"N/A - Period DMR Data Not Available")</f>
        <v>N/A - Period DMR Data Not Available</v>
      </c>
      <c r="W355" s="156" t="str">
        <f>IF(COUNTIFS('Raw Annual DMR Data'!$L:$L,$F355, 'Raw Annual DMR Data'!$U:$U, "&gt;0")&gt;0,_xlfn.MAXIFS('Raw Annual DMR Data'!$U:$U,'Raw Annual DMR Data'!$L:$L,$F355), "N/A - Period DMR Data Not Available")</f>
        <v>N/A - Period DMR Data Not Available</v>
      </c>
      <c r="X355" s="113" t="str" cm="1">
        <f t="array" ref="X355">+IF(COUNTIFS('Raw Annual DMR Data'!L:L,$F355, 'Raw Annual DMR Data'!U:U, "&gt;0")&gt;0,INDEX('Raw Annual DMR Data'!V:V,MATCH(1,($F355='Raw Annual DMR Data'!L:L)*($W355='Raw Annual DMR Data'!U:U),0)), "N/A - Period DMR Data Not Available")</f>
        <v>N/A - Period DMR Data Not Available</v>
      </c>
      <c r="Y355" s="113" t="str" cm="1">
        <f t="array" ref="Y355">IF(COUNTIFS('Raw Annual DMR Data'!L:L,$F355, 'Raw Annual DMR Data'!U:U, "&gt;0")&gt;0,INDEX('Raw Annual DMR Data'!B:B,MATCH(1,($F355='Raw Annual DMR Data'!L:L)*($W355='Raw Annual DMR Data'!U:U),0)), "N/A - Period DMR Data Not Available")</f>
        <v>N/A - Period DMR Data Not Available</v>
      </c>
      <c r="Z355" s="311" t="str" cm="1">
        <f t="array" ref="Z355">IF(COUNTIF('Raw Annual DMR Data'!K:K,$E355)&gt;0,"N/A - See DMRs",IF(SUMIFS('Raw TRI Data'!$Z:$Z,'Raw TRI Data'!$J:$J,$E355)&gt;0,MEDIAN(IF('Raw TRI Data'!$J:$J=$E355,'Raw TRI Data'!$Z:$Z)), "N/A - Facility Does Not Report to TRI, no surface water releases, or no Generic Factors available"))</f>
        <v>N/A - See DMRs</v>
      </c>
      <c r="AA355" s="156" t="str">
        <f>IF(COUNTIF('Raw Annual DMR Data'!K:K,$E355)&gt;0,"N/A - See DMRs",IF(SUMIFS('Raw TRI Data'!$Z:$Z,'Raw TRI Data'!$J:$J,$E355)&gt;0,_xlfn.MAXIFS('Raw TRI Data'!$Z:$Z,'Raw TRI Data'!$J:$J,$E355), "N/A - Facility Does Not Report to TRI, no surface water releases, or no Generic Factors available"))</f>
        <v>N/A - See DMRs</v>
      </c>
      <c r="AB355" s="113" t="str">
        <f t="shared" si="35"/>
        <v>N/A</v>
      </c>
      <c r="AC355" s="136" t="str" cm="1">
        <f t="array" ref="AC355">IF(COUNTIF('Raw Annual DMR Data'!K:K,$E355)&gt;0,"N/A - See DMRs",IF(SUMIFS('Raw TRI Data'!$Z:$Z,'Raw TRI Data'!$J:$J,$E355)&gt;0,INDEX('Raw TRI Data'!$A:$A,MATCH(1,($E355='Raw TRI Data'!$J:$J)*($AA355='Raw TRI Data'!$Z:$Z),0)), "N/A - Facility Does Not Report to TRI, no surface water releases, or no Generic Factors available"))</f>
        <v>N/A - See DMRs</v>
      </c>
      <c r="AD355" s="96" t="str" cm="1">
        <f t="array" ref="AD355">IF(COUNTIFS('Raw Annual DMR Data'!L:L,$F355,'Raw Annual DMR Data'!W:W, "&gt;0")&gt;0,MEDIAN(IF('Raw Annual DMR Data'!K:K=$F355, 'Raw Annual DMR Data'!W:W)), "N/A - No Daily Max DMR Discharge Data")</f>
        <v>N/A - No Daily Max DMR Discharge Data</v>
      </c>
      <c r="AE355" s="96" t="str">
        <f>IF(COUNTIFS('Raw Annual DMR Data'!L:L,$F355,'Raw Annual DMR Data'!W:W, "&gt;0")&gt;0,_xlfn.MAXIFS('Raw Annual DMR Data'!W:W,'Raw Annual DMR Data'!L:L,$F355), "N/A - No Daily Max DMR Discharge Data")</f>
        <v>N/A - No Daily Max DMR Discharge Data</v>
      </c>
      <c r="AF355" s="60" t="str" cm="1">
        <f t="array" ref="AF355">IF(COUNTIFS('Raw Annual DMR Data'!L:L,$F355,'Raw Annual DMR Data'!W:W, "&gt;0")&gt;0,INDEX('Raw Annual DMR Data'!B:B,MATCH(1,($F355='Raw Annual DMR Data'!L:L)*($AE355='Raw Annual DMR Data'!W:W),0)), "N/A - No Daily Max DMR Discharge Data")</f>
        <v>N/A - No Daily Max DMR Discharge Data</v>
      </c>
    </row>
    <row r="356" spans="1:32" ht="45.75" thickBot="1" x14ac:dyDescent="0.3">
      <c r="A356" s="144" t="str">
        <f>VLOOKUP(F356,'Facility Summary'!J:K,2,FALSE)</f>
        <v>Unknown</v>
      </c>
      <c r="B356" s="28" t="s">
        <v>1365</v>
      </c>
      <c r="C356" s="28" t="s">
        <v>1366</v>
      </c>
      <c r="D356" s="28" t="s">
        <v>506</v>
      </c>
      <c r="E356" s="28"/>
      <c r="F356" s="61">
        <v>110008479397</v>
      </c>
      <c r="G356" s="60" t="str">
        <f>VLOOKUP($F356, 'Raw Annual DMR Data'!$A:$Z, 24, FALSE)</f>
        <v>MD0069744</v>
      </c>
      <c r="H356" s="60" t="str">
        <f>VLOOKUP($F356, 'Raw Annual DMR Data'!$A:$Z, 25, FALSE)</f>
        <v>LOWER POCOMOKE RIVER</v>
      </c>
      <c r="I356" s="74">
        <f>VLOOKUP($F356, 'Raw Annual DMR Data'!$A:$Z, 26, FALSE)</f>
        <v>2080111014856</v>
      </c>
      <c r="J356" s="74" t="s">
        <v>265</v>
      </c>
      <c r="K356" s="60">
        <f>VLOOKUP(A356, 'OES Summary'!$A:$B, 2, FALSE)</f>
        <v>250</v>
      </c>
      <c r="L356" s="304" cm="1">
        <f t="array" ref="L356">IF(COUNTIF('Raw Annual DMR Data'!$L:$L,$F356)&gt;0,MEDIAN(IF('Raw Annual DMR Data'!$L:$L=F356,'Raw Annual DMR Data'!$S:$S)),"N/A - Facility Does Not Report DMRs")</f>
        <v>4.5045654037499903E-3</v>
      </c>
      <c r="M356" s="156">
        <f t="shared" si="33"/>
        <v>1.801826161499996E-5</v>
      </c>
      <c r="N356" s="156">
        <f>IF(COUNTIF('Raw Annual DMR Data'!$L:$L,$F356)&gt;0,_xlfn.MAXIFS('Raw Annual DMR Data'!$S:$S,'Raw Annual DMR Data'!$L:$L,$F356), "N/A - Facility Does Not Report DMRs")</f>
        <v>5.8821152074999897E-3</v>
      </c>
      <c r="O356" s="156">
        <f t="shared" si="34"/>
        <v>2.3528460829999959E-5</v>
      </c>
      <c r="P356" s="113" cm="1">
        <f t="array" ref="P356">IF(COUNTIF('Raw Annual DMR Data'!$L:$L,$F356)&gt;0,INDEX('Raw Annual DMR Data'!$B:$B,MATCH(1,($F356='Raw Annual DMR Data'!$L:$L)*($N356='Raw Annual DMR Data'!$S:$S),0)), "N/A - Facility Does Not Report DMRs")</f>
        <v>2018</v>
      </c>
      <c r="Q356" s="304" t="str" cm="1">
        <f t="array" ref="Q356">IF(COUNTIF('Raw TRI Data'!$J:$J,$E356)&gt;0,MEDIAN(IF('Raw TRI Data'!$J:$J=E356,'Raw TRI Data'!$S:$S)), "N/A - Facility Does Not Report to TRI")</f>
        <v>N/A - Facility Does Not Report to TRI</v>
      </c>
      <c r="R356" s="156" t="str">
        <f t="shared" si="31"/>
        <v>N/A - Facility Does Not Report to TRI</v>
      </c>
      <c r="S356" s="156" t="str">
        <f>IF(COUNTIF('Raw TRI Data'!$J:$J,$E356)&gt;0,_xlfn.MAXIFS('Raw TRI Data'!$S:$S,'Raw TRI Data'!$J:$J,$E356), "N/A - Facility Does Not Report to TRI")</f>
        <v>N/A - Facility Does Not Report to TRI</v>
      </c>
      <c r="T356" s="156" t="str">
        <f t="shared" si="32"/>
        <v>N/A - Facility Does Not Report to TRI</v>
      </c>
      <c r="U356" s="136" t="str" cm="1">
        <f t="array" ref="U356">IF(COUNTIF('Raw TRI Data'!$J:$J,$E356)&gt;0,INDEX('Raw TRI Data'!$A:$A,MATCH(1,($E356='Raw TRI Data'!$J:$J)*(S356='Raw TRI Data'!$S:$S),0)), "N/A - Facility Does Not Report to TRI")</f>
        <v>N/A - Facility Does Not Report to TRI</v>
      </c>
      <c r="V356" s="156" t="str" cm="1">
        <f t="array" ref="V356">IF(COUNTIFS('Raw Annual DMR Data'!$L:$L,$F356,'Raw Annual DMR Data'!$U:$U,"&gt;0")&gt;0,MEDIAN(IF('Raw Annual DMR Data'!$L:$L=$F356,'Raw Annual DMR Data'!$U:$U,"")),"N/A - Period DMR Data Not Available")</f>
        <v>N/A - Period DMR Data Not Available</v>
      </c>
      <c r="W356" s="156" t="str">
        <f>IF(COUNTIFS('Raw Annual DMR Data'!$L:$L,$F356, 'Raw Annual DMR Data'!$U:$U, "&gt;0")&gt;0,_xlfn.MAXIFS('Raw Annual DMR Data'!$U:$U,'Raw Annual DMR Data'!$L:$L,$F356), "N/A - Period DMR Data Not Available")</f>
        <v>N/A - Period DMR Data Not Available</v>
      </c>
      <c r="X356" s="113" t="str" cm="1">
        <f t="array" ref="X356">+IF(COUNTIFS('Raw Annual DMR Data'!L:L,$F356, 'Raw Annual DMR Data'!U:U, "&gt;0")&gt;0,INDEX('Raw Annual DMR Data'!V:V,MATCH(1,($F356='Raw Annual DMR Data'!L:L)*($W356='Raw Annual DMR Data'!U:U),0)), "N/A - Period DMR Data Not Available")</f>
        <v>N/A - Period DMR Data Not Available</v>
      </c>
      <c r="Y356" s="113" t="str" cm="1">
        <f t="array" ref="Y356">IF(COUNTIFS('Raw Annual DMR Data'!L:L,$F356, 'Raw Annual DMR Data'!U:U, "&gt;0")&gt;0,INDEX('Raw Annual DMR Data'!B:B,MATCH(1,($F356='Raw Annual DMR Data'!L:L)*($W356='Raw Annual DMR Data'!U:U),0)), "N/A - Period DMR Data Not Available")</f>
        <v>N/A - Period DMR Data Not Available</v>
      </c>
      <c r="Z356" s="311" t="str" cm="1">
        <f t="array" ref="Z356">IF(COUNTIF('Raw Annual DMR Data'!K:K,$E356)&gt;0,"N/A - See DMRs",IF(SUMIFS('Raw TRI Data'!$Z:$Z,'Raw TRI Data'!$J:$J,$E356)&gt;0,MEDIAN(IF('Raw TRI Data'!$J:$J=$E356,'Raw TRI Data'!$Z:$Z)), "N/A - Facility Does Not Report to TRI, no surface water releases, or no Generic Factors available"))</f>
        <v>N/A - Facility Does Not Report to TRI, no surface water releases, or no Generic Factors available</v>
      </c>
      <c r="AA356" s="156" t="str">
        <f>IF(COUNTIF('Raw Annual DMR Data'!K:K,$E356)&gt;0,"N/A - See DMRs",IF(SUMIFS('Raw TRI Data'!$Z:$Z,'Raw TRI Data'!$J:$J,$E356)&gt;0,_xlfn.MAXIFS('Raw TRI Data'!$Z:$Z,'Raw TRI Data'!$J:$J,$E356), "N/A - Facility Does Not Report to TRI, no surface water releases, or no Generic Factors available"))</f>
        <v>N/A - Facility Does Not Report to TRI, no surface water releases, or no Generic Factors available</v>
      </c>
      <c r="AB356" s="113" t="str">
        <f t="shared" si="35"/>
        <v>N/A</v>
      </c>
      <c r="AC356" s="136" t="str" cm="1">
        <f t="array" ref="AC356">IF(COUNTIF('Raw Annual DMR Data'!K:K,$E356)&gt;0,"N/A - See DMRs",IF(SUMIFS('Raw TRI Data'!$Z:$Z,'Raw TRI Data'!$J:$J,$E356)&gt;0,INDEX('Raw TRI Data'!$A:$A,MATCH(1,($E356='Raw TRI Data'!$J:$J)*($AA356='Raw TRI Data'!$Z:$Z),0)), "N/A - Facility Does Not Report to TRI, no surface water releases, or no Generic Factors available"))</f>
        <v>N/A - Facility Does Not Report to TRI, no surface water releases, or no Generic Factors available</v>
      </c>
      <c r="AD356" s="96" t="str" cm="1">
        <f t="array" ref="AD356">IF(COUNTIFS('Raw Annual DMR Data'!L:L,$F356,'Raw Annual DMR Data'!W:W, "&gt;0")&gt;0,MEDIAN(IF('Raw Annual DMR Data'!K:K=$F356, 'Raw Annual DMR Data'!W:W)), "N/A - No Daily Max DMR Discharge Data")</f>
        <v>N/A - No Daily Max DMR Discharge Data</v>
      </c>
      <c r="AE356" s="96" t="str">
        <f>IF(COUNTIFS('Raw Annual DMR Data'!L:L,$F356,'Raw Annual DMR Data'!W:W, "&gt;0")&gt;0,_xlfn.MAXIFS('Raw Annual DMR Data'!W:W,'Raw Annual DMR Data'!L:L,$F356), "N/A - No Daily Max DMR Discharge Data")</f>
        <v>N/A - No Daily Max DMR Discharge Data</v>
      </c>
      <c r="AF356" s="60" t="str" cm="1">
        <f t="array" ref="AF356">IF(COUNTIFS('Raw Annual DMR Data'!L:L,$F356,'Raw Annual DMR Data'!W:W, "&gt;0")&gt;0,INDEX('Raw Annual DMR Data'!B:B,MATCH(1,($F356='Raw Annual DMR Data'!L:L)*($AE356='Raw Annual DMR Data'!W:W),0)), "N/A - No Daily Max DMR Discharge Data")</f>
        <v>N/A - No Daily Max DMR Discharge Data</v>
      </c>
    </row>
    <row r="357" spans="1:32" ht="30.75" thickBot="1" x14ac:dyDescent="0.3">
      <c r="A357" s="144" t="str">
        <f>VLOOKUP(F357,'Facility Summary'!J:K,2,FALSE)</f>
        <v>Unknown</v>
      </c>
      <c r="B357" s="28" t="s">
        <v>1367</v>
      </c>
      <c r="C357" s="28" t="s">
        <v>1364</v>
      </c>
      <c r="D357" s="28" t="s">
        <v>303</v>
      </c>
      <c r="E357" s="28" t="s">
        <v>736</v>
      </c>
      <c r="F357" s="61">
        <v>110056972432</v>
      </c>
      <c r="G357" s="60" t="str">
        <f>VLOOKUP($F357, 'Raw Annual DMR Data'!$A:$Z, 24, FALSE)</f>
        <v>LA0046361</v>
      </c>
      <c r="H357" s="60">
        <f>VLOOKUP($F357, 'Raw Annual DMR Data'!$A:$Z, 25, FALSE)</f>
        <v>0</v>
      </c>
      <c r="I357" s="74">
        <f>VLOOKUP($F357, 'Raw Annual DMR Data'!$A:$Z, 26, FALSE)</f>
        <v>8070202000842</v>
      </c>
      <c r="J357" s="74" t="s">
        <v>265</v>
      </c>
      <c r="K357" s="60">
        <f>VLOOKUP(A357, 'OES Summary'!$A:$B, 2, FALSE)</f>
        <v>250</v>
      </c>
      <c r="L357" s="304" cm="1">
        <f t="array" ref="L357">IF(COUNTIF('Raw Annual DMR Data'!$L:$L,$F357)&gt;0,MEDIAN(IF('Raw Annual DMR Data'!$L:$L=F357,'Raw Annual DMR Data'!$S:$S)),"N/A - Facility Does Not Report DMRs")</f>
        <v>0.41383219954648498</v>
      </c>
      <c r="M357" s="156">
        <f t="shared" si="33"/>
        <v>1.6553287981859398E-3</v>
      </c>
      <c r="N357" s="156">
        <f>IF(COUNTIF('Raw Annual DMR Data'!$L:$L,$F357)&gt;0,_xlfn.MAXIFS('Raw Annual DMR Data'!$S:$S,'Raw Annual DMR Data'!$L:$L,$F357), "N/A - Facility Does Not Report DMRs")</f>
        <v>0.414275</v>
      </c>
      <c r="O357" s="156">
        <f t="shared" si="34"/>
        <v>1.6571000000000001E-3</v>
      </c>
      <c r="P357" s="113" cm="1">
        <f t="array" ref="P357">IF(COUNTIF('Raw Annual DMR Data'!$L:$L,$F357)&gt;0,INDEX('Raw Annual DMR Data'!$B:$B,MATCH(1,($F357='Raw Annual DMR Data'!$L:$L)*($N357='Raw Annual DMR Data'!$S:$S),0)), "N/A - Facility Does Not Report DMRs")</f>
        <v>2021</v>
      </c>
      <c r="Q357" s="304" t="str" cm="1">
        <f t="array" ref="Q357">IF(COUNTIF('Raw TRI Data'!$J:$J,$E357)&gt;0,MEDIAN(IF('Raw TRI Data'!$J:$J=E357,'Raw TRI Data'!$S:$S)), "N/A - Facility Does Not Report to TRI")</f>
        <v>N/A - Facility Does Not Report to TRI</v>
      </c>
      <c r="R357" s="156" t="str">
        <f t="shared" si="31"/>
        <v>N/A - Facility Does Not Report to TRI</v>
      </c>
      <c r="S357" s="156" t="str">
        <f>IF(COUNTIF('Raw TRI Data'!$J:$J,$E357)&gt;0,_xlfn.MAXIFS('Raw TRI Data'!$S:$S,'Raw TRI Data'!$J:$J,$E357), "N/A - Facility Does Not Report to TRI")</f>
        <v>N/A - Facility Does Not Report to TRI</v>
      </c>
      <c r="T357" s="156" t="str">
        <f t="shared" si="32"/>
        <v>N/A - Facility Does Not Report to TRI</v>
      </c>
      <c r="U357" s="136" t="str" cm="1">
        <f t="array" ref="U357">IF(COUNTIF('Raw TRI Data'!$J:$J,$E357)&gt;0,INDEX('Raw TRI Data'!$A:$A,MATCH(1,($E357='Raw TRI Data'!$J:$J)*(S357='Raw TRI Data'!$S:$S),0)), "N/A - Facility Does Not Report to TRI")</f>
        <v>N/A - Facility Does Not Report to TRI</v>
      </c>
      <c r="V357" s="156" t="str" cm="1">
        <f t="array" ref="V357">IF(COUNTIFS('Raw Annual DMR Data'!$L:$L,$F357,'Raw Annual DMR Data'!$U:$U,"&gt;0")&gt;0,MEDIAN(IF('Raw Annual DMR Data'!$L:$L=$F357,'Raw Annual DMR Data'!$U:$U,"")),"N/A - Period DMR Data Not Available")</f>
        <v>N/A - Period DMR Data Not Available</v>
      </c>
      <c r="W357" s="156" t="str">
        <f>IF(COUNTIFS('Raw Annual DMR Data'!$L:$L,$F357, 'Raw Annual DMR Data'!$U:$U, "&gt;0")&gt;0,_xlfn.MAXIFS('Raw Annual DMR Data'!$U:$U,'Raw Annual DMR Data'!$L:$L,$F357), "N/A - Period DMR Data Not Available")</f>
        <v>N/A - Period DMR Data Not Available</v>
      </c>
      <c r="X357" s="113" t="str" cm="1">
        <f t="array" ref="X357">+IF(COUNTIFS('Raw Annual DMR Data'!L:L,$F357, 'Raw Annual DMR Data'!U:U, "&gt;0")&gt;0,INDEX('Raw Annual DMR Data'!V:V,MATCH(1,($F357='Raw Annual DMR Data'!L:L)*($W357='Raw Annual DMR Data'!U:U),0)), "N/A - Period DMR Data Not Available")</f>
        <v>N/A - Period DMR Data Not Available</v>
      </c>
      <c r="Y357" s="113" t="str" cm="1">
        <f t="array" ref="Y357">IF(COUNTIFS('Raw Annual DMR Data'!L:L,$F357, 'Raw Annual DMR Data'!U:U, "&gt;0")&gt;0,INDEX('Raw Annual DMR Data'!B:B,MATCH(1,($F357='Raw Annual DMR Data'!L:L)*($W357='Raw Annual DMR Data'!U:U),0)), "N/A - Period DMR Data Not Available")</f>
        <v>N/A - Period DMR Data Not Available</v>
      </c>
      <c r="Z357" s="311" t="str" cm="1">
        <f t="array" ref="Z357">IF(COUNTIF('Raw Annual DMR Data'!K:K,$E357)&gt;0,"N/A - See DMRs",IF(SUMIFS('Raw TRI Data'!$Z:$Z,'Raw TRI Data'!$J:$J,$E357)&gt;0,MEDIAN(IF('Raw TRI Data'!$J:$J=$E357,'Raw TRI Data'!$Z:$Z)), "N/A - Facility Does Not Report to TRI, no surface water releases, or no Generic Factors available"))</f>
        <v>N/A - See DMRs</v>
      </c>
      <c r="AA357" s="156" t="str">
        <f>IF(COUNTIF('Raw Annual DMR Data'!K:K,$E357)&gt;0,"N/A - See DMRs",IF(SUMIFS('Raw TRI Data'!$Z:$Z,'Raw TRI Data'!$J:$J,$E357)&gt;0,_xlfn.MAXIFS('Raw TRI Data'!$Z:$Z,'Raw TRI Data'!$J:$J,$E357), "N/A - Facility Does Not Report to TRI, no surface water releases, or no Generic Factors available"))</f>
        <v>N/A - See DMRs</v>
      </c>
      <c r="AB357" s="113" t="str">
        <f t="shared" si="35"/>
        <v>N/A</v>
      </c>
      <c r="AC357" s="136" t="str" cm="1">
        <f t="array" ref="AC357">IF(COUNTIF('Raw Annual DMR Data'!K:K,$E357)&gt;0,"N/A - See DMRs",IF(SUMIFS('Raw TRI Data'!$Z:$Z,'Raw TRI Data'!$J:$J,$E357)&gt;0,INDEX('Raw TRI Data'!$A:$A,MATCH(1,($E357='Raw TRI Data'!$J:$J)*($AA357='Raw TRI Data'!$Z:$Z),0)), "N/A - Facility Does Not Report to TRI, no surface water releases, or no Generic Factors available"))</f>
        <v>N/A - See DMRs</v>
      </c>
      <c r="AD357" s="96" t="str" cm="1">
        <f t="array" ref="AD357">IF(COUNTIFS('Raw Annual DMR Data'!L:L,$F357,'Raw Annual DMR Data'!W:W, "&gt;0")&gt;0,MEDIAN(IF('Raw Annual DMR Data'!K:K=$F357, 'Raw Annual DMR Data'!W:W)), "N/A - No Daily Max DMR Discharge Data")</f>
        <v>N/A - No Daily Max DMR Discharge Data</v>
      </c>
      <c r="AE357" s="96" t="str">
        <f>IF(COUNTIFS('Raw Annual DMR Data'!L:L,$F357,'Raw Annual DMR Data'!W:W, "&gt;0")&gt;0,_xlfn.MAXIFS('Raw Annual DMR Data'!W:W,'Raw Annual DMR Data'!L:L,$F357), "N/A - No Daily Max DMR Discharge Data")</f>
        <v>N/A - No Daily Max DMR Discharge Data</v>
      </c>
      <c r="AF357" s="60" t="str" cm="1">
        <f t="array" ref="AF357">IF(COUNTIFS('Raw Annual DMR Data'!L:L,$F357,'Raw Annual DMR Data'!W:W, "&gt;0")&gt;0,INDEX('Raw Annual DMR Data'!B:B,MATCH(1,($F357='Raw Annual DMR Data'!L:L)*($AE357='Raw Annual DMR Data'!W:W),0)), "N/A - No Daily Max DMR Discharge Data")</f>
        <v>N/A - No Daily Max DMR Discharge Data</v>
      </c>
    </row>
    <row r="358" spans="1:32" ht="45.75" thickBot="1" x14ac:dyDescent="0.3">
      <c r="A358" s="144" t="str">
        <f>VLOOKUP(F358,'Facility Summary'!J:K,2,FALSE)</f>
        <v>Unknown</v>
      </c>
      <c r="B358" s="28" t="s">
        <v>1368</v>
      </c>
      <c r="C358" s="28" t="s">
        <v>657</v>
      </c>
      <c r="D358" s="28" t="s">
        <v>418</v>
      </c>
      <c r="E358" s="28"/>
      <c r="F358" s="61">
        <v>110041903223</v>
      </c>
      <c r="G358" s="60" t="str">
        <f>VLOOKUP($F358, 'Raw Annual DMR Data'!$A:$Z, 24, FALSE)</f>
        <v>NV0023809</v>
      </c>
      <c r="H358" s="60" t="str">
        <f>VLOOKUP($F358, 'Raw Annual DMR Data'!$A:$Z, 25, FALSE)</f>
        <v>LAS VEGAS WASH VIA THE CLARK COUNTY STORM DRAIN SY</v>
      </c>
      <c r="I358" s="74">
        <f>VLOOKUP($F358, 'Raw Annual DMR Data'!$A:$Z, 26, FALSE)</f>
        <v>15010015000141</v>
      </c>
      <c r="J358" s="74" t="s">
        <v>265</v>
      </c>
      <c r="K358" s="60">
        <f>VLOOKUP(A358, 'OES Summary'!$A:$B, 2, FALSE)</f>
        <v>250</v>
      </c>
      <c r="L358" s="304" cm="1">
        <f t="array" ref="L358">IF(COUNTIF('Raw Annual DMR Data'!$L:$L,$F358)&gt;0,MEDIAN(IF('Raw Annual DMR Data'!$L:$L=F358,'Raw Annual DMR Data'!$S:$S)),"N/A - Facility Does Not Report DMRs")</f>
        <v>2.3152632093750001E-3</v>
      </c>
      <c r="M358" s="156">
        <f t="shared" si="33"/>
        <v>9.2610528375000002E-6</v>
      </c>
      <c r="N358" s="156">
        <f>IF(COUNTIF('Raw Annual DMR Data'!$L:$L,$F358)&gt;0,_xlfn.MAXIFS('Raw Annual DMR Data'!$S:$S,'Raw Annual DMR Data'!$L:$L,$F358), "N/A - Facility Does Not Report DMRs")</f>
        <v>3.16541915625E-3</v>
      </c>
      <c r="O358" s="156">
        <f t="shared" si="34"/>
        <v>1.2661676625E-5</v>
      </c>
      <c r="P358" s="113" cm="1">
        <f t="array" ref="P358">IF(COUNTIF('Raw Annual DMR Data'!$L:$L,$F358)&gt;0,INDEX('Raw Annual DMR Data'!$B:$B,MATCH(1,($F358='Raw Annual DMR Data'!$L:$L)*($N358='Raw Annual DMR Data'!$S:$S),0)), "N/A - Facility Does Not Report DMRs")</f>
        <v>2018</v>
      </c>
      <c r="Q358" s="304" t="str" cm="1">
        <f t="array" ref="Q358">IF(COUNTIF('Raw TRI Data'!$J:$J,$E358)&gt;0,MEDIAN(IF('Raw TRI Data'!$J:$J=E358,'Raw TRI Data'!$S:$S)), "N/A - Facility Does Not Report to TRI")</f>
        <v>N/A - Facility Does Not Report to TRI</v>
      </c>
      <c r="R358" s="156" t="str">
        <f t="shared" si="31"/>
        <v>N/A - Facility Does Not Report to TRI</v>
      </c>
      <c r="S358" s="156" t="str">
        <f>IF(COUNTIF('Raw TRI Data'!$J:$J,$E358)&gt;0,_xlfn.MAXIFS('Raw TRI Data'!$S:$S,'Raw TRI Data'!$J:$J,$E358), "N/A - Facility Does Not Report to TRI")</f>
        <v>N/A - Facility Does Not Report to TRI</v>
      </c>
      <c r="T358" s="156" t="str">
        <f t="shared" si="32"/>
        <v>N/A - Facility Does Not Report to TRI</v>
      </c>
      <c r="U358" s="136" t="str" cm="1">
        <f t="array" ref="U358">IF(COUNTIF('Raw TRI Data'!$J:$J,$E358)&gt;0,INDEX('Raw TRI Data'!$A:$A,MATCH(1,($E358='Raw TRI Data'!$J:$J)*(S358='Raw TRI Data'!$S:$S),0)), "N/A - Facility Does Not Report to TRI")</f>
        <v>N/A - Facility Does Not Report to TRI</v>
      </c>
      <c r="V358" s="156" t="str" cm="1">
        <f t="array" ref="V358">IF(COUNTIFS('Raw Annual DMR Data'!$L:$L,$F358,'Raw Annual DMR Data'!$U:$U,"&gt;0")&gt;0,MEDIAN(IF('Raw Annual DMR Data'!$L:$L=$F358,'Raw Annual DMR Data'!$U:$U,"")),"N/A - Period DMR Data Not Available")</f>
        <v>N/A - Period DMR Data Not Available</v>
      </c>
      <c r="W358" s="156" t="str">
        <f>IF(COUNTIFS('Raw Annual DMR Data'!$L:$L,$F358, 'Raw Annual DMR Data'!$U:$U, "&gt;0")&gt;0,_xlfn.MAXIFS('Raw Annual DMR Data'!$U:$U,'Raw Annual DMR Data'!$L:$L,$F358), "N/A - Period DMR Data Not Available")</f>
        <v>N/A - Period DMR Data Not Available</v>
      </c>
      <c r="X358" s="113" t="str" cm="1">
        <f t="array" ref="X358">+IF(COUNTIFS('Raw Annual DMR Data'!L:L,$F358, 'Raw Annual DMR Data'!U:U, "&gt;0")&gt;0,INDEX('Raw Annual DMR Data'!V:V,MATCH(1,($F358='Raw Annual DMR Data'!L:L)*($W358='Raw Annual DMR Data'!U:U),0)), "N/A - Period DMR Data Not Available")</f>
        <v>N/A - Period DMR Data Not Available</v>
      </c>
      <c r="Y358" s="113" t="str" cm="1">
        <f t="array" ref="Y358">IF(COUNTIFS('Raw Annual DMR Data'!L:L,$F358, 'Raw Annual DMR Data'!U:U, "&gt;0")&gt;0,INDEX('Raw Annual DMR Data'!B:B,MATCH(1,($F358='Raw Annual DMR Data'!L:L)*($W358='Raw Annual DMR Data'!U:U),0)), "N/A - Period DMR Data Not Available")</f>
        <v>N/A - Period DMR Data Not Available</v>
      </c>
      <c r="Z358" s="311" t="str" cm="1">
        <f t="array" ref="Z358">IF(COUNTIF('Raw Annual DMR Data'!K:K,$E358)&gt;0,"N/A - See DMRs",IF(SUMIFS('Raw TRI Data'!$Z:$Z,'Raw TRI Data'!$J:$J,$E358)&gt;0,MEDIAN(IF('Raw TRI Data'!$J:$J=$E358,'Raw TRI Data'!$Z:$Z)), "N/A - Facility Does Not Report to TRI, no surface water releases, or no Generic Factors available"))</f>
        <v>N/A - Facility Does Not Report to TRI, no surface water releases, or no Generic Factors available</v>
      </c>
      <c r="AA358" s="156" t="str">
        <f>IF(COUNTIF('Raw Annual DMR Data'!K:K,$E358)&gt;0,"N/A - See DMRs",IF(SUMIFS('Raw TRI Data'!$Z:$Z,'Raw TRI Data'!$J:$J,$E358)&gt;0,_xlfn.MAXIFS('Raw TRI Data'!$Z:$Z,'Raw TRI Data'!$J:$J,$E358), "N/A - Facility Does Not Report to TRI, no surface water releases, or no Generic Factors available"))</f>
        <v>N/A - Facility Does Not Report to TRI, no surface water releases, or no Generic Factors available</v>
      </c>
      <c r="AB358" s="113" t="str">
        <f t="shared" si="35"/>
        <v>N/A</v>
      </c>
      <c r="AC358" s="136" t="str" cm="1">
        <f t="array" ref="AC358">IF(COUNTIF('Raw Annual DMR Data'!K:K,$E358)&gt;0,"N/A - See DMRs",IF(SUMIFS('Raw TRI Data'!$Z:$Z,'Raw TRI Data'!$J:$J,$E358)&gt;0,INDEX('Raw TRI Data'!$A:$A,MATCH(1,($E358='Raw TRI Data'!$J:$J)*($AA358='Raw TRI Data'!$Z:$Z),0)), "N/A - Facility Does Not Report to TRI, no surface water releases, or no Generic Factors available"))</f>
        <v>N/A - Facility Does Not Report to TRI, no surface water releases, or no Generic Factors available</v>
      </c>
      <c r="AD358" s="96" t="str" cm="1">
        <f t="array" ref="AD358">IF(COUNTIFS('Raw Annual DMR Data'!L:L,$F358,'Raw Annual DMR Data'!W:W, "&gt;0")&gt;0,MEDIAN(IF('Raw Annual DMR Data'!K:K=$F358, 'Raw Annual DMR Data'!W:W)), "N/A - No Daily Max DMR Discharge Data")</f>
        <v>N/A - No Daily Max DMR Discharge Data</v>
      </c>
      <c r="AE358" s="96" t="str">
        <f>IF(COUNTIFS('Raw Annual DMR Data'!L:L,$F358,'Raw Annual DMR Data'!W:W, "&gt;0")&gt;0,_xlfn.MAXIFS('Raw Annual DMR Data'!W:W,'Raw Annual DMR Data'!L:L,$F358), "N/A - No Daily Max DMR Discharge Data")</f>
        <v>N/A - No Daily Max DMR Discharge Data</v>
      </c>
      <c r="AF358" s="60" t="str" cm="1">
        <f t="array" ref="AF358">IF(COUNTIFS('Raw Annual DMR Data'!L:L,$F358,'Raw Annual DMR Data'!W:W, "&gt;0")&gt;0,INDEX('Raw Annual DMR Data'!B:B,MATCH(1,($F358='Raw Annual DMR Data'!L:L)*($AE358='Raw Annual DMR Data'!W:W),0)), "N/A - No Daily Max DMR Discharge Data")</f>
        <v>N/A - No Daily Max DMR Discharge Data</v>
      </c>
    </row>
    <row r="359" spans="1:32" ht="45.75" thickBot="1" x14ac:dyDescent="0.3">
      <c r="A359" s="144" t="str">
        <f>VLOOKUP(F359,'Facility Summary'!J:K,2,FALSE)</f>
        <v>Unknown</v>
      </c>
      <c r="B359" s="28" t="s">
        <v>1369</v>
      </c>
      <c r="C359" s="28" t="s">
        <v>1370</v>
      </c>
      <c r="D359" s="28" t="s">
        <v>308</v>
      </c>
      <c r="E359" s="28"/>
      <c r="F359" s="61">
        <v>110070602569</v>
      </c>
      <c r="G359" s="60" t="str">
        <f>VLOOKUP($F359, 'Raw Annual DMR Data'!$A:$Z, 24, FALSE)</f>
        <v>MAG910022</v>
      </c>
      <c r="H359" s="60" t="str">
        <f>VLOOKUP($F359, 'Raw Annual DMR Data'!$A:$Z, 25, FALSE)</f>
        <v>RUMFORD RIVER</v>
      </c>
      <c r="I359" s="74">
        <f>VLOOKUP($F359, 'Raw Annual DMR Data'!$A:$Z, 26, FALSE)</f>
        <v>0</v>
      </c>
      <c r="J359" s="74" t="s">
        <v>265</v>
      </c>
      <c r="K359" s="60">
        <f>VLOOKUP(A359, 'OES Summary'!$A:$B, 2, FALSE)</f>
        <v>250</v>
      </c>
      <c r="L359" s="304" cm="1">
        <f t="array" ref="L359">IF(COUNTIF('Raw Annual DMR Data'!$L:$L,$F359)&gt;0,MEDIAN(IF('Raw Annual DMR Data'!$L:$L=F359,'Raw Annual DMR Data'!$S:$S)),"N/A - Facility Does Not Report DMRs")</f>
        <v>6.9159463224999999E-3</v>
      </c>
      <c r="M359" s="156">
        <f t="shared" si="33"/>
        <v>2.7663785289999998E-5</v>
      </c>
      <c r="N359" s="156">
        <f>IF(COUNTIF('Raw Annual DMR Data'!$L:$L,$F359)&gt;0,_xlfn.MAXIFS('Raw Annual DMR Data'!$S:$S,'Raw Annual DMR Data'!$L:$L,$F359), "N/A - Facility Does Not Report DMRs")</f>
        <v>1.9756942999999999E-2</v>
      </c>
      <c r="O359" s="156">
        <f t="shared" si="34"/>
        <v>7.9027771999999992E-5</v>
      </c>
      <c r="P359" s="113" cm="1">
        <f t="array" ref="P359">IF(COUNTIF('Raw Annual DMR Data'!$L:$L,$F359)&gt;0,INDEX('Raw Annual DMR Data'!$B:$B,MATCH(1,($F359='Raw Annual DMR Data'!$L:$L)*($N359='Raw Annual DMR Data'!$S:$S),0)), "N/A - Facility Does Not Report DMRs")</f>
        <v>2020</v>
      </c>
      <c r="Q359" s="304" t="str" cm="1">
        <f t="array" ref="Q359">IF(COUNTIF('Raw TRI Data'!$J:$J,$E359)&gt;0,MEDIAN(IF('Raw TRI Data'!$J:$J=E359,'Raw TRI Data'!$S:$S)), "N/A - Facility Does Not Report to TRI")</f>
        <v>N/A - Facility Does Not Report to TRI</v>
      </c>
      <c r="R359" s="156" t="str">
        <f t="shared" si="31"/>
        <v>N/A - Facility Does Not Report to TRI</v>
      </c>
      <c r="S359" s="156" t="str">
        <f>IF(COUNTIF('Raw TRI Data'!$J:$J,$E359)&gt;0,_xlfn.MAXIFS('Raw TRI Data'!$S:$S,'Raw TRI Data'!$J:$J,$E359), "N/A - Facility Does Not Report to TRI")</f>
        <v>N/A - Facility Does Not Report to TRI</v>
      </c>
      <c r="T359" s="156" t="str">
        <f t="shared" si="32"/>
        <v>N/A - Facility Does Not Report to TRI</v>
      </c>
      <c r="U359" s="136" t="str" cm="1">
        <f t="array" ref="U359">IF(COUNTIF('Raw TRI Data'!$J:$J,$E359)&gt;0,INDEX('Raw TRI Data'!$A:$A,MATCH(1,($E359='Raw TRI Data'!$J:$J)*(S359='Raw TRI Data'!$S:$S),0)), "N/A - Facility Does Not Report to TRI")</f>
        <v>N/A - Facility Does Not Report to TRI</v>
      </c>
      <c r="V359" s="156" t="str" cm="1">
        <f t="array" ref="V359">IF(COUNTIFS('Raw Annual DMR Data'!$L:$L,$F359,'Raw Annual DMR Data'!$U:$U,"&gt;0")&gt;0,MEDIAN(IF('Raw Annual DMR Data'!$L:$L=$F359,'Raw Annual DMR Data'!$U:$U,"")),"N/A - Period DMR Data Not Available")</f>
        <v>N/A - Period DMR Data Not Available</v>
      </c>
      <c r="W359" s="156" t="str">
        <f>IF(COUNTIFS('Raw Annual DMR Data'!$L:$L,$F359, 'Raw Annual DMR Data'!$U:$U, "&gt;0")&gt;0,_xlfn.MAXIFS('Raw Annual DMR Data'!$U:$U,'Raw Annual DMR Data'!$L:$L,$F359), "N/A - Period DMR Data Not Available")</f>
        <v>N/A - Period DMR Data Not Available</v>
      </c>
      <c r="X359" s="113" t="str" cm="1">
        <f t="array" ref="X359">+IF(COUNTIFS('Raw Annual DMR Data'!L:L,$F359, 'Raw Annual DMR Data'!U:U, "&gt;0")&gt;0,INDEX('Raw Annual DMR Data'!V:V,MATCH(1,($F359='Raw Annual DMR Data'!L:L)*($W359='Raw Annual DMR Data'!U:U),0)), "N/A - Period DMR Data Not Available")</f>
        <v>N/A - Period DMR Data Not Available</v>
      </c>
      <c r="Y359" s="113" t="str" cm="1">
        <f t="array" ref="Y359">IF(COUNTIFS('Raw Annual DMR Data'!L:L,$F359, 'Raw Annual DMR Data'!U:U, "&gt;0")&gt;0,INDEX('Raw Annual DMR Data'!B:B,MATCH(1,($F359='Raw Annual DMR Data'!L:L)*($W359='Raw Annual DMR Data'!U:U),0)), "N/A - Period DMR Data Not Available")</f>
        <v>N/A - Period DMR Data Not Available</v>
      </c>
      <c r="Z359" s="311" t="str" cm="1">
        <f t="array" ref="Z359">IF(COUNTIF('Raw Annual DMR Data'!K:K,$E359)&gt;0,"N/A - See DMRs",IF(SUMIFS('Raw TRI Data'!$Z:$Z,'Raw TRI Data'!$J:$J,$E359)&gt;0,MEDIAN(IF('Raw TRI Data'!$J:$J=$E359,'Raw TRI Data'!$Z:$Z)), "N/A - Facility Does Not Report to TRI, no surface water releases, or no Generic Factors available"))</f>
        <v>N/A - Facility Does Not Report to TRI, no surface water releases, or no Generic Factors available</v>
      </c>
      <c r="AA359" s="156" t="str">
        <f>IF(COUNTIF('Raw Annual DMR Data'!K:K,$E359)&gt;0,"N/A - See DMRs",IF(SUMIFS('Raw TRI Data'!$Z:$Z,'Raw TRI Data'!$J:$J,$E359)&gt;0,_xlfn.MAXIFS('Raw TRI Data'!$Z:$Z,'Raw TRI Data'!$J:$J,$E359), "N/A - Facility Does Not Report to TRI, no surface water releases, or no Generic Factors available"))</f>
        <v>N/A - Facility Does Not Report to TRI, no surface water releases, or no Generic Factors available</v>
      </c>
      <c r="AB359" s="113" t="str">
        <f t="shared" si="35"/>
        <v>N/A</v>
      </c>
      <c r="AC359" s="136" t="str" cm="1">
        <f t="array" ref="AC359">IF(COUNTIF('Raw Annual DMR Data'!K:K,$E359)&gt;0,"N/A - See DMRs",IF(SUMIFS('Raw TRI Data'!$Z:$Z,'Raw TRI Data'!$J:$J,$E359)&gt;0,INDEX('Raw TRI Data'!$A:$A,MATCH(1,($E359='Raw TRI Data'!$J:$J)*($AA359='Raw TRI Data'!$Z:$Z),0)), "N/A - Facility Does Not Report to TRI, no surface water releases, or no Generic Factors available"))</f>
        <v>N/A - Facility Does Not Report to TRI, no surface water releases, or no Generic Factors available</v>
      </c>
      <c r="AD359" s="96" t="str" cm="1">
        <f t="array" ref="AD359">IF(COUNTIFS('Raw Annual DMR Data'!L:L,$F359,'Raw Annual DMR Data'!W:W, "&gt;0")&gt;0,MEDIAN(IF('Raw Annual DMR Data'!K:K=$F359, 'Raw Annual DMR Data'!W:W)), "N/A - No Daily Max DMR Discharge Data")</f>
        <v>N/A - No Daily Max DMR Discharge Data</v>
      </c>
      <c r="AE359" s="96" t="str">
        <f>IF(COUNTIFS('Raw Annual DMR Data'!L:L,$F359,'Raw Annual DMR Data'!W:W, "&gt;0")&gt;0,_xlfn.MAXIFS('Raw Annual DMR Data'!W:W,'Raw Annual DMR Data'!L:L,$F359), "N/A - No Daily Max DMR Discharge Data")</f>
        <v>N/A - No Daily Max DMR Discharge Data</v>
      </c>
      <c r="AF359" s="60" t="str" cm="1">
        <f t="array" ref="AF359">IF(COUNTIFS('Raw Annual DMR Data'!L:L,$F359,'Raw Annual DMR Data'!W:W, "&gt;0")&gt;0,INDEX('Raw Annual DMR Data'!B:B,MATCH(1,($F359='Raw Annual DMR Data'!L:L)*($AE359='Raw Annual DMR Data'!W:W),0)), "N/A - No Daily Max DMR Discharge Data")</f>
        <v>N/A - No Daily Max DMR Discharge Data</v>
      </c>
    </row>
    <row r="360" spans="1:32" ht="45.75" thickBot="1" x14ac:dyDescent="0.3">
      <c r="A360" s="144" t="str">
        <f>VLOOKUP(F360,'Facility Summary'!J:K,2,FALSE)</f>
        <v>Unknown</v>
      </c>
      <c r="B360" s="28" t="s">
        <v>1371</v>
      </c>
      <c r="C360" s="28" t="s">
        <v>1372</v>
      </c>
      <c r="D360" s="28" t="s">
        <v>366</v>
      </c>
      <c r="E360" s="28"/>
      <c r="F360" s="61">
        <v>110040078279</v>
      </c>
      <c r="G360" s="60" t="str">
        <f>VLOOKUP($F360, 'Raw Annual DMR Data'!$A:$Z, 24, FALSE)</f>
        <v>CA0064599</v>
      </c>
      <c r="H360" s="60" t="str">
        <f>VLOOKUP($F360, 'Raw Annual DMR Data'!$A:$Z, 25, FALSE)</f>
        <v>SOUTH FORK ARROYO CONEJO CREEK, SOUTH FORK OF ARROYO CONEJO CREEK</v>
      </c>
      <c r="I360" s="74">
        <f>VLOOKUP($F360, 'Raw Annual DMR Data'!$A:$Z, 26, FALSE)</f>
        <v>18070103000071</v>
      </c>
      <c r="J360" s="74" t="s">
        <v>265</v>
      </c>
      <c r="K360" s="60">
        <f>VLOOKUP(A360, 'OES Summary'!$A:$B, 2, FALSE)</f>
        <v>250</v>
      </c>
      <c r="L360" s="304" cm="1">
        <f t="array" ref="L360">IF(COUNTIF('Raw Annual DMR Data'!$L:$L,$F360)&gt;0,MEDIAN(IF('Raw Annual DMR Data'!$L:$L=F360,'Raw Annual DMR Data'!$S:$S)),"N/A - Facility Does Not Report DMRs")</f>
        <v>5.1020408163265296</v>
      </c>
      <c r="M360" s="156">
        <f t="shared" si="33"/>
        <v>2.0408163265306117E-2</v>
      </c>
      <c r="N360" s="156">
        <f>IF(COUNTIF('Raw Annual DMR Data'!$L:$L,$F360)&gt;0,_xlfn.MAXIFS('Raw Annual DMR Data'!$S:$S,'Raw Annual DMR Data'!$L:$L,$F360), "N/A - Facility Does Not Report DMRs")</f>
        <v>5.1020408163265296</v>
      </c>
      <c r="O360" s="156">
        <f t="shared" si="34"/>
        <v>2.0408163265306117E-2</v>
      </c>
      <c r="P360" s="113" cm="1">
        <f t="array" ref="P360">IF(COUNTIF('Raw Annual DMR Data'!$L:$L,$F360)&gt;0,INDEX('Raw Annual DMR Data'!$B:$B,MATCH(1,($F360='Raw Annual DMR Data'!$L:$L)*($N360='Raw Annual DMR Data'!$S:$S),0)), "N/A - Facility Does Not Report DMRs")</f>
        <v>2019</v>
      </c>
      <c r="Q360" s="304" t="str" cm="1">
        <f t="array" ref="Q360">IF(COUNTIF('Raw TRI Data'!$J:$J,$E360)&gt;0,MEDIAN(IF('Raw TRI Data'!$J:$J=E360,'Raw TRI Data'!$S:$S)), "N/A - Facility Does Not Report to TRI")</f>
        <v>N/A - Facility Does Not Report to TRI</v>
      </c>
      <c r="R360" s="156" t="str">
        <f t="shared" si="31"/>
        <v>N/A - Facility Does Not Report to TRI</v>
      </c>
      <c r="S360" s="156" t="str">
        <f>IF(COUNTIF('Raw TRI Data'!$J:$J,$E360)&gt;0,_xlfn.MAXIFS('Raw TRI Data'!$S:$S,'Raw TRI Data'!$J:$J,$E360), "N/A - Facility Does Not Report to TRI")</f>
        <v>N/A - Facility Does Not Report to TRI</v>
      </c>
      <c r="T360" s="156" t="str">
        <f t="shared" si="32"/>
        <v>N/A - Facility Does Not Report to TRI</v>
      </c>
      <c r="U360" s="136" t="str" cm="1">
        <f t="array" ref="U360">IF(COUNTIF('Raw TRI Data'!$J:$J,$E360)&gt;0,INDEX('Raw TRI Data'!$A:$A,MATCH(1,($E360='Raw TRI Data'!$J:$J)*(S360='Raw TRI Data'!$S:$S),0)), "N/A - Facility Does Not Report to TRI")</f>
        <v>N/A - Facility Does Not Report to TRI</v>
      </c>
      <c r="V360" s="156" t="str" cm="1">
        <f t="array" ref="V360">IF(COUNTIFS('Raw Annual DMR Data'!$L:$L,$F360,'Raw Annual DMR Data'!$U:$U,"&gt;0")&gt;0,MEDIAN(IF('Raw Annual DMR Data'!$L:$L=$F360,'Raw Annual DMR Data'!$U:$U,"")),"N/A - Period DMR Data Not Available")</f>
        <v>N/A - Period DMR Data Not Available</v>
      </c>
      <c r="W360" s="156" t="str">
        <f>IF(COUNTIFS('Raw Annual DMR Data'!$L:$L,$F360, 'Raw Annual DMR Data'!$U:$U, "&gt;0")&gt;0,_xlfn.MAXIFS('Raw Annual DMR Data'!$U:$U,'Raw Annual DMR Data'!$L:$L,$F360), "N/A - Period DMR Data Not Available")</f>
        <v>N/A - Period DMR Data Not Available</v>
      </c>
      <c r="X360" s="113" t="str" cm="1">
        <f t="array" ref="X360">+IF(COUNTIFS('Raw Annual DMR Data'!L:L,$F360, 'Raw Annual DMR Data'!U:U, "&gt;0")&gt;0,INDEX('Raw Annual DMR Data'!V:V,MATCH(1,($F360='Raw Annual DMR Data'!L:L)*($W360='Raw Annual DMR Data'!U:U),0)), "N/A - Period DMR Data Not Available")</f>
        <v>N/A - Period DMR Data Not Available</v>
      </c>
      <c r="Y360" s="113" t="str" cm="1">
        <f t="array" ref="Y360">IF(COUNTIFS('Raw Annual DMR Data'!L:L,$F360, 'Raw Annual DMR Data'!U:U, "&gt;0")&gt;0,INDEX('Raw Annual DMR Data'!B:B,MATCH(1,($F360='Raw Annual DMR Data'!L:L)*($W360='Raw Annual DMR Data'!U:U),0)), "N/A - Period DMR Data Not Available")</f>
        <v>N/A - Period DMR Data Not Available</v>
      </c>
      <c r="Z360" s="311" t="str" cm="1">
        <f t="array" ref="Z360">IF(COUNTIF('Raw Annual DMR Data'!K:K,$E360)&gt;0,"N/A - See DMRs",IF(SUMIFS('Raw TRI Data'!$Z:$Z,'Raw TRI Data'!$J:$J,$E360)&gt;0,MEDIAN(IF('Raw TRI Data'!$J:$J=$E360,'Raw TRI Data'!$Z:$Z)), "N/A - Facility Does Not Report to TRI, no surface water releases, or no Generic Factors available"))</f>
        <v>N/A - Facility Does Not Report to TRI, no surface water releases, or no Generic Factors available</v>
      </c>
      <c r="AA360" s="156" t="str">
        <f>IF(COUNTIF('Raw Annual DMR Data'!K:K,$E360)&gt;0,"N/A - See DMRs",IF(SUMIFS('Raw TRI Data'!$Z:$Z,'Raw TRI Data'!$J:$J,$E360)&gt;0,_xlfn.MAXIFS('Raw TRI Data'!$Z:$Z,'Raw TRI Data'!$J:$J,$E360), "N/A - Facility Does Not Report to TRI, no surface water releases, or no Generic Factors available"))</f>
        <v>N/A - Facility Does Not Report to TRI, no surface water releases, or no Generic Factors available</v>
      </c>
      <c r="AB360" s="113" t="str">
        <f t="shared" si="35"/>
        <v>N/A</v>
      </c>
      <c r="AC360" s="136" t="str" cm="1">
        <f t="array" ref="AC360">IF(COUNTIF('Raw Annual DMR Data'!K:K,$E360)&gt;0,"N/A - See DMRs",IF(SUMIFS('Raw TRI Data'!$Z:$Z,'Raw TRI Data'!$J:$J,$E360)&gt;0,INDEX('Raw TRI Data'!$A:$A,MATCH(1,($E360='Raw TRI Data'!$J:$J)*($AA360='Raw TRI Data'!$Z:$Z),0)), "N/A - Facility Does Not Report to TRI, no surface water releases, or no Generic Factors available"))</f>
        <v>N/A - Facility Does Not Report to TRI, no surface water releases, or no Generic Factors available</v>
      </c>
      <c r="AD360" s="96" t="str" cm="1">
        <f t="array" ref="AD360">IF(COUNTIFS('Raw Annual DMR Data'!L:L,$F360,'Raw Annual DMR Data'!W:W, "&gt;0")&gt;0,MEDIAN(IF('Raw Annual DMR Data'!K:K=$F360, 'Raw Annual DMR Data'!W:W)), "N/A - No Daily Max DMR Discharge Data")</f>
        <v>N/A - No Daily Max DMR Discharge Data</v>
      </c>
      <c r="AE360" s="96" t="str">
        <f>IF(COUNTIFS('Raw Annual DMR Data'!L:L,$F360,'Raw Annual DMR Data'!W:W, "&gt;0")&gt;0,_xlfn.MAXIFS('Raw Annual DMR Data'!W:W,'Raw Annual DMR Data'!L:L,$F360), "N/A - No Daily Max DMR Discharge Data")</f>
        <v>N/A - No Daily Max DMR Discharge Data</v>
      </c>
      <c r="AF360" s="60" t="str" cm="1">
        <f t="array" ref="AF360">IF(COUNTIFS('Raw Annual DMR Data'!L:L,$F360,'Raw Annual DMR Data'!W:W, "&gt;0")&gt;0,INDEX('Raw Annual DMR Data'!B:B,MATCH(1,($F360='Raw Annual DMR Data'!L:L)*($AE360='Raw Annual DMR Data'!W:W),0)), "N/A - No Daily Max DMR Discharge Data")</f>
        <v>N/A - No Daily Max DMR Discharge Data</v>
      </c>
    </row>
    <row r="361" spans="1:32" ht="45.75" thickBot="1" x14ac:dyDescent="0.3">
      <c r="A361" s="144" t="str">
        <f>VLOOKUP(F361,'Facility Summary'!J:K,2,FALSE)</f>
        <v>Unknown</v>
      </c>
      <c r="B361" s="28" t="s">
        <v>1373</v>
      </c>
      <c r="C361" s="28" t="s">
        <v>657</v>
      </c>
      <c r="D361" s="28" t="s">
        <v>418</v>
      </c>
      <c r="E361" s="28"/>
      <c r="F361" s="61">
        <v>110059861065</v>
      </c>
      <c r="G361" s="60" t="str">
        <f>VLOOKUP($F361, 'Raw Annual DMR Data'!$A:$Z, 24, FALSE)</f>
        <v>NV0023558</v>
      </c>
      <c r="H361" s="60" t="str">
        <f>VLOOKUP($F361, 'Raw Annual DMR Data'!$A:$Z, 25, FALSE)</f>
        <v>LAS VEGAS WASH</v>
      </c>
      <c r="I361" s="74">
        <f>VLOOKUP($F361, 'Raw Annual DMR Data'!$A:$Z, 26, FALSE)</f>
        <v>15010015000432</v>
      </c>
      <c r="J361" s="74" t="s">
        <v>265</v>
      </c>
      <c r="K361" s="60">
        <f>VLOOKUP(A361, 'OES Summary'!$A:$B, 2, FALSE)</f>
        <v>250</v>
      </c>
      <c r="L361" s="304" cm="1">
        <f t="array" ref="L361">IF(COUNTIF('Raw Annual DMR Data'!$L:$L,$F361)&gt;0,MEDIAN(IF('Raw Annual DMR Data'!$L:$L=F361,'Raw Annual DMR Data'!$S:$S)),"N/A - Facility Does Not Report DMRs")</f>
        <v>5.5364614375000005E-4</v>
      </c>
      <c r="M361" s="156">
        <f t="shared" si="33"/>
        <v>2.2145845750000004E-6</v>
      </c>
      <c r="N361" s="156">
        <f>IF(COUNTIF('Raw Annual DMR Data'!$L:$L,$F361)&gt;0,_xlfn.MAXIFS('Raw Annual DMR Data'!$S:$S,'Raw Annual DMR Data'!$L:$L,$F361), "N/A - Facility Does Not Report DMRs")</f>
        <v>1.0465051875E-3</v>
      </c>
      <c r="O361" s="156">
        <f t="shared" si="34"/>
        <v>4.1860207500000003E-6</v>
      </c>
      <c r="P361" s="113" cm="1">
        <f t="array" ref="P361">IF(COUNTIF('Raw Annual DMR Data'!$L:$L,$F361)&gt;0,INDEX('Raw Annual DMR Data'!$B:$B,MATCH(1,($F361='Raw Annual DMR Data'!$L:$L)*($N361='Raw Annual DMR Data'!$S:$S),0)), "N/A - Facility Does Not Report DMRs")</f>
        <v>2024</v>
      </c>
      <c r="Q361" s="304" t="str" cm="1">
        <f t="array" ref="Q361">IF(COUNTIF('Raw TRI Data'!$J:$J,$E361)&gt;0,MEDIAN(IF('Raw TRI Data'!$J:$J=E361,'Raw TRI Data'!$S:$S)), "N/A - Facility Does Not Report to TRI")</f>
        <v>N/A - Facility Does Not Report to TRI</v>
      </c>
      <c r="R361" s="156" t="str">
        <f t="shared" si="31"/>
        <v>N/A - Facility Does Not Report to TRI</v>
      </c>
      <c r="S361" s="156" t="str">
        <f>IF(COUNTIF('Raw TRI Data'!$J:$J,$E361)&gt;0,_xlfn.MAXIFS('Raw TRI Data'!$S:$S,'Raw TRI Data'!$J:$J,$E361), "N/A - Facility Does Not Report to TRI")</f>
        <v>N/A - Facility Does Not Report to TRI</v>
      </c>
      <c r="T361" s="156" t="str">
        <f t="shared" si="32"/>
        <v>N/A - Facility Does Not Report to TRI</v>
      </c>
      <c r="U361" s="136" t="str" cm="1">
        <f t="array" ref="U361">IF(COUNTIF('Raw TRI Data'!$J:$J,$E361)&gt;0,INDEX('Raw TRI Data'!$A:$A,MATCH(1,($E361='Raw TRI Data'!$J:$J)*(S361='Raw TRI Data'!$S:$S),0)), "N/A - Facility Does Not Report to TRI")</f>
        <v>N/A - Facility Does Not Report to TRI</v>
      </c>
      <c r="V361" s="156" t="str" cm="1">
        <f t="array" ref="V361">IF(COUNTIFS('Raw Annual DMR Data'!$L:$L,$F361,'Raw Annual DMR Data'!$U:$U,"&gt;0")&gt;0,MEDIAN(IF('Raw Annual DMR Data'!$L:$L=$F361,'Raw Annual DMR Data'!$U:$U,"")),"N/A - Period DMR Data Not Available")</f>
        <v>N/A - Period DMR Data Not Available</v>
      </c>
      <c r="W361" s="156" t="str">
        <f>IF(COUNTIFS('Raw Annual DMR Data'!$L:$L,$F361, 'Raw Annual DMR Data'!$U:$U, "&gt;0")&gt;0,_xlfn.MAXIFS('Raw Annual DMR Data'!$U:$U,'Raw Annual DMR Data'!$L:$L,$F361), "N/A - Period DMR Data Not Available")</f>
        <v>N/A - Period DMR Data Not Available</v>
      </c>
      <c r="X361" s="113" t="str" cm="1">
        <f t="array" ref="X361">+IF(COUNTIFS('Raw Annual DMR Data'!L:L,$F361, 'Raw Annual DMR Data'!U:U, "&gt;0")&gt;0,INDEX('Raw Annual DMR Data'!V:V,MATCH(1,($F361='Raw Annual DMR Data'!L:L)*($W361='Raw Annual DMR Data'!U:U),0)), "N/A - Period DMR Data Not Available")</f>
        <v>N/A - Period DMR Data Not Available</v>
      </c>
      <c r="Y361" s="113" t="str" cm="1">
        <f t="array" ref="Y361">IF(COUNTIFS('Raw Annual DMR Data'!L:L,$F361, 'Raw Annual DMR Data'!U:U, "&gt;0")&gt;0,INDEX('Raw Annual DMR Data'!B:B,MATCH(1,($F361='Raw Annual DMR Data'!L:L)*($W361='Raw Annual DMR Data'!U:U),0)), "N/A - Period DMR Data Not Available")</f>
        <v>N/A - Period DMR Data Not Available</v>
      </c>
      <c r="Z361" s="311" t="str" cm="1">
        <f t="array" ref="Z361">IF(COUNTIF('Raw Annual DMR Data'!K:K,$E361)&gt;0,"N/A - See DMRs",IF(SUMIFS('Raw TRI Data'!$Z:$Z,'Raw TRI Data'!$J:$J,$E361)&gt;0,MEDIAN(IF('Raw TRI Data'!$J:$J=$E361,'Raw TRI Data'!$Z:$Z)), "N/A - Facility Does Not Report to TRI, no surface water releases, or no Generic Factors available"))</f>
        <v>N/A - Facility Does Not Report to TRI, no surface water releases, or no Generic Factors available</v>
      </c>
      <c r="AA361" s="156" t="str">
        <f>IF(COUNTIF('Raw Annual DMR Data'!K:K,$E361)&gt;0,"N/A - See DMRs",IF(SUMIFS('Raw TRI Data'!$Z:$Z,'Raw TRI Data'!$J:$J,$E361)&gt;0,_xlfn.MAXIFS('Raw TRI Data'!$Z:$Z,'Raw TRI Data'!$J:$J,$E361), "N/A - Facility Does Not Report to TRI, no surface water releases, or no Generic Factors available"))</f>
        <v>N/A - Facility Does Not Report to TRI, no surface water releases, or no Generic Factors available</v>
      </c>
      <c r="AB361" s="113" t="str">
        <f t="shared" si="35"/>
        <v>N/A</v>
      </c>
      <c r="AC361" s="136" t="str" cm="1">
        <f t="array" ref="AC361">IF(COUNTIF('Raw Annual DMR Data'!K:K,$E361)&gt;0,"N/A - See DMRs",IF(SUMIFS('Raw TRI Data'!$Z:$Z,'Raw TRI Data'!$J:$J,$E361)&gt;0,INDEX('Raw TRI Data'!$A:$A,MATCH(1,($E361='Raw TRI Data'!$J:$J)*($AA361='Raw TRI Data'!$Z:$Z),0)), "N/A - Facility Does Not Report to TRI, no surface water releases, or no Generic Factors available"))</f>
        <v>N/A - Facility Does Not Report to TRI, no surface water releases, or no Generic Factors available</v>
      </c>
      <c r="AD361" s="96" t="str" cm="1">
        <f t="array" ref="AD361">IF(COUNTIFS('Raw Annual DMR Data'!L:L,$F361,'Raw Annual DMR Data'!W:W, "&gt;0")&gt;0,MEDIAN(IF('Raw Annual DMR Data'!K:K=$F361, 'Raw Annual DMR Data'!W:W)), "N/A - No Daily Max DMR Discharge Data")</f>
        <v>N/A - No Daily Max DMR Discharge Data</v>
      </c>
      <c r="AE361" s="96" t="str">
        <f>IF(COUNTIFS('Raw Annual DMR Data'!L:L,$F361,'Raw Annual DMR Data'!W:W, "&gt;0")&gt;0,_xlfn.MAXIFS('Raw Annual DMR Data'!W:W,'Raw Annual DMR Data'!L:L,$F361), "N/A - No Daily Max DMR Discharge Data")</f>
        <v>N/A - No Daily Max DMR Discharge Data</v>
      </c>
      <c r="AF361" s="60" t="str" cm="1">
        <f t="array" ref="AF361">IF(COUNTIFS('Raw Annual DMR Data'!L:L,$F361,'Raw Annual DMR Data'!W:W, "&gt;0")&gt;0,INDEX('Raw Annual DMR Data'!B:B,MATCH(1,($F361='Raw Annual DMR Data'!L:L)*($AE361='Raw Annual DMR Data'!W:W),0)), "N/A - No Daily Max DMR Discharge Data")</f>
        <v>N/A - No Daily Max DMR Discharge Data</v>
      </c>
    </row>
    <row r="362" spans="1:32" ht="45.75" thickBot="1" x14ac:dyDescent="0.3">
      <c r="A362" s="144" t="str">
        <f>VLOOKUP(F362,'Facility Summary'!J:K,2,FALSE)</f>
        <v>Unknown</v>
      </c>
      <c r="B362" s="28" t="s">
        <v>1374</v>
      </c>
      <c r="C362" s="28" t="s">
        <v>293</v>
      </c>
      <c r="D362" s="28" t="s">
        <v>294</v>
      </c>
      <c r="E362" s="28"/>
      <c r="F362" s="61">
        <v>110010844426</v>
      </c>
      <c r="G362" s="60" t="str">
        <f>VLOOKUP($F362, 'Raw Annual DMR Data'!$A:$Z, 24, FALSE)</f>
        <v>VA0089796</v>
      </c>
      <c r="H362" s="60" t="str">
        <f>VLOOKUP($F362, 'Raw Annual DMR Data'!$A:$Z, 25, FALSE)</f>
        <v>LUBBER RUN, UT (VIA STORM SEWER), POTOMAC RIVER-FOURMILE RUN</v>
      </c>
      <c r="I362" s="74" t="str">
        <f>VLOOKUP($F362, 'Raw Annual DMR Data'!$A:$Z, 26, FALSE)</f>
        <v>02070010001022</v>
      </c>
      <c r="J362" s="74" t="s">
        <v>265</v>
      </c>
      <c r="K362" s="60">
        <f>VLOOKUP(A362, 'OES Summary'!$A:$B, 2, FALSE)</f>
        <v>250</v>
      </c>
      <c r="L362" s="304" cm="1">
        <f t="array" ref="L362">IF(COUNTIF('Raw Annual DMR Data'!$L:$L,$F362)&gt;0,MEDIAN(IF('Raw Annual DMR Data'!$L:$L=F362,'Raw Annual DMR Data'!$S:$S)),"N/A - Facility Does Not Report DMRs")</f>
        <v>8.2548957500000006E-5</v>
      </c>
      <c r="M362" s="156">
        <f t="shared" si="33"/>
        <v>3.3019583000000005E-7</v>
      </c>
      <c r="N362" s="156">
        <f>IF(COUNTIF('Raw Annual DMR Data'!$L:$L,$F362)&gt;0,_xlfn.MAXIFS('Raw Annual DMR Data'!$S:$S,'Raw Annual DMR Data'!$L:$L,$F362), "N/A - Facility Does Not Report DMRs")</f>
        <v>1.4581334E-4</v>
      </c>
      <c r="O362" s="156">
        <f t="shared" si="34"/>
        <v>5.8325336E-7</v>
      </c>
      <c r="P362" s="113" cm="1">
        <f t="array" ref="P362">IF(COUNTIF('Raw Annual DMR Data'!$L:$L,$F362)&gt;0,INDEX('Raw Annual DMR Data'!$B:$B,MATCH(1,($F362='Raw Annual DMR Data'!$L:$L)*($N362='Raw Annual DMR Data'!$S:$S),0)), "N/A - Facility Does Not Report DMRs")</f>
        <v>2018</v>
      </c>
      <c r="Q362" s="304" t="str" cm="1">
        <f t="array" ref="Q362">IF(COUNTIF('Raw TRI Data'!$J:$J,$E362)&gt;0,MEDIAN(IF('Raw TRI Data'!$J:$J=E362,'Raw TRI Data'!$S:$S)), "N/A - Facility Does Not Report to TRI")</f>
        <v>N/A - Facility Does Not Report to TRI</v>
      </c>
      <c r="R362" s="156" t="str">
        <f t="shared" si="31"/>
        <v>N/A - Facility Does Not Report to TRI</v>
      </c>
      <c r="S362" s="156" t="str">
        <f>IF(COUNTIF('Raw TRI Data'!$J:$J,$E362)&gt;0,_xlfn.MAXIFS('Raw TRI Data'!$S:$S,'Raw TRI Data'!$J:$J,$E362), "N/A - Facility Does Not Report to TRI")</f>
        <v>N/A - Facility Does Not Report to TRI</v>
      </c>
      <c r="T362" s="156" t="str">
        <f t="shared" si="32"/>
        <v>N/A - Facility Does Not Report to TRI</v>
      </c>
      <c r="U362" s="136" t="str" cm="1">
        <f t="array" ref="U362">IF(COUNTIF('Raw TRI Data'!$J:$J,$E362)&gt;0,INDEX('Raw TRI Data'!$A:$A,MATCH(1,($E362='Raw TRI Data'!$J:$J)*(S362='Raw TRI Data'!$S:$S),0)), "N/A - Facility Does Not Report to TRI")</f>
        <v>N/A - Facility Does Not Report to TRI</v>
      </c>
      <c r="V362" s="156" t="str" cm="1">
        <f t="array" ref="V362">IF(COUNTIFS('Raw Annual DMR Data'!$L:$L,$F362,'Raw Annual DMR Data'!$U:$U,"&gt;0")&gt;0,MEDIAN(IF('Raw Annual DMR Data'!$L:$L=$F362,'Raw Annual DMR Data'!$U:$U,"")),"N/A - Period DMR Data Not Available")</f>
        <v>N/A - Period DMR Data Not Available</v>
      </c>
      <c r="W362" s="156" t="str">
        <f>IF(COUNTIFS('Raw Annual DMR Data'!$L:$L,$F362, 'Raw Annual DMR Data'!$U:$U, "&gt;0")&gt;0,_xlfn.MAXIFS('Raw Annual DMR Data'!$U:$U,'Raw Annual DMR Data'!$L:$L,$F362), "N/A - Period DMR Data Not Available")</f>
        <v>N/A - Period DMR Data Not Available</v>
      </c>
      <c r="X362" s="113" t="str" cm="1">
        <f t="array" ref="X362">+IF(COUNTIFS('Raw Annual DMR Data'!L:L,$F362, 'Raw Annual DMR Data'!U:U, "&gt;0")&gt;0,INDEX('Raw Annual DMR Data'!V:V,MATCH(1,($F362='Raw Annual DMR Data'!L:L)*($W362='Raw Annual DMR Data'!U:U),0)), "N/A - Period DMR Data Not Available")</f>
        <v>N/A - Period DMR Data Not Available</v>
      </c>
      <c r="Y362" s="113" t="str" cm="1">
        <f t="array" ref="Y362">IF(COUNTIFS('Raw Annual DMR Data'!L:L,$F362, 'Raw Annual DMR Data'!U:U, "&gt;0")&gt;0,INDEX('Raw Annual DMR Data'!B:B,MATCH(1,($F362='Raw Annual DMR Data'!L:L)*($W362='Raw Annual DMR Data'!U:U),0)), "N/A - Period DMR Data Not Available")</f>
        <v>N/A - Period DMR Data Not Available</v>
      </c>
      <c r="Z362" s="311" t="str" cm="1">
        <f t="array" ref="Z362">IF(COUNTIF('Raw Annual DMR Data'!K:K,$E362)&gt;0,"N/A - See DMRs",IF(SUMIFS('Raw TRI Data'!$Z:$Z,'Raw TRI Data'!$J:$J,$E362)&gt;0,MEDIAN(IF('Raw TRI Data'!$J:$J=$E362,'Raw TRI Data'!$Z:$Z)), "N/A - Facility Does Not Report to TRI, no surface water releases, or no Generic Factors available"))</f>
        <v>N/A - Facility Does Not Report to TRI, no surface water releases, or no Generic Factors available</v>
      </c>
      <c r="AA362" s="156" t="str">
        <f>IF(COUNTIF('Raw Annual DMR Data'!K:K,$E362)&gt;0,"N/A - See DMRs",IF(SUMIFS('Raw TRI Data'!$Z:$Z,'Raw TRI Data'!$J:$J,$E362)&gt;0,_xlfn.MAXIFS('Raw TRI Data'!$Z:$Z,'Raw TRI Data'!$J:$J,$E362), "N/A - Facility Does Not Report to TRI, no surface water releases, or no Generic Factors available"))</f>
        <v>N/A - Facility Does Not Report to TRI, no surface water releases, or no Generic Factors available</v>
      </c>
      <c r="AB362" s="113" t="str">
        <f t="shared" si="35"/>
        <v>N/A</v>
      </c>
      <c r="AC362" s="136" t="str" cm="1">
        <f t="array" ref="AC362">IF(COUNTIF('Raw Annual DMR Data'!K:K,$E362)&gt;0,"N/A - See DMRs",IF(SUMIFS('Raw TRI Data'!$Z:$Z,'Raw TRI Data'!$J:$J,$E362)&gt;0,INDEX('Raw TRI Data'!$A:$A,MATCH(1,($E362='Raw TRI Data'!$J:$J)*($AA362='Raw TRI Data'!$Z:$Z),0)), "N/A - Facility Does Not Report to TRI, no surface water releases, or no Generic Factors available"))</f>
        <v>N/A - Facility Does Not Report to TRI, no surface water releases, or no Generic Factors available</v>
      </c>
      <c r="AD362" s="96" t="str" cm="1">
        <f t="array" ref="AD362">IF(COUNTIFS('Raw Annual DMR Data'!L:L,$F362,'Raw Annual DMR Data'!W:W, "&gt;0")&gt;0,MEDIAN(IF('Raw Annual DMR Data'!K:K=$F362, 'Raw Annual DMR Data'!W:W)), "N/A - No Daily Max DMR Discharge Data")</f>
        <v>N/A - No Daily Max DMR Discharge Data</v>
      </c>
      <c r="AE362" s="96" t="str">
        <f>IF(COUNTIFS('Raw Annual DMR Data'!L:L,$F362,'Raw Annual DMR Data'!W:W, "&gt;0")&gt;0,_xlfn.MAXIFS('Raw Annual DMR Data'!W:W,'Raw Annual DMR Data'!L:L,$F362), "N/A - No Daily Max DMR Discharge Data")</f>
        <v>N/A - No Daily Max DMR Discharge Data</v>
      </c>
      <c r="AF362" s="60" t="str" cm="1">
        <f t="array" ref="AF362">IF(COUNTIFS('Raw Annual DMR Data'!L:L,$F362,'Raw Annual DMR Data'!W:W, "&gt;0")&gt;0,INDEX('Raw Annual DMR Data'!B:B,MATCH(1,($F362='Raw Annual DMR Data'!L:L)*($AE362='Raw Annual DMR Data'!W:W),0)), "N/A - No Daily Max DMR Discharge Data")</f>
        <v>N/A - No Daily Max DMR Discharge Data</v>
      </c>
    </row>
    <row r="363" spans="1:32" ht="45.75" thickBot="1" x14ac:dyDescent="0.3">
      <c r="A363" s="144" t="str">
        <f>VLOOKUP(F363,'Facility Summary'!J:K,2,FALSE)</f>
        <v>Unknown</v>
      </c>
      <c r="B363" s="28" t="s">
        <v>1375</v>
      </c>
      <c r="C363" s="28" t="s">
        <v>657</v>
      </c>
      <c r="D363" s="28" t="s">
        <v>418</v>
      </c>
      <c r="E363" s="28"/>
      <c r="F363" s="61">
        <v>110020039402</v>
      </c>
      <c r="G363" s="60" t="str">
        <f>VLOOKUP($F363, 'Raw Annual DMR Data'!$A:$Z, 24, FALSE)</f>
        <v>NV0023256</v>
      </c>
      <c r="H363" s="60" t="str">
        <f>VLOOKUP($F363, 'Raw Annual DMR Data'!$A:$Z, 25, FALSE)</f>
        <v>LAS VEGAS WASH VIA STORM DRAIN</v>
      </c>
      <c r="I363" s="74">
        <f>VLOOKUP($F363, 'Raw Annual DMR Data'!$A:$Z, 26, FALSE)</f>
        <v>15010015000432</v>
      </c>
      <c r="J363" s="74" t="s">
        <v>265</v>
      </c>
      <c r="K363" s="60">
        <f>VLOOKUP(A363, 'OES Summary'!$A:$B, 2, FALSE)</f>
        <v>250</v>
      </c>
      <c r="L363" s="304" cm="1">
        <f t="array" ref="L363">IF(COUNTIF('Raw Annual DMR Data'!$L:$L,$F363)&gt;0,MEDIAN(IF('Raw Annual DMR Data'!$L:$L=F363,'Raw Annual DMR Data'!$S:$S)),"N/A - Facility Does Not Report DMRs")</f>
        <v>8.4777611345812501E-4</v>
      </c>
      <c r="M363" s="156">
        <f t="shared" si="33"/>
        <v>3.3911044538325E-6</v>
      </c>
      <c r="N363" s="156">
        <f>IF(COUNTIF('Raw Annual DMR Data'!$L:$L,$F363)&gt;0,_xlfn.MAXIFS('Raw Annual DMR Data'!$S:$S,'Raw Annual DMR Data'!$L:$L,$F363), "N/A - Facility Does Not Report DMRs")</f>
        <v>1.5766091990000002E-2</v>
      </c>
      <c r="O363" s="156">
        <f t="shared" si="34"/>
        <v>6.3064367960000012E-5</v>
      </c>
      <c r="P363" s="113" cm="1">
        <f t="array" ref="P363">IF(COUNTIF('Raw Annual DMR Data'!$L:$L,$F363)&gt;0,INDEX('Raw Annual DMR Data'!$B:$B,MATCH(1,($F363='Raw Annual DMR Data'!$L:$L)*($N363='Raw Annual DMR Data'!$S:$S),0)), "N/A - Facility Does Not Report DMRs")</f>
        <v>2016</v>
      </c>
      <c r="Q363" s="304" t="str" cm="1">
        <f t="array" ref="Q363">IF(COUNTIF('Raw TRI Data'!$J:$J,$E363)&gt;0,MEDIAN(IF('Raw TRI Data'!$J:$J=E363,'Raw TRI Data'!$S:$S)), "N/A - Facility Does Not Report to TRI")</f>
        <v>N/A - Facility Does Not Report to TRI</v>
      </c>
      <c r="R363" s="156" t="str">
        <f t="shared" si="31"/>
        <v>N/A - Facility Does Not Report to TRI</v>
      </c>
      <c r="S363" s="156" t="str">
        <f>IF(COUNTIF('Raw TRI Data'!$J:$J,$E363)&gt;0,_xlfn.MAXIFS('Raw TRI Data'!$S:$S,'Raw TRI Data'!$J:$J,$E363), "N/A - Facility Does Not Report to TRI")</f>
        <v>N/A - Facility Does Not Report to TRI</v>
      </c>
      <c r="T363" s="156" t="str">
        <f t="shared" si="32"/>
        <v>N/A - Facility Does Not Report to TRI</v>
      </c>
      <c r="U363" s="136" t="str" cm="1">
        <f t="array" ref="U363">IF(COUNTIF('Raw TRI Data'!$J:$J,$E363)&gt;0,INDEX('Raw TRI Data'!$A:$A,MATCH(1,($E363='Raw TRI Data'!$J:$J)*(S363='Raw TRI Data'!$S:$S),0)), "N/A - Facility Does Not Report to TRI")</f>
        <v>N/A - Facility Does Not Report to TRI</v>
      </c>
      <c r="V363" s="156" t="str" cm="1">
        <f t="array" ref="V363">IF(COUNTIFS('Raw Annual DMR Data'!$L:$L,$F363,'Raw Annual DMR Data'!$U:$U,"&gt;0")&gt;0,MEDIAN(IF('Raw Annual DMR Data'!$L:$L=$F363,'Raw Annual DMR Data'!$U:$U,"")),"N/A - Period DMR Data Not Available")</f>
        <v>N/A - Period DMR Data Not Available</v>
      </c>
      <c r="W363" s="156" t="str">
        <f>IF(COUNTIFS('Raw Annual DMR Data'!$L:$L,$F363, 'Raw Annual DMR Data'!$U:$U, "&gt;0")&gt;0,_xlfn.MAXIFS('Raw Annual DMR Data'!$U:$U,'Raw Annual DMR Data'!$L:$L,$F363), "N/A - Period DMR Data Not Available")</f>
        <v>N/A - Period DMR Data Not Available</v>
      </c>
      <c r="X363" s="113" t="str" cm="1">
        <f t="array" ref="X363">+IF(COUNTIFS('Raw Annual DMR Data'!L:L,$F363, 'Raw Annual DMR Data'!U:U, "&gt;0")&gt;0,INDEX('Raw Annual DMR Data'!V:V,MATCH(1,($F363='Raw Annual DMR Data'!L:L)*($W363='Raw Annual DMR Data'!U:U),0)), "N/A - Period DMR Data Not Available")</f>
        <v>N/A - Period DMR Data Not Available</v>
      </c>
      <c r="Y363" s="113" t="str" cm="1">
        <f t="array" ref="Y363">IF(COUNTIFS('Raw Annual DMR Data'!L:L,$F363, 'Raw Annual DMR Data'!U:U, "&gt;0")&gt;0,INDEX('Raw Annual DMR Data'!B:B,MATCH(1,($F363='Raw Annual DMR Data'!L:L)*($W363='Raw Annual DMR Data'!U:U),0)), "N/A - Period DMR Data Not Available")</f>
        <v>N/A - Period DMR Data Not Available</v>
      </c>
      <c r="Z363" s="311" t="str" cm="1">
        <f t="array" ref="Z363">IF(COUNTIF('Raw Annual DMR Data'!K:K,$E363)&gt;0,"N/A - See DMRs",IF(SUMIFS('Raw TRI Data'!$Z:$Z,'Raw TRI Data'!$J:$J,$E363)&gt;0,MEDIAN(IF('Raw TRI Data'!$J:$J=$E363,'Raw TRI Data'!$Z:$Z)), "N/A - Facility Does Not Report to TRI, no surface water releases, or no Generic Factors available"))</f>
        <v>N/A - Facility Does Not Report to TRI, no surface water releases, or no Generic Factors available</v>
      </c>
      <c r="AA363" s="156" t="str">
        <f>IF(COUNTIF('Raw Annual DMR Data'!K:K,$E363)&gt;0,"N/A - See DMRs",IF(SUMIFS('Raw TRI Data'!$Z:$Z,'Raw TRI Data'!$J:$J,$E363)&gt;0,_xlfn.MAXIFS('Raw TRI Data'!$Z:$Z,'Raw TRI Data'!$J:$J,$E363), "N/A - Facility Does Not Report to TRI, no surface water releases, or no Generic Factors available"))</f>
        <v>N/A - Facility Does Not Report to TRI, no surface water releases, or no Generic Factors available</v>
      </c>
      <c r="AB363" s="113" t="str">
        <f t="shared" si="35"/>
        <v>N/A</v>
      </c>
      <c r="AC363" s="136" t="str" cm="1">
        <f t="array" ref="AC363">IF(COUNTIF('Raw Annual DMR Data'!K:K,$E363)&gt;0,"N/A - See DMRs",IF(SUMIFS('Raw TRI Data'!$Z:$Z,'Raw TRI Data'!$J:$J,$E363)&gt;0,INDEX('Raw TRI Data'!$A:$A,MATCH(1,($E363='Raw TRI Data'!$J:$J)*($AA363='Raw TRI Data'!$Z:$Z),0)), "N/A - Facility Does Not Report to TRI, no surface water releases, or no Generic Factors available"))</f>
        <v>N/A - Facility Does Not Report to TRI, no surface water releases, or no Generic Factors available</v>
      </c>
      <c r="AD363" s="96" t="str" cm="1">
        <f t="array" ref="AD363">IF(COUNTIFS('Raw Annual DMR Data'!L:L,$F363,'Raw Annual DMR Data'!W:W, "&gt;0")&gt;0,MEDIAN(IF('Raw Annual DMR Data'!K:K=$F363, 'Raw Annual DMR Data'!W:W)), "N/A - No Daily Max DMR Discharge Data")</f>
        <v>N/A - No Daily Max DMR Discharge Data</v>
      </c>
      <c r="AE363" s="96" t="str">
        <f>IF(COUNTIFS('Raw Annual DMR Data'!L:L,$F363,'Raw Annual DMR Data'!W:W, "&gt;0")&gt;0,_xlfn.MAXIFS('Raw Annual DMR Data'!W:W,'Raw Annual DMR Data'!L:L,$F363), "N/A - No Daily Max DMR Discharge Data")</f>
        <v>N/A - No Daily Max DMR Discharge Data</v>
      </c>
      <c r="AF363" s="60" t="str" cm="1">
        <f t="array" ref="AF363">IF(COUNTIFS('Raw Annual DMR Data'!L:L,$F363,'Raw Annual DMR Data'!W:W, "&gt;0")&gt;0,INDEX('Raw Annual DMR Data'!B:B,MATCH(1,($F363='Raw Annual DMR Data'!L:L)*($AE363='Raw Annual DMR Data'!W:W),0)), "N/A - No Daily Max DMR Discharge Data")</f>
        <v>N/A - No Daily Max DMR Discharge Data</v>
      </c>
    </row>
    <row r="364" spans="1:32" ht="45.75" thickBot="1" x14ac:dyDescent="0.3">
      <c r="A364" s="144" t="str">
        <f>VLOOKUP(F364,'Facility Summary'!J:K,2,FALSE)</f>
        <v>Unknown</v>
      </c>
      <c r="B364" s="28" t="s">
        <v>1376</v>
      </c>
      <c r="C364" s="28" t="s">
        <v>1377</v>
      </c>
      <c r="D364" s="28" t="s">
        <v>601</v>
      </c>
      <c r="E364" s="28"/>
      <c r="F364" s="61">
        <v>110020069076</v>
      </c>
      <c r="G364" s="60" t="str">
        <f>VLOOKUP($F364, 'Raw Annual DMR Data'!$A:$Z, 24, FALSE)</f>
        <v>CT0030406</v>
      </c>
      <c r="H364" s="60" t="str">
        <f>VLOOKUP($F364, 'Raw Annual DMR Data'!$A:$Z, 25, FALSE)</f>
        <v>BALL POND BROOK</v>
      </c>
      <c r="I364" s="74">
        <f>VLOOKUP($F364, 'Raw Annual DMR Data'!$A:$Z, 26, FALSE)</f>
        <v>1100005000445</v>
      </c>
      <c r="J364" s="74" t="s">
        <v>265</v>
      </c>
      <c r="K364" s="60">
        <f>VLOOKUP(A364, 'OES Summary'!$A:$B, 2, FALSE)</f>
        <v>250</v>
      </c>
      <c r="L364" s="304" cm="1">
        <f t="array" ref="L364">IF(COUNTIF('Raw Annual DMR Data'!$L:$L,$F364)&gt;0,MEDIAN(IF('Raw Annual DMR Data'!$L:$L=F364,'Raw Annual DMR Data'!$S:$S)),"N/A - Facility Does Not Report DMRs")</f>
        <v>1.26033686999999E-2</v>
      </c>
      <c r="M364" s="156">
        <f t="shared" si="33"/>
        <v>5.0413474799999603E-5</v>
      </c>
      <c r="N364" s="156">
        <f>IF(COUNTIF('Raw Annual DMR Data'!$L:$L,$F364)&gt;0,_xlfn.MAXIFS('Raw Annual DMR Data'!$S:$S,'Raw Annual DMR Data'!$L:$L,$F364), "N/A - Facility Does Not Report DMRs")</f>
        <v>1.26033686999999E-2</v>
      </c>
      <c r="O364" s="156">
        <f t="shared" si="34"/>
        <v>5.0413474799999603E-5</v>
      </c>
      <c r="P364" s="113" cm="1">
        <f t="array" ref="P364">IF(COUNTIF('Raw Annual DMR Data'!$L:$L,$F364)&gt;0,INDEX('Raw Annual DMR Data'!$B:$B,MATCH(1,($F364='Raw Annual DMR Data'!$L:$L)*($N364='Raw Annual DMR Data'!$S:$S),0)), "N/A - Facility Does Not Report DMRs")</f>
        <v>2016</v>
      </c>
      <c r="Q364" s="304" t="str" cm="1">
        <f t="array" ref="Q364">IF(COUNTIF('Raw TRI Data'!$J:$J,$E364)&gt;0,MEDIAN(IF('Raw TRI Data'!$J:$J=E364,'Raw TRI Data'!$S:$S)), "N/A - Facility Does Not Report to TRI")</f>
        <v>N/A - Facility Does Not Report to TRI</v>
      </c>
      <c r="R364" s="156" t="str">
        <f t="shared" si="31"/>
        <v>N/A - Facility Does Not Report to TRI</v>
      </c>
      <c r="S364" s="156" t="str">
        <f>IF(COUNTIF('Raw TRI Data'!$J:$J,$E364)&gt;0,_xlfn.MAXIFS('Raw TRI Data'!$S:$S,'Raw TRI Data'!$J:$J,$E364), "N/A - Facility Does Not Report to TRI")</f>
        <v>N/A - Facility Does Not Report to TRI</v>
      </c>
      <c r="T364" s="156" t="str">
        <f t="shared" si="32"/>
        <v>N/A - Facility Does Not Report to TRI</v>
      </c>
      <c r="U364" s="136" t="str" cm="1">
        <f t="array" ref="U364">IF(COUNTIF('Raw TRI Data'!$J:$J,$E364)&gt;0,INDEX('Raw TRI Data'!$A:$A,MATCH(1,($E364='Raw TRI Data'!$J:$J)*(S364='Raw TRI Data'!$S:$S),0)), "N/A - Facility Does Not Report to TRI")</f>
        <v>N/A - Facility Does Not Report to TRI</v>
      </c>
      <c r="V364" s="156" t="str" cm="1">
        <f t="array" ref="V364">IF(COUNTIFS('Raw Annual DMR Data'!$L:$L,$F364,'Raw Annual DMR Data'!$U:$U,"&gt;0")&gt;0,MEDIAN(IF('Raw Annual DMR Data'!$L:$L=$F364,'Raw Annual DMR Data'!$U:$U,"")),"N/A - Period DMR Data Not Available")</f>
        <v>N/A - Period DMR Data Not Available</v>
      </c>
      <c r="W364" s="156" t="str">
        <f>IF(COUNTIFS('Raw Annual DMR Data'!$L:$L,$F364, 'Raw Annual DMR Data'!$U:$U, "&gt;0")&gt;0,_xlfn.MAXIFS('Raw Annual DMR Data'!$U:$U,'Raw Annual DMR Data'!$L:$L,$F364), "N/A - Period DMR Data Not Available")</f>
        <v>N/A - Period DMR Data Not Available</v>
      </c>
      <c r="X364" s="113" t="str" cm="1">
        <f t="array" ref="X364">+IF(COUNTIFS('Raw Annual DMR Data'!L:L,$F364, 'Raw Annual DMR Data'!U:U, "&gt;0")&gt;0,INDEX('Raw Annual DMR Data'!V:V,MATCH(1,($F364='Raw Annual DMR Data'!L:L)*($W364='Raw Annual DMR Data'!U:U),0)), "N/A - Period DMR Data Not Available")</f>
        <v>N/A - Period DMR Data Not Available</v>
      </c>
      <c r="Y364" s="113" t="str" cm="1">
        <f t="array" ref="Y364">IF(COUNTIFS('Raw Annual DMR Data'!L:L,$F364, 'Raw Annual DMR Data'!U:U, "&gt;0")&gt;0,INDEX('Raw Annual DMR Data'!B:B,MATCH(1,($F364='Raw Annual DMR Data'!L:L)*($W364='Raw Annual DMR Data'!U:U),0)), "N/A - Period DMR Data Not Available")</f>
        <v>N/A - Period DMR Data Not Available</v>
      </c>
      <c r="Z364" s="311" t="str" cm="1">
        <f t="array" ref="Z364">IF(COUNTIF('Raw Annual DMR Data'!K:K,$E364)&gt;0,"N/A - See DMRs",IF(SUMIFS('Raw TRI Data'!$Z:$Z,'Raw TRI Data'!$J:$J,$E364)&gt;0,MEDIAN(IF('Raw TRI Data'!$J:$J=$E364,'Raw TRI Data'!$Z:$Z)), "N/A - Facility Does Not Report to TRI, no surface water releases, or no Generic Factors available"))</f>
        <v>N/A - Facility Does Not Report to TRI, no surface water releases, or no Generic Factors available</v>
      </c>
      <c r="AA364" s="156" t="str">
        <f>IF(COUNTIF('Raw Annual DMR Data'!K:K,$E364)&gt;0,"N/A - See DMRs",IF(SUMIFS('Raw TRI Data'!$Z:$Z,'Raw TRI Data'!$J:$J,$E364)&gt;0,_xlfn.MAXIFS('Raw TRI Data'!$Z:$Z,'Raw TRI Data'!$J:$J,$E364), "N/A - Facility Does Not Report to TRI, no surface water releases, or no Generic Factors available"))</f>
        <v>N/A - Facility Does Not Report to TRI, no surface water releases, or no Generic Factors available</v>
      </c>
      <c r="AB364" s="113" t="str">
        <f t="shared" si="35"/>
        <v>N/A</v>
      </c>
      <c r="AC364" s="136" t="str" cm="1">
        <f t="array" ref="AC364">IF(COUNTIF('Raw Annual DMR Data'!K:K,$E364)&gt;0,"N/A - See DMRs",IF(SUMIFS('Raw TRI Data'!$Z:$Z,'Raw TRI Data'!$J:$J,$E364)&gt;0,INDEX('Raw TRI Data'!$A:$A,MATCH(1,($E364='Raw TRI Data'!$J:$J)*($AA364='Raw TRI Data'!$Z:$Z),0)), "N/A - Facility Does Not Report to TRI, no surface water releases, or no Generic Factors available"))</f>
        <v>N/A - Facility Does Not Report to TRI, no surface water releases, or no Generic Factors available</v>
      </c>
      <c r="AD364" s="96" t="str" cm="1">
        <f t="array" ref="AD364">IF(COUNTIFS('Raw Annual DMR Data'!L:L,$F364,'Raw Annual DMR Data'!W:W, "&gt;0")&gt;0,MEDIAN(IF('Raw Annual DMR Data'!K:K=$F364, 'Raw Annual DMR Data'!W:W)), "N/A - No Daily Max DMR Discharge Data")</f>
        <v>N/A - No Daily Max DMR Discharge Data</v>
      </c>
      <c r="AE364" s="96" t="str">
        <f>IF(COUNTIFS('Raw Annual DMR Data'!L:L,$F364,'Raw Annual DMR Data'!W:W, "&gt;0")&gt;0,_xlfn.MAXIFS('Raw Annual DMR Data'!W:W,'Raw Annual DMR Data'!L:L,$F364), "N/A - No Daily Max DMR Discharge Data")</f>
        <v>N/A - No Daily Max DMR Discharge Data</v>
      </c>
      <c r="AF364" s="60" t="str" cm="1">
        <f t="array" ref="AF364">IF(COUNTIFS('Raw Annual DMR Data'!L:L,$F364,'Raw Annual DMR Data'!W:W, "&gt;0")&gt;0,INDEX('Raw Annual DMR Data'!B:B,MATCH(1,($F364='Raw Annual DMR Data'!L:L)*($AE364='Raw Annual DMR Data'!W:W),0)), "N/A - No Daily Max DMR Discharge Data")</f>
        <v>N/A - No Daily Max DMR Discharge Data</v>
      </c>
    </row>
    <row r="365" spans="1:32" ht="45.75" thickBot="1" x14ac:dyDescent="0.3">
      <c r="A365" s="144" t="str">
        <f>VLOOKUP(F365,'Facility Summary'!J:K,2,FALSE)</f>
        <v>Unknown</v>
      </c>
      <c r="B365" s="28" t="s">
        <v>1378</v>
      </c>
      <c r="C365" s="28" t="s">
        <v>474</v>
      </c>
      <c r="D365" s="28" t="s">
        <v>338</v>
      </c>
      <c r="E365" s="28"/>
      <c r="F365" s="61">
        <v>110070212009</v>
      </c>
      <c r="G365" s="60" t="str">
        <f>VLOOKUP($F365, 'Raw Annual DMR Data'!$A:$Z, 24, FALSE)</f>
        <v>NJG207802</v>
      </c>
      <c r="H365" s="60" t="str">
        <f>VLOOKUP($F365, 'Raw Annual DMR Data'!$A:$Z, 25, FALSE)</f>
        <v>POMPTON RIVER</v>
      </c>
      <c r="I365" s="74">
        <f>VLOOKUP($F365, 'Raw Annual DMR Data'!$A:$Z, 26, FALSE)</f>
        <v>2030103000052</v>
      </c>
      <c r="J365" s="74" t="s">
        <v>265</v>
      </c>
      <c r="K365" s="60">
        <f>VLOOKUP(A365, 'OES Summary'!$A:$B, 2, FALSE)</f>
        <v>250</v>
      </c>
      <c r="L365" s="304" cm="1">
        <f t="array" ref="L365">IF(COUNTIF('Raw Annual DMR Data'!$L:$L,$F365)&gt;0,MEDIAN(IF('Raw Annual DMR Data'!$L:$L=F365,'Raw Annual DMR Data'!$S:$S)),"N/A - Facility Does Not Report DMRs")</f>
        <v>8.1052436629999898E-4</v>
      </c>
      <c r="M365" s="156">
        <f t="shared" si="33"/>
        <v>3.2420974651999958E-6</v>
      </c>
      <c r="N365" s="156">
        <f>IF(COUNTIF('Raw Annual DMR Data'!$L:$L,$F365)&gt;0,_xlfn.MAXIFS('Raw Annual DMR Data'!$S:$S,'Raw Annual DMR Data'!$L:$L,$F365), "N/A - Facility Does Not Report DMRs")</f>
        <v>1.3795171332000001E-3</v>
      </c>
      <c r="O365" s="156">
        <f t="shared" si="34"/>
        <v>5.5180685328000001E-6</v>
      </c>
      <c r="P365" s="113" cm="1">
        <f t="array" ref="P365">IF(COUNTIF('Raw Annual DMR Data'!$L:$L,$F365)&gt;0,INDEX('Raw Annual DMR Data'!$B:$B,MATCH(1,($F365='Raw Annual DMR Data'!$L:$L)*($N365='Raw Annual DMR Data'!$S:$S),0)), "N/A - Facility Does Not Report DMRs")</f>
        <v>2024</v>
      </c>
      <c r="Q365" s="304" t="str" cm="1">
        <f t="array" ref="Q365">IF(COUNTIF('Raw TRI Data'!$J:$J,$E365)&gt;0,MEDIAN(IF('Raw TRI Data'!$J:$J=E365,'Raw TRI Data'!$S:$S)), "N/A - Facility Does Not Report to TRI")</f>
        <v>N/A - Facility Does Not Report to TRI</v>
      </c>
      <c r="R365" s="156" t="str">
        <f t="shared" si="31"/>
        <v>N/A - Facility Does Not Report to TRI</v>
      </c>
      <c r="S365" s="156" t="str">
        <f>IF(COUNTIF('Raw TRI Data'!$J:$J,$E365)&gt;0,_xlfn.MAXIFS('Raw TRI Data'!$S:$S,'Raw TRI Data'!$J:$J,$E365), "N/A - Facility Does Not Report to TRI")</f>
        <v>N/A - Facility Does Not Report to TRI</v>
      </c>
      <c r="T365" s="156" t="str">
        <f t="shared" si="32"/>
        <v>N/A - Facility Does Not Report to TRI</v>
      </c>
      <c r="U365" s="136" t="str" cm="1">
        <f t="array" ref="U365">IF(COUNTIF('Raw TRI Data'!$J:$J,$E365)&gt;0,INDEX('Raw TRI Data'!$A:$A,MATCH(1,($E365='Raw TRI Data'!$J:$J)*(S365='Raw TRI Data'!$S:$S),0)), "N/A - Facility Does Not Report to TRI")</f>
        <v>N/A - Facility Does Not Report to TRI</v>
      </c>
      <c r="V365" s="156" t="str" cm="1">
        <f t="array" ref="V365">IF(COUNTIFS('Raw Annual DMR Data'!$L:$L,$F365,'Raw Annual DMR Data'!$U:$U,"&gt;0")&gt;0,MEDIAN(IF('Raw Annual DMR Data'!$L:$L=$F365,'Raw Annual DMR Data'!$U:$U,"")),"N/A - Period DMR Data Not Available")</f>
        <v>N/A - Period DMR Data Not Available</v>
      </c>
      <c r="W365" s="156" t="str">
        <f>IF(COUNTIFS('Raw Annual DMR Data'!$L:$L,$F365, 'Raw Annual DMR Data'!$U:$U, "&gt;0")&gt;0,_xlfn.MAXIFS('Raw Annual DMR Data'!$U:$U,'Raw Annual DMR Data'!$L:$L,$F365), "N/A - Period DMR Data Not Available")</f>
        <v>N/A - Period DMR Data Not Available</v>
      </c>
      <c r="X365" s="113" t="str" cm="1">
        <f t="array" ref="X365">+IF(COUNTIFS('Raw Annual DMR Data'!L:L,$F365, 'Raw Annual DMR Data'!U:U, "&gt;0")&gt;0,INDEX('Raw Annual DMR Data'!V:V,MATCH(1,($F365='Raw Annual DMR Data'!L:L)*($W365='Raw Annual DMR Data'!U:U),0)), "N/A - Period DMR Data Not Available")</f>
        <v>N/A - Period DMR Data Not Available</v>
      </c>
      <c r="Y365" s="113" t="str" cm="1">
        <f t="array" ref="Y365">IF(COUNTIFS('Raw Annual DMR Data'!L:L,$F365, 'Raw Annual DMR Data'!U:U, "&gt;0")&gt;0,INDEX('Raw Annual DMR Data'!B:B,MATCH(1,($F365='Raw Annual DMR Data'!L:L)*($W365='Raw Annual DMR Data'!U:U),0)), "N/A - Period DMR Data Not Available")</f>
        <v>N/A - Period DMR Data Not Available</v>
      </c>
      <c r="Z365" s="311" t="str" cm="1">
        <f t="array" ref="Z365">IF(COUNTIF('Raw Annual DMR Data'!K:K,$E365)&gt;0,"N/A - See DMRs",IF(SUMIFS('Raw TRI Data'!$Z:$Z,'Raw TRI Data'!$J:$J,$E365)&gt;0,MEDIAN(IF('Raw TRI Data'!$J:$J=$E365,'Raw TRI Data'!$Z:$Z)), "N/A - Facility Does Not Report to TRI, no surface water releases, or no Generic Factors available"))</f>
        <v>N/A - Facility Does Not Report to TRI, no surface water releases, or no Generic Factors available</v>
      </c>
      <c r="AA365" s="156" t="str">
        <f>IF(COUNTIF('Raw Annual DMR Data'!K:K,$E365)&gt;0,"N/A - See DMRs",IF(SUMIFS('Raw TRI Data'!$Z:$Z,'Raw TRI Data'!$J:$J,$E365)&gt;0,_xlfn.MAXIFS('Raw TRI Data'!$Z:$Z,'Raw TRI Data'!$J:$J,$E365), "N/A - Facility Does Not Report to TRI, no surface water releases, or no Generic Factors available"))</f>
        <v>N/A - Facility Does Not Report to TRI, no surface water releases, or no Generic Factors available</v>
      </c>
      <c r="AB365" s="113" t="str">
        <f t="shared" si="35"/>
        <v>N/A</v>
      </c>
      <c r="AC365" s="136" t="str" cm="1">
        <f t="array" ref="AC365">IF(COUNTIF('Raw Annual DMR Data'!K:K,$E365)&gt;0,"N/A - See DMRs",IF(SUMIFS('Raw TRI Data'!$Z:$Z,'Raw TRI Data'!$J:$J,$E365)&gt;0,INDEX('Raw TRI Data'!$A:$A,MATCH(1,($E365='Raw TRI Data'!$J:$J)*($AA365='Raw TRI Data'!$Z:$Z),0)), "N/A - Facility Does Not Report to TRI, no surface water releases, or no Generic Factors available"))</f>
        <v>N/A - Facility Does Not Report to TRI, no surface water releases, or no Generic Factors available</v>
      </c>
      <c r="AD365" s="96" t="str" cm="1">
        <f t="array" ref="AD365">IF(COUNTIFS('Raw Annual DMR Data'!L:L,$F365,'Raw Annual DMR Data'!W:W, "&gt;0")&gt;0,MEDIAN(IF('Raw Annual DMR Data'!K:K=$F365, 'Raw Annual DMR Data'!W:W)), "N/A - No Daily Max DMR Discharge Data")</f>
        <v>N/A - No Daily Max DMR Discharge Data</v>
      </c>
      <c r="AE365" s="96" t="str">
        <f>IF(COUNTIFS('Raw Annual DMR Data'!L:L,$F365,'Raw Annual DMR Data'!W:W, "&gt;0")&gt;0,_xlfn.MAXIFS('Raw Annual DMR Data'!W:W,'Raw Annual DMR Data'!L:L,$F365), "N/A - No Daily Max DMR Discharge Data")</f>
        <v>N/A - No Daily Max DMR Discharge Data</v>
      </c>
      <c r="AF365" s="60" t="str" cm="1">
        <f t="array" ref="AF365">IF(COUNTIFS('Raw Annual DMR Data'!L:L,$F365,'Raw Annual DMR Data'!W:W, "&gt;0")&gt;0,INDEX('Raw Annual DMR Data'!B:B,MATCH(1,($F365='Raw Annual DMR Data'!L:L)*($AE365='Raw Annual DMR Data'!W:W),0)), "N/A - No Daily Max DMR Discharge Data")</f>
        <v>N/A - No Daily Max DMR Discharge Data</v>
      </c>
    </row>
    <row r="366" spans="1:32" ht="45.75" thickBot="1" x14ac:dyDescent="0.3">
      <c r="A366" s="144" t="str">
        <f>VLOOKUP(F366,'Facility Summary'!J:K,2,FALSE)</f>
        <v>POTW</v>
      </c>
      <c r="B366" s="28" t="s">
        <v>1379</v>
      </c>
      <c r="C366" s="28" t="s">
        <v>1380</v>
      </c>
      <c r="D366" s="28" t="s">
        <v>374</v>
      </c>
      <c r="E366" s="28"/>
      <c r="F366" s="61">
        <v>110010677829</v>
      </c>
      <c r="G366" s="60" t="str">
        <f>VLOOKUP($F366, 'Raw Annual DMR Data'!$A:$Z, 24, FALSE)</f>
        <v>AZ0020231</v>
      </c>
      <c r="H366" s="60">
        <f>VLOOKUP($F366, 'Raw Annual DMR Data'!$A:$Z, 25, FALSE)</f>
        <v>0</v>
      </c>
      <c r="I366" s="74">
        <f>VLOOKUP($F366, 'Raw Annual DMR Data'!$A:$Z, 26, FALSE)</f>
        <v>15070101000221</v>
      </c>
      <c r="J366" s="74" t="s">
        <v>265</v>
      </c>
      <c r="K366" s="60">
        <f>VLOOKUP(A366, 'OES Summary'!$A:$B, 2, FALSE)</f>
        <v>365</v>
      </c>
      <c r="L366" s="304" cm="1">
        <f t="array" ref="L366">IF(COUNTIF('Raw Annual DMR Data'!$L:$L,$F366)&gt;0,MEDIAN(IF('Raw Annual DMR Data'!$L:$L=F366,'Raw Annual DMR Data'!$S:$S)),"N/A - Facility Does Not Report DMRs")</f>
        <v>5.6433714403874999E-2</v>
      </c>
      <c r="M366" s="156">
        <f t="shared" si="33"/>
        <v>1.54612916175E-4</v>
      </c>
      <c r="N366" s="156">
        <f>IF(COUNTIF('Raw Annual DMR Data'!$L:$L,$F366)&gt;0,_xlfn.MAXIFS('Raw Annual DMR Data'!$S:$S,'Raw Annual DMR Data'!$L:$L,$F366), "N/A - Facility Does Not Report DMRs")</f>
        <v>5.6433714403874999E-2</v>
      </c>
      <c r="O366" s="156">
        <f t="shared" si="34"/>
        <v>1.54612916175E-4</v>
      </c>
      <c r="P366" s="113" cm="1">
        <f t="array" ref="P366">IF(COUNTIF('Raw Annual DMR Data'!$L:$L,$F366)&gt;0,INDEX('Raw Annual DMR Data'!$B:$B,MATCH(1,($F366='Raw Annual DMR Data'!$L:$L)*($N366='Raw Annual DMR Data'!$S:$S),0)), "N/A - Facility Does Not Report DMRs")</f>
        <v>2015</v>
      </c>
      <c r="Q366" s="304" t="str" cm="1">
        <f t="array" ref="Q366">IF(COUNTIF('Raw TRI Data'!$J:$J,$E366)&gt;0,MEDIAN(IF('Raw TRI Data'!$J:$J=E366,'Raw TRI Data'!$S:$S)), "N/A - Facility Does Not Report to TRI")</f>
        <v>N/A - Facility Does Not Report to TRI</v>
      </c>
      <c r="R366" s="156" t="str">
        <f t="shared" si="31"/>
        <v>N/A - Facility Does Not Report to TRI</v>
      </c>
      <c r="S366" s="156" t="str">
        <f>IF(COUNTIF('Raw TRI Data'!$J:$J,$E366)&gt;0,_xlfn.MAXIFS('Raw TRI Data'!$S:$S,'Raw TRI Data'!$J:$J,$E366), "N/A - Facility Does Not Report to TRI")</f>
        <v>N/A - Facility Does Not Report to TRI</v>
      </c>
      <c r="T366" s="156" t="str">
        <f t="shared" si="32"/>
        <v>N/A - Facility Does Not Report to TRI</v>
      </c>
      <c r="U366" s="136" t="str" cm="1">
        <f t="array" ref="U366">IF(COUNTIF('Raw TRI Data'!$J:$J,$E366)&gt;0,INDEX('Raw TRI Data'!$A:$A,MATCH(1,($E366='Raw TRI Data'!$J:$J)*(S366='Raw TRI Data'!$S:$S),0)), "N/A - Facility Does Not Report to TRI")</f>
        <v>N/A - Facility Does Not Report to TRI</v>
      </c>
      <c r="V366" s="156" t="str" cm="1">
        <f t="array" ref="V366">IF(COUNTIFS('Raw Annual DMR Data'!$L:$L,$F366,'Raw Annual DMR Data'!$U:$U,"&gt;0")&gt;0,MEDIAN(IF('Raw Annual DMR Data'!$L:$L=$F366,'Raw Annual DMR Data'!$U:$U,"")),"N/A - Period DMR Data Not Available")</f>
        <v>N/A - Period DMR Data Not Available</v>
      </c>
      <c r="W366" s="156" t="str">
        <f>IF(COUNTIFS('Raw Annual DMR Data'!$L:$L,$F366, 'Raw Annual DMR Data'!$U:$U, "&gt;0")&gt;0,_xlfn.MAXIFS('Raw Annual DMR Data'!$U:$U,'Raw Annual DMR Data'!$L:$L,$F366), "N/A - Period DMR Data Not Available")</f>
        <v>N/A - Period DMR Data Not Available</v>
      </c>
      <c r="X366" s="113" t="str" cm="1">
        <f t="array" ref="X366">+IF(COUNTIFS('Raw Annual DMR Data'!L:L,$F366, 'Raw Annual DMR Data'!U:U, "&gt;0")&gt;0,INDEX('Raw Annual DMR Data'!V:V,MATCH(1,($F366='Raw Annual DMR Data'!L:L)*($W366='Raw Annual DMR Data'!U:U),0)), "N/A - Period DMR Data Not Available")</f>
        <v>N/A - Period DMR Data Not Available</v>
      </c>
      <c r="Y366" s="113" t="str" cm="1">
        <f t="array" ref="Y366">IF(COUNTIFS('Raw Annual DMR Data'!L:L,$F366, 'Raw Annual DMR Data'!U:U, "&gt;0")&gt;0,INDEX('Raw Annual DMR Data'!B:B,MATCH(1,($F366='Raw Annual DMR Data'!L:L)*($W366='Raw Annual DMR Data'!U:U),0)), "N/A - Period DMR Data Not Available")</f>
        <v>N/A - Period DMR Data Not Available</v>
      </c>
      <c r="Z366" s="311" t="str" cm="1">
        <f t="array" ref="Z366">IF(COUNTIF('Raw Annual DMR Data'!K:K,$E366)&gt;0,"N/A - See DMRs",IF(SUMIFS('Raw TRI Data'!$Z:$Z,'Raw TRI Data'!$J:$J,$E366)&gt;0,MEDIAN(IF('Raw TRI Data'!$J:$J=$E366,'Raw TRI Data'!$Z:$Z)), "N/A - Facility Does Not Report to TRI, no surface water releases, or no Generic Factors available"))</f>
        <v>N/A - Facility Does Not Report to TRI, no surface water releases, or no Generic Factors available</v>
      </c>
      <c r="AA366" s="156" t="str">
        <f>IF(COUNTIF('Raw Annual DMR Data'!K:K,$E366)&gt;0,"N/A - See DMRs",IF(SUMIFS('Raw TRI Data'!$Z:$Z,'Raw TRI Data'!$J:$J,$E366)&gt;0,_xlfn.MAXIFS('Raw TRI Data'!$Z:$Z,'Raw TRI Data'!$J:$J,$E366), "N/A - Facility Does Not Report to TRI, no surface water releases, or no Generic Factors available"))</f>
        <v>N/A - Facility Does Not Report to TRI, no surface water releases, or no Generic Factors available</v>
      </c>
      <c r="AB366" s="113" t="str">
        <f t="shared" si="35"/>
        <v>N/A</v>
      </c>
      <c r="AC366" s="136" t="str" cm="1">
        <f t="array" ref="AC366">IF(COUNTIF('Raw Annual DMR Data'!K:K,$E366)&gt;0,"N/A - See DMRs",IF(SUMIFS('Raw TRI Data'!$Z:$Z,'Raw TRI Data'!$J:$J,$E366)&gt;0,INDEX('Raw TRI Data'!$A:$A,MATCH(1,($E366='Raw TRI Data'!$J:$J)*($AA366='Raw TRI Data'!$Z:$Z),0)), "N/A - Facility Does Not Report to TRI, no surface water releases, or no Generic Factors available"))</f>
        <v>N/A - Facility Does Not Report to TRI, no surface water releases, or no Generic Factors available</v>
      </c>
      <c r="AD366" s="96" t="str" cm="1">
        <f t="array" ref="AD366">IF(COUNTIFS('Raw Annual DMR Data'!L:L,$F366,'Raw Annual DMR Data'!W:W, "&gt;0")&gt;0,MEDIAN(IF('Raw Annual DMR Data'!K:K=$F366, 'Raw Annual DMR Data'!W:W)), "N/A - No Daily Max DMR Discharge Data")</f>
        <v>N/A - No Daily Max DMR Discharge Data</v>
      </c>
      <c r="AE366" s="96" t="str">
        <f>IF(COUNTIFS('Raw Annual DMR Data'!L:L,$F366,'Raw Annual DMR Data'!W:W, "&gt;0")&gt;0,_xlfn.MAXIFS('Raw Annual DMR Data'!W:W,'Raw Annual DMR Data'!L:L,$F366), "N/A - No Daily Max DMR Discharge Data")</f>
        <v>N/A - No Daily Max DMR Discharge Data</v>
      </c>
      <c r="AF366" s="60" t="str" cm="1">
        <f t="array" ref="AF366">IF(COUNTIFS('Raw Annual DMR Data'!L:L,$F366,'Raw Annual DMR Data'!W:W, "&gt;0")&gt;0,INDEX('Raw Annual DMR Data'!B:B,MATCH(1,($F366='Raw Annual DMR Data'!L:L)*($AE366='Raw Annual DMR Data'!W:W),0)), "N/A - No Daily Max DMR Discharge Data")</f>
        <v>N/A - No Daily Max DMR Discharge Data</v>
      </c>
    </row>
    <row r="367" spans="1:32" ht="45.75" thickBot="1" x14ac:dyDescent="0.3">
      <c r="A367" s="144" t="str">
        <f>VLOOKUP(F367,'Facility Summary'!J:K,2,FALSE)</f>
        <v>POTW</v>
      </c>
      <c r="B367" s="28" t="s">
        <v>1381</v>
      </c>
      <c r="C367" s="28" t="s">
        <v>1382</v>
      </c>
      <c r="D367" s="28" t="s">
        <v>374</v>
      </c>
      <c r="E367" s="28"/>
      <c r="F367" s="61">
        <v>110000914725</v>
      </c>
      <c r="G367" s="60" t="str">
        <f>VLOOKUP($F367, 'Raw Annual DMR Data'!$A:$Z, 24, FALSE)</f>
        <v>AZ0025381</v>
      </c>
      <c r="H367" s="60">
        <f>VLOOKUP($F367, 'Raw Annual DMR Data'!$A:$Z, 25, FALSE)</f>
        <v>0</v>
      </c>
      <c r="I367" s="74">
        <f>VLOOKUP($F367, 'Raw Annual DMR Data'!$A:$Z, 26, FALSE)</f>
        <v>15070102009265</v>
      </c>
      <c r="J367" s="74" t="s">
        <v>265</v>
      </c>
      <c r="K367" s="60">
        <f>VLOOKUP(A367, 'OES Summary'!$A:$B, 2, FALSE)</f>
        <v>365</v>
      </c>
      <c r="L367" s="304" cm="1">
        <f t="array" ref="L367">IF(COUNTIF('Raw Annual DMR Data'!$L:$L,$F367)&gt;0,MEDIAN(IF('Raw Annual DMR Data'!$L:$L=F367,'Raw Annual DMR Data'!$S:$S)),"N/A - Facility Does Not Report DMRs")</f>
        <v>2.9150177500000001</v>
      </c>
      <c r="M367" s="156">
        <f t="shared" si="33"/>
        <v>7.9863499999999997E-3</v>
      </c>
      <c r="N367" s="156">
        <f>IF(COUNTIF('Raw Annual DMR Data'!$L:$L,$F367)&gt;0,_xlfn.MAXIFS('Raw Annual DMR Data'!$S:$S,'Raw Annual DMR Data'!$L:$L,$F367), "N/A - Facility Does Not Report DMRs")</f>
        <v>3.1067279999999999</v>
      </c>
      <c r="O367" s="156">
        <f t="shared" si="34"/>
        <v>8.5115835616438353E-3</v>
      </c>
      <c r="P367" s="113" cm="1">
        <f t="array" ref="P367">IF(COUNTIF('Raw Annual DMR Data'!$L:$L,$F367)&gt;0,INDEX('Raw Annual DMR Data'!$B:$B,MATCH(1,($F367='Raw Annual DMR Data'!$L:$L)*($N367='Raw Annual DMR Data'!$S:$S),0)), "N/A - Facility Does Not Report DMRs")</f>
        <v>2017</v>
      </c>
      <c r="Q367" s="304" t="str" cm="1">
        <f t="array" ref="Q367">IF(COUNTIF('Raw TRI Data'!$J:$J,$E367)&gt;0,MEDIAN(IF('Raw TRI Data'!$J:$J=E367,'Raw TRI Data'!$S:$S)), "N/A - Facility Does Not Report to TRI")</f>
        <v>N/A - Facility Does Not Report to TRI</v>
      </c>
      <c r="R367" s="156" t="str">
        <f t="shared" si="31"/>
        <v>N/A - Facility Does Not Report to TRI</v>
      </c>
      <c r="S367" s="156" t="str">
        <f>IF(COUNTIF('Raw TRI Data'!$J:$J,$E367)&gt;0,_xlfn.MAXIFS('Raw TRI Data'!$S:$S,'Raw TRI Data'!$J:$J,$E367), "N/A - Facility Does Not Report to TRI")</f>
        <v>N/A - Facility Does Not Report to TRI</v>
      </c>
      <c r="T367" s="156" t="str">
        <f t="shared" si="32"/>
        <v>N/A - Facility Does Not Report to TRI</v>
      </c>
      <c r="U367" s="136" t="str" cm="1">
        <f t="array" ref="U367">IF(COUNTIF('Raw TRI Data'!$J:$J,$E367)&gt;0,INDEX('Raw TRI Data'!$A:$A,MATCH(1,($E367='Raw TRI Data'!$J:$J)*(S367='Raw TRI Data'!$S:$S),0)), "N/A - Facility Does Not Report to TRI")</f>
        <v>N/A - Facility Does Not Report to TRI</v>
      </c>
      <c r="V367" s="156" t="str" cm="1">
        <f t="array" ref="V367">IF(COUNTIFS('Raw Annual DMR Data'!$L:$L,$F367,'Raw Annual DMR Data'!$U:$U,"&gt;0")&gt;0,MEDIAN(IF('Raw Annual DMR Data'!$L:$L=$F367,'Raw Annual DMR Data'!$U:$U,"")),"N/A - Period DMR Data Not Available")</f>
        <v>N/A - Period DMR Data Not Available</v>
      </c>
      <c r="W367" s="156" t="str">
        <f>IF(COUNTIFS('Raw Annual DMR Data'!$L:$L,$F367, 'Raw Annual DMR Data'!$U:$U, "&gt;0")&gt;0,_xlfn.MAXIFS('Raw Annual DMR Data'!$U:$U,'Raw Annual DMR Data'!$L:$L,$F367), "N/A - Period DMR Data Not Available")</f>
        <v>N/A - Period DMR Data Not Available</v>
      </c>
      <c r="X367" s="113" t="str" cm="1">
        <f t="array" ref="X367">+IF(COUNTIFS('Raw Annual DMR Data'!L:L,$F367, 'Raw Annual DMR Data'!U:U, "&gt;0")&gt;0,INDEX('Raw Annual DMR Data'!V:V,MATCH(1,($F367='Raw Annual DMR Data'!L:L)*($W367='Raw Annual DMR Data'!U:U),0)), "N/A - Period DMR Data Not Available")</f>
        <v>N/A - Period DMR Data Not Available</v>
      </c>
      <c r="Y367" s="113" t="str" cm="1">
        <f t="array" ref="Y367">IF(COUNTIFS('Raw Annual DMR Data'!L:L,$F367, 'Raw Annual DMR Data'!U:U, "&gt;0")&gt;0,INDEX('Raw Annual DMR Data'!B:B,MATCH(1,($F367='Raw Annual DMR Data'!L:L)*($W367='Raw Annual DMR Data'!U:U),0)), "N/A - Period DMR Data Not Available")</f>
        <v>N/A - Period DMR Data Not Available</v>
      </c>
      <c r="Z367" s="311" t="str" cm="1">
        <f t="array" ref="Z367">IF(COUNTIF('Raw Annual DMR Data'!K:K,$E367)&gt;0,"N/A - See DMRs",IF(SUMIFS('Raw TRI Data'!$Z:$Z,'Raw TRI Data'!$J:$J,$E367)&gt;0,MEDIAN(IF('Raw TRI Data'!$J:$J=$E367,'Raw TRI Data'!$Z:$Z)), "N/A - Facility Does Not Report to TRI, no surface water releases, or no Generic Factors available"))</f>
        <v>N/A - Facility Does Not Report to TRI, no surface water releases, or no Generic Factors available</v>
      </c>
      <c r="AA367" s="156" t="str">
        <f>IF(COUNTIF('Raw Annual DMR Data'!K:K,$E367)&gt;0,"N/A - See DMRs",IF(SUMIFS('Raw TRI Data'!$Z:$Z,'Raw TRI Data'!$J:$J,$E367)&gt;0,_xlfn.MAXIFS('Raw TRI Data'!$Z:$Z,'Raw TRI Data'!$J:$J,$E367), "N/A - Facility Does Not Report to TRI, no surface water releases, or no Generic Factors available"))</f>
        <v>N/A - Facility Does Not Report to TRI, no surface water releases, or no Generic Factors available</v>
      </c>
      <c r="AB367" s="113" t="str">
        <f t="shared" si="35"/>
        <v>N/A</v>
      </c>
      <c r="AC367" s="136" t="str" cm="1">
        <f t="array" ref="AC367">IF(COUNTIF('Raw Annual DMR Data'!K:K,$E367)&gt;0,"N/A - See DMRs",IF(SUMIFS('Raw TRI Data'!$Z:$Z,'Raw TRI Data'!$J:$J,$E367)&gt;0,INDEX('Raw TRI Data'!$A:$A,MATCH(1,($E367='Raw TRI Data'!$J:$J)*($AA367='Raw TRI Data'!$Z:$Z),0)), "N/A - Facility Does Not Report to TRI, no surface water releases, or no Generic Factors available"))</f>
        <v>N/A - Facility Does Not Report to TRI, no surface water releases, or no Generic Factors available</v>
      </c>
      <c r="AD367" s="96" t="str" cm="1">
        <f t="array" ref="AD367">IF(COUNTIFS('Raw Annual DMR Data'!L:L,$F367,'Raw Annual DMR Data'!W:W, "&gt;0")&gt;0,MEDIAN(IF('Raw Annual DMR Data'!K:K=$F367, 'Raw Annual DMR Data'!W:W)), "N/A - No Daily Max DMR Discharge Data")</f>
        <v>N/A - No Daily Max DMR Discharge Data</v>
      </c>
      <c r="AE367" s="96" t="str">
        <f>IF(COUNTIFS('Raw Annual DMR Data'!L:L,$F367,'Raw Annual DMR Data'!W:W, "&gt;0")&gt;0,_xlfn.MAXIFS('Raw Annual DMR Data'!W:W,'Raw Annual DMR Data'!L:L,$F367), "N/A - No Daily Max DMR Discharge Data")</f>
        <v>N/A - No Daily Max DMR Discharge Data</v>
      </c>
      <c r="AF367" s="60" t="str" cm="1">
        <f t="array" ref="AF367">IF(COUNTIFS('Raw Annual DMR Data'!L:L,$F367,'Raw Annual DMR Data'!W:W, "&gt;0")&gt;0,INDEX('Raw Annual DMR Data'!B:B,MATCH(1,($F367='Raw Annual DMR Data'!L:L)*($AE367='Raw Annual DMR Data'!W:W),0)), "N/A - No Daily Max DMR Discharge Data")</f>
        <v>N/A - No Daily Max DMR Discharge Data</v>
      </c>
    </row>
    <row r="368" spans="1:32" ht="45.75" thickBot="1" x14ac:dyDescent="0.3">
      <c r="A368" s="144" t="str">
        <f>VLOOKUP(F368,'Facility Summary'!J:K,2,FALSE)</f>
        <v>Repackaging</v>
      </c>
      <c r="B368" s="28" t="s">
        <v>1383</v>
      </c>
      <c r="C368" s="28" t="s">
        <v>516</v>
      </c>
      <c r="D368" s="28" t="s">
        <v>303</v>
      </c>
      <c r="E368" s="28"/>
      <c r="F368" s="61">
        <v>110000911309</v>
      </c>
      <c r="G368" s="60" t="str">
        <f>VLOOKUP($F368, 'Raw Annual DMR Data'!$A:$Z, 24, FALSE)</f>
        <v>LA0098191</v>
      </c>
      <c r="H368" s="60" t="str">
        <f>VLOOKUP($F368, 'Raw Annual DMR Data'!$A:$Z, 25, FALSE)</f>
        <v>NEW RIVER</v>
      </c>
      <c r="I368" s="74">
        <f>VLOOKUP($F368, 'Raw Annual DMR Data'!$A:$Z, 26, FALSE)</f>
        <v>8070204000034</v>
      </c>
      <c r="J368" s="74" t="s">
        <v>265</v>
      </c>
      <c r="K368" s="60">
        <f>VLOOKUP(A368, 'OES Summary'!$A:$B, 2, FALSE)</f>
        <v>250</v>
      </c>
      <c r="L368" s="304" cm="1">
        <f t="array" ref="L368">IF(COUNTIF('Raw Annual DMR Data'!$L:$L,$F368)&gt;0,MEDIAN(IF('Raw Annual DMR Data'!$L:$L=F368,'Raw Annual DMR Data'!$S:$S)),"N/A - Facility Does Not Report DMRs")</f>
        <v>7.3983439668999992E-3</v>
      </c>
      <c r="M368" s="156">
        <f t="shared" si="33"/>
        <v>2.9593375867599997E-5</v>
      </c>
      <c r="N368" s="156">
        <f>IF(COUNTIF('Raw Annual DMR Data'!$L:$L,$F368)&gt;0,_xlfn.MAXIFS('Raw Annual DMR Data'!$S:$S,'Raw Annual DMR Data'!$L:$L,$F368), "N/A - Facility Does Not Report DMRs")</f>
        <v>2.3930662500000002E-2</v>
      </c>
      <c r="O368" s="156">
        <f t="shared" si="34"/>
        <v>9.5722650000000008E-5</v>
      </c>
      <c r="P368" s="113" cm="1">
        <f t="array" ref="P368">IF(COUNTIF('Raw Annual DMR Data'!$L:$L,$F368)&gt;0,INDEX('Raw Annual DMR Data'!$B:$B,MATCH(1,($F368='Raw Annual DMR Data'!$L:$L)*($N368='Raw Annual DMR Data'!$S:$S),0)), "N/A - Facility Does Not Report DMRs")</f>
        <v>2020</v>
      </c>
      <c r="Q368" s="304" t="str" cm="1">
        <f t="array" ref="Q368">IF(COUNTIF('Raw TRI Data'!$J:$J,$E368)&gt;0,MEDIAN(IF('Raw TRI Data'!$J:$J=E368,'Raw TRI Data'!$S:$S)), "N/A - Facility Does Not Report to TRI")</f>
        <v>N/A - Facility Does Not Report to TRI</v>
      </c>
      <c r="R368" s="156" t="str">
        <f t="shared" si="31"/>
        <v>N/A - Facility Does Not Report to TRI</v>
      </c>
      <c r="S368" s="156" t="str">
        <f>IF(COUNTIF('Raw TRI Data'!$J:$J,$E368)&gt;0,_xlfn.MAXIFS('Raw TRI Data'!$S:$S,'Raw TRI Data'!$J:$J,$E368), "N/A - Facility Does Not Report to TRI")</f>
        <v>N/A - Facility Does Not Report to TRI</v>
      </c>
      <c r="T368" s="156" t="str">
        <f t="shared" si="32"/>
        <v>N/A - Facility Does Not Report to TRI</v>
      </c>
      <c r="U368" s="136" t="str" cm="1">
        <f t="array" ref="U368">IF(COUNTIF('Raw TRI Data'!$J:$J,$E368)&gt;0,INDEX('Raw TRI Data'!$A:$A,MATCH(1,($E368='Raw TRI Data'!$J:$J)*(S368='Raw TRI Data'!$S:$S),0)), "N/A - Facility Does Not Report to TRI")</f>
        <v>N/A - Facility Does Not Report to TRI</v>
      </c>
      <c r="V368" s="156" t="str" cm="1">
        <f t="array" ref="V368">IF(COUNTIFS('Raw Annual DMR Data'!$L:$L,$F368,'Raw Annual DMR Data'!$U:$U,"&gt;0")&gt;0,MEDIAN(IF('Raw Annual DMR Data'!$L:$L=$F368,'Raw Annual DMR Data'!$U:$U,"")),"N/A - Period DMR Data Not Available")</f>
        <v>N/A - Period DMR Data Not Available</v>
      </c>
      <c r="W368" s="156" t="str">
        <f>IF(COUNTIFS('Raw Annual DMR Data'!$L:$L,$F368, 'Raw Annual DMR Data'!$U:$U, "&gt;0")&gt;0,_xlfn.MAXIFS('Raw Annual DMR Data'!$U:$U,'Raw Annual DMR Data'!$L:$L,$F368), "N/A - Period DMR Data Not Available")</f>
        <v>N/A - Period DMR Data Not Available</v>
      </c>
      <c r="X368" s="113" t="str" cm="1">
        <f t="array" ref="X368">+IF(COUNTIFS('Raw Annual DMR Data'!L:L,$F368, 'Raw Annual DMR Data'!U:U, "&gt;0")&gt;0,INDEX('Raw Annual DMR Data'!V:V,MATCH(1,($F368='Raw Annual DMR Data'!L:L)*($W368='Raw Annual DMR Data'!U:U),0)), "N/A - Period DMR Data Not Available")</f>
        <v>N/A - Period DMR Data Not Available</v>
      </c>
      <c r="Y368" s="113" t="str" cm="1">
        <f t="array" ref="Y368">IF(COUNTIFS('Raw Annual DMR Data'!L:L,$F368, 'Raw Annual DMR Data'!U:U, "&gt;0")&gt;0,INDEX('Raw Annual DMR Data'!B:B,MATCH(1,($F368='Raw Annual DMR Data'!L:L)*($W368='Raw Annual DMR Data'!U:U),0)), "N/A - Period DMR Data Not Available")</f>
        <v>N/A - Period DMR Data Not Available</v>
      </c>
      <c r="Z368" s="311" t="str" cm="1">
        <f t="array" ref="Z368">IF(COUNTIF('Raw Annual DMR Data'!K:K,$E368)&gt;0,"N/A - See DMRs",IF(SUMIFS('Raw TRI Data'!$Z:$Z,'Raw TRI Data'!$J:$J,$E368)&gt;0,MEDIAN(IF('Raw TRI Data'!$J:$J=$E368,'Raw TRI Data'!$Z:$Z)), "N/A - Facility Does Not Report to TRI, no surface water releases, or no Generic Factors available"))</f>
        <v>N/A - Facility Does Not Report to TRI, no surface water releases, or no Generic Factors available</v>
      </c>
      <c r="AA368" s="156" t="str">
        <f>IF(COUNTIF('Raw Annual DMR Data'!K:K,$E368)&gt;0,"N/A - See DMRs",IF(SUMIFS('Raw TRI Data'!$Z:$Z,'Raw TRI Data'!$J:$J,$E368)&gt;0,_xlfn.MAXIFS('Raw TRI Data'!$Z:$Z,'Raw TRI Data'!$J:$J,$E368), "N/A - Facility Does Not Report to TRI, no surface water releases, or no Generic Factors available"))</f>
        <v>N/A - Facility Does Not Report to TRI, no surface water releases, or no Generic Factors available</v>
      </c>
      <c r="AB368" s="113" t="str">
        <f t="shared" si="35"/>
        <v>N/A</v>
      </c>
      <c r="AC368" s="136" t="str" cm="1">
        <f t="array" ref="AC368">IF(COUNTIF('Raw Annual DMR Data'!K:K,$E368)&gt;0,"N/A - See DMRs",IF(SUMIFS('Raw TRI Data'!$Z:$Z,'Raw TRI Data'!$J:$J,$E368)&gt;0,INDEX('Raw TRI Data'!$A:$A,MATCH(1,($E368='Raw TRI Data'!$J:$J)*($AA368='Raw TRI Data'!$Z:$Z),0)), "N/A - Facility Does Not Report to TRI, no surface water releases, or no Generic Factors available"))</f>
        <v>N/A - Facility Does Not Report to TRI, no surface water releases, or no Generic Factors available</v>
      </c>
      <c r="AD368" s="96" t="str" cm="1">
        <f t="array" ref="AD368">IF(COUNTIFS('Raw Annual DMR Data'!L:L,$F368,'Raw Annual DMR Data'!W:W, "&gt;0")&gt;0,MEDIAN(IF('Raw Annual DMR Data'!K:K=$F368, 'Raw Annual DMR Data'!W:W)), "N/A - No Daily Max DMR Discharge Data")</f>
        <v>N/A - No Daily Max DMR Discharge Data</v>
      </c>
      <c r="AE368" s="96" t="str">
        <f>IF(COUNTIFS('Raw Annual DMR Data'!L:L,$F368,'Raw Annual DMR Data'!W:W, "&gt;0")&gt;0,_xlfn.MAXIFS('Raw Annual DMR Data'!W:W,'Raw Annual DMR Data'!L:L,$F368), "N/A - No Daily Max DMR Discharge Data")</f>
        <v>N/A - No Daily Max DMR Discharge Data</v>
      </c>
      <c r="AF368" s="60" t="str" cm="1">
        <f t="array" ref="AF368">IF(COUNTIFS('Raw Annual DMR Data'!L:L,$F368,'Raw Annual DMR Data'!W:W, "&gt;0")&gt;0,INDEX('Raw Annual DMR Data'!B:B,MATCH(1,($F368='Raw Annual DMR Data'!L:L)*($AE368='Raw Annual DMR Data'!W:W),0)), "N/A - No Daily Max DMR Discharge Data")</f>
        <v>N/A - No Daily Max DMR Discharge Data</v>
      </c>
    </row>
    <row r="369" spans="1:32" ht="45.75" thickBot="1" x14ac:dyDescent="0.3">
      <c r="A369" s="144" t="str">
        <f>VLOOKUP(F369,'Facility Summary'!J:K,2,FALSE)</f>
        <v>POTW</v>
      </c>
      <c r="B369" s="28" t="s">
        <v>1384</v>
      </c>
      <c r="C369" s="28" t="s">
        <v>1385</v>
      </c>
      <c r="D369" s="28" t="s">
        <v>374</v>
      </c>
      <c r="E369" s="28"/>
      <c r="F369" s="61">
        <v>110024409344</v>
      </c>
      <c r="G369" s="60" t="str">
        <f>VLOOKUP($F369, 'Raw Annual DMR Data'!$A:$Z, 24, FALSE)</f>
        <v>NN0020290</v>
      </c>
      <c r="H369" s="60" t="str">
        <f>VLOOKUP($F369, 'Raw Annual DMR Data'!$A:$Z, 25, FALSE)</f>
        <v>KERLEY VALLEY-MOENKOPI WASH (LOCAL DRAINAGE)</v>
      </c>
      <c r="I369" s="74">
        <f>VLOOKUP($F369, 'Raw Annual DMR Data'!$A:$Z, 26, FALSE)</f>
        <v>14080204013964</v>
      </c>
      <c r="J369" s="74" t="s">
        <v>265</v>
      </c>
      <c r="K369" s="60">
        <f>VLOOKUP(A369, 'OES Summary'!$A:$B, 2, FALSE)</f>
        <v>365</v>
      </c>
      <c r="L369" s="304" cm="1">
        <f t="array" ref="L369">IF(COUNTIF('Raw Annual DMR Data'!$L:$L,$F369)&gt;0,MEDIAN(IF('Raw Annual DMR Data'!$L:$L=F369,'Raw Annual DMR Data'!$S:$S)),"N/A - Facility Does Not Report DMRs")</f>
        <v>1.5342876000000001</v>
      </c>
      <c r="M369" s="156">
        <f t="shared" si="33"/>
        <v>4.2035276712328769E-3</v>
      </c>
      <c r="N369" s="156">
        <f>IF(COUNTIF('Raw Annual DMR Data'!$L:$L,$F369)&gt;0,_xlfn.MAXIFS('Raw Annual DMR Data'!$S:$S,'Raw Annual DMR Data'!$L:$L,$F369), "N/A - Facility Does Not Report DMRs")</f>
        <v>1.9834611200000001</v>
      </c>
      <c r="O369" s="156">
        <f t="shared" si="34"/>
        <v>5.434140054794521E-3</v>
      </c>
      <c r="P369" s="113" cm="1">
        <f t="array" ref="P369">IF(COUNTIF('Raw Annual DMR Data'!$L:$L,$F369)&gt;0,INDEX('Raw Annual DMR Data'!$B:$B,MATCH(1,($F369='Raw Annual DMR Data'!$L:$L)*($N369='Raw Annual DMR Data'!$S:$S),0)), "N/A - Facility Does Not Report DMRs")</f>
        <v>2022</v>
      </c>
      <c r="Q369" s="304" t="str" cm="1">
        <f t="array" ref="Q369">IF(COUNTIF('Raw TRI Data'!$J:$J,$E369)&gt;0,MEDIAN(IF('Raw TRI Data'!$J:$J=E369,'Raw TRI Data'!$S:$S)), "N/A - Facility Does Not Report to TRI")</f>
        <v>N/A - Facility Does Not Report to TRI</v>
      </c>
      <c r="R369" s="156" t="str">
        <f t="shared" si="31"/>
        <v>N/A - Facility Does Not Report to TRI</v>
      </c>
      <c r="S369" s="156" t="str">
        <f>IF(COUNTIF('Raw TRI Data'!$J:$J,$E369)&gt;0,_xlfn.MAXIFS('Raw TRI Data'!$S:$S,'Raw TRI Data'!$J:$J,$E369), "N/A - Facility Does Not Report to TRI")</f>
        <v>N/A - Facility Does Not Report to TRI</v>
      </c>
      <c r="T369" s="156" t="str">
        <f t="shared" si="32"/>
        <v>N/A - Facility Does Not Report to TRI</v>
      </c>
      <c r="U369" s="136" t="str" cm="1">
        <f t="array" ref="U369">IF(COUNTIF('Raw TRI Data'!$J:$J,$E369)&gt;0,INDEX('Raw TRI Data'!$A:$A,MATCH(1,($E369='Raw TRI Data'!$J:$J)*(S369='Raw TRI Data'!$S:$S),0)), "N/A - Facility Does Not Report to TRI")</f>
        <v>N/A - Facility Does Not Report to TRI</v>
      </c>
      <c r="V369" s="156" t="str" cm="1">
        <f t="array" ref="V369">IF(COUNTIFS('Raw Annual DMR Data'!$L:$L,$F369,'Raw Annual DMR Data'!$U:$U,"&gt;0")&gt;0,MEDIAN(IF('Raw Annual DMR Data'!$L:$L=$F369,'Raw Annual DMR Data'!$U:$U,"")),"N/A - Period DMR Data Not Available")</f>
        <v>N/A - Period DMR Data Not Available</v>
      </c>
      <c r="W369" s="156" t="str">
        <f>IF(COUNTIFS('Raw Annual DMR Data'!$L:$L,$F369, 'Raw Annual DMR Data'!$U:$U, "&gt;0")&gt;0,_xlfn.MAXIFS('Raw Annual DMR Data'!$U:$U,'Raw Annual DMR Data'!$L:$L,$F369), "N/A - Period DMR Data Not Available")</f>
        <v>N/A - Period DMR Data Not Available</v>
      </c>
      <c r="X369" s="113" t="str" cm="1">
        <f t="array" ref="X369">+IF(COUNTIFS('Raw Annual DMR Data'!L:L,$F369, 'Raw Annual DMR Data'!U:U, "&gt;0")&gt;0,INDEX('Raw Annual DMR Data'!V:V,MATCH(1,($F369='Raw Annual DMR Data'!L:L)*($W369='Raw Annual DMR Data'!U:U),0)), "N/A - Period DMR Data Not Available")</f>
        <v>N/A - Period DMR Data Not Available</v>
      </c>
      <c r="Y369" s="113" t="str" cm="1">
        <f t="array" ref="Y369">IF(COUNTIFS('Raw Annual DMR Data'!L:L,$F369, 'Raw Annual DMR Data'!U:U, "&gt;0")&gt;0,INDEX('Raw Annual DMR Data'!B:B,MATCH(1,($F369='Raw Annual DMR Data'!L:L)*($W369='Raw Annual DMR Data'!U:U),0)), "N/A - Period DMR Data Not Available")</f>
        <v>N/A - Period DMR Data Not Available</v>
      </c>
      <c r="Z369" s="311" t="str" cm="1">
        <f t="array" ref="Z369">IF(COUNTIF('Raw Annual DMR Data'!K:K,$E369)&gt;0,"N/A - See DMRs",IF(SUMIFS('Raw TRI Data'!$Z:$Z,'Raw TRI Data'!$J:$J,$E369)&gt;0,MEDIAN(IF('Raw TRI Data'!$J:$J=$E369,'Raw TRI Data'!$Z:$Z)), "N/A - Facility Does Not Report to TRI, no surface water releases, or no Generic Factors available"))</f>
        <v>N/A - Facility Does Not Report to TRI, no surface water releases, or no Generic Factors available</v>
      </c>
      <c r="AA369" s="156" t="str">
        <f>IF(COUNTIF('Raw Annual DMR Data'!K:K,$E369)&gt;0,"N/A - See DMRs",IF(SUMIFS('Raw TRI Data'!$Z:$Z,'Raw TRI Data'!$J:$J,$E369)&gt;0,_xlfn.MAXIFS('Raw TRI Data'!$Z:$Z,'Raw TRI Data'!$J:$J,$E369), "N/A - Facility Does Not Report to TRI, no surface water releases, or no Generic Factors available"))</f>
        <v>N/A - Facility Does Not Report to TRI, no surface water releases, or no Generic Factors available</v>
      </c>
      <c r="AB369" s="113" t="str">
        <f t="shared" si="35"/>
        <v>N/A</v>
      </c>
      <c r="AC369" s="136" t="str" cm="1">
        <f t="array" ref="AC369">IF(COUNTIF('Raw Annual DMR Data'!K:K,$E369)&gt;0,"N/A - See DMRs",IF(SUMIFS('Raw TRI Data'!$Z:$Z,'Raw TRI Data'!$J:$J,$E369)&gt;0,INDEX('Raw TRI Data'!$A:$A,MATCH(1,($E369='Raw TRI Data'!$J:$J)*($AA369='Raw TRI Data'!$Z:$Z),0)), "N/A - Facility Does Not Report to TRI, no surface water releases, or no Generic Factors available"))</f>
        <v>N/A - Facility Does Not Report to TRI, no surface water releases, or no Generic Factors available</v>
      </c>
      <c r="AD369" s="96" t="str" cm="1">
        <f t="array" ref="AD369">IF(COUNTIFS('Raw Annual DMR Data'!L:L,$F369,'Raw Annual DMR Data'!W:W, "&gt;0")&gt;0,MEDIAN(IF('Raw Annual DMR Data'!K:K=$F369, 'Raw Annual DMR Data'!W:W)), "N/A - No Daily Max DMR Discharge Data")</f>
        <v>N/A - No Daily Max DMR Discharge Data</v>
      </c>
      <c r="AE369" s="96" t="str">
        <f>IF(COUNTIFS('Raw Annual DMR Data'!L:L,$F369,'Raw Annual DMR Data'!W:W, "&gt;0")&gt;0,_xlfn.MAXIFS('Raw Annual DMR Data'!W:W,'Raw Annual DMR Data'!L:L,$F369), "N/A - No Daily Max DMR Discharge Data")</f>
        <v>N/A - No Daily Max DMR Discharge Data</v>
      </c>
      <c r="AF369" s="60" t="str" cm="1">
        <f t="array" ref="AF369">IF(COUNTIFS('Raw Annual DMR Data'!L:L,$F369,'Raw Annual DMR Data'!W:W, "&gt;0")&gt;0,INDEX('Raw Annual DMR Data'!B:B,MATCH(1,($F369='Raw Annual DMR Data'!L:L)*($AE369='Raw Annual DMR Data'!W:W),0)), "N/A - No Daily Max DMR Discharge Data")</f>
        <v>N/A - No Daily Max DMR Discharge Data</v>
      </c>
    </row>
    <row r="370" spans="1:32" ht="45.75" thickBot="1" x14ac:dyDescent="0.3">
      <c r="A370" s="144" t="str">
        <f>VLOOKUP(F370,'Facility Summary'!J:K,2,FALSE)</f>
        <v>POTW</v>
      </c>
      <c r="B370" s="28" t="s">
        <v>1386</v>
      </c>
      <c r="C370" s="28" t="s">
        <v>1314</v>
      </c>
      <c r="D370" s="28" t="s">
        <v>374</v>
      </c>
      <c r="E370" s="28"/>
      <c r="F370" s="61">
        <v>110059716776</v>
      </c>
      <c r="G370" s="60" t="str">
        <f>VLOOKUP($F370, 'Raw Annual DMR Data'!$A:$Z, 24, FALSE)</f>
        <v>NN0030344</v>
      </c>
      <c r="H370" s="60" t="str">
        <f>VLOOKUP($F370, 'Raw Annual DMR Data'!$A:$Z, 25, FALSE)</f>
        <v>TRIBUTARY TO PADRE CANYON</v>
      </c>
      <c r="I370" s="74">
        <f>VLOOKUP($F370, 'Raw Annual DMR Data'!$A:$Z, 26, FALSE)</f>
        <v>15020015000049</v>
      </c>
      <c r="J370" s="74" t="s">
        <v>265</v>
      </c>
      <c r="K370" s="60">
        <f>VLOOKUP(A370, 'OES Summary'!$A:$B, 2, FALSE)</f>
        <v>365</v>
      </c>
      <c r="L370" s="304" cm="1">
        <f t="array" ref="L370">IF(COUNTIF('Raw Annual DMR Data'!$L:$L,$F370)&gt;0,MEDIAN(IF('Raw Annual DMR Data'!$L:$L=F370,'Raw Annual DMR Data'!$S:$S)),"N/A - Facility Does Not Report DMRs")</f>
        <v>6.2679600000000002E-2</v>
      </c>
      <c r="M370" s="156">
        <f t="shared" si="33"/>
        <v>1.7172493150684933E-4</v>
      </c>
      <c r="N370" s="156">
        <f>IF(COUNTIF('Raw Annual DMR Data'!$L:$L,$F370)&gt;0,_xlfn.MAXIFS('Raw Annual DMR Data'!$S:$S,'Raw Annual DMR Data'!$L:$L,$F370), "N/A - Facility Does Not Report DMRs")</f>
        <v>6.2679600000000002E-2</v>
      </c>
      <c r="O370" s="156">
        <f t="shared" si="34"/>
        <v>1.7172493150684933E-4</v>
      </c>
      <c r="P370" s="113" cm="1">
        <f t="array" ref="P370">IF(COUNTIF('Raw Annual DMR Data'!$L:$L,$F370)&gt;0,INDEX('Raw Annual DMR Data'!$B:$B,MATCH(1,($F370='Raw Annual DMR Data'!$L:$L)*($N370='Raw Annual DMR Data'!$S:$S),0)), "N/A - Facility Does Not Report DMRs")</f>
        <v>2018</v>
      </c>
      <c r="Q370" s="304" t="str" cm="1">
        <f t="array" ref="Q370">IF(COUNTIF('Raw TRI Data'!$J:$J,$E370)&gt;0,MEDIAN(IF('Raw TRI Data'!$J:$J=E370,'Raw TRI Data'!$S:$S)), "N/A - Facility Does Not Report to TRI")</f>
        <v>N/A - Facility Does Not Report to TRI</v>
      </c>
      <c r="R370" s="156" t="str">
        <f t="shared" si="31"/>
        <v>N/A - Facility Does Not Report to TRI</v>
      </c>
      <c r="S370" s="156" t="str">
        <f>IF(COUNTIF('Raw TRI Data'!$J:$J,$E370)&gt;0,_xlfn.MAXIFS('Raw TRI Data'!$S:$S,'Raw TRI Data'!$J:$J,$E370), "N/A - Facility Does Not Report to TRI")</f>
        <v>N/A - Facility Does Not Report to TRI</v>
      </c>
      <c r="T370" s="156" t="str">
        <f t="shared" si="32"/>
        <v>N/A - Facility Does Not Report to TRI</v>
      </c>
      <c r="U370" s="136" t="str" cm="1">
        <f t="array" ref="U370">IF(COUNTIF('Raw TRI Data'!$J:$J,$E370)&gt;0,INDEX('Raw TRI Data'!$A:$A,MATCH(1,($E370='Raw TRI Data'!$J:$J)*(S370='Raw TRI Data'!$S:$S),0)), "N/A - Facility Does Not Report to TRI")</f>
        <v>N/A - Facility Does Not Report to TRI</v>
      </c>
      <c r="V370" s="156" t="str" cm="1">
        <f t="array" ref="V370">IF(COUNTIFS('Raw Annual DMR Data'!$L:$L,$F370,'Raw Annual DMR Data'!$U:$U,"&gt;0")&gt;0,MEDIAN(IF('Raw Annual DMR Data'!$L:$L=$F370,'Raw Annual DMR Data'!$U:$U,"")),"N/A - Period DMR Data Not Available")</f>
        <v>N/A - Period DMR Data Not Available</v>
      </c>
      <c r="W370" s="156" t="str">
        <f>IF(COUNTIFS('Raw Annual DMR Data'!$L:$L,$F370, 'Raw Annual DMR Data'!$U:$U, "&gt;0")&gt;0,_xlfn.MAXIFS('Raw Annual DMR Data'!$U:$U,'Raw Annual DMR Data'!$L:$L,$F370), "N/A - Period DMR Data Not Available")</f>
        <v>N/A - Period DMR Data Not Available</v>
      </c>
      <c r="X370" s="113" t="str" cm="1">
        <f t="array" ref="X370">+IF(COUNTIFS('Raw Annual DMR Data'!L:L,$F370, 'Raw Annual DMR Data'!U:U, "&gt;0")&gt;0,INDEX('Raw Annual DMR Data'!V:V,MATCH(1,($F370='Raw Annual DMR Data'!L:L)*($W370='Raw Annual DMR Data'!U:U),0)), "N/A - Period DMR Data Not Available")</f>
        <v>N/A - Period DMR Data Not Available</v>
      </c>
      <c r="Y370" s="113" t="str" cm="1">
        <f t="array" ref="Y370">IF(COUNTIFS('Raw Annual DMR Data'!L:L,$F370, 'Raw Annual DMR Data'!U:U, "&gt;0")&gt;0,INDEX('Raw Annual DMR Data'!B:B,MATCH(1,($F370='Raw Annual DMR Data'!L:L)*($W370='Raw Annual DMR Data'!U:U),0)), "N/A - Period DMR Data Not Available")</f>
        <v>N/A - Period DMR Data Not Available</v>
      </c>
      <c r="Z370" s="311" t="str" cm="1">
        <f t="array" ref="Z370">IF(COUNTIF('Raw Annual DMR Data'!K:K,$E370)&gt;0,"N/A - See DMRs",IF(SUMIFS('Raw TRI Data'!$Z:$Z,'Raw TRI Data'!$J:$J,$E370)&gt;0,MEDIAN(IF('Raw TRI Data'!$J:$J=$E370,'Raw TRI Data'!$Z:$Z)), "N/A - Facility Does Not Report to TRI, no surface water releases, or no Generic Factors available"))</f>
        <v>N/A - Facility Does Not Report to TRI, no surface water releases, or no Generic Factors available</v>
      </c>
      <c r="AA370" s="156" t="str">
        <f>IF(COUNTIF('Raw Annual DMR Data'!K:K,$E370)&gt;0,"N/A - See DMRs",IF(SUMIFS('Raw TRI Data'!$Z:$Z,'Raw TRI Data'!$J:$J,$E370)&gt;0,_xlfn.MAXIFS('Raw TRI Data'!$Z:$Z,'Raw TRI Data'!$J:$J,$E370), "N/A - Facility Does Not Report to TRI, no surface water releases, or no Generic Factors available"))</f>
        <v>N/A - Facility Does Not Report to TRI, no surface water releases, or no Generic Factors available</v>
      </c>
      <c r="AB370" s="113" t="str">
        <f t="shared" si="35"/>
        <v>N/A</v>
      </c>
      <c r="AC370" s="136" t="str" cm="1">
        <f t="array" ref="AC370">IF(COUNTIF('Raw Annual DMR Data'!K:K,$E370)&gt;0,"N/A - See DMRs",IF(SUMIFS('Raw TRI Data'!$Z:$Z,'Raw TRI Data'!$J:$J,$E370)&gt;0,INDEX('Raw TRI Data'!$A:$A,MATCH(1,($E370='Raw TRI Data'!$J:$J)*($AA370='Raw TRI Data'!$Z:$Z),0)), "N/A - Facility Does Not Report to TRI, no surface water releases, or no Generic Factors available"))</f>
        <v>N/A - Facility Does Not Report to TRI, no surface water releases, or no Generic Factors available</v>
      </c>
      <c r="AD370" s="96" t="str" cm="1">
        <f t="array" ref="AD370">IF(COUNTIFS('Raw Annual DMR Data'!L:L,$F370,'Raw Annual DMR Data'!W:W, "&gt;0")&gt;0,MEDIAN(IF('Raw Annual DMR Data'!K:K=$F370, 'Raw Annual DMR Data'!W:W)), "N/A - No Daily Max DMR Discharge Data")</f>
        <v>N/A - No Daily Max DMR Discharge Data</v>
      </c>
      <c r="AE370" s="96" t="str">
        <f>IF(COUNTIFS('Raw Annual DMR Data'!L:L,$F370,'Raw Annual DMR Data'!W:W, "&gt;0")&gt;0,_xlfn.MAXIFS('Raw Annual DMR Data'!W:W,'Raw Annual DMR Data'!L:L,$F370), "N/A - No Daily Max DMR Discharge Data")</f>
        <v>N/A - No Daily Max DMR Discharge Data</v>
      </c>
      <c r="AF370" s="60" t="str" cm="1">
        <f t="array" ref="AF370">IF(COUNTIFS('Raw Annual DMR Data'!L:L,$F370,'Raw Annual DMR Data'!W:W, "&gt;0")&gt;0,INDEX('Raw Annual DMR Data'!B:B,MATCH(1,($F370='Raw Annual DMR Data'!L:L)*($AE370='Raw Annual DMR Data'!W:W),0)), "N/A - No Daily Max DMR Discharge Data")</f>
        <v>N/A - No Daily Max DMR Discharge Data</v>
      </c>
    </row>
    <row r="371" spans="1:32" ht="45.75" thickBot="1" x14ac:dyDescent="0.3">
      <c r="A371" s="144" t="str">
        <f>VLOOKUP(F371,'Facility Summary'!J:K,2,FALSE)</f>
        <v>Unknown</v>
      </c>
      <c r="B371" s="28" t="s">
        <v>1387</v>
      </c>
      <c r="C371" s="28" t="s">
        <v>1388</v>
      </c>
      <c r="D371" s="28" t="s">
        <v>294</v>
      </c>
      <c r="E371" s="28"/>
      <c r="F371" s="61">
        <v>110070684897</v>
      </c>
      <c r="G371" s="60" t="str">
        <f>VLOOKUP($F371, 'Raw Annual DMR Data'!$A:$Z, 24, FALSE)</f>
        <v>VAG830552</v>
      </c>
      <c r="H371" s="60" t="str">
        <f>VLOOKUP($F371, 'Raw Annual DMR Data'!$A:$Z, 25, FALSE)</f>
        <v>DIFFICULT RUN</v>
      </c>
      <c r="I371" s="74">
        <f>VLOOKUP($F371, 'Raw Annual DMR Data'!$A:$Z, 26, FALSE)</f>
        <v>0</v>
      </c>
      <c r="J371" s="74" t="s">
        <v>265</v>
      </c>
      <c r="K371" s="60">
        <f>VLOOKUP(A371, 'OES Summary'!$A:$B, 2, FALSE)</f>
        <v>250</v>
      </c>
      <c r="L371" s="304" cm="1">
        <f t="array" ref="L371">IF(COUNTIF('Raw Annual DMR Data'!$L:$L,$F371)&gt;0,MEDIAN(IF('Raw Annual DMR Data'!$L:$L=F371,'Raw Annual DMR Data'!$S:$S)),"N/A - Facility Does Not Report DMRs")</f>
        <v>6.0584772825000004E-3</v>
      </c>
      <c r="M371" s="156">
        <f t="shared" si="33"/>
        <v>2.4233909130000001E-5</v>
      </c>
      <c r="N371" s="156">
        <f>IF(COUNTIF('Raw Annual DMR Data'!$L:$L,$F371)&gt;0,_xlfn.MAXIFS('Raw Annual DMR Data'!$S:$S,'Raw Annual DMR Data'!$L:$L,$F371), "N/A - Facility Does Not Report DMRs")</f>
        <v>1.9963328727272699E-2</v>
      </c>
      <c r="O371" s="156">
        <f t="shared" si="34"/>
        <v>7.9853314909090797E-5</v>
      </c>
      <c r="P371" s="113" cm="1">
        <f t="array" ref="P371">IF(COUNTIF('Raw Annual DMR Data'!$L:$L,$F371)&gt;0,INDEX('Raw Annual DMR Data'!$B:$B,MATCH(1,($F371='Raw Annual DMR Data'!$L:$L)*($N371='Raw Annual DMR Data'!$S:$S),0)), "N/A - Facility Does Not Report DMRs")</f>
        <v>2020</v>
      </c>
      <c r="Q371" s="304" t="str" cm="1">
        <f t="array" ref="Q371">IF(COUNTIF('Raw TRI Data'!$J:$J,$E371)&gt;0,MEDIAN(IF('Raw TRI Data'!$J:$J=E371,'Raw TRI Data'!$S:$S)), "N/A - Facility Does Not Report to TRI")</f>
        <v>N/A - Facility Does Not Report to TRI</v>
      </c>
      <c r="R371" s="156" t="str">
        <f t="shared" si="31"/>
        <v>N/A - Facility Does Not Report to TRI</v>
      </c>
      <c r="S371" s="156" t="str">
        <f>IF(COUNTIF('Raw TRI Data'!$J:$J,$E371)&gt;0,_xlfn.MAXIFS('Raw TRI Data'!$S:$S,'Raw TRI Data'!$J:$J,$E371), "N/A - Facility Does Not Report to TRI")</f>
        <v>N/A - Facility Does Not Report to TRI</v>
      </c>
      <c r="T371" s="156" t="str">
        <f t="shared" si="32"/>
        <v>N/A - Facility Does Not Report to TRI</v>
      </c>
      <c r="U371" s="136" t="str" cm="1">
        <f t="array" ref="U371">IF(COUNTIF('Raw TRI Data'!$J:$J,$E371)&gt;0,INDEX('Raw TRI Data'!$A:$A,MATCH(1,($E371='Raw TRI Data'!$J:$J)*(S371='Raw TRI Data'!$S:$S),0)), "N/A - Facility Does Not Report to TRI")</f>
        <v>N/A - Facility Does Not Report to TRI</v>
      </c>
      <c r="V371" s="156" t="str" cm="1">
        <f t="array" ref="V371">IF(COUNTIFS('Raw Annual DMR Data'!$L:$L,$F371,'Raw Annual DMR Data'!$U:$U,"&gt;0")&gt;0,MEDIAN(IF('Raw Annual DMR Data'!$L:$L=$F371,'Raw Annual DMR Data'!$U:$U,"")),"N/A - Period DMR Data Not Available")</f>
        <v>N/A - Period DMR Data Not Available</v>
      </c>
      <c r="W371" s="156" t="str">
        <f>IF(COUNTIFS('Raw Annual DMR Data'!$L:$L,$F371, 'Raw Annual DMR Data'!$U:$U, "&gt;0")&gt;0,_xlfn.MAXIFS('Raw Annual DMR Data'!$U:$U,'Raw Annual DMR Data'!$L:$L,$F371), "N/A - Period DMR Data Not Available")</f>
        <v>N/A - Period DMR Data Not Available</v>
      </c>
      <c r="X371" s="113" t="str" cm="1">
        <f t="array" ref="X371">+IF(COUNTIFS('Raw Annual DMR Data'!L:L,$F371, 'Raw Annual DMR Data'!U:U, "&gt;0")&gt;0,INDEX('Raw Annual DMR Data'!V:V,MATCH(1,($F371='Raw Annual DMR Data'!L:L)*($W371='Raw Annual DMR Data'!U:U),0)), "N/A - Period DMR Data Not Available")</f>
        <v>N/A - Period DMR Data Not Available</v>
      </c>
      <c r="Y371" s="113" t="str" cm="1">
        <f t="array" ref="Y371">IF(COUNTIFS('Raw Annual DMR Data'!L:L,$F371, 'Raw Annual DMR Data'!U:U, "&gt;0")&gt;0,INDEX('Raw Annual DMR Data'!B:B,MATCH(1,($F371='Raw Annual DMR Data'!L:L)*($W371='Raw Annual DMR Data'!U:U),0)), "N/A - Period DMR Data Not Available")</f>
        <v>N/A - Period DMR Data Not Available</v>
      </c>
      <c r="Z371" s="311" t="str" cm="1">
        <f t="array" ref="Z371">IF(COUNTIF('Raw Annual DMR Data'!K:K,$E371)&gt;0,"N/A - See DMRs",IF(SUMIFS('Raw TRI Data'!$Z:$Z,'Raw TRI Data'!$J:$J,$E371)&gt;0,MEDIAN(IF('Raw TRI Data'!$J:$J=$E371,'Raw TRI Data'!$Z:$Z)), "N/A - Facility Does Not Report to TRI, no surface water releases, or no Generic Factors available"))</f>
        <v>N/A - Facility Does Not Report to TRI, no surface water releases, or no Generic Factors available</v>
      </c>
      <c r="AA371" s="156" t="str">
        <f>IF(COUNTIF('Raw Annual DMR Data'!K:K,$E371)&gt;0,"N/A - See DMRs",IF(SUMIFS('Raw TRI Data'!$Z:$Z,'Raw TRI Data'!$J:$J,$E371)&gt;0,_xlfn.MAXIFS('Raw TRI Data'!$Z:$Z,'Raw TRI Data'!$J:$J,$E371), "N/A - Facility Does Not Report to TRI, no surface water releases, or no Generic Factors available"))</f>
        <v>N/A - Facility Does Not Report to TRI, no surface water releases, or no Generic Factors available</v>
      </c>
      <c r="AB371" s="113" t="str">
        <f t="shared" si="35"/>
        <v>N/A</v>
      </c>
      <c r="AC371" s="136" t="str" cm="1">
        <f t="array" ref="AC371">IF(COUNTIF('Raw Annual DMR Data'!K:K,$E371)&gt;0,"N/A - See DMRs",IF(SUMIFS('Raw TRI Data'!$Z:$Z,'Raw TRI Data'!$J:$J,$E371)&gt;0,INDEX('Raw TRI Data'!$A:$A,MATCH(1,($E371='Raw TRI Data'!$J:$J)*($AA371='Raw TRI Data'!$Z:$Z),0)), "N/A - Facility Does Not Report to TRI, no surface water releases, or no Generic Factors available"))</f>
        <v>N/A - Facility Does Not Report to TRI, no surface water releases, or no Generic Factors available</v>
      </c>
      <c r="AD371" s="96" t="str" cm="1">
        <f t="array" ref="AD371">IF(COUNTIFS('Raw Annual DMR Data'!L:L,$F371,'Raw Annual DMR Data'!W:W, "&gt;0")&gt;0,MEDIAN(IF('Raw Annual DMR Data'!K:K=$F371, 'Raw Annual DMR Data'!W:W)), "N/A - No Daily Max DMR Discharge Data")</f>
        <v>N/A - No Daily Max DMR Discharge Data</v>
      </c>
      <c r="AE371" s="96" t="str">
        <f>IF(COUNTIFS('Raw Annual DMR Data'!L:L,$F371,'Raw Annual DMR Data'!W:W, "&gt;0")&gt;0,_xlfn.MAXIFS('Raw Annual DMR Data'!W:W,'Raw Annual DMR Data'!L:L,$F371), "N/A - No Daily Max DMR Discharge Data")</f>
        <v>N/A - No Daily Max DMR Discharge Data</v>
      </c>
      <c r="AF371" s="60" t="str" cm="1">
        <f t="array" ref="AF371">IF(COUNTIFS('Raw Annual DMR Data'!L:L,$F371,'Raw Annual DMR Data'!W:W, "&gt;0")&gt;0,INDEX('Raw Annual DMR Data'!B:B,MATCH(1,($F371='Raw Annual DMR Data'!L:L)*($AE371='Raw Annual DMR Data'!W:W),0)), "N/A - No Daily Max DMR Discharge Data")</f>
        <v>N/A - No Daily Max DMR Discharge Data</v>
      </c>
    </row>
    <row r="372" spans="1:32" ht="45.75" thickBot="1" x14ac:dyDescent="0.3">
      <c r="A372" s="144" t="str">
        <f>VLOOKUP(F372,'Facility Summary'!J:K,2,FALSE)</f>
        <v>Unknown</v>
      </c>
      <c r="B372" s="28" t="s">
        <v>1389</v>
      </c>
      <c r="C372" s="28" t="s">
        <v>358</v>
      </c>
      <c r="D372" s="28" t="s">
        <v>275</v>
      </c>
      <c r="E372" s="28"/>
      <c r="F372" s="61">
        <v>110062644367</v>
      </c>
      <c r="G372" s="60" t="str">
        <f>VLOOKUP($F372, 'Raw Annual DMR Data'!$A:$Z, 24, FALSE)</f>
        <v>IDG911001</v>
      </c>
      <c r="H372" s="60" t="str">
        <f>VLOOKUP($F372, 'Raw Annual DMR Data'!$A:$Z, 25, FALSE)</f>
        <v>FITCH LATERAL</v>
      </c>
      <c r="I372" s="74">
        <f>VLOOKUP($F372, 'Raw Annual DMR Data'!$A:$Z, 26, FALSE)</f>
        <v>17050114001337</v>
      </c>
      <c r="J372" s="74" t="s">
        <v>265</v>
      </c>
      <c r="K372" s="60">
        <f>VLOOKUP(A372, 'OES Summary'!$A:$B, 2, FALSE)</f>
        <v>250</v>
      </c>
      <c r="L372" s="304" cm="1">
        <f t="array" ref="L372">IF(COUNTIF('Raw Annual DMR Data'!$L:$L,$F372)&gt;0,MEDIAN(IF('Raw Annual DMR Data'!$L:$L=F372,'Raw Annual DMR Data'!$S:$S)),"N/A - Facility Does Not Report DMRs")</f>
        <v>9.9784617374999961E-3</v>
      </c>
      <c r="M372" s="156">
        <f t="shared" si="33"/>
        <v>3.9913846949999983E-5</v>
      </c>
      <c r="N372" s="156">
        <f>IF(COUNTIF('Raw Annual DMR Data'!$L:$L,$F372)&gt;0,_xlfn.MAXIFS('Raw Annual DMR Data'!$S:$S,'Raw Annual DMR Data'!$L:$L,$F372), "N/A - Facility Does Not Report DMRs")</f>
        <v>6.6055474532727199E-2</v>
      </c>
      <c r="O372" s="156">
        <f t="shared" si="34"/>
        <v>2.6422189813090881E-4</v>
      </c>
      <c r="P372" s="113" cm="1">
        <f t="array" ref="P372">IF(COUNTIF('Raw Annual DMR Data'!$L:$L,$F372)&gt;0,INDEX('Raw Annual DMR Data'!$B:$B,MATCH(1,($F372='Raw Annual DMR Data'!$L:$L)*($N372='Raw Annual DMR Data'!$S:$S),0)), "N/A - Facility Does Not Report DMRs")</f>
        <v>2015</v>
      </c>
      <c r="Q372" s="304" t="str" cm="1">
        <f t="array" ref="Q372">IF(COUNTIF('Raw TRI Data'!$J:$J,$E372)&gt;0,MEDIAN(IF('Raw TRI Data'!$J:$J=E372,'Raw TRI Data'!$S:$S)), "N/A - Facility Does Not Report to TRI")</f>
        <v>N/A - Facility Does Not Report to TRI</v>
      </c>
      <c r="R372" s="156" t="str">
        <f t="shared" si="31"/>
        <v>N/A - Facility Does Not Report to TRI</v>
      </c>
      <c r="S372" s="156" t="str">
        <f>IF(COUNTIF('Raw TRI Data'!$J:$J,$E372)&gt;0,_xlfn.MAXIFS('Raw TRI Data'!$S:$S,'Raw TRI Data'!$J:$J,$E372), "N/A - Facility Does Not Report to TRI")</f>
        <v>N/A - Facility Does Not Report to TRI</v>
      </c>
      <c r="T372" s="156" t="str">
        <f t="shared" si="32"/>
        <v>N/A - Facility Does Not Report to TRI</v>
      </c>
      <c r="U372" s="136" t="str" cm="1">
        <f t="array" ref="U372">IF(COUNTIF('Raw TRI Data'!$J:$J,$E372)&gt;0,INDEX('Raw TRI Data'!$A:$A,MATCH(1,($E372='Raw TRI Data'!$J:$J)*(S372='Raw TRI Data'!$S:$S),0)), "N/A - Facility Does Not Report to TRI")</f>
        <v>N/A - Facility Does Not Report to TRI</v>
      </c>
      <c r="V372" s="156" t="str" cm="1">
        <f t="array" ref="V372">IF(COUNTIFS('Raw Annual DMR Data'!$L:$L,$F372,'Raw Annual DMR Data'!$U:$U,"&gt;0")&gt;0,MEDIAN(IF('Raw Annual DMR Data'!$L:$L=$F372,'Raw Annual DMR Data'!$U:$U,"")),"N/A - Period DMR Data Not Available")</f>
        <v>N/A - Period DMR Data Not Available</v>
      </c>
      <c r="W372" s="156" t="str">
        <f>IF(COUNTIFS('Raw Annual DMR Data'!$L:$L,$F372, 'Raw Annual DMR Data'!$U:$U, "&gt;0")&gt;0,_xlfn.MAXIFS('Raw Annual DMR Data'!$U:$U,'Raw Annual DMR Data'!$L:$L,$F372), "N/A - Period DMR Data Not Available")</f>
        <v>N/A - Period DMR Data Not Available</v>
      </c>
      <c r="X372" s="113" t="str" cm="1">
        <f t="array" ref="X372">+IF(COUNTIFS('Raw Annual DMR Data'!L:L,$F372, 'Raw Annual DMR Data'!U:U, "&gt;0")&gt;0,INDEX('Raw Annual DMR Data'!V:V,MATCH(1,($F372='Raw Annual DMR Data'!L:L)*($W372='Raw Annual DMR Data'!U:U),0)), "N/A - Period DMR Data Not Available")</f>
        <v>N/A - Period DMR Data Not Available</v>
      </c>
      <c r="Y372" s="113" t="str" cm="1">
        <f t="array" ref="Y372">IF(COUNTIFS('Raw Annual DMR Data'!L:L,$F372, 'Raw Annual DMR Data'!U:U, "&gt;0")&gt;0,INDEX('Raw Annual DMR Data'!B:B,MATCH(1,($F372='Raw Annual DMR Data'!L:L)*($W372='Raw Annual DMR Data'!U:U),0)), "N/A - Period DMR Data Not Available")</f>
        <v>N/A - Period DMR Data Not Available</v>
      </c>
      <c r="Z372" s="311" t="str" cm="1">
        <f t="array" ref="Z372">IF(COUNTIF('Raw Annual DMR Data'!K:K,$E372)&gt;0,"N/A - See DMRs",IF(SUMIFS('Raw TRI Data'!$Z:$Z,'Raw TRI Data'!$J:$J,$E372)&gt;0,MEDIAN(IF('Raw TRI Data'!$J:$J=$E372,'Raw TRI Data'!$Z:$Z)), "N/A - Facility Does Not Report to TRI, no surface water releases, or no Generic Factors available"))</f>
        <v>N/A - Facility Does Not Report to TRI, no surface water releases, or no Generic Factors available</v>
      </c>
      <c r="AA372" s="156" t="str">
        <f>IF(COUNTIF('Raw Annual DMR Data'!K:K,$E372)&gt;0,"N/A - See DMRs",IF(SUMIFS('Raw TRI Data'!$Z:$Z,'Raw TRI Data'!$J:$J,$E372)&gt;0,_xlfn.MAXIFS('Raw TRI Data'!$Z:$Z,'Raw TRI Data'!$J:$J,$E372), "N/A - Facility Does Not Report to TRI, no surface water releases, or no Generic Factors available"))</f>
        <v>N/A - Facility Does Not Report to TRI, no surface water releases, or no Generic Factors available</v>
      </c>
      <c r="AB372" s="113" t="str">
        <f t="shared" si="35"/>
        <v>N/A</v>
      </c>
      <c r="AC372" s="136" t="str" cm="1">
        <f t="array" ref="AC372">IF(COUNTIF('Raw Annual DMR Data'!K:K,$E372)&gt;0,"N/A - See DMRs",IF(SUMIFS('Raw TRI Data'!$Z:$Z,'Raw TRI Data'!$J:$J,$E372)&gt;0,INDEX('Raw TRI Data'!$A:$A,MATCH(1,($E372='Raw TRI Data'!$J:$J)*($AA372='Raw TRI Data'!$Z:$Z),0)), "N/A - Facility Does Not Report to TRI, no surface water releases, or no Generic Factors available"))</f>
        <v>N/A - Facility Does Not Report to TRI, no surface water releases, or no Generic Factors available</v>
      </c>
      <c r="AD372" s="96" t="str" cm="1">
        <f t="array" ref="AD372">IF(COUNTIFS('Raw Annual DMR Data'!L:L,$F372,'Raw Annual DMR Data'!W:W, "&gt;0")&gt;0,MEDIAN(IF('Raw Annual DMR Data'!K:K=$F372, 'Raw Annual DMR Data'!W:W)), "N/A - No Daily Max DMR Discharge Data")</f>
        <v>N/A - No Daily Max DMR Discharge Data</v>
      </c>
      <c r="AE372" s="96" t="str">
        <f>IF(COUNTIFS('Raw Annual DMR Data'!L:L,$F372,'Raw Annual DMR Data'!W:W, "&gt;0")&gt;0,_xlfn.MAXIFS('Raw Annual DMR Data'!W:W,'Raw Annual DMR Data'!L:L,$F372), "N/A - No Daily Max DMR Discharge Data")</f>
        <v>N/A - No Daily Max DMR Discharge Data</v>
      </c>
      <c r="AF372" s="60" t="str" cm="1">
        <f t="array" ref="AF372">IF(COUNTIFS('Raw Annual DMR Data'!L:L,$F372,'Raw Annual DMR Data'!W:W, "&gt;0")&gt;0,INDEX('Raw Annual DMR Data'!B:B,MATCH(1,($F372='Raw Annual DMR Data'!L:L)*($AE372='Raw Annual DMR Data'!W:W),0)), "N/A - No Daily Max DMR Discharge Data")</f>
        <v>N/A - No Daily Max DMR Discharge Data</v>
      </c>
    </row>
    <row r="373" spans="1:32" ht="30.75" thickBot="1" x14ac:dyDescent="0.3">
      <c r="A373" s="144" t="str">
        <f>VLOOKUP(F373,'Facility Summary'!J:K,2,FALSE)</f>
        <v>Repackaging</v>
      </c>
      <c r="B373" s="28" t="s">
        <v>1390</v>
      </c>
      <c r="C373" s="28" t="s">
        <v>1007</v>
      </c>
      <c r="D373" s="28" t="s">
        <v>1008</v>
      </c>
      <c r="E373" s="28" t="s">
        <v>737</v>
      </c>
      <c r="F373" s="61">
        <v>110000487447</v>
      </c>
      <c r="G373" s="60" t="str">
        <f>VLOOKUP($F373, 'Raw Annual DMR Data'!$A:$Z, 24, FALSE)</f>
        <v>OR0034606</v>
      </c>
      <c r="H373" s="60" t="str">
        <f>VLOOKUP($F373, 'Raw Annual DMR Data'!$A:$Z, 25, FALSE)</f>
        <v>WILLAMETTE RIVER</v>
      </c>
      <c r="I373" s="74">
        <f>VLOOKUP($F373, 'Raw Annual DMR Data'!$A:$Z, 26, FALSE)</f>
        <v>17090012000085</v>
      </c>
      <c r="J373" s="74" t="s">
        <v>265</v>
      </c>
      <c r="K373" s="60">
        <f>VLOOKUP(A373, 'OES Summary'!$A:$B, 2, FALSE)</f>
        <v>250</v>
      </c>
      <c r="L373" s="304" cm="1">
        <f t="array" ref="L373">IF(COUNTIF('Raw Annual DMR Data'!$L:$L,$F373)&gt;0,MEDIAN(IF('Raw Annual DMR Data'!$L:$L=F373,'Raw Annual DMR Data'!$S:$S)),"N/A - Facility Does Not Report DMRs")</f>
        <v>2.5978963698000002E-3</v>
      </c>
      <c r="M373" s="156">
        <f t="shared" si="33"/>
        <v>1.0391585479200001E-5</v>
      </c>
      <c r="N373" s="156">
        <f>IF(COUNTIF('Raw Annual DMR Data'!$L:$L,$F373)&gt;0,_xlfn.MAXIFS('Raw Annual DMR Data'!$S:$S,'Raw Annual DMR Data'!$L:$L,$F373), "N/A - Facility Does Not Report DMRs")</f>
        <v>4.10057262308571E-3</v>
      </c>
      <c r="O373" s="156">
        <f t="shared" si="34"/>
        <v>1.640229049234284E-5</v>
      </c>
      <c r="P373" s="113" cm="1">
        <f t="array" ref="P373">IF(COUNTIF('Raw Annual DMR Data'!$L:$L,$F373)&gt;0,INDEX('Raw Annual DMR Data'!$B:$B,MATCH(1,($F373='Raw Annual DMR Data'!$L:$L)*($N373='Raw Annual DMR Data'!$S:$S),0)), "N/A - Facility Does Not Report DMRs")</f>
        <v>2019</v>
      </c>
      <c r="Q373" s="304" t="str" cm="1">
        <f t="array" ref="Q373">IF(COUNTIF('Raw TRI Data'!$J:$J,$E373)&gt;0,MEDIAN(IF('Raw TRI Data'!$J:$J=E373,'Raw TRI Data'!$S:$S)), "N/A - Facility Does Not Report to TRI")</f>
        <v>N/A - Facility Does Not Report to TRI</v>
      </c>
      <c r="R373" s="156" t="str">
        <f t="shared" si="31"/>
        <v>N/A - Facility Does Not Report to TRI</v>
      </c>
      <c r="S373" s="156" t="str">
        <f>IF(COUNTIF('Raw TRI Data'!$J:$J,$E373)&gt;0,_xlfn.MAXIFS('Raw TRI Data'!$S:$S,'Raw TRI Data'!$J:$J,$E373), "N/A - Facility Does Not Report to TRI")</f>
        <v>N/A - Facility Does Not Report to TRI</v>
      </c>
      <c r="T373" s="156" t="str">
        <f t="shared" si="32"/>
        <v>N/A - Facility Does Not Report to TRI</v>
      </c>
      <c r="U373" s="136" t="str" cm="1">
        <f t="array" ref="U373">IF(COUNTIF('Raw TRI Data'!$J:$J,$E373)&gt;0,INDEX('Raw TRI Data'!$A:$A,MATCH(1,($E373='Raw TRI Data'!$J:$J)*(S373='Raw TRI Data'!$S:$S),0)), "N/A - Facility Does Not Report to TRI")</f>
        <v>N/A - Facility Does Not Report to TRI</v>
      </c>
      <c r="V373" s="156" t="str" cm="1">
        <f t="array" ref="V373">IF(COUNTIFS('Raw Annual DMR Data'!$L:$L,$F373,'Raw Annual DMR Data'!$U:$U,"&gt;0")&gt;0,MEDIAN(IF('Raw Annual DMR Data'!$L:$L=$F373,'Raw Annual DMR Data'!$U:$U,"")),"N/A - Period DMR Data Not Available")</f>
        <v>N/A - Period DMR Data Not Available</v>
      </c>
      <c r="W373" s="156" t="str">
        <f>IF(COUNTIFS('Raw Annual DMR Data'!$L:$L,$F373, 'Raw Annual DMR Data'!$U:$U, "&gt;0")&gt;0,_xlfn.MAXIFS('Raw Annual DMR Data'!$U:$U,'Raw Annual DMR Data'!$L:$L,$F373), "N/A - Period DMR Data Not Available")</f>
        <v>N/A - Period DMR Data Not Available</v>
      </c>
      <c r="X373" s="113" t="str" cm="1">
        <f t="array" ref="X373">+IF(COUNTIFS('Raw Annual DMR Data'!L:L,$F373, 'Raw Annual DMR Data'!U:U, "&gt;0")&gt;0,INDEX('Raw Annual DMR Data'!V:V,MATCH(1,($F373='Raw Annual DMR Data'!L:L)*($W373='Raw Annual DMR Data'!U:U),0)), "N/A - Period DMR Data Not Available")</f>
        <v>N/A - Period DMR Data Not Available</v>
      </c>
      <c r="Y373" s="113" t="str" cm="1">
        <f t="array" ref="Y373">IF(COUNTIFS('Raw Annual DMR Data'!L:L,$F373, 'Raw Annual DMR Data'!U:U, "&gt;0")&gt;0,INDEX('Raw Annual DMR Data'!B:B,MATCH(1,($F373='Raw Annual DMR Data'!L:L)*($W373='Raw Annual DMR Data'!U:U),0)), "N/A - Period DMR Data Not Available")</f>
        <v>N/A - Period DMR Data Not Available</v>
      </c>
      <c r="Z373" s="311" t="str" cm="1">
        <f t="array" ref="Z373">IF(COUNTIF('Raw Annual DMR Data'!K:K,$E373)&gt;0,"N/A - See DMRs",IF(SUMIFS('Raw TRI Data'!$Z:$Z,'Raw TRI Data'!$J:$J,$E373)&gt;0,MEDIAN(IF('Raw TRI Data'!$J:$J=$E373,'Raw TRI Data'!$Z:$Z)), "N/A - Facility Does Not Report to TRI, no surface water releases, or no Generic Factors available"))</f>
        <v>N/A - See DMRs</v>
      </c>
      <c r="AA373" s="156" t="str">
        <f>IF(COUNTIF('Raw Annual DMR Data'!K:K,$E373)&gt;0,"N/A - See DMRs",IF(SUMIFS('Raw TRI Data'!$Z:$Z,'Raw TRI Data'!$J:$J,$E373)&gt;0,_xlfn.MAXIFS('Raw TRI Data'!$Z:$Z,'Raw TRI Data'!$J:$J,$E373), "N/A - Facility Does Not Report to TRI, no surface water releases, or no Generic Factors available"))</f>
        <v>N/A - See DMRs</v>
      </c>
      <c r="AB373" s="113" t="str">
        <f t="shared" si="35"/>
        <v>N/A</v>
      </c>
      <c r="AC373" s="136" t="str" cm="1">
        <f t="array" ref="AC373">IF(COUNTIF('Raw Annual DMR Data'!K:K,$E373)&gt;0,"N/A - See DMRs",IF(SUMIFS('Raw TRI Data'!$Z:$Z,'Raw TRI Data'!$J:$J,$E373)&gt;0,INDEX('Raw TRI Data'!$A:$A,MATCH(1,($E373='Raw TRI Data'!$J:$J)*($AA373='Raw TRI Data'!$Z:$Z),0)), "N/A - Facility Does Not Report to TRI, no surface water releases, or no Generic Factors available"))</f>
        <v>N/A - See DMRs</v>
      </c>
      <c r="AD373" s="96" t="str" cm="1">
        <f t="array" ref="AD373">IF(COUNTIFS('Raw Annual DMR Data'!L:L,$F373,'Raw Annual DMR Data'!W:W, "&gt;0")&gt;0,MEDIAN(IF('Raw Annual DMR Data'!K:K=$F373, 'Raw Annual DMR Data'!W:W)), "N/A - No Daily Max DMR Discharge Data")</f>
        <v>N/A - No Daily Max DMR Discharge Data</v>
      </c>
      <c r="AE373" s="96" t="str">
        <f>IF(COUNTIFS('Raw Annual DMR Data'!L:L,$F373,'Raw Annual DMR Data'!W:W, "&gt;0")&gt;0,_xlfn.MAXIFS('Raw Annual DMR Data'!W:W,'Raw Annual DMR Data'!L:L,$F373), "N/A - No Daily Max DMR Discharge Data")</f>
        <v>N/A - No Daily Max DMR Discharge Data</v>
      </c>
      <c r="AF373" s="60" t="str" cm="1">
        <f t="array" ref="AF373">IF(COUNTIFS('Raw Annual DMR Data'!L:L,$F373,'Raw Annual DMR Data'!W:W, "&gt;0")&gt;0,INDEX('Raw Annual DMR Data'!B:B,MATCH(1,($F373='Raw Annual DMR Data'!L:L)*($AE373='Raw Annual DMR Data'!W:W),0)), "N/A - No Daily Max DMR Discharge Data")</f>
        <v>N/A - No Daily Max DMR Discharge Data</v>
      </c>
    </row>
    <row r="374" spans="1:32" ht="45.75" thickBot="1" x14ac:dyDescent="0.3">
      <c r="A374" s="144" t="str">
        <f>VLOOKUP(F374,'Facility Summary'!J:K,2,FALSE)</f>
        <v>Unknown</v>
      </c>
      <c r="B374" s="28" t="s">
        <v>1391</v>
      </c>
      <c r="C374" s="28" t="s">
        <v>358</v>
      </c>
      <c r="D374" s="28" t="s">
        <v>275</v>
      </c>
      <c r="E374" s="28"/>
      <c r="F374" s="61">
        <v>110005791107</v>
      </c>
      <c r="G374" s="60" t="str">
        <f>VLOOKUP($F374, 'Raw Annual DMR Data'!$A:$Z, 24, FALSE)</f>
        <v>IDG911002</v>
      </c>
      <c r="H374" s="60" t="str">
        <f>VLOOKUP($F374, 'Raw Annual DMR Data'!$A:$Z, 25, FALSE)</f>
        <v>FITCH LATERAL</v>
      </c>
      <c r="I374" s="74">
        <f>VLOOKUP($F374, 'Raw Annual DMR Data'!$A:$Z, 26, FALSE)</f>
        <v>17050114001337</v>
      </c>
      <c r="J374" s="74" t="s">
        <v>265</v>
      </c>
      <c r="K374" s="60">
        <f>VLOOKUP(A374, 'OES Summary'!$A:$B, 2, FALSE)</f>
        <v>250</v>
      </c>
      <c r="L374" s="304" cm="1">
        <f t="array" ref="L374">IF(COUNTIF('Raw Annual DMR Data'!$L:$L,$F374)&gt;0,MEDIAN(IF('Raw Annual DMR Data'!$L:$L=F374,'Raw Annual DMR Data'!$S:$S)),"N/A - Facility Does Not Report DMRs")</f>
        <v>0.14453857281749899</v>
      </c>
      <c r="M374" s="156">
        <f t="shared" si="33"/>
        <v>5.7815429126999596E-4</v>
      </c>
      <c r="N374" s="156">
        <f>IF(COUNTIF('Raw Annual DMR Data'!$L:$L,$F374)&gt;0,_xlfn.MAXIFS('Raw Annual DMR Data'!$S:$S,'Raw Annual DMR Data'!$L:$L,$F374), "N/A - Facility Does Not Report DMRs")</f>
        <v>0.14453857281749899</v>
      </c>
      <c r="O374" s="156">
        <f t="shared" si="34"/>
        <v>5.7815429126999596E-4</v>
      </c>
      <c r="P374" s="113" cm="1">
        <f t="array" ref="P374">IF(COUNTIF('Raw Annual DMR Data'!$L:$L,$F374)&gt;0,INDEX('Raw Annual DMR Data'!$B:$B,MATCH(1,($F374='Raw Annual DMR Data'!$L:$L)*($N374='Raw Annual DMR Data'!$S:$S),0)), "N/A - Facility Does Not Report DMRs")</f>
        <v>2015</v>
      </c>
      <c r="Q374" s="304" t="str" cm="1">
        <f t="array" ref="Q374">IF(COUNTIF('Raw TRI Data'!$J:$J,$E374)&gt;0,MEDIAN(IF('Raw TRI Data'!$J:$J=E374,'Raw TRI Data'!$S:$S)), "N/A - Facility Does Not Report to TRI")</f>
        <v>N/A - Facility Does Not Report to TRI</v>
      </c>
      <c r="R374" s="156" t="str">
        <f t="shared" si="31"/>
        <v>N/A - Facility Does Not Report to TRI</v>
      </c>
      <c r="S374" s="156" t="str">
        <f>IF(COUNTIF('Raw TRI Data'!$J:$J,$E374)&gt;0,_xlfn.MAXIFS('Raw TRI Data'!$S:$S,'Raw TRI Data'!$J:$J,$E374), "N/A - Facility Does Not Report to TRI")</f>
        <v>N/A - Facility Does Not Report to TRI</v>
      </c>
      <c r="T374" s="156" t="str">
        <f t="shared" si="32"/>
        <v>N/A - Facility Does Not Report to TRI</v>
      </c>
      <c r="U374" s="136" t="str" cm="1">
        <f t="array" ref="U374">IF(COUNTIF('Raw TRI Data'!$J:$J,$E374)&gt;0,INDEX('Raw TRI Data'!$A:$A,MATCH(1,($E374='Raw TRI Data'!$J:$J)*(S374='Raw TRI Data'!$S:$S),0)), "N/A - Facility Does Not Report to TRI")</f>
        <v>N/A - Facility Does Not Report to TRI</v>
      </c>
      <c r="V374" s="156" t="str" cm="1">
        <f t="array" ref="V374">IF(COUNTIFS('Raw Annual DMR Data'!$L:$L,$F374,'Raw Annual DMR Data'!$U:$U,"&gt;0")&gt;0,MEDIAN(IF('Raw Annual DMR Data'!$L:$L=$F374,'Raw Annual DMR Data'!$U:$U,"")),"N/A - Period DMR Data Not Available")</f>
        <v>N/A - Period DMR Data Not Available</v>
      </c>
      <c r="W374" s="156" t="str">
        <f>IF(COUNTIFS('Raw Annual DMR Data'!$L:$L,$F374, 'Raw Annual DMR Data'!$U:$U, "&gt;0")&gt;0,_xlfn.MAXIFS('Raw Annual DMR Data'!$U:$U,'Raw Annual DMR Data'!$L:$L,$F374), "N/A - Period DMR Data Not Available")</f>
        <v>N/A - Period DMR Data Not Available</v>
      </c>
      <c r="X374" s="113" t="str" cm="1">
        <f t="array" ref="X374">+IF(COUNTIFS('Raw Annual DMR Data'!L:L,$F374, 'Raw Annual DMR Data'!U:U, "&gt;0")&gt;0,INDEX('Raw Annual DMR Data'!V:V,MATCH(1,($F374='Raw Annual DMR Data'!L:L)*($W374='Raw Annual DMR Data'!U:U),0)), "N/A - Period DMR Data Not Available")</f>
        <v>N/A - Period DMR Data Not Available</v>
      </c>
      <c r="Y374" s="113" t="str" cm="1">
        <f t="array" ref="Y374">IF(COUNTIFS('Raw Annual DMR Data'!L:L,$F374, 'Raw Annual DMR Data'!U:U, "&gt;0")&gt;0,INDEX('Raw Annual DMR Data'!B:B,MATCH(1,($F374='Raw Annual DMR Data'!L:L)*($W374='Raw Annual DMR Data'!U:U),0)), "N/A - Period DMR Data Not Available")</f>
        <v>N/A - Period DMR Data Not Available</v>
      </c>
      <c r="Z374" s="311" t="str" cm="1">
        <f t="array" ref="Z374">IF(COUNTIF('Raw Annual DMR Data'!K:K,$E374)&gt;0,"N/A - See DMRs",IF(SUMIFS('Raw TRI Data'!$Z:$Z,'Raw TRI Data'!$J:$J,$E374)&gt;0,MEDIAN(IF('Raw TRI Data'!$J:$J=$E374,'Raw TRI Data'!$Z:$Z)), "N/A - Facility Does Not Report to TRI, no surface water releases, or no Generic Factors available"))</f>
        <v>N/A - Facility Does Not Report to TRI, no surface water releases, or no Generic Factors available</v>
      </c>
      <c r="AA374" s="156" t="str">
        <f>IF(COUNTIF('Raw Annual DMR Data'!K:K,$E374)&gt;0,"N/A - See DMRs",IF(SUMIFS('Raw TRI Data'!$Z:$Z,'Raw TRI Data'!$J:$J,$E374)&gt;0,_xlfn.MAXIFS('Raw TRI Data'!$Z:$Z,'Raw TRI Data'!$J:$J,$E374), "N/A - Facility Does Not Report to TRI, no surface water releases, or no Generic Factors available"))</f>
        <v>N/A - Facility Does Not Report to TRI, no surface water releases, or no Generic Factors available</v>
      </c>
      <c r="AB374" s="113" t="str">
        <f t="shared" si="35"/>
        <v>N/A</v>
      </c>
      <c r="AC374" s="136" t="str" cm="1">
        <f t="array" ref="AC374">IF(COUNTIF('Raw Annual DMR Data'!K:K,$E374)&gt;0,"N/A - See DMRs",IF(SUMIFS('Raw TRI Data'!$Z:$Z,'Raw TRI Data'!$J:$J,$E374)&gt;0,INDEX('Raw TRI Data'!$A:$A,MATCH(1,($E374='Raw TRI Data'!$J:$J)*($AA374='Raw TRI Data'!$Z:$Z),0)), "N/A - Facility Does Not Report to TRI, no surface water releases, or no Generic Factors available"))</f>
        <v>N/A - Facility Does Not Report to TRI, no surface water releases, or no Generic Factors available</v>
      </c>
      <c r="AD374" s="96" t="str" cm="1">
        <f t="array" ref="AD374">IF(COUNTIFS('Raw Annual DMR Data'!L:L,$F374,'Raw Annual DMR Data'!W:W, "&gt;0")&gt;0,MEDIAN(IF('Raw Annual DMR Data'!K:K=$F374, 'Raw Annual DMR Data'!W:W)), "N/A - No Daily Max DMR Discharge Data")</f>
        <v>N/A - No Daily Max DMR Discharge Data</v>
      </c>
      <c r="AE374" s="96" t="str">
        <f>IF(COUNTIFS('Raw Annual DMR Data'!L:L,$F374,'Raw Annual DMR Data'!W:W, "&gt;0")&gt;0,_xlfn.MAXIFS('Raw Annual DMR Data'!W:W,'Raw Annual DMR Data'!L:L,$F374), "N/A - No Daily Max DMR Discharge Data")</f>
        <v>N/A - No Daily Max DMR Discharge Data</v>
      </c>
      <c r="AF374" s="60" t="str" cm="1">
        <f t="array" ref="AF374">IF(COUNTIFS('Raw Annual DMR Data'!L:L,$F374,'Raw Annual DMR Data'!W:W, "&gt;0")&gt;0,INDEX('Raw Annual DMR Data'!B:B,MATCH(1,($F374='Raw Annual DMR Data'!L:L)*($AE374='Raw Annual DMR Data'!W:W),0)), "N/A - No Daily Max DMR Discharge Data")</f>
        <v>N/A - No Daily Max DMR Discharge Data</v>
      </c>
    </row>
    <row r="375" spans="1:32" ht="45.75" thickBot="1" x14ac:dyDescent="0.3">
      <c r="A375" s="144" t="str">
        <f>VLOOKUP(F375,'Facility Summary'!J:K,2,FALSE)</f>
        <v>Laboratory Use</v>
      </c>
      <c r="B375" s="28" t="s">
        <v>1392</v>
      </c>
      <c r="C375" s="28" t="s">
        <v>1393</v>
      </c>
      <c r="D375" s="28" t="s">
        <v>294</v>
      </c>
      <c r="E375" s="28"/>
      <c r="F375" s="61">
        <v>110070596765</v>
      </c>
      <c r="G375" s="60" t="str">
        <f>VLOOKUP($F375, 'Raw Annual DMR Data'!$A:$Z, 24, FALSE)</f>
        <v>VAG830549</v>
      </c>
      <c r="H375" s="60" t="str">
        <f>VLOOKUP($F375, 'Raw Annual DMR Data'!$A:$Z, 25, FALSE)</f>
        <v>ACCOTINK CREEK</v>
      </c>
      <c r="I375" s="74">
        <f>VLOOKUP($F375, 'Raw Annual DMR Data'!$A:$Z, 26, FALSE)</f>
        <v>0</v>
      </c>
      <c r="J375" s="74" t="s">
        <v>265</v>
      </c>
      <c r="K375" s="60">
        <f>VLOOKUP(A375, 'OES Summary'!$A:$B, 2, FALSE)</f>
        <v>260</v>
      </c>
      <c r="L375" s="304" cm="1">
        <f t="array" ref="L375">IF(COUNTIF('Raw Annual DMR Data'!$L:$L,$F375)&gt;0,MEDIAN(IF('Raw Annual DMR Data'!$L:$L=F375,'Raw Annual DMR Data'!$S:$S)),"N/A - Facility Does Not Report DMRs")</f>
        <v>1.2476012912499899E-3</v>
      </c>
      <c r="M375" s="156">
        <f t="shared" si="33"/>
        <v>4.7984665048076539E-6</v>
      </c>
      <c r="N375" s="156">
        <f>IF(COUNTIF('Raw Annual DMR Data'!$L:$L,$F375)&gt;0,_xlfn.MAXIFS('Raw Annual DMR Data'!$S:$S,'Raw Annual DMR Data'!$L:$L,$F375), "N/A - Facility Does Not Report DMRs")</f>
        <v>3.4780554249999999E-3</v>
      </c>
      <c r="O375" s="156">
        <f t="shared" si="34"/>
        <v>1.337713625E-5</v>
      </c>
      <c r="P375" s="113" cm="1">
        <f t="array" ref="P375">IF(COUNTIF('Raw Annual DMR Data'!$L:$L,$F375)&gt;0,INDEX('Raw Annual DMR Data'!$B:$B,MATCH(1,($F375='Raw Annual DMR Data'!$L:$L)*($N375='Raw Annual DMR Data'!$S:$S),0)), "N/A - Facility Does Not Report DMRs")</f>
        <v>2021</v>
      </c>
      <c r="Q375" s="304" t="str" cm="1">
        <f t="array" ref="Q375">IF(COUNTIF('Raw TRI Data'!$J:$J,$E375)&gt;0,MEDIAN(IF('Raw TRI Data'!$J:$J=E375,'Raw TRI Data'!$S:$S)), "N/A - Facility Does Not Report to TRI")</f>
        <v>N/A - Facility Does Not Report to TRI</v>
      </c>
      <c r="R375" s="156" t="str">
        <f t="shared" si="31"/>
        <v>N/A - Facility Does Not Report to TRI</v>
      </c>
      <c r="S375" s="156" t="str">
        <f>IF(COUNTIF('Raw TRI Data'!$J:$J,$E375)&gt;0,_xlfn.MAXIFS('Raw TRI Data'!$S:$S,'Raw TRI Data'!$J:$J,$E375), "N/A - Facility Does Not Report to TRI")</f>
        <v>N/A - Facility Does Not Report to TRI</v>
      </c>
      <c r="T375" s="156" t="str">
        <f t="shared" si="32"/>
        <v>N/A - Facility Does Not Report to TRI</v>
      </c>
      <c r="U375" s="136" t="str" cm="1">
        <f t="array" ref="U375">IF(COUNTIF('Raw TRI Data'!$J:$J,$E375)&gt;0,INDEX('Raw TRI Data'!$A:$A,MATCH(1,($E375='Raw TRI Data'!$J:$J)*(S375='Raw TRI Data'!$S:$S),0)), "N/A - Facility Does Not Report to TRI")</f>
        <v>N/A - Facility Does Not Report to TRI</v>
      </c>
      <c r="V375" s="156" t="str" cm="1">
        <f t="array" ref="V375">IF(COUNTIFS('Raw Annual DMR Data'!$L:$L,$F375,'Raw Annual DMR Data'!$U:$U,"&gt;0")&gt;0,MEDIAN(IF('Raw Annual DMR Data'!$L:$L=$F375,'Raw Annual DMR Data'!$U:$U,"")),"N/A - Period DMR Data Not Available")</f>
        <v>N/A - Period DMR Data Not Available</v>
      </c>
      <c r="W375" s="156" t="str">
        <f>IF(COUNTIFS('Raw Annual DMR Data'!$L:$L,$F375, 'Raw Annual DMR Data'!$U:$U, "&gt;0")&gt;0,_xlfn.MAXIFS('Raw Annual DMR Data'!$U:$U,'Raw Annual DMR Data'!$L:$L,$F375), "N/A - Period DMR Data Not Available")</f>
        <v>N/A - Period DMR Data Not Available</v>
      </c>
      <c r="X375" s="113" t="str" cm="1">
        <f t="array" ref="X375">+IF(COUNTIFS('Raw Annual DMR Data'!L:L,$F375, 'Raw Annual DMR Data'!U:U, "&gt;0")&gt;0,INDEX('Raw Annual DMR Data'!V:V,MATCH(1,($F375='Raw Annual DMR Data'!L:L)*($W375='Raw Annual DMR Data'!U:U),0)), "N/A - Period DMR Data Not Available")</f>
        <v>N/A - Period DMR Data Not Available</v>
      </c>
      <c r="Y375" s="113" t="str" cm="1">
        <f t="array" ref="Y375">IF(COUNTIFS('Raw Annual DMR Data'!L:L,$F375, 'Raw Annual DMR Data'!U:U, "&gt;0")&gt;0,INDEX('Raw Annual DMR Data'!B:B,MATCH(1,($F375='Raw Annual DMR Data'!L:L)*($W375='Raw Annual DMR Data'!U:U),0)), "N/A - Period DMR Data Not Available")</f>
        <v>N/A - Period DMR Data Not Available</v>
      </c>
      <c r="Z375" s="311" t="str" cm="1">
        <f t="array" ref="Z375">IF(COUNTIF('Raw Annual DMR Data'!K:K,$E375)&gt;0,"N/A - See DMRs",IF(SUMIFS('Raw TRI Data'!$Z:$Z,'Raw TRI Data'!$J:$J,$E375)&gt;0,MEDIAN(IF('Raw TRI Data'!$J:$J=$E375,'Raw TRI Data'!$Z:$Z)), "N/A - Facility Does Not Report to TRI, no surface water releases, or no Generic Factors available"))</f>
        <v>N/A - Facility Does Not Report to TRI, no surface water releases, or no Generic Factors available</v>
      </c>
      <c r="AA375" s="156" t="str">
        <f>IF(COUNTIF('Raw Annual DMR Data'!K:K,$E375)&gt;0,"N/A - See DMRs",IF(SUMIFS('Raw TRI Data'!$Z:$Z,'Raw TRI Data'!$J:$J,$E375)&gt;0,_xlfn.MAXIFS('Raw TRI Data'!$Z:$Z,'Raw TRI Data'!$J:$J,$E375), "N/A - Facility Does Not Report to TRI, no surface water releases, or no Generic Factors available"))</f>
        <v>N/A - Facility Does Not Report to TRI, no surface water releases, or no Generic Factors available</v>
      </c>
      <c r="AB375" s="113" t="str">
        <f t="shared" si="35"/>
        <v>N/A</v>
      </c>
      <c r="AC375" s="136" t="str" cm="1">
        <f t="array" ref="AC375">IF(COUNTIF('Raw Annual DMR Data'!K:K,$E375)&gt;0,"N/A - See DMRs",IF(SUMIFS('Raw TRI Data'!$Z:$Z,'Raw TRI Data'!$J:$J,$E375)&gt;0,INDEX('Raw TRI Data'!$A:$A,MATCH(1,($E375='Raw TRI Data'!$J:$J)*($AA375='Raw TRI Data'!$Z:$Z),0)), "N/A - Facility Does Not Report to TRI, no surface water releases, or no Generic Factors available"))</f>
        <v>N/A - Facility Does Not Report to TRI, no surface water releases, or no Generic Factors available</v>
      </c>
      <c r="AD375" s="96" t="str" cm="1">
        <f t="array" ref="AD375">IF(COUNTIFS('Raw Annual DMR Data'!L:L,$F375,'Raw Annual DMR Data'!W:W, "&gt;0")&gt;0,MEDIAN(IF('Raw Annual DMR Data'!K:K=$F375, 'Raw Annual DMR Data'!W:W)), "N/A - No Daily Max DMR Discharge Data")</f>
        <v>N/A - No Daily Max DMR Discharge Data</v>
      </c>
      <c r="AE375" s="96" t="str">
        <f>IF(COUNTIFS('Raw Annual DMR Data'!L:L,$F375,'Raw Annual DMR Data'!W:W, "&gt;0")&gt;0,_xlfn.MAXIFS('Raw Annual DMR Data'!W:W,'Raw Annual DMR Data'!L:L,$F375), "N/A - No Daily Max DMR Discharge Data")</f>
        <v>N/A - No Daily Max DMR Discharge Data</v>
      </c>
      <c r="AF375" s="60" t="str" cm="1">
        <f t="array" ref="AF375">IF(COUNTIFS('Raw Annual DMR Data'!L:L,$F375,'Raw Annual DMR Data'!W:W, "&gt;0")&gt;0,INDEX('Raw Annual DMR Data'!B:B,MATCH(1,($F375='Raw Annual DMR Data'!L:L)*($AE375='Raw Annual DMR Data'!W:W),0)), "N/A - No Daily Max DMR Discharge Data")</f>
        <v>N/A - No Daily Max DMR Discharge Data</v>
      </c>
    </row>
    <row r="376" spans="1:32" ht="45.75" thickBot="1" x14ac:dyDescent="0.3">
      <c r="A376" s="144" t="str">
        <f>VLOOKUP(F376,'Facility Summary'!J:K,2,FALSE)</f>
        <v>Unknown</v>
      </c>
      <c r="B376" s="28" t="s">
        <v>1394</v>
      </c>
      <c r="C376" s="28" t="s">
        <v>1395</v>
      </c>
      <c r="D376" s="28" t="s">
        <v>362</v>
      </c>
      <c r="E376" s="28"/>
      <c r="F376" s="61">
        <v>110042004915</v>
      </c>
      <c r="G376" s="60" t="str">
        <f>VLOOKUP($F376, 'Raw Annual DMR Data'!$A:$Z, 24, FALSE)</f>
        <v>TX0116114</v>
      </c>
      <c r="H376" s="60" t="str">
        <f>VLOOKUP($F376, 'Raw Annual DMR Data'!$A:$Z, 25, FALSE)</f>
        <v>LOWER LEON CREEK</v>
      </c>
      <c r="I376" s="74">
        <f>VLOOKUP($F376, 'Raw Annual DMR Data'!$A:$Z, 26, FALSE)</f>
        <v>12100302000008</v>
      </c>
      <c r="J376" s="74" t="s">
        <v>265</v>
      </c>
      <c r="K376" s="60">
        <f>VLOOKUP(A376, 'OES Summary'!$A:$B, 2, FALSE)</f>
        <v>250</v>
      </c>
      <c r="L376" s="304" cm="1">
        <f t="array" ref="L376">IF(COUNTIF('Raw Annual DMR Data'!$L:$L,$F376)&gt;0,MEDIAN(IF('Raw Annual DMR Data'!$L:$L=F376,'Raw Annual DMR Data'!$S:$S)),"N/A - Facility Does Not Report DMRs")</f>
        <v>1.8511385949400001E-2</v>
      </c>
      <c r="M376" s="156">
        <f t="shared" si="33"/>
        <v>7.4045543797600008E-5</v>
      </c>
      <c r="N376" s="156">
        <f>IF(COUNTIF('Raw Annual DMR Data'!$L:$L,$F376)&gt;0,_xlfn.MAXIFS('Raw Annual DMR Data'!$S:$S,'Raw Annual DMR Data'!$L:$L,$F376), "N/A - Facility Does Not Report DMRs")</f>
        <v>2.3839176526666599E-2</v>
      </c>
      <c r="O376" s="156">
        <f t="shared" si="34"/>
        <v>9.5356706106666396E-5</v>
      </c>
      <c r="P376" s="113" cm="1">
        <f t="array" ref="P376">IF(COUNTIF('Raw Annual DMR Data'!$L:$L,$F376)&gt;0,INDEX('Raw Annual DMR Data'!$B:$B,MATCH(1,($F376='Raw Annual DMR Data'!$L:$L)*($N376='Raw Annual DMR Data'!$S:$S),0)), "N/A - Facility Does Not Report DMRs")</f>
        <v>2015</v>
      </c>
      <c r="Q376" s="304" t="str" cm="1">
        <f t="array" ref="Q376">IF(COUNTIF('Raw TRI Data'!$J:$J,$E376)&gt;0,MEDIAN(IF('Raw TRI Data'!$J:$J=E376,'Raw TRI Data'!$S:$S)), "N/A - Facility Does Not Report to TRI")</f>
        <v>N/A - Facility Does Not Report to TRI</v>
      </c>
      <c r="R376" s="156" t="str">
        <f t="shared" si="31"/>
        <v>N/A - Facility Does Not Report to TRI</v>
      </c>
      <c r="S376" s="156" t="str">
        <f>IF(COUNTIF('Raw TRI Data'!$J:$J,$E376)&gt;0,_xlfn.MAXIFS('Raw TRI Data'!$S:$S,'Raw TRI Data'!$J:$J,$E376), "N/A - Facility Does Not Report to TRI")</f>
        <v>N/A - Facility Does Not Report to TRI</v>
      </c>
      <c r="T376" s="156" t="str">
        <f t="shared" si="32"/>
        <v>N/A - Facility Does Not Report to TRI</v>
      </c>
      <c r="U376" s="136" t="str" cm="1">
        <f t="array" ref="U376">IF(COUNTIF('Raw TRI Data'!$J:$J,$E376)&gt;0,INDEX('Raw TRI Data'!$A:$A,MATCH(1,($E376='Raw TRI Data'!$J:$J)*(S376='Raw TRI Data'!$S:$S),0)), "N/A - Facility Does Not Report to TRI")</f>
        <v>N/A - Facility Does Not Report to TRI</v>
      </c>
      <c r="V376" s="156" t="str" cm="1">
        <f t="array" ref="V376">IF(COUNTIFS('Raw Annual DMR Data'!$L:$L,$F376,'Raw Annual DMR Data'!$U:$U,"&gt;0")&gt;0,MEDIAN(IF('Raw Annual DMR Data'!$L:$L=$F376,'Raw Annual DMR Data'!$U:$U,"")),"N/A - Period DMR Data Not Available")</f>
        <v>N/A - Period DMR Data Not Available</v>
      </c>
      <c r="W376" s="156" t="str">
        <f>IF(COUNTIFS('Raw Annual DMR Data'!$L:$L,$F376, 'Raw Annual DMR Data'!$U:$U, "&gt;0")&gt;0,_xlfn.MAXIFS('Raw Annual DMR Data'!$U:$U,'Raw Annual DMR Data'!$L:$L,$F376), "N/A - Period DMR Data Not Available")</f>
        <v>N/A - Period DMR Data Not Available</v>
      </c>
      <c r="X376" s="113" t="str" cm="1">
        <f t="array" ref="X376">+IF(COUNTIFS('Raw Annual DMR Data'!L:L,$F376, 'Raw Annual DMR Data'!U:U, "&gt;0")&gt;0,INDEX('Raw Annual DMR Data'!V:V,MATCH(1,($F376='Raw Annual DMR Data'!L:L)*($W376='Raw Annual DMR Data'!U:U),0)), "N/A - Period DMR Data Not Available")</f>
        <v>N/A - Period DMR Data Not Available</v>
      </c>
      <c r="Y376" s="113" t="str" cm="1">
        <f t="array" ref="Y376">IF(COUNTIFS('Raw Annual DMR Data'!L:L,$F376, 'Raw Annual DMR Data'!U:U, "&gt;0")&gt;0,INDEX('Raw Annual DMR Data'!B:B,MATCH(1,($F376='Raw Annual DMR Data'!L:L)*($W376='Raw Annual DMR Data'!U:U),0)), "N/A - Period DMR Data Not Available")</f>
        <v>N/A - Period DMR Data Not Available</v>
      </c>
      <c r="Z376" s="311" t="str" cm="1">
        <f t="array" ref="Z376">IF(COUNTIF('Raw Annual DMR Data'!K:K,$E376)&gt;0,"N/A - See DMRs",IF(SUMIFS('Raw TRI Data'!$Z:$Z,'Raw TRI Data'!$J:$J,$E376)&gt;0,MEDIAN(IF('Raw TRI Data'!$J:$J=$E376,'Raw TRI Data'!$Z:$Z)), "N/A - Facility Does Not Report to TRI, no surface water releases, or no Generic Factors available"))</f>
        <v>N/A - Facility Does Not Report to TRI, no surface water releases, or no Generic Factors available</v>
      </c>
      <c r="AA376" s="156" t="str">
        <f>IF(COUNTIF('Raw Annual DMR Data'!K:K,$E376)&gt;0,"N/A - See DMRs",IF(SUMIFS('Raw TRI Data'!$Z:$Z,'Raw TRI Data'!$J:$J,$E376)&gt;0,_xlfn.MAXIFS('Raw TRI Data'!$Z:$Z,'Raw TRI Data'!$J:$J,$E376), "N/A - Facility Does Not Report to TRI, no surface water releases, or no Generic Factors available"))</f>
        <v>N/A - Facility Does Not Report to TRI, no surface water releases, or no Generic Factors available</v>
      </c>
      <c r="AB376" s="113" t="str">
        <f t="shared" si="35"/>
        <v>N/A</v>
      </c>
      <c r="AC376" s="136" t="str" cm="1">
        <f t="array" ref="AC376">IF(COUNTIF('Raw Annual DMR Data'!K:K,$E376)&gt;0,"N/A - See DMRs",IF(SUMIFS('Raw TRI Data'!$Z:$Z,'Raw TRI Data'!$J:$J,$E376)&gt;0,INDEX('Raw TRI Data'!$A:$A,MATCH(1,($E376='Raw TRI Data'!$J:$J)*($AA376='Raw TRI Data'!$Z:$Z),0)), "N/A - Facility Does Not Report to TRI, no surface water releases, or no Generic Factors available"))</f>
        <v>N/A - Facility Does Not Report to TRI, no surface water releases, or no Generic Factors available</v>
      </c>
      <c r="AD376" s="96" t="str" cm="1">
        <f t="array" ref="AD376">IF(COUNTIFS('Raw Annual DMR Data'!L:L,$F376,'Raw Annual DMR Data'!W:W, "&gt;0")&gt;0,MEDIAN(IF('Raw Annual DMR Data'!K:K=$F376, 'Raw Annual DMR Data'!W:W)), "N/A - No Daily Max DMR Discharge Data")</f>
        <v>N/A - No Daily Max DMR Discharge Data</v>
      </c>
      <c r="AE376" s="96" t="str">
        <f>IF(COUNTIFS('Raw Annual DMR Data'!L:L,$F376,'Raw Annual DMR Data'!W:W, "&gt;0")&gt;0,_xlfn.MAXIFS('Raw Annual DMR Data'!W:W,'Raw Annual DMR Data'!L:L,$F376), "N/A - No Daily Max DMR Discharge Data")</f>
        <v>N/A - No Daily Max DMR Discharge Data</v>
      </c>
      <c r="AF376" s="60" t="str" cm="1">
        <f t="array" ref="AF376">IF(COUNTIFS('Raw Annual DMR Data'!L:L,$F376,'Raw Annual DMR Data'!W:W, "&gt;0")&gt;0,INDEX('Raw Annual DMR Data'!B:B,MATCH(1,($F376='Raw Annual DMR Data'!L:L)*($AE376='Raw Annual DMR Data'!W:W),0)), "N/A - No Daily Max DMR Discharge Data")</f>
        <v>N/A - No Daily Max DMR Discharge Data</v>
      </c>
    </row>
    <row r="377" spans="1:32" ht="30.75" thickBot="1" x14ac:dyDescent="0.3">
      <c r="A377" s="144" t="str">
        <f>VLOOKUP(F377,'Facility Summary'!J:K,2,FALSE)</f>
        <v>Laboratory Use</v>
      </c>
      <c r="B377" s="28" t="s">
        <v>1396</v>
      </c>
      <c r="C377" s="28" t="s">
        <v>1397</v>
      </c>
      <c r="D377" s="28" t="s">
        <v>345</v>
      </c>
      <c r="E377" s="28" t="s">
        <v>738</v>
      </c>
      <c r="F377" s="61">
        <v>110041963168</v>
      </c>
      <c r="G377" s="60" t="str">
        <f>VLOOKUP($F377, 'Raw Annual DMR Data'!$A:$Z, 24, FALSE)</f>
        <v>IL0034592</v>
      </c>
      <c r="H377" s="60" t="str">
        <f>VLOOKUP($F377, 'Raw Annual DMR Data'!$A:$Z, 25, FALSE)</f>
        <v>FREUND BROOK TRIB TO SAWMILL CREEK, INTERNAL WASTESTREAM, LOWER FREUND BROOK, SEE PERMIT, UNNAMED TRIB TO DES PLAINES RIVER, UNNAMED TRIB TO SAWMILL CREEK</v>
      </c>
      <c r="I377" s="74">
        <f>VLOOKUP($F377, 'Raw Annual DMR Data'!$A:$Z, 26, FALSE)</f>
        <v>7120004000870</v>
      </c>
      <c r="J377" s="74" t="s">
        <v>265</v>
      </c>
      <c r="K377" s="60">
        <f>VLOOKUP(A377, 'OES Summary'!$A:$B, 2, FALSE)</f>
        <v>260</v>
      </c>
      <c r="L377" s="304" cm="1">
        <f t="array" ref="L377">IF(COUNTIF('Raw Annual DMR Data'!$L:$L,$F377)&gt;0,MEDIAN(IF('Raw Annual DMR Data'!$L:$L=F377,'Raw Annual DMR Data'!$S:$S)),"N/A - Facility Does Not Report DMRs")</f>
        <v>4.76626125E-2</v>
      </c>
      <c r="M377" s="156">
        <f t="shared" si="33"/>
        <v>1.8331774038461539E-4</v>
      </c>
      <c r="N377" s="156">
        <f>IF(COUNTIF('Raw Annual DMR Data'!$L:$L,$F377)&gt;0,_xlfn.MAXIFS('Raw Annual DMR Data'!$S:$S,'Raw Annual DMR Data'!$L:$L,$F377), "N/A - Facility Does Not Report DMRs")</f>
        <v>4.76626125E-2</v>
      </c>
      <c r="O377" s="156">
        <f t="shared" si="34"/>
        <v>1.8331774038461539E-4</v>
      </c>
      <c r="P377" s="113" cm="1">
        <f t="array" ref="P377">IF(COUNTIF('Raw Annual DMR Data'!$L:$L,$F377)&gt;0,INDEX('Raw Annual DMR Data'!$B:$B,MATCH(1,($F377='Raw Annual DMR Data'!$L:$L)*($N377='Raw Annual DMR Data'!$S:$S),0)), "N/A - Facility Does Not Report DMRs")</f>
        <v>2015</v>
      </c>
      <c r="Q377" s="304" t="str" cm="1">
        <f t="array" ref="Q377">IF(COUNTIF('Raw TRI Data'!$J:$J,$E377)&gt;0,MEDIAN(IF('Raw TRI Data'!$J:$J=E377,'Raw TRI Data'!$S:$S)), "N/A - Facility Does Not Report to TRI")</f>
        <v>N/A - Facility Does Not Report to TRI</v>
      </c>
      <c r="R377" s="156" t="str">
        <f t="shared" si="31"/>
        <v>N/A - Facility Does Not Report to TRI</v>
      </c>
      <c r="S377" s="156" t="str">
        <f>IF(COUNTIF('Raw TRI Data'!$J:$J,$E377)&gt;0,_xlfn.MAXIFS('Raw TRI Data'!$S:$S,'Raw TRI Data'!$J:$J,$E377), "N/A - Facility Does Not Report to TRI")</f>
        <v>N/A - Facility Does Not Report to TRI</v>
      </c>
      <c r="T377" s="156" t="str">
        <f t="shared" si="32"/>
        <v>N/A - Facility Does Not Report to TRI</v>
      </c>
      <c r="U377" s="136" t="str" cm="1">
        <f t="array" ref="U377">IF(COUNTIF('Raw TRI Data'!$J:$J,$E377)&gt;0,INDEX('Raw TRI Data'!$A:$A,MATCH(1,($E377='Raw TRI Data'!$J:$J)*(S377='Raw TRI Data'!$S:$S),0)), "N/A - Facility Does Not Report to TRI")</f>
        <v>N/A - Facility Does Not Report to TRI</v>
      </c>
      <c r="V377" s="156" t="str" cm="1">
        <f t="array" ref="V377">IF(COUNTIFS('Raw Annual DMR Data'!$L:$L,$F377,'Raw Annual DMR Data'!$U:$U,"&gt;0")&gt;0,MEDIAN(IF('Raw Annual DMR Data'!$L:$L=$F377,'Raw Annual DMR Data'!$U:$U,"")),"N/A - Period DMR Data Not Available")</f>
        <v>N/A - Period DMR Data Not Available</v>
      </c>
      <c r="W377" s="156" t="str">
        <f>IF(COUNTIFS('Raw Annual DMR Data'!$L:$L,$F377, 'Raw Annual DMR Data'!$U:$U, "&gt;0")&gt;0,_xlfn.MAXIFS('Raw Annual DMR Data'!$U:$U,'Raw Annual DMR Data'!$L:$L,$F377), "N/A - Period DMR Data Not Available")</f>
        <v>N/A - Period DMR Data Not Available</v>
      </c>
      <c r="X377" s="113" t="str" cm="1">
        <f t="array" ref="X377">+IF(COUNTIFS('Raw Annual DMR Data'!L:L,$F377, 'Raw Annual DMR Data'!U:U, "&gt;0")&gt;0,INDEX('Raw Annual DMR Data'!V:V,MATCH(1,($F377='Raw Annual DMR Data'!L:L)*($W377='Raw Annual DMR Data'!U:U),0)), "N/A - Period DMR Data Not Available")</f>
        <v>N/A - Period DMR Data Not Available</v>
      </c>
      <c r="Y377" s="113" t="str" cm="1">
        <f t="array" ref="Y377">IF(COUNTIFS('Raw Annual DMR Data'!L:L,$F377, 'Raw Annual DMR Data'!U:U, "&gt;0")&gt;0,INDEX('Raw Annual DMR Data'!B:B,MATCH(1,($F377='Raw Annual DMR Data'!L:L)*($W377='Raw Annual DMR Data'!U:U),0)), "N/A - Period DMR Data Not Available")</f>
        <v>N/A - Period DMR Data Not Available</v>
      </c>
      <c r="Z377" s="311" t="str" cm="1">
        <f t="array" ref="Z377">IF(COUNTIF('Raw Annual DMR Data'!K:K,$E377)&gt;0,"N/A - See DMRs",IF(SUMIFS('Raw TRI Data'!$Z:$Z,'Raw TRI Data'!$J:$J,$E377)&gt;0,MEDIAN(IF('Raw TRI Data'!$J:$J=$E377,'Raw TRI Data'!$Z:$Z)), "N/A - Facility Does Not Report to TRI, no surface water releases, or no Generic Factors available"))</f>
        <v>N/A - See DMRs</v>
      </c>
      <c r="AA377" s="156" t="str">
        <f>IF(COUNTIF('Raw Annual DMR Data'!K:K,$E377)&gt;0,"N/A - See DMRs",IF(SUMIFS('Raw TRI Data'!$Z:$Z,'Raw TRI Data'!$J:$J,$E377)&gt;0,_xlfn.MAXIFS('Raw TRI Data'!$Z:$Z,'Raw TRI Data'!$J:$J,$E377), "N/A - Facility Does Not Report to TRI, no surface water releases, or no Generic Factors available"))</f>
        <v>N/A - See DMRs</v>
      </c>
      <c r="AB377" s="113" t="str">
        <f t="shared" si="35"/>
        <v>N/A</v>
      </c>
      <c r="AC377" s="136" t="str" cm="1">
        <f t="array" ref="AC377">IF(COUNTIF('Raw Annual DMR Data'!K:K,$E377)&gt;0,"N/A - See DMRs",IF(SUMIFS('Raw TRI Data'!$Z:$Z,'Raw TRI Data'!$J:$J,$E377)&gt;0,INDEX('Raw TRI Data'!$A:$A,MATCH(1,($E377='Raw TRI Data'!$J:$J)*($AA377='Raw TRI Data'!$Z:$Z),0)), "N/A - Facility Does Not Report to TRI, no surface water releases, or no Generic Factors available"))</f>
        <v>N/A - See DMRs</v>
      </c>
      <c r="AD377" s="96" t="str" cm="1">
        <f t="array" ref="AD377">IF(COUNTIFS('Raw Annual DMR Data'!L:L,$F377,'Raw Annual DMR Data'!W:W, "&gt;0")&gt;0,MEDIAN(IF('Raw Annual DMR Data'!K:K=$F377, 'Raw Annual DMR Data'!W:W)), "N/A - No Daily Max DMR Discharge Data")</f>
        <v>N/A - No Daily Max DMR Discharge Data</v>
      </c>
      <c r="AE377" s="96" t="str">
        <f>IF(COUNTIFS('Raw Annual DMR Data'!L:L,$F377,'Raw Annual DMR Data'!W:W, "&gt;0")&gt;0,_xlfn.MAXIFS('Raw Annual DMR Data'!W:W,'Raw Annual DMR Data'!L:L,$F377), "N/A - No Daily Max DMR Discharge Data")</f>
        <v>N/A - No Daily Max DMR Discharge Data</v>
      </c>
      <c r="AF377" s="60" t="str" cm="1">
        <f t="array" ref="AF377">IF(COUNTIFS('Raw Annual DMR Data'!L:L,$F377,'Raw Annual DMR Data'!W:W, "&gt;0")&gt;0,INDEX('Raw Annual DMR Data'!B:B,MATCH(1,($F377='Raw Annual DMR Data'!L:L)*($AE377='Raw Annual DMR Data'!W:W),0)), "N/A - No Daily Max DMR Discharge Data")</f>
        <v>N/A - No Daily Max DMR Discharge Data</v>
      </c>
    </row>
    <row r="378" spans="1:32" ht="45.75" thickBot="1" x14ac:dyDescent="0.3">
      <c r="A378" s="144" t="str">
        <f>VLOOKUP(F378,'Facility Summary'!J:K,2,FALSE)</f>
        <v>POTW</v>
      </c>
      <c r="B378" s="28" t="s">
        <v>1398</v>
      </c>
      <c r="C378" s="28" t="s">
        <v>1399</v>
      </c>
      <c r="D378" s="28" t="s">
        <v>1171</v>
      </c>
      <c r="E378" s="28"/>
      <c r="F378" s="61">
        <v>110041973460</v>
      </c>
      <c r="G378" s="60" t="str">
        <f>VLOOKUP($F378, 'Raw Annual DMR Data'!$A:$Z, 24, FALSE)</f>
        <v>HI0110078</v>
      </c>
      <c r="H378" s="60" t="str">
        <f>VLOOKUP($F378, 'Raw Annual DMR Data'!$A:$Z, 25, FALSE)</f>
        <v>PACIFIC OCEAN</v>
      </c>
      <c r="I378" s="74">
        <f>VLOOKUP($F378, 'Raw Annual DMR Data'!$A:$Z, 26, FALSE)</f>
        <v>20060000000122</v>
      </c>
      <c r="J378" s="74" t="s">
        <v>265</v>
      </c>
      <c r="K378" s="60">
        <f>VLOOKUP(A378, 'OES Summary'!$A:$B, 2, FALSE)</f>
        <v>365</v>
      </c>
      <c r="L378" s="304" cm="1">
        <f t="array" ref="L378">IF(COUNTIF('Raw Annual DMR Data'!$L:$L,$F378)&gt;0,MEDIAN(IF('Raw Annual DMR Data'!$L:$L=F378,'Raw Annual DMR Data'!$S:$S)),"N/A - Facility Does Not Report DMRs")</f>
        <v>1.2924166374999999</v>
      </c>
      <c r="M378" s="156">
        <f t="shared" si="33"/>
        <v>3.5408674999999998E-3</v>
      </c>
      <c r="N378" s="156">
        <f>IF(COUNTIF('Raw Annual DMR Data'!$L:$L,$F378)&gt;0,_xlfn.MAXIFS('Raw Annual DMR Data'!$S:$S,'Raw Annual DMR Data'!$L:$L,$F378), "N/A - Facility Does Not Report DMRs")</f>
        <v>1.747629125</v>
      </c>
      <c r="O378" s="156">
        <f t="shared" si="34"/>
        <v>4.7880250000000004E-3</v>
      </c>
      <c r="P378" s="113" cm="1">
        <f t="array" ref="P378">IF(COUNTIF('Raw Annual DMR Data'!$L:$L,$F378)&gt;0,INDEX('Raw Annual DMR Data'!$B:$B,MATCH(1,($F378='Raw Annual DMR Data'!$L:$L)*($N378='Raw Annual DMR Data'!$S:$S),0)), "N/A - Facility Does Not Report DMRs")</f>
        <v>2021</v>
      </c>
      <c r="Q378" s="304" t="str" cm="1">
        <f t="array" ref="Q378">IF(COUNTIF('Raw TRI Data'!$J:$J,$E378)&gt;0,MEDIAN(IF('Raw TRI Data'!$J:$J=E378,'Raw TRI Data'!$S:$S)), "N/A - Facility Does Not Report to TRI")</f>
        <v>N/A - Facility Does Not Report to TRI</v>
      </c>
      <c r="R378" s="156" t="str">
        <f t="shared" si="31"/>
        <v>N/A - Facility Does Not Report to TRI</v>
      </c>
      <c r="S378" s="156" t="str">
        <f>IF(COUNTIF('Raw TRI Data'!$J:$J,$E378)&gt;0,_xlfn.MAXIFS('Raw TRI Data'!$S:$S,'Raw TRI Data'!$J:$J,$E378), "N/A - Facility Does Not Report to TRI")</f>
        <v>N/A - Facility Does Not Report to TRI</v>
      </c>
      <c r="T378" s="156" t="str">
        <f t="shared" si="32"/>
        <v>N/A - Facility Does Not Report to TRI</v>
      </c>
      <c r="U378" s="136" t="str" cm="1">
        <f t="array" ref="U378">IF(COUNTIF('Raw TRI Data'!$J:$J,$E378)&gt;0,INDEX('Raw TRI Data'!$A:$A,MATCH(1,($E378='Raw TRI Data'!$J:$J)*(S378='Raw TRI Data'!$S:$S),0)), "N/A - Facility Does Not Report to TRI")</f>
        <v>N/A - Facility Does Not Report to TRI</v>
      </c>
      <c r="V378" s="156" t="str" cm="1">
        <f t="array" ref="V378">IF(COUNTIFS('Raw Annual DMR Data'!$L:$L,$F378,'Raw Annual DMR Data'!$U:$U,"&gt;0")&gt;0,MEDIAN(IF('Raw Annual DMR Data'!$L:$L=$F378,'Raw Annual DMR Data'!$U:$U,"")),"N/A - Period DMR Data Not Available")</f>
        <v>N/A - Period DMR Data Not Available</v>
      </c>
      <c r="W378" s="156" t="str">
        <f>IF(COUNTIFS('Raw Annual DMR Data'!$L:$L,$F378, 'Raw Annual DMR Data'!$U:$U, "&gt;0")&gt;0,_xlfn.MAXIFS('Raw Annual DMR Data'!$U:$U,'Raw Annual DMR Data'!$L:$L,$F378), "N/A - Period DMR Data Not Available")</f>
        <v>N/A - Period DMR Data Not Available</v>
      </c>
      <c r="X378" s="113" t="str" cm="1">
        <f t="array" ref="X378">+IF(COUNTIFS('Raw Annual DMR Data'!L:L,$F378, 'Raw Annual DMR Data'!U:U, "&gt;0")&gt;0,INDEX('Raw Annual DMR Data'!V:V,MATCH(1,($F378='Raw Annual DMR Data'!L:L)*($W378='Raw Annual DMR Data'!U:U),0)), "N/A - Period DMR Data Not Available")</f>
        <v>N/A - Period DMR Data Not Available</v>
      </c>
      <c r="Y378" s="113" t="str" cm="1">
        <f t="array" ref="Y378">IF(COUNTIFS('Raw Annual DMR Data'!L:L,$F378, 'Raw Annual DMR Data'!U:U, "&gt;0")&gt;0,INDEX('Raw Annual DMR Data'!B:B,MATCH(1,($F378='Raw Annual DMR Data'!L:L)*($W378='Raw Annual DMR Data'!U:U),0)), "N/A - Period DMR Data Not Available")</f>
        <v>N/A - Period DMR Data Not Available</v>
      </c>
      <c r="Z378" s="311" t="str" cm="1">
        <f t="array" ref="Z378">IF(COUNTIF('Raw Annual DMR Data'!K:K,$E378)&gt;0,"N/A - See DMRs",IF(SUMIFS('Raw TRI Data'!$Z:$Z,'Raw TRI Data'!$J:$J,$E378)&gt;0,MEDIAN(IF('Raw TRI Data'!$J:$J=$E378,'Raw TRI Data'!$Z:$Z)), "N/A - Facility Does Not Report to TRI, no surface water releases, or no Generic Factors available"))</f>
        <v>N/A - Facility Does Not Report to TRI, no surface water releases, or no Generic Factors available</v>
      </c>
      <c r="AA378" s="156" t="str">
        <f>IF(COUNTIF('Raw Annual DMR Data'!K:K,$E378)&gt;0,"N/A - See DMRs",IF(SUMIFS('Raw TRI Data'!$Z:$Z,'Raw TRI Data'!$J:$J,$E378)&gt;0,_xlfn.MAXIFS('Raw TRI Data'!$Z:$Z,'Raw TRI Data'!$J:$J,$E378), "N/A - Facility Does Not Report to TRI, no surface water releases, or no Generic Factors available"))</f>
        <v>N/A - Facility Does Not Report to TRI, no surface water releases, or no Generic Factors available</v>
      </c>
      <c r="AB378" s="113" t="str">
        <f t="shared" si="35"/>
        <v>N/A</v>
      </c>
      <c r="AC378" s="136" t="str" cm="1">
        <f t="array" ref="AC378">IF(COUNTIF('Raw Annual DMR Data'!K:K,$E378)&gt;0,"N/A - See DMRs",IF(SUMIFS('Raw TRI Data'!$Z:$Z,'Raw TRI Data'!$J:$J,$E378)&gt;0,INDEX('Raw TRI Data'!$A:$A,MATCH(1,($E378='Raw TRI Data'!$J:$J)*($AA378='Raw TRI Data'!$Z:$Z),0)), "N/A - Facility Does Not Report to TRI, no surface water releases, or no Generic Factors available"))</f>
        <v>N/A - Facility Does Not Report to TRI, no surface water releases, or no Generic Factors available</v>
      </c>
      <c r="AD378" s="96" t="str" cm="1">
        <f t="array" ref="AD378">IF(COUNTIFS('Raw Annual DMR Data'!L:L,$F378,'Raw Annual DMR Data'!W:W, "&gt;0")&gt;0,MEDIAN(IF('Raw Annual DMR Data'!K:K=$F378, 'Raw Annual DMR Data'!W:W)), "N/A - No Daily Max DMR Discharge Data")</f>
        <v>N/A - No Daily Max DMR Discharge Data</v>
      </c>
      <c r="AE378" s="96" t="str">
        <f>IF(COUNTIFS('Raw Annual DMR Data'!L:L,$F378,'Raw Annual DMR Data'!W:W, "&gt;0")&gt;0,_xlfn.MAXIFS('Raw Annual DMR Data'!W:W,'Raw Annual DMR Data'!L:L,$F378), "N/A - No Daily Max DMR Discharge Data")</f>
        <v>N/A - No Daily Max DMR Discharge Data</v>
      </c>
      <c r="AF378" s="60" t="str" cm="1">
        <f t="array" ref="AF378">IF(COUNTIFS('Raw Annual DMR Data'!L:L,$F378,'Raw Annual DMR Data'!W:W, "&gt;0")&gt;0,INDEX('Raw Annual DMR Data'!B:B,MATCH(1,($F378='Raw Annual DMR Data'!L:L)*($AE378='Raw Annual DMR Data'!W:W),0)), "N/A - No Daily Max DMR Discharge Data")</f>
        <v>N/A - No Daily Max DMR Discharge Data</v>
      </c>
    </row>
    <row r="379" spans="1:32" ht="45.75" thickBot="1" x14ac:dyDescent="0.3">
      <c r="A379" s="144" t="str">
        <f>VLOOKUP(F379,'Facility Summary'!J:K,2,FALSE)</f>
        <v>POTW</v>
      </c>
      <c r="B379" s="28" t="s">
        <v>1400</v>
      </c>
      <c r="C379" s="28" t="s">
        <v>1401</v>
      </c>
      <c r="D379" s="28" t="s">
        <v>324</v>
      </c>
      <c r="E379" s="28"/>
      <c r="F379" s="61">
        <v>110000571373</v>
      </c>
      <c r="G379" s="60" t="str">
        <f>VLOOKUP($F379, 'Raw Annual DMR Data'!$A:$Z, 24, FALSE)</f>
        <v>KY0022039</v>
      </c>
      <c r="H379" s="60" t="str">
        <f>VLOOKUP($F379, 'Raw Annual DMR Data'!$A:$Z, 25, FALSE)</f>
        <v>VALLEY CREEK, VALLEY CRK</v>
      </c>
      <c r="I379" s="74">
        <f>VLOOKUP($F379, 'Raw Annual DMR Data'!$A:$Z, 26, FALSE)</f>
        <v>5110001000593</v>
      </c>
      <c r="J379" s="74" t="s">
        <v>265</v>
      </c>
      <c r="K379" s="60">
        <f>VLOOKUP(A379, 'OES Summary'!$A:$B, 2, FALSE)</f>
        <v>365</v>
      </c>
      <c r="L379" s="304" cm="1">
        <f t="array" ref="L379">IF(COUNTIF('Raw Annual DMR Data'!$L:$L,$F379)&gt;0,MEDIAN(IF('Raw Annual DMR Data'!$L:$L=F379,'Raw Annual DMR Data'!$S:$S)),"N/A - Facility Does Not Report DMRs")</f>
        <v>21.586328125000001</v>
      </c>
      <c r="M379" s="156">
        <f t="shared" si="33"/>
        <v>5.9140625000000002E-2</v>
      </c>
      <c r="N379" s="156">
        <f>IF(COUNTIF('Raw Annual DMR Data'!$L:$L,$F379)&gt;0,_xlfn.MAXIFS('Raw Annual DMR Data'!$S:$S,'Raw Annual DMR Data'!$L:$L,$F379), "N/A - Facility Does Not Report DMRs")</f>
        <v>33.847362500000003</v>
      </c>
      <c r="O379" s="156">
        <f t="shared" si="34"/>
        <v>9.2732500000000009E-2</v>
      </c>
      <c r="P379" s="113" cm="1">
        <f t="array" ref="P379">IF(COUNTIF('Raw Annual DMR Data'!$L:$L,$F379)&gt;0,INDEX('Raw Annual DMR Data'!$B:$B,MATCH(1,($F379='Raw Annual DMR Data'!$L:$L)*($N379='Raw Annual DMR Data'!$S:$S),0)), "N/A - Facility Does Not Report DMRs")</f>
        <v>2019</v>
      </c>
      <c r="Q379" s="304" t="str" cm="1">
        <f t="array" ref="Q379">IF(COUNTIF('Raw TRI Data'!$J:$J,$E379)&gt;0,MEDIAN(IF('Raw TRI Data'!$J:$J=E379,'Raw TRI Data'!$S:$S)), "N/A - Facility Does Not Report to TRI")</f>
        <v>N/A - Facility Does Not Report to TRI</v>
      </c>
      <c r="R379" s="156" t="str">
        <f t="shared" si="31"/>
        <v>N/A - Facility Does Not Report to TRI</v>
      </c>
      <c r="S379" s="156" t="str">
        <f>IF(COUNTIF('Raw TRI Data'!$J:$J,$E379)&gt;0,_xlfn.MAXIFS('Raw TRI Data'!$S:$S,'Raw TRI Data'!$J:$J,$E379), "N/A - Facility Does Not Report to TRI")</f>
        <v>N/A - Facility Does Not Report to TRI</v>
      </c>
      <c r="T379" s="156" t="str">
        <f t="shared" si="32"/>
        <v>N/A - Facility Does Not Report to TRI</v>
      </c>
      <c r="U379" s="136" t="str" cm="1">
        <f t="array" ref="U379">IF(COUNTIF('Raw TRI Data'!$J:$J,$E379)&gt;0,INDEX('Raw TRI Data'!$A:$A,MATCH(1,($E379='Raw TRI Data'!$J:$J)*(S379='Raw TRI Data'!$S:$S),0)), "N/A - Facility Does Not Report to TRI")</f>
        <v>N/A - Facility Does Not Report to TRI</v>
      </c>
      <c r="V379" s="156" t="str" cm="1">
        <f t="array" ref="V379">IF(COUNTIFS('Raw Annual DMR Data'!$L:$L,$F379,'Raw Annual DMR Data'!$U:$U,"&gt;0")&gt;0,MEDIAN(IF('Raw Annual DMR Data'!$L:$L=$F379,'Raw Annual DMR Data'!$U:$U,"")),"N/A - Period DMR Data Not Available")</f>
        <v>N/A - Period DMR Data Not Available</v>
      </c>
      <c r="W379" s="156" t="str">
        <f>IF(COUNTIFS('Raw Annual DMR Data'!$L:$L,$F379, 'Raw Annual DMR Data'!$U:$U, "&gt;0")&gt;0,_xlfn.MAXIFS('Raw Annual DMR Data'!$U:$U,'Raw Annual DMR Data'!$L:$L,$F379), "N/A - Period DMR Data Not Available")</f>
        <v>N/A - Period DMR Data Not Available</v>
      </c>
      <c r="X379" s="113" t="str" cm="1">
        <f t="array" ref="X379">+IF(COUNTIFS('Raw Annual DMR Data'!L:L,$F379, 'Raw Annual DMR Data'!U:U, "&gt;0")&gt;0,INDEX('Raw Annual DMR Data'!V:V,MATCH(1,($F379='Raw Annual DMR Data'!L:L)*($W379='Raw Annual DMR Data'!U:U),0)), "N/A - Period DMR Data Not Available")</f>
        <v>N/A - Period DMR Data Not Available</v>
      </c>
      <c r="Y379" s="113" t="str" cm="1">
        <f t="array" ref="Y379">IF(COUNTIFS('Raw Annual DMR Data'!L:L,$F379, 'Raw Annual DMR Data'!U:U, "&gt;0")&gt;0,INDEX('Raw Annual DMR Data'!B:B,MATCH(1,($F379='Raw Annual DMR Data'!L:L)*($W379='Raw Annual DMR Data'!U:U),0)), "N/A - Period DMR Data Not Available")</f>
        <v>N/A - Period DMR Data Not Available</v>
      </c>
      <c r="Z379" s="311" t="str" cm="1">
        <f t="array" ref="Z379">IF(COUNTIF('Raw Annual DMR Data'!K:K,$E379)&gt;0,"N/A - See DMRs",IF(SUMIFS('Raw TRI Data'!$Z:$Z,'Raw TRI Data'!$J:$J,$E379)&gt;0,MEDIAN(IF('Raw TRI Data'!$J:$J=$E379,'Raw TRI Data'!$Z:$Z)), "N/A - Facility Does Not Report to TRI, no surface water releases, or no Generic Factors available"))</f>
        <v>N/A - Facility Does Not Report to TRI, no surface water releases, or no Generic Factors available</v>
      </c>
      <c r="AA379" s="156" t="str">
        <f>IF(COUNTIF('Raw Annual DMR Data'!K:K,$E379)&gt;0,"N/A - See DMRs",IF(SUMIFS('Raw TRI Data'!$Z:$Z,'Raw TRI Data'!$J:$J,$E379)&gt;0,_xlfn.MAXIFS('Raw TRI Data'!$Z:$Z,'Raw TRI Data'!$J:$J,$E379), "N/A - Facility Does Not Report to TRI, no surface water releases, or no Generic Factors available"))</f>
        <v>N/A - Facility Does Not Report to TRI, no surface water releases, or no Generic Factors available</v>
      </c>
      <c r="AB379" s="113" t="str">
        <f t="shared" si="35"/>
        <v>N/A</v>
      </c>
      <c r="AC379" s="136" t="str" cm="1">
        <f t="array" ref="AC379">IF(COUNTIF('Raw Annual DMR Data'!K:K,$E379)&gt;0,"N/A - See DMRs",IF(SUMIFS('Raw TRI Data'!$Z:$Z,'Raw TRI Data'!$J:$J,$E379)&gt;0,INDEX('Raw TRI Data'!$A:$A,MATCH(1,($E379='Raw TRI Data'!$J:$J)*($AA379='Raw TRI Data'!$Z:$Z),0)), "N/A - Facility Does Not Report to TRI, no surface water releases, or no Generic Factors available"))</f>
        <v>N/A - Facility Does Not Report to TRI, no surface water releases, or no Generic Factors available</v>
      </c>
      <c r="AD379" s="96" t="str" cm="1">
        <f t="array" ref="AD379">IF(COUNTIFS('Raw Annual DMR Data'!L:L,$F379,'Raw Annual DMR Data'!W:W, "&gt;0")&gt;0,MEDIAN(IF('Raw Annual DMR Data'!K:K=$F379, 'Raw Annual DMR Data'!W:W)), "N/A - No Daily Max DMR Discharge Data")</f>
        <v>N/A - No Daily Max DMR Discharge Data</v>
      </c>
      <c r="AE379" s="96" t="str">
        <f>IF(COUNTIFS('Raw Annual DMR Data'!L:L,$F379,'Raw Annual DMR Data'!W:W, "&gt;0")&gt;0,_xlfn.MAXIFS('Raw Annual DMR Data'!W:W,'Raw Annual DMR Data'!L:L,$F379), "N/A - No Daily Max DMR Discharge Data")</f>
        <v>N/A - No Daily Max DMR Discharge Data</v>
      </c>
      <c r="AF379" s="60" t="str" cm="1">
        <f t="array" ref="AF379">IF(COUNTIFS('Raw Annual DMR Data'!L:L,$F379,'Raw Annual DMR Data'!W:W, "&gt;0")&gt;0,INDEX('Raw Annual DMR Data'!B:B,MATCH(1,($F379='Raw Annual DMR Data'!L:L)*($AE379='Raw Annual DMR Data'!W:W),0)), "N/A - No Daily Max DMR Discharge Data")</f>
        <v>N/A - No Daily Max DMR Discharge Data</v>
      </c>
    </row>
    <row r="380" spans="1:32" ht="45.75" thickBot="1" x14ac:dyDescent="0.3">
      <c r="A380" s="144" t="str">
        <f>VLOOKUP(F380,'Facility Summary'!J:K,2,FALSE)</f>
        <v>Unknown</v>
      </c>
      <c r="B380" s="28" t="s">
        <v>1402</v>
      </c>
      <c r="C380" s="28" t="s">
        <v>1403</v>
      </c>
      <c r="D380" s="28" t="s">
        <v>294</v>
      </c>
      <c r="E380" s="28"/>
      <c r="F380" s="61">
        <v>110070548097</v>
      </c>
      <c r="G380" s="60" t="str">
        <f>VLOOKUP($F380, 'Raw Annual DMR Data'!$A:$Z, 24, FALSE)</f>
        <v>VAG830538</v>
      </c>
      <c r="H380" s="60" t="str">
        <f>VLOOKUP($F380, 'Raw Annual DMR Data'!$A:$Z, 25, FALSE)</f>
        <v>EASTERN BRANCH ELIZABETH RIVER</v>
      </c>
      <c r="I380" s="74">
        <f>VLOOKUP($F380, 'Raw Annual DMR Data'!$A:$Z, 26, FALSE)</f>
        <v>0</v>
      </c>
      <c r="J380" s="74" t="s">
        <v>265</v>
      </c>
      <c r="K380" s="60">
        <f>VLOOKUP(A380, 'OES Summary'!$A:$B, 2, FALSE)</f>
        <v>250</v>
      </c>
      <c r="L380" s="304" cm="1">
        <f t="array" ref="L380">IF(COUNTIF('Raw Annual DMR Data'!$L:$L,$F380)&gt;0,MEDIAN(IF('Raw Annual DMR Data'!$L:$L=F380,'Raw Annual DMR Data'!$S:$S)),"N/A - Facility Does Not Report DMRs")</f>
        <v>6.6024025999999902E-2</v>
      </c>
      <c r="M380" s="156">
        <f t="shared" si="33"/>
        <v>2.640961039999996E-4</v>
      </c>
      <c r="N380" s="156">
        <f>IF(COUNTIF('Raw Annual DMR Data'!$L:$L,$F380)&gt;0,_xlfn.MAXIFS('Raw Annual DMR Data'!$S:$S,'Raw Annual DMR Data'!$L:$L,$F380), "N/A - Facility Does Not Report DMRs")</f>
        <v>6.6024025999999902E-2</v>
      </c>
      <c r="O380" s="156">
        <f t="shared" si="34"/>
        <v>2.640961039999996E-4</v>
      </c>
      <c r="P380" s="113" cm="1">
        <f t="array" ref="P380">IF(COUNTIF('Raw Annual DMR Data'!$L:$L,$F380)&gt;0,INDEX('Raw Annual DMR Data'!$B:$B,MATCH(1,($F380='Raw Annual DMR Data'!$L:$L)*($N380='Raw Annual DMR Data'!$S:$S),0)), "N/A - Facility Does Not Report DMRs")</f>
        <v>2019</v>
      </c>
      <c r="Q380" s="304" t="str" cm="1">
        <f t="array" ref="Q380">IF(COUNTIF('Raw TRI Data'!$J:$J,$E380)&gt;0,MEDIAN(IF('Raw TRI Data'!$J:$J=E380,'Raw TRI Data'!$S:$S)), "N/A - Facility Does Not Report to TRI")</f>
        <v>N/A - Facility Does Not Report to TRI</v>
      </c>
      <c r="R380" s="156" t="str">
        <f t="shared" si="31"/>
        <v>N/A - Facility Does Not Report to TRI</v>
      </c>
      <c r="S380" s="156" t="str">
        <f>IF(COUNTIF('Raw TRI Data'!$J:$J,$E380)&gt;0,_xlfn.MAXIFS('Raw TRI Data'!$S:$S,'Raw TRI Data'!$J:$J,$E380), "N/A - Facility Does Not Report to TRI")</f>
        <v>N/A - Facility Does Not Report to TRI</v>
      </c>
      <c r="T380" s="156" t="str">
        <f t="shared" si="32"/>
        <v>N/A - Facility Does Not Report to TRI</v>
      </c>
      <c r="U380" s="136" t="str" cm="1">
        <f t="array" ref="U380">IF(COUNTIF('Raw TRI Data'!$J:$J,$E380)&gt;0,INDEX('Raw TRI Data'!$A:$A,MATCH(1,($E380='Raw TRI Data'!$J:$J)*(S380='Raw TRI Data'!$S:$S),0)), "N/A - Facility Does Not Report to TRI")</f>
        <v>N/A - Facility Does Not Report to TRI</v>
      </c>
      <c r="V380" s="156" t="str" cm="1">
        <f t="array" ref="V380">IF(COUNTIFS('Raw Annual DMR Data'!$L:$L,$F380,'Raw Annual DMR Data'!$U:$U,"&gt;0")&gt;0,MEDIAN(IF('Raw Annual DMR Data'!$L:$L=$F380,'Raw Annual DMR Data'!$U:$U,"")),"N/A - Period DMR Data Not Available")</f>
        <v>N/A - Period DMR Data Not Available</v>
      </c>
      <c r="W380" s="156" t="str">
        <f>IF(COUNTIFS('Raw Annual DMR Data'!$L:$L,$F380, 'Raw Annual DMR Data'!$U:$U, "&gt;0")&gt;0,_xlfn.MAXIFS('Raw Annual DMR Data'!$U:$U,'Raw Annual DMR Data'!$L:$L,$F380), "N/A - Period DMR Data Not Available")</f>
        <v>N/A - Period DMR Data Not Available</v>
      </c>
      <c r="X380" s="113" t="str" cm="1">
        <f t="array" ref="X380">+IF(COUNTIFS('Raw Annual DMR Data'!L:L,$F380, 'Raw Annual DMR Data'!U:U, "&gt;0")&gt;0,INDEX('Raw Annual DMR Data'!V:V,MATCH(1,($F380='Raw Annual DMR Data'!L:L)*($W380='Raw Annual DMR Data'!U:U),0)), "N/A - Period DMR Data Not Available")</f>
        <v>N/A - Period DMR Data Not Available</v>
      </c>
      <c r="Y380" s="113" t="str" cm="1">
        <f t="array" ref="Y380">IF(COUNTIFS('Raw Annual DMR Data'!L:L,$F380, 'Raw Annual DMR Data'!U:U, "&gt;0")&gt;0,INDEX('Raw Annual DMR Data'!B:B,MATCH(1,($F380='Raw Annual DMR Data'!L:L)*($W380='Raw Annual DMR Data'!U:U),0)), "N/A - Period DMR Data Not Available")</f>
        <v>N/A - Period DMR Data Not Available</v>
      </c>
      <c r="Z380" s="311" t="str" cm="1">
        <f t="array" ref="Z380">IF(COUNTIF('Raw Annual DMR Data'!K:K,$E380)&gt;0,"N/A - See DMRs",IF(SUMIFS('Raw TRI Data'!$Z:$Z,'Raw TRI Data'!$J:$J,$E380)&gt;0,MEDIAN(IF('Raw TRI Data'!$J:$J=$E380,'Raw TRI Data'!$Z:$Z)), "N/A - Facility Does Not Report to TRI, no surface water releases, or no Generic Factors available"))</f>
        <v>N/A - Facility Does Not Report to TRI, no surface water releases, or no Generic Factors available</v>
      </c>
      <c r="AA380" s="156" t="str">
        <f>IF(COUNTIF('Raw Annual DMR Data'!K:K,$E380)&gt;0,"N/A - See DMRs",IF(SUMIFS('Raw TRI Data'!$Z:$Z,'Raw TRI Data'!$J:$J,$E380)&gt;0,_xlfn.MAXIFS('Raw TRI Data'!$Z:$Z,'Raw TRI Data'!$J:$J,$E380), "N/A - Facility Does Not Report to TRI, no surface water releases, or no Generic Factors available"))</f>
        <v>N/A - Facility Does Not Report to TRI, no surface water releases, or no Generic Factors available</v>
      </c>
      <c r="AB380" s="113" t="str">
        <f t="shared" si="35"/>
        <v>N/A</v>
      </c>
      <c r="AC380" s="136" t="str" cm="1">
        <f t="array" ref="AC380">IF(COUNTIF('Raw Annual DMR Data'!K:K,$E380)&gt;0,"N/A - See DMRs",IF(SUMIFS('Raw TRI Data'!$Z:$Z,'Raw TRI Data'!$J:$J,$E380)&gt;0,INDEX('Raw TRI Data'!$A:$A,MATCH(1,($E380='Raw TRI Data'!$J:$J)*($AA380='Raw TRI Data'!$Z:$Z),0)), "N/A - Facility Does Not Report to TRI, no surface water releases, or no Generic Factors available"))</f>
        <v>N/A - Facility Does Not Report to TRI, no surface water releases, or no Generic Factors available</v>
      </c>
      <c r="AD380" s="96" t="str" cm="1">
        <f t="array" ref="AD380">IF(COUNTIFS('Raw Annual DMR Data'!L:L,$F380,'Raw Annual DMR Data'!W:W, "&gt;0")&gt;0,MEDIAN(IF('Raw Annual DMR Data'!K:K=$F380, 'Raw Annual DMR Data'!W:W)), "N/A - No Daily Max DMR Discharge Data")</f>
        <v>N/A - No Daily Max DMR Discharge Data</v>
      </c>
      <c r="AE380" s="96" t="str">
        <f>IF(COUNTIFS('Raw Annual DMR Data'!L:L,$F380,'Raw Annual DMR Data'!W:W, "&gt;0")&gt;0,_xlfn.MAXIFS('Raw Annual DMR Data'!W:W,'Raw Annual DMR Data'!L:L,$F380), "N/A - No Daily Max DMR Discharge Data")</f>
        <v>N/A - No Daily Max DMR Discharge Data</v>
      </c>
      <c r="AF380" s="60" t="str" cm="1">
        <f t="array" ref="AF380">IF(COUNTIFS('Raw Annual DMR Data'!L:L,$F380,'Raw Annual DMR Data'!W:W, "&gt;0")&gt;0,INDEX('Raw Annual DMR Data'!B:B,MATCH(1,($F380='Raw Annual DMR Data'!L:L)*($AE380='Raw Annual DMR Data'!W:W),0)), "N/A - No Daily Max DMR Discharge Data")</f>
        <v>N/A - No Daily Max DMR Discharge Data</v>
      </c>
    </row>
    <row r="381" spans="1:32" ht="45.75" thickBot="1" x14ac:dyDescent="0.3">
      <c r="A381" s="144" t="str">
        <f>VLOOKUP(F381,'Facility Summary'!J:K,2,FALSE)</f>
        <v>Unknown</v>
      </c>
      <c r="B381" s="28" t="s">
        <v>1404</v>
      </c>
      <c r="C381" s="28" t="s">
        <v>1405</v>
      </c>
      <c r="D381" s="28" t="s">
        <v>427</v>
      </c>
      <c r="E381" s="28"/>
      <c r="F381" s="61">
        <v>110006040989</v>
      </c>
      <c r="G381" s="60" t="str">
        <f>VLOOKUP($F381, 'Raw Annual DMR Data'!$A:$Z, 24, FALSE)</f>
        <v>MI0042994</v>
      </c>
      <c r="H381" s="60" t="str">
        <f>VLOOKUP($F381, 'Raw Annual DMR Data'!$A:$Z, 25, FALSE)</f>
        <v>BATTLE CREEK RIVER</v>
      </c>
      <c r="I381" s="74">
        <f>VLOOKUP($F381, 'Raw Annual DMR Data'!$A:$Z, 26, FALSE)</f>
        <v>4050003000125</v>
      </c>
      <c r="J381" s="74" t="s">
        <v>265</v>
      </c>
      <c r="K381" s="60">
        <f>VLOOKUP(A381, 'OES Summary'!$A:$B, 2, FALSE)</f>
        <v>250</v>
      </c>
      <c r="L381" s="304" cm="1">
        <f t="array" ref="L381">IF(COUNTIF('Raw Annual DMR Data'!$L:$L,$F381)&gt;0,MEDIAN(IF('Raw Annual DMR Data'!$L:$L=F381,'Raw Annual DMR Data'!$S:$S)),"N/A - Facility Does Not Report DMRs")</f>
        <v>0.89250300000000005</v>
      </c>
      <c r="M381" s="156">
        <f t="shared" si="33"/>
        <v>3.570012E-3</v>
      </c>
      <c r="N381" s="156">
        <f>IF(COUNTIF('Raw Annual DMR Data'!$L:$L,$F381)&gt;0,_xlfn.MAXIFS('Raw Annual DMR Data'!$S:$S,'Raw Annual DMR Data'!$L:$L,$F381), "N/A - Facility Does Not Report DMRs")</f>
        <v>0.95508797499999998</v>
      </c>
      <c r="O381" s="156">
        <f t="shared" si="34"/>
        <v>3.8203518999999999E-3</v>
      </c>
      <c r="P381" s="113" cm="1">
        <f t="array" ref="P381">IF(COUNTIF('Raw Annual DMR Data'!$L:$L,$F381)&gt;0,INDEX('Raw Annual DMR Data'!$B:$B,MATCH(1,($F381='Raw Annual DMR Data'!$L:$L)*($N381='Raw Annual DMR Data'!$S:$S),0)), "N/A - Facility Does Not Report DMRs")</f>
        <v>2024</v>
      </c>
      <c r="Q381" s="304" t="str" cm="1">
        <f t="array" ref="Q381">IF(COUNTIF('Raw TRI Data'!$J:$J,$E381)&gt;0,MEDIAN(IF('Raw TRI Data'!$J:$J=E381,'Raw TRI Data'!$S:$S)), "N/A - Facility Does Not Report to TRI")</f>
        <v>N/A - Facility Does Not Report to TRI</v>
      </c>
      <c r="R381" s="156" t="str">
        <f t="shared" si="31"/>
        <v>N/A - Facility Does Not Report to TRI</v>
      </c>
      <c r="S381" s="156" t="str">
        <f>IF(COUNTIF('Raw TRI Data'!$J:$J,$E381)&gt;0,_xlfn.MAXIFS('Raw TRI Data'!$S:$S,'Raw TRI Data'!$J:$J,$E381), "N/A - Facility Does Not Report to TRI")</f>
        <v>N/A - Facility Does Not Report to TRI</v>
      </c>
      <c r="T381" s="156" t="str">
        <f t="shared" si="32"/>
        <v>N/A - Facility Does Not Report to TRI</v>
      </c>
      <c r="U381" s="136" t="str" cm="1">
        <f t="array" ref="U381">IF(COUNTIF('Raw TRI Data'!$J:$J,$E381)&gt;0,INDEX('Raw TRI Data'!$A:$A,MATCH(1,($E381='Raw TRI Data'!$J:$J)*(S381='Raw TRI Data'!$S:$S),0)), "N/A - Facility Does Not Report to TRI")</f>
        <v>N/A - Facility Does Not Report to TRI</v>
      </c>
      <c r="V381" s="156" t="str" cm="1">
        <f t="array" ref="V381">IF(COUNTIFS('Raw Annual DMR Data'!$L:$L,$F381,'Raw Annual DMR Data'!$U:$U,"&gt;0")&gt;0,MEDIAN(IF('Raw Annual DMR Data'!$L:$L=$F381,'Raw Annual DMR Data'!$U:$U,"")),"N/A - Period DMR Data Not Available")</f>
        <v>N/A - Period DMR Data Not Available</v>
      </c>
      <c r="W381" s="156" t="str">
        <f>IF(COUNTIFS('Raw Annual DMR Data'!$L:$L,$F381, 'Raw Annual DMR Data'!$U:$U, "&gt;0")&gt;0,_xlfn.MAXIFS('Raw Annual DMR Data'!$U:$U,'Raw Annual DMR Data'!$L:$L,$F381), "N/A - Period DMR Data Not Available")</f>
        <v>N/A - Period DMR Data Not Available</v>
      </c>
      <c r="X381" s="113" t="str" cm="1">
        <f t="array" ref="X381">+IF(COUNTIFS('Raw Annual DMR Data'!L:L,$F381, 'Raw Annual DMR Data'!U:U, "&gt;0")&gt;0,INDEX('Raw Annual DMR Data'!V:V,MATCH(1,($F381='Raw Annual DMR Data'!L:L)*($W381='Raw Annual DMR Data'!U:U),0)), "N/A - Period DMR Data Not Available")</f>
        <v>N/A - Period DMR Data Not Available</v>
      </c>
      <c r="Y381" s="113" t="str" cm="1">
        <f t="array" ref="Y381">IF(COUNTIFS('Raw Annual DMR Data'!L:L,$F381, 'Raw Annual DMR Data'!U:U, "&gt;0")&gt;0,INDEX('Raw Annual DMR Data'!B:B,MATCH(1,($F381='Raw Annual DMR Data'!L:L)*($W381='Raw Annual DMR Data'!U:U),0)), "N/A - Period DMR Data Not Available")</f>
        <v>N/A - Period DMR Data Not Available</v>
      </c>
      <c r="Z381" s="311" t="str" cm="1">
        <f t="array" ref="Z381">IF(COUNTIF('Raw Annual DMR Data'!K:K,$E381)&gt;0,"N/A - See DMRs",IF(SUMIFS('Raw TRI Data'!$Z:$Z,'Raw TRI Data'!$J:$J,$E381)&gt;0,MEDIAN(IF('Raw TRI Data'!$J:$J=$E381,'Raw TRI Data'!$Z:$Z)), "N/A - Facility Does Not Report to TRI, no surface water releases, or no Generic Factors available"))</f>
        <v>N/A - Facility Does Not Report to TRI, no surface water releases, or no Generic Factors available</v>
      </c>
      <c r="AA381" s="156" t="str">
        <f>IF(COUNTIF('Raw Annual DMR Data'!K:K,$E381)&gt;0,"N/A - See DMRs",IF(SUMIFS('Raw TRI Data'!$Z:$Z,'Raw TRI Data'!$J:$J,$E381)&gt;0,_xlfn.MAXIFS('Raw TRI Data'!$Z:$Z,'Raw TRI Data'!$J:$J,$E381), "N/A - Facility Does Not Report to TRI, no surface water releases, or no Generic Factors available"))</f>
        <v>N/A - Facility Does Not Report to TRI, no surface water releases, or no Generic Factors available</v>
      </c>
      <c r="AB381" s="113" t="str">
        <f t="shared" si="35"/>
        <v>N/A</v>
      </c>
      <c r="AC381" s="136" t="str" cm="1">
        <f t="array" ref="AC381">IF(COUNTIF('Raw Annual DMR Data'!K:K,$E381)&gt;0,"N/A - See DMRs",IF(SUMIFS('Raw TRI Data'!$Z:$Z,'Raw TRI Data'!$J:$J,$E381)&gt;0,INDEX('Raw TRI Data'!$A:$A,MATCH(1,($E381='Raw TRI Data'!$J:$J)*($AA381='Raw TRI Data'!$Z:$Z),0)), "N/A - Facility Does Not Report to TRI, no surface water releases, or no Generic Factors available"))</f>
        <v>N/A - Facility Does Not Report to TRI, no surface water releases, or no Generic Factors available</v>
      </c>
      <c r="AD381" s="96" t="str" cm="1">
        <f t="array" ref="AD381">IF(COUNTIFS('Raw Annual DMR Data'!L:L,$F381,'Raw Annual DMR Data'!W:W, "&gt;0")&gt;0,MEDIAN(IF('Raw Annual DMR Data'!K:K=$F381, 'Raw Annual DMR Data'!W:W)), "N/A - No Daily Max DMR Discharge Data")</f>
        <v>N/A - No Daily Max DMR Discharge Data</v>
      </c>
      <c r="AE381" s="96" t="str">
        <f>IF(COUNTIFS('Raw Annual DMR Data'!L:L,$F381,'Raw Annual DMR Data'!W:W, "&gt;0")&gt;0,_xlfn.MAXIFS('Raw Annual DMR Data'!W:W,'Raw Annual DMR Data'!L:L,$F381), "N/A - No Daily Max DMR Discharge Data")</f>
        <v>N/A - No Daily Max DMR Discharge Data</v>
      </c>
      <c r="AF381" s="60" t="str" cm="1">
        <f t="array" ref="AF381">IF(COUNTIFS('Raw Annual DMR Data'!L:L,$F381,'Raw Annual DMR Data'!W:W, "&gt;0")&gt;0,INDEX('Raw Annual DMR Data'!B:B,MATCH(1,($F381='Raw Annual DMR Data'!L:L)*($AE381='Raw Annual DMR Data'!W:W),0)), "N/A - No Daily Max DMR Discharge Data")</f>
        <v>N/A - No Daily Max DMR Discharge Data</v>
      </c>
    </row>
    <row r="382" spans="1:32" ht="45.75" thickBot="1" x14ac:dyDescent="0.3">
      <c r="A382" s="144" t="str">
        <f>VLOOKUP(F382,'Facility Summary'!J:K,2,FALSE)</f>
        <v>POTW</v>
      </c>
      <c r="B382" s="28" t="s">
        <v>1406</v>
      </c>
      <c r="C382" s="28" t="s">
        <v>1407</v>
      </c>
      <c r="D382" s="28" t="s">
        <v>324</v>
      </c>
      <c r="E382" s="28"/>
      <c r="F382" s="61">
        <v>110000732226</v>
      </c>
      <c r="G382" s="60" t="str">
        <f>VLOOKUP($F382, 'Raw Annual DMR Data'!$A:$Z, 24, FALSE)</f>
        <v>KY0020621</v>
      </c>
      <c r="H382" s="60" t="str">
        <f>VLOOKUP($F382, 'Raw Annual DMR Data'!$A:$Z, 25, FALSE)</f>
        <v>GLEENS CREEK, GLENNS CRK</v>
      </c>
      <c r="I382" s="74">
        <f>VLOOKUP($F382, 'Raw Annual DMR Data'!$A:$Z, 26, FALSE)</f>
        <v>5100205000239</v>
      </c>
      <c r="J382" s="74" t="s">
        <v>265</v>
      </c>
      <c r="K382" s="60">
        <f>VLOOKUP(A382, 'OES Summary'!$A:$B, 2, FALSE)</f>
        <v>365</v>
      </c>
      <c r="L382" s="304" cm="1">
        <f t="array" ref="L382">IF(COUNTIF('Raw Annual DMR Data'!$L:$L,$F382)&gt;0,MEDIAN(IF('Raw Annual DMR Data'!$L:$L=F382,'Raw Annual DMR Data'!$S:$S)),"N/A - Facility Does Not Report DMRs")</f>
        <v>5.636622</v>
      </c>
      <c r="M382" s="156">
        <f t="shared" si="33"/>
        <v>1.54428E-2</v>
      </c>
      <c r="N382" s="156">
        <f>IF(COUNTIF('Raw Annual DMR Data'!$L:$L,$F382)&gt;0,_xlfn.MAXIFS('Raw Annual DMR Data'!$S:$S,'Raw Annual DMR Data'!$L:$L,$F382), "N/A - Facility Does Not Report DMRs")</f>
        <v>5.636622</v>
      </c>
      <c r="O382" s="156">
        <f t="shared" si="34"/>
        <v>1.54428E-2</v>
      </c>
      <c r="P382" s="113" cm="1">
        <f t="array" ref="P382">IF(COUNTIF('Raw Annual DMR Data'!$L:$L,$F382)&gt;0,INDEX('Raw Annual DMR Data'!$B:$B,MATCH(1,($F382='Raw Annual DMR Data'!$L:$L)*($N382='Raw Annual DMR Data'!$S:$S),0)), "N/A - Facility Does Not Report DMRs")</f>
        <v>2020</v>
      </c>
      <c r="Q382" s="304" t="str" cm="1">
        <f t="array" ref="Q382">IF(COUNTIF('Raw TRI Data'!$J:$J,$E382)&gt;0,MEDIAN(IF('Raw TRI Data'!$J:$J=E382,'Raw TRI Data'!$S:$S)), "N/A - Facility Does Not Report to TRI")</f>
        <v>N/A - Facility Does Not Report to TRI</v>
      </c>
      <c r="R382" s="156" t="str">
        <f t="shared" si="31"/>
        <v>N/A - Facility Does Not Report to TRI</v>
      </c>
      <c r="S382" s="156" t="str">
        <f>IF(COUNTIF('Raw TRI Data'!$J:$J,$E382)&gt;0,_xlfn.MAXIFS('Raw TRI Data'!$S:$S,'Raw TRI Data'!$J:$J,$E382), "N/A - Facility Does Not Report to TRI")</f>
        <v>N/A - Facility Does Not Report to TRI</v>
      </c>
      <c r="T382" s="156" t="str">
        <f t="shared" si="32"/>
        <v>N/A - Facility Does Not Report to TRI</v>
      </c>
      <c r="U382" s="136" t="str" cm="1">
        <f t="array" ref="U382">IF(COUNTIF('Raw TRI Data'!$J:$J,$E382)&gt;0,INDEX('Raw TRI Data'!$A:$A,MATCH(1,($E382='Raw TRI Data'!$J:$J)*(S382='Raw TRI Data'!$S:$S),0)), "N/A - Facility Does Not Report to TRI")</f>
        <v>N/A - Facility Does Not Report to TRI</v>
      </c>
      <c r="V382" s="156" t="str" cm="1">
        <f t="array" ref="V382">IF(COUNTIFS('Raw Annual DMR Data'!$L:$L,$F382,'Raw Annual DMR Data'!$U:$U,"&gt;0")&gt;0,MEDIAN(IF('Raw Annual DMR Data'!$L:$L=$F382,'Raw Annual DMR Data'!$U:$U,"")),"N/A - Period DMR Data Not Available")</f>
        <v>N/A - Period DMR Data Not Available</v>
      </c>
      <c r="W382" s="156" t="str">
        <f>IF(COUNTIFS('Raw Annual DMR Data'!$L:$L,$F382, 'Raw Annual DMR Data'!$U:$U, "&gt;0")&gt;0,_xlfn.MAXIFS('Raw Annual DMR Data'!$U:$U,'Raw Annual DMR Data'!$L:$L,$F382), "N/A - Period DMR Data Not Available")</f>
        <v>N/A - Period DMR Data Not Available</v>
      </c>
      <c r="X382" s="113" t="str" cm="1">
        <f t="array" ref="X382">+IF(COUNTIFS('Raw Annual DMR Data'!L:L,$F382, 'Raw Annual DMR Data'!U:U, "&gt;0")&gt;0,INDEX('Raw Annual DMR Data'!V:V,MATCH(1,($F382='Raw Annual DMR Data'!L:L)*($W382='Raw Annual DMR Data'!U:U),0)), "N/A - Period DMR Data Not Available")</f>
        <v>N/A - Period DMR Data Not Available</v>
      </c>
      <c r="Y382" s="113" t="str" cm="1">
        <f t="array" ref="Y382">IF(COUNTIFS('Raw Annual DMR Data'!L:L,$F382, 'Raw Annual DMR Data'!U:U, "&gt;0")&gt;0,INDEX('Raw Annual DMR Data'!B:B,MATCH(1,($F382='Raw Annual DMR Data'!L:L)*($W382='Raw Annual DMR Data'!U:U),0)), "N/A - Period DMR Data Not Available")</f>
        <v>N/A - Period DMR Data Not Available</v>
      </c>
      <c r="Z382" s="311" t="str" cm="1">
        <f t="array" ref="Z382">IF(COUNTIF('Raw Annual DMR Data'!K:K,$E382)&gt;0,"N/A - See DMRs",IF(SUMIFS('Raw TRI Data'!$Z:$Z,'Raw TRI Data'!$J:$J,$E382)&gt;0,MEDIAN(IF('Raw TRI Data'!$J:$J=$E382,'Raw TRI Data'!$Z:$Z)), "N/A - Facility Does Not Report to TRI, no surface water releases, or no Generic Factors available"))</f>
        <v>N/A - Facility Does Not Report to TRI, no surface water releases, or no Generic Factors available</v>
      </c>
      <c r="AA382" s="156" t="str">
        <f>IF(COUNTIF('Raw Annual DMR Data'!K:K,$E382)&gt;0,"N/A - See DMRs",IF(SUMIFS('Raw TRI Data'!$Z:$Z,'Raw TRI Data'!$J:$J,$E382)&gt;0,_xlfn.MAXIFS('Raw TRI Data'!$Z:$Z,'Raw TRI Data'!$J:$J,$E382), "N/A - Facility Does Not Report to TRI, no surface water releases, or no Generic Factors available"))</f>
        <v>N/A - Facility Does Not Report to TRI, no surface water releases, or no Generic Factors available</v>
      </c>
      <c r="AB382" s="113" t="str">
        <f t="shared" si="35"/>
        <v>N/A</v>
      </c>
      <c r="AC382" s="136" t="str" cm="1">
        <f t="array" ref="AC382">IF(COUNTIF('Raw Annual DMR Data'!K:K,$E382)&gt;0,"N/A - See DMRs",IF(SUMIFS('Raw TRI Data'!$Z:$Z,'Raw TRI Data'!$J:$J,$E382)&gt;0,INDEX('Raw TRI Data'!$A:$A,MATCH(1,($E382='Raw TRI Data'!$J:$J)*($AA382='Raw TRI Data'!$Z:$Z),0)), "N/A - Facility Does Not Report to TRI, no surface water releases, or no Generic Factors available"))</f>
        <v>N/A - Facility Does Not Report to TRI, no surface water releases, or no Generic Factors available</v>
      </c>
      <c r="AD382" s="96" t="str" cm="1">
        <f t="array" ref="AD382">IF(COUNTIFS('Raw Annual DMR Data'!L:L,$F382,'Raw Annual DMR Data'!W:W, "&gt;0")&gt;0,MEDIAN(IF('Raw Annual DMR Data'!K:K=$F382, 'Raw Annual DMR Data'!W:W)), "N/A - No Daily Max DMR Discharge Data")</f>
        <v>N/A - No Daily Max DMR Discharge Data</v>
      </c>
      <c r="AE382" s="96" t="str">
        <f>IF(COUNTIFS('Raw Annual DMR Data'!L:L,$F382,'Raw Annual DMR Data'!W:W, "&gt;0")&gt;0,_xlfn.MAXIFS('Raw Annual DMR Data'!W:W,'Raw Annual DMR Data'!L:L,$F382), "N/A - No Daily Max DMR Discharge Data")</f>
        <v>N/A - No Daily Max DMR Discharge Data</v>
      </c>
      <c r="AF382" s="60" t="str" cm="1">
        <f t="array" ref="AF382">IF(COUNTIFS('Raw Annual DMR Data'!L:L,$F382,'Raw Annual DMR Data'!W:W, "&gt;0")&gt;0,INDEX('Raw Annual DMR Data'!B:B,MATCH(1,($F382='Raw Annual DMR Data'!L:L)*($AE382='Raw Annual DMR Data'!W:W),0)), "N/A - No Daily Max DMR Discharge Data")</f>
        <v>N/A - No Daily Max DMR Discharge Data</v>
      </c>
    </row>
    <row r="383" spans="1:32" ht="45.75" thickBot="1" x14ac:dyDescent="0.3">
      <c r="A383" s="144" t="str">
        <f>VLOOKUP(F383,'Facility Summary'!J:K,2,FALSE)</f>
        <v>POTW</v>
      </c>
      <c r="B383" s="28" t="s">
        <v>1408</v>
      </c>
      <c r="C383" s="28" t="s">
        <v>1409</v>
      </c>
      <c r="D383" s="28" t="s">
        <v>366</v>
      </c>
      <c r="E383" s="28"/>
      <c r="F383" s="61">
        <v>110000517637</v>
      </c>
      <c r="G383" s="60" t="str">
        <f>VLOOKUP($F383, 'Raw Annual DMR Data'!$A:$Z, 24, FALSE)</f>
        <v>CA0102822</v>
      </c>
      <c r="H383" s="60" t="str">
        <f>VLOOKUP($F383, 'Raw Annual DMR Data'!$A:$Z, 25, FALSE)</f>
        <v>MOJAVE RIVER</v>
      </c>
      <c r="I383" s="74">
        <f>VLOOKUP($F383, 'Raw Annual DMR Data'!$A:$Z, 26, FALSE)</f>
        <v>18090208000542</v>
      </c>
      <c r="J383" s="74" t="s">
        <v>265</v>
      </c>
      <c r="K383" s="60">
        <f>VLOOKUP(A383, 'OES Summary'!$A:$B, 2, FALSE)</f>
        <v>365</v>
      </c>
      <c r="L383" s="304" cm="1">
        <f t="array" ref="L383">IF(COUNTIF('Raw Annual DMR Data'!$L:$L,$F383)&gt;0,MEDIAN(IF('Raw Annual DMR Data'!$L:$L=F383,'Raw Annual DMR Data'!$S:$S)),"N/A - Facility Does Not Report DMRs")</f>
        <v>0.49044137500000001</v>
      </c>
      <c r="M383" s="156">
        <f t="shared" si="33"/>
        <v>1.3436750000000001E-3</v>
      </c>
      <c r="N383" s="156">
        <f>IF(COUNTIF('Raw Annual DMR Data'!$L:$L,$F383)&gt;0,_xlfn.MAXIFS('Raw Annual DMR Data'!$S:$S,'Raw Annual DMR Data'!$L:$L,$F383), "N/A - Facility Does Not Report DMRs")</f>
        <v>1.86505875</v>
      </c>
      <c r="O383" s="156">
        <f t="shared" si="34"/>
        <v>5.1097499999999997E-3</v>
      </c>
      <c r="P383" s="113" cm="1">
        <f t="array" ref="P383">IF(COUNTIF('Raw Annual DMR Data'!$L:$L,$F383)&gt;0,INDEX('Raw Annual DMR Data'!$B:$B,MATCH(1,($F383='Raw Annual DMR Data'!$L:$L)*($N383='Raw Annual DMR Data'!$S:$S),0)), "N/A - Facility Does Not Report DMRs")</f>
        <v>2015</v>
      </c>
      <c r="Q383" s="304" t="str" cm="1">
        <f t="array" ref="Q383">IF(COUNTIF('Raw TRI Data'!$J:$J,$E383)&gt;0,MEDIAN(IF('Raw TRI Data'!$J:$J=E383,'Raw TRI Data'!$S:$S)), "N/A - Facility Does Not Report to TRI")</f>
        <v>N/A - Facility Does Not Report to TRI</v>
      </c>
      <c r="R383" s="156" t="str">
        <f t="shared" si="31"/>
        <v>N/A - Facility Does Not Report to TRI</v>
      </c>
      <c r="S383" s="156" t="str">
        <f>IF(COUNTIF('Raw TRI Data'!$J:$J,$E383)&gt;0,_xlfn.MAXIFS('Raw TRI Data'!$S:$S,'Raw TRI Data'!$J:$J,$E383), "N/A - Facility Does Not Report to TRI")</f>
        <v>N/A - Facility Does Not Report to TRI</v>
      </c>
      <c r="T383" s="156" t="str">
        <f t="shared" si="32"/>
        <v>N/A - Facility Does Not Report to TRI</v>
      </c>
      <c r="U383" s="136" t="str" cm="1">
        <f t="array" ref="U383">IF(COUNTIF('Raw TRI Data'!$J:$J,$E383)&gt;0,INDEX('Raw TRI Data'!$A:$A,MATCH(1,($E383='Raw TRI Data'!$J:$J)*(S383='Raw TRI Data'!$S:$S),0)), "N/A - Facility Does Not Report to TRI")</f>
        <v>N/A - Facility Does Not Report to TRI</v>
      </c>
      <c r="V383" s="156" t="str" cm="1">
        <f t="array" ref="V383">IF(COUNTIFS('Raw Annual DMR Data'!$L:$L,$F383,'Raw Annual DMR Data'!$U:$U,"&gt;0")&gt;0,MEDIAN(IF('Raw Annual DMR Data'!$L:$L=$F383,'Raw Annual DMR Data'!$U:$U,"")),"N/A - Period DMR Data Not Available")</f>
        <v>N/A - Period DMR Data Not Available</v>
      </c>
      <c r="W383" s="156" t="str">
        <f>IF(COUNTIFS('Raw Annual DMR Data'!$L:$L,$F383, 'Raw Annual DMR Data'!$U:$U, "&gt;0")&gt;0,_xlfn.MAXIFS('Raw Annual DMR Data'!$U:$U,'Raw Annual DMR Data'!$L:$L,$F383), "N/A - Period DMR Data Not Available")</f>
        <v>N/A - Period DMR Data Not Available</v>
      </c>
      <c r="X383" s="113" t="str" cm="1">
        <f t="array" ref="X383">+IF(COUNTIFS('Raw Annual DMR Data'!L:L,$F383, 'Raw Annual DMR Data'!U:U, "&gt;0")&gt;0,INDEX('Raw Annual DMR Data'!V:V,MATCH(1,($F383='Raw Annual DMR Data'!L:L)*($W383='Raw Annual DMR Data'!U:U),0)), "N/A - Period DMR Data Not Available")</f>
        <v>N/A - Period DMR Data Not Available</v>
      </c>
      <c r="Y383" s="113" t="str" cm="1">
        <f t="array" ref="Y383">IF(COUNTIFS('Raw Annual DMR Data'!L:L,$F383, 'Raw Annual DMR Data'!U:U, "&gt;0")&gt;0,INDEX('Raw Annual DMR Data'!B:B,MATCH(1,($F383='Raw Annual DMR Data'!L:L)*($W383='Raw Annual DMR Data'!U:U),0)), "N/A - Period DMR Data Not Available")</f>
        <v>N/A - Period DMR Data Not Available</v>
      </c>
      <c r="Z383" s="311" t="str" cm="1">
        <f t="array" ref="Z383">IF(COUNTIF('Raw Annual DMR Data'!K:K,$E383)&gt;0,"N/A - See DMRs",IF(SUMIFS('Raw TRI Data'!$Z:$Z,'Raw TRI Data'!$J:$J,$E383)&gt;0,MEDIAN(IF('Raw TRI Data'!$J:$J=$E383,'Raw TRI Data'!$Z:$Z)), "N/A - Facility Does Not Report to TRI, no surface water releases, or no Generic Factors available"))</f>
        <v>N/A - Facility Does Not Report to TRI, no surface water releases, or no Generic Factors available</v>
      </c>
      <c r="AA383" s="156" t="str">
        <f>IF(COUNTIF('Raw Annual DMR Data'!K:K,$E383)&gt;0,"N/A - See DMRs",IF(SUMIFS('Raw TRI Data'!$Z:$Z,'Raw TRI Data'!$J:$J,$E383)&gt;0,_xlfn.MAXIFS('Raw TRI Data'!$Z:$Z,'Raw TRI Data'!$J:$J,$E383), "N/A - Facility Does Not Report to TRI, no surface water releases, or no Generic Factors available"))</f>
        <v>N/A - Facility Does Not Report to TRI, no surface water releases, or no Generic Factors available</v>
      </c>
      <c r="AB383" s="113" t="str">
        <f t="shared" si="35"/>
        <v>N/A</v>
      </c>
      <c r="AC383" s="136" t="str" cm="1">
        <f t="array" ref="AC383">IF(COUNTIF('Raw Annual DMR Data'!K:K,$E383)&gt;0,"N/A - See DMRs",IF(SUMIFS('Raw TRI Data'!$Z:$Z,'Raw TRI Data'!$J:$J,$E383)&gt;0,INDEX('Raw TRI Data'!$A:$A,MATCH(1,($E383='Raw TRI Data'!$J:$J)*($AA383='Raw TRI Data'!$Z:$Z),0)), "N/A - Facility Does Not Report to TRI, no surface water releases, or no Generic Factors available"))</f>
        <v>N/A - Facility Does Not Report to TRI, no surface water releases, or no Generic Factors available</v>
      </c>
      <c r="AD383" s="96" t="str" cm="1">
        <f t="array" ref="AD383">IF(COUNTIFS('Raw Annual DMR Data'!L:L,$F383,'Raw Annual DMR Data'!W:W, "&gt;0")&gt;0,MEDIAN(IF('Raw Annual DMR Data'!K:K=$F383, 'Raw Annual DMR Data'!W:W)), "N/A - No Daily Max DMR Discharge Data")</f>
        <v>N/A - No Daily Max DMR Discharge Data</v>
      </c>
      <c r="AE383" s="96" t="str">
        <f>IF(COUNTIFS('Raw Annual DMR Data'!L:L,$F383,'Raw Annual DMR Data'!W:W, "&gt;0")&gt;0,_xlfn.MAXIFS('Raw Annual DMR Data'!W:W,'Raw Annual DMR Data'!L:L,$F383), "N/A - No Daily Max DMR Discharge Data")</f>
        <v>N/A - No Daily Max DMR Discharge Data</v>
      </c>
      <c r="AF383" s="60" t="str" cm="1">
        <f t="array" ref="AF383">IF(COUNTIFS('Raw Annual DMR Data'!L:L,$F383,'Raw Annual DMR Data'!W:W, "&gt;0")&gt;0,INDEX('Raw Annual DMR Data'!B:B,MATCH(1,($F383='Raw Annual DMR Data'!L:L)*($AE383='Raw Annual DMR Data'!W:W),0)), "N/A - No Daily Max DMR Discharge Data")</f>
        <v>N/A - No Daily Max DMR Discharge Data</v>
      </c>
    </row>
    <row r="384" spans="1:32" ht="45.75" thickBot="1" x14ac:dyDescent="0.3">
      <c r="A384" s="144" t="str">
        <f>VLOOKUP(F384,'Facility Summary'!J:K,2,FALSE)</f>
        <v>Unknown</v>
      </c>
      <c r="B384" s="28" t="s">
        <v>1410</v>
      </c>
      <c r="C384" s="28" t="s">
        <v>657</v>
      </c>
      <c r="D384" s="28" t="s">
        <v>418</v>
      </c>
      <c r="E384" s="28"/>
      <c r="F384" s="61">
        <v>110064418553</v>
      </c>
      <c r="G384" s="60" t="str">
        <f>VLOOKUP($F384, 'Raw Annual DMR Data'!$A:$Z, 24, FALSE)</f>
        <v>NV0024220</v>
      </c>
      <c r="H384" s="60" t="str">
        <f>VLOOKUP($F384, 'Raw Annual DMR Data'!$A:$Z, 25, FALSE)</f>
        <v>LAS VEGAS WASH</v>
      </c>
      <c r="I384" s="74">
        <f>VLOOKUP($F384, 'Raw Annual DMR Data'!$A:$Z, 26, FALSE)</f>
        <v>15010015000124</v>
      </c>
      <c r="J384" s="74" t="s">
        <v>265</v>
      </c>
      <c r="K384" s="60">
        <f>VLOOKUP(A384, 'OES Summary'!$A:$B, 2, FALSE)</f>
        <v>250</v>
      </c>
      <c r="L384" s="304" cm="1">
        <f t="array" ref="L384">IF(COUNTIF('Raw Annual DMR Data'!$L:$L,$F384)&gt;0,MEDIAN(IF('Raw Annual DMR Data'!$L:$L=F384,'Raw Annual DMR Data'!$S:$S)),"N/A - Facility Does Not Report DMRs")</f>
        <v>7.2530062500000001E-3</v>
      </c>
      <c r="M384" s="156">
        <f t="shared" si="33"/>
        <v>2.9012025000000001E-5</v>
      </c>
      <c r="N384" s="156">
        <f>IF(COUNTIF('Raw Annual DMR Data'!$L:$L,$F384)&gt;0,_xlfn.MAXIFS('Raw Annual DMR Data'!$S:$S,'Raw Annual DMR Data'!$L:$L,$F384), "N/A - Facility Does Not Report DMRs")</f>
        <v>8.2926038125000004E-3</v>
      </c>
      <c r="O384" s="156">
        <f t="shared" si="34"/>
        <v>3.3170415250000004E-5</v>
      </c>
      <c r="P384" s="113" cm="1">
        <f t="array" ref="P384">IF(COUNTIF('Raw Annual DMR Data'!$L:$L,$F384)&gt;0,INDEX('Raw Annual DMR Data'!$B:$B,MATCH(1,($F384='Raw Annual DMR Data'!$L:$L)*($N384='Raw Annual DMR Data'!$S:$S),0)), "N/A - Facility Does Not Report DMRs")</f>
        <v>2016</v>
      </c>
      <c r="Q384" s="304" t="str" cm="1">
        <f t="array" ref="Q384">IF(COUNTIF('Raw TRI Data'!$J:$J,$E384)&gt;0,MEDIAN(IF('Raw TRI Data'!$J:$J=E384,'Raw TRI Data'!$S:$S)), "N/A - Facility Does Not Report to TRI")</f>
        <v>N/A - Facility Does Not Report to TRI</v>
      </c>
      <c r="R384" s="156" t="str">
        <f t="shared" si="31"/>
        <v>N/A - Facility Does Not Report to TRI</v>
      </c>
      <c r="S384" s="156" t="str">
        <f>IF(COUNTIF('Raw TRI Data'!$J:$J,$E384)&gt;0,_xlfn.MAXIFS('Raw TRI Data'!$S:$S,'Raw TRI Data'!$J:$J,$E384), "N/A - Facility Does Not Report to TRI")</f>
        <v>N/A - Facility Does Not Report to TRI</v>
      </c>
      <c r="T384" s="156" t="str">
        <f t="shared" si="32"/>
        <v>N/A - Facility Does Not Report to TRI</v>
      </c>
      <c r="U384" s="136" t="str" cm="1">
        <f t="array" ref="U384">IF(COUNTIF('Raw TRI Data'!$J:$J,$E384)&gt;0,INDEX('Raw TRI Data'!$A:$A,MATCH(1,($E384='Raw TRI Data'!$J:$J)*(S384='Raw TRI Data'!$S:$S),0)), "N/A - Facility Does Not Report to TRI")</f>
        <v>N/A - Facility Does Not Report to TRI</v>
      </c>
      <c r="V384" s="156" t="str" cm="1">
        <f t="array" ref="V384">IF(COUNTIFS('Raw Annual DMR Data'!$L:$L,$F384,'Raw Annual DMR Data'!$U:$U,"&gt;0")&gt;0,MEDIAN(IF('Raw Annual DMR Data'!$L:$L=$F384,'Raw Annual DMR Data'!$U:$U,"")),"N/A - Period DMR Data Not Available")</f>
        <v>N/A - Period DMR Data Not Available</v>
      </c>
      <c r="W384" s="156" t="str">
        <f>IF(COUNTIFS('Raw Annual DMR Data'!$L:$L,$F384, 'Raw Annual DMR Data'!$U:$U, "&gt;0")&gt;0,_xlfn.MAXIFS('Raw Annual DMR Data'!$U:$U,'Raw Annual DMR Data'!$L:$L,$F384), "N/A - Period DMR Data Not Available")</f>
        <v>N/A - Period DMR Data Not Available</v>
      </c>
      <c r="X384" s="113" t="str" cm="1">
        <f t="array" ref="X384">+IF(COUNTIFS('Raw Annual DMR Data'!L:L,$F384, 'Raw Annual DMR Data'!U:U, "&gt;0")&gt;0,INDEX('Raw Annual DMR Data'!V:V,MATCH(1,($F384='Raw Annual DMR Data'!L:L)*($W384='Raw Annual DMR Data'!U:U),0)), "N/A - Period DMR Data Not Available")</f>
        <v>N/A - Period DMR Data Not Available</v>
      </c>
      <c r="Y384" s="113" t="str" cm="1">
        <f t="array" ref="Y384">IF(COUNTIFS('Raw Annual DMR Data'!L:L,$F384, 'Raw Annual DMR Data'!U:U, "&gt;0")&gt;0,INDEX('Raw Annual DMR Data'!B:B,MATCH(1,($F384='Raw Annual DMR Data'!L:L)*($W384='Raw Annual DMR Data'!U:U),0)), "N/A - Period DMR Data Not Available")</f>
        <v>N/A - Period DMR Data Not Available</v>
      </c>
      <c r="Z384" s="311" t="str" cm="1">
        <f t="array" ref="Z384">IF(COUNTIF('Raw Annual DMR Data'!K:K,$E384)&gt;0,"N/A - See DMRs",IF(SUMIFS('Raw TRI Data'!$Z:$Z,'Raw TRI Data'!$J:$J,$E384)&gt;0,MEDIAN(IF('Raw TRI Data'!$J:$J=$E384,'Raw TRI Data'!$Z:$Z)), "N/A - Facility Does Not Report to TRI, no surface water releases, or no Generic Factors available"))</f>
        <v>N/A - Facility Does Not Report to TRI, no surface water releases, or no Generic Factors available</v>
      </c>
      <c r="AA384" s="156" t="str">
        <f>IF(COUNTIF('Raw Annual DMR Data'!K:K,$E384)&gt;0,"N/A - See DMRs",IF(SUMIFS('Raw TRI Data'!$Z:$Z,'Raw TRI Data'!$J:$J,$E384)&gt;0,_xlfn.MAXIFS('Raw TRI Data'!$Z:$Z,'Raw TRI Data'!$J:$J,$E384), "N/A - Facility Does Not Report to TRI, no surface water releases, or no Generic Factors available"))</f>
        <v>N/A - Facility Does Not Report to TRI, no surface water releases, or no Generic Factors available</v>
      </c>
      <c r="AB384" s="113" t="str">
        <f t="shared" si="35"/>
        <v>N/A</v>
      </c>
      <c r="AC384" s="136" t="str" cm="1">
        <f t="array" ref="AC384">IF(COUNTIF('Raw Annual DMR Data'!K:K,$E384)&gt;0,"N/A - See DMRs",IF(SUMIFS('Raw TRI Data'!$Z:$Z,'Raw TRI Data'!$J:$J,$E384)&gt;0,INDEX('Raw TRI Data'!$A:$A,MATCH(1,($E384='Raw TRI Data'!$J:$J)*($AA384='Raw TRI Data'!$Z:$Z),0)), "N/A - Facility Does Not Report to TRI, no surface water releases, or no Generic Factors available"))</f>
        <v>N/A - Facility Does Not Report to TRI, no surface water releases, or no Generic Factors available</v>
      </c>
      <c r="AD384" s="96" t="str" cm="1">
        <f t="array" ref="AD384">IF(COUNTIFS('Raw Annual DMR Data'!L:L,$F384,'Raw Annual DMR Data'!W:W, "&gt;0")&gt;0,MEDIAN(IF('Raw Annual DMR Data'!K:K=$F384, 'Raw Annual DMR Data'!W:W)), "N/A - No Daily Max DMR Discharge Data")</f>
        <v>N/A - No Daily Max DMR Discharge Data</v>
      </c>
      <c r="AE384" s="96" t="str">
        <f>IF(COUNTIFS('Raw Annual DMR Data'!L:L,$F384,'Raw Annual DMR Data'!W:W, "&gt;0")&gt;0,_xlfn.MAXIFS('Raw Annual DMR Data'!W:W,'Raw Annual DMR Data'!L:L,$F384), "N/A - No Daily Max DMR Discharge Data")</f>
        <v>N/A - No Daily Max DMR Discharge Data</v>
      </c>
      <c r="AF384" s="60" t="str" cm="1">
        <f t="array" ref="AF384">IF(COUNTIFS('Raw Annual DMR Data'!L:L,$F384,'Raw Annual DMR Data'!W:W, "&gt;0")&gt;0,INDEX('Raw Annual DMR Data'!B:B,MATCH(1,($F384='Raw Annual DMR Data'!L:L)*($AE384='Raw Annual DMR Data'!W:W),0)), "N/A - No Daily Max DMR Discharge Data")</f>
        <v>N/A - No Daily Max DMR Discharge Data</v>
      </c>
    </row>
    <row r="385" spans="1:32" ht="45.75" thickBot="1" x14ac:dyDescent="0.3">
      <c r="A385" s="144" t="str">
        <f>VLOOKUP(F385,'Facility Summary'!J:K,2,FALSE)</f>
        <v>Unknown</v>
      </c>
      <c r="B385" s="28" t="s">
        <v>1411</v>
      </c>
      <c r="C385" s="28" t="s">
        <v>1403</v>
      </c>
      <c r="D385" s="28" t="s">
        <v>294</v>
      </c>
      <c r="E385" s="28"/>
      <c r="F385" s="61">
        <v>110070884632</v>
      </c>
      <c r="G385" s="60" t="str">
        <f>VLOOKUP($F385, 'Raw Annual DMR Data'!$A:$Z, 24, FALSE)</f>
        <v>VAG830555</v>
      </c>
      <c r="H385" s="60" t="str">
        <f>VLOOKUP($F385, 'Raw Annual DMR Data'!$A:$Z, 25, FALSE)</f>
        <v>LYNNHAVEN RIVER</v>
      </c>
      <c r="I385" s="74">
        <f>VLOOKUP($F385, 'Raw Annual DMR Data'!$A:$Z, 26, FALSE)</f>
        <v>0</v>
      </c>
      <c r="J385" s="74" t="s">
        <v>265</v>
      </c>
      <c r="K385" s="60">
        <f>VLOOKUP(A385, 'OES Summary'!$A:$B, 2, FALSE)</f>
        <v>250</v>
      </c>
      <c r="L385" s="304" cm="1">
        <f t="array" ref="L385">IF(COUNTIF('Raw Annual DMR Data'!$L:$L,$F385)&gt;0,MEDIAN(IF('Raw Annual DMR Data'!$L:$L=F385,'Raw Annual DMR Data'!$S:$S)),"N/A - Facility Does Not Report DMRs")</f>
        <v>1.4628873599999899E-2</v>
      </c>
      <c r="M385" s="156">
        <f t="shared" si="33"/>
        <v>5.8515494399999596E-5</v>
      </c>
      <c r="N385" s="156">
        <f>IF(COUNTIF('Raw Annual DMR Data'!$L:$L,$F385)&gt;0,_xlfn.MAXIFS('Raw Annual DMR Data'!$S:$S,'Raw Annual DMR Data'!$L:$L,$F385), "N/A - Facility Does Not Report DMRs")</f>
        <v>3.2920416000000001E-2</v>
      </c>
      <c r="O385" s="156">
        <f t="shared" si="34"/>
        <v>1.31681664E-4</v>
      </c>
      <c r="P385" s="113" cm="1">
        <f t="array" ref="P385">IF(COUNTIF('Raw Annual DMR Data'!$L:$L,$F385)&gt;0,INDEX('Raw Annual DMR Data'!$B:$B,MATCH(1,($F385='Raw Annual DMR Data'!$L:$L)*($N385='Raw Annual DMR Data'!$S:$S),0)), "N/A - Facility Does Not Report DMRs")</f>
        <v>2021</v>
      </c>
      <c r="Q385" s="304" t="str" cm="1">
        <f t="array" ref="Q385">IF(COUNTIF('Raw TRI Data'!$J:$J,$E385)&gt;0,MEDIAN(IF('Raw TRI Data'!$J:$J=E385,'Raw TRI Data'!$S:$S)), "N/A - Facility Does Not Report to TRI")</f>
        <v>N/A - Facility Does Not Report to TRI</v>
      </c>
      <c r="R385" s="156" t="str">
        <f t="shared" si="31"/>
        <v>N/A - Facility Does Not Report to TRI</v>
      </c>
      <c r="S385" s="156" t="str">
        <f>IF(COUNTIF('Raw TRI Data'!$J:$J,$E385)&gt;0,_xlfn.MAXIFS('Raw TRI Data'!$S:$S,'Raw TRI Data'!$J:$J,$E385), "N/A - Facility Does Not Report to TRI")</f>
        <v>N/A - Facility Does Not Report to TRI</v>
      </c>
      <c r="T385" s="156" t="str">
        <f t="shared" si="32"/>
        <v>N/A - Facility Does Not Report to TRI</v>
      </c>
      <c r="U385" s="136" t="str" cm="1">
        <f t="array" ref="U385">IF(COUNTIF('Raw TRI Data'!$J:$J,$E385)&gt;0,INDEX('Raw TRI Data'!$A:$A,MATCH(1,($E385='Raw TRI Data'!$J:$J)*(S385='Raw TRI Data'!$S:$S),0)), "N/A - Facility Does Not Report to TRI")</f>
        <v>N/A - Facility Does Not Report to TRI</v>
      </c>
      <c r="V385" s="156" t="str" cm="1">
        <f t="array" ref="V385">IF(COUNTIFS('Raw Annual DMR Data'!$L:$L,$F385,'Raw Annual DMR Data'!$U:$U,"&gt;0")&gt;0,MEDIAN(IF('Raw Annual DMR Data'!$L:$L=$F385,'Raw Annual DMR Data'!$U:$U,"")),"N/A - Period DMR Data Not Available")</f>
        <v>N/A - Period DMR Data Not Available</v>
      </c>
      <c r="W385" s="156" t="str">
        <f>IF(COUNTIFS('Raw Annual DMR Data'!$L:$L,$F385, 'Raw Annual DMR Data'!$U:$U, "&gt;0")&gt;0,_xlfn.MAXIFS('Raw Annual DMR Data'!$U:$U,'Raw Annual DMR Data'!$L:$L,$F385), "N/A - Period DMR Data Not Available")</f>
        <v>N/A - Period DMR Data Not Available</v>
      </c>
      <c r="X385" s="113" t="str" cm="1">
        <f t="array" ref="X385">+IF(COUNTIFS('Raw Annual DMR Data'!L:L,$F385, 'Raw Annual DMR Data'!U:U, "&gt;0")&gt;0,INDEX('Raw Annual DMR Data'!V:V,MATCH(1,($F385='Raw Annual DMR Data'!L:L)*($W385='Raw Annual DMR Data'!U:U),0)), "N/A - Period DMR Data Not Available")</f>
        <v>N/A - Period DMR Data Not Available</v>
      </c>
      <c r="Y385" s="113" t="str" cm="1">
        <f t="array" ref="Y385">IF(COUNTIFS('Raw Annual DMR Data'!L:L,$F385, 'Raw Annual DMR Data'!U:U, "&gt;0")&gt;0,INDEX('Raw Annual DMR Data'!B:B,MATCH(1,($F385='Raw Annual DMR Data'!L:L)*($W385='Raw Annual DMR Data'!U:U),0)), "N/A - Period DMR Data Not Available")</f>
        <v>N/A - Period DMR Data Not Available</v>
      </c>
      <c r="Z385" s="311" t="str" cm="1">
        <f t="array" ref="Z385">IF(COUNTIF('Raw Annual DMR Data'!K:K,$E385)&gt;0,"N/A - See DMRs",IF(SUMIFS('Raw TRI Data'!$Z:$Z,'Raw TRI Data'!$J:$J,$E385)&gt;0,MEDIAN(IF('Raw TRI Data'!$J:$J=$E385,'Raw TRI Data'!$Z:$Z)), "N/A - Facility Does Not Report to TRI, no surface water releases, or no Generic Factors available"))</f>
        <v>N/A - Facility Does Not Report to TRI, no surface water releases, or no Generic Factors available</v>
      </c>
      <c r="AA385" s="156" t="str">
        <f>IF(COUNTIF('Raw Annual DMR Data'!K:K,$E385)&gt;0,"N/A - See DMRs",IF(SUMIFS('Raw TRI Data'!$Z:$Z,'Raw TRI Data'!$J:$J,$E385)&gt;0,_xlfn.MAXIFS('Raw TRI Data'!$Z:$Z,'Raw TRI Data'!$J:$J,$E385), "N/A - Facility Does Not Report to TRI, no surface water releases, or no Generic Factors available"))</f>
        <v>N/A - Facility Does Not Report to TRI, no surface water releases, or no Generic Factors available</v>
      </c>
      <c r="AB385" s="113" t="str">
        <f t="shared" si="35"/>
        <v>N/A</v>
      </c>
      <c r="AC385" s="136" t="str" cm="1">
        <f t="array" ref="AC385">IF(COUNTIF('Raw Annual DMR Data'!K:K,$E385)&gt;0,"N/A - See DMRs",IF(SUMIFS('Raw TRI Data'!$Z:$Z,'Raw TRI Data'!$J:$J,$E385)&gt;0,INDEX('Raw TRI Data'!$A:$A,MATCH(1,($E385='Raw TRI Data'!$J:$J)*($AA385='Raw TRI Data'!$Z:$Z),0)), "N/A - Facility Does Not Report to TRI, no surface water releases, or no Generic Factors available"))</f>
        <v>N/A - Facility Does Not Report to TRI, no surface water releases, or no Generic Factors available</v>
      </c>
      <c r="AD385" s="96" t="str" cm="1">
        <f t="array" ref="AD385">IF(COUNTIFS('Raw Annual DMR Data'!L:L,$F385,'Raw Annual DMR Data'!W:W, "&gt;0")&gt;0,MEDIAN(IF('Raw Annual DMR Data'!K:K=$F385, 'Raw Annual DMR Data'!W:W)), "N/A - No Daily Max DMR Discharge Data")</f>
        <v>N/A - No Daily Max DMR Discharge Data</v>
      </c>
      <c r="AE385" s="96" t="str">
        <f>IF(COUNTIFS('Raw Annual DMR Data'!L:L,$F385,'Raw Annual DMR Data'!W:W, "&gt;0")&gt;0,_xlfn.MAXIFS('Raw Annual DMR Data'!W:W,'Raw Annual DMR Data'!L:L,$F385), "N/A - No Daily Max DMR Discharge Data")</f>
        <v>N/A - No Daily Max DMR Discharge Data</v>
      </c>
      <c r="AF385" s="60" t="str" cm="1">
        <f t="array" ref="AF385">IF(COUNTIFS('Raw Annual DMR Data'!L:L,$F385,'Raw Annual DMR Data'!W:W, "&gt;0")&gt;0,INDEX('Raw Annual DMR Data'!B:B,MATCH(1,($F385='Raw Annual DMR Data'!L:L)*($AE385='Raw Annual DMR Data'!W:W),0)), "N/A - No Daily Max DMR Discharge Data")</f>
        <v>N/A - No Daily Max DMR Discharge Data</v>
      </c>
    </row>
    <row r="386" spans="1:32" ht="45.75" thickBot="1" x14ac:dyDescent="0.3">
      <c r="A386" s="144" t="str">
        <f>VLOOKUP(F386,'Facility Summary'!J:K,2,FALSE)</f>
        <v>Unknown</v>
      </c>
      <c r="B386" s="28" t="s">
        <v>1412</v>
      </c>
      <c r="C386" s="28" t="s">
        <v>1403</v>
      </c>
      <c r="D386" s="28" t="s">
        <v>294</v>
      </c>
      <c r="E386" s="28"/>
      <c r="F386" s="61">
        <v>110070685409</v>
      </c>
      <c r="G386" s="60" t="str">
        <f>VLOOKUP($F386, 'Raw Annual DMR Data'!$A:$Z, 24, FALSE)</f>
        <v>VAG830550</v>
      </c>
      <c r="H386" s="60" t="str">
        <f>VLOOKUP($F386, 'Raw Annual DMR Data'!$A:$Z, 25, FALSE)</f>
        <v>LYNNHAVEN RIVER</v>
      </c>
      <c r="I386" s="74">
        <f>VLOOKUP($F386, 'Raw Annual DMR Data'!$A:$Z, 26, FALSE)</f>
        <v>0</v>
      </c>
      <c r="J386" s="74" t="s">
        <v>265</v>
      </c>
      <c r="K386" s="60">
        <f>VLOOKUP(A386, 'OES Summary'!$A:$B, 2, FALSE)</f>
        <v>250</v>
      </c>
      <c r="L386" s="304" cm="1">
        <f t="array" ref="L386">IF(COUNTIF('Raw Annual DMR Data'!$L:$L,$F386)&gt;0,MEDIAN(IF('Raw Annual DMR Data'!$L:$L=F386,'Raw Annual DMR Data'!$S:$S)),"N/A - Facility Does Not Report DMRs")</f>
        <v>9.1873304999999447E-3</v>
      </c>
      <c r="M386" s="156">
        <f t="shared" si="33"/>
        <v>3.6749321999999781E-5</v>
      </c>
      <c r="N386" s="156">
        <f>IF(COUNTIF('Raw Annual DMR Data'!$L:$L,$F386)&gt;0,_xlfn.MAXIFS('Raw Annual DMR Data'!$S:$S,'Raw Annual DMR Data'!$L:$L,$F386), "N/A - Facility Does Not Report DMRs")</f>
        <v>1.2038570999999901E-2</v>
      </c>
      <c r="O386" s="156">
        <f t="shared" si="34"/>
        <v>4.8154283999999604E-5</v>
      </c>
      <c r="P386" s="113" cm="1">
        <f t="array" ref="P386">IF(COUNTIF('Raw Annual DMR Data'!$L:$L,$F386)&gt;0,INDEX('Raw Annual DMR Data'!$B:$B,MATCH(1,($F386='Raw Annual DMR Data'!$L:$L)*($N386='Raw Annual DMR Data'!$S:$S),0)), "N/A - Facility Does Not Report DMRs")</f>
        <v>2020</v>
      </c>
      <c r="Q386" s="304" t="str" cm="1">
        <f t="array" ref="Q386">IF(COUNTIF('Raw TRI Data'!$J:$J,$E386)&gt;0,MEDIAN(IF('Raw TRI Data'!$J:$J=E386,'Raw TRI Data'!$S:$S)), "N/A - Facility Does Not Report to TRI")</f>
        <v>N/A - Facility Does Not Report to TRI</v>
      </c>
      <c r="R386" s="156" t="str">
        <f t="shared" ref="R386:R404" si="36">IFERROR(+Q386/$K386, "N/A - Facility Does Not Report to TRI")</f>
        <v>N/A - Facility Does Not Report to TRI</v>
      </c>
      <c r="S386" s="156" t="str">
        <f>IF(COUNTIF('Raw TRI Data'!$J:$J,$E386)&gt;0,_xlfn.MAXIFS('Raw TRI Data'!$S:$S,'Raw TRI Data'!$J:$J,$E386), "N/A - Facility Does Not Report to TRI")</f>
        <v>N/A - Facility Does Not Report to TRI</v>
      </c>
      <c r="T386" s="156" t="str">
        <f t="shared" ref="T386:T404" si="37">IFERROR(+S386/$K386, "N/A - Facility Does Not Report to TRI")</f>
        <v>N/A - Facility Does Not Report to TRI</v>
      </c>
      <c r="U386" s="136" t="str" cm="1">
        <f t="array" ref="U386">IF(COUNTIF('Raw TRI Data'!$J:$J,$E386)&gt;0,INDEX('Raw TRI Data'!$A:$A,MATCH(1,($E386='Raw TRI Data'!$J:$J)*(S386='Raw TRI Data'!$S:$S),0)), "N/A - Facility Does Not Report to TRI")</f>
        <v>N/A - Facility Does Not Report to TRI</v>
      </c>
      <c r="V386" s="156" t="str" cm="1">
        <f t="array" ref="V386">IF(COUNTIFS('Raw Annual DMR Data'!$L:$L,$F386,'Raw Annual DMR Data'!$U:$U,"&gt;0")&gt;0,MEDIAN(IF('Raw Annual DMR Data'!$L:$L=$F386,'Raw Annual DMR Data'!$U:$U,"")),"N/A - Period DMR Data Not Available")</f>
        <v>N/A - Period DMR Data Not Available</v>
      </c>
      <c r="W386" s="156" t="str">
        <f>IF(COUNTIFS('Raw Annual DMR Data'!$L:$L,$F386, 'Raw Annual DMR Data'!$U:$U, "&gt;0")&gt;0,_xlfn.MAXIFS('Raw Annual DMR Data'!$U:$U,'Raw Annual DMR Data'!$L:$L,$F386), "N/A - Period DMR Data Not Available")</f>
        <v>N/A - Period DMR Data Not Available</v>
      </c>
      <c r="X386" s="113" t="str" cm="1">
        <f t="array" ref="X386">+IF(COUNTIFS('Raw Annual DMR Data'!L:L,$F386, 'Raw Annual DMR Data'!U:U, "&gt;0")&gt;0,INDEX('Raw Annual DMR Data'!V:V,MATCH(1,($F386='Raw Annual DMR Data'!L:L)*($W386='Raw Annual DMR Data'!U:U),0)), "N/A - Period DMR Data Not Available")</f>
        <v>N/A - Period DMR Data Not Available</v>
      </c>
      <c r="Y386" s="113" t="str" cm="1">
        <f t="array" ref="Y386">IF(COUNTIFS('Raw Annual DMR Data'!L:L,$F386, 'Raw Annual DMR Data'!U:U, "&gt;0")&gt;0,INDEX('Raw Annual DMR Data'!B:B,MATCH(1,($F386='Raw Annual DMR Data'!L:L)*($W386='Raw Annual DMR Data'!U:U),0)), "N/A - Period DMR Data Not Available")</f>
        <v>N/A - Period DMR Data Not Available</v>
      </c>
      <c r="Z386" s="311" t="str" cm="1">
        <f t="array" ref="Z386">IF(COUNTIF('Raw Annual DMR Data'!K:K,$E386)&gt;0,"N/A - See DMRs",IF(SUMIFS('Raw TRI Data'!$Z:$Z,'Raw TRI Data'!$J:$J,$E386)&gt;0,MEDIAN(IF('Raw TRI Data'!$J:$J=$E386,'Raw TRI Data'!$Z:$Z)), "N/A - Facility Does Not Report to TRI, no surface water releases, or no Generic Factors available"))</f>
        <v>N/A - Facility Does Not Report to TRI, no surface water releases, or no Generic Factors available</v>
      </c>
      <c r="AA386" s="156" t="str">
        <f>IF(COUNTIF('Raw Annual DMR Data'!K:K,$E386)&gt;0,"N/A - See DMRs",IF(SUMIFS('Raw TRI Data'!$Z:$Z,'Raw TRI Data'!$J:$J,$E386)&gt;0,_xlfn.MAXIFS('Raw TRI Data'!$Z:$Z,'Raw TRI Data'!$J:$J,$E386), "N/A - Facility Does Not Report to TRI, no surface water releases, or no Generic Factors available"))</f>
        <v>N/A - Facility Does Not Report to TRI, no surface water releases, or no Generic Factors available</v>
      </c>
      <c r="AB386" s="113" t="str">
        <f t="shared" si="35"/>
        <v>N/A</v>
      </c>
      <c r="AC386" s="136" t="str" cm="1">
        <f t="array" ref="AC386">IF(COUNTIF('Raw Annual DMR Data'!K:K,$E386)&gt;0,"N/A - See DMRs",IF(SUMIFS('Raw TRI Data'!$Z:$Z,'Raw TRI Data'!$J:$J,$E386)&gt;0,INDEX('Raw TRI Data'!$A:$A,MATCH(1,($E386='Raw TRI Data'!$J:$J)*($AA386='Raw TRI Data'!$Z:$Z),0)), "N/A - Facility Does Not Report to TRI, no surface water releases, or no Generic Factors available"))</f>
        <v>N/A - Facility Does Not Report to TRI, no surface water releases, or no Generic Factors available</v>
      </c>
      <c r="AD386" s="96" t="str" cm="1">
        <f t="array" ref="AD386">IF(COUNTIFS('Raw Annual DMR Data'!L:L,$F386,'Raw Annual DMR Data'!W:W, "&gt;0")&gt;0,MEDIAN(IF('Raw Annual DMR Data'!K:K=$F386, 'Raw Annual DMR Data'!W:W)), "N/A - No Daily Max DMR Discharge Data")</f>
        <v>N/A - No Daily Max DMR Discharge Data</v>
      </c>
      <c r="AE386" s="96" t="str">
        <f>IF(COUNTIFS('Raw Annual DMR Data'!L:L,$F386,'Raw Annual DMR Data'!W:W, "&gt;0")&gt;0,_xlfn.MAXIFS('Raw Annual DMR Data'!W:W,'Raw Annual DMR Data'!L:L,$F386), "N/A - No Daily Max DMR Discharge Data")</f>
        <v>N/A - No Daily Max DMR Discharge Data</v>
      </c>
      <c r="AF386" s="60" t="str" cm="1">
        <f t="array" ref="AF386">IF(COUNTIFS('Raw Annual DMR Data'!L:L,$F386,'Raw Annual DMR Data'!W:W, "&gt;0")&gt;0,INDEX('Raw Annual DMR Data'!B:B,MATCH(1,($F386='Raw Annual DMR Data'!L:L)*($AE386='Raw Annual DMR Data'!W:W),0)), "N/A - No Daily Max DMR Discharge Data")</f>
        <v>N/A - No Daily Max DMR Discharge Data</v>
      </c>
    </row>
    <row r="387" spans="1:32" ht="45.75" thickBot="1" x14ac:dyDescent="0.3">
      <c r="A387" s="144" t="str">
        <f>VLOOKUP(F387,'Facility Summary'!J:K,2,FALSE)</f>
        <v>Unknown</v>
      </c>
      <c r="B387" s="28" t="s">
        <v>1413</v>
      </c>
      <c r="C387" s="28" t="s">
        <v>1414</v>
      </c>
      <c r="D387" s="28" t="s">
        <v>1415</v>
      </c>
      <c r="E387" s="28"/>
      <c r="F387" s="61">
        <v>110070246981</v>
      </c>
      <c r="G387" s="60" t="str">
        <f>VLOOKUP($F387, 'Raw Annual DMR Data'!$A:$Z, 24, FALSE)</f>
        <v>NE0139556</v>
      </c>
      <c r="H387" s="60">
        <f>VLOOKUP($F387, 'Raw Annual DMR Data'!$A:$Z, 25, FALSE)</f>
        <v>0</v>
      </c>
      <c r="I387" s="74">
        <f>VLOOKUP($F387, 'Raw Annual DMR Data'!$A:$Z, 26, FALSE)</f>
        <v>0</v>
      </c>
      <c r="J387" s="74" t="s">
        <v>265</v>
      </c>
      <c r="K387" s="60">
        <f>VLOOKUP(A387, 'OES Summary'!$A:$B, 2, FALSE)</f>
        <v>250</v>
      </c>
      <c r="L387" s="304" cm="1">
        <f t="array" ref="L387">IF(COUNTIF('Raw Annual DMR Data'!$L:$L,$F387)&gt;0,MEDIAN(IF('Raw Annual DMR Data'!$L:$L=F387,'Raw Annual DMR Data'!$S:$S)),"N/A - Facility Does Not Report DMRs")</f>
        <v>0.27600000000000002</v>
      </c>
      <c r="M387" s="156">
        <f t="shared" si="33"/>
        <v>1.1040000000000002E-3</v>
      </c>
      <c r="N387" s="156">
        <f>IF(COUNTIF('Raw Annual DMR Data'!$L:$L,$F387)&gt;0,_xlfn.MAXIFS('Raw Annual DMR Data'!$S:$S,'Raw Annual DMR Data'!$L:$L,$F387), "N/A - Facility Does Not Report DMRs")</f>
        <v>0.27600000000000002</v>
      </c>
      <c r="O387" s="156">
        <f t="shared" si="34"/>
        <v>1.1040000000000002E-3</v>
      </c>
      <c r="P387" s="113" cm="1">
        <f t="array" ref="P387">IF(COUNTIF('Raw Annual DMR Data'!$L:$L,$F387)&gt;0,INDEX('Raw Annual DMR Data'!$B:$B,MATCH(1,($F387='Raw Annual DMR Data'!$L:$L)*($N387='Raw Annual DMR Data'!$S:$S),0)), "N/A - Facility Does Not Report DMRs")</f>
        <v>2019</v>
      </c>
      <c r="Q387" s="304" t="str" cm="1">
        <f t="array" ref="Q387">IF(COUNTIF('Raw TRI Data'!$J:$J,$E387)&gt;0,MEDIAN(IF('Raw TRI Data'!$J:$J=E387,'Raw TRI Data'!$S:$S)), "N/A - Facility Does Not Report to TRI")</f>
        <v>N/A - Facility Does Not Report to TRI</v>
      </c>
      <c r="R387" s="156" t="str">
        <f t="shared" si="36"/>
        <v>N/A - Facility Does Not Report to TRI</v>
      </c>
      <c r="S387" s="156" t="str">
        <f>IF(COUNTIF('Raw TRI Data'!$J:$J,$E387)&gt;0,_xlfn.MAXIFS('Raw TRI Data'!$S:$S,'Raw TRI Data'!$J:$J,$E387), "N/A - Facility Does Not Report to TRI")</f>
        <v>N/A - Facility Does Not Report to TRI</v>
      </c>
      <c r="T387" s="156" t="str">
        <f t="shared" si="37"/>
        <v>N/A - Facility Does Not Report to TRI</v>
      </c>
      <c r="U387" s="136" t="str" cm="1">
        <f t="array" ref="U387">IF(COUNTIF('Raw TRI Data'!$J:$J,$E387)&gt;0,INDEX('Raw TRI Data'!$A:$A,MATCH(1,($E387='Raw TRI Data'!$J:$J)*(S387='Raw TRI Data'!$S:$S),0)), "N/A - Facility Does Not Report to TRI")</f>
        <v>N/A - Facility Does Not Report to TRI</v>
      </c>
      <c r="V387" s="156" t="str" cm="1">
        <f t="array" ref="V387">IF(COUNTIFS('Raw Annual DMR Data'!$L:$L,$F387,'Raw Annual DMR Data'!$U:$U,"&gt;0")&gt;0,MEDIAN(IF('Raw Annual DMR Data'!$L:$L=$F387,'Raw Annual DMR Data'!$U:$U,"")),"N/A - Period DMR Data Not Available")</f>
        <v>N/A - Period DMR Data Not Available</v>
      </c>
      <c r="W387" s="156" t="str">
        <f>IF(COUNTIFS('Raw Annual DMR Data'!$L:$L,$F387, 'Raw Annual DMR Data'!$U:$U, "&gt;0")&gt;0,_xlfn.MAXIFS('Raw Annual DMR Data'!$U:$U,'Raw Annual DMR Data'!$L:$L,$F387), "N/A - Period DMR Data Not Available")</f>
        <v>N/A - Period DMR Data Not Available</v>
      </c>
      <c r="X387" s="113" t="str" cm="1">
        <f t="array" ref="X387">+IF(COUNTIFS('Raw Annual DMR Data'!L:L,$F387, 'Raw Annual DMR Data'!U:U, "&gt;0")&gt;0,INDEX('Raw Annual DMR Data'!V:V,MATCH(1,($F387='Raw Annual DMR Data'!L:L)*($W387='Raw Annual DMR Data'!U:U),0)), "N/A - Period DMR Data Not Available")</f>
        <v>N/A - Period DMR Data Not Available</v>
      </c>
      <c r="Y387" s="113" t="str" cm="1">
        <f t="array" ref="Y387">IF(COUNTIFS('Raw Annual DMR Data'!L:L,$F387, 'Raw Annual DMR Data'!U:U, "&gt;0")&gt;0,INDEX('Raw Annual DMR Data'!B:B,MATCH(1,($F387='Raw Annual DMR Data'!L:L)*($W387='Raw Annual DMR Data'!U:U),0)), "N/A - Period DMR Data Not Available")</f>
        <v>N/A - Period DMR Data Not Available</v>
      </c>
      <c r="Z387" s="311" t="str" cm="1">
        <f t="array" ref="Z387">IF(COUNTIF('Raw Annual DMR Data'!K:K,$E387)&gt;0,"N/A - See DMRs",IF(SUMIFS('Raw TRI Data'!$Z:$Z,'Raw TRI Data'!$J:$J,$E387)&gt;0,MEDIAN(IF('Raw TRI Data'!$J:$J=$E387,'Raw TRI Data'!$Z:$Z)), "N/A - Facility Does Not Report to TRI, no surface water releases, or no Generic Factors available"))</f>
        <v>N/A - Facility Does Not Report to TRI, no surface water releases, or no Generic Factors available</v>
      </c>
      <c r="AA387" s="156" t="str">
        <f>IF(COUNTIF('Raw Annual DMR Data'!K:K,$E387)&gt;0,"N/A - See DMRs",IF(SUMIFS('Raw TRI Data'!$Z:$Z,'Raw TRI Data'!$J:$J,$E387)&gt;0,_xlfn.MAXIFS('Raw TRI Data'!$Z:$Z,'Raw TRI Data'!$J:$J,$E387), "N/A - Facility Does Not Report to TRI, no surface water releases, or no Generic Factors available"))</f>
        <v>N/A - Facility Does Not Report to TRI, no surface water releases, or no Generic Factors available</v>
      </c>
      <c r="AB387" s="113" t="str">
        <f t="shared" si="35"/>
        <v>N/A</v>
      </c>
      <c r="AC387" s="136" t="str" cm="1">
        <f t="array" ref="AC387">IF(COUNTIF('Raw Annual DMR Data'!K:K,$E387)&gt;0,"N/A - See DMRs",IF(SUMIFS('Raw TRI Data'!$Z:$Z,'Raw TRI Data'!$J:$J,$E387)&gt;0,INDEX('Raw TRI Data'!$A:$A,MATCH(1,($E387='Raw TRI Data'!$J:$J)*($AA387='Raw TRI Data'!$Z:$Z),0)), "N/A - Facility Does Not Report to TRI, no surface water releases, or no Generic Factors available"))</f>
        <v>N/A - Facility Does Not Report to TRI, no surface water releases, or no Generic Factors available</v>
      </c>
      <c r="AD387" s="96" t="str" cm="1">
        <f t="array" ref="AD387">IF(COUNTIFS('Raw Annual DMR Data'!L:L,$F387,'Raw Annual DMR Data'!W:W, "&gt;0")&gt;0,MEDIAN(IF('Raw Annual DMR Data'!K:K=$F387, 'Raw Annual DMR Data'!W:W)), "N/A - No Daily Max DMR Discharge Data")</f>
        <v>N/A - No Daily Max DMR Discharge Data</v>
      </c>
      <c r="AE387" s="96" t="str">
        <f>IF(COUNTIFS('Raw Annual DMR Data'!L:L,$F387,'Raw Annual DMR Data'!W:W, "&gt;0")&gt;0,_xlfn.MAXIFS('Raw Annual DMR Data'!W:W,'Raw Annual DMR Data'!L:L,$F387), "N/A - No Daily Max DMR Discharge Data")</f>
        <v>N/A - No Daily Max DMR Discharge Data</v>
      </c>
      <c r="AF387" s="60" t="str" cm="1">
        <f t="array" ref="AF387">IF(COUNTIFS('Raw Annual DMR Data'!L:L,$F387,'Raw Annual DMR Data'!W:W, "&gt;0")&gt;0,INDEX('Raw Annual DMR Data'!B:B,MATCH(1,($F387='Raw Annual DMR Data'!L:L)*($AE387='Raw Annual DMR Data'!W:W),0)), "N/A - No Daily Max DMR Discharge Data")</f>
        <v>N/A - No Daily Max DMR Discharge Data</v>
      </c>
    </row>
    <row r="388" spans="1:32" ht="45.75" thickBot="1" x14ac:dyDescent="0.3">
      <c r="A388" s="144" t="str">
        <f>VLOOKUP(F388,'Facility Summary'!J:K,2,FALSE)</f>
        <v>Repackaging</v>
      </c>
      <c r="B388" s="28" t="s">
        <v>1416</v>
      </c>
      <c r="C388" s="28" t="s">
        <v>1417</v>
      </c>
      <c r="D388" s="28" t="s">
        <v>366</v>
      </c>
      <c r="E388" s="28"/>
      <c r="F388" s="61">
        <v>110017217545</v>
      </c>
      <c r="G388" s="60" t="str">
        <f>VLOOKUP($F388, 'Raw Annual DMR Data'!$A:$Z, 24, FALSE)</f>
        <v>CA0064165</v>
      </c>
      <c r="H388" s="60" t="str">
        <f>VLOOKUP($F388, 'Raw Annual DMR Data'!$A:$Z, 25, FALSE)</f>
        <v>CERRITOS CHANNEL, CERRITOS CHANNEL WITHIN LONG BEACH INNER HARBOR</v>
      </c>
      <c r="I388" s="74">
        <f>VLOOKUP($F388, 'Raw Annual DMR Data'!$A:$Z, 26, FALSE)</f>
        <v>18070106002148</v>
      </c>
      <c r="J388" s="74" t="s">
        <v>265</v>
      </c>
      <c r="K388" s="60">
        <f>VLOOKUP(A388, 'OES Summary'!$A:$B, 2, FALSE)</f>
        <v>250</v>
      </c>
      <c r="L388" s="304" cm="1">
        <f t="array" ref="L388">IF(COUNTIF('Raw Annual DMR Data'!$L:$L,$F388)&gt;0,MEDIAN(IF('Raw Annual DMR Data'!$L:$L=F388,'Raw Annual DMR Data'!$S:$S)),"N/A - Facility Does Not Report DMRs")</f>
        <v>8.2580656874999998E-3</v>
      </c>
      <c r="M388" s="156">
        <f t="shared" si="33"/>
        <v>3.3032262749999999E-5</v>
      </c>
      <c r="N388" s="156">
        <f>IF(COUNTIF('Raw Annual DMR Data'!$L:$L,$F388)&gt;0,_xlfn.MAXIFS('Raw Annual DMR Data'!$S:$S,'Raw Annual DMR Data'!$L:$L,$F388), "N/A - Facility Does Not Report DMRs")</f>
        <v>8.5171016250000006E-3</v>
      </c>
      <c r="O388" s="156">
        <f t="shared" si="34"/>
        <v>3.4068406500000002E-5</v>
      </c>
      <c r="P388" s="113" cm="1">
        <f t="array" ref="P388">IF(COUNTIF('Raw Annual DMR Data'!$L:$L,$F388)&gt;0,INDEX('Raw Annual DMR Data'!$B:$B,MATCH(1,($F388='Raw Annual DMR Data'!$L:$L)*($N388='Raw Annual DMR Data'!$S:$S),0)), "N/A - Facility Does Not Report DMRs")</f>
        <v>2019</v>
      </c>
      <c r="Q388" s="304" t="str" cm="1">
        <f t="array" ref="Q388">IF(COUNTIF('Raw TRI Data'!$J:$J,$E388)&gt;0,MEDIAN(IF('Raw TRI Data'!$J:$J=E388,'Raw TRI Data'!$S:$S)), "N/A - Facility Does Not Report to TRI")</f>
        <v>N/A - Facility Does Not Report to TRI</v>
      </c>
      <c r="R388" s="156" t="str">
        <f t="shared" si="36"/>
        <v>N/A - Facility Does Not Report to TRI</v>
      </c>
      <c r="S388" s="156" t="str">
        <f>IF(COUNTIF('Raw TRI Data'!$J:$J,$E388)&gt;0,_xlfn.MAXIFS('Raw TRI Data'!$S:$S,'Raw TRI Data'!$J:$J,$E388), "N/A - Facility Does Not Report to TRI")</f>
        <v>N/A - Facility Does Not Report to TRI</v>
      </c>
      <c r="T388" s="156" t="str">
        <f t="shared" si="37"/>
        <v>N/A - Facility Does Not Report to TRI</v>
      </c>
      <c r="U388" s="136" t="str" cm="1">
        <f t="array" ref="U388">IF(COUNTIF('Raw TRI Data'!$J:$J,$E388)&gt;0,INDEX('Raw TRI Data'!$A:$A,MATCH(1,($E388='Raw TRI Data'!$J:$J)*(S388='Raw TRI Data'!$S:$S),0)), "N/A - Facility Does Not Report to TRI")</f>
        <v>N/A - Facility Does Not Report to TRI</v>
      </c>
      <c r="V388" s="156" t="str" cm="1">
        <f t="array" ref="V388">IF(COUNTIFS('Raw Annual DMR Data'!$L:$L,$F388,'Raw Annual DMR Data'!$U:$U,"&gt;0")&gt;0,MEDIAN(IF('Raw Annual DMR Data'!$L:$L=$F388,'Raw Annual DMR Data'!$U:$U,"")),"N/A - Period DMR Data Not Available")</f>
        <v>N/A - Period DMR Data Not Available</v>
      </c>
      <c r="W388" s="156" t="str">
        <f>IF(COUNTIFS('Raw Annual DMR Data'!$L:$L,$F388, 'Raw Annual DMR Data'!$U:$U, "&gt;0")&gt;0,_xlfn.MAXIFS('Raw Annual DMR Data'!$U:$U,'Raw Annual DMR Data'!$L:$L,$F388), "N/A - Period DMR Data Not Available")</f>
        <v>N/A - Period DMR Data Not Available</v>
      </c>
      <c r="X388" s="113" t="str" cm="1">
        <f t="array" ref="X388">+IF(COUNTIFS('Raw Annual DMR Data'!L:L,$F388, 'Raw Annual DMR Data'!U:U, "&gt;0")&gt;0,INDEX('Raw Annual DMR Data'!V:V,MATCH(1,($F388='Raw Annual DMR Data'!L:L)*($W388='Raw Annual DMR Data'!U:U),0)), "N/A - Period DMR Data Not Available")</f>
        <v>N/A - Period DMR Data Not Available</v>
      </c>
      <c r="Y388" s="113" t="str" cm="1">
        <f t="array" ref="Y388">IF(COUNTIFS('Raw Annual DMR Data'!L:L,$F388, 'Raw Annual DMR Data'!U:U, "&gt;0")&gt;0,INDEX('Raw Annual DMR Data'!B:B,MATCH(1,($F388='Raw Annual DMR Data'!L:L)*($W388='Raw Annual DMR Data'!U:U),0)), "N/A - Period DMR Data Not Available")</f>
        <v>N/A - Period DMR Data Not Available</v>
      </c>
      <c r="Z388" s="311" t="str" cm="1">
        <f t="array" ref="Z388">IF(COUNTIF('Raw Annual DMR Data'!K:K,$E388)&gt;0,"N/A - See DMRs",IF(SUMIFS('Raw TRI Data'!$Z:$Z,'Raw TRI Data'!$J:$J,$E388)&gt;0,MEDIAN(IF('Raw TRI Data'!$J:$J=$E388,'Raw TRI Data'!$Z:$Z)), "N/A - Facility Does Not Report to TRI, no surface water releases, or no Generic Factors available"))</f>
        <v>N/A - Facility Does Not Report to TRI, no surface water releases, or no Generic Factors available</v>
      </c>
      <c r="AA388" s="156" t="str">
        <f>IF(COUNTIF('Raw Annual DMR Data'!K:K,$E388)&gt;0,"N/A - See DMRs",IF(SUMIFS('Raw TRI Data'!$Z:$Z,'Raw TRI Data'!$J:$J,$E388)&gt;0,_xlfn.MAXIFS('Raw TRI Data'!$Z:$Z,'Raw TRI Data'!$J:$J,$E388), "N/A - Facility Does Not Report to TRI, no surface water releases, or no Generic Factors available"))</f>
        <v>N/A - Facility Does Not Report to TRI, no surface water releases, or no Generic Factors available</v>
      </c>
      <c r="AB388" s="113" t="str">
        <f t="shared" si="35"/>
        <v>N/A</v>
      </c>
      <c r="AC388" s="136" t="str" cm="1">
        <f t="array" ref="AC388">IF(COUNTIF('Raw Annual DMR Data'!K:K,$E388)&gt;0,"N/A - See DMRs",IF(SUMIFS('Raw TRI Data'!$Z:$Z,'Raw TRI Data'!$J:$J,$E388)&gt;0,INDEX('Raw TRI Data'!$A:$A,MATCH(1,($E388='Raw TRI Data'!$J:$J)*($AA388='Raw TRI Data'!$Z:$Z),0)), "N/A - Facility Does Not Report to TRI, no surface water releases, or no Generic Factors available"))</f>
        <v>N/A - Facility Does Not Report to TRI, no surface water releases, or no Generic Factors available</v>
      </c>
      <c r="AD388" s="96" t="str" cm="1">
        <f t="array" ref="AD388">IF(COUNTIFS('Raw Annual DMR Data'!L:L,$F388,'Raw Annual DMR Data'!W:W, "&gt;0")&gt;0,MEDIAN(IF('Raw Annual DMR Data'!K:K=$F388, 'Raw Annual DMR Data'!W:W)), "N/A - No Daily Max DMR Discharge Data")</f>
        <v>N/A - No Daily Max DMR Discharge Data</v>
      </c>
      <c r="AE388" s="96" t="str">
        <f>IF(COUNTIFS('Raw Annual DMR Data'!L:L,$F388,'Raw Annual DMR Data'!W:W, "&gt;0")&gt;0,_xlfn.MAXIFS('Raw Annual DMR Data'!W:W,'Raw Annual DMR Data'!L:L,$F388), "N/A - No Daily Max DMR Discharge Data")</f>
        <v>N/A - No Daily Max DMR Discharge Data</v>
      </c>
      <c r="AF388" s="60" t="str" cm="1">
        <f t="array" ref="AF388">IF(COUNTIFS('Raw Annual DMR Data'!L:L,$F388,'Raw Annual DMR Data'!W:W, "&gt;0")&gt;0,INDEX('Raw Annual DMR Data'!B:B,MATCH(1,($F388='Raw Annual DMR Data'!L:L)*($AE388='Raw Annual DMR Data'!W:W),0)), "N/A - No Daily Max DMR Discharge Data")</f>
        <v>N/A - No Daily Max DMR Discharge Data</v>
      </c>
    </row>
    <row r="389" spans="1:32" ht="45.75" thickBot="1" x14ac:dyDescent="0.3">
      <c r="A389" s="144" t="str">
        <f>VLOOKUP(F389,'Facility Summary'!J:K,2,FALSE)</f>
        <v>Repackaging</v>
      </c>
      <c r="B389" s="28" t="s">
        <v>1418</v>
      </c>
      <c r="C389" s="28" t="s">
        <v>1041</v>
      </c>
      <c r="D389" s="28" t="s">
        <v>366</v>
      </c>
      <c r="E389" s="28"/>
      <c r="F389" s="61">
        <v>110028243791</v>
      </c>
      <c r="G389" s="60" t="str">
        <f>VLOOKUP($F389, 'Raw Annual DMR Data'!$A:$Z, 24, FALSE)</f>
        <v>CA0063177</v>
      </c>
      <c r="H389" s="60" t="str">
        <f>VLOOKUP($F389, 'Raw Annual DMR Data'!$A:$Z, 25, FALSE)</f>
        <v>DOMINGUEZ CHANNEL ESTUARY</v>
      </c>
      <c r="I389" s="74">
        <f>VLOOKUP($F389, 'Raw Annual DMR Data'!$A:$Z, 26, FALSE)</f>
        <v>18070106002149</v>
      </c>
      <c r="J389" s="74" t="s">
        <v>265</v>
      </c>
      <c r="K389" s="60">
        <f>VLOOKUP(A389, 'OES Summary'!$A:$B, 2, FALSE)</f>
        <v>250</v>
      </c>
      <c r="L389" s="304" cm="1">
        <f t="array" ref="L389">IF(COUNTIF('Raw Annual DMR Data'!$L:$L,$F389)&gt;0,MEDIAN(IF('Raw Annual DMR Data'!$L:$L=F389,'Raw Annual DMR Data'!$S:$S)),"N/A - Facility Does Not Report DMRs")</f>
        <v>1.697894225E-2</v>
      </c>
      <c r="M389" s="156">
        <f t="shared" ref="M389:M405" si="38">IFERROR(+L389/$K389, "N/A - Facility Does Not Report DMRs")</f>
        <v>6.7915769000000006E-5</v>
      </c>
      <c r="N389" s="156">
        <f>IF(COUNTIF('Raw Annual DMR Data'!$L:$L,$F389)&gt;0,_xlfn.MAXIFS('Raw Annual DMR Data'!$S:$S,'Raw Annual DMR Data'!$L:$L,$F389), "N/A - Facility Does Not Report DMRs")</f>
        <v>2.02980560625E-2</v>
      </c>
      <c r="O389" s="156">
        <f t="shared" ref="O389:O405" si="39">IFERROR(+N389/$K389, "N/A - Facility Does Not Report DMRs")</f>
        <v>8.1192224250000003E-5</v>
      </c>
      <c r="P389" s="113" cm="1">
        <f t="array" ref="P389">IF(COUNTIF('Raw Annual DMR Data'!$L:$L,$F389)&gt;0,INDEX('Raw Annual DMR Data'!$B:$B,MATCH(1,($F389='Raw Annual DMR Data'!$L:$L)*($N389='Raw Annual DMR Data'!$S:$S),0)), "N/A - Facility Does Not Report DMRs")</f>
        <v>2019</v>
      </c>
      <c r="Q389" s="304" t="str" cm="1">
        <f t="array" ref="Q389">IF(COUNTIF('Raw TRI Data'!$J:$J,$E389)&gt;0,MEDIAN(IF('Raw TRI Data'!$J:$J=E389,'Raw TRI Data'!$S:$S)), "N/A - Facility Does Not Report to TRI")</f>
        <v>N/A - Facility Does Not Report to TRI</v>
      </c>
      <c r="R389" s="156" t="str">
        <f t="shared" si="36"/>
        <v>N/A - Facility Does Not Report to TRI</v>
      </c>
      <c r="S389" s="156" t="str">
        <f>IF(COUNTIF('Raw TRI Data'!$J:$J,$E389)&gt;0,_xlfn.MAXIFS('Raw TRI Data'!$S:$S,'Raw TRI Data'!$J:$J,$E389), "N/A - Facility Does Not Report to TRI")</f>
        <v>N/A - Facility Does Not Report to TRI</v>
      </c>
      <c r="T389" s="156" t="str">
        <f t="shared" si="37"/>
        <v>N/A - Facility Does Not Report to TRI</v>
      </c>
      <c r="U389" s="136" t="str" cm="1">
        <f t="array" ref="U389">IF(COUNTIF('Raw TRI Data'!$J:$J,$E389)&gt;0,INDEX('Raw TRI Data'!$A:$A,MATCH(1,($E389='Raw TRI Data'!$J:$J)*(S389='Raw TRI Data'!$S:$S),0)), "N/A - Facility Does Not Report to TRI")</f>
        <v>N/A - Facility Does Not Report to TRI</v>
      </c>
      <c r="V389" s="156" t="str" cm="1">
        <f t="array" ref="V389">IF(COUNTIFS('Raw Annual DMR Data'!$L:$L,$F389,'Raw Annual DMR Data'!$U:$U,"&gt;0")&gt;0,MEDIAN(IF('Raw Annual DMR Data'!$L:$L=$F389,'Raw Annual DMR Data'!$U:$U,"")),"N/A - Period DMR Data Not Available")</f>
        <v>N/A - Period DMR Data Not Available</v>
      </c>
      <c r="W389" s="156" t="str">
        <f>IF(COUNTIFS('Raw Annual DMR Data'!$L:$L,$F389, 'Raw Annual DMR Data'!$U:$U, "&gt;0")&gt;0,_xlfn.MAXIFS('Raw Annual DMR Data'!$U:$U,'Raw Annual DMR Data'!$L:$L,$F389), "N/A - Period DMR Data Not Available")</f>
        <v>N/A - Period DMR Data Not Available</v>
      </c>
      <c r="X389" s="113" t="str" cm="1">
        <f t="array" ref="X389">+IF(COUNTIFS('Raw Annual DMR Data'!L:L,$F389, 'Raw Annual DMR Data'!U:U, "&gt;0")&gt;0,INDEX('Raw Annual DMR Data'!V:V,MATCH(1,($F389='Raw Annual DMR Data'!L:L)*($W389='Raw Annual DMR Data'!U:U),0)), "N/A - Period DMR Data Not Available")</f>
        <v>N/A - Period DMR Data Not Available</v>
      </c>
      <c r="Y389" s="113" t="str" cm="1">
        <f t="array" ref="Y389">IF(COUNTIFS('Raw Annual DMR Data'!L:L,$F389, 'Raw Annual DMR Data'!U:U, "&gt;0")&gt;0,INDEX('Raw Annual DMR Data'!B:B,MATCH(1,($F389='Raw Annual DMR Data'!L:L)*($W389='Raw Annual DMR Data'!U:U),0)), "N/A - Period DMR Data Not Available")</f>
        <v>N/A - Period DMR Data Not Available</v>
      </c>
      <c r="Z389" s="311" t="str" cm="1">
        <f t="array" ref="Z389">IF(COUNTIF('Raw Annual DMR Data'!K:K,$E389)&gt;0,"N/A - See DMRs",IF(SUMIFS('Raw TRI Data'!$Z:$Z,'Raw TRI Data'!$J:$J,$E389)&gt;0,MEDIAN(IF('Raw TRI Data'!$J:$J=$E389,'Raw TRI Data'!$Z:$Z)), "N/A - Facility Does Not Report to TRI, no surface water releases, or no Generic Factors available"))</f>
        <v>N/A - Facility Does Not Report to TRI, no surface water releases, or no Generic Factors available</v>
      </c>
      <c r="AA389" s="156" t="str">
        <f>IF(COUNTIF('Raw Annual DMR Data'!K:K,$E389)&gt;0,"N/A - See DMRs",IF(SUMIFS('Raw TRI Data'!$Z:$Z,'Raw TRI Data'!$J:$J,$E389)&gt;0,_xlfn.MAXIFS('Raw TRI Data'!$Z:$Z,'Raw TRI Data'!$J:$J,$E389), "N/A - Facility Does Not Report to TRI, no surface water releases, or no Generic Factors available"))</f>
        <v>N/A - Facility Does Not Report to TRI, no surface water releases, or no Generic Factors available</v>
      </c>
      <c r="AB389" s="113" t="str">
        <f t="shared" ref="AB389:AB405" si="40">IF(ISNUMBER(AA389),30,"N/A")</f>
        <v>N/A</v>
      </c>
      <c r="AC389" s="136" t="str" cm="1">
        <f t="array" ref="AC389">IF(COUNTIF('Raw Annual DMR Data'!K:K,$E389)&gt;0,"N/A - See DMRs",IF(SUMIFS('Raw TRI Data'!$Z:$Z,'Raw TRI Data'!$J:$J,$E389)&gt;0,INDEX('Raw TRI Data'!$A:$A,MATCH(1,($E389='Raw TRI Data'!$J:$J)*($AA389='Raw TRI Data'!$Z:$Z),0)), "N/A - Facility Does Not Report to TRI, no surface water releases, or no Generic Factors available"))</f>
        <v>N/A - Facility Does Not Report to TRI, no surface water releases, or no Generic Factors available</v>
      </c>
      <c r="AD389" s="96" t="str" cm="1">
        <f t="array" ref="AD389">IF(COUNTIFS('Raw Annual DMR Data'!L:L,$F389,'Raw Annual DMR Data'!W:W, "&gt;0")&gt;0,MEDIAN(IF('Raw Annual DMR Data'!K:K=$F389, 'Raw Annual DMR Data'!W:W)), "N/A - No Daily Max DMR Discharge Data")</f>
        <v>N/A - No Daily Max DMR Discharge Data</v>
      </c>
      <c r="AE389" s="96" t="str">
        <f>IF(COUNTIFS('Raw Annual DMR Data'!L:L,$F389,'Raw Annual DMR Data'!W:W, "&gt;0")&gt;0,_xlfn.MAXIFS('Raw Annual DMR Data'!W:W,'Raw Annual DMR Data'!L:L,$F389), "N/A - No Daily Max DMR Discharge Data")</f>
        <v>N/A - No Daily Max DMR Discharge Data</v>
      </c>
      <c r="AF389" s="60" t="str" cm="1">
        <f t="array" ref="AF389">IF(COUNTIFS('Raw Annual DMR Data'!L:L,$F389,'Raw Annual DMR Data'!W:W, "&gt;0")&gt;0,INDEX('Raw Annual DMR Data'!B:B,MATCH(1,($F389='Raw Annual DMR Data'!L:L)*($AE389='Raw Annual DMR Data'!W:W),0)), "N/A - No Daily Max DMR Discharge Data")</f>
        <v>N/A - No Daily Max DMR Discharge Data</v>
      </c>
    </row>
    <row r="390" spans="1:32" ht="30.75" thickBot="1" x14ac:dyDescent="0.3">
      <c r="A390" s="144" t="str">
        <f>VLOOKUP(F390,'Facility Summary'!J:K,2,FALSE)</f>
        <v>Unknown</v>
      </c>
      <c r="B390" s="28" t="s">
        <v>1419</v>
      </c>
      <c r="C390" s="28" t="s">
        <v>1420</v>
      </c>
      <c r="D390" s="28" t="s">
        <v>427</v>
      </c>
      <c r="E390" s="28" t="s">
        <v>739</v>
      </c>
      <c r="F390" s="61">
        <v>110056966699</v>
      </c>
      <c r="G390" s="60" t="str">
        <f>VLOOKUP($F390, 'Raw Annual DMR Data'!$A:$Z, 24, FALSE)</f>
        <v>MI0026034</v>
      </c>
      <c r="H390" s="60" t="str">
        <f>VLOOKUP($F390, 'Raw Annual DMR Data'!$A:$Z, 25, FALSE)</f>
        <v>RIVER RAISIN</v>
      </c>
      <c r="I390" s="74" t="str">
        <f>VLOOKUP($F390, 'Raw Annual DMR Data'!$A:$Z, 26, FALSE)</f>
        <v>04100002000101</v>
      </c>
      <c r="J390" s="74" t="s">
        <v>265</v>
      </c>
      <c r="K390" s="60">
        <f>VLOOKUP(A390, 'OES Summary'!$A:$B, 2, FALSE)</f>
        <v>250</v>
      </c>
      <c r="L390" s="304" cm="1">
        <f t="array" ref="L390">IF(COUNTIF('Raw Annual DMR Data'!$L:$L,$F390)&gt;0,MEDIAN(IF('Raw Annual DMR Data'!$L:$L=F390,'Raw Annual DMR Data'!$S:$S)),"N/A - Facility Does Not Report DMRs")</f>
        <v>4.1728957917899903E-6</v>
      </c>
      <c r="M390" s="156">
        <f t="shared" si="38"/>
        <v>1.6691583167159961E-8</v>
      </c>
      <c r="N390" s="156">
        <f>IF(COUNTIF('Raw Annual DMR Data'!$L:$L,$F390)&gt;0,_xlfn.MAXIFS('Raw Annual DMR Data'!$S:$S,'Raw Annual DMR Data'!$L:$L,$F390), "N/A - Facility Does Not Report DMRs")</f>
        <v>3.5829376099999999E-5</v>
      </c>
      <c r="O390" s="156">
        <f t="shared" si="39"/>
        <v>1.4331750439999999E-7</v>
      </c>
      <c r="P390" s="113" cm="1">
        <f t="array" ref="P390">IF(COUNTIF('Raw Annual DMR Data'!$L:$L,$F390)&gt;0,INDEX('Raw Annual DMR Data'!$B:$B,MATCH(1,($F390='Raw Annual DMR Data'!$L:$L)*($N390='Raw Annual DMR Data'!$S:$S),0)), "N/A - Facility Does Not Report DMRs")</f>
        <v>2024</v>
      </c>
      <c r="Q390" s="304" t="str" cm="1">
        <f t="array" ref="Q390">IF(COUNTIF('Raw TRI Data'!$J:$J,$E390)&gt;0,MEDIAN(IF('Raw TRI Data'!$J:$J=E390,'Raw TRI Data'!$S:$S)), "N/A - Facility Does Not Report to TRI")</f>
        <v>N/A - Facility Does Not Report to TRI</v>
      </c>
      <c r="R390" s="156" t="str">
        <f t="shared" si="36"/>
        <v>N/A - Facility Does Not Report to TRI</v>
      </c>
      <c r="S390" s="156" t="str">
        <f>IF(COUNTIF('Raw TRI Data'!$J:$J,$E390)&gt;0,_xlfn.MAXIFS('Raw TRI Data'!$S:$S,'Raw TRI Data'!$J:$J,$E390), "N/A - Facility Does Not Report to TRI")</f>
        <v>N/A - Facility Does Not Report to TRI</v>
      </c>
      <c r="T390" s="156" t="str">
        <f t="shared" si="37"/>
        <v>N/A - Facility Does Not Report to TRI</v>
      </c>
      <c r="U390" s="136" t="str" cm="1">
        <f t="array" ref="U390">IF(COUNTIF('Raw TRI Data'!$J:$J,$E390)&gt;0,INDEX('Raw TRI Data'!$A:$A,MATCH(1,($E390='Raw TRI Data'!$J:$J)*(S390='Raw TRI Data'!$S:$S),0)), "N/A - Facility Does Not Report to TRI")</f>
        <v>N/A - Facility Does Not Report to TRI</v>
      </c>
      <c r="V390" s="156" t="str" cm="1">
        <f t="array" ref="V390">IF(COUNTIFS('Raw Annual DMR Data'!$L:$L,$F390,'Raw Annual DMR Data'!$U:$U,"&gt;0")&gt;0,MEDIAN(IF('Raw Annual DMR Data'!$L:$L=$F390,'Raw Annual DMR Data'!$U:$U,"")),"N/A - Period DMR Data Not Available")</f>
        <v>N/A - Period DMR Data Not Available</v>
      </c>
      <c r="W390" s="156" t="str">
        <f>IF(COUNTIFS('Raw Annual DMR Data'!$L:$L,$F390, 'Raw Annual DMR Data'!$U:$U, "&gt;0")&gt;0,_xlfn.MAXIFS('Raw Annual DMR Data'!$U:$U,'Raw Annual DMR Data'!$L:$L,$F390), "N/A - Period DMR Data Not Available")</f>
        <v>N/A - Period DMR Data Not Available</v>
      </c>
      <c r="X390" s="113" t="str" cm="1">
        <f t="array" ref="X390">+IF(COUNTIFS('Raw Annual DMR Data'!L:L,$F390, 'Raw Annual DMR Data'!U:U, "&gt;0")&gt;0,INDEX('Raw Annual DMR Data'!V:V,MATCH(1,($F390='Raw Annual DMR Data'!L:L)*($W390='Raw Annual DMR Data'!U:U),0)), "N/A - Period DMR Data Not Available")</f>
        <v>N/A - Period DMR Data Not Available</v>
      </c>
      <c r="Y390" s="113" t="str" cm="1">
        <f t="array" ref="Y390">IF(COUNTIFS('Raw Annual DMR Data'!L:L,$F390, 'Raw Annual DMR Data'!U:U, "&gt;0")&gt;0,INDEX('Raw Annual DMR Data'!B:B,MATCH(1,($F390='Raw Annual DMR Data'!L:L)*($W390='Raw Annual DMR Data'!U:U),0)), "N/A - Period DMR Data Not Available")</f>
        <v>N/A - Period DMR Data Not Available</v>
      </c>
      <c r="Z390" s="311" t="str" cm="1">
        <f t="array" ref="Z390">IF(COUNTIF('Raw Annual DMR Data'!K:K,$E390)&gt;0,"N/A - See DMRs",IF(SUMIFS('Raw TRI Data'!$Z:$Z,'Raw TRI Data'!$J:$J,$E390)&gt;0,MEDIAN(IF('Raw TRI Data'!$J:$J=$E390,'Raw TRI Data'!$Z:$Z)), "N/A - Facility Does Not Report to TRI, no surface water releases, or no Generic Factors available"))</f>
        <v>N/A - See DMRs</v>
      </c>
      <c r="AA390" s="156" t="str">
        <f>IF(COUNTIF('Raw Annual DMR Data'!K:K,$E390)&gt;0,"N/A - See DMRs",IF(SUMIFS('Raw TRI Data'!$Z:$Z,'Raw TRI Data'!$J:$J,$E390)&gt;0,_xlfn.MAXIFS('Raw TRI Data'!$Z:$Z,'Raw TRI Data'!$J:$J,$E390), "N/A - Facility Does Not Report to TRI, no surface water releases, or no Generic Factors available"))</f>
        <v>N/A - See DMRs</v>
      </c>
      <c r="AB390" s="113" t="str">
        <f t="shared" si="40"/>
        <v>N/A</v>
      </c>
      <c r="AC390" s="136" t="str" cm="1">
        <f t="array" ref="AC390">IF(COUNTIF('Raw Annual DMR Data'!K:K,$E390)&gt;0,"N/A - See DMRs",IF(SUMIFS('Raw TRI Data'!$Z:$Z,'Raw TRI Data'!$J:$J,$E390)&gt;0,INDEX('Raw TRI Data'!$A:$A,MATCH(1,($E390='Raw TRI Data'!$J:$J)*($AA390='Raw TRI Data'!$Z:$Z),0)), "N/A - Facility Does Not Report to TRI, no surface water releases, or no Generic Factors available"))</f>
        <v>N/A - See DMRs</v>
      </c>
      <c r="AD390" s="96" t="str" cm="1">
        <f t="array" ref="AD390">IF(COUNTIFS('Raw Annual DMR Data'!L:L,$F390,'Raw Annual DMR Data'!W:W, "&gt;0")&gt;0,MEDIAN(IF('Raw Annual DMR Data'!K:K=$F390, 'Raw Annual DMR Data'!W:W)), "N/A - No Daily Max DMR Discharge Data")</f>
        <v>N/A - No Daily Max DMR Discharge Data</v>
      </c>
      <c r="AE390" s="96" t="str">
        <f>IF(COUNTIFS('Raw Annual DMR Data'!L:L,$F390,'Raw Annual DMR Data'!W:W, "&gt;0")&gt;0,_xlfn.MAXIFS('Raw Annual DMR Data'!W:W,'Raw Annual DMR Data'!L:L,$F390), "N/A - No Daily Max DMR Discharge Data")</f>
        <v>N/A - No Daily Max DMR Discharge Data</v>
      </c>
      <c r="AF390" s="60" t="str" cm="1">
        <f t="array" ref="AF390">IF(COUNTIFS('Raw Annual DMR Data'!L:L,$F390,'Raw Annual DMR Data'!W:W, "&gt;0")&gt;0,INDEX('Raw Annual DMR Data'!B:B,MATCH(1,($F390='Raw Annual DMR Data'!L:L)*($AE390='Raw Annual DMR Data'!W:W),0)), "N/A - No Daily Max DMR Discharge Data")</f>
        <v>N/A - No Daily Max DMR Discharge Data</v>
      </c>
    </row>
    <row r="391" spans="1:32" ht="45.75" thickBot="1" x14ac:dyDescent="0.3">
      <c r="A391" s="144" t="str">
        <f>VLOOKUP(F391,'Facility Summary'!J:K,2,FALSE)</f>
        <v>POTW</v>
      </c>
      <c r="B391" s="28" t="s">
        <v>1421</v>
      </c>
      <c r="C391" s="28" t="s">
        <v>1422</v>
      </c>
      <c r="D391" s="28" t="s">
        <v>1171</v>
      </c>
      <c r="E391" s="28"/>
      <c r="F391" s="61">
        <v>110010731262</v>
      </c>
      <c r="G391" s="60" t="str">
        <f>VLOOKUP($F391, 'Raw Annual DMR Data'!$A:$Z, 24, FALSE)</f>
        <v>HI0020257</v>
      </c>
      <c r="H391" s="60" t="str">
        <f>VLOOKUP($F391, 'Raw Annual DMR Data'!$A:$Z, 25, FALSE)</f>
        <v>PACIFIC OCEANOFFSHORE WAILUA</v>
      </c>
      <c r="I391" s="74">
        <f>VLOOKUP($F391, 'Raw Annual DMR Data'!$A:$Z, 26, FALSE)</f>
        <v>20070000000062</v>
      </c>
      <c r="J391" s="74" t="s">
        <v>265</v>
      </c>
      <c r="K391" s="60">
        <f>VLOOKUP(A391, 'OES Summary'!$A:$B, 2, FALSE)</f>
        <v>365</v>
      </c>
      <c r="L391" s="304" cm="1">
        <f t="array" ref="L391">IF(COUNTIF('Raw Annual DMR Data'!$L:$L,$F391)&gt;0,MEDIAN(IF('Raw Annual DMR Data'!$L:$L=F391,'Raw Annual DMR Data'!$S:$S)),"N/A - Facility Does Not Report DMRs")</f>
        <v>0.1692368125</v>
      </c>
      <c r="M391" s="156">
        <f t="shared" si="38"/>
        <v>4.636625E-4</v>
      </c>
      <c r="N391" s="156">
        <f>IF(COUNTIF('Raw Annual DMR Data'!$L:$L,$F391)&gt;0,_xlfn.MAXIFS('Raw Annual DMR Data'!$S:$S,'Raw Annual DMR Data'!$L:$L,$F391), "N/A - Facility Does Not Report DMRs")</f>
        <v>0.32742142499999999</v>
      </c>
      <c r="O391" s="156">
        <f t="shared" si="39"/>
        <v>8.9704499999999996E-4</v>
      </c>
      <c r="P391" s="113" cm="1">
        <f t="array" ref="P391">IF(COUNTIF('Raw Annual DMR Data'!$L:$L,$F391)&gt;0,INDEX('Raw Annual DMR Data'!$B:$B,MATCH(1,($F391='Raw Annual DMR Data'!$L:$L)*($N391='Raw Annual DMR Data'!$S:$S),0)), "N/A - Facility Does Not Report DMRs")</f>
        <v>2018</v>
      </c>
      <c r="Q391" s="304" t="str" cm="1">
        <f t="array" ref="Q391">IF(COUNTIF('Raw TRI Data'!$J:$J,$E391)&gt;0,MEDIAN(IF('Raw TRI Data'!$J:$J=E391,'Raw TRI Data'!$S:$S)), "N/A - Facility Does Not Report to TRI")</f>
        <v>N/A - Facility Does Not Report to TRI</v>
      </c>
      <c r="R391" s="156" t="str">
        <f t="shared" si="36"/>
        <v>N/A - Facility Does Not Report to TRI</v>
      </c>
      <c r="S391" s="156" t="str">
        <f>IF(COUNTIF('Raw TRI Data'!$J:$J,$E391)&gt;0,_xlfn.MAXIFS('Raw TRI Data'!$S:$S,'Raw TRI Data'!$J:$J,$E391), "N/A - Facility Does Not Report to TRI")</f>
        <v>N/A - Facility Does Not Report to TRI</v>
      </c>
      <c r="T391" s="156" t="str">
        <f t="shared" si="37"/>
        <v>N/A - Facility Does Not Report to TRI</v>
      </c>
      <c r="U391" s="136" t="str" cm="1">
        <f t="array" ref="U391">IF(COUNTIF('Raw TRI Data'!$J:$J,$E391)&gt;0,INDEX('Raw TRI Data'!$A:$A,MATCH(1,($E391='Raw TRI Data'!$J:$J)*(S391='Raw TRI Data'!$S:$S),0)), "N/A - Facility Does Not Report to TRI")</f>
        <v>N/A - Facility Does Not Report to TRI</v>
      </c>
      <c r="V391" s="156" t="str" cm="1">
        <f t="array" ref="V391">IF(COUNTIFS('Raw Annual DMR Data'!$L:$L,$F391,'Raw Annual DMR Data'!$U:$U,"&gt;0")&gt;0,MEDIAN(IF('Raw Annual DMR Data'!$L:$L=$F391,'Raw Annual DMR Data'!$U:$U,"")),"N/A - Period DMR Data Not Available")</f>
        <v>N/A - Period DMR Data Not Available</v>
      </c>
      <c r="W391" s="156" t="str">
        <f>IF(COUNTIFS('Raw Annual DMR Data'!$L:$L,$F391, 'Raw Annual DMR Data'!$U:$U, "&gt;0")&gt;0,_xlfn.MAXIFS('Raw Annual DMR Data'!$U:$U,'Raw Annual DMR Data'!$L:$L,$F391), "N/A - Period DMR Data Not Available")</f>
        <v>N/A - Period DMR Data Not Available</v>
      </c>
      <c r="X391" s="113" t="str" cm="1">
        <f t="array" ref="X391">+IF(COUNTIFS('Raw Annual DMR Data'!L:L,$F391, 'Raw Annual DMR Data'!U:U, "&gt;0")&gt;0,INDEX('Raw Annual DMR Data'!V:V,MATCH(1,($F391='Raw Annual DMR Data'!L:L)*($W391='Raw Annual DMR Data'!U:U),0)), "N/A - Period DMR Data Not Available")</f>
        <v>N/A - Period DMR Data Not Available</v>
      </c>
      <c r="Y391" s="113" t="str" cm="1">
        <f t="array" ref="Y391">IF(COUNTIFS('Raw Annual DMR Data'!L:L,$F391, 'Raw Annual DMR Data'!U:U, "&gt;0")&gt;0,INDEX('Raw Annual DMR Data'!B:B,MATCH(1,($F391='Raw Annual DMR Data'!L:L)*($W391='Raw Annual DMR Data'!U:U),0)), "N/A - Period DMR Data Not Available")</f>
        <v>N/A - Period DMR Data Not Available</v>
      </c>
      <c r="Z391" s="311" t="str" cm="1">
        <f t="array" ref="Z391">IF(COUNTIF('Raw Annual DMR Data'!K:K,$E391)&gt;0,"N/A - See DMRs",IF(SUMIFS('Raw TRI Data'!$Z:$Z,'Raw TRI Data'!$J:$J,$E391)&gt;0,MEDIAN(IF('Raw TRI Data'!$J:$J=$E391,'Raw TRI Data'!$Z:$Z)), "N/A - Facility Does Not Report to TRI, no surface water releases, or no Generic Factors available"))</f>
        <v>N/A - Facility Does Not Report to TRI, no surface water releases, or no Generic Factors available</v>
      </c>
      <c r="AA391" s="156" t="str">
        <f>IF(COUNTIF('Raw Annual DMR Data'!K:K,$E391)&gt;0,"N/A - See DMRs",IF(SUMIFS('Raw TRI Data'!$Z:$Z,'Raw TRI Data'!$J:$J,$E391)&gt;0,_xlfn.MAXIFS('Raw TRI Data'!$Z:$Z,'Raw TRI Data'!$J:$J,$E391), "N/A - Facility Does Not Report to TRI, no surface water releases, or no Generic Factors available"))</f>
        <v>N/A - Facility Does Not Report to TRI, no surface water releases, or no Generic Factors available</v>
      </c>
      <c r="AB391" s="113" t="str">
        <f t="shared" si="40"/>
        <v>N/A</v>
      </c>
      <c r="AC391" s="136" t="str" cm="1">
        <f t="array" ref="AC391">IF(COUNTIF('Raw Annual DMR Data'!K:K,$E391)&gt;0,"N/A - See DMRs",IF(SUMIFS('Raw TRI Data'!$Z:$Z,'Raw TRI Data'!$J:$J,$E391)&gt;0,INDEX('Raw TRI Data'!$A:$A,MATCH(1,($E391='Raw TRI Data'!$J:$J)*($AA391='Raw TRI Data'!$Z:$Z),0)), "N/A - Facility Does Not Report to TRI, no surface water releases, or no Generic Factors available"))</f>
        <v>N/A - Facility Does Not Report to TRI, no surface water releases, or no Generic Factors available</v>
      </c>
      <c r="AD391" s="96" t="str" cm="1">
        <f t="array" ref="AD391">IF(COUNTIFS('Raw Annual DMR Data'!L:L,$F391,'Raw Annual DMR Data'!W:W, "&gt;0")&gt;0,MEDIAN(IF('Raw Annual DMR Data'!K:K=$F391, 'Raw Annual DMR Data'!W:W)), "N/A - No Daily Max DMR Discharge Data")</f>
        <v>N/A - No Daily Max DMR Discharge Data</v>
      </c>
      <c r="AE391" s="96" t="str">
        <f>IF(COUNTIFS('Raw Annual DMR Data'!L:L,$F391,'Raw Annual DMR Data'!W:W, "&gt;0")&gt;0,_xlfn.MAXIFS('Raw Annual DMR Data'!W:W,'Raw Annual DMR Data'!L:L,$F391), "N/A - No Daily Max DMR Discharge Data")</f>
        <v>N/A - No Daily Max DMR Discharge Data</v>
      </c>
      <c r="AF391" s="60" t="str" cm="1">
        <f t="array" ref="AF391">IF(COUNTIFS('Raw Annual DMR Data'!L:L,$F391,'Raw Annual DMR Data'!W:W, "&gt;0")&gt;0,INDEX('Raw Annual DMR Data'!B:B,MATCH(1,($F391='Raw Annual DMR Data'!L:L)*($AE391='Raw Annual DMR Data'!W:W),0)), "N/A - No Daily Max DMR Discharge Data")</f>
        <v>N/A - No Daily Max DMR Discharge Data</v>
      </c>
    </row>
    <row r="392" spans="1:32" ht="45.75" thickBot="1" x14ac:dyDescent="0.3">
      <c r="A392" s="144" t="str">
        <f>VLOOKUP(F392,'Facility Summary'!J:K,2,FALSE)</f>
        <v>Waste Handling, Disposal and Treatment (Landfill)</v>
      </c>
      <c r="B392" s="28" t="s">
        <v>1423</v>
      </c>
      <c r="C392" s="28" t="s">
        <v>1424</v>
      </c>
      <c r="D392" s="28" t="s">
        <v>294</v>
      </c>
      <c r="E392" s="28"/>
      <c r="F392" s="61">
        <v>110054919406</v>
      </c>
      <c r="G392" s="60" t="str">
        <f>VLOOKUP($F392, 'Raw Annual DMR Data'!$A:$Z, 24, FALSE)</f>
        <v>VAG830429</v>
      </c>
      <c r="H392" s="60" t="str">
        <f>VLOOKUP($F392, 'Raw Annual DMR Data'!$A:$Z, 25, FALSE)</f>
        <v>SOUTH FORK SHENANDOAH RIVER-BROWN HOLLOW RUN</v>
      </c>
      <c r="I392" s="74">
        <f>VLOOKUP($F392, 'Raw Annual DMR Data'!$A:$Z, 26, FALSE)</f>
        <v>0</v>
      </c>
      <c r="J392" s="74" t="s">
        <v>265</v>
      </c>
      <c r="K392" s="60">
        <f>VLOOKUP(A392, 'OES Summary'!$A:$B, 2, FALSE)</f>
        <v>250</v>
      </c>
      <c r="L392" s="304" cm="1">
        <f t="array" ref="L392">IF(COUNTIF('Raw Annual DMR Data'!$L:$L,$F392)&gt;0,MEDIAN(IF('Raw Annual DMR Data'!$L:$L=F392,'Raw Annual DMR Data'!$S:$S)),"N/A - Facility Does Not Report DMRs")</f>
        <v>9.36183028686999E-4</v>
      </c>
      <c r="M392" s="156">
        <f t="shared" si="38"/>
        <v>3.7447321147479959E-6</v>
      </c>
      <c r="N392" s="156">
        <f>IF(COUNTIF('Raw Annual DMR Data'!$L:$L,$F392)&gt;0,_xlfn.MAXIFS('Raw Annual DMR Data'!$S:$S,'Raw Annual DMR Data'!$L:$L,$F392), "N/A - Facility Does Not Report DMRs")</f>
        <v>9.2350309624999998E-3</v>
      </c>
      <c r="O392" s="156">
        <f t="shared" si="39"/>
        <v>3.6940123850000001E-5</v>
      </c>
      <c r="P392" s="113" cm="1">
        <f t="array" ref="P392">IF(COUNTIF('Raw Annual DMR Data'!$L:$L,$F392)&gt;0,INDEX('Raw Annual DMR Data'!$B:$B,MATCH(1,($F392='Raw Annual DMR Data'!$L:$L)*($N392='Raw Annual DMR Data'!$S:$S),0)), "N/A - Facility Does Not Report DMRs")</f>
        <v>2023</v>
      </c>
      <c r="Q392" s="304" t="str" cm="1">
        <f t="array" ref="Q392">IF(COUNTIF('Raw TRI Data'!$J:$J,$E392)&gt;0,MEDIAN(IF('Raw TRI Data'!$J:$J=E392,'Raw TRI Data'!$S:$S)), "N/A - Facility Does Not Report to TRI")</f>
        <v>N/A - Facility Does Not Report to TRI</v>
      </c>
      <c r="R392" s="156" t="str">
        <f t="shared" si="36"/>
        <v>N/A - Facility Does Not Report to TRI</v>
      </c>
      <c r="S392" s="156" t="str">
        <f>IF(COUNTIF('Raw TRI Data'!$J:$J,$E392)&gt;0,_xlfn.MAXIFS('Raw TRI Data'!$S:$S,'Raw TRI Data'!$J:$J,$E392), "N/A - Facility Does Not Report to TRI")</f>
        <v>N/A - Facility Does Not Report to TRI</v>
      </c>
      <c r="T392" s="156" t="str">
        <f t="shared" si="37"/>
        <v>N/A - Facility Does Not Report to TRI</v>
      </c>
      <c r="U392" s="136" t="str" cm="1">
        <f t="array" ref="U392">IF(COUNTIF('Raw TRI Data'!$J:$J,$E392)&gt;0,INDEX('Raw TRI Data'!$A:$A,MATCH(1,($E392='Raw TRI Data'!$J:$J)*(S392='Raw TRI Data'!$S:$S),0)), "N/A - Facility Does Not Report to TRI")</f>
        <v>N/A - Facility Does Not Report to TRI</v>
      </c>
      <c r="V392" s="156" t="str" cm="1">
        <f t="array" ref="V392">IF(COUNTIFS('Raw Annual DMR Data'!$L:$L,$F392,'Raw Annual DMR Data'!$U:$U,"&gt;0")&gt;0,MEDIAN(IF('Raw Annual DMR Data'!$L:$L=$F392,'Raw Annual DMR Data'!$U:$U,"")),"N/A - Period DMR Data Not Available")</f>
        <v>N/A - Period DMR Data Not Available</v>
      </c>
      <c r="W392" s="156" t="str">
        <f>IF(COUNTIFS('Raw Annual DMR Data'!$L:$L,$F392, 'Raw Annual DMR Data'!$U:$U, "&gt;0")&gt;0,_xlfn.MAXIFS('Raw Annual DMR Data'!$U:$U,'Raw Annual DMR Data'!$L:$L,$F392), "N/A - Period DMR Data Not Available")</f>
        <v>N/A - Period DMR Data Not Available</v>
      </c>
      <c r="X392" s="113" t="str" cm="1">
        <f t="array" ref="X392">+IF(COUNTIFS('Raw Annual DMR Data'!L:L,$F392, 'Raw Annual DMR Data'!U:U, "&gt;0")&gt;0,INDEX('Raw Annual DMR Data'!V:V,MATCH(1,($F392='Raw Annual DMR Data'!L:L)*($W392='Raw Annual DMR Data'!U:U),0)), "N/A - Period DMR Data Not Available")</f>
        <v>N/A - Period DMR Data Not Available</v>
      </c>
      <c r="Y392" s="113" t="str" cm="1">
        <f t="array" ref="Y392">IF(COUNTIFS('Raw Annual DMR Data'!L:L,$F392, 'Raw Annual DMR Data'!U:U, "&gt;0")&gt;0,INDEX('Raw Annual DMR Data'!B:B,MATCH(1,($F392='Raw Annual DMR Data'!L:L)*($W392='Raw Annual DMR Data'!U:U),0)), "N/A - Period DMR Data Not Available")</f>
        <v>N/A - Period DMR Data Not Available</v>
      </c>
      <c r="Z392" s="311" t="str" cm="1">
        <f t="array" ref="Z392">IF(COUNTIF('Raw Annual DMR Data'!K:K,$E392)&gt;0,"N/A - See DMRs",IF(SUMIFS('Raw TRI Data'!$Z:$Z,'Raw TRI Data'!$J:$J,$E392)&gt;0,MEDIAN(IF('Raw TRI Data'!$J:$J=$E392,'Raw TRI Data'!$Z:$Z)), "N/A - Facility Does Not Report to TRI, no surface water releases, or no Generic Factors available"))</f>
        <v>N/A - Facility Does Not Report to TRI, no surface water releases, or no Generic Factors available</v>
      </c>
      <c r="AA392" s="156" t="str">
        <f>IF(COUNTIF('Raw Annual DMR Data'!K:K,$E392)&gt;0,"N/A - See DMRs",IF(SUMIFS('Raw TRI Data'!$Z:$Z,'Raw TRI Data'!$J:$J,$E392)&gt;0,_xlfn.MAXIFS('Raw TRI Data'!$Z:$Z,'Raw TRI Data'!$J:$J,$E392), "N/A - Facility Does Not Report to TRI, no surface water releases, or no Generic Factors available"))</f>
        <v>N/A - Facility Does Not Report to TRI, no surface water releases, or no Generic Factors available</v>
      </c>
      <c r="AB392" s="113" t="str">
        <f t="shared" si="40"/>
        <v>N/A</v>
      </c>
      <c r="AC392" s="136" t="str" cm="1">
        <f t="array" ref="AC392">IF(COUNTIF('Raw Annual DMR Data'!K:K,$E392)&gt;0,"N/A - See DMRs",IF(SUMIFS('Raw TRI Data'!$Z:$Z,'Raw TRI Data'!$J:$J,$E392)&gt;0,INDEX('Raw TRI Data'!$A:$A,MATCH(1,($E392='Raw TRI Data'!$J:$J)*($AA392='Raw TRI Data'!$Z:$Z),0)), "N/A - Facility Does Not Report to TRI, no surface water releases, or no Generic Factors available"))</f>
        <v>N/A - Facility Does Not Report to TRI, no surface water releases, or no Generic Factors available</v>
      </c>
      <c r="AD392" s="96" t="str" cm="1">
        <f t="array" ref="AD392">IF(COUNTIFS('Raw Annual DMR Data'!L:L,$F392,'Raw Annual DMR Data'!W:W, "&gt;0")&gt;0,MEDIAN(IF('Raw Annual DMR Data'!K:K=$F392, 'Raw Annual DMR Data'!W:W)), "N/A - No Daily Max DMR Discharge Data")</f>
        <v>N/A - No Daily Max DMR Discharge Data</v>
      </c>
      <c r="AE392" s="96" t="str">
        <f>IF(COUNTIFS('Raw Annual DMR Data'!L:L,$F392,'Raw Annual DMR Data'!W:W, "&gt;0")&gt;0,_xlfn.MAXIFS('Raw Annual DMR Data'!W:W,'Raw Annual DMR Data'!L:L,$F392), "N/A - No Daily Max DMR Discharge Data")</f>
        <v>N/A - No Daily Max DMR Discharge Data</v>
      </c>
      <c r="AF392" s="60" t="str" cm="1">
        <f t="array" ref="AF392">IF(COUNTIFS('Raw Annual DMR Data'!L:L,$F392,'Raw Annual DMR Data'!W:W, "&gt;0")&gt;0,INDEX('Raw Annual DMR Data'!B:B,MATCH(1,($F392='Raw Annual DMR Data'!L:L)*($AE392='Raw Annual DMR Data'!W:W),0)), "N/A - No Daily Max DMR Discharge Data")</f>
        <v>N/A - No Daily Max DMR Discharge Data</v>
      </c>
    </row>
    <row r="393" spans="1:32" ht="45.75" thickBot="1" x14ac:dyDescent="0.3">
      <c r="A393" s="144" t="str">
        <f>VLOOKUP(F393,'Facility Summary'!J:K,2,FALSE)</f>
        <v>POTW</v>
      </c>
      <c r="B393" s="28" t="s">
        <v>1425</v>
      </c>
      <c r="C393" s="28" t="s">
        <v>1426</v>
      </c>
      <c r="D393" s="28" t="s">
        <v>366</v>
      </c>
      <c r="E393" s="28"/>
      <c r="F393" s="61">
        <v>110013819706</v>
      </c>
      <c r="G393" s="60" t="str">
        <f>VLOOKUP($F393, 'Raw Annual DMR Data'!$A:$Z, 24, FALSE)</f>
        <v>CA0048216</v>
      </c>
      <c r="H393" s="60" t="str">
        <f>VLOOKUP($F393, 'Raw Annual DMR Data'!$A:$Z, 25, FALSE)</f>
        <v>PACIFIC OCEAN</v>
      </c>
      <c r="I393" s="74">
        <f>VLOOKUP($F393, 'Raw Annual DMR Data'!$A:$Z, 26, FALSE)</f>
        <v>0</v>
      </c>
      <c r="J393" s="74" t="s">
        <v>265</v>
      </c>
      <c r="K393" s="60">
        <f>VLOOKUP(A393, 'OES Summary'!$A:$B, 2, FALSE)</f>
        <v>365</v>
      </c>
      <c r="L393" s="304" cm="1">
        <f t="array" ref="L393">IF(COUNTIF('Raw Annual DMR Data'!$L:$L,$F393)&gt;0,MEDIAN(IF('Raw Annual DMR Data'!$L:$L=F393,'Raw Annual DMR Data'!$S:$S)),"N/A - Facility Does Not Report DMRs")</f>
        <v>5.36507936507936E-3</v>
      </c>
      <c r="M393" s="156">
        <f t="shared" si="38"/>
        <v>1.469884757555989E-5</v>
      </c>
      <c r="N393" s="156">
        <f>IF(COUNTIF('Raw Annual DMR Data'!$L:$L,$F393)&gt;0,_xlfn.MAXIFS('Raw Annual DMR Data'!$S:$S,'Raw Annual DMR Data'!$L:$L,$F393), "N/A - Facility Does Not Report DMRs")</f>
        <v>5.36507936507936E-3</v>
      </c>
      <c r="O393" s="156">
        <f t="shared" si="39"/>
        <v>1.469884757555989E-5</v>
      </c>
      <c r="P393" s="113" cm="1">
        <f t="array" ref="P393">IF(COUNTIF('Raw Annual DMR Data'!$L:$L,$F393)&gt;0,INDEX('Raw Annual DMR Data'!$B:$B,MATCH(1,($F393='Raw Annual DMR Data'!$L:$L)*($N393='Raw Annual DMR Data'!$S:$S),0)), "N/A - Facility Does Not Report DMRs")</f>
        <v>2016</v>
      </c>
      <c r="Q393" s="304" t="str" cm="1">
        <f t="array" ref="Q393">IF(COUNTIF('Raw TRI Data'!$J:$J,$E393)&gt;0,MEDIAN(IF('Raw TRI Data'!$J:$J=E393,'Raw TRI Data'!$S:$S)), "N/A - Facility Does Not Report to TRI")</f>
        <v>N/A - Facility Does Not Report to TRI</v>
      </c>
      <c r="R393" s="156" t="str">
        <f t="shared" si="36"/>
        <v>N/A - Facility Does Not Report to TRI</v>
      </c>
      <c r="S393" s="156" t="str">
        <f>IF(COUNTIF('Raw TRI Data'!$J:$J,$E393)&gt;0,_xlfn.MAXIFS('Raw TRI Data'!$S:$S,'Raw TRI Data'!$J:$J,$E393), "N/A - Facility Does Not Report to TRI")</f>
        <v>N/A - Facility Does Not Report to TRI</v>
      </c>
      <c r="T393" s="156" t="str">
        <f t="shared" si="37"/>
        <v>N/A - Facility Does Not Report to TRI</v>
      </c>
      <c r="U393" s="136" t="str" cm="1">
        <f t="array" ref="U393">IF(COUNTIF('Raw TRI Data'!$J:$J,$E393)&gt;0,INDEX('Raw TRI Data'!$A:$A,MATCH(1,($E393='Raw TRI Data'!$J:$J)*(S393='Raw TRI Data'!$S:$S),0)), "N/A - Facility Does Not Report to TRI")</f>
        <v>N/A - Facility Does Not Report to TRI</v>
      </c>
      <c r="V393" s="156" t="str" cm="1">
        <f t="array" ref="V393">IF(COUNTIFS('Raw Annual DMR Data'!$L:$L,$F393,'Raw Annual DMR Data'!$U:$U,"&gt;0")&gt;0,MEDIAN(IF('Raw Annual DMR Data'!$L:$L=$F393,'Raw Annual DMR Data'!$U:$U,"")),"N/A - Period DMR Data Not Available")</f>
        <v>N/A - Period DMR Data Not Available</v>
      </c>
      <c r="W393" s="156" t="str">
        <f>IF(COUNTIFS('Raw Annual DMR Data'!$L:$L,$F393, 'Raw Annual DMR Data'!$U:$U, "&gt;0")&gt;0,_xlfn.MAXIFS('Raw Annual DMR Data'!$U:$U,'Raw Annual DMR Data'!$L:$L,$F393), "N/A - Period DMR Data Not Available")</f>
        <v>N/A - Period DMR Data Not Available</v>
      </c>
      <c r="X393" s="113" t="str" cm="1">
        <f t="array" ref="X393">+IF(COUNTIFS('Raw Annual DMR Data'!L:L,$F393, 'Raw Annual DMR Data'!U:U, "&gt;0")&gt;0,INDEX('Raw Annual DMR Data'!V:V,MATCH(1,($F393='Raw Annual DMR Data'!L:L)*($W393='Raw Annual DMR Data'!U:U),0)), "N/A - Period DMR Data Not Available")</f>
        <v>N/A - Period DMR Data Not Available</v>
      </c>
      <c r="Y393" s="113" t="str" cm="1">
        <f t="array" ref="Y393">IF(COUNTIFS('Raw Annual DMR Data'!L:L,$F393, 'Raw Annual DMR Data'!U:U, "&gt;0")&gt;0,INDEX('Raw Annual DMR Data'!B:B,MATCH(1,($F393='Raw Annual DMR Data'!L:L)*($W393='Raw Annual DMR Data'!U:U),0)), "N/A - Period DMR Data Not Available")</f>
        <v>N/A - Period DMR Data Not Available</v>
      </c>
      <c r="Z393" s="311" t="str" cm="1">
        <f t="array" ref="Z393">IF(COUNTIF('Raw Annual DMR Data'!K:K,$E393)&gt;0,"N/A - See DMRs",IF(SUMIFS('Raw TRI Data'!$Z:$Z,'Raw TRI Data'!$J:$J,$E393)&gt;0,MEDIAN(IF('Raw TRI Data'!$J:$J=$E393,'Raw TRI Data'!$Z:$Z)), "N/A - Facility Does Not Report to TRI, no surface water releases, or no Generic Factors available"))</f>
        <v>N/A - Facility Does Not Report to TRI, no surface water releases, or no Generic Factors available</v>
      </c>
      <c r="AA393" s="156" t="str">
        <f>IF(COUNTIF('Raw Annual DMR Data'!K:K,$E393)&gt;0,"N/A - See DMRs",IF(SUMIFS('Raw TRI Data'!$Z:$Z,'Raw TRI Data'!$J:$J,$E393)&gt;0,_xlfn.MAXIFS('Raw TRI Data'!$Z:$Z,'Raw TRI Data'!$J:$J,$E393), "N/A - Facility Does Not Report to TRI, no surface water releases, or no Generic Factors available"))</f>
        <v>N/A - Facility Does Not Report to TRI, no surface water releases, or no Generic Factors available</v>
      </c>
      <c r="AB393" s="113" t="str">
        <f t="shared" si="40"/>
        <v>N/A</v>
      </c>
      <c r="AC393" s="136" t="str" cm="1">
        <f t="array" ref="AC393">IF(COUNTIF('Raw Annual DMR Data'!K:K,$E393)&gt;0,"N/A - See DMRs",IF(SUMIFS('Raw TRI Data'!$Z:$Z,'Raw TRI Data'!$J:$J,$E393)&gt;0,INDEX('Raw TRI Data'!$A:$A,MATCH(1,($E393='Raw TRI Data'!$J:$J)*($AA393='Raw TRI Data'!$Z:$Z),0)), "N/A - Facility Does Not Report to TRI, no surface water releases, or no Generic Factors available"))</f>
        <v>N/A - Facility Does Not Report to TRI, no surface water releases, or no Generic Factors available</v>
      </c>
      <c r="AD393" s="96" t="str" cm="1">
        <f t="array" ref="AD393">IF(COUNTIFS('Raw Annual DMR Data'!L:L,$F393,'Raw Annual DMR Data'!W:W, "&gt;0")&gt;0,MEDIAN(IF('Raw Annual DMR Data'!K:K=$F393, 'Raw Annual DMR Data'!W:W)), "N/A - No Daily Max DMR Discharge Data")</f>
        <v>N/A - No Daily Max DMR Discharge Data</v>
      </c>
      <c r="AE393" s="96" t="str">
        <f>IF(COUNTIFS('Raw Annual DMR Data'!L:L,$F393,'Raw Annual DMR Data'!W:W, "&gt;0")&gt;0,_xlfn.MAXIFS('Raw Annual DMR Data'!W:W,'Raw Annual DMR Data'!L:L,$F393), "N/A - No Daily Max DMR Discharge Data")</f>
        <v>N/A - No Daily Max DMR Discharge Data</v>
      </c>
      <c r="AF393" s="60" t="str" cm="1">
        <f t="array" ref="AF393">IF(COUNTIFS('Raw Annual DMR Data'!L:L,$F393,'Raw Annual DMR Data'!W:W, "&gt;0")&gt;0,INDEX('Raw Annual DMR Data'!B:B,MATCH(1,($F393='Raw Annual DMR Data'!L:L)*($AE393='Raw Annual DMR Data'!W:W),0)), "N/A - No Daily Max DMR Discharge Data")</f>
        <v>N/A - No Daily Max DMR Discharge Data</v>
      </c>
    </row>
    <row r="394" spans="1:32" ht="45.75" thickBot="1" x14ac:dyDescent="0.3">
      <c r="A394" s="144" t="str">
        <f>VLOOKUP(F394,'Facility Summary'!J:K,2,FALSE)</f>
        <v>POTW</v>
      </c>
      <c r="B394" s="28" t="s">
        <v>1427</v>
      </c>
      <c r="C394" s="28" t="s">
        <v>1265</v>
      </c>
      <c r="D394" s="28" t="s">
        <v>366</v>
      </c>
      <c r="E394" s="28"/>
      <c r="F394" s="61">
        <v>110064252419</v>
      </c>
      <c r="G394" s="60" t="str">
        <f>VLOOKUP($F394, 'Raw Annual DMR Data'!$A:$Z, 24, FALSE)</f>
        <v>CA0038539</v>
      </c>
      <c r="H394" s="60" t="str">
        <f>VLOOKUP($F394, 'Raw Annual DMR Data'!$A:$Z, 25, FALSE)</f>
        <v>CENTRAL SAN FRANCISCO BAY</v>
      </c>
      <c r="I394" s="74">
        <f>VLOOKUP($F394, 'Raw Annual DMR Data'!$A:$Z, 26, FALSE)</f>
        <v>18050002001022</v>
      </c>
      <c r="J394" s="74" t="s">
        <v>265</v>
      </c>
      <c r="K394" s="60">
        <f>VLOOKUP(A394, 'OES Summary'!$A:$B, 2, FALSE)</f>
        <v>365</v>
      </c>
      <c r="L394" s="304" cm="1">
        <f t="array" ref="L394">IF(COUNTIF('Raw Annual DMR Data'!$L:$L,$F394)&gt;0,MEDIAN(IF('Raw Annual DMR Data'!$L:$L=F394,'Raw Annual DMR Data'!$S:$S)),"N/A - Facility Does Not Report DMRs")</f>
        <v>3.4676277500000001</v>
      </c>
      <c r="M394" s="156">
        <f t="shared" si="38"/>
        <v>9.5003500000000012E-3</v>
      </c>
      <c r="N394" s="156">
        <f>IF(COUNTIF('Raw Annual DMR Data'!$L:$L,$F394)&gt;0,_xlfn.MAXIFS('Raw Annual DMR Data'!$S:$S,'Raw Annual DMR Data'!$L:$L,$F394), "N/A - Facility Does Not Report DMRs")</f>
        <v>3.7646556250000001</v>
      </c>
      <c r="O394" s="156">
        <f t="shared" si="39"/>
        <v>1.0314125E-2</v>
      </c>
      <c r="P394" s="113" cm="1">
        <f t="array" ref="P394">IF(COUNTIF('Raw Annual DMR Data'!$L:$L,$F394)&gt;0,INDEX('Raw Annual DMR Data'!$B:$B,MATCH(1,($F394='Raw Annual DMR Data'!$L:$L)*($N394='Raw Annual DMR Data'!$S:$S),0)), "N/A - Facility Does Not Report DMRs")</f>
        <v>2019</v>
      </c>
      <c r="Q394" s="304" t="str" cm="1">
        <f t="array" ref="Q394">IF(COUNTIF('Raw TRI Data'!$J:$J,$E394)&gt;0,MEDIAN(IF('Raw TRI Data'!$J:$J=E394,'Raw TRI Data'!$S:$S)), "N/A - Facility Does Not Report to TRI")</f>
        <v>N/A - Facility Does Not Report to TRI</v>
      </c>
      <c r="R394" s="156" t="str">
        <f t="shared" si="36"/>
        <v>N/A - Facility Does Not Report to TRI</v>
      </c>
      <c r="S394" s="156" t="str">
        <f>IF(COUNTIF('Raw TRI Data'!$J:$J,$E394)&gt;0,_xlfn.MAXIFS('Raw TRI Data'!$S:$S,'Raw TRI Data'!$J:$J,$E394), "N/A - Facility Does Not Report to TRI")</f>
        <v>N/A - Facility Does Not Report to TRI</v>
      </c>
      <c r="T394" s="156" t="str">
        <f t="shared" si="37"/>
        <v>N/A - Facility Does Not Report to TRI</v>
      </c>
      <c r="U394" s="136" t="str" cm="1">
        <f t="array" ref="U394">IF(COUNTIF('Raw TRI Data'!$J:$J,$E394)&gt;0,INDEX('Raw TRI Data'!$A:$A,MATCH(1,($E394='Raw TRI Data'!$J:$J)*(S394='Raw TRI Data'!$S:$S),0)), "N/A - Facility Does Not Report to TRI")</f>
        <v>N/A - Facility Does Not Report to TRI</v>
      </c>
      <c r="V394" s="156" t="str" cm="1">
        <f t="array" ref="V394">IF(COUNTIFS('Raw Annual DMR Data'!$L:$L,$F394,'Raw Annual DMR Data'!$U:$U,"&gt;0")&gt;0,MEDIAN(IF('Raw Annual DMR Data'!$L:$L=$F394,'Raw Annual DMR Data'!$U:$U,"")),"N/A - Period DMR Data Not Available")</f>
        <v>N/A - Period DMR Data Not Available</v>
      </c>
      <c r="W394" s="156" t="str">
        <f>IF(COUNTIFS('Raw Annual DMR Data'!$L:$L,$F394, 'Raw Annual DMR Data'!$U:$U, "&gt;0")&gt;0,_xlfn.MAXIFS('Raw Annual DMR Data'!$U:$U,'Raw Annual DMR Data'!$L:$L,$F394), "N/A - Period DMR Data Not Available")</f>
        <v>N/A - Period DMR Data Not Available</v>
      </c>
      <c r="X394" s="113" t="str" cm="1">
        <f t="array" ref="X394">+IF(COUNTIFS('Raw Annual DMR Data'!L:L,$F394, 'Raw Annual DMR Data'!U:U, "&gt;0")&gt;0,INDEX('Raw Annual DMR Data'!V:V,MATCH(1,($F394='Raw Annual DMR Data'!L:L)*($W394='Raw Annual DMR Data'!U:U),0)), "N/A - Period DMR Data Not Available")</f>
        <v>N/A - Period DMR Data Not Available</v>
      </c>
      <c r="Y394" s="113" t="str" cm="1">
        <f t="array" ref="Y394">IF(COUNTIFS('Raw Annual DMR Data'!L:L,$F394, 'Raw Annual DMR Data'!U:U, "&gt;0")&gt;0,INDEX('Raw Annual DMR Data'!B:B,MATCH(1,($F394='Raw Annual DMR Data'!L:L)*($W394='Raw Annual DMR Data'!U:U),0)), "N/A - Period DMR Data Not Available")</f>
        <v>N/A - Period DMR Data Not Available</v>
      </c>
      <c r="Z394" s="311" t="str" cm="1">
        <f t="array" ref="Z394">IF(COUNTIF('Raw Annual DMR Data'!K:K,$E394)&gt;0,"N/A - See DMRs",IF(SUMIFS('Raw TRI Data'!$Z:$Z,'Raw TRI Data'!$J:$J,$E394)&gt;0,MEDIAN(IF('Raw TRI Data'!$J:$J=$E394,'Raw TRI Data'!$Z:$Z)), "N/A - Facility Does Not Report to TRI, no surface water releases, or no Generic Factors available"))</f>
        <v>N/A - Facility Does Not Report to TRI, no surface water releases, or no Generic Factors available</v>
      </c>
      <c r="AA394" s="156" t="str">
        <f>IF(COUNTIF('Raw Annual DMR Data'!K:K,$E394)&gt;0,"N/A - See DMRs",IF(SUMIFS('Raw TRI Data'!$Z:$Z,'Raw TRI Data'!$J:$J,$E394)&gt;0,_xlfn.MAXIFS('Raw TRI Data'!$Z:$Z,'Raw TRI Data'!$J:$J,$E394), "N/A - Facility Does Not Report to TRI, no surface water releases, or no Generic Factors available"))</f>
        <v>N/A - Facility Does Not Report to TRI, no surface water releases, or no Generic Factors available</v>
      </c>
      <c r="AB394" s="113" t="str">
        <f t="shared" si="40"/>
        <v>N/A</v>
      </c>
      <c r="AC394" s="136" t="str" cm="1">
        <f t="array" ref="AC394">IF(COUNTIF('Raw Annual DMR Data'!K:K,$E394)&gt;0,"N/A - See DMRs",IF(SUMIFS('Raw TRI Data'!$Z:$Z,'Raw TRI Data'!$J:$J,$E394)&gt;0,INDEX('Raw TRI Data'!$A:$A,MATCH(1,($E394='Raw TRI Data'!$J:$J)*($AA394='Raw TRI Data'!$Z:$Z),0)), "N/A - Facility Does Not Report to TRI, no surface water releases, or no Generic Factors available"))</f>
        <v>N/A - Facility Does Not Report to TRI, no surface water releases, or no Generic Factors available</v>
      </c>
      <c r="AD394" s="96" t="str" cm="1">
        <f t="array" ref="AD394">IF(COUNTIFS('Raw Annual DMR Data'!L:L,$F394,'Raw Annual DMR Data'!W:W, "&gt;0")&gt;0,MEDIAN(IF('Raw Annual DMR Data'!K:K=$F394, 'Raw Annual DMR Data'!W:W)), "N/A - No Daily Max DMR Discharge Data")</f>
        <v>N/A - No Daily Max DMR Discharge Data</v>
      </c>
      <c r="AE394" s="96" t="str">
        <f>IF(COUNTIFS('Raw Annual DMR Data'!L:L,$F394,'Raw Annual DMR Data'!W:W, "&gt;0")&gt;0,_xlfn.MAXIFS('Raw Annual DMR Data'!W:W,'Raw Annual DMR Data'!L:L,$F394), "N/A - No Daily Max DMR Discharge Data")</f>
        <v>N/A - No Daily Max DMR Discharge Data</v>
      </c>
      <c r="AF394" s="60" t="str" cm="1">
        <f t="array" ref="AF394">IF(COUNTIFS('Raw Annual DMR Data'!L:L,$F394,'Raw Annual DMR Data'!W:W, "&gt;0")&gt;0,INDEX('Raw Annual DMR Data'!B:B,MATCH(1,($F394='Raw Annual DMR Data'!L:L)*($AE394='Raw Annual DMR Data'!W:W),0)), "N/A - No Daily Max DMR Discharge Data")</f>
        <v>N/A - No Daily Max DMR Discharge Data</v>
      </c>
    </row>
    <row r="395" spans="1:32" ht="45.75" thickBot="1" x14ac:dyDescent="0.3">
      <c r="A395" s="144" t="str">
        <f>VLOOKUP(F395,'Facility Summary'!J:K,2,FALSE)</f>
        <v>Unknown</v>
      </c>
      <c r="B395" s="28" t="s">
        <v>1428</v>
      </c>
      <c r="C395" s="28" t="s">
        <v>337</v>
      </c>
      <c r="D395" s="28" t="s">
        <v>338</v>
      </c>
      <c r="E395" s="28"/>
      <c r="F395" s="61">
        <v>110010354810</v>
      </c>
      <c r="G395" s="60" t="str">
        <f>VLOOKUP($F395, 'Raw Annual DMR Data'!$A:$Z, 24, FALSE)</f>
        <v>NJ0171905</v>
      </c>
      <c r="H395" s="60" t="str">
        <f>VLOOKUP($F395, 'Raw Annual DMR Data'!$A:$Z, 25, FALSE)</f>
        <v>DELAWARE RIVER</v>
      </c>
      <c r="I395" s="74">
        <f>VLOOKUP($F395, 'Raw Annual DMR Data'!$A:$Z, 26, FALSE)</f>
        <v>2040202001766</v>
      </c>
      <c r="J395" s="74" t="s">
        <v>265</v>
      </c>
      <c r="K395" s="60">
        <f>VLOOKUP(A395, 'OES Summary'!$A:$B, 2, FALSE)</f>
        <v>250</v>
      </c>
      <c r="L395" s="304" cm="1">
        <f t="array" ref="L395">IF(COUNTIF('Raw Annual DMR Data'!$L:$L,$F395)&gt;0,MEDIAN(IF('Raw Annual DMR Data'!$L:$L=F395,'Raw Annual DMR Data'!$S:$S)),"N/A - Facility Does Not Report DMRs")</f>
        <v>7.0589000950000008E-2</v>
      </c>
      <c r="M395" s="156">
        <f t="shared" si="38"/>
        <v>2.8235600380000002E-4</v>
      </c>
      <c r="N395" s="156">
        <f>IF(COUNTIF('Raw Annual DMR Data'!$L:$L,$F395)&gt;0,_xlfn.MAXIFS('Raw Annual DMR Data'!$S:$S,'Raw Annual DMR Data'!$L:$L,$F395), "N/A - Facility Does Not Report DMRs")</f>
        <v>0.39142956000000001</v>
      </c>
      <c r="O395" s="156">
        <f t="shared" si="39"/>
        <v>1.5657182400000001E-3</v>
      </c>
      <c r="P395" s="113" cm="1">
        <f t="array" ref="P395">IF(COUNTIF('Raw Annual DMR Data'!$L:$L,$F395)&gt;0,INDEX('Raw Annual DMR Data'!$B:$B,MATCH(1,($F395='Raw Annual DMR Data'!$L:$L)*($N395='Raw Annual DMR Data'!$S:$S),0)), "N/A - Facility Does Not Report DMRs")</f>
        <v>2015</v>
      </c>
      <c r="Q395" s="304" t="str" cm="1">
        <f t="array" ref="Q395">IF(COUNTIF('Raw TRI Data'!$J:$J,$E395)&gt;0,MEDIAN(IF('Raw TRI Data'!$J:$J=E395,'Raw TRI Data'!$S:$S)), "N/A - Facility Does Not Report to TRI")</f>
        <v>N/A - Facility Does Not Report to TRI</v>
      </c>
      <c r="R395" s="156" t="str">
        <f t="shared" si="36"/>
        <v>N/A - Facility Does Not Report to TRI</v>
      </c>
      <c r="S395" s="156" t="str">
        <f>IF(COUNTIF('Raw TRI Data'!$J:$J,$E395)&gt;0,_xlfn.MAXIFS('Raw TRI Data'!$S:$S,'Raw TRI Data'!$J:$J,$E395), "N/A - Facility Does Not Report to TRI")</f>
        <v>N/A - Facility Does Not Report to TRI</v>
      </c>
      <c r="T395" s="156" t="str">
        <f t="shared" si="37"/>
        <v>N/A - Facility Does Not Report to TRI</v>
      </c>
      <c r="U395" s="136" t="str" cm="1">
        <f t="array" ref="U395">IF(COUNTIF('Raw TRI Data'!$J:$J,$E395)&gt;0,INDEX('Raw TRI Data'!$A:$A,MATCH(1,($E395='Raw TRI Data'!$J:$J)*(S395='Raw TRI Data'!$S:$S),0)), "N/A - Facility Does Not Report to TRI")</f>
        <v>N/A - Facility Does Not Report to TRI</v>
      </c>
      <c r="V395" s="156" t="str" cm="1">
        <f t="array" ref="V395">IF(COUNTIFS('Raw Annual DMR Data'!$L:$L,$F395,'Raw Annual DMR Data'!$U:$U,"&gt;0")&gt;0,MEDIAN(IF('Raw Annual DMR Data'!$L:$L=$F395,'Raw Annual DMR Data'!$U:$U,"")),"N/A - Period DMR Data Not Available")</f>
        <v>N/A - Period DMR Data Not Available</v>
      </c>
      <c r="W395" s="156" t="str">
        <f>IF(COUNTIFS('Raw Annual DMR Data'!$L:$L,$F395, 'Raw Annual DMR Data'!$U:$U, "&gt;0")&gt;0,_xlfn.MAXIFS('Raw Annual DMR Data'!$U:$U,'Raw Annual DMR Data'!$L:$L,$F395), "N/A - Period DMR Data Not Available")</f>
        <v>N/A - Period DMR Data Not Available</v>
      </c>
      <c r="X395" s="113" t="str" cm="1">
        <f t="array" ref="X395">+IF(COUNTIFS('Raw Annual DMR Data'!L:L,$F395, 'Raw Annual DMR Data'!U:U, "&gt;0")&gt;0,INDEX('Raw Annual DMR Data'!V:V,MATCH(1,($F395='Raw Annual DMR Data'!L:L)*($W395='Raw Annual DMR Data'!U:U),0)), "N/A - Period DMR Data Not Available")</f>
        <v>N/A - Period DMR Data Not Available</v>
      </c>
      <c r="Y395" s="113" t="str" cm="1">
        <f t="array" ref="Y395">IF(COUNTIFS('Raw Annual DMR Data'!L:L,$F395, 'Raw Annual DMR Data'!U:U, "&gt;0")&gt;0,INDEX('Raw Annual DMR Data'!B:B,MATCH(1,($F395='Raw Annual DMR Data'!L:L)*($W395='Raw Annual DMR Data'!U:U),0)), "N/A - Period DMR Data Not Available")</f>
        <v>N/A - Period DMR Data Not Available</v>
      </c>
      <c r="Z395" s="311" t="str" cm="1">
        <f t="array" ref="Z395">IF(COUNTIF('Raw Annual DMR Data'!K:K,$E395)&gt;0,"N/A - See DMRs",IF(SUMIFS('Raw TRI Data'!$Z:$Z,'Raw TRI Data'!$J:$J,$E395)&gt;0,MEDIAN(IF('Raw TRI Data'!$J:$J=$E395,'Raw TRI Data'!$Z:$Z)), "N/A - Facility Does Not Report to TRI, no surface water releases, or no Generic Factors available"))</f>
        <v>N/A - Facility Does Not Report to TRI, no surface water releases, or no Generic Factors available</v>
      </c>
      <c r="AA395" s="156" t="str">
        <f>IF(COUNTIF('Raw Annual DMR Data'!K:K,$E395)&gt;0,"N/A - See DMRs",IF(SUMIFS('Raw TRI Data'!$Z:$Z,'Raw TRI Data'!$J:$J,$E395)&gt;0,_xlfn.MAXIFS('Raw TRI Data'!$Z:$Z,'Raw TRI Data'!$J:$J,$E395), "N/A - Facility Does Not Report to TRI, no surface water releases, or no Generic Factors available"))</f>
        <v>N/A - Facility Does Not Report to TRI, no surface water releases, or no Generic Factors available</v>
      </c>
      <c r="AB395" s="113" t="str">
        <f t="shared" si="40"/>
        <v>N/A</v>
      </c>
      <c r="AC395" s="136" t="str" cm="1">
        <f t="array" ref="AC395">IF(COUNTIF('Raw Annual DMR Data'!K:K,$E395)&gt;0,"N/A - See DMRs",IF(SUMIFS('Raw TRI Data'!$Z:$Z,'Raw TRI Data'!$J:$J,$E395)&gt;0,INDEX('Raw TRI Data'!$A:$A,MATCH(1,($E395='Raw TRI Data'!$J:$J)*($AA395='Raw TRI Data'!$Z:$Z),0)), "N/A - Facility Does Not Report to TRI, no surface water releases, or no Generic Factors available"))</f>
        <v>N/A - Facility Does Not Report to TRI, no surface water releases, or no Generic Factors available</v>
      </c>
      <c r="AD395" s="96" t="str" cm="1">
        <f t="array" ref="AD395">IF(COUNTIFS('Raw Annual DMR Data'!L:L,$F395,'Raw Annual DMR Data'!W:W, "&gt;0")&gt;0,MEDIAN(IF('Raw Annual DMR Data'!K:K=$F395, 'Raw Annual DMR Data'!W:W)), "N/A - No Daily Max DMR Discharge Data")</f>
        <v>N/A - No Daily Max DMR Discharge Data</v>
      </c>
      <c r="AE395" s="96" t="str">
        <f>IF(COUNTIFS('Raw Annual DMR Data'!L:L,$F395,'Raw Annual DMR Data'!W:W, "&gt;0")&gt;0,_xlfn.MAXIFS('Raw Annual DMR Data'!W:W,'Raw Annual DMR Data'!L:L,$F395), "N/A - No Daily Max DMR Discharge Data")</f>
        <v>N/A - No Daily Max DMR Discharge Data</v>
      </c>
      <c r="AF395" s="60" t="str" cm="1">
        <f t="array" ref="AF395">IF(COUNTIFS('Raw Annual DMR Data'!L:L,$F395,'Raw Annual DMR Data'!W:W, "&gt;0")&gt;0,INDEX('Raw Annual DMR Data'!B:B,MATCH(1,($F395='Raw Annual DMR Data'!L:L)*($AE395='Raw Annual DMR Data'!W:W),0)), "N/A - No Daily Max DMR Discharge Data")</f>
        <v>N/A - No Daily Max DMR Discharge Data</v>
      </c>
    </row>
    <row r="396" spans="1:32" ht="45.75" thickBot="1" x14ac:dyDescent="0.3">
      <c r="A396" s="144" t="str">
        <f>VLOOKUP(F396,'Facility Summary'!J:K,2,FALSE)</f>
        <v>POTW</v>
      </c>
      <c r="B396" s="28" t="s">
        <v>1429</v>
      </c>
      <c r="C396" s="28" t="s">
        <v>1430</v>
      </c>
      <c r="D396" s="28" t="s">
        <v>324</v>
      </c>
      <c r="E396" s="28"/>
      <c r="F396" s="61">
        <v>110055043705</v>
      </c>
      <c r="G396" s="60" t="str">
        <f>VLOOKUP($F396, 'Raw Annual DMR Data'!$A:$Z, 24, FALSE)</f>
        <v>KY0107239</v>
      </c>
      <c r="H396" s="60" t="str">
        <f>VLOOKUP($F396, 'Raw Annual DMR Data'!$A:$Z, 25, FALSE)</f>
        <v>OHIO RIVER</v>
      </c>
      <c r="I396" s="74" t="str">
        <f>VLOOKUP($F396, 'Raw Annual DMR Data'!$A:$Z, 26, FALSE)</f>
        <v>05090203000041</v>
      </c>
      <c r="J396" s="74" t="s">
        <v>265</v>
      </c>
      <c r="K396" s="60">
        <f>VLOOKUP(A396, 'OES Summary'!$A:$B, 2, FALSE)</f>
        <v>365</v>
      </c>
      <c r="L396" s="304" cm="1">
        <f t="array" ref="L396">IF(COUNTIF('Raw Annual DMR Data'!$L:$L,$F396)&gt;0,MEDIAN(IF('Raw Annual DMR Data'!$L:$L=F396,'Raw Annual DMR Data'!$S:$S)),"N/A - Facility Does Not Report DMRs")</f>
        <v>17.720945512250001</v>
      </c>
      <c r="M396" s="156">
        <f t="shared" si="38"/>
        <v>4.8550535650000004E-2</v>
      </c>
      <c r="N396" s="156">
        <f>IF(COUNTIF('Raw Annual DMR Data'!$L:$L,$F396)&gt;0,_xlfn.MAXIFS('Raw Annual DMR Data'!$S:$S,'Raw Annual DMR Data'!$L:$L,$F396), "N/A - Facility Does Not Report DMRs")</f>
        <v>35.436116249999998</v>
      </c>
      <c r="O396" s="156">
        <f t="shared" si="39"/>
        <v>9.7085249999999998E-2</v>
      </c>
      <c r="P396" s="113" cm="1">
        <f t="array" ref="P396">IF(COUNTIF('Raw Annual DMR Data'!$L:$L,$F396)&gt;0,INDEX('Raw Annual DMR Data'!$B:$B,MATCH(1,($F396='Raw Annual DMR Data'!$L:$L)*($N396='Raw Annual DMR Data'!$S:$S),0)), "N/A - Facility Does Not Report DMRs")</f>
        <v>2018</v>
      </c>
      <c r="Q396" s="304" t="str" cm="1">
        <f t="array" ref="Q396">IF(COUNTIF('Raw TRI Data'!$J:$J,$E396)&gt;0,MEDIAN(IF('Raw TRI Data'!$J:$J=E396,'Raw TRI Data'!$S:$S)), "N/A - Facility Does Not Report to TRI")</f>
        <v>N/A - Facility Does Not Report to TRI</v>
      </c>
      <c r="R396" s="156" t="str">
        <f t="shared" si="36"/>
        <v>N/A - Facility Does Not Report to TRI</v>
      </c>
      <c r="S396" s="156" t="str">
        <f>IF(COUNTIF('Raw TRI Data'!$J:$J,$E396)&gt;0,_xlfn.MAXIFS('Raw TRI Data'!$S:$S,'Raw TRI Data'!$J:$J,$E396), "N/A - Facility Does Not Report to TRI")</f>
        <v>N/A - Facility Does Not Report to TRI</v>
      </c>
      <c r="T396" s="156" t="str">
        <f t="shared" si="37"/>
        <v>N/A - Facility Does Not Report to TRI</v>
      </c>
      <c r="U396" s="136" t="str" cm="1">
        <f t="array" ref="U396">IF(COUNTIF('Raw TRI Data'!$J:$J,$E396)&gt;0,INDEX('Raw TRI Data'!$A:$A,MATCH(1,($E396='Raw TRI Data'!$J:$J)*(S396='Raw TRI Data'!$S:$S),0)), "N/A - Facility Does Not Report to TRI")</f>
        <v>N/A - Facility Does Not Report to TRI</v>
      </c>
      <c r="V396" s="156" t="str" cm="1">
        <f t="array" ref="V396">IF(COUNTIFS('Raw Annual DMR Data'!$L:$L,$F396,'Raw Annual DMR Data'!$U:$U,"&gt;0")&gt;0,MEDIAN(IF('Raw Annual DMR Data'!$L:$L=$F396,'Raw Annual DMR Data'!$U:$U,"")),"N/A - Period DMR Data Not Available")</f>
        <v>N/A - Period DMR Data Not Available</v>
      </c>
      <c r="W396" s="156" t="str">
        <f>IF(COUNTIFS('Raw Annual DMR Data'!$L:$L,$F396, 'Raw Annual DMR Data'!$U:$U, "&gt;0")&gt;0,_xlfn.MAXIFS('Raw Annual DMR Data'!$U:$U,'Raw Annual DMR Data'!$L:$L,$F396), "N/A - Period DMR Data Not Available")</f>
        <v>N/A - Period DMR Data Not Available</v>
      </c>
      <c r="X396" s="113" t="str" cm="1">
        <f t="array" ref="X396">+IF(COUNTIFS('Raw Annual DMR Data'!L:L,$F396, 'Raw Annual DMR Data'!U:U, "&gt;0")&gt;0,INDEX('Raw Annual DMR Data'!V:V,MATCH(1,($F396='Raw Annual DMR Data'!L:L)*($W396='Raw Annual DMR Data'!U:U),0)), "N/A - Period DMR Data Not Available")</f>
        <v>N/A - Period DMR Data Not Available</v>
      </c>
      <c r="Y396" s="113" t="str" cm="1">
        <f t="array" ref="Y396">IF(COUNTIFS('Raw Annual DMR Data'!L:L,$F396, 'Raw Annual DMR Data'!U:U, "&gt;0")&gt;0,INDEX('Raw Annual DMR Data'!B:B,MATCH(1,($F396='Raw Annual DMR Data'!L:L)*($W396='Raw Annual DMR Data'!U:U),0)), "N/A - Period DMR Data Not Available")</f>
        <v>N/A - Period DMR Data Not Available</v>
      </c>
      <c r="Z396" s="311" t="str" cm="1">
        <f t="array" ref="Z396">IF(COUNTIF('Raw Annual DMR Data'!K:K,$E396)&gt;0,"N/A - See DMRs",IF(SUMIFS('Raw TRI Data'!$Z:$Z,'Raw TRI Data'!$J:$J,$E396)&gt;0,MEDIAN(IF('Raw TRI Data'!$J:$J=$E396,'Raw TRI Data'!$Z:$Z)), "N/A - Facility Does Not Report to TRI, no surface water releases, or no Generic Factors available"))</f>
        <v>N/A - Facility Does Not Report to TRI, no surface water releases, or no Generic Factors available</v>
      </c>
      <c r="AA396" s="156" t="str">
        <f>IF(COUNTIF('Raw Annual DMR Data'!K:K,$E396)&gt;0,"N/A - See DMRs",IF(SUMIFS('Raw TRI Data'!$Z:$Z,'Raw TRI Data'!$J:$J,$E396)&gt;0,_xlfn.MAXIFS('Raw TRI Data'!$Z:$Z,'Raw TRI Data'!$J:$J,$E396), "N/A - Facility Does Not Report to TRI, no surface water releases, or no Generic Factors available"))</f>
        <v>N/A - Facility Does Not Report to TRI, no surface water releases, or no Generic Factors available</v>
      </c>
      <c r="AB396" s="113" t="str">
        <f t="shared" si="40"/>
        <v>N/A</v>
      </c>
      <c r="AC396" s="136" t="str" cm="1">
        <f t="array" ref="AC396">IF(COUNTIF('Raw Annual DMR Data'!K:K,$E396)&gt;0,"N/A - See DMRs",IF(SUMIFS('Raw TRI Data'!$Z:$Z,'Raw TRI Data'!$J:$J,$E396)&gt;0,INDEX('Raw TRI Data'!$A:$A,MATCH(1,($E396='Raw TRI Data'!$J:$J)*($AA396='Raw TRI Data'!$Z:$Z),0)), "N/A - Facility Does Not Report to TRI, no surface water releases, or no Generic Factors available"))</f>
        <v>N/A - Facility Does Not Report to TRI, no surface water releases, or no Generic Factors available</v>
      </c>
      <c r="AD396" s="96" t="str" cm="1">
        <f t="array" ref="AD396">IF(COUNTIFS('Raw Annual DMR Data'!L:L,$F396,'Raw Annual DMR Data'!W:W, "&gt;0")&gt;0,MEDIAN(IF('Raw Annual DMR Data'!K:K=$F396, 'Raw Annual DMR Data'!W:W)), "N/A - No Daily Max DMR Discharge Data")</f>
        <v>N/A - No Daily Max DMR Discharge Data</v>
      </c>
      <c r="AE396" s="96" t="str">
        <f>IF(COUNTIFS('Raw Annual DMR Data'!L:L,$F396,'Raw Annual DMR Data'!W:W, "&gt;0")&gt;0,_xlfn.MAXIFS('Raw Annual DMR Data'!W:W,'Raw Annual DMR Data'!L:L,$F396), "N/A - No Daily Max DMR Discharge Data")</f>
        <v>N/A - No Daily Max DMR Discharge Data</v>
      </c>
      <c r="AF396" s="60" t="str" cm="1">
        <f t="array" ref="AF396">IF(COUNTIFS('Raw Annual DMR Data'!L:L,$F396,'Raw Annual DMR Data'!W:W, "&gt;0")&gt;0,INDEX('Raw Annual DMR Data'!B:B,MATCH(1,($F396='Raw Annual DMR Data'!L:L)*($AE396='Raw Annual DMR Data'!W:W),0)), "N/A - No Daily Max DMR Discharge Data")</f>
        <v>N/A - No Daily Max DMR Discharge Data</v>
      </c>
    </row>
    <row r="397" spans="1:32" ht="45.75" thickBot="1" x14ac:dyDescent="0.3">
      <c r="A397" s="144" t="str">
        <f>VLOOKUP(F397,'Facility Summary'!J:K,2,FALSE)</f>
        <v>POTW</v>
      </c>
      <c r="B397" s="28" t="s">
        <v>1431</v>
      </c>
      <c r="C397" s="28" t="s">
        <v>1314</v>
      </c>
      <c r="D397" s="28" t="s">
        <v>374</v>
      </c>
      <c r="E397" s="28"/>
      <c r="F397" s="61">
        <v>110043316612</v>
      </c>
      <c r="G397" s="60" t="str">
        <f>VLOOKUP($F397, 'Raw Annual DMR Data'!$A:$Z, 24, FALSE)</f>
        <v>AZ0020427</v>
      </c>
      <c r="H397" s="60">
        <f>VLOOKUP($F397, 'Raw Annual DMR Data'!$A:$Z, 25, FALSE)</f>
        <v>0</v>
      </c>
      <c r="I397" s="74">
        <f>VLOOKUP($F397, 'Raw Annual DMR Data'!$A:$Z, 26, FALSE)</f>
        <v>15050301001323</v>
      </c>
      <c r="J397" s="74" t="s">
        <v>265</v>
      </c>
      <c r="K397" s="60">
        <f>VLOOKUP(A397, 'OES Summary'!$A:$B, 2, FALSE)</f>
        <v>365</v>
      </c>
      <c r="L397" s="304" cm="1">
        <f t="array" ref="L397">IF(COUNTIF('Raw Annual DMR Data'!$L:$L,$F397)&gt;0,MEDIAN(IF('Raw Annual DMR Data'!$L:$L=F397,'Raw Annual DMR Data'!$S:$S)),"N/A - Facility Does Not Report DMRs")</f>
        <v>0.63474166124999998</v>
      </c>
      <c r="M397" s="156">
        <f t="shared" si="38"/>
        <v>1.73901825E-3</v>
      </c>
      <c r="N397" s="156">
        <f>IF(COUNTIF('Raw Annual DMR Data'!$L:$L,$F397)&gt;0,_xlfn.MAXIFS('Raw Annual DMR Data'!$S:$S,'Raw Annual DMR Data'!$L:$L,$F397), "N/A - Facility Does Not Report DMRs")</f>
        <v>0.73524760499999997</v>
      </c>
      <c r="O397" s="156">
        <f t="shared" si="39"/>
        <v>2.0143769999999999E-3</v>
      </c>
      <c r="P397" s="113" cm="1">
        <f t="array" ref="P397">IF(COUNTIF('Raw Annual DMR Data'!$L:$L,$F397)&gt;0,INDEX('Raw Annual DMR Data'!$B:$B,MATCH(1,($F397='Raw Annual DMR Data'!$L:$L)*($N397='Raw Annual DMR Data'!$S:$S),0)), "N/A - Facility Does Not Report DMRs")</f>
        <v>2016</v>
      </c>
      <c r="Q397" s="304" t="str" cm="1">
        <f t="array" ref="Q397">IF(COUNTIF('Raw TRI Data'!$J:$J,$E397)&gt;0,MEDIAN(IF('Raw TRI Data'!$J:$J=E397,'Raw TRI Data'!$S:$S)), "N/A - Facility Does Not Report to TRI")</f>
        <v>N/A - Facility Does Not Report to TRI</v>
      </c>
      <c r="R397" s="156" t="str">
        <f t="shared" si="36"/>
        <v>N/A - Facility Does Not Report to TRI</v>
      </c>
      <c r="S397" s="156" t="str">
        <f>IF(COUNTIF('Raw TRI Data'!$J:$J,$E397)&gt;0,_xlfn.MAXIFS('Raw TRI Data'!$S:$S,'Raw TRI Data'!$J:$J,$E397), "N/A - Facility Does Not Report to TRI")</f>
        <v>N/A - Facility Does Not Report to TRI</v>
      </c>
      <c r="T397" s="156" t="str">
        <f t="shared" si="37"/>
        <v>N/A - Facility Does Not Report to TRI</v>
      </c>
      <c r="U397" s="136" t="str" cm="1">
        <f t="array" ref="U397">IF(COUNTIF('Raw TRI Data'!$J:$J,$E397)&gt;0,INDEX('Raw TRI Data'!$A:$A,MATCH(1,($E397='Raw TRI Data'!$J:$J)*(S397='Raw TRI Data'!$S:$S),0)), "N/A - Facility Does Not Report to TRI")</f>
        <v>N/A - Facility Does Not Report to TRI</v>
      </c>
      <c r="V397" s="156" t="str" cm="1">
        <f t="array" ref="V397">IF(COUNTIFS('Raw Annual DMR Data'!$L:$L,$F397,'Raw Annual DMR Data'!$U:$U,"&gt;0")&gt;0,MEDIAN(IF('Raw Annual DMR Data'!$L:$L=$F397,'Raw Annual DMR Data'!$U:$U,"")),"N/A - Period DMR Data Not Available")</f>
        <v>N/A - Period DMR Data Not Available</v>
      </c>
      <c r="W397" s="156" t="str">
        <f>IF(COUNTIFS('Raw Annual DMR Data'!$L:$L,$F397, 'Raw Annual DMR Data'!$U:$U, "&gt;0")&gt;0,_xlfn.MAXIFS('Raw Annual DMR Data'!$U:$U,'Raw Annual DMR Data'!$L:$L,$F397), "N/A - Period DMR Data Not Available")</f>
        <v>N/A - Period DMR Data Not Available</v>
      </c>
      <c r="X397" s="113" t="str" cm="1">
        <f t="array" ref="X397">+IF(COUNTIFS('Raw Annual DMR Data'!L:L,$F397, 'Raw Annual DMR Data'!U:U, "&gt;0")&gt;0,INDEX('Raw Annual DMR Data'!V:V,MATCH(1,($F397='Raw Annual DMR Data'!L:L)*($W397='Raw Annual DMR Data'!U:U),0)), "N/A - Period DMR Data Not Available")</f>
        <v>N/A - Period DMR Data Not Available</v>
      </c>
      <c r="Y397" s="113" t="str" cm="1">
        <f t="array" ref="Y397">IF(COUNTIFS('Raw Annual DMR Data'!L:L,$F397, 'Raw Annual DMR Data'!U:U, "&gt;0")&gt;0,INDEX('Raw Annual DMR Data'!B:B,MATCH(1,($F397='Raw Annual DMR Data'!L:L)*($W397='Raw Annual DMR Data'!U:U),0)), "N/A - Period DMR Data Not Available")</f>
        <v>N/A - Period DMR Data Not Available</v>
      </c>
      <c r="Z397" s="311" t="str" cm="1">
        <f t="array" ref="Z397">IF(COUNTIF('Raw Annual DMR Data'!K:K,$E397)&gt;0,"N/A - See DMRs",IF(SUMIFS('Raw TRI Data'!$Z:$Z,'Raw TRI Data'!$J:$J,$E397)&gt;0,MEDIAN(IF('Raw TRI Data'!$J:$J=$E397,'Raw TRI Data'!$Z:$Z)), "N/A - Facility Does Not Report to TRI, no surface water releases, or no Generic Factors available"))</f>
        <v>N/A - Facility Does Not Report to TRI, no surface water releases, or no Generic Factors available</v>
      </c>
      <c r="AA397" s="156" t="str">
        <f>IF(COUNTIF('Raw Annual DMR Data'!K:K,$E397)&gt;0,"N/A - See DMRs",IF(SUMIFS('Raw TRI Data'!$Z:$Z,'Raw TRI Data'!$J:$J,$E397)&gt;0,_xlfn.MAXIFS('Raw TRI Data'!$Z:$Z,'Raw TRI Data'!$J:$J,$E397), "N/A - Facility Does Not Report to TRI, no surface water releases, or no Generic Factors available"))</f>
        <v>N/A - Facility Does Not Report to TRI, no surface water releases, or no Generic Factors available</v>
      </c>
      <c r="AB397" s="113" t="str">
        <f t="shared" si="40"/>
        <v>N/A</v>
      </c>
      <c r="AC397" s="136" t="str" cm="1">
        <f t="array" ref="AC397">IF(COUNTIF('Raw Annual DMR Data'!K:K,$E397)&gt;0,"N/A - See DMRs",IF(SUMIFS('Raw TRI Data'!$Z:$Z,'Raw TRI Data'!$J:$J,$E397)&gt;0,INDEX('Raw TRI Data'!$A:$A,MATCH(1,($E397='Raw TRI Data'!$J:$J)*($AA397='Raw TRI Data'!$Z:$Z),0)), "N/A - Facility Does Not Report to TRI, no surface water releases, or no Generic Factors available"))</f>
        <v>N/A - Facility Does Not Report to TRI, no surface water releases, or no Generic Factors available</v>
      </c>
      <c r="AD397" s="96" t="str" cm="1">
        <f t="array" ref="AD397">IF(COUNTIFS('Raw Annual DMR Data'!L:L,$F397,'Raw Annual DMR Data'!W:W, "&gt;0")&gt;0,MEDIAN(IF('Raw Annual DMR Data'!K:K=$F397, 'Raw Annual DMR Data'!W:W)), "N/A - No Daily Max DMR Discharge Data")</f>
        <v>N/A - No Daily Max DMR Discharge Data</v>
      </c>
      <c r="AE397" s="96" t="str">
        <f>IF(COUNTIFS('Raw Annual DMR Data'!L:L,$F397,'Raw Annual DMR Data'!W:W, "&gt;0")&gt;0,_xlfn.MAXIFS('Raw Annual DMR Data'!W:W,'Raw Annual DMR Data'!L:L,$F397), "N/A - No Daily Max DMR Discharge Data")</f>
        <v>N/A - No Daily Max DMR Discharge Data</v>
      </c>
      <c r="AF397" s="60" t="str" cm="1">
        <f t="array" ref="AF397">IF(COUNTIFS('Raw Annual DMR Data'!L:L,$F397,'Raw Annual DMR Data'!W:W, "&gt;0")&gt;0,INDEX('Raw Annual DMR Data'!B:B,MATCH(1,($F397='Raw Annual DMR Data'!L:L)*($AE397='Raw Annual DMR Data'!W:W),0)), "N/A - No Daily Max DMR Discharge Data")</f>
        <v>N/A - No Daily Max DMR Discharge Data</v>
      </c>
    </row>
    <row r="398" spans="1:32" ht="45.75" thickBot="1" x14ac:dyDescent="0.3">
      <c r="A398" s="144" t="str">
        <f>VLOOKUP(F398,'Facility Summary'!J:K,2,FALSE)</f>
        <v>POTW</v>
      </c>
      <c r="B398" s="28" t="s">
        <v>1432</v>
      </c>
      <c r="C398" s="28" t="s">
        <v>1433</v>
      </c>
      <c r="D398" s="28" t="s">
        <v>324</v>
      </c>
      <c r="E398" s="28"/>
      <c r="F398" s="61">
        <v>110006751737</v>
      </c>
      <c r="G398" s="60" t="str">
        <f>VLOOKUP($F398, 'Raw Annual DMR Data'!$A:$Z, 24, FALSE)</f>
        <v>KY0028347</v>
      </c>
      <c r="H398" s="60" t="str">
        <f>VLOOKUP($F398, 'Raw Annual DMR Data'!$A:$Z, 25, FALSE)</f>
        <v>CUMBERLAND RIVER</v>
      </c>
      <c r="I398" s="74" t="str">
        <f>VLOOKUP($F398, 'Raw Annual DMR Data'!$A:$Z, 26, FALSE)</f>
        <v>05130101000083</v>
      </c>
      <c r="J398" s="74" t="s">
        <v>265</v>
      </c>
      <c r="K398" s="60">
        <f>VLOOKUP(A398, 'OES Summary'!$A:$B, 2, FALSE)</f>
        <v>365</v>
      </c>
      <c r="L398" s="304" cm="1">
        <f t="array" ref="L398">IF(COUNTIF('Raw Annual DMR Data'!$L:$L,$F398)&gt;0,MEDIAN(IF('Raw Annual DMR Data'!$L:$L=F398,'Raw Annual DMR Data'!$S:$S)),"N/A - Facility Does Not Report DMRs")</f>
        <v>5.3102367187499997</v>
      </c>
      <c r="M398" s="156">
        <f t="shared" si="38"/>
        <v>1.454859375E-2</v>
      </c>
      <c r="N398" s="156">
        <f>IF(COUNTIF('Raw Annual DMR Data'!$L:$L,$F398)&gt;0,_xlfn.MAXIFS('Raw Annual DMR Data'!$S:$S,'Raw Annual DMR Data'!$L:$L,$F398), "N/A - Facility Does Not Report DMRs")</f>
        <v>6.1823243750000003</v>
      </c>
      <c r="O398" s="156">
        <f t="shared" si="39"/>
        <v>1.6937875000000002E-2</v>
      </c>
      <c r="P398" s="113" cm="1">
        <f t="array" ref="P398">IF(COUNTIF('Raw Annual DMR Data'!$L:$L,$F398)&gt;0,INDEX('Raw Annual DMR Data'!$B:$B,MATCH(1,($F398='Raw Annual DMR Data'!$L:$L)*($N398='Raw Annual DMR Data'!$S:$S),0)), "N/A - Facility Does Not Report DMRs")</f>
        <v>2018</v>
      </c>
      <c r="Q398" s="304" t="str" cm="1">
        <f t="array" ref="Q398">IF(COUNTIF('Raw TRI Data'!$J:$J,$E398)&gt;0,MEDIAN(IF('Raw TRI Data'!$J:$J=E398,'Raw TRI Data'!$S:$S)), "N/A - Facility Does Not Report to TRI")</f>
        <v>N/A - Facility Does Not Report to TRI</v>
      </c>
      <c r="R398" s="156" t="str">
        <f t="shared" si="36"/>
        <v>N/A - Facility Does Not Report to TRI</v>
      </c>
      <c r="S398" s="156" t="str">
        <f>IF(COUNTIF('Raw TRI Data'!$J:$J,$E398)&gt;0,_xlfn.MAXIFS('Raw TRI Data'!$S:$S,'Raw TRI Data'!$J:$J,$E398), "N/A - Facility Does Not Report to TRI")</f>
        <v>N/A - Facility Does Not Report to TRI</v>
      </c>
      <c r="T398" s="156" t="str">
        <f t="shared" si="37"/>
        <v>N/A - Facility Does Not Report to TRI</v>
      </c>
      <c r="U398" s="136" t="str" cm="1">
        <f t="array" ref="U398">IF(COUNTIF('Raw TRI Data'!$J:$J,$E398)&gt;0,INDEX('Raw TRI Data'!$A:$A,MATCH(1,($E398='Raw TRI Data'!$J:$J)*(S398='Raw TRI Data'!$S:$S),0)), "N/A - Facility Does Not Report to TRI")</f>
        <v>N/A - Facility Does Not Report to TRI</v>
      </c>
      <c r="V398" s="156" t="str" cm="1">
        <f t="array" ref="V398">IF(COUNTIFS('Raw Annual DMR Data'!$L:$L,$F398,'Raw Annual DMR Data'!$U:$U,"&gt;0")&gt;0,MEDIAN(IF('Raw Annual DMR Data'!$L:$L=$F398,'Raw Annual DMR Data'!$U:$U,"")),"N/A - Period DMR Data Not Available")</f>
        <v>N/A - Period DMR Data Not Available</v>
      </c>
      <c r="W398" s="156" t="str">
        <f>IF(COUNTIFS('Raw Annual DMR Data'!$L:$L,$F398, 'Raw Annual DMR Data'!$U:$U, "&gt;0")&gt;0,_xlfn.MAXIFS('Raw Annual DMR Data'!$U:$U,'Raw Annual DMR Data'!$L:$L,$F398), "N/A - Period DMR Data Not Available")</f>
        <v>N/A - Period DMR Data Not Available</v>
      </c>
      <c r="X398" s="113" t="str" cm="1">
        <f t="array" ref="X398">+IF(COUNTIFS('Raw Annual DMR Data'!L:L,$F398, 'Raw Annual DMR Data'!U:U, "&gt;0")&gt;0,INDEX('Raw Annual DMR Data'!V:V,MATCH(1,($F398='Raw Annual DMR Data'!L:L)*($W398='Raw Annual DMR Data'!U:U),0)), "N/A - Period DMR Data Not Available")</f>
        <v>N/A - Period DMR Data Not Available</v>
      </c>
      <c r="Y398" s="113" t="str" cm="1">
        <f t="array" ref="Y398">IF(COUNTIFS('Raw Annual DMR Data'!L:L,$F398, 'Raw Annual DMR Data'!U:U, "&gt;0")&gt;0,INDEX('Raw Annual DMR Data'!B:B,MATCH(1,($F398='Raw Annual DMR Data'!L:L)*($W398='Raw Annual DMR Data'!U:U),0)), "N/A - Period DMR Data Not Available")</f>
        <v>N/A - Period DMR Data Not Available</v>
      </c>
      <c r="Z398" s="311" t="str" cm="1">
        <f t="array" ref="Z398">IF(COUNTIF('Raw Annual DMR Data'!K:K,$E398)&gt;0,"N/A - See DMRs",IF(SUMIFS('Raw TRI Data'!$Z:$Z,'Raw TRI Data'!$J:$J,$E398)&gt;0,MEDIAN(IF('Raw TRI Data'!$J:$J=$E398,'Raw TRI Data'!$Z:$Z)), "N/A - Facility Does Not Report to TRI, no surface water releases, or no Generic Factors available"))</f>
        <v>N/A - Facility Does Not Report to TRI, no surface water releases, or no Generic Factors available</v>
      </c>
      <c r="AA398" s="156" t="str">
        <f>IF(COUNTIF('Raw Annual DMR Data'!K:K,$E398)&gt;0,"N/A - See DMRs",IF(SUMIFS('Raw TRI Data'!$Z:$Z,'Raw TRI Data'!$J:$J,$E398)&gt;0,_xlfn.MAXIFS('Raw TRI Data'!$Z:$Z,'Raw TRI Data'!$J:$J,$E398), "N/A - Facility Does Not Report to TRI, no surface water releases, or no Generic Factors available"))</f>
        <v>N/A - Facility Does Not Report to TRI, no surface water releases, or no Generic Factors available</v>
      </c>
      <c r="AB398" s="113" t="str">
        <f t="shared" si="40"/>
        <v>N/A</v>
      </c>
      <c r="AC398" s="136" t="str" cm="1">
        <f t="array" ref="AC398">IF(COUNTIF('Raw Annual DMR Data'!K:K,$E398)&gt;0,"N/A - See DMRs",IF(SUMIFS('Raw TRI Data'!$Z:$Z,'Raw TRI Data'!$J:$J,$E398)&gt;0,INDEX('Raw TRI Data'!$A:$A,MATCH(1,($E398='Raw TRI Data'!$J:$J)*($AA398='Raw TRI Data'!$Z:$Z),0)), "N/A - Facility Does Not Report to TRI, no surface water releases, or no Generic Factors available"))</f>
        <v>N/A - Facility Does Not Report to TRI, no surface water releases, or no Generic Factors available</v>
      </c>
      <c r="AD398" s="96" t="str" cm="1">
        <f t="array" ref="AD398">IF(COUNTIFS('Raw Annual DMR Data'!L:L,$F398,'Raw Annual DMR Data'!W:W, "&gt;0")&gt;0,MEDIAN(IF('Raw Annual DMR Data'!K:K=$F398, 'Raw Annual DMR Data'!W:W)), "N/A - No Daily Max DMR Discharge Data")</f>
        <v>N/A - No Daily Max DMR Discharge Data</v>
      </c>
      <c r="AE398" s="96" t="str">
        <f>IF(COUNTIFS('Raw Annual DMR Data'!L:L,$F398,'Raw Annual DMR Data'!W:W, "&gt;0")&gt;0,_xlfn.MAXIFS('Raw Annual DMR Data'!W:W,'Raw Annual DMR Data'!L:L,$F398), "N/A - No Daily Max DMR Discharge Data")</f>
        <v>N/A - No Daily Max DMR Discharge Data</v>
      </c>
      <c r="AF398" s="60" t="str" cm="1">
        <f t="array" ref="AF398">IF(COUNTIFS('Raw Annual DMR Data'!L:L,$F398,'Raw Annual DMR Data'!W:W, "&gt;0")&gt;0,INDEX('Raw Annual DMR Data'!B:B,MATCH(1,($F398='Raw Annual DMR Data'!L:L)*($AE398='Raw Annual DMR Data'!W:W),0)), "N/A - No Daily Max DMR Discharge Data")</f>
        <v>N/A - No Daily Max DMR Discharge Data</v>
      </c>
    </row>
    <row r="399" spans="1:32" ht="45.75" thickBot="1" x14ac:dyDescent="0.3">
      <c r="A399" s="144" t="str">
        <f>VLOOKUP(F399,'Facility Summary'!J:K,2,FALSE)</f>
        <v>POTW</v>
      </c>
      <c r="B399" s="28" t="s">
        <v>1434</v>
      </c>
      <c r="C399" s="28" t="s">
        <v>1435</v>
      </c>
      <c r="D399" s="28" t="s">
        <v>324</v>
      </c>
      <c r="E399" s="28"/>
      <c r="F399" s="61">
        <v>110045091379</v>
      </c>
      <c r="G399" s="60" t="str">
        <f>VLOOKUP($F399, 'Raw Annual DMR Data'!$A:$Z, 24, FALSE)</f>
        <v>KY0109991</v>
      </c>
      <c r="H399" s="60" t="str">
        <f>VLOOKUP($F399, 'Raw Annual DMR Data'!$A:$Z, 25, FALSE)</f>
        <v>CLARKS CREEK, CLARKS CRK</v>
      </c>
      <c r="I399" s="74">
        <f>VLOOKUP($F399, 'Raw Annual DMR Data'!$A:$Z, 26, FALSE)</f>
        <v>5100205000416</v>
      </c>
      <c r="J399" s="74" t="s">
        <v>265</v>
      </c>
      <c r="K399" s="60">
        <f>VLOOKUP(A399, 'OES Summary'!$A:$B, 2, FALSE)</f>
        <v>365</v>
      </c>
      <c r="L399" s="304" cm="1">
        <f t="array" ref="L399">IF(COUNTIF('Raw Annual DMR Data'!$L:$L,$F399)&gt;0,MEDIAN(IF('Raw Annual DMR Data'!$L:$L=F399,'Raw Annual DMR Data'!$S:$S)),"N/A - Facility Does Not Report DMRs")</f>
        <v>2.1724480625</v>
      </c>
      <c r="M399" s="156">
        <f t="shared" si="38"/>
        <v>5.9519124999999999E-3</v>
      </c>
      <c r="N399" s="156">
        <f>IF(COUNTIF('Raw Annual DMR Data'!$L:$L,$F399)&gt;0,_xlfn.MAXIFS('Raw Annual DMR Data'!$S:$S,'Raw Annual DMR Data'!$L:$L,$F399), "N/A - Facility Does Not Report DMRs")</f>
        <v>2.2726086250000002</v>
      </c>
      <c r="O399" s="156">
        <f t="shared" si="39"/>
        <v>6.2263250000000004E-3</v>
      </c>
      <c r="P399" s="113" cm="1">
        <f t="array" ref="P399">IF(COUNTIF('Raw Annual DMR Data'!$L:$L,$F399)&gt;0,INDEX('Raw Annual DMR Data'!$B:$B,MATCH(1,($F399='Raw Annual DMR Data'!$L:$L)*($N399='Raw Annual DMR Data'!$S:$S),0)), "N/A - Facility Does Not Report DMRs")</f>
        <v>2021</v>
      </c>
      <c r="Q399" s="304" t="str" cm="1">
        <f t="array" ref="Q399">IF(COUNTIF('Raw TRI Data'!$J:$J,$E399)&gt;0,MEDIAN(IF('Raw TRI Data'!$J:$J=E399,'Raw TRI Data'!$S:$S)), "N/A - Facility Does Not Report to TRI")</f>
        <v>N/A - Facility Does Not Report to TRI</v>
      </c>
      <c r="R399" s="156" t="str">
        <f t="shared" si="36"/>
        <v>N/A - Facility Does Not Report to TRI</v>
      </c>
      <c r="S399" s="156" t="str">
        <f>IF(COUNTIF('Raw TRI Data'!$J:$J,$E399)&gt;0,_xlfn.MAXIFS('Raw TRI Data'!$S:$S,'Raw TRI Data'!$J:$J,$E399), "N/A - Facility Does Not Report to TRI")</f>
        <v>N/A - Facility Does Not Report to TRI</v>
      </c>
      <c r="T399" s="156" t="str">
        <f t="shared" si="37"/>
        <v>N/A - Facility Does Not Report to TRI</v>
      </c>
      <c r="U399" s="136" t="str" cm="1">
        <f t="array" ref="U399">IF(COUNTIF('Raw TRI Data'!$J:$J,$E399)&gt;0,INDEX('Raw TRI Data'!$A:$A,MATCH(1,($E399='Raw TRI Data'!$J:$J)*(S399='Raw TRI Data'!$S:$S),0)), "N/A - Facility Does Not Report to TRI")</f>
        <v>N/A - Facility Does Not Report to TRI</v>
      </c>
      <c r="V399" s="156" t="str" cm="1">
        <f t="array" ref="V399">IF(COUNTIFS('Raw Annual DMR Data'!$L:$L,$F399,'Raw Annual DMR Data'!$U:$U,"&gt;0")&gt;0,MEDIAN(IF('Raw Annual DMR Data'!$L:$L=$F399,'Raw Annual DMR Data'!$U:$U,"")),"N/A - Period DMR Data Not Available")</f>
        <v>N/A - Period DMR Data Not Available</v>
      </c>
      <c r="W399" s="156" t="str">
        <f>IF(COUNTIFS('Raw Annual DMR Data'!$L:$L,$F399, 'Raw Annual DMR Data'!$U:$U, "&gt;0")&gt;0,_xlfn.MAXIFS('Raw Annual DMR Data'!$U:$U,'Raw Annual DMR Data'!$L:$L,$F399), "N/A - Period DMR Data Not Available")</f>
        <v>N/A - Period DMR Data Not Available</v>
      </c>
      <c r="X399" s="113" t="str" cm="1">
        <f t="array" ref="X399">+IF(COUNTIFS('Raw Annual DMR Data'!L:L,$F399, 'Raw Annual DMR Data'!U:U, "&gt;0")&gt;0,INDEX('Raw Annual DMR Data'!V:V,MATCH(1,($F399='Raw Annual DMR Data'!L:L)*($W399='Raw Annual DMR Data'!U:U),0)), "N/A - Period DMR Data Not Available")</f>
        <v>N/A - Period DMR Data Not Available</v>
      </c>
      <c r="Y399" s="113" t="str" cm="1">
        <f t="array" ref="Y399">IF(COUNTIFS('Raw Annual DMR Data'!L:L,$F399, 'Raw Annual DMR Data'!U:U, "&gt;0")&gt;0,INDEX('Raw Annual DMR Data'!B:B,MATCH(1,($F399='Raw Annual DMR Data'!L:L)*($W399='Raw Annual DMR Data'!U:U),0)), "N/A - Period DMR Data Not Available")</f>
        <v>N/A - Period DMR Data Not Available</v>
      </c>
      <c r="Z399" s="311" t="str" cm="1">
        <f t="array" ref="Z399">IF(COUNTIF('Raw Annual DMR Data'!K:K,$E399)&gt;0,"N/A - See DMRs",IF(SUMIFS('Raw TRI Data'!$Z:$Z,'Raw TRI Data'!$J:$J,$E399)&gt;0,MEDIAN(IF('Raw TRI Data'!$J:$J=$E399,'Raw TRI Data'!$Z:$Z)), "N/A - Facility Does Not Report to TRI, no surface water releases, or no Generic Factors available"))</f>
        <v>N/A - Facility Does Not Report to TRI, no surface water releases, or no Generic Factors available</v>
      </c>
      <c r="AA399" s="156" t="str">
        <f>IF(COUNTIF('Raw Annual DMR Data'!K:K,$E399)&gt;0,"N/A - See DMRs",IF(SUMIFS('Raw TRI Data'!$Z:$Z,'Raw TRI Data'!$J:$J,$E399)&gt;0,_xlfn.MAXIFS('Raw TRI Data'!$Z:$Z,'Raw TRI Data'!$J:$J,$E399), "N/A - Facility Does Not Report to TRI, no surface water releases, or no Generic Factors available"))</f>
        <v>N/A - Facility Does Not Report to TRI, no surface water releases, or no Generic Factors available</v>
      </c>
      <c r="AB399" s="113" t="str">
        <f t="shared" si="40"/>
        <v>N/A</v>
      </c>
      <c r="AC399" s="136" t="str" cm="1">
        <f t="array" ref="AC399">IF(COUNTIF('Raw Annual DMR Data'!K:K,$E399)&gt;0,"N/A - See DMRs",IF(SUMIFS('Raw TRI Data'!$Z:$Z,'Raw TRI Data'!$J:$J,$E399)&gt;0,INDEX('Raw TRI Data'!$A:$A,MATCH(1,($E399='Raw TRI Data'!$J:$J)*($AA399='Raw TRI Data'!$Z:$Z),0)), "N/A - Facility Does Not Report to TRI, no surface water releases, or no Generic Factors available"))</f>
        <v>N/A - Facility Does Not Report to TRI, no surface water releases, or no Generic Factors available</v>
      </c>
      <c r="AD399" s="96" t="str" cm="1">
        <f t="array" ref="AD399">IF(COUNTIFS('Raw Annual DMR Data'!L:L,$F399,'Raw Annual DMR Data'!W:W, "&gt;0")&gt;0,MEDIAN(IF('Raw Annual DMR Data'!K:K=$F399, 'Raw Annual DMR Data'!W:W)), "N/A - No Daily Max DMR Discharge Data")</f>
        <v>N/A - No Daily Max DMR Discharge Data</v>
      </c>
      <c r="AE399" s="96" t="str">
        <f>IF(COUNTIFS('Raw Annual DMR Data'!L:L,$F399,'Raw Annual DMR Data'!W:W, "&gt;0")&gt;0,_xlfn.MAXIFS('Raw Annual DMR Data'!W:W,'Raw Annual DMR Data'!L:L,$F399), "N/A - No Daily Max DMR Discharge Data")</f>
        <v>N/A - No Daily Max DMR Discharge Data</v>
      </c>
      <c r="AF399" s="60" t="str" cm="1">
        <f t="array" ref="AF399">IF(COUNTIFS('Raw Annual DMR Data'!L:L,$F399,'Raw Annual DMR Data'!W:W, "&gt;0")&gt;0,INDEX('Raw Annual DMR Data'!B:B,MATCH(1,($F399='Raw Annual DMR Data'!L:L)*($AE399='Raw Annual DMR Data'!W:W),0)), "N/A - No Daily Max DMR Discharge Data")</f>
        <v>N/A - No Daily Max DMR Discharge Data</v>
      </c>
    </row>
    <row r="400" spans="1:32" ht="45.75" thickBot="1" x14ac:dyDescent="0.3">
      <c r="A400" s="144" t="str">
        <f>VLOOKUP(F400,'Facility Summary'!J:K,2,FALSE)</f>
        <v>POTW</v>
      </c>
      <c r="B400" s="28" t="s">
        <v>1436</v>
      </c>
      <c r="C400" s="28" t="s">
        <v>1437</v>
      </c>
      <c r="D400" s="28" t="s">
        <v>324</v>
      </c>
      <c r="E400" s="28"/>
      <c r="F400" s="61">
        <v>110064596361</v>
      </c>
      <c r="G400" s="60" t="str">
        <f>VLOOKUP($F400, 'Raw Annual DMR Data'!$A:$Z, 24, FALSE)</f>
        <v>KY0108740</v>
      </c>
      <c r="H400" s="60" t="str">
        <f>VLOOKUP($F400, 'Raw Annual DMR Data'!$A:$Z, 25, FALSE)</f>
        <v>KENTUCKY RIVER</v>
      </c>
      <c r="I400" s="74" t="str">
        <f>VLOOKUP($F400, 'Raw Annual DMR Data'!$A:$Z, 26, FALSE)</f>
        <v>05100205000175</v>
      </c>
      <c r="J400" s="74" t="s">
        <v>265</v>
      </c>
      <c r="K400" s="60">
        <f>VLOOKUP(A400, 'OES Summary'!$A:$B, 2, FALSE)</f>
        <v>365</v>
      </c>
      <c r="L400" s="304" cm="1">
        <f t="array" ref="L400">IF(COUNTIF('Raw Annual DMR Data'!$L:$L,$F400)&gt;0,MEDIAN(IF('Raw Annual DMR Data'!$L:$L=F400,'Raw Annual DMR Data'!$S:$S)),"N/A - Facility Does Not Report DMRs")</f>
        <v>4.5849360937500006</v>
      </c>
      <c r="M400" s="156">
        <f t="shared" si="38"/>
        <v>1.2561468750000002E-2</v>
      </c>
      <c r="N400" s="156">
        <f>IF(COUNTIF('Raw Annual DMR Data'!$L:$L,$F400)&gt;0,_xlfn.MAXIFS('Raw Annual DMR Data'!$S:$S,'Raw Annual DMR Data'!$L:$L,$F400), "N/A - Facility Does Not Report DMRs")</f>
        <v>6.9836088749999998</v>
      </c>
      <c r="O400" s="156">
        <f t="shared" si="39"/>
        <v>1.9133174999999999E-2</v>
      </c>
      <c r="P400" s="113" cm="1">
        <f t="array" ref="P400">IF(COUNTIF('Raw Annual DMR Data'!$L:$L,$F400)&gt;0,INDEX('Raw Annual DMR Data'!$B:$B,MATCH(1,($F400='Raw Annual DMR Data'!$L:$L)*($N400='Raw Annual DMR Data'!$S:$S),0)), "N/A - Facility Does Not Report DMRs")</f>
        <v>2019</v>
      </c>
      <c r="Q400" s="304" t="str" cm="1">
        <f t="array" ref="Q400">IF(COUNTIF('Raw TRI Data'!$J:$J,$E400)&gt;0,MEDIAN(IF('Raw TRI Data'!$J:$J=E400,'Raw TRI Data'!$S:$S)), "N/A - Facility Does Not Report to TRI")</f>
        <v>N/A - Facility Does Not Report to TRI</v>
      </c>
      <c r="R400" s="156" t="str">
        <f t="shared" si="36"/>
        <v>N/A - Facility Does Not Report to TRI</v>
      </c>
      <c r="S400" s="156" t="str">
        <f>IF(COUNTIF('Raw TRI Data'!$J:$J,$E400)&gt;0,_xlfn.MAXIFS('Raw TRI Data'!$S:$S,'Raw TRI Data'!$J:$J,$E400), "N/A - Facility Does Not Report to TRI")</f>
        <v>N/A - Facility Does Not Report to TRI</v>
      </c>
      <c r="T400" s="156" t="str">
        <f t="shared" si="37"/>
        <v>N/A - Facility Does Not Report to TRI</v>
      </c>
      <c r="U400" s="136" t="str" cm="1">
        <f t="array" ref="U400">IF(COUNTIF('Raw TRI Data'!$J:$J,$E400)&gt;0,INDEX('Raw TRI Data'!$A:$A,MATCH(1,($E400='Raw TRI Data'!$J:$J)*(S400='Raw TRI Data'!$S:$S),0)), "N/A - Facility Does Not Report to TRI")</f>
        <v>N/A - Facility Does Not Report to TRI</v>
      </c>
      <c r="V400" s="156" t="str" cm="1">
        <f t="array" ref="V400">IF(COUNTIFS('Raw Annual DMR Data'!$L:$L,$F400,'Raw Annual DMR Data'!$U:$U,"&gt;0")&gt;0,MEDIAN(IF('Raw Annual DMR Data'!$L:$L=$F400,'Raw Annual DMR Data'!$U:$U,"")),"N/A - Period DMR Data Not Available")</f>
        <v>N/A - Period DMR Data Not Available</v>
      </c>
      <c r="W400" s="156" t="str">
        <f>IF(COUNTIFS('Raw Annual DMR Data'!$L:$L,$F400, 'Raw Annual DMR Data'!$U:$U, "&gt;0")&gt;0,_xlfn.MAXIFS('Raw Annual DMR Data'!$U:$U,'Raw Annual DMR Data'!$L:$L,$F400), "N/A - Period DMR Data Not Available")</f>
        <v>N/A - Period DMR Data Not Available</v>
      </c>
      <c r="X400" s="113" t="str" cm="1">
        <f t="array" ref="X400">+IF(COUNTIFS('Raw Annual DMR Data'!L:L,$F400, 'Raw Annual DMR Data'!U:U, "&gt;0")&gt;0,INDEX('Raw Annual DMR Data'!V:V,MATCH(1,($F400='Raw Annual DMR Data'!L:L)*($W400='Raw Annual DMR Data'!U:U),0)), "N/A - Period DMR Data Not Available")</f>
        <v>N/A - Period DMR Data Not Available</v>
      </c>
      <c r="Y400" s="113" t="str" cm="1">
        <f t="array" ref="Y400">IF(COUNTIFS('Raw Annual DMR Data'!L:L,$F400, 'Raw Annual DMR Data'!U:U, "&gt;0")&gt;0,INDEX('Raw Annual DMR Data'!B:B,MATCH(1,($F400='Raw Annual DMR Data'!L:L)*($W400='Raw Annual DMR Data'!U:U),0)), "N/A - Period DMR Data Not Available")</f>
        <v>N/A - Period DMR Data Not Available</v>
      </c>
      <c r="Z400" s="311" t="str" cm="1">
        <f t="array" ref="Z400">IF(COUNTIF('Raw Annual DMR Data'!K:K,$E400)&gt;0,"N/A - See DMRs",IF(SUMIFS('Raw TRI Data'!$Z:$Z,'Raw TRI Data'!$J:$J,$E400)&gt;0,MEDIAN(IF('Raw TRI Data'!$J:$J=$E400,'Raw TRI Data'!$Z:$Z)), "N/A - Facility Does Not Report to TRI, no surface water releases, or no Generic Factors available"))</f>
        <v>N/A - Facility Does Not Report to TRI, no surface water releases, or no Generic Factors available</v>
      </c>
      <c r="AA400" s="156" t="str">
        <f>IF(COUNTIF('Raw Annual DMR Data'!K:K,$E400)&gt;0,"N/A - See DMRs",IF(SUMIFS('Raw TRI Data'!$Z:$Z,'Raw TRI Data'!$J:$J,$E400)&gt;0,_xlfn.MAXIFS('Raw TRI Data'!$Z:$Z,'Raw TRI Data'!$J:$J,$E400), "N/A - Facility Does Not Report to TRI, no surface water releases, or no Generic Factors available"))</f>
        <v>N/A - Facility Does Not Report to TRI, no surface water releases, or no Generic Factors available</v>
      </c>
      <c r="AB400" s="113" t="str">
        <f t="shared" si="40"/>
        <v>N/A</v>
      </c>
      <c r="AC400" s="136" t="str" cm="1">
        <f t="array" ref="AC400">IF(COUNTIF('Raw Annual DMR Data'!K:K,$E400)&gt;0,"N/A - See DMRs",IF(SUMIFS('Raw TRI Data'!$Z:$Z,'Raw TRI Data'!$J:$J,$E400)&gt;0,INDEX('Raw TRI Data'!$A:$A,MATCH(1,($E400='Raw TRI Data'!$J:$J)*($AA400='Raw TRI Data'!$Z:$Z),0)), "N/A - Facility Does Not Report to TRI, no surface water releases, or no Generic Factors available"))</f>
        <v>N/A - Facility Does Not Report to TRI, no surface water releases, or no Generic Factors available</v>
      </c>
      <c r="AD400" s="96" t="str" cm="1">
        <f t="array" ref="AD400">IF(COUNTIFS('Raw Annual DMR Data'!L:L,$F400,'Raw Annual DMR Data'!W:W, "&gt;0")&gt;0,MEDIAN(IF('Raw Annual DMR Data'!K:K=$F400, 'Raw Annual DMR Data'!W:W)), "N/A - No Daily Max DMR Discharge Data")</f>
        <v>N/A - No Daily Max DMR Discharge Data</v>
      </c>
      <c r="AE400" s="96" t="str">
        <f>IF(COUNTIFS('Raw Annual DMR Data'!L:L,$F400,'Raw Annual DMR Data'!W:W, "&gt;0")&gt;0,_xlfn.MAXIFS('Raw Annual DMR Data'!W:W,'Raw Annual DMR Data'!L:L,$F400), "N/A - No Daily Max DMR Discharge Data")</f>
        <v>N/A - No Daily Max DMR Discharge Data</v>
      </c>
      <c r="AF400" s="60" t="str" cm="1">
        <f t="array" ref="AF400">IF(COUNTIFS('Raw Annual DMR Data'!L:L,$F400,'Raw Annual DMR Data'!W:W, "&gt;0")&gt;0,INDEX('Raw Annual DMR Data'!B:B,MATCH(1,($F400='Raw Annual DMR Data'!L:L)*($AE400='Raw Annual DMR Data'!W:W),0)), "N/A - No Daily Max DMR Discharge Data")</f>
        <v>N/A - No Daily Max DMR Discharge Data</v>
      </c>
    </row>
    <row r="401" spans="1:32" ht="45.75" thickBot="1" x14ac:dyDescent="0.3">
      <c r="A401" s="144" t="str">
        <f>VLOOKUP(F401,'Facility Summary'!J:K,2,FALSE)</f>
        <v>POTW</v>
      </c>
      <c r="B401" s="28" t="s">
        <v>1438</v>
      </c>
      <c r="C401" s="28" t="s">
        <v>1439</v>
      </c>
      <c r="D401" s="28" t="s">
        <v>374</v>
      </c>
      <c r="E401" s="28"/>
      <c r="F401" s="61">
        <v>110024409433</v>
      </c>
      <c r="G401" s="60" t="str">
        <f>VLOOKUP($F401, 'Raw Annual DMR Data'!$A:$Z, 24, FALSE)</f>
        <v>NN0021555</v>
      </c>
      <c r="H401" s="60" t="str">
        <f>VLOOKUP($F401, 'Raw Annual DMR Data'!$A:$Z, 25, FALSE)</f>
        <v>BLACK CREEK</v>
      </c>
      <c r="I401" s="74">
        <f>VLOOKUP($F401, 'Raw Annual DMR Data'!$A:$Z, 26, FALSE)</f>
        <v>14080204013964</v>
      </c>
      <c r="J401" s="74" t="s">
        <v>265</v>
      </c>
      <c r="K401" s="60">
        <f>VLOOKUP(A401, 'OES Summary'!$A:$B, 2, FALSE)</f>
        <v>365</v>
      </c>
      <c r="L401" s="304" cm="1">
        <f t="array" ref="L401">IF(COUNTIF('Raw Annual DMR Data'!$L:$L,$F401)&gt;0,MEDIAN(IF('Raw Annual DMR Data'!$L:$L=F401,'Raw Annual DMR Data'!$S:$S)),"N/A - Facility Does Not Report DMRs")</f>
        <v>0.91180649999999996</v>
      </c>
      <c r="M401" s="156">
        <f t="shared" si="38"/>
        <v>2.4981000000000001E-3</v>
      </c>
      <c r="N401" s="156">
        <f>IF(COUNTIF('Raw Annual DMR Data'!$L:$L,$F401)&gt;0,_xlfn.MAXIFS('Raw Annual DMR Data'!$S:$S,'Raw Annual DMR Data'!$L:$L,$F401), "N/A - Facility Does Not Report DMRs")</f>
        <v>1.1604810000000001</v>
      </c>
      <c r="O401" s="156">
        <f t="shared" si="39"/>
        <v>3.1794000000000002E-3</v>
      </c>
      <c r="P401" s="113" cm="1">
        <f t="array" ref="P401">IF(COUNTIF('Raw Annual DMR Data'!$L:$L,$F401)&gt;0,INDEX('Raw Annual DMR Data'!$B:$B,MATCH(1,($F401='Raw Annual DMR Data'!$L:$L)*($N401='Raw Annual DMR Data'!$S:$S),0)), "N/A - Facility Does Not Report DMRs")</f>
        <v>2022</v>
      </c>
      <c r="Q401" s="304" t="str" cm="1">
        <f t="array" ref="Q401">IF(COUNTIF('Raw TRI Data'!$J:$J,$E401)&gt;0,MEDIAN(IF('Raw TRI Data'!$J:$J=E401,'Raw TRI Data'!$S:$S)), "N/A - Facility Does Not Report to TRI")</f>
        <v>N/A - Facility Does Not Report to TRI</v>
      </c>
      <c r="R401" s="156" t="str">
        <f t="shared" si="36"/>
        <v>N/A - Facility Does Not Report to TRI</v>
      </c>
      <c r="S401" s="156" t="str">
        <f>IF(COUNTIF('Raw TRI Data'!$J:$J,$E401)&gt;0,_xlfn.MAXIFS('Raw TRI Data'!$S:$S,'Raw TRI Data'!$J:$J,$E401), "N/A - Facility Does Not Report to TRI")</f>
        <v>N/A - Facility Does Not Report to TRI</v>
      </c>
      <c r="T401" s="156" t="str">
        <f t="shared" si="37"/>
        <v>N/A - Facility Does Not Report to TRI</v>
      </c>
      <c r="U401" s="136" t="str" cm="1">
        <f t="array" ref="U401">IF(COUNTIF('Raw TRI Data'!$J:$J,$E401)&gt;0,INDEX('Raw TRI Data'!$A:$A,MATCH(1,($E401='Raw TRI Data'!$J:$J)*(S401='Raw TRI Data'!$S:$S),0)), "N/A - Facility Does Not Report to TRI")</f>
        <v>N/A - Facility Does Not Report to TRI</v>
      </c>
      <c r="V401" s="156" t="str" cm="1">
        <f t="array" ref="V401">IF(COUNTIFS('Raw Annual DMR Data'!$L:$L,$F401,'Raw Annual DMR Data'!$U:$U,"&gt;0")&gt;0,MEDIAN(IF('Raw Annual DMR Data'!$L:$L=$F401,'Raw Annual DMR Data'!$U:$U,"")),"N/A - Period DMR Data Not Available")</f>
        <v>N/A - Period DMR Data Not Available</v>
      </c>
      <c r="W401" s="156" t="str">
        <f>IF(COUNTIFS('Raw Annual DMR Data'!$L:$L,$F401, 'Raw Annual DMR Data'!$U:$U, "&gt;0")&gt;0,_xlfn.MAXIFS('Raw Annual DMR Data'!$U:$U,'Raw Annual DMR Data'!$L:$L,$F401), "N/A - Period DMR Data Not Available")</f>
        <v>N/A - Period DMR Data Not Available</v>
      </c>
      <c r="X401" s="113" t="str" cm="1">
        <f t="array" ref="X401">+IF(COUNTIFS('Raw Annual DMR Data'!L:L,$F401, 'Raw Annual DMR Data'!U:U, "&gt;0")&gt;0,INDEX('Raw Annual DMR Data'!V:V,MATCH(1,($F401='Raw Annual DMR Data'!L:L)*($W401='Raw Annual DMR Data'!U:U),0)), "N/A - Period DMR Data Not Available")</f>
        <v>N/A - Period DMR Data Not Available</v>
      </c>
      <c r="Y401" s="113" t="str" cm="1">
        <f t="array" ref="Y401">IF(COUNTIFS('Raw Annual DMR Data'!L:L,$F401, 'Raw Annual DMR Data'!U:U, "&gt;0")&gt;0,INDEX('Raw Annual DMR Data'!B:B,MATCH(1,($F401='Raw Annual DMR Data'!L:L)*($W401='Raw Annual DMR Data'!U:U),0)), "N/A - Period DMR Data Not Available")</f>
        <v>N/A - Period DMR Data Not Available</v>
      </c>
      <c r="Z401" s="311" t="str" cm="1">
        <f t="array" ref="Z401">IF(COUNTIF('Raw Annual DMR Data'!K:K,$E401)&gt;0,"N/A - See DMRs",IF(SUMIFS('Raw TRI Data'!$Z:$Z,'Raw TRI Data'!$J:$J,$E401)&gt;0,MEDIAN(IF('Raw TRI Data'!$J:$J=$E401,'Raw TRI Data'!$Z:$Z)), "N/A - Facility Does Not Report to TRI, no surface water releases, or no Generic Factors available"))</f>
        <v>N/A - Facility Does Not Report to TRI, no surface water releases, or no Generic Factors available</v>
      </c>
      <c r="AA401" s="156" t="str">
        <f>IF(COUNTIF('Raw Annual DMR Data'!K:K,$E401)&gt;0,"N/A - See DMRs",IF(SUMIFS('Raw TRI Data'!$Z:$Z,'Raw TRI Data'!$J:$J,$E401)&gt;0,_xlfn.MAXIFS('Raw TRI Data'!$Z:$Z,'Raw TRI Data'!$J:$J,$E401), "N/A - Facility Does Not Report to TRI, no surface water releases, or no Generic Factors available"))</f>
        <v>N/A - Facility Does Not Report to TRI, no surface water releases, or no Generic Factors available</v>
      </c>
      <c r="AB401" s="113" t="str">
        <f t="shared" si="40"/>
        <v>N/A</v>
      </c>
      <c r="AC401" s="136" t="str" cm="1">
        <f t="array" ref="AC401">IF(COUNTIF('Raw Annual DMR Data'!K:K,$E401)&gt;0,"N/A - See DMRs",IF(SUMIFS('Raw TRI Data'!$Z:$Z,'Raw TRI Data'!$J:$J,$E401)&gt;0,INDEX('Raw TRI Data'!$A:$A,MATCH(1,($E401='Raw TRI Data'!$J:$J)*($AA401='Raw TRI Data'!$Z:$Z),0)), "N/A - Facility Does Not Report to TRI, no surface water releases, or no Generic Factors available"))</f>
        <v>N/A - Facility Does Not Report to TRI, no surface water releases, or no Generic Factors available</v>
      </c>
      <c r="AD401" s="96" t="str" cm="1">
        <f t="array" ref="AD401">IF(COUNTIFS('Raw Annual DMR Data'!L:L,$F401,'Raw Annual DMR Data'!W:W, "&gt;0")&gt;0,MEDIAN(IF('Raw Annual DMR Data'!K:K=$F401, 'Raw Annual DMR Data'!W:W)), "N/A - No Daily Max DMR Discharge Data")</f>
        <v>N/A - No Daily Max DMR Discharge Data</v>
      </c>
      <c r="AE401" s="96" t="str">
        <f>IF(COUNTIFS('Raw Annual DMR Data'!L:L,$F401,'Raw Annual DMR Data'!W:W, "&gt;0")&gt;0,_xlfn.MAXIFS('Raw Annual DMR Data'!W:W,'Raw Annual DMR Data'!L:L,$F401), "N/A - No Daily Max DMR Discharge Data")</f>
        <v>N/A - No Daily Max DMR Discharge Data</v>
      </c>
      <c r="AF401" s="60" t="str" cm="1">
        <f t="array" ref="AF401">IF(COUNTIFS('Raw Annual DMR Data'!L:L,$F401,'Raw Annual DMR Data'!W:W, "&gt;0")&gt;0,INDEX('Raw Annual DMR Data'!B:B,MATCH(1,($F401='Raw Annual DMR Data'!L:L)*($AE401='Raw Annual DMR Data'!W:W),0)), "N/A - No Daily Max DMR Discharge Data")</f>
        <v>N/A - No Daily Max DMR Discharge Data</v>
      </c>
    </row>
    <row r="402" spans="1:32" ht="45.75" thickBot="1" x14ac:dyDescent="0.3">
      <c r="A402" s="144" t="str">
        <f>VLOOKUP(F402,'Facility Summary'!J:K,2,FALSE)</f>
        <v>POTW</v>
      </c>
      <c r="B402" s="28" t="s">
        <v>1440</v>
      </c>
      <c r="C402" s="28" t="s">
        <v>1441</v>
      </c>
      <c r="D402" s="28" t="s">
        <v>366</v>
      </c>
      <c r="E402" s="28"/>
      <c r="F402" s="61">
        <v>110039782349</v>
      </c>
      <c r="G402" s="60" t="str">
        <f>VLOOKUP($F402, 'Raw Annual DMR Data'!$A:$Z, 24, FALSE)</f>
        <v>CA0077950</v>
      </c>
      <c r="H402" s="60" t="str">
        <f>VLOOKUP($F402, 'Raw Annual DMR Data'!$A:$Z, 25, FALSE)</f>
        <v>TULE CANAL</v>
      </c>
      <c r="I402" s="74">
        <f>VLOOKUP($F402, 'Raw Annual DMR Data'!$A:$Z, 26, FALSE)</f>
        <v>18020163012338</v>
      </c>
      <c r="J402" s="74" t="s">
        <v>265</v>
      </c>
      <c r="K402" s="60">
        <f>VLOOKUP(A402, 'OES Summary'!$A:$B, 2, FALSE)</f>
        <v>365</v>
      </c>
      <c r="L402" s="304" cm="1">
        <f t="array" ref="L402">IF(COUNTIF('Raw Annual DMR Data'!$L:$L,$F402)&gt;0,MEDIAN(IF('Raw Annual DMR Data'!$L:$L=F402,'Raw Annual DMR Data'!$S:$S)),"N/A - Facility Does Not Report DMRs")</f>
        <v>0.28491966000000002</v>
      </c>
      <c r="M402" s="156">
        <f t="shared" si="38"/>
        <v>7.8060180821917812E-4</v>
      </c>
      <c r="N402" s="156">
        <f>IF(COUNTIF('Raw Annual DMR Data'!$L:$L,$F402)&gt;0,_xlfn.MAXIFS('Raw Annual DMR Data'!$S:$S,'Raw Annual DMR Data'!$L:$L,$F402), "N/A - Facility Does Not Report DMRs")</f>
        <v>0.45825751999999997</v>
      </c>
      <c r="O402" s="156">
        <f t="shared" si="39"/>
        <v>1.2555000547945204E-3</v>
      </c>
      <c r="P402" s="113" cm="1">
        <f t="array" ref="P402">IF(COUNTIF('Raw Annual DMR Data'!$L:$L,$F402)&gt;0,INDEX('Raw Annual DMR Data'!$B:$B,MATCH(1,($F402='Raw Annual DMR Data'!$L:$L)*($N402='Raw Annual DMR Data'!$S:$S),0)), "N/A - Facility Does Not Report DMRs")</f>
        <v>2021</v>
      </c>
      <c r="Q402" s="304" t="str" cm="1">
        <f t="array" ref="Q402">IF(COUNTIF('Raw TRI Data'!$J:$J,$E402)&gt;0,MEDIAN(IF('Raw TRI Data'!$J:$J=E402,'Raw TRI Data'!$S:$S)), "N/A - Facility Does Not Report to TRI")</f>
        <v>N/A - Facility Does Not Report to TRI</v>
      </c>
      <c r="R402" s="156" t="str">
        <f t="shared" si="36"/>
        <v>N/A - Facility Does Not Report to TRI</v>
      </c>
      <c r="S402" s="156" t="str">
        <f>IF(COUNTIF('Raw TRI Data'!$J:$J,$E402)&gt;0,_xlfn.MAXIFS('Raw TRI Data'!$S:$S,'Raw TRI Data'!$J:$J,$E402), "N/A - Facility Does Not Report to TRI")</f>
        <v>N/A - Facility Does Not Report to TRI</v>
      </c>
      <c r="T402" s="156" t="str">
        <f t="shared" si="37"/>
        <v>N/A - Facility Does Not Report to TRI</v>
      </c>
      <c r="U402" s="136" t="str" cm="1">
        <f t="array" ref="U402">IF(COUNTIF('Raw TRI Data'!$J:$J,$E402)&gt;0,INDEX('Raw TRI Data'!$A:$A,MATCH(1,($E402='Raw TRI Data'!$J:$J)*(S402='Raw TRI Data'!$S:$S),0)), "N/A - Facility Does Not Report to TRI")</f>
        <v>N/A - Facility Does Not Report to TRI</v>
      </c>
      <c r="V402" s="156" t="str" cm="1">
        <f t="array" ref="V402">IF(COUNTIFS('Raw Annual DMR Data'!$L:$L,$F402,'Raw Annual DMR Data'!$U:$U,"&gt;0")&gt;0,MEDIAN(IF('Raw Annual DMR Data'!$L:$L=$F402,'Raw Annual DMR Data'!$U:$U,"")),"N/A - Period DMR Data Not Available")</f>
        <v>N/A - Period DMR Data Not Available</v>
      </c>
      <c r="W402" s="156" t="str">
        <f>IF(COUNTIFS('Raw Annual DMR Data'!$L:$L,$F402, 'Raw Annual DMR Data'!$U:$U, "&gt;0")&gt;0,_xlfn.MAXIFS('Raw Annual DMR Data'!$U:$U,'Raw Annual DMR Data'!$L:$L,$F402), "N/A - Period DMR Data Not Available")</f>
        <v>N/A - Period DMR Data Not Available</v>
      </c>
      <c r="X402" s="113" t="str" cm="1">
        <f t="array" ref="X402">+IF(COUNTIFS('Raw Annual DMR Data'!L:L,$F402, 'Raw Annual DMR Data'!U:U, "&gt;0")&gt;0,INDEX('Raw Annual DMR Data'!V:V,MATCH(1,($F402='Raw Annual DMR Data'!L:L)*($W402='Raw Annual DMR Data'!U:U),0)), "N/A - Period DMR Data Not Available")</f>
        <v>N/A - Period DMR Data Not Available</v>
      </c>
      <c r="Y402" s="113" t="str" cm="1">
        <f t="array" ref="Y402">IF(COUNTIFS('Raw Annual DMR Data'!L:L,$F402, 'Raw Annual DMR Data'!U:U, "&gt;0")&gt;0,INDEX('Raw Annual DMR Data'!B:B,MATCH(1,($F402='Raw Annual DMR Data'!L:L)*($W402='Raw Annual DMR Data'!U:U),0)), "N/A - Period DMR Data Not Available")</f>
        <v>N/A - Period DMR Data Not Available</v>
      </c>
      <c r="Z402" s="311" t="str" cm="1">
        <f t="array" ref="Z402">IF(COUNTIF('Raw Annual DMR Data'!K:K,$E402)&gt;0,"N/A - See DMRs",IF(SUMIFS('Raw TRI Data'!$Z:$Z,'Raw TRI Data'!$J:$J,$E402)&gt;0,MEDIAN(IF('Raw TRI Data'!$J:$J=$E402,'Raw TRI Data'!$Z:$Z)), "N/A - Facility Does Not Report to TRI, no surface water releases, or no Generic Factors available"))</f>
        <v>N/A - Facility Does Not Report to TRI, no surface water releases, or no Generic Factors available</v>
      </c>
      <c r="AA402" s="156" t="str">
        <f>IF(COUNTIF('Raw Annual DMR Data'!K:K,$E402)&gt;0,"N/A - See DMRs",IF(SUMIFS('Raw TRI Data'!$Z:$Z,'Raw TRI Data'!$J:$J,$E402)&gt;0,_xlfn.MAXIFS('Raw TRI Data'!$Z:$Z,'Raw TRI Data'!$J:$J,$E402), "N/A - Facility Does Not Report to TRI, no surface water releases, or no Generic Factors available"))</f>
        <v>N/A - Facility Does Not Report to TRI, no surface water releases, or no Generic Factors available</v>
      </c>
      <c r="AB402" s="113" t="str">
        <f t="shared" si="40"/>
        <v>N/A</v>
      </c>
      <c r="AC402" s="136" t="str" cm="1">
        <f t="array" ref="AC402">IF(COUNTIF('Raw Annual DMR Data'!K:K,$E402)&gt;0,"N/A - See DMRs",IF(SUMIFS('Raw TRI Data'!$Z:$Z,'Raw TRI Data'!$J:$J,$E402)&gt;0,INDEX('Raw TRI Data'!$A:$A,MATCH(1,($E402='Raw TRI Data'!$J:$J)*($AA402='Raw TRI Data'!$Z:$Z),0)), "N/A - Facility Does Not Report to TRI, no surface water releases, or no Generic Factors available"))</f>
        <v>N/A - Facility Does Not Report to TRI, no surface water releases, or no Generic Factors available</v>
      </c>
      <c r="AD402" s="96" t="str" cm="1">
        <f t="array" ref="AD402">IF(COUNTIFS('Raw Annual DMR Data'!L:L,$F402,'Raw Annual DMR Data'!W:W, "&gt;0")&gt;0,MEDIAN(IF('Raw Annual DMR Data'!K:K=$F402, 'Raw Annual DMR Data'!W:W)), "N/A - No Daily Max DMR Discharge Data")</f>
        <v>N/A - No Daily Max DMR Discharge Data</v>
      </c>
      <c r="AE402" s="96" t="str">
        <f>IF(COUNTIFS('Raw Annual DMR Data'!L:L,$F402,'Raw Annual DMR Data'!W:W, "&gt;0")&gt;0,_xlfn.MAXIFS('Raw Annual DMR Data'!W:W,'Raw Annual DMR Data'!L:L,$F402), "N/A - No Daily Max DMR Discharge Data")</f>
        <v>N/A - No Daily Max DMR Discharge Data</v>
      </c>
      <c r="AF402" s="60" t="str" cm="1">
        <f t="array" ref="AF402">IF(COUNTIFS('Raw Annual DMR Data'!L:L,$F402,'Raw Annual DMR Data'!W:W, "&gt;0")&gt;0,INDEX('Raw Annual DMR Data'!B:B,MATCH(1,($F402='Raw Annual DMR Data'!L:L)*($AE402='Raw Annual DMR Data'!W:W),0)), "N/A - No Daily Max DMR Discharge Data")</f>
        <v>N/A - No Daily Max DMR Discharge Data</v>
      </c>
    </row>
    <row r="403" spans="1:32" ht="30.75" thickBot="1" x14ac:dyDescent="0.3">
      <c r="A403" s="144" t="str">
        <f>VLOOKUP(F403,'Facility Summary'!J:K,2,FALSE)</f>
        <v>Unknown</v>
      </c>
      <c r="B403" s="28" t="s">
        <v>1442</v>
      </c>
      <c r="C403" s="28" t="s">
        <v>1443</v>
      </c>
      <c r="D403" s="28" t="s">
        <v>450</v>
      </c>
      <c r="E403" s="28" t="s">
        <v>740</v>
      </c>
      <c r="F403" s="61">
        <v>110000327799</v>
      </c>
      <c r="G403" s="60" t="str">
        <f>VLOOKUP($F403, 'Raw Annual DMR Data'!$A:$Z, 24, FALSE)</f>
        <v>NY0002402</v>
      </c>
      <c r="H403" s="60" t="str">
        <f>VLOOKUP($F403, 'Raw Annual DMR Data'!$A:$Z, 25, FALSE)</f>
        <v>MILL CK TR</v>
      </c>
      <c r="I403" s="74">
        <f>VLOOKUP($F403, 'Raw Annual DMR Data'!$A:$Z, 26, FALSE)</f>
        <v>4140101000567</v>
      </c>
      <c r="J403" s="74" t="s">
        <v>265</v>
      </c>
      <c r="K403" s="60">
        <f>VLOOKUP(A403, 'OES Summary'!$A:$B, 2, FALSE)</f>
        <v>250</v>
      </c>
      <c r="L403" s="304" cm="1">
        <f t="array" ref="L403">IF(COUNTIF('Raw Annual DMR Data'!$L:$L,$F403)&gt;0,MEDIAN(IF('Raw Annual DMR Data'!$L:$L=F403,'Raw Annual DMR Data'!$S:$S)),"N/A - Facility Does Not Report DMRs")</f>
        <v>7.8895600109681802E-2</v>
      </c>
      <c r="M403" s="156">
        <f t="shared" si="38"/>
        <v>3.1558240043872722E-4</v>
      </c>
      <c r="N403" s="156">
        <f>IF(COUNTIF('Raw Annual DMR Data'!$L:$L,$F403)&gt;0,_xlfn.MAXIFS('Raw Annual DMR Data'!$S:$S,'Raw Annual DMR Data'!$L:$L,$F403), "N/A - Facility Does Not Report DMRs")</f>
        <v>0.21598643833699999</v>
      </c>
      <c r="O403" s="156">
        <f t="shared" si="39"/>
        <v>8.6394575334799995E-4</v>
      </c>
      <c r="P403" s="113" cm="1">
        <f t="array" ref="P403">IF(COUNTIF('Raw Annual DMR Data'!$L:$L,$F403)&gt;0,INDEX('Raw Annual DMR Data'!$B:$B,MATCH(1,($F403='Raw Annual DMR Data'!$L:$L)*($N403='Raw Annual DMR Data'!$S:$S),0)), "N/A - Facility Does Not Report DMRs")</f>
        <v>2020</v>
      </c>
      <c r="Q403" s="304" t="str" cm="1">
        <f t="array" ref="Q403">IF(COUNTIF('Raw TRI Data'!$J:$J,$E403)&gt;0,MEDIAN(IF('Raw TRI Data'!$J:$J=E403,'Raw TRI Data'!$S:$S)), "N/A - Facility Does Not Report to TRI")</f>
        <v>N/A - Facility Does Not Report to TRI</v>
      </c>
      <c r="R403" s="156" t="str">
        <f t="shared" si="36"/>
        <v>N/A - Facility Does Not Report to TRI</v>
      </c>
      <c r="S403" s="156" t="str">
        <f>IF(COUNTIF('Raw TRI Data'!$J:$J,$E403)&gt;0,_xlfn.MAXIFS('Raw TRI Data'!$S:$S,'Raw TRI Data'!$J:$J,$E403), "N/A - Facility Does Not Report to TRI")</f>
        <v>N/A - Facility Does Not Report to TRI</v>
      </c>
      <c r="T403" s="156" t="str">
        <f t="shared" si="37"/>
        <v>N/A - Facility Does Not Report to TRI</v>
      </c>
      <c r="U403" s="136" t="str" cm="1">
        <f t="array" ref="U403">IF(COUNTIF('Raw TRI Data'!$J:$J,$E403)&gt;0,INDEX('Raw TRI Data'!$A:$A,MATCH(1,($E403='Raw TRI Data'!$J:$J)*(S403='Raw TRI Data'!$S:$S),0)), "N/A - Facility Does Not Report to TRI")</f>
        <v>N/A - Facility Does Not Report to TRI</v>
      </c>
      <c r="V403" s="156" t="str" cm="1">
        <f t="array" ref="V403">IF(COUNTIFS('Raw Annual DMR Data'!$L:$L,$F403,'Raw Annual DMR Data'!$U:$U,"&gt;0")&gt;0,MEDIAN(IF('Raw Annual DMR Data'!$L:$L=$F403,'Raw Annual DMR Data'!$U:$U,"")),"N/A - Period DMR Data Not Available")</f>
        <v>N/A - Period DMR Data Not Available</v>
      </c>
      <c r="W403" s="156" t="str">
        <f>IF(COUNTIFS('Raw Annual DMR Data'!$L:$L,$F403, 'Raw Annual DMR Data'!$U:$U, "&gt;0")&gt;0,_xlfn.MAXIFS('Raw Annual DMR Data'!$U:$U,'Raw Annual DMR Data'!$L:$L,$F403), "N/A - Period DMR Data Not Available")</f>
        <v>N/A - Period DMR Data Not Available</v>
      </c>
      <c r="X403" s="113" t="str" cm="1">
        <f t="array" ref="X403">+IF(COUNTIFS('Raw Annual DMR Data'!L:L,$F403, 'Raw Annual DMR Data'!U:U, "&gt;0")&gt;0,INDEX('Raw Annual DMR Data'!V:V,MATCH(1,($F403='Raw Annual DMR Data'!L:L)*($W403='Raw Annual DMR Data'!U:U),0)), "N/A - Period DMR Data Not Available")</f>
        <v>N/A - Period DMR Data Not Available</v>
      </c>
      <c r="Y403" s="113" t="str" cm="1">
        <f t="array" ref="Y403">IF(COUNTIFS('Raw Annual DMR Data'!L:L,$F403, 'Raw Annual DMR Data'!U:U, "&gt;0")&gt;0,INDEX('Raw Annual DMR Data'!B:B,MATCH(1,($F403='Raw Annual DMR Data'!L:L)*($W403='Raw Annual DMR Data'!U:U),0)), "N/A - Period DMR Data Not Available")</f>
        <v>N/A - Period DMR Data Not Available</v>
      </c>
      <c r="Z403" s="311" t="str" cm="1">
        <f t="array" ref="Z403">IF(COUNTIF('Raw Annual DMR Data'!K:K,$E403)&gt;0,"N/A - See DMRs",IF(SUMIFS('Raw TRI Data'!$Z:$Z,'Raw TRI Data'!$J:$J,$E403)&gt;0,MEDIAN(IF('Raw TRI Data'!$J:$J=$E403,'Raw TRI Data'!$Z:$Z)), "N/A - Facility Does Not Report to TRI, no surface water releases, or no Generic Factors available"))</f>
        <v>N/A - See DMRs</v>
      </c>
      <c r="AA403" s="156" t="str">
        <f>IF(COUNTIF('Raw Annual DMR Data'!K:K,$E403)&gt;0,"N/A - See DMRs",IF(SUMIFS('Raw TRI Data'!$Z:$Z,'Raw TRI Data'!$J:$J,$E403)&gt;0,_xlfn.MAXIFS('Raw TRI Data'!$Z:$Z,'Raw TRI Data'!$J:$J,$E403), "N/A - Facility Does Not Report to TRI, no surface water releases, or no Generic Factors available"))</f>
        <v>N/A - See DMRs</v>
      </c>
      <c r="AB403" s="113" t="str">
        <f t="shared" si="40"/>
        <v>N/A</v>
      </c>
      <c r="AC403" s="136" t="str" cm="1">
        <f t="array" ref="AC403">IF(COUNTIF('Raw Annual DMR Data'!K:K,$E403)&gt;0,"N/A - See DMRs",IF(SUMIFS('Raw TRI Data'!$Z:$Z,'Raw TRI Data'!$J:$J,$E403)&gt;0,INDEX('Raw TRI Data'!$A:$A,MATCH(1,($E403='Raw TRI Data'!$J:$J)*($AA403='Raw TRI Data'!$Z:$Z),0)), "N/A - Facility Does Not Report to TRI, no surface water releases, or no Generic Factors available"))</f>
        <v>N/A - See DMRs</v>
      </c>
      <c r="AD403" s="96" t="str" cm="1">
        <f t="array" ref="AD403">IF(COUNTIFS('Raw Annual DMR Data'!L:L,$F403,'Raw Annual DMR Data'!W:W, "&gt;0")&gt;0,MEDIAN(IF('Raw Annual DMR Data'!K:K=$F403, 'Raw Annual DMR Data'!W:W)), "N/A - No Daily Max DMR Discharge Data")</f>
        <v>N/A - No Daily Max DMR Discharge Data</v>
      </c>
      <c r="AE403" s="96" t="str">
        <f>IF(COUNTIFS('Raw Annual DMR Data'!L:L,$F403,'Raw Annual DMR Data'!W:W, "&gt;0")&gt;0,_xlfn.MAXIFS('Raw Annual DMR Data'!W:W,'Raw Annual DMR Data'!L:L,$F403), "N/A - No Daily Max DMR Discharge Data")</f>
        <v>N/A - No Daily Max DMR Discharge Data</v>
      </c>
      <c r="AF403" s="60" t="str" cm="1">
        <f t="array" ref="AF403">IF(COUNTIFS('Raw Annual DMR Data'!L:L,$F403,'Raw Annual DMR Data'!W:W, "&gt;0")&gt;0,INDEX('Raw Annual DMR Data'!B:B,MATCH(1,($F403='Raw Annual DMR Data'!L:L)*($AE403='Raw Annual DMR Data'!W:W),0)), "N/A - No Daily Max DMR Discharge Data")</f>
        <v>N/A - No Daily Max DMR Discharge Data</v>
      </c>
    </row>
    <row r="404" spans="1:32" ht="45.75" thickBot="1" x14ac:dyDescent="0.3">
      <c r="A404" s="144" t="str">
        <f>VLOOKUP(F404,'Facility Summary'!J:K,2,FALSE)</f>
        <v>POTW</v>
      </c>
      <c r="B404" s="28" t="s">
        <v>1444</v>
      </c>
      <c r="C404" s="28" t="s">
        <v>1445</v>
      </c>
      <c r="D404" s="28" t="s">
        <v>366</v>
      </c>
      <c r="E404" s="28"/>
      <c r="F404" s="61">
        <v>110000524987</v>
      </c>
      <c r="G404" s="60" t="str">
        <f>VLOOKUP($F404, 'Raw Annual DMR Data'!$A:$Z, 24, FALSE)</f>
        <v>CA0079260</v>
      </c>
      <c r="H404" s="60" t="str">
        <f>VLOOKUP($F404, 'Raw Annual DMR Data'!$A:$Z, 25, FALSE)</f>
        <v>FEATHER RIVER, FEATHER RIVER VIA DIFFUSER, FEATHER RIVER VIA DIRECT DISCHARGE, FEATHER RIVER VIA DISPOSAL PONDS</v>
      </c>
      <c r="I404" s="74">
        <f>VLOOKUP($F404, 'Raw Annual DMR Data'!$A:$Z, 26, FALSE)</f>
        <v>18020159005373</v>
      </c>
      <c r="J404" s="74" t="s">
        <v>265</v>
      </c>
      <c r="K404" s="60">
        <f>VLOOKUP(A404, 'OES Summary'!$A:$B, 2, FALSE)</f>
        <v>365</v>
      </c>
      <c r="L404" s="304" cm="1">
        <f t="array" ref="L404">IF(COUNTIF('Raw Annual DMR Data'!$L:$L,$F404)&gt;0,MEDIAN(IF('Raw Annual DMR Data'!$L:$L=F404,'Raw Annual DMR Data'!$S:$S)),"N/A - Facility Does Not Report DMRs")</f>
        <v>0.86468688360000001</v>
      </c>
      <c r="M404" s="156">
        <f t="shared" si="38"/>
        <v>2.3690051605479451E-3</v>
      </c>
      <c r="N404" s="156">
        <f>IF(COUNTIF('Raw Annual DMR Data'!$L:$L,$F404)&gt;0,_xlfn.MAXIFS('Raw Annual DMR Data'!$S:$S,'Raw Annual DMR Data'!$L:$L,$F404), "N/A - Facility Does Not Report DMRs")</f>
        <v>0.86468688360000001</v>
      </c>
      <c r="O404" s="156">
        <f t="shared" si="39"/>
        <v>2.3690051605479451E-3</v>
      </c>
      <c r="P404" s="113" cm="1">
        <f t="array" ref="P404">IF(COUNTIF('Raw Annual DMR Data'!$L:$L,$F404)&gt;0,INDEX('Raw Annual DMR Data'!$B:$B,MATCH(1,($F404='Raw Annual DMR Data'!$L:$L)*($N404='Raw Annual DMR Data'!$S:$S),0)), "N/A - Facility Does Not Report DMRs")</f>
        <v>2017</v>
      </c>
      <c r="Q404" s="304" t="str" cm="1">
        <f t="array" ref="Q404">IF(COUNTIF('Raw TRI Data'!$J:$J,$E404)&gt;0,MEDIAN(IF('Raw TRI Data'!$J:$J=E404,'Raw TRI Data'!$S:$S)), "N/A - Facility Does Not Report to TRI")</f>
        <v>N/A - Facility Does Not Report to TRI</v>
      </c>
      <c r="R404" s="156" t="str">
        <f t="shared" si="36"/>
        <v>N/A - Facility Does Not Report to TRI</v>
      </c>
      <c r="S404" s="156" t="str">
        <f>IF(COUNTIF('Raw TRI Data'!$J:$J,$E404)&gt;0,_xlfn.MAXIFS('Raw TRI Data'!$S:$S,'Raw TRI Data'!$J:$J,$E404), "N/A - Facility Does Not Report to TRI")</f>
        <v>N/A - Facility Does Not Report to TRI</v>
      </c>
      <c r="T404" s="156" t="str">
        <f t="shared" si="37"/>
        <v>N/A - Facility Does Not Report to TRI</v>
      </c>
      <c r="U404" s="136" t="str" cm="1">
        <f t="array" ref="U404">IF(COUNTIF('Raw TRI Data'!$J:$J,$E404)&gt;0,INDEX('Raw TRI Data'!$A:$A,MATCH(1,($E404='Raw TRI Data'!$J:$J)*(S404='Raw TRI Data'!$S:$S),0)), "N/A - Facility Does Not Report to TRI")</f>
        <v>N/A - Facility Does Not Report to TRI</v>
      </c>
      <c r="V404" s="156" t="str" cm="1">
        <f t="array" ref="V404">IF(COUNTIFS('Raw Annual DMR Data'!$L:$L,$F404,'Raw Annual DMR Data'!$U:$U,"&gt;0")&gt;0,MEDIAN(IF('Raw Annual DMR Data'!$L:$L=$F404,'Raw Annual DMR Data'!$U:$U,"")),"N/A - Period DMR Data Not Available")</f>
        <v>N/A - Period DMR Data Not Available</v>
      </c>
      <c r="W404" s="156" t="str">
        <f>IF(COUNTIFS('Raw Annual DMR Data'!$L:$L,$F404, 'Raw Annual DMR Data'!$U:$U, "&gt;0")&gt;0,_xlfn.MAXIFS('Raw Annual DMR Data'!$U:$U,'Raw Annual DMR Data'!$L:$L,$F404), "N/A - Period DMR Data Not Available")</f>
        <v>N/A - Period DMR Data Not Available</v>
      </c>
      <c r="X404" s="113" t="str" cm="1">
        <f t="array" ref="X404">+IF(COUNTIFS('Raw Annual DMR Data'!L:L,$F404, 'Raw Annual DMR Data'!U:U, "&gt;0")&gt;0,INDEX('Raw Annual DMR Data'!V:V,MATCH(1,($F404='Raw Annual DMR Data'!L:L)*($W404='Raw Annual DMR Data'!U:U),0)), "N/A - Period DMR Data Not Available")</f>
        <v>N/A - Period DMR Data Not Available</v>
      </c>
      <c r="Y404" s="113" t="str" cm="1">
        <f t="array" ref="Y404">IF(COUNTIFS('Raw Annual DMR Data'!L:L,$F404, 'Raw Annual DMR Data'!U:U, "&gt;0")&gt;0,INDEX('Raw Annual DMR Data'!B:B,MATCH(1,($F404='Raw Annual DMR Data'!L:L)*($W404='Raw Annual DMR Data'!U:U),0)), "N/A - Period DMR Data Not Available")</f>
        <v>N/A - Period DMR Data Not Available</v>
      </c>
      <c r="Z404" s="311" t="str" cm="1">
        <f t="array" ref="Z404">IF(COUNTIF('Raw Annual DMR Data'!K:K,$E404)&gt;0,"N/A - See DMRs",IF(SUMIFS('Raw TRI Data'!$Z:$Z,'Raw TRI Data'!$J:$J,$E404)&gt;0,MEDIAN(IF('Raw TRI Data'!$J:$J=$E404,'Raw TRI Data'!$Z:$Z)), "N/A - Facility Does Not Report to TRI, no surface water releases, or no Generic Factors available"))</f>
        <v>N/A - Facility Does Not Report to TRI, no surface water releases, or no Generic Factors available</v>
      </c>
      <c r="AA404" s="156" t="str">
        <f>IF(COUNTIF('Raw Annual DMR Data'!K:K,$E404)&gt;0,"N/A - See DMRs",IF(SUMIFS('Raw TRI Data'!$Z:$Z,'Raw TRI Data'!$J:$J,$E404)&gt;0,_xlfn.MAXIFS('Raw TRI Data'!$Z:$Z,'Raw TRI Data'!$J:$J,$E404), "N/A - Facility Does Not Report to TRI, no surface water releases, or no Generic Factors available"))</f>
        <v>N/A - Facility Does Not Report to TRI, no surface water releases, or no Generic Factors available</v>
      </c>
      <c r="AB404" s="113" t="str">
        <f t="shared" si="40"/>
        <v>N/A</v>
      </c>
      <c r="AC404" s="136" t="str" cm="1">
        <f t="array" ref="AC404">IF(COUNTIF('Raw Annual DMR Data'!K:K,$E404)&gt;0,"N/A - See DMRs",IF(SUMIFS('Raw TRI Data'!$Z:$Z,'Raw TRI Data'!$J:$J,$E404)&gt;0,INDEX('Raw TRI Data'!$A:$A,MATCH(1,($E404='Raw TRI Data'!$J:$J)*($AA404='Raw TRI Data'!$Z:$Z),0)), "N/A - Facility Does Not Report to TRI, no surface water releases, or no Generic Factors available"))</f>
        <v>N/A - Facility Does Not Report to TRI, no surface water releases, or no Generic Factors available</v>
      </c>
      <c r="AD404" s="96" t="str" cm="1">
        <f t="array" ref="AD404">IF(COUNTIFS('Raw Annual DMR Data'!L:L,$F404,'Raw Annual DMR Data'!W:W, "&gt;0")&gt;0,MEDIAN(IF('Raw Annual DMR Data'!K:K=$F404, 'Raw Annual DMR Data'!W:W)), "N/A - No Daily Max DMR Discharge Data")</f>
        <v>N/A - No Daily Max DMR Discharge Data</v>
      </c>
      <c r="AE404" s="96" t="str">
        <f>IF(COUNTIFS('Raw Annual DMR Data'!L:L,$F404,'Raw Annual DMR Data'!W:W, "&gt;0")&gt;0,_xlfn.MAXIFS('Raw Annual DMR Data'!W:W,'Raw Annual DMR Data'!L:L,$F404), "N/A - No Daily Max DMR Discharge Data")</f>
        <v>N/A - No Daily Max DMR Discharge Data</v>
      </c>
      <c r="AF404" s="60" t="str" cm="1">
        <f t="array" ref="AF404">IF(COUNTIFS('Raw Annual DMR Data'!L:L,$F404,'Raw Annual DMR Data'!W:W, "&gt;0")&gt;0,INDEX('Raw Annual DMR Data'!B:B,MATCH(1,($F404='Raw Annual DMR Data'!L:L)*($AE404='Raw Annual DMR Data'!W:W),0)), "N/A - No Daily Max DMR Discharge Data")</f>
        <v>N/A - No Daily Max DMR Discharge Data</v>
      </c>
    </row>
    <row r="405" spans="1:32" ht="45" x14ac:dyDescent="0.25">
      <c r="A405" s="144" t="str">
        <f>VLOOKUP(F405,'Facility Summary'!J:K,2,FALSE)</f>
        <v>Unknown</v>
      </c>
      <c r="B405" s="28" t="s">
        <v>1446</v>
      </c>
      <c r="C405" s="28" t="s">
        <v>1228</v>
      </c>
      <c r="D405" s="28" t="s">
        <v>1128</v>
      </c>
      <c r="E405" s="28"/>
      <c r="F405" s="61">
        <v>110070159157</v>
      </c>
      <c r="G405" s="60" t="str">
        <f>VLOOKUP($F405, 'Raw Annual DMR Data'!$A:$Z, 24, FALSE)</f>
        <v>CO0049007</v>
      </c>
      <c r="H405" s="60" t="str">
        <f>VLOOKUP($F405, 'Raw Annual DMR Data'!$A:$Z, 25, FALSE)</f>
        <v>SOUTH PLATTE RIVER</v>
      </c>
      <c r="I405" s="74">
        <f>VLOOKUP($F405, 'Raw Annual DMR Data'!$A:$Z, 26, FALSE)</f>
        <v>10190003001175</v>
      </c>
      <c r="J405" s="74" t="s">
        <v>265</v>
      </c>
      <c r="K405" s="60">
        <f>VLOOKUP(A405, 'OES Summary'!$A:$B, 2, FALSE)</f>
        <v>250</v>
      </c>
      <c r="L405" s="304" cm="1">
        <f t="array" ref="L405">IF(COUNTIF('Raw Annual DMR Data'!$L:$L,$F405)&gt;0,MEDIAN(IF('Raw Annual DMR Data'!$L:$L=F405,'Raw Annual DMR Data'!$S:$S)),"N/A - Facility Does Not Report DMRs")</f>
        <v>5.4844650000000002E-4</v>
      </c>
      <c r="M405" s="156">
        <f t="shared" si="38"/>
        <v>2.1937860000000001E-6</v>
      </c>
      <c r="N405" s="156">
        <f>IF(COUNTIF('Raw Annual DMR Data'!$L:$L,$F405)&gt;0,_xlfn.MAXIFS('Raw Annual DMR Data'!$S:$S,'Raw Annual DMR Data'!$L:$L,$F405), "N/A - Facility Does Not Report DMRs")</f>
        <v>5.4844650000000002E-4</v>
      </c>
      <c r="O405" s="156">
        <f t="shared" si="39"/>
        <v>2.1937860000000001E-6</v>
      </c>
      <c r="P405" s="113" cm="1">
        <f t="array" ref="P405">IF(COUNTIF('Raw Annual DMR Data'!$L:$L,$F405)&gt;0,INDEX('Raw Annual DMR Data'!$B:$B,MATCH(1,($F405='Raw Annual DMR Data'!$L:$L)*($N405='Raw Annual DMR Data'!$S:$S),0)), "N/A - Facility Does Not Report DMRs")</f>
        <v>2018</v>
      </c>
      <c r="Q405" s="304" t="str" cm="1">
        <f t="array" ref="Q405">IF(COUNTIF('Raw TRI Data'!$J:$J,$E405)&gt;0,MEDIAN(IF('Raw TRI Data'!$J:$J=E405,'Raw TRI Data'!$S:$S)), "N/A - Facility Does Not Report to TRI")</f>
        <v>N/A - Facility Does Not Report to TRI</v>
      </c>
      <c r="R405" s="156" t="str">
        <f t="shared" ref="R405" si="41">IFERROR(+Q405/$K405, "N/A - Facility Does Not Report to TRI")</f>
        <v>N/A - Facility Does Not Report to TRI</v>
      </c>
      <c r="S405" s="156" t="str">
        <f>IF(COUNTIF('Raw TRI Data'!$J:$J,$E405)&gt;0,_xlfn.MAXIFS('Raw TRI Data'!$S:$S,'Raw TRI Data'!$J:$J,$E405), "N/A - Facility Does Not Report to TRI")</f>
        <v>N/A - Facility Does Not Report to TRI</v>
      </c>
      <c r="T405" s="156" t="str">
        <f t="shared" ref="T405" si="42">IFERROR(+S405/$K405, "N/A - Facility Does Not Report to TRI")</f>
        <v>N/A - Facility Does Not Report to TRI</v>
      </c>
      <c r="U405" s="136" t="str" cm="1">
        <f t="array" ref="U405">IF(COUNTIF('Raw TRI Data'!$J:$J,$E405)&gt;0,INDEX('Raw TRI Data'!$A:$A,MATCH(1,($E405='Raw TRI Data'!$J:$J)*(S405='Raw TRI Data'!$S:$S),0)), "N/A - Facility Does Not Report to TRI")</f>
        <v>N/A - Facility Does Not Report to TRI</v>
      </c>
      <c r="V405" s="156" t="str" cm="1">
        <f t="array" ref="V405">IF(COUNTIFS('Raw Annual DMR Data'!$L:$L,$F405,'Raw Annual DMR Data'!$U:$U,"&gt;0")&gt;0,MEDIAN(IF('Raw Annual DMR Data'!$L:$L=$F405,'Raw Annual DMR Data'!$U:$U,"")),"N/A - Period DMR Data Not Available")</f>
        <v>N/A - Period DMR Data Not Available</v>
      </c>
      <c r="W405" s="156" t="str">
        <f>IF(COUNTIFS('Raw Annual DMR Data'!$L:$L,$F405, 'Raw Annual DMR Data'!$U:$U, "&gt;0")&gt;0,_xlfn.MAXIFS('Raw Annual DMR Data'!$U:$U,'Raw Annual DMR Data'!$L:$L,$F405), "N/A - Period DMR Data Not Available")</f>
        <v>N/A - Period DMR Data Not Available</v>
      </c>
      <c r="X405" s="113" t="str" cm="1">
        <f t="array" ref="X405">+IF(COUNTIFS('Raw Annual DMR Data'!L:L,$F405, 'Raw Annual DMR Data'!U:U, "&gt;0")&gt;0,INDEX('Raw Annual DMR Data'!V:V,MATCH(1,($F405='Raw Annual DMR Data'!L:L)*($W405='Raw Annual DMR Data'!U:U),0)), "N/A - Period DMR Data Not Available")</f>
        <v>N/A - Period DMR Data Not Available</v>
      </c>
      <c r="Y405" s="113" t="str" cm="1">
        <f t="array" ref="Y405">IF(COUNTIFS('Raw Annual DMR Data'!L:L,$F405, 'Raw Annual DMR Data'!U:U, "&gt;0")&gt;0,INDEX('Raw Annual DMR Data'!B:B,MATCH(1,($F405='Raw Annual DMR Data'!L:L)*($W405='Raw Annual DMR Data'!U:U),0)), "N/A - Period DMR Data Not Available")</f>
        <v>N/A - Period DMR Data Not Available</v>
      </c>
      <c r="Z405" s="311" t="str" cm="1">
        <f t="array" ref="Z405">IF(COUNTIF('Raw Annual DMR Data'!K:K,$E405)&gt;0,"N/A - See DMRs",IF(SUMIFS('Raw TRI Data'!$Z:$Z,'Raw TRI Data'!$J:$J,$E405)&gt;0,MEDIAN(IF('Raw TRI Data'!$J:$J=$E405,'Raw TRI Data'!$Z:$Z)), "N/A - Facility Does Not Report to TRI, no surface water releases, or no Generic Factors available"))</f>
        <v>N/A - Facility Does Not Report to TRI, no surface water releases, or no Generic Factors available</v>
      </c>
      <c r="AA405" s="156" t="str">
        <f>IF(COUNTIF('Raw Annual DMR Data'!K:K,$E405)&gt;0,"N/A - See DMRs",IF(SUMIFS('Raw TRI Data'!$Z:$Z,'Raw TRI Data'!$J:$J,$E405)&gt;0,_xlfn.MAXIFS('Raw TRI Data'!$Z:$Z,'Raw TRI Data'!$J:$J,$E405), "N/A - Facility Does Not Report to TRI, no surface water releases, or no Generic Factors available"))</f>
        <v>N/A - Facility Does Not Report to TRI, no surface water releases, or no Generic Factors available</v>
      </c>
      <c r="AB405" s="113" t="str">
        <f t="shared" si="40"/>
        <v>N/A</v>
      </c>
      <c r="AC405" s="136" t="str" cm="1">
        <f t="array" ref="AC405">IF(COUNTIF('Raw Annual DMR Data'!K:K,$E405)&gt;0,"N/A - See DMRs",IF(SUMIFS('Raw TRI Data'!$Z:$Z,'Raw TRI Data'!$J:$J,$E405)&gt;0,INDEX('Raw TRI Data'!$A:$A,MATCH(1,($E405='Raw TRI Data'!$J:$J)*($AA405='Raw TRI Data'!$Z:$Z),0)), "N/A - Facility Does Not Report to TRI, no surface water releases, or no Generic Factors available"))</f>
        <v>N/A - Facility Does Not Report to TRI, no surface water releases, or no Generic Factors available</v>
      </c>
      <c r="AD405" s="96" t="str" cm="1">
        <f t="array" ref="AD405">IF(COUNTIFS('Raw Annual DMR Data'!L:L,$F405,'Raw Annual DMR Data'!W:W, "&gt;0")&gt;0,MEDIAN(IF('Raw Annual DMR Data'!K:K=$F405, 'Raw Annual DMR Data'!W:W)), "N/A - No Daily Max DMR Discharge Data")</f>
        <v>N/A - No Daily Max DMR Discharge Data</v>
      </c>
      <c r="AE405" s="96" t="str">
        <f>IF(COUNTIFS('Raw Annual DMR Data'!L:L,$F405,'Raw Annual DMR Data'!W:W, "&gt;0")&gt;0,_xlfn.MAXIFS('Raw Annual DMR Data'!W:W,'Raw Annual DMR Data'!L:L,$F405), "N/A - No Daily Max DMR Discharge Data")</f>
        <v>N/A - No Daily Max DMR Discharge Data</v>
      </c>
      <c r="AF405" s="60" t="str" cm="1">
        <f t="array" ref="AF405">IF(COUNTIFS('Raw Annual DMR Data'!L:L,$F405,'Raw Annual DMR Data'!W:W, "&gt;0")&gt;0,INDEX('Raw Annual DMR Data'!B:B,MATCH(1,($F405='Raw Annual DMR Data'!L:L)*($AE405='Raw Annual DMR Data'!W:W),0)), "N/A - No Daily Max DMR Discharge Data")</f>
        <v>N/A - No Daily Max DMR Discharge Data</v>
      </c>
    </row>
  </sheetData>
  <sheetProtection sheet="1" objects="1" scenarios="1" formatCells="0" formatColumns="0" formatRows="0"/>
  <autoFilter ref="A3:AI405" xr:uid="{B0650E4B-BE99-4D18-9F73-4A4D50EDE5B7}"/>
  <mergeCells count="10">
    <mergeCell ref="Q2:U2"/>
    <mergeCell ref="L2:P2"/>
    <mergeCell ref="L1:U1"/>
    <mergeCell ref="AG4:AI77"/>
    <mergeCell ref="AG2:AI2"/>
    <mergeCell ref="V1:AC1"/>
    <mergeCell ref="V2:Y2"/>
    <mergeCell ref="Z2:AC2"/>
    <mergeCell ref="AD2:AF2"/>
    <mergeCell ref="AD1:AI1"/>
  </mergeCells>
  <phoneticPr fontId="7" type="noConversion"/>
  <pageMargins left="0.7" right="0.7" top="0.75" bottom="0.75" header="0.3" footer="0.3"/>
  <pageSetup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ad8da0f-3542-4e50-96c8-f1f698624e86">
      <Terms xmlns="http://schemas.microsoft.com/office/infopath/2007/PartnerControls"/>
    </lcf76f155ced4ddcb4097134ff3c332f>
    <TaxCatchAll xmlns="4ffa91fb-a0ff-4ac5-b2db-65c790d184a4">
      <Value>1671</Value>
      <Value>1673</Value>
      <Value>1456</Value>
    </TaxCatchAll>
    <_Source xmlns="http://schemas.microsoft.com/sharepoint/v3/fields" xsi:nil="true"/>
    <Language xmlns="http://schemas.microsoft.com/sharepoint/v3">English</Language>
    <_ip_UnifiedCompliancePolicyUIAction xmlns="http://schemas.microsoft.com/sharepoint/v3" xsi:nil="tru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12Dichloroethane</TermName>
          <TermId xmlns="http://schemas.microsoft.com/office/infopath/2007/PartnerControls">b26867e0-e188-4d8d-b848-2e1a306b3e93</TermId>
        </TermInfo>
        <TermInfo xmlns="http://schemas.microsoft.com/office/infopath/2007/PartnerControls">
          <TermName xmlns="http://schemas.microsoft.com/office/infopath/2007/PartnerControls">water releases</TermName>
          <TermId xmlns="http://schemas.microsoft.com/office/infopath/2007/PartnerControls">589b9c8a-bb09-47e1-aafe-9e150071a8de</TermId>
        </TermInfo>
        <TermInfo xmlns="http://schemas.microsoft.com/office/infopath/2007/PartnerControls">
          <TermName xmlns="http://schemas.microsoft.com/office/infopath/2007/PartnerControls">CASRN 107-06-2</TermName>
          <TermId xmlns="http://schemas.microsoft.com/office/infopath/2007/PartnerControls">f01d8752-e9a4-4691-bb25-53c3aaed59fd</TermId>
        </TermInfo>
      </Terms>
    </TaxKeywordTaxHTField>
    <Record xmlns="4ffa91fb-a0ff-4ac5-b2db-65c790d184a4">Shared</Record>
    <_ip_UnifiedCompliancePolicyProperties xmlns="http://schemas.microsoft.com/sharepoint/v3" xsi:nil="true"/>
    <Rights xmlns="4ffa91fb-a0ff-4ac5-b2db-65c790d184a4" xsi:nil="true"/>
    <Document_x0020_Creation_x0020_Date xmlns="4ffa91fb-a0ff-4ac5-b2db-65c790d184a4">2026-04-13T18:19:31+00:00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documentManagement>
</p:properties>
</file>

<file path=customXml/item2.xml>��< ? x m l   v e r s i o n = " 1 . 0 "   e n c o d i n g = " u t f - 1 6 " ? > < D a t a M a s h u p   x m l n s = " h t t p : / / s c h e m a s . m i c r o s o f t . c o m / D a t a M a s h u p " > A A A A A B M D A A B Q S w M E F A A C A A g A S H Q 1 V W p 7 9 T q j A A A A 9 g A A A B I A H A B D b 2 5 m a W c v U G F j a 2 F n Z S 5 4 b W w g o h g A K K A U A A A A A A A A A A A A A A A A A A A A A A A A A A A A h Y + x D o I w F E V / h X S n L X X Q k E c Z X C U x I R r X B i o 0 w s P Q Y v k 3 B z / J X x C j q J v j P f c M 9 9 6 v N 0 j H t g k u u r e m w 4 R E l J N A Y 9 G V B q u E D O 4 Y r k g q Y a u K k 6 p 0 M M l o 4 9 G W C a m d O 8 e M e e + p X 9 C u r 5 j g P G K H b J M X t W 4 V + c j m v x w a t E 5 h o Y m E / W u M F D T i S y r 4 t A n Y D C E z + B X E 1 D 3 b H w j r o X F D r 6 X G c J c D m y O w 9 w f 5 A F B L A w Q U A A I A C A B I d D V 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H Q 1 V S i K R 7 g O A A A A E Q A A A B M A H A B G b 3 J t d W x h c y 9 T Z W N 0 a W 9 u M S 5 t I K I Y A C i g F A A A A A A A A A A A A A A A A A A A A A A A A A A A A C t O T S 7 J z M 9 T C I b Q h t Y A U E s B A i 0 A F A A C A A g A S H Q 1 V W p 7 9 T q j A A A A 9 g A A A B I A A A A A A A A A A A A A A A A A A A A A A E N v b m Z p Z y 9 Q Y W N r Y W d l L n h t b F B L A Q I t A B Q A A g A I A E h 0 N V U P y u m r p A A A A O k A A A A T A A A A A A A A A A A A A A A A A O 8 A A A B b Q 2 9 u d G V u d F 9 U e X B l c 1 0 u e G 1 s U E s B A i 0 A F A A C A A g A S H Q 1 V S 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P U 4 9 r C o T W V H i L u f d u / 3 v i Y A A A A A A g A A A A A A E G Y A A A A B A A A g A A A A c q P S U 9 X W M 2 T L w p C F W q W Z c T i 9 F D P g q 3 b B W 9 e a / K p r y 3 0 A A A A A D o A A A A A C A A A g A A A A e 7 W F + t / 5 b N V v 9 M I 8 7 m e i A I P v e y + g z 5 2 1 l K Q F S Y f M a 8 p Q A A A A W r N N c F 4 O W e Q C b R m S 5 e q Q K u + 2 O 0 J s v 4 y D l G D Z h X A J 7 F L v E 3 C 4 i j p 8 B S s 4 o h K l 7 v k C u y 6 7 Z j p j V m t 0 K v Z M P p V q n q 1 0 V 2 b R G T e B K 2 o b / c L O f a d A A A A A l o 0 D E M o q u x U l P C a E q T o a j F q P J N W u h N 8 2 s F P K h U W 7 6 z x / 2 r k r 0 Q m d 1 F E / X 0 z X o k g C Z i O g S 6 c V g A 0 v i x a 6 f P x L A w = = < / 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5.xml><?xml version="1.0" encoding="utf-8"?>
<ct:contentTypeSchema xmlns:ct="http://schemas.microsoft.com/office/2006/metadata/contentType" xmlns:ma="http://schemas.microsoft.com/office/2006/metadata/properties/metaAttributes" ct:_="" ma:_="" ma:contentTypeName="Document" ma:contentTypeID="0x010100D723352F79007E408EFF44D6142FFCE2" ma:contentTypeVersion="21" ma:contentTypeDescription="Create a new document." ma:contentTypeScope="" ma:versionID="f7663de67ef2afa6df94d55ff7e56796">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fecc2597-e8fd-4279-ac06-bd7c891938be" xmlns:ns6="ead8da0f-3542-4e50-96c8-f1f698624e86" targetNamespace="http://schemas.microsoft.com/office/2006/metadata/properties" ma:root="true" ma:fieldsID="02cccc19423a0cd6fa028e0a1e544b83" ns1:_="" ns2:_="" ns3:_="" ns4:_="" ns5:_="" ns6:_="">
    <xsd:import namespace="http://schemas.microsoft.com/sharepoint/v3"/>
    <xsd:import namespace="4ffa91fb-a0ff-4ac5-b2db-65c790d184a4"/>
    <xsd:import namespace="http://schemas.microsoft.com/sharepoint.v3"/>
    <xsd:import namespace="http://schemas.microsoft.com/sharepoint/v3/fields"/>
    <xsd:import namespace="fecc2597-e8fd-4279-ac06-bd7c891938be"/>
    <xsd:import namespace="ead8da0f-3542-4e50-96c8-f1f698624e86"/>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element ref="ns6:MediaServiceAutoTags" minOccurs="0"/>
                <xsd:element ref="ns6:MediaServiceOCR" minOccurs="0"/>
                <xsd:element ref="ns6:MediaServiceGenerationTime" minOccurs="0"/>
                <xsd:element ref="ns6:MediaServiceEventHashCode" minOccurs="0"/>
                <xsd:element ref="ns1:_ip_UnifiedCompliancePolicyProperties" minOccurs="0"/>
                <xsd:element ref="ns1:_ip_UnifiedCompliancePolicyUIAction" minOccurs="0"/>
                <xsd:element ref="ns6:lcf76f155ced4ddcb4097134ff3c332f" minOccurs="0"/>
                <xsd:element ref="ns6:MediaServiceObjectDetectorVersions" minOccurs="0"/>
                <xsd:element ref="ns6:MediaServiceSearchProperties" minOccurs="0"/>
                <xsd:element ref="ns6:MediaServiceDateTaken" minOccurs="0"/>
                <xsd:element ref="ns6:MediaServiceLocation" minOccurs="0"/>
                <xsd:element ref="ns6: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7" nillable="true" ma:displayName="Unified Compliance Policy Properties" ma:hidden="true" ma:internalName="_ip_UnifiedCompliancePolicyProperties">
      <xsd:simpleType>
        <xsd:restriction base="dms:Note"/>
      </xsd:simpleType>
    </xsd:element>
    <xsd:element name="_ip_UnifiedCompliancePolicyUIAction" ma:index="3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ma:readOnly="false">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160cad11-562a-4490-8456-b2fd6f157897}" ma:internalName="TaxCatchAllLabel" ma:readOnly="true" ma:showField="CatchAllDataLabel" ma:web="fecc2597-e8fd-4279-ac06-bd7c891938be">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160cad11-562a-4490-8456-b2fd6f157897}" ma:internalName="TaxCatchAll" ma:showField="CatchAllData" ma:web="fecc2597-e8fd-4279-ac06-bd7c891938be">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cc2597-e8fd-4279-ac06-bd7c891938be"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ad8da0f-3542-4e50-96c8-f1f698624e86" elementFormDefault="qualified">
    <xsd:import namespace="http://schemas.microsoft.com/office/2006/documentManagement/types"/>
    <xsd:import namespace="http://schemas.microsoft.com/office/infopath/2007/PartnerControls"/>
    <xsd:element name="MediaServiceMetadata" ma:index="31" nillable="true" ma:displayName="MediaServiceMetadata" ma:hidden="true" ma:internalName="MediaServiceMetadata" ma:readOnly="true">
      <xsd:simpleType>
        <xsd:restriction base="dms:Note"/>
      </xsd:simpleType>
    </xsd:element>
    <xsd:element name="MediaServiceFastMetadata" ma:index="32" nillable="true" ma:displayName="MediaServiceFastMetadata" ma:hidden="true" ma:internalName="MediaServiceFastMetadata" ma:readOnly="true">
      <xsd:simpleType>
        <xsd:restriction base="dms:Note"/>
      </xsd:simpleType>
    </xsd:element>
    <xsd:element name="MediaServiceAutoTags" ma:index="33" nillable="true" ma:displayName="Tags" ma:internalName="MediaServiceAutoTags" ma:readOnly="true">
      <xsd:simpleType>
        <xsd:restriction base="dms:Text"/>
      </xsd:simpleType>
    </xsd:element>
    <xsd:element name="MediaServiceOCR" ma:index="34" nillable="true" ma:displayName="Extracted Text" ma:internalName="MediaServiceOCR" ma:readOnly="true">
      <xsd:simpleType>
        <xsd:restriction base="dms:Note">
          <xsd:maxLength value="255"/>
        </xsd:restriction>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lcf76f155ced4ddcb4097134ff3c332f" ma:index="40"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1" nillable="true" ma:displayName="MediaServiceObjectDetectorVersions" ma:hidden="true" ma:indexed="true" ma:internalName="MediaServiceObjectDetectorVersions" ma:readOnly="true">
      <xsd:simpleType>
        <xsd:restriction base="dms:Text"/>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DateTaken" ma:index="43" nillable="true" ma:displayName="MediaServiceDateTaken" ma:description="" ma:hidden="true" ma:indexed="true" ma:internalName="MediaServiceDateTaken" ma:readOnly="true">
      <xsd:simpleType>
        <xsd:restriction base="dms:Text"/>
      </xsd:simpleType>
    </xsd:element>
    <xsd:element name="MediaServiceLocation" ma:index="44" nillable="true" ma:displayName="Location" ma:description="" ma:indexed="true" ma:internalName="MediaServiceLocation" ma:readOnly="true">
      <xsd:simpleType>
        <xsd:restriction base="dms:Text"/>
      </xsd:simpleType>
    </xsd:element>
    <xsd:element name="MediaLengthInSeconds" ma:index="4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23A6D4-B73C-4701-9919-992DCE70A62C}">
  <ds:schemaRefs>
    <ds:schemaRef ds:uri="ead8da0f-3542-4e50-96c8-f1f698624e86"/>
    <ds:schemaRef ds:uri="http://www.w3.org/XML/1998/namespac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dcmitype/"/>
    <ds:schemaRef ds:uri="http://schemas.openxmlformats.org/package/2006/metadata/core-properties"/>
    <ds:schemaRef ds:uri="fecc2597-e8fd-4279-ac06-bd7c891938be"/>
    <ds:schemaRef ds:uri="http://schemas.microsoft.com/sharepoint/v3/fields"/>
    <ds:schemaRef ds:uri="http://schemas.microsoft.com/sharepoint.v3"/>
    <ds:schemaRef ds:uri="4ffa91fb-a0ff-4ac5-b2db-65c790d184a4"/>
    <ds:schemaRef ds:uri="http://schemas.microsoft.com/sharepoint/v3"/>
    <ds:schemaRef ds:uri="http://purl.org/dc/terms/"/>
  </ds:schemaRefs>
</ds:datastoreItem>
</file>

<file path=customXml/itemProps2.xml><?xml version="1.0" encoding="utf-8"?>
<ds:datastoreItem xmlns:ds="http://schemas.openxmlformats.org/officeDocument/2006/customXml" ds:itemID="{D6842BCC-89DB-4B35-89A6-75435ACAEA28}">
  <ds:schemaRefs>
    <ds:schemaRef ds:uri="http://schemas.microsoft.com/DataMashup"/>
  </ds:schemaRefs>
</ds:datastoreItem>
</file>

<file path=customXml/itemProps3.xml><?xml version="1.0" encoding="utf-8"?>
<ds:datastoreItem xmlns:ds="http://schemas.openxmlformats.org/officeDocument/2006/customXml" ds:itemID="{C46FA9D2-4333-4E16-A53D-AB257B531A40}">
  <ds:schemaRefs>
    <ds:schemaRef ds:uri="http://schemas.microsoft.com/sharepoint/v3/contenttype/forms"/>
  </ds:schemaRefs>
</ds:datastoreItem>
</file>

<file path=customXml/itemProps4.xml><?xml version="1.0" encoding="utf-8"?>
<ds:datastoreItem xmlns:ds="http://schemas.openxmlformats.org/officeDocument/2006/customXml" ds:itemID="{02ED76CC-E391-4BA4-8477-E4C44895982A}">
  <ds:schemaRefs>
    <ds:schemaRef ds:uri="Microsoft.SharePoint.Taxonomy.ContentTypeSync"/>
  </ds:schemaRefs>
</ds:datastoreItem>
</file>

<file path=customXml/itemProps5.xml><?xml version="1.0" encoding="utf-8"?>
<ds:datastoreItem xmlns:ds="http://schemas.openxmlformats.org/officeDocument/2006/customXml" ds:itemID="{31314FE6-0B56-47EF-9200-DE5EE18871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fecc2597-e8fd-4279-ac06-bd7c891938be"/>
    <ds:schemaRef ds:uri="ead8da0f-3542-4e50-96c8-f1f698624e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2020 CDR</vt:lpstr>
      <vt:lpstr>Logic Check</vt:lpstr>
      <vt:lpstr>Cover Page</vt:lpstr>
      <vt:lpstr>OES Summary</vt:lpstr>
      <vt:lpstr>ReadMe</vt:lpstr>
      <vt:lpstr>OES Summary (2021-2024)</vt:lpstr>
      <vt:lpstr>Overall Release Summary</vt:lpstr>
      <vt:lpstr>Facility Summary</vt:lpstr>
      <vt:lpstr>Discharge Summary</vt:lpstr>
      <vt:lpstr>Sheet1</vt:lpstr>
      <vt:lpstr>Raw Annual DMR Data</vt:lpstr>
      <vt:lpstr>Raw Annual DMR Data_2021-2024</vt:lpstr>
      <vt:lpstr>Non-Detect DMR Sites</vt:lpstr>
      <vt:lpstr>90%</vt:lpstr>
      <vt:lpstr>Compiled Data_Surface</vt:lpstr>
      <vt:lpstr>Compiled Data_Surface_2021-2024</vt:lpstr>
      <vt:lpstr>Raw Period DMR Data</vt:lpstr>
      <vt:lpstr>Raw TRI Data</vt:lpstr>
      <vt:lpstr>OES</vt:lpstr>
      <vt:lpstr>Generic Factors</vt:lpstr>
      <vt:lpstr>Statistics</vt:lpstr>
      <vt:lpstr>SIC &amp; NAICS Codes</vt:lpstr>
      <vt:lpstr>1,2-DCA_OES</vt:lpstr>
      <vt:lpstr>SIC to 2002 NAICS</vt:lpstr>
      <vt:lpstr>2002 to 2007 NAICS</vt:lpstr>
      <vt:lpstr>2007 to 2012 NAICS</vt:lpstr>
      <vt:lpstr>2012 to 2017 NAICS</vt:lpstr>
      <vt:lpstr>TRI NAICS Crosswalk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Water Releases for 1,2-Dichloroethane</dc:title>
  <dc:subject>Risk Evaluation for 1,2-Dichloroethane</dc:subject>
  <dc:creator>US EPA</dc:creator>
  <cp:keywords>12Dichloroethane ; CASRN 107-06-2 ; water releases</cp:keywords>
  <dc:description/>
  <cp:lastModifiedBy>Stanfield, Kelley</cp:lastModifiedBy>
  <cp:revision/>
  <dcterms:created xsi:type="dcterms:W3CDTF">2020-12-07T17:10:30Z</dcterms:created>
  <dcterms:modified xsi:type="dcterms:W3CDTF">2026-04-30T16:39:28Z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0x010100D723352F79007E408EFF44D6142FFCE2</vt:lpwstr>
  </property>
  <property fmtid="{D5CDD505-2E9C-101B-9397-08002B2CF9AE}" pid="3" name="MediaServiceImageTags">
    <vt:lpwstr/>
  </property>
  <property fmtid="{D5CDD505-2E9C-101B-9397-08002B2CF9AE}" pid="4" name="TaxKeyword">
    <vt:lpwstr>1671;#12Dichloroethane|b26867e0-e188-4d8d-b848-2e1a306b3e93;#1456;#water releases|589b9c8a-bb09-47e1-aafe-9e150071a8de;#1673;#CASRN 107-06-2|f01d8752-e9a4-4691-bb25-53c3aaed59fd</vt:lpwstr>
  </property>
  <property fmtid="{D5CDD505-2E9C-101B-9397-08002B2CF9AE}" pid="5" name="EPA Subject">
    <vt:lpwstr/>
  </property>
  <property fmtid="{D5CDD505-2E9C-101B-9397-08002B2CF9AE}" pid="6" name="Document Type">
    <vt:lpwstr/>
  </property>
  <property fmtid="{D5CDD505-2E9C-101B-9397-08002B2CF9AE}" pid="7" name="Document_x0020_Type">
    <vt:lpwstr/>
  </property>
  <property fmtid="{D5CDD505-2E9C-101B-9397-08002B2CF9AE}" pid="8" name="EPA_x0020_Subject">
    <vt:lpwstr/>
  </property>
</Properties>
</file>